
<file path=[Content_Types].xml><?xml version="1.0" encoding="utf-8"?>
<Types xmlns="http://schemas.openxmlformats.org/package/2006/content-types">
  <Default ContentType="application/vnd.ms-office.vbaProject" Extension="bin"/>
  <Default ContentType="application/vnd.openxmlformats-package.relationships+xml" Extension="rels"/>
  <Default ContentType="application/xml" Extens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http://schemas.openxmlformats.org/spreadsheetml/2006/main" xmlns:r="http://schemas.openxmlformats.org/officeDocument/2006/relationships">
  <fileVersion rupBuild="9303" lowestEdited="5" lastEdited="5" appName="xl"/>
  <workbookPr/>
  <bookViews>
    <workbookView xWindow="480" yWindow="60" windowWidth="18195" windowHeight="8505" activeTab="4"/>
  </bookViews>
  <sheets>
    <sheet r:id="rId1" sheetId="1" name="BBDD"/>
    <sheet r:id="rId2" sheetId="2" name="Bienvenida"/>
    <sheet r:id="rId3" sheetId="3" name="Tablas"/>
    <sheet r:id="rId4" sheetId="4" name="Hipótesis"/>
    <sheet r:id="rId5" sheetId="5" name="Simulador - Datos personales"/>
    <sheet r:id="rId6" sheetId="6" name="Datos SS"/>
    <sheet r:id="rId7" sheetId="7" name="Coef Reductores Anticipada"/>
    <sheet r:id="rId8" sheetId="8" name="periodo transitorio coef REDUCT"/>
    <sheet r:id="rId9" sheetId="9" name="Fecha Jubilación"/>
    <sheet r:id="rId10" sheetId="10" name="PJSS"/>
    <sheet r:id="rId11" sheetId="11" name="Simulador - 1º Pilar"/>
    <sheet r:id="rId12" sheetId="12" name="Renta Vitalicia"/>
    <sheet r:id="rId13" sheetId="13" name="Aportaciones PPE"/>
    <sheet r:id="rId14" sheetId="14" name="Aportaciones Poliza"/>
    <sheet r:id="rId15" sheetId="15" name="Aportaciones Flex"/>
    <sheet r:id="rId16" sheetId="16" name="Simulador - 2º Pilar"/>
    <sheet r:id="rId17" sheetId="17" name="Aportaciones PP indvidual"/>
    <sheet r:id="rId18" sheetId="18" name="Simulador - 3º Pilar"/>
    <sheet r:id="rId19" sheetId="19" name="Renta temp."/>
    <sheet r:id="rId20" sheetId="20" name="sim"/>
    <sheet r:id="rId21" sheetId="21" name="Simulador - RESUMEN"/>
    <sheet r:id="rId22" sheetId="22" name="Informe"/>
  </sheets>
  <definedNames>
    <definedName name="_Fill" localSheetId="14">#REF!</definedName>
    <definedName name="_Fill" localSheetId="13">#REF!</definedName>
    <definedName name="_Fill" localSheetId="16">#REF!</definedName>
    <definedName name="_Fill" localSheetId="18">#REF!</definedName>
    <definedName name="_Fill" localSheetId="10">#REF!</definedName>
    <definedName name="_Fill" localSheetId="15">#REF!</definedName>
    <definedName name="_Fill" localSheetId="17">#REF!</definedName>
    <definedName name="_Fill" localSheetId="20">#REF!</definedName>
    <definedName name="_Fill">#REF!</definedName>
    <definedName name="_xlnm._FilterDatabase" localSheetId="12">'Aportaciones PPE'!$Y$7:$AB$1066</definedName>
    <definedName name="_xlnm._FilterDatabase" localSheetId="0">BBDD!$C$4:$L$34</definedName>
    <definedName name="_Key1" localSheetId="14">#REF!</definedName>
    <definedName name="_Key1" localSheetId="13">#REF!</definedName>
    <definedName name="_Key1" localSheetId="16">#REF!</definedName>
    <definedName name="_Key1" localSheetId="18">#REF!</definedName>
    <definedName name="_Key1" localSheetId="10">#REF!</definedName>
    <definedName name="_Key1" localSheetId="15">#REF!</definedName>
    <definedName name="_Key1" localSheetId="17">#REF!</definedName>
    <definedName name="_Key1" localSheetId="20">#REF!</definedName>
    <definedName name="_Key1">#REF!</definedName>
    <definedName name="_Key2" localSheetId="14">#REF!</definedName>
    <definedName name="_Key2" localSheetId="13">#REF!</definedName>
    <definedName name="_Key2" localSheetId="16">#REF!</definedName>
    <definedName name="_Key2" localSheetId="18">#REF!</definedName>
    <definedName name="_Key2" localSheetId="10">#REF!</definedName>
    <definedName name="_Key2" localSheetId="15">#REF!</definedName>
    <definedName name="_Key2" localSheetId="17">#REF!</definedName>
    <definedName name="_Key2" localSheetId="20">#REF!</definedName>
    <definedName name="_Key2">#REF!</definedName>
    <definedName name="_Order1">255</definedName>
    <definedName name="_Order2">0</definedName>
    <definedName name="_Parse_In" localSheetId="14">#REF!</definedName>
    <definedName name="_Parse_In" localSheetId="13">#REF!</definedName>
    <definedName name="_Parse_In" localSheetId="16">#REF!</definedName>
    <definedName name="_Parse_In" localSheetId="18">#REF!</definedName>
    <definedName name="_Parse_In" localSheetId="10">#REF!</definedName>
    <definedName name="_Parse_In" localSheetId="15">#REF!</definedName>
    <definedName name="_Parse_In" localSheetId="17">#REF!</definedName>
    <definedName name="_Parse_In" localSheetId="20">#REF!</definedName>
    <definedName name="_Parse_In">#REF!</definedName>
    <definedName name="_Parse_Out" localSheetId="14">#REF!</definedName>
    <definedName name="_Parse_Out" localSheetId="13">#REF!</definedName>
    <definedName name="_Parse_Out" localSheetId="16">#REF!</definedName>
    <definedName name="_Parse_Out" localSheetId="18">#REF!</definedName>
    <definedName name="_Parse_Out" localSheetId="10">#REF!</definedName>
    <definedName name="_Parse_Out" localSheetId="15">#REF!</definedName>
    <definedName name="_Parse_Out" localSheetId="17">#REF!</definedName>
    <definedName name="_Parse_Out" localSheetId="20">#REF!</definedName>
    <definedName name="_Parse_Out">#REF!</definedName>
    <definedName name="_Sort" localSheetId="14">#REF!</definedName>
    <definedName name="_Sort" localSheetId="13">#REF!</definedName>
    <definedName name="_Sort" localSheetId="16">#REF!</definedName>
    <definedName name="_Sort" localSheetId="18">#REF!</definedName>
    <definedName name="_Sort" localSheetId="10">#REF!</definedName>
    <definedName name="_Sort" localSheetId="15">#REF!</definedName>
    <definedName name="_Sort" localSheetId="17">#REF!</definedName>
    <definedName name="_Sort" localSheetId="20">#REF!</definedName>
    <definedName name="_Sort">#REF!</definedName>
    <definedName name="_uh2" localSheetId="14">#REF!</definedName>
    <definedName name="_uh2" localSheetId="13">#REF!</definedName>
    <definedName name="_uh2" localSheetId="16">#REF!</definedName>
    <definedName name="_uh2" localSheetId="18">#REF!</definedName>
    <definedName name="_uh2" localSheetId="10">#REF!</definedName>
    <definedName name="_uh2" localSheetId="15">#REF!</definedName>
    <definedName name="_uh2" localSheetId="17">#REF!</definedName>
    <definedName name="_uh2" localSheetId="20">#REF!</definedName>
    <definedName name="_uh2">#REF!</definedName>
    <definedName name="_uh3" localSheetId="14">#REF!</definedName>
    <definedName name="_uh3" localSheetId="13">#REF!</definedName>
    <definedName name="_uh3" localSheetId="16">#REF!</definedName>
    <definedName name="_uh3" localSheetId="18">#REF!</definedName>
    <definedName name="_uh3" localSheetId="10">#REF!</definedName>
    <definedName name="_uh3" localSheetId="15">#REF!</definedName>
    <definedName name="_uh3" localSheetId="17">#REF!</definedName>
    <definedName name="_uh3" localSheetId="20">#REF!</definedName>
    <definedName name="_uh3">#REF!</definedName>
    <definedName name="AS2DocOpenMode">"AS2DocumentEdit"</definedName>
    <definedName name="d" localSheetId="14">#REF!</definedName>
    <definedName name="d" localSheetId="13">#REF!</definedName>
    <definedName name="d" localSheetId="16">#REF!</definedName>
    <definedName name="d" localSheetId="18">#REF!</definedName>
    <definedName name="d" localSheetId="10">#REF!</definedName>
    <definedName name="d" localSheetId="15">#REF!</definedName>
    <definedName name="d" localSheetId="17">#REF!</definedName>
    <definedName name="d" localSheetId="20">#REF!</definedName>
    <definedName name="d">#REF!</definedName>
    <definedName name="impres">Informe!$B$1:$S$204</definedName>
    <definedName name="l" localSheetId="14">#REF!</definedName>
    <definedName name="l" localSheetId="13">#REF!</definedName>
    <definedName name="l" localSheetId="16">#REF!</definedName>
    <definedName name="l" localSheetId="18">#REF!</definedName>
    <definedName name="l" localSheetId="10">#REF!</definedName>
    <definedName name="l" localSheetId="15">#REF!</definedName>
    <definedName name="l" localSheetId="17">#REF!</definedName>
    <definedName name="l" localSheetId="20">#REF!</definedName>
    <definedName name="l">#REF!</definedName>
    <definedName name="_xlnm.Print_Area" localSheetId="21">Informe!$B$1:$J$528</definedName>
    <definedName name="solver_adj" localSheetId="18">'Renta temp.'!$J$7</definedName>
    <definedName name="solver_adj" localSheetId="11">'Renta Vitalicia'!$C$8</definedName>
    <definedName name="solver_cvg" localSheetId="18">0.0001</definedName>
    <definedName name="solver_cvg" localSheetId="11">0.0001</definedName>
    <definedName name="solver_drv" localSheetId="18">2</definedName>
    <definedName name="solver_drv" localSheetId="11">2</definedName>
    <definedName name="solver_eng" localSheetId="18">1</definedName>
    <definedName name="solver_eng" localSheetId="11">1</definedName>
    <definedName name="solver_est" localSheetId="18">1</definedName>
    <definedName name="solver_est" localSheetId="11">1</definedName>
    <definedName name="solver_itr" localSheetId="18">2147483647</definedName>
    <definedName name="solver_itr" localSheetId="11">2147483647</definedName>
    <definedName name="solver_mip" localSheetId="18">2147483647</definedName>
    <definedName name="solver_mip" localSheetId="11">2147483647</definedName>
    <definedName name="solver_mni" localSheetId="18">30</definedName>
    <definedName name="solver_mni" localSheetId="11">30</definedName>
    <definedName name="solver_mrt" localSheetId="18">0.075</definedName>
    <definedName name="solver_mrt" localSheetId="11">0.075</definedName>
    <definedName name="solver_msl" localSheetId="18">2</definedName>
    <definedName name="solver_msl" localSheetId="11">2</definedName>
    <definedName name="solver_neg" localSheetId="18">1</definedName>
    <definedName name="solver_neg" localSheetId="11">1</definedName>
    <definedName name="solver_nod" localSheetId="18">2147483647</definedName>
    <definedName name="solver_nod" localSheetId="11">2147483647</definedName>
    <definedName name="solver_num" localSheetId="18">0</definedName>
    <definedName name="solver_num" localSheetId="11">0</definedName>
    <definedName name="solver_nwt" localSheetId="18">1</definedName>
    <definedName name="solver_nwt" localSheetId="11">1</definedName>
    <definedName name="solver_opt" localSheetId="18">'Renta temp.'!$I$7</definedName>
    <definedName name="solver_opt" localSheetId="11">'Renta Vitalicia'!$F$5</definedName>
    <definedName name="solver_pre" localSheetId="18">0.000001</definedName>
    <definedName name="solver_pre" localSheetId="11">0.000001</definedName>
    <definedName name="solver_rbv" localSheetId="18">2</definedName>
    <definedName name="solver_rbv" localSheetId="11">2</definedName>
    <definedName name="solver_rlx" localSheetId="18">2</definedName>
    <definedName name="solver_rlx" localSheetId="11">2</definedName>
    <definedName name="solver_rsd" localSheetId="18">0</definedName>
    <definedName name="solver_rsd" localSheetId="11">0</definedName>
    <definedName name="solver_scl" localSheetId="18">2</definedName>
    <definedName name="solver_scl" localSheetId="11">2</definedName>
    <definedName name="solver_sho" localSheetId="18">2</definedName>
    <definedName name="solver_sho" localSheetId="11">2</definedName>
    <definedName name="solver_ssz" localSheetId="18">100</definedName>
    <definedName name="solver_ssz" localSheetId="11">100</definedName>
    <definedName name="solver_tim" localSheetId="18">2147483647</definedName>
    <definedName name="solver_tim" localSheetId="11">2147483647</definedName>
    <definedName name="solver_tol" localSheetId="18">0.01</definedName>
    <definedName name="solver_tol" localSheetId="11">0.01</definedName>
    <definedName name="solver_typ" localSheetId="18">3</definedName>
    <definedName name="solver_typ" localSheetId="11">3</definedName>
    <definedName name="solver_val" localSheetId="18">12000</definedName>
    <definedName name="solver_val" localSheetId="11">25366.07</definedName>
    <definedName name="solver_ver" localSheetId="18">3</definedName>
    <definedName name="solver_ver" localSheetId="11">3</definedName>
    <definedName name="TextRefCopyRangeCount">1</definedName>
    <definedName name="uh" localSheetId="14">#REF!</definedName>
    <definedName name="uh" localSheetId="13">#REF!</definedName>
    <definedName name="uh" localSheetId="16">#REF!</definedName>
    <definedName name="uh" localSheetId="18">#REF!</definedName>
    <definedName name="uh" localSheetId="10">#REF!</definedName>
    <definedName name="uh" localSheetId="15">#REF!</definedName>
    <definedName name="uh" localSheetId="17">#REF!</definedName>
    <definedName name="uh" localSheetId="20">#REF!</definedName>
    <definedName name="uh">#REF!</definedName>
    <definedName name="wrn.Aging._.and._.Trend._.Analysis." localSheetId="18">{#N/A,#N/A,FALSE,"Aging Summary";#N/A,#N/A,FALSE,"Ratio Analysis";#N/A,#N/A,FALSE,"Test 120 Day Accts";#N/A,#N/A,FALSE,"Tickmarks"}</definedName>
    <definedName name="wrn.Aging._.and._.Trend._.Analysis." localSheetId="17">{#N/A,#N/A,FALSE,"Aging Summary";#N/A,#N/A,FALSE,"Ratio Analysis";#N/A,#N/A,FALSE,"Test 120 Day Accts";#N/A,#N/A,FALSE,"Tickmarks"}</definedName>
    <definedName name="wrn.Aging._.and._.Trend._.Analysis." localSheetId="20">{#N/A,#N/A,FALSE,"Aging Summary";#N/A,#N/A,FALSE,"Ratio Analysis";#N/A,#N/A,FALSE,"Test 120 Day Accts";#N/A,#N/A,FALSE,"Tickmarks"}</definedName>
    <definedName name="wrn.Aging._.and._.Trend._.Analysis.">{#N/A,#N/A,FALSE,"Aging Summary";#N/A,#N/A,FALSE,"Ratio Analysis";#N/A,#N/A,FALSE,"Test 120 Day Accts";#N/A,#N/A,FALSE,"Tickmarks"}</definedName>
  </definedNames>
  <calcPr fullCalcOnLoad="1"/>
</workbook>
</file>

<file path=xl/sharedStrings.xml><?xml version="1.0" encoding="utf-8"?>
<sst xmlns="http://schemas.openxmlformats.org/spreadsheetml/2006/main" count="8914" uniqueCount="1252">
  <si>
    <t>DATOS PERSONALES</t>
  </si>
  <si>
    <t>Fecha de nacimiento:</t>
  </si>
  <si>
    <t>Sexo:</t>
  </si>
  <si>
    <t>Número de hijos:</t>
  </si>
  <si>
    <t>Salario Total anual:</t>
  </si>
  <si>
    <t>Salario Fijo anual:</t>
  </si>
  <si>
    <t>Años cotizados en la fecha actual:</t>
  </si>
  <si>
    <t>PRIMER PILAR: PRESTACIONES DEL SISTEMA PÚBLICO</t>
  </si>
  <si>
    <t>Modalidad de jubilación escogida:</t>
  </si>
  <si>
    <t>Fecha de jubilación:</t>
  </si>
  <si>
    <t>Edad de jubilación:</t>
  </si>
  <si>
    <t>Años cotizados en la fecha de jubilación:</t>
  </si>
  <si>
    <t>Porcentaje de base reguladora por los años cotizados:</t>
  </si>
  <si>
    <t>IF(AND(H421="Jubilación prolongada";'Simulador - 1º Pilar'!H94="Complemento vitalicio");"Porcentaje adicional por prolongar la jubilación:";IF(AND(H421="Jubilación prolongada";'Simulador - 1º Pilar'!H94="Pago único");"Pago único por prolongar la jubilación";"Porcentaje reductor por jubilación anticipada:"))</t>
  </si>
  <si>
    <t>Pago único por prolongar la jubilación</t>
  </si>
  <si>
    <t>Importe anual</t>
  </si>
  <si>
    <t>Importe mensual</t>
  </si>
  <si>
    <t>Ratio de sustitución</t>
  </si>
  <si>
    <t>Pensión de jubilación de la Seguridad Social:</t>
  </si>
  <si>
    <t>Pensión total del Primer Pilar</t>
  </si>
  <si>
    <t>SEGUNDO PILAR: AHORRO EMPRESARIAL</t>
  </si>
  <si>
    <t>Aportación anual al Plan de Previsión:</t>
  </si>
  <si>
    <t>Fondo acumulado proyectado por las aportaciones totales:</t>
  </si>
  <si>
    <t>Pensión de jubilación del Plan de Previsión</t>
  </si>
  <si>
    <t>Pensión total del Segundo Pilar:</t>
  </si>
  <si>
    <t>TERCER PILAR: AHORRO INDIVIDUAL</t>
  </si>
  <si>
    <t>Aportación anual al vehículo individual:</t>
  </si>
  <si>
    <t>fecha fondo acumulado</t>
  </si>
  <si>
    <t>Fondo acumulado por las aportaciones totales:</t>
  </si>
  <si>
    <t>Pensión de jubilación del vehículo individual:</t>
  </si>
  <si>
    <t>Pensión total del Tercer Pilar:</t>
  </si>
  <si>
    <t>Pensión total de jubilación</t>
  </si>
  <si>
    <t>Disminución de ingresos respecto del último salario (GAP):</t>
  </si>
  <si>
    <t>HIPÓTESIS</t>
  </si>
  <si>
    <t>Crecimiento salarial:</t>
  </si>
  <si>
    <t>Crecimiento de la Pensiones de la Seguridad Social:</t>
  </si>
  <si>
    <t>Crecimiento de la Base de Cotización de la Seguridad Social:</t>
  </si>
  <si>
    <t>Crecimiento del IPC:</t>
  </si>
  <si>
    <t>Rentabilidad del vehículo del Pilar III:</t>
  </si>
  <si>
    <t>Tipo de conversión del capital en renta:</t>
  </si>
  <si>
    <t>Tablas de mortalidad:</t>
  </si>
  <si>
    <t>PLANIFICACIÓN DE LA JUBILACIÓN: RESUMEN DE LOS COMPROMISOS</t>
  </si>
  <si>
    <t>A continuación se indica cada una de las pensiones a las que tendría derecho y la cobertura que supone cada una de ellas sobre el salario en la fecha de jubilación:</t>
  </si>
  <si>
    <t>Cobertura sobre el salario</t>
  </si>
  <si>
    <t>Pensión de jubilación Seg. Social:</t>
  </si>
  <si>
    <t>Pensión total del Primer Pilar:</t>
  </si>
  <si>
    <t>Años cotizados actual:</t>
  </si>
  <si>
    <t>Pensión de jubilación PPE:</t>
  </si>
  <si>
    <t>DATOS EN LA FECHA DE JUBILACIÓN</t>
  </si>
  <si>
    <t>Pensión de jubilación P. Excesos:</t>
  </si>
  <si>
    <t>Modalidad de jubilación:</t>
  </si>
  <si>
    <t>Pensión de jubilación P. Ahorro</t>
  </si>
  <si>
    <t>Fecha de jubilación</t>
  </si>
  <si>
    <t>Pensión de jubilación Póliza flex:</t>
  </si>
  <si>
    <t>Edad de jubilación</t>
  </si>
  <si>
    <t>Salario Total a jubilación:</t>
  </si>
  <si>
    <t>HIPÓTESIS EMPLEADAS</t>
  </si>
  <si>
    <t>Pensión jubilación plan individual:</t>
  </si>
  <si>
    <t>Crecimiento Pensiones SS:</t>
  </si>
  <si>
    <t>Crecimiento BC de la SS:</t>
  </si>
  <si>
    <t>Rentabilidad del 2º Pilar:</t>
  </si>
  <si>
    <t>Pensión total de jubilación:</t>
  </si>
  <si>
    <t>Rentabilidad plan individual:</t>
  </si>
  <si>
    <t>Tipo de conversación renta:</t>
  </si>
  <si>
    <t>PERMF2020</t>
  </si>
  <si>
    <t>Funciones Secundarias/Auxiliares para EASA</t>
  </si>
  <si>
    <t>Gráfico de ratio de sustitución total</t>
  </si>
  <si>
    <t xml:space="preserve">  Pensión total del Primer Pilar</t>
  </si>
  <si>
    <t xml:space="preserve">  Pensión total del Segundo Pilar</t>
  </si>
  <si>
    <t xml:space="preserve">  Pensión total del Tercer Pilar</t>
  </si>
  <si>
    <t xml:space="preserve">  Disminución de ingresos respecto del último salario (GAP)</t>
  </si>
  <si>
    <t>Ratio de cobertuta total (sin Pilar II)</t>
  </si>
  <si>
    <t xml:space="preserve">  Disminución de ingresos respecto del último salario (GAP) sin Pilar II</t>
  </si>
  <si>
    <t>SIMULADOR DE PRESTACIONES</t>
  </si>
  <si>
    <t>CAPITAL ESTIMADO A FECHA DE JUBILACIÓN</t>
  </si>
  <si>
    <t>Capital estimado a fecha jubilación PPE:</t>
  </si>
  <si>
    <t>Capital estimado a fecha jubilación P. Excesos:</t>
  </si>
  <si>
    <t>Capital estimado a fecha jubilación P. Ahorro:</t>
  </si>
  <si>
    <t>Capital estimado a fecha jubilación Póliza flex:</t>
  </si>
  <si>
    <t>PRESTACIÓN TOTAL DE JUBILACIÓN DEL AHORRO EMPRESARIAL</t>
  </si>
  <si>
    <t>Capital total estimado alcanzado en la fecha de jubilación</t>
  </si>
  <si>
    <t>Pensión vitalicia estimada en términos brutos</t>
  </si>
  <si>
    <t>Predict no lo muestra</t>
  </si>
  <si>
    <t>Ratio de sustitución de ingresos</t>
  </si>
  <si>
    <t>¿Cómo quiero cobrar mi prestación de jubilación?</t>
  </si>
  <si>
    <t>Modalidad de cobro</t>
  </si>
  <si>
    <t>Capital</t>
  </si>
  <si>
    <t>Inserte fondo a convertir en renta en la fecha de jubilación</t>
  </si>
  <si>
    <t>Renta temporal</t>
  </si>
  <si>
    <t>Seleccione en el desplegable la opción preferida</t>
  </si>
  <si>
    <t>Importe estimado mensual de cada término</t>
  </si>
  <si>
    <t>Capital estimado a fecha jubilación vehiculos individuales:</t>
  </si>
  <si>
    <t>Calculo de renta vitalica</t>
  </si>
  <si>
    <t>Desplegable modalidades de cobro "Seleccione en el desplegable la opción preferida"</t>
  </si>
  <si>
    <t>Número de años a percibir la renta</t>
  </si>
  <si>
    <t>mensajes condicionados a la opción de cobro</t>
  </si>
  <si>
    <t>Indique el importe mensual que desearía percibir:</t>
  </si>
  <si>
    <t>Indique el número de años que desearía percibir la prestación:</t>
  </si>
  <si>
    <t>El número de años estimados a percibir dicho importe es:</t>
  </si>
  <si>
    <t>El importe mensual estimado de renta a percibir en dichos años es:</t>
  </si>
  <si>
    <t>mensaje condicionado al desplegable de modalidades de cobro</t>
  </si>
  <si>
    <t>La prestación de capital consiste en una percepción de pago único.</t>
  </si>
  <si>
    <t>Desplegable modalidad de cobro</t>
  </si>
  <si>
    <t>Si</t>
  </si>
  <si>
    <t>PPE</t>
  </si>
  <si>
    <t>Póliza</t>
  </si>
  <si>
    <t>Flex</t>
  </si>
  <si>
    <t>Pad</t>
  </si>
  <si>
    <t>Tabla de años</t>
  </si>
  <si>
    <t>Forma de cobro de la renta</t>
  </si>
  <si>
    <t>Tipo conversión renta</t>
  </si>
  <si>
    <t>Fondos acumulados</t>
  </si>
  <si>
    <t>Instrucción</t>
  </si>
  <si>
    <t>Rentabilidad</t>
  </si>
  <si>
    <t>Dato</t>
  </si>
  <si>
    <t>Si es Año</t>
  </si>
  <si>
    <t>Si es importe</t>
  </si>
  <si>
    <t>Final</t>
  </si>
  <si>
    <t>Total</t>
  </si>
  <si>
    <t>Póliza de excesos</t>
  </si>
  <si>
    <t>PAD</t>
  </si>
  <si>
    <t>TERCER PILAR DE LA PREVISIÓN SOCIAL: AHORRO INDIVIDUAL</t>
  </si>
  <si>
    <t xml:space="preserve">Sus propios vehículos financieros </t>
  </si>
  <si>
    <r>
      <t/>
    </r>
    <r>
      <rPr>
        <b/>
        <sz val="14"/>
        <color rgb="FF7030a0"/>
        <rFont val="Arial"/>
        <family val="2"/>
      </rPr>
      <t>¿</t>
    </r>
    <r>
      <rPr>
        <b/>
        <sz val="11"/>
        <color rgb="FF7030a0"/>
        <rFont val="Arial"/>
        <family val="2"/>
      </rPr>
      <t>Cuál sería la aportación anual necesaria para conseguir mi pensión mensual deseada</t>
    </r>
    <r>
      <rPr>
        <b/>
        <sz val="14"/>
        <color rgb="FF7030a0"/>
        <rFont val="Arial"/>
        <family val="2"/>
      </rPr>
      <t>?</t>
    </r>
  </si>
  <si>
    <t>Pensión mensual</t>
  </si>
  <si>
    <t>Aportación anual</t>
  </si>
  <si>
    <r>
      <t/>
    </r>
    <r>
      <rPr>
        <b/>
        <sz val="14"/>
        <color rgb="FF001d9a"/>
        <rFont val="Arial"/>
        <family val="2"/>
      </rPr>
      <t>¿</t>
    </r>
    <r>
      <rPr>
        <b/>
        <sz val="11"/>
        <color rgb="FF001d9a"/>
        <rFont val="Arial"/>
        <family val="2"/>
      </rPr>
      <t>Cuál será el ratio de sustitución resultado de mis aportaciones a vehiculos individuales</t>
    </r>
    <r>
      <rPr>
        <b/>
        <sz val="14"/>
        <color rgb="FF001d9a"/>
        <rFont val="Arial"/>
        <family val="2"/>
      </rPr>
      <t>?</t>
    </r>
  </si>
  <si>
    <t>Introduzca la aportación anual que planifica realizar a sus planes de previsión privados:</t>
  </si>
  <si>
    <t>Aportaciones</t>
  </si>
  <si>
    <t>Derechos consolidados / Provisiones matemáticas</t>
  </si>
  <si>
    <t xml:space="preserve">Introduzca el importe que tiene acumulado  así como la fecha a la que están calculados. </t>
  </si>
  <si>
    <t>Rentabilidad con la que se capitalizan las aportaciones hasta la fecha de jubilación</t>
  </si>
  <si>
    <t>Seleccione la rentabilidad estimada</t>
  </si>
  <si>
    <t>Mi propio perfil</t>
  </si>
  <si>
    <t>Prestaciones</t>
  </si>
  <si>
    <t>Capital estimado alcanzado en la fecha de jubilación</t>
  </si>
  <si>
    <t>Pensión estimada vitalicia en términos brutos</t>
  </si>
  <si>
    <t>Gráfico de ratio de sustitución · Pilar</t>
  </si>
  <si>
    <t>Gráfico susitucion acumulado</t>
  </si>
  <si>
    <t>Salario a la jubilación</t>
  </si>
  <si>
    <t xml:space="preserve">  Vehículo de ahorro individual </t>
  </si>
  <si>
    <t xml:space="preserve">  Gaap de ingresos</t>
  </si>
  <si>
    <t>Criterio de cálculo del fondo</t>
  </si>
  <si>
    <t>Se capitalizan los DDCC desde la fecha que se informa hasta la fecha de jubilacion. De manera adicional, en caso de que el usuario seleccione "NO" (no va a continuar haciendo aportaciones hasta la jubilacion) el usuario hará en el momento actual una única aportación de importe igual al introducido. En caso de que seleccione "SI" (sí va a continuar realizando aportaciones hasta jubilación) suponemos que en el año en curso realiza aportacion por el importe introducido y a partir del año que viene las realiza mensuales.</t>
  </si>
  <si>
    <t>Desplegable de rentabilidad</t>
  </si>
  <si>
    <t>Perfil conservador: 1,40%</t>
  </si>
  <si>
    <t>Perfil moderado: 2,04%</t>
  </si>
  <si>
    <t>Perfil arriesgado: 4,34%</t>
  </si>
  <si>
    <t>Indique el importe mensual que desearía percibir</t>
  </si>
  <si>
    <t>Indique el número de años durante los cuales desearía percibir la prestación</t>
  </si>
  <si>
    <t>En función del importe mensual estimado a percibir que ha introducido, el número de años estimados a percibir dicho importe es de:</t>
  </si>
  <si>
    <t>En función del número de años estimado a percibir que ha introducido, el importe mensual estimado de renta a percibir durante dichos años es de:</t>
  </si>
  <si>
    <t>Pop out en EASA: si selecciona "SI", el importe de aportación introducido por el usuario se realiza desde hoy hasta la fecha de jubilacion (caso contrario será 1 sola aportacion puntual)</t>
  </si>
  <si>
    <t>SI</t>
  </si>
  <si>
    <t>fecha jub</t>
  </si>
  <si>
    <t>fecha inicio</t>
  </si>
  <si>
    <t>fecha DDCC</t>
  </si>
  <si>
    <t>Cálculo de aportación necesaria para alcanzar pensión deseada objetivo</t>
  </si>
  <si>
    <t>Pensión desada anual!</t>
  </si>
  <si>
    <t>pension anual deseada: importe introducido por el usuario</t>
  </si>
  <si>
    <t xml:space="preserve">P </t>
  </si>
  <si>
    <r>
      <t xml:space="preserve">fondo necesario en la fecha de jubilacion para pensión deseada introducida por usuario </t>
    </r>
    <r>
      <rPr>
        <b/>
        <sz val="9"/>
        <color rgb="FF0000ff"/>
        <rFont val="Arial"/>
        <family val="2"/>
      </rPr>
      <t>teniendo en cuenta sus derechos consolidados</t>
    </r>
  </si>
  <si>
    <t>i mensual</t>
  </si>
  <si>
    <t>rentabilidad introducida por el usuario</t>
  </si>
  <si>
    <t>n</t>
  </si>
  <si>
    <t>nº meses entre fecha actual y fecha de jubilación: periodo para constituir el ahorro</t>
  </si>
  <si>
    <t>NM</t>
  </si>
  <si>
    <t>periodicidad</t>
  </si>
  <si>
    <t>C</t>
  </si>
  <si>
    <t>aportación mensual necesaria para alcanzar fondo objetivo</t>
  </si>
  <si>
    <t>Vf</t>
  </si>
  <si>
    <t>cheq de fondo objetivo</t>
  </si>
  <si>
    <t>renta vitalicia</t>
  </si>
  <si>
    <t>cheq de pensión objetivo</t>
  </si>
  <si>
    <t>Aportación definida C</t>
  </si>
  <si>
    <t>aportación mensual que se pretende realizar: importe introducido por el usuario</t>
  </si>
  <si>
    <t>fondo proyec 1</t>
  </si>
  <si>
    <t>fondo acumulado por 1 sola aportacion anual puntual de importe introducido por el usuario + fondo ya acumulado</t>
  </si>
  <si>
    <t>fondo proyec 2</t>
  </si>
  <si>
    <t>fondo acumulado por aportacion anual desde fecha actual a fecha de jubilacion de importe introducido por el usuario + fondo ya acumulado</t>
  </si>
  <si>
    <t>DDCC</t>
  </si>
  <si>
    <t>DDCC capitalizados a fecha de jubilación</t>
  </si>
  <si>
    <t>Capitalizacion de aportaciones según importe y rentabilidad introducidos por usuario</t>
  </si>
  <si>
    <t>Moderado</t>
  </si>
  <si>
    <t>Alto riesgo</t>
  </si>
  <si>
    <t>Necesito poder capitalizar una cuantia cuando me meto a simular y tengo 68 años</t>
  </si>
  <si>
    <t>Fechas</t>
  </si>
  <si>
    <t>Crecimiento salarial</t>
  </si>
  <si>
    <t>Total aportaciones</t>
  </si>
  <si>
    <t>Fondo acumulado</t>
  </si>
  <si>
    <t>Fecha Fondo</t>
  </si>
  <si>
    <t xml:space="preserve">Fecha Hoy </t>
  </si>
  <si>
    <t>Crecimiento salario</t>
  </si>
  <si>
    <t>Nuevo salario</t>
  </si>
  <si>
    <t>puntual men</t>
  </si>
  <si>
    <t>Puntual anual</t>
  </si>
  <si>
    <t>Continua anual</t>
  </si>
  <si>
    <t>Tramos</t>
  </si>
  <si>
    <t>Fecha Jubilación</t>
  </si>
  <si>
    <t>Salario</t>
  </si>
  <si>
    <t>(1+'Aportaciones PP indvidual'!$G$5)^(1/12)-1</t>
  </si>
  <si>
    <t>Aportación anual vehículo 1</t>
  </si>
  <si>
    <t>Aportación anual vehículo 2</t>
  </si>
  <si>
    <t>Aportación anual vehículo 3</t>
  </si>
  <si>
    <t>SEGUNDO PILAR DE LA PREVISIÓN SOCIAL: AHORRO EMPRESARIAL</t>
  </si>
  <si>
    <t>Vehículos financieros contratados por su empresa a su favor</t>
  </si>
  <si>
    <t>Plan de pensiones y póliza de Excesos</t>
  </si>
  <si>
    <t>Aportación anual empresa</t>
  </si>
  <si>
    <t>5% Sal. Pensionable</t>
  </si>
  <si>
    <t>Capital jubilación</t>
  </si>
  <si>
    <t>Aportación anual voluntaria empleado</t>
  </si>
  <si>
    <t>Aportación anual adicional empresa</t>
  </si>
  <si>
    <t>Derechos consolidados a 31/12/2021</t>
  </si>
  <si>
    <t>P. Excesos</t>
  </si>
  <si>
    <t>Aportaciones a planes de pensiones que exceden el límite fiscal y financiero</t>
  </si>
  <si>
    <t>Aportación anual voluntaria empresa</t>
  </si>
  <si>
    <t>Provisiones matemáticas a 31/12/2021</t>
  </si>
  <si>
    <t>Póliza de Ahorro</t>
  </si>
  <si>
    <t>P. Ahorro</t>
  </si>
  <si>
    <t>Aportación anual empleado</t>
  </si>
  <si>
    <t>Póliza Flex</t>
  </si>
  <si>
    <t>P. Flex</t>
  </si>
  <si>
    <r>
      <t xml:space="preserve">Condicionalidad de realizar aportaciones hasta jubilación en Poliza Flex </t>
    </r>
    <r>
      <rPr>
        <b/>
        <sz val="11"/>
        <color rgb="FFff0000"/>
        <rFont val="Arial"/>
        <family val="2"/>
      </rPr>
      <t>(de momento no se está empleando)</t>
    </r>
  </si>
  <si>
    <t>Constante:</t>
  </si>
  <si>
    <t>Aportación voluntaria del empleado en el PPE</t>
  </si>
  <si>
    <t>Pop out</t>
  </si>
  <si>
    <t>¿Desea realizar la aportación voluntaria a su cargo? Esta aportación es del 0,5% del salario pensionable y en caso de realizarla, la empresa realizará una aportación de igual importe a su favor</t>
  </si>
  <si>
    <t>Respuesta</t>
  </si>
  <si>
    <t>Texto condicionado a Respuesta</t>
  </si>
  <si>
    <t>2% Sal. Pensionable</t>
  </si>
  <si>
    <t>0% Sal. Pensionable</t>
  </si>
  <si>
    <t>Gráficos circulos</t>
  </si>
  <si>
    <t>Ratio de sustitución total</t>
  </si>
  <si>
    <t>GAP Pilar II</t>
  </si>
  <si>
    <t xml:space="preserve">Ratio de sustitución acumulado </t>
  </si>
  <si>
    <t>GAP acumulado</t>
  </si>
  <si>
    <t>Fondo acumulado PPE</t>
  </si>
  <si>
    <t>Fondo acumulado P.Ex</t>
  </si>
  <si>
    <t>Fondo acumulado Flex</t>
  </si>
  <si>
    <t>Fondo acumulado P. Ahorro</t>
  </si>
  <si>
    <t>Gráficos quesitos en función de la categoría/perfil de empleado</t>
  </si>
  <si>
    <t>Resumen de categorias</t>
  </si>
  <si>
    <t>PPE + Excesos</t>
  </si>
  <si>
    <t>PPE + Excesos + Flex</t>
  </si>
  <si>
    <t>PPE + Excesos + Flex + PAD</t>
  </si>
  <si>
    <t xml:space="preserve">PAD + Flex </t>
  </si>
  <si>
    <t xml:space="preserve">Flex </t>
  </si>
  <si>
    <t>Gráfico Perfil 1</t>
  </si>
  <si>
    <t>Perfil de empleado</t>
  </si>
  <si>
    <t>Chart 37</t>
  </si>
  <si>
    <t>Numero de gráfico</t>
  </si>
  <si>
    <t>Plan de Pensiones de Empleo (PPE)</t>
  </si>
  <si>
    <t>P. excesos</t>
  </si>
  <si>
    <t>Disminución de ingresos respecto del último salario (GAP)</t>
  </si>
  <si>
    <t>Cobertura total</t>
  </si>
  <si>
    <t>GAP total</t>
  </si>
  <si>
    <t>Gráfico Perfil 3</t>
  </si>
  <si>
    <t>Chart 4</t>
  </si>
  <si>
    <t>Póliza ahorro</t>
  </si>
  <si>
    <t>Póliza flex</t>
  </si>
  <si>
    <t>Gráfico Perfil 4</t>
  </si>
  <si>
    <t>Chart 38</t>
  </si>
  <si>
    <t>Gráfico Perfil 2</t>
  </si>
  <si>
    <t>Gráfico Perfil 5</t>
  </si>
  <si>
    <t>se puede eliminar</t>
  </si>
  <si>
    <t>* tendría en cuenta que la provisión matematica se actualiza cada mes.</t>
  </si>
  <si>
    <t>Salario pensionable</t>
  </si>
  <si>
    <t>AP mensual cte</t>
  </si>
  <si>
    <t>Ap continuada?</t>
  </si>
  <si>
    <t>Ap mensual proyectada</t>
  </si>
  <si>
    <t>sólo aport este año</t>
  </si>
  <si>
    <t>Empresa proyeccion</t>
  </si>
  <si>
    <t>no se emplea: por si cese</t>
  </si>
  <si>
    <t xml:space="preserve">Salario total </t>
  </si>
  <si>
    <t>Salario t. proyect</t>
  </si>
  <si>
    <t>Fecha cese cotización</t>
  </si>
  <si>
    <t>IF(#REF!$D$14="Sí";$I$5*G7;0)</t>
  </si>
  <si>
    <t>Participe</t>
  </si>
  <si>
    <t>Participe proyección</t>
  </si>
  <si>
    <t>Capitalizacón Póliza</t>
  </si>
  <si>
    <t>PPMM en jubilacion</t>
  </si>
  <si>
    <t>Dato importante que la rentabilidad supongo que es igual la del fondo que la de la póliza</t>
  </si>
  <si>
    <t>limite individual</t>
  </si>
  <si>
    <t>anual empresa</t>
  </si>
  <si>
    <t>PPMM en Excesos</t>
  </si>
  <si>
    <t>limite conjunto</t>
  </si>
  <si>
    <t>anual empleado</t>
  </si>
  <si>
    <t>ampliacion</t>
  </si>
  <si>
    <t>Condicionado a H12 Pilar II</t>
  </si>
  <si>
    <t>en PPE</t>
  </si>
  <si>
    <t>lim individual total</t>
  </si>
  <si>
    <t>Años para jubilación</t>
  </si>
  <si>
    <t>Ap participe</t>
  </si>
  <si>
    <t>Ap promotor adicional</t>
  </si>
  <si>
    <t>Ap promotor corriente</t>
  </si>
  <si>
    <t>Empresa</t>
  </si>
  <si>
    <t>New style aport volun</t>
  </si>
  <si>
    <t>mes</t>
  </si>
  <si>
    <t>año</t>
  </si>
  <si>
    <t>Fecha</t>
  </si>
  <si>
    <t>Aportación plan</t>
  </si>
  <si>
    <t>Aportación póliza</t>
  </si>
  <si>
    <t>Proyección Plan</t>
  </si>
  <si>
    <t>Proyección Póliza</t>
  </si>
  <si>
    <t>Mesyaño</t>
  </si>
  <si>
    <t>Ap partícipes</t>
  </si>
  <si>
    <t>Mensual</t>
  </si>
  <si>
    <t>Acumulado anual</t>
  </si>
  <si>
    <t>Acumulado anual PPE</t>
  </si>
  <si>
    <t>Ap PPE partícipe</t>
  </si>
  <si>
    <t>Ap Excesos partícipe</t>
  </si>
  <si>
    <t>Capacidad fiscal disponible</t>
  </si>
  <si>
    <t>Ap PPE promotor adicional</t>
  </si>
  <si>
    <t>Ap Excesos promotor adicional</t>
  </si>
  <si>
    <t>Ap PPE promotor corriente</t>
  </si>
  <si>
    <t>Ap Excesos promotor corriente</t>
  </si>
  <si>
    <t>limite anual participe</t>
  </si>
  <si>
    <t>Parámetros</t>
  </si>
  <si>
    <t>Fecha Nacimiento</t>
  </si>
  <si>
    <t>Sexo (Hombre/Mujer)</t>
  </si>
  <si>
    <t>Resultados</t>
  </si>
  <si>
    <t>14 pagas</t>
  </si>
  <si>
    <t xml:space="preserve">Edad </t>
  </si>
  <si>
    <t xml:space="preserve">Renta </t>
  </si>
  <si>
    <t>Fecha de valoración</t>
  </si>
  <si>
    <t>Ratios</t>
  </si>
  <si>
    <t>Tipo de interés</t>
  </si>
  <si>
    <t>40años</t>
  </si>
  <si>
    <t>PJSS/salario Jub</t>
  </si>
  <si>
    <t>Mensualidad</t>
  </si>
  <si>
    <t>P.Plan/ Salario jub</t>
  </si>
  <si>
    <t>Crecimiento pensión</t>
  </si>
  <si>
    <t>Gap</t>
  </si>
  <si>
    <t>Fecha inicio renta (dif)</t>
  </si>
  <si>
    <t>Fecha fin prestación</t>
  </si>
  <si>
    <t>Lx</t>
  </si>
  <si>
    <t xml:space="preserve">Fecha inicio </t>
  </si>
  <si>
    <t>Fecha fin</t>
  </si>
  <si>
    <t>Edad</t>
  </si>
  <si>
    <t>V^t</t>
  </si>
  <si>
    <t>nPx</t>
  </si>
  <si>
    <t>Lx+n</t>
  </si>
  <si>
    <t>(1+a)</t>
  </si>
  <si>
    <t>C*(1+a)*VA</t>
  </si>
  <si>
    <t>nPx Con Lx</t>
  </si>
  <si>
    <t>PRIMER PILAR DE LA PREVISIÓN SOCIAL: PRESTACIONES DEL SISTEMA PÚBLICO</t>
  </si>
  <si>
    <t>Debe completar todos los campos sombreados en verde</t>
  </si>
  <si>
    <t>Fecha de jubilación anticipada:</t>
  </si>
  <si>
    <t>Fecha de jubilación ordinaria:</t>
  </si>
  <si>
    <t>¿Cuándo voy a jubilarme?</t>
  </si>
  <si>
    <t xml:space="preserve"> ¿Bajo que modalidad le gustaría acceder a la jubilación? </t>
  </si>
  <si>
    <t>Jubilación ordinaria</t>
  </si>
  <si>
    <t>Mi jubilación</t>
  </si>
  <si>
    <t>Porcentaje aplicado a la base reguladora en función de los años cotizados</t>
  </si>
  <si>
    <t>Pensión máxima de seguridad social en el año de la jubilación</t>
  </si>
  <si>
    <t>¿Cuál es mi pensión de jubilación?</t>
  </si>
  <si>
    <t>Pensión de jubilación estimada Seguridad Social</t>
  </si>
  <si>
    <t xml:space="preserve">Ratio de sustitución de ingresos </t>
  </si>
  <si>
    <t>Mensajes de error al usuario</t>
  </si>
  <si>
    <t>este mensaje se activa cuando el usuario indica que tiene menos de 15 años cotizados a la fecha de jubilacion</t>
  </si>
  <si>
    <t>Edades de acceso a la jubilacion</t>
  </si>
  <si>
    <t>Edad en la fecha de jubilación ordinaria</t>
  </si>
  <si>
    <t>Edad de jubilacion ordinaria</t>
  </si>
  <si>
    <t>Edad en la primera fecha de jubilación anticipada posible</t>
  </si>
  <si>
    <t>Edad de jubilacion primera anticipada</t>
  </si>
  <si>
    <t>Fórmulas para los ratios de cobertura (gráfico anillo)</t>
  </si>
  <si>
    <t>Pensión de seguridad social</t>
  </si>
  <si>
    <t>Gaap de ingresos</t>
  </si>
  <si>
    <t xml:space="preserve">Información para desplegable ¿Bajo que modalidad le gustaría acceder a la jubilación? </t>
  </si>
  <si>
    <t>Jubilación anticipada</t>
  </si>
  <si>
    <t>Jubilación prolongada</t>
  </si>
  <si>
    <t>Desplegable Jubilación prolongada y anticipada</t>
  </si>
  <si>
    <t>Mensajes de error para los usurios de acuerdo con la normativa de SS</t>
  </si>
  <si>
    <t>condicional prolongada</t>
  </si>
  <si>
    <t>condicional para cuando fecha ordinaria es anterior a la fecha de hoy</t>
  </si>
  <si>
    <t>condicional anticipada requisito 35 años cotizados</t>
  </si>
  <si>
    <t>condicional requisito 15 años cotizados para acceso jubilacion</t>
  </si>
  <si>
    <t>celda auxiliar que sirve para mostrar la pension de jubilacion en blanco cuando no se cumplen los requisitos</t>
  </si>
  <si>
    <t>Desplegable en caso de prolongar la jubilación (ojo se activa si se elige la jub prolongada) es un imput para EASA</t>
  </si>
  <si>
    <t>¿Cómo le gustaría percibir su complemento económico?</t>
  </si>
  <si>
    <t>Complemento vitalicio</t>
  </si>
  <si>
    <t>Importe del pago único por prolongación acceso jubilacion</t>
  </si>
  <si>
    <t>Pago único</t>
  </si>
  <si>
    <t>Calculo fecha de jubilación anticipada/prolongada</t>
  </si>
  <si>
    <t>Edad jub anticipada o prolongada elegida</t>
  </si>
  <si>
    <t>Fecha hoy</t>
  </si>
  <si>
    <t>Edad jub anticipada elegida</t>
  </si>
  <si>
    <t>Fecha jub anticipada elegida</t>
  </si>
  <si>
    <t>Primera fecha jub anticipada posible</t>
  </si>
  <si>
    <t>99:110</t>
  </si>
  <si>
    <t>Porcentaje de reducción de la base en jubilación anticipada</t>
  </si>
  <si>
    <t>Año</t>
  </si>
  <si>
    <t>Períodos cotizados</t>
  </si>
  <si>
    <t>Edad exigida</t>
  </si>
  <si>
    <t>Periodo cotizado</t>
  </si>
  <si>
    <t>Edad exigida sino cumple PC</t>
  </si>
  <si>
    <t>La cuantía que resulte será objeto de reducción mediante la aplicación, por cada trimestre o fracción de trimestre que, en el momento del hecho causante, le falte al trabajador para cumplir la edad legal de jubilación que en cada caso resulte de la aplicación, de los siguientes coeficientes en función del período de cotización acreditado:</t>
  </si>
  <si>
    <t>Datos</t>
  </si>
  <si>
    <t>Meses</t>
  </si>
  <si>
    <t>Porcentaje</t>
  </si>
  <si>
    <t>Nº Mes</t>
  </si>
  <si>
    <t xml:space="preserve">Mes </t>
  </si>
  <si>
    <t>IPC</t>
  </si>
  <si>
    <t>Salario Mes</t>
  </si>
  <si>
    <t>Base C. Máx</t>
  </si>
  <si>
    <t>Base de cot.</t>
  </si>
  <si>
    <t>Base Actualizada</t>
  </si>
  <si>
    <t>Base Min</t>
  </si>
  <si>
    <t xml:space="preserve">1. Coeficiente del 2 por 100 por trimestre cuando se acredite un período de cotización inferior a 38 años y 6 meses. </t>
  </si>
  <si>
    <t>Fecha de antigüedad</t>
  </si>
  <si>
    <t>RESULTADOS</t>
  </si>
  <si>
    <t>35 años y 3 meses o más</t>
  </si>
  <si>
    <t>65 años</t>
  </si>
  <si>
    <t>2. Coeficiente del 1,875 por 100 por trimestre cuando se acredite un período de cotización igual o superior a 38 años y 6 meses e inferior a 41 años y 6 meses.</t>
  </si>
  <si>
    <t>Base Reguladora:</t>
  </si>
  <si>
    <t>Menos de 35 años y 3 meses</t>
  </si>
  <si>
    <t>65 años y 1 mes</t>
  </si>
  <si>
    <t>3. Coeficiente del 1,750 por 100 por trimestre cuando se acredite un período de cotización igual o superior a 41 años y 6 meses e inferior a 44 años y 6 meses.</t>
  </si>
  <si>
    <t>Fecha de Nacimiento</t>
  </si>
  <si>
    <t>Datos de Anticipada</t>
  </si>
  <si>
    <t>% Base Reguladora:</t>
  </si>
  <si>
    <t>35 años y 6 meses o más</t>
  </si>
  <si>
    <t>4. Coeficiente del 1,625 por 100 por trimestre cuando se acredite un período de cotización igual o superior a 44 años y 6 meses.</t>
  </si>
  <si>
    <t>Fecha de Jubilación</t>
  </si>
  <si>
    <t>% Reducción:</t>
  </si>
  <si>
    <t>Menos de 35 años y 6 meses</t>
  </si>
  <si>
    <t>65 años y 2 meses</t>
  </si>
  <si>
    <t>Periodo de cotización</t>
  </si>
  <si>
    <t>Prestación Jubilación:</t>
  </si>
  <si>
    <t>no se utiliza</t>
  </si>
  <si>
    <t>35 años y 9 meses o más</t>
  </si>
  <si>
    <t>Jubilación final sin maternidad:</t>
  </si>
  <si>
    <t>Menos de 35 años y 9 meses</t>
  </si>
  <si>
    <t>65 años y 3 meses</t>
  </si>
  <si>
    <t>Mínimo</t>
  </si>
  <si>
    <t>Edad fecha jub</t>
  </si>
  <si>
    <t>P Jub con maternidad:</t>
  </si>
  <si>
    <t>36 o más años</t>
  </si>
  <si>
    <t>Sexo (Hombre / Mujer)</t>
  </si>
  <si>
    <t>Pensión viudedad 52% aunque hay excepciones</t>
  </si>
  <si>
    <t>Menos de 36 años</t>
  </si>
  <si>
    <t>65 años y 4 meses</t>
  </si>
  <si>
    <t>hijos</t>
  </si>
  <si>
    <t>36 años y 3 meses o más</t>
  </si>
  <si>
    <t>Periodo exigido</t>
  </si>
  <si>
    <t>Menos de 36 años y 3 meses</t>
  </si>
  <si>
    <t>65 años y 5 meses</t>
  </si>
  <si>
    <t>Edad Exigida</t>
  </si>
  <si>
    <t>36 años y 6 meses o más</t>
  </si>
  <si>
    <t>Nº de meses comutables</t>
  </si>
  <si>
    <t>Menos de 36 años y 6 meses</t>
  </si>
  <si>
    <t>65 años y 6 meses</t>
  </si>
  <si>
    <t>Límite de la cuantía:</t>
  </si>
  <si>
    <t>Divisor</t>
  </si>
  <si>
    <t>36 años y 9 meses o más</t>
  </si>
  <si>
    <t>Una vez aplicados los referidos coeficientes reductores, el importe resultante de la pensión no podrá ser superior a la cuantía que resulte de reducir el tope máximo de pensión en un 0,50 por 100 por cada trimestre o fracción de trimestre de anticipación.</t>
  </si>
  <si>
    <t>Meses - 15 primeros años</t>
  </si>
  <si>
    <t>Menos de 36 años y 9 meses</t>
  </si>
  <si>
    <t>65 años y 8 meses</t>
  </si>
  <si>
    <t>Fecha de Jubilación seleccionada</t>
  </si>
  <si>
    <t>37 o más años</t>
  </si>
  <si>
    <t>Cuantía</t>
  </si>
  <si>
    <t>Menos de 37 años</t>
  </si>
  <si>
    <t xml:space="preserve">65 años y 10 meses </t>
  </si>
  <si>
    <t>Suma bases de cotización</t>
  </si>
  <si>
    <t>37 años y 3 meses o más</t>
  </si>
  <si>
    <t>MATERNIDAD</t>
  </si>
  <si>
    <t>Base reguladora</t>
  </si>
  <si>
    <t>Menos de 37 años y 3 meses</t>
  </si>
  <si>
    <t>66 años</t>
  </si>
  <si>
    <t>Aplicación del complemento por maternidad:</t>
  </si>
  <si>
    <t>Porcentaje aplicable 1</t>
  </si>
  <si>
    <t>37 años y 6 meses o más</t>
  </si>
  <si>
    <t>A las mujeres que hayan tenido 2 o más hijos, biológicos o adoptados, se les aplicará un complemento por maternidad consistente en un porcentaje aplicable al importe de la pensión que se causen a partir de 1 de enero de 2016, calculada de acuerdo con lo indicado en los apartados anteriores. Dicho porcentaje será del 5% en el caso de dos hijos, del 10% con tres hijos y del 15% en el caso de cuatro o más hijos.</t>
  </si>
  <si>
    <t>porcentaje aplicable 2</t>
  </si>
  <si>
    <t>Menos de 37 años y 6 meses</t>
  </si>
  <si>
    <t>66 años y 2 meses</t>
  </si>
  <si>
    <t>Son computables para la determinación del derecho y su cuantificación los hijos con independencia de que el nacimiento se haya producido en España o en el extranjero.</t>
  </si>
  <si>
    <t>37 años y 9 meses o más</t>
  </si>
  <si>
    <t>El complemento de pensión no será de aplicación en los casos de acceso anticipado a la jubilación por voluntad de la interesada ni en los de jubilación parcial, a los que se refieren, respectivamente, los artículos 208 y 215 de la Ley General de la Seguridad Social.  Así mismo no será de aplicación a la pensión SOVI.</t>
  </si>
  <si>
    <t>% reduccion Anticipo Edad si no vas por maxima</t>
  </si>
  <si>
    <t>no se utiliza: normativa previa a 2022</t>
  </si>
  <si>
    <t>Menos de 37 años y 9 meses</t>
  </si>
  <si>
    <t>66 años y 4 meses</t>
  </si>
  <si>
    <t>% s/BR por Años Cotizados</t>
  </si>
  <si>
    <t>Porcentaje jubilación años cotizados</t>
  </si>
  <si>
    <t>38 o más años</t>
  </si>
  <si>
    <t>Menos de 38 años</t>
  </si>
  <si>
    <t>66 años y 6 meses</t>
  </si>
  <si>
    <t>Viudedad</t>
  </si>
  <si>
    <t>BR con % por Años Cotizados y penalización por Anticipo</t>
  </si>
  <si>
    <t>38 años y 3 meses o más</t>
  </si>
  <si>
    <t>El 52% de la base reguladora, con carácter general.</t>
  </si>
  <si>
    <t>Pensión Max</t>
  </si>
  <si>
    <t>Menos de 38 años y 3 meses</t>
  </si>
  <si>
    <t>66 años y 8 meses</t>
  </si>
  <si>
    <t>A partir de 01-01-2019 el porcentaje aplicable a la base reguladora de la pensión de viudedad será del 60%, cuando en la persona beneficiaria concurran los siguientes requisitos:</t>
  </si>
  <si>
    <t>Total con FS</t>
  </si>
  <si>
    <t>Tener una edad igual o superior a 65 años.</t>
  </si>
  <si>
    <t>Factor Sostenibilidad</t>
  </si>
  <si>
    <t>66 años y 10 meses</t>
  </si>
  <si>
    <t>No tener derecho a otra pensión pública española o extranjera.</t>
  </si>
  <si>
    <t>Compl. de maternidad</t>
  </si>
  <si>
    <t>A partir de 2027</t>
  </si>
  <si>
    <t>38 años y 6 meses o más</t>
  </si>
  <si>
    <t>No percibir ingresos por la realización de trabajos por cuenta ajena o por cuenta propia.</t>
  </si>
  <si>
    <t>Maxima Anticipada</t>
  </si>
  <si>
    <t>Menos de 38 años y 6 meses</t>
  </si>
  <si>
    <t xml:space="preserve">67 años </t>
  </si>
  <si>
    <t xml:space="preserve">No disponer de rentas de capital mobiliario o inmobiliario, ganancias patrimoniales o rentas de actividades económicas, superiores a 7.569,00 euros/año. </t>
  </si>
  <si>
    <t>El 70% de la base reguladora correspondiente siempre que, durante todo el período de percepción de la pensión, se cumplan los siguientes requisitos:</t>
  </si>
  <si>
    <t>Porcentaje adicional</t>
  </si>
  <si>
    <t>Nº. meses computables/Divisor</t>
  </si>
  <si>
    <t>Años computables</t>
  </si>
  <si>
    <t>1. Que el pensionista tenga cargas familiares. Se entiende que existen cargas familiares cuando:</t>
  </si>
  <si>
    <t>192 / 224</t>
  </si>
  <si>
    <t>204 / 238</t>
  </si>
  <si>
    <t>Conviva con hijos menores de 26 años o mayores incapacitados, o menores acogidos. A estos efectos, se considera que existe incapacidad cuando acredite una discapacidad igual o superior al 33%.</t>
  </si>
  <si>
    <t>Años Cese de cotización</t>
  </si>
  <si>
    <t>Años cot</t>
  </si>
  <si>
    <t>Años adelanto</t>
  </si>
  <si>
    <t xml:space="preserve"> no se utiliza </t>
  </si>
  <si>
    <t>216 / 252</t>
  </si>
  <si>
    <t>Los rendimientos de la unidad familiar, incluido el propio pensionista, divididos entre el número de miembros que la componen, no superen, en cómputo anual, el 75% del salario mínimo interprofesional vigente en cada momento, excluida la parte proporcional de las dos pagas extraordinarias.</t>
  </si>
  <si>
    <t>Fecha de jubilación final</t>
  </si>
  <si>
    <t>228 / 266</t>
  </si>
  <si>
    <t>2. Que la pensión de viudedad constituya la principal o única fuente de ingresos, entendiendo que se cumple este requisito cuando el importe anual de la pensión sea superior al 50% del total de los ingresos del pensionista.</t>
  </si>
  <si>
    <t>240 / 280</t>
  </si>
  <si>
    <t>3. Que los rendimientos anuales del pensionista por todos los conceptos no superen la cuantía resultante de sumar al límite que, en cada ejercicio económico, esté previsto para el reconocimiento de los complementos por mínimos de las pensiones contributivas, el importe anual que, en cada ejercicio económico, corresponda a la pensión mínima de viudedad con cargas familiares. A partir de 01-01-2019, el límite de ingresos es de 18.539,40 € anuales (7.569,00 + 10.970,40).</t>
  </si>
  <si>
    <t>252 / 294</t>
  </si>
  <si>
    <t>La pensión de viudedad, en cómputo anual, más los rendimientos anuales del pensionista, no pueden exceder el límite de ingresos del párrafo anterior. En caso contrario, se reducirá la cuantía de la pensión de viudedad a fin de no superar dicho límite.</t>
  </si>
  <si>
    <t>264 / 308</t>
  </si>
  <si>
    <t>Los tres requisitos exigidos deben concurrir simultáneamente. La pérdida de uno de ellos motivará la aplicación del porcentaje del 52% con efectos desde el día 1 del mes siguiente a aquél en que deje de concurrir dicho requisito.</t>
  </si>
  <si>
    <t>Cálculo normativa 2022</t>
  </si>
  <si>
    <t>276 / 322</t>
  </si>
  <si>
    <t>Importe</t>
  </si>
  <si>
    <t>288 / 336</t>
  </si>
  <si>
    <t>PMSS año de la jubilación</t>
  </si>
  <si>
    <t>300 / 350</t>
  </si>
  <si>
    <t>Min (BR; PM)</t>
  </si>
  <si>
    <t>% s/BR por Prolongacion</t>
  </si>
  <si>
    <t>Coef reductor</t>
  </si>
  <si>
    <t>Base reguladora reducida</t>
  </si>
  <si>
    <t>Coef reductor sobre PM</t>
  </si>
  <si>
    <t>Coef reductor que estamos aplicando</t>
  </si>
  <si>
    <t>PJSS si Ordinaria</t>
  </si>
  <si>
    <t>PJSS si Anticipada</t>
  </si>
  <si>
    <t>PJSS si Prolongada con Compl. Vitalicio</t>
  </si>
  <si>
    <t>PJSS si Prolongada con Pago único</t>
  </si>
  <si>
    <t>Cálculo PJSS si Prolongada</t>
  </si>
  <si>
    <t>% por prolongación</t>
  </si>
  <si>
    <t>Pensión sin % de prolongacion</t>
  </si>
  <si>
    <t>Pension con % de prolongación</t>
  </si>
  <si>
    <t>% a aplicar a la BR para alcanzar la máx</t>
  </si>
  <si>
    <t>(1) Complemento hasta PM</t>
  </si>
  <si>
    <t>% no aplicado de la BR</t>
  </si>
  <si>
    <t>(2) Complemento en exceso de la PM</t>
  </si>
  <si>
    <t>Complemento total (1) + (2)</t>
  </si>
  <si>
    <t>Pensión</t>
  </si>
  <si>
    <t>Límite al complemento (base de coti)</t>
  </si>
  <si>
    <t>Pensión + complemento lim</t>
  </si>
  <si>
    <t>Pago unico por retraso edad de jubilación</t>
  </si>
  <si>
    <t>años cotizados a edad ordinaria</t>
  </si>
  <si>
    <t>pensión inicial</t>
  </si>
  <si>
    <t>pago unico por año de retraso</t>
  </si>
  <si>
    <t>pago unico total</t>
  </si>
  <si>
    <t>Today</t>
  </si>
  <si>
    <t>F. Nacimiento</t>
  </si>
  <si>
    <t>Años cotizados hoy</t>
  </si>
  <si>
    <t>Años cotizados supuestos</t>
  </si>
  <si>
    <t>Ordinaria</t>
  </si>
  <si>
    <t>Con límite a hoy</t>
  </si>
  <si>
    <t>%Mes</t>
  </si>
  <si>
    <t>Nº de meses</t>
  </si>
  <si>
    <t>Fecha de jubilación anticipada</t>
  </si>
  <si>
    <t>Años</t>
  </si>
  <si>
    <t>Años cotizados</t>
  </si>
  <si>
    <t>Jubilaciones</t>
  </si>
  <si>
    <t>Prolongada</t>
  </si>
  <si>
    <t>Fecha Def</t>
  </si>
  <si>
    <t>FECHA</t>
  </si>
  <si>
    <t>SI/NO</t>
  </si>
  <si>
    <t>Años posteriores a ordinaria</t>
  </si>
  <si>
    <t>Fecha jubilación prolongada</t>
  </si>
  <si>
    <t>Fecha Cese Voluntario</t>
  </si>
  <si>
    <t>F. Cese</t>
  </si>
  <si>
    <t>Días</t>
  </si>
  <si>
    <t>Nueva fecha de jub.</t>
  </si>
  <si>
    <t>Período cotizado inferior a treinta y ocho años y seis meses</t>
  </si>
  <si>
    <t>Meses Anticipo</t>
  </si>
  <si>
    <t>5,7%</t>
  </si>
  <si>
    <t>7,4%</t>
  </si>
  <si>
    <t>9,1%</t>
  </si>
  <si>
    <t>10,8%</t>
  </si>
  <si>
    <t>12,5%</t>
  </si>
  <si>
    <t>14,2%</t>
  </si>
  <si>
    <t>15,9%</t>
  </si>
  <si>
    <t>17,6%</t>
  </si>
  <si>
    <t>19,3%</t>
  </si>
  <si>
    <t>21%</t>
  </si>
  <si>
    <t>5,36%</t>
  </si>
  <si>
    <t>6,72%</t>
  </si>
  <si>
    <t>8,08%</t>
  </si>
  <si>
    <t>9,44%</t>
  </si>
  <si>
    <t>12,16%</t>
  </si>
  <si>
    <t>13,52%</t>
  </si>
  <si>
    <t>14,88%</t>
  </si>
  <si>
    <t>16,24%</t>
  </si>
  <si>
    <t>5,07%</t>
  </si>
  <si>
    <t>6,13%</t>
  </si>
  <si>
    <t>7,2%</t>
  </si>
  <si>
    <t>8,27%</t>
  </si>
  <si>
    <t>9,34%</t>
  </si>
  <si>
    <t>10,4%</t>
  </si>
  <si>
    <t>11,47%</t>
  </si>
  <si>
    <t>12,54%</t>
  </si>
  <si>
    <t>13,6%</t>
  </si>
  <si>
    <t>14,67%</t>
  </si>
  <si>
    <t>4,41%</t>
  </si>
  <si>
    <t>5,31%</t>
  </si>
  <si>
    <t>6,22%</t>
  </si>
  <si>
    <t>7,13%</t>
  </si>
  <si>
    <t>8,04%</t>
  </si>
  <si>
    <t>8,94%</t>
  </si>
  <si>
    <t>9,85%</t>
  </si>
  <si>
    <t>10,76%</t>
  </si>
  <si>
    <t>11,66%</t>
  </si>
  <si>
    <t>12,57%</t>
  </si>
  <si>
    <t>4,25%</t>
  </si>
  <si>
    <t>5%</t>
  </si>
  <si>
    <t>5,75%</t>
  </si>
  <si>
    <t>6,5%</t>
  </si>
  <si>
    <t>7,25%</t>
  </si>
  <si>
    <t>8%</t>
  </si>
  <si>
    <t>8,75%</t>
  </si>
  <si>
    <t>9,5%</t>
  </si>
  <si>
    <t>10,25%</t>
  </si>
  <si>
    <t>11%</t>
  </si>
  <si>
    <t>4,13%</t>
  </si>
  <si>
    <t>4,76%</t>
  </si>
  <si>
    <t>5,38%</t>
  </si>
  <si>
    <t>6,01%</t>
  </si>
  <si>
    <t>6,64%</t>
  </si>
  <si>
    <t>7,27%</t>
  </si>
  <si>
    <t>7,9%</t>
  </si>
  <si>
    <t>8,52%</t>
  </si>
  <si>
    <t>9,15%</t>
  </si>
  <si>
    <t>9,78%</t>
  </si>
  <si>
    <t>3,58%</t>
  </si>
  <si>
    <t>4,16%</t>
  </si>
  <si>
    <t>4,74%</t>
  </si>
  <si>
    <t>5,32%</t>
  </si>
  <si>
    <t>5,9%</t>
  </si>
  <si>
    <t>6,48%</t>
  </si>
  <si>
    <t>7,06%</t>
  </si>
  <si>
    <t>7,64%</t>
  </si>
  <si>
    <t>8,22%</t>
  </si>
  <si>
    <t>8,8%</t>
  </si>
  <si>
    <t>3,5%</t>
  </si>
  <si>
    <t>4%</t>
  </si>
  <si>
    <t>4,5%</t>
  </si>
  <si>
    <t>5,5%</t>
  </si>
  <si>
    <t>6%</t>
  </si>
  <si>
    <t>7%</t>
  </si>
  <si>
    <t>7,5%</t>
  </si>
  <si>
    <t>3,43%</t>
  </si>
  <si>
    <t>3,87%</t>
  </si>
  <si>
    <t>4,3%</t>
  </si>
  <si>
    <t>4,73%</t>
  </si>
  <si>
    <t>5,17%</t>
  </si>
  <si>
    <t>5,6%</t>
  </si>
  <si>
    <t>6,03%</t>
  </si>
  <si>
    <t>6,46%</t>
  </si>
  <si>
    <t>6,9%</t>
  </si>
  <si>
    <t>7,33%</t>
  </si>
  <si>
    <t>2,93%</t>
  </si>
  <si>
    <t>3,35%</t>
  </si>
  <si>
    <t>3,78%</t>
  </si>
  <si>
    <t>4,21%</t>
  </si>
  <si>
    <t>4,64%</t>
  </si>
  <si>
    <t>5,06%</t>
  </si>
  <si>
    <t>5,49%</t>
  </si>
  <si>
    <t>5,92%</t>
  </si>
  <si>
    <t>6,34%</t>
  </si>
  <si>
    <t>6,77%</t>
  </si>
  <si>
    <t>2,88%</t>
  </si>
  <si>
    <t>3,26%</t>
  </si>
  <si>
    <t>3,64%</t>
  </si>
  <si>
    <t>4,02%</t>
  </si>
  <si>
    <t>4,4%</t>
  </si>
  <si>
    <t>4,77%</t>
  </si>
  <si>
    <t>5,15%</t>
  </si>
  <si>
    <t>5,53%</t>
  </si>
  <si>
    <t>5,91%</t>
  </si>
  <si>
    <t>6,29%</t>
  </si>
  <si>
    <t>2,84%</t>
  </si>
  <si>
    <t>3,17%</t>
  </si>
  <si>
    <t>3,51%</t>
  </si>
  <si>
    <t>3,85%</t>
  </si>
  <si>
    <t>4,19%</t>
  </si>
  <si>
    <t>4,52%</t>
  </si>
  <si>
    <t>4,86%</t>
  </si>
  <si>
    <t>5,2%</t>
  </si>
  <si>
    <t>5,87%</t>
  </si>
  <si>
    <t>2,35%</t>
  </si>
  <si>
    <t>2,7%</t>
  </si>
  <si>
    <t>3,05%</t>
  </si>
  <si>
    <t>3,4%</t>
  </si>
  <si>
    <t>3,75%</t>
  </si>
  <si>
    <t>4,1%</t>
  </si>
  <si>
    <t>4,45%</t>
  </si>
  <si>
    <t>4,8%</t>
  </si>
  <si>
    <t>2,32%</t>
  </si>
  <si>
    <t>2,64%</t>
  </si>
  <si>
    <t>2,95%</t>
  </si>
  <si>
    <t>3,27%</t>
  </si>
  <si>
    <t>3,59%</t>
  </si>
  <si>
    <t>3,91%</t>
  </si>
  <si>
    <t>4,23%</t>
  </si>
  <si>
    <t>4,54%</t>
  </si>
  <si>
    <t>5,18%</t>
  </si>
  <si>
    <t>2,29%</t>
  </si>
  <si>
    <t>2,58%</t>
  </si>
  <si>
    <t>2,87%</t>
  </si>
  <si>
    <t>3,16%</t>
  </si>
  <si>
    <t>3,45%</t>
  </si>
  <si>
    <t>3,73%</t>
  </si>
  <si>
    <t>4,31%</t>
  </si>
  <si>
    <t>4,6%</t>
  </si>
  <si>
    <t>4,89%</t>
  </si>
  <si>
    <t>1,81%</t>
  </si>
  <si>
    <t>2,13%</t>
  </si>
  <si>
    <t>2,44%</t>
  </si>
  <si>
    <t>2,75%</t>
  </si>
  <si>
    <t>3,07%</t>
  </si>
  <si>
    <t>3,38%</t>
  </si>
  <si>
    <t>3,69%</t>
  </si>
  <si>
    <t>4,32%</t>
  </si>
  <si>
    <t>4,63%</t>
  </si>
  <si>
    <t>1,79%</t>
  </si>
  <si>
    <t>2,08%</t>
  </si>
  <si>
    <t>2,37%</t>
  </si>
  <si>
    <t>2,66%</t>
  </si>
  <si>
    <t>3,24%</t>
  </si>
  <si>
    <t>3,53%</t>
  </si>
  <si>
    <t>3,82%</t>
  </si>
  <si>
    <t>4,11%</t>
  </si>
  <si>
    <t>1,77%</t>
  </si>
  <si>
    <t>2,04%</t>
  </si>
  <si>
    <t>2,31%</t>
  </si>
  <si>
    <t>2,85%</t>
  </si>
  <si>
    <t>3,11%</t>
  </si>
  <si>
    <t>3,65%</t>
  </si>
  <si>
    <t>3,92%</t>
  </si>
  <si>
    <t>1,3%</t>
  </si>
  <si>
    <t>1,6%</t>
  </si>
  <si>
    <t>1,9%</t>
  </si>
  <si>
    <t>2,2%</t>
  </si>
  <si>
    <t>2,5%</t>
  </si>
  <si>
    <t>2,8%</t>
  </si>
  <si>
    <t>3,1%</t>
  </si>
  <si>
    <t>3,7%</t>
  </si>
  <si>
    <t>1,28%</t>
  </si>
  <si>
    <t>1,57%</t>
  </si>
  <si>
    <t>1,85%</t>
  </si>
  <si>
    <t>2,42%</t>
  </si>
  <si>
    <t>2,98%</t>
  </si>
  <si>
    <t>3,55%</t>
  </si>
  <si>
    <t>3,83%</t>
  </si>
  <si>
    <t>1,27%</t>
  </si>
  <si>
    <t>1,53%</t>
  </si>
  <si>
    <t>1,8%</t>
  </si>
  <si>
    <t>2,07%</t>
  </si>
  <si>
    <t>2,34%</t>
  </si>
  <si>
    <t>2,6%</t>
  </si>
  <si>
    <t>3,14%</t>
  </si>
  <si>
    <t>3,67%</t>
  </si>
  <si>
    <t>0,8%</t>
  </si>
  <si>
    <t>1,1%</t>
  </si>
  <si>
    <t>1,41%</t>
  </si>
  <si>
    <t>1,71%</t>
  </si>
  <si>
    <t>2,01%</t>
  </si>
  <si>
    <t>2,61%</t>
  </si>
  <si>
    <t>2,92%</t>
  </si>
  <si>
    <t>3,22%</t>
  </si>
  <si>
    <t>3,52%</t>
  </si>
  <si>
    <t>0,79%</t>
  </si>
  <si>
    <t>1,08%</t>
  </si>
  <si>
    <t>1,36%</t>
  </si>
  <si>
    <t>1,65%</t>
  </si>
  <si>
    <t>1,94%</t>
  </si>
  <si>
    <t>2,23%</t>
  </si>
  <si>
    <t>2,52%</t>
  </si>
  <si>
    <t>3,09%</t>
  </si>
  <si>
    <t>0,78%</t>
  </si>
  <si>
    <t>1,05%</t>
  </si>
  <si>
    <t>1,33%</t>
  </si>
  <si>
    <t>1,88%</t>
  </si>
  <si>
    <t>2,16%</t>
  </si>
  <si>
    <t>2,43%</t>
  </si>
  <si>
    <t>2,71%</t>
  </si>
  <si>
    <t>Período cotizado igual o superior a treinta y ocho años y seis meses e inferior a cuarenta y un años y seis meses</t>
  </si>
  <si>
    <t>8,5%</t>
  </si>
  <si>
    <t>10%</t>
  </si>
  <si>
    <t>11,5%</t>
  </si>
  <si>
    <t>13%</t>
  </si>
  <si>
    <t>14,5%</t>
  </si>
  <si>
    <t>16%</t>
  </si>
  <si>
    <t>17,5%</t>
  </si>
  <si>
    <t>19%</t>
  </si>
  <si>
    <t>5,25%</t>
  </si>
  <si>
    <t>7,75%</t>
  </si>
  <si>
    <t>9%</t>
  </si>
  <si>
    <t>12,75%</t>
  </si>
  <si>
    <t>14%</t>
  </si>
  <si>
    <t>15,25%</t>
  </si>
  <si>
    <t>16,5%</t>
  </si>
  <si>
    <t>12%</t>
  </si>
  <si>
    <t>4,35%</t>
  </si>
  <si>
    <t>6,05%</t>
  </si>
  <si>
    <t>8,6%</t>
  </si>
  <si>
    <t>9,45%</t>
  </si>
  <si>
    <t>10,3%</t>
  </si>
  <si>
    <t>11,15%</t>
  </si>
  <si>
    <t>4,2%</t>
  </si>
  <si>
    <t>4,9%</t>
  </si>
  <si>
    <t>6,3%</t>
  </si>
  <si>
    <t>7,7%</t>
  </si>
  <si>
    <t>8,4%</t>
  </si>
  <si>
    <t>9,8%</t>
  </si>
  <si>
    <t>10,5%</t>
  </si>
  <si>
    <t>4,08%</t>
  </si>
  <si>
    <t>4,67%</t>
  </si>
  <si>
    <t>5,83%</t>
  </si>
  <si>
    <t>6,42%</t>
  </si>
  <si>
    <t>7,58%</t>
  </si>
  <si>
    <t>8,16%</t>
  </si>
  <si>
    <t>9,33%</t>
  </si>
  <si>
    <t>3,54%</t>
  </si>
  <si>
    <t>4,62%</t>
  </si>
  <si>
    <t>5,16%</t>
  </si>
  <si>
    <t>6,24%</t>
  </si>
  <si>
    <t>6,78%</t>
  </si>
  <si>
    <t>7,32%</t>
  </si>
  <si>
    <t>7,86%</t>
  </si>
  <si>
    <t>3,46%</t>
  </si>
  <si>
    <t>3,93%</t>
  </si>
  <si>
    <t>4,39%</t>
  </si>
  <si>
    <t>5,78%</t>
  </si>
  <si>
    <t>6,25%</t>
  </si>
  <si>
    <t>6,71%</t>
  </si>
  <si>
    <t>7,18%</t>
  </si>
  <si>
    <t>3,8%</t>
  </si>
  <si>
    <t>5,4%</t>
  </si>
  <si>
    <t>5,8%</t>
  </si>
  <si>
    <t>6,2%</t>
  </si>
  <si>
    <t>6,6%</t>
  </si>
  <si>
    <t>2,9%</t>
  </si>
  <si>
    <t>3,29%</t>
  </si>
  <si>
    <t>4,48%</t>
  </si>
  <si>
    <t>4,88%</t>
  </si>
  <si>
    <t>5,27%</t>
  </si>
  <si>
    <t>5,67%</t>
  </si>
  <si>
    <t>6,06%</t>
  </si>
  <si>
    <t>3,2%</t>
  </si>
  <si>
    <t>3,9%</t>
  </si>
  <si>
    <t>4,95%</t>
  </si>
  <si>
    <t>5,3%</t>
  </si>
  <si>
    <t>5,65%</t>
  </si>
  <si>
    <t>2,81%</t>
  </si>
  <si>
    <t>3,12%</t>
  </si>
  <si>
    <t>3,74%</t>
  </si>
  <si>
    <t>4,05%</t>
  </si>
  <si>
    <t>4,36%</t>
  </si>
  <si>
    <t>4,98%</t>
  </si>
  <si>
    <t>5,29%</t>
  </si>
  <si>
    <t>2,33%</t>
  </si>
  <si>
    <t>2,65%</t>
  </si>
  <si>
    <t>3,3%</t>
  </si>
  <si>
    <t>3,63%</t>
  </si>
  <si>
    <t>3,95%</t>
  </si>
  <si>
    <t>4,28%</t>
  </si>
  <si>
    <t>4,93%</t>
  </si>
  <si>
    <t>2,59%</t>
  </si>
  <si>
    <t>3,18%</t>
  </si>
  <si>
    <t>3,47%</t>
  </si>
  <si>
    <t>3,76%</t>
  </si>
  <si>
    <t>4,06%</t>
  </si>
  <si>
    <t>4,65%</t>
  </si>
  <si>
    <t>4,94%</t>
  </si>
  <si>
    <t>2,27%</t>
  </si>
  <si>
    <t>2,53%</t>
  </si>
  <si>
    <t>3,34%</t>
  </si>
  <si>
    <t>3,6%</t>
  </si>
  <si>
    <t>4,14%</t>
  </si>
  <si>
    <t>2,38%</t>
  </si>
  <si>
    <t>2,67%</t>
  </si>
  <si>
    <t>2,96%</t>
  </si>
  <si>
    <t>3,25%</t>
  </si>
  <si>
    <t>3,84%</t>
  </si>
  <si>
    <t>4,42%</t>
  </si>
  <si>
    <t>3,39%</t>
  </si>
  <si>
    <t>3,66%</t>
  </si>
  <si>
    <t>1,75%</t>
  </si>
  <si>
    <t>2%</t>
  </si>
  <si>
    <t>2,25%</t>
  </si>
  <si>
    <t>3%</t>
  </si>
  <si>
    <t>1,56%</t>
  </si>
  <si>
    <t>2,41%</t>
  </si>
  <si>
    <t>2,69%</t>
  </si>
  <si>
    <t>2,97%</t>
  </si>
  <si>
    <t>2,06%</t>
  </si>
  <si>
    <t>2,86%</t>
  </si>
  <si>
    <t>1,25%</t>
  </si>
  <si>
    <t>1,5%</t>
  </si>
  <si>
    <t>1,07%</t>
  </si>
  <si>
    <t>1,64%</t>
  </si>
  <si>
    <t>1,93%</t>
  </si>
  <si>
    <t>2,22%</t>
  </si>
  <si>
    <t>2,79%</t>
  </si>
  <si>
    <t>3,36%</t>
  </si>
  <si>
    <t>0,77%</t>
  </si>
  <si>
    <t>1,32%</t>
  </si>
  <si>
    <t>1,59%</t>
  </si>
  <si>
    <t>1,87%</t>
  </si>
  <si>
    <t>2,14%</t>
  </si>
  <si>
    <t>2,68%</t>
  </si>
  <si>
    <t>3,23%</t>
  </si>
  <si>
    <t>0,76%</t>
  </si>
  <si>
    <t>1,02%</t>
  </si>
  <si>
    <t>1,54%</t>
  </si>
  <si>
    <t>Período cotizado igual o superior a cuarenta y un años y seis meses e inferior a cuarenta y cuatro años y seis meses</t>
  </si>
  <si>
    <t>9,2%</t>
  </si>
  <si>
    <t>11,8%</t>
  </si>
  <si>
    <t>13,1%</t>
  </si>
  <si>
    <t>14,4%</t>
  </si>
  <si>
    <t>15,7%</t>
  </si>
  <si>
    <t>17%</t>
  </si>
  <si>
    <t>5,1%</t>
  </si>
  <si>
    <t>7,3%</t>
  </si>
  <si>
    <t>10,6%</t>
  </si>
  <si>
    <t>11,7%</t>
  </si>
  <si>
    <t>12,8%</t>
  </si>
  <si>
    <t>13,9%</t>
  </si>
  <si>
    <t>15%</t>
  </si>
  <si>
    <t>6,8%</t>
  </si>
  <si>
    <t>7,73%</t>
  </si>
  <si>
    <t>8,67%</t>
  </si>
  <si>
    <t>9,6%</t>
  </si>
  <si>
    <t>10,53%</t>
  </si>
  <si>
    <t>11,46%</t>
  </si>
  <si>
    <t>12,4%</t>
  </si>
  <si>
    <t>13,33%</t>
  </si>
  <si>
    <t>4,29%</t>
  </si>
  <si>
    <t>5,09%</t>
  </si>
  <si>
    <t>5,88%</t>
  </si>
  <si>
    <t>6,67%</t>
  </si>
  <si>
    <t>7,47%</t>
  </si>
  <si>
    <t>8,26%</t>
  </si>
  <si>
    <t>9,05%</t>
  </si>
  <si>
    <t>9,84%</t>
  </si>
  <si>
    <t>10,64%</t>
  </si>
  <si>
    <t>11,43%</t>
  </si>
  <si>
    <t>4,15%</t>
  </si>
  <si>
    <t>5,45%</t>
  </si>
  <si>
    <t>6,1%</t>
  </si>
  <si>
    <t>6,75%</t>
  </si>
  <si>
    <t>8,05%</t>
  </si>
  <si>
    <t>8,7%</t>
  </si>
  <si>
    <t>9,35%</t>
  </si>
  <si>
    <t>4,04%</t>
  </si>
  <si>
    <t>4,58%</t>
  </si>
  <si>
    <t>5,12%</t>
  </si>
  <si>
    <t>5,66%</t>
  </si>
  <si>
    <t>6,73%</t>
  </si>
  <si>
    <t>7,81%</t>
  </si>
  <si>
    <t>8,35%</t>
  </si>
  <si>
    <t>8,89%</t>
  </si>
  <si>
    <t>4,71%</t>
  </si>
  <si>
    <t>5,14%</t>
  </si>
  <si>
    <t>5,56%</t>
  </si>
  <si>
    <t>5,99%</t>
  </si>
  <si>
    <t>6,84%</t>
  </si>
  <si>
    <t>3,37%</t>
  </si>
  <si>
    <t>4,47%</t>
  </si>
  <si>
    <t>4,84%</t>
  </si>
  <si>
    <t>5,57%</t>
  </si>
  <si>
    <t>5,94%</t>
  </si>
  <si>
    <t>3,96%</t>
  </si>
  <si>
    <t>4,33%</t>
  </si>
  <si>
    <t>4,69%</t>
  </si>
  <si>
    <t>5,42%</t>
  </si>
  <si>
    <t>5,79%</t>
  </si>
  <si>
    <t>6,15%</t>
  </si>
  <si>
    <t>2,82%</t>
  </si>
  <si>
    <t>4,43%</t>
  </si>
  <si>
    <t>4,75%</t>
  </si>
  <si>
    <t>5,39%</t>
  </si>
  <si>
    <t>5,71%</t>
  </si>
  <si>
    <t>2,78%</t>
  </si>
  <si>
    <t>5,05%</t>
  </si>
  <si>
    <t>5,33%</t>
  </si>
  <si>
    <t>2,3%</t>
  </si>
  <si>
    <t>4,7%</t>
  </si>
  <si>
    <t>2,54%</t>
  </si>
  <si>
    <t>3,08%</t>
  </si>
  <si>
    <t>4,17%</t>
  </si>
  <si>
    <t>4,44%</t>
  </si>
  <si>
    <t>2,24%</t>
  </si>
  <si>
    <t>2,49%</t>
  </si>
  <si>
    <t>2,73%</t>
  </si>
  <si>
    <t>3,71%</t>
  </si>
  <si>
    <t>3,13%</t>
  </si>
  <si>
    <t>3,94%</t>
  </si>
  <si>
    <t>1,73%</t>
  </si>
  <si>
    <t>1,96%</t>
  </si>
  <si>
    <t>2,19%</t>
  </si>
  <si>
    <t>2,89%</t>
  </si>
  <si>
    <t>3,81%</t>
  </si>
  <si>
    <t>1,26%</t>
  </si>
  <si>
    <t>1,74%</t>
  </si>
  <si>
    <t>1,99%</t>
  </si>
  <si>
    <t>2,74%</t>
  </si>
  <si>
    <t>3,48%</t>
  </si>
  <si>
    <t>1,23%</t>
  </si>
  <si>
    <t>1,47%</t>
  </si>
  <si>
    <t>1,7%</t>
  </si>
  <si>
    <t>2,17%</t>
  </si>
  <si>
    <t>2,4%</t>
  </si>
  <si>
    <t>2,63%</t>
  </si>
  <si>
    <t>3,33%</t>
  </si>
  <si>
    <t>1,04%</t>
  </si>
  <si>
    <t>1,31%</t>
  </si>
  <si>
    <t>1,58%</t>
  </si>
  <si>
    <t>2,12%</t>
  </si>
  <si>
    <t>2,39%</t>
  </si>
  <si>
    <t>2,05%</t>
  </si>
  <si>
    <t>2,56%</t>
  </si>
  <si>
    <t>0,75%</t>
  </si>
  <si>
    <t>0,99%</t>
  </si>
  <si>
    <t>1,24%</t>
  </si>
  <si>
    <t>1,48%</t>
  </si>
  <si>
    <t>1,98%</t>
  </si>
  <si>
    <t>2,47%</t>
  </si>
  <si>
    <t>Período cotizado igual o superior a cuarenta y cuatro años y seis meses</t>
  </si>
  <si>
    <t>6,7%</t>
  </si>
  <si>
    <t>7,6%</t>
  </si>
  <si>
    <t>9,4%</t>
  </si>
  <si>
    <t>11,2%</t>
  </si>
  <si>
    <t>12,1%</t>
  </si>
  <si>
    <t>6,4%</t>
  </si>
  <si>
    <t>8,2%</t>
  </si>
  <si>
    <t>8,9%</t>
  </si>
  <si>
    <t>4,07%</t>
  </si>
  <si>
    <t>5,21%</t>
  </si>
  <si>
    <t>6,35%</t>
  </si>
  <si>
    <t>6,92%</t>
  </si>
  <si>
    <t>7,49%</t>
  </si>
  <si>
    <t>8,06%</t>
  </si>
  <si>
    <t>8,63%</t>
  </si>
  <si>
    <t>3,99%</t>
  </si>
  <si>
    <t>4,97%</t>
  </si>
  <si>
    <t>5,46%</t>
  </si>
  <si>
    <t>5,95%</t>
  </si>
  <si>
    <t>6,44%</t>
  </si>
  <si>
    <t>6,93%</t>
  </si>
  <si>
    <t>7,42%</t>
  </si>
  <si>
    <t>7,91%</t>
  </si>
  <si>
    <t>4,38%</t>
  </si>
  <si>
    <t>5,76%</t>
  </si>
  <si>
    <t>6,68%</t>
  </si>
  <si>
    <t>7,14%</t>
  </si>
  <si>
    <t>4,56%</t>
  </si>
  <si>
    <t>4,96%</t>
  </si>
  <si>
    <t>5,35%</t>
  </si>
  <si>
    <t>5,74%</t>
  </si>
  <si>
    <t>6,52%</t>
  </si>
  <si>
    <t>6,91%</t>
  </si>
  <si>
    <t>6,33%</t>
  </si>
  <si>
    <t>4,18%</t>
  </si>
  <si>
    <t>4,51%</t>
  </si>
  <si>
    <t>4,85%</t>
  </si>
  <si>
    <t>5,52%</t>
  </si>
  <si>
    <t>5,85%</t>
  </si>
  <si>
    <t>3,97%</t>
  </si>
  <si>
    <t>4,26%</t>
  </si>
  <si>
    <t>4,55%</t>
  </si>
  <si>
    <t>5,43%</t>
  </si>
  <si>
    <t>2,76%</t>
  </si>
  <si>
    <t>3,01%</t>
  </si>
  <si>
    <t>3,79%</t>
  </si>
  <si>
    <t>4,81%</t>
  </si>
  <si>
    <t>2,28%</t>
  </si>
  <si>
    <t>2,55%</t>
  </si>
  <si>
    <t>2,83%</t>
  </si>
  <si>
    <t>2,99%</t>
  </si>
  <si>
    <t>3,98%</t>
  </si>
  <si>
    <t>4,22%</t>
  </si>
  <si>
    <t>3,57%</t>
  </si>
  <si>
    <t>1,92%</t>
  </si>
  <si>
    <t>2,77%</t>
  </si>
  <si>
    <t>3,41%</t>
  </si>
  <si>
    <t>3,62%</t>
  </si>
  <si>
    <t>1,49%</t>
  </si>
  <si>
    <t>2,72%</t>
  </si>
  <si>
    <t>3,21%</t>
  </si>
  <si>
    <t>1,46%</t>
  </si>
  <si>
    <t>1,69%</t>
  </si>
  <si>
    <t>2,15%</t>
  </si>
  <si>
    <t>1,22%</t>
  </si>
  <si>
    <t>1,43%</t>
  </si>
  <si>
    <t>2,09%</t>
  </si>
  <si>
    <t>1,01%</t>
  </si>
  <si>
    <t>1,52%</t>
  </si>
  <si>
    <t>2,02%</t>
  </si>
  <si>
    <t>3,04%</t>
  </si>
  <si>
    <t>0,74%</t>
  </si>
  <si>
    <t>0,98%</t>
  </si>
  <si>
    <t>1,95%</t>
  </si>
  <si>
    <t>0,73%</t>
  </si>
  <si>
    <t>0,96%</t>
  </si>
  <si>
    <t>1,19%</t>
  </si>
  <si>
    <t>1,42%</t>
  </si>
  <si>
    <t>1,66%</t>
  </si>
  <si>
    <t>1,89%</t>
  </si>
  <si>
    <t>Legislacion actual</t>
  </si>
  <si>
    <t>El 2,00% si se acreditan menos de 38,5 años cotizados.</t>
  </si>
  <si>
    <t>El 1,875% si se acreditan entre 38,5 y 41,5 años cotizados.</t>
  </si>
  <si>
    <t>El 1,75% si se acreditan entre 41,5 y 44,5 años cotizados.</t>
  </si>
  <si>
    <t>El 1,625% si se acreditan más de 44,5 años cotizados.</t>
  </si>
  <si>
    <t>Los coeficientes sombreados en naranja implican una mayor penalización que los coeficientes actuales o coeficientes previos al cambio legislativo</t>
  </si>
  <si>
    <t>Menos de 38 años y 6 meses cotizados</t>
  </si>
  <si>
    <t>Más de 38 años y 6 meses cotizados y menos de 41 años y 6 meses</t>
  </si>
  <si>
    <t>Más de 41 años y 6 meses cotizados y menos de 44 años y 6 meses</t>
  </si>
  <si>
    <t>Más de 44 años y medio cotizados</t>
  </si>
  <si>
    <t>Coefic. Actual</t>
  </si>
  <si>
    <t>Coefic. planteado</t>
  </si>
  <si>
    <t>Diferencia</t>
  </si>
  <si>
    <t>13,125%</t>
  </si>
  <si>
    <t>12,25%</t>
  </si>
  <si>
    <t>11,375%</t>
  </si>
  <si>
    <t>11,25%</t>
  </si>
  <si>
    <t>9,75%</t>
  </si>
  <si>
    <t>9,375%</t>
  </si>
  <si>
    <t>8,125%</t>
  </si>
  <si>
    <t>5,625%</t>
  </si>
  <si>
    <t>4,875%</t>
  </si>
  <si>
    <t>1,875%</t>
  </si>
  <si>
    <t>1,625%</t>
  </si>
  <si>
    <t>Hipótesis decrecimiento mensual:</t>
  </si>
  <si>
    <t>IPC Hasta dic 2021</t>
  </si>
  <si>
    <t>Hipótesis crecimiento mensual:</t>
  </si>
  <si>
    <t>Enero</t>
  </si>
  <si>
    <t>Febrero</t>
  </si>
  <si>
    <t>Marzo</t>
  </si>
  <si>
    <t>Abril</t>
  </si>
  <si>
    <t>Mayo</t>
  </si>
  <si>
    <t>Junio</t>
  </si>
  <si>
    <t>Julio</t>
  </si>
  <si>
    <t>Agosto</t>
  </si>
  <si>
    <t>Septiembre</t>
  </si>
  <si>
    <t>Octubre</t>
  </si>
  <si>
    <t>Noviembre</t>
  </si>
  <si>
    <t>Diciembre</t>
  </si>
  <si>
    <t>Pensión Máxmima hasta 2022</t>
  </si>
  <si>
    <t>Hipótesis de crecimiento anual estaplecia como máximo por el gobierno:</t>
  </si>
  <si>
    <t>Base Máxima de cotización sin distinguir grupos hasta 2022</t>
  </si>
  <si>
    <t>Hipótesis de crecimiento anual:</t>
  </si>
  <si>
    <t>Ha crecido casi un 10% en los últimos 5 años y un 20% en los últimos 2</t>
  </si>
  <si>
    <t>Medio año es una y media año es otra</t>
  </si>
  <si>
    <t>Tasa Crecimiento Salario Medio hasta 2020, siguiendo la hipótesis de que los salarios avancen con el IPC</t>
  </si>
  <si>
    <t>Hipotesisi del 1,75%</t>
  </si>
  <si>
    <t>2,70%</t>
  </si>
  <si>
    <t>4,00%</t>
  </si>
  <si>
    <t>2,60%</t>
  </si>
  <si>
    <t xml:space="preserve">Hipotesis de creimiento </t>
  </si>
  <si>
    <t>t</t>
  </si>
  <si>
    <t>Varones</t>
  </si>
  <si>
    <t>Mujeres</t>
  </si>
  <si>
    <t>Factor de sostenibilidad</t>
  </si>
  <si>
    <r>
      <t>FS</t>
    </r>
    <r>
      <rPr>
        <b/>
        <sz val="10"/>
        <color rgb="FF000000"/>
        <rFont val="Arial"/>
        <family val="2"/>
      </rPr>
      <t>t</t>
    </r>
  </si>
  <si>
    <t xml:space="preserve">Bases Minima </t>
  </si>
  <si>
    <t>-</t>
  </si>
  <si>
    <t>Introduzca los datos personales que se solicitan a continuación:</t>
  </si>
  <si>
    <t>Código de empleado:</t>
  </si>
  <si>
    <t>Sexo: Seleccione Hombre o Mujer en el desplegable:</t>
  </si>
  <si>
    <t>Hombre</t>
  </si>
  <si>
    <t>Introduca el dígito del número de hijos:</t>
  </si>
  <si>
    <t>Salario Total anual bruto:</t>
  </si>
  <si>
    <t>Salario Fijo anual bruto:</t>
  </si>
  <si>
    <t>Periodo cotizado en la fecha actual:</t>
  </si>
  <si>
    <t>Meses cotizados excedentes de los años:</t>
  </si>
  <si>
    <t>Total Años cotizados a la fecha actual</t>
  </si>
  <si>
    <t>Periodo de cotización utilizado para cálculos</t>
  </si>
  <si>
    <t>Mujer</t>
  </si>
  <si>
    <t>Definicion de perfil del usuario</t>
  </si>
  <si>
    <t>Perfil</t>
  </si>
  <si>
    <t>Meses cotizados</t>
  </si>
  <si>
    <t>Número de hijos</t>
  </si>
  <si>
    <t xml:space="preserve">Hipótesis </t>
  </si>
  <si>
    <t>Crecimiento Base Cotización de la Seguridad Social</t>
  </si>
  <si>
    <t>Crecimiento Pensión Máxima de la Seguridad Social:</t>
  </si>
  <si>
    <t xml:space="preserve">Crecimiento IPC: </t>
  </si>
  <si>
    <t xml:space="preserve">Rentabilidad de las aportaciones: </t>
  </si>
  <si>
    <t>Tipo conversión del capital en renta:</t>
  </si>
  <si>
    <t>Tabla de motalidad</t>
  </si>
  <si>
    <t xml:space="preserve">Fechas actualizaciones </t>
  </si>
  <si>
    <t>Ultima actualización IPC</t>
  </si>
  <si>
    <t>Ultima actualización BMCSS</t>
  </si>
  <si>
    <t>Ultima actualización PMCSS</t>
  </si>
  <si>
    <t>PER2020_Col (seguros de supervivencia colectivos) 1er Orden</t>
  </si>
  <si>
    <t>X</t>
  </si>
  <si>
    <t>Año de  nacimiento</t>
  </si>
  <si>
    <t>Tabla de la generación de hombres nacidos en X</t>
  </si>
  <si>
    <t>Tabla de la generación de mujeres nacidas en X</t>
  </si>
  <si>
    <t xml:space="preserve"> Tabla Base. qx ( en tanto por mil )</t>
  </si>
  <si>
    <t xml:space="preserve">Factor de mejora de qx </t>
  </si>
  <si>
    <t>qx</t>
  </si>
  <si>
    <t>Improvement</t>
  </si>
  <si>
    <t>Annual Qx</t>
  </si>
  <si>
    <t>lx</t>
  </si>
  <si>
    <t>edad en 2012</t>
  </si>
  <si>
    <t>Nacimiento</t>
  </si>
  <si>
    <t>Hombres</t>
  </si>
  <si>
    <t>Usuario</t>
  </si>
  <si>
    <t>Categoria</t>
  </si>
  <si>
    <t>Fecha de nacimiento</t>
  </si>
  <si>
    <t>Sexo</t>
  </si>
  <si>
    <t>DDCC PPE</t>
  </si>
  <si>
    <t>PPMM Excesos</t>
  </si>
  <si>
    <t>PPMM Flex</t>
  </si>
  <si>
    <t>PPMM PAD</t>
  </si>
  <si>
    <t>% PPE</t>
  </si>
  <si>
    <t>% PAD</t>
  </si>
  <si>
    <t>texto PAD</t>
  </si>
  <si>
    <t>Perfiles de usuarios</t>
  </si>
  <si>
    <t>Salario fijo</t>
  </si>
  <si>
    <t>Salario variable</t>
  </si>
  <si>
    <t>M</t>
  </si>
  <si>
    <t>DNI1</t>
  </si>
  <si>
    <t>V</t>
  </si>
  <si>
    <t>DNI2</t>
  </si>
  <si>
    <t>DNI3</t>
  </si>
  <si>
    <t>DNI4</t>
  </si>
  <si>
    <t>Flex + PAD</t>
  </si>
  <si>
    <t>DNI5</t>
  </si>
  <si>
    <t>DNI6</t>
  </si>
  <si>
    <t>DNI7</t>
  </si>
  <si>
    <t>v</t>
  </si>
  <si>
    <t>DNI8</t>
  </si>
  <si>
    <t>DNI9</t>
  </si>
  <si>
    <t>DNI10</t>
  </si>
</sst>
</file>

<file path=xl/styles.xml><?xml version="1.0" encoding="utf-8"?>
<styleSheet xmlns="http://schemas.openxmlformats.org/spreadsheetml/2006/main" xmlns:x14ac="http://schemas.microsoft.com/office/spreadsheetml/2009/9/ac" xmlns:mc="http://schemas.openxmlformats.org/markup-compatibility/2006" mc:Ignorable="x14ac">
  <numFmts count="13">
    <numFmt numFmtId="164" formatCode="#,##0.00%"/>
    <numFmt numFmtId="165" formatCode="#,##0.0"/>
    <numFmt numFmtId="166" formatCode="#,##0%"/>
    <numFmt numFmtId="167" formatCode="#,##0.00000"/>
    <numFmt numFmtId="168" formatCode="#,##0.0%"/>
    <numFmt numFmtId="169" formatCode="#,##0.00000000"/>
    <numFmt numFmtId="170" formatCode="#,##0.0000000"/>
    <numFmt numFmtId="171" formatCode="#,##0.000"/>
    <numFmt numFmtId="172" formatCode="#,##0.000%"/>
    <numFmt numFmtId="173" formatCode="#,##0.0000"/>
    <numFmt numFmtId="174" formatCode="_-* #,##0.fff0 _p_t_s_-"/>
    <numFmt numFmtId="175" formatCode="_-* #,##0.fff0 _P_A/P_s_-"/>
    <numFmt numFmtId="176" formatCode="#,##0.000000"/>
  </numFmts>
  <fonts count="157" x14ac:knownFonts="1">
    <font>
      <sz val="11"/>
      <color theme="1"/>
      <name val="Calibri"/>
      <family val="2"/>
      <scheme val="minor"/>
    </font>
    <font>
      <sz val="11"/>
      <color theme="1"/>
      <name val="Calibri"/>
      <family val="2"/>
    </font>
    <font>
      <b/>
      <sz val="10"/>
      <color rgb="FFffffff"/>
      <name val="Arial"/>
      <family val="2"/>
    </font>
    <font>
      <b/>
      <sz val="10"/>
      <color theme="1"/>
      <name val="Arial"/>
      <family val="2"/>
    </font>
    <font>
      <sz val="10"/>
      <color rgb="FF000000"/>
      <name val="Arial"/>
      <family val="2"/>
    </font>
    <font>
      <sz val="11"/>
      <color rgb="FFffffff"/>
      <name val="Calibri"/>
      <family val="2"/>
    </font>
    <font>
      <sz val="10"/>
      <color rgb="FF000000"/>
      <name val="Calibri"/>
      <family val="2"/>
    </font>
    <font>
      <i/>
      <sz val="8"/>
      <color rgb="FF00338d"/>
      <name val="Arial"/>
      <family val="2"/>
    </font>
    <font>
      <b/>
      <sz val="10"/>
      <color rgb="FF6d2077"/>
      <name val="Arial"/>
      <family val="2"/>
    </font>
    <font>
      <b/>
      <sz val="10"/>
      <color rgb="FF00338d"/>
      <name val="Arial"/>
      <family val="2"/>
    </font>
    <font>
      <b/>
      <sz val="12"/>
      <color rgb="FF00338d"/>
      <name val="Arial"/>
      <family val="2"/>
    </font>
    <font>
      <b/>
      <sz val="11"/>
      <color rgb="FFffffff"/>
      <name val="Arial"/>
      <family val="2"/>
    </font>
    <font>
      <b/>
      <sz val="10"/>
      <color rgb="FF005eb8"/>
      <name val="Arial"/>
      <family val="2"/>
    </font>
    <font>
      <b/>
      <sz val="10"/>
      <color rgb="FF00a3a1"/>
      <name val="Arial"/>
      <family val="2"/>
    </font>
    <font>
      <b/>
      <sz val="11"/>
      <color rgb="FF053091"/>
      <name val="Arial"/>
      <family val="2"/>
    </font>
    <font>
      <sz val="11"/>
      <color rgb="FF000000"/>
      <name val="Arial"/>
      <family val="2"/>
    </font>
    <font>
      <b/>
      <sz val="10"/>
      <color rgb="FF000000"/>
      <name val="Arial"/>
      <family val="2"/>
    </font>
    <font>
      <sz val="11"/>
      <color rgb="FFff0000"/>
      <name val="Arial"/>
      <family val="2"/>
    </font>
    <font>
      <b/>
      <sz val="12"/>
      <color rgb="FFffffff"/>
      <name val="Arial"/>
      <family val="2"/>
    </font>
    <font>
      <b/>
      <sz val="14"/>
      <color rgb="FFffffff"/>
      <name val="Arial"/>
      <family val="2"/>
    </font>
    <font>
      <sz val="9"/>
      <color rgb="FF00338d"/>
      <name val="Arial"/>
      <family val="2"/>
    </font>
    <font>
      <sz val="14"/>
      <color rgb="FF000000"/>
      <name val="Arial"/>
      <family val="2"/>
    </font>
    <font>
      <b/>
      <sz val="9"/>
      <color rgb="FFffffff"/>
      <name val="Arial"/>
      <family val="2"/>
    </font>
    <font>
      <sz val="8"/>
      <color rgb="FF000000"/>
      <name val="Calibri"/>
      <family val="2"/>
    </font>
    <font>
      <sz val="11"/>
      <color theme="1"/>
      <name val="Calibri"/>
      <family val="2"/>
    </font>
    <font>
      <b/>
      <sz val="8"/>
      <color rgb="FF000000"/>
      <name val="Arial"/>
      <family val="2"/>
    </font>
    <font>
      <b/>
      <sz val="8"/>
      <color rgb="FF00338d"/>
      <name val="Arial"/>
      <family val="2"/>
    </font>
    <font>
      <sz val="8"/>
      <color rgb="FF000000"/>
      <name val="Arial"/>
      <family val="2"/>
    </font>
    <font>
      <i/>
      <sz val="8"/>
      <color rgb="FF000000"/>
      <name val="Arial"/>
      <family val="2"/>
    </font>
    <font>
      <b/>
      <sz val="8"/>
      <color rgb="FFffffff"/>
      <name val="Arial"/>
      <family val="2"/>
    </font>
    <font>
      <b/>
      <sz val="8"/>
      <color theme="1"/>
      <name val="Arial"/>
      <family val="2"/>
    </font>
    <font>
      <sz val="12"/>
      <color rgb="FF000000"/>
      <name val="Arial"/>
      <family val="2"/>
    </font>
    <font>
      <b/>
      <sz val="9"/>
      <color rgb="FF00338d"/>
      <name val="Arial"/>
      <family val="2"/>
    </font>
    <font>
      <sz val="8"/>
      <color rgb="FF0000ff"/>
      <name val="Arial"/>
      <family val="2"/>
    </font>
    <font>
      <sz val="9"/>
      <color rgb="FF0000ff"/>
      <name val="Arial"/>
      <family val="2"/>
    </font>
    <font>
      <sz val="11"/>
      <color theme="1"/>
      <name val="Arial"/>
      <family val="2"/>
    </font>
    <font>
      <b/>
      <sz val="8"/>
      <color rgb="FF0000ff"/>
      <name val="Arial"/>
      <family val="2"/>
    </font>
    <font>
      <b/>
      <u/>
      <sz val="11"/>
      <color theme="1"/>
      <name val="Calibri"/>
      <family val="2"/>
    </font>
    <font>
      <b/>
      <sz val="11"/>
      <color rgb="FF0000ff"/>
      <name val="Arial"/>
      <family val="2"/>
    </font>
    <font>
      <sz val="8"/>
      <color theme="1"/>
      <name val="Arial"/>
      <family val="2"/>
    </font>
    <font>
      <sz val="11"/>
      <color rgb="FFed7d31"/>
      <name val="Arial"/>
      <family val="2"/>
    </font>
    <font>
      <b/>
      <sz val="9"/>
      <color theme="1"/>
      <name val="Arial"/>
      <family val="2"/>
    </font>
    <font>
      <b/>
      <sz val="9"/>
      <color rgb="FF053091"/>
      <name val="Arial"/>
      <family val="2"/>
    </font>
    <font>
      <b/>
      <i/>
      <sz val="14"/>
      <color rgb="FF7030a0"/>
      <name val="Arial"/>
      <family val="2"/>
    </font>
    <font>
      <sz val="11"/>
      <color rgb="FFff0000"/>
      <name val="Calibri"/>
      <family val="2"/>
    </font>
    <font>
      <sz val="9"/>
      <color rgb="FFff0000"/>
      <name val="Calibri"/>
      <family val="2"/>
    </font>
    <font>
      <b/>
      <sz val="14"/>
      <color rgb="FF7030a0"/>
      <name val="Arial"/>
      <family val="2"/>
    </font>
    <font>
      <b/>
      <sz val="14"/>
      <color theme="1"/>
      <name val="Arial"/>
      <family val="2"/>
    </font>
    <font>
      <sz val="9"/>
      <color rgb="FFff0000"/>
      <name val="Arial"/>
      <family val="2"/>
    </font>
    <font>
      <sz val="9"/>
      <color rgb="FF000000"/>
      <name val="Arial"/>
      <family val="2"/>
    </font>
    <font>
      <sz val="18"/>
      <color rgb="FFff0000"/>
      <name val="Arial"/>
      <family val="2"/>
    </font>
    <font>
      <sz val="10"/>
      <color theme="1"/>
      <name val="Arial"/>
      <family val="2"/>
    </font>
    <font>
      <b/>
      <sz val="11"/>
      <color rgb="FF000000"/>
      <name val="Calibri"/>
      <family val="2"/>
    </font>
    <font>
      <b/>
      <i/>
      <sz val="20"/>
      <color rgb="FF7030a0"/>
      <name val="Arial"/>
      <family val="2"/>
    </font>
    <font>
      <b/>
      <i/>
      <sz val="11"/>
      <color rgb="FF0000ff"/>
      <name val="Arial"/>
      <family val="2"/>
    </font>
    <font>
      <b/>
      <i/>
      <sz val="11"/>
      <color rgb="FF7030a0"/>
      <name val="Arial"/>
      <family val="2"/>
    </font>
    <font>
      <b/>
      <sz val="11"/>
      <color rgb="FF7030a0"/>
      <name val="Arial"/>
      <family val="2"/>
    </font>
    <font>
      <sz val="11"/>
      <color rgb="FF0000ff"/>
      <name val="Arial"/>
      <family val="2"/>
    </font>
    <font>
      <b/>
      <sz val="9"/>
      <color rgb="FFff0000"/>
      <name val="Arial"/>
      <family val="2"/>
    </font>
    <font>
      <b/>
      <sz val="9"/>
      <color rgb="FF000000"/>
      <name val="Arial"/>
      <family val="2"/>
    </font>
    <font>
      <b/>
      <sz val="9"/>
      <color rgb="FF6d2077"/>
      <name val="Arial"/>
      <family val="2"/>
    </font>
    <font>
      <b/>
      <sz val="11"/>
      <color rgb="FF000000"/>
      <name val="Arial"/>
      <family val="2"/>
    </font>
    <font>
      <b/>
      <sz val="11"/>
      <color rgb="FF001d9a"/>
      <name val="Arial"/>
      <family val="2"/>
    </font>
    <font>
      <sz val="9"/>
      <color rgb="FFffffff"/>
      <name val="Arial"/>
      <family val="2"/>
    </font>
    <font>
      <sz val="9"/>
      <color rgb="FF000000"/>
      <name val="Calibri"/>
      <family val="2"/>
    </font>
    <font>
      <b/>
      <sz val="10"/>
      <color rgb="FF0000ff"/>
      <name val="Arial"/>
      <family val="2"/>
    </font>
    <font>
      <sz val="20"/>
      <color rgb="FFff0066"/>
      <name val="Arial"/>
      <family val="2"/>
    </font>
    <font>
      <b/>
      <i/>
      <sz val="9"/>
      <color rgb="FF7030a0"/>
      <name val="Arial"/>
      <family val="2"/>
    </font>
    <font>
      <b/>
      <i/>
      <sz val="9"/>
      <color rgb="FFdaa600"/>
      <name val="Arial"/>
      <family val="2"/>
    </font>
    <font>
      <sz val="12"/>
      <color rgb="FF000000"/>
      <name val="Calibri"/>
      <family val="2"/>
    </font>
    <font>
      <sz val="12"/>
      <color rgb="FFff0000"/>
      <name val="Arial"/>
      <family val="2"/>
    </font>
    <font>
      <sz val="16"/>
      <color rgb="FFff0000"/>
      <name val="Arial"/>
      <family val="2"/>
    </font>
    <font>
      <sz val="12"/>
      <color rgb="FF0000ff"/>
      <name val="Arial"/>
      <family val="2"/>
    </font>
    <font>
      <sz val="11"/>
      <color rgb="FFffffff"/>
      <name val="Arial"/>
      <family val="2"/>
    </font>
    <font>
      <sz val="14"/>
      <color theme="1"/>
      <name val="Arial"/>
      <family val="2"/>
    </font>
    <font>
      <sz val="9"/>
      <color theme="1"/>
      <name val="Arial"/>
      <family val="2"/>
    </font>
    <font>
      <i/>
      <sz val="9"/>
      <color rgb="FF0000ff"/>
      <name val="Arial"/>
      <family val="2"/>
    </font>
    <font>
      <sz val="9"/>
      <color rgb="FFff0066"/>
      <name val="Arial"/>
      <family val="2"/>
    </font>
    <font>
      <b/>
      <sz val="11"/>
      <color rgb="FFffffff"/>
      <name val="Calibri"/>
      <family val="2"/>
    </font>
    <font>
      <sz val="11"/>
      <color rgb="FFff0066"/>
      <name val="Arial"/>
      <family val="2"/>
    </font>
    <font>
      <sz val="11"/>
      <color rgb="FF7c7c7c"/>
      <name val="Arial"/>
      <family val="2"/>
    </font>
    <font>
      <b/>
      <sz val="16"/>
      <color rgb="FFffffff"/>
      <name val="Arial"/>
      <family val="2"/>
    </font>
    <font>
      <b/>
      <sz val="14"/>
      <color rgb="FFff0000"/>
      <name val="Arial"/>
      <family val="2"/>
    </font>
    <font>
      <b/>
      <i/>
      <sz val="10"/>
      <color rgb="FF7030a0"/>
      <name val="Arial"/>
      <family val="2"/>
    </font>
    <font>
      <b/>
      <i/>
      <sz val="10"/>
      <color rgb="FF0000ff"/>
      <name val="Arial"/>
      <family val="2"/>
    </font>
    <font>
      <sz val="14"/>
      <color rgb="FFff0000"/>
      <name val="Arial"/>
      <family val="2"/>
    </font>
    <font>
      <b/>
      <sz val="14"/>
      <color rgb="FF00338d"/>
      <name val="Arial"/>
      <family val="2"/>
    </font>
    <font>
      <b/>
      <i/>
      <sz val="20"/>
      <color rgb="FF0000ff"/>
      <name val="Arial"/>
      <family val="2"/>
    </font>
    <font>
      <b/>
      <i/>
      <sz val="18"/>
      <color rgb="FF7030a0"/>
      <name val="Arial"/>
      <family val="2"/>
    </font>
    <font>
      <b/>
      <i/>
      <sz val="18"/>
      <color rgb="FFff0066"/>
      <name val="Arial"/>
      <family val="2"/>
    </font>
    <font>
      <sz val="11"/>
      <color rgb="FFff0066"/>
      <name val="Calibri"/>
      <family val="2"/>
    </font>
    <font>
      <sz val="11"/>
      <color rgb="FF7c7c7c"/>
      <name val="Calibri"/>
      <family val="2"/>
    </font>
    <font>
      <b/>
      <sz val="9"/>
      <color rgb="FF00338d"/>
      <name val="Calibri"/>
      <family val="2"/>
    </font>
    <font>
      <b/>
      <sz val="9"/>
      <color rgb="FFffffff"/>
      <name val="Calibri"/>
      <family val="2"/>
    </font>
    <font>
      <sz val="12"/>
      <color rgb="FFff0066"/>
      <name val="Calibri"/>
      <family val="2"/>
    </font>
    <font>
      <sz val="12"/>
      <color rgb="FFff0066"/>
      <name val="Arial"/>
      <family val="2"/>
    </font>
    <font>
      <sz val="18"/>
      <color rgb="FFff0066"/>
      <name val="Arial"/>
      <family val="2"/>
    </font>
    <font>
      <sz val="9"/>
      <color rgb="FFffffff"/>
      <name val="Calibri"/>
      <family val="2"/>
    </font>
    <font>
      <b/>
      <sz val="9"/>
      <color rgb="FFd9d9d9"/>
      <name val="Arial"/>
      <family val="2"/>
    </font>
    <font>
      <b/>
      <sz val="14"/>
      <color rgb="FFff0066"/>
      <name val="Arial"/>
      <family val="2"/>
    </font>
    <font>
      <sz val="10"/>
      <color rgb="FFff0066"/>
      <name val="Arial"/>
      <family val="2"/>
    </font>
    <font>
      <b/>
      <u/>
      <sz val="11"/>
      <color theme="1"/>
      <name val="Arial"/>
      <family val="2"/>
    </font>
    <font>
      <b/>
      <sz val="11"/>
      <color theme="1"/>
      <name val="Arial"/>
      <family val="2"/>
    </font>
    <font>
      <b/>
      <sz val="10"/>
      <color rgb="FFff0066"/>
      <name val="Arial"/>
      <family val="2"/>
    </font>
    <font>
      <i/>
      <sz val="11"/>
      <color theme="1"/>
      <name val="Arial"/>
      <family val="2"/>
    </font>
    <font>
      <b/>
      <sz val="16"/>
      <color rgb="FFff0066"/>
      <name val="Arial"/>
      <family val="2"/>
    </font>
    <font>
      <b/>
      <sz val="18"/>
      <color rgb="FFff0066"/>
      <name val="Arial"/>
      <family val="2"/>
    </font>
    <font>
      <b/>
      <sz val="11"/>
      <color rgb="FFff0066"/>
      <name val="Arial"/>
      <family val="2"/>
    </font>
    <font>
      <sz val="22"/>
      <color rgb="FFff0066"/>
      <name val="Arial"/>
      <family val="2"/>
    </font>
    <font>
      <b/>
      <sz val="11"/>
      <color rgb="FF7c7c7c"/>
      <name val="Arial"/>
      <family val="2"/>
    </font>
    <font>
      <sz val="18"/>
      <color rgb="FF7c7c7c"/>
      <name val="Arial"/>
      <family val="2"/>
    </font>
    <font>
      <i/>
      <sz val="11"/>
      <color rgb="FFff0066"/>
      <name val="Calibri"/>
      <family val="2"/>
    </font>
    <font>
      <i/>
      <sz val="11"/>
      <color rgb="FF000000"/>
      <name val="Calibri"/>
      <family val="2"/>
    </font>
    <font>
      <b/>
      <sz val="11"/>
      <color rgb="FFff0066"/>
      <name val="Calibri"/>
      <family val="2"/>
    </font>
    <font>
      <b/>
      <sz val="11"/>
      <color theme="1"/>
      <name val="Calibri"/>
      <family val="2"/>
    </font>
    <font>
      <b/>
      <u/>
      <sz val="11"/>
      <color rgb="FFbf9000"/>
      <name val="Calibri"/>
      <family val="2"/>
    </font>
    <font>
      <b/>
      <sz val="11"/>
      <color rgb="FFbf9000"/>
      <name val="Calibri"/>
      <family val="2"/>
    </font>
    <font>
      <b/>
      <sz val="10"/>
      <color rgb="FF00b050"/>
      <name val="Arial"/>
      <family val="2"/>
    </font>
    <font>
      <b/>
      <i/>
      <sz val="16"/>
      <color rgb="FF7030a0"/>
      <name val="Arial"/>
      <family val="2"/>
    </font>
    <font>
      <b/>
      <sz val="14"/>
      <color rgb="FF000000"/>
      <name val="Arial"/>
      <family val="2"/>
    </font>
    <font>
      <b/>
      <i/>
      <sz val="11"/>
      <color rgb="FFff0066"/>
      <name val="Arial"/>
      <family val="2"/>
    </font>
    <font>
      <sz val="10"/>
      <color rgb="FFff0000"/>
      <name val="Arial"/>
      <family val="2"/>
    </font>
    <font>
      <b/>
      <sz val="12"/>
      <color rgb="FF000000"/>
      <name val="Arial"/>
      <family val="2"/>
    </font>
    <font>
      <b/>
      <sz val="12"/>
      <color rgb="FFff0000"/>
      <name val="Arial"/>
      <family val="2"/>
    </font>
    <font>
      <sz val="12"/>
      <color rgb="FFffffff"/>
      <name val="Arial"/>
      <family val="2"/>
    </font>
    <font>
      <b/>
      <sz val="16"/>
      <color rgb="FF7030a0"/>
      <name val="Arial"/>
      <family val="2"/>
    </font>
    <font>
      <b/>
      <sz val="20"/>
      <color rgb="FF7030a0"/>
      <name val="Arial"/>
      <family val="2"/>
    </font>
    <font>
      <sz val="12"/>
      <color theme="1"/>
      <name val="Arial"/>
      <family val="2"/>
    </font>
    <font>
      <b/>
      <sz val="11"/>
      <color rgb="FF00338d"/>
      <name val="Arial"/>
      <family val="2"/>
    </font>
    <font>
      <b/>
      <sz val="16"/>
      <color rgb="FFff0000"/>
      <name val="Arial"/>
      <family val="2"/>
    </font>
    <font>
      <b/>
      <sz val="14"/>
      <color rgb="FFff0000"/>
      <name val="Calibri"/>
      <family val="2"/>
    </font>
    <font>
      <b/>
      <sz val="14"/>
      <color rgb="FFffffff"/>
      <name val="Calibri"/>
      <family val="2"/>
    </font>
    <font>
      <b/>
      <sz val="16"/>
      <color rgb="FFffffff"/>
      <name val="Calibri"/>
      <family val="2"/>
    </font>
    <font>
      <b/>
      <sz val="14"/>
      <color theme="1"/>
      <name val="Calibri"/>
      <family val="2"/>
    </font>
    <font>
      <sz val="12"/>
      <color rgb="FFff0000"/>
      <name val="Calibri"/>
      <family val="2"/>
    </font>
    <font>
      <b/>
      <sz val="9"/>
      <color rgb="FF333333"/>
      <name val="Arial"/>
      <family val="2"/>
    </font>
    <font>
      <b/>
      <sz val="12"/>
      <color rgb="FFffffff"/>
      <name val="Calibri"/>
      <family val="2"/>
    </font>
    <font>
      <sz val="11"/>
      <color rgb="FFa6a6a6"/>
      <name val="Calibri"/>
      <family val="2"/>
    </font>
    <font>
      <b/>
      <sz val="11"/>
      <color rgb="FFff0000"/>
      <name val="Calibri"/>
      <family val="2"/>
    </font>
    <font>
      <sz val="10"/>
      <color rgb="FF333333"/>
      <name val="Arial"/>
      <family val="2"/>
    </font>
    <font>
      <sz val="10"/>
      <color rgb="FFffffff"/>
      <name val="Arial"/>
      <family val="2"/>
    </font>
    <font>
      <b/>
      <sz val="11"/>
      <color rgb="FF053091"/>
      <name val="Calibri"/>
      <family val="2"/>
    </font>
    <font>
      <b/>
      <sz val="11"/>
      <color rgb="FF001d9a"/>
      <name val="Calibri"/>
      <family val="2"/>
    </font>
    <font>
      <sz val="12"/>
      <color rgb="FF000000"/>
      <name val="Verdana"/>
      <family val="2"/>
    </font>
    <font>
      <sz val="12"/>
      <color rgb="FF00338d"/>
      <name val="Arial"/>
      <family val="2"/>
    </font>
    <font>
      <sz val="14"/>
      <color rgb="FF00338d"/>
      <name val="Arial"/>
      <family val="2"/>
    </font>
    <font>
      <b/>
      <sz val="11"/>
      <color rgb="FF00b050"/>
      <name val="Arial"/>
      <family val="2"/>
    </font>
    <font>
      <b/>
      <sz val="12"/>
      <color rgb="FF00b050"/>
      <name val="Arial"/>
      <family val="2"/>
    </font>
    <font>
      <b/>
      <sz val="14"/>
      <color rgb="FF00b050"/>
      <name val="Arial"/>
      <family val="2"/>
    </font>
    <font>
      <b/>
      <sz val="12"/>
      <color theme="1"/>
      <name val="Arial"/>
      <family val="2"/>
    </font>
    <font>
      <u/>
      <sz val="11"/>
      <color rgb="FFff0000"/>
      <name val="Calibri"/>
      <family val="2"/>
    </font>
    <font>
      <sz val="14"/>
      <color rgb="FFffffff"/>
      <name val="Calibri"/>
      <family val="2"/>
    </font>
    <font>
      <b/>
      <sz val="20"/>
      <color rgb="FF000000"/>
      <name val="Calibri"/>
      <family val="2"/>
    </font>
    <font>
      <b/>
      <sz val="12"/>
      <color rgb="FF000000"/>
      <name val="Times New Roman"/>
      <family val="2"/>
    </font>
    <font>
      <sz val="12"/>
      <color rgb="FF000000"/>
      <name val="Times New Roman"/>
      <family val="2"/>
    </font>
    <font>
      <sz val="11"/>
      <color rgb="FF548235"/>
      <name val="Calibri"/>
      <family val="2"/>
    </font>
    <font>
      <sz val="11"/>
      <color rgb="FF000000"/>
      <name val="Calibri"/>
      <family val="2"/>
    </font>
  </fonts>
  <fills count="55">
    <fill>
      <patternFill patternType="none"/>
    </fill>
    <fill>
      <patternFill patternType="gray125"/>
    </fill>
    <fill>
      <patternFill patternType="solid">
        <fgColor rgb="FFffffff"/>
      </patternFill>
    </fill>
    <fill>
      <patternFill patternType="solid">
        <fgColor rgb="FF00338d"/>
      </patternFill>
    </fill>
    <fill>
      <patternFill patternType="solid">
        <fgColor rgb="FFd6dce5"/>
      </patternFill>
    </fill>
    <fill>
      <patternFill patternType="solid">
        <fgColor rgb="FFf2f2f2"/>
      </patternFill>
    </fill>
    <fill>
      <patternFill patternType="solid">
        <fgColor rgb="FF6d2077"/>
      </patternFill>
    </fill>
    <fill>
      <patternFill patternType="solid">
        <fgColor rgb="FFe7e6e6"/>
      </patternFill>
    </fill>
    <fill>
      <patternFill patternType="solid">
        <fgColor rgb="FF005eb8"/>
      </patternFill>
    </fill>
    <fill>
      <patternFill patternType="solid">
        <fgColor rgb="FFd9d9d9"/>
      </patternFill>
    </fill>
    <fill>
      <patternFill patternType="solid">
        <fgColor rgb="FF00a3a1"/>
      </patternFill>
    </fill>
    <fill>
      <patternFill patternType="solid">
        <fgColor rgb="FFffff00"/>
      </patternFill>
    </fill>
    <fill>
      <patternFill patternType="solid">
        <fgColor rgb="FFa6a6a6"/>
      </patternFill>
    </fill>
    <fill>
      <patternFill patternType="solid">
        <fgColor rgb="FFeaaa00"/>
      </patternFill>
    </fill>
    <fill>
      <patternFill patternType="solid">
        <fgColor rgb="FFffc000"/>
      </patternFill>
    </fill>
    <fill>
      <patternFill patternType="solid">
        <fgColor rgb="FFbfbfbf"/>
      </patternFill>
    </fill>
    <fill>
      <patternFill patternType="solid">
        <fgColor rgb="FF9d9375"/>
      </patternFill>
    </fill>
    <fill>
      <patternFill patternType="solid">
        <fgColor rgb="FFdeebf7"/>
      </patternFill>
    </fill>
    <fill>
      <patternFill patternType="solid">
        <fgColor rgb="FF0091da"/>
      </patternFill>
    </fill>
    <fill>
      <patternFill patternType="solid">
        <fgColor rgb="FF00b050"/>
      </patternFill>
    </fill>
    <fill>
      <patternFill patternType="solid">
        <fgColor rgb="FFe2f0d9"/>
      </patternFill>
    </fill>
    <fill>
      <patternFill patternType="solid">
        <fgColor rgb="FF001d9a"/>
      </patternFill>
    </fill>
    <fill>
      <patternFill patternType="solid">
        <fgColor rgb="FF2dff37"/>
      </patternFill>
    </fill>
    <fill>
      <patternFill patternType="solid">
        <fgColor rgb="FFff0000"/>
      </patternFill>
    </fill>
    <fill>
      <patternFill patternType="solid">
        <fgColor rgb="FF2e75b6"/>
      </patternFill>
    </fill>
    <fill>
      <patternFill patternType="solid">
        <fgColor rgb="FF002060"/>
      </patternFill>
    </fill>
    <fill>
      <patternFill patternType="solid">
        <fgColor rgb="FFb4c7e7"/>
      </patternFill>
    </fill>
    <fill>
      <patternFill patternType="solid">
        <fgColor rgb="FF4472c4"/>
      </patternFill>
    </fill>
    <fill>
      <patternFill patternType="solid">
        <fgColor rgb="FF5b9bd5"/>
      </patternFill>
    </fill>
    <fill>
      <patternFill patternType="solid">
        <fgColor rgb="FF548235"/>
      </patternFill>
    </fill>
    <fill>
      <patternFill patternType="solid">
        <fgColor rgb="FFc55a11"/>
      </patternFill>
    </fill>
    <fill>
      <patternFill patternType="solid">
        <fgColor rgb="FFc5e0b4"/>
      </patternFill>
    </fill>
    <fill>
      <patternFill patternType="solid">
        <fgColor rgb="FFdae3f3"/>
      </patternFill>
    </fill>
    <fill>
      <patternFill patternType="solid">
        <fgColor rgb="FFa9d18e"/>
      </patternFill>
    </fill>
    <fill>
      <patternFill patternType="solid">
        <fgColor rgb="FF053091"/>
      </patternFill>
    </fill>
    <fill>
      <patternFill patternType="solid">
        <fgColor rgb="FF70ad47"/>
      </patternFill>
    </fill>
    <fill>
      <patternFill patternType="solid">
        <fgColor rgb="FF00ffff"/>
      </patternFill>
    </fill>
    <fill>
      <patternFill patternType="solid">
        <fgColor rgb="FFdddddd"/>
      </patternFill>
    </fill>
    <fill>
      <patternFill patternType="solid">
        <fgColor rgb="FFffe699"/>
      </patternFill>
    </fill>
    <fill>
      <patternFill patternType="solid">
        <fgColor rgb="FFffd966"/>
      </patternFill>
    </fill>
    <fill>
      <patternFill patternType="solid">
        <fgColor rgb="FFff0066"/>
      </patternFill>
    </fill>
    <fill>
      <patternFill patternType="solid">
        <fgColor rgb="FFbdd7ee"/>
      </patternFill>
    </fill>
    <fill>
      <patternFill patternType="solid">
        <fgColor rgb="FFfff2cc"/>
      </patternFill>
    </fill>
    <fill>
      <patternFill patternType="solid">
        <fgColor rgb="FFeeb500"/>
      </patternFill>
    </fill>
    <fill>
      <patternFill patternType="solid">
        <fgColor rgb="FFffccff"/>
      </patternFill>
    </fill>
    <fill>
      <patternFill patternType="solid">
        <fgColor rgb="FF494949"/>
      </patternFill>
    </fill>
    <fill>
      <patternFill patternType="solid">
        <fgColor rgb="FF0070c0"/>
      </patternFill>
    </fill>
    <fill>
      <patternFill patternType="solid">
        <fgColor rgb="FFf53737"/>
      </patternFill>
    </fill>
    <fill>
      <patternFill patternType="solid">
        <fgColor rgb="FFfbe5d6"/>
      </patternFill>
    </fill>
    <fill>
      <patternFill patternType="solid">
        <fgColor rgb="FFf8cbad"/>
      </patternFill>
    </fill>
    <fill>
      <patternFill patternType="solid">
        <fgColor rgb="FF2f5597"/>
      </patternFill>
    </fill>
    <fill>
      <patternFill patternType="solid">
        <fgColor rgb="FF203864"/>
      </patternFill>
    </fill>
    <fill>
      <patternFill patternType="solid">
        <fgColor rgb="FF92d050"/>
      </patternFill>
    </fill>
    <fill>
      <patternFill patternType="solid">
        <fgColor rgb="FFf4b183"/>
      </patternFill>
    </fill>
    <fill>
      <patternFill patternType="solid">
        <fgColor rgb="FF9dc3e6"/>
      </patternFill>
    </fill>
  </fills>
  <borders count="121">
    <border>
      <left/>
      <right/>
      <top/>
      <bottom/>
      <diagonal/>
    </border>
    <border>
      <left style="thin">
        <color rgb="FFc6c6c6"/>
      </left>
      <right style="thin">
        <color rgb="FFc6c6c6"/>
      </right>
      <top style="thin">
        <color rgb="FFc6c6c6"/>
      </top>
      <bottom style="thin">
        <color rgb="FFc6c6c6"/>
      </bottom>
      <diagonal/>
    </border>
    <border>
      <left style="thin">
        <color rgb="FF000000"/>
      </left>
      <right style="thin">
        <color rgb="FFc6c6c6"/>
      </right>
      <top style="thin">
        <color rgb="FF000000"/>
      </top>
      <bottom style="thin">
        <color rgb="FF000000"/>
      </bottom>
      <diagonal/>
    </border>
    <border>
      <left style="thin">
        <color rgb="FFc6c6c6"/>
      </left>
      <right style="thin">
        <color rgb="FFc6c6c6"/>
      </right>
      <top style="thin">
        <color rgb="FF000000"/>
      </top>
      <bottom style="thin">
        <color rgb="FF000000"/>
      </bottom>
      <diagonal/>
    </border>
    <border>
      <left style="thin">
        <color rgb="FFc6c6c6"/>
      </left>
      <right style="thin">
        <color rgb="FF000000"/>
      </right>
      <top style="thin">
        <color rgb="FF000000"/>
      </top>
      <bottom style="thin">
        <color rgb="FF000000"/>
      </bottom>
      <diagonal/>
    </border>
    <border>
      <left style="medium">
        <color rgb="FF053091"/>
      </left>
      <right style="thin">
        <color rgb="FFc6c6c6"/>
      </right>
      <top style="medium">
        <color rgb="FF053091"/>
      </top>
      <bottom style="thin">
        <color rgb="FFc6c6c6"/>
      </bottom>
      <diagonal/>
    </border>
    <border>
      <left style="thin">
        <color rgb="FFc6c6c6"/>
      </left>
      <right style="thin">
        <color rgb="FFc6c6c6"/>
      </right>
      <top style="medium">
        <color rgb="FF053091"/>
      </top>
      <bottom style="thin">
        <color rgb="FFc6c6c6"/>
      </bottom>
      <diagonal/>
    </border>
    <border>
      <left style="thin">
        <color rgb="FFc6c6c6"/>
      </left>
      <right style="medium">
        <color rgb="FF053091"/>
      </right>
      <top style="medium">
        <color rgb="FF053091"/>
      </top>
      <bottom style="thin">
        <color rgb="FFc6c6c6"/>
      </bottom>
      <diagonal/>
    </border>
    <border>
      <left style="medium">
        <color rgb="FF053091"/>
      </left>
      <right style="thin">
        <color rgb="FFc6c6c6"/>
      </right>
      <top style="thin">
        <color rgb="FFc6c6c6"/>
      </top>
      <bottom style="thin">
        <color rgb="FFc6c6c6"/>
      </bottom>
      <diagonal/>
    </border>
    <border>
      <left style="thin">
        <color rgb="FFc6c6c6"/>
      </left>
      <right style="medium">
        <color rgb="FF053091"/>
      </right>
      <top style="thin">
        <color rgb="FFc6c6c6"/>
      </top>
      <bottom style="thin">
        <color rgb="FFc6c6c6"/>
      </bottom>
      <diagonal/>
    </border>
    <border>
      <left style="medium">
        <color rgb="FF053091"/>
      </left>
      <right style="thin">
        <color rgb="FFc6c6c6"/>
      </right>
      <top style="thin">
        <color rgb="FFc6c6c6"/>
      </top>
      <bottom style="medium">
        <color rgb="FF053091"/>
      </bottom>
      <diagonal/>
    </border>
    <border>
      <left style="thin">
        <color rgb="FFc6c6c6"/>
      </left>
      <right style="thin">
        <color rgb="FFc6c6c6"/>
      </right>
      <top style="thin">
        <color rgb="FFc6c6c6"/>
      </top>
      <bottom style="medium">
        <color rgb="FF053091"/>
      </bottom>
      <diagonal/>
    </border>
    <border>
      <left style="thin">
        <color rgb="FFc6c6c6"/>
      </left>
      <right style="medium">
        <color rgb="FF053091"/>
      </right>
      <top style="thin">
        <color rgb="FFc6c6c6"/>
      </top>
      <bottom style="medium">
        <color rgb="FF053091"/>
      </bottom>
      <diagonal/>
    </border>
    <border>
      <left style="medium">
        <color rgb="FF6d2077"/>
      </left>
      <right style="thin">
        <color rgb="FFc6c6c6"/>
      </right>
      <top style="medium">
        <color rgb="FF6d2077"/>
      </top>
      <bottom style="thin">
        <color rgb="FFc6c6c6"/>
      </bottom>
      <diagonal/>
    </border>
    <border>
      <left style="thin">
        <color rgb="FFc6c6c6"/>
      </left>
      <right style="thin">
        <color rgb="FFc6c6c6"/>
      </right>
      <top style="medium">
        <color rgb="FF6d2077"/>
      </top>
      <bottom style="thin">
        <color rgb="FFc6c6c6"/>
      </bottom>
      <diagonal/>
    </border>
    <border>
      <left style="thin">
        <color rgb="FFc6c6c6"/>
      </left>
      <right style="medium">
        <color rgb="FF6d2077"/>
      </right>
      <top style="medium">
        <color rgb="FF6d2077"/>
      </top>
      <bottom style="thin">
        <color rgb="FFc6c6c6"/>
      </bottom>
      <diagonal/>
    </border>
    <border>
      <left style="medium">
        <color rgb="FF6d2077"/>
      </left>
      <right style="thin">
        <color rgb="FFc6c6c6"/>
      </right>
      <top style="thin">
        <color rgb="FFc6c6c6"/>
      </top>
      <bottom style="thin">
        <color rgb="FFc6c6c6"/>
      </bottom>
      <diagonal/>
    </border>
    <border>
      <left style="thin">
        <color rgb="FFc6c6c6"/>
      </left>
      <right style="medium">
        <color rgb="FF6d2077"/>
      </right>
      <top style="thin">
        <color rgb="FFc6c6c6"/>
      </top>
      <bottom style="thin">
        <color rgb="FFc6c6c6"/>
      </bottom>
      <diagonal/>
    </border>
    <border>
      <left style="medium">
        <color rgb="FF6d2077"/>
      </left>
      <right style="thin">
        <color rgb="FFc6c6c6"/>
      </right>
      <top style="thin">
        <color rgb="FFc6c6c6"/>
      </top>
      <bottom style="medium">
        <color rgb="FF6d2077"/>
      </bottom>
      <diagonal/>
    </border>
    <border>
      <left style="thin">
        <color rgb="FFc6c6c6"/>
      </left>
      <right style="thin">
        <color rgb="FFc6c6c6"/>
      </right>
      <top style="thin">
        <color rgb="FFc6c6c6"/>
      </top>
      <bottom style="medium">
        <color rgb="FF6d2077"/>
      </bottom>
      <diagonal/>
    </border>
    <border>
      <left style="thin">
        <color rgb="FFc6c6c6"/>
      </left>
      <right style="medium">
        <color rgb="FF6d2077"/>
      </right>
      <top style="thin">
        <color rgb="FFc6c6c6"/>
      </top>
      <bottom style="medium">
        <color rgb="FF6d2077"/>
      </bottom>
      <diagonal/>
    </border>
    <border>
      <left style="medium">
        <color rgb="FF0070c0"/>
      </left>
      <right style="thin">
        <color rgb="FFc6c6c6"/>
      </right>
      <top style="medium">
        <color rgb="FF0070c0"/>
      </top>
      <bottom style="thin">
        <color rgb="FFc6c6c6"/>
      </bottom>
      <diagonal/>
    </border>
    <border>
      <left style="thin">
        <color rgb="FFc6c6c6"/>
      </left>
      <right style="thin">
        <color rgb="FFc6c6c6"/>
      </right>
      <top style="medium">
        <color rgb="FF0070c0"/>
      </top>
      <bottom style="thin">
        <color rgb="FFc6c6c6"/>
      </bottom>
      <diagonal/>
    </border>
    <border>
      <left style="thin">
        <color rgb="FFc6c6c6"/>
      </left>
      <right style="medium">
        <color rgb="FF0070c0"/>
      </right>
      <top style="medium">
        <color rgb="FF0070c0"/>
      </top>
      <bottom style="thin">
        <color rgb="FFc6c6c6"/>
      </bottom>
      <diagonal/>
    </border>
    <border>
      <left style="medium">
        <color rgb="FF0070c0"/>
      </left>
      <right style="thin">
        <color rgb="FFc6c6c6"/>
      </right>
      <top style="thin">
        <color rgb="FFc6c6c6"/>
      </top>
      <bottom style="thin">
        <color rgb="FFc6c6c6"/>
      </bottom>
      <diagonal/>
    </border>
    <border>
      <left style="thin">
        <color rgb="FFc6c6c6"/>
      </left>
      <right style="medium">
        <color rgb="FF0070c0"/>
      </right>
      <top style="thin">
        <color rgb="FFc6c6c6"/>
      </top>
      <bottom style="thin">
        <color rgb="FFc6c6c6"/>
      </bottom>
      <diagonal/>
    </border>
    <border>
      <left style="medium">
        <color rgb="FF0070c0"/>
      </left>
      <right style="thin">
        <color rgb="FFc6c6c6"/>
      </right>
      <top style="thin">
        <color rgb="FFc6c6c6"/>
      </top>
      <bottom style="medium">
        <color rgb="FF0070c0"/>
      </bottom>
      <diagonal/>
    </border>
    <border>
      <left style="thin">
        <color rgb="FFc6c6c6"/>
      </left>
      <right style="thin">
        <color rgb="FFc6c6c6"/>
      </right>
      <top style="thin">
        <color rgb="FFc6c6c6"/>
      </top>
      <bottom style="medium">
        <color rgb="FF0070c0"/>
      </bottom>
      <diagonal/>
    </border>
    <border>
      <left style="thin">
        <color rgb="FFc6c6c6"/>
      </left>
      <right style="medium">
        <color rgb="FF0070c0"/>
      </right>
      <top style="thin">
        <color rgb="FFc6c6c6"/>
      </top>
      <bottom style="medium">
        <color rgb="FF0070c0"/>
      </bottom>
      <diagonal/>
    </border>
    <border>
      <left style="medium">
        <color rgb="FF00a3a1"/>
      </left>
      <right style="thin">
        <color rgb="FFc6c6c6"/>
      </right>
      <top style="medium">
        <color rgb="FF00a3a1"/>
      </top>
      <bottom style="thin">
        <color rgb="FFc6c6c6"/>
      </bottom>
      <diagonal/>
    </border>
    <border>
      <left style="thin">
        <color rgb="FFc6c6c6"/>
      </left>
      <right style="thin">
        <color rgb="FFc6c6c6"/>
      </right>
      <top style="medium">
        <color rgb="FF00a3a1"/>
      </top>
      <bottom style="thin">
        <color rgb="FFc6c6c6"/>
      </bottom>
      <diagonal/>
    </border>
    <border>
      <left style="thin">
        <color rgb="FFc6c6c6"/>
      </left>
      <right style="medium">
        <color rgb="FF00a3a1"/>
      </right>
      <top style="medium">
        <color rgb="FF00a3a1"/>
      </top>
      <bottom style="thin">
        <color rgb="FFc6c6c6"/>
      </bottom>
      <diagonal/>
    </border>
    <border>
      <left style="medium">
        <color rgb="FF00a3a1"/>
      </left>
      <right style="thin">
        <color rgb="FFc6c6c6"/>
      </right>
      <top style="thin">
        <color rgb="FFc6c6c6"/>
      </top>
      <bottom style="thin">
        <color rgb="FFc6c6c6"/>
      </bottom>
      <diagonal/>
    </border>
    <border>
      <left style="thin">
        <color rgb="FFc6c6c6"/>
      </left>
      <right style="medium">
        <color rgb="FF00a3a1"/>
      </right>
      <top style="thin">
        <color rgb="FFc6c6c6"/>
      </top>
      <bottom style="thin">
        <color rgb="FFc6c6c6"/>
      </bottom>
      <diagonal/>
    </border>
    <border>
      <left/>
      <right style="double">
        <color rgb="FF053091"/>
      </right>
      <top/>
      <bottom/>
      <diagonal/>
    </border>
    <border>
      <left style="medium">
        <color rgb="FF00a3a1"/>
      </left>
      <right style="thin">
        <color rgb="FFc6c6c6"/>
      </right>
      <top style="thin">
        <color rgb="FFc6c6c6"/>
      </top>
      <bottom style="medium">
        <color rgb="FF00a3a1"/>
      </bottom>
      <diagonal/>
    </border>
    <border>
      <left style="thin">
        <color rgb="FFc6c6c6"/>
      </left>
      <right style="thin">
        <color rgb="FFc6c6c6"/>
      </right>
      <top style="thin">
        <color rgb="FFc6c6c6"/>
      </top>
      <bottom style="medium">
        <color rgb="FF00a3a1"/>
      </bottom>
      <diagonal/>
    </border>
    <border>
      <left style="thin">
        <color rgb="FFc6c6c6"/>
      </left>
      <right style="medium">
        <color rgb="FF00a3a1"/>
      </right>
      <top style="thin">
        <color rgb="FFc6c6c6"/>
      </top>
      <bottom style="medium">
        <color rgb="FF00a3a1"/>
      </bottom>
      <diagonal/>
    </border>
    <border>
      <left style="double">
        <color rgb="FF053091"/>
      </left>
      <right style="thin">
        <color rgb="FFc6c6c6"/>
      </right>
      <top style="double">
        <color rgb="FF053091"/>
      </top>
      <bottom style="thin">
        <color rgb="FFc6c6c6"/>
      </bottom>
      <diagonal/>
    </border>
    <border>
      <left style="thin">
        <color rgb="FFc6c6c6"/>
      </left>
      <right style="thin">
        <color rgb="FFc6c6c6"/>
      </right>
      <top style="double">
        <color rgb="FF053091"/>
      </top>
      <bottom style="thin">
        <color rgb="FFc6c6c6"/>
      </bottom>
      <diagonal/>
    </border>
    <border>
      <left style="thin">
        <color rgb="FFc6c6c6"/>
      </left>
      <right style="double">
        <color rgb="FF053091"/>
      </right>
      <top style="double">
        <color rgb="FF053091"/>
      </top>
      <bottom style="thin">
        <color rgb="FFc6c6c6"/>
      </bottom>
      <diagonal/>
    </border>
    <border>
      <left/>
      <right style="double">
        <color rgb="FF00a3a1"/>
      </right>
      <top/>
      <bottom/>
      <diagonal/>
    </border>
    <border>
      <left/>
      <right/>
      <top/>
      <bottom/>
      <diagonal/>
    </border>
    <border>
      <left/>
      <right/>
      <top/>
      <bottom style="thin">
        <color rgb="FFffffff"/>
      </bottom>
      <diagonal/>
    </border>
    <border>
      <left style="thin">
        <color rgb="FF0328df"/>
      </left>
      <right style="thin">
        <color rgb="FF0328df"/>
      </right>
      <top style="thin">
        <color rgb="FF0328df"/>
      </top>
      <bottom style="thin">
        <color rgb="FF0328df"/>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rgb="FFffffff"/>
      </left>
      <right/>
      <top/>
      <bottom/>
      <diagonal/>
    </border>
    <border>
      <left style="thin">
        <color rgb="FF6d2077"/>
      </left>
      <right style="thin">
        <color rgb="FFc6c6c6"/>
      </right>
      <top style="thin">
        <color rgb="FFc6c6c6"/>
      </top>
      <bottom style="thin">
        <color rgb="FFc6c6c6"/>
      </bottom>
      <diagonal/>
    </border>
    <border>
      <left style="thin">
        <color rgb="FFc6c6c6"/>
      </left>
      <right style="thin">
        <color rgb="FFc6c6c6"/>
      </right>
      <top style="thin">
        <color rgb="FF6d2077"/>
      </top>
      <bottom style="thin">
        <color rgb="FFc6c6c6"/>
      </bottom>
      <diagonal/>
    </border>
    <border>
      <left style="thin">
        <color rgb="FF6d2077"/>
      </left>
      <right style="thin">
        <color rgb="FFc6c6c6"/>
      </right>
      <top style="thin">
        <color rgb="FF6d2077"/>
      </top>
      <bottom style="thin">
        <color rgb="FFc6c6c6"/>
      </bottom>
      <diagonal/>
    </border>
    <border>
      <left style="thin">
        <color rgb="FFc6c6c6"/>
      </left>
      <right style="medium">
        <color rgb="FFffffff"/>
      </right>
      <top style="thin">
        <color rgb="FFc6c6c6"/>
      </top>
      <bottom style="thin">
        <color rgb="FFc6c6c6"/>
      </bottom>
      <diagonal/>
    </border>
    <border>
      <left style="medium">
        <color rgb="FFffffff"/>
      </left>
      <right style="thin">
        <color rgb="FFc6c6c6"/>
      </right>
      <top style="thin">
        <color rgb="FFc6c6c6"/>
      </top>
      <bottom style="thin">
        <color rgb="FFc6c6c6"/>
      </bottom>
      <diagonal/>
    </border>
    <border>
      <left style="thick">
        <color rgb="FFffffff"/>
      </left>
      <right style="thick">
        <color rgb="FFffffff"/>
      </right>
      <top style="thick">
        <color rgb="FFffffff"/>
      </top>
      <bottom style="thick">
        <color rgb="FFffffff"/>
      </bottom>
      <diagonal/>
    </border>
    <border>
      <left style="thick">
        <color rgb="FFffffff"/>
      </left>
      <right/>
      <top/>
      <bottom/>
      <diagonal/>
    </border>
    <border>
      <left style="medium">
        <color rgb="FF000000"/>
      </left>
      <right style="thin">
        <color rgb="FFc6c6c6"/>
      </right>
      <top style="medium">
        <color rgb="FF000000"/>
      </top>
      <bottom style="thin">
        <color rgb="FFc6c6c6"/>
      </bottom>
      <diagonal/>
    </border>
    <border>
      <left style="thin">
        <color rgb="FFc6c6c6"/>
      </left>
      <right style="medium">
        <color rgb="FF000000"/>
      </right>
      <top style="medium">
        <color rgb="FF000000"/>
      </top>
      <bottom style="thin">
        <color rgb="FFc6c6c6"/>
      </bottom>
      <diagonal/>
    </border>
    <border>
      <left style="medium">
        <color rgb="FF000000"/>
      </left>
      <right style="thin">
        <color rgb="FFc6c6c6"/>
      </right>
      <top style="thin">
        <color rgb="FFc6c6c6"/>
      </top>
      <bottom style="thin">
        <color rgb="FFc6c6c6"/>
      </bottom>
      <diagonal/>
    </border>
    <border>
      <left style="thin">
        <color rgb="FFc6c6c6"/>
      </left>
      <right style="medium">
        <color rgb="FF000000"/>
      </right>
      <top style="thin">
        <color rgb="FFc6c6c6"/>
      </top>
      <bottom style="thin">
        <color rgb="FFc6c6c6"/>
      </bottom>
      <diagonal/>
    </border>
    <border>
      <left style="medium">
        <color rgb="FF000000"/>
      </left>
      <right style="thin">
        <color rgb="FFc6c6c6"/>
      </right>
      <top style="thin">
        <color rgb="FFc6c6c6"/>
      </top>
      <bottom style="medium">
        <color rgb="FF000000"/>
      </bottom>
      <diagonal/>
    </border>
    <border>
      <left style="thin">
        <color rgb="FFc6c6c6"/>
      </left>
      <right style="medium">
        <color rgb="FF000000"/>
      </right>
      <top style="thin">
        <color rgb="FFc6c6c6"/>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right/>
      <top/>
      <bottom style="thick">
        <color rgb="FFffffff"/>
      </bottom>
      <diagonal/>
    </border>
    <border>
      <left/>
      <right/>
      <top style="thin">
        <color rgb="FFffffff"/>
      </top>
      <bottom/>
      <diagonal/>
    </border>
    <border>
      <left/>
      <right/>
      <top style="double">
        <color rgb="FFffffff"/>
      </top>
      <bottom/>
      <diagonal/>
    </border>
    <border>
      <left style="thin">
        <color rgb="FFc6c6c6"/>
      </left>
      <right style="thin">
        <color rgb="FFc6c6c6"/>
      </right>
      <top style="medium">
        <color rgb="FF000000"/>
      </top>
      <bottom style="thin">
        <color rgb="FFc6c6c6"/>
      </bottom>
      <diagonal/>
    </border>
    <border>
      <left style="thin">
        <color rgb="FF000000"/>
      </left>
      <right style="thin">
        <color rgb="FF000000"/>
      </right>
      <top style="thin">
        <color rgb="FFc6c6c6"/>
      </top>
      <bottom style="thin">
        <color rgb="FFc6c6c6"/>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style="thin">
        <color rgb="FFc6c6c6"/>
      </right>
      <top style="medium">
        <color rgb="FF000000"/>
      </top>
      <bottom style="medium">
        <color rgb="FF000000"/>
      </bottom>
      <diagonal/>
    </border>
    <border>
      <left style="thin">
        <color rgb="FFc6c6c6"/>
      </left>
      <right style="medium">
        <color rgb="FF000000"/>
      </right>
      <top style="medium">
        <color rgb="FF000000"/>
      </top>
      <bottom style="medium">
        <color rgb="FF000000"/>
      </bottom>
      <diagonal/>
    </border>
    <border>
      <left style="thin">
        <color rgb="FFc6c6c6"/>
      </left>
      <right style="thin">
        <color rgb="FFc6c6c6"/>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rgb="FF000000"/>
      </left>
      <right style="thin">
        <color rgb="FFc6c6c6"/>
      </right>
      <top style="thin">
        <color rgb="FFc6c6c6"/>
      </top>
      <bottom style="thin">
        <color rgb="FF000000"/>
      </bottom>
      <diagonal/>
    </border>
    <border>
      <left style="thin">
        <color rgb="FFc6c6c6"/>
      </left>
      <right style="thin">
        <color rgb="FFc6c6c6"/>
      </right>
      <top style="thin">
        <color rgb="FFc6c6c6"/>
      </top>
      <bottom style="thin">
        <color rgb="FF000000"/>
      </bottom>
      <diagonal/>
    </border>
    <border>
      <left style="thin">
        <color rgb="FFc6c6c6"/>
      </left>
      <right style="thin">
        <color rgb="FF000000"/>
      </right>
      <top style="thin">
        <color rgb="FFc6c6c6"/>
      </top>
      <bottom style="thin">
        <color rgb="FF000000"/>
      </bottom>
      <diagonal/>
    </border>
    <border>
      <left style="thick">
        <color rgb="FFffffff"/>
      </left>
      <right style="thick">
        <color rgb="FFffffff"/>
      </right>
      <top style="thin">
        <color rgb="FFc6c6c6"/>
      </top>
      <bottom style="thin">
        <color rgb="FFc6c6c6"/>
      </bottom>
      <diagonal/>
    </border>
    <border>
      <left style="thick">
        <color rgb="FFffffff"/>
      </left>
      <right style="thin">
        <color rgb="FFc6c6c6"/>
      </right>
      <top style="thin">
        <color rgb="FFc6c6c6"/>
      </top>
      <bottom style="thin">
        <color rgb="FFc6c6c6"/>
      </bottom>
      <diagonal/>
    </border>
    <border>
      <left style="thin">
        <color rgb="FFc6c6c6"/>
      </left>
      <right style="thin">
        <color rgb="FF000000"/>
      </right>
      <top style="thin">
        <color rgb="FFc6c6c6"/>
      </top>
      <bottom style="thin">
        <color rgb="FFc6c6c6"/>
      </bottom>
      <diagonal/>
    </border>
    <border>
      <left style="thin">
        <color rgb="FFc6c6c6"/>
      </left>
      <right style="thin">
        <color rgb="FFc6c6c6"/>
      </right>
      <top style="thick">
        <color rgb="FFffffff"/>
      </top>
      <bottom style="thin">
        <color rgb="FFc6c6c6"/>
      </bottom>
      <diagonal/>
    </border>
    <border>
      <left style="medium">
        <color rgb="FFb2b2b2"/>
      </left>
      <right style="medium">
        <color rgb="FFb2b2b2"/>
      </right>
      <top style="medium">
        <color rgb="FFb2b2b2"/>
      </top>
      <bottom style="medium">
        <color rgb="FFb2b2b2"/>
      </bottom>
      <diagonal/>
    </border>
    <border>
      <left style="medium">
        <color rgb="FF000000"/>
      </left>
      <right style="thin">
        <color rgb="FF000000"/>
      </right>
      <top style="thin">
        <color rgb="FFc6c6c6"/>
      </top>
      <bottom style="thin">
        <color rgb="FFc6c6c6"/>
      </bottom>
      <diagonal/>
    </border>
    <border>
      <left style="thin">
        <color rgb="FF000000"/>
      </left>
      <right style="medium">
        <color rgb="FF000000"/>
      </right>
      <top style="thin">
        <color rgb="FFc6c6c6"/>
      </top>
      <bottom style="thin">
        <color rgb="FFc6c6c6"/>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rgb="FF000000"/>
      </left>
      <right style="thin">
        <color rgb="FF000000"/>
      </right>
      <top style="thin">
        <color rgb="FF000000"/>
      </top>
      <bottom style="thin">
        <color rgb="FFc6c6c6"/>
      </bottom>
      <diagonal/>
    </border>
    <border>
      <left style="thin">
        <color rgb="FF000000"/>
      </left>
      <right style="thin">
        <color rgb="FF000000"/>
      </right>
      <top style="thin">
        <color rgb="FFc6c6c6"/>
      </top>
      <bottom style="thin">
        <color rgb="FF000000"/>
      </bottom>
      <diagonal/>
    </border>
    <border>
      <left style="thin">
        <color rgb="FF000000"/>
      </left>
      <right style="medium">
        <color rgb="FF000000"/>
      </right>
      <top/>
      <bottom/>
      <diagonal/>
    </border>
    <border>
      <left style="medium">
        <color rgb="FF000000"/>
      </left>
      <right style="thin">
        <color rgb="FF000000"/>
      </right>
      <top style="thin">
        <color rgb="FFc6c6c6"/>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style="medium">
        <color rgb="FF000000"/>
      </top>
      <bottom style="thin">
        <color rgb="FFc6c6c6"/>
      </bottom>
      <diagonal/>
    </border>
    <border>
      <left style="thin">
        <color rgb="FF000000"/>
      </left>
      <right style="medium">
        <color rgb="FF000000"/>
      </right>
      <top style="medium">
        <color rgb="FF000000"/>
      </top>
      <bottom/>
      <diagonal/>
    </border>
    <border>
      <left/>
      <right/>
      <top style="medium">
        <color rgb="FF000000"/>
      </top>
      <bottom/>
      <diagonal/>
    </border>
    <border>
      <left/>
      <right/>
      <top/>
      <bottom style="medium">
        <color rgb="FF000000"/>
      </bottom>
      <diagonal/>
    </border>
    <border>
      <left style="thin">
        <color rgb="FFc6c6c6"/>
      </left>
      <right style="thin">
        <color rgb="FFc6c6c6"/>
      </right>
      <top style="thin">
        <color rgb="FFc6c6c6"/>
      </top>
      <bottom style="medium">
        <color rgb="FF000000"/>
      </bottom>
      <diagonal/>
    </border>
    <border>
      <left style="thin">
        <color rgb="FF000000"/>
      </left>
      <right/>
      <top style="thin">
        <color rgb="FF000000"/>
      </top>
      <bottom/>
      <diagonal/>
    </border>
    <border>
      <left/>
      <right/>
      <top style="thin">
        <color rgb="FF000000"/>
      </top>
      <bottom/>
      <diagonal/>
    </border>
    <border>
      <left style="thin">
        <color rgb="FF000000"/>
      </left>
      <right/>
      <top/>
      <bottom/>
      <diagonal/>
    </border>
    <border>
      <left style="thin">
        <color rgb="FF000000"/>
      </left>
      <right style="thin">
        <color rgb="FF000000"/>
      </right>
      <top/>
      <bottom/>
      <diagonal/>
    </border>
    <border>
      <left style="thin">
        <color rgb="FF000000"/>
      </left>
      <right/>
      <top/>
      <bottom style="thin">
        <color rgb="FF000000"/>
      </bottom>
      <diagonal/>
    </border>
    <border>
      <left style="thin">
        <color rgb="FF000000"/>
      </left>
      <right style="thin">
        <color rgb="FFc6c6c6"/>
      </right>
      <top style="thin">
        <color rgb="FF000000"/>
      </top>
      <bottom style="thin">
        <color rgb="FFc6c6c6"/>
      </bottom>
      <diagonal/>
    </border>
    <border>
      <left style="thin">
        <color rgb="FFc6c6c6"/>
      </left>
      <right style="thin">
        <color rgb="FFc6c6c6"/>
      </right>
      <top style="thin">
        <color rgb="FF000000"/>
      </top>
      <bottom style="thin">
        <color rgb="FFc6c6c6"/>
      </bottom>
      <diagonal/>
    </border>
    <border>
      <left style="thin">
        <color rgb="FF000000"/>
      </left>
      <right style="thin">
        <color rgb="FFc6c6c6"/>
      </right>
      <top style="thin">
        <color rgb="FFc6c6c6"/>
      </top>
      <bottom style="thin">
        <color rgb="FFc6c6c6"/>
      </bottom>
      <diagonal/>
    </border>
    <border>
      <left style="thin">
        <color rgb="FF000000"/>
      </left>
      <right style="thin">
        <color rgb="FF000000"/>
      </right>
      <top style="thin">
        <color rgb="FF000000"/>
      </top>
      <bottom style="thin">
        <color rgb="FFc6c6c6"/>
      </bottom>
      <diagonal/>
    </border>
    <border>
      <left/>
      <right/>
      <top style="medium">
        <color rgb="FFffffff"/>
      </top>
      <bottom/>
      <diagonal/>
    </border>
    <border>
      <left/>
      <right style="thin">
        <color rgb="FFffffff"/>
      </right>
      <top/>
      <bottom/>
      <diagonal/>
    </border>
    <border>
      <left/>
      <right style="thin">
        <color rgb="FFffffff"/>
      </right>
      <top style="thin">
        <color rgb="FFffffff"/>
      </top>
      <bottom/>
      <diagonal/>
    </border>
    <border>
      <left style="thin">
        <color rgb="FFc6c6c6"/>
      </left>
      <right style="thin">
        <color rgb="FFc6c6c6"/>
      </right>
      <top style="thick">
        <color rgb="FFffffff"/>
      </top>
      <bottom style="thick">
        <color rgb="FFffffff"/>
      </bottom>
      <diagonal/>
    </border>
    <border>
      <left style="thin">
        <color rgb="FFc6c6c6"/>
      </left>
      <right style="thin">
        <color rgb="FF000000"/>
      </right>
      <top style="thin">
        <color rgb="FF000000"/>
      </top>
      <bottom style="thin">
        <color rgb="FFc6c6c6"/>
      </bottom>
      <diagonal/>
    </border>
    <border>
      <left style="thin">
        <color rgb="FFc6c6c6"/>
      </left>
      <right style="thin">
        <color rgb="FFc6c6c6"/>
      </right>
      <top style="thin">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s>
  <cellStyleXfs count="1">
    <xf numFmtId="0" fontId="0" fillId="0" borderId="0"/>
  </cellStyleXfs>
  <cellXfs count="1282">
    <xf xfId="0" numFmtId="0" borderId="0" fontId="0" fillId="0"/>
    <xf xfId="0" numFmtId="0" borderId="0" fontId="0" fillId="0" applyAlignment="1">
      <alignment horizontal="general"/>
    </xf>
    <xf xfId="0" numFmtId="0" borderId="1" applyBorder="1" fontId="1" applyFont="1" fillId="2" applyFill="1" applyAlignment="1">
      <alignment horizontal="left"/>
    </xf>
    <xf xfId="0" numFmtId="4" applyNumberFormat="1" borderId="1" applyBorder="1" fontId="1" applyFont="1" fillId="2" applyFill="1" applyAlignment="1">
      <alignment horizontal="left"/>
    </xf>
    <xf xfId="0" numFmtId="3" applyNumberFormat="1" borderId="1" applyBorder="1" fontId="1" applyFont="1" fillId="2" applyFill="1" applyAlignment="1">
      <alignment horizontal="left"/>
    </xf>
    <xf xfId="0" numFmtId="164" applyNumberFormat="1" borderId="1" applyBorder="1" fontId="1" applyFont="1" fillId="2" applyFill="1" applyAlignment="1">
      <alignment horizontal="left"/>
    </xf>
    <xf xfId="0" numFmtId="14" applyNumberFormat="1" borderId="1" applyBorder="1" fontId="1" applyFont="1" fillId="2" applyFill="1" applyAlignment="1">
      <alignment horizontal="left"/>
    </xf>
    <xf xfId="0" numFmtId="14" applyNumberFormat="1" borderId="0" fontId="0" fillId="0" applyAlignment="1">
      <alignment horizontal="general"/>
    </xf>
    <xf xfId="0" numFmtId="0" borderId="2" applyBorder="1" fontId="2" applyFont="1" fillId="3" applyFill="1" applyAlignment="1">
      <alignment horizontal="center"/>
    </xf>
    <xf xfId="0" numFmtId="0" borderId="3" applyBorder="1" fontId="2" applyFont="1" fillId="3" applyFill="1" applyAlignment="1">
      <alignment horizontal="center"/>
    </xf>
    <xf xfId="0" numFmtId="4" applyNumberFormat="1" borderId="4" applyBorder="1" fontId="2" applyFont="1" fillId="3" applyFill="1" applyAlignment="1">
      <alignment horizontal="center"/>
    </xf>
    <xf xfId="0" numFmtId="0" borderId="5" applyBorder="1" fontId="3" applyFont="1" fillId="4" applyFill="1" applyAlignment="1">
      <alignment horizontal="left"/>
    </xf>
    <xf xfId="0" numFmtId="0" borderId="6" applyBorder="1" fontId="3" applyFont="1" fillId="4" applyFill="1" applyAlignment="1">
      <alignment horizontal="left"/>
    </xf>
    <xf xfId="0" numFmtId="14" applyNumberFormat="1" borderId="7" applyBorder="1" fontId="4" applyFont="1" fillId="5" applyFill="1" applyAlignment="1">
      <alignment horizontal="center"/>
    </xf>
    <xf xfId="0" numFmtId="3" applyNumberFormat="1" borderId="1" applyBorder="1" fontId="5" applyFont="1" fillId="2" applyFill="1" applyAlignment="1">
      <alignment horizontal="right"/>
    </xf>
    <xf xfId="0" numFmtId="0" borderId="8" applyBorder="1" fontId="3" applyFont="1" fillId="4" applyFill="1" applyAlignment="1">
      <alignment horizontal="left"/>
    </xf>
    <xf xfId="0" numFmtId="0" borderId="1" applyBorder="1" fontId="3" applyFont="1" fillId="4" applyFill="1" applyAlignment="1">
      <alignment horizontal="left"/>
    </xf>
    <xf xfId="0" numFmtId="4" applyNumberFormat="1" borderId="9" applyBorder="1" fontId="4" applyFont="1" fillId="5" applyFill="1" applyAlignment="1">
      <alignment horizontal="center"/>
    </xf>
    <xf xfId="0" numFmtId="3" applyNumberFormat="1" borderId="1" applyBorder="1" fontId="5" applyFont="1" fillId="2" applyFill="1" applyAlignment="1">
      <alignment horizontal="left"/>
    </xf>
    <xf xfId="0" numFmtId="3" applyNumberFormat="1" borderId="9" applyBorder="1" fontId="4" applyFont="1" fillId="5" applyFill="1" applyAlignment="1">
      <alignment horizontal="center"/>
    </xf>
    <xf xfId="0" numFmtId="0" borderId="10" applyBorder="1" fontId="3" applyFont="1" fillId="4" applyFill="1" applyAlignment="1">
      <alignment horizontal="left"/>
    </xf>
    <xf xfId="0" numFmtId="0" borderId="11" applyBorder="1" fontId="3" applyFont="1" fillId="4" applyFill="1" applyAlignment="1">
      <alignment horizontal="left"/>
    </xf>
    <xf xfId="0" numFmtId="4" applyNumberFormat="1" borderId="12" applyBorder="1" fontId="4" applyFont="1" fillId="5" applyFill="1" applyAlignment="1">
      <alignment horizontal="center"/>
    </xf>
    <xf xfId="0" numFmtId="0" borderId="0" fontId="0" fillId="0" applyAlignment="1">
      <alignment wrapText="1"/>
    </xf>
    <xf xfId="0" numFmtId="0" borderId="0" fontId="0" fillId="0" applyAlignment="1">
      <alignment horizontal="general" wrapText="1"/>
    </xf>
    <xf xfId="0" numFmtId="0" borderId="1" applyBorder="1" fontId="2" applyFont="1" fillId="6" applyFill="1" applyAlignment="1">
      <alignment horizontal="center" wrapText="1"/>
    </xf>
    <xf xfId="0" numFmtId="4" applyNumberFormat="1" borderId="1" applyBorder="1" fontId="2" applyFont="1" fillId="6" applyFill="1" applyAlignment="1">
      <alignment horizontal="center" wrapText="1"/>
    </xf>
    <xf xfId="0" numFmtId="3" applyNumberFormat="1" borderId="1" applyBorder="1" fontId="2" applyFont="1" fillId="6" applyFill="1" applyAlignment="1">
      <alignment horizontal="center" wrapText="1"/>
    </xf>
    <xf xfId="0" numFmtId="164" applyNumberFormat="1" borderId="1" applyBorder="1" fontId="2" applyFont="1" fillId="6" applyFill="1" applyAlignment="1">
      <alignment horizontal="center" wrapText="1"/>
    </xf>
    <xf xfId="0" numFmtId="14" applyNumberFormat="1" borderId="0" fontId="0" fillId="0" applyAlignment="1">
      <alignment horizontal="general" wrapText="1"/>
    </xf>
    <xf xfId="0" numFmtId="0" borderId="1" applyBorder="1" fontId="2" applyFont="1" fillId="2" applyFill="1" applyAlignment="1">
      <alignment horizontal="center" wrapText="1"/>
    </xf>
    <xf xfId="0" numFmtId="4" applyNumberFormat="1" borderId="1" applyBorder="1" fontId="6" applyFont="1" fillId="2" applyFill="1" applyAlignment="1">
      <alignment horizontal="left"/>
    </xf>
    <xf xfId="0" numFmtId="3" applyNumberFormat="1" borderId="1" applyBorder="1" fontId="6" applyFont="1" fillId="2" applyFill="1" applyAlignment="1">
      <alignment horizontal="left"/>
    </xf>
    <xf xfId="0" numFmtId="164" applyNumberFormat="1" borderId="1" applyBorder="1" fontId="6" applyFont="1" fillId="2" applyFill="1" applyAlignment="1">
      <alignment horizontal="left"/>
    </xf>
    <xf xfId="0" numFmtId="0" borderId="13" applyBorder="1" fontId="3" applyFont="1" fillId="4" applyFill="1" applyAlignment="1">
      <alignment horizontal="left"/>
    </xf>
    <xf xfId="0" numFmtId="0" borderId="14" applyBorder="1" fontId="3" applyFont="1" fillId="4" applyFill="1" applyAlignment="1">
      <alignment horizontal="left"/>
    </xf>
    <xf xfId="0" numFmtId="4" applyNumberFormat="1" borderId="14" applyBorder="1" fontId="3" applyFont="1" fillId="4" applyFill="1" applyAlignment="1">
      <alignment horizontal="left"/>
    </xf>
    <xf xfId="0" numFmtId="3" applyNumberFormat="1" borderId="14" applyBorder="1" fontId="3" applyFont="1" fillId="4" applyFill="1" applyAlignment="1">
      <alignment horizontal="left"/>
    </xf>
    <xf xfId="0" numFmtId="164" applyNumberFormat="1" borderId="14" applyBorder="1" fontId="4" applyFont="1" fillId="5" applyFill="1" applyAlignment="1">
      <alignment horizontal="center"/>
    </xf>
    <xf xfId="0" numFmtId="14" applyNumberFormat="1" borderId="14" applyBorder="1" fontId="4" applyFont="1" fillId="5" applyFill="1" applyAlignment="1">
      <alignment horizontal="center"/>
    </xf>
    <xf xfId="0" numFmtId="14" applyNumberFormat="1" borderId="15" applyBorder="1" fontId="4" applyFont="1" fillId="5" applyFill="1" applyAlignment="1">
      <alignment horizontal="center"/>
    </xf>
    <xf xfId="0" numFmtId="0" borderId="16" applyBorder="1" fontId="3" applyFont="1" fillId="4" applyFill="1" applyAlignment="1">
      <alignment horizontal="left"/>
    </xf>
    <xf xfId="0" numFmtId="4" applyNumberFormat="1" borderId="1" applyBorder="1" fontId="3" applyFont="1" fillId="4" applyFill="1" applyAlignment="1">
      <alignment horizontal="left"/>
    </xf>
    <xf xfId="0" numFmtId="3" applyNumberFormat="1" borderId="1" applyBorder="1" fontId="3" applyFont="1" fillId="4" applyFill="1" applyAlignment="1">
      <alignment horizontal="left"/>
    </xf>
    <xf xfId="0" numFmtId="14" applyNumberFormat="1" borderId="1" applyBorder="1" fontId="4" applyFont="1" fillId="5" applyFill="1" applyAlignment="1">
      <alignment horizontal="center" wrapText="1"/>
    </xf>
    <xf xfId="0" numFmtId="14" applyNumberFormat="1" borderId="17" applyBorder="1" fontId="4" applyFont="1" fillId="5" applyFill="1" applyAlignment="1">
      <alignment horizontal="center" wrapText="1"/>
    </xf>
    <xf xfId="0" numFmtId="4" applyNumberFormat="1" borderId="1" applyBorder="1" fontId="4" applyFont="1" fillId="5" applyFill="1" applyAlignment="1">
      <alignment horizontal="center" wrapText="1"/>
    </xf>
    <xf xfId="0" numFmtId="4" applyNumberFormat="1" borderId="17" applyBorder="1" fontId="4" applyFont="1" fillId="5" applyFill="1" applyAlignment="1">
      <alignment horizontal="center" wrapText="1"/>
    </xf>
    <xf xfId="0" numFmtId="164" applyNumberFormat="1" borderId="1" applyBorder="1" fontId="4" applyFont="1" fillId="5" applyFill="1" applyAlignment="1">
      <alignment horizontal="center" wrapText="1"/>
    </xf>
    <xf xfId="0" numFmtId="164" applyNumberFormat="1" borderId="17" applyBorder="1" fontId="4" applyFont="1" fillId="5" applyFill="1" applyAlignment="1">
      <alignment horizontal="center" wrapText="1"/>
    </xf>
    <xf xfId="0" numFmtId="0" borderId="16" applyBorder="1" fontId="3" applyFont="1" fillId="4" applyFill="1" applyAlignment="1">
      <alignment horizontal="left"/>
    </xf>
    <xf xfId="0" numFmtId="0" borderId="16" applyBorder="1" fontId="1" applyFont="1" fillId="2" applyFill="1" applyAlignment="1">
      <alignment horizontal="left"/>
    </xf>
    <xf xfId="0" numFmtId="164" applyNumberFormat="1" borderId="1" applyBorder="1" fontId="7" applyFont="1" fillId="2" applyFill="1" applyAlignment="1">
      <alignment horizontal="center" wrapText="1"/>
    </xf>
    <xf xfId="0" numFmtId="3" applyNumberFormat="1" borderId="1" applyBorder="1" fontId="7" applyFont="1" fillId="2" applyFill="1" applyAlignment="1">
      <alignment horizontal="center" wrapText="1"/>
    </xf>
    <xf xfId="0" numFmtId="164" applyNumberFormat="1" borderId="17" applyBorder="1" fontId="7" applyFont="1" fillId="2" applyFill="1" applyAlignment="1">
      <alignment horizontal="center" wrapText="1"/>
    </xf>
    <xf xfId="0" numFmtId="0" borderId="18" applyBorder="1" fontId="8" applyFont="1" fillId="7" applyFill="1" applyAlignment="1">
      <alignment horizontal="center"/>
    </xf>
    <xf xfId="0" numFmtId="0" borderId="19" applyBorder="1" fontId="8" applyFont="1" fillId="7" applyFill="1" applyAlignment="1">
      <alignment horizontal="center"/>
    </xf>
    <xf xfId="0" numFmtId="4" applyNumberFormat="1" borderId="19" applyBorder="1" fontId="8" applyFont="1" fillId="7" applyFill="1" applyAlignment="1">
      <alignment horizontal="center"/>
    </xf>
    <xf xfId="0" numFmtId="3" applyNumberFormat="1" borderId="19" applyBorder="1" fontId="8" applyFont="1" fillId="7" applyFill="1" applyAlignment="1">
      <alignment horizontal="center"/>
    </xf>
    <xf xfId="0" numFmtId="164" applyNumberFormat="1" borderId="20" applyBorder="1" fontId="8" applyFont="1" fillId="7" applyFill="1" applyAlignment="1">
      <alignment horizontal="center"/>
    </xf>
    <xf xfId="0" numFmtId="0" borderId="1" applyBorder="1" fontId="9" applyFont="1" fillId="2" applyFill="1" applyAlignment="1">
      <alignment horizontal="center"/>
    </xf>
    <xf xfId="0" numFmtId="4" applyNumberFormat="1" borderId="1" applyBorder="1" fontId="9" applyFont="1" fillId="2" applyFill="1" applyAlignment="1">
      <alignment horizontal="center"/>
    </xf>
    <xf xfId="0" numFmtId="3" applyNumberFormat="1" borderId="1" applyBorder="1" fontId="9" applyFont="1" fillId="2" applyFill="1" applyAlignment="1">
      <alignment horizontal="center"/>
    </xf>
    <xf xfId="0" numFmtId="3" applyNumberFormat="1" borderId="1" applyBorder="1" fontId="10" applyFont="1" fillId="2" applyFill="1" applyAlignment="1">
      <alignment horizontal="center"/>
    </xf>
    <xf xfId="0" numFmtId="164" applyNumberFormat="1" borderId="1" applyBorder="1" fontId="10" applyFont="1" fillId="2" applyFill="1" applyAlignment="1">
      <alignment horizontal="center"/>
    </xf>
    <xf xfId="0" numFmtId="0" borderId="1" applyBorder="1" fontId="2" applyFont="1" fillId="6" applyFill="1" applyAlignment="1">
      <alignment horizontal="center"/>
    </xf>
    <xf xfId="0" numFmtId="4" applyNumberFormat="1" borderId="1" applyBorder="1" fontId="2" applyFont="1" fillId="6" applyFill="1" applyAlignment="1">
      <alignment horizontal="center"/>
    </xf>
    <xf xfId="0" numFmtId="3" applyNumberFormat="1" borderId="1" applyBorder="1" fontId="2" applyFont="1" fillId="6" applyFill="1" applyAlignment="1">
      <alignment horizontal="center"/>
    </xf>
    <xf xfId="0" numFmtId="3" applyNumberFormat="1" borderId="1" applyBorder="1" fontId="11" applyFont="1" fillId="6" applyFill="1" applyAlignment="1">
      <alignment horizontal="center"/>
    </xf>
    <xf xfId="0" numFmtId="164" applyNumberFormat="1" borderId="1" applyBorder="1" fontId="11" applyFont="1" fillId="6" applyFill="1" applyAlignment="1">
      <alignment horizontal="center"/>
    </xf>
    <xf xfId="0" numFmtId="0" borderId="1" applyBorder="1" fontId="2" applyFont="1" fillId="8" applyFill="1" applyAlignment="1">
      <alignment horizontal="center" wrapText="1"/>
    </xf>
    <xf xfId="0" numFmtId="4" applyNumberFormat="1" borderId="1" applyBorder="1" fontId="2" applyFont="1" fillId="8" applyFill="1" applyAlignment="1">
      <alignment horizontal="center" wrapText="1"/>
    </xf>
    <xf xfId="0" numFmtId="3" applyNumberFormat="1" borderId="1" applyBorder="1" fontId="2" applyFont="1" fillId="8" applyFill="1" applyAlignment="1">
      <alignment horizontal="center" wrapText="1"/>
    </xf>
    <xf xfId="0" numFmtId="164" applyNumberFormat="1" borderId="1" applyBorder="1" fontId="2" applyFont="1" fillId="8" applyFill="1" applyAlignment="1">
      <alignment horizontal="center" wrapText="1"/>
    </xf>
    <xf xfId="0" numFmtId="4" applyNumberFormat="1" borderId="1" applyBorder="1" fontId="2" applyFont="1" fillId="2" applyFill="1" applyAlignment="1">
      <alignment horizontal="center" wrapText="1"/>
    </xf>
    <xf xfId="0" numFmtId="3" applyNumberFormat="1" borderId="1" applyBorder="1" fontId="2" applyFont="1" fillId="2" applyFill="1" applyAlignment="1">
      <alignment horizontal="center" wrapText="1"/>
    </xf>
    <xf xfId="0" numFmtId="164" applyNumberFormat="1" borderId="1" applyBorder="1" fontId="2" applyFont="1" fillId="2" applyFill="1" applyAlignment="1">
      <alignment horizontal="center" wrapText="1"/>
    </xf>
    <xf xfId="0" numFmtId="0" borderId="21" applyBorder="1" fontId="3" applyFont="1" fillId="4" applyFill="1" applyAlignment="1">
      <alignment horizontal="left"/>
    </xf>
    <xf xfId="0" numFmtId="0" borderId="22" applyBorder="1" fontId="3" applyFont="1" fillId="4" applyFill="1" applyAlignment="1">
      <alignment horizontal="left"/>
    </xf>
    <xf xfId="0" numFmtId="4" applyNumberFormat="1" borderId="22" applyBorder="1" fontId="3" applyFont="1" fillId="4" applyFill="1" applyAlignment="1">
      <alignment horizontal="left"/>
    </xf>
    <xf xfId="0" numFmtId="3" applyNumberFormat="1" borderId="22" applyBorder="1" fontId="3" applyFont="1" fillId="4" applyFill="1" applyAlignment="1">
      <alignment horizontal="left"/>
    </xf>
    <xf xfId="0" numFmtId="4" applyNumberFormat="1" borderId="22" applyBorder="1" fontId="4" applyFont="1" fillId="5" applyFill="1" applyAlignment="1">
      <alignment horizontal="center"/>
    </xf>
    <xf xfId="0" numFmtId="4" applyNumberFormat="1" borderId="23" applyBorder="1" fontId="4" applyFont="1" fillId="5" applyFill="1" applyAlignment="1">
      <alignment horizontal="center"/>
    </xf>
    <xf xfId="0" numFmtId="0" borderId="24" applyBorder="1" fontId="3" applyFont="1" fillId="4" applyFill="1" applyAlignment="1">
      <alignment horizontal="left"/>
    </xf>
    <xf xfId="0" numFmtId="4" applyNumberFormat="1" borderId="25" applyBorder="1" fontId="4" applyFont="1" fillId="5" applyFill="1" applyAlignment="1">
      <alignment horizontal="center" wrapText="1"/>
    </xf>
    <xf xfId="0" numFmtId="0" borderId="24" applyBorder="1" fontId="3" applyFont="1" fillId="4" applyFill="1" applyAlignment="1">
      <alignment horizontal="left"/>
    </xf>
    <xf xfId="0" numFmtId="0" borderId="24" applyBorder="1" fontId="1" applyFont="1" fillId="2" applyFill="1" applyAlignment="1">
      <alignment horizontal="left"/>
    </xf>
    <xf xfId="0" numFmtId="164" applyNumberFormat="1" borderId="25" applyBorder="1" fontId="7" applyFont="1" fillId="2" applyFill="1" applyAlignment="1">
      <alignment horizontal="center" wrapText="1"/>
    </xf>
    <xf xfId="0" numFmtId="0" borderId="26" applyBorder="1" fontId="12" applyFont="1" fillId="9" applyFill="1" applyAlignment="1">
      <alignment horizontal="center"/>
    </xf>
    <xf xfId="0" numFmtId="0" borderId="27" applyBorder="1" fontId="12" applyFont="1" fillId="9" applyFill="1" applyAlignment="1">
      <alignment horizontal="center"/>
    </xf>
    <xf xfId="0" numFmtId="4" applyNumberFormat="1" borderId="27" applyBorder="1" fontId="12" applyFont="1" fillId="9" applyFill="1" applyAlignment="1">
      <alignment horizontal="center"/>
    </xf>
    <xf xfId="0" numFmtId="3" applyNumberFormat="1" borderId="27" applyBorder="1" fontId="12" applyFont="1" fillId="9" applyFill="1" applyAlignment="1">
      <alignment horizontal="center"/>
    </xf>
    <xf xfId="0" numFmtId="164" applyNumberFormat="1" borderId="28" applyBorder="1" fontId="12" applyFont="1" fillId="9" applyFill="1" applyAlignment="1">
      <alignment horizontal="center"/>
    </xf>
    <xf xfId="0" numFmtId="0" borderId="1" applyBorder="1" fontId="2" applyFont="1" fillId="8" applyFill="1" applyAlignment="1">
      <alignment horizontal="center"/>
    </xf>
    <xf xfId="0" numFmtId="4" applyNumberFormat="1" borderId="1" applyBorder="1" fontId="2" applyFont="1" fillId="8" applyFill="1" applyAlignment="1">
      <alignment horizontal="center"/>
    </xf>
    <xf xfId="0" numFmtId="3" applyNumberFormat="1" borderId="1" applyBorder="1" fontId="2" applyFont="1" fillId="8" applyFill="1" applyAlignment="1">
      <alignment horizontal="center"/>
    </xf>
    <xf xfId="0" numFmtId="3" applyNumberFormat="1" borderId="1" applyBorder="1" fontId="11" applyFont="1" fillId="8" applyFill="1" applyAlignment="1">
      <alignment horizontal="center"/>
    </xf>
    <xf xfId="0" numFmtId="164" applyNumberFormat="1" borderId="1" applyBorder="1" fontId="11" applyFont="1" fillId="8" applyFill="1" applyAlignment="1">
      <alignment horizontal="center"/>
    </xf>
    <xf xfId="0" numFmtId="0" borderId="1" applyBorder="1" fontId="2" applyFont="1" fillId="10" applyFill="1" applyAlignment="1">
      <alignment horizontal="center" wrapText="1"/>
    </xf>
    <xf xfId="0" numFmtId="4" applyNumberFormat="1" borderId="1" applyBorder="1" fontId="2" applyFont="1" fillId="10" applyFill="1" applyAlignment="1">
      <alignment horizontal="center" wrapText="1"/>
    </xf>
    <xf xfId="0" numFmtId="3" applyNumberFormat="1" borderId="1" applyBorder="1" fontId="2" applyFont="1" fillId="10" applyFill="1" applyAlignment="1">
      <alignment horizontal="center" wrapText="1"/>
    </xf>
    <xf xfId="0" numFmtId="164" applyNumberFormat="1" borderId="1" applyBorder="1" fontId="2" applyFont="1" fillId="10" applyFill="1" applyAlignment="1">
      <alignment horizontal="center" wrapText="1"/>
    </xf>
    <xf xfId="0" numFmtId="0" borderId="29" applyBorder="1" fontId="3" applyFont="1" fillId="4" applyFill="1" applyAlignment="1">
      <alignment horizontal="left"/>
    </xf>
    <xf xfId="0" numFmtId="0" borderId="30" applyBorder="1" fontId="3" applyFont="1" fillId="4" applyFill="1" applyAlignment="1">
      <alignment horizontal="left"/>
    </xf>
    <xf xfId="0" numFmtId="4" applyNumberFormat="1" borderId="30" applyBorder="1" fontId="3" applyFont="1" fillId="4" applyFill="1" applyAlignment="1">
      <alignment horizontal="left"/>
    </xf>
    <xf xfId="0" numFmtId="3" applyNumberFormat="1" borderId="30" applyBorder="1" fontId="3" applyFont="1" fillId="4" applyFill="1" applyAlignment="1">
      <alignment horizontal="left"/>
    </xf>
    <xf xfId="0" numFmtId="4" applyNumberFormat="1" borderId="30" applyBorder="1" fontId="4" applyFont="1" fillId="5" applyFill="1" applyAlignment="1">
      <alignment horizontal="center" wrapText="1"/>
    </xf>
    <xf xfId="0" numFmtId="4" applyNumberFormat="1" borderId="31" applyBorder="1" fontId="4" applyFont="1" fillId="5" applyFill="1" applyAlignment="1">
      <alignment horizontal="center" wrapText="1"/>
    </xf>
    <xf xfId="0" numFmtId="0" borderId="32" applyBorder="1" fontId="3" applyFont="1" fillId="4" applyFill="1" applyAlignment="1">
      <alignment horizontal="left"/>
    </xf>
    <xf xfId="0" numFmtId="4" applyNumberFormat="1" borderId="33" applyBorder="1" fontId="4" applyFont="1" fillId="5" applyFill="1" applyAlignment="1">
      <alignment horizontal="center" wrapText="1"/>
    </xf>
    <xf xfId="0" numFmtId="14" applyNumberFormat="1" borderId="1" applyBorder="1" fontId="1" applyFont="1" fillId="11" applyFill="1" applyAlignment="1">
      <alignment horizontal="left"/>
    </xf>
    <xf xfId="0" numFmtId="0" borderId="0" fontId="0" fillId="0" applyAlignment="1">
      <alignment horizontal="general"/>
    </xf>
    <xf xfId="0" numFmtId="0" borderId="32" applyBorder="1" fontId="3" applyFont="1" fillId="4" applyFill="1" applyAlignment="1">
      <alignment horizontal="left"/>
    </xf>
    <xf xfId="0" numFmtId="0" borderId="34" applyBorder="1" fontId="1" applyFont="1" fillId="0" applyAlignment="1">
      <alignment horizontal="left"/>
    </xf>
    <xf xfId="0" numFmtId="0" borderId="32" applyBorder="1" fontId="1" applyFont="1" fillId="2" applyFill="1" applyAlignment="1">
      <alignment horizontal="left"/>
    </xf>
    <xf xfId="0" numFmtId="164" applyNumberFormat="1" borderId="33" applyBorder="1" fontId="7" applyFont="1" fillId="2" applyFill="1" applyAlignment="1">
      <alignment horizontal="center" wrapText="1"/>
    </xf>
    <xf xfId="0" numFmtId="0" borderId="35" applyBorder="1" fontId="13" applyFont="1" fillId="7" applyFill="1" applyAlignment="1">
      <alignment horizontal="center"/>
    </xf>
    <xf xfId="0" numFmtId="0" borderId="36" applyBorder="1" fontId="13" applyFont="1" fillId="7" applyFill="1" applyAlignment="1">
      <alignment horizontal="center"/>
    </xf>
    <xf xfId="0" numFmtId="4" applyNumberFormat="1" borderId="36" applyBorder="1" fontId="13" applyFont="1" fillId="7" applyFill="1" applyAlignment="1">
      <alignment horizontal="center"/>
    </xf>
    <xf xfId="0" numFmtId="3" applyNumberFormat="1" borderId="36" applyBorder="1" fontId="13" applyFont="1" fillId="7" applyFill="1" applyAlignment="1">
      <alignment horizontal="center"/>
    </xf>
    <xf xfId="0" numFmtId="164" applyNumberFormat="1" borderId="37" applyBorder="1" fontId="13" applyFont="1" fillId="7" applyFill="1" applyAlignment="1">
      <alignment horizontal="center"/>
    </xf>
    <xf xfId="0" numFmtId="0" borderId="1" applyBorder="1" fontId="2" applyFont="1" fillId="10" applyFill="1" applyAlignment="1">
      <alignment horizontal="center"/>
    </xf>
    <xf xfId="0" numFmtId="4" applyNumberFormat="1" borderId="1" applyBorder="1" fontId="2" applyFont="1" fillId="10" applyFill="1" applyAlignment="1">
      <alignment horizontal="center"/>
    </xf>
    <xf xfId="0" numFmtId="3" applyNumberFormat="1" borderId="1" applyBorder="1" fontId="2" applyFont="1" fillId="10" applyFill="1" applyAlignment="1">
      <alignment horizontal="center"/>
    </xf>
    <xf xfId="0" numFmtId="3" applyNumberFormat="1" borderId="1" applyBorder="1" fontId="11" applyFont="1" fillId="10" applyFill="1" applyAlignment="1">
      <alignment horizontal="center"/>
    </xf>
    <xf xfId="0" numFmtId="164" applyNumberFormat="1" borderId="1" applyBorder="1" fontId="11" applyFont="1" fillId="10" applyFill="1" applyAlignment="1">
      <alignment horizontal="center"/>
    </xf>
    <xf xfId="0" numFmtId="0" borderId="38" applyBorder="1" fontId="11" applyFont="1" fillId="3" applyFill="1" applyAlignment="1">
      <alignment horizontal="left"/>
    </xf>
    <xf xfId="0" numFmtId="4" applyNumberFormat="1" borderId="38" applyBorder="1" fontId="11" applyFont="1" fillId="3" applyFill="1" applyAlignment="1">
      <alignment horizontal="left"/>
    </xf>
    <xf xfId="0" numFmtId="3" applyNumberFormat="1" borderId="38" applyBorder="1" fontId="11" applyFont="1" fillId="3" applyFill="1" applyAlignment="1">
      <alignment horizontal="left"/>
    </xf>
    <xf xfId="0" numFmtId="3" applyNumberFormat="1" borderId="39" applyBorder="1" fontId="2" applyFont="1" fillId="3" applyFill="1" applyAlignment="1">
      <alignment horizontal="center"/>
    </xf>
    <xf xfId="0" numFmtId="164" applyNumberFormat="1" borderId="40" applyBorder="1" fontId="2" applyFont="1" fillId="3" applyFill="1" applyAlignment="1">
      <alignment horizontal="center"/>
    </xf>
    <xf xfId="0" numFmtId="0" borderId="1" applyBorder="1" fontId="14" applyFont="1" fillId="2" applyFill="1" applyAlignment="1">
      <alignment horizontal="left"/>
    </xf>
    <xf xfId="0" numFmtId="4" applyNumberFormat="1" borderId="1" applyBorder="1" fontId="14" applyFont="1" fillId="2" applyFill="1" applyAlignment="1">
      <alignment horizontal="left"/>
    </xf>
    <xf xfId="0" numFmtId="3" applyNumberFormat="1" borderId="1" applyBorder="1" fontId="14" applyFont="1" fillId="2" applyFill="1" applyAlignment="1">
      <alignment horizontal="left"/>
    </xf>
    <xf xfId="0" numFmtId="164" applyNumberFormat="1" borderId="1" applyBorder="1" fontId="14" applyFont="1" fillId="2" applyFill="1" applyAlignment="1">
      <alignment horizontal="left"/>
    </xf>
    <xf xfId="0" numFmtId="3" applyNumberFormat="1" borderId="1" applyBorder="1" fontId="14" applyFont="1" fillId="2" applyFill="1" applyAlignment="1">
      <alignment horizontal="center"/>
    </xf>
    <xf xfId="0" numFmtId="164" applyNumberFormat="1" borderId="1" applyBorder="1" fontId="14" applyFont="1" fillId="2" applyFill="1" applyAlignment="1">
      <alignment horizontal="center"/>
    </xf>
    <xf xfId="0" numFmtId="0" borderId="41" applyBorder="1" fontId="1" applyFont="1" fillId="0" applyAlignment="1">
      <alignment horizontal="left"/>
    </xf>
    <xf xfId="0" numFmtId="0" borderId="34" applyBorder="1" fontId="15" applyFont="1" fillId="0" applyAlignment="1">
      <alignment horizontal="left"/>
    </xf>
    <xf xfId="0" numFmtId="0" borderId="42" applyBorder="1" fontId="15" applyFont="1" fillId="0" applyAlignment="1">
      <alignment horizontal="left"/>
    </xf>
    <xf xfId="0" numFmtId="0" borderId="1" applyBorder="1" fontId="2" applyFont="1" fillId="3" applyFill="1" applyAlignment="1">
      <alignment horizontal="center"/>
    </xf>
    <xf xfId="0" numFmtId="4" applyNumberFormat="1" borderId="1" applyBorder="1" fontId="2" applyFont="1" fillId="3" applyFill="1" applyAlignment="1">
      <alignment horizontal="center"/>
    </xf>
    <xf xfId="0" numFmtId="3" applyNumberFormat="1" borderId="1" applyBorder="1" fontId="2" applyFont="1" fillId="3" applyFill="1" applyAlignment="1">
      <alignment horizontal="center"/>
    </xf>
    <xf xfId="0" numFmtId="164" applyNumberFormat="1" borderId="1" applyBorder="1" fontId="2" applyFont="1" fillId="3" applyFill="1" applyAlignment="1">
      <alignment horizontal="center"/>
    </xf>
    <xf xfId="0" numFmtId="0" borderId="1" applyBorder="1" fontId="6" applyFont="1" fillId="2" applyFill="1" applyAlignment="1">
      <alignment horizontal="left"/>
    </xf>
    <xf xfId="0" numFmtId="0" borderId="5" applyBorder="1" fontId="16" applyFont="1" fillId="7" applyFill="1" applyAlignment="1">
      <alignment horizontal="left"/>
    </xf>
    <xf xfId="0" numFmtId="0" borderId="6" applyBorder="1" fontId="16" applyFont="1" fillId="7" applyFill="1" applyAlignment="1">
      <alignment horizontal="left"/>
    </xf>
    <xf xfId="0" numFmtId="4" applyNumberFormat="1" borderId="6" applyBorder="1" fontId="1" applyFont="1" fillId="7" applyFill="1" applyAlignment="1">
      <alignment horizontal="left"/>
    </xf>
    <xf xfId="0" numFmtId="3" applyNumberFormat="1" borderId="6" applyBorder="1" fontId="1" applyFont="1" fillId="7" applyFill="1" applyAlignment="1">
      <alignment horizontal="left"/>
    </xf>
    <xf xfId="0" numFmtId="164" applyNumberFormat="1" borderId="6" applyBorder="1" fontId="4" applyFont="1" fillId="5" applyFill="1" applyAlignment="1">
      <alignment horizontal="center"/>
    </xf>
    <xf xfId="0" numFmtId="164" applyNumberFormat="1" borderId="7" applyBorder="1" fontId="4" applyFont="1" fillId="5" applyFill="1" applyAlignment="1">
      <alignment horizontal="center"/>
    </xf>
    <xf xfId="0" numFmtId="0" borderId="8" applyBorder="1" fontId="16" applyFont="1" fillId="7" applyFill="1" applyAlignment="1">
      <alignment horizontal="left"/>
    </xf>
    <xf xfId="0" numFmtId="0" borderId="1" applyBorder="1" fontId="16" applyFont="1" fillId="7" applyFill="1" applyAlignment="1">
      <alignment horizontal="left"/>
    </xf>
    <xf xfId="0" numFmtId="4" applyNumberFormat="1" borderId="1" applyBorder="1" fontId="1" applyFont="1" fillId="7" applyFill="1" applyAlignment="1">
      <alignment horizontal="left"/>
    </xf>
    <xf xfId="0" numFmtId="3" applyNumberFormat="1" borderId="1" applyBorder="1" fontId="1" applyFont="1" fillId="7" applyFill="1" applyAlignment="1">
      <alignment horizontal="left"/>
    </xf>
    <xf xfId="0" numFmtId="164" applyNumberFormat="1" borderId="1" applyBorder="1" fontId="4" applyFont="1" fillId="5" applyFill="1" applyAlignment="1">
      <alignment horizontal="center"/>
    </xf>
    <xf xfId="0" numFmtId="164" applyNumberFormat="1" borderId="9" applyBorder="1" fontId="4" applyFont="1" fillId="5" applyFill="1" applyAlignment="1">
      <alignment horizontal="center"/>
    </xf>
    <xf xfId="0" numFmtId="0" borderId="10" applyBorder="1" fontId="16" applyFont="1" fillId="7" applyFill="1" applyAlignment="1">
      <alignment horizontal="left"/>
    </xf>
    <xf xfId="0" numFmtId="0" borderId="11" applyBorder="1" fontId="16" applyFont="1" fillId="7" applyFill="1" applyAlignment="1">
      <alignment horizontal="left"/>
    </xf>
    <xf xfId="0" numFmtId="4" applyNumberFormat="1" borderId="11" applyBorder="1" fontId="1" applyFont="1" fillId="7" applyFill="1" applyAlignment="1">
      <alignment horizontal="left"/>
    </xf>
    <xf xfId="0" numFmtId="3" applyNumberFormat="1" borderId="11" applyBorder="1" fontId="1" applyFont="1" fillId="7" applyFill="1" applyAlignment="1">
      <alignment horizontal="left"/>
    </xf>
    <xf xfId="0" numFmtId="164" applyNumberFormat="1" borderId="11" applyBorder="1" fontId="4" applyFont="1" fillId="5" applyFill="1" applyAlignment="1">
      <alignment horizontal="center"/>
    </xf>
    <xf xfId="0" numFmtId="164" applyNumberFormat="1" borderId="12" applyBorder="1" fontId="4" applyFont="1" fillId="5" applyFill="1" applyAlignment="1">
      <alignment horizontal="center"/>
    </xf>
    <xf xfId="0" numFmtId="0" borderId="0" fontId="0" fillId="0" applyAlignment="1">
      <alignment horizontal="general"/>
    </xf>
    <xf xfId="0" numFmtId="4" applyNumberFormat="1" borderId="0" fontId="0" fillId="0" applyAlignment="1">
      <alignment horizontal="general"/>
    </xf>
    <xf xfId="0" numFmtId="3" applyNumberFormat="1" borderId="0" fontId="0" fillId="0" applyAlignment="1">
      <alignment horizontal="general"/>
    </xf>
    <xf xfId="0" numFmtId="164" applyNumberFormat="1" borderId="0" fontId="0" fillId="0" applyAlignment="1">
      <alignment horizontal="general"/>
    </xf>
    <xf xfId="0" numFmtId="14" applyNumberFormat="1" borderId="0" fontId="0" fillId="0" applyAlignment="1">
      <alignment horizontal="general"/>
    </xf>
    <xf xfId="0" numFmtId="164" applyNumberFormat="1" borderId="0" fontId="0" fillId="0" applyAlignment="1">
      <alignment horizontal="general"/>
    </xf>
    <xf xfId="0" numFmtId="3" applyNumberFormat="1" borderId="0" fontId="0" fillId="0" applyAlignment="1">
      <alignment horizontal="general"/>
    </xf>
    <xf xfId="0" numFmtId="4" applyNumberFormat="1" borderId="0" fontId="0" fillId="0" applyAlignment="1">
      <alignment horizontal="general"/>
    </xf>
    <xf xfId="0" numFmtId="0" borderId="42" applyBorder="1" fontId="17" applyFont="1" fillId="0" applyAlignment="1">
      <alignment horizontal="left"/>
    </xf>
    <xf xfId="0" numFmtId="0" borderId="1" applyBorder="1" fontId="18" applyFont="1" fillId="3" applyFill="1" applyAlignment="1">
      <alignment horizontal="center" wrapText="1"/>
    </xf>
    <xf xfId="0" numFmtId="164" applyNumberFormat="1" borderId="1" applyBorder="1" fontId="18" applyFont="1" fillId="3" applyFill="1" applyAlignment="1">
      <alignment horizontal="center" wrapText="1"/>
    </xf>
    <xf xfId="0" numFmtId="3" applyNumberFormat="1" borderId="1" applyBorder="1" fontId="18" applyFont="1" fillId="3" applyFill="1" applyAlignment="1">
      <alignment horizontal="center" wrapText="1"/>
    </xf>
    <xf xfId="0" numFmtId="4" applyNumberFormat="1" borderId="1" applyBorder="1" fontId="18" applyFont="1" fillId="3" applyFill="1" applyAlignment="1">
      <alignment horizontal="center" wrapText="1"/>
    </xf>
    <xf xfId="0" numFmtId="4" applyNumberFormat="1" borderId="1" applyBorder="1" fontId="19" applyFont="1" fillId="2" applyFill="1" applyAlignment="1">
      <alignment horizontal="center" wrapText="1"/>
    </xf>
    <xf xfId="0" numFmtId="0" borderId="1" applyBorder="1" fontId="19" applyFont="1" fillId="2" applyFill="1" applyAlignment="1">
      <alignment horizontal="center" wrapText="1"/>
    </xf>
    <xf xfId="0" numFmtId="0" borderId="1" applyBorder="1" fontId="19" applyFont="1" fillId="2" applyFill="1" applyAlignment="1">
      <alignment horizontal="left"/>
    </xf>
    <xf xfId="0" numFmtId="0" borderId="42" applyBorder="1" fontId="20" applyFont="1" fillId="0" applyAlignment="1">
      <alignment horizontal="left" wrapText="1"/>
    </xf>
    <xf xfId="0" numFmtId="164" applyNumberFormat="1" borderId="42" applyBorder="1" fontId="20" applyFont="1" fillId="0" applyAlignment="1">
      <alignment horizontal="left" wrapText="1"/>
    </xf>
    <xf xfId="0" numFmtId="3" applyNumberFormat="1" borderId="42" applyBorder="1" fontId="20" applyFont="1" fillId="0" applyAlignment="1">
      <alignment horizontal="left" wrapText="1"/>
    </xf>
    <xf xfId="0" numFmtId="4" applyNumberFormat="1" borderId="42" applyBorder="1" fontId="20" applyFont="1" fillId="0" applyAlignment="1">
      <alignment horizontal="left" wrapText="1"/>
    </xf>
    <xf xfId="0" numFmtId="4" applyNumberFormat="1" borderId="1" applyBorder="1" fontId="21" applyFont="1" fillId="2" applyFill="1" applyAlignment="1">
      <alignment horizontal="left" wrapText="1"/>
    </xf>
    <xf xfId="0" numFmtId="0" borderId="1" applyBorder="1" fontId="21" applyFont="1" fillId="2" applyFill="1" applyAlignment="1">
      <alignment horizontal="left" wrapText="1"/>
    </xf>
    <xf xfId="0" numFmtId="0" borderId="1" applyBorder="1" fontId="21" applyFont="1" fillId="2" applyFill="1" applyAlignment="1">
      <alignment horizontal="left"/>
    </xf>
    <xf xfId="0" numFmtId="0" borderId="1" applyBorder="1" fontId="22" applyFont="1" fillId="3" applyFill="1" applyAlignment="1">
      <alignment horizontal="center" wrapText="1"/>
    </xf>
    <xf xfId="0" numFmtId="164" applyNumberFormat="1" borderId="1" applyBorder="1" fontId="22" applyFont="1" fillId="3" applyFill="1" applyAlignment="1">
      <alignment horizontal="center" wrapText="1"/>
    </xf>
    <xf xfId="0" numFmtId="0" borderId="42" applyBorder="1" fontId="23" applyFont="1" fillId="0" applyAlignment="1">
      <alignment horizontal="left"/>
    </xf>
    <xf xfId="0" numFmtId="0" borderId="1" applyBorder="1" fontId="22" applyFont="1" fillId="3" applyFill="1" applyAlignment="1">
      <alignment horizontal="center"/>
    </xf>
    <xf xfId="0" numFmtId="164" applyNumberFormat="1" borderId="1" applyBorder="1" fontId="22" applyFont="1" fillId="3" applyFill="1" applyAlignment="1">
      <alignment horizontal="center"/>
    </xf>
    <xf xfId="0" numFmtId="3" applyNumberFormat="1" borderId="1" applyBorder="1" fontId="22" applyFont="1" fillId="3" applyFill="1" applyAlignment="1">
      <alignment horizontal="center"/>
    </xf>
    <xf xfId="0" numFmtId="4" applyNumberFormat="1" borderId="1" applyBorder="1" fontId="22" applyFont="1" fillId="3" applyFill="1" applyAlignment="1">
      <alignment horizontal="center"/>
    </xf>
    <xf xfId="0" numFmtId="0" borderId="42" applyBorder="1" fontId="24" applyFont="1" fillId="0" applyAlignment="1">
      <alignment horizontal="left"/>
    </xf>
    <xf xfId="0" numFmtId="0" borderId="1" applyBorder="1" fontId="15" applyFont="1" fillId="12" applyFill="1" applyAlignment="1">
      <alignment horizontal="left"/>
    </xf>
    <xf xfId="0" numFmtId="0" borderId="1" applyBorder="1" fontId="25" applyFont="1" fillId="12" applyFill="1" applyAlignment="1">
      <alignment horizontal="left"/>
    </xf>
    <xf xfId="0" numFmtId="14" applyNumberFormat="1" borderId="1" applyBorder="1" fontId="26" applyFont="1" fillId="5" applyFill="1" applyAlignment="1">
      <alignment horizontal="center"/>
    </xf>
    <xf xfId="0" numFmtId="0" borderId="42" applyBorder="1" fontId="27" applyFont="1" fillId="0" applyAlignment="1">
      <alignment horizontal="left"/>
    </xf>
    <xf xfId="0" numFmtId="164" applyNumberFormat="1" borderId="42" applyBorder="1" fontId="28" applyFont="1" fillId="0" applyAlignment="1">
      <alignment horizontal="center"/>
    </xf>
    <xf xfId="0" numFmtId="3" applyNumberFormat="1" borderId="42" applyBorder="1" fontId="28" applyFont="1" fillId="0" applyAlignment="1">
      <alignment horizontal="center"/>
    </xf>
    <xf xfId="0" numFmtId="4" applyNumberFormat="1" borderId="42" applyBorder="1" fontId="28" applyFont="1" fillId="0" applyAlignment="1">
      <alignment horizontal="center"/>
    </xf>
    <xf xfId="0" numFmtId="164" applyNumberFormat="1" borderId="1" applyBorder="1" fontId="26" applyFont="1" fillId="5" applyFill="1" applyAlignment="1">
      <alignment horizontal="center"/>
    </xf>
    <xf xfId="0" numFmtId="0" borderId="42" applyBorder="1" fontId="25" applyFont="1" fillId="0" applyAlignment="1">
      <alignment horizontal="left"/>
    </xf>
    <xf xfId="0" numFmtId="3" applyNumberFormat="1" borderId="1" applyBorder="1" fontId="27" applyFont="1" fillId="5" applyFill="1" applyAlignment="1">
      <alignment horizontal="center"/>
    </xf>
    <xf xfId="0" numFmtId="3" applyNumberFormat="1" borderId="1" applyBorder="1" fontId="27" applyFont="1" fillId="2" applyFill="1" applyAlignment="1">
      <alignment horizontal="center"/>
    </xf>
    <xf xfId="0" numFmtId="164" applyNumberFormat="1" borderId="1" applyBorder="1" fontId="27" applyFont="1" fillId="5" applyFill="1" applyAlignment="1">
      <alignment horizontal="center"/>
    </xf>
    <xf xfId="0" numFmtId="4" applyNumberFormat="1" borderId="1" applyBorder="1" fontId="15" applyFont="1" fillId="2" applyFill="1" applyAlignment="1">
      <alignment horizontal="left"/>
    </xf>
    <xf xfId="0" numFmtId="0" borderId="1" applyBorder="1" fontId="15" applyFont="1" fillId="2" applyFill="1" applyAlignment="1">
      <alignment horizontal="left"/>
    </xf>
    <xf xfId="0" numFmtId="3" applyNumberFormat="1" borderId="1" applyBorder="1" fontId="26" applyFont="1" fillId="5" applyFill="1" applyAlignment="1">
      <alignment horizontal="center"/>
    </xf>
    <xf xfId="0" numFmtId="0" borderId="1" applyBorder="1" fontId="29" applyFont="1" fillId="13" applyFill="1" applyAlignment="1">
      <alignment horizontal="left"/>
    </xf>
    <xf xfId="0" numFmtId="3" applyNumberFormat="1" borderId="1" applyBorder="1" fontId="29" applyFont="1" fillId="13" applyFill="1" applyAlignment="1">
      <alignment horizontal="center"/>
    </xf>
    <xf xfId="0" numFmtId="164" applyNumberFormat="1" borderId="1" applyBorder="1" fontId="29" applyFont="1" fillId="13" applyFill="1" applyAlignment="1">
      <alignment horizontal="center"/>
    </xf>
    <xf xfId="0" numFmtId="0" borderId="1" applyBorder="1" fontId="30" applyFont="1" fillId="12" applyFill="1" applyAlignment="1">
      <alignment horizontal="left"/>
    </xf>
    <xf xfId="0" numFmtId="164" applyNumberFormat="1" borderId="42" applyBorder="1" fontId="27" applyFont="1" fillId="0" applyAlignment="1">
      <alignment horizontal="left"/>
    </xf>
    <xf xfId="0" numFmtId="3" applyNumberFormat="1" borderId="42" applyBorder="1" fontId="27" applyFont="1" fillId="0" applyAlignment="1">
      <alignment horizontal="left"/>
    </xf>
    <xf xfId="0" numFmtId="4" applyNumberFormat="1" borderId="42" applyBorder="1" fontId="27" applyFont="1" fillId="0" applyAlignment="1">
      <alignment horizontal="left"/>
    </xf>
    <xf xfId="0" numFmtId="4" applyNumberFormat="1" borderId="1" applyBorder="1" fontId="19" applyFont="1" fillId="2" applyFill="1" applyAlignment="1">
      <alignment horizontal="left"/>
    </xf>
    <xf xfId="0" numFmtId="4" applyNumberFormat="1" borderId="42" applyBorder="1" fontId="1" applyFont="1" fillId="0" applyAlignment="1">
      <alignment horizontal="right"/>
    </xf>
    <xf xfId="0" numFmtId="4" applyNumberFormat="1" borderId="42" applyBorder="1" fontId="15" applyFont="1" fillId="0" applyAlignment="1">
      <alignment horizontal="right"/>
    </xf>
    <xf xfId="0" numFmtId="0" borderId="42" applyBorder="1" fontId="31" applyFont="1" fillId="0" applyAlignment="1">
      <alignment horizontal="left"/>
    </xf>
    <xf xfId="0" numFmtId="4" applyNumberFormat="1" borderId="1" applyBorder="1" fontId="26" applyFont="1" fillId="5" applyFill="1" applyAlignment="1">
      <alignment horizontal="center"/>
    </xf>
    <xf xfId="0" numFmtId="164" applyNumberFormat="1" borderId="42" applyBorder="1" fontId="23" applyFont="1" fillId="0" applyAlignment="1">
      <alignment horizontal="left"/>
    </xf>
    <xf xfId="0" numFmtId="3" applyNumberFormat="1" borderId="42" applyBorder="1" fontId="23" applyFont="1" fillId="0" applyAlignment="1">
      <alignment horizontal="left"/>
    </xf>
    <xf xfId="0" numFmtId="4" applyNumberFormat="1" borderId="42" applyBorder="1" fontId="23" applyFont="1" fillId="0" applyAlignment="1">
      <alignment horizontal="left"/>
    </xf>
    <xf xfId="0" numFmtId="0" borderId="1" applyBorder="1" fontId="27" applyFont="1" fillId="14" applyFill="1" applyAlignment="1">
      <alignment horizontal="left"/>
    </xf>
    <xf xfId="0" numFmtId="0" borderId="1" applyBorder="1" fontId="32" applyFont="1" fillId="14" applyFill="1" applyAlignment="1">
      <alignment horizontal="left"/>
    </xf>
    <xf xfId="0" numFmtId="3" applyNumberFormat="1" borderId="1" applyBorder="1" fontId="32" applyFont="1" fillId="14" applyFill="1" applyAlignment="1">
      <alignment horizontal="center"/>
    </xf>
    <xf xfId="0" numFmtId="164" applyNumberFormat="1" borderId="1" applyBorder="1" fontId="32" applyFont="1" fillId="14" applyFill="1" applyAlignment="1">
      <alignment horizontal="center"/>
    </xf>
    <xf xfId="0" numFmtId="0" borderId="1" applyBorder="1" fontId="27" applyFont="1" fillId="15" applyFill="1" applyAlignment="1">
      <alignment horizontal="left"/>
    </xf>
    <xf xfId="0" numFmtId="0" borderId="1" applyBorder="1" fontId="32" applyFont="1" fillId="15" applyFill="1" applyAlignment="1">
      <alignment horizontal="left"/>
    </xf>
    <xf xfId="0" numFmtId="164" applyNumberFormat="1" borderId="1" applyBorder="1" fontId="32" applyFont="1" fillId="15" applyFill="1" applyAlignment="1">
      <alignment horizontal="left"/>
    </xf>
    <xf xfId="0" numFmtId="3" applyNumberFormat="1" borderId="1" applyBorder="1" fontId="32" applyFont="1" fillId="15" applyFill="1" applyAlignment="1">
      <alignment horizontal="left"/>
    </xf>
    <xf xfId="0" numFmtId="4" applyNumberFormat="1" borderId="1" applyBorder="1" fontId="32" applyFont="1" fillId="15" applyFill="1" applyAlignment="1">
      <alignment horizontal="left"/>
    </xf>
    <xf xfId="0" numFmtId="164" applyNumberFormat="1" borderId="1" applyBorder="1" fontId="32" applyFont="1" fillId="15" applyFill="1" applyAlignment="1">
      <alignment horizontal="center"/>
    </xf>
    <xf xfId="0" numFmtId="0" borderId="1" applyBorder="1" fontId="30" applyFont="1" fillId="2" applyFill="1" applyAlignment="1">
      <alignment horizontal="left"/>
    </xf>
    <xf xfId="0" numFmtId="164" applyNumberFormat="1" borderId="1" applyBorder="1" fontId="30" applyFont="1" fillId="2" applyFill="1" applyAlignment="1">
      <alignment horizontal="left"/>
    </xf>
    <xf xfId="0" numFmtId="3" applyNumberFormat="1" borderId="1" applyBorder="1" fontId="30" applyFont="1" fillId="2" applyFill="1" applyAlignment="1">
      <alignment horizontal="left"/>
    </xf>
    <xf xfId="0" numFmtId="4" applyNumberFormat="1" borderId="1" applyBorder="1" fontId="30" applyFont="1" fillId="2" applyFill="1" applyAlignment="1">
      <alignment horizontal="left"/>
    </xf>
    <xf xfId="0" numFmtId="164" applyNumberFormat="1" borderId="1" applyBorder="1" fontId="30" applyFont="1" fillId="2" applyFill="1" applyAlignment="1">
      <alignment horizontal="center"/>
    </xf>
    <xf xfId="0" numFmtId="0" borderId="42" applyBorder="1" fontId="33" applyFont="1" fillId="0" applyAlignment="1">
      <alignment horizontal="left"/>
    </xf>
    <xf xfId="0" numFmtId="164" applyNumberFormat="1" borderId="42" applyBorder="1" fontId="33" applyFont="1" fillId="0" applyAlignment="1">
      <alignment horizontal="left"/>
    </xf>
    <xf xfId="0" numFmtId="0" borderId="42" applyBorder="1" fontId="34" applyFont="1" fillId="0" applyAlignment="1">
      <alignment horizontal="left"/>
    </xf>
    <xf xfId="0" numFmtId="3" applyNumberFormat="1" borderId="42" applyBorder="1" fontId="33" applyFont="1" fillId="0" applyAlignment="1">
      <alignment horizontal="left"/>
    </xf>
    <xf xfId="0" numFmtId="4" applyNumberFormat="1" borderId="42" applyBorder="1" fontId="33" applyFont="1" fillId="0" applyAlignment="1">
      <alignment horizontal="left"/>
    </xf>
    <xf xfId="0" numFmtId="0" borderId="42" applyBorder="1" fontId="35" applyFont="1" fillId="0" applyAlignment="1">
      <alignment horizontal="left"/>
    </xf>
    <xf xfId="0" numFmtId="0" borderId="42" applyBorder="1" fontId="36" applyFont="1" fillId="0" applyAlignment="1">
      <alignment horizontal="left"/>
    </xf>
    <xf xfId="0" numFmtId="164" applyNumberFormat="1" borderId="42" applyBorder="1" fontId="33" applyFont="1" fillId="0" applyAlignment="1">
      <alignment horizontal="right"/>
    </xf>
    <xf xfId="0" numFmtId="0" borderId="42" applyBorder="1" fontId="37" applyFont="1" fillId="0" applyAlignment="1">
      <alignment horizontal="left"/>
    </xf>
    <xf xfId="0" numFmtId="0" borderId="43" applyBorder="1" fontId="33" applyFont="1" fillId="0" applyAlignment="1">
      <alignment horizontal="left"/>
    </xf>
    <xf xfId="0" numFmtId="0" borderId="42" applyBorder="1" fontId="38" applyFont="1" fillId="0" applyAlignment="1">
      <alignment horizontal="left"/>
    </xf>
    <xf xfId="0" numFmtId="0" borderId="42" applyBorder="1" fontId="39" applyFont="1" fillId="0" applyAlignment="1">
      <alignment horizontal="left"/>
    </xf>
    <xf xfId="0" numFmtId="164" applyNumberFormat="1" borderId="42" applyBorder="1" fontId="39" applyFont="1" fillId="0" applyAlignment="1">
      <alignment horizontal="right"/>
    </xf>
    <xf xfId="0" numFmtId="4" applyNumberFormat="1" borderId="42" applyBorder="1" fontId="33" applyFont="1" fillId="0" applyAlignment="1">
      <alignment horizontal="right"/>
    </xf>
    <xf xfId="0" numFmtId="164" applyNumberFormat="1" borderId="42" applyBorder="1" fontId="39" applyFont="1" fillId="0" applyAlignment="1">
      <alignment horizontal="left"/>
    </xf>
    <xf xfId="0" numFmtId="3" applyNumberFormat="1" borderId="42" applyBorder="1" fontId="39" applyFont="1" fillId="0" applyAlignment="1">
      <alignment horizontal="left"/>
    </xf>
    <xf xfId="0" numFmtId="4" applyNumberFormat="1" borderId="42" applyBorder="1" fontId="39" applyFont="1" fillId="0" applyAlignment="1">
      <alignment horizontal="left"/>
    </xf>
    <xf xfId="0" numFmtId="0" borderId="42" applyBorder="1" fontId="40" applyFont="1" fillId="0" applyAlignment="1">
      <alignment horizontal="left"/>
    </xf>
    <xf xfId="0" numFmtId="164" applyNumberFormat="1" borderId="42" applyBorder="1" fontId="40" applyFont="1" fillId="0" applyAlignment="1">
      <alignment horizontal="left"/>
    </xf>
    <xf xfId="0" numFmtId="3" applyNumberFormat="1" borderId="42" applyBorder="1" fontId="40" applyFont="1" fillId="0" applyAlignment="1">
      <alignment horizontal="left"/>
    </xf>
    <xf xfId="0" numFmtId="4" applyNumberFormat="1" borderId="42" applyBorder="1" fontId="40" applyFont="1" fillId="0" applyAlignment="1">
      <alignment horizontal="left"/>
    </xf>
    <xf xfId="0" numFmtId="0" borderId="1" applyBorder="1" fontId="11" applyFont="1" fillId="3" applyFill="1" applyAlignment="1">
      <alignment horizontal="center" wrapText="1"/>
    </xf>
    <xf xfId="0" numFmtId="4" applyNumberFormat="1" borderId="1" applyBorder="1" fontId="11" applyFont="1" fillId="3" applyFill="1" applyAlignment="1">
      <alignment horizontal="center" wrapText="1"/>
    </xf>
    <xf xfId="0" numFmtId="0" borderId="1" applyBorder="1" fontId="22" applyFont="1" fillId="16" applyFill="1" applyAlignment="1">
      <alignment horizontal="center"/>
    </xf>
    <xf xfId="0" numFmtId="4" applyNumberFormat="1" borderId="1" applyBorder="1" fontId="22" applyFont="1" fillId="16" applyFill="1" applyAlignment="1">
      <alignment horizontal="center"/>
    </xf>
    <xf xfId="0" numFmtId="0" borderId="42" applyBorder="1" fontId="41" applyFont="1" fillId="0" applyAlignment="1">
      <alignment horizontal="center"/>
    </xf>
    <xf xfId="0" numFmtId="0" borderId="42" applyBorder="1" fontId="22" applyFont="1" fillId="0" applyAlignment="1">
      <alignment horizontal="center"/>
    </xf>
    <xf xfId="0" numFmtId="4" applyNumberFormat="1" borderId="42" applyBorder="1" fontId="22" applyFont="1" fillId="0" applyAlignment="1">
      <alignment horizontal="center"/>
    </xf>
    <xf xfId="0" numFmtId="0" borderId="1" applyBorder="1" fontId="3" applyFont="1" fillId="9" applyFill="1" applyAlignment="1">
      <alignment horizontal="left" wrapText="1"/>
    </xf>
    <xf xfId="0" numFmtId="0" borderId="1" applyBorder="1" fontId="42" applyFont="1" fillId="9" applyFill="1" applyAlignment="1">
      <alignment horizontal="left" wrapText="1"/>
    </xf>
    <xf xfId="0" numFmtId="4" applyNumberFormat="1" borderId="1" applyBorder="1" fontId="42" applyFont="1" fillId="9" applyFill="1" applyAlignment="1">
      <alignment horizontal="left" wrapText="1"/>
    </xf>
    <xf xfId="0" numFmtId="4" applyNumberFormat="1" borderId="1" applyBorder="1" fontId="32" applyFont="1" fillId="13" applyFill="1" applyAlignment="1">
      <alignment horizontal="center"/>
    </xf>
    <xf xfId="0" numFmtId="0" borderId="42" applyBorder="1" fontId="1" applyFont="1" fillId="0" applyAlignment="1">
      <alignment horizontal="left"/>
    </xf>
    <xf xfId="0" numFmtId="4" applyNumberFormat="1" borderId="42" applyBorder="1" fontId="1" applyFont="1" fillId="0" applyAlignment="1">
      <alignment horizontal="left"/>
    </xf>
    <xf xfId="0" numFmtId="0" borderId="1" applyBorder="1" fontId="43" applyFont="1" fillId="2" applyFill="1" applyAlignment="1">
      <alignment horizontal="left" wrapText="1"/>
    </xf>
    <xf xfId="0" numFmtId="4" applyNumberFormat="1" borderId="1" applyBorder="1" fontId="43" applyFont="1" fillId="2" applyFill="1" applyAlignment="1">
      <alignment horizontal="left" wrapText="1"/>
    </xf>
    <xf xfId="0" numFmtId="0" borderId="42" applyBorder="1" fontId="44" applyFont="1" fillId="0" applyAlignment="1">
      <alignment horizontal="left"/>
    </xf>
    <xf xfId="0" numFmtId="4" applyNumberFormat="1" borderId="42" applyBorder="1" fontId="44" applyFont="1" fillId="0" applyAlignment="1">
      <alignment horizontal="left"/>
    </xf>
    <xf xfId="0" numFmtId="4" applyNumberFormat="1" borderId="42" applyBorder="1" fontId="44" applyFont="1" fillId="0" applyAlignment="1">
      <alignment horizontal="center"/>
    </xf>
    <xf xfId="0" numFmtId="0" borderId="42" applyBorder="1" fontId="44" applyFont="1" fillId="0" applyAlignment="1">
      <alignment horizontal="center"/>
    </xf>
    <xf xfId="0" numFmtId="0" borderId="1" applyBorder="1" fontId="3" applyFont="1" fillId="9" applyFill="1" applyAlignment="1">
      <alignment horizontal="center" vertical="top" wrapText="1"/>
    </xf>
    <xf xfId="0" numFmtId="0" borderId="1" applyBorder="1" fontId="42" applyFont="1" fillId="9" applyFill="1" applyAlignment="1">
      <alignment horizontal="left" vertical="top" wrapText="1"/>
    </xf>
    <xf xfId="0" numFmtId="4" applyNumberFormat="1" borderId="1" applyBorder="1" fontId="32" applyFont="1" fillId="17" applyFill="1" applyAlignment="1">
      <alignment horizontal="center" wrapText="1"/>
    </xf>
    <xf xfId="0" numFmtId="0" borderId="1" applyBorder="1" fontId="32" applyFont="1" fillId="2" applyFill="1" applyAlignment="1">
      <alignment horizontal="center" wrapText="1"/>
    </xf>
    <xf xfId="0" numFmtId="0" borderId="42" applyBorder="1" fontId="45" applyFont="1" fillId="0" applyAlignment="1">
      <alignment horizontal="left"/>
    </xf>
    <xf xfId="0" numFmtId="0" borderId="1" applyBorder="1" fontId="3" applyFont="1" fillId="9" applyFill="1" applyAlignment="1">
      <alignment horizontal="center" wrapText="1"/>
    </xf>
    <xf xfId="0" numFmtId="0" borderId="42" applyBorder="1" fontId="3" applyFont="1" fillId="0" applyAlignment="1">
      <alignment horizontal="center" wrapText="1"/>
    </xf>
    <xf xfId="0" numFmtId="4" applyNumberFormat="1" borderId="42" applyBorder="1" fontId="41" applyFont="1" fillId="0" applyAlignment="1">
      <alignment horizontal="left" wrapText="1"/>
    </xf>
    <xf xfId="0" numFmtId="4" applyNumberFormat="1" borderId="42" applyBorder="1" fontId="32" applyFont="1" fillId="0" applyAlignment="1">
      <alignment horizontal="center"/>
    </xf>
    <xf xfId="0" numFmtId="4" applyNumberFormat="1" borderId="42" applyBorder="1" fontId="20" applyFont="1" fillId="0" applyAlignment="1">
      <alignment horizontal="center"/>
    </xf>
    <xf xfId="0" numFmtId="0" borderId="42" applyBorder="1" fontId="20" applyFont="1" fillId="0" applyAlignment="1">
      <alignment horizontal="center"/>
    </xf>
    <xf xfId="0" numFmtId="164" applyNumberFormat="1" borderId="1" applyBorder="1" fontId="22" applyFont="1" fillId="18" applyFill="1" applyAlignment="1">
      <alignment horizontal="center"/>
    </xf>
    <xf xfId="0" numFmtId="0" borderId="42" applyBorder="1" fontId="46" applyFont="1" fillId="0" applyAlignment="1">
      <alignment horizontal="left" wrapText="1"/>
    </xf>
    <xf xfId="0" numFmtId="4" applyNumberFormat="1" borderId="42" applyBorder="1" fontId="46" applyFont="1" fillId="0" applyAlignment="1">
      <alignment horizontal="left" wrapText="1"/>
    </xf>
    <xf xfId="0" numFmtId="0" borderId="42" applyBorder="1" fontId="47" applyFont="1" fillId="0" applyAlignment="1">
      <alignment horizontal="left" wrapText="1"/>
    </xf>
    <xf xfId="0" numFmtId="4" applyNumberFormat="1" borderId="0" fontId="0" fillId="0" applyAlignment="1">
      <alignment horizontal="general" wrapText="1"/>
    </xf>
    <xf xfId="0" numFmtId="0" borderId="1" applyBorder="1" fontId="41" applyFont="1" fillId="17" applyFill="1" applyAlignment="1">
      <alignment horizontal="left" wrapText="1"/>
    </xf>
    <xf xfId="0" numFmtId="0" borderId="1" applyBorder="1" fontId="42" applyFont="1" fillId="17" applyFill="1" applyAlignment="1">
      <alignment horizontal="left" wrapText="1"/>
    </xf>
    <xf xfId="0" numFmtId="4" applyNumberFormat="1" borderId="1" applyBorder="1" fontId="42" applyFont="1" fillId="17" applyFill="1" applyAlignment="1">
      <alignment horizontal="left" wrapText="1"/>
    </xf>
    <xf xfId="0" numFmtId="4" applyNumberFormat="1" borderId="1" applyBorder="1" fontId="22" applyFont="1" fillId="19" applyFill="1" applyAlignment="1">
      <alignment horizontal="center"/>
    </xf>
    <xf xfId="0" numFmtId="0" borderId="1" applyBorder="1" fontId="22" applyFont="1" fillId="19" applyFill="1" applyAlignment="1">
      <alignment horizontal="center"/>
    </xf>
    <xf xfId="0" numFmtId="3" applyNumberFormat="1" borderId="42" applyBorder="1" fontId="48" applyFont="1" fillId="0" applyAlignment="1">
      <alignment horizontal="right"/>
    </xf>
    <xf xfId="0" numFmtId="0" borderId="42" applyBorder="1" fontId="48" applyFont="1" fillId="0" applyAlignment="1">
      <alignment horizontal="left"/>
    </xf>
    <xf xfId="0" numFmtId="4" applyNumberFormat="1" borderId="44" applyBorder="1" fontId="42" applyFont="1" fillId="2" applyFill="1" applyAlignment="1">
      <alignment horizontal="center"/>
    </xf>
    <xf xfId="0" numFmtId="4" applyNumberFormat="1" borderId="1" applyBorder="1" fontId="42" applyFont="1" fillId="2" applyFill="1" applyAlignment="1">
      <alignment horizontal="center"/>
    </xf>
    <xf xfId="0" numFmtId="165" applyNumberFormat="1" borderId="1" applyBorder="1" fontId="42" applyFont="1" fillId="17" applyFill="1" applyAlignment="1">
      <alignment horizontal="left" wrapText="1"/>
    </xf>
    <xf xfId="0" numFmtId="0" borderId="1" applyBorder="1" fontId="41" applyFont="1" fillId="17" applyFill="1" applyAlignment="1">
      <alignment horizontal="center" wrapText="1"/>
    </xf>
    <xf xfId="0" numFmtId="0" borderId="1" applyBorder="1" fontId="42" applyFont="1" fillId="17" applyFill="1" applyAlignment="1">
      <alignment horizontal="left" wrapText="1"/>
    </xf>
    <xf xfId="0" numFmtId="3" applyNumberFormat="1" borderId="42" applyBorder="1" fontId="49" applyFont="1" fillId="0" applyAlignment="1">
      <alignment horizontal="right"/>
    </xf>
    <xf xfId="0" numFmtId="0" borderId="42" applyBorder="1" fontId="49" applyFont="1" fillId="0" applyAlignment="1">
      <alignment horizontal="left"/>
    </xf>
    <xf xfId="0" numFmtId="0" borderId="42" applyBorder="1" fontId="41" applyFont="1" fillId="0" applyAlignment="1">
      <alignment horizontal="center" wrapText="1"/>
    </xf>
    <xf xfId="0" numFmtId="4" applyNumberFormat="1" borderId="42" applyBorder="1" fontId="42" applyFont="1" fillId="0" applyAlignment="1">
      <alignment horizontal="left" wrapText="1"/>
    </xf>
    <xf xfId="0" numFmtId="4" applyNumberFormat="1" borderId="42" applyBorder="1" fontId="49" applyFont="1" fillId="0" applyAlignment="1">
      <alignment horizontal="left"/>
    </xf>
    <xf xfId="0" numFmtId="4" applyNumberFormat="1" borderId="1" applyBorder="1" fontId="32" applyFont="1" fillId="13" applyFill="1" applyAlignment="1">
      <alignment horizontal="center" wrapText="1"/>
    </xf>
    <xf xfId="0" numFmtId="0" borderId="1" applyBorder="1" fontId="50" applyFont="1" fillId="2" applyFill="1" applyAlignment="1">
      <alignment horizontal="left"/>
    </xf>
    <xf xfId="0" numFmtId="4" applyNumberFormat="1" borderId="1" applyBorder="1" fontId="50" applyFont="1" fillId="2" applyFill="1" applyAlignment="1">
      <alignment horizontal="left"/>
    </xf>
    <xf xfId="0" numFmtId="0" borderId="1" applyBorder="1" fontId="35" applyFont="1" fillId="2" applyFill="1" applyAlignment="1">
      <alignment horizontal="left"/>
    </xf>
    <xf xfId="0" numFmtId="0" borderId="1" applyBorder="1" fontId="17" applyFont="1" fillId="2" applyFill="1" applyAlignment="1">
      <alignment horizontal="left"/>
    </xf>
    <xf xfId="0" numFmtId="4" applyNumberFormat="1" borderId="1" applyBorder="1" fontId="17" applyFont="1" fillId="2" applyFill="1" applyAlignment="1">
      <alignment horizontal="left"/>
    </xf>
    <xf xfId="0" numFmtId="4" applyNumberFormat="1" borderId="42" applyBorder="1" fontId="24" applyFont="1" fillId="0" applyAlignment="1">
      <alignment horizontal="right"/>
    </xf>
    <xf xfId="0" numFmtId="0" borderId="1" applyBorder="1" fontId="51" applyFont="1" fillId="2" applyFill="1" applyAlignment="1">
      <alignment horizontal="left"/>
    </xf>
    <xf xfId="0" numFmtId="3" applyNumberFormat="1" borderId="0" fontId="0" fillId="0" applyAlignment="1">
      <alignment horizontal="right"/>
    </xf>
    <xf xfId="0" numFmtId="4" applyNumberFormat="1" borderId="0" fontId="0" fillId="0" applyAlignment="1">
      <alignment horizontal="right"/>
    </xf>
    <xf xfId="0" numFmtId="3" applyNumberFormat="1" borderId="42" applyBorder="1" fontId="1" applyFont="1" fillId="0" applyAlignment="1">
      <alignment horizontal="center"/>
    </xf>
    <xf xfId="0" numFmtId="4" applyNumberFormat="1" borderId="42" applyBorder="1" fontId="1" applyFont="1" fillId="0" applyAlignment="1">
      <alignment horizontal="center"/>
    </xf>
    <xf xfId="0" numFmtId="0" borderId="42" applyBorder="1" fontId="1" applyFont="1" fillId="0" applyAlignment="1">
      <alignment horizontal="center"/>
    </xf>
    <xf xfId="0" numFmtId="4" applyNumberFormat="1" borderId="45" applyBorder="1" fontId="1" applyFont="1" fillId="0" applyAlignment="1">
      <alignment horizontal="center"/>
    </xf>
    <xf xfId="0" numFmtId="4" applyNumberFormat="1" borderId="46" applyBorder="1" fontId="1" applyFont="1" fillId="0" applyAlignment="1">
      <alignment horizontal="center"/>
    </xf>
    <xf xfId="0" numFmtId="3" applyNumberFormat="1" borderId="47" applyBorder="1" fontId="1" applyFont="1" fillId="0" applyAlignment="1">
      <alignment horizontal="center"/>
    </xf>
    <xf xfId="0" numFmtId="0" borderId="45" applyBorder="1" fontId="1" applyFont="1" fillId="0" applyAlignment="1">
      <alignment horizontal="center"/>
    </xf>
    <xf xfId="0" numFmtId="0" borderId="42" applyBorder="1" fontId="32" applyFont="1" fillId="0" applyAlignment="1">
      <alignment horizontal="center"/>
    </xf>
    <xf xfId="0" numFmtId="164" applyNumberFormat="1" borderId="42" applyBorder="1" fontId="1" applyFont="1" fillId="0" applyAlignment="1">
      <alignment horizontal="right"/>
    </xf>
    <xf xfId="0" numFmtId="3" applyNumberFormat="1" borderId="42" applyBorder="1" fontId="1" applyFont="1" fillId="0" applyAlignment="1">
      <alignment horizontal="right"/>
    </xf>
    <xf xfId="0" numFmtId="3" applyNumberFormat="1" borderId="48" applyBorder="1" fontId="1" applyFont="1" fillId="0" applyAlignment="1">
      <alignment horizontal="right"/>
    </xf>
    <xf xfId="0" numFmtId="4" applyNumberFormat="1" borderId="48" applyBorder="1" fontId="1" applyFont="1" fillId="0" applyAlignment="1">
      <alignment horizontal="right"/>
    </xf>
    <xf xfId="0" numFmtId="0" borderId="48" applyBorder="1" fontId="1" applyFont="1" fillId="0" applyAlignment="1">
      <alignment horizontal="left"/>
    </xf>
    <xf xfId="0" numFmtId="4" applyNumberFormat="1" borderId="48" applyBorder="1" fontId="49" applyFont="1" fillId="0" applyAlignment="1">
      <alignment horizontal="right"/>
    </xf>
    <xf xfId="0" numFmtId="0" borderId="48" applyBorder="1" fontId="49" applyFont="1" fillId="0" applyAlignment="1">
      <alignment horizontal="left"/>
    </xf>
    <xf xfId="0" numFmtId="4" applyNumberFormat="1" borderId="48" applyBorder="1" fontId="49" applyFont="1" fillId="0" applyAlignment="1">
      <alignment horizontal="left"/>
    </xf>
    <xf xfId="0" numFmtId="3" applyNumberFormat="1" borderId="42" applyBorder="1" fontId="52" applyFont="1" fillId="0" applyAlignment="1">
      <alignment horizontal="left"/>
    </xf>
    <xf xfId="0" numFmtId="0" borderId="48" applyBorder="1" fontId="1" applyFont="1" fillId="0" applyAlignment="1">
      <alignment horizontal="left"/>
    </xf>
    <xf xfId="0" numFmtId="3" applyNumberFormat="1" borderId="48" applyBorder="1" fontId="1" applyFont="1" fillId="0" applyAlignment="1">
      <alignment horizontal="left"/>
    </xf>
    <xf xfId="0" numFmtId="164" applyNumberFormat="1" borderId="48" applyBorder="1" fontId="1" applyFont="1" fillId="0" applyAlignment="1">
      <alignment horizontal="left"/>
    </xf>
    <xf xfId="0" numFmtId="3" applyNumberFormat="1" borderId="48" applyBorder="1" fontId="1" applyFont="1" fillId="0" applyAlignment="1">
      <alignment horizontal="center"/>
    </xf>
    <xf xfId="0" numFmtId="4" applyNumberFormat="1" borderId="48" applyBorder="1" fontId="1" applyFont="1" fillId="0" applyAlignment="1">
      <alignment horizontal="center"/>
    </xf>
    <xf xfId="0" numFmtId="0" borderId="48" applyBorder="1" fontId="1" applyFont="1" fillId="0" applyAlignment="1">
      <alignment horizontal="center"/>
    </xf>
    <xf xfId="0" numFmtId="0" borderId="48" applyBorder="1" fontId="1" applyFont="1" fillId="19" applyFill="1" applyAlignment="1">
      <alignment horizontal="center"/>
    </xf>
    <xf xfId="0" numFmtId="0" borderId="48" applyBorder="1" fontId="32" applyFont="1" fillId="0" applyAlignment="1">
      <alignment horizontal="center"/>
    </xf>
    <xf xfId="0" numFmtId="164" applyNumberFormat="1" borderId="48" applyBorder="1" fontId="1" applyFont="1" fillId="0" applyAlignment="1">
      <alignment horizontal="right"/>
    </xf>
    <xf xfId="0" numFmtId="0" borderId="48" applyBorder="1" fontId="1" applyFont="1" fillId="11" applyFill="1" applyAlignment="1">
      <alignment horizontal="center"/>
    </xf>
    <xf xfId="0" numFmtId="0" borderId="48" applyBorder="1" fontId="1" applyFont="1" fillId="20" applyFill="1" applyAlignment="1">
      <alignment horizontal="center"/>
    </xf>
    <xf xfId="0" numFmtId="4" applyNumberFormat="1" borderId="48" applyBorder="1" fontId="1" applyFont="1" fillId="0" applyAlignment="1">
      <alignment horizontal="left"/>
    </xf>
    <xf xfId="0" numFmtId="166" applyNumberFormat="1" borderId="42" applyBorder="1" fontId="1" applyFont="1" fillId="0" applyAlignment="1">
      <alignment horizontal="right"/>
    </xf>
    <xf xfId="0" numFmtId="3" applyNumberFormat="1" borderId="0" fontId="0" fillId="0" applyAlignment="1">
      <alignment horizontal="right"/>
    </xf>
    <xf xfId="0" numFmtId="4" applyNumberFormat="1" borderId="0" fontId="0" fillId="0" applyAlignment="1">
      <alignment horizontal="right"/>
    </xf>
    <xf xfId="0" numFmtId="4" applyNumberFormat="1" borderId="42" applyBorder="1" fontId="15" applyFont="1" fillId="0" applyAlignment="1">
      <alignment horizontal="left"/>
    </xf>
    <xf xfId="0" numFmtId="14" applyNumberFormat="1" borderId="42" applyBorder="1" fontId="15" applyFont="1" fillId="0" applyAlignment="1">
      <alignment horizontal="left"/>
    </xf>
    <xf xfId="0" numFmtId="164" applyNumberFormat="1" borderId="42" applyBorder="1" fontId="15" applyFont="1" fillId="0" applyAlignment="1">
      <alignment horizontal="left"/>
    </xf>
    <xf xfId="0" numFmtId="14" applyNumberFormat="1" borderId="1" applyBorder="1" fontId="11" applyFont="1" fillId="3" applyFill="1" applyAlignment="1">
      <alignment horizontal="center" wrapText="1"/>
    </xf>
    <xf xfId="0" numFmtId="164" applyNumberFormat="1" borderId="1" applyBorder="1" fontId="11" applyFont="1" fillId="3" applyFill="1" applyAlignment="1">
      <alignment horizontal="center" wrapText="1"/>
    </xf>
    <xf xfId="0" numFmtId="0" borderId="42" applyBorder="1" fontId="53" applyFont="1" fillId="0" applyAlignment="1">
      <alignment horizontal="left"/>
    </xf>
    <xf xfId="0" numFmtId="4" applyNumberFormat="1" borderId="42" applyBorder="1" fontId="53" applyFont="1" fillId="0" applyAlignment="1">
      <alignment horizontal="left"/>
    </xf>
    <xf xfId="0" numFmtId="14" applyNumberFormat="1" borderId="42" applyBorder="1" fontId="53" applyFont="1" fillId="0" applyAlignment="1">
      <alignment horizontal="left"/>
    </xf>
    <xf xfId="0" numFmtId="164" applyNumberFormat="1" borderId="42" applyBorder="1" fontId="53" applyFont="1" fillId="0" applyAlignment="1">
      <alignment horizontal="left"/>
    </xf>
    <xf xfId="0" numFmtId="0" borderId="42" applyBorder="1" fontId="21" applyFont="1" fillId="0" applyAlignment="1">
      <alignment horizontal="left"/>
    </xf>
    <xf xfId="0" numFmtId="0" borderId="42" applyBorder="1" fontId="54" applyFont="1" fillId="0" applyAlignment="1">
      <alignment horizontal="left"/>
    </xf>
    <xf xfId="0" numFmtId="0" borderId="42" applyBorder="1" fontId="55" applyFont="1" fillId="0" applyAlignment="1">
      <alignment horizontal="left"/>
    </xf>
    <xf xfId="0" numFmtId="0" borderId="42" applyBorder="1" fontId="54" applyFont="1" fillId="0" applyAlignment="1">
      <alignment horizontal="left" wrapText="1"/>
    </xf>
    <xf xfId="0" numFmtId="164" applyNumberFormat="1" borderId="42" applyBorder="1" fontId="54" applyFont="1" fillId="0" applyAlignment="1">
      <alignment horizontal="right" wrapText="1"/>
    </xf>
    <xf xfId="0" numFmtId="14" applyNumberFormat="1" borderId="42" applyBorder="1" fontId="54" applyFont="1" fillId="0" applyAlignment="1">
      <alignment horizontal="center" wrapText="1"/>
    </xf>
    <xf xfId="0" numFmtId="0" borderId="1" applyBorder="1" fontId="56" applyFont="1" fillId="5" applyFill="1" applyAlignment="1">
      <alignment horizontal="center" vertical="top" wrapText="1"/>
    </xf>
    <xf xfId="0" numFmtId="0" borderId="1" applyBorder="1" fontId="56" applyFont="1" fillId="5" applyFill="1" applyAlignment="1">
      <alignment horizontal="center" wrapText="1"/>
    </xf>
    <xf xfId="0" numFmtId="4" applyNumberFormat="1" borderId="1" applyBorder="1" fontId="56" applyFont="1" fillId="5" applyFill="1" applyAlignment="1">
      <alignment horizontal="center" wrapText="1"/>
    </xf>
    <xf xfId="0" numFmtId="0" borderId="1" applyBorder="1" fontId="15" applyFont="1" fillId="5" applyFill="1" applyAlignment="1">
      <alignment horizontal="left"/>
    </xf>
    <xf xfId="0" numFmtId="14" applyNumberFormat="1" borderId="1" applyBorder="1" fontId="57" applyFont="1" fillId="5" applyFill="1" applyAlignment="1">
      <alignment horizontal="left"/>
    </xf>
    <xf xfId="0" numFmtId="3" applyNumberFormat="1" borderId="49" applyBorder="1" fontId="58" applyFont="1" fillId="0" applyAlignment="1">
      <alignment horizontal="center" wrapText="1"/>
    </xf>
    <xf xfId="0" numFmtId="164" applyNumberFormat="1" borderId="1" applyBorder="1" fontId="59" applyFont="1" fillId="5" applyFill="1" applyAlignment="1">
      <alignment horizontal="left" wrapText="1"/>
    </xf>
    <xf xfId="0" numFmtId="164" applyNumberFormat="1" borderId="1" applyBorder="1" fontId="60" applyFont="1" fillId="5" applyFill="1" applyAlignment="1">
      <alignment horizontal="left" wrapText="1"/>
    </xf>
    <xf xfId="0" numFmtId="4" applyNumberFormat="1" borderId="50" applyBorder="1" fontId="60" applyFont="1" fillId="5" applyFill="1" applyAlignment="1">
      <alignment horizontal="center" wrapText="1"/>
    </xf>
    <xf xfId="0" numFmtId="164" applyNumberFormat="1" borderId="1" applyBorder="1" fontId="54" applyFont="1" fillId="2" applyFill="1" applyAlignment="1">
      <alignment horizontal="right" wrapText="1"/>
    </xf>
    <xf xfId="0" numFmtId="164" applyNumberFormat="1" borderId="51" applyBorder="1" fontId="59" applyFont="1" fillId="5" applyFill="1" applyAlignment="1">
      <alignment horizontal="left" wrapText="1"/>
    </xf>
    <xf xfId="0" numFmtId="164" applyNumberFormat="1" borderId="51" applyBorder="1" fontId="60" applyFont="1" fillId="5" applyFill="1" applyAlignment="1">
      <alignment horizontal="left" wrapText="1"/>
    </xf>
    <xf xfId="0" numFmtId="4" applyNumberFormat="1" borderId="52" applyBorder="1" fontId="60" applyFont="1" fillId="5" applyFill="1" applyAlignment="1">
      <alignment horizontal="center" wrapText="1"/>
    </xf>
    <xf xfId="0" numFmtId="164" applyNumberFormat="1" borderId="42" applyBorder="1" fontId="61" applyFont="1" fillId="0" applyAlignment="1">
      <alignment horizontal="center" wrapText="1"/>
    </xf>
    <xf xfId="0" numFmtId="4" applyNumberFormat="1" borderId="42" applyBorder="1" fontId="61" applyFont="1" fillId="0" applyAlignment="1">
      <alignment horizontal="center" wrapText="1"/>
    </xf>
    <xf xfId="0" numFmtId="0" borderId="42" applyBorder="1" fontId="62" applyFont="1" fillId="0" applyAlignment="1">
      <alignment horizontal="center" vertical="top" wrapText="1"/>
    </xf>
    <xf xfId="0" numFmtId="0" borderId="42" applyBorder="1" fontId="62" applyFont="1" fillId="0" applyAlignment="1">
      <alignment horizontal="center" wrapText="1"/>
    </xf>
    <xf xfId="0" numFmtId="4" applyNumberFormat="1" borderId="42" applyBorder="1" fontId="62" applyFont="1" fillId="0" applyAlignment="1">
      <alignment horizontal="center" wrapText="1"/>
    </xf>
    <xf xfId="0" numFmtId="14" applyNumberFormat="1" borderId="1" applyBorder="1" fontId="32" applyFont="1" fillId="9" applyFill="1" applyAlignment="1">
      <alignment horizontal="center" vertical="top" wrapText="1"/>
    </xf>
    <xf xfId="0" numFmtId="164" applyNumberFormat="1" borderId="1" applyBorder="1" fontId="32" applyFont="1" fillId="9" applyFill="1" applyAlignment="1">
      <alignment horizontal="center" wrapText="1"/>
    </xf>
    <xf xfId="0" numFmtId="164" applyNumberFormat="1" borderId="53" applyBorder="1" fontId="32" applyFont="1" fillId="9" applyFill="1" applyAlignment="1">
      <alignment horizontal="center" wrapText="1"/>
    </xf>
    <xf xfId="0" numFmtId="4" applyNumberFormat="1" borderId="49" applyBorder="1" fontId="58" applyFont="1" fillId="0" applyAlignment="1">
      <alignment horizontal="center" wrapText="1"/>
    </xf>
    <xf xfId="0" numFmtId="14" applyNumberFormat="1" borderId="1" applyBorder="1" fontId="32" applyFont="1" fillId="9" applyFill="1" applyAlignment="1">
      <alignment horizontal="center" wrapText="1"/>
    </xf>
    <xf xfId="0" numFmtId="4" applyNumberFormat="1" borderId="54" applyBorder="1" fontId="32" applyFont="1" fillId="9" applyFill="1" applyAlignment="1">
      <alignment horizontal="center" wrapText="1"/>
    </xf>
    <xf xfId="0" numFmtId="0" borderId="1" applyBorder="1" fontId="59" applyFont="1" fillId="2" applyFill="1" applyAlignment="1">
      <alignment horizontal="left" wrapText="1"/>
    </xf>
    <xf xfId="0" numFmtId="4" applyNumberFormat="1" borderId="1" applyBorder="1" fontId="59" applyFont="1" fillId="2" applyFill="1" applyAlignment="1">
      <alignment horizontal="left" wrapText="1"/>
    </xf>
    <xf xfId="0" numFmtId="14" applyNumberFormat="1" borderId="1" applyBorder="1" fontId="59" applyFont="1" fillId="2" applyFill="1" applyAlignment="1">
      <alignment horizontal="left" wrapText="1"/>
    </xf>
    <xf xfId="0" numFmtId="164" applyNumberFormat="1" borderId="1" applyBorder="1" fontId="59" applyFont="1" fillId="2" applyFill="1" applyAlignment="1">
      <alignment horizontal="left" wrapText="1"/>
    </xf>
    <xf xfId="0" numFmtId="4" applyNumberFormat="1" borderId="1" applyBorder="1" fontId="59" applyFont="1" fillId="2" applyFill="1" applyAlignment="1">
      <alignment horizontal="center"/>
    </xf>
    <xf xfId="0" numFmtId="0" borderId="42" applyBorder="1" fontId="2" applyFont="1" fillId="0" applyAlignment="1">
      <alignment horizontal="center" wrapText="1"/>
    </xf>
    <xf xfId="0" numFmtId="0" borderId="1" applyBorder="1" fontId="49" applyFont="1" fillId="2" applyFill="1" applyAlignment="1">
      <alignment horizontal="left"/>
    </xf>
    <xf xfId="0" numFmtId="4" applyNumberFormat="1" borderId="1" applyBorder="1" fontId="49" applyFont="1" fillId="2" applyFill="1" applyAlignment="1">
      <alignment horizontal="left"/>
    </xf>
    <xf xfId="0" numFmtId="14" applyNumberFormat="1" borderId="1" applyBorder="1" fontId="49" applyFont="1" fillId="2" applyFill="1" applyAlignment="1">
      <alignment horizontal="left"/>
    </xf>
    <xf xfId="0" numFmtId="164" applyNumberFormat="1" borderId="1" applyBorder="1" fontId="49" applyFont="1" fillId="2" applyFill="1" applyAlignment="1">
      <alignment horizontal="left"/>
    </xf>
    <xf xfId="0" numFmtId="0" borderId="1" applyBorder="1" fontId="22" applyFont="1" fillId="21" applyFill="1" applyAlignment="1">
      <alignment horizontal="center" vertical="top" wrapText="1"/>
    </xf>
    <xf xfId="0" numFmtId="0" borderId="1" applyBorder="1" fontId="2" applyFont="1" fillId="15" applyFill="1" applyAlignment="1">
      <alignment horizontal="center" wrapText="1"/>
    </xf>
    <xf xfId="0" numFmtId="0" borderId="1" applyBorder="1" fontId="59" applyFont="1" fillId="15" applyFill="1" applyAlignment="1">
      <alignment horizontal="left" vertical="top" wrapText="1"/>
    </xf>
    <xf xfId="0" numFmtId="4" applyNumberFormat="1" borderId="1" applyBorder="1" fontId="59" applyFont="1" fillId="15" applyFill="1" applyAlignment="1">
      <alignment horizontal="left" wrapText="1"/>
    </xf>
    <xf xfId="0" numFmtId="4" applyNumberFormat="1" borderId="1" applyBorder="1" fontId="32" applyFont="1" fillId="9" applyFill="1" applyAlignment="1">
      <alignment horizontal="center" wrapText="1"/>
    </xf>
    <xf xfId="0" numFmtId="0" borderId="1" applyBorder="1" fontId="22" applyFont="1" fillId="21" applyFill="1" applyAlignment="1">
      <alignment horizontal="center" wrapText="1"/>
    </xf>
    <xf xfId="0" numFmtId="0" borderId="1" applyBorder="1" fontId="59" applyFont="1" fillId="15" applyFill="1" applyAlignment="1">
      <alignment horizontal="left" wrapText="1"/>
    </xf>
    <xf xfId="0" numFmtId="14" applyNumberFormat="1" borderId="1" applyBorder="1" fontId="59" applyFont="1" fillId="9" applyFill="1" applyAlignment="1">
      <alignment horizontal="left" wrapText="1"/>
    </xf>
    <xf xfId="0" numFmtId="164" applyNumberFormat="1" borderId="1" applyBorder="1" fontId="59" applyFont="1" fillId="9" applyFill="1" applyAlignment="1">
      <alignment horizontal="left" wrapText="1"/>
    </xf>
    <xf xfId="0" numFmtId="4" applyNumberFormat="1" borderId="1" applyBorder="1" fontId="59" applyFont="1" fillId="9" applyFill="1" applyAlignment="1">
      <alignment horizontal="left" wrapText="1"/>
    </xf>
    <xf xfId="0" numFmtId="14" applyNumberFormat="1" borderId="1" applyBorder="1" fontId="63" applyFont="1" fillId="19" applyFill="1" applyAlignment="1">
      <alignment horizontal="center"/>
    </xf>
    <xf xfId="0" numFmtId="0" borderId="42" applyBorder="1" fontId="4" applyFont="1" fillId="0" applyAlignment="1">
      <alignment horizontal="left"/>
    </xf>
    <xf xfId="0" numFmtId="0" borderId="1" applyBorder="1" fontId="4" applyFont="1" fillId="2" applyFill="1" applyAlignment="1">
      <alignment horizontal="left"/>
    </xf>
    <xf xfId="0" numFmtId="4" applyNumberFormat="1" borderId="1" applyBorder="1" fontId="59" applyFont="1" fillId="9" applyFill="1" applyAlignment="1">
      <alignment horizontal="center"/>
    </xf>
    <xf xfId="0" numFmtId="14" applyNumberFormat="1" borderId="42" applyBorder="1" fontId="49" applyFont="1" fillId="0" applyAlignment="1">
      <alignment horizontal="left"/>
    </xf>
    <xf xfId="0" numFmtId="164" applyNumberFormat="1" borderId="42" applyBorder="1" fontId="49" applyFont="1" fillId="0" applyAlignment="1">
      <alignment horizontal="left"/>
    </xf>
    <xf xfId="0" numFmtId="0" borderId="1" applyBorder="1" fontId="22" applyFont="1" fillId="21" applyFill="1" applyAlignment="1">
      <alignment horizontal="center" vertical="top"/>
    </xf>
    <xf xfId="0" numFmtId="0" borderId="1" applyBorder="1" fontId="2" applyFont="1" fillId="15" applyFill="1" applyAlignment="1">
      <alignment horizontal="center"/>
    </xf>
    <xf xfId="0" numFmtId="0" borderId="1" applyBorder="1" fontId="22" applyFont="1" fillId="21" applyFill="1" applyAlignment="1">
      <alignment horizontal="center"/>
    </xf>
    <xf xfId="0" numFmtId="14" applyNumberFormat="1" borderId="1" applyBorder="1" fontId="59" applyFont="1" fillId="9" applyFill="1" applyAlignment="1">
      <alignment horizontal="center" wrapText="1"/>
    </xf>
    <xf xfId="0" numFmtId="164" applyNumberFormat="1" borderId="1" applyBorder="1" fontId="59" applyFont="1" fillId="9" applyFill="1" applyAlignment="1">
      <alignment horizontal="center" wrapText="1"/>
    </xf>
    <xf xfId="0" numFmtId="164" applyNumberFormat="1" borderId="1" applyBorder="1" fontId="22" applyFont="1" fillId="19" applyFill="1" applyAlignment="1">
      <alignment horizontal="center" wrapText="1"/>
    </xf>
    <xf xfId="0" numFmtId="4" applyNumberFormat="1" borderId="1" applyBorder="1" fontId="64" applyFont="1" fillId="9" applyFill="1" applyAlignment="1">
      <alignment horizontal="left"/>
    </xf>
    <xf xfId="0" numFmtId="0" borderId="1" applyBorder="1" fontId="64" applyFont="1" fillId="2" applyFill="1" applyAlignment="1">
      <alignment horizontal="left"/>
    </xf>
    <xf xfId="0" numFmtId="14" applyNumberFormat="1" borderId="1" applyBorder="1" fontId="49" applyFont="1" fillId="9" applyFill="1" applyAlignment="1">
      <alignment horizontal="center"/>
    </xf>
    <xf xfId="0" numFmtId="4" applyNumberFormat="1" borderId="1" applyBorder="1" fontId="49" applyFont="1" fillId="9" applyFill="1" applyAlignment="1">
      <alignment horizontal="center"/>
    </xf>
    <xf xfId="0" numFmtId="0" borderId="42" applyBorder="1" fontId="2" applyFont="1" fillId="0" applyAlignment="1">
      <alignment horizontal="left"/>
    </xf>
    <xf xfId="0" numFmtId="0" borderId="42" applyBorder="1" fontId="2" applyFont="1" fillId="0" applyAlignment="1">
      <alignment horizontal="center"/>
    </xf>
    <xf xfId="0" numFmtId="0" borderId="42" applyBorder="1" fontId="59" applyFont="1" fillId="0" applyAlignment="1">
      <alignment horizontal="left" wrapText="1"/>
    </xf>
    <xf xfId="0" numFmtId="4" applyNumberFormat="1" borderId="42" applyBorder="1" fontId="59" applyFont="1" fillId="0" applyAlignment="1">
      <alignment horizontal="left" wrapText="1"/>
    </xf>
    <xf xfId="0" numFmtId="4" applyNumberFormat="1" borderId="42" applyBorder="1" fontId="59" applyFont="1" fillId="0" applyAlignment="1">
      <alignment horizontal="center"/>
    </xf>
    <xf xfId="0" numFmtId="0" borderId="1" applyBorder="1" fontId="2" applyFont="1" fillId="2" applyFill="1" applyAlignment="1">
      <alignment horizontal="left"/>
    </xf>
    <xf xfId="0" numFmtId="164" applyNumberFormat="1" borderId="42" applyBorder="1" fontId="64" applyFont="1" fillId="0" applyAlignment="1">
      <alignment horizontal="left"/>
    </xf>
    <xf xfId="0" numFmtId="0" borderId="1" applyBorder="1" fontId="65" applyFont="1" fillId="14" applyFill="1" applyAlignment="1">
      <alignment horizontal="center" vertical="top" wrapText="1"/>
    </xf>
    <xf xfId="0" numFmtId="0" borderId="1" applyBorder="1" fontId="65" applyFont="1" fillId="17" applyFill="1" applyAlignment="1">
      <alignment horizontal="center" wrapText="1"/>
    </xf>
    <xf xfId="0" numFmtId="0" borderId="1" applyBorder="1" fontId="32" applyFont="1" fillId="17" applyFill="1" applyAlignment="1">
      <alignment horizontal="left"/>
    </xf>
    <xf xfId="0" numFmtId="4" applyNumberFormat="1" borderId="1" applyBorder="1" fontId="32" applyFont="1" fillId="17" applyFill="1" applyAlignment="1">
      <alignment horizontal="left"/>
    </xf>
    <xf xfId="0" numFmtId="4" applyNumberFormat="1" borderId="1" applyBorder="1" fontId="42" applyFont="1" fillId="13" applyFill="1" applyAlignment="1">
      <alignment horizontal="center"/>
    </xf>
    <xf xfId="0" numFmtId="4" applyNumberFormat="1" borderId="42" applyBorder="1" fontId="34" applyFont="1" fillId="0" applyAlignment="1">
      <alignment horizontal="left"/>
    </xf>
    <xf xfId="0" numFmtId="0" borderId="1" applyBorder="1" fontId="65" applyFont="1" fillId="14" applyFill="1" applyAlignment="1">
      <alignment horizontal="center" wrapText="1"/>
    </xf>
    <xf xfId="0" numFmtId="0" borderId="42" applyBorder="1" fontId="65" applyFont="1" fillId="0" applyAlignment="1">
      <alignment horizontal="center" wrapText="1"/>
    </xf>
    <xf xfId="0" numFmtId="0" borderId="42" applyBorder="1" fontId="32" applyFont="1" fillId="0" applyAlignment="1">
      <alignment horizontal="left"/>
    </xf>
    <xf xfId="0" numFmtId="4" applyNumberFormat="1" borderId="42" applyBorder="1" fontId="32" applyFont="1" fillId="0" applyAlignment="1">
      <alignment horizontal="left"/>
    </xf>
    <xf xfId="0" numFmtId="4" applyNumberFormat="1" borderId="42" applyBorder="1" fontId="42" applyFont="1" fillId="0" applyAlignment="1">
      <alignment horizontal="center"/>
    </xf>
    <xf xfId="0" numFmtId="0" borderId="1" applyBorder="1" fontId="32" applyFont="1" fillId="17" applyFill="1" applyAlignment="1">
      <alignment horizontal="left" vertical="top"/>
    </xf>
    <xf xfId="0" numFmtId="0" borderId="42" applyBorder="1" fontId="66" applyFont="1" fillId="0" applyAlignment="1">
      <alignment horizontal="left"/>
    </xf>
    <xf xfId="0" numFmtId="14" applyNumberFormat="1" borderId="42" applyBorder="1" fontId="32" applyFont="1" fillId="0" applyAlignment="1">
      <alignment horizontal="center" wrapText="1"/>
    </xf>
    <xf xfId="0" numFmtId="164" applyNumberFormat="1" borderId="42" applyBorder="1" fontId="32" applyFont="1" fillId="0" applyAlignment="1">
      <alignment horizontal="center" wrapText="1"/>
    </xf>
    <xf xfId="0" numFmtId="3" applyNumberFormat="1" borderId="1" applyBorder="1" fontId="42" applyFont="1" fillId="13" applyFill="1" applyAlignment="1">
      <alignment horizontal="center"/>
    </xf>
    <xf xfId="0" numFmtId="0" borderId="1" applyBorder="1" fontId="65" applyFont="1" fillId="2" applyFill="1" applyAlignment="1">
      <alignment horizontal="center" wrapText="1"/>
    </xf>
    <xf xfId="0" numFmtId="0" borderId="42" applyBorder="1" fontId="59" applyFont="1" fillId="0" applyAlignment="1">
      <alignment horizontal="left"/>
    </xf>
    <xf xfId="0" numFmtId="4" applyNumberFormat="1" borderId="42" applyBorder="1" fontId="59" applyFont="1" fillId="0" applyAlignment="1">
      <alignment horizontal="left"/>
    </xf>
    <xf xfId="0" numFmtId="3" applyNumberFormat="1" borderId="42" applyBorder="1" fontId="22" applyFont="1" fillId="0" applyAlignment="1">
      <alignment horizontal="center"/>
    </xf>
    <xf xfId="0" numFmtId="164" applyNumberFormat="1" borderId="1" applyBorder="1" fontId="22" applyFont="1" fillId="10" applyFill="1" applyAlignment="1">
      <alignment horizontal="center"/>
    </xf>
    <xf xfId="0" numFmtId="0" borderId="42" applyBorder="1" fontId="65" applyFont="1" fillId="0" applyAlignment="1">
      <alignment horizontal="left" wrapText="1"/>
    </xf>
    <xf xfId="0" numFmtId="0" borderId="42" applyBorder="1" fontId="67" applyFont="1" fillId="0" applyAlignment="1">
      <alignment horizontal="left" wrapText="1"/>
    </xf>
    <xf xfId="0" numFmtId="4" applyNumberFormat="1" borderId="42" applyBorder="1" fontId="67" applyFont="1" fillId="0" applyAlignment="1">
      <alignment horizontal="left" wrapText="1"/>
    </xf>
    <xf xfId="0" numFmtId="14" applyNumberFormat="1" borderId="42" applyBorder="1" fontId="67" applyFont="1" fillId="0" applyAlignment="1">
      <alignment horizontal="left" wrapText="1"/>
    </xf>
    <xf xfId="0" numFmtId="164" applyNumberFormat="1" borderId="42" applyBorder="1" fontId="67" applyFont="1" fillId="0" applyAlignment="1">
      <alignment horizontal="left" wrapText="1"/>
    </xf>
    <xf xfId="0" numFmtId="4" applyNumberFormat="1" borderId="42" applyBorder="1" fontId="17" applyFont="1" fillId="0" applyAlignment="1">
      <alignment horizontal="left"/>
    </xf>
    <xf xfId="0" numFmtId="0" borderId="42" applyBorder="1" fontId="68" applyFont="1" fillId="0" applyAlignment="1">
      <alignment horizontal="left" wrapText="1"/>
    </xf>
    <xf xfId="0" numFmtId="4" applyNumberFormat="1" borderId="42" applyBorder="1" fontId="68" applyFont="1" fillId="0" applyAlignment="1">
      <alignment horizontal="left" wrapText="1"/>
    </xf>
    <xf xfId="0" numFmtId="14" applyNumberFormat="1" borderId="42" applyBorder="1" fontId="59" applyFont="1" fillId="0" applyAlignment="1">
      <alignment horizontal="left" wrapText="1"/>
    </xf>
    <xf xfId="0" numFmtId="164" applyNumberFormat="1" borderId="42" applyBorder="1" fontId="59" applyFont="1" fillId="0" applyAlignment="1">
      <alignment horizontal="left" wrapText="1"/>
    </xf>
    <xf xfId="0" numFmtId="14" applyNumberFormat="1" borderId="42" applyBorder="1" fontId="32" applyFont="1" fillId="0" applyAlignment="1">
      <alignment horizontal="left"/>
    </xf>
    <xf xfId="0" numFmtId="164" applyNumberFormat="1" borderId="42" applyBorder="1" fontId="32" applyFont="1" fillId="0" applyAlignment="1">
      <alignment horizontal="left"/>
    </xf>
    <xf xfId="0" numFmtId="164" applyNumberFormat="1" borderId="42" applyBorder="1" fontId="22" applyFont="1" fillId="0" applyAlignment="1">
      <alignment horizontal="center"/>
    </xf>
    <xf xfId="0" numFmtId="3" applyNumberFormat="1" borderId="42" applyBorder="1" fontId="22" applyFont="1" fillId="0" applyAlignment="1">
      <alignment horizontal="right" wrapText="1"/>
    </xf>
    <xf xfId="0" numFmtId="0" borderId="42" applyBorder="1" fontId="32" applyFont="1" fillId="0" applyAlignment="1">
      <alignment horizontal="left" wrapText="1"/>
    </xf>
    <xf xfId="0" numFmtId="4" applyNumberFormat="1" borderId="42" applyBorder="1" fontId="32" applyFont="1" fillId="0" applyAlignment="1">
      <alignment horizontal="left" wrapText="1"/>
    </xf>
    <xf xfId="0" numFmtId="14" applyNumberFormat="1" borderId="42" applyBorder="1" fontId="32" applyFont="1" fillId="0" applyAlignment="1">
      <alignment horizontal="left" wrapText="1"/>
    </xf>
    <xf xfId="0" numFmtId="164" applyNumberFormat="1" borderId="42" applyBorder="1" fontId="32" applyFont="1" fillId="0" applyAlignment="1">
      <alignment horizontal="left" wrapText="1"/>
    </xf>
    <xf xfId="0" numFmtId="4" applyNumberFormat="1" borderId="42" applyBorder="1" fontId="32" applyFont="1" fillId="0" applyAlignment="1">
      <alignment horizontal="center" wrapText="1"/>
    </xf>
    <xf xfId="0" numFmtId="0" borderId="42" applyBorder="1" fontId="69" applyFont="1" fillId="0" applyAlignment="1">
      <alignment horizontal="left"/>
    </xf>
    <xf xfId="0" numFmtId="0" borderId="55" applyBorder="1" fontId="17" applyFont="1" fillId="0" applyAlignment="1">
      <alignment horizontal="left"/>
    </xf>
    <xf xfId="0" numFmtId="0" borderId="42" applyBorder="1" fontId="70" applyFont="1" fillId="0" applyAlignment="1">
      <alignment horizontal="left"/>
    </xf>
    <xf xfId="0" numFmtId="0" borderId="56" applyBorder="1" fontId="1" applyFont="1" fillId="0" applyAlignment="1">
      <alignment horizontal="left"/>
    </xf>
    <xf xfId="0" numFmtId="164" applyNumberFormat="1" borderId="42" applyBorder="1" fontId="38" applyFont="1" fillId="0" applyAlignment="1">
      <alignment horizontal="left"/>
    </xf>
    <xf xfId="0" numFmtId="0" borderId="42" applyBorder="1" fontId="71" applyFont="1" fillId="0" applyAlignment="1">
      <alignment horizontal="left"/>
    </xf>
    <xf xfId="0" numFmtId="164" applyNumberFormat="1" borderId="42" applyBorder="1" fontId="72" applyFont="1" fillId="0" applyAlignment="1">
      <alignment horizontal="left"/>
    </xf>
    <xf xfId="0" numFmtId="4" applyNumberFormat="1" borderId="42" applyBorder="1" fontId="35" applyFont="1" fillId="0" applyAlignment="1">
      <alignment horizontal="left"/>
    </xf>
    <xf xfId="0" numFmtId="14" applyNumberFormat="1" borderId="42" applyBorder="1" fontId="35" applyFont="1" fillId="0" applyAlignment="1">
      <alignment horizontal="left"/>
    </xf>
    <xf xfId="0" numFmtId="4" applyNumberFormat="1" borderId="42" applyBorder="1" fontId="35" applyFont="1" fillId="0" applyAlignment="1">
      <alignment horizontal="right"/>
    </xf>
    <xf xfId="0" numFmtId="164" applyNumberFormat="1" borderId="42" applyBorder="1" fontId="15" applyFont="1" fillId="0" applyAlignment="1">
      <alignment horizontal="right"/>
    </xf>
    <xf xfId="0" numFmtId="164" applyNumberFormat="1" borderId="42" applyBorder="1" fontId="35" applyFont="1" fillId="0" applyAlignment="1">
      <alignment horizontal="right"/>
    </xf>
    <xf xfId="0" numFmtId="0" borderId="42" applyBorder="1" fontId="73" applyFont="1" fillId="0" applyAlignment="1">
      <alignment horizontal="left"/>
    </xf>
    <xf xfId="0" numFmtId="4" applyNumberFormat="1" borderId="42" applyBorder="1" fontId="73" applyFont="1" fillId="0" applyAlignment="1">
      <alignment horizontal="left"/>
    </xf>
    <xf xfId="0" numFmtId="14" applyNumberFormat="1" borderId="42" applyBorder="1" fontId="73" applyFont="1" fillId="0" applyAlignment="1">
      <alignment horizontal="left"/>
    </xf>
    <xf xfId="0" numFmtId="164" applyNumberFormat="1" borderId="42" applyBorder="1" fontId="73" applyFont="1" fillId="0" applyAlignment="1">
      <alignment horizontal="left"/>
    </xf>
    <xf xfId="0" numFmtId="0" borderId="42" applyBorder="1" fontId="74" applyFont="1" fillId="0" applyAlignment="1">
      <alignment horizontal="left"/>
    </xf>
    <xf xfId="0" numFmtId="4" applyNumberFormat="1" borderId="42" applyBorder="1" fontId="74" applyFont="1" fillId="0" applyAlignment="1">
      <alignment horizontal="left"/>
    </xf>
    <xf xfId="0" numFmtId="4" applyNumberFormat="1" borderId="42" applyBorder="1" fontId="75" applyFont="1" fillId="0" applyAlignment="1">
      <alignment horizontal="left"/>
    </xf>
    <xf xfId="0" numFmtId="0" borderId="42" applyBorder="1" fontId="75" applyFont="1" fillId="0" applyAlignment="1">
      <alignment horizontal="left"/>
    </xf>
    <xf xfId="0" numFmtId="14" applyNumberFormat="1" borderId="42" applyBorder="1" fontId="75" applyFont="1" fillId="0" applyAlignment="1">
      <alignment horizontal="left"/>
    </xf>
    <xf xfId="0" numFmtId="0" borderId="57" applyBorder="1" fontId="75" applyFont="1" fillId="9" applyFill="1" applyAlignment="1">
      <alignment horizontal="left"/>
    </xf>
    <xf xfId="0" numFmtId="4" applyNumberFormat="1" borderId="58" applyBorder="1" fontId="75" applyFont="1" fillId="9" applyFill="1" applyAlignment="1">
      <alignment horizontal="left"/>
    </xf>
    <xf xfId="0" numFmtId="0" borderId="59" applyBorder="1" fontId="75" applyFont="1" fillId="9" applyFill="1" applyAlignment="1">
      <alignment horizontal="left"/>
    </xf>
    <xf xfId="0" numFmtId="4" applyNumberFormat="1" borderId="60" applyBorder="1" fontId="48" applyFont="1" fillId="9" applyFill="1" applyAlignment="1">
      <alignment horizontal="right"/>
    </xf>
    <xf xfId="0" numFmtId="14" applyNumberFormat="1" borderId="42" applyBorder="1" fontId="57" applyFont="1" fillId="0" applyAlignment="1">
      <alignment horizontal="left"/>
    </xf>
    <xf xfId="0" numFmtId="4" applyNumberFormat="1" borderId="60" applyBorder="1" fontId="75" applyFont="1" fillId="9" applyFill="1" applyAlignment="1">
      <alignment horizontal="right"/>
    </xf>
    <xf xfId="0" numFmtId="164" applyNumberFormat="1" borderId="60" applyBorder="1" fontId="75" applyFont="1" fillId="9" applyFill="1" applyAlignment="1">
      <alignment horizontal="right"/>
    </xf>
    <xf xfId="0" numFmtId="3" applyNumberFormat="1" borderId="60" applyBorder="1" fontId="75" applyFont="1" fillId="9" applyFill="1" applyAlignment="1">
      <alignment horizontal="right"/>
    </xf>
    <xf xfId="0" numFmtId="4" applyNumberFormat="1" borderId="60" applyBorder="1" fontId="75" applyFont="1" fillId="22" applyFill="1" applyAlignment="1">
      <alignment horizontal="right"/>
    </xf>
    <xf xfId="0" numFmtId="0" borderId="59" applyBorder="1" fontId="35" applyFont="1" fillId="9" applyFill="1" applyAlignment="1">
      <alignment horizontal="left"/>
    </xf>
    <xf xfId="0" numFmtId="4" applyNumberFormat="1" borderId="60" applyBorder="1" fontId="35" applyFont="1" fillId="9" applyFill="1" applyAlignment="1">
      <alignment horizontal="left"/>
    </xf>
    <xf xfId="0" numFmtId="0" borderId="42" applyBorder="1" fontId="76" applyFont="1" fillId="0" applyAlignment="1">
      <alignment horizontal="left"/>
    </xf>
    <xf xfId="0" numFmtId="0" borderId="61" applyBorder="1" fontId="75" applyFont="1" fillId="9" applyFill="1" applyAlignment="1">
      <alignment horizontal="left"/>
    </xf>
    <xf xfId="0" numFmtId="4" applyNumberFormat="1" borderId="62" applyBorder="1" fontId="75" applyFont="1" fillId="9" applyFill="1" applyAlignment="1">
      <alignment horizontal="right"/>
    </xf>
    <xf xfId="0" numFmtId="4" applyNumberFormat="1" borderId="58" applyBorder="1" fontId="75" applyFont="1" fillId="9" applyFill="1" applyAlignment="1">
      <alignment horizontal="right"/>
    </xf>
    <xf xfId="0" numFmtId="4" applyNumberFormat="1" borderId="62" applyBorder="1" fontId="75" applyFont="1" fillId="22" applyFill="1" applyAlignment="1">
      <alignment horizontal="right"/>
    </xf>
    <xf xfId="0" numFmtId="0" borderId="63" applyBorder="1" fontId="35" applyFont="1" fillId="0" applyAlignment="1">
      <alignment horizontal="left"/>
    </xf>
    <xf xfId="0" numFmtId="14" applyNumberFormat="1" borderId="64" applyBorder="1" fontId="35" applyFont="1" fillId="0" applyAlignment="1">
      <alignment horizontal="left"/>
    </xf>
    <xf xfId="0" numFmtId="0" borderId="65" applyBorder="1" fontId="35" applyFont="1" fillId="0" applyAlignment="1">
      <alignment horizontal="left"/>
    </xf>
    <xf xfId="0" numFmtId="4" applyNumberFormat="1" borderId="66" applyBorder="1" fontId="35" applyFont="1" fillId="0" applyAlignment="1">
      <alignment horizontal="right"/>
    </xf>
    <xf xfId="0" numFmtId="164" applyNumberFormat="1" borderId="66" applyBorder="1" fontId="35" applyFont="1" fillId="0" applyAlignment="1">
      <alignment horizontal="right"/>
    </xf>
    <xf xfId="0" numFmtId="0" borderId="65" applyBorder="1" fontId="57" applyFont="1" fillId="0" applyAlignment="1">
      <alignment horizontal="left"/>
    </xf>
    <xf xfId="0" numFmtId="14" applyNumberFormat="1" borderId="66" applyBorder="1" fontId="57" applyFont="1" fillId="0" applyAlignment="1">
      <alignment horizontal="left"/>
    </xf>
    <xf xfId="0" numFmtId="4" applyNumberFormat="1" borderId="66" applyBorder="1" fontId="57" applyFont="1" fillId="0" applyAlignment="1">
      <alignment horizontal="left"/>
    </xf>
    <xf xfId="0" numFmtId="0" borderId="67" applyBorder="1" fontId="57" applyFont="1" fillId="0" applyAlignment="1">
      <alignment horizontal="left"/>
    </xf>
    <xf xfId="0" numFmtId="4" applyNumberFormat="1" borderId="68" applyBorder="1" fontId="57" applyFont="1" fillId="0" applyAlignment="1">
      <alignment horizontal="right"/>
    </xf>
    <xf xfId="0" numFmtId="0" borderId="42" applyBorder="1" fontId="57" applyFont="1" fillId="0" applyAlignment="1">
      <alignment horizontal="left"/>
    </xf>
    <xf xfId="0" numFmtId="4" applyNumberFormat="1" borderId="42" applyBorder="1" fontId="57" applyFont="1" fillId="0" applyAlignment="1">
      <alignment horizontal="right"/>
    </xf>
    <xf xfId="0" numFmtId="0" borderId="42" applyBorder="1" fontId="77" applyFont="1" fillId="0" applyAlignment="1">
      <alignment horizontal="left"/>
    </xf>
    <xf xfId="0" numFmtId="4" applyNumberFormat="1" borderId="42" applyBorder="1" fontId="17" applyFont="1" fillId="0" applyAlignment="1">
      <alignment horizontal="right"/>
    </xf>
    <xf xfId="0" numFmtId="4" applyNumberFormat="1" borderId="42" applyBorder="1" fontId="48" applyFont="1" fillId="0" applyAlignment="1">
      <alignment horizontal="right"/>
    </xf>
    <xf xfId="0" numFmtId="3" applyNumberFormat="1" borderId="1" applyBorder="1" fontId="52" applyFont="1" fillId="11" applyFill="1" applyAlignment="1">
      <alignment horizontal="center"/>
    </xf>
    <xf xfId="0" numFmtId="14" applyNumberFormat="1" borderId="1" applyBorder="1" fontId="52" applyFont="1" fillId="11" applyFill="1" applyAlignment="1">
      <alignment horizontal="center"/>
    </xf>
    <xf xfId="0" numFmtId="4" applyNumberFormat="1" borderId="1" applyBorder="1" fontId="52" applyFont="1" fillId="11" applyFill="1" applyAlignment="1">
      <alignment horizontal="center"/>
    </xf>
    <xf xfId="0" numFmtId="167" applyNumberFormat="1" borderId="1" applyBorder="1" fontId="52" applyFont="1" fillId="11" applyFill="1" applyAlignment="1">
      <alignment horizontal="center"/>
    </xf>
    <xf xfId="0" numFmtId="0" borderId="1" applyBorder="1" fontId="52" applyFont="1" fillId="11" applyFill="1" applyAlignment="1">
      <alignment horizontal="center"/>
    </xf>
    <xf xfId="0" numFmtId="3" applyNumberFormat="1" borderId="1" applyBorder="1" fontId="1" applyFont="1" fillId="14" applyFill="1" applyAlignment="1">
      <alignment horizontal="center"/>
    </xf>
    <xf xfId="0" numFmtId="14" applyNumberFormat="1" borderId="1" applyBorder="1" fontId="1" applyFont="1" fillId="14" applyFill="1" applyAlignment="1">
      <alignment horizontal="center"/>
    </xf>
    <xf xfId="0" numFmtId="164" applyNumberFormat="1" borderId="1" applyBorder="1" fontId="1" applyFont="1" fillId="14" applyFill="1" applyAlignment="1">
      <alignment horizontal="center"/>
    </xf>
    <xf xfId="0" numFmtId="0" borderId="1" applyBorder="1" fontId="1" applyFont="1" fillId="14" applyFill="1" applyAlignment="1">
      <alignment horizontal="center"/>
    </xf>
    <xf xfId="0" numFmtId="4" applyNumberFormat="1" borderId="1" applyBorder="1" fontId="1" applyFont="1" fillId="14" applyFill="1" applyAlignment="1">
      <alignment horizontal="center"/>
    </xf>
    <xf xfId="0" numFmtId="3" applyNumberFormat="1" borderId="1" applyBorder="1" fontId="1" applyFont="1" fillId="23" applyFill="1" applyAlignment="1">
      <alignment horizontal="center"/>
    </xf>
    <xf xfId="0" numFmtId="14" applyNumberFormat="1" borderId="1" applyBorder="1" fontId="1" applyFont="1" fillId="23" applyFill="1" applyAlignment="1">
      <alignment horizontal="center"/>
    </xf>
    <xf xfId="0" numFmtId="164" applyNumberFormat="1" borderId="1" applyBorder="1" fontId="1" applyFont="1" fillId="23" applyFill="1" applyAlignment="1">
      <alignment horizontal="center"/>
    </xf>
    <xf xfId="0" numFmtId="0" borderId="1" applyBorder="1" fontId="1" applyFont="1" fillId="23" applyFill="1" applyAlignment="1">
      <alignment horizontal="center"/>
    </xf>
    <xf xfId="0" numFmtId="4" applyNumberFormat="1" borderId="1" applyBorder="1" fontId="1" applyFont="1" fillId="23" applyFill="1" applyAlignment="1">
      <alignment horizontal="center"/>
    </xf>
    <xf xfId="0" numFmtId="167" applyNumberFormat="1" borderId="0" fontId="0" fillId="0" applyAlignment="1">
      <alignment horizontal="right"/>
    </xf>
    <xf xfId="0" numFmtId="14" applyNumberFormat="1" borderId="48" applyBorder="1" fontId="1" applyFont="1" fillId="0" applyAlignment="1">
      <alignment horizontal="left"/>
    </xf>
    <xf xfId="0" numFmtId="0" borderId="1" applyBorder="1" fontId="1" applyFont="1" fillId="23" applyFill="1" applyAlignment="1">
      <alignment horizontal="left"/>
    </xf>
    <xf xfId="0" numFmtId="4" applyNumberFormat="1" borderId="1" applyBorder="1" fontId="78" applyFont="1" fillId="24" applyFill="1" applyAlignment="1">
      <alignment horizontal="center"/>
    </xf>
    <xf xfId="0" numFmtId="4" applyNumberFormat="1" borderId="1" applyBorder="1" fontId="78" applyFont="1" fillId="25" applyFill="1" applyAlignment="1">
      <alignment horizontal="center"/>
    </xf>
    <xf xfId="0" numFmtId="167" applyNumberFormat="1" borderId="1" applyBorder="1" fontId="78" applyFont="1" fillId="25" applyFill="1" applyAlignment="1">
      <alignment horizontal="center"/>
    </xf>
    <xf xfId="0" numFmtId="0" borderId="1" applyBorder="1" fontId="78" applyFont="1" fillId="25" applyFill="1" applyAlignment="1">
      <alignment horizontal="center"/>
    </xf>
    <xf xfId="0" numFmtId="164" applyNumberFormat="1" borderId="1" applyBorder="1" fontId="78" applyFont="1" fillId="24" applyFill="1" applyAlignment="1">
      <alignment horizontal="center"/>
    </xf>
    <xf xfId="0" numFmtId="164" applyNumberFormat="1" borderId="48" applyBorder="1" fontId="1" applyFont="1" fillId="0" applyAlignment="1">
      <alignment horizontal="center"/>
    </xf>
    <xf xfId="0" numFmtId="4" applyNumberFormat="1" borderId="1" applyBorder="1" fontId="44" applyFont="1" fillId="11" applyFill="1" applyAlignment="1">
      <alignment horizontal="left"/>
    </xf>
    <xf xfId="0" numFmtId="4" applyNumberFormat="1" borderId="69" applyBorder="1" fontId="1" applyFont="1" fillId="11" applyFill="1" applyAlignment="1">
      <alignment horizontal="center"/>
    </xf>
    <xf xfId="0" numFmtId="4" applyNumberFormat="1" borderId="70" applyBorder="1" fontId="1" applyFont="1" fillId="11" applyFill="1" applyAlignment="1">
      <alignment horizontal="right"/>
    </xf>
    <xf xfId="0" numFmtId="14" applyNumberFormat="1" borderId="42" applyBorder="1" fontId="1" applyFont="1" fillId="0" applyAlignment="1">
      <alignment horizontal="left"/>
    </xf>
    <xf xfId="0" numFmtId="0" borderId="48" applyBorder="1" fontId="1" applyFont="1" fillId="0" applyAlignment="1">
      <alignment horizontal="center"/>
    </xf>
    <xf xfId="0" numFmtId="0" borderId="42" applyBorder="1" fontId="1" applyFont="1" fillId="0" applyAlignment="1">
      <alignment horizontal="left"/>
    </xf>
    <xf xfId="0" numFmtId="14" applyNumberFormat="1" borderId="1" applyBorder="1" fontId="78" applyFont="1" fillId="25" applyFill="1" applyAlignment="1">
      <alignment horizontal="center"/>
    </xf>
    <xf xfId="0" numFmtId="164" applyNumberFormat="1" borderId="1" applyBorder="1" fontId="78" applyFont="1" fillId="25" applyFill="1" applyAlignment="1">
      <alignment horizontal="center"/>
    </xf>
    <xf xfId="0" numFmtId="167" applyNumberFormat="1" borderId="47" applyBorder="1" fontId="1" applyFont="1" fillId="0" applyAlignment="1">
      <alignment horizontal="right"/>
    </xf>
    <xf xfId="0" numFmtId="4" applyNumberFormat="1" borderId="47" applyBorder="1" fontId="1" applyFont="1" fillId="0" applyAlignment="1">
      <alignment horizontal="right"/>
    </xf>
    <xf xfId="0" numFmtId="164" applyNumberFormat="1" borderId="48" applyBorder="1" fontId="44" applyFont="1" fillId="0" applyAlignment="1">
      <alignment horizontal="left"/>
    </xf>
    <xf xfId="0" numFmtId="0" borderId="47" applyBorder="1" fontId="44" applyFont="1" fillId="0" applyAlignment="1">
      <alignment horizontal="left"/>
    </xf>
    <xf xfId="0" numFmtId="166" applyNumberFormat="1" borderId="47" applyBorder="1" fontId="1" applyFont="1" fillId="0" applyAlignment="1">
      <alignment horizontal="right"/>
    </xf>
    <xf xfId="0" numFmtId="0" borderId="47" applyBorder="1" fontId="1" applyFont="1" fillId="0" applyAlignment="1">
      <alignment horizontal="left"/>
    </xf>
    <xf xfId="0" numFmtId="4" applyNumberFormat="1" borderId="47" applyBorder="1" fontId="1" applyFont="1" fillId="0" applyAlignment="1">
      <alignment horizontal="left"/>
    </xf>
    <xf xfId="0" numFmtId="167" applyNumberFormat="1" borderId="0" fontId="0" fillId="0" applyAlignment="1">
      <alignment horizontal="right"/>
    </xf>
    <xf xfId="0" numFmtId="0" borderId="42" applyBorder="1" fontId="79" applyFont="1" fillId="0" applyAlignment="1">
      <alignment horizontal="left"/>
    </xf>
    <xf xfId="0" numFmtId="164" applyNumberFormat="1" borderId="0" fontId="0" fillId="0" applyAlignment="1">
      <alignment horizontal="right"/>
    </xf>
    <xf xfId="0" numFmtId="3" applyNumberFormat="1" borderId="42" applyBorder="1" fontId="79" applyFont="1" fillId="0" applyAlignment="1">
      <alignment horizontal="right"/>
    </xf>
    <xf xfId="0" numFmtId="0" borderId="42" applyBorder="1" fontId="80" applyFont="1" fillId="0" applyAlignment="1">
      <alignment horizontal="left"/>
    </xf>
    <xf xfId="0" numFmtId="3" applyNumberFormat="1" borderId="42" applyBorder="1" fontId="80" applyFont="1" fillId="0" applyAlignment="1">
      <alignment horizontal="left"/>
    </xf>
    <xf xfId="0" numFmtId="4" applyNumberFormat="1" borderId="42" applyBorder="1" fontId="81" applyFont="1" fillId="0" applyAlignment="1">
      <alignment horizontal="left" wrapText="1"/>
    </xf>
    <xf xfId="0" numFmtId="3" applyNumberFormat="1" borderId="42" applyBorder="1" fontId="81" applyFont="1" fillId="0" applyAlignment="1">
      <alignment horizontal="left" wrapText="1"/>
    </xf>
    <xf xfId="0" numFmtId="0" borderId="1" applyBorder="1" fontId="82" applyFont="1" fillId="2" applyFill="1" applyAlignment="1">
      <alignment horizontal="left"/>
    </xf>
    <xf xfId="0" numFmtId="0" borderId="42" applyBorder="1" fontId="83" applyFont="1" fillId="0" applyAlignment="1">
      <alignment horizontal="left" wrapText="1"/>
    </xf>
    <xf xfId="0" numFmtId="3" applyNumberFormat="1" borderId="42" applyBorder="1" fontId="83" applyFont="1" fillId="0" applyAlignment="1">
      <alignment horizontal="left" wrapText="1"/>
    </xf>
    <xf xfId="0" numFmtId="164" applyNumberFormat="1" borderId="42" applyBorder="1" fontId="83" applyFont="1" fillId="0" applyAlignment="1">
      <alignment horizontal="left" wrapText="1"/>
    </xf>
    <xf xfId="0" numFmtId="4" applyNumberFormat="1" borderId="42" applyBorder="1" fontId="53" applyFont="1" fillId="0" applyAlignment="1">
      <alignment horizontal="left" wrapText="1"/>
    </xf>
    <xf xfId="0" numFmtId="0" borderId="42" applyBorder="1" fontId="53" applyFont="1" fillId="0" applyAlignment="1">
      <alignment horizontal="left" wrapText="1"/>
    </xf>
    <xf xfId="0" numFmtId="164" applyNumberFormat="1" borderId="42" applyBorder="1" fontId="84" applyFont="1" fillId="0" applyAlignment="1">
      <alignment horizontal="center"/>
    </xf>
    <xf xfId="0" numFmtId="4" applyNumberFormat="1" borderId="42" applyBorder="1" fontId="84" applyFont="1" fillId="0" applyAlignment="1">
      <alignment horizontal="center"/>
    </xf>
    <xf xfId="0" numFmtId="14" applyNumberFormat="1" borderId="42" applyBorder="1" fontId="84" applyFont="1" fillId="0" applyAlignment="1">
      <alignment horizontal="center"/>
    </xf>
    <xf xfId="0" numFmtId="3" applyNumberFormat="1" borderId="42" applyBorder="1" fontId="53" applyFont="1" fillId="0" applyAlignment="1">
      <alignment horizontal="left"/>
    </xf>
    <xf xfId="0" numFmtId="0" borderId="42" applyBorder="1" fontId="85" applyFont="1" fillId="0" applyAlignment="1">
      <alignment horizontal="left"/>
    </xf>
    <xf xfId="0" numFmtId="4" applyNumberFormat="1" borderId="42" applyBorder="1" fontId="86" applyFont="1" fillId="0" applyAlignment="1">
      <alignment horizontal="left" wrapText="1"/>
    </xf>
    <xf xfId="0" numFmtId="3" applyNumberFormat="1" borderId="42" applyBorder="1" fontId="86" applyFont="1" fillId="0" applyAlignment="1">
      <alignment horizontal="left" wrapText="1"/>
    </xf>
    <xf xfId="0" numFmtId="3" applyNumberFormat="1" borderId="42" applyBorder="1" fontId="87" applyFont="1" fillId="0" applyAlignment="1">
      <alignment horizontal="left" wrapText="1"/>
    </xf>
    <xf xfId="0" numFmtId="14" applyNumberFormat="1" borderId="42" applyBorder="1" fontId="87" applyFont="1" fillId="0" applyAlignment="1">
      <alignment horizontal="left" wrapText="1"/>
    </xf>
    <xf xfId="0" numFmtId="3" applyNumberFormat="1" borderId="42" applyBorder="1" fontId="15" applyFont="1" fillId="0" applyAlignment="1">
      <alignment horizontal="left"/>
    </xf>
    <xf xfId="0" numFmtId="0" borderId="42" applyBorder="1" fontId="10" applyFont="1" fillId="0" applyAlignment="1">
      <alignment horizontal="center" wrapText="1"/>
    </xf>
    <xf xfId="0" numFmtId="3" applyNumberFormat="1" borderId="1" applyBorder="1" fontId="11" applyFont="1" fillId="3" applyFill="1" applyAlignment="1">
      <alignment horizontal="center" wrapText="1"/>
    </xf>
    <xf xfId="0" numFmtId="0" borderId="42" applyBorder="1" fontId="88" applyFont="1" fillId="0" applyAlignment="1">
      <alignment horizontal="left" wrapText="1"/>
    </xf>
    <xf xfId="0" numFmtId="0" borderId="42" applyBorder="1" fontId="89" applyFont="1" fillId="0" applyAlignment="1">
      <alignment horizontal="left" wrapText="1"/>
    </xf>
    <xf xfId="0" numFmtId="164" applyNumberFormat="1" borderId="42" applyBorder="1" fontId="80" applyFont="1" fillId="0" applyAlignment="1">
      <alignment horizontal="right"/>
    </xf>
    <xf xfId="0" numFmtId="0" borderId="42" applyBorder="1" fontId="90" applyFont="1" fillId="0" applyAlignment="1">
      <alignment horizontal="left"/>
    </xf>
    <xf xfId="0" numFmtId="4" applyNumberFormat="1" borderId="42" applyBorder="1" fontId="64" applyFont="1" fillId="0" applyAlignment="1">
      <alignment horizontal="left"/>
    </xf>
    <xf xfId="0" numFmtId="0" borderId="42" applyBorder="1" fontId="91" applyFont="1" fillId="0" applyAlignment="1">
      <alignment horizontal="left"/>
    </xf>
    <xf xfId="0" numFmtId="3" applyNumberFormat="1" borderId="42" applyBorder="1" fontId="91" applyFont="1" fillId="0" applyAlignment="1">
      <alignment horizontal="right"/>
    </xf>
    <xf xfId="0" numFmtId="0" borderId="1" applyBorder="1" fontId="2" applyFont="1" fillId="26" applyFill="1" applyAlignment="1">
      <alignment horizontal="center" vertical="top" wrapText="1"/>
    </xf>
    <xf xfId="0" numFmtId="0" borderId="1" applyBorder="1" fontId="2" applyFont="1" fillId="12" applyFill="1" applyAlignment="1">
      <alignment horizontal="center" wrapText="1"/>
    </xf>
    <xf xfId="0" numFmtId="3" applyNumberFormat="1" borderId="1" applyBorder="1" fontId="59" applyFont="1" fillId="12" applyFill="1" applyAlignment="1">
      <alignment horizontal="left" wrapText="1"/>
    </xf>
    <xf xfId="0" numFmtId="164" applyNumberFormat="1" borderId="1" applyBorder="1" fontId="59" applyFont="1" fillId="12" applyFill="1" applyAlignment="1">
      <alignment horizontal="left" wrapText="1"/>
    </xf>
    <xf xfId="0" numFmtId="0" borderId="42" applyBorder="1" fontId="64" applyFont="1" fillId="0" applyAlignment="1">
      <alignment horizontal="left"/>
    </xf>
    <xf xfId="0" numFmtId="0" borderId="1" applyBorder="1" fontId="32" applyFont="1" fillId="9" applyFill="1" applyAlignment="1">
      <alignment horizontal="center" wrapText="1"/>
    </xf>
    <xf xfId="0" numFmtId="4" applyNumberFormat="1" borderId="1" applyBorder="1" fontId="92" applyFont="1" fillId="9" applyFill="1" applyAlignment="1">
      <alignment horizontal="center"/>
    </xf>
    <xf xfId="0" numFmtId="0" borderId="1" applyBorder="1" fontId="2" applyFont="1" fillId="26" applyFill="1" applyAlignment="1">
      <alignment horizontal="center" wrapText="1"/>
    </xf>
    <xf xfId="0" numFmtId="0" borderId="1" applyBorder="1" fontId="32" applyFont="1" fillId="9" applyFill="1" applyAlignment="1">
      <alignment horizontal="center" wrapText="1"/>
    </xf>
    <xf xfId="0" numFmtId="4" applyNumberFormat="1" borderId="1" applyBorder="1" fontId="92" applyFont="1" fillId="13" applyFill="1" applyAlignment="1">
      <alignment horizontal="center"/>
    </xf>
    <xf xfId="0" numFmtId="4" applyNumberFormat="1" borderId="42" applyBorder="1" fontId="64" applyFont="1" fillId="0" applyAlignment="1">
      <alignment horizontal="right"/>
    </xf>
    <xf xfId="0" numFmtId="3" applyNumberFormat="1" borderId="42" applyBorder="1" fontId="91" applyFont="1" fillId="0" applyAlignment="1">
      <alignment horizontal="left"/>
    </xf>
    <xf xfId="0" numFmtId="166" applyNumberFormat="1" borderId="1" applyBorder="1" fontId="32" applyFont="1" fillId="9" applyFill="1" applyAlignment="1">
      <alignment horizontal="center" wrapText="1"/>
    </xf>
    <xf xfId="0" numFmtId="0" borderId="1" applyBorder="1" fontId="8" applyFont="1" fillId="6" applyFill="1" applyAlignment="1">
      <alignment horizontal="center" wrapText="1"/>
    </xf>
    <xf xfId="0" numFmtId="3" applyNumberFormat="1" borderId="1" applyBorder="1" fontId="22" applyFont="1" fillId="6" applyFill="1" applyAlignment="1">
      <alignment horizontal="left" wrapText="1"/>
    </xf>
    <xf xfId="0" numFmtId="164" applyNumberFormat="1" borderId="1" applyBorder="1" fontId="22" applyFont="1" fillId="6" applyFill="1" applyAlignment="1">
      <alignment horizontal="left" wrapText="1"/>
    </xf>
    <xf xfId="0" numFmtId="0" borderId="1" applyBorder="1" fontId="22" applyFont="1" fillId="6" applyFill="1" applyAlignment="1">
      <alignment horizontal="left" wrapText="1"/>
    </xf>
    <xf xfId="0" numFmtId="0" borderId="1" applyBorder="1" fontId="64" applyFont="1" fillId="6" applyFill="1" applyAlignment="1">
      <alignment horizontal="left"/>
    </xf>
    <xf xfId="0" numFmtId="4" applyNumberFormat="1" borderId="1" applyBorder="1" fontId="93" applyFont="1" fillId="6" applyFill="1" applyAlignment="1">
      <alignment horizontal="center"/>
    </xf>
    <xf xfId="0" numFmtId="164" applyNumberFormat="1" borderId="1" applyBorder="1" fontId="93" applyFont="1" fillId="18" applyFill="1" applyAlignment="1">
      <alignment horizontal="center"/>
    </xf>
    <xf xfId="0" numFmtId="0" borderId="42" applyBorder="1" fontId="6" applyFont="1" fillId="0" applyAlignment="1">
      <alignment horizontal="left"/>
    </xf>
    <xf xfId="0" numFmtId="3" applyNumberFormat="1" borderId="42" applyBorder="1" fontId="64" applyFont="1" fillId="0" applyAlignment="1">
      <alignment horizontal="left"/>
    </xf>
    <xf xfId="0" numFmtId="0" borderId="1" applyBorder="1" fontId="2" applyFont="1" fillId="27" applyFill="1" applyAlignment="1">
      <alignment horizontal="center" vertical="top" wrapText="1"/>
    </xf>
    <xf xfId="0" numFmtId="0" borderId="1" applyBorder="1" fontId="32" applyFont="1" fillId="9" applyFill="1" applyAlignment="1">
      <alignment horizontal="center" vertical="top" wrapText="1"/>
    </xf>
    <xf xfId="0" numFmtId="0" borderId="1" applyBorder="1" fontId="2" applyFont="1" fillId="27" applyFill="1" applyAlignment="1">
      <alignment horizontal="center" wrapText="1"/>
    </xf>
    <xf xfId="0" numFmtId="0" borderId="42" applyBorder="1" fontId="94" applyFont="1" fillId="0" applyAlignment="1">
      <alignment horizontal="left"/>
    </xf>
    <xf xfId="0" numFmtId="0" borderId="1" applyBorder="1" fontId="2" applyFont="1" fillId="28" applyFill="1" applyAlignment="1">
      <alignment horizontal="center" vertical="top" wrapText="1"/>
    </xf>
    <xf xfId="0" numFmtId="3" applyNumberFormat="1" borderId="1" applyBorder="1" fontId="59" applyFont="1" fillId="12" applyFill="1" applyAlignment="1">
      <alignment horizontal="left" vertical="top" wrapText="1"/>
    </xf>
    <xf xfId="0" numFmtId="0" borderId="1" applyBorder="1" fontId="32" applyFont="1" fillId="9" applyFill="1" applyAlignment="1">
      <alignment horizontal="center" vertical="top" wrapText="1"/>
    </xf>
    <xf xfId="0" numFmtId="4" applyNumberFormat="1" borderId="1" applyBorder="1" fontId="92" applyFont="1" fillId="9" applyFill="1" applyAlignment="1">
      <alignment horizontal="center" vertical="top"/>
    </xf>
    <xf xfId="0" numFmtId="164" applyNumberFormat="1" borderId="1" applyBorder="1" fontId="32" applyFont="1" fillId="9" applyFill="1" applyAlignment="1">
      <alignment horizontal="center" vertical="top" wrapText="1"/>
    </xf>
    <xf xfId="0" numFmtId="4" applyNumberFormat="1" borderId="1" applyBorder="1" fontId="32" applyFont="1" fillId="9" applyFill="1" applyAlignment="1">
      <alignment horizontal="center" vertical="top" wrapText="1"/>
    </xf>
    <xf xfId="0" numFmtId="0" borderId="1" applyBorder="1" fontId="2" applyFont="1" fillId="28" applyFill="1" applyAlignment="1">
      <alignment horizontal="center" wrapText="1"/>
    </xf>
    <xf xfId="0" numFmtId="0" borderId="42" applyBorder="1" fontId="95" applyFont="1" fillId="0" applyAlignment="1">
      <alignment horizontal="left"/>
    </xf>
    <xf xfId="0" numFmtId="4" applyNumberFormat="1" borderId="1" applyBorder="1" fontId="92" applyFont="1" fillId="13" applyFill="1" applyAlignment="1">
      <alignment horizontal="center" vertical="top"/>
    </xf>
    <xf xfId="0" numFmtId="0" borderId="71" applyBorder="1" fontId="70" applyFont="1" fillId="0" applyAlignment="1">
      <alignment horizontal="left"/>
    </xf>
    <xf xfId="0" numFmtId="0" borderId="42" applyBorder="1" fontId="96" applyFont="1" fillId="0" applyAlignment="1">
      <alignment horizontal="left"/>
    </xf>
    <xf xfId="0" numFmtId="0" borderId="1" applyBorder="1" fontId="1" applyFont="1" fillId="12" applyFill="1" applyAlignment="1">
      <alignment horizontal="left"/>
    </xf>
    <xf xfId="0" numFmtId="0" borderId="1" applyBorder="1" fontId="97" applyFont="1" fillId="6" applyFill="1" applyAlignment="1">
      <alignment horizontal="left"/>
    </xf>
    <xf xfId="0" numFmtId="0" borderId="1" applyBorder="1" fontId="2" applyFont="1" fillId="25" applyFill="1" applyAlignment="1">
      <alignment horizontal="center" vertical="top" wrapText="1"/>
    </xf>
    <xf xfId="0" numFmtId="4" applyNumberFormat="1" borderId="1" applyBorder="1" fontId="98" applyFont="1" fillId="9" applyFill="1" applyAlignment="1">
      <alignment horizontal="center" vertical="top" wrapText="1"/>
    </xf>
    <xf xfId="0" numFmtId="4" applyNumberFormat="1" borderId="42" applyBorder="1" fontId="49" applyFont="1" fillId="0" applyAlignment="1">
      <alignment horizontal="right"/>
    </xf>
    <xf xfId="0" numFmtId="0" borderId="1" applyBorder="1" fontId="2" applyFont="1" fillId="25" applyFill="1" applyAlignment="1">
      <alignment horizontal="center" wrapText="1"/>
    </xf>
    <xf xfId="0" numFmtId="4" applyNumberFormat="1" borderId="1" applyBorder="1" fontId="98" applyFont="1" fillId="9" applyFill="1" applyAlignment="1">
      <alignment horizontal="center" wrapText="1"/>
    </xf>
    <xf xfId="0" numFmtId="3" applyNumberFormat="1" borderId="42" applyBorder="1" fontId="90" applyFont="1" fillId="0" applyAlignment="1">
      <alignment horizontal="left"/>
    </xf>
    <xf xfId="0" numFmtId="164" applyNumberFormat="1" borderId="42" applyBorder="1" fontId="90" applyFont="1" fillId="0" applyAlignment="1">
      <alignment horizontal="left"/>
    </xf>
    <xf xfId="0" numFmtId="4" applyNumberFormat="1" borderId="42" applyBorder="1" fontId="90" applyFont="1" fillId="0" applyAlignment="1">
      <alignment horizontal="left"/>
    </xf>
    <xf xfId="0" numFmtId="4" applyNumberFormat="1" borderId="42" applyBorder="1" fontId="99" applyFont="1" fillId="0" applyAlignment="1">
      <alignment horizontal="left" wrapText="1"/>
    </xf>
    <xf xfId="0" numFmtId="3" applyNumberFormat="1" borderId="42" applyBorder="1" fontId="99" applyFont="1" fillId="0" applyAlignment="1">
      <alignment horizontal="left" wrapText="1"/>
    </xf>
    <xf xfId="0" numFmtId="0" borderId="72" applyBorder="1" fontId="79" applyFont="1" fillId="0" applyAlignment="1">
      <alignment horizontal="left"/>
    </xf>
    <xf xfId="0" numFmtId="164" applyNumberFormat="1" borderId="42" applyBorder="1" fontId="4" applyFont="1" fillId="0" applyAlignment="1">
      <alignment horizontal="left"/>
    </xf>
    <xf xfId="0" numFmtId="4" applyNumberFormat="1" borderId="42" applyBorder="1" fontId="4" applyFont="1" fillId="0" applyAlignment="1">
      <alignment horizontal="left"/>
    </xf>
    <xf xfId="0" numFmtId="0" borderId="42" applyBorder="1" fontId="100" applyFont="1" fillId="0" applyAlignment="1">
      <alignment horizontal="left"/>
    </xf>
    <xf xfId="0" numFmtId="164" applyNumberFormat="1" borderId="42" applyBorder="1" fontId="100" applyFont="1" fillId="0" applyAlignment="1">
      <alignment horizontal="left"/>
    </xf>
    <xf xfId="0" numFmtId="3" applyNumberFormat="1" borderId="42" applyBorder="1" fontId="4" applyFont="1" fillId="0" applyAlignment="1">
      <alignment horizontal="left"/>
    </xf>
    <xf xfId="0" numFmtId="3" applyNumberFormat="1" borderId="42" applyBorder="1" fontId="101" applyFont="1" fillId="0" applyAlignment="1">
      <alignment horizontal="left"/>
    </xf>
    <xf xfId="0" numFmtId="3" applyNumberFormat="1" borderId="42" applyBorder="1" fontId="61" applyFont="1" fillId="0" applyAlignment="1">
      <alignment horizontal="left"/>
    </xf>
    <xf xfId="0" numFmtId="3" applyNumberFormat="1" borderId="42" applyBorder="1" fontId="17" applyFont="1" fillId="0" applyAlignment="1">
      <alignment horizontal="left"/>
    </xf>
    <xf xfId="0" numFmtId="164" applyNumberFormat="1" borderId="42" applyBorder="1" fontId="17" applyFont="1" fillId="0" applyAlignment="1">
      <alignment horizontal="left"/>
    </xf>
    <xf xfId="0" numFmtId="3" applyNumberFormat="1" borderId="42" applyBorder="1" fontId="79" applyFont="1" fillId="0" applyAlignment="1">
      <alignment horizontal="left"/>
    </xf>
    <xf xfId="0" numFmtId="164" applyNumberFormat="1" borderId="42" applyBorder="1" fontId="79" applyFont="1" fillId="0" applyAlignment="1">
      <alignment horizontal="left"/>
    </xf>
    <xf xfId="0" numFmtId="4" applyNumberFormat="1" borderId="42" applyBorder="1" fontId="100" applyFont="1" fillId="0" applyAlignment="1">
      <alignment horizontal="left"/>
    </xf>
    <xf xfId="0" numFmtId="3" applyNumberFormat="1" borderId="42" applyBorder="1" fontId="102" applyFont="1" fillId="0" applyAlignment="1">
      <alignment horizontal="left"/>
    </xf>
    <xf xfId="0" numFmtId="4" applyNumberFormat="1" borderId="42" applyBorder="1" fontId="103" applyFont="1" fillId="0" applyAlignment="1">
      <alignment horizontal="left" wrapText="1"/>
    </xf>
    <xf xfId="0" numFmtId="0" borderId="42" applyBorder="1" fontId="103" applyFont="1" fillId="0" applyAlignment="1">
      <alignment horizontal="left" wrapText="1"/>
    </xf>
    <xf xfId="0" numFmtId="3" applyNumberFormat="1" borderId="42" applyBorder="1" fontId="104" applyFont="1" fillId="0" applyAlignment="1">
      <alignment horizontal="left"/>
    </xf>
    <xf xfId="0" numFmtId="164" applyNumberFormat="1" borderId="42" applyBorder="1" fontId="35" applyFont="1" fillId="0" applyAlignment="1">
      <alignment horizontal="left"/>
    </xf>
    <xf xfId="0" numFmtId="164" applyNumberFormat="1" borderId="1" applyBorder="1" fontId="35" applyFont="1" fillId="11" applyFill="1" applyAlignment="1">
      <alignment horizontal="left"/>
    </xf>
    <xf xfId="0" numFmtId="0" borderId="1" applyBorder="1" fontId="35" applyFont="1" fillId="10" applyFill="1" applyAlignment="1">
      <alignment horizontal="left"/>
    </xf>
    <xf xfId="0" numFmtId="0" borderId="42" applyBorder="1" fontId="105" applyFont="1" fillId="0" applyAlignment="1">
      <alignment horizontal="left" wrapText="1"/>
    </xf>
    <xf xfId="0" numFmtId="3" applyNumberFormat="1" borderId="42" applyBorder="1" fontId="35" applyFont="1" fillId="0" applyAlignment="1">
      <alignment horizontal="left"/>
    </xf>
    <xf xfId="0" numFmtId="0" borderId="73" applyBorder="1" fontId="79" applyFont="1" fillId="0" applyAlignment="1">
      <alignment horizontal="left"/>
    </xf>
    <xf xfId="0" numFmtId="164" applyNumberFormat="1" borderId="1" applyBorder="1" fontId="35" applyFont="1" fillId="2" applyFill="1" applyAlignment="1">
      <alignment horizontal="right"/>
    </xf>
    <xf xfId="0" numFmtId="4" applyNumberFormat="1" borderId="42" applyBorder="1" fontId="79" applyFont="1" fillId="0" applyAlignment="1">
      <alignment horizontal="left"/>
    </xf>
    <xf xfId="0" numFmtId="0" borderId="42" applyBorder="1" fontId="103" applyFont="1" fillId="0" applyAlignment="1">
      <alignment horizontal="center" wrapText="1"/>
    </xf>
    <xf xfId="0" numFmtId="164" applyNumberFormat="1" borderId="42" applyBorder="1" fontId="103" applyFont="1" fillId="0" applyAlignment="1">
      <alignment horizontal="center" wrapText="1"/>
    </xf>
    <xf xfId="0" numFmtId="4" applyNumberFormat="1" borderId="1" applyBorder="1" fontId="106" applyFont="1" fillId="2" applyFill="1" applyAlignment="1">
      <alignment horizontal="center" wrapText="1"/>
    </xf>
    <xf xfId="0" numFmtId="3" applyNumberFormat="1" borderId="1" applyBorder="1" fontId="102" applyFont="1" fillId="2" applyFill="1" applyAlignment="1">
      <alignment horizontal="left"/>
    </xf>
    <xf xfId="0" numFmtId="164" applyNumberFormat="1" borderId="1" applyBorder="1" fontId="79" applyFont="1" fillId="2" applyFill="1" applyAlignment="1">
      <alignment horizontal="left"/>
    </xf>
    <xf xfId="0" numFmtId="0" borderId="1" applyBorder="1" fontId="79" applyFont="1" fillId="2" applyFill="1" applyAlignment="1">
      <alignment horizontal="left"/>
    </xf>
    <xf xfId="0" numFmtId="0" borderId="1" applyBorder="1" fontId="100" applyFont="1" fillId="2" applyFill="1" applyAlignment="1">
      <alignment horizontal="left"/>
    </xf>
    <xf xfId="0" numFmtId="3" applyNumberFormat="1" borderId="1" applyBorder="1" fontId="15" applyFont="1" fillId="2" applyFill="1" applyAlignment="1">
      <alignment horizontal="left"/>
    </xf>
    <xf xfId="0" numFmtId="4" applyNumberFormat="1" borderId="1" applyBorder="1" fontId="35" applyFont="1" fillId="2" applyFill="1" applyAlignment="1">
      <alignment horizontal="right"/>
    </xf>
    <xf xfId="0" numFmtId="4" applyNumberFormat="1" borderId="1" applyBorder="1" fontId="79" applyFont="1" fillId="2" applyFill="1" applyAlignment="1">
      <alignment horizontal="left"/>
    </xf>
    <xf xfId="0" numFmtId="3" applyNumberFormat="1" borderId="1" applyBorder="1" fontId="35" applyFont="1" fillId="2" applyFill="1" applyAlignment="1">
      <alignment horizontal="left"/>
    </xf>
    <xf xfId="0" numFmtId="4" applyNumberFormat="1" borderId="1" applyBorder="1" fontId="107" applyFont="1" fillId="2" applyFill="1" applyAlignment="1">
      <alignment horizontal="right"/>
    </xf>
    <xf xfId="0" numFmtId="14" applyNumberFormat="1" borderId="42" applyBorder="1" fontId="100" applyFont="1" fillId="0" applyAlignment="1">
      <alignment horizontal="left"/>
    </xf>
    <xf xfId="0" numFmtId="0" borderId="42" applyBorder="1" fontId="108" applyFont="1" fillId="0" applyAlignment="1">
      <alignment horizontal="left"/>
    </xf>
    <xf xfId="0" numFmtId="3" applyNumberFormat="1" borderId="1" applyBorder="1" fontId="78" applyFont="1" fillId="25" applyFill="1" applyAlignment="1">
      <alignment horizontal="center"/>
    </xf>
    <xf xfId="0" numFmtId="3" applyNumberFormat="1" borderId="48" applyBorder="1" fontId="24" applyFont="1" fillId="0" applyAlignment="1">
      <alignment horizontal="center"/>
    </xf>
    <xf xfId="0" numFmtId="164" applyNumberFormat="1" borderId="48" applyBorder="1" fontId="24" applyFont="1" fillId="0" applyAlignment="1">
      <alignment horizontal="left"/>
    </xf>
    <xf xfId="0" numFmtId="164" applyNumberFormat="1" borderId="42" applyBorder="1" fontId="90" applyFont="1" fillId="0" applyAlignment="1">
      <alignment horizontal="right"/>
    </xf>
    <xf xfId="0" numFmtId="0" borderId="1" applyBorder="1" fontId="80" applyFont="1" fillId="2" applyFill="1" applyAlignment="1">
      <alignment horizontal="left"/>
    </xf>
    <xf xfId="0" numFmtId="4" applyNumberFormat="1" borderId="1" applyBorder="1" fontId="80" applyFont="1" fillId="2" applyFill="1" applyAlignment="1">
      <alignment horizontal="left"/>
    </xf>
    <xf xfId="0" numFmtId="164" applyNumberFormat="1" borderId="42" applyBorder="1" fontId="91" applyFont="1" fillId="0" applyAlignment="1">
      <alignment horizontal="left"/>
    </xf>
    <xf xfId="0" numFmtId="4" applyNumberFormat="1" borderId="42" applyBorder="1" fontId="91" applyFont="1" fillId="0" applyAlignment="1">
      <alignment horizontal="left"/>
    </xf>
    <xf xfId="0" numFmtId="3" applyNumberFormat="1" borderId="42" applyBorder="1" fontId="102" applyFont="1" fillId="0" applyAlignment="1">
      <alignment horizontal="center"/>
    </xf>
    <xf xfId="0" numFmtId="164" applyNumberFormat="1" borderId="42" applyBorder="1" fontId="104" applyFont="1" fillId="0" applyAlignment="1">
      <alignment horizontal="left"/>
    </xf>
    <xf xfId="0" numFmtId="3" applyNumberFormat="1" borderId="42" applyBorder="1" fontId="104" applyFont="1" fillId="0" applyAlignment="1">
      <alignment horizontal="center"/>
    </xf>
    <xf xfId="0" numFmtId="3" applyNumberFormat="1" borderId="1" applyBorder="1" fontId="35" applyFont="1" fillId="15" applyFill="1" applyAlignment="1">
      <alignment horizontal="left"/>
    </xf>
    <xf xfId="0" numFmtId="164" applyNumberFormat="1" borderId="1" applyBorder="1" fontId="35" applyFont="1" fillId="15" applyFill="1" applyAlignment="1">
      <alignment horizontal="right"/>
    </xf>
    <xf xfId="0" numFmtId="164" applyNumberFormat="1" borderId="42" applyBorder="1" fontId="80" applyFont="1" fillId="0" applyAlignment="1">
      <alignment horizontal="left"/>
    </xf>
    <xf xfId="0" numFmtId="4" applyNumberFormat="1" borderId="42" applyBorder="1" fontId="80" applyFont="1" fillId="0" applyAlignment="1">
      <alignment horizontal="left"/>
    </xf>
    <xf xfId="0" numFmtId="0" borderId="1" applyBorder="1" fontId="109" applyFont="1" fillId="2" applyFill="1" applyAlignment="1">
      <alignment horizontal="center"/>
    </xf>
    <xf xfId="0" numFmtId="164" applyNumberFormat="1" borderId="1" applyBorder="1" fontId="80" applyFont="1" fillId="2" applyFill="1" applyAlignment="1">
      <alignment horizontal="left"/>
    </xf>
    <xf xfId="0" numFmtId="3" applyNumberFormat="1" borderId="1" applyBorder="1" fontId="80" applyFont="1" fillId="2" applyFill="1" applyAlignment="1">
      <alignment horizontal="left"/>
    </xf>
    <xf xfId="0" numFmtId="0" borderId="1" applyBorder="1" fontId="110" applyFont="1" fillId="2" applyFill="1" applyAlignment="1">
      <alignment horizontal="left"/>
    </xf>
    <xf xfId="0" numFmtId="164" applyNumberFormat="1" borderId="1" applyBorder="1" fontId="35" applyFont="1" fillId="2" applyFill="1" applyAlignment="1">
      <alignment horizontal="left"/>
    </xf>
    <xf xfId="0" numFmtId="164" applyNumberFormat="1" borderId="0" fontId="0" fillId="0" applyAlignment="1">
      <alignment horizontal="right"/>
    </xf>
    <xf xfId="0" numFmtId="4" applyNumberFormat="1" borderId="42" applyBorder="1" fontId="111" applyFont="1" fillId="0" applyAlignment="1">
      <alignment horizontal="left"/>
    </xf>
    <xf xfId="0" numFmtId="4" applyNumberFormat="1" borderId="42" applyBorder="1" fontId="112" applyFont="1" fillId="0" applyAlignment="1">
      <alignment horizontal="left"/>
    </xf>
    <xf xfId="0" numFmtId="14" applyNumberFormat="1" borderId="42" applyBorder="1" fontId="112" applyFont="1" fillId="0" applyAlignment="1">
      <alignment horizontal="left"/>
    </xf>
    <xf xfId="0" numFmtId="0" borderId="42" applyBorder="1" fontId="112" applyFont="1" fillId="0" applyAlignment="1">
      <alignment horizontal="left"/>
    </xf>
    <xf xfId="0" numFmtId="3" applyNumberFormat="1" borderId="42" applyBorder="1" fontId="112" applyFont="1" fillId="0" applyAlignment="1">
      <alignment horizontal="left"/>
    </xf>
    <xf xfId="0" numFmtId="0" borderId="1" applyBorder="1" fontId="1" applyFont="1" fillId="19" applyFill="1" applyAlignment="1">
      <alignment horizontal="left"/>
    </xf>
    <xf xfId="0" numFmtId="14" applyNumberFormat="1" borderId="1" applyBorder="1" fontId="1" applyFont="1" fillId="19" applyFill="1" applyAlignment="1">
      <alignment horizontal="left"/>
    </xf>
    <xf xfId="0" numFmtId="4" applyNumberFormat="1" borderId="42" applyBorder="1" fontId="113" applyFont="1" fillId="0" applyAlignment="1">
      <alignment horizontal="left"/>
    </xf>
    <xf xfId="0" numFmtId="4" applyNumberFormat="1" borderId="1" applyBorder="1" fontId="78" applyFont="1" fillId="29" applyFill="1" applyAlignment="1">
      <alignment horizontal="center"/>
    </xf>
    <xf xfId="0" numFmtId="3" applyNumberFormat="1" borderId="1" applyBorder="1" fontId="1" applyFont="1" fillId="11" applyFill="1" applyAlignment="1">
      <alignment horizontal="center"/>
    </xf>
    <xf xfId="0" numFmtId="3" applyNumberFormat="1" borderId="1" applyBorder="1" fontId="1" applyFont="1" fillId="11" applyFill="1" applyAlignment="1">
      <alignment horizontal="right"/>
    </xf>
    <xf xfId="0" numFmtId="4" applyNumberFormat="1" borderId="48" applyBorder="1" fontId="1" applyFont="1" fillId="11" applyFill="1" applyAlignment="1">
      <alignment horizontal="center"/>
    </xf>
    <xf xfId="0" numFmtId="4" applyNumberFormat="1" borderId="42" applyBorder="1" fontId="44" applyFont="1" fillId="0" applyAlignment="1">
      <alignment horizontal="right"/>
    </xf>
    <xf xfId="0" numFmtId="4" applyNumberFormat="1" borderId="48" applyBorder="1" fontId="44" applyFont="1" fillId="0" applyAlignment="1">
      <alignment horizontal="center"/>
    </xf>
    <xf xfId="0" numFmtId="14" applyNumberFormat="1" borderId="48" applyBorder="1" fontId="1" applyFont="1" fillId="11" applyFill="1" applyAlignment="1">
      <alignment horizontal="left"/>
    </xf>
    <xf xfId="0" numFmtId="4" applyNumberFormat="1" borderId="42" applyBorder="1" fontId="90" applyFont="1" fillId="0" applyAlignment="1">
      <alignment horizontal="right"/>
    </xf>
    <xf xfId="0" numFmtId="166" applyNumberFormat="1" borderId="42" applyBorder="1" fontId="1" applyFont="1" fillId="0" applyAlignment="1">
      <alignment horizontal="center"/>
    </xf>
    <xf xfId="0" numFmtId="164" applyNumberFormat="1" borderId="1" applyBorder="1" fontId="78" applyFont="1" fillId="29" applyFill="1" applyAlignment="1">
      <alignment horizontal="center"/>
    </xf>
    <xf xfId="0" numFmtId="4" applyNumberFormat="1" borderId="48" applyBorder="1" fontId="1" applyFont="1" fillId="11" applyFill="1" applyAlignment="1">
      <alignment horizontal="left"/>
    </xf>
    <xf xfId="0" numFmtId="4" applyNumberFormat="1" borderId="48" applyBorder="1" fontId="1" applyFont="1" fillId="11" applyFill="1" applyAlignment="1">
      <alignment horizontal="right"/>
    </xf>
    <xf xfId="0" numFmtId="3" applyNumberFormat="1" borderId="42" applyBorder="1" fontId="44" applyFont="1" fillId="0" applyAlignment="1">
      <alignment horizontal="left"/>
    </xf>
    <xf xfId="0" numFmtId="4" applyNumberFormat="1" borderId="42" applyBorder="1" fontId="52" applyFont="1" fillId="0" applyAlignment="1">
      <alignment horizontal="left"/>
    </xf>
    <xf xfId="0" numFmtId="3" applyNumberFormat="1" borderId="42" applyBorder="1" fontId="52" applyFont="1" fillId="0" applyAlignment="1">
      <alignment horizontal="right"/>
    </xf>
    <xf xfId="0" numFmtId="4" applyNumberFormat="1" borderId="42" applyBorder="1" fontId="113" applyFont="1" fillId="0" applyAlignment="1">
      <alignment horizontal="center" wrapText="1"/>
    </xf>
    <xf xfId="0" numFmtId="4" applyNumberFormat="1" borderId="48" applyBorder="1" fontId="114" applyFont="1" fillId="0" applyAlignment="1">
      <alignment horizontal="center"/>
    </xf>
    <xf xfId="0" numFmtId="168" applyNumberFormat="1" borderId="42" applyBorder="1" fontId="1" applyFont="1" fillId="0" applyAlignment="1">
      <alignment horizontal="center"/>
    </xf>
    <xf xfId="0" numFmtId="164" applyNumberFormat="1" borderId="42" applyBorder="1" fontId="113" applyFont="1" fillId="0" applyAlignment="1">
      <alignment horizontal="right"/>
    </xf>
    <xf xfId="0" numFmtId="4" applyNumberFormat="1" borderId="48" applyBorder="1" fontId="114" applyFont="1" fillId="11" applyFill="1" applyAlignment="1">
      <alignment horizontal="center"/>
    </xf>
    <xf xfId="0" numFmtId="4" applyNumberFormat="1" borderId="57" applyBorder="1" fontId="78" applyFont="1" fillId="30" applyFill="1" applyAlignment="1">
      <alignment horizontal="center"/>
    </xf>
    <xf xfId="0" numFmtId="4" applyNumberFormat="1" borderId="74" applyBorder="1" fontId="78" applyFont="1" fillId="30" applyFill="1" applyAlignment="1">
      <alignment horizontal="center"/>
    </xf>
    <xf xfId="0" numFmtId="4" applyNumberFormat="1" borderId="58" applyBorder="1" fontId="78" applyFont="1" fillId="30" applyFill="1" applyAlignment="1">
      <alignment horizontal="center"/>
    </xf>
    <xf xfId="0" numFmtId="3" applyNumberFormat="1" borderId="48" applyBorder="1" fontId="24" applyFont="1" fillId="15" applyFill="1" applyAlignment="1">
      <alignment horizontal="left" wrapText="1"/>
    </xf>
    <xf xfId="0" numFmtId="14" applyNumberFormat="1" borderId="48" applyBorder="1" fontId="24" applyFont="1" fillId="15" applyFill="1" applyAlignment="1">
      <alignment horizontal="left" wrapText="1"/>
    </xf>
    <xf xfId="0" numFmtId="4" applyNumberFormat="1" borderId="48" applyBorder="1" fontId="78" applyFont="1" fillId="21" applyFill="1" applyAlignment="1">
      <alignment horizontal="left"/>
    </xf>
    <xf xfId="0" numFmtId="0" borderId="48" applyBorder="1" fontId="24" applyFont="1" fillId="15" applyFill="1" applyAlignment="1">
      <alignment horizontal="left" wrapText="1"/>
    </xf>
    <xf xfId="0" numFmtId="4" applyNumberFormat="1" borderId="48" applyBorder="1" fontId="5" applyFont="1" fillId="30" applyFill="1" applyAlignment="1">
      <alignment horizontal="left" wrapText="1"/>
    </xf>
    <xf xfId="0" numFmtId="4" applyNumberFormat="1" borderId="48" applyBorder="1" fontId="78" applyFont="1" fillId="12" applyFill="1" applyAlignment="1">
      <alignment horizontal="left" wrapText="1"/>
    </xf>
    <xf xfId="0" numFmtId="4" applyNumberFormat="1" borderId="48" applyBorder="1" fontId="78" applyFont="1" fillId="24" applyFill="1" applyAlignment="1">
      <alignment horizontal="left" wrapText="1"/>
    </xf>
    <xf xfId="0" numFmtId="3" applyNumberFormat="1" borderId="75" applyBorder="1" fontId="78" applyFont="1" fillId="12" applyFill="1" applyAlignment="1">
      <alignment horizontal="left" wrapText="1"/>
    </xf>
    <xf xfId="0" numFmtId="4" applyNumberFormat="1" borderId="42" applyBorder="1" fontId="52" applyFont="1" fillId="0" applyAlignment="1">
      <alignment horizontal="right"/>
    </xf>
    <xf xfId="0" numFmtId="0" borderId="76" applyBorder="1" fontId="1" applyFont="1" fillId="0" applyAlignment="1">
      <alignment horizontal="left"/>
    </xf>
    <xf xfId="0" numFmtId="4" applyNumberFormat="1" borderId="76" applyBorder="1" fontId="1" applyFont="1" fillId="0" applyAlignment="1">
      <alignment horizontal="right"/>
    </xf>
    <xf xfId="0" numFmtId="4" applyNumberFormat="1" borderId="76" applyBorder="1" fontId="52" applyFont="1" fillId="0" applyAlignment="1">
      <alignment horizontal="right"/>
    </xf>
    <xf xfId="0" numFmtId="3" applyNumberFormat="1" borderId="76" applyBorder="1" fontId="1" applyFont="1" fillId="0" applyAlignment="1">
      <alignment horizontal="right"/>
    </xf>
    <xf xfId="0" numFmtId="14" applyNumberFormat="1" borderId="76" applyBorder="1" fontId="1" applyFont="1" fillId="0" applyAlignment="1">
      <alignment horizontal="left"/>
    </xf>
    <xf xfId="0" numFmtId="14" applyNumberFormat="1" borderId="77" applyBorder="1" fontId="1" applyFont="1" fillId="0" applyAlignment="1">
      <alignment horizontal="left"/>
    </xf>
    <xf xfId="0" numFmtId="4" applyNumberFormat="1" borderId="77" applyBorder="1" fontId="1" applyFont="1" fillId="0" applyAlignment="1">
      <alignment horizontal="right"/>
    </xf>
    <xf xfId="0" numFmtId="14" applyNumberFormat="1" borderId="42" applyBorder="1" fontId="115" applyFont="1" fillId="0" applyAlignment="1">
      <alignment horizontal="center"/>
    </xf>
    <xf xfId="0" numFmtId="14" applyNumberFormat="1" borderId="42" applyBorder="1" fontId="24" applyFont="1" fillId="0" applyAlignment="1">
      <alignment horizontal="left"/>
    </xf>
    <xf xfId="0" numFmtId="4" applyNumberFormat="1" borderId="42" applyBorder="1" fontId="24" applyFont="1" fillId="0" applyAlignment="1">
      <alignment horizontal="center"/>
    </xf>
    <xf xfId="0" numFmtId="169" applyNumberFormat="1" borderId="42" applyBorder="1" fontId="24" applyFont="1" fillId="0" applyAlignment="1">
      <alignment horizontal="center"/>
    </xf>
    <xf xfId="0" numFmtId="170" applyNumberFormat="1" borderId="42" applyBorder="1" fontId="24" applyFont="1" fillId="0" applyAlignment="1">
      <alignment horizontal="center"/>
    </xf>
    <xf xfId="0" numFmtId="164" applyNumberFormat="1" borderId="42" applyBorder="1" fontId="24" applyFont="1" fillId="0" applyAlignment="1">
      <alignment horizontal="center"/>
    </xf>
    <xf xfId="0" numFmtId="14" applyNumberFormat="1" borderId="42" applyBorder="1" fontId="24" applyFont="1" fillId="0" applyAlignment="1">
      <alignment horizontal="center"/>
    </xf>
    <xf xfId="0" numFmtId="14" applyNumberFormat="1" borderId="78" applyBorder="1" fontId="52" applyFont="1" fillId="31" applyFill="1" applyAlignment="1">
      <alignment horizontal="center"/>
    </xf>
    <xf xfId="0" numFmtId="14" applyNumberFormat="1" borderId="79" applyBorder="1" fontId="52" applyFont="1" fillId="31" applyFill="1" applyAlignment="1">
      <alignment horizontal="center"/>
    </xf>
    <xf xfId="0" numFmtId="169" applyNumberFormat="1" borderId="0" fontId="0" fillId="0" applyAlignment="1">
      <alignment horizontal="center"/>
    </xf>
    <xf xfId="0" numFmtId="170" applyNumberFormat="1" borderId="0" fontId="0" fillId="0" applyAlignment="1">
      <alignment horizontal="general"/>
    </xf>
    <xf xfId="0" numFmtId="164" applyNumberFormat="1" borderId="0" fontId="0" fillId="0" applyAlignment="1">
      <alignment horizontal="center"/>
    </xf>
    <xf xfId="0" numFmtId="166" applyNumberFormat="1" borderId="0" fontId="0" fillId="0" applyAlignment="1">
      <alignment horizontal="general"/>
    </xf>
    <xf xfId="0" numFmtId="14" applyNumberFormat="1" borderId="48" applyBorder="1" fontId="114" applyFont="1" fillId="32" applyFill="1" applyAlignment="1">
      <alignment horizontal="left"/>
    </xf>
    <xf xfId="0" numFmtId="14" applyNumberFormat="1" borderId="48" applyBorder="1" fontId="24" applyFont="1" fillId="0" applyAlignment="1">
      <alignment horizontal="left"/>
    </xf>
    <xf xfId="0" numFmtId="169" applyNumberFormat="1" borderId="78" applyBorder="1" fontId="52" applyFont="1" fillId="31" applyFill="1" applyAlignment="1">
      <alignment horizontal="center"/>
    </xf>
    <xf xfId="0" numFmtId="170" applyNumberFormat="1" borderId="80" applyBorder="1" fontId="52" applyFont="1" fillId="31" applyFill="1" applyAlignment="1">
      <alignment horizontal="center"/>
    </xf>
    <xf xfId="0" numFmtId="4" applyNumberFormat="1" borderId="80" applyBorder="1" fontId="52" applyFont="1" fillId="31" applyFill="1" applyAlignment="1">
      <alignment horizontal="center"/>
    </xf>
    <xf xfId="0" numFmtId="170" applyNumberFormat="1" borderId="81" applyBorder="1" fontId="52" applyFont="1" fillId="31" applyFill="1" applyAlignment="1">
      <alignment horizontal="left"/>
    </xf>
    <xf xfId="0" numFmtId="4" applyNumberFormat="1" borderId="48" applyBorder="1" fontId="24" applyFont="1" fillId="0" applyAlignment="1">
      <alignment horizontal="left"/>
    </xf>
    <xf xfId="0" numFmtId="169" applyNumberFormat="1" borderId="77" applyBorder="1" fontId="1" applyFont="1" fillId="0" applyAlignment="1">
      <alignment horizontal="left"/>
    </xf>
    <xf xfId="0" numFmtId="4" applyNumberFormat="1" borderId="77" applyBorder="1" fontId="114" applyFont="1" fillId="0" applyAlignment="1">
      <alignment horizontal="center"/>
    </xf>
    <xf xfId="0" numFmtId="166" applyNumberFormat="1" borderId="1" applyBorder="1" fontId="78" applyFont="1" fillId="25" applyFill="1" applyAlignment="1">
      <alignment horizontal="center"/>
    </xf>
    <xf xfId="0" numFmtId="0" borderId="42" applyBorder="1" fontId="24" applyFont="1" fillId="0" applyAlignment="1">
      <alignment horizontal="center"/>
    </xf>
    <xf xfId="0" numFmtId="164" applyNumberFormat="1" borderId="42" applyBorder="1" fontId="44" applyFont="1" fillId="0" applyAlignment="1">
      <alignment horizontal="center"/>
    </xf>
    <xf xfId="0" numFmtId="166" applyNumberFormat="1" borderId="48" applyBorder="1" fontId="1" applyFont="1" fillId="0" applyAlignment="1">
      <alignment horizontal="right"/>
    </xf>
    <xf xfId="0" numFmtId="166" applyNumberFormat="1" borderId="48" applyBorder="1" fontId="1" applyFont="1" fillId="0" applyAlignment="1">
      <alignment horizontal="left"/>
    </xf>
    <xf xfId="0" numFmtId="166" applyNumberFormat="1" borderId="48" applyBorder="1" fontId="24" applyFont="1" fillId="0" applyAlignment="1">
      <alignment horizontal="left"/>
    </xf>
    <xf xfId="0" numFmtId="169" applyNumberFormat="1" borderId="42" applyBorder="1" fontId="114" applyFont="1" fillId="0" applyAlignment="1">
      <alignment horizontal="center"/>
    </xf>
    <xf xfId="0" numFmtId="4" applyNumberFormat="1" borderId="42" applyBorder="1" fontId="114" applyFont="1" fillId="0" applyAlignment="1">
      <alignment horizontal="center"/>
    </xf>
    <xf xfId="0" numFmtId="14" applyNumberFormat="1" borderId="0" fontId="0" fillId="0" applyAlignment="1">
      <alignment horizontal="center"/>
    </xf>
    <xf xfId="0" numFmtId="166" applyNumberFormat="1" borderId="42" applyBorder="1" fontId="24" applyFont="1" fillId="0" applyAlignment="1">
      <alignment horizontal="center"/>
    </xf>
    <xf xfId="0" numFmtId="166" applyNumberFormat="1" borderId="42" applyBorder="1" fontId="24" applyFont="1" fillId="0" applyAlignment="1">
      <alignment horizontal="right"/>
    </xf>
    <xf xfId="0" numFmtId="4" applyNumberFormat="1" borderId="48" applyBorder="1" fontId="24" applyFont="1" fillId="4" applyFill="1" applyAlignment="1">
      <alignment horizontal="center"/>
    </xf>
    <xf xfId="0" numFmtId="14" applyNumberFormat="1" borderId="42" applyBorder="1" fontId="116" applyFont="1" fillId="0" applyAlignment="1">
      <alignment horizontal="center"/>
    </xf>
    <xf xfId="0" numFmtId="4" applyNumberFormat="1" borderId="48" applyBorder="1" fontId="24" applyFont="1" fillId="0" applyAlignment="1">
      <alignment horizontal="center"/>
    </xf>
    <xf xfId="0" numFmtId="14" applyNumberFormat="1" borderId="48" applyBorder="1" fontId="114" applyFont="1" fillId="32" applyFill="1" applyAlignment="1">
      <alignment horizontal="center"/>
    </xf>
    <xf xfId="0" numFmtId="169" applyNumberFormat="1" borderId="48" applyBorder="1" fontId="114" applyFont="1" fillId="32" applyFill="1" applyAlignment="1">
      <alignment horizontal="center"/>
    </xf>
    <xf xfId="0" numFmtId="170" applyNumberFormat="1" borderId="48" applyBorder="1" fontId="114" applyFont="1" fillId="32" applyFill="1" applyAlignment="1">
      <alignment horizontal="center"/>
    </xf>
    <xf xfId="0" numFmtId="4" applyNumberFormat="1" borderId="48" applyBorder="1" fontId="114" applyFont="1" fillId="32" applyFill="1" applyAlignment="1">
      <alignment horizontal="center"/>
    </xf>
    <xf xfId="0" numFmtId="3" applyNumberFormat="1" borderId="48" applyBorder="1" fontId="114" applyFont="1" fillId="32" applyFill="1" applyAlignment="1">
      <alignment horizontal="center"/>
    </xf>
    <xf xfId="0" numFmtId="3" applyNumberFormat="1" borderId="48" applyBorder="1" fontId="114" applyFont="1" fillId="33" applyFill="1" applyAlignment="1">
      <alignment horizontal="center"/>
    </xf>
    <xf xfId="0" numFmtId="170" applyNumberFormat="1" borderId="48" applyBorder="1" fontId="114" applyFont="1" fillId="33" applyFill="1" applyAlignment="1">
      <alignment horizontal="center"/>
    </xf>
    <xf xfId="0" numFmtId="14" applyNumberFormat="1" borderId="48" applyBorder="1" fontId="24" applyFont="1" fillId="0" applyAlignment="1">
      <alignment horizontal="center"/>
    </xf>
    <xf xfId="0" numFmtId="169" applyNumberFormat="1" borderId="48" applyBorder="1" fontId="24" applyFont="1" fillId="0" applyAlignment="1">
      <alignment horizontal="center"/>
    </xf>
    <xf xfId="0" numFmtId="170" applyNumberFormat="1" borderId="48" applyBorder="1" fontId="24" applyFont="1" fillId="0" applyAlignment="1">
      <alignment horizontal="center"/>
    </xf>
    <xf xfId="0" numFmtId="170" applyNumberFormat="1" borderId="42" applyBorder="1" fontId="24" applyFont="1" fillId="0" applyAlignment="1">
      <alignment horizontal="left"/>
    </xf>
    <xf xfId="0" numFmtId="4" applyNumberFormat="1" borderId="42" applyBorder="1" fontId="24" applyFont="1" fillId="0" applyAlignment="1">
      <alignment horizontal="left"/>
    </xf>
    <xf xfId="0" numFmtId="170" applyNumberFormat="1" borderId="42" applyBorder="1" fontId="24" applyFont="1" fillId="0" applyAlignment="1">
      <alignment horizontal="right"/>
    </xf>
    <xf xfId="0" numFmtId="164" applyNumberFormat="1" borderId="42" applyBorder="1" fontId="24" applyFont="1" fillId="0" applyAlignment="1">
      <alignment horizontal="left"/>
    </xf>
    <xf xfId="0" numFmtId="166" applyNumberFormat="1" borderId="42" applyBorder="1" fontId="24" applyFont="1" fillId="0" applyAlignment="1">
      <alignment horizontal="left"/>
    </xf>
    <xf xfId="0" numFmtId="14" applyNumberFormat="1" borderId="0" fontId="0" fillId="0" applyAlignment="1">
      <alignment horizontal="center"/>
    </xf>
    <xf xfId="0" numFmtId="4" applyNumberFormat="1" borderId="0" fontId="0" fillId="0" applyAlignment="1">
      <alignment horizontal="center"/>
    </xf>
    <xf xfId="0" numFmtId="169" applyNumberFormat="1" borderId="0" fontId="0" fillId="0" applyAlignment="1">
      <alignment horizontal="center"/>
    </xf>
    <xf xfId="0" numFmtId="170" applyNumberFormat="1" borderId="0" fontId="0" fillId="0" applyAlignment="1">
      <alignment horizontal="general"/>
    </xf>
    <xf xfId="0" numFmtId="170" applyNumberFormat="1" borderId="0" fontId="0" fillId="0" applyAlignment="1">
      <alignment horizontal="center"/>
    </xf>
    <xf xfId="0" numFmtId="164" applyNumberFormat="1" borderId="0" fontId="0" fillId="0" applyAlignment="1">
      <alignment horizontal="center"/>
    </xf>
    <xf xfId="0" numFmtId="166" applyNumberFormat="1" borderId="0" fontId="0" fillId="0" applyAlignment="1">
      <alignment horizontal="general"/>
    </xf>
    <xf xfId="0" numFmtId="0" borderId="82" applyBorder="1" fontId="11" applyFont="1" fillId="34" applyFill="1" applyAlignment="1">
      <alignment horizontal="center"/>
    </xf>
    <xf xfId="0" numFmtId="3" applyNumberFormat="1" borderId="83" applyBorder="1" fontId="11" applyFont="1" fillId="34" applyFill="1" applyAlignment="1">
      <alignment horizontal="center"/>
    </xf>
    <xf xfId="0" numFmtId="14" applyNumberFormat="1" borderId="83" applyBorder="1" fontId="11" applyFont="1" fillId="34" applyFill="1" applyAlignment="1">
      <alignment horizontal="center"/>
    </xf>
    <xf xfId="0" numFmtId="164" applyNumberFormat="1" borderId="83" applyBorder="1" fontId="11" applyFont="1" fillId="34" applyFill="1" applyAlignment="1">
      <alignment horizontal="center"/>
    </xf>
    <xf xfId="0" numFmtId="4" applyNumberFormat="1" borderId="84" applyBorder="1" fontId="11" applyFont="1" fillId="34" applyFill="1" applyAlignment="1">
      <alignment horizontal="center"/>
    </xf>
    <xf xfId="0" numFmtId="3" applyNumberFormat="1" borderId="42" applyBorder="1" fontId="117" applyFont="1" fillId="0" applyAlignment="1">
      <alignment horizontal="left" vertical="top" wrapText="1"/>
    </xf>
    <xf xfId="0" numFmtId="14" applyNumberFormat="1" borderId="42" applyBorder="1" fontId="117" applyFont="1" fillId="0" applyAlignment="1">
      <alignment horizontal="left" wrapText="1"/>
    </xf>
    <xf xfId="0" numFmtId="164" applyNumberFormat="1" borderId="42" applyBorder="1" fontId="117" applyFont="1" fillId="0" applyAlignment="1">
      <alignment horizontal="left" wrapText="1"/>
    </xf>
    <xf xfId="0" numFmtId="4" applyNumberFormat="1" borderId="42" applyBorder="1" fontId="117" applyFont="1" fillId="0" applyAlignment="1">
      <alignment horizontal="left" wrapText="1"/>
    </xf>
    <xf xfId="0" numFmtId="3" applyNumberFormat="1" borderId="42" applyBorder="1" fontId="117" applyFont="1" fillId="0" applyAlignment="1">
      <alignment horizontal="left" wrapText="1"/>
    </xf>
    <xf xfId="0" numFmtId="3" applyNumberFormat="1" borderId="1" applyBorder="1" fontId="59" applyFont="1" fillId="9" applyFill="1" applyAlignment="1">
      <alignment horizontal="left" wrapText="1"/>
    </xf>
    <xf xfId="0" numFmtId="14" applyNumberFormat="1" borderId="85" applyBorder="1" fontId="2" applyFont="1" fillId="3" applyFill="1" applyAlignment="1">
      <alignment horizontal="center"/>
    </xf>
    <xf xfId="0" numFmtId="164" applyNumberFormat="1" borderId="86" applyBorder="1" fontId="59" applyFont="1" fillId="9" applyFill="1" applyAlignment="1">
      <alignment horizontal="left"/>
    </xf>
    <xf xfId="0" numFmtId="14" applyNumberFormat="1" borderId="86" applyBorder="1" fontId="2" applyFont="1" fillId="3" applyFill="1" applyAlignment="1">
      <alignment horizontal="center"/>
    </xf>
    <xf xfId="0" numFmtId="14" applyNumberFormat="1" borderId="1" applyBorder="1" fontId="2" applyFont="1" fillId="3" applyFill="1" applyAlignment="1">
      <alignment horizontal="center"/>
    </xf>
    <xf xfId="0" numFmtId="3" applyNumberFormat="1" borderId="42" applyBorder="1" fontId="118" applyFont="1" fillId="0" applyAlignment="1">
      <alignment horizontal="left" wrapText="1"/>
    </xf>
    <xf xfId="0" numFmtId="14" applyNumberFormat="1" borderId="42" applyBorder="1" fontId="118" applyFont="1" fillId="0" applyAlignment="1">
      <alignment horizontal="left" wrapText="1"/>
    </xf>
    <xf xfId="0" numFmtId="164" applyNumberFormat="1" borderId="42" applyBorder="1" fontId="118" applyFont="1" fillId="0" applyAlignment="1">
      <alignment horizontal="left" wrapText="1"/>
    </xf>
    <xf xfId="0" numFmtId="3" applyNumberFormat="1" borderId="42" applyBorder="1" fontId="119" applyFont="1" fillId="0" applyAlignment="1">
      <alignment horizontal="left"/>
    </xf>
    <xf xfId="0" numFmtId="4" applyNumberFormat="1" borderId="42" applyBorder="1" fontId="19" applyFont="1" fillId="0" applyAlignment="1">
      <alignment horizontal="center"/>
    </xf>
    <xf xfId="0" numFmtId="164" applyNumberFormat="1" borderId="42" applyBorder="1" fontId="119" applyFont="1" fillId="0" applyAlignment="1">
      <alignment horizontal="left" wrapText="1"/>
    </xf>
    <xf xfId="0" numFmtId="14" applyNumberFormat="1" borderId="42" applyBorder="1" fontId="19" applyFont="1" fillId="0" applyAlignment="1">
      <alignment horizontal="center"/>
    </xf>
    <xf xfId="0" numFmtId="3" applyNumberFormat="1" borderId="1" applyBorder="1" fontId="16" applyFont="1" fillId="5" applyFill="1" applyAlignment="1">
      <alignment horizontal="left" wrapText="1"/>
    </xf>
    <xf xfId="0" numFmtId="14" applyNumberFormat="1" borderId="1" applyBorder="1" fontId="16" applyFont="1" fillId="5" applyFill="1" applyAlignment="1">
      <alignment horizontal="left" wrapText="1"/>
    </xf>
    <xf xfId="0" numFmtId="164" applyNumberFormat="1" borderId="1" applyBorder="1" fontId="16" applyFont="1" fillId="5" applyFill="1" applyAlignment="1">
      <alignment horizontal="left" wrapText="1"/>
    </xf>
    <xf xfId="0" numFmtId="164" applyNumberFormat="1" borderId="86" applyBorder="1" fontId="2" applyFont="1" fillId="19" applyFill="1" applyAlignment="1">
      <alignment horizontal="center"/>
    </xf>
    <xf xfId="0" numFmtId="4" applyNumberFormat="1" borderId="1" applyBorder="1" fontId="2" applyFont="1" fillId="19" applyFill="1" applyAlignment="1">
      <alignment horizontal="center"/>
    </xf>
    <xf xfId="0" numFmtId="3" applyNumberFormat="1" borderId="42" applyBorder="1" fontId="120" applyFont="1" fillId="0" applyAlignment="1">
      <alignment horizontal="left" wrapText="1"/>
    </xf>
    <xf xfId="0" numFmtId="14" applyNumberFormat="1" borderId="42" applyBorder="1" fontId="120" applyFont="1" fillId="0" applyAlignment="1">
      <alignment horizontal="left" wrapText="1"/>
    </xf>
    <xf xfId="0" numFmtId="164" applyNumberFormat="1" borderId="42" applyBorder="1" fontId="120" applyFont="1" fillId="0" applyAlignment="1">
      <alignment horizontal="left" wrapText="1"/>
    </xf>
    <xf xfId="0" numFmtId="4" applyNumberFormat="1" borderId="42" applyBorder="1" fontId="120" applyFont="1" fillId="0" applyAlignment="1">
      <alignment horizontal="left" wrapText="1"/>
    </xf>
    <xf xfId="0" numFmtId="3" applyNumberFormat="1" borderId="1" applyBorder="1" fontId="16" applyFont="1" fillId="5" applyFill="1" applyAlignment="1">
      <alignment horizontal="left"/>
    </xf>
    <xf xfId="0" numFmtId="14" applyNumberFormat="1" borderId="1" applyBorder="1" fontId="16" applyFont="1" fillId="5" applyFill="1" applyAlignment="1">
      <alignment horizontal="left"/>
    </xf>
    <xf xfId="0" numFmtId="164" applyNumberFormat="1" borderId="1" applyBorder="1" fontId="16" applyFont="1" fillId="5" applyFill="1" applyAlignment="1">
      <alignment horizontal="right"/>
    </xf>
    <xf xfId="0" numFmtId="164" applyNumberFormat="1" borderId="86" applyBorder="1" fontId="15" applyFont="1" fillId="19" applyFill="1" applyAlignment="1">
      <alignment horizontal="left"/>
    </xf>
    <xf xfId="0" numFmtId="3" applyNumberFormat="1" borderId="1" applyBorder="1" fontId="2" applyFont="1" fillId="19" applyFill="1" applyAlignment="1">
      <alignment horizontal="left"/>
    </xf>
    <xf xfId="0" numFmtId="3" applyNumberFormat="1" borderId="1" applyBorder="1" fontId="30" applyFont="1" fillId="2" applyFill="1" applyAlignment="1">
      <alignment horizontal="left" wrapText="1"/>
    </xf>
    <xf xfId="0" numFmtId="14" applyNumberFormat="1" borderId="1" applyBorder="1" fontId="30" applyFont="1" fillId="2" applyFill="1" applyAlignment="1">
      <alignment horizontal="left" wrapText="1"/>
    </xf>
    <xf xfId="0" numFmtId="164" applyNumberFormat="1" borderId="1" applyBorder="1" fontId="30" applyFont="1" fillId="2" applyFill="1" applyAlignment="1">
      <alignment horizontal="left" wrapText="1"/>
    </xf>
    <xf xfId="0" numFmtId="4" applyNumberFormat="1" borderId="1" applyBorder="1" fontId="121" applyFont="1" fillId="2" applyFill="1" applyAlignment="1">
      <alignment horizontal="left" wrapText="1"/>
    </xf>
    <xf xfId="0" numFmtId="3" applyNumberFormat="1" borderId="42" applyBorder="1" fontId="122" applyFont="1" fillId="0" applyAlignment="1">
      <alignment horizontal="left" wrapText="1"/>
    </xf>
    <xf xfId="0" numFmtId="14" applyNumberFormat="1" borderId="42" applyBorder="1" fontId="122" applyFont="1" fillId="0" applyAlignment="1">
      <alignment horizontal="left" wrapText="1"/>
    </xf>
    <xf xfId="0" numFmtId="164" applyNumberFormat="1" borderId="42" applyBorder="1" fontId="122" applyFont="1" fillId="0" applyAlignment="1">
      <alignment horizontal="left" wrapText="1"/>
    </xf>
    <xf xfId="0" numFmtId="3" applyNumberFormat="1" borderId="42" applyBorder="1" fontId="123" applyFont="1" fillId="0" applyAlignment="1">
      <alignment horizontal="left" wrapText="1"/>
    </xf>
    <xf xfId="0" numFmtId="14" applyNumberFormat="1" borderId="42" applyBorder="1" fontId="123" applyFont="1" fillId="0" applyAlignment="1">
      <alignment horizontal="left" wrapText="1"/>
    </xf>
    <xf xfId="0" numFmtId="164" applyNumberFormat="1" borderId="42" applyBorder="1" fontId="123" applyFont="1" fillId="0" applyAlignment="1">
      <alignment horizontal="left" wrapText="1"/>
    </xf>
    <xf xfId="0" numFmtId="14" applyNumberFormat="1" borderId="42" applyBorder="1" fontId="70" applyFont="1" fillId="0" applyAlignment="1">
      <alignment horizontal="center"/>
    </xf>
    <xf xfId="0" numFmtId="14" applyNumberFormat="1" borderId="42" applyBorder="1" fontId="124" applyFont="1" fillId="0" applyAlignment="1">
      <alignment horizontal="center"/>
    </xf>
    <xf xfId="0" numFmtId="3" applyNumberFormat="1" borderId="42" applyBorder="1" fontId="14" applyFont="1" fillId="0" applyAlignment="1">
      <alignment horizontal="left" wrapText="1"/>
    </xf>
    <xf xfId="0" numFmtId="14" applyNumberFormat="1" borderId="42" applyBorder="1" fontId="14" applyFont="1" fillId="0" applyAlignment="1">
      <alignment horizontal="left" wrapText="1"/>
    </xf>
    <xf xfId="0" numFmtId="164" applyNumberFormat="1" borderId="42" applyBorder="1" fontId="14" applyFont="1" fillId="0" applyAlignment="1">
      <alignment horizontal="left" wrapText="1"/>
    </xf>
    <xf xfId="0" numFmtId="3" applyNumberFormat="1" borderId="1" applyBorder="1" fontId="10" applyFont="1" fillId="9" applyFill="1" applyAlignment="1">
      <alignment horizontal="left"/>
    </xf>
    <xf xfId="0" numFmtId="14" applyNumberFormat="1" borderId="1" applyBorder="1" fontId="119" applyFont="1" fillId="9" applyFill="1" applyAlignment="1">
      <alignment horizontal="left"/>
    </xf>
    <xf xfId="0" numFmtId="164" applyNumberFormat="1" borderId="1" applyBorder="1" fontId="119" applyFont="1" fillId="9" applyFill="1" applyAlignment="1">
      <alignment horizontal="left"/>
    </xf>
    <xf xfId="0" numFmtId="4" applyNumberFormat="1" borderId="1" applyBorder="1" fontId="19" applyFont="1" fillId="3" applyFill="1" applyAlignment="1">
      <alignment horizontal="center"/>
    </xf>
    <xf xfId="0" numFmtId="14" applyNumberFormat="1" borderId="1" applyBorder="1" fontId="19" applyFont="1" fillId="3" applyFill="1" applyAlignment="1">
      <alignment horizontal="center"/>
    </xf>
    <xf xfId="0" numFmtId="164" applyNumberFormat="1" borderId="1" applyBorder="1" fontId="19" applyFont="1" fillId="3" applyFill="1" applyAlignment="1">
      <alignment horizontal="center"/>
    </xf>
    <xf xfId="0" numFmtId="164" applyNumberFormat="1" borderId="87" applyBorder="1" fontId="21" applyFont="1" fillId="9" applyFill="1" applyAlignment="1">
      <alignment horizontal="left"/>
    </xf>
    <xf xfId="0" numFmtId="0" borderId="1" applyBorder="1" fontId="15" applyFont="1" fillId="11" applyFill="1" applyAlignment="1">
      <alignment horizontal="left"/>
    </xf>
    <xf xfId="0" numFmtId="14" applyNumberFormat="1" borderId="42" applyBorder="1" fontId="125" applyFont="1" fillId="0" applyAlignment="1">
      <alignment horizontal="left" wrapText="1"/>
    </xf>
    <xf xfId="0" numFmtId="164" applyNumberFormat="1" borderId="42" applyBorder="1" fontId="125" applyFont="1" fillId="0" applyAlignment="1">
      <alignment horizontal="left" wrapText="1"/>
    </xf>
    <xf xfId="0" numFmtId="4" applyNumberFormat="1" borderId="42" applyBorder="1" fontId="126" applyFont="1" fillId="0" applyAlignment="1">
      <alignment horizontal="left" wrapText="1"/>
    </xf>
    <xf xfId="0" numFmtId="0" borderId="42" applyBorder="1" fontId="127" applyFont="1" fillId="0" applyAlignment="1">
      <alignment horizontal="left"/>
    </xf>
    <xf xfId="0" numFmtId="14" applyNumberFormat="1" borderId="42" applyBorder="1" fontId="119" applyFont="1" fillId="0" applyAlignment="1">
      <alignment horizontal="left"/>
    </xf>
    <xf xfId="0" numFmtId="164" applyNumberFormat="1" borderId="1" applyBorder="1" fontId="128" applyFont="1" fillId="9" applyFill="1" applyAlignment="1">
      <alignment horizontal="center" wrapText="1"/>
    </xf>
    <xf xfId="0" numFmtId="164" applyNumberFormat="1" borderId="86" applyBorder="1" fontId="128" applyFont="1" fillId="9" applyFill="1" applyAlignment="1">
      <alignment horizontal="center" wrapText="1"/>
    </xf>
    <xf xfId="0" numFmtId="166" applyNumberFormat="1" borderId="1" applyBorder="1" fontId="128" applyFont="1" fillId="9" applyFill="1" applyAlignment="1">
      <alignment horizontal="center" wrapText="1"/>
    </xf>
    <xf xfId="0" numFmtId="164" applyNumberFormat="1" borderId="56" applyBorder="1" fontId="1" applyFont="1" fillId="0" applyAlignment="1">
      <alignment horizontal="left"/>
    </xf>
    <xf xfId="0" numFmtId="0" borderId="88" applyBorder="1" fontId="15" applyFont="1" fillId="17" applyFill="1" applyAlignment="1">
      <alignment horizontal="left"/>
    </xf>
    <xf xfId="0" numFmtId="3" applyNumberFormat="1" borderId="88" applyBorder="1" fontId="128" applyFont="1" fillId="17" applyFill="1" applyAlignment="1">
      <alignment horizontal="left"/>
    </xf>
    <xf xfId="0" numFmtId="14" applyNumberFormat="1" borderId="1" applyBorder="1" fontId="119" applyFont="1" fillId="17" applyFill="1" applyAlignment="1">
      <alignment horizontal="left"/>
    </xf>
    <xf xfId="0" numFmtId="3" applyNumberFormat="1" borderId="1" applyBorder="1" fontId="14" applyFont="1" fillId="13" applyFill="1" applyAlignment="1">
      <alignment horizontal="center"/>
    </xf>
    <xf xfId="0" numFmtId="165" applyNumberFormat="1" borderId="86" applyBorder="1" fontId="14" applyFont="1" fillId="13" applyFill="1" applyAlignment="1">
      <alignment horizontal="center"/>
    </xf>
    <xf xfId="0" numFmtId="165" applyNumberFormat="1" borderId="1" applyBorder="1" fontId="14" applyFont="1" fillId="13" applyFill="1" applyAlignment="1">
      <alignment horizontal="center"/>
    </xf>
    <xf xfId="0" numFmtId="3" applyNumberFormat="1" borderId="1" applyBorder="1" fontId="61" applyFont="1" fillId="17" applyFill="1" applyAlignment="1">
      <alignment horizontal="left"/>
    </xf>
    <xf xfId="0" numFmtId="3" applyNumberFormat="1" borderId="1" applyBorder="1" fontId="11" applyFont="1" fillId="17" applyFill="1" applyAlignment="1">
      <alignment horizontal="center"/>
    </xf>
    <xf xfId="0" numFmtId="0" borderId="1" applyBorder="1" fontId="15" applyFont="1" fillId="17" applyFill="1" applyAlignment="1">
      <alignment horizontal="left"/>
    </xf>
    <xf xfId="0" numFmtId="3" applyNumberFormat="1" borderId="1" applyBorder="1" fontId="128" applyFont="1" fillId="17" applyFill="1" applyAlignment="1">
      <alignment horizontal="left"/>
    </xf>
    <xf xfId="0" numFmtId="14" applyNumberFormat="1" borderId="1" applyBorder="1" fontId="122" applyFont="1" fillId="17" applyFill="1" applyAlignment="1">
      <alignment horizontal="left"/>
    </xf>
    <xf xfId="0" numFmtId="3" applyNumberFormat="1" borderId="42" applyBorder="1" fontId="82" applyFont="1" fillId="0" applyAlignment="1">
      <alignment horizontal="left"/>
    </xf>
    <xf xfId="0" numFmtId="14" applyNumberFormat="1" borderId="42" applyBorder="1" fontId="82" applyFont="1" fillId="0" applyAlignment="1">
      <alignment horizontal="left"/>
    </xf>
    <xf xfId="0" numFmtId="164" applyNumberFormat="1" borderId="42" applyBorder="1" fontId="129" applyFont="1" fillId="0" applyAlignment="1">
      <alignment horizontal="center"/>
    </xf>
    <xf xfId="0" numFmtId="3" applyNumberFormat="1" borderId="42" applyBorder="1" fontId="24" applyFont="1" fillId="0" applyAlignment="1">
      <alignment horizontal="left"/>
    </xf>
    <xf xfId="0" numFmtId="4" applyNumberFormat="1" borderId="42" applyBorder="1" fontId="130" applyFont="1" fillId="0" applyAlignment="1">
      <alignment horizontal="center" wrapText="1"/>
    </xf>
    <xf xfId="0" numFmtId="14" applyNumberFormat="1" borderId="42" applyBorder="1" fontId="131" applyFont="1" fillId="0" applyAlignment="1">
      <alignment horizontal="center" wrapText="1"/>
    </xf>
    <xf xfId="0" numFmtId="164" applyNumberFormat="1" borderId="42" applyBorder="1" fontId="132" applyFont="1" fillId="0" applyAlignment="1">
      <alignment horizontal="center" wrapText="1"/>
    </xf>
    <xf xfId="0" numFmtId="164" applyNumberFormat="1" borderId="42" applyBorder="1" fontId="131" applyFont="1" fillId="0" applyAlignment="1">
      <alignment horizontal="center" wrapText="1"/>
    </xf>
    <xf xfId="0" numFmtId="4" applyNumberFormat="1" borderId="42" applyBorder="1" fontId="131" applyFont="1" fillId="0" applyAlignment="1">
      <alignment horizontal="center" wrapText="1"/>
    </xf>
    <xf xfId="0" numFmtId="3" applyNumberFormat="1" borderId="42" applyBorder="1" fontId="133" applyFont="1" fillId="0" applyAlignment="1">
      <alignment horizontal="center" wrapText="1"/>
    </xf>
    <xf xfId="0" numFmtId="14" applyNumberFormat="1" borderId="42" applyBorder="1" fontId="133" applyFont="1" fillId="0" applyAlignment="1">
      <alignment horizontal="center" wrapText="1"/>
    </xf>
    <xf xfId="0" numFmtId="164" applyNumberFormat="1" borderId="42" applyBorder="1" fontId="133" applyFont="1" fillId="0" applyAlignment="1">
      <alignment horizontal="center" wrapText="1"/>
    </xf>
    <xf xfId="0" numFmtId="4" applyNumberFormat="1" borderId="42" applyBorder="1" fontId="133" applyFont="1" fillId="0" applyAlignment="1">
      <alignment horizontal="center" wrapText="1"/>
    </xf>
    <xf xfId="0" numFmtId="3" applyNumberFormat="1" borderId="42" applyBorder="1" fontId="37" applyFont="1" fillId="0" applyAlignment="1">
      <alignment horizontal="left"/>
    </xf>
    <xf xfId="0" numFmtId="3" applyNumberFormat="1" borderId="1" applyBorder="1" fontId="38" applyFont="1" fillId="2" applyFill="1" applyAlignment="1">
      <alignment horizontal="left"/>
    </xf>
    <xf xfId="0" numFmtId="14" applyNumberFormat="1" borderId="42" applyBorder="1" fontId="134" applyFont="1" fillId="0" applyAlignment="1">
      <alignment horizontal="left"/>
    </xf>
    <xf xfId="0" numFmtId="3" applyNumberFormat="1" borderId="1" applyBorder="1" fontId="15" applyFont="1" fillId="9" applyFill="1" applyAlignment="1">
      <alignment horizontal="left"/>
    </xf>
    <xf xfId="0" numFmtId="14" applyNumberFormat="1" borderId="1" applyBorder="1" fontId="15" applyFont="1" fillId="2" applyFill="1" applyAlignment="1">
      <alignment horizontal="left"/>
    </xf>
    <xf xfId="0" numFmtId="164" applyNumberFormat="1" borderId="1" applyBorder="1" fontId="15" applyFont="1" fillId="2" applyFill="1" applyAlignment="1">
      <alignment horizontal="left"/>
    </xf>
    <xf xfId="0" numFmtId="4" applyNumberFormat="1" borderId="1" applyBorder="1" fontId="15" applyFont="1" fillId="2" applyFill="1" applyAlignment="1">
      <alignment horizontal="right"/>
    </xf>
    <xf xfId="0" numFmtId="14" applyNumberFormat="1" borderId="1" applyBorder="1" fontId="57" applyFont="1" fillId="2" applyFill="1" applyAlignment="1">
      <alignment horizontal="left"/>
    </xf>
    <xf xfId="0" numFmtId="0" borderId="1" applyBorder="1" fontId="5" applyFont="1" fillId="2" applyFill="1" applyAlignment="1">
      <alignment horizontal="left"/>
    </xf>
    <xf xfId="0" numFmtId="164" applyNumberFormat="1" borderId="1" applyBorder="1" fontId="70" applyFont="1" fillId="2" applyFill="1" applyAlignment="1">
      <alignment horizontal="left"/>
    </xf>
    <xf xfId="0" numFmtId="164" applyNumberFormat="1" borderId="1" applyBorder="1" fontId="17" applyFont="1" fillId="2" applyFill="1" applyAlignment="1">
      <alignment horizontal="left"/>
    </xf>
    <xf xfId="0" numFmtId="0" borderId="1" applyBorder="1" fontId="24" applyFont="1" fillId="2" applyFill="1" applyAlignment="1">
      <alignment horizontal="left"/>
    </xf>
    <xf xfId="0" numFmtId="14" applyNumberFormat="1" borderId="1" applyBorder="1" fontId="73" applyFont="1" fillId="2" applyFill="1" applyAlignment="1">
      <alignment horizontal="left"/>
    </xf>
    <xf xfId="0" numFmtId="14" applyNumberFormat="1" borderId="1" applyBorder="1" fontId="17" applyFont="1" fillId="2" applyFill="1" applyAlignment="1">
      <alignment horizontal="left"/>
    </xf>
    <xf xfId="0" numFmtId="4" applyNumberFormat="1" borderId="1" applyBorder="1" fontId="17" applyFont="1" fillId="2" applyFill="1" applyAlignment="1">
      <alignment horizontal="right"/>
    </xf>
    <xf xfId="0" numFmtId="0" borderId="1" applyBorder="1" fontId="44" applyFont="1" fillId="2" applyFill="1" applyAlignment="1">
      <alignment horizontal="left"/>
    </xf>
    <xf xfId="0" numFmtId="164" applyNumberFormat="1" borderId="1" applyBorder="1" fontId="17" applyFont="1" fillId="2" applyFill="1" applyAlignment="1">
      <alignment horizontal="right"/>
    </xf>
    <xf xfId="0" numFmtId="4" applyNumberFormat="1" borderId="1" applyBorder="1" fontId="5" applyFont="1" fillId="2" applyFill="1" applyAlignment="1">
      <alignment horizontal="right"/>
    </xf>
    <xf xfId="0" numFmtId="14" applyNumberFormat="1" borderId="1" applyBorder="1" fontId="38" applyFont="1" fillId="2" applyFill="1" applyAlignment="1">
      <alignment horizontal="left"/>
    </xf>
    <xf xfId="0" numFmtId="164" applyNumberFormat="1" borderId="1" applyBorder="1" fontId="38" applyFont="1" fillId="2" applyFill="1" applyAlignment="1">
      <alignment horizontal="left"/>
    </xf>
    <xf xfId="0" numFmtId="3" applyNumberFormat="1" borderId="1" applyBorder="1" fontId="52" applyFont="1" fillId="2" applyFill="1" applyAlignment="1">
      <alignment horizontal="left"/>
    </xf>
    <xf xfId="0" numFmtId="3" applyNumberFormat="1" borderId="42" applyBorder="1" fontId="15" applyFont="1" fillId="0" applyAlignment="1">
      <alignment horizontal="center"/>
    </xf>
    <xf xfId="0" numFmtId="14" applyNumberFormat="1" borderId="42" applyBorder="1" fontId="1" applyFont="1" fillId="0" applyAlignment="1">
      <alignment horizontal="center"/>
    </xf>
    <xf xfId="0" numFmtId="3" applyNumberFormat="1" borderId="42" applyBorder="1" fontId="5" applyFont="1" fillId="0" applyAlignment="1">
      <alignment horizontal="left"/>
    </xf>
    <xf xfId="0" numFmtId="0" borderId="42" applyBorder="1" fontId="5" applyFont="1" fillId="0" applyAlignment="1">
      <alignment horizontal="left"/>
    </xf>
    <xf xfId="0" numFmtId="14" applyNumberFormat="1" borderId="42" applyBorder="1" fontId="15" applyFont="1" fillId="0" applyAlignment="1">
      <alignment horizontal="center"/>
    </xf>
    <xf xfId="0" numFmtId="3" applyNumberFormat="1" borderId="42" applyBorder="1" fontId="35" applyFont="1" fillId="0" applyAlignment="1">
      <alignment horizontal="right"/>
    </xf>
    <xf xfId="0" numFmtId="4" applyNumberFormat="1" borderId="42" applyBorder="1" fontId="57" applyFont="1" fillId="0" applyAlignment="1">
      <alignment horizontal="left"/>
    </xf>
    <xf xfId="0" numFmtId="3" applyNumberFormat="1" borderId="42" applyBorder="1" fontId="17" applyFont="1" fillId="0" applyAlignment="1">
      <alignment horizontal="right"/>
    </xf>
    <xf xfId="0" numFmtId="3" applyNumberFormat="1" borderId="1" applyBorder="1" fontId="70" applyFont="1" fillId="11" applyFill="1" applyAlignment="1">
      <alignment horizontal="left"/>
    </xf>
    <xf xfId="0" numFmtId="0" borderId="1" applyBorder="1" fontId="73" applyFont="1" fillId="5" applyFill="1" applyAlignment="1">
      <alignment horizontal="left"/>
    </xf>
    <xf xfId="0" numFmtId="3" applyNumberFormat="1" borderId="1" applyBorder="1" fontId="16" applyFont="1" fillId="9" applyFill="1" applyAlignment="1">
      <alignment horizontal="left" wrapText="1"/>
    </xf>
    <xf xfId="0" numFmtId="14" applyNumberFormat="1" borderId="1" applyBorder="1" fontId="16" applyFont="1" fillId="9" applyFill="1" applyAlignment="1">
      <alignment horizontal="left" wrapText="1"/>
    </xf>
    <xf xfId="0" numFmtId="164" applyNumberFormat="1" borderId="1" applyBorder="1" fontId="16" applyFont="1" fillId="9" applyFill="1" applyAlignment="1">
      <alignment horizontal="left" wrapText="1"/>
    </xf>
    <xf xfId="0" numFmtId="3" applyNumberFormat="1" borderId="1" applyBorder="1" fontId="2" applyFont="1" fillId="35" applyFill="1" applyAlignment="1">
      <alignment horizontal="center" wrapText="1"/>
    </xf>
    <xf xfId="0" numFmtId="4" applyNumberFormat="1" borderId="1" applyBorder="1" fontId="2" applyFont="1" fillId="35" applyFill="1" applyAlignment="1">
      <alignment horizontal="center" wrapText="1"/>
    </xf>
    <xf xfId="0" numFmtId="14" applyNumberFormat="1" borderId="1" applyBorder="1" fontId="130" applyFont="1" fillId="2" applyFill="1" applyAlignment="1">
      <alignment horizontal="center" wrapText="1"/>
    </xf>
    <xf xfId="0" numFmtId="4" applyNumberFormat="1" borderId="1" applyBorder="1" fontId="15" applyFont="1" fillId="11" applyFill="1" applyAlignment="1">
      <alignment horizontal="right"/>
    </xf>
    <xf xfId="0" numFmtId="14" applyNumberFormat="1" borderId="1" applyBorder="1" fontId="15" applyFont="1" fillId="11" applyFill="1" applyAlignment="1">
      <alignment horizontal="left"/>
    </xf>
    <xf xfId="0" numFmtId="14" applyNumberFormat="1" borderId="42" applyBorder="1" fontId="79" applyFont="1" fillId="0" applyAlignment="1">
      <alignment horizontal="left"/>
    </xf>
    <xf xfId="0" numFmtId="0" borderId="42" applyBorder="1" fontId="101" applyFont="1" fillId="0" applyAlignment="1">
      <alignment horizontal="left"/>
    </xf>
    <xf xfId="0" numFmtId="3" applyNumberFormat="1" borderId="48" applyBorder="1" fontId="1" applyFont="1" fillId="36" applyFill="1" applyAlignment="1">
      <alignment horizontal="right"/>
    </xf>
    <xf xfId="0" numFmtId="3" applyNumberFormat="1" borderId="48" applyBorder="1" fontId="1" applyFont="1" fillId="11" applyFill="1" applyAlignment="1">
      <alignment horizontal="center"/>
    </xf>
    <xf xfId="0" numFmtId="3" applyNumberFormat="1" borderId="89" applyBorder="1" fontId="135" applyFont="1" fillId="37" applyFill="1" applyAlignment="1">
      <alignment horizontal="left" wrapText="1"/>
    </xf>
    <xf xfId="0" numFmtId="3" applyNumberFormat="1" borderId="1" applyBorder="1" fontId="135" applyFont="1" fillId="37" applyFill="1" applyAlignment="1">
      <alignment horizontal="left" wrapText="1"/>
    </xf>
    <xf xfId="0" numFmtId="4" applyNumberFormat="1" borderId="1" applyBorder="1" fontId="135" applyFont="1" fillId="37" applyFill="1" applyAlignment="1">
      <alignment horizontal="left" wrapText="1"/>
    </xf>
    <xf xfId="0" numFmtId="3" applyNumberFormat="1" borderId="48" applyBorder="1" fontId="1" applyFont="1" fillId="38" applyFill="1" applyAlignment="1">
      <alignment horizontal="left"/>
    </xf>
    <xf xfId="0" numFmtId="3" applyNumberFormat="1" borderId="90" applyBorder="1" fontId="1" applyFont="1" fillId="38" applyFill="1" applyAlignment="1">
      <alignment horizontal="left"/>
    </xf>
    <xf xfId="0" numFmtId="3" applyNumberFormat="1" borderId="75" applyBorder="1" fontId="1" applyFont="1" fillId="38" applyFill="1" applyAlignment="1">
      <alignment horizontal="left"/>
    </xf>
    <xf xfId="0" numFmtId="3" applyNumberFormat="1" borderId="91" applyBorder="1" fontId="1" applyFont="1" fillId="38" applyFill="1" applyAlignment="1">
      <alignment horizontal="left"/>
    </xf>
    <xf xfId="0" numFmtId="4" applyNumberFormat="1" borderId="90" applyBorder="1" fontId="1" applyFont="1" fillId="38" applyFill="1" applyAlignment="1">
      <alignment horizontal="left"/>
    </xf>
    <xf xfId="0" numFmtId="4" applyNumberFormat="1" borderId="75" applyBorder="1" fontId="1" applyFont="1" fillId="38" applyFill="1" applyAlignment="1">
      <alignment horizontal="left"/>
    </xf>
    <xf xfId="0" numFmtId="3" applyNumberFormat="1" borderId="48" applyBorder="1" fontId="44" applyFont="1" fillId="33" applyFill="1" applyAlignment="1">
      <alignment horizontal="left"/>
    </xf>
    <xf xfId="0" numFmtId="0" borderId="48" applyBorder="1" fontId="1" applyFont="1" fillId="11" applyFill="1" applyAlignment="1">
      <alignment horizontal="left"/>
    </xf>
    <xf xfId="0" numFmtId="4" applyNumberFormat="1" borderId="2" applyBorder="1" fontId="136" applyFont="1" fillId="25" applyFill="1" applyAlignment="1">
      <alignment horizontal="center"/>
    </xf>
    <xf xfId="0" numFmtId="3" applyNumberFormat="1" borderId="4" applyBorder="1" fontId="136" applyFont="1" fillId="25" applyFill="1" applyAlignment="1">
      <alignment horizontal="center"/>
    </xf>
    <xf xfId="0" numFmtId="165" applyNumberFormat="1" borderId="42" applyBorder="1" fontId="1" applyFont="1" fillId="0" applyAlignment="1">
      <alignment horizontal="right"/>
    </xf>
    <xf xfId="0" numFmtId="1" applyNumberFormat="1" borderId="48" applyBorder="1" fontId="1" applyFont="1" fillId="0" applyAlignment="1">
      <alignment horizontal="right"/>
    </xf>
    <xf xfId="0" numFmtId="4" applyNumberFormat="1" borderId="48" applyBorder="1" fontId="44" applyFont="1" fillId="0" applyAlignment="1">
      <alignment horizontal="right"/>
    </xf>
    <xf xfId="0" numFmtId="3" applyNumberFormat="1" borderId="42" applyBorder="1" fontId="39" applyFont="1" fillId="0" applyAlignment="1">
      <alignment horizontal="right"/>
    </xf>
    <xf xfId="0" numFmtId="0" borderId="92" applyBorder="1" fontId="1" applyFont="1" fillId="11" applyFill="1" applyAlignment="1">
      <alignment horizontal="left"/>
    </xf>
    <xf xfId="0" numFmtId="14" applyNumberFormat="1" borderId="93" applyBorder="1" fontId="1" applyFont="1" fillId="0" applyAlignment="1">
      <alignment horizontal="left"/>
    </xf>
    <xf xfId="0" numFmtId="171" applyNumberFormat="1" borderId="48" applyBorder="1" fontId="1" applyFont="1" fillId="0" applyAlignment="1">
      <alignment horizontal="right"/>
    </xf>
    <xf xfId="0" numFmtId="4" applyNumberFormat="1" borderId="48" applyBorder="1" fontId="1" applyFont="1" fillId="39" applyFill="1" applyAlignment="1">
      <alignment horizontal="left"/>
    </xf>
    <xf xfId="0" numFmtId="164" applyNumberFormat="1" borderId="48" applyBorder="1" fontId="1" applyFont="1" fillId="39" applyFill="1" applyAlignment="1">
      <alignment horizontal="right"/>
    </xf>
    <xf xfId="0" numFmtId="0" borderId="94" applyBorder="1" fontId="1" applyFont="1" fillId="11" applyFill="1" applyAlignment="1">
      <alignment horizontal="left"/>
    </xf>
    <xf xfId="0" numFmtId="4" applyNumberFormat="1" borderId="95" applyBorder="1" fontId="1" applyFont="1" fillId="2" applyFill="1" applyAlignment="1">
      <alignment horizontal="right"/>
    </xf>
    <xf xfId="0" numFmtId="4" applyNumberFormat="1" borderId="1" applyBorder="1" fontId="1" applyFont="1" fillId="11" applyFill="1" applyAlignment="1">
      <alignment horizontal="right"/>
    </xf>
    <xf xfId="0" numFmtId="171" applyNumberFormat="1" borderId="42" applyBorder="1" fontId="137" applyFont="1" fillId="0" applyAlignment="1">
      <alignment horizontal="right"/>
    </xf>
    <xf xfId="0" numFmtId="4" applyNumberFormat="1" borderId="1" applyBorder="1" fontId="1" applyFont="1" fillId="9" applyFill="1" applyAlignment="1">
      <alignment horizontal="left"/>
    </xf>
    <xf xfId="0" numFmtId="4" applyNumberFormat="1" borderId="81" applyBorder="1" fontId="1" applyFont="1" fillId="2" applyFill="1" applyAlignment="1">
      <alignment horizontal="right"/>
    </xf>
    <xf xfId="0" numFmtId="4" applyNumberFormat="1" borderId="48" applyBorder="1" fontId="1" applyFont="1" fillId="40" applyFill="1" applyAlignment="1">
      <alignment horizontal="right"/>
    </xf>
    <xf xfId="0" numFmtId="167" applyNumberFormat="1" borderId="48" applyBorder="1" fontId="1" applyFont="1" fillId="0" applyAlignment="1">
      <alignment horizontal="right"/>
    </xf>
    <xf xfId="0" numFmtId="4" applyNumberFormat="1" borderId="81" applyBorder="1" fontId="1" applyFont="1" fillId="0" applyAlignment="1">
      <alignment horizontal="right"/>
    </xf>
    <xf xfId="0" numFmtId="0" borderId="48" applyBorder="1" fontId="1" applyFont="1" fillId="41" applyFill="1" applyAlignment="1">
      <alignment horizontal="left"/>
    </xf>
    <xf xfId="0" numFmtId="167" applyNumberFormat="1" borderId="42" applyBorder="1" fontId="1" applyFont="1" fillId="0" applyAlignment="1">
      <alignment horizontal="right"/>
    </xf>
    <xf xfId="0" numFmtId="0" borderId="90" applyBorder="1" fontId="1" applyFont="1" fillId="41" applyFill="1" applyAlignment="1">
      <alignment horizontal="left"/>
    </xf>
    <xf xfId="0" numFmtId="4" applyNumberFormat="1" borderId="96" applyBorder="1" fontId="1" applyFont="1" fillId="0" applyAlignment="1">
      <alignment horizontal="right"/>
    </xf>
    <xf xfId="0" numFmtId="4" applyNumberFormat="1" borderId="1" applyBorder="1" fontId="52" applyFont="1" fillId="11" applyFill="1" applyAlignment="1">
      <alignment horizontal="left"/>
    </xf>
    <xf xfId="0" numFmtId="0" borderId="92" applyBorder="1" fontId="1" applyFont="1" fillId="41" applyFill="1" applyAlignment="1">
      <alignment horizontal="left"/>
    </xf>
    <xf xfId="0" numFmtId="4" applyNumberFormat="1" borderId="45" applyBorder="1" fontId="1" applyFont="1" fillId="0" applyAlignment="1">
      <alignment horizontal="right"/>
    </xf>
    <xf xfId="0" numFmtId="164" applyNumberFormat="1" borderId="45" applyBorder="1" fontId="1" applyFont="1" fillId="0" applyAlignment="1">
      <alignment horizontal="right"/>
    </xf>
    <xf xfId="0" numFmtId="0" borderId="92" applyBorder="1" fontId="1" applyFont="1" fillId="39" applyFill="1" applyAlignment="1">
      <alignment horizontal="left"/>
    </xf>
    <xf xfId="0" numFmtId="164" applyNumberFormat="1" borderId="2" applyBorder="1" fontId="44" applyFont="1" fillId="39" applyFill="1" applyAlignment="1">
      <alignment horizontal="right"/>
    </xf>
    <xf xfId="0" numFmtId="172" applyNumberFormat="1" borderId="48" applyBorder="1" fontId="1" applyFont="1" fillId="0" applyAlignment="1">
      <alignment horizontal="right"/>
    </xf>
    <xf xfId="0" numFmtId="173" applyNumberFormat="1" borderId="42" applyBorder="1" fontId="1" applyFont="1" fillId="0" applyAlignment="1">
      <alignment horizontal="right"/>
    </xf>
    <xf xfId="0" numFmtId="164" applyNumberFormat="1" borderId="48" applyBorder="1" fontId="44" applyFont="1" fillId="0" applyAlignment="1">
      <alignment horizontal="right"/>
    </xf>
    <xf xfId="0" numFmtId="3" applyNumberFormat="1" borderId="48" applyBorder="1" fontId="1" applyFont="1" fillId="42" applyFill="1" applyAlignment="1">
      <alignment horizontal="center"/>
    </xf>
    <xf xfId="0" numFmtId="4" applyNumberFormat="1" borderId="48" applyBorder="1" fontId="1" applyFont="1" fillId="42" applyFill="1" applyAlignment="1">
      <alignment horizontal="center"/>
    </xf>
    <xf xfId="0" numFmtId="0" borderId="48" applyBorder="1" fontId="1" applyFont="1" fillId="19" applyFill="1" applyAlignment="1">
      <alignment horizontal="left"/>
    </xf>
    <xf xfId="0" numFmtId="0" borderId="97" applyBorder="1" fontId="1" applyFont="1" fillId="41" applyFill="1" applyAlignment="1">
      <alignment horizontal="left"/>
    </xf>
    <xf xfId="0" numFmtId="4" applyNumberFormat="1" borderId="98" applyBorder="1" fontId="1" applyFont="1" fillId="0" applyAlignment="1">
      <alignment horizontal="right"/>
    </xf>
    <xf xfId="0" numFmtId="0" borderId="99" applyBorder="1" fontId="1" applyFont="1" fillId="23" applyFill="1" applyAlignment="1">
      <alignment horizontal="left"/>
    </xf>
    <xf xfId="0" numFmtId="4" applyNumberFormat="1" borderId="100" applyBorder="1" fontId="1" applyFont="1" fillId="0" applyAlignment="1">
      <alignment horizontal="right"/>
    </xf>
    <xf xfId="0" numFmtId="4" applyNumberFormat="1" borderId="70" applyBorder="1" fontId="44" applyFont="1" fillId="0" applyAlignment="1">
      <alignment horizontal="right"/>
    </xf>
    <xf xfId="0" numFmtId="3" applyNumberFormat="1" borderId="42" applyBorder="1" fontId="138" applyFont="1" fillId="0" applyAlignment="1">
      <alignment horizontal="left"/>
    </xf>
    <xf xfId="0" numFmtId="0" borderId="48" applyBorder="1" fontId="1" applyFont="1" fillId="30" applyFill="1" applyAlignment="1">
      <alignment horizontal="left"/>
    </xf>
    <xf xfId="0" numFmtId="0" borderId="48" applyBorder="1" fontId="1" applyFont="1" fillId="14" applyFill="1" applyAlignment="1">
      <alignment horizontal="left"/>
    </xf>
    <xf xfId="0" numFmtId="164" applyNumberFormat="1" borderId="48" applyBorder="1" fontId="44" applyFont="1" fillId="43" applyFill="1" applyAlignment="1">
      <alignment horizontal="center"/>
    </xf>
    <xf xfId="0" numFmtId="164" applyNumberFormat="1" borderId="48" applyBorder="1" fontId="44" applyFont="1" fillId="0" applyAlignment="1">
      <alignment horizontal="center"/>
    </xf>
    <xf xfId="0" numFmtId="3" applyNumberFormat="1" borderId="89" applyBorder="1" fontId="139" applyFont="1" fillId="2" applyFill="1" applyAlignment="1">
      <alignment horizontal="left" wrapText="1"/>
    </xf>
    <xf xfId="0" numFmtId="14" applyNumberFormat="1" borderId="48" applyBorder="1" fontId="44" applyFont="1" fillId="0" applyAlignment="1">
      <alignment horizontal="left"/>
    </xf>
    <xf xfId="0" numFmtId="3" applyNumberFormat="1" borderId="48" applyBorder="1" fontId="44" applyFont="1" fillId="0" applyAlignment="1">
      <alignment horizontal="right"/>
    </xf>
    <xf xfId="0" numFmtId="0" borderId="48" applyBorder="1" fontId="59" applyFont="1" fillId="40" applyFill="1" applyAlignment="1">
      <alignment horizontal="center"/>
    </xf>
    <xf xfId="0" numFmtId="4" applyNumberFormat="1" borderId="48" applyBorder="1" fontId="59" applyFont="1" fillId="40" applyFill="1" applyAlignment="1">
      <alignment horizontal="center"/>
    </xf>
    <xf xfId="0" numFmtId="0" borderId="48" applyBorder="1" fontId="49" applyFont="1" fillId="0" applyAlignment="1">
      <alignment horizontal="left"/>
    </xf>
    <xf xfId="0" numFmtId="0" borderId="48" applyBorder="1" fontId="49" applyFont="1" fillId="44" applyFill="1" applyAlignment="1">
      <alignment horizontal="left"/>
    </xf>
    <xf xfId="0" numFmtId="3" applyNumberFormat="1" borderId="89" applyBorder="1" fontId="140" applyFont="1" fillId="45" applyFill="1" applyAlignment="1">
      <alignment horizontal="left" wrapText="1"/>
    </xf>
    <xf xfId="0" numFmtId="164" applyNumberFormat="1" borderId="48" applyBorder="1" fontId="49" applyFont="1" fillId="0" applyAlignment="1">
      <alignment horizontal="center"/>
    </xf>
    <xf xfId="0" numFmtId="3" applyNumberFormat="1" borderId="48" applyBorder="1" fontId="1" applyFont="1" fillId="9" applyFill="1" applyAlignment="1">
      <alignment horizontal="left"/>
    </xf>
    <xf xfId="0" numFmtId="3" applyNumberFormat="1" borderId="2" applyBorder="1" fontId="1" applyFont="1" fillId="9" applyFill="1" applyAlignment="1">
      <alignment horizontal="center"/>
    </xf>
    <xf xfId="0" numFmtId="3" applyNumberFormat="1" borderId="4" applyBorder="1" fontId="1" applyFont="1" fillId="9" applyFill="1" applyAlignment="1">
      <alignment horizontal="center"/>
    </xf>
    <xf xfId="0" numFmtId="3" applyNumberFormat="1" borderId="48" applyBorder="1" fontId="139" applyFont="1" fillId="2" applyFill="1" applyAlignment="1">
      <alignment horizontal="left" wrapText="1"/>
    </xf>
    <xf xfId="0" numFmtId="171" applyNumberFormat="1" borderId="48" applyBorder="1" fontId="49" applyFont="1" fillId="0" applyAlignment="1">
      <alignment horizontal="center"/>
    </xf>
    <xf xfId="0" numFmtId="0" borderId="48" applyBorder="1" fontId="49" applyFont="1" fillId="40" applyFill="1" applyAlignment="1">
      <alignment horizontal="left"/>
    </xf>
    <xf xfId="0" numFmtId="4" applyNumberFormat="1" borderId="48" applyBorder="1" fontId="59" applyFont="1" fillId="0" applyAlignment="1">
      <alignment horizontal="right"/>
    </xf>
    <xf xfId="0" numFmtId="0" borderId="48" applyBorder="1" fontId="49" applyFont="1" fillId="11" applyFill="1" applyAlignment="1">
      <alignment horizontal="left"/>
    </xf>
    <xf xfId="0" numFmtId="4" applyNumberFormat="1" borderId="48" applyBorder="1" fontId="49" applyFont="1" fillId="11" applyFill="1" applyAlignment="1">
      <alignment horizontal="right"/>
    </xf>
    <xf xfId="0" numFmtId="171" applyNumberFormat="1" borderId="42" applyBorder="1" fontId="1" applyFont="1" fillId="0" applyAlignment="1">
      <alignment horizontal="right"/>
    </xf>
    <xf xfId="0" numFmtId="3" applyNumberFormat="1" borderId="42" applyBorder="1" fontId="44" applyFont="1" fillId="0" applyAlignment="1">
      <alignment horizontal="right"/>
    </xf>
    <xf xfId="0" numFmtId="4" applyNumberFormat="1" borderId="42" applyBorder="1" fontId="39" applyFont="1" fillId="0" applyAlignment="1">
      <alignment horizontal="right"/>
    </xf>
    <xf xfId="0" numFmtId="14" applyNumberFormat="1" borderId="48" applyBorder="1" fontId="78" applyFont="1" fillId="25" applyFill="1" applyAlignment="1">
      <alignment horizontal="left"/>
    </xf>
    <xf xfId="0" numFmtId="3" applyNumberFormat="1" borderId="93" applyBorder="1" fontId="1" applyFont="1" fillId="0" applyAlignment="1">
      <alignment horizontal="right"/>
    </xf>
    <xf xfId="0" numFmtId="3" applyNumberFormat="1" borderId="48" applyBorder="1" fontId="78" applyFont="1" fillId="25" applyFill="1" applyAlignment="1">
      <alignment horizontal="left"/>
    </xf>
    <xf xfId="0" numFmtId="4" applyNumberFormat="1" borderId="48" applyBorder="1" fontId="78" applyFont="1" fillId="25" applyFill="1" applyAlignment="1">
      <alignment horizontal="left"/>
    </xf>
    <xf xfId="0" numFmtId="14" applyNumberFormat="1" borderId="2" applyBorder="1" fontId="1" applyFont="1" fillId="14" applyFill="1" applyAlignment="1">
      <alignment horizontal="left"/>
    </xf>
    <xf xfId="0" numFmtId="1" applyNumberFormat="1" borderId="48" applyBorder="1" fontId="1" applyFont="1" fillId="42" applyFill="1" applyAlignment="1">
      <alignment horizontal="center"/>
    </xf>
    <xf xfId="0" numFmtId="14" applyNumberFormat="1" borderId="1" applyBorder="1" fontId="1" applyFont="1" fillId="46" applyFill="1" applyAlignment="1">
      <alignment horizontal="left"/>
    </xf>
    <xf xfId="0" numFmtId="0" borderId="48" applyBorder="1" fontId="78" applyFont="1" fillId="25" applyFill="1" applyAlignment="1">
      <alignment horizontal="left"/>
    </xf>
    <xf xfId="0" numFmtId="14" applyNumberFormat="1" borderId="48" applyBorder="1" fontId="1" applyFont="1" fillId="14" applyFill="1" applyAlignment="1">
      <alignment horizontal="left"/>
    </xf>
    <xf xfId="0" numFmtId="14" applyNumberFormat="1" borderId="48" applyBorder="1" fontId="1" applyFont="1" fillId="0" applyAlignment="1">
      <alignment horizontal="center"/>
    </xf>
    <xf xfId="0" numFmtId="4" applyNumberFormat="1" borderId="48" applyBorder="1" fontId="1" applyFont="1" fillId="14" applyFill="1" applyAlignment="1">
      <alignment horizontal="right"/>
    </xf>
    <xf xfId="0" numFmtId="14" applyNumberFormat="1" borderId="48" applyBorder="1" fontId="1" applyFont="1" fillId="22" applyFill="1" applyAlignment="1">
      <alignment horizontal="left"/>
    </xf>
    <xf xfId="0" numFmtId="14" applyNumberFormat="1" borderId="48" applyBorder="1" fontId="78" applyFont="1" fillId="25" applyFill="1" applyAlignment="1">
      <alignment horizontal="center"/>
    </xf>
    <xf xfId="0" numFmtId="4" applyNumberFormat="1" borderId="48" applyBorder="1" fontId="78" applyFont="1" fillId="25" applyFill="1" applyAlignment="1">
      <alignment horizontal="center"/>
    </xf>
    <xf xfId="0" numFmtId="4" applyNumberFormat="1" borderId="48" applyBorder="1" fontId="1" applyFont="1" fillId="22" applyFill="1" applyAlignment="1">
      <alignment horizontal="left"/>
    </xf>
    <xf xfId="0" numFmtId="4" applyNumberFormat="1" borderId="48" applyBorder="1" fontId="141" applyFont="1" fillId="36" applyFill="1" applyAlignment="1">
      <alignment horizontal="left"/>
    </xf>
    <xf xfId="0" numFmtId="4" applyNumberFormat="1" borderId="48" applyBorder="1" fontId="142" applyFont="1" fillId="22" applyFill="1" applyAlignment="1">
      <alignment horizontal="left"/>
    </xf>
    <xf xfId="0" numFmtId="4" applyNumberFormat="1" borderId="48" applyBorder="1" fontId="142" applyFont="1" fillId="47" applyFill="1" applyAlignment="1">
      <alignment horizontal="left"/>
    </xf>
    <xf xfId="0" numFmtId="14" applyNumberFormat="1" borderId="48" applyBorder="1" fontId="142" applyFont="1" fillId="47" applyFill="1" applyAlignment="1">
      <alignment horizontal="left"/>
    </xf>
    <xf xfId="0" numFmtId="14" applyNumberFormat="1" borderId="47" applyBorder="1" fontId="1" applyFont="1" fillId="0" applyAlignment="1">
      <alignment horizontal="left"/>
    </xf>
    <xf xfId="0" numFmtId="14" applyNumberFormat="1" borderId="48" applyBorder="1" fontId="127" applyFont="1" fillId="2" applyFill="1" applyAlignment="1">
      <alignment horizontal="center"/>
    </xf>
    <xf xfId="0" numFmtId="3" applyNumberFormat="1" borderId="42" applyBorder="1" fontId="143" applyFont="1" fillId="0" applyAlignment="1">
      <alignment horizontal="left"/>
    </xf>
    <xf xfId="0" numFmtId="3" applyNumberFormat="1" borderId="1" applyBorder="1" fontId="1" applyFont="1" fillId="48" applyFill="1" applyAlignment="1">
      <alignment horizontal="left"/>
    </xf>
    <xf xfId="0" numFmtId="3" applyNumberFormat="1" borderId="1" applyBorder="1" fontId="1" applyFont="1" fillId="48" applyFill="1" applyAlignment="1">
      <alignment horizontal="right"/>
    </xf>
    <xf xfId="0" numFmtId="0" borderId="42" applyBorder="1" fontId="52" applyFont="1" fillId="0" applyAlignment="1">
      <alignment horizontal="left"/>
    </xf>
    <xf xfId="0" numFmtId="3" applyNumberFormat="1" borderId="1" applyBorder="1" fontId="1" applyFont="1" fillId="49" applyFill="1" applyAlignment="1">
      <alignment horizontal="left"/>
    </xf>
    <xf xfId="0" numFmtId="0" borderId="1" applyBorder="1" fontId="1" applyFont="1" fillId="49" applyFill="1" applyAlignment="1">
      <alignment horizontal="left"/>
    </xf>
    <xf xfId="0" numFmtId="164" applyNumberFormat="1" borderId="1" applyBorder="1" fontId="44" applyFont="1" fillId="49" applyFill="1" applyAlignment="1">
      <alignment horizontal="left"/>
    </xf>
    <xf xfId="0" numFmtId="4" applyNumberFormat="1" borderId="1" applyBorder="1" fontId="1" applyFont="1" fillId="49" applyFill="1" applyAlignment="1">
      <alignment horizontal="left"/>
    </xf>
    <xf xfId="0" numFmtId="3" applyNumberFormat="1" borderId="63" applyBorder="1" fontId="69" applyFont="1" fillId="0" applyAlignment="1">
      <alignment horizontal="center" wrapText="1"/>
    </xf>
    <xf xfId="0" numFmtId="0" borderId="101" applyBorder="1" fontId="69" applyFont="1" fillId="0" applyAlignment="1">
      <alignment horizontal="center" wrapText="1"/>
    </xf>
    <xf xfId="0" numFmtId="0" borderId="64" applyBorder="1" fontId="69" applyFont="1" fillId="0" applyAlignment="1">
      <alignment horizontal="center" wrapText="1"/>
    </xf>
    <xf xfId="0" numFmtId="164" applyNumberFormat="1" borderId="42" applyBorder="1" fontId="134" applyFont="1" fillId="0" applyAlignment="1">
      <alignment horizontal="center" wrapText="1"/>
    </xf>
    <xf xfId="0" numFmtId="4" applyNumberFormat="1" borderId="63" applyBorder="1" fontId="69" applyFont="1" fillId="0" applyAlignment="1">
      <alignment horizontal="center" wrapText="1"/>
    </xf>
    <xf xfId="0" numFmtId="3" applyNumberFormat="1" borderId="67" applyBorder="1" fontId="1" applyFont="1" fillId="0" applyAlignment="1">
      <alignment horizontal="left"/>
    </xf>
    <xf xfId="0" numFmtId="0" borderId="102" applyBorder="1" fontId="1" applyFont="1" fillId="0" applyAlignment="1">
      <alignment horizontal="left"/>
    </xf>
    <xf xfId="0" numFmtId="0" borderId="68" applyBorder="1" fontId="1" applyFont="1" fillId="0" applyAlignment="1">
      <alignment horizontal="left"/>
    </xf>
    <xf xfId="0" numFmtId="164" applyNumberFormat="1" borderId="42" applyBorder="1" fontId="44" applyFont="1" fillId="0" applyAlignment="1">
      <alignment horizontal="left"/>
    </xf>
    <xf xfId="0" numFmtId="4" applyNumberFormat="1" borderId="67" applyBorder="1" fontId="1" applyFont="1" fillId="0" applyAlignment="1">
      <alignment horizontal="left"/>
    </xf>
    <xf xfId="0" numFmtId="3" applyNumberFormat="1" borderId="59" applyBorder="1" fontId="1" applyFont="1" fillId="48" applyFill="1" applyAlignment="1">
      <alignment horizontal="center"/>
    </xf>
    <xf xfId="0" numFmtId="0" borderId="1" applyBorder="1" fontId="1" applyFont="1" fillId="48" applyFill="1" applyAlignment="1">
      <alignment horizontal="center"/>
    </xf>
    <xf xfId="0" numFmtId="0" borderId="60" applyBorder="1" fontId="52" applyFont="1" fillId="48" applyFill="1" applyAlignment="1">
      <alignment horizontal="center"/>
    </xf>
    <xf xfId="0" numFmtId="4" applyNumberFormat="1" borderId="59" applyBorder="1" fontId="1" applyFont="1" fillId="48" applyFill="1" applyAlignment="1">
      <alignment horizontal="center"/>
    </xf>
    <xf xfId="0" numFmtId="0" borderId="60" applyBorder="1" fontId="1" applyFont="1" fillId="48" applyFill="1" applyAlignment="1">
      <alignment horizontal="center"/>
    </xf>
    <xf xfId="0" numFmtId="3" applyNumberFormat="1" borderId="65" applyBorder="1" fontId="1" applyFont="1" fillId="0" applyAlignment="1">
      <alignment horizontal="center"/>
    </xf>
    <xf xfId="0" numFmtId="0" borderId="66" applyBorder="1" fontId="1" applyFont="1" fillId="0" applyAlignment="1">
      <alignment horizontal="center"/>
    </xf>
    <xf xfId="0" numFmtId="0" borderId="66" applyBorder="1" fontId="52" applyFont="1" fillId="0" applyAlignment="1">
      <alignment horizontal="center"/>
    </xf>
    <xf xfId="0" numFmtId="4" applyNumberFormat="1" borderId="65" applyBorder="1" fontId="1" applyFont="1" fillId="0" applyAlignment="1">
      <alignment horizontal="center"/>
    </xf>
    <xf xfId="0" numFmtId="3" applyNumberFormat="1" borderId="61" applyBorder="1" fontId="1" applyFont="1" fillId="48" applyFill="1" applyAlignment="1">
      <alignment horizontal="center"/>
    </xf>
    <xf xfId="0" numFmtId="0" borderId="103" applyBorder="1" fontId="1" applyFont="1" fillId="48" applyFill="1" applyAlignment="1">
      <alignment horizontal="center"/>
    </xf>
    <xf xfId="0" numFmtId="0" borderId="62" applyBorder="1" fontId="52" applyFont="1" fillId="48" applyFill="1" applyAlignment="1">
      <alignment horizontal="center"/>
    </xf>
    <xf xfId="0" numFmtId="4" applyNumberFormat="1" borderId="61" applyBorder="1" fontId="1" applyFont="1" fillId="48" applyFill="1" applyAlignment="1">
      <alignment horizontal="center"/>
    </xf>
    <xf xfId="0" numFmtId="0" borderId="62" applyBorder="1" fontId="1" applyFont="1" fillId="48" applyFill="1" applyAlignment="1">
      <alignment horizontal="center"/>
    </xf>
    <xf xfId="0" numFmtId="174" applyNumberFormat="1" borderId="0" fontId="0" fillId="0" applyAlignment="1">
      <alignment horizontal="general"/>
    </xf>
    <xf xfId="0" numFmtId="174" applyNumberFormat="1" borderId="48" applyBorder="1" fontId="1" applyFont="1" fillId="0" applyAlignment="1">
      <alignment horizontal="center"/>
    </xf>
    <xf xfId="0" numFmtId="173" applyNumberFormat="1" borderId="48" applyBorder="1" fontId="1" applyFont="1" fillId="0" applyAlignment="1">
      <alignment horizontal="center"/>
    </xf>
    <xf xfId="0" numFmtId="173" applyNumberFormat="1" borderId="0" fontId="0" fillId="0" applyAlignment="1">
      <alignment horizontal="general"/>
    </xf>
    <xf xfId="0" numFmtId="3" applyNumberFormat="1" borderId="48" applyBorder="1" fontId="22" applyFont="1" fillId="50" applyFill="1" applyAlignment="1">
      <alignment horizontal="center" wrapText="1"/>
    </xf>
    <xf xfId="0" numFmtId="4" applyNumberFormat="1" borderId="48" applyBorder="1" fontId="1" applyFont="1" fillId="17" applyFill="1" applyAlignment="1">
      <alignment horizontal="right"/>
    </xf>
    <xf xfId="0" numFmtId="171" applyNumberFormat="1" borderId="48" applyBorder="1" fontId="49" applyFont="1" fillId="17" applyFill="1" applyAlignment="1">
      <alignment horizontal="right" wrapText="1"/>
    </xf>
    <xf xfId="0" numFmtId="164" applyNumberFormat="1" borderId="48" applyBorder="1" fontId="1" applyFont="1" fillId="11" applyFill="1" applyAlignment="1">
      <alignment horizontal="right"/>
    </xf>
    <xf xfId="0" numFmtId="171" applyNumberFormat="1" borderId="48" applyBorder="1" fontId="49" applyFont="1" fillId="0" applyAlignment="1">
      <alignment horizontal="right" wrapText="1"/>
    </xf>
    <xf xfId="0" numFmtId="173" applyNumberFormat="1" borderId="48" applyBorder="1" fontId="49" applyFont="1" fillId="0" applyAlignment="1">
      <alignment horizontal="right" wrapText="1"/>
    </xf>
    <xf xfId="0" numFmtId="173" applyNumberFormat="1" borderId="48" applyBorder="1" fontId="49" applyFont="1" fillId="11" applyFill="1" applyAlignment="1">
      <alignment horizontal="right" wrapText="1"/>
    </xf>
    <xf xfId="0" numFmtId="3" applyNumberFormat="1" borderId="93" applyBorder="1" fontId="16" applyFont="1" fillId="0" applyAlignment="1">
      <alignment horizontal="center" vertical="top"/>
    </xf>
    <xf xfId="0" numFmtId="174" applyNumberFormat="1" borderId="45" applyBorder="1" fontId="3" applyFont="1" fillId="0" applyAlignment="1">
      <alignment horizontal="center"/>
    </xf>
    <xf xfId="0" numFmtId="174" applyNumberFormat="1" borderId="48" applyBorder="1" fontId="3" applyFont="1" fillId="2" applyFill="1" applyAlignment="1">
      <alignment horizontal="center"/>
    </xf>
    <xf xfId="0" numFmtId="3" applyNumberFormat="1" borderId="77" applyBorder="1" fontId="16" applyFont="1" fillId="0" applyAlignment="1">
      <alignment horizontal="center"/>
    </xf>
    <xf xfId="0" numFmtId="174" applyNumberFormat="1" borderId="48" applyBorder="1" fontId="16" applyFont="1" fillId="0" applyAlignment="1">
      <alignment horizontal="center"/>
    </xf>
    <xf xfId="0" numFmtId="175" applyNumberFormat="1" borderId="48" applyBorder="1" fontId="16" applyFont="1" fillId="0" applyAlignment="1">
      <alignment horizontal="center"/>
    </xf>
    <xf xfId="0" numFmtId="3" applyNumberFormat="1" borderId="1" applyBorder="1" fontId="78" applyFont="1" fillId="51" applyFill="1" applyAlignment="1">
      <alignment horizontal="left"/>
    </xf>
    <xf xfId="0" numFmtId="3" applyNumberFormat="1" borderId="1" applyBorder="1" fontId="78" applyFont="1" fillId="51" applyFill="1" applyAlignment="1">
      <alignment horizontal="right"/>
    </xf>
    <xf xfId="0" numFmtId="3" applyNumberFormat="1" borderId="104" applyBorder="1" fontId="4" applyFont="1" fillId="0" applyAlignment="1">
      <alignment horizontal="right"/>
    </xf>
    <xf xfId="0" numFmtId="174" applyNumberFormat="1" borderId="105" applyBorder="1" fontId="16" applyFont="1" fillId="0" applyAlignment="1">
      <alignment horizontal="center"/>
    </xf>
    <xf xfId="0" numFmtId="175" applyNumberFormat="1" borderId="93" applyBorder="1" fontId="16" applyFont="1" fillId="0" applyAlignment="1">
      <alignment horizontal="center"/>
    </xf>
    <xf xfId="0" numFmtId="4" applyNumberFormat="1" borderId="1" applyBorder="1" fontId="1" applyFont="1" fillId="52" applyFill="1" applyAlignment="1">
      <alignment horizontal="right"/>
    </xf>
    <xf xfId="0" numFmtId="3" applyNumberFormat="1" borderId="1" applyBorder="1" fontId="1" applyFont="1" fillId="52" applyFill="1" applyAlignment="1">
      <alignment horizontal="right"/>
    </xf>
    <xf xfId="0" numFmtId="3" applyNumberFormat="1" borderId="106" applyBorder="1" fontId="4" applyFont="1" fillId="0" applyAlignment="1">
      <alignment horizontal="right"/>
    </xf>
    <xf xfId="0" numFmtId="174" applyNumberFormat="1" borderId="42" applyBorder="1" fontId="16" applyFont="1" fillId="0" applyAlignment="1">
      <alignment horizontal="center"/>
    </xf>
    <xf xfId="0" numFmtId="175" applyNumberFormat="1" borderId="107" applyBorder="1" fontId="16" applyFont="1" fillId="0" applyAlignment="1">
      <alignment horizontal="center"/>
    </xf>
    <xf xfId="0" numFmtId="3" applyNumberFormat="1" borderId="108" applyBorder="1" fontId="4" applyFont="1" fillId="0" applyAlignment="1">
      <alignment horizontal="right"/>
    </xf>
    <xf xfId="0" numFmtId="175" applyNumberFormat="1" borderId="76" applyBorder="1" fontId="16" applyFont="1" fillId="0" applyAlignment="1">
      <alignment horizontal="center"/>
    </xf>
    <xf xfId="0" numFmtId="175" applyNumberFormat="1" borderId="76" applyBorder="1" fontId="3" applyFont="1" fillId="0" applyAlignment="1">
      <alignment horizontal="center"/>
    </xf>
    <xf xfId="0" numFmtId="175" applyNumberFormat="1" borderId="77" applyBorder="1" fontId="3" applyFont="1" fillId="0" applyAlignment="1">
      <alignment horizontal="center"/>
    </xf>
    <xf xfId="0" numFmtId="3" applyNumberFormat="1" borderId="109" applyBorder="1" fontId="4" applyFont="1" fillId="5" applyFill="1" applyAlignment="1">
      <alignment horizontal="right"/>
    </xf>
    <xf xfId="0" numFmtId="175" applyNumberFormat="1" borderId="110" applyBorder="1" fontId="16" applyFont="1" fillId="5" applyFill="1" applyAlignment="1">
      <alignment horizontal="left"/>
    </xf>
    <xf xfId="0" numFmtId="175" applyNumberFormat="1" borderId="110" applyBorder="1" fontId="3" applyFont="1" fillId="5" applyFill="1" applyAlignment="1">
      <alignment horizontal="left"/>
    </xf>
    <xf xfId="0" numFmtId="3" applyNumberFormat="1" borderId="111" applyBorder="1" fontId="4" applyFont="1" fillId="5" applyFill="1" applyAlignment="1">
      <alignment horizontal="right"/>
    </xf>
    <xf xfId="0" numFmtId="175" applyNumberFormat="1" borderId="1" applyBorder="1" fontId="16" applyFont="1" fillId="5" applyFill="1" applyAlignment="1">
      <alignment horizontal="left"/>
    </xf>
    <xf xfId="0" numFmtId="175" applyNumberFormat="1" borderId="1" applyBorder="1" fontId="3" applyFont="1" fillId="5" applyFill="1" applyAlignment="1">
      <alignment horizontal="left"/>
    </xf>
    <xf xfId="0" numFmtId="3" applyNumberFormat="1" borderId="82" applyBorder="1" fontId="4" applyFont="1" fillId="5" applyFill="1" applyAlignment="1">
      <alignment horizontal="right"/>
    </xf>
    <xf xfId="0" numFmtId="175" applyNumberFormat="1" borderId="83" applyBorder="1" fontId="16" applyFont="1" fillId="5" applyFill="1" applyAlignment="1">
      <alignment horizontal="left"/>
    </xf>
    <xf xfId="0" numFmtId="175" applyNumberFormat="1" borderId="83" applyBorder="1" fontId="3" applyFont="1" fillId="5" applyFill="1" applyAlignment="1">
      <alignment horizontal="left"/>
    </xf>
    <xf xfId="0" numFmtId="175" applyNumberFormat="1" borderId="95" applyBorder="1" fontId="3" applyFont="1" fillId="5" applyFill="1" applyAlignment="1">
      <alignment horizontal="left"/>
    </xf>
    <xf xfId="0" numFmtId="3" applyNumberFormat="1" borderId="109" applyBorder="1" fontId="4" applyFont="1" fillId="32" applyFill="1" applyAlignment="1">
      <alignment horizontal="right"/>
    </xf>
    <xf xfId="0" numFmtId="175" applyNumberFormat="1" borderId="110" applyBorder="1" fontId="16" applyFont="1" fillId="32" applyFill="1" applyAlignment="1">
      <alignment horizontal="left"/>
    </xf>
    <xf xfId="0" numFmtId="175" applyNumberFormat="1" borderId="110" applyBorder="1" fontId="3" applyFont="1" fillId="32" applyFill="1" applyAlignment="1">
      <alignment horizontal="left"/>
    </xf>
    <xf xfId="0" numFmtId="175" applyNumberFormat="1" borderId="112" applyBorder="1" fontId="3" applyFont="1" fillId="32" applyFill="1" applyAlignment="1">
      <alignment horizontal="left"/>
    </xf>
    <xf xfId="0" numFmtId="3" applyNumberFormat="1" borderId="111" applyBorder="1" fontId="4" applyFont="1" fillId="32" applyFill="1" applyAlignment="1">
      <alignment horizontal="right"/>
    </xf>
    <xf xfId="0" numFmtId="175" applyNumberFormat="1" borderId="1" applyBorder="1" fontId="16" applyFont="1" fillId="32" applyFill="1" applyAlignment="1">
      <alignment horizontal="left"/>
    </xf>
    <xf xfId="0" numFmtId="175" applyNumberFormat="1" borderId="1" applyBorder="1" fontId="3" applyFont="1" fillId="32" applyFill="1" applyAlignment="1">
      <alignment horizontal="left"/>
    </xf>
    <xf xfId="0" numFmtId="175" applyNumberFormat="1" borderId="75" applyBorder="1" fontId="3" applyFont="1" fillId="32" applyFill="1" applyAlignment="1">
      <alignment horizontal="left"/>
    </xf>
    <xf xfId="0" numFmtId="3" applyNumberFormat="1" borderId="82" applyBorder="1" fontId="4" applyFont="1" fillId="32" applyFill="1" applyAlignment="1">
      <alignment horizontal="right"/>
    </xf>
    <xf xfId="0" numFmtId="175" applyNumberFormat="1" borderId="83" applyBorder="1" fontId="16" applyFont="1" fillId="32" applyFill="1" applyAlignment="1">
      <alignment horizontal="left"/>
    </xf>
    <xf xfId="0" numFmtId="175" applyNumberFormat="1" borderId="83" applyBorder="1" fontId="3" applyFont="1" fillId="32" applyFill="1" applyAlignment="1">
      <alignment horizontal="left"/>
    </xf>
    <xf xfId="0" numFmtId="175" applyNumberFormat="1" borderId="95" applyBorder="1" fontId="3" applyFont="1" fillId="32" applyFill="1" applyAlignment="1">
      <alignment horizontal="left"/>
    </xf>
    <xf xfId="0" numFmtId="175" applyNumberFormat="1" borderId="112" applyBorder="1" fontId="3" applyFont="1" fillId="5" applyFill="1" applyAlignment="1">
      <alignment horizontal="left"/>
    </xf>
    <xf xfId="0" numFmtId="175" applyNumberFormat="1" borderId="75" applyBorder="1" fontId="3" applyFont="1" fillId="5" applyFill="1" applyAlignment="1">
      <alignment horizontal="left"/>
    </xf>
    <xf xfId="0" numFmtId="3" applyNumberFormat="1" borderId="48" applyBorder="1" fontId="4" applyFont="1" fillId="0" applyAlignment="1">
      <alignment horizontal="right"/>
    </xf>
    <xf xfId="0" numFmtId="175" applyNumberFormat="1" borderId="48" applyBorder="1" fontId="16" applyFont="1" fillId="5" applyFill="1" applyAlignment="1">
      <alignment horizontal="left"/>
    </xf>
    <xf xfId="0" numFmtId="175" applyNumberFormat="1" borderId="48" applyBorder="1" fontId="3" applyFont="1" fillId="5" applyFill="1" applyAlignment="1">
      <alignment horizontal="left"/>
    </xf>
    <xf xfId="0" numFmtId="174" applyNumberFormat="1" borderId="0" fontId="0" fillId="0" applyAlignment="1">
      <alignment horizontal="general"/>
    </xf>
    <xf xfId="0" numFmtId="173" applyNumberFormat="1" borderId="0" fontId="0" fillId="0" applyAlignment="1">
      <alignment horizontal="general"/>
    </xf>
    <xf xfId="0" numFmtId="0" borderId="1" applyBorder="1" fontId="15" applyFont="1" fillId="21" applyFill="1" applyAlignment="1">
      <alignment horizontal="left"/>
    </xf>
    <xf xfId="0" numFmtId="3" applyNumberFormat="1" borderId="1" applyBorder="1" fontId="19" applyFont="1" fillId="3" applyFill="1" applyAlignment="1">
      <alignment horizontal="center" wrapText="1"/>
    </xf>
    <xf xfId="0" numFmtId="4" applyNumberFormat="1" borderId="1" applyBorder="1" fontId="19" applyFont="1" fillId="3" applyFill="1" applyAlignment="1">
      <alignment horizontal="center" wrapText="1"/>
    </xf>
    <xf xfId="0" numFmtId="0" borderId="1" applyBorder="1" fontId="82" applyFont="1" fillId="2" applyFill="1" applyAlignment="1">
      <alignment horizontal="left"/>
    </xf>
    <xf xfId="0" numFmtId="3" applyNumberFormat="1" borderId="42" applyBorder="1" fontId="144" applyFont="1" fillId="0" applyAlignment="1">
      <alignment horizontal="left"/>
    </xf>
    <xf xfId="0" numFmtId="4" applyNumberFormat="1" borderId="42" applyBorder="1" fontId="145" applyFont="1" fillId="0" applyAlignment="1">
      <alignment horizontal="left"/>
    </xf>
    <xf xfId="0" numFmtId="0" borderId="42" applyBorder="1" fontId="145" applyFont="1" fillId="0" applyAlignment="1">
      <alignment horizontal="left"/>
    </xf>
    <xf xfId="0" numFmtId="3" applyNumberFormat="1" borderId="42" applyBorder="1" fontId="146" applyFont="1" fillId="0" applyAlignment="1">
      <alignment horizontal="left"/>
    </xf>
    <xf xfId="0" numFmtId="4" applyNumberFormat="1" borderId="42" applyBorder="1" fontId="147" applyFont="1" fillId="0" applyAlignment="1">
      <alignment horizontal="left"/>
    </xf>
    <xf xfId="0" numFmtId="0" borderId="42" applyBorder="1" fontId="148" applyFont="1" fillId="0" applyAlignment="1">
      <alignment horizontal="left"/>
    </xf>
    <xf xfId="0" numFmtId="0" borderId="1" applyBorder="1" fontId="1" applyFont="1" fillId="2" applyFill="1" applyAlignment="1">
      <alignment horizontal="center"/>
    </xf>
    <xf xfId="0" numFmtId="0" borderId="1" applyBorder="1" fontId="73" applyFont="1" fillId="2" applyFill="1" applyAlignment="1">
      <alignment horizontal="left"/>
    </xf>
    <xf xfId="0" numFmtId="0" borderId="88" applyBorder="1" fontId="15" applyFont="1" fillId="9" applyFill="1" applyAlignment="1">
      <alignment horizontal="left"/>
    </xf>
    <xf xfId="0" numFmtId="3" applyNumberFormat="1" borderId="88" applyBorder="1" fontId="61" applyFont="1" fillId="9" applyFill="1" applyAlignment="1">
      <alignment horizontal="left" wrapText="1"/>
    </xf>
    <xf xfId="0" numFmtId="3" applyNumberFormat="1" borderId="88" applyBorder="1" fontId="124" applyFont="1" fillId="19" applyFill="1" applyAlignment="1">
      <alignment horizontal="center"/>
    </xf>
    <xf xfId="0" numFmtId="4" applyNumberFormat="1" borderId="88" applyBorder="1" fontId="124" applyFont="1" fillId="19" applyFill="1" applyAlignment="1">
      <alignment horizontal="center"/>
    </xf>
    <xf xfId="0" numFmtId="0" borderId="1" applyBorder="1" fontId="15" applyFont="1" fillId="9" applyFill="1" applyAlignment="1">
      <alignment horizontal="left"/>
    </xf>
    <xf xfId="0" numFmtId="3" applyNumberFormat="1" borderId="1" applyBorder="1" fontId="61" applyFont="1" fillId="2" applyFill="1" applyAlignment="1">
      <alignment horizontal="left" wrapText="1"/>
    </xf>
    <xf xfId="0" numFmtId="3" applyNumberFormat="1" borderId="1" applyBorder="1" fontId="16" applyFont="1" fillId="2" applyFill="1" applyAlignment="1">
      <alignment horizontal="left" wrapText="1"/>
    </xf>
    <xf xfId="0" numFmtId="4" applyNumberFormat="1" borderId="1" applyBorder="1" fontId="127" applyFont="1" fillId="2" applyFill="1" applyAlignment="1">
      <alignment horizontal="center"/>
    </xf>
    <xf xfId="0" numFmtId="14" applyNumberFormat="1" borderId="88" applyBorder="1" fontId="124" applyFont="1" fillId="19" applyFill="1" applyAlignment="1">
      <alignment horizontal="center"/>
    </xf>
    <xf xfId="0" numFmtId="0" borderId="42" applyBorder="1" fontId="17" applyFont="1" fillId="0" applyAlignment="1">
      <alignment horizontal="left"/>
    </xf>
    <xf xfId="0" numFmtId="0" borderId="113" applyBorder="1" fontId="31" applyFont="1" fillId="0" applyAlignment="1">
      <alignment horizontal="left"/>
    </xf>
    <xf xfId="0" numFmtId="14" applyNumberFormat="1" borderId="1" applyBorder="1" fontId="31" applyFont="1" fillId="2" applyFill="1" applyAlignment="1">
      <alignment horizontal="center"/>
    </xf>
    <xf xfId="0" numFmtId="3" applyNumberFormat="1" borderId="88" applyBorder="1" fontId="16" applyFont="1" fillId="19" applyFill="1" applyAlignment="1">
      <alignment horizontal="left" wrapText="1"/>
    </xf>
    <xf xfId="0" numFmtId="4" applyNumberFormat="1" borderId="88" applyBorder="1" fontId="124" applyFont="1" fillId="19" applyFill="1" applyAlignment="1">
      <alignment horizontal="left"/>
    </xf>
    <xf xfId="0" numFmtId="4" applyNumberFormat="1" borderId="1" applyBorder="1" fontId="31" applyFont="1" fillId="2" applyFill="1" applyAlignment="1">
      <alignment horizontal="center"/>
    </xf>
    <xf xfId="0" numFmtId="0" borderId="114" applyBorder="1" fontId="15" applyFont="1" fillId="0" applyAlignment="1">
      <alignment horizontal="left"/>
    </xf>
    <xf xfId="0" numFmtId="0" borderId="115" applyBorder="1" fontId="15" applyFont="1" fillId="0" applyAlignment="1">
      <alignment horizontal="left"/>
    </xf>
    <xf xfId="0" numFmtId="3" applyNumberFormat="1" borderId="1" applyBorder="1" fontId="149" applyFont="1" fillId="2" applyFill="1" applyAlignment="1">
      <alignment horizontal="left" wrapText="1"/>
    </xf>
    <xf xfId="0" numFmtId="0" borderId="116" applyBorder="1" fontId="15" applyFont="1" fillId="9" applyFill="1" applyAlignment="1">
      <alignment horizontal="left"/>
    </xf>
    <xf xfId="0" numFmtId="3" applyNumberFormat="1" borderId="116" applyBorder="1" fontId="3" applyFont="1" fillId="9" applyFill="1" applyAlignment="1">
      <alignment horizontal="left" wrapText="1"/>
    </xf>
    <xf xfId="0" numFmtId="4" applyNumberFormat="1" borderId="116" applyBorder="1" fontId="3" applyFont="1" fillId="9" applyFill="1" applyAlignment="1">
      <alignment horizontal="left"/>
    </xf>
    <xf xfId="0" numFmtId="0" borderId="72" applyBorder="1" fontId="15" applyFont="1" fillId="0" applyAlignment="1">
      <alignment horizontal="left"/>
    </xf>
    <xf xfId="0" numFmtId="3" applyNumberFormat="1" borderId="116" applyBorder="1" fontId="102" applyFont="1" fillId="9" applyFill="1" applyAlignment="1">
      <alignment horizontal="left"/>
    </xf>
    <xf xfId="0" numFmtId="3" applyNumberFormat="1" borderId="116" applyBorder="1" fontId="124" applyFont="1" fillId="19" applyFill="1" applyAlignment="1">
      <alignment horizontal="center"/>
    </xf>
    <xf xfId="0" numFmtId="4" applyNumberFormat="1" borderId="116" applyBorder="1" fontId="124" applyFont="1" fillId="19" applyFill="1" applyAlignment="1">
      <alignment horizontal="center"/>
    </xf>
    <xf xfId="0" numFmtId="0" borderId="88" applyBorder="1" fontId="102" applyFont="1" fillId="9" applyFill="1" applyAlignment="1">
      <alignment horizontal="left"/>
    </xf>
    <xf xfId="0" numFmtId="3" applyNumberFormat="1" borderId="88" applyBorder="1" fontId="102" applyFont="1" fillId="9" applyFill="1" applyAlignment="1">
      <alignment horizontal="left"/>
    </xf>
    <xf xfId="0" numFmtId="0" borderId="1" applyBorder="1" fontId="18" applyFont="1" fillId="2" applyFill="1" applyAlignment="1">
      <alignment horizontal="left"/>
    </xf>
    <xf xfId="0" numFmtId="3" applyNumberFormat="1" borderId="1" applyBorder="1" fontId="18" applyFont="1" fillId="2" applyFill="1" applyAlignment="1">
      <alignment horizontal="center"/>
    </xf>
    <xf xfId="0" numFmtId="3" applyNumberFormat="1" borderId="1" applyBorder="1" fontId="18" applyFont="1" fillId="2" applyFill="1" applyAlignment="1">
      <alignment horizontal="left"/>
    </xf>
    <xf xfId="0" numFmtId="3" applyNumberFormat="1" borderId="1" applyBorder="1" fontId="73" applyFont="1" fillId="2" applyFill="1" applyAlignment="1">
      <alignment horizontal="left"/>
    </xf>
    <xf xfId="0" numFmtId="4" applyNumberFormat="1" borderId="1" applyBorder="1" fontId="73" applyFont="1" fillId="2" applyFill="1" applyAlignment="1">
      <alignment horizontal="left"/>
    </xf>
    <xf xfId="0" numFmtId="3" applyNumberFormat="1" borderId="42" applyBorder="1" fontId="114" applyFont="1" fillId="0" applyAlignment="1">
      <alignment horizontal="left"/>
    </xf>
    <xf xfId="0" numFmtId="3" applyNumberFormat="1" borderId="42" applyBorder="1" fontId="150" applyFont="1" fillId="0" applyAlignment="1">
      <alignment horizontal="left"/>
    </xf>
    <xf xfId="0" numFmtId="3" applyNumberFormat="1" borderId="81" applyBorder="1" fontId="1" applyFont="1" fillId="0" applyAlignment="1">
      <alignment horizontal="center"/>
    </xf>
    <xf xfId="0" numFmtId="4" applyNumberFormat="1" borderId="42" applyBorder="1" fontId="102" applyFont="1" fillId="0" applyAlignment="1">
      <alignment horizontal="left"/>
    </xf>
    <xf xfId="0" numFmtId="0" borderId="1" applyBorder="1" fontId="61" applyFont="1" fillId="2" applyFill="1" applyAlignment="1">
      <alignment horizontal="left"/>
    </xf>
    <xf xfId="0" numFmtId="0" borderId="42" applyBorder="1" fontId="15" applyFont="1" fillId="0" applyAlignment="1">
      <alignment horizontal="left" wrapText="1"/>
    </xf>
    <xf xfId="0" numFmtId="0" borderId="42" applyBorder="1" fontId="17" applyFont="1" fillId="0" applyAlignment="1">
      <alignment horizontal="left" wrapText="1"/>
    </xf>
    <xf xfId="0" numFmtId="0" borderId="0" fontId="0" fillId="0" applyAlignment="1">
      <alignment horizontal="general" wrapText="1"/>
    </xf>
    <xf xfId="0" numFmtId="0" borderId="0" fontId="0" fillId="0" applyAlignment="1">
      <alignment horizontal="center"/>
    </xf>
    <xf xfId="0" numFmtId="17" applyNumberFormat="1" borderId="0" fontId="0" fillId="0" applyAlignment="1">
      <alignment horizontal="general"/>
    </xf>
    <xf xfId="0" numFmtId="0" borderId="117" applyBorder="1" fontId="151" applyFont="1" fillId="30" applyFill="1" applyAlignment="1">
      <alignment horizontal="center" vertical="top" wrapText="1"/>
    </xf>
    <xf xfId="0" numFmtId="0" borderId="48" applyBorder="1" fontId="52" applyFont="1" fillId="53" applyFill="1" applyAlignment="1">
      <alignment horizontal="center" vertical="top" wrapText="1"/>
    </xf>
    <xf xfId="0" numFmtId="14" applyNumberFormat="1" borderId="48" applyBorder="1" fontId="1" applyFont="1" fillId="53" applyFill="1" applyAlignment="1">
      <alignment horizontal="center" vertical="top" wrapText="1"/>
    </xf>
    <xf xfId="0" numFmtId="0" borderId="87" applyBorder="1" fontId="151" applyFont="1" fillId="30" applyFill="1" applyAlignment="1">
      <alignment horizontal="center" wrapText="1"/>
    </xf>
    <xf xfId="0" numFmtId="0" borderId="48" applyBorder="1" fontId="52" applyFont="1" fillId="53" applyFill="1" applyAlignment="1">
      <alignment horizontal="center" wrapText="1"/>
    </xf>
    <xf xfId="0" numFmtId="14" applyNumberFormat="1" borderId="48" applyBorder="1" fontId="1" applyFont="1" fillId="53" applyFill="1" applyAlignment="1">
      <alignment horizontal="center" wrapText="1"/>
    </xf>
    <xf xfId="0" numFmtId="164" applyNumberFormat="1" borderId="48" applyBorder="1" fontId="1" applyFont="1" fillId="53" applyFill="1" applyAlignment="1">
      <alignment horizontal="center" vertical="top" wrapText="1"/>
    </xf>
    <xf xfId="0" numFmtId="164" applyNumberFormat="1" borderId="48" applyBorder="1" fontId="1" applyFont="1" fillId="53" applyFill="1" applyAlignment="1">
      <alignment horizontal="center" wrapText="1"/>
    </xf>
    <xf xfId="0" numFmtId="164" applyNumberFormat="1" borderId="48" applyBorder="1" fontId="1" applyFont="1" fillId="53" applyFill="1" applyAlignment="1">
      <alignment horizontal="center" vertical="top"/>
    </xf>
    <xf xfId="0" numFmtId="164" applyNumberFormat="1" borderId="48" applyBorder="1" fontId="1" applyFont="1" fillId="53" applyFill="1" applyAlignment="1">
      <alignment horizontal="center"/>
    </xf>
    <xf xfId="0" numFmtId="17" applyNumberFormat="1" borderId="48" applyBorder="1" fontId="1" applyFont="1" fillId="53" applyFill="1" applyAlignment="1">
      <alignment horizontal="center" vertical="top" wrapText="1"/>
    </xf>
    <xf xfId="0" numFmtId="0" borderId="112" applyBorder="1" fontId="1" applyFont="1" fillId="28" applyFill="1" applyAlignment="1">
      <alignment horizontal="center" vertical="top"/>
    </xf>
    <xf xfId="0" numFmtId="0" borderId="48" applyBorder="1" fontId="1" applyFont="1" fillId="54" applyFill="1" applyAlignment="1">
      <alignment horizontal="left"/>
    </xf>
    <xf xfId="0" numFmtId="17" applyNumberFormat="1" borderId="48" applyBorder="1" fontId="1" applyFont="1" fillId="54" applyFill="1" applyAlignment="1">
      <alignment horizontal="left"/>
    </xf>
    <xf xfId="0" numFmtId="0" borderId="75" applyBorder="1" fontId="1" applyFont="1" fillId="28" applyFill="1" applyAlignment="1">
      <alignment horizontal="center"/>
    </xf>
    <xf xfId="0" numFmtId="0" borderId="95" applyBorder="1" fontId="1" applyFont="1" fillId="28" applyFill="1" applyAlignment="1">
      <alignment horizontal="center"/>
    </xf>
    <xf xfId="0" numFmtId="0" borderId="0" fontId="0" fillId="0" applyAlignment="1">
      <alignment horizontal="center"/>
    </xf>
    <xf xfId="0" numFmtId="17" applyNumberFormat="1" borderId="0" fontId="0" fillId="0" applyAlignment="1">
      <alignment horizontal="general"/>
    </xf>
    <xf xfId="0" numFmtId="1" applyNumberFormat="1" borderId="1" applyBorder="1" fontId="152" applyFont="1" fillId="11" applyFill="1" applyAlignment="1">
      <alignment horizontal="center"/>
    </xf>
    <xf xfId="0" numFmtId="173" applyNumberFormat="1" borderId="1" applyBorder="1" fontId="152" applyFont="1" fillId="11" applyFill="1" applyAlignment="1">
      <alignment horizontal="center"/>
    </xf>
    <xf xfId="0" numFmtId="173" applyNumberFormat="1" borderId="1" applyBorder="1" fontId="152" applyFont="1" fillId="11" applyFill="1" applyAlignment="1">
      <alignment horizontal="center" wrapText="1"/>
    </xf>
    <xf xfId="0" numFmtId="0" borderId="1" applyBorder="1" fontId="152" applyFont="1" fillId="11" applyFill="1" applyAlignment="1">
      <alignment horizontal="center"/>
    </xf>
    <xf xfId="0" numFmtId="3" applyNumberFormat="1" borderId="1" applyBorder="1" fontId="152" applyFont="1" fillId="11" applyFill="1" applyAlignment="1">
      <alignment horizontal="center"/>
    </xf>
    <xf xfId="0" numFmtId="176" applyNumberFormat="1" borderId="1" applyBorder="1" fontId="152" applyFont="1" fillId="11" applyFill="1" applyAlignment="1">
      <alignment horizontal="center" wrapText="1"/>
    </xf>
    <xf xfId="0" numFmtId="176" applyNumberFormat="1" borderId="1" applyBorder="1" fontId="152" applyFont="1" fillId="11" applyFill="1" applyAlignment="1">
      <alignment horizontal="center"/>
    </xf>
    <xf xfId="0" numFmtId="4" applyNumberFormat="1" borderId="1" applyBorder="1" fontId="152" applyFont="1" fillId="11" applyFill="1" applyAlignment="1">
      <alignment horizontal="center" wrapText="1"/>
    </xf>
    <xf xfId="0" numFmtId="167" applyNumberFormat="1" borderId="1" applyBorder="1" fontId="152" applyFont="1" fillId="11" applyFill="1" applyAlignment="1">
      <alignment horizontal="center"/>
    </xf>
    <xf xfId="0" numFmtId="1" applyNumberFormat="1" borderId="0" fontId="0" fillId="0" applyAlignment="1">
      <alignment horizontal="center"/>
    </xf>
    <xf xfId="0" numFmtId="173" applyNumberFormat="1" borderId="0" fontId="0" fillId="0" applyAlignment="1">
      <alignment horizontal="center"/>
    </xf>
    <xf xfId="0" numFmtId="173" applyNumberFormat="1" borderId="48" applyBorder="1" fontId="52" applyFont="1" fillId="31" applyFill="1" applyAlignment="1">
      <alignment horizontal="center"/>
    </xf>
    <xf xfId="0" numFmtId="173" applyNumberFormat="1" borderId="0" fontId="0" fillId="0" applyAlignment="1">
      <alignment horizontal="center" wrapText="1"/>
    </xf>
    <xf xfId="0" numFmtId="176" applyNumberFormat="1" borderId="0" fontId="0" fillId="0" applyAlignment="1">
      <alignment horizontal="center" wrapText="1"/>
    </xf>
    <xf xfId="0" numFmtId="176" applyNumberFormat="1" borderId="0" fontId="0" fillId="0" applyAlignment="1">
      <alignment horizontal="center"/>
    </xf>
    <xf xfId="0" numFmtId="4" applyNumberFormat="1" borderId="0" fontId="0" fillId="0" applyAlignment="1">
      <alignment horizontal="center" wrapText="1"/>
    </xf>
    <xf xfId="0" numFmtId="1" applyNumberFormat="1" borderId="48" applyBorder="1" fontId="1" applyFont="1" fillId="31" applyFill="1" applyAlignment="1">
      <alignment horizontal="center"/>
    </xf>
    <xf xfId="0" numFmtId="173" applyNumberFormat="1" borderId="2" applyBorder="1" fontId="1" applyFont="1" fillId="31" applyFill="1" applyAlignment="1">
      <alignment horizontal="center"/>
    </xf>
    <xf xfId="0" numFmtId="4" applyNumberFormat="1" borderId="48" applyBorder="1" fontId="1" applyFont="1" fillId="2" applyFill="1" applyAlignment="1">
      <alignment horizontal="right"/>
    </xf>
    <xf xfId="0" numFmtId="3" applyNumberFormat="1" borderId="1" applyBorder="1" fontId="153" applyFont="1" fillId="31" applyFill="1" applyAlignment="1">
      <alignment horizontal="center" vertical="top" wrapText="1"/>
    </xf>
    <xf xfId="0" numFmtId="176" applyNumberFormat="1" borderId="1" applyBorder="1" fontId="153" applyFont="1" fillId="31" applyFill="1" applyAlignment="1">
      <alignment horizontal="center" wrapText="1"/>
    </xf>
    <xf xfId="0" numFmtId="4" applyNumberFormat="1" borderId="60" applyBorder="1" fontId="153" applyFont="1" fillId="31" applyFill="1" applyAlignment="1">
      <alignment horizontal="center" wrapText="1"/>
    </xf>
    <xf xfId="0" numFmtId="176" applyNumberFormat="1" borderId="59" applyBorder="1" fontId="153" applyFont="1" fillId="31" applyFill="1" applyAlignment="1">
      <alignment horizontal="center" vertical="top" wrapText="1"/>
    </xf>
    <xf xfId="0" numFmtId="167" applyNumberFormat="1" borderId="1" applyBorder="1" fontId="153" applyFont="1" fillId="31" applyFill="1" applyAlignment="1">
      <alignment horizontal="center" wrapText="1"/>
    </xf>
    <xf xfId="0" numFmtId="1" applyNumberFormat="1" borderId="118" applyBorder="1" fontId="1" applyFont="1" fillId="31" applyFill="1" applyAlignment="1">
      <alignment horizontal="center"/>
    </xf>
    <xf xfId="0" numFmtId="173" applyNumberFormat="1" borderId="110" applyBorder="1" fontId="1" applyFont="1" fillId="31" applyFill="1" applyAlignment="1">
      <alignment horizontal="center"/>
    </xf>
    <xf xfId="0" numFmtId="4" applyNumberFormat="1" borderId="93" applyBorder="1" fontId="1" applyFont="1" fillId="0" applyAlignment="1">
      <alignment horizontal="right"/>
    </xf>
    <xf xfId="0" numFmtId="3" applyNumberFormat="1" borderId="1" applyBorder="1" fontId="153" applyFont="1" fillId="31" applyFill="1" applyAlignment="1">
      <alignment horizontal="center" wrapText="1"/>
    </xf>
    <xf xfId="0" numFmtId="176" applyNumberFormat="1" borderId="61" applyBorder="1" fontId="153" applyFont="1" fillId="31" applyFill="1" applyAlignment="1">
      <alignment horizontal="center" wrapText="1"/>
    </xf>
    <xf xfId="0" numFmtId="167" applyNumberFormat="1" borderId="103" applyBorder="1" fontId="153" applyFont="1" fillId="31" applyFill="1" applyAlignment="1">
      <alignment horizontal="center" wrapText="1"/>
    </xf>
    <xf xfId="0" numFmtId="176" applyNumberFormat="1" borderId="103" applyBorder="1" fontId="153" applyFont="1" fillId="31" applyFill="1" applyAlignment="1">
      <alignment horizontal="center" wrapText="1"/>
    </xf>
    <xf xfId="0" numFmtId="4" applyNumberFormat="1" borderId="62" applyBorder="1" fontId="153" applyFont="1" fillId="31" applyFill="1" applyAlignment="1">
      <alignment horizontal="center" wrapText="1"/>
    </xf>
    <xf xfId="0" numFmtId="1" applyNumberFormat="1" borderId="119" applyBorder="1" fontId="153" applyFont="1" fillId="0" applyAlignment="1">
      <alignment horizontal="center" vertical="top" wrapText="1"/>
    </xf>
    <xf xfId="0" numFmtId="173" applyNumberFormat="1" borderId="63" applyBorder="1" fontId="153" applyFont="1" fillId="0" applyAlignment="1">
      <alignment horizontal="center" vertical="top" wrapText="1"/>
    </xf>
    <xf xfId="0" numFmtId="173" applyNumberFormat="1" borderId="64" applyBorder="1" fontId="153" applyFont="1" fillId="0" applyAlignment="1">
      <alignment horizontal="center" wrapText="1"/>
    </xf>
    <xf xfId="0" numFmtId="3" applyNumberFormat="1" borderId="81" applyBorder="1" fontId="153" applyFont="1" fillId="0" applyAlignment="1">
      <alignment horizontal="center" wrapText="1"/>
    </xf>
    <xf xfId="0" numFmtId="176" applyNumberFormat="1" borderId="81" applyBorder="1" fontId="153" applyFont="1" fillId="0" applyAlignment="1">
      <alignment horizontal="center" wrapText="1"/>
    </xf>
    <xf xfId="0" numFmtId="4" applyNumberFormat="1" borderId="81" applyBorder="1" fontId="153" applyFont="1" fillId="0" applyAlignment="1">
      <alignment horizontal="center" wrapText="1"/>
    </xf>
    <xf xfId="0" numFmtId="167" applyNumberFormat="1" borderId="81" applyBorder="1" fontId="153" applyFont="1" fillId="0" applyAlignment="1">
      <alignment horizontal="center" wrapText="1"/>
    </xf>
    <xf xfId="0" numFmtId="1" applyNumberFormat="1" borderId="120" applyBorder="1" fontId="153" applyFont="1" fillId="0" applyAlignment="1">
      <alignment horizontal="center" wrapText="1"/>
    </xf>
    <xf xfId="0" numFmtId="173" applyNumberFormat="1" borderId="67" applyBorder="1" fontId="153" applyFont="1" fillId="0" applyAlignment="1">
      <alignment horizontal="center" wrapText="1"/>
    </xf>
    <xf xfId="0" numFmtId="173" applyNumberFormat="1" borderId="68" applyBorder="1" fontId="153" applyFont="1" fillId="0" applyAlignment="1">
      <alignment horizontal="center" wrapText="1"/>
    </xf>
    <xf xfId="0" numFmtId="3" applyNumberFormat="1" borderId="81" applyBorder="1" fontId="154" applyFont="1" fillId="0" applyAlignment="1">
      <alignment horizontal="center" vertical="top" wrapText="1"/>
    </xf>
    <xf xfId="0" numFmtId="167" applyNumberFormat="1" borderId="0" fontId="0" fillId="0" applyAlignment="1">
      <alignment horizontal="right" wrapText="1"/>
    </xf>
    <xf xfId="0" numFmtId="3" applyNumberFormat="1" borderId="81" applyBorder="1" fontId="154" applyFont="1" fillId="0" applyAlignment="1">
      <alignment horizontal="center" wrapText="1"/>
    </xf>
    <xf xfId="0" numFmtId="3" applyNumberFormat="1" borderId="0" fontId="0" fillId="0" applyAlignment="1">
      <alignment horizontal="right" wrapText="1"/>
    </xf>
    <xf xfId="0" numFmtId="1" applyNumberFormat="1" borderId="120" applyBorder="1" fontId="154" applyFont="1" fillId="0" applyAlignment="1">
      <alignment horizontal="center" wrapText="1"/>
    </xf>
    <xf xfId="0" numFmtId="173" applyNumberFormat="1" borderId="68" applyBorder="1" fontId="154" applyFont="1" fillId="0" applyAlignment="1">
      <alignment horizontal="center" wrapText="1"/>
    </xf>
    <xf xfId="0" numFmtId="173" applyNumberFormat="1" borderId="81" applyBorder="1" fontId="154" applyFont="1" fillId="0" applyAlignment="1">
      <alignment horizontal="center" wrapText="1"/>
    </xf>
    <xf xfId="0" numFmtId="3" applyNumberFormat="1" borderId="42" applyBorder="1" fontId="30" applyFont="1" fillId="0" applyAlignment="1">
      <alignment horizontal="right"/>
    </xf>
    <xf xfId="0" numFmtId="176" applyNumberFormat="1" borderId="81" applyBorder="1" fontId="154" applyFont="1" fillId="0" applyAlignment="1">
      <alignment horizontal="center" wrapText="1"/>
    </xf>
    <xf xfId="0" numFmtId="4" applyNumberFormat="1" borderId="81" applyBorder="1" fontId="154" applyFont="1" fillId="9" applyFill="1" applyAlignment="1">
      <alignment horizontal="center" wrapText="1"/>
    </xf>
    <xf xfId="0" numFmtId="167" applyNumberFormat="1" borderId="81" applyBorder="1" fontId="69" applyFont="1" fillId="0" applyAlignment="1">
      <alignment horizontal="right"/>
    </xf>
    <xf xfId="0" numFmtId="173" applyNumberFormat="1" borderId="120" applyBorder="1" fontId="154" applyFont="1" fillId="0" applyAlignment="1">
      <alignment horizontal="center" wrapText="1"/>
    </xf>
    <xf xfId="0" numFmtId="1" applyNumberFormat="1" borderId="0" fontId="0" fillId="0" applyAlignment="1">
      <alignment horizontal="center"/>
    </xf>
    <xf xfId="0" numFmtId="173" applyNumberFormat="1" borderId="0" fontId="0" fillId="0" applyAlignment="1">
      <alignment horizontal="center"/>
    </xf>
    <xf xfId="0" numFmtId="173" applyNumberFormat="1" borderId="0" fontId="0" fillId="0" applyAlignment="1">
      <alignment horizontal="center" wrapText="1"/>
    </xf>
    <xf xfId="0" numFmtId="176" applyNumberFormat="1" borderId="0" fontId="0" fillId="0" applyAlignment="1">
      <alignment horizontal="center" wrapText="1"/>
    </xf>
    <xf xfId="0" numFmtId="176" applyNumberFormat="1" borderId="0" fontId="0" fillId="0" applyAlignment="1">
      <alignment horizontal="center"/>
    </xf>
    <xf xfId="0" numFmtId="4" applyNumberFormat="1" borderId="0" fontId="0" fillId="0" applyAlignment="1">
      <alignment horizontal="center" wrapText="1"/>
    </xf>
    <xf xfId="0" numFmtId="0" borderId="1" applyBorder="1" fontId="155" applyFont="1" fillId="2" applyFill="1" applyAlignment="1">
      <alignment horizontal="left"/>
    </xf>
    <xf xfId="0" numFmtId="3" applyNumberFormat="1" borderId="0" fontId="0" fillId="0" applyAlignment="1">
      <alignment horizontal="center"/>
    </xf>
    <xf xfId="0" numFmtId="4" applyNumberFormat="1" borderId="0" fontId="0" fillId="0" applyAlignment="1">
      <alignment horizontal="center"/>
    </xf>
    <xf xfId="0" numFmtId="166" applyNumberFormat="1" borderId="0" fontId="0" fillId="0" applyAlignment="1">
      <alignment horizontal="center"/>
    </xf>
    <xf xfId="0" numFmtId="3" applyNumberFormat="1" borderId="48" applyBorder="1" fontId="1" applyFont="1" fillId="26" applyFill="1" applyAlignment="1">
      <alignment horizontal="center"/>
    </xf>
    <xf xfId="0" numFmtId="166" applyNumberFormat="1" borderId="48" applyBorder="1" fontId="1" applyFont="1" fillId="11" applyFill="1" applyAlignment="1">
      <alignment horizontal="center"/>
    </xf>
    <xf xfId="0" numFmtId="0" borderId="42" applyBorder="1" fontId="156" applyFont="1" fillId="0" applyAlignment="1">
      <alignment horizontal="left"/>
    </xf>
    <xf xfId="0" numFmtId="166" applyNumberFormat="1" borderId="48" applyBorder="1" fontId="1" applyFont="1" fillId="0" applyAlignment="1">
      <alignment horizontal="center"/>
    </xf>
    <xf xfId="0" numFmtId="3" applyNumberFormat="1" borderId="0" fontId="0" fillId="0" applyAlignment="1">
      <alignment horizontal="center"/>
    </xf>
    <xf xfId="0" numFmtId="166" applyNumberFormat="1" borderId="0" fontId="0" fillId="0" applyAlignment="1">
      <alignment horizontal="center"/>
    </xf>
  </cellXfs>
  <cellStyles count="1">
    <cellStyle xfId="0" builtinId="0" name="Normal"/>
  </cellStyles>
  <dxfs count="0"/>
  <tableStyles count="0" defaultTableStyle="TableStyleMedium9" defaultPivotStyle="PivotStyleLight16"/>
  <extLst>
    <ext uri="{EB79DEF2-80B8-43e5-95BD-54CBDDF9020C}">
      <x14ac:slicerStyles xmlns:x14="http://schemas.microsoft.com/office/spreadsheetml/2009/9/main" defaultSlicerStyle="SlicerStyleLight1"/>
    </ext>
  </extLst>
</styleSheet>
</file>

<file path=xl/_rels/workbook.xml.rels><?xml version="1.0" encoding="UTF-8" standalone="yes"?><Relationships xmlns="http://schemas.openxmlformats.org/package/2006/relationships"><Relationship Target="worksheets/sheet1.xml" Type="http://schemas.openxmlformats.org/officeDocument/2006/relationships/worksheet" Id="rId1"/><Relationship Target="worksheets/sheet2.xml" Type="http://schemas.openxmlformats.org/officeDocument/2006/relationships/worksheet" Id="rId2"/><Relationship Target="worksheets/sheet3.xml" Type="http://schemas.openxmlformats.org/officeDocument/2006/relationships/worksheet" Id="rId3"/><Relationship Target="worksheets/sheet4.xml" Type="http://schemas.openxmlformats.org/officeDocument/2006/relationships/worksheet" Id="rId4"/><Relationship Target="worksheets/sheet5.xml" Type="http://schemas.openxmlformats.org/officeDocument/2006/relationships/worksheet" Id="rId5"/><Relationship Target="worksheets/sheet6.xml" Type="http://schemas.openxmlformats.org/officeDocument/2006/relationships/worksheet" Id="rId6"/><Relationship Target="worksheets/sheet7.xml" Type="http://schemas.openxmlformats.org/officeDocument/2006/relationships/worksheet" Id="rId7"/><Relationship Target="worksheets/sheet8.xml" Type="http://schemas.openxmlformats.org/officeDocument/2006/relationships/worksheet" Id="rId8"/><Relationship Target="worksheets/sheet9.xml" Type="http://schemas.openxmlformats.org/officeDocument/2006/relationships/worksheet" Id="rId9"/><Relationship Target="worksheets/sheet10.xml" Type="http://schemas.openxmlformats.org/officeDocument/2006/relationships/worksheet" Id="rId10"/><Relationship Target="worksheets/sheet11.xml" Type="http://schemas.openxmlformats.org/officeDocument/2006/relationships/worksheet" Id="rId11"/><Relationship Target="worksheets/sheet12.xml" Type="http://schemas.openxmlformats.org/officeDocument/2006/relationships/worksheet" Id="rId12"/><Relationship Target="worksheets/sheet13.xml" Type="http://schemas.openxmlformats.org/officeDocument/2006/relationships/worksheet" Id="rId13"/><Relationship Target="worksheets/sheet14.xml" Type="http://schemas.openxmlformats.org/officeDocument/2006/relationships/worksheet" Id="rId14"/><Relationship Target="worksheets/sheet15.xml" Type="http://schemas.openxmlformats.org/officeDocument/2006/relationships/worksheet" Id="rId15"/><Relationship Target="worksheets/sheet16.xml" Type="http://schemas.openxmlformats.org/officeDocument/2006/relationships/worksheet" Id="rId16"/><Relationship Target="worksheets/sheet17.xml" Type="http://schemas.openxmlformats.org/officeDocument/2006/relationships/worksheet" Id="rId17"/><Relationship Target="worksheets/sheet18.xml" Type="http://schemas.openxmlformats.org/officeDocument/2006/relationships/worksheet" Id="rId18"/><Relationship Target="worksheets/sheet19.xml" Type="http://schemas.openxmlformats.org/officeDocument/2006/relationships/worksheet" Id="rId19"/><Relationship Target="worksheets/sheet20.xml" Type="http://schemas.openxmlformats.org/officeDocument/2006/relationships/worksheet" Id="rId20"/><Relationship Target="worksheets/sheet21.xml" Type="http://schemas.openxmlformats.org/officeDocument/2006/relationships/worksheet" Id="rId21"/><Relationship Target="worksheets/sheet22.xml" Type="http://schemas.openxmlformats.org/officeDocument/2006/relationships/worksheet" Id="rId22"/><Relationship Target="sharedStrings.xml" Type="http://schemas.openxmlformats.org/officeDocument/2006/relationships/sharedStrings" Id="rId23"/><Relationship Target="styles.xml" Type="http://schemas.openxmlformats.org/officeDocument/2006/relationships/styles" Id="rId24"/><Relationship Target="theme/theme1.xml" Type="http://schemas.openxmlformats.org/officeDocument/2006/relationships/theme" Id="rId25"/><Relationship Target="vbaProject.bin" Type="http://schemas.microsoft.com/office/2006/relationships/vbaProject" Id="rId26"/></Relationships>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000FF"/>
      </a:hlink>
      <a:folHlink>
        <a:srgbClr val="800080"/>
      </a:folHlink>
    </a:clrScheme>
    <a:fontScheme name="Office">
      <a:majorFont>
        <a:latin typeface="Cambria"/>
        <a:ea typeface=""/>
        <a:cs typeface=""/>
        <a:font typeface="ＭＳ Ｐゴシック" script="Jpan"/>
        <a:font typeface="맑은 고딕" script="Hang"/>
        <a:font typeface="宋体" script="Hans"/>
        <a:font typeface="新細明體" script="Hant"/>
        <a:font typeface="Times New Roman" script="Arab"/>
        <a:font typeface="Times New Roman" script="Hebr"/>
        <a:font typeface="Tahoma" script="Thai"/>
        <a:font typeface="Nyala" script="Ethi"/>
        <a:font typeface="Vrinda" script="Beng"/>
        <a:font typeface="Shruti" script="Gujr"/>
        <a:font typeface="MoolBoran" script="Khmr"/>
        <a:font typeface="Tunga" script="Knda"/>
        <a:font typeface="Raavi" script="Guru"/>
        <a:font typeface="Euphemia" script="Cans"/>
        <a:font typeface="Plantagenet Cherokee" script="Cher"/>
        <a:font typeface="Microsoft Yi Baiti" script="Yiii"/>
        <a:font typeface="Microsoft Himalaya" script="Tibt"/>
        <a:font typeface="MV Boli" script="Thaa"/>
        <a:font typeface="Mangal" script="Deva"/>
        <a:font typeface="Gautami" script="Telu"/>
        <a:font typeface="Latha" script="Taml"/>
        <a:font typeface="Estrangelo Edessa" script="Syrc"/>
        <a:font typeface="Kalinga" script="Orya"/>
        <a:font typeface="Kartika" script="Mlym"/>
        <a:font typeface="DokChampa" script="Laoo"/>
        <a:font typeface="Iskoola Pota" script="Sinh"/>
        <a:font typeface="Mongolian Baiti" script="Mong"/>
        <a:font typeface="Times New Roman" script="Viet"/>
        <a:font typeface="Microsoft Uighur" script="Uigh"/>
        <a:font typeface="Sylfaen" script="Geor"/>
      </a:majorFont>
      <a:minorFont>
        <a:latin typeface="Calibri"/>
        <a:ea typeface=""/>
        <a:cs typeface=""/>
        <a:font typeface="ＭＳ Ｐゴシック" script="Jpan"/>
        <a:font typeface="맑은 고딕" script="Hang"/>
        <a:font typeface="宋体" script="Hans"/>
        <a:font typeface="新細明體" script="Hant"/>
        <a:font typeface="Arial" script="Arab"/>
        <a:font typeface="Arial" script="Hebr"/>
        <a:font typeface="Tahoma" script="Thai"/>
        <a:font typeface="Nyala" script="Ethi"/>
        <a:font typeface="Vrinda" script="Beng"/>
        <a:font typeface="Shruti" script="Gujr"/>
        <a:font typeface="DaunPenh" script="Khmr"/>
        <a:font typeface="Tunga" script="Knda"/>
        <a:font typeface="Raavi" script="Guru"/>
        <a:font typeface="Euphemia" script="Cans"/>
        <a:font typeface="Plantagenet Cherokee" script="Cher"/>
        <a:font typeface="Microsoft Yi Baiti" script="Yiii"/>
        <a:font typeface="Microsoft Himalaya" script="Tibt"/>
        <a:font typeface="MV Boli" script="Thaa"/>
        <a:font typeface="Mangal" script="Deva"/>
        <a:font typeface="Gautami" script="Telu"/>
        <a:font typeface="Latha" script="Taml"/>
        <a:font typeface="Estrangelo Edessa" script="Syrc"/>
        <a:font typeface="Kalinga" script="Orya"/>
        <a:font typeface="Kartika" script="Mlym"/>
        <a:font typeface="DokChampa" script="Laoo"/>
        <a:font typeface="Iskoola Pota" script="Sinh"/>
        <a:font typeface="Mongolian Baiti" script="Mong"/>
        <a:font typeface="Arial" script="Viet"/>
        <a:font typeface="Microsoft Uighur" script="Uigh"/>
        <a:font typeface="Sylfaen" script="Geo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scaled="1" ang="16200000"/>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scaled="1" ang="16200000"/>
        </a:gradFill>
      </a:fillStyleLst>
      <a:lnStyleLst>
        <a:ln algn="ctr" cmpd="sng" cap="flat" w="9525">
          <a:solidFill>
            <a:schemeClr val="phClr">
              <a:shade val="9500"/>
              <a:satMod val="105000"/>
            </a:schemeClr>
          </a:solidFill>
          <a:prstDash val="solid"/>
        </a:ln>
        <a:ln algn="ctr" cmpd="sng" cap="flat" w="25400">
          <a:solidFill>
            <a:schemeClr val="phClr"/>
          </a:solidFill>
          <a:prstDash val="solid"/>
        </a:ln>
        <a:ln algn="ctr" cmpd="sng" cap="flat" w="38100">
          <a:solidFill>
            <a:schemeClr val="phClr"/>
          </a:solidFill>
          <a:prstDash val="solid"/>
        </a:ln>
      </a:lnStyleLst>
      <a:effectStyleLst>
        <a:effectStyle>
          <a:effectLst>
            <a:outerShdw dir="5400000" rotWithShape="0" dist="23000" blurRad="40000">
              <a:srgbClr val="000000">
                <a:alpha val="38000"/>
              </a:srgbClr>
            </a:outerShdw>
          </a:effectLst>
        </a:effectStyle>
        <a:effectStyle>
          <a:effectLst>
            <a:outerShdw dir="5400000" rotWithShape="0" dist="23000" blurRad="40000">
              <a:srgbClr val="000000">
                <a:alpha val="35000"/>
              </a:srgbClr>
            </a:outerShdw>
          </a:effectLst>
        </a:effectStyle>
        <a:effectStyle>
          <a:effectLst>
            <a:outerShdw dir="5400000" rotWithShape="0" dist="23000" blurRad="40000">
              <a:srgbClr val="000000">
                <a:alpha val="35000"/>
              </a:srgbClr>
            </a:outerShdw>
          </a:effectLst>
          <a:scene3d>
            <a:camera prst="orthographicFront">
              <a:rot rev="0" lon="0" lat="0"/>
            </a:camera>
            <a:lightRig dir="t" rig="threePt">
              <a:rot rev="1200000" lon="0" lat="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T34"/>
  <sheetViews>
    <sheetView workbookViewId="0"/>
  </sheetViews>
  <sheetFormatPr defaultRowHeight="15" x14ac:dyDescent="0.25"/>
  <cols>
    <col min="1" max="1" style="163" width="11.719285714285713" customWidth="1" bestFit="1"/>
    <col min="2" max="2" style="163" width="33.005" customWidth="1" bestFit="1"/>
    <col min="3" max="3" style="1280" width="12.43357142857143" customWidth="1" bestFit="1"/>
    <col min="4" max="4" style="1280" width="13.576428571428572" customWidth="1" bestFit="1"/>
    <col min="5" max="5" style="807" width="19.576428571428572" customWidth="1" bestFit="1"/>
    <col min="6" max="6" style="1280" width="13.576428571428572" customWidth="1" bestFit="1"/>
    <col min="7" max="7" style="1280" width="11.005" customWidth="1" bestFit="1"/>
    <col min="8" max="8" style="1280" width="14.43357142857143" customWidth="1" bestFit="1"/>
    <col min="9" max="9" style="808" width="11.290714285714287" customWidth="1" bestFit="1"/>
    <col min="10" max="10" style="808" width="11.290714285714287" customWidth="1" bestFit="1"/>
    <col min="11" max="11" style="1281" width="17.719285714285714" customWidth="1" bestFit="1"/>
    <col min="12" max="12" style="1281" width="13.576428571428572" customWidth="1" bestFit="1"/>
    <col min="13" max="13" style="163" width="26.719285714285714" customWidth="1" bestFit="1"/>
    <col min="14" max="14" style="163" width="10.719285714285713" customWidth="1" bestFit="1"/>
    <col min="15" max="15" style="165" width="11.290714285714287" customWidth="1" bestFit="1"/>
    <col min="16" max="16" style="165" width="24.576428571428572" customWidth="1" bestFit="1"/>
    <col min="17" max="17" style="165" width="13.576428571428572" customWidth="1" bestFit="1"/>
    <col min="18" max="18" style="164" width="12.290714285714287" customWidth="1" bestFit="1"/>
    <col min="19" max="19" style="164" width="13.576428571428572" customWidth="1" bestFit="1"/>
    <col min="20" max="20" style="165" width="13.576428571428572" customWidth="1" bestFit="1"/>
  </cols>
  <sheetData>
    <row x14ac:dyDescent="0.25" r="1" customHeight="1" ht="18.75">
      <c r="A1" s="1"/>
      <c r="B1" s="1"/>
      <c r="C1" s="1273"/>
      <c r="D1" s="1273"/>
      <c r="E1" s="217"/>
      <c r="F1" s="1273"/>
      <c r="G1" s="1273"/>
      <c r="H1" s="1273"/>
      <c r="I1" s="1274"/>
      <c r="J1" s="1274"/>
      <c r="K1" s="1275"/>
      <c r="L1" s="1275"/>
      <c r="M1" s="1"/>
      <c r="N1" s="1"/>
      <c r="O1" s="169"/>
      <c r="P1" s="169"/>
      <c r="Q1" s="169"/>
      <c r="R1" s="170"/>
      <c r="S1" s="170"/>
      <c r="T1" s="169"/>
    </row>
    <row x14ac:dyDescent="0.25" r="2" customHeight="1" ht="18.75">
      <c r="A2" s="1"/>
      <c r="B2" s="1"/>
      <c r="C2" s="1273"/>
      <c r="D2" s="1273"/>
      <c r="E2" s="217"/>
      <c r="F2" s="1273"/>
      <c r="G2" s="1273"/>
      <c r="H2" s="1273"/>
      <c r="I2" s="1274"/>
      <c r="J2" s="1274"/>
      <c r="K2" s="1275"/>
      <c r="L2" s="1275"/>
      <c r="M2" s="1"/>
      <c r="N2" s="1"/>
      <c r="O2" s="169"/>
      <c r="P2" s="169"/>
      <c r="Q2" s="169"/>
      <c r="R2" s="170"/>
      <c r="S2" s="170"/>
      <c r="T2" s="169"/>
    </row>
    <row x14ac:dyDescent="0.25" r="3" customHeight="1" ht="18.75">
      <c r="A3" s="1"/>
      <c r="B3" s="1"/>
      <c r="C3" s="1273" t="s">
        <v>1182</v>
      </c>
      <c r="D3" s="331">
        <v>0</v>
      </c>
      <c r="E3" s="331">
        <v>0</v>
      </c>
      <c r="F3" s="331">
        <v>0</v>
      </c>
      <c r="G3" s="331">
        <v>0</v>
      </c>
      <c r="H3" s="331">
        <v>0</v>
      </c>
      <c r="I3" s="331">
        <v>0</v>
      </c>
      <c r="J3" s="331">
        <v>0</v>
      </c>
      <c r="K3" s="331">
        <v>0</v>
      </c>
      <c r="L3" s="331">
        <v>0</v>
      </c>
      <c r="M3" s="1"/>
      <c r="N3" s="1" t="s">
        <v>1182</v>
      </c>
      <c r="O3" s="331">
        <v>0</v>
      </c>
      <c r="P3" s="331">
        <v>0</v>
      </c>
      <c r="Q3" s="331">
        <v>0</v>
      </c>
      <c r="R3" s="331">
        <v>0</v>
      </c>
      <c r="S3" s="331">
        <v>0</v>
      </c>
      <c r="T3" s="331">
        <v>0</v>
      </c>
    </row>
    <row x14ac:dyDescent="0.25" r="4" customHeight="1" ht="19.5">
      <c r="A4" s="1"/>
      <c r="B4" s="1"/>
      <c r="C4" s="688" t="s">
        <v>1224</v>
      </c>
      <c r="D4" s="688" t="s">
        <v>1225</v>
      </c>
      <c r="E4" s="558" t="s">
        <v>1226</v>
      </c>
      <c r="F4" s="688" t="s">
        <v>1227</v>
      </c>
      <c r="G4" s="688" t="s">
        <v>1228</v>
      </c>
      <c r="H4" s="688" t="s">
        <v>1229</v>
      </c>
      <c r="I4" s="547" t="s">
        <v>1230</v>
      </c>
      <c r="J4" s="547" t="s">
        <v>1231</v>
      </c>
      <c r="K4" s="778" t="s">
        <v>1232</v>
      </c>
      <c r="L4" s="778" t="s">
        <v>1233</v>
      </c>
      <c r="M4" s="549" t="s">
        <v>1234</v>
      </c>
      <c r="N4" s="549" t="s">
        <v>1224</v>
      </c>
      <c r="O4" s="688" t="s">
        <v>1235</v>
      </c>
      <c r="P4" s="688"/>
      <c r="Q4" s="169"/>
      <c r="R4" s="547" t="s">
        <v>1236</v>
      </c>
      <c r="S4" s="547" t="s">
        <v>1237</v>
      </c>
      <c r="T4" s="169"/>
    </row>
    <row x14ac:dyDescent="0.25" r="5" customHeight="1" ht="18.75">
      <c r="A5" s="1"/>
      <c r="B5" s="1"/>
      <c r="C5" s="1276">
        <v>1</v>
      </c>
      <c r="D5" s="342">
        <v>1</v>
      </c>
      <c r="E5" s="1036">
        <v>23789</v>
      </c>
      <c r="F5" s="342" t="s">
        <v>1238</v>
      </c>
      <c r="G5" s="720">
        <v>1000</v>
      </c>
      <c r="H5" s="720">
        <v>500</v>
      </c>
      <c r="I5" s="720">
        <v>2400</v>
      </c>
      <c r="J5" s="720">
        <v>1000</v>
      </c>
      <c r="K5" s="1277">
        <v>0.05</v>
      </c>
      <c r="L5" s="1277">
        <v>0.04</v>
      </c>
      <c r="M5" s="339"/>
      <c r="N5" s="1" t="s">
        <v>1239</v>
      </c>
      <c r="O5" s="342">
        <v>1</v>
      </c>
      <c r="P5" s="340" t="s">
        <v>242</v>
      </c>
      <c r="Q5" s="169"/>
      <c r="R5" s="217">
        <v>33000</v>
      </c>
      <c r="S5" s="217">
        <v>20000</v>
      </c>
      <c r="T5" s="169"/>
    </row>
    <row x14ac:dyDescent="0.25" r="6" customHeight="1" ht="18.75">
      <c r="A6" s="1"/>
      <c r="B6" s="1"/>
      <c r="C6" s="1276">
        <v>2</v>
      </c>
      <c r="D6" s="342">
        <v>2</v>
      </c>
      <c r="E6" s="1036">
        <v>24724</v>
      </c>
      <c r="F6" s="342" t="s">
        <v>1240</v>
      </c>
      <c r="G6" s="343">
        <v>50000</v>
      </c>
      <c r="H6" s="343">
        <v>1000</v>
      </c>
      <c r="I6" s="720">
        <v>1000</v>
      </c>
      <c r="J6" s="720">
        <v>1000</v>
      </c>
      <c r="K6" s="1277">
        <v>0.05</v>
      </c>
      <c r="L6" s="1277">
        <v>0.04</v>
      </c>
      <c r="M6" s="339"/>
      <c r="N6" s="1" t="s">
        <v>1241</v>
      </c>
      <c r="O6" s="342">
        <v>2</v>
      </c>
      <c r="P6" s="340" t="s">
        <v>243</v>
      </c>
      <c r="Q6" s="169"/>
      <c r="R6" s="217">
        <v>60000</v>
      </c>
      <c r="S6" s="217">
        <v>10000</v>
      </c>
      <c r="T6" s="169"/>
    </row>
    <row x14ac:dyDescent="0.25" r="7" customHeight="1" ht="18.75">
      <c r="A7" s="1"/>
      <c r="B7" s="1"/>
      <c r="C7" s="1276">
        <v>3</v>
      </c>
      <c r="D7" s="342">
        <v>3</v>
      </c>
      <c r="E7" s="1036">
        <v>26414</v>
      </c>
      <c r="F7" s="342" t="s">
        <v>1240</v>
      </c>
      <c r="G7" s="343">
        <v>70000</v>
      </c>
      <c r="H7" s="343">
        <v>30000</v>
      </c>
      <c r="I7" s="720">
        <v>90000</v>
      </c>
      <c r="J7" s="720">
        <v>1000</v>
      </c>
      <c r="K7" s="1277">
        <v>0.05</v>
      </c>
      <c r="L7" s="1277">
        <v>0.04</v>
      </c>
      <c r="M7" s="339"/>
      <c r="N7" s="1" t="s">
        <v>1242</v>
      </c>
      <c r="O7" s="342">
        <v>3</v>
      </c>
      <c r="P7" s="340" t="s">
        <v>244</v>
      </c>
      <c r="Q7" s="169"/>
      <c r="R7" s="217">
        <v>100000</v>
      </c>
      <c r="S7" s="217">
        <v>1000</v>
      </c>
      <c r="T7" s="169"/>
    </row>
    <row x14ac:dyDescent="0.25" r="8" customHeight="1" ht="19.5">
      <c r="A8" s="1"/>
      <c r="B8" s="1"/>
      <c r="C8" s="1276">
        <v>4</v>
      </c>
      <c r="D8" s="342">
        <v>4</v>
      </c>
      <c r="E8" s="1036">
        <v>29250</v>
      </c>
      <c r="F8" s="342" t="s">
        <v>1240</v>
      </c>
      <c r="G8" s="343">
        <v>80000</v>
      </c>
      <c r="H8" s="343">
        <v>5000</v>
      </c>
      <c r="I8" s="720">
        <v>11000</v>
      </c>
      <c r="J8" s="720">
        <v>1000</v>
      </c>
      <c r="K8" s="1277">
        <v>0.05</v>
      </c>
      <c r="L8" s="1277">
        <v>0.04</v>
      </c>
      <c r="M8" s="339"/>
      <c r="N8" s="1278" t="s">
        <v>1243</v>
      </c>
      <c r="O8" s="342">
        <v>4</v>
      </c>
      <c r="P8" s="340" t="s">
        <v>1244</v>
      </c>
      <c r="Q8" s="169"/>
      <c r="R8" s="217">
        <v>80000</v>
      </c>
      <c r="S8" s="217">
        <v>0</v>
      </c>
      <c r="T8" s="169"/>
    </row>
    <row x14ac:dyDescent="0.25" r="9" customHeight="1" ht="19.5">
      <c r="A9" s="1"/>
      <c r="B9" s="1"/>
      <c r="C9" s="1276">
        <v>5</v>
      </c>
      <c r="D9" s="342">
        <v>2</v>
      </c>
      <c r="E9" s="1036">
        <v>30025</v>
      </c>
      <c r="F9" s="342" t="s">
        <v>1240</v>
      </c>
      <c r="G9" s="343">
        <v>2000</v>
      </c>
      <c r="H9" s="343">
        <v>700</v>
      </c>
      <c r="I9" s="343">
        <v>4000</v>
      </c>
      <c r="J9" s="343"/>
      <c r="K9" s="1277">
        <v>0.05</v>
      </c>
      <c r="L9" s="1279"/>
      <c r="M9" s="339"/>
      <c r="N9" s="1278" t="s">
        <v>1245</v>
      </c>
      <c r="O9" s="342">
        <v>5</v>
      </c>
      <c r="P9" s="340" t="s">
        <v>106</v>
      </c>
      <c r="Q9" s="169"/>
      <c r="R9" s="217">
        <v>200000</v>
      </c>
      <c r="S9" s="217">
        <v>15000</v>
      </c>
      <c r="T9" s="169"/>
    </row>
    <row x14ac:dyDescent="0.25" r="10" customHeight="1" ht="19.5">
      <c r="A10" s="1"/>
      <c r="B10" s="1"/>
      <c r="C10" s="1276">
        <v>6</v>
      </c>
      <c r="D10" s="342">
        <v>2</v>
      </c>
      <c r="E10" s="1036">
        <v>28309</v>
      </c>
      <c r="F10" s="342" t="s">
        <v>1240</v>
      </c>
      <c r="G10" s="342">
        <v>3000</v>
      </c>
      <c r="H10" s="342">
        <v>900</v>
      </c>
      <c r="I10" s="343">
        <v>3200</v>
      </c>
      <c r="J10" s="343"/>
      <c r="K10" s="1277">
        <v>0.05</v>
      </c>
      <c r="L10" s="1279"/>
      <c r="M10" s="339"/>
      <c r="N10" s="1278" t="s">
        <v>1246</v>
      </c>
      <c r="O10" s="169"/>
      <c r="P10" s="169"/>
      <c r="Q10" s="169"/>
      <c r="R10" s="217">
        <v>210000</v>
      </c>
      <c r="S10" s="217">
        <v>10000</v>
      </c>
      <c r="T10" s="169"/>
    </row>
    <row x14ac:dyDescent="0.25" r="11" customHeight="1" ht="19.5">
      <c r="A11" s="1"/>
      <c r="B11" s="1"/>
      <c r="C11" s="1276">
        <v>7</v>
      </c>
      <c r="D11" s="342">
        <v>5</v>
      </c>
      <c r="E11" s="1036">
        <v>27538</v>
      </c>
      <c r="F11" s="342" t="s">
        <v>1240</v>
      </c>
      <c r="G11" s="342"/>
      <c r="H11" s="342"/>
      <c r="I11" s="343">
        <v>12000</v>
      </c>
      <c r="J11" s="343"/>
      <c r="K11" s="1277"/>
      <c r="L11" s="1279"/>
      <c r="M11" s="339"/>
      <c r="N11" s="1278" t="s">
        <v>1247</v>
      </c>
      <c r="O11" s="169"/>
      <c r="P11" s="169"/>
      <c r="Q11" s="169"/>
      <c r="R11" s="217">
        <v>75000</v>
      </c>
      <c r="S11" s="217">
        <v>3560</v>
      </c>
      <c r="T11" s="169"/>
    </row>
    <row x14ac:dyDescent="0.25" r="12" customHeight="1" ht="19.5">
      <c r="A12" s="1"/>
      <c r="B12" s="1"/>
      <c r="C12" s="1276">
        <v>8</v>
      </c>
      <c r="D12" s="342">
        <v>5</v>
      </c>
      <c r="E12" s="1036">
        <v>32568</v>
      </c>
      <c r="F12" s="342" t="s">
        <v>1248</v>
      </c>
      <c r="G12" s="342"/>
      <c r="H12" s="342"/>
      <c r="I12" s="343">
        <v>0</v>
      </c>
      <c r="J12" s="343"/>
      <c r="K12" s="1279"/>
      <c r="L12" s="1279"/>
      <c r="M12" s="339"/>
      <c r="N12" s="1278" t="s">
        <v>1249</v>
      </c>
      <c r="O12" s="169"/>
      <c r="P12" s="169"/>
      <c r="Q12" s="169"/>
      <c r="R12" s="217">
        <v>45000</v>
      </c>
      <c r="S12" s="217">
        <v>6750</v>
      </c>
      <c r="T12" s="169"/>
    </row>
    <row x14ac:dyDescent="0.25" r="13" customHeight="1" ht="19.5">
      <c r="A13" s="1"/>
      <c r="B13" s="1"/>
      <c r="C13" s="1276">
        <v>9</v>
      </c>
      <c r="D13" s="342">
        <v>5</v>
      </c>
      <c r="E13" s="1036">
        <v>29039</v>
      </c>
      <c r="F13" s="342" t="s">
        <v>1248</v>
      </c>
      <c r="G13" s="342"/>
      <c r="H13" s="342"/>
      <c r="I13" s="343">
        <v>0</v>
      </c>
      <c r="J13" s="343"/>
      <c r="K13" s="1279"/>
      <c r="L13" s="1279"/>
      <c r="M13" s="339"/>
      <c r="N13" s="1278" t="s">
        <v>1250</v>
      </c>
      <c r="O13" s="169"/>
      <c r="P13" s="169"/>
      <c r="Q13" s="169"/>
      <c r="R13" s="217">
        <v>65000</v>
      </c>
      <c r="S13" s="217">
        <v>9750</v>
      </c>
      <c r="T13" s="169"/>
    </row>
    <row x14ac:dyDescent="0.25" r="14" customHeight="1" ht="19.5">
      <c r="A14" s="1"/>
      <c r="B14" s="1"/>
      <c r="C14" s="1276">
        <v>10</v>
      </c>
      <c r="D14" s="342">
        <v>5</v>
      </c>
      <c r="E14" s="1036">
        <v>27068</v>
      </c>
      <c r="F14" s="342" t="s">
        <v>1248</v>
      </c>
      <c r="G14" s="342"/>
      <c r="H14" s="342"/>
      <c r="I14" s="343">
        <v>0</v>
      </c>
      <c r="J14" s="343"/>
      <c r="K14" s="1279"/>
      <c r="L14" s="1279"/>
      <c r="M14" s="339"/>
      <c r="N14" s="1278" t="s">
        <v>1251</v>
      </c>
      <c r="O14" s="169"/>
      <c r="P14" s="169"/>
      <c r="Q14" s="169"/>
      <c r="R14" s="217">
        <v>83000</v>
      </c>
      <c r="S14" s="217">
        <v>12450</v>
      </c>
      <c r="T14" s="169"/>
    </row>
    <row x14ac:dyDescent="0.25" r="15" customHeight="1" ht="18.75">
      <c r="A15" s="1"/>
      <c r="B15" s="1"/>
      <c r="C15" s="342"/>
      <c r="D15" s="342"/>
      <c r="E15" s="343"/>
      <c r="F15" s="342"/>
      <c r="G15" s="342"/>
      <c r="H15" s="342"/>
      <c r="I15" s="343"/>
      <c r="J15" s="343"/>
      <c r="K15" s="1279"/>
      <c r="L15" s="1279"/>
      <c r="M15" s="339"/>
      <c r="N15" s="1"/>
      <c r="O15" s="169"/>
      <c r="P15" s="169"/>
      <c r="Q15" s="169"/>
      <c r="R15" s="170"/>
      <c r="S15" s="170"/>
      <c r="T15" s="169"/>
    </row>
    <row x14ac:dyDescent="0.25" r="16" customHeight="1" ht="18.75">
      <c r="A16" s="1"/>
      <c r="B16" s="1"/>
      <c r="C16" s="342"/>
      <c r="D16" s="342"/>
      <c r="E16" s="1036"/>
      <c r="F16" s="342"/>
      <c r="G16" s="342"/>
      <c r="H16" s="342"/>
      <c r="I16" s="343"/>
      <c r="J16" s="343"/>
      <c r="K16" s="1279"/>
      <c r="L16" s="1279"/>
      <c r="M16" s="339"/>
      <c r="N16" s="1"/>
      <c r="O16" s="169"/>
      <c r="P16" s="169"/>
      <c r="Q16" s="169"/>
      <c r="R16" s="170"/>
      <c r="S16" s="170"/>
      <c r="T16" s="169"/>
    </row>
    <row x14ac:dyDescent="0.25" r="17" customHeight="1" ht="18.75">
      <c r="A17" s="1"/>
      <c r="B17" s="1"/>
      <c r="C17" s="342"/>
      <c r="D17" s="342"/>
      <c r="E17" s="1036"/>
      <c r="F17" s="342"/>
      <c r="G17" s="342"/>
      <c r="H17" s="342"/>
      <c r="I17" s="343"/>
      <c r="J17" s="343"/>
      <c r="K17" s="1279"/>
      <c r="L17" s="1279"/>
      <c r="M17" s="339"/>
      <c r="N17" s="1"/>
      <c r="O17" s="169"/>
      <c r="P17" s="169"/>
      <c r="Q17" s="169"/>
      <c r="R17" s="170"/>
      <c r="S17" s="170"/>
      <c r="T17" s="169"/>
    </row>
    <row x14ac:dyDescent="0.25" r="18" customHeight="1" ht="18.75">
      <c r="A18" s="1"/>
      <c r="B18" s="1"/>
      <c r="C18" s="342"/>
      <c r="D18" s="342"/>
      <c r="E18" s="1036"/>
      <c r="F18" s="342"/>
      <c r="G18" s="342"/>
      <c r="H18" s="342"/>
      <c r="I18" s="343"/>
      <c r="J18" s="343"/>
      <c r="K18" s="1279"/>
      <c r="L18" s="1279"/>
      <c r="M18" s="339"/>
      <c r="N18" s="1"/>
      <c r="O18" s="169"/>
      <c r="P18" s="169"/>
      <c r="Q18" s="169"/>
      <c r="R18" s="170"/>
      <c r="S18" s="170"/>
      <c r="T18" s="169"/>
    </row>
    <row x14ac:dyDescent="0.25" r="19" customHeight="1" ht="18.75">
      <c r="A19" s="1"/>
      <c r="B19" s="1"/>
      <c r="C19" s="342"/>
      <c r="D19" s="342"/>
      <c r="E19" s="1036"/>
      <c r="F19" s="342"/>
      <c r="G19" s="342"/>
      <c r="H19" s="342"/>
      <c r="I19" s="343"/>
      <c r="J19" s="343"/>
      <c r="K19" s="1279"/>
      <c r="L19" s="1279"/>
      <c r="M19" s="339"/>
      <c r="N19" s="1"/>
      <c r="O19" s="169"/>
      <c r="P19" s="169"/>
      <c r="Q19" s="169"/>
      <c r="R19" s="170"/>
      <c r="S19" s="170"/>
      <c r="T19" s="169"/>
    </row>
    <row x14ac:dyDescent="0.25" r="20" customHeight="1" ht="18.75">
      <c r="A20" s="1"/>
      <c r="B20" s="1"/>
      <c r="C20" s="342"/>
      <c r="D20" s="342"/>
      <c r="E20" s="1036"/>
      <c r="F20" s="342"/>
      <c r="G20" s="342"/>
      <c r="H20" s="342"/>
      <c r="I20" s="343"/>
      <c r="J20" s="343"/>
      <c r="K20" s="1279"/>
      <c r="L20" s="1279"/>
      <c r="M20" s="339"/>
      <c r="N20" s="1"/>
      <c r="O20" s="169"/>
      <c r="P20" s="169"/>
      <c r="Q20" s="169"/>
      <c r="R20" s="170"/>
      <c r="S20" s="170"/>
      <c r="T20" s="169"/>
    </row>
    <row x14ac:dyDescent="0.25" r="21" customHeight="1" ht="18.75">
      <c r="A21" s="1"/>
      <c r="B21" s="1"/>
      <c r="C21" s="342"/>
      <c r="D21" s="342"/>
      <c r="E21" s="1036"/>
      <c r="F21" s="342"/>
      <c r="G21" s="342"/>
      <c r="H21" s="342"/>
      <c r="I21" s="343"/>
      <c r="J21" s="343"/>
      <c r="K21" s="1279"/>
      <c r="L21" s="1279"/>
      <c r="M21" s="339"/>
      <c r="N21" s="1"/>
      <c r="O21" s="169"/>
      <c r="P21" s="169"/>
      <c r="Q21" s="169"/>
      <c r="R21" s="170"/>
      <c r="S21" s="170"/>
      <c r="T21" s="169"/>
    </row>
    <row x14ac:dyDescent="0.25" r="22" customHeight="1" ht="18.75">
      <c r="A22" s="1"/>
      <c r="B22" s="1"/>
      <c r="C22" s="342"/>
      <c r="D22" s="342"/>
      <c r="E22" s="1036"/>
      <c r="F22" s="342"/>
      <c r="G22" s="342"/>
      <c r="H22" s="342"/>
      <c r="I22" s="343"/>
      <c r="J22" s="343"/>
      <c r="K22" s="1279"/>
      <c r="L22" s="1279"/>
      <c r="M22" s="339"/>
      <c r="N22" s="1"/>
      <c r="O22" s="169"/>
      <c r="P22" s="169"/>
      <c r="Q22" s="169"/>
      <c r="R22" s="170"/>
      <c r="S22" s="170"/>
      <c r="T22" s="169"/>
    </row>
    <row x14ac:dyDescent="0.25" r="23" customHeight="1" ht="18.75">
      <c r="A23" s="1"/>
      <c r="B23" s="1"/>
      <c r="C23" s="342"/>
      <c r="D23" s="342"/>
      <c r="E23" s="1036"/>
      <c r="F23" s="342"/>
      <c r="G23" s="342"/>
      <c r="H23" s="342"/>
      <c r="I23" s="343"/>
      <c r="J23" s="343"/>
      <c r="K23" s="1279"/>
      <c r="L23" s="1279"/>
      <c r="M23" s="339"/>
      <c r="N23" s="1"/>
      <c r="O23" s="169"/>
      <c r="P23" s="169"/>
      <c r="Q23" s="169"/>
      <c r="R23" s="170"/>
      <c r="S23" s="170"/>
      <c r="T23" s="169"/>
    </row>
    <row x14ac:dyDescent="0.25" r="24" customHeight="1" ht="18.75">
      <c r="A24" s="1"/>
      <c r="B24" s="1"/>
      <c r="C24" s="342"/>
      <c r="D24" s="342"/>
      <c r="E24" s="1036"/>
      <c r="F24" s="342"/>
      <c r="G24" s="342"/>
      <c r="H24" s="342"/>
      <c r="I24" s="343"/>
      <c r="J24" s="343"/>
      <c r="K24" s="1279"/>
      <c r="L24" s="1279"/>
      <c r="M24" s="339"/>
      <c r="N24" s="1"/>
      <c r="O24" s="169"/>
      <c r="P24" s="169"/>
      <c r="Q24" s="169"/>
      <c r="R24" s="170"/>
      <c r="S24" s="170"/>
      <c r="T24" s="169"/>
    </row>
    <row x14ac:dyDescent="0.25" r="25" customHeight="1" ht="18.75">
      <c r="A25" s="1"/>
      <c r="B25" s="1"/>
      <c r="C25" s="342"/>
      <c r="D25" s="342"/>
      <c r="E25" s="1036"/>
      <c r="F25" s="342"/>
      <c r="G25" s="342"/>
      <c r="H25" s="342"/>
      <c r="I25" s="343"/>
      <c r="J25" s="343"/>
      <c r="K25" s="551"/>
      <c r="L25" s="1279"/>
      <c r="M25" s="781"/>
      <c r="N25" s="1"/>
      <c r="O25" s="169"/>
      <c r="P25" s="169"/>
      <c r="Q25" s="169"/>
      <c r="R25" s="170"/>
      <c r="S25" s="170"/>
      <c r="T25" s="169"/>
    </row>
    <row x14ac:dyDescent="0.25" r="26" customHeight="1" ht="18.75">
      <c r="A26" s="1"/>
      <c r="B26" s="1"/>
      <c r="C26" s="342"/>
      <c r="D26" s="342"/>
      <c r="E26" s="1036"/>
      <c r="F26" s="342"/>
      <c r="G26" s="342"/>
      <c r="H26" s="342"/>
      <c r="I26" s="343"/>
      <c r="J26" s="343"/>
      <c r="K26" s="551"/>
      <c r="L26" s="1279"/>
      <c r="M26" s="781"/>
      <c r="N26" s="1"/>
      <c r="O26" s="169"/>
      <c r="P26" s="169"/>
      <c r="Q26" s="169"/>
      <c r="R26" s="170"/>
      <c r="S26" s="170"/>
      <c r="T26" s="169"/>
    </row>
    <row x14ac:dyDescent="0.25" r="27" customHeight="1" ht="18.75">
      <c r="A27" s="1"/>
      <c r="B27" s="1"/>
      <c r="C27" s="342"/>
      <c r="D27" s="342"/>
      <c r="E27" s="1036"/>
      <c r="F27" s="342"/>
      <c r="G27" s="342"/>
      <c r="H27" s="342"/>
      <c r="I27" s="343"/>
      <c r="J27" s="343"/>
      <c r="K27" s="551"/>
      <c r="L27" s="1279"/>
      <c r="M27" s="781"/>
      <c r="N27" s="1"/>
      <c r="O27" s="169"/>
      <c r="P27" s="169"/>
      <c r="Q27" s="169"/>
      <c r="R27" s="170"/>
      <c r="S27" s="170"/>
      <c r="T27" s="169"/>
    </row>
    <row x14ac:dyDescent="0.25" r="28" customHeight="1" ht="18.75">
      <c r="A28" s="1"/>
      <c r="B28" s="1"/>
      <c r="C28" s="342"/>
      <c r="D28" s="342"/>
      <c r="E28" s="1036"/>
      <c r="F28" s="342"/>
      <c r="G28" s="342"/>
      <c r="H28" s="342"/>
      <c r="I28" s="343"/>
      <c r="J28" s="343"/>
      <c r="K28" s="551"/>
      <c r="L28" s="1279"/>
      <c r="M28" s="339"/>
      <c r="N28" s="1"/>
      <c r="O28" s="169"/>
      <c r="P28" s="169"/>
      <c r="Q28" s="169"/>
      <c r="R28" s="170"/>
      <c r="S28" s="170"/>
      <c r="T28" s="169"/>
    </row>
    <row x14ac:dyDescent="0.25" r="29" customHeight="1" ht="18.75">
      <c r="A29" s="1"/>
      <c r="B29" s="1"/>
      <c r="C29" s="342"/>
      <c r="D29" s="342"/>
      <c r="E29" s="1036"/>
      <c r="F29" s="342"/>
      <c r="G29" s="342"/>
      <c r="H29" s="342"/>
      <c r="I29" s="343"/>
      <c r="J29" s="343"/>
      <c r="K29" s="551"/>
      <c r="L29" s="1279"/>
      <c r="M29" s="339"/>
      <c r="N29" s="1"/>
      <c r="O29" s="169"/>
      <c r="P29" s="169"/>
      <c r="Q29" s="169"/>
      <c r="R29" s="170"/>
      <c r="S29" s="170"/>
      <c r="T29" s="169"/>
    </row>
    <row x14ac:dyDescent="0.25" r="30" customHeight="1" ht="18.75">
      <c r="A30" s="1"/>
      <c r="B30" s="1"/>
      <c r="C30" s="342"/>
      <c r="D30" s="342"/>
      <c r="E30" s="1036"/>
      <c r="F30" s="342"/>
      <c r="G30" s="342"/>
      <c r="H30" s="342"/>
      <c r="I30" s="343"/>
      <c r="J30" s="343"/>
      <c r="K30" s="551"/>
      <c r="L30" s="1279"/>
      <c r="M30" s="339"/>
      <c r="N30" s="1"/>
      <c r="O30" s="169"/>
      <c r="P30" s="169"/>
      <c r="Q30" s="169"/>
      <c r="R30" s="170"/>
      <c r="S30" s="170"/>
      <c r="T30" s="169"/>
    </row>
    <row x14ac:dyDescent="0.25" r="31" customHeight="1" ht="18.75">
      <c r="A31" s="1"/>
      <c r="B31" s="1"/>
      <c r="C31" s="342"/>
      <c r="D31" s="342"/>
      <c r="E31" s="1036"/>
      <c r="F31" s="342"/>
      <c r="G31" s="342"/>
      <c r="H31" s="342"/>
      <c r="I31" s="343"/>
      <c r="J31" s="343"/>
      <c r="K31" s="551"/>
      <c r="L31" s="1279"/>
      <c r="M31" s="339"/>
      <c r="N31" s="1"/>
      <c r="O31" s="169"/>
      <c r="P31" s="169"/>
      <c r="Q31" s="169"/>
      <c r="R31" s="170"/>
      <c r="S31" s="170"/>
      <c r="T31" s="169"/>
    </row>
    <row x14ac:dyDescent="0.25" r="32" customHeight="1" ht="18.75">
      <c r="A32" s="1"/>
      <c r="B32" s="1"/>
      <c r="C32" s="342"/>
      <c r="D32" s="342"/>
      <c r="E32" s="1036"/>
      <c r="F32" s="342"/>
      <c r="G32" s="342"/>
      <c r="H32" s="342"/>
      <c r="I32" s="343"/>
      <c r="J32" s="343"/>
      <c r="K32" s="551"/>
      <c r="L32" s="1279"/>
      <c r="M32" s="339"/>
      <c r="N32" s="1"/>
      <c r="O32" s="169"/>
      <c r="P32" s="169"/>
      <c r="Q32" s="169"/>
      <c r="R32" s="170"/>
      <c r="S32" s="170"/>
      <c r="T32" s="169"/>
    </row>
    <row x14ac:dyDescent="0.25" r="33" customHeight="1" ht="18.75">
      <c r="A33" s="1"/>
      <c r="B33" s="1"/>
      <c r="C33" s="342"/>
      <c r="D33" s="342"/>
      <c r="E33" s="1036"/>
      <c r="F33" s="342"/>
      <c r="G33" s="342"/>
      <c r="H33" s="342"/>
      <c r="I33" s="343"/>
      <c r="J33" s="343"/>
      <c r="K33" s="551"/>
      <c r="L33" s="1279"/>
      <c r="M33" s="339"/>
      <c r="N33" s="1"/>
      <c r="O33" s="169"/>
      <c r="P33" s="169"/>
      <c r="Q33" s="169"/>
      <c r="R33" s="170"/>
      <c r="S33" s="170"/>
      <c r="T33" s="169"/>
    </row>
    <row x14ac:dyDescent="0.25" r="34" customHeight="1" ht="18.75">
      <c r="A34" s="1"/>
      <c r="B34" s="1"/>
      <c r="C34" s="342"/>
      <c r="D34" s="342"/>
      <c r="E34" s="1036"/>
      <c r="F34" s="342"/>
      <c r="G34" s="342"/>
      <c r="H34" s="342"/>
      <c r="I34" s="343"/>
      <c r="J34" s="343"/>
      <c r="K34" s="551"/>
      <c r="L34" s="1279"/>
      <c r="M34" s="339"/>
      <c r="N34" s="1"/>
      <c r="O34" s="169"/>
      <c r="P34" s="169"/>
      <c r="Q34" s="169"/>
      <c r="R34" s="170"/>
      <c r="S34" s="170"/>
      <c r="T34" s="169"/>
    </row>
  </sheetData>
  <mergeCells count="1">
    <mergeCell ref="O4:P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K21"/>
  <sheetViews>
    <sheetView workbookViewId="0"/>
  </sheetViews>
  <sheetFormatPr defaultRowHeight="15" x14ac:dyDescent="0.25"/>
  <cols>
    <col min="1" max="1" style="163" width="9.290714285714287" customWidth="1" bestFit="1"/>
    <col min="2" max="2" style="163" width="9.290714285714287" customWidth="1" bestFit="1"/>
    <col min="3" max="3" style="163" width="9.290714285714287" customWidth="1" bestFit="1"/>
    <col min="4" max="4" style="163" width="9.290714285714287" customWidth="1" bestFit="1"/>
    <col min="5" max="5" style="163" width="9.290714285714287" customWidth="1" bestFit="1"/>
    <col min="6" max="6" style="163" width="9.290714285714287" customWidth="1" bestFit="1"/>
    <col min="7" max="7" style="163" width="9.290714285714287" customWidth="1" bestFit="1"/>
    <col min="8" max="8" style="163" width="9.290714285714287" customWidth="1" bestFit="1"/>
    <col min="9" max="9" style="163" width="9.290714285714287" customWidth="1" bestFit="1"/>
    <col min="10" max="10" style="163" width="9.290714285714287" customWidth="1" bestFit="1"/>
    <col min="11" max="11" style="163" width="9.290714285714287" customWidth="1" bestFit="1"/>
    <col min="12" max="12" style="163" width="9.290714285714287" customWidth="1" bestFit="1"/>
    <col min="13" max="13" style="163" width="9.290714285714287" customWidth="1" bestFit="1"/>
    <col min="14" max="14" style="163" width="9.290714285714287" customWidth="1" bestFit="1"/>
    <col min="15" max="15" style="163" width="9.290714285714287" customWidth="1" bestFit="1"/>
    <col min="16" max="16" style="163" width="9.290714285714287" customWidth="1" bestFit="1"/>
    <col min="17" max="17" style="163" width="9.290714285714287" customWidth="1" bestFit="1"/>
    <col min="18" max="18" style="163" width="9.290714285714287" customWidth="1" bestFit="1"/>
    <col min="19" max="19" style="163" width="9.290714285714287" customWidth="1" bestFit="1"/>
    <col min="20" max="20" style="163" width="9.290714285714287" customWidth="1" bestFit="1"/>
    <col min="21" max="21" style="163" width="9.290714285714287" customWidth="1" bestFit="1"/>
    <col min="22" max="22" style="163" width="13.576428571428572" customWidth="1" bestFit="1" hidden="1"/>
    <col min="23" max="23" style="163" width="13.576428571428572" customWidth="1" bestFit="1" hidden="1"/>
    <col min="24" max="24" style="163" width="13.576428571428572" customWidth="1" bestFit="1" hidden="1"/>
    <col min="25" max="25" style="163" width="13.576428571428572" customWidth="1" bestFit="1" hidden="1"/>
    <col min="26" max="26" style="163" width="13.576428571428572" customWidth="1" bestFit="1" hidden="1"/>
    <col min="27" max="27" style="163" width="13.576428571428572" customWidth="1" bestFit="1" hidden="1"/>
    <col min="28" max="28" style="163" width="13.576428571428572" customWidth="1" bestFit="1" hidden="1"/>
    <col min="29" max="29" style="163" width="13.576428571428572" customWidth="1" bestFit="1" hidden="1"/>
    <col min="30" max="30" style="163" width="13.576428571428572" customWidth="1" bestFit="1" hidden="1"/>
    <col min="31" max="31" style="163" width="13.576428571428572" customWidth="1" bestFit="1"/>
    <col min="32" max="32" style="163" width="13.576428571428572" customWidth="1" bestFit="1"/>
    <col min="33" max="33" style="163" width="13.576428571428572" customWidth="1" bestFit="1"/>
    <col min="34" max="34" style="163" width="13.576428571428572" customWidth="1" bestFit="1"/>
    <col min="35" max="35" style="163" width="13.576428571428572" customWidth="1" bestFit="1"/>
    <col min="36" max="36" style="163" width="13.576428571428572" customWidth="1" bestFit="1"/>
    <col min="37" max="37" style="163" width="13.576428571428572" customWidth="1" bestFit="1"/>
  </cols>
  <sheetData>
    <row x14ac:dyDescent="0.25" r="1" customHeight="1" ht="18.7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row>
    <row x14ac:dyDescent="0.25" r="2" customHeight="1" ht="18.7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row>
    <row x14ac:dyDescent="0.25" r="3" customHeight="1" ht="18.75">
      <c r="A3" s="1"/>
      <c r="B3" s="1"/>
      <c r="C3" s="1"/>
      <c r="D3" s="1"/>
      <c r="E3" s="1"/>
      <c r="F3" s="1"/>
      <c r="G3" s="1"/>
      <c r="H3" s="1"/>
      <c r="I3" s="1"/>
      <c r="J3" s="1"/>
      <c r="K3" s="1"/>
      <c r="L3" s="1"/>
      <c r="M3" s="1"/>
      <c r="N3" s="1"/>
      <c r="O3" s="1"/>
      <c r="P3" s="1"/>
      <c r="Q3" s="1"/>
      <c r="R3" s="1"/>
      <c r="S3" s="1"/>
      <c r="T3" s="1"/>
      <c r="U3" s="1272"/>
      <c r="V3" s="1272"/>
      <c r="W3" s="1272"/>
      <c r="X3" s="1272"/>
      <c r="Y3" s="1272"/>
      <c r="Z3" s="1272"/>
      <c r="AA3" s="1272"/>
      <c r="AB3" s="1272"/>
      <c r="AC3" s="1272"/>
      <c r="AD3" s="1272"/>
      <c r="AE3" s="1272"/>
      <c r="AF3" s="1272"/>
      <c r="AG3" s="1272"/>
      <c r="AH3" s="1272"/>
      <c r="AI3" s="1272"/>
      <c r="AJ3" s="1272"/>
      <c r="AK3" s="1272"/>
    </row>
    <row x14ac:dyDescent="0.25" r="4" customHeight="1" ht="18.75">
      <c r="A4" s="1"/>
      <c r="B4" s="1"/>
      <c r="C4" s="1"/>
      <c r="D4" s="1"/>
      <c r="E4" s="1"/>
      <c r="F4" s="1"/>
      <c r="G4" s="1"/>
      <c r="H4" s="1"/>
      <c r="I4" s="1"/>
      <c r="J4" s="1"/>
      <c r="K4" s="1"/>
      <c r="L4" s="1"/>
      <c r="M4" s="1"/>
      <c r="N4" s="1"/>
      <c r="O4" s="1"/>
      <c r="P4" s="1"/>
      <c r="Q4" s="1"/>
      <c r="R4" s="1"/>
      <c r="S4" s="1"/>
      <c r="T4" s="1"/>
      <c r="U4" s="1272"/>
      <c r="V4" s="1272"/>
      <c r="W4" s="1272"/>
      <c r="X4" s="1272"/>
      <c r="Y4" s="1272"/>
      <c r="Z4" s="1272"/>
      <c r="AA4" s="1272"/>
      <c r="AB4" s="1272"/>
      <c r="AC4" s="1272"/>
      <c r="AD4" s="1272"/>
      <c r="AE4" s="1272"/>
      <c r="AF4" s="1272"/>
      <c r="AG4" s="1272"/>
      <c r="AH4" s="1272"/>
      <c r="AI4" s="1272"/>
      <c r="AJ4" s="1272"/>
      <c r="AK4" s="1272"/>
    </row>
    <row x14ac:dyDescent="0.25" r="5" customHeight="1" ht="18.75">
      <c r="A5" s="1"/>
      <c r="B5" s="1"/>
      <c r="C5" s="1"/>
      <c r="D5" s="1"/>
      <c r="E5" s="1"/>
      <c r="F5" s="1"/>
      <c r="G5" s="1"/>
      <c r="H5" s="1"/>
      <c r="I5" s="1"/>
      <c r="J5" s="1"/>
      <c r="K5" s="1"/>
      <c r="L5" s="1"/>
      <c r="M5" s="1"/>
      <c r="N5" s="1"/>
      <c r="O5" s="1"/>
      <c r="P5" s="1"/>
      <c r="Q5" s="1"/>
      <c r="R5" s="1"/>
      <c r="S5" s="1"/>
      <c r="T5" s="1"/>
      <c r="U5" s="1272"/>
      <c r="V5" s="1272"/>
      <c r="W5" s="1272"/>
      <c r="X5" s="1272"/>
      <c r="Y5" s="1272"/>
      <c r="Z5" s="1272"/>
      <c r="AA5" s="1272"/>
      <c r="AB5" s="1272"/>
      <c r="AC5" s="1272"/>
      <c r="AD5" s="1272"/>
      <c r="AE5" s="1272"/>
      <c r="AF5" s="1272"/>
      <c r="AG5" s="1272"/>
      <c r="AH5" s="1272"/>
      <c r="AI5" s="1272"/>
      <c r="AJ5" s="1272"/>
      <c r="AK5" s="1272"/>
    </row>
    <row x14ac:dyDescent="0.25" r="6" customHeight="1" ht="18.75">
      <c r="A6" s="1"/>
      <c r="B6" s="1"/>
      <c r="C6" s="1"/>
      <c r="D6" s="1"/>
      <c r="E6" s="1"/>
      <c r="F6" s="1"/>
      <c r="G6" s="1"/>
      <c r="H6" s="1"/>
      <c r="I6" s="1"/>
      <c r="J6" s="1"/>
      <c r="K6" s="1"/>
      <c r="L6" s="1"/>
      <c r="M6" s="1"/>
      <c r="N6" s="1"/>
      <c r="O6" s="1"/>
      <c r="P6" s="1"/>
      <c r="Q6" s="1"/>
      <c r="R6" s="1"/>
      <c r="S6" s="1"/>
      <c r="T6" s="1"/>
      <c r="U6" s="1272"/>
      <c r="V6" s="1272"/>
      <c r="W6" s="1272"/>
      <c r="X6" s="1272"/>
      <c r="Y6" s="1272"/>
      <c r="Z6" s="1272"/>
      <c r="AA6" s="1272"/>
      <c r="AB6" s="1272"/>
      <c r="AC6" s="1272"/>
      <c r="AD6" s="1272"/>
      <c r="AE6" s="1272"/>
      <c r="AF6" s="1272"/>
      <c r="AG6" s="1272"/>
      <c r="AH6" s="1272"/>
      <c r="AI6" s="1272"/>
      <c r="AJ6" s="1272"/>
      <c r="AK6" s="1272"/>
    </row>
    <row x14ac:dyDescent="0.25" r="7" customHeight="1" ht="18.75">
      <c r="A7" s="1"/>
      <c r="B7" s="1"/>
      <c r="C7" s="1"/>
      <c r="D7" s="1"/>
      <c r="E7" s="1"/>
      <c r="F7" s="1"/>
      <c r="G7" s="1"/>
      <c r="H7" s="1"/>
      <c r="I7" s="1"/>
      <c r="J7" s="1"/>
      <c r="K7" s="1"/>
      <c r="L7" s="1"/>
      <c r="M7" s="1"/>
      <c r="N7" s="1"/>
      <c r="O7" s="1"/>
      <c r="P7" s="1"/>
      <c r="Q7" s="1"/>
      <c r="R7" s="1"/>
      <c r="S7" s="1"/>
      <c r="T7" s="1"/>
      <c r="U7" s="1272"/>
      <c r="V7" s="1272"/>
      <c r="W7" s="1272"/>
      <c r="X7" s="1272"/>
      <c r="Y7" s="1272"/>
      <c r="Z7" s="1272"/>
      <c r="AA7" s="1272"/>
      <c r="AB7" s="1272"/>
      <c r="AC7" s="1272"/>
      <c r="AD7" s="1272"/>
      <c r="AE7" s="1272"/>
      <c r="AF7" s="1272"/>
      <c r="AG7" s="1272"/>
      <c r="AH7" s="1272"/>
      <c r="AI7" s="1272"/>
      <c r="AJ7" s="1272"/>
      <c r="AK7" s="1272"/>
    </row>
    <row x14ac:dyDescent="0.25" r="8" customHeight="1" ht="18.75">
      <c r="A8" s="1"/>
      <c r="B8" s="1"/>
      <c r="C8" s="1"/>
      <c r="D8" s="1"/>
      <c r="E8" s="1"/>
      <c r="F8" s="1"/>
      <c r="G8" s="1"/>
      <c r="H8" s="1"/>
      <c r="I8" s="1"/>
      <c r="J8" s="1"/>
      <c r="K8" s="1"/>
      <c r="L8" s="1"/>
      <c r="M8" s="1"/>
      <c r="N8" s="1"/>
      <c r="O8" s="1"/>
      <c r="P8" s="1"/>
      <c r="Q8" s="1"/>
      <c r="R8" s="1"/>
      <c r="S8" s="1"/>
      <c r="T8" s="1"/>
      <c r="U8" s="1272"/>
      <c r="V8" s="1272"/>
      <c r="W8" s="1272"/>
      <c r="X8" s="1272"/>
      <c r="Y8" s="1272"/>
      <c r="Z8" s="1272"/>
      <c r="AA8" s="1272"/>
      <c r="AB8" s="1272"/>
      <c r="AC8" s="1272"/>
      <c r="AD8" s="1272"/>
      <c r="AE8" s="1272"/>
      <c r="AF8" s="1272"/>
      <c r="AG8" s="1272"/>
      <c r="AH8" s="1272"/>
      <c r="AI8" s="1272"/>
      <c r="AJ8" s="1272"/>
      <c r="AK8" s="1272"/>
    </row>
    <row x14ac:dyDescent="0.25" r="9" customHeight="1" ht="18.75">
      <c r="A9" s="1"/>
      <c r="B9" s="1"/>
      <c r="C9" s="1"/>
      <c r="D9" s="1"/>
      <c r="E9" s="1"/>
      <c r="F9" s="1"/>
      <c r="G9" s="1"/>
      <c r="H9" s="1"/>
      <c r="I9" s="1"/>
      <c r="J9" s="1"/>
      <c r="K9" s="1"/>
      <c r="L9" s="1"/>
      <c r="M9" s="1"/>
      <c r="N9" s="1"/>
      <c r="O9" s="1"/>
      <c r="P9" s="1"/>
      <c r="Q9" s="1"/>
      <c r="R9" s="1"/>
      <c r="S9" s="1"/>
      <c r="T9" s="1"/>
      <c r="U9" s="1272"/>
      <c r="V9" s="1272"/>
      <c r="W9" s="1272"/>
      <c r="X9" s="1272"/>
      <c r="Y9" s="1272"/>
      <c r="Z9" s="1272"/>
      <c r="AA9" s="1272"/>
      <c r="AB9" s="1272"/>
      <c r="AC9" s="1272"/>
      <c r="AD9" s="1272"/>
      <c r="AE9" s="1272"/>
      <c r="AF9" s="1272"/>
      <c r="AG9" s="1272"/>
      <c r="AH9" s="1272"/>
      <c r="AI9" s="1272"/>
      <c r="AJ9" s="1272"/>
      <c r="AK9" s="1272"/>
    </row>
    <row x14ac:dyDescent="0.25" r="10" customHeight="1" ht="18.75">
      <c r="A10" s="1"/>
      <c r="B10" s="1"/>
      <c r="C10" s="1"/>
      <c r="D10" s="1"/>
      <c r="E10" s="1"/>
      <c r="F10" s="1"/>
      <c r="G10" s="1"/>
      <c r="H10" s="1"/>
      <c r="I10" s="1"/>
      <c r="J10" s="1"/>
      <c r="K10" s="1"/>
      <c r="L10" s="1"/>
      <c r="M10" s="1"/>
      <c r="N10" s="1"/>
      <c r="O10" s="1"/>
      <c r="P10" s="1"/>
      <c r="Q10" s="1"/>
      <c r="R10" s="1"/>
      <c r="S10" s="1"/>
      <c r="T10" s="1"/>
      <c r="U10" s="1272"/>
      <c r="V10" s="1272"/>
      <c r="W10" s="1272"/>
      <c r="X10" s="1272"/>
      <c r="Y10" s="1272"/>
      <c r="Z10" s="1272"/>
      <c r="AA10" s="1272"/>
      <c r="AB10" s="1272"/>
      <c r="AC10" s="1272"/>
      <c r="AD10" s="1272"/>
      <c r="AE10" s="1272"/>
      <c r="AF10" s="1272"/>
      <c r="AG10" s="1272"/>
      <c r="AH10" s="1272"/>
      <c r="AI10" s="1272"/>
      <c r="AJ10" s="1272"/>
      <c r="AK10" s="1272"/>
    </row>
    <row x14ac:dyDescent="0.25" r="11" customHeight="1" ht="18.75">
      <c r="A11" s="1"/>
      <c r="B11" s="1"/>
      <c r="C11" s="1"/>
      <c r="D11" s="1"/>
      <c r="E11" s="1"/>
      <c r="F11" s="1"/>
      <c r="G11" s="1"/>
      <c r="H11" s="1"/>
      <c r="I11" s="1"/>
      <c r="J11" s="1"/>
      <c r="K11" s="1"/>
      <c r="L11" s="1"/>
      <c r="M11" s="1"/>
      <c r="N11" s="1"/>
      <c r="O11" s="1"/>
      <c r="P11" s="1"/>
      <c r="Q11" s="1"/>
      <c r="R11" s="1"/>
      <c r="S11" s="1"/>
      <c r="T11" s="1"/>
      <c r="U11" s="1272"/>
      <c r="V11" s="1272"/>
      <c r="W11" s="1272"/>
      <c r="X11" s="1272"/>
      <c r="Y11" s="1272"/>
      <c r="Z11" s="1272"/>
      <c r="AA11" s="1272"/>
      <c r="AB11" s="1272"/>
      <c r="AC11" s="1272"/>
      <c r="AD11" s="1272"/>
      <c r="AE11" s="1272"/>
      <c r="AF11" s="1272"/>
      <c r="AG11" s="1272"/>
      <c r="AH11" s="1272"/>
      <c r="AI11" s="1272"/>
      <c r="AJ11" s="1272"/>
      <c r="AK11" s="1272"/>
    </row>
    <row x14ac:dyDescent="0.25" r="12" customHeight="1" ht="18.75">
      <c r="A12" s="1"/>
      <c r="B12" s="1"/>
      <c r="C12" s="1"/>
      <c r="D12" s="1"/>
      <c r="E12" s="1"/>
      <c r="F12" s="1"/>
      <c r="G12" s="1"/>
      <c r="H12" s="1"/>
      <c r="I12" s="1"/>
      <c r="J12" s="1"/>
      <c r="K12" s="1"/>
      <c r="L12" s="1"/>
      <c r="M12" s="1"/>
      <c r="N12" s="1"/>
      <c r="O12" s="1"/>
      <c r="P12" s="1"/>
      <c r="Q12" s="1"/>
      <c r="R12" s="1"/>
      <c r="S12" s="1"/>
      <c r="T12" s="1"/>
      <c r="U12" s="1272"/>
      <c r="V12" s="1272"/>
      <c r="W12" s="1272"/>
      <c r="X12" s="1272"/>
      <c r="Y12" s="1272"/>
      <c r="Z12" s="1272"/>
      <c r="AA12" s="1272"/>
      <c r="AB12" s="1272"/>
      <c r="AC12" s="1272"/>
      <c r="AD12" s="1272"/>
      <c r="AE12" s="1272"/>
      <c r="AF12" s="1272"/>
      <c r="AG12" s="1272"/>
      <c r="AH12" s="1272"/>
      <c r="AI12" s="1272"/>
      <c r="AJ12" s="1272"/>
      <c r="AK12" s="1272"/>
    </row>
    <row x14ac:dyDescent="0.25" r="13" customHeight="1" ht="18.75">
      <c r="A13" s="1"/>
      <c r="B13" s="1"/>
      <c r="C13" s="1"/>
      <c r="D13" s="1"/>
      <c r="E13" s="1"/>
      <c r="F13" s="1"/>
      <c r="G13" s="1"/>
      <c r="H13" s="1"/>
      <c r="I13" s="1"/>
      <c r="J13" s="1"/>
      <c r="K13" s="1"/>
      <c r="L13" s="1"/>
      <c r="M13" s="1"/>
      <c r="N13" s="1"/>
      <c r="O13" s="1"/>
      <c r="P13" s="1"/>
      <c r="Q13" s="1"/>
      <c r="R13" s="1"/>
      <c r="S13" s="1"/>
      <c r="T13" s="1"/>
      <c r="U13" s="1272"/>
      <c r="V13" s="1272"/>
      <c r="W13" s="1272"/>
      <c r="X13" s="1272"/>
      <c r="Y13" s="1272"/>
      <c r="Z13" s="1272"/>
      <c r="AA13" s="1272"/>
      <c r="AB13" s="1272"/>
      <c r="AC13" s="1272"/>
      <c r="AD13" s="1272"/>
      <c r="AE13" s="1272"/>
      <c r="AF13" s="1272"/>
      <c r="AG13" s="1272"/>
      <c r="AH13" s="1272"/>
      <c r="AI13" s="1272"/>
      <c r="AJ13" s="1272"/>
      <c r="AK13" s="1272"/>
    </row>
    <row x14ac:dyDescent="0.25" r="14" customHeight="1" ht="18.75">
      <c r="A14" s="1"/>
      <c r="B14" s="1"/>
      <c r="C14" s="1"/>
      <c r="D14" s="1"/>
      <c r="E14" s="1"/>
      <c r="F14" s="1"/>
      <c r="G14" s="1"/>
      <c r="H14" s="1"/>
      <c r="I14" s="1"/>
      <c r="J14" s="1"/>
      <c r="K14" s="1"/>
      <c r="L14" s="1"/>
      <c r="M14" s="1"/>
      <c r="N14" s="1"/>
      <c r="O14" s="1"/>
      <c r="P14" s="1"/>
      <c r="Q14" s="1"/>
      <c r="R14" s="1"/>
      <c r="S14" s="1"/>
      <c r="T14" s="1"/>
      <c r="U14" s="1272"/>
      <c r="V14" s="1272"/>
      <c r="W14" s="1272"/>
      <c r="X14" s="1272"/>
      <c r="Y14" s="1272"/>
      <c r="Z14" s="1272"/>
      <c r="AA14" s="1272"/>
      <c r="AB14" s="1272"/>
      <c r="AC14" s="1272"/>
      <c r="AD14" s="1272"/>
      <c r="AE14" s="1272"/>
      <c r="AF14" s="1272"/>
      <c r="AG14" s="1272"/>
      <c r="AH14" s="1272"/>
      <c r="AI14" s="1272"/>
      <c r="AJ14" s="1272"/>
      <c r="AK14" s="1272"/>
    </row>
    <row x14ac:dyDescent="0.25" r="15" customHeight="1" ht="18.75">
      <c r="A15" s="1"/>
      <c r="B15" s="1"/>
      <c r="C15" s="1"/>
      <c r="D15" s="1"/>
      <c r="E15" s="1"/>
      <c r="F15" s="1"/>
      <c r="G15" s="1"/>
      <c r="H15" s="1"/>
      <c r="I15" s="1"/>
      <c r="J15" s="1"/>
      <c r="K15" s="1"/>
      <c r="L15" s="1"/>
      <c r="M15" s="1"/>
      <c r="N15" s="1"/>
      <c r="O15" s="1"/>
      <c r="P15" s="1"/>
      <c r="Q15" s="1"/>
      <c r="R15" s="1"/>
      <c r="S15" s="1"/>
      <c r="T15" s="1"/>
      <c r="U15" s="1272"/>
      <c r="V15" s="1272"/>
      <c r="W15" s="1272"/>
      <c r="X15" s="1272"/>
      <c r="Y15" s="1272"/>
      <c r="Z15" s="1272"/>
      <c r="AA15" s="1272"/>
      <c r="AB15" s="1272"/>
      <c r="AC15" s="1272"/>
      <c r="AD15" s="1272"/>
      <c r="AE15" s="1272"/>
      <c r="AF15" s="1272"/>
      <c r="AG15" s="1272"/>
      <c r="AH15" s="1272"/>
      <c r="AI15" s="1272"/>
      <c r="AJ15" s="1272"/>
      <c r="AK15" s="1272"/>
    </row>
    <row x14ac:dyDescent="0.25" r="16" customHeight="1" ht="18.75">
      <c r="A16" s="1"/>
      <c r="B16" s="1"/>
      <c r="C16" s="1"/>
      <c r="D16" s="1"/>
      <c r="E16" s="1"/>
      <c r="F16" s="1"/>
      <c r="G16" s="1"/>
      <c r="H16" s="1"/>
      <c r="I16" s="1"/>
      <c r="J16" s="1"/>
      <c r="K16" s="1"/>
      <c r="L16" s="1"/>
      <c r="M16" s="1"/>
      <c r="N16" s="1"/>
      <c r="O16" s="1"/>
      <c r="P16" s="1"/>
      <c r="Q16" s="1"/>
      <c r="R16" s="1"/>
      <c r="S16" s="1"/>
      <c r="T16" s="1"/>
      <c r="U16" s="1272"/>
      <c r="V16" s="1272"/>
      <c r="W16" s="1272"/>
      <c r="X16" s="1272"/>
      <c r="Y16" s="1272"/>
      <c r="Z16" s="1272"/>
      <c r="AA16" s="1272"/>
      <c r="AB16" s="1272"/>
      <c r="AC16" s="1272"/>
      <c r="AD16" s="1272"/>
      <c r="AE16" s="1272"/>
      <c r="AF16" s="1272"/>
      <c r="AG16" s="1272"/>
      <c r="AH16" s="1272"/>
      <c r="AI16" s="1272"/>
      <c r="AJ16" s="1272"/>
      <c r="AK16" s="1272"/>
    </row>
    <row x14ac:dyDescent="0.25" r="17" customHeight="1" ht="18.75">
      <c r="A17" s="1"/>
      <c r="B17" s="1"/>
      <c r="C17" s="1"/>
      <c r="D17" s="1"/>
      <c r="E17" s="1"/>
      <c r="F17" s="1"/>
      <c r="G17" s="1"/>
      <c r="H17" s="1"/>
      <c r="I17" s="1"/>
      <c r="J17" s="1"/>
      <c r="K17" s="1"/>
      <c r="L17" s="1"/>
      <c r="M17" s="1"/>
      <c r="N17" s="1"/>
      <c r="O17" s="1"/>
      <c r="P17" s="1"/>
      <c r="Q17" s="1"/>
      <c r="R17" s="1"/>
      <c r="S17" s="1"/>
      <c r="T17" s="1"/>
      <c r="U17" s="1272"/>
      <c r="V17" s="1272"/>
      <c r="W17" s="1272"/>
      <c r="X17" s="1272"/>
      <c r="Y17" s="1272"/>
      <c r="Z17" s="1272"/>
      <c r="AA17" s="1272"/>
      <c r="AB17" s="1272"/>
      <c r="AC17" s="1272"/>
      <c r="AD17" s="1272"/>
      <c r="AE17" s="1272"/>
      <c r="AF17" s="1272"/>
      <c r="AG17" s="1272"/>
      <c r="AH17" s="1272"/>
      <c r="AI17" s="1272"/>
      <c r="AJ17" s="1272"/>
      <c r="AK17" s="1272"/>
    </row>
    <row x14ac:dyDescent="0.25" r="18" customHeight="1" ht="18.75">
      <c r="A18" s="1"/>
      <c r="B18" s="1"/>
      <c r="C18" s="1"/>
      <c r="D18" s="1"/>
      <c r="E18" s="1"/>
      <c r="F18" s="1"/>
      <c r="G18" s="1"/>
      <c r="H18" s="1"/>
      <c r="I18" s="1"/>
      <c r="J18" s="1"/>
      <c r="K18" s="1"/>
      <c r="L18" s="1"/>
      <c r="M18" s="1"/>
      <c r="N18" s="1"/>
      <c r="O18" s="1"/>
      <c r="P18" s="1"/>
      <c r="Q18" s="1"/>
      <c r="R18" s="1"/>
      <c r="S18" s="1"/>
      <c r="T18" s="1"/>
      <c r="U18" s="1272"/>
      <c r="V18" s="1272"/>
      <c r="W18" s="1272"/>
      <c r="X18" s="1272"/>
      <c r="Y18" s="1272"/>
      <c r="Z18" s="1272"/>
      <c r="AA18" s="1272"/>
      <c r="AB18" s="1272"/>
      <c r="AC18" s="1272"/>
      <c r="AD18" s="1272"/>
      <c r="AE18" s="1272"/>
      <c r="AF18" s="1272"/>
      <c r="AG18" s="1272"/>
      <c r="AH18" s="1272"/>
      <c r="AI18" s="1272"/>
      <c r="AJ18" s="1272"/>
      <c r="AK18" s="1272"/>
    </row>
    <row x14ac:dyDescent="0.25" r="19" customHeight="1" ht="18.75">
      <c r="A19" s="1"/>
      <c r="B19" s="1"/>
      <c r="C19" s="1"/>
      <c r="D19" s="1"/>
      <c r="E19" s="1"/>
      <c r="F19" s="1"/>
      <c r="G19" s="1"/>
      <c r="H19" s="1"/>
      <c r="I19" s="1"/>
      <c r="J19" s="1"/>
      <c r="K19" s="1"/>
      <c r="L19" s="1"/>
      <c r="M19" s="1"/>
      <c r="N19" s="1"/>
      <c r="O19" s="1"/>
      <c r="P19" s="1"/>
      <c r="Q19" s="1"/>
      <c r="R19" s="1"/>
      <c r="S19" s="1"/>
      <c r="T19" s="1"/>
      <c r="U19" s="1272"/>
      <c r="V19" s="1272"/>
      <c r="W19" s="1272"/>
      <c r="X19" s="1272"/>
      <c r="Y19" s="1272"/>
      <c r="Z19" s="1272"/>
      <c r="AA19" s="1272"/>
      <c r="AB19" s="1272"/>
      <c r="AC19" s="1272"/>
      <c r="AD19" s="1272"/>
      <c r="AE19" s="1272"/>
      <c r="AF19" s="1272"/>
      <c r="AG19" s="1272"/>
      <c r="AH19" s="1272"/>
      <c r="AI19" s="1272"/>
      <c r="AJ19" s="1272"/>
      <c r="AK19" s="1272"/>
    </row>
    <row x14ac:dyDescent="0.25" r="20" customHeight="1" ht="18.75">
      <c r="A20" s="1"/>
      <c r="B20" s="1"/>
      <c r="C20" s="1"/>
      <c r="D20" s="1"/>
      <c r="E20" s="1"/>
      <c r="F20" s="1"/>
      <c r="G20" s="1"/>
      <c r="H20" s="1"/>
      <c r="I20" s="1"/>
      <c r="J20" s="1"/>
      <c r="K20" s="1"/>
      <c r="L20" s="1"/>
      <c r="M20" s="1"/>
      <c r="N20" s="1"/>
      <c r="O20" s="1"/>
      <c r="P20" s="1"/>
      <c r="Q20" s="1"/>
      <c r="R20" s="1"/>
      <c r="S20" s="1"/>
      <c r="T20" s="1"/>
      <c r="U20" s="1272"/>
      <c r="V20" s="1272"/>
      <c r="W20" s="1272"/>
      <c r="X20" s="1272"/>
      <c r="Y20" s="1272"/>
      <c r="Z20" s="1272"/>
      <c r="AA20" s="1272"/>
      <c r="AB20" s="1272"/>
      <c r="AC20" s="1272"/>
      <c r="AD20" s="1272"/>
      <c r="AE20" s="1272"/>
      <c r="AF20" s="1272"/>
      <c r="AG20" s="1272"/>
      <c r="AH20" s="1272"/>
      <c r="AI20" s="1272"/>
      <c r="AJ20" s="1272"/>
      <c r="AK20" s="1272"/>
    </row>
    <row x14ac:dyDescent="0.25" r="21" customHeight="1" ht="18.75">
      <c r="A21" s="1"/>
      <c r="B21" s="1"/>
      <c r="C21" s="1"/>
      <c r="D21" s="1"/>
      <c r="E21" s="1"/>
      <c r="F21" s="1"/>
      <c r="G21" s="1"/>
      <c r="H21" s="1"/>
      <c r="I21" s="1"/>
      <c r="J21" s="1"/>
      <c r="K21" s="1"/>
      <c r="L21" s="1"/>
      <c r="M21" s="1"/>
      <c r="N21" s="1"/>
      <c r="O21" s="1"/>
      <c r="P21" s="1"/>
      <c r="Q21" s="1"/>
      <c r="R21" s="1"/>
      <c r="S21" s="1"/>
      <c r="T21" s="1"/>
      <c r="U21" s="1272"/>
      <c r="V21" s="1272"/>
      <c r="W21" s="1272"/>
      <c r="X21" s="1272"/>
      <c r="Y21" s="1272"/>
      <c r="Z21" s="1272"/>
      <c r="AA21" s="1272"/>
      <c r="AB21" s="1272"/>
      <c r="AC21" s="1272"/>
      <c r="AD21" s="1272"/>
      <c r="AE21" s="1272"/>
      <c r="AF21" s="1272"/>
      <c r="AG21" s="1272"/>
      <c r="AH21" s="1272"/>
      <c r="AI21" s="1272"/>
      <c r="AJ21" s="1272"/>
      <c r="AK21" s="127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O129"/>
  <sheetViews>
    <sheetView workbookViewId="0"/>
  </sheetViews>
  <sheetFormatPr defaultRowHeight="15" x14ac:dyDescent="0.25"/>
  <cols>
    <col min="1" max="1" style="1266" width="12.005" customWidth="1" bestFit="1"/>
    <col min="2" max="2" style="1267" width="10.719285714285713" customWidth="1" bestFit="1"/>
    <col min="3" max="3" style="1267" width="12.005" customWidth="1" bestFit="1"/>
    <col min="4" max="4" style="1268" width="9.719285714285713" customWidth="1" bestFit="1"/>
    <col min="5" max="5" style="1268" width="9.290714285714287" customWidth="1" bestFit="1"/>
    <col min="6" max="6" style="163" width="14.290714285714287" customWidth="1" bestFit="1"/>
    <col min="7" max="7" style="352" width="8.290714285714287" customWidth="1" bestFit="1"/>
    <col min="8" max="8" style="1269" width="13.576428571428572" customWidth="1" bestFit="1"/>
    <col min="9" max="9" style="1270" width="15.290714285714287" customWidth="1" bestFit="1"/>
    <col min="10" max="10" style="1269" width="10.719285714285713" customWidth="1" bestFit="1"/>
    <col min="11" max="11" style="1271" width="15.719285714285713" customWidth="1" bestFit="1"/>
    <col min="12" max="12" style="1269" width="16.290714285714284" customWidth="1" bestFit="1"/>
    <col min="13" max="13" style="567" width="11.290714285714287" customWidth="1" bestFit="1"/>
    <col min="14" max="14" style="1269" width="10.719285714285713" customWidth="1" bestFit="1"/>
    <col min="15" max="15" style="1271" width="15.43357142857143" customWidth="1" bestFit="1"/>
  </cols>
  <sheetData>
    <row x14ac:dyDescent="0.25" r="1" customHeight="1" ht="18.75">
      <c r="A1" s="1212" t="s">
        <v>1210</v>
      </c>
      <c r="B1" s="1213"/>
      <c r="C1" s="1213"/>
      <c r="D1" s="1214"/>
      <c r="E1" s="1214"/>
      <c r="F1" s="1215"/>
      <c r="G1" s="1216"/>
      <c r="H1" s="1217"/>
      <c r="I1" s="1218"/>
      <c r="J1" s="1217"/>
      <c r="K1" s="1219"/>
      <c r="L1" s="1217"/>
      <c r="M1" s="1220"/>
      <c r="N1" s="1217"/>
      <c r="O1" s="1219"/>
    </row>
    <row x14ac:dyDescent="0.25" r="2" customHeight="1" ht="60">
      <c r="A2" s="1221"/>
      <c r="B2" s="1222"/>
      <c r="C2" s="1223" t="s">
        <v>1211</v>
      </c>
      <c r="D2" s="1224"/>
      <c r="E2" s="1224"/>
      <c r="F2" s="1"/>
      <c r="G2" s="320"/>
      <c r="H2" s="1225"/>
      <c r="I2" s="1226"/>
      <c r="J2" s="1225"/>
      <c r="K2" s="1227"/>
      <c r="L2" s="1225"/>
      <c r="M2" s="543"/>
      <c r="N2" s="1225"/>
      <c r="O2" s="1227"/>
    </row>
    <row x14ac:dyDescent="0.25" r="3" customHeight="1" ht="15.75">
      <c r="A3" s="1228" t="s">
        <v>1212</v>
      </c>
      <c r="B3" s="1229"/>
      <c r="C3" s="1230">
        <f>YEAR(PJSS!B6)</f>
      </c>
      <c r="D3" s="1224"/>
      <c r="E3" s="1224"/>
      <c r="F3" s="1"/>
      <c r="G3" s="1231" t="s">
        <v>1213</v>
      </c>
      <c r="H3" s="1232"/>
      <c r="I3" s="1232"/>
      <c r="J3" s="1232"/>
      <c r="K3" s="1233"/>
      <c r="L3" s="1234" t="s">
        <v>1214</v>
      </c>
      <c r="M3" s="1235"/>
      <c r="N3" s="1232"/>
      <c r="O3" s="1233"/>
    </row>
    <row x14ac:dyDescent="0.25" r="4" customHeight="1" ht="15.75">
      <c r="A4" s="1236" t="s">
        <v>338</v>
      </c>
      <c r="B4" s="1237"/>
      <c r="C4" s="1238">
        <f>PJSS!B10</f>
      </c>
      <c r="D4" s="1224"/>
      <c r="E4" s="1224"/>
      <c r="F4" s="1"/>
      <c r="G4" s="1239"/>
      <c r="H4" s="1232"/>
      <c r="I4" s="1232"/>
      <c r="J4" s="1232"/>
      <c r="K4" s="1233"/>
      <c r="L4" s="1240"/>
      <c r="M4" s="1241"/>
      <c r="N4" s="1242"/>
      <c r="O4" s="1243"/>
    </row>
    <row x14ac:dyDescent="0.25" r="5" customHeight="1" ht="18.75" customFormat="1" s="23">
      <c r="A5" s="1244" t="s">
        <v>1212</v>
      </c>
      <c r="B5" s="1245" t="s">
        <v>1215</v>
      </c>
      <c r="C5" s="1246"/>
      <c r="D5" s="1245" t="s">
        <v>1216</v>
      </c>
      <c r="E5" s="1246"/>
      <c r="F5" s="24"/>
      <c r="G5" s="1247" t="s">
        <v>338</v>
      </c>
      <c r="H5" s="1248" t="s">
        <v>1217</v>
      </c>
      <c r="I5" s="1248" t="s">
        <v>1218</v>
      </c>
      <c r="J5" s="1248" t="s">
        <v>1219</v>
      </c>
      <c r="K5" s="1249" t="s">
        <v>1220</v>
      </c>
      <c r="L5" s="1248" t="s">
        <v>1217</v>
      </c>
      <c r="M5" s="1250" t="s">
        <v>1218</v>
      </c>
      <c r="N5" s="1248" t="s">
        <v>1219</v>
      </c>
      <c r="O5" s="1249" t="s">
        <v>1220</v>
      </c>
    </row>
    <row x14ac:dyDescent="0.25" r="6" customHeight="1" ht="18.75" customFormat="1" s="23">
      <c r="A6" s="1251"/>
      <c r="B6" s="1252"/>
      <c r="C6" s="1253"/>
      <c r="D6" s="1252"/>
      <c r="E6" s="1253"/>
      <c r="F6" s="24"/>
      <c r="G6" s="1254">
        <v>2012</v>
      </c>
      <c r="H6" s="1225"/>
      <c r="I6" s="1225" t="s">
        <v>1221</v>
      </c>
      <c r="J6" s="1225"/>
      <c r="K6" s="1227"/>
      <c r="L6" s="1225"/>
      <c r="M6" s="1255"/>
      <c r="N6" s="1225"/>
      <c r="O6" s="1227"/>
    </row>
    <row x14ac:dyDescent="0.25" r="7" customHeight="1" ht="18.75">
      <c r="A7" s="1251" t="s">
        <v>1222</v>
      </c>
      <c r="B7" s="1253" t="s">
        <v>1223</v>
      </c>
      <c r="C7" s="1253" t="s">
        <v>1178</v>
      </c>
      <c r="D7" s="1253" t="s">
        <v>1223</v>
      </c>
      <c r="E7" s="1253" t="s">
        <v>1178</v>
      </c>
      <c r="F7" s="1"/>
      <c r="G7" s="1256"/>
      <c r="H7" s="1225"/>
      <c r="I7" s="217">
        <f>+$G$6-C3</f>
      </c>
      <c r="J7" s="1225"/>
      <c r="K7" s="1227"/>
      <c r="L7" s="1225"/>
      <c r="M7" s="543"/>
      <c r="N7" s="1225"/>
      <c r="O7" s="1227"/>
    </row>
    <row x14ac:dyDescent="0.25" r="8" customHeight="1" ht="18.75" customFormat="1" s="23">
      <c r="A8" s="1251"/>
      <c r="B8" s="1253"/>
      <c r="C8" s="1253"/>
      <c r="D8" s="1253"/>
      <c r="E8" s="1253"/>
      <c r="F8" s="24"/>
      <c r="G8" s="1257"/>
      <c r="H8" s="1225"/>
      <c r="I8" s="1225"/>
      <c r="J8" s="1225"/>
      <c r="K8" s="1227"/>
      <c r="L8" s="1225"/>
      <c r="M8" s="1255"/>
      <c r="N8" s="1225"/>
      <c r="O8" s="1227"/>
    </row>
    <row x14ac:dyDescent="0.25" r="9" customHeight="1" ht="18.75">
      <c r="A9" s="1258">
        <v>1892</v>
      </c>
      <c r="B9" s="1259">
        <v>1000</v>
      </c>
      <c r="C9" s="1259">
        <v>1000</v>
      </c>
      <c r="D9" s="1260">
        <v>0</v>
      </c>
      <c r="E9" s="1259">
        <v>0</v>
      </c>
      <c r="F9" s="1"/>
      <c r="G9" s="1261">
        <v>0</v>
      </c>
      <c r="H9" s="1262">
        <f>VLOOKUP($G$6-G9,$A$9:$F$1330,2,0)/1000</f>
      </c>
      <c r="I9" s="1262">
        <f>EXP(-VLOOKUP($G$6-G9,$A$9:$E$1250,4,0)*(G9-$I$7))</f>
      </c>
      <c r="J9" s="1262">
        <f>+H9*I9</f>
      </c>
      <c r="K9" s="1263">
        <v>1000000</v>
      </c>
      <c r="L9" s="1262">
        <f>VLOOKUP($G$6-G9,$A$9:$F$1330,3,0)/1000</f>
      </c>
      <c r="M9" s="1264">
        <f>EXP(-VLOOKUP($G$6-G9,$A$9:$E$1250,5,0)*(G9-$I$7))</f>
      </c>
      <c r="N9" s="1262">
        <f>+L9*M9</f>
      </c>
      <c r="O9" s="1263">
        <v>1000000</v>
      </c>
    </row>
    <row x14ac:dyDescent="0.25" r="10" customHeight="1" ht="18.75">
      <c r="A10" s="1258">
        <v>1893</v>
      </c>
      <c r="B10" s="1259">
        <v>1000</v>
      </c>
      <c r="C10" s="1259">
        <v>1000</v>
      </c>
      <c r="D10" s="1265">
        <v>0</v>
      </c>
      <c r="E10" s="1259">
        <v>0</v>
      </c>
      <c r="F10" s="1"/>
      <c r="G10" s="1261">
        <v>1</v>
      </c>
      <c r="H10" s="1262">
        <f>VLOOKUP($G$6-G10,$A$9:$F$1330,2,0)/1000</f>
      </c>
      <c r="I10" s="1262">
        <f>EXP(-VLOOKUP($G$6-G10,$A$9:$E$1250,4,0)*(G10-$I$7))</f>
      </c>
      <c r="J10" s="1262">
        <f>+H10*I10</f>
      </c>
      <c r="K10" s="1263">
        <f>K9-(K9*J9)</f>
      </c>
      <c r="L10" s="1262">
        <f>VLOOKUP($G$6-G10,$A$9:$F$1330,3,0)/1000</f>
      </c>
      <c r="M10" s="1264">
        <f>EXP(-VLOOKUP($G$6-G10,$A$9:$E$1250,5,0)*(G10-$I$7))</f>
      </c>
      <c r="N10" s="1262">
        <f>+L10*M10</f>
      </c>
      <c r="O10" s="1263">
        <f>O9-(O9*N9)</f>
      </c>
    </row>
    <row x14ac:dyDescent="0.25" r="11" customHeight="1" ht="18.75">
      <c r="A11" s="1258">
        <v>1894</v>
      </c>
      <c r="B11" s="1259">
        <v>929.9999999999999</v>
      </c>
      <c r="C11" s="1259">
        <v>935</v>
      </c>
      <c r="D11" s="1265">
        <v>0</v>
      </c>
      <c r="E11" s="1259">
        <v>0</v>
      </c>
      <c r="F11" s="1"/>
      <c r="G11" s="1261">
        <v>2</v>
      </c>
      <c r="H11" s="1262">
        <f>VLOOKUP($G$6-G11,$A$9:$F$1330,2,0)/1000</f>
      </c>
      <c r="I11" s="1262">
        <f>EXP(-VLOOKUP($G$6-G11,$A$9:$E$1250,4,0)*(G11-$I$7))</f>
      </c>
      <c r="J11" s="1262">
        <f>+H11*I11</f>
      </c>
      <c r="K11" s="1263">
        <f>K10-(K10*J10)</f>
      </c>
      <c r="L11" s="1262">
        <f>VLOOKUP($G$6-G11,$A$9:$F$1330,3,0)/1000</f>
      </c>
      <c r="M11" s="1264">
        <f>EXP(-VLOOKUP($G$6-G11,$A$9:$E$1250,5,0)*(G11-$I$7))</f>
      </c>
      <c r="N11" s="1262">
        <f>+L11*M11</f>
      </c>
      <c r="O11" s="1263">
        <f>O10-(O10*N10)</f>
      </c>
    </row>
    <row x14ac:dyDescent="0.25" r="12" customHeight="1" ht="18.75">
      <c r="A12" s="1258">
        <v>1895</v>
      </c>
      <c r="B12" s="1259">
        <v>922.0103792093267</v>
      </c>
      <c r="C12" s="1259">
        <v>864.5744446779203</v>
      </c>
      <c r="D12" s="1265">
        <v>0</v>
      </c>
      <c r="E12" s="1259">
        <v>0</v>
      </c>
      <c r="F12" s="1"/>
      <c r="G12" s="1261">
        <v>3</v>
      </c>
      <c r="H12" s="1262">
        <f>VLOOKUP($G$6-G12,$A$9:$F$1330,2,0)/1000</f>
      </c>
      <c r="I12" s="1262">
        <f>EXP(-VLOOKUP($G$6-G12,$A$9:$E$1250,4,0)*(G12-$I$7))</f>
      </c>
      <c r="J12" s="1262">
        <f>+H12*I12</f>
      </c>
      <c r="K12" s="1263">
        <f>K11-(K11*J11)</f>
      </c>
      <c r="L12" s="1262">
        <f>VLOOKUP($G$6-G12,$A$9:$F$1330,3,0)/1000</f>
      </c>
      <c r="M12" s="1264">
        <f>EXP(-VLOOKUP($G$6-G12,$A$9:$E$1250,5,0)*(G12-$I$7))</f>
      </c>
      <c r="N12" s="1262">
        <f>+L12*M12</f>
      </c>
      <c r="O12" s="1263">
        <f>O11-(O11*N11)</f>
      </c>
    </row>
    <row x14ac:dyDescent="0.25" r="13" customHeight="1" ht="18.75">
      <c r="A13" s="1258">
        <v>1896</v>
      </c>
      <c r="B13" s="1259">
        <v>884.5799334610632</v>
      </c>
      <c r="C13" s="1259">
        <v>800.9065864685041</v>
      </c>
      <c r="D13" s="1265">
        <v>0</v>
      </c>
      <c r="E13" s="1259">
        <v>0</v>
      </c>
      <c r="F13" s="1"/>
      <c r="G13" s="1261">
        <v>4</v>
      </c>
      <c r="H13" s="1262">
        <f>VLOOKUP($G$6-G13,$A$9:$F$1330,2,0)/1000</f>
      </c>
      <c r="I13" s="1262">
        <f>EXP(-VLOOKUP($G$6-G13,$A$9:$E$1250,4,0)*(G13-$I$7))</f>
      </c>
      <c r="J13" s="1262">
        <f>+H13*I13</f>
      </c>
      <c r="K13" s="1263">
        <f>K12-(K12*J12)</f>
      </c>
      <c r="L13" s="1262">
        <f>VLOOKUP($G$6-G13,$A$9:$F$1330,3,0)/1000</f>
      </c>
      <c r="M13" s="1264">
        <f>EXP(-VLOOKUP($G$6-G13,$A$9:$E$1250,5,0)*(G13-$I$7))</f>
      </c>
      <c r="N13" s="1262">
        <f>+L13*M13</f>
      </c>
      <c r="O13" s="1263">
        <f>O12-(O12*N12)</f>
      </c>
    </row>
    <row x14ac:dyDescent="0.25" r="14" customHeight="1" ht="18.75">
      <c r="A14" s="1258">
        <v>1897</v>
      </c>
      <c r="B14" s="1259">
        <v>825.4087902607264</v>
      </c>
      <c r="C14" s="1259">
        <v>734.3513223980495</v>
      </c>
      <c r="D14" s="1265">
        <v>0</v>
      </c>
      <c r="E14" s="1259">
        <v>0</v>
      </c>
      <c r="F14" s="1"/>
      <c r="G14" s="1261">
        <v>5</v>
      </c>
      <c r="H14" s="1262">
        <f>VLOOKUP($G$6-G14,$A$9:$F$1330,2,0)/1000</f>
      </c>
      <c r="I14" s="1262">
        <f>EXP(-VLOOKUP($G$6-G14,$A$9:$E$1250,4,0)*(G14-$I$7))</f>
      </c>
      <c r="J14" s="1262">
        <f>+H14*I14</f>
      </c>
      <c r="K14" s="1263">
        <f>K13-(K13*J13)</f>
      </c>
      <c r="L14" s="1262">
        <f>VLOOKUP($G$6-G14,$A$9:$F$1330,3,0)/1000</f>
      </c>
      <c r="M14" s="1264">
        <f>EXP(-VLOOKUP($G$6-G14,$A$9:$E$1250,5,0)*(G14-$I$7))</f>
      </c>
      <c r="N14" s="1262">
        <f>+L14*M14</f>
      </c>
      <c r="O14" s="1263">
        <f>O13-(O13*N13)</f>
      </c>
    </row>
    <row x14ac:dyDescent="0.25" r="15" customHeight="1" ht="18.75">
      <c r="A15" s="1258">
        <v>1898</v>
      </c>
      <c r="B15" s="1259">
        <v>759.3062472385152</v>
      </c>
      <c r="C15" s="1259">
        <v>670.588768923756</v>
      </c>
      <c r="D15" s="1265">
        <v>0</v>
      </c>
      <c r="E15" s="1259">
        <v>0</v>
      </c>
      <c r="F15" s="1"/>
      <c r="G15" s="1261">
        <v>6</v>
      </c>
      <c r="H15" s="1262">
        <f>VLOOKUP($G$6-G15,$A$9:$F$1330,2,0)/1000</f>
      </c>
      <c r="I15" s="1262">
        <f>EXP(-VLOOKUP($G$6-G15,$A$9:$E$1250,4,0)*(G15-$I$7))</f>
      </c>
      <c r="J15" s="1262">
        <f>+H15*I15</f>
      </c>
      <c r="K15" s="1263">
        <f>K14-(K14*J14)</f>
      </c>
      <c r="L15" s="1262">
        <f>VLOOKUP($G$6-G15,$A$9:$F$1330,3,0)/1000</f>
      </c>
      <c r="M15" s="1264">
        <f>EXP(-VLOOKUP($G$6-G15,$A$9:$E$1250,5,0)*(G15-$I$7))</f>
      </c>
      <c r="N15" s="1262">
        <f>+L15*M15</f>
      </c>
      <c r="O15" s="1263">
        <f>O14-(O14*N14)</f>
      </c>
    </row>
    <row x14ac:dyDescent="0.25" r="16" customHeight="1" ht="18.75">
      <c r="A16" s="1258">
        <v>1899</v>
      </c>
      <c r="B16" s="1259">
        <v>694.4179840420638</v>
      </c>
      <c r="C16" s="1259">
        <v>611.7996276539475</v>
      </c>
      <c r="D16" s="1265">
        <v>0</v>
      </c>
      <c r="E16" s="1259">
        <v>0</v>
      </c>
      <c r="F16" s="1"/>
      <c r="G16" s="1261">
        <v>7</v>
      </c>
      <c r="H16" s="1262">
        <f>VLOOKUP($G$6-G16,$A$9:$F$1330,2,0)/1000</f>
      </c>
      <c r="I16" s="1262">
        <f>EXP(-VLOOKUP($G$6-G16,$A$9:$E$1250,4,0)*(G16-$I$7))</f>
      </c>
      <c r="J16" s="1262">
        <f>+H16*I16</f>
      </c>
      <c r="K16" s="1263">
        <f>K15-(K15*J15)</f>
      </c>
      <c r="L16" s="1262">
        <f>VLOOKUP($G$6-G16,$A$9:$F$1330,3,0)/1000</f>
      </c>
      <c r="M16" s="1264">
        <f>EXP(-VLOOKUP($G$6-G16,$A$9:$E$1250,5,0)*(G16-$I$7))</f>
      </c>
      <c r="N16" s="1262">
        <f>+L16*M16</f>
      </c>
      <c r="O16" s="1263">
        <f>O15-(O15*N15)</f>
      </c>
    </row>
    <row x14ac:dyDescent="0.25" r="17" customHeight="1" ht="18.75">
      <c r="A17" s="1258">
        <v>1900</v>
      </c>
      <c r="B17" s="1259">
        <v>634.0843675749072</v>
      </c>
      <c r="C17" s="1259">
        <v>558.5152106095509</v>
      </c>
      <c r="D17" s="1265">
        <v>0</v>
      </c>
      <c r="E17" s="1259">
        <v>0</v>
      </c>
      <c r="F17" s="1"/>
      <c r="G17" s="1261">
        <v>8</v>
      </c>
      <c r="H17" s="1262">
        <f>VLOOKUP($G$6-G17,$A$9:$F$1330,2,0)/1000</f>
      </c>
      <c r="I17" s="1262">
        <f>EXP(-VLOOKUP($G$6-G17,$A$9:$E$1250,4,0)*(G17-$I$7))</f>
      </c>
      <c r="J17" s="1262">
        <f>+H17*I17</f>
      </c>
      <c r="K17" s="1263">
        <f>K16-(K16*J16)</f>
      </c>
      <c r="L17" s="1262">
        <f>VLOOKUP($G$6-G17,$A$9:$F$1330,3,0)/1000</f>
      </c>
      <c r="M17" s="1264">
        <f>EXP(-VLOOKUP($G$6-G17,$A$9:$E$1250,5,0)*(G17-$I$7))</f>
      </c>
      <c r="N17" s="1262">
        <f>+L17*M17</f>
      </c>
      <c r="O17" s="1263">
        <f>O16-(O16*N16)</f>
      </c>
    </row>
    <row x14ac:dyDescent="0.25" r="18" customHeight="1" ht="18.75">
      <c r="A18" s="1258">
        <v>1901</v>
      </c>
      <c r="B18" s="1259">
        <v>579.3028235478857</v>
      </c>
      <c r="C18" s="1259">
        <v>510.5564861683201</v>
      </c>
      <c r="D18" s="1265">
        <v>0</v>
      </c>
      <c r="E18" s="1259">
        <v>0</v>
      </c>
      <c r="F18" s="1"/>
      <c r="G18" s="1261">
        <v>9</v>
      </c>
      <c r="H18" s="1262">
        <f>VLOOKUP($G$6-G18,$A$9:$F$1330,2,0)/1000</f>
      </c>
      <c r="I18" s="1262">
        <f>EXP(-VLOOKUP($G$6-G18,$A$9:$E$1250,4,0)*(G18-$I$7))</f>
      </c>
      <c r="J18" s="1262">
        <f>+H18*I18</f>
      </c>
      <c r="K18" s="1263">
        <f>K17-(K17*J17)</f>
      </c>
      <c r="L18" s="1262">
        <f>VLOOKUP($G$6-G18,$A$9:$F$1330,3,0)/1000</f>
      </c>
      <c r="M18" s="1264">
        <f>EXP(-VLOOKUP($G$6-G18,$A$9:$E$1250,5,0)*(G18-$I$7))</f>
      </c>
      <c r="N18" s="1262">
        <f>+L18*M18</f>
      </c>
      <c r="O18" s="1263">
        <f>O17-(O17*N17)</f>
      </c>
    </row>
    <row x14ac:dyDescent="0.25" r="19" customHeight="1" ht="18.75">
      <c r="A19" s="1258">
        <v>1902</v>
      </c>
      <c r="B19" s="1259">
        <v>530.0534780305002</v>
      </c>
      <c r="C19" s="1259">
        <v>467.4723747663022</v>
      </c>
      <c r="D19" s="1265">
        <v>0</v>
      </c>
      <c r="E19" s="1259">
        <v>0</v>
      </c>
      <c r="F19" s="1"/>
      <c r="G19" s="1261">
        <v>10</v>
      </c>
      <c r="H19" s="1262">
        <f>VLOOKUP($G$6-G19,$A$9:$F$1330,2,0)/1000</f>
      </c>
      <c r="I19" s="1262">
        <f>EXP(-VLOOKUP($G$6-G19,$A$9:$E$1250,4,0)*(G19-$I$7))</f>
      </c>
      <c r="J19" s="1262">
        <f>+H19*I19</f>
      </c>
      <c r="K19" s="1263">
        <f>K18-(K18*J18)</f>
      </c>
      <c r="L19" s="1262">
        <f>VLOOKUP($G$6-G19,$A$9:$F$1330,3,0)/1000</f>
      </c>
      <c r="M19" s="1264">
        <f>EXP(-VLOOKUP($G$6-G19,$A$9:$E$1250,5,0)*(G19-$I$7))</f>
      </c>
      <c r="N19" s="1262">
        <f>+L19*M19</f>
      </c>
      <c r="O19" s="1263">
        <f>O18-(O18*N18)</f>
      </c>
    </row>
    <row x14ac:dyDescent="0.25" r="20" customHeight="1" ht="18.75">
      <c r="A20" s="1258">
        <v>1903</v>
      </c>
      <c r="B20" s="1259">
        <v>485.9177293585149</v>
      </c>
      <c r="C20" s="1259">
        <v>428.7373040703738</v>
      </c>
      <c r="D20" s="1265">
        <v>0</v>
      </c>
      <c r="E20" s="1259">
        <v>0.00014416538605618694</v>
      </c>
      <c r="F20" s="1"/>
      <c r="G20" s="1261">
        <v>11</v>
      </c>
      <c r="H20" s="1262">
        <f>VLOOKUP($G$6-G20,$A$9:$F$1330,2,0)/1000</f>
      </c>
      <c r="I20" s="1262">
        <f>EXP(-VLOOKUP($G$6-G20,$A$9:$E$1250,4,0)*(G20-$I$7))</f>
      </c>
      <c r="J20" s="1262">
        <f>+H20*I20</f>
      </c>
      <c r="K20" s="1263">
        <f>K19-(K19*J19)</f>
      </c>
      <c r="L20" s="1262">
        <f>VLOOKUP($G$6-G20,$A$9:$F$1330,3,0)/1000</f>
      </c>
      <c r="M20" s="1264">
        <f>EXP(-VLOOKUP($G$6-G20,$A$9:$E$1250,5,0)*(G20-$I$7))</f>
      </c>
      <c r="N20" s="1262">
        <f>+L20*M20</f>
      </c>
      <c r="O20" s="1263">
        <f>O19-(O19*N19)</f>
      </c>
    </row>
    <row x14ac:dyDescent="0.25" r="21" customHeight="1" ht="18.75">
      <c r="A21" s="1258">
        <v>1904</v>
      </c>
      <c r="B21" s="1259">
        <v>446.3541052389677</v>
      </c>
      <c r="C21" s="1259">
        <v>393.836607179453</v>
      </c>
      <c r="D21" s="1265">
        <v>0</v>
      </c>
      <c r="E21" s="1259">
        <v>0.000644165386056187</v>
      </c>
      <c r="F21" s="1"/>
      <c r="G21" s="1261">
        <v>12</v>
      </c>
      <c r="H21" s="1262">
        <f>VLOOKUP($G$6-G21,$A$9:$F$1330,2,0)/1000</f>
      </c>
      <c r="I21" s="1262">
        <f>EXP(-VLOOKUP($G$6-G21,$A$9:$E$1250,4,0)*(G21-$I$7))</f>
      </c>
      <c r="J21" s="1262">
        <f>+H21*I21</f>
      </c>
      <c r="K21" s="1263">
        <f>K20-(K20*J20)</f>
      </c>
      <c r="L21" s="1262">
        <f>VLOOKUP($G$6-G21,$A$9:$F$1330,3,0)/1000</f>
      </c>
      <c r="M21" s="1264">
        <f>EXP(-VLOOKUP($G$6-G21,$A$9:$E$1250,5,0)*(G21-$I$7))</f>
      </c>
      <c r="N21" s="1262">
        <f>+L21*M21</f>
      </c>
      <c r="O21" s="1263">
        <f>O20-(O20*N20)</f>
      </c>
    </row>
    <row x14ac:dyDescent="0.25" r="22" customHeight="1" ht="18.75">
      <c r="A22" s="1258">
        <v>1905</v>
      </c>
      <c r="B22" s="1259">
        <v>410.8166832433324</v>
      </c>
      <c r="C22" s="1259">
        <v>362.3001402314847</v>
      </c>
      <c r="D22" s="1265">
        <v>0</v>
      </c>
      <c r="E22" s="1259">
        <v>0.001144165386056187</v>
      </c>
      <c r="F22" s="1"/>
      <c r="G22" s="1261">
        <v>13</v>
      </c>
      <c r="H22" s="1262">
        <f>VLOOKUP($G$6-G22,$A$9:$F$1330,2,0)/1000</f>
      </c>
      <c r="I22" s="1262">
        <f>EXP(-VLOOKUP($G$6-G22,$A$9:$E$1250,4,0)*(G22-$I$7))</f>
      </c>
      <c r="J22" s="1262">
        <f>+H22*I22</f>
      </c>
      <c r="K22" s="1263">
        <f>K21-(K21*J21)</f>
      </c>
      <c r="L22" s="1262">
        <f>VLOOKUP($G$6-G22,$A$9:$F$1330,3,0)/1000</f>
      </c>
      <c r="M22" s="1264">
        <f>EXP(-VLOOKUP($G$6-G22,$A$9:$E$1250,5,0)*(G22-$I$7))</f>
      </c>
      <c r="N22" s="1262">
        <f>+L22*M22</f>
      </c>
      <c r="O22" s="1263">
        <f>O21-(O21*N21)</f>
      </c>
    </row>
    <row x14ac:dyDescent="0.25" r="23" customHeight="1" ht="18.75">
      <c r="A23" s="1258">
        <v>1906</v>
      </c>
      <c r="B23" s="1259">
        <v>378.80212512225955</v>
      </c>
      <c r="C23" s="1259">
        <v>333.7122882095928</v>
      </c>
      <c r="D23" s="1265">
        <v>0.0004813414283881055</v>
      </c>
      <c r="E23" s="1259">
        <v>0.001644165386056187</v>
      </c>
      <c r="F23" s="1"/>
      <c r="G23" s="1261">
        <v>14</v>
      </c>
      <c r="H23" s="1262">
        <f>VLOOKUP($G$6-G23,$A$9:$F$1330,2,0)/1000</f>
      </c>
      <c r="I23" s="1262">
        <f>EXP(-VLOOKUP($G$6-G23,$A$9:$E$1250,4,0)*(G23-$I$7))</f>
      </c>
      <c r="J23" s="1262">
        <f>+H23*I23</f>
      </c>
      <c r="K23" s="1263">
        <f>K22-(K22*J22)</f>
      </c>
      <c r="L23" s="1262">
        <f>VLOOKUP($G$6-G23,$A$9:$F$1330,3,0)/1000</f>
      </c>
      <c r="M23" s="1264">
        <f>EXP(-VLOOKUP($G$6-G23,$A$9:$E$1250,5,0)*(G23-$I$7))</f>
      </c>
      <c r="N23" s="1262">
        <f>+L23*M23</f>
      </c>
      <c r="O23" s="1263">
        <f>O22-(O22*N22)</f>
      </c>
    </row>
    <row x14ac:dyDescent="0.25" r="24" customHeight="1" ht="18.75">
      <c r="A24" s="1258">
        <v>1907</v>
      </c>
      <c r="B24" s="1259">
        <v>349.8646839375012</v>
      </c>
      <c r="C24" s="1259">
        <v>307.7115571391129</v>
      </c>
      <c r="D24" s="1265">
        <v>0.0009813414283881055</v>
      </c>
      <c r="E24" s="1259">
        <v>0.002144165386056187</v>
      </c>
      <c r="F24" s="1"/>
      <c r="G24" s="1261">
        <v>15</v>
      </c>
      <c r="H24" s="1262">
        <f>VLOOKUP($G$6-G24,$A$9:$F$1330,2,0)/1000</f>
      </c>
      <c r="I24" s="1262">
        <f>EXP(-VLOOKUP($G$6-G24,$A$9:$E$1250,4,0)*(G24-$I$7))</f>
      </c>
      <c r="J24" s="1262">
        <f>+H24*I24</f>
      </c>
      <c r="K24" s="1263">
        <f>K23-(K23*J23)</f>
      </c>
      <c r="L24" s="1262">
        <f>VLOOKUP($G$6-G24,$A$9:$F$1330,3,0)/1000</f>
      </c>
      <c r="M24" s="1264">
        <f>EXP(-VLOOKUP($G$6-G24,$A$9:$E$1250,5,0)*(G24-$I$7))</f>
      </c>
      <c r="N24" s="1262">
        <f>+L24*M24</f>
      </c>
      <c r="O24" s="1263">
        <f>O23-(O23*N23)</f>
      </c>
    </row>
    <row x14ac:dyDescent="0.25" r="25" customHeight="1" ht="18.75">
      <c r="A25" s="1258">
        <v>1908</v>
      </c>
      <c r="B25" s="1259">
        <v>323.61724244489324</v>
      </c>
      <c r="C25" s="1259">
        <v>283.9859470608314</v>
      </c>
      <c r="D25" s="1265">
        <v>0.0014813414283881055</v>
      </c>
      <c r="E25" s="1259">
        <v>0.002644165386056187</v>
      </c>
      <c r="F25" s="1"/>
      <c r="G25" s="1261">
        <v>16</v>
      </c>
      <c r="H25" s="1262">
        <f>VLOOKUP($G$6-G25,$A$9:$F$1330,2,0)/1000</f>
      </c>
      <c r="I25" s="1262">
        <f>EXP(-VLOOKUP($G$6-G25,$A$9:$E$1250,4,0)*(G25-$I$7))</f>
      </c>
      <c r="J25" s="1262">
        <f>+H25*I25</f>
      </c>
      <c r="K25" s="1263">
        <f>K24-(K24*J24)</f>
      </c>
      <c r="L25" s="1262">
        <f>VLOOKUP($G$6-G25,$A$9:$F$1330,3,0)/1000</f>
      </c>
      <c r="M25" s="1264">
        <f>EXP(-VLOOKUP($G$6-G25,$A$9:$E$1250,5,0)*(G25-$I$7))</f>
      </c>
      <c r="N25" s="1262">
        <f>+L25*M25</f>
      </c>
      <c r="O25" s="1263">
        <f>O24-(O24*N24)</f>
      </c>
    </row>
    <row x14ac:dyDescent="0.25" r="26" customHeight="1" ht="18.75">
      <c r="A26" s="1258">
        <v>1909</v>
      </c>
      <c r="B26" s="1259">
        <v>299.72669377329083</v>
      </c>
      <c r="C26" s="1259">
        <v>262.26698565985396</v>
      </c>
      <c r="D26" s="1265">
        <v>0.0019813414283881055</v>
      </c>
      <c r="E26" s="1259">
        <v>0.003144165386056187</v>
      </c>
      <c r="F26" s="1"/>
      <c r="G26" s="1261">
        <v>17</v>
      </c>
      <c r="H26" s="1262">
        <f>VLOOKUP($G$6-G26,$A$9:$F$1330,2,0)/1000</f>
      </c>
      <c r="I26" s="1262">
        <f>EXP(-VLOOKUP($G$6-G26,$A$9:$E$1250,4,0)*(G26-$I$7))</f>
      </c>
      <c r="J26" s="1262">
        <f>+H26*I26</f>
      </c>
      <c r="K26" s="1263">
        <f>K25-(K25*J25)</f>
      </c>
      <c r="L26" s="1262">
        <f>VLOOKUP($G$6-G26,$A$9:$F$1330,3,0)/1000</f>
      </c>
      <c r="M26" s="1264">
        <f>EXP(-VLOOKUP($G$6-G26,$A$9:$E$1250,5,0)*(G26-$I$7))</f>
      </c>
      <c r="N26" s="1262">
        <f>+L26*M26</f>
      </c>
      <c r="O26" s="1263">
        <f>O25-(O25*N25)</f>
      </c>
    </row>
    <row x14ac:dyDescent="0.25" r="27" customHeight="1" ht="18.75">
      <c r="A27" s="1258">
        <v>1910</v>
      </c>
      <c r="B27" s="1259">
        <v>277.90746270741806</v>
      </c>
      <c r="C27" s="1259">
        <v>242.32371943687195</v>
      </c>
      <c r="D27" s="1265">
        <v>0.0024813414283881056</v>
      </c>
      <c r="E27" s="1259">
        <v>0.003644165386056187</v>
      </c>
      <c r="F27" s="1"/>
      <c r="G27" s="1261">
        <v>18</v>
      </c>
      <c r="H27" s="1262">
        <f>VLOOKUP($G$6-G27,$A$9:$F$1330,2,0)/1000</f>
      </c>
      <c r="I27" s="1262">
        <f>EXP(-VLOOKUP($G$6-G27,$A$9:$E$1250,4,0)*(G27-$I$7))</f>
      </c>
      <c r="J27" s="1262">
        <f>+H27*I27</f>
      </c>
      <c r="K27" s="1263">
        <f>K26-(K26*J26)</f>
      </c>
      <c r="L27" s="1262">
        <f>VLOOKUP($G$6-G27,$A$9:$F$1330,3,0)/1000</f>
      </c>
      <c r="M27" s="1264">
        <f>EXP(-VLOOKUP($G$6-G27,$A$9:$E$1250,5,0)*(G27-$I$7))</f>
      </c>
      <c r="N27" s="1262">
        <f>+L27*M27</f>
      </c>
      <c r="O27" s="1263">
        <f>O26-(O26*N26)</f>
      </c>
    </row>
    <row x14ac:dyDescent="0.25" r="28" customHeight="1" ht="18.75">
      <c r="A28" s="1258">
        <v>1911</v>
      </c>
      <c r="B28" s="1259">
        <v>257.9148547112926</v>
      </c>
      <c r="C28" s="1259">
        <v>223.9572016876458</v>
      </c>
      <c r="D28" s="1265">
        <v>0.0029813414283881056</v>
      </c>
      <c r="E28" s="1259">
        <v>0.004144165386056187</v>
      </c>
      <c r="F28" s="1"/>
      <c r="G28" s="1261">
        <v>19</v>
      </c>
      <c r="H28" s="1262">
        <f>VLOOKUP($G$6-G28,$A$9:$F$1330,2,0)/1000</f>
      </c>
      <c r="I28" s="1262">
        <f>EXP(-VLOOKUP($G$6-G28,$A$9:$E$1250,4,0)*(G28-$I$7))</f>
      </c>
      <c r="J28" s="1262">
        <f>+H28*I28</f>
      </c>
      <c r="K28" s="1263">
        <f>K27-(K27*J27)</f>
      </c>
      <c r="L28" s="1262">
        <f>VLOOKUP($G$6-G28,$A$9:$F$1330,3,0)/1000</f>
      </c>
      <c r="M28" s="1264">
        <f>EXP(-VLOOKUP($G$6-G28,$A$9:$E$1250,5,0)*(G28-$I$7))</f>
      </c>
      <c r="N28" s="1262">
        <f>+L28*M28</f>
      </c>
      <c r="O28" s="1263">
        <f>O27-(O27*N27)</f>
      </c>
    </row>
    <row x14ac:dyDescent="0.25" r="29" customHeight="1" ht="18.75">
      <c r="A29" s="1258">
        <v>1912</v>
      </c>
      <c r="B29" s="1259">
        <v>239.53892853147232</v>
      </c>
      <c r="C29" s="1259">
        <v>206.99565764026374</v>
      </c>
      <c r="D29" s="1265">
        <v>0.0034813414283881056</v>
      </c>
      <c r="E29" s="1259">
        <v>0.0046441653860561875</v>
      </c>
      <c r="F29" s="1"/>
      <c r="G29" s="1261">
        <v>20</v>
      </c>
      <c r="H29" s="1262">
        <f>VLOOKUP($G$6-G29,$A$9:$F$1330,2,0)/1000</f>
      </c>
      <c r="I29" s="1262">
        <f>EXP(-VLOOKUP($G$6-G29,$A$9:$E$1250,4,0)*(G29-$I$7))</f>
      </c>
      <c r="J29" s="1262">
        <f>+H29*I29</f>
      </c>
      <c r="K29" s="1263">
        <f>K28-(K28*J28)</f>
      </c>
      <c r="L29" s="1262">
        <f>VLOOKUP($G$6-G29,$A$9:$F$1330,3,0)/1000</f>
      </c>
      <c r="M29" s="1264">
        <f>EXP(-VLOOKUP($G$6-G29,$A$9:$E$1250,5,0)*(G29-$I$7))</f>
      </c>
      <c r="N29" s="1262">
        <f>+L29*M29</f>
      </c>
      <c r="O29" s="1263">
        <f>O28-(O28*N28)</f>
      </c>
    </row>
    <row x14ac:dyDescent="0.25" r="30" customHeight="1" ht="18.75">
      <c r="A30" s="1258">
        <v>1913</v>
      </c>
      <c r="B30" s="1259">
        <v>222.59912677267934</v>
      </c>
      <c r="C30" s="1259">
        <v>191.29034238742327</v>
      </c>
      <c r="D30" s="1265">
        <v>0.004181341428388105</v>
      </c>
      <c r="E30" s="1259">
        <v>0.0053441653860561876</v>
      </c>
      <c r="F30" s="1"/>
      <c r="G30" s="1261">
        <v>21</v>
      </c>
      <c r="H30" s="1262">
        <f>VLOOKUP($G$6-G30,$A$9:$F$1330,2,0)/1000</f>
      </c>
      <c r="I30" s="1262">
        <f>EXP(-VLOOKUP($G$6-G30,$A$9:$E$1250,4,0)*(G30-$I$7))</f>
      </c>
      <c r="J30" s="1262">
        <f>+H30*I30</f>
      </c>
      <c r="K30" s="1263">
        <f>K29-(K29*J29)</f>
      </c>
      <c r="L30" s="1262">
        <f>VLOOKUP($G$6-G30,$A$9:$F$1330,3,0)/1000</f>
      </c>
      <c r="M30" s="1264">
        <f>EXP(-VLOOKUP($G$6-G30,$A$9:$E$1250,5,0)*(G30-$I$7))</f>
      </c>
      <c r="N30" s="1262">
        <f>+L30*M30</f>
      </c>
      <c r="O30" s="1263">
        <f>O29-(O29*N29)</f>
      </c>
    </row>
    <row x14ac:dyDescent="0.25" r="31" customHeight="1" ht="18.75">
      <c r="A31" s="1258">
        <v>1914</v>
      </c>
      <c r="B31" s="1259">
        <v>206.93969047949903</v>
      </c>
      <c r="C31" s="1259">
        <v>176.71203717982615</v>
      </c>
      <c r="D31" s="1265">
        <v>0.004881341428388106</v>
      </c>
      <c r="E31" s="1259">
        <v>0.006044165386056188</v>
      </c>
      <c r="F31" s="1"/>
      <c r="G31" s="1261">
        <v>22</v>
      </c>
      <c r="H31" s="1262">
        <f>VLOOKUP($G$6-G31,$A$9:$F$1330,2,0)/1000</f>
      </c>
      <c r="I31" s="1262">
        <f>EXP(-VLOOKUP($G$6-G31,$A$9:$E$1250,4,0)*(G31-$I$7))</f>
      </c>
      <c r="J31" s="1262">
        <f>+H31*I31</f>
      </c>
      <c r="K31" s="1263">
        <f>K30-(K30*J30)</f>
      </c>
      <c r="L31" s="1262">
        <f>VLOOKUP($G$6-G31,$A$9:$F$1330,3,0)/1000</f>
      </c>
      <c r="M31" s="1264">
        <f>EXP(-VLOOKUP($G$6-G31,$A$9:$E$1250,5,0)*(G31-$I$7))</f>
      </c>
      <c r="N31" s="1262">
        <f>+L31*M31</f>
      </c>
      <c r="O31" s="1263">
        <f>O30-(O30*N30)</f>
      </c>
    </row>
    <row x14ac:dyDescent="0.25" r="32" customHeight="1" ht="18.75">
      <c r="A32" s="1258">
        <v>1915</v>
      </c>
      <c r="B32" s="1259">
        <v>192.42579646326848</v>
      </c>
      <c r="C32" s="1259">
        <v>163.14810516774682</v>
      </c>
      <c r="D32" s="1265">
        <v>0.005581341428388106</v>
      </c>
      <c r="E32" s="1259">
        <v>0.0070392502755504405</v>
      </c>
      <c r="F32" s="1"/>
      <c r="G32" s="1261">
        <v>23</v>
      </c>
      <c r="H32" s="1262">
        <f>VLOOKUP($G$6-G32,$A$9:$F$1330,2,0)/1000</f>
      </c>
      <c r="I32" s="1262">
        <f>EXP(-VLOOKUP($G$6-G32,$A$9:$E$1250,4,0)*(G32-$I$7))</f>
      </c>
      <c r="J32" s="1262">
        <f>+H32*I32</f>
      </c>
      <c r="K32" s="1263">
        <f>K31-(K31*J31)</f>
      </c>
      <c r="L32" s="1262">
        <f>VLOOKUP($G$6-G32,$A$9:$F$1330,3,0)/1000</f>
      </c>
      <c r="M32" s="1264">
        <f>EXP(-VLOOKUP($G$6-G32,$A$9:$E$1250,5,0)*(G32-$I$7))</f>
      </c>
      <c r="N32" s="1262">
        <f>+L32*M32</f>
      </c>
      <c r="O32" s="1263">
        <f>O31-(O31*N31)</f>
      </c>
    </row>
    <row x14ac:dyDescent="0.25" r="33" customHeight="1" ht="18.75">
      <c r="A33" s="1258">
        <v>1916</v>
      </c>
      <c r="B33" s="1259">
        <v>179.03653056605535</v>
      </c>
      <c r="C33" s="1259">
        <v>150.53221699215328</v>
      </c>
      <c r="D33" s="1265">
        <v>0.006281341428388106</v>
      </c>
      <c r="E33" s="1259">
        <v>0.008057359792756057</v>
      </c>
      <c r="F33" s="1"/>
      <c r="G33" s="1261">
        <v>24</v>
      </c>
      <c r="H33" s="1262">
        <f>VLOOKUP($G$6-G33,$A$9:$F$1330,2,0)/1000</f>
      </c>
      <c r="I33" s="1262">
        <f>EXP(-VLOOKUP($G$6-G33,$A$9:$E$1250,4,0)*(G33-$I$7))</f>
      </c>
      <c r="J33" s="1262">
        <f>+H33*I33</f>
      </c>
      <c r="K33" s="1263">
        <f>K32-(K32*J32)</f>
      </c>
      <c r="L33" s="1262">
        <f>VLOOKUP($G$6-G33,$A$9:$F$1330,3,0)/1000</f>
      </c>
      <c r="M33" s="1264">
        <f>EXP(-VLOOKUP($G$6-G33,$A$9:$E$1250,5,0)*(G33-$I$7))</f>
      </c>
      <c r="N33" s="1262">
        <f>+L33*M33</f>
      </c>
      <c r="O33" s="1263">
        <f>O32-(O32*N32)</f>
      </c>
    </row>
    <row x14ac:dyDescent="0.25" r="34" customHeight="1" ht="18.75">
      <c r="A34" s="1258">
        <v>1917</v>
      </c>
      <c r="B34" s="1259">
        <v>166.56007493070703</v>
      </c>
      <c r="C34" s="1259">
        <v>138.75548364312485</v>
      </c>
      <c r="D34" s="1265">
        <v>0.007208722465729184</v>
      </c>
      <c r="E34" s="1259">
        <v>0.00910369862236425</v>
      </c>
      <c r="F34" s="1"/>
      <c r="G34" s="1261">
        <v>25</v>
      </c>
      <c r="H34" s="1262">
        <f>VLOOKUP($G$6-G34,$A$9:$F$1330,2,0)/1000</f>
      </c>
      <c r="I34" s="1262">
        <f>EXP(-VLOOKUP($G$6-G34,$A$9:$E$1250,4,0)*(G34-$I$7))</f>
      </c>
      <c r="J34" s="1262">
        <f>+H34*I34</f>
      </c>
      <c r="K34" s="1263">
        <f>K33-(K33*J33)</f>
      </c>
      <c r="L34" s="1262">
        <f>VLOOKUP($G$6-G34,$A$9:$F$1330,3,0)/1000</f>
      </c>
      <c r="M34" s="1264">
        <f>EXP(-VLOOKUP($G$6-G34,$A$9:$E$1250,5,0)*(G34-$I$7))</f>
      </c>
      <c r="N34" s="1262">
        <f>+L34*M34</f>
      </c>
      <c r="O34" s="1263">
        <f>O33-(O33*N33)</f>
      </c>
    </row>
    <row x14ac:dyDescent="0.25" r="35" customHeight="1" ht="18.75">
      <c r="A35" s="1258">
        <v>1918</v>
      </c>
      <c r="B35" s="1259">
        <v>154.95832412068705</v>
      </c>
      <c r="C35" s="1259">
        <v>127.7386836040297</v>
      </c>
      <c r="D35" s="1265">
        <v>0.008176969819352807</v>
      </c>
      <c r="E35" s="1259">
        <v>0.010185897434072333</v>
      </c>
      <c r="F35" s="1"/>
      <c r="G35" s="1261">
        <v>26</v>
      </c>
      <c r="H35" s="1262">
        <f>VLOOKUP($G$6-G35,$A$9:$F$1330,2,0)/1000</f>
      </c>
      <c r="I35" s="1262">
        <f>EXP(-VLOOKUP($G$6-G35,$A$9:$E$1250,4,0)*(G35-$I$7))</f>
      </c>
      <c r="J35" s="1262">
        <f>+H35*I35</f>
      </c>
      <c r="K35" s="1263">
        <f>K34-(K34*J34)</f>
      </c>
      <c r="L35" s="1262">
        <f>VLOOKUP($G$6-G35,$A$9:$F$1330,3,0)/1000</f>
      </c>
      <c r="M35" s="1264">
        <f>EXP(-VLOOKUP($G$6-G35,$A$9:$E$1250,5,0)*(G35-$I$7))</f>
      </c>
      <c r="N35" s="1262">
        <f>+L35*M35</f>
      </c>
      <c r="O35" s="1263">
        <f>O34-(O34*N34)</f>
      </c>
    </row>
    <row x14ac:dyDescent="0.25" r="36" customHeight="1" ht="18.75">
      <c r="A36" s="1258">
        <v>1919</v>
      </c>
      <c r="B36" s="1259">
        <v>142.68593479999998</v>
      </c>
      <c r="C36" s="1259">
        <v>115.6873039304018</v>
      </c>
      <c r="D36" s="1265">
        <v>0.009187634050303402</v>
      </c>
      <c r="E36" s="1259">
        <v>0.011313183101112024</v>
      </c>
      <c r="F36" s="1"/>
      <c r="G36" s="1261">
        <v>27</v>
      </c>
      <c r="H36" s="1262">
        <f>VLOOKUP($G$6-G36,$A$9:$F$1330,2,0)/1000</f>
      </c>
      <c r="I36" s="1262">
        <f>EXP(-VLOOKUP($G$6-G36,$A$9:$E$1250,4,0)*(G36-$I$7))</f>
      </c>
      <c r="J36" s="1262">
        <f>+H36*I36</f>
      </c>
      <c r="K36" s="1263">
        <f>K35-(K35*J35)</f>
      </c>
      <c r="L36" s="1262">
        <f>VLOOKUP($G$6-G36,$A$9:$F$1330,3,0)/1000</f>
      </c>
      <c r="M36" s="1264">
        <f>EXP(-VLOOKUP($G$6-G36,$A$9:$E$1250,5,0)*(G36-$I$7))</f>
      </c>
      <c r="N36" s="1262">
        <f>+L36*M36</f>
      </c>
      <c r="O36" s="1263">
        <f>O35-(O35*N35)</f>
      </c>
    </row>
    <row x14ac:dyDescent="0.25" r="37" customHeight="1" ht="18.75">
      <c r="A37" s="1258">
        <v>1920</v>
      </c>
      <c r="B37" s="1259">
        <v>133.0974965</v>
      </c>
      <c r="C37" s="1259">
        <v>107.45958399842543</v>
      </c>
      <c r="D37" s="1265">
        <v>0.010237659348873416</v>
      </c>
      <c r="E37" s="1259">
        <v>0.012494932137849345</v>
      </c>
      <c r="F37" s="1"/>
      <c r="G37" s="1261">
        <v>28</v>
      </c>
      <c r="H37" s="1262">
        <f>VLOOKUP($G$6-G37,$A$9:$F$1330,2,0)/1000</f>
      </c>
      <c r="I37" s="1262">
        <f>EXP(-VLOOKUP($G$6-G37,$A$9:$E$1250,4,0)*(G37-$I$7))</f>
      </c>
      <c r="J37" s="1262">
        <f>+H37*I37</f>
      </c>
      <c r="K37" s="1263">
        <f>K36-(K36*J36)</f>
      </c>
      <c r="L37" s="1262">
        <f>VLOOKUP($G$6-G37,$A$9:$F$1330,3,0)/1000</f>
      </c>
      <c r="M37" s="1264">
        <f>EXP(-VLOOKUP($G$6-G37,$A$9:$E$1250,5,0)*(G37-$I$7))</f>
      </c>
      <c r="N37" s="1262">
        <f>+L37*M37</f>
      </c>
      <c r="O37" s="1263">
        <f>O36-(O36*N36)</f>
      </c>
    </row>
    <row x14ac:dyDescent="0.25" r="38" customHeight="1" ht="18.75">
      <c r="A38" s="1258">
        <v>1921</v>
      </c>
      <c r="B38" s="1259">
        <v>124.39554840030563</v>
      </c>
      <c r="C38" s="1259">
        <v>99.28453305588765</v>
      </c>
      <c r="D38" s="1265">
        <v>0.011325564124636577</v>
      </c>
      <c r="E38" s="1259">
        <v>0.013738939728117086</v>
      </c>
      <c r="F38" s="1"/>
      <c r="G38" s="1261">
        <v>29</v>
      </c>
      <c r="H38" s="1262">
        <f>VLOOKUP($G$6-G38,$A$9:$F$1330,2,0)/1000</f>
      </c>
      <c r="I38" s="1262">
        <f>EXP(-VLOOKUP($G$6-G38,$A$9:$E$1250,4,0)*(G38-$I$7))</f>
      </c>
      <c r="J38" s="1262">
        <f>+H38*I38</f>
      </c>
      <c r="K38" s="1263">
        <f>K37-(K37*J37)</f>
      </c>
      <c r="L38" s="1262">
        <f>VLOOKUP($G$6-G38,$A$9:$F$1330,3,0)/1000</f>
      </c>
      <c r="M38" s="1264">
        <f>EXP(-VLOOKUP($G$6-G38,$A$9:$E$1250,5,0)*(G38-$I$7))</f>
      </c>
      <c r="N38" s="1262">
        <f>+L38*M38</f>
      </c>
      <c r="O38" s="1263">
        <f>O37-(O37*N37)</f>
      </c>
    </row>
    <row x14ac:dyDescent="0.25" r="39" customHeight="1" ht="18.75">
      <c r="A39" s="1258">
        <v>1922</v>
      </c>
      <c r="B39" s="1259">
        <v>117.56830231586662</v>
      </c>
      <c r="C39" s="1259">
        <v>91.000557766221</v>
      </c>
      <c r="D39" s="1265">
        <v>0.012453932408480688</v>
      </c>
      <c r="E39" s="1259">
        <v>0.015049792809158828</v>
      </c>
      <c r="F39" s="1"/>
      <c r="G39" s="1261">
        <v>30</v>
      </c>
      <c r="H39" s="1262">
        <f>VLOOKUP($G$6-G39,$A$9:$F$1330,2,0)/1000</f>
      </c>
      <c r="I39" s="1262">
        <f>EXP(-VLOOKUP($G$6-G39,$A$9:$E$1250,4,0)*(G39-$I$7))</f>
      </c>
      <c r="J39" s="1262">
        <f>+H39*I39</f>
      </c>
      <c r="K39" s="1263">
        <f>K38-(K38*J38)</f>
      </c>
      <c r="L39" s="1262">
        <f>VLOOKUP($G$6-G39,$A$9:$F$1330,3,0)/1000</f>
      </c>
      <c r="M39" s="1264">
        <f>EXP(-VLOOKUP($G$6-G39,$A$9:$E$1250,5,0)*(G39-$I$7))</f>
      </c>
      <c r="N39" s="1262">
        <f>+L39*M39</f>
      </c>
      <c r="O39" s="1263">
        <f>O38-(O38*N38)</f>
      </c>
    </row>
    <row x14ac:dyDescent="0.25" r="40" customHeight="1" ht="18.75">
      <c r="A40" s="1258">
        <v>1923</v>
      </c>
      <c r="B40" s="1259">
        <v>110.39915758622448</v>
      </c>
      <c r="C40" s="1259">
        <v>82.71529586895552</v>
      </c>
      <c r="D40" s="1265">
        <v>0.01342443689404977</v>
      </c>
      <c r="E40" s="1259">
        <v>0.01622766179310822</v>
      </c>
      <c r="F40" s="1"/>
      <c r="G40" s="1261">
        <v>31</v>
      </c>
      <c r="H40" s="1262">
        <f>VLOOKUP($G$6-G40,$A$9:$F$1330,2,0)/1000</f>
      </c>
      <c r="I40" s="1262">
        <f>EXP(-VLOOKUP($G$6-G40,$A$9:$E$1250,4,0)*(G40-$I$7))</f>
      </c>
      <c r="J40" s="1262">
        <f>+H40*I40</f>
      </c>
      <c r="K40" s="1263">
        <f>K39-(K39*J39)</f>
      </c>
      <c r="L40" s="1262">
        <f>VLOOKUP($G$6-G40,$A$9:$F$1330,3,0)/1000</f>
      </c>
      <c r="M40" s="1264">
        <f>EXP(-VLOOKUP($G$6-G40,$A$9:$E$1250,5,0)*(G40-$I$7))</f>
      </c>
      <c r="N40" s="1262">
        <f>+L40*M40</f>
      </c>
      <c r="O40" s="1263">
        <f>O39-(O39*N39)</f>
      </c>
    </row>
    <row x14ac:dyDescent="0.25" r="41" customHeight="1" ht="18.75">
      <c r="A41" s="1258">
        <v>1924</v>
      </c>
      <c r="B41" s="1259">
        <v>102.83144273600732</v>
      </c>
      <c r="C41" s="1259">
        <v>74.70611483441525</v>
      </c>
      <c r="D41" s="1265">
        <v>0.014431812125564176</v>
      </c>
      <c r="E41" s="1259">
        <v>0.017467606897420974</v>
      </c>
      <c r="F41" s="1"/>
      <c r="G41" s="1261">
        <v>32</v>
      </c>
      <c r="H41" s="1262">
        <f>VLOOKUP($G$6-G41,$A$9:$F$1330,2,0)/1000</f>
      </c>
      <c r="I41" s="1262">
        <f>EXP(-VLOOKUP($G$6-G41,$A$9:$E$1250,4,0)*(G41-$I$7))</f>
      </c>
      <c r="J41" s="1262">
        <f>+H41*I41</f>
      </c>
      <c r="K41" s="1263">
        <f>K40-(K40*J40)</f>
      </c>
      <c r="L41" s="1262">
        <f>VLOOKUP($G$6-G41,$A$9:$F$1330,3,0)/1000</f>
      </c>
      <c r="M41" s="1264">
        <f>EXP(-VLOOKUP($G$6-G41,$A$9:$E$1250,5,0)*(G41-$I$7))</f>
      </c>
      <c r="N41" s="1262">
        <f>+L41*M41</f>
      </c>
      <c r="O41" s="1263">
        <f>O40-(O40*N40)</f>
      </c>
    </row>
    <row x14ac:dyDescent="0.25" r="42" customHeight="1" ht="18.75">
      <c r="A42" s="1258">
        <v>1925</v>
      </c>
      <c r="B42" s="1259">
        <v>94.97787630692233</v>
      </c>
      <c r="C42" s="1259">
        <v>66.99388120791485</v>
      </c>
      <c r="D42" s="1265">
        <v>0.015464667793020309</v>
      </c>
      <c r="E42" s="1259">
        <v>0.018759261528582274</v>
      </c>
      <c r="F42" s="1"/>
      <c r="G42" s="1261">
        <v>33</v>
      </c>
      <c r="H42" s="1262">
        <f>VLOOKUP($G$6-G42,$A$9:$F$1330,2,0)/1000</f>
      </c>
      <c r="I42" s="1262">
        <f>EXP(-VLOOKUP($G$6-G42,$A$9:$E$1250,4,0)*(G42-$I$7))</f>
      </c>
      <c r="J42" s="1262">
        <f>+H42*I42</f>
      </c>
      <c r="K42" s="1263">
        <f>K41-(K41*J41)</f>
      </c>
      <c r="L42" s="1262">
        <f>VLOOKUP($G$6-G42,$A$9:$F$1330,3,0)/1000</f>
      </c>
      <c r="M42" s="1264">
        <f>EXP(-VLOOKUP($G$6-G42,$A$9:$E$1250,5,0)*(G42-$I$7))</f>
      </c>
      <c r="N42" s="1262">
        <f>+L42*M42</f>
      </c>
      <c r="O42" s="1263">
        <f>O41-(O41*N41)</f>
      </c>
    </row>
    <row x14ac:dyDescent="0.25" r="43" customHeight="1" ht="18.75">
      <c r="A43" s="1258">
        <v>1926</v>
      </c>
      <c r="B43" s="1259">
        <v>86.96453705507137</v>
      </c>
      <c r="C43" s="1259">
        <v>59.52696270208465</v>
      </c>
      <c r="D43" s="1265">
        <v>0.016510957568569705</v>
      </c>
      <c r="E43" s="1259">
        <v>0.020086680503462365</v>
      </c>
      <c r="F43" s="1"/>
      <c r="G43" s="1261">
        <v>34</v>
      </c>
      <c r="H43" s="1262">
        <f>VLOOKUP($G$6-G43,$A$9:$F$1330,2,0)/1000</f>
      </c>
      <c r="I43" s="1262">
        <f>EXP(-VLOOKUP($G$6-G43,$A$9:$E$1250,4,0)*(G43-$I$7))</f>
      </c>
      <c r="J43" s="1262">
        <f>+H43*I43</f>
      </c>
      <c r="K43" s="1263">
        <f>K42-(K42*J42)</f>
      </c>
      <c r="L43" s="1262">
        <f>VLOOKUP($G$6-G43,$A$9:$F$1330,3,0)/1000</f>
      </c>
      <c r="M43" s="1264">
        <f>EXP(-VLOOKUP($G$6-G43,$A$9:$E$1250,5,0)*(G43-$I$7))</f>
      </c>
      <c r="N43" s="1262">
        <f>+L43*M43</f>
      </c>
      <c r="O43" s="1263">
        <f>O42-(O42*N42)</f>
      </c>
    </row>
    <row x14ac:dyDescent="0.25" r="44" customHeight="1" ht="18.75">
      <c r="A44" s="1258">
        <v>1927</v>
      </c>
      <c r="B44" s="1259">
        <v>78.93344155327533</v>
      </c>
      <c r="C44" s="1259">
        <v>52.37305614653585</v>
      </c>
      <c r="D44" s="1265">
        <v>0.017557735030531575</v>
      </c>
      <c r="E44" s="1259">
        <v>0.021428267142300693</v>
      </c>
      <c r="F44" s="1"/>
      <c r="G44" s="1261">
        <v>35</v>
      </c>
      <c r="H44" s="1262">
        <f>VLOOKUP($G$6-G44,$A$9:$F$1330,2,0)/1000</f>
      </c>
      <c r="I44" s="1262">
        <f>EXP(-VLOOKUP($G$6-G44,$A$9:$E$1250,4,0)*(G44-$I$7))</f>
      </c>
      <c r="J44" s="1262">
        <f>+H44*I44</f>
      </c>
      <c r="K44" s="1263">
        <f>K43-(K43*J43)</f>
      </c>
      <c r="L44" s="1262">
        <f>VLOOKUP($G$6-G44,$A$9:$F$1330,3,0)/1000</f>
      </c>
      <c r="M44" s="1264">
        <f>EXP(-VLOOKUP($G$6-G44,$A$9:$E$1250,5,0)*(G44-$I$7))</f>
      </c>
      <c r="N44" s="1262">
        <f>+L44*M44</f>
      </c>
      <c r="O44" s="1263">
        <f>O43-(O43*N43)</f>
      </c>
    </row>
    <row x14ac:dyDescent="0.25" r="45" customHeight="1" ht="18.75">
      <c r="A45" s="1258">
        <v>1928</v>
      </c>
      <c r="B45" s="1259">
        <v>71.01651773917492</v>
      </c>
      <c r="C45" s="1259">
        <v>45.76252662878376</v>
      </c>
      <c r="D45" s="1265">
        <v>0.018581927693542777</v>
      </c>
      <c r="E45" s="1259">
        <v>0.02275695764844167</v>
      </c>
      <c r="F45" s="1"/>
      <c r="G45" s="1261">
        <v>36</v>
      </c>
      <c r="H45" s="1262">
        <f>VLOOKUP($G$6-G45,$A$9:$F$1330,2,0)/1000</f>
      </c>
      <c r="I45" s="1262">
        <f>EXP(-VLOOKUP($G$6-G45,$A$9:$E$1250,4,0)*(G45-$I$7))</f>
      </c>
      <c r="J45" s="1262">
        <f>+H45*I45</f>
      </c>
      <c r="K45" s="1263">
        <f>K44-(K44*J44)</f>
      </c>
      <c r="L45" s="1262">
        <f>VLOOKUP($G$6-G45,$A$9:$F$1330,3,0)/1000</f>
      </c>
      <c r="M45" s="1264">
        <f>EXP(-VLOOKUP($G$6-G45,$A$9:$E$1250,5,0)*(G45-$I$7))</f>
      </c>
      <c r="N45" s="1262">
        <f>+L45*M45</f>
      </c>
      <c r="O45" s="1263">
        <f>O44-(O44*N44)</f>
      </c>
    </row>
    <row x14ac:dyDescent="0.25" r="46" customHeight="1" ht="18.75">
      <c r="A46" s="1258">
        <v>1929</v>
      </c>
      <c r="B46" s="1259">
        <v>63.32721274518424</v>
      </c>
      <c r="C46" s="1259">
        <v>39.78912741740218</v>
      </c>
      <c r="D46" s="1265">
        <v>0.019544560517619845</v>
      </c>
      <c r="E46" s="1259">
        <v>0.0240410281280843</v>
      </c>
      <c r="F46" s="1"/>
      <c r="G46" s="1261">
        <v>37</v>
      </c>
      <c r="H46" s="1262">
        <f>VLOOKUP($G$6-G46,$A$9:$F$1330,2,0)/1000</f>
      </c>
      <c r="I46" s="1262">
        <f>EXP(-VLOOKUP($G$6-G46,$A$9:$E$1250,4,0)*(G46-$I$7))</f>
      </c>
      <c r="J46" s="1262">
        <f>+H46*I46</f>
      </c>
      <c r="K46" s="1263">
        <f>K45-(K45*J45)</f>
      </c>
      <c r="L46" s="1262">
        <f>VLOOKUP($G$6-G46,$A$9:$F$1330,3,0)/1000</f>
      </c>
      <c r="M46" s="1264">
        <f>EXP(-VLOOKUP($G$6-G46,$A$9:$E$1250,5,0)*(G46-$I$7))</f>
      </c>
      <c r="N46" s="1262">
        <f>+L46*M46</f>
      </c>
      <c r="O46" s="1263">
        <f>O45-(O45*N45)</f>
      </c>
    </row>
    <row x14ac:dyDescent="0.25" r="47" customHeight="1" ht="18.75">
      <c r="A47" s="1258">
        <v>1930</v>
      </c>
      <c r="B47" s="1259">
        <v>56.04780788795883</v>
      </c>
      <c r="C47" s="1259">
        <v>34.43291664377514</v>
      </c>
      <c r="D47" s="1265">
        <v>0.02050446311591982</v>
      </c>
      <c r="E47" s="1259">
        <v>0.025345850515601016</v>
      </c>
      <c r="F47" s="1"/>
      <c r="G47" s="1261">
        <v>38</v>
      </c>
      <c r="H47" s="1262">
        <f>VLOOKUP($G$6-G47,$A$9:$F$1330,2,0)/1000</f>
      </c>
      <c r="I47" s="1262">
        <f>EXP(-VLOOKUP($G$6-G47,$A$9:$E$1250,4,0)*(G47-$I$7))</f>
      </c>
      <c r="J47" s="1262">
        <f>+H47*I47</f>
      </c>
      <c r="K47" s="1263">
        <f>K46-(K46*J46)</f>
      </c>
      <c r="L47" s="1262">
        <f>VLOOKUP($G$6-G47,$A$9:$F$1330,3,0)/1000</f>
      </c>
      <c r="M47" s="1264">
        <f>EXP(-VLOOKUP($G$6-G47,$A$9:$E$1250,5,0)*(G47-$I$7))</f>
      </c>
      <c r="N47" s="1262">
        <f>+L47*M47</f>
      </c>
      <c r="O47" s="1263">
        <f>O46-(O46*N46)</f>
      </c>
    </row>
    <row x14ac:dyDescent="0.25" r="48" customHeight="1" ht="18.75">
      <c r="A48" s="1258">
        <v>1931</v>
      </c>
      <c r="B48" s="1259">
        <v>49.294280805831406</v>
      </c>
      <c r="C48" s="1259">
        <v>29.761793783299026</v>
      </c>
      <c r="D48" s="1265">
        <v>0.02123548821658341</v>
      </c>
      <c r="E48" s="1259">
        <v>0.02643661692369851</v>
      </c>
      <c r="F48" s="1"/>
      <c r="G48" s="1261">
        <v>39</v>
      </c>
      <c r="H48" s="1262">
        <f>VLOOKUP($G$6-G48,$A$9:$F$1330,2,0)/1000</f>
      </c>
      <c r="I48" s="1262">
        <f>EXP(-VLOOKUP($G$6-G48,$A$9:$E$1250,4,0)*(G48-$I$7))</f>
      </c>
      <c r="J48" s="1262">
        <f>+H48*I48</f>
      </c>
      <c r="K48" s="1263">
        <f>K47-(K47*J47)</f>
      </c>
      <c r="L48" s="1262">
        <f>VLOOKUP($G$6-G48,$A$9:$F$1330,3,0)/1000</f>
      </c>
      <c r="M48" s="1264">
        <f>EXP(-VLOOKUP($G$6-G48,$A$9:$E$1250,5,0)*(G48-$I$7))</f>
      </c>
      <c r="N48" s="1262">
        <f>+L48*M48</f>
      </c>
      <c r="O48" s="1263">
        <f>O47-(O47*N47)</f>
      </c>
    </row>
    <row x14ac:dyDescent="0.25" r="49" customHeight="1" ht="18.75">
      <c r="A49" s="1258">
        <v>1932</v>
      </c>
      <c r="B49" s="1259">
        <v>43.125512059111124</v>
      </c>
      <c r="C49" s="1259">
        <v>25.657983623131468</v>
      </c>
      <c r="D49" s="1265">
        <v>0.022024227155786162</v>
      </c>
      <c r="E49" s="1259">
        <v>0.02758161258418524</v>
      </c>
      <c r="F49" s="1"/>
      <c r="G49" s="1261">
        <v>40</v>
      </c>
      <c r="H49" s="1262">
        <f>VLOOKUP($G$6-G49,$A$9:$F$1330,2,0)/1000</f>
      </c>
      <c r="I49" s="1262">
        <f>EXP(-VLOOKUP($G$6-G49,$A$9:$E$1250,4,0)*(G49-$I$7))</f>
      </c>
      <c r="J49" s="1262">
        <f>+H49*I49</f>
      </c>
      <c r="K49" s="1263">
        <f>K48-(K48*J48)</f>
      </c>
      <c r="L49" s="1262">
        <f>VLOOKUP($G$6-G49,$A$9:$F$1330,3,0)/1000</f>
      </c>
      <c r="M49" s="1264">
        <f>EXP(-VLOOKUP($G$6-G49,$A$9:$E$1250,5,0)*(G49-$I$7))</f>
      </c>
      <c r="N49" s="1262">
        <f>+L49*M49</f>
      </c>
      <c r="O49" s="1263">
        <f>O48-(O48*N48)</f>
      </c>
    </row>
    <row x14ac:dyDescent="0.25" r="50" customHeight="1" ht="18.75">
      <c r="A50" s="1258">
        <v>1933</v>
      </c>
      <c r="B50" s="1259">
        <v>37.56804896460799</v>
      </c>
      <c r="C50" s="1259">
        <v>22.101245416391354</v>
      </c>
      <c r="D50" s="1265">
        <v>0.02257283725644838</v>
      </c>
      <c r="E50" s="1259">
        <v>0.028455262612435993</v>
      </c>
      <c r="F50" s="1"/>
      <c r="G50" s="1261">
        <v>41</v>
      </c>
      <c r="H50" s="1262">
        <f>VLOOKUP($G$6-G50,$A$9:$F$1330,2,0)/1000</f>
      </c>
      <c r="I50" s="1262">
        <f>EXP(-VLOOKUP($G$6-G50,$A$9:$E$1250,4,0)*(G50-$I$7))</f>
      </c>
      <c r="J50" s="1262">
        <f>+H50*I50</f>
      </c>
      <c r="K50" s="1263">
        <f>K49-(K49*J49)</f>
      </c>
      <c r="L50" s="1262">
        <f>VLOOKUP($G$6-G50,$A$9:$F$1330,3,0)/1000</f>
      </c>
      <c r="M50" s="1264">
        <f>EXP(-VLOOKUP($G$6-G50,$A$9:$E$1250,5,0)*(G50-$I$7))</f>
      </c>
      <c r="N50" s="1262">
        <f>+L50*M50</f>
      </c>
      <c r="O50" s="1263">
        <f>O49-(O49*N49)</f>
      </c>
    </row>
    <row x14ac:dyDescent="0.25" r="51" customHeight="1" ht="18.75">
      <c r="A51" s="1258">
        <v>1934</v>
      </c>
      <c r="B51" s="1259">
        <v>32.611855848466334</v>
      </c>
      <c r="C51" s="1259">
        <v>18.997594110209395</v>
      </c>
      <c r="D51" s="1265">
        <v>0.02309944000612022</v>
      </c>
      <c r="E51" s="1259">
        <v>0.02924013238206114</v>
      </c>
      <c r="F51" s="1"/>
      <c r="G51" s="1261">
        <v>42</v>
      </c>
      <c r="H51" s="1262">
        <f>VLOOKUP($G$6-G51,$A$9:$F$1330,2,0)/1000</f>
      </c>
      <c r="I51" s="1262">
        <f>EXP(-VLOOKUP($G$6-G51,$A$9:$E$1250,4,0)*(G51-$I$7))</f>
      </c>
      <c r="J51" s="1262">
        <f>+H51*I51</f>
      </c>
      <c r="K51" s="1263">
        <f>K50-(K50*J50)</f>
      </c>
      <c r="L51" s="1262">
        <f>VLOOKUP($G$6-G51,$A$9:$F$1330,3,0)/1000</f>
      </c>
      <c r="M51" s="1264">
        <f>EXP(-VLOOKUP($G$6-G51,$A$9:$E$1250,5,0)*(G51-$I$7))</f>
      </c>
      <c r="N51" s="1262">
        <f>+L51*M51</f>
      </c>
      <c r="O51" s="1263">
        <f>O50-(O50*N50)</f>
      </c>
    </row>
    <row x14ac:dyDescent="0.25" r="52" customHeight="1" ht="18.75">
      <c r="A52" s="1258">
        <v>1935</v>
      </c>
      <c r="B52" s="1259">
        <v>28.331717557011363</v>
      </c>
      <c r="C52" s="1259">
        <v>16.34037855546773</v>
      </c>
      <c r="D52" s="1265">
        <v>0.02352331179360827</v>
      </c>
      <c r="E52" s="1259">
        <v>0.029827382925004878</v>
      </c>
      <c r="F52" s="1"/>
      <c r="G52" s="1261">
        <v>43</v>
      </c>
      <c r="H52" s="1262">
        <f>VLOOKUP($G$6-G52,$A$9:$F$1330,2,0)/1000</f>
      </c>
      <c r="I52" s="1262">
        <f>EXP(-VLOOKUP($G$6-G52,$A$9:$E$1250,4,0)*(G52-$I$7))</f>
      </c>
      <c r="J52" s="1262">
        <f>+H52*I52</f>
      </c>
      <c r="K52" s="1263">
        <f>K51-(K51*J51)</f>
      </c>
      <c r="L52" s="1262">
        <f>VLOOKUP($G$6-G52,$A$9:$F$1330,3,0)/1000</f>
      </c>
      <c r="M52" s="1264">
        <f>EXP(-VLOOKUP($G$6-G52,$A$9:$E$1250,5,0)*(G52-$I$7))</f>
      </c>
      <c r="N52" s="1262">
        <f>+L52*M52</f>
      </c>
      <c r="O52" s="1263">
        <f>O51-(O51*N51)</f>
      </c>
    </row>
    <row x14ac:dyDescent="0.25" r="53" customHeight="1" ht="18.75">
      <c r="A53" s="1258">
        <v>1936</v>
      </c>
      <c r="B53" s="1259">
        <v>24.661751033025812</v>
      </c>
      <c r="C53" s="1259">
        <v>14.072478498379615</v>
      </c>
      <c r="D53" s="1265">
        <v>0.023864577125384444</v>
      </c>
      <c r="E53" s="1259">
        <v>0.030215747393402295</v>
      </c>
      <c r="F53" s="1"/>
      <c r="G53" s="1261">
        <v>44</v>
      </c>
      <c r="H53" s="1262">
        <f>VLOOKUP($G$6-G53,$A$9:$F$1330,2,0)/1000</f>
      </c>
      <c r="I53" s="1262">
        <f>EXP(-VLOOKUP($G$6-G53,$A$9:$E$1250,4,0)*(G53-$I$7))</f>
      </c>
      <c r="J53" s="1262">
        <f>+H53*I53</f>
      </c>
      <c r="K53" s="1263">
        <f>K52-(K52*J52)</f>
      </c>
      <c r="L53" s="1262">
        <f>VLOOKUP($G$6-G53,$A$9:$F$1330,3,0)/1000</f>
      </c>
      <c r="M53" s="1264">
        <f>EXP(-VLOOKUP($G$6-G53,$A$9:$E$1250,5,0)*(G53-$I$7))</f>
      </c>
      <c r="N53" s="1262">
        <f>+L53*M53</f>
      </c>
      <c r="O53" s="1263">
        <f>O52-(O52*N52)</f>
      </c>
    </row>
    <row x14ac:dyDescent="0.25" r="54" customHeight="1" ht="18.75">
      <c r="A54" s="1258">
        <v>1937</v>
      </c>
      <c r="B54" s="1259">
        <v>21.50499955287987</v>
      </c>
      <c r="C54" s="1259">
        <v>12.179335306522296</v>
      </c>
      <c r="D54" s="1265">
        <v>0.024238863926935025</v>
      </c>
      <c r="E54" s="1259">
        <v>0.03050956198673022</v>
      </c>
      <c r="F54" s="1"/>
      <c r="G54" s="1261">
        <v>45</v>
      </c>
      <c r="H54" s="1262">
        <f>VLOOKUP($G$6-G54,$A$9:$F$1330,2,0)/1000</f>
      </c>
      <c r="I54" s="1262">
        <f>EXP(-VLOOKUP($G$6-G54,$A$9:$E$1250,4,0)*(G54-$I$7))</f>
      </c>
      <c r="J54" s="1262">
        <f>+H54*I54</f>
      </c>
      <c r="K54" s="1263">
        <f>K53-(K53*J53)</f>
      </c>
      <c r="L54" s="1262">
        <f>VLOOKUP($G$6-G54,$A$9:$F$1330,3,0)/1000</f>
      </c>
      <c r="M54" s="1264">
        <f>EXP(-VLOOKUP($G$6-G54,$A$9:$E$1250,5,0)*(G54-$I$7))</f>
      </c>
      <c r="N54" s="1262">
        <f>+L54*M54</f>
      </c>
      <c r="O54" s="1263">
        <f>O53-(O53*N53)</f>
      </c>
    </row>
    <row x14ac:dyDescent="0.25" r="55" customHeight="1" ht="18.75">
      <c r="A55" s="1258">
        <v>1938</v>
      </c>
      <c r="B55" s="1259">
        <v>18.744852916546243</v>
      </c>
      <c r="C55" s="1259">
        <v>10.618037274717382</v>
      </c>
      <c r="D55" s="1265">
        <v>0.024451589248574428</v>
      </c>
      <c r="E55" s="1259">
        <v>0.030516648426605474</v>
      </c>
      <c r="F55" s="1"/>
      <c r="G55" s="1261">
        <v>46</v>
      </c>
      <c r="H55" s="1262">
        <f>VLOOKUP($G$6-G55,$A$9:$F$1330,2,0)/1000</f>
      </c>
      <c r="I55" s="1262">
        <f>EXP(-VLOOKUP($G$6-G55,$A$9:$E$1250,4,0)*(G55-$I$7))</f>
      </c>
      <c r="J55" s="1262">
        <f>+H55*I55</f>
      </c>
      <c r="K55" s="1263">
        <f>K54-(K54*J54)</f>
      </c>
      <c r="L55" s="1262">
        <f>VLOOKUP($G$6-G55,$A$9:$F$1330,3,0)/1000</f>
      </c>
      <c r="M55" s="1264">
        <f>EXP(-VLOOKUP($G$6-G55,$A$9:$E$1250,5,0)*(G55-$I$7))</f>
      </c>
      <c r="N55" s="1262">
        <f>+L55*M55</f>
      </c>
      <c r="O55" s="1263">
        <f>O54-(O54*N54)</f>
      </c>
    </row>
    <row x14ac:dyDescent="0.25" r="56" customHeight="1" ht="18.75">
      <c r="A56" s="1258">
        <v>1939</v>
      </c>
      <c r="B56" s="1259">
        <v>16.355765628721812</v>
      </c>
      <c r="C56" s="1259">
        <v>9.327298621031813</v>
      </c>
      <c r="D56" s="1265">
        <v>0.02459812660226296</v>
      </c>
      <c r="E56" s="1259">
        <v>0.030346828606350233</v>
      </c>
      <c r="F56" s="1"/>
      <c r="G56" s="1261">
        <v>47</v>
      </c>
      <c r="H56" s="1262">
        <f>VLOOKUP($G$6-G56,$A$9:$F$1330,2,0)/1000</f>
      </c>
      <c r="I56" s="1262">
        <f>EXP(-VLOOKUP($G$6-G56,$A$9:$E$1250,4,0)*(G56-$I$7))</f>
      </c>
      <c r="J56" s="1262">
        <f>+H56*I56</f>
      </c>
      <c r="K56" s="1263">
        <f>K55-(K55*J55)</f>
      </c>
      <c r="L56" s="1262">
        <f>VLOOKUP($G$6-G56,$A$9:$F$1330,3,0)/1000</f>
      </c>
      <c r="M56" s="1264">
        <f>EXP(-VLOOKUP($G$6-G56,$A$9:$E$1250,5,0)*(G56-$I$7))</f>
      </c>
      <c r="N56" s="1262">
        <f>+L56*M56</f>
      </c>
      <c r="O56" s="1263">
        <f>O55-(O55*N55)</f>
      </c>
    </row>
    <row x14ac:dyDescent="0.25" r="57" customHeight="1" ht="18.75">
      <c r="A57" s="1258">
        <v>1940</v>
      </c>
      <c r="B57" s="1259">
        <v>14.34800397229218</v>
      </c>
      <c r="C57" s="1259">
        <v>8.257076823451163</v>
      </c>
      <c r="D57" s="1265">
        <v>0.024665998387339353</v>
      </c>
      <c r="E57" s="1259">
        <v>0.03001163584876441</v>
      </c>
      <c r="F57" s="1"/>
      <c r="G57" s="1261">
        <v>48</v>
      </c>
      <c r="H57" s="1262">
        <f>VLOOKUP($G$6-G57,$A$9:$F$1330,2,0)/1000</f>
      </c>
      <c r="I57" s="1262">
        <f>EXP(-VLOOKUP($G$6-G57,$A$9:$E$1250,4,0)*(G57-$I$7))</f>
      </c>
      <c r="J57" s="1262">
        <f>+H57*I57</f>
      </c>
      <c r="K57" s="1263">
        <f>K56-(K56*J56)</f>
      </c>
      <c r="L57" s="1262">
        <f>VLOOKUP($G$6-G57,$A$9:$F$1330,3,0)/1000</f>
      </c>
      <c r="M57" s="1264">
        <f>EXP(-VLOOKUP($G$6-G57,$A$9:$E$1250,5,0)*(G57-$I$7))</f>
      </c>
      <c r="N57" s="1262">
        <f>+L57*M57</f>
      </c>
      <c r="O57" s="1263">
        <f>O56-(O56*N56)</f>
      </c>
    </row>
    <row x14ac:dyDescent="0.25" r="58" customHeight="1" ht="18.75">
      <c r="A58" s="1258">
        <v>1941</v>
      </c>
      <c r="B58" s="1259">
        <v>12.765520762680989</v>
      </c>
      <c r="C58" s="1259">
        <v>7.383954394832617</v>
      </c>
      <c r="D58" s="1265">
        <v>0.02474094370087631</v>
      </c>
      <c r="E58" s="1259">
        <v>0.029625281427025925</v>
      </c>
      <c r="F58" s="1"/>
      <c r="G58" s="1261">
        <v>49</v>
      </c>
      <c r="H58" s="1262">
        <f>VLOOKUP($G$6-G58,$A$9:$F$1330,2,0)/1000</f>
      </c>
      <c r="I58" s="1262">
        <f>EXP(-VLOOKUP($G$6-G58,$A$9:$E$1250,4,0)*(G58-$I$7))</f>
      </c>
      <c r="J58" s="1262">
        <f>+H58*I58</f>
      </c>
      <c r="K58" s="1263">
        <f>K57-(K57*J57)</f>
      </c>
      <c r="L58" s="1262">
        <f>VLOOKUP($G$6-G58,$A$9:$F$1330,3,0)/1000</f>
      </c>
      <c r="M58" s="1264">
        <f>EXP(-VLOOKUP($G$6-G58,$A$9:$E$1250,5,0)*(G58-$I$7))</f>
      </c>
      <c r="N58" s="1262">
        <f>+L58*M58</f>
      </c>
      <c r="O58" s="1263">
        <f>O57-(O57*N57)</f>
      </c>
    </row>
    <row x14ac:dyDescent="0.25" r="59" customHeight="1" ht="18.75">
      <c r="A59" s="1258">
        <v>1942</v>
      </c>
      <c r="B59" s="1259">
        <v>11.59327334253726</v>
      </c>
      <c r="C59" s="1259">
        <v>6.66994967912647</v>
      </c>
      <c r="D59" s="1265">
        <v>0.024514946845656735</v>
      </c>
      <c r="E59" s="1259">
        <v>0.02890633727623103</v>
      </c>
      <c r="F59" s="1"/>
      <c r="G59" s="1261">
        <v>50</v>
      </c>
      <c r="H59" s="1262">
        <f>VLOOKUP($G$6-G59,$A$9:$F$1330,2,0)/1000</f>
      </c>
      <c r="I59" s="1262">
        <f>EXP(-VLOOKUP($G$6-G59,$A$9:$E$1250,4,0)*(G59-$I$7))</f>
      </c>
      <c r="J59" s="1262">
        <f>+H59*I59</f>
      </c>
      <c r="K59" s="1263">
        <f>K58-(K58*J58)</f>
      </c>
      <c r="L59" s="1262">
        <f>VLOOKUP($G$6-G59,$A$9:$F$1330,3,0)/1000</f>
      </c>
      <c r="M59" s="1264">
        <f>EXP(-VLOOKUP($G$6-G59,$A$9:$E$1250,5,0)*(G59-$I$7))</f>
      </c>
      <c r="N59" s="1262">
        <f>+L59*M59</f>
      </c>
      <c r="O59" s="1263">
        <f>O58-(O58*N58)</f>
      </c>
    </row>
    <row x14ac:dyDescent="0.25" r="60" customHeight="1" ht="18.75">
      <c r="A60" s="1258">
        <v>1943</v>
      </c>
      <c r="B60" s="1259">
        <v>10.754609182490258</v>
      </c>
      <c r="C60" s="1259">
        <v>6.051551294412938</v>
      </c>
      <c r="D60" s="1265">
        <v>0.024288094549765635</v>
      </c>
      <c r="E60" s="1259">
        <v>0.02817922395723747</v>
      </c>
      <c r="F60" s="1"/>
      <c r="G60" s="1261">
        <v>51</v>
      </c>
      <c r="H60" s="1262">
        <f>VLOOKUP($G$6-G60,$A$9:$F$1330,2,0)/1000</f>
      </c>
      <c r="I60" s="1262">
        <f>EXP(-VLOOKUP($G$6-G60,$A$9:$E$1250,4,0)*(G60-$I$7))</f>
      </c>
      <c r="J60" s="1262">
        <f>+H60*I60</f>
      </c>
      <c r="K60" s="1263">
        <f>K59-(K59*J59)</f>
      </c>
      <c r="L60" s="1262">
        <f>VLOOKUP($G$6-G60,$A$9:$F$1330,3,0)/1000</f>
      </c>
      <c r="M60" s="1264">
        <f>EXP(-VLOOKUP($G$6-G60,$A$9:$E$1250,5,0)*(G60-$I$7))</f>
      </c>
      <c r="N60" s="1262">
        <f>+L60*M60</f>
      </c>
      <c r="O60" s="1263">
        <f>O59-(O59*N59)</f>
      </c>
    </row>
    <row x14ac:dyDescent="0.25" r="61" customHeight="1" ht="18.75">
      <c r="A61" s="1258">
        <v>1944</v>
      </c>
      <c r="B61" s="1259">
        <v>10.149810378672738</v>
      </c>
      <c r="C61" s="1259">
        <v>5.507987483095389</v>
      </c>
      <c r="D61" s="1265">
        <v>0.023982792994846455</v>
      </c>
      <c r="E61" s="1259">
        <v>0.02737448032413676</v>
      </c>
      <c r="F61" s="1"/>
      <c r="G61" s="1261">
        <v>52</v>
      </c>
      <c r="H61" s="1262">
        <f>VLOOKUP($G$6-G61,$A$9:$F$1330,2,0)/1000</f>
      </c>
      <c r="I61" s="1262">
        <f>EXP(-VLOOKUP($G$6-G61,$A$9:$E$1250,4,0)*(G61-$I$7))</f>
      </c>
      <c r="J61" s="1262">
        <f>+H61*I61</f>
      </c>
      <c r="K61" s="1263">
        <f>K60-(K60*J60)</f>
      </c>
      <c r="L61" s="1262">
        <f>VLOOKUP($G$6-G61,$A$9:$F$1330,3,0)/1000</f>
      </c>
      <c r="M61" s="1264">
        <f>EXP(-VLOOKUP($G$6-G61,$A$9:$E$1250,5,0)*(G61-$I$7))</f>
      </c>
      <c r="N61" s="1262">
        <f>+L61*M61</f>
      </c>
      <c r="O61" s="1263">
        <f>O60-(O60*N60)</f>
      </c>
    </row>
    <row x14ac:dyDescent="0.25" r="62" customHeight="1" ht="18.75">
      <c r="A62" s="1258">
        <v>1945</v>
      </c>
      <c r="B62" s="1259">
        <v>9.647874615660896</v>
      </c>
      <c r="C62" s="1259">
        <v>5.049489171709934</v>
      </c>
      <c r="D62" s="1265">
        <v>0.02353176742128053</v>
      </c>
      <c r="E62" s="1259">
        <v>0.026427065509909142</v>
      </c>
      <c r="F62" s="1"/>
      <c r="G62" s="1261">
        <v>53</v>
      </c>
      <c r="H62" s="1262">
        <f>VLOOKUP($G$6-G62,$A$9:$F$1330,2,0)/1000</f>
      </c>
      <c r="I62" s="1262">
        <f>EXP(-VLOOKUP($G$6-G62,$A$9:$E$1250,4,0)*(G62-$I$7))</f>
      </c>
      <c r="J62" s="1262">
        <f>+H62*I62</f>
      </c>
      <c r="K62" s="1263">
        <f>K61-(K61*J61)</f>
      </c>
      <c r="L62" s="1262">
        <f>VLOOKUP($G$6-G62,$A$9:$F$1330,3,0)/1000</f>
      </c>
      <c r="M62" s="1264">
        <f>EXP(-VLOOKUP($G$6-G62,$A$9:$E$1250,5,0)*(G62-$I$7))</f>
      </c>
      <c r="N62" s="1262">
        <f>+L62*M62</f>
      </c>
      <c r="O62" s="1263">
        <f>O61-(O61*N61)</f>
      </c>
    </row>
    <row x14ac:dyDescent="0.25" r="63" customHeight="1" ht="18.75">
      <c r="A63" s="1258">
        <v>1946</v>
      </c>
      <c r="B63" s="1259">
        <v>9.17852007140683</v>
      </c>
      <c r="C63" s="1259">
        <v>4.659864451309496</v>
      </c>
      <c r="D63" s="1265">
        <v>0.023065429036596946</v>
      </c>
      <c r="E63" s="1259">
        <v>0.02547270803309481</v>
      </c>
      <c r="F63" s="1"/>
      <c r="G63" s="1261">
        <v>54</v>
      </c>
      <c r="H63" s="1262">
        <f>VLOOKUP($G$6-G63,$A$9:$F$1330,2,0)/1000</f>
      </c>
      <c r="I63" s="1262">
        <f>EXP(-VLOOKUP($G$6-G63,$A$9:$E$1250,4,0)*(G63-$I$7))</f>
      </c>
      <c r="J63" s="1262">
        <f>+H63*I63</f>
      </c>
      <c r="K63" s="1263">
        <f>K62-(K62*J62)</f>
      </c>
      <c r="L63" s="1262">
        <f>VLOOKUP($G$6-G63,$A$9:$F$1330,3,0)/1000</f>
      </c>
      <c r="M63" s="1264">
        <f>EXP(-VLOOKUP($G$6-G63,$A$9:$E$1250,5,0)*(G63-$I$7))</f>
      </c>
      <c r="N63" s="1262">
        <f>+L63*M63</f>
      </c>
      <c r="O63" s="1263">
        <f>O62-(O62*N62)</f>
      </c>
    </row>
    <row x14ac:dyDescent="0.25" r="64" customHeight="1" ht="18.75">
      <c r="A64" s="1258">
        <v>1947</v>
      </c>
      <c r="B64" s="1259">
        <v>8.675108407354974</v>
      </c>
      <c r="C64" s="1259">
        <v>4.326657804809424</v>
      </c>
      <c r="D64" s="1265">
        <v>0.022631595995343846</v>
      </c>
      <c r="E64" s="1259">
        <v>0.02454318241298569</v>
      </c>
      <c r="F64" s="1"/>
      <c r="G64" s="1261">
        <v>55</v>
      </c>
      <c r="H64" s="1262">
        <f>VLOOKUP($G$6-G64,$A$9:$F$1330,2,0)/1000</f>
      </c>
      <c r="I64" s="1262">
        <f>EXP(-VLOOKUP($G$6-G64,$A$9:$E$1250,4,0)*(G64-$I$7))</f>
      </c>
      <c r="J64" s="1262">
        <f>+H64*I64</f>
      </c>
      <c r="K64" s="1263">
        <f>K63-(K63*J63)</f>
      </c>
      <c r="L64" s="1262">
        <f>VLOOKUP($G$6-G64,$A$9:$F$1330,3,0)/1000</f>
      </c>
      <c r="M64" s="1264">
        <f>EXP(-VLOOKUP($G$6-G64,$A$9:$E$1250,5,0)*(G64-$I$7))</f>
      </c>
      <c r="N64" s="1262">
        <f>+L64*M64</f>
      </c>
      <c r="O64" s="1263">
        <f>O63-(O63*N63)</f>
      </c>
    </row>
    <row x14ac:dyDescent="0.25" r="65" customHeight="1" ht="18.75">
      <c r="A65" s="1258">
        <v>1948</v>
      </c>
      <c r="B65" s="1259">
        <v>8.091977123600325</v>
      </c>
      <c r="C65" s="1259">
        <v>3.9920170909516712</v>
      </c>
      <c r="D65" s="1265">
        <v>0.02217724810311596</v>
      </c>
      <c r="E65" s="1259">
        <v>0.0235620400121488</v>
      </c>
      <c r="F65" s="1"/>
      <c r="G65" s="1261">
        <v>56</v>
      </c>
      <c r="H65" s="1262">
        <f>VLOOKUP($G$6-G65,$A$9:$F$1330,2,0)/1000</f>
      </c>
      <c r="I65" s="1262">
        <f>EXP(-VLOOKUP($G$6-G65,$A$9:$E$1250,4,0)*(G65-$I$7))</f>
      </c>
      <c r="J65" s="1262">
        <f>+H65*I65</f>
      </c>
      <c r="K65" s="1263">
        <f>K64-(K64*J64)</f>
      </c>
      <c r="L65" s="1262">
        <f>VLOOKUP($G$6-G65,$A$9:$F$1330,3,0)/1000</f>
      </c>
      <c r="M65" s="1264">
        <f>EXP(-VLOOKUP($G$6-G65,$A$9:$E$1250,5,0)*(G65-$I$7))</f>
      </c>
      <c r="N65" s="1262">
        <f>+L65*M65</f>
      </c>
      <c r="O65" s="1263">
        <f>O64-(O64*N64)</f>
      </c>
    </row>
    <row x14ac:dyDescent="0.25" r="66" customHeight="1" ht="18.75">
      <c r="A66" s="1258">
        <v>1949</v>
      </c>
      <c r="B66" s="1259">
        <v>7.425796135397815</v>
      </c>
      <c r="C66" s="1259">
        <v>3.612342303619211</v>
      </c>
      <c r="D66" s="1265">
        <v>0.021839272510743035</v>
      </c>
      <c r="E66" s="1259">
        <v>0.02264239490969435</v>
      </c>
      <c r="F66" s="1"/>
      <c r="G66" s="1261">
        <v>57</v>
      </c>
      <c r="H66" s="1262">
        <f>VLOOKUP($G$6-G66,$A$9:$F$1330,2,0)/1000</f>
      </c>
      <c r="I66" s="1262">
        <f>EXP(-VLOOKUP($G$6-G66,$A$9:$E$1250,4,0)*(G66-$I$7))</f>
      </c>
      <c r="J66" s="1262">
        <f>+H66*I66</f>
      </c>
      <c r="K66" s="1263">
        <f>K65-(K65*J65)</f>
      </c>
      <c r="L66" s="1262">
        <f>VLOOKUP($G$6-G66,$A$9:$F$1330,3,0)/1000</f>
      </c>
      <c r="M66" s="1264">
        <f>EXP(-VLOOKUP($G$6-G66,$A$9:$E$1250,5,0)*(G66-$I$7))</f>
      </c>
      <c r="N66" s="1262">
        <f>+L66*M66</f>
      </c>
      <c r="O66" s="1263">
        <f>O65-(O65*N65)</f>
      </c>
    </row>
    <row x14ac:dyDescent="0.25" r="67" customHeight="1" ht="18.75">
      <c r="A67" s="1258">
        <v>1950</v>
      </c>
      <c r="B67" s="1259">
        <v>6.702620131327086</v>
      </c>
      <c r="C67" s="1259">
        <v>3.1777246759411755</v>
      </c>
      <c r="D67" s="1265">
        <v>0.021633911393163202</v>
      </c>
      <c r="E67" s="1259">
        <v>0.021787804747391008</v>
      </c>
      <c r="F67" s="1"/>
      <c r="G67" s="1261">
        <v>58</v>
      </c>
      <c r="H67" s="1262">
        <f>VLOOKUP($G$6-G67,$A$9:$F$1330,2,0)/1000</f>
      </c>
      <c r="I67" s="1262">
        <f>EXP(-VLOOKUP($G$6-G67,$A$9:$E$1250,4,0)*(G67-$I$7))</f>
      </c>
      <c r="J67" s="1262">
        <f>+H67*I67</f>
      </c>
      <c r="K67" s="1263">
        <f>K66-(K66*J66)</f>
      </c>
      <c r="L67" s="1262">
        <f>VLOOKUP($G$6-G67,$A$9:$F$1330,3,0)/1000</f>
      </c>
      <c r="M67" s="1264">
        <f>EXP(-VLOOKUP($G$6-G67,$A$9:$E$1250,5,0)*(G67-$I$7))</f>
      </c>
      <c r="N67" s="1262">
        <f>+L67*M67</f>
      </c>
      <c r="O67" s="1263">
        <f>O66-(O66*N66)</f>
      </c>
    </row>
    <row x14ac:dyDescent="0.25" r="68" customHeight="1" ht="18.75">
      <c r="A68" s="1258">
        <v>1951</v>
      </c>
      <c r="B68" s="1259">
        <v>5.963965076138065</v>
      </c>
      <c r="C68" s="1259">
        <v>2.7192736810466847</v>
      </c>
      <c r="D68" s="1265">
        <v>0.021552720452502405</v>
      </c>
      <c r="E68" s="1259">
        <v>0.02099623715070245</v>
      </c>
      <c r="F68" s="1"/>
      <c r="G68" s="1261">
        <v>59</v>
      </c>
      <c r="H68" s="1262">
        <f>VLOOKUP($G$6-G68,$A$9:$F$1330,2,0)/1000</f>
      </c>
      <c r="I68" s="1262">
        <f>EXP(-VLOOKUP($G$6-G68,$A$9:$E$1250,4,0)*(G68-$I$7))</f>
      </c>
      <c r="J68" s="1262">
        <f>+H68*I68</f>
      </c>
      <c r="K68" s="1263">
        <f>K67-(K67*J67)</f>
      </c>
      <c r="L68" s="1262">
        <f>VLOOKUP($G$6-G68,$A$9:$F$1330,3,0)/1000</f>
      </c>
      <c r="M68" s="1264">
        <f>EXP(-VLOOKUP($G$6-G68,$A$9:$E$1250,5,0)*(G68-$I$7))</f>
      </c>
      <c r="N68" s="1262">
        <f>+L68*M68</f>
      </c>
      <c r="O68" s="1263">
        <f>O67-(O67*N67)</f>
      </c>
    </row>
    <row x14ac:dyDescent="0.25" r="69" customHeight="1" ht="18.75">
      <c r="A69" s="1258">
        <v>1952</v>
      </c>
      <c r="B69" s="1259">
        <v>5.214492626548402</v>
      </c>
      <c r="C69" s="1259">
        <v>2.271574490078047</v>
      </c>
      <c r="D69" s="1265">
        <v>0.021581742366949593</v>
      </c>
      <c r="E69" s="1259">
        <v>0.0202659782880584</v>
      </c>
      <c r="F69" s="1"/>
      <c r="G69" s="1261">
        <v>60</v>
      </c>
      <c r="H69" s="1262">
        <f>VLOOKUP($G$6-G69,$A$9:$F$1330,2,0)/1000</f>
      </c>
      <c r="I69" s="1262">
        <f>EXP(-VLOOKUP($G$6-G69,$A$9:$E$1250,4,0)*(G69-$I$7))</f>
      </c>
      <c r="J69" s="1262">
        <f>+H69*I69</f>
      </c>
      <c r="K69" s="1263">
        <f>K68-(K68*J68)</f>
      </c>
      <c r="L69" s="1262">
        <f>VLOOKUP($G$6-G69,$A$9:$F$1330,3,0)/1000</f>
      </c>
      <c r="M69" s="1264">
        <f>EXP(-VLOOKUP($G$6-G69,$A$9:$E$1250,5,0)*(G69-$I$7))</f>
      </c>
      <c r="N69" s="1262">
        <f>+L69*M69</f>
      </c>
      <c r="O69" s="1263">
        <f>O68-(O68*N68)</f>
      </c>
    </row>
    <row x14ac:dyDescent="0.25" r="70" customHeight="1" ht="18.75">
      <c r="A70" s="1258">
        <v>1953</v>
      </c>
      <c r="B70" s="1259">
        <v>4.8879399999999995</v>
      </c>
      <c r="C70" s="1259">
        <v>2.25264</v>
      </c>
      <c r="D70" s="1265">
        <v>0.021689835132576524</v>
      </c>
      <c r="E70" s="1259">
        <v>0.019601737614882937</v>
      </c>
      <c r="F70" s="1"/>
      <c r="G70" s="1261">
        <v>61</v>
      </c>
      <c r="H70" s="1262">
        <f>VLOOKUP($G$6-G70,$A$9:$F$1330,2,0)/1000</f>
      </c>
      <c r="I70" s="1262">
        <f>EXP(-VLOOKUP($G$6-G70,$A$9:$E$1250,4,0)*(G70-$I$7))</f>
      </c>
      <c r="J70" s="1262">
        <f>+H70*I70</f>
      </c>
      <c r="K70" s="1263">
        <f>K69-(K69*J69)</f>
      </c>
      <c r="L70" s="1262">
        <f>VLOOKUP($G$6-G70,$A$9:$F$1330,3,0)/1000</f>
      </c>
      <c r="M70" s="1264">
        <f>EXP(-VLOOKUP($G$6-G70,$A$9:$E$1250,5,0)*(G70-$I$7))</f>
      </c>
      <c r="N70" s="1262">
        <f>+L70*M70</f>
      </c>
      <c r="O70" s="1263">
        <f>O69-(O69*N69)</f>
      </c>
    </row>
    <row x14ac:dyDescent="0.25" r="71" customHeight="1" ht="18.75">
      <c r="A71" s="1258">
        <v>1954</v>
      </c>
      <c r="B71" s="1259">
        <v>4.564845</v>
      </c>
      <c r="C71" s="1259">
        <v>2.1398275</v>
      </c>
      <c r="D71" s="1265">
        <v>0.021843089395550776</v>
      </c>
      <c r="E71" s="1259">
        <v>0.01901913503812517</v>
      </c>
      <c r="F71" s="1"/>
      <c r="G71" s="1261">
        <v>62</v>
      </c>
      <c r="H71" s="1262">
        <f>VLOOKUP($G$6-G71,$A$9:$F$1330,2,0)/1000</f>
      </c>
      <c r="I71" s="1262">
        <f>EXP(-VLOOKUP($G$6-G71,$A$9:$E$1250,4,0)*(G71-$I$7))</f>
      </c>
      <c r="J71" s="1262">
        <f>+H71*I71</f>
      </c>
      <c r="K71" s="1263">
        <f>K70-(K70*J70)</f>
      </c>
      <c r="L71" s="1262">
        <f>VLOOKUP($G$6-G71,$A$9:$F$1330,3,0)/1000</f>
      </c>
      <c r="M71" s="1264">
        <f>EXP(-VLOOKUP($G$6-G71,$A$9:$E$1250,5,0)*(G71-$I$7))</f>
      </c>
      <c r="N71" s="1262">
        <f>+L71*M71</f>
      </c>
      <c r="O71" s="1263">
        <f>O70-(O70*N70)</f>
      </c>
    </row>
    <row x14ac:dyDescent="0.25" r="72" customHeight="1" ht="18.75">
      <c r="A72" s="1258">
        <v>1955</v>
      </c>
      <c r="B72" s="1259">
        <v>4.243555</v>
      </c>
      <c r="C72" s="1259">
        <v>2.0243075000000004</v>
      </c>
      <c r="D72" s="1265">
        <v>0.022019315772963316</v>
      </c>
      <c r="E72" s="1259">
        <v>0.01854603887059921</v>
      </c>
      <c r="F72" s="1"/>
      <c r="G72" s="1261">
        <v>63</v>
      </c>
      <c r="H72" s="1262">
        <f>VLOOKUP($G$6-G72,$A$9:$F$1330,2,0)/1000</f>
      </c>
      <c r="I72" s="1262">
        <f>EXP(-VLOOKUP($G$6-G72,$A$9:$E$1250,4,0)*(G72-$I$7))</f>
      </c>
      <c r="J72" s="1262">
        <f>+H72*I72</f>
      </c>
      <c r="K72" s="1263">
        <f>K71-(K71*J71)</f>
      </c>
      <c r="L72" s="1262">
        <f>VLOOKUP($G$6-G72,$A$9:$F$1330,3,0)/1000</f>
      </c>
      <c r="M72" s="1264">
        <f>EXP(-VLOOKUP($G$6-G72,$A$9:$E$1250,5,0)*(G72-$I$7))</f>
      </c>
      <c r="N72" s="1262">
        <f>+L72*M72</f>
      </c>
      <c r="O72" s="1263">
        <f>O71-(O71*N71)</f>
      </c>
    </row>
    <row x14ac:dyDescent="0.25" r="73" customHeight="1" ht="18.75">
      <c r="A73" s="1258">
        <v>1956</v>
      </c>
      <c r="B73" s="1259">
        <v>3.9231675000000004</v>
      </c>
      <c r="C73" s="1259">
        <v>1.9069825</v>
      </c>
      <c r="D73" s="1265">
        <v>0.022216407479868364</v>
      </c>
      <c r="E73" s="1259">
        <v>0.01822001615382581</v>
      </c>
      <c r="F73" s="1"/>
      <c r="G73" s="1261">
        <v>64</v>
      </c>
      <c r="H73" s="1262">
        <f>VLOOKUP($G$6-G73,$A$9:$F$1330,2,0)/1000</f>
      </c>
      <c r="I73" s="1262">
        <f>EXP(-VLOOKUP($G$6-G73,$A$9:$E$1250,4,0)*(G73-$I$7))</f>
      </c>
      <c r="J73" s="1262">
        <f>+H73*I73</f>
      </c>
      <c r="K73" s="1263">
        <f>K72-(K72*J72)</f>
      </c>
      <c r="L73" s="1262">
        <f>VLOOKUP($G$6-G73,$A$9:$F$1330,3,0)/1000</f>
      </c>
      <c r="M73" s="1264">
        <f>EXP(-VLOOKUP($G$6-G73,$A$9:$E$1250,5,0)*(G73-$I$7))</f>
      </c>
      <c r="N73" s="1262">
        <f>+L73*M73</f>
      </c>
      <c r="O73" s="1263">
        <f>O72-(O72*N72)</f>
      </c>
    </row>
    <row x14ac:dyDescent="0.25" r="74" customHeight="1" ht="18.75">
      <c r="A74" s="1258">
        <v>1957</v>
      </c>
      <c r="B74" s="1259">
        <v>3.61</v>
      </c>
      <c r="C74" s="1259">
        <v>1.7878525</v>
      </c>
      <c r="D74" s="1265">
        <v>0.02245343649375601</v>
      </c>
      <c r="E74" s="1259">
        <v>0.0180822724272878</v>
      </c>
      <c r="F74" s="1"/>
      <c r="G74" s="1261">
        <v>65</v>
      </c>
      <c r="H74" s="1262">
        <f>VLOOKUP($G$6-G74,$A$9:$F$1330,2,0)/1000</f>
      </c>
      <c r="I74" s="1262">
        <f>EXP(-VLOOKUP($G$6-G74,$A$9:$E$1250,4,0)*(G74-$I$7))</f>
      </c>
      <c r="J74" s="1262">
        <f>+H74*I74</f>
      </c>
      <c r="K74" s="1263">
        <f>K73-(K73*J73)</f>
      </c>
      <c r="L74" s="1262">
        <f>VLOOKUP($G$6-G74,$A$9:$F$1330,3,0)/1000</f>
      </c>
      <c r="M74" s="1264">
        <f>EXP(-VLOOKUP($G$6-G74,$A$9:$E$1250,5,0)*(G74-$I$7))</f>
      </c>
      <c r="N74" s="1262">
        <f>+L74*M74</f>
      </c>
      <c r="O74" s="1263">
        <f>O73-(O73*N73)</f>
      </c>
    </row>
    <row x14ac:dyDescent="0.25" r="75" customHeight="1" ht="18.75">
      <c r="A75" s="1258">
        <v>1958</v>
      </c>
      <c r="B75" s="1259">
        <v>3.3076624999999997</v>
      </c>
      <c r="C75" s="1259">
        <v>1.6687224999999999</v>
      </c>
      <c r="D75" s="1265">
        <v>0.022771417755319615</v>
      </c>
      <c r="E75" s="1259">
        <v>0.018169343561890955</v>
      </c>
      <c r="F75" s="1"/>
      <c r="G75" s="1261">
        <v>66</v>
      </c>
      <c r="H75" s="1262">
        <f>VLOOKUP($G$6-G75,$A$9:$F$1330,2,0)/1000</f>
      </c>
      <c r="I75" s="1262">
        <f>EXP(-VLOOKUP($G$6-G75,$A$9:$E$1250,4,0)*(G75-$I$7))</f>
      </c>
      <c r="J75" s="1262">
        <f>+H75*I75</f>
      </c>
      <c r="K75" s="1263">
        <f>K74-(K74*J74)</f>
      </c>
      <c r="L75" s="1262">
        <f>VLOOKUP($G$6-G75,$A$9:$F$1330,3,0)/1000</f>
      </c>
      <c r="M75" s="1264">
        <f>EXP(-VLOOKUP($G$6-G75,$A$9:$E$1250,5,0)*(G75-$I$7))</f>
      </c>
      <c r="N75" s="1262">
        <f>+L75*M75</f>
      </c>
      <c r="O75" s="1263">
        <f>O74-(O74*N74)</f>
      </c>
    </row>
    <row x14ac:dyDescent="0.25" r="76" customHeight="1" ht="18.75">
      <c r="A76" s="1258">
        <v>1959</v>
      </c>
      <c r="B76" s="1259">
        <v>3.0188624999999996</v>
      </c>
      <c r="C76" s="1259">
        <v>1.5513975</v>
      </c>
      <c r="D76" s="1265">
        <v>0.023242052111201804</v>
      </c>
      <c r="E76" s="1259">
        <v>0.018504302304402392</v>
      </c>
      <c r="F76" s="1"/>
      <c r="G76" s="1261">
        <v>67</v>
      </c>
      <c r="H76" s="1262">
        <f>VLOOKUP($G$6-G76,$A$9:$F$1330,2,0)/1000</f>
      </c>
      <c r="I76" s="1262">
        <f>EXP(-VLOOKUP($G$6-G76,$A$9:$E$1250,4,0)*(G76-$I$7))</f>
      </c>
      <c r="J76" s="1262">
        <f>+H76*I76</f>
      </c>
      <c r="K76" s="1263">
        <f>K75-(K75*J75)</f>
      </c>
      <c r="L76" s="1262">
        <f>VLOOKUP($G$6-G76,$A$9:$F$1330,3,0)/1000</f>
      </c>
      <c r="M76" s="1264">
        <f>EXP(-VLOOKUP($G$6-G76,$A$9:$E$1250,5,0)*(G76-$I$7))</f>
      </c>
      <c r="N76" s="1262">
        <f>+L76*M76</f>
      </c>
      <c r="O76" s="1263">
        <f>O75-(O75*N75)</f>
      </c>
    </row>
    <row x14ac:dyDescent="0.25" r="77" customHeight="1" ht="18.75">
      <c r="A77" s="1258">
        <v>1960</v>
      </c>
      <c r="B77" s="1259">
        <v>2.745405</v>
      </c>
      <c r="C77" s="1259">
        <v>1.4358775</v>
      </c>
      <c r="D77" s="1265">
        <v>0.0239401036850932</v>
      </c>
      <c r="E77" s="1259">
        <v>0.019089456137488484</v>
      </c>
      <c r="F77" s="1"/>
      <c r="G77" s="1261">
        <v>68</v>
      </c>
      <c r="H77" s="1262">
        <f>VLOOKUP($G$6-G77,$A$9:$F$1330,2,0)/1000</f>
      </c>
      <c r="I77" s="1262">
        <f>EXP(-VLOOKUP($G$6-G77,$A$9:$E$1250,4,0)*(G77-$I$7))</f>
      </c>
      <c r="J77" s="1262">
        <f>+H77*I77</f>
      </c>
      <c r="K77" s="1263">
        <f>K76-(K76*J76)</f>
      </c>
      <c r="L77" s="1262">
        <f>VLOOKUP($G$6-G77,$A$9:$F$1330,3,0)/1000</f>
      </c>
      <c r="M77" s="1264">
        <f>EXP(-VLOOKUP($G$6-G77,$A$9:$E$1250,5,0)*(G77-$I$7))</f>
      </c>
      <c r="N77" s="1262">
        <f>+L77*M77</f>
      </c>
      <c r="O77" s="1263">
        <f>O76-(O76*N76)</f>
      </c>
    </row>
    <row x14ac:dyDescent="0.25" r="78" customHeight="1" ht="18.75">
      <c r="A78" s="1258">
        <v>1961</v>
      </c>
      <c r="B78" s="1259">
        <v>2.4863874999999998</v>
      </c>
      <c r="C78" s="1259">
        <v>1.323065</v>
      </c>
      <c r="D78" s="1265">
        <v>0.0249180817421154</v>
      </c>
      <c r="E78" s="1259">
        <v>0.01990246166843977</v>
      </c>
      <c r="F78" s="1"/>
      <c r="G78" s="1261">
        <v>69</v>
      </c>
      <c r="H78" s="1262">
        <f>VLOOKUP($G$6-G78,$A$9:$F$1330,2,0)/1000</f>
      </c>
      <c r="I78" s="1262">
        <f>EXP(-VLOOKUP($G$6-G78,$A$9:$E$1250,4,0)*(G78-$I$7))</f>
      </c>
      <c r="J78" s="1262">
        <f>+H78*I78</f>
      </c>
      <c r="K78" s="1263">
        <f>K77-(K77*J77)</f>
      </c>
      <c r="L78" s="1262">
        <f>VLOOKUP($G$6-G78,$A$9:$F$1330,3,0)/1000</f>
      </c>
      <c r="M78" s="1264">
        <f>EXP(-VLOOKUP($G$6-G78,$A$9:$E$1250,5,0)*(G78-$I$7))</f>
      </c>
      <c r="N78" s="1262">
        <f>+L78*M78</f>
      </c>
      <c r="O78" s="1263">
        <f>O77-(O77*N77)</f>
      </c>
    </row>
    <row x14ac:dyDescent="0.25" r="79" customHeight="1" ht="18.75">
      <c r="A79" s="1258">
        <v>1962</v>
      </c>
      <c r="B79" s="1259">
        <v>2.2436149999999997</v>
      </c>
      <c r="C79" s="1259">
        <v>1.214765</v>
      </c>
      <c r="D79" s="1265">
        <v>0.026182141992444986</v>
      </c>
      <c r="E79" s="1259">
        <v>0.020897261997377594</v>
      </c>
      <c r="F79" s="1"/>
      <c r="G79" s="1261">
        <v>70</v>
      </c>
      <c r="H79" s="1262">
        <f>VLOOKUP($G$6-G79,$A$9:$F$1330,2,0)/1000</f>
      </c>
      <c r="I79" s="1262">
        <f>EXP(-VLOOKUP($G$6-G79,$A$9:$E$1250,4,0)*(G79-$I$7))</f>
      </c>
      <c r="J79" s="1262">
        <f>+H79*I79</f>
      </c>
      <c r="K79" s="1263">
        <f>K78-(K78*J78)</f>
      </c>
      <c r="L79" s="1262">
        <f>VLOOKUP($G$6-G79,$A$9:$F$1330,3,0)/1000</f>
      </c>
      <c r="M79" s="1264">
        <f>EXP(-VLOOKUP($G$6-G79,$A$9:$E$1250,5,0)*(G79-$I$7))</f>
      </c>
      <c r="N79" s="1262">
        <f>+L79*M79</f>
      </c>
      <c r="O79" s="1263">
        <f>O78-(O78*N78)</f>
      </c>
    </row>
    <row x14ac:dyDescent="0.25" r="80" customHeight="1" ht="18.75">
      <c r="A80" s="1258">
        <v>1963</v>
      </c>
      <c r="B80" s="1259">
        <v>2.0170874999999997</v>
      </c>
      <c r="C80" s="1259">
        <v>1.110075</v>
      </c>
      <c r="D80" s="1265">
        <v>0.027694695236459368</v>
      </c>
      <c r="E80" s="1259">
        <v>0.022010010958267812</v>
      </c>
      <c r="F80" s="1"/>
      <c r="G80" s="1261">
        <v>71</v>
      </c>
      <c r="H80" s="1262">
        <f>VLOOKUP($G$6-G80,$A$9:$F$1330,2,0)/1000</f>
      </c>
      <c r="I80" s="1262">
        <f>EXP(-VLOOKUP($G$6-G80,$A$9:$E$1250,4,0)*(G80-$I$7))</f>
      </c>
      <c r="J80" s="1262">
        <f>+H80*I80</f>
      </c>
      <c r="K80" s="1263">
        <f>K79-(K79*J79)</f>
      </c>
      <c r="L80" s="1262">
        <f>VLOOKUP($G$6-G80,$A$9:$F$1330,3,0)/1000</f>
      </c>
      <c r="M80" s="1264">
        <f>EXP(-VLOOKUP($G$6-G80,$A$9:$E$1250,5,0)*(G80-$I$7))</f>
      </c>
      <c r="N80" s="1262">
        <f>+L80*M80</f>
      </c>
      <c r="O80" s="1263">
        <f>O79-(O79*N79)</f>
      </c>
    </row>
    <row x14ac:dyDescent="0.25" r="81" customHeight="1" ht="18.75">
      <c r="A81" s="1258">
        <v>1964</v>
      </c>
      <c r="B81" s="1259">
        <v>1.8077075</v>
      </c>
      <c r="C81" s="1259">
        <v>1.0108</v>
      </c>
      <c r="D81" s="1265">
        <v>0.02938631974383993</v>
      </c>
      <c r="E81" s="1259">
        <v>0.02316872315632922</v>
      </c>
      <c r="F81" s="1"/>
      <c r="G81" s="1261">
        <v>72</v>
      </c>
      <c r="H81" s="1262">
        <f>VLOOKUP($G$6-G81,$A$9:$F$1330,2,0)/1000</f>
      </c>
      <c r="I81" s="1262">
        <f>EXP(-VLOOKUP($G$6-G81,$A$9:$E$1250,4,0)*(G81-$I$7))</f>
      </c>
      <c r="J81" s="1262">
        <f>+H81*I81</f>
      </c>
      <c r="K81" s="1263">
        <f>K80-(K80*J80)</f>
      </c>
      <c r="L81" s="1262">
        <f>VLOOKUP($G$6-G81,$A$9:$F$1330,3,0)/1000</f>
      </c>
      <c r="M81" s="1264">
        <f>EXP(-VLOOKUP($G$6-G81,$A$9:$E$1250,5,0)*(G81-$I$7))</f>
      </c>
      <c r="N81" s="1262">
        <f>+L81*M81</f>
      </c>
      <c r="O81" s="1263">
        <f>O80-(O80*N80)</f>
      </c>
    </row>
    <row x14ac:dyDescent="0.25" r="82" customHeight="1" ht="18.75">
      <c r="A82" s="1258">
        <v>1965</v>
      </c>
      <c r="B82" s="1259">
        <v>1.61367</v>
      </c>
      <c r="C82" s="1259">
        <v>0.91694</v>
      </c>
      <c r="D82" s="1265">
        <v>0.03116203563511919</v>
      </c>
      <c r="E82" s="1259">
        <v>0.02430450035815816</v>
      </c>
      <c r="F82" s="1"/>
      <c r="G82" s="1261">
        <v>73</v>
      </c>
      <c r="H82" s="1262">
        <f>VLOOKUP($G$6-G82,$A$9:$F$1330,2,0)/1000</f>
      </c>
      <c r="I82" s="1262">
        <f>EXP(-VLOOKUP($G$6-G82,$A$9:$E$1250,4,0)*(G82-$I$7))</f>
      </c>
      <c r="J82" s="1262">
        <f>+H82*I82</f>
      </c>
      <c r="K82" s="1263">
        <f>K81-(K81*J81)</f>
      </c>
      <c r="L82" s="1262">
        <f>VLOOKUP($G$6-G82,$A$9:$F$1330,3,0)/1000</f>
      </c>
      <c r="M82" s="1264">
        <f>EXP(-VLOOKUP($G$6-G82,$A$9:$E$1250,5,0)*(G82-$I$7))</f>
      </c>
      <c r="N82" s="1262">
        <f>+L82*M82</f>
      </c>
      <c r="O82" s="1263">
        <f>O81-(O81*N81)</f>
      </c>
    </row>
    <row x14ac:dyDescent="0.25" r="83" customHeight="1" ht="18.75">
      <c r="A83" s="1258">
        <v>1966</v>
      </c>
      <c r="B83" s="1259">
        <v>1.43678</v>
      </c>
      <c r="C83" s="1259">
        <v>0.8284949999999999</v>
      </c>
      <c r="D83" s="1265">
        <v>0.032898367099240496</v>
      </c>
      <c r="E83" s="1259">
        <v>0.02536220672430765</v>
      </c>
      <c r="F83" s="1"/>
      <c r="G83" s="1261">
        <v>74</v>
      </c>
      <c r="H83" s="1262">
        <f>VLOOKUP($G$6-G83,$A$9:$F$1330,2,0)/1000</f>
      </c>
      <c r="I83" s="1262">
        <f>EXP(-VLOOKUP($G$6-G83,$A$9:$E$1250,4,0)*(G83-$I$7))</f>
      </c>
      <c r="J83" s="1262">
        <f>+H83*I83</f>
      </c>
      <c r="K83" s="1263">
        <f>K82-(K82*J82)</f>
      </c>
      <c r="L83" s="1262">
        <f>VLOOKUP($G$6-G83,$A$9:$F$1330,3,0)/1000</f>
      </c>
      <c r="M83" s="1264">
        <f>EXP(-VLOOKUP($G$6-G83,$A$9:$E$1250,5,0)*(G83-$I$7))</f>
      </c>
      <c r="N83" s="1262">
        <f>+L83*M83</f>
      </c>
      <c r="O83" s="1263">
        <f>O82-(O82*N82)</f>
      </c>
    </row>
    <row x14ac:dyDescent="0.25" r="84" customHeight="1" ht="18.75">
      <c r="A84" s="1258">
        <v>1967</v>
      </c>
      <c r="B84" s="1259">
        <v>1.2752325</v>
      </c>
      <c r="C84" s="1259">
        <v>0.74727</v>
      </c>
      <c r="D84" s="1265">
        <v>0.03449584955201973</v>
      </c>
      <c r="E84" s="1259">
        <v>0.0263089906031945</v>
      </c>
      <c r="F84" s="1"/>
      <c r="G84" s="1261">
        <v>75</v>
      </c>
      <c r="H84" s="1262">
        <f>VLOOKUP($G$6-G84,$A$9:$F$1330,2,0)/1000</f>
      </c>
      <c r="I84" s="1262">
        <f>EXP(-VLOOKUP($G$6-G84,$A$9:$E$1250,4,0)*(G84-$I$7))</f>
      </c>
      <c r="J84" s="1262">
        <f>+H84*I84</f>
      </c>
      <c r="K84" s="1263">
        <f>K83-(K83*J83)</f>
      </c>
      <c r="L84" s="1262">
        <f>VLOOKUP($G$6-G84,$A$9:$F$1330,3,0)/1000</f>
      </c>
      <c r="M84" s="1264">
        <f>EXP(-VLOOKUP($G$6-G84,$A$9:$E$1250,5,0)*(G84-$I$7))</f>
      </c>
      <c r="N84" s="1262">
        <f>+L84*M84</f>
      </c>
      <c r="O84" s="1263">
        <f>O83-(O83*N83)</f>
      </c>
    </row>
    <row x14ac:dyDescent="0.25" r="85" customHeight="1" ht="18.75">
      <c r="A85" s="1258">
        <v>1968</v>
      </c>
      <c r="B85" s="1259">
        <v>1.1290274999999999</v>
      </c>
      <c r="C85" s="1259">
        <v>0.67146</v>
      </c>
      <c r="D85" s="1265">
        <v>0.03591824085054355</v>
      </c>
      <c r="E85" s="1259">
        <v>0.02713922016828044</v>
      </c>
      <c r="F85" s="1"/>
      <c r="G85" s="1261">
        <v>76</v>
      </c>
      <c r="H85" s="1262">
        <f>VLOOKUP($G$6-G85,$A$9:$F$1330,2,0)/1000</f>
      </c>
      <c r="I85" s="1262">
        <f>EXP(-VLOOKUP($G$6-G85,$A$9:$E$1250,4,0)*(G85-$I$7))</f>
      </c>
      <c r="J85" s="1262">
        <f>+H85*I85</f>
      </c>
      <c r="K85" s="1263">
        <f>K84-(K84*J84)</f>
      </c>
      <c r="L85" s="1262">
        <f>VLOOKUP($G$6-G85,$A$9:$F$1330,3,0)/1000</f>
      </c>
      <c r="M85" s="1264">
        <f>EXP(-VLOOKUP($G$6-G85,$A$9:$E$1250,5,0)*(G85-$I$7))</f>
      </c>
      <c r="N85" s="1262">
        <f>+L85*M85</f>
      </c>
      <c r="O85" s="1263">
        <f>O84-(O84*N84)</f>
      </c>
    </row>
    <row x14ac:dyDescent="0.25" r="86" customHeight="1" ht="18.75">
      <c r="A86" s="1258">
        <v>1969</v>
      </c>
      <c r="B86" s="1259">
        <v>0.9972624999999999</v>
      </c>
      <c r="C86" s="1259">
        <v>0.601065</v>
      </c>
      <c r="D86" s="1265">
        <v>0.03716424384653305</v>
      </c>
      <c r="E86" s="1259">
        <v>0.027874487866851247</v>
      </c>
      <c r="F86" s="1"/>
      <c r="G86" s="1261">
        <v>77</v>
      </c>
      <c r="H86" s="1262">
        <f>VLOOKUP($G$6-G86,$A$9:$F$1330,2,0)/1000</f>
      </c>
      <c r="I86" s="1262">
        <f>EXP(-VLOOKUP($G$6-G86,$A$9:$E$1250,4,0)*(G86-$I$7))</f>
      </c>
      <c r="J86" s="1262">
        <f>+H86*I86</f>
      </c>
      <c r="K86" s="1263">
        <f>K85-(K85*J85)</f>
      </c>
      <c r="L86" s="1262">
        <f>VLOOKUP($G$6-G86,$A$9:$F$1330,3,0)/1000</f>
      </c>
      <c r="M86" s="1264">
        <f>EXP(-VLOOKUP($G$6-G86,$A$9:$E$1250,5,0)*(G86-$I$7))</f>
      </c>
      <c r="N86" s="1262">
        <f>+L86*M86</f>
      </c>
      <c r="O86" s="1263">
        <f>O85-(O85*N85)</f>
      </c>
    </row>
    <row x14ac:dyDescent="0.25" r="87" customHeight="1" ht="18.75">
      <c r="A87" s="1258">
        <v>1970</v>
      </c>
      <c r="B87" s="1259">
        <v>0.88084</v>
      </c>
      <c r="C87" s="1259">
        <v>0.53789</v>
      </c>
      <c r="D87" s="1265">
        <v>0.03824710135819602</v>
      </c>
      <c r="E87" s="1259">
        <v>0.028557732001907407</v>
      </c>
      <c r="F87" s="1"/>
      <c r="G87" s="1261">
        <v>78</v>
      </c>
      <c r="H87" s="1262">
        <f>VLOOKUP($G$6-G87,$A$9:$F$1330,2,0)/1000</f>
      </c>
      <c r="I87" s="1262">
        <f>EXP(-VLOOKUP($G$6-G87,$A$9:$E$1250,4,0)*(G87-$I$7))</f>
      </c>
      <c r="J87" s="1262">
        <f>+H87*I87</f>
      </c>
      <c r="K87" s="1263">
        <f>K86-(K86*J86)</f>
      </c>
      <c r="L87" s="1262">
        <f>VLOOKUP($G$6-G87,$A$9:$F$1330,3,0)/1000</f>
      </c>
      <c r="M87" s="1264">
        <f>EXP(-VLOOKUP($G$6-G87,$A$9:$E$1250,5,0)*(G87-$I$7))</f>
      </c>
      <c r="N87" s="1262">
        <f>+L87*M87</f>
      </c>
      <c r="O87" s="1263">
        <f>O86-(O86*N86)</f>
      </c>
    </row>
    <row x14ac:dyDescent="0.25" r="88" customHeight="1" ht="18.75">
      <c r="A88" s="1258">
        <v>1971</v>
      </c>
      <c r="B88" s="1259">
        <v>0.7770524999999999</v>
      </c>
      <c r="C88" s="1259">
        <v>0.48013</v>
      </c>
      <c r="D88" s="1265">
        <v>0.03918727894975495</v>
      </c>
      <c r="E88" s="1259">
        <v>0.029241677904374194</v>
      </c>
      <c r="F88" s="1"/>
      <c r="G88" s="1261">
        <v>79</v>
      </c>
      <c r="H88" s="1262">
        <f>VLOOKUP($G$6-G88,$A$9:$F$1330,2,0)/1000</f>
      </c>
      <c r="I88" s="1262">
        <f>EXP(-VLOOKUP($G$6-G88,$A$9:$E$1250,4,0)*(G88-$I$7))</f>
      </c>
      <c r="J88" s="1262">
        <f>+H88*I88</f>
      </c>
      <c r="K88" s="1263">
        <f>K87-(K87*J87)</f>
      </c>
      <c r="L88" s="1262">
        <f>VLOOKUP($G$6-G88,$A$9:$F$1330,3,0)/1000</f>
      </c>
      <c r="M88" s="1264">
        <f>EXP(-VLOOKUP($G$6-G88,$A$9:$E$1250,5,0)*(G88-$I$7))</f>
      </c>
      <c r="N88" s="1262">
        <f>+L88*M88</f>
      </c>
      <c r="O88" s="1263">
        <f>O87-(O87*N87)</f>
      </c>
    </row>
    <row x14ac:dyDescent="0.25" r="89" customHeight="1" ht="18.75">
      <c r="A89" s="1258">
        <v>1972</v>
      </c>
      <c r="B89" s="1259">
        <v>0.687705</v>
      </c>
      <c r="C89" s="1259">
        <v>0.42868749999999994</v>
      </c>
      <c r="D89" s="1265">
        <v>0.04</v>
      </c>
      <c r="E89" s="1259">
        <v>0.029973852026400762</v>
      </c>
      <c r="F89" s="1"/>
      <c r="G89" s="1261">
        <v>80</v>
      </c>
      <c r="H89" s="1262">
        <f>VLOOKUP($G$6-G89,$A$9:$F$1330,2,0)/1000</f>
      </c>
      <c r="I89" s="1262">
        <f>EXP(-VLOOKUP($G$6-G89,$A$9:$E$1250,4,0)*(G89-$I$7))</f>
      </c>
      <c r="J89" s="1262">
        <f>+H89*I89</f>
      </c>
      <c r="K89" s="1263">
        <f>K88-(K88*J88)</f>
      </c>
      <c r="L89" s="1262">
        <f>VLOOKUP($G$6-G89,$A$9:$F$1330,3,0)/1000</f>
      </c>
      <c r="M89" s="1264">
        <f>EXP(-VLOOKUP($G$6-G89,$A$9:$E$1250,5,0)*(G89-$I$7))</f>
      </c>
      <c r="N89" s="1262">
        <f>+L89*M89</f>
      </c>
      <c r="O89" s="1263">
        <f>O88-(O88*N88)</f>
      </c>
    </row>
    <row x14ac:dyDescent="0.25" r="90" customHeight="1" ht="18.75">
      <c r="A90" s="1258">
        <v>1973</v>
      </c>
      <c r="B90" s="1259">
        <v>0.6100899999999999</v>
      </c>
      <c r="C90" s="1259">
        <v>0.3835625</v>
      </c>
      <c r="D90" s="1265">
        <v>0.04</v>
      </c>
      <c r="E90" s="1259">
        <v>0.030782397323420852</v>
      </c>
      <c r="F90" s="1"/>
      <c r="G90" s="1261">
        <v>81</v>
      </c>
      <c r="H90" s="1262">
        <f>VLOOKUP($G$6-G90,$A$9:$F$1330,2,0)/1000</f>
      </c>
      <c r="I90" s="1262">
        <f>EXP(-VLOOKUP($G$6-G90,$A$9:$E$1250,4,0)*(G90-$I$7))</f>
      </c>
      <c r="J90" s="1262">
        <f>+H90*I90</f>
      </c>
      <c r="K90" s="1263">
        <f>K89-(K89*J89)</f>
      </c>
      <c r="L90" s="1262">
        <f>VLOOKUP($G$6-G90,$A$9:$F$1330,3,0)/1000</f>
      </c>
      <c r="M90" s="1264">
        <f>EXP(-VLOOKUP($G$6-G90,$A$9:$E$1250,5,0)*(G90-$I$7))</f>
      </c>
      <c r="N90" s="1262">
        <f>+L90*M90</f>
      </c>
      <c r="O90" s="1263">
        <f>O89-(O89*N89)</f>
      </c>
    </row>
    <row x14ac:dyDescent="0.25" r="91" customHeight="1" ht="18.75">
      <c r="A91" s="1258">
        <v>1974</v>
      </c>
      <c r="B91" s="1259">
        <v>0.5451100000000001</v>
      </c>
      <c r="C91" s="1259">
        <v>0.34295</v>
      </c>
      <c r="D91" s="1265">
        <v>0.04</v>
      </c>
      <c r="E91" s="1259">
        <v>0.03166721935481397</v>
      </c>
      <c r="F91" s="1"/>
      <c r="G91" s="1261">
        <v>82</v>
      </c>
      <c r="H91" s="1262">
        <f>VLOOKUP($G$6-G91,$A$9:$F$1330,2,0)/1000</f>
      </c>
      <c r="I91" s="1262">
        <f>EXP(-VLOOKUP($G$6-G91,$A$9:$E$1250,4,0)*(G91-$I$7))</f>
      </c>
      <c r="J91" s="1262">
        <f>+H91*I91</f>
      </c>
      <c r="K91" s="1263">
        <f>K90-(K90*J90)</f>
      </c>
      <c r="L91" s="1262">
        <f>VLOOKUP($G$6-G91,$A$9:$F$1330,3,0)/1000</f>
      </c>
      <c r="M91" s="1264">
        <f>EXP(-VLOOKUP($G$6-G91,$A$9:$E$1250,5,0)*(G91-$I$7))</f>
      </c>
      <c r="N91" s="1262">
        <f>+L91*M91</f>
      </c>
      <c r="O91" s="1263">
        <f>O90-(O90*N90)</f>
      </c>
    </row>
    <row x14ac:dyDescent="0.25" r="92" customHeight="1" ht="18.75">
      <c r="A92" s="1258">
        <v>1975</v>
      </c>
      <c r="B92" s="1259">
        <v>0.49096</v>
      </c>
      <c r="C92" s="1259">
        <v>0.30685</v>
      </c>
      <c r="D92" s="1265">
        <v>0.04</v>
      </c>
      <c r="E92" s="1259">
        <v>0.03259926701036096</v>
      </c>
      <c r="F92" s="1"/>
      <c r="G92" s="1261">
        <v>83</v>
      </c>
      <c r="H92" s="1262">
        <f>VLOOKUP($G$6-G92,$A$9:$F$1330,2,0)/1000</f>
      </c>
      <c r="I92" s="1262">
        <f>EXP(-VLOOKUP($G$6-G92,$A$9:$E$1250,4,0)*(G92-$I$7))</f>
      </c>
      <c r="J92" s="1262">
        <f>+H92*I92</f>
      </c>
      <c r="K92" s="1263">
        <f>K91-(K91*J91)</f>
      </c>
      <c r="L92" s="1262">
        <f>VLOOKUP($G$6-G92,$A$9:$F$1330,3,0)/1000</f>
      </c>
      <c r="M92" s="1264">
        <f>EXP(-VLOOKUP($G$6-G92,$A$9:$E$1250,5,0)*(G92-$I$7))</f>
      </c>
      <c r="N92" s="1262">
        <f>+L92*M92</f>
      </c>
      <c r="O92" s="1263">
        <f>O91-(O91*N91)</f>
      </c>
    </row>
    <row x14ac:dyDescent="0.25" r="93" customHeight="1" ht="18.75">
      <c r="A93" s="1258">
        <v>1976</v>
      </c>
      <c r="B93" s="1259">
        <v>0.44764</v>
      </c>
      <c r="C93" s="1259">
        <v>0.27436</v>
      </c>
      <c r="D93" s="1265">
        <v>0.04</v>
      </c>
      <c r="E93" s="1259">
        <v>0.03352801453340271</v>
      </c>
      <c r="F93" s="1"/>
      <c r="G93" s="1261">
        <v>84</v>
      </c>
      <c r="H93" s="1262">
        <f>VLOOKUP($G$6-G93,$A$9:$F$1330,2,0)/1000</f>
      </c>
      <c r="I93" s="1262">
        <f>EXP(-VLOOKUP($G$6-G93,$A$9:$E$1250,4,0)*(G93-$I$7))</f>
      </c>
      <c r="J93" s="1262">
        <f>+H93*I93</f>
      </c>
      <c r="K93" s="1263">
        <f>K92-(K92*J92)</f>
      </c>
      <c r="L93" s="1262">
        <f>VLOOKUP($G$6-G93,$A$9:$F$1330,3,0)/1000</f>
      </c>
      <c r="M93" s="1264">
        <f>EXP(-VLOOKUP($G$6-G93,$A$9:$E$1250,5,0)*(G93-$I$7))</f>
      </c>
      <c r="N93" s="1262">
        <f>+L93*M93</f>
      </c>
      <c r="O93" s="1263">
        <f>O92-(O92*N92)</f>
      </c>
    </row>
    <row x14ac:dyDescent="0.25" r="94" customHeight="1" ht="18.75">
      <c r="A94" s="1258">
        <v>1977</v>
      </c>
      <c r="B94" s="1259">
        <v>0.4124425</v>
      </c>
      <c r="C94" s="1259">
        <v>0.2463825</v>
      </c>
      <c r="D94" s="1265">
        <v>0.04</v>
      </c>
      <c r="E94" s="1259">
        <v>0.034394722483079065</v>
      </c>
      <c r="F94" s="1"/>
      <c r="G94" s="1261">
        <v>85</v>
      </c>
      <c r="H94" s="1262">
        <f>VLOOKUP($G$6-G94,$A$9:$F$1330,2,0)/1000</f>
      </c>
      <c r="I94" s="1262">
        <f>EXP(-VLOOKUP($G$6-G94,$A$9:$E$1250,4,0)*(G94-$I$7))</f>
      </c>
      <c r="J94" s="1262">
        <f>+H94*I94</f>
      </c>
      <c r="K94" s="1263">
        <f>K93-(K93*J93)</f>
      </c>
      <c r="L94" s="1262">
        <f>VLOOKUP($G$6-G94,$A$9:$F$1330,3,0)/1000</f>
      </c>
      <c r="M94" s="1264">
        <f>EXP(-VLOOKUP($G$6-G94,$A$9:$E$1250,5,0)*(G94-$I$7))</f>
      </c>
      <c r="N94" s="1262">
        <f>+L94*M94</f>
      </c>
      <c r="O94" s="1263">
        <f>O93-(O93*N93)</f>
      </c>
    </row>
    <row x14ac:dyDescent="0.25" r="95" customHeight="1" ht="18.75">
      <c r="A95" s="1258">
        <v>1978</v>
      </c>
      <c r="B95" s="1259">
        <v>0.3835625</v>
      </c>
      <c r="C95" s="1259">
        <v>0.22201500000000002</v>
      </c>
      <c r="D95" s="1265">
        <v>0.04</v>
      </c>
      <c r="E95" s="1259">
        <v>0.035147620758783325</v>
      </c>
      <c r="F95" s="1"/>
      <c r="G95" s="1261">
        <v>86</v>
      </c>
      <c r="H95" s="1262">
        <f>VLOOKUP($G$6-G95,$A$9:$F$1330,2,0)/1000</f>
      </c>
      <c r="I95" s="1262">
        <f>EXP(-VLOOKUP($G$6-G95,$A$9:$E$1250,4,0)*(G95-$I$7))</f>
      </c>
      <c r="J95" s="1262">
        <f>+H95*I95</f>
      </c>
      <c r="K95" s="1263">
        <f>K94-(K94*J94)</f>
      </c>
      <c r="L95" s="1262">
        <f>VLOOKUP($G$6-G95,$A$9:$F$1330,3,0)/1000</f>
      </c>
      <c r="M95" s="1264">
        <f>EXP(-VLOOKUP($G$6-G95,$A$9:$E$1250,5,0)*(G95-$I$7))</f>
      </c>
      <c r="N95" s="1262">
        <f>+L95*M95</f>
      </c>
      <c r="O95" s="1263">
        <f>O94-(O94*N94)</f>
      </c>
    </row>
    <row x14ac:dyDescent="0.25" r="96" customHeight="1" ht="18.75">
      <c r="A96" s="1258">
        <v>1979</v>
      </c>
      <c r="B96" s="1259">
        <v>0.359195</v>
      </c>
      <c r="C96" s="1259">
        <v>0.2012575</v>
      </c>
      <c r="D96" s="1265">
        <v>0.04</v>
      </c>
      <c r="E96" s="1259">
        <v>0.0357545903366294</v>
      </c>
      <c r="F96" s="1"/>
      <c r="G96" s="1261">
        <v>87</v>
      </c>
      <c r="H96" s="1262">
        <f>VLOOKUP($G$6-G96,$A$9:$F$1330,2,0)/1000</f>
      </c>
      <c r="I96" s="1262">
        <f>EXP(-VLOOKUP($G$6-G96,$A$9:$E$1250,4,0)*(G96-$I$7))</f>
      </c>
      <c r="J96" s="1262">
        <f>+H96*I96</f>
      </c>
      <c r="K96" s="1263">
        <f>K95-(K95*J95)</f>
      </c>
      <c r="L96" s="1262">
        <f>VLOOKUP($G$6-G96,$A$9:$F$1330,3,0)/1000</f>
      </c>
      <c r="M96" s="1264">
        <f>EXP(-VLOOKUP($G$6-G96,$A$9:$E$1250,5,0)*(G96-$I$7))</f>
      </c>
      <c r="N96" s="1262">
        <f>+L96*M96</f>
      </c>
      <c r="O96" s="1263">
        <f>O95-(O95*N95)</f>
      </c>
    </row>
    <row x14ac:dyDescent="0.25" r="97" customHeight="1" ht="18.75">
      <c r="A97" s="1258">
        <v>1980</v>
      </c>
      <c r="B97" s="1259">
        <v>0.33934</v>
      </c>
      <c r="C97" s="1259">
        <v>0.18410999999999997</v>
      </c>
      <c r="D97" s="1265">
        <v>0.04</v>
      </c>
      <c r="E97" s="1259">
        <v>0.03620962380714904</v>
      </c>
      <c r="F97" s="1"/>
      <c r="G97" s="1261">
        <v>88</v>
      </c>
      <c r="H97" s="1262">
        <f>VLOOKUP($G$6-G97,$A$9:$F$1330,2,0)/1000</f>
      </c>
      <c r="I97" s="1262">
        <f>EXP(-VLOOKUP($G$6-G97,$A$9:$E$1250,4,0)*(G97-$I$7))</f>
      </c>
      <c r="J97" s="1262">
        <f>+H97*I97</f>
      </c>
      <c r="K97" s="1263">
        <f>K96-(K96*J96)</f>
      </c>
      <c r="L97" s="1262">
        <f>VLOOKUP($G$6-G97,$A$9:$F$1330,3,0)/1000</f>
      </c>
      <c r="M97" s="1264">
        <f>EXP(-VLOOKUP($G$6-G97,$A$9:$E$1250,5,0)*(G97-$I$7))</f>
      </c>
      <c r="N97" s="1262">
        <f>+L97*M97</f>
      </c>
      <c r="O97" s="1263">
        <f>O96-(O96*N96)</f>
      </c>
    </row>
    <row x14ac:dyDescent="0.25" r="98" customHeight="1" ht="18.75">
      <c r="A98" s="1258">
        <v>1981</v>
      </c>
      <c r="B98" s="1259">
        <v>0.3221925</v>
      </c>
      <c r="C98" s="1259">
        <v>0.16967</v>
      </c>
      <c r="D98" s="1265">
        <v>0.04</v>
      </c>
      <c r="E98" s="1259">
        <v>0.03653081641104817</v>
      </c>
      <c r="F98" s="1"/>
      <c r="G98" s="1261">
        <v>89</v>
      </c>
      <c r="H98" s="1262">
        <f>VLOOKUP($G$6-G98,$A$9:$F$1330,2,0)/1000</f>
      </c>
      <c r="I98" s="1262">
        <f>EXP(-VLOOKUP($G$6-G98,$A$9:$E$1250,4,0)*(G98-$I$7))</f>
      </c>
      <c r="J98" s="1262">
        <f>+H98*I98</f>
      </c>
      <c r="K98" s="1263">
        <f>K97-(K97*J97)</f>
      </c>
      <c r="L98" s="1262">
        <f>VLOOKUP($G$6-G98,$A$9:$F$1330,3,0)/1000</f>
      </c>
      <c r="M98" s="1264">
        <f>EXP(-VLOOKUP($G$6-G98,$A$9:$E$1250,5,0)*(G98-$I$7))</f>
      </c>
      <c r="N98" s="1262">
        <f>+L98*M98</f>
      </c>
      <c r="O98" s="1263">
        <f>O97-(O97*N97)</f>
      </c>
    </row>
    <row x14ac:dyDescent="0.25" r="99" customHeight="1" ht="18.75">
      <c r="A99" s="1258">
        <v>1982</v>
      </c>
      <c r="B99" s="1259">
        <v>0.30685</v>
      </c>
      <c r="C99" s="1259">
        <v>0.15793749999999998</v>
      </c>
      <c r="D99" s="1265">
        <v>0.04</v>
      </c>
      <c r="E99" s="1259">
        <v>0.03675040138656508</v>
      </c>
      <c r="F99" s="1"/>
      <c r="G99" s="1261">
        <v>90</v>
      </c>
      <c r="H99" s="1262">
        <f>VLOOKUP($G$6-G99,$A$9:$F$1330,2,0)/1000</f>
      </c>
      <c r="I99" s="1262">
        <f>EXP(-VLOOKUP($G$6-G99,$A$9:$E$1250,4,0)*(G99-$I$7))</f>
      </c>
      <c r="J99" s="1262">
        <f>+H99*I99</f>
      </c>
      <c r="K99" s="1263">
        <f>K98-(K98*J98)</f>
      </c>
      <c r="L99" s="1262">
        <f>VLOOKUP($G$6-G99,$A$9:$F$1330,3,0)/1000</f>
      </c>
      <c r="M99" s="1264">
        <f>EXP(-VLOOKUP($G$6-G99,$A$9:$E$1250,5,0)*(G99-$I$7))</f>
      </c>
      <c r="N99" s="1262">
        <f>+L99*M99</f>
      </c>
      <c r="O99" s="1263">
        <f>O98-(O98*N98)</f>
      </c>
    </row>
    <row x14ac:dyDescent="0.25" r="100" customHeight="1" ht="18.75">
      <c r="A100" s="1258">
        <v>1983</v>
      </c>
      <c r="B100" s="1259">
        <v>0.294215</v>
      </c>
      <c r="C100" s="1259">
        <v>0.1471075</v>
      </c>
      <c r="D100" s="1265">
        <v>0.04</v>
      </c>
      <c r="E100" s="1259">
        <v>0.036901001403191074</v>
      </c>
      <c r="F100" s="1"/>
      <c r="G100" s="1261">
        <v>91</v>
      </c>
      <c r="H100" s="1262">
        <f>VLOOKUP($G$6-G100,$A$9:$F$1330,2,0)/1000</f>
      </c>
      <c r="I100" s="1262">
        <f>EXP(-VLOOKUP($G$6-G100,$A$9:$E$1250,4,0)*(G100-$I$7))</f>
      </c>
      <c r="J100" s="1262">
        <f>+H100*I100</f>
      </c>
      <c r="K100" s="1263">
        <f>K99-(K99*J99)</f>
      </c>
      <c r="L100" s="1262">
        <f>VLOOKUP($G$6-G100,$A$9:$F$1330,3,0)/1000</f>
      </c>
      <c r="M100" s="1264">
        <f>EXP(-VLOOKUP($G$6-G100,$A$9:$E$1250,5,0)*(G100-$I$7))</f>
      </c>
      <c r="N100" s="1262">
        <f>+L100*M100</f>
      </c>
      <c r="O100" s="1263">
        <f>O99-(O99*N99)</f>
      </c>
    </row>
    <row x14ac:dyDescent="0.25" r="101" customHeight="1" ht="18.75">
      <c r="A101" s="1258">
        <v>1984</v>
      </c>
      <c r="B101" s="1259">
        <v>0.283385</v>
      </c>
      <c r="C101" s="1259">
        <v>0.1380825</v>
      </c>
      <c r="D101" s="1265">
        <v>0.04</v>
      </c>
      <c r="E101" s="1259">
        <v>0.03700448502585634</v>
      </c>
      <c r="F101" s="1"/>
      <c r="G101" s="1261">
        <v>92</v>
      </c>
      <c r="H101" s="1262">
        <f>VLOOKUP($G$6-G101,$A$9:$F$1330,2,0)/1000</f>
      </c>
      <c r="I101" s="1262">
        <f>EXP(-VLOOKUP($G$6-G101,$A$9:$E$1250,4,0)*(G101-$I$7))</f>
      </c>
      <c r="J101" s="1262">
        <f>+H101*I101</f>
      </c>
      <c r="K101" s="1263">
        <f>K100-(K100*J100)</f>
      </c>
      <c r="L101" s="1262">
        <f>VLOOKUP($G$6-G101,$A$9:$F$1330,3,0)/1000</f>
      </c>
      <c r="M101" s="1264">
        <f>EXP(-VLOOKUP($G$6-G101,$A$9:$E$1250,5,0)*(G101-$I$7))</f>
      </c>
      <c r="N101" s="1262">
        <f>+L101*M101</f>
      </c>
      <c r="O101" s="1263">
        <f>O100-(O100*N100)</f>
      </c>
    </row>
    <row x14ac:dyDescent="0.25" r="102" customHeight="1" ht="18.75">
      <c r="A102" s="1258">
        <v>1985</v>
      </c>
      <c r="B102" s="1259">
        <v>0.27436</v>
      </c>
      <c r="C102" s="1259">
        <v>0.1308625</v>
      </c>
      <c r="D102" s="1265">
        <v>0.04</v>
      </c>
      <c r="E102" s="1259">
        <v>0.03706846161913785</v>
      </c>
      <c r="F102" s="1"/>
      <c r="G102" s="1261">
        <v>93</v>
      </c>
      <c r="H102" s="1262">
        <f>VLOOKUP($G$6-G102,$A$9:$F$1330,2,0)/1000</f>
      </c>
      <c r="I102" s="1262">
        <f>EXP(-VLOOKUP($G$6-G102,$A$9:$E$1250,4,0)*(G102-$I$7))</f>
      </c>
      <c r="J102" s="1262">
        <f>+H102*I102</f>
      </c>
      <c r="K102" s="1263">
        <f>K101-(K101*J101)</f>
      </c>
      <c r="L102" s="1262">
        <f>VLOOKUP($G$6-G102,$A$9:$F$1330,3,0)/1000</f>
      </c>
      <c r="M102" s="1264">
        <f>EXP(-VLOOKUP($G$6-G102,$A$9:$E$1250,5,0)*(G102-$I$7))</f>
      </c>
      <c r="N102" s="1262">
        <f>+L102*M102</f>
      </c>
      <c r="O102" s="1263">
        <f>O101-(O101*N101)</f>
      </c>
    </row>
    <row x14ac:dyDescent="0.25" r="103" customHeight="1" ht="18.75">
      <c r="A103" s="1258">
        <v>1986</v>
      </c>
      <c r="B103" s="1259">
        <v>0.26804249999999996</v>
      </c>
      <c r="C103" s="1259">
        <v>0.12454499999999998</v>
      </c>
      <c r="D103" s="1265">
        <v>0.04</v>
      </c>
      <c r="E103" s="1259">
        <v>0.03709107616978283</v>
      </c>
      <c r="F103" s="1"/>
      <c r="G103" s="1261">
        <v>94</v>
      </c>
      <c r="H103" s="1262">
        <f>VLOOKUP($G$6-G103,$A$9:$F$1330,2,0)/1000</f>
      </c>
      <c r="I103" s="1262">
        <f>EXP(-VLOOKUP($G$6-G103,$A$9:$E$1250,4,0)*(G103-$I$7))</f>
      </c>
      <c r="J103" s="1262">
        <f>+H103*I103</f>
      </c>
      <c r="K103" s="1263">
        <f>K102-(K102*J102)</f>
      </c>
      <c r="L103" s="1262">
        <f>VLOOKUP($G$6-G103,$A$9:$F$1330,3,0)/1000</f>
      </c>
      <c r="M103" s="1264">
        <f>EXP(-VLOOKUP($G$6-G103,$A$9:$E$1250,5,0)*(G103-$I$7))</f>
      </c>
      <c r="N103" s="1262">
        <f>+L103*M103</f>
      </c>
      <c r="O103" s="1263">
        <f>O102-(O102*N102)</f>
      </c>
    </row>
    <row x14ac:dyDescent="0.25" r="104" customHeight="1" ht="18.75">
      <c r="A104" s="1258">
        <v>1987</v>
      </c>
      <c r="B104" s="1259">
        <v>0.261725</v>
      </c>
      <c r="C104" s="1259">
        <v>0.1200325</v>
      </c>
      <c r="D104" s="1265">
        <v>0.04</v>
      </c>
      <c r="E104" s="1259">
        <v>0.03707031503610711</v>
      </c>
      <c r="F104" s="1"/>
      <c r="G104" s="1261">
        <v>95</v>
      </c>
      <c r="H104" s="1262">
        <f>VLOOKUP($G$6-G104,$A$9:$F$1330,2,0)/1000</f>
      </c>
      <c r="I104" s="1262">
        <f>EXP(-VLOOKUP($G$6-G104,$A$9:$E$1250,4,0)*(G104-$I$7))</f>
      </c>
      <c r="J104" s="1262">
        <f>+H104*I104</f>
      </c>
      <c r="K104" s="1263">
        <f>K103-(K103*J103)</f>
      </c>
      <c r="L104" s="1262">
        <f>VLOOKUP($G$6-G104,$A$9:$F$1330,3,0)/1000</f>
      </c>
      <c r="M104" s="1264">
        <f>EXP(-VLOOKUP($G$6-G104,$A$9:$E$1250,5,0)*(G104-$I$7))</f>
      </c>
      <c r="N104" s="1262">
        <f>+L104*M104</f>
      </c>
      <c r="O104" s="1263">
        <f>O103-(O103*N103)</f>
      </c>
    </row>
    <row x14ac:dyDescent="0.25" r="105" customHeight="1" ht="18.75">
      <c r="A105" s="1258">
        <v>1988</v>
      </c>
      <c r="B105" s="1259">
        <v>0.25631000000000004</v>
      </c>
      <c r="C105" s="1259">
        <v>0.1164225</v>
      </c>
      <c r="D105" s="1265">
        <v>0.04</v>
      </c>
      <c r="E105" s="1259">
        <v>0.03701265903860099</v>
      </c>
      <c r="F105" s="1"/>
      <c r="G105" s="1261">
        <v>96</v>
      </c>
      <c r="H105" s="1262">
        <f>VLOOKUP($G$6-G105,$A$9:$F$1330,2,0)/1000</f>
      </c>
      <c r="I105" s="1262">
        <f>EXP(-VLOOKUP($G$6-G105,$A$9:$E$1250,4,0)*(G105-$I$7))</f>
      </c>
      <c r="J105" s="1262">
        <f>+H105*I105</f>
      </c>
      <c r="K105" s="1263">
        <f>K104-(K104*J104)</f>
      </c>
      <c r="L105" s="1262">
        <f>VLOOKUP($G$6-G105,$A$9:$F$1330,3,0)/1000</f>
      </c>
      <c r="M105" s="1264">
        <f>EXP(-VLOOKUP($G$6-G105,$A$9:$E$1250,5,0)*(G105-$I$7))</f>
      </c>
      <c r="N105" s="1262">
        <f>+L105*M105</f>
      </c>
      <c r="O105" s="1263">
        <f>O104-(O104*N104)</f>
      </c>
    </row>
    <row x14ac:dyDescent="0.25" r="106" customHeight="1" ht="18.75">
      <c r="A106" s="1258">
        <v>1989</v>
      </c>
      <c r="B106" s="1259">
        <v>0.250895</v>
      </c>
      <c r="C106" s="1259">
        <v>0.113715</v>
      </c>
      <c r="D106" s="1265">
        <v>0.04</v>
      </c>
      <c r="E106" s="1259">
        <v>0.0369371458736739</v>
      </c>
      <c r="F106" s="1"/>
      <c r="G106" s="1261">
        <v>97</v>
      </c>
      <c r="H106" s="1262">
        <f>VLOOKUP($G$6-G106,$A$9:$F$1330,2,0)/1000</f>
      </c>
      <c r="I106" s="1262">
        <f>EXP(-VLOOKUP($G$6-G106,$A$9:$E$1250,4,0)*(G106-$I$7))</f>
      </c>
      <c r="J106" s="1262">
        <f>+H106*I106</f>
      </c>
      <c r="K106" s="1263">
        <f>K105-(K105*J105)</f>
      </c>
      <c r="L106" s="1262">
        <f>VLOOKUP($G$6-G106,$A$9:$F$1330,3,0)/1000</f>
      </c>
      <c r="M106" s="1264">
        <f>EXP(-VLOOKUP($G$6-G106,$A$9:$E$1250,5,0)*(G106-$I$7))</f>
      </c>
      <c r="N106" s="1262">
        <f>+L106*M106</f>
      </c>
      <c r="O106" s="1263">
        <f>O105-(O105*N105)</f>
      </c>
    </row>
    <row x14ac:dyDescent="0.25" r="107" customHeight="1" ht="18.75">
      <c r="A107" s="1258">
        <v>1990</v>
      </c>
      <c r="B107" s="1259">
        <v>0.243675</v>
      </c>
      <c r="C107" s="1259">
        <v>0.11100750000000001</v>
      </c>
      <c r="D107" s="1265">
        <v>0.04</v>
      </c>
      <c r="E107" s="1259">
        <v>0.03687338431057068</v>
      </c>
      <c r="F107" s="1"/>
      <c r="G107" s="1261">
        <v>98</v>
      </c>
      <c r="H107" s="1262">
        <f>VLOOKUP($G$6-G107,$A$9:$F$1330,2,0)/1000</f>
      </c>
      <c r="I107" s="1262">
        <f>EXP(-VLOOKUP($G$6-G107,$A$9:$E$1250,4,0)*(G107-$I$7))</f>
      </c>
      <c r="J107" s="1262">
        <f>+H107*I107</f>
      </c>
      <c r="K107" s="1263">
        <f>K106-(K106*J106)</f>
      </c>
      <c r="L107" s="1262">
        <f>VLOOKUP($G$6-G107,$A$9:$F$1330,3,0)/1000</f>
      </c>
      <c r="M107" s="1264">
        <f>EXP(-VLOOKUP($G$6-G107,$A$9:$E$1250,5,0)*(G107-$I$7))</f>
      </c>
      <c r="N107" s="1262">
        <f>+L107*M107</f>
      </c>
      <c r="O107" s="1263">
        <f>O106-(O106*N106)</f>
      </c>
    </row>
    <row x14ac:dyDescent="0.25" r="108" customHeight="1" ht="18.75">
      <c r="A108" s="1258">
        <v>1991</v>
      </c>
      <c r="B108" s="1259">
        <v>0.232845</v>
      </c>
      <c r="C108" s="1259">
        <v>0.1092025</v>
      </c>
      <c r="D108" s="1265">
        <v>0.04</v>
      </c>
      <c r="E108" s="1259">
        <v>0.03685446198186026</v>
      </c>
      <c r="F108" s="1"/>
      <c r="G108" s="1261">
        <v>99</v>
      </c>
      <c r="H108" s="1262">
        <f>VLOOKUP($G$6-G108,$A$9:$F$1330,2,0)/1000</f>
      </c>
      <c r="I108" s="1262">
        <f>EXP(-VLOOKUP($G$6-G108,$A$9:$E$1250,4,0)*(G108-$I$7))</f>
      </c>
      <c r="J108" s="1262">
        <f>+H108*I108</f>
      </c>
      <c r="K108" s="1263">
        <f>K107-(K107*J107)</f>
      </c>
      <c r="L108" s="1262">
        <f>VLOOKUP($G$6-G108,$A$9:$F$1330,3,0)/1000</f>
      </c>
      <c r="M108" s="1264">
        <f>EXP(-VLOOKUP($G$6-G108,$A$9:$E$1250,5,0)*(G108-$I$7))</f>
      </c>
      <c r="N108" s="1262">
        <f>+L108*M108</f>
      </c>
      <c r="O108" s="1263">
        <f>O107-(O107*N107)</f>
      </c>
    </row>
    <row x14ac:dyDescent="0.25" r="109" customHeight="1" ht="18.75">
      <c r="A109" s="1258">
        <v>1992</v>
      </c>
      <c r="B109" s="1259">
        <v>0.2193075</v>
      </c>
      <c r="C109" s="1259">
        <v>0.10649499999999999</v>
      </c>
      <c r="D109" s="1265">
        <v>0.04</v>
      </c>
      <c r="E109" s="1259">
        <v>0.03690751454661477</v>
      </c>
      <c r="F109" s="1"/>
      <c r="G109" s="1261">
        <v>100</v>
      </c>
      <c r="H109" s="1262">
        <f>VLOOKUP($G$6-G109,$A$9:$F$1330,2,0)/1000</f>
      </c>
      <c r="I109" s="1262">
        <f>EXP(-VLOOKUP($G$6-G109,$A$9:$E$1250,4,0)*(G109-$I$7))</f>
      </c>
      <c r="J109" s="1262">
        <f>+H109*I109</f>
      </c>
      <c r="K109" s="1263">
        <f>K108-(K108*J108)</f>
      </c>
      <c r="L109" s="1262">
        <f>VLOOKUP($G$6-G109,$A$9:$F$1330,3,0)/1000</f>
      </c>
      <c r="M109" s="1264">
        <f>EXP(-VLOOKUP($G$6-G109,$A$9:$E$1250,5,0)*(G109-$I$7))</f>
      </c>
      <c r="N109" s="1262">
        <f>+L109*M109</f>
      </c>
      <c r="O109" s="1263">
        <f>O108-(O108*N108)</f>
      </c>
    </row>
    <row x14ac:dyDescent="0.25" r="110" customHeight="1" ht="18.75">
      <c r="A110" s="1258">
        <v>1993</v>
      </c>
      <c r="B110" s="1259">
        <v>0.2012575</v>
      </c>
      <c r="C110" s="1259">
        <v>0.102885</v>
      </c>
      <c r="D110" s="1265">
        <v>0.04</v>
      </c>
      <c r="E110" s="1259">
        <v>0.037045680684552995</v>
      </c>
      <c r="F110" s="1"/>
      <c r="G110" s="1261">
        <v>101</v>
      </c>
      <c r="H110" s="1262">
        <f>VLOOKUP($G$6-G110,$A$9:$F$1330,2,0)/1000</f>
      </c>
      <c r="I110" s="1262">
        <f>EXP(-VLOOKUP($G$6-G110,$A$9:$E$1250,4,0)*(G110-$I$7))</f>
      </c>
      <c r="J110" s="1262">
        <f>+H110*I110</f>
      </c>
      <c r="K110" s="1263">
        <f>K109-(K109*J109)</f>
      </c>
      <c r="L110" s="1262">
        <f>VLOOKUP($G$6-G110,$A$9:$F$1330,3,0)/1000</f>
      </c>
      <c r="M110" s="1264">
        <f>EXP(-VLOOKUP($G$6-G110,$A$9:$E$1250,5,0)*(G110-$I$7))</f>
      </c>
      <c r="N110" s="1262">
        <f>+L110*M110</f>
      </c>
      <c r="O110" s="1263">
        <f>O109-(O109*N109)</f>
      </c>
    </row>
    <row x14ac:dyDescent="0.25" r="111" customHeight="1" ht="18.75">
      <c r="A111" s="1258">
        <v>1994</v>
      </c>
      <c r="B111" s="1259">
        <v>0.1805</v>
      </c>
      <c r="C111" s="1259">
        <v>0.09837250000000002</v>
      </c>
      <c r="D111" s="1265">
        <v>0.04</v>
      </c>
      <c r="E111" s="1259">
        <v>0.03726414902412493</v>
      </c>
      <c r="F111" s="1"/>
      <c r="G111" s="1261">
        <v>102</v>
      </c>
      <c r="H111" s="1262">
        <f>VLOOKUP($G$6-G111,$A$9:$F$1330,2,0)/1000</f>
      </c>
      <c r="I111" s="1262">
        <f>EXP(-VLOOKUP($G$6-G111,$A$9:$E$1250,4,0)*(G111-$I$7))</f>
      </c>
      <c r="J111" s="1262">
        <f>+H111*I111</f>
      </c>
      <c r="K111" s="1263">
        <f>K110-(K110*J110)</f>
      </c>
      <c r="L111" s="1262">
        <f>VLOOKUP($G$6-G111,$A$9:$F$1330,3,0)/1000</f>
      </c>
      <c r="M111" s="1264">
        <f>EXP(-VLOOKUP($G$6-G111,$A$9:$E$1250,5,0)*(G111-$I$7))</f>
      </c>
      <c r="N111" s="1262">
        <f>+L111*M111</f>
      </c>
      <c r="O111" s="1263">
        <f>O110-(O110*N110)</f>
      </c>
    </row>
    <row x14ac:dyDescent="0.25" r="112" customHeight="1" ht="18.75">
      <c r="A112" s="1258">
        <v>1995</v>
      </c>
      <c r="B112" s="1259">
        <v>0.15793749999999998</v>
      </c>
      <c r="C112" s="1259">
        <v>0.09205499999999998</v>
      </c>
      <c r="D112" s="1265">
        <v>0.04</v>
      </c>
      <c r="E112" s="1259">
        <v>0.037541083037376556</v>
      </c>
      <c r="F112" s="1"/>
      <c r="G112" s="1261">
        <v>103</v>
      </c>
      <c r="H112" s="1262">
        <f>VLOOKUP($G$6-G112,$A$9:$F$1330,2,0)/1000</f>
      </c>
      <c r="I112" s="1262">
        <f>EXP(-VLOOKUP($G$6-G112,$A$9:$E$1250,4,0)*(G112-$I$7))</f>
      </c>
      <c r="J112" s="1262">
        <f>+H112*I112</f>
      </c>
      <c r="K112" s="1263">
        <f>K111-(K111*J111)</f>
      </c>
      <c r="L112" s="1262">
        <f>VLOOKUP($G$6-G112,$A$9:$F$1330,3,0)/1000</f>
      </c>
      <c r="M112" s="1264">
        <f>EXP(-VLOOKUP($G$6-G112,$A$9:$E$1250,5,0)*(G112-$I$7))</f>
      </c>
      <c r="N112" s="1262">
        <f>+L112*M112</f>
      </c>
      <c r="O112" s="1263">
        <f>O111-(O111*N111)</f>
      </c>
    </row>
    <row x14ac:dyDescent="0.25" r="113" customHeight="1" ht="18.75">
      <c r="A113" s="1258">
        <v>1996</v>
      </c>
      <c r="B113" s="1259">
        <v>0.135375</v>
      </c>
      <c r="C113" s="1259">
        <v>0.0839325</v>
      </c>
      <c r="D113" s="1265">
        <v>0.04</v>
      </c>
      <c r="E113" s="1259">
        <v>0.037842473161765824</v>
      </c>
      <c r="F113" s="1"/>
      <c r="G113" s="1261">
        <v>104</v>
      </c>
      <c r="H113" s="1262">
        <f>VLOOKUP($G$6-G113,$A$9:$F$1330,2,0)/1000</f>
      </c>
      <c r="I113" s="1262">
        <f>EXP(-VLOOKUP($G$6-G113,$A$9:$E$1250,4,0)*(G113-$I$7))</f>
      </c>
      <c r="J113" s="1262">
        <f>+H113*I113</f>
      </c>
      <c r="K113" s="1263">
        <f>K112-(K112*J112)</f>
      </c>
      <c r="L113" s="1262">
        <f>VLOOKUP($G$6-G113,$A$9:$F$1330,3,0)/1000</f>
      </c>
      <c r="M113" s="1264">
        <f>EXP(-VLOOKUP($G$6-G113,$A$9:$E$1250,5,0)*(G113-$I$7))</f>
      </c>
      <c r="N113" s="1262">
        <f>+L113*M113</f>
      </c>
      <c r="O113" s="1263">
        <f>O112-(O112*N112)</f>
      </c>
    </row>
    <row x14ac:dyDescent="0.25" r="114" customHeight="1" ht="18.75">
      <c r="A114" s="1258">
        <v>1997</v>
      </c>
      <c r="B114" s="1259">
        <v>0.11552</v>
      </c>
      <c r="C114" s="1259">
        <v>0.0767125</v>
      </c>
      <c r="D114" s="1265">
        <v>0.04</v>
      </c>
      <c r="E114" s="1259">
        <v>0.03812929564514952</v>
      </c>
      <c r="F114" s="1"/>
      <c r="G114" s="1261">
        <v>105</v>
      </c>
      <c r="H114" s="1262">
        <f>VLOOKUP($G$6-G114,$A$9:$F$1330,2,0)/1000</f>
      </c>
      <c r="I114" s="1262">
        <f>EXP(-VLOOKUP($G$6-G114,$A$9:$E$1250,4,0)*(G114-$I$7))</f>
      </c>
      <c r="J114" s="1262">
        <f>+H114*I114</f>
      </c>
      <c r="K114" s="1263">
        <f>K113-(K113*J113)</f>
      </c>
      <c r="L114" s="1262">
        <f>VLOOKUP($G$6-G114,$A$9:$F$1330,3,0)/1000</f>
      </c>
      <c r="M114" s="1264">
        <f>EXP(-VLOOKUP($G$6-G114,$A$9:$E$1250,5,0)*(G114-$I$7))</f>
      </c>
      <c r="N114" s="1262">
        <f>+L114*M114</f>
      </c>
      <c r="O114" s="1263">
        <f>O113-(O113*N113)</f>
      </c>
    </row>
    <row x14ac:dyDescent="0.25" r="115" customHeight="1" ht="18.75">
      <c r="A115" s="1258">
        <v>1998</v>
      </c>
      <c r="B115" s="1259">
        <v>0.09747</v>
      </c>
      <c r="C115" s="1259">
        <v>0.0694925</v>
      </c>
      <c r="D115" s="1265">
        <v>0.04</v>
      </c>
      <c r="E115" s="1259">
        <v>0.0383664510780334</v>
      </c>
      <c r="F115" s="1"/>
      <c r="G115" s="1261">
        <v>106</v>
      </c>
      <c r="H115" s="1262">
        <f>VLOOKUP($G$6-G115,$A$9:$F$1330,2,0)/1000</f>
      </c>
      <c r="I115" s="1262">
        <f>EXP(-VLOOKUP($G$6-G115,$A$9:$E$1250,4,0)*(G115-$I$7))</f>
      </c>
      <c r="J115" s="1262">
        <f>+H115*I115</f>
      </c>
      <c r="K115" s="1263">
        <f>K114-(K114*J114)</f>
      </c>
      <c r="L115" s="1262">
        <f>VLOOKUP($G$6-G115,$A$9:$F$1330,3,0)/1000</f>
      </c>
      <c r="M115" s="1264">
        <f>EXP(-VLOOKUP($G$6-G115,$A$9:$E$1250,5,0)*(G115-$I$7))</f>
      </c>
      <c r="N115" s="1262">
        <f>+L115*M115</f>
      </c>
      <c r="O115" s="1263">
        <f>O114-(O114*N114)</f>
      </c>
    </row>
    <row x14ac:dyDescent="0.25" r="116" customHeight="1" ht="18.75">
      <c r="A116" s="1258">
        <v>1999</v>
      </c>
      <c r="B116" s="1259">
        <v>0.08212749999999999</v>
      </c>
      <c r="C116" s="1259">
        <v>0.063175</v>
      </c>
      <c r="D116" s="1265">
        <v>0.04</v>
      </c>
      <c r="E116" s="1259">
        <v>0.03853359533867665</v>
      </c>
      <c r="F116" s="1"/>
      <c r="G116" s="1261">
        <v>107</v>
      </c>
      <c r="H116" s="1262">
        <f>VLOOKUP($G$6-G116,$A$9:$F$1330,2,0)/1000</f>
      </c>
      <c r="I116" s="1262">
        <f>EXP(-VLOOKUP($G$6-G116,$A$9:$E$1250,4,0)*(G116-$I$7))</f>
      </c>
      <c r="J116" s="1262">
        <f>+H116*I116</f>
      </c>
      <c r="K116" s="1263">
        <f>K115-(K115*J115)</f>
      </c>
      <c r="L116" s="1262">
        <f>VLOOKUP($G$6-G116,$A$9:$F$1330,3,0)/1000</f>
      </c>
      <c r="M116" s="1264">
        <f>EXP(-VLOOKUP($G$6-G116,$A$9:$E$1250,5,0)*(G116-$I$7))</f>
      </c>
      <c r="N116" s="1262">
        <f>+L116*M116</f>
      </c>
      <c r="O116" s="1263">
        <f>O115-(O115*N115)</f>
      </c>
    </row>
    <row x14ac:dyDescent="0.25" r="117" customHeight="1" ht="18.75">
      <c r="A117" s="1258">
        <v>2000</v>
      </c>
      <c r="B117" s="1259">
        <v>0.0694925</v>
      </c>
      <c r="C117" s="1259">
        <v>0.05776</v>
      </c>
      <c r="D117" s="1265">
        <v>0.04</v>
      </c>
      <c r="E117" s="1259">
        <v>0.038636345679943215</v>
      </c>
      <c r="F117" s="1"/>
      <c r="G117" s="1261">
        <v>108</v>
      </c>
      <c r="H117" s="1262">
        <f>VLOOKUP($G$6-G117,$A$9:$F$1330,2,0)/1000</f>
      </c>
      <c r="I117" s="1262">
        <f>EXP(-VLOOKUP($G$6-G117,$A$9:$E$1250,4,0)*(G117-$I$7))</f>
      </c>
      <c r="J117" s="1262">
        <f>+H117*I117</f>
      </c>
      <c r="K117" s="1263">
        <f>K116-(K116*J116)</f>
      </c>
      <c r="L117" s="1262">
        <f>VLOOKUP($G$6-G117,$A$9:$F$1330,3,0)/1000</f>
      </c>
      <c r="M117" s="1264">
        <f>EXP(-VLOOKUP($G$6-G117,$A$9:$E$1250,5,0)*(G117-$I$7))</f>
      </c>
      <c r="N117" s="1262">
        <f>+L117*M117</f>
      </c>
      <c r="O117" s="1263">
        <f>O116-(O116*N116)</f>
      </c>
    </row>
    <row x14ac:dyDescent="0.25" r="118" customHeight="1" ht="18.75">
      <c r="A118" s="1258">
        <v>2001</v>
      </c>
      <c r="B118" s="1259">
        <v>0.06137</v>
      </c>
      <c r="C118" s="1259">
        <v>0.052345</v>
      </c>
      <c r="D118" s="1265">
        <v>0.04</v>
      </c>
      <c r="E118" s="1259">
        <v>0.038713133027768874</v>
      </c>
      <c r="F118" s="1"/>
      <c r="G118" s="1261">
        <v>109</v>
      </c>
      <c r="H118" s="1262">
        <f>VLOOKUP($G$6-G118,$A$9:$F$1330,2,0)/1000</f>
      </c>
      <c r="I118" s="1262">
        <f>EXP(-VLOOKUP($G$6-G118,$A$9:$E$1250,4,0)*(G118-$I$7))</f>
      </c>
      <c r="J118" s="1262">
        <f>+H118*I118</f>
      </c>
      <c r="K118" s="1263">
        <f>K117-(K117*J117)</f>
      </c>
      <c r="L118" s="1262">
        <f>VLOOKUP($G$6-G118,$A$9:$F$1330,3,0)/1000</f>
      </c>
      <c r="M118" s="1264">
        <f>EXP(-VLOOKUP($G$6-G118,$A$9:$E$1250,5,0)*(G118-$I$7))</f>
      </c>
      <c r="N118" s="1262">
        <f>+L118*M118</f>
      </c>
      <c r="O118" s="1263">
        <f>O117-(O117*N117)</f>
      </c>
    </row>
    <row x14ac:dyDescent="0.25" r="119" customHeight="1" ht="18.75">
      <c r="A119" s="1258">
        <v>2002</v>
      </c>
      <c r="B119" s="1259">
        <v>0.055955</v>
      </c>
      <c r="C119" s="1259">
        <v>0.048735</v>
      </c>
      <c r="D119" s="1265">
        <v>0.04</v>
      </c>
      <c r="E119" s="1259">
        <v>0.03883228710237827</v>
      </c>
      <c r="F119" s="1"/>
      <c r="G119" s="1261">
        <v>110</v>
      </c>
      <c r="H119" s="1262">
        <f>VLOOKUP($G$6-G119,$A$9:$F$1330,2,0)/1000</f>
      </c>
      <c r="I119" s="1262">
        <f>EXP(-VLOOKUP($G$6-G119,$A$9:$E$1250,4,0)*(G119-$I$7))</f>
      </c>
      <c r="J119" s="1262">
        <f>+H119*I119</f>
      </c>
      <c r="K119" s="1263">
        <f>K118-(K118*J118)</f>
      </c>
      <c r="L119" s="1262">
        <f>VLOOKUP($G$6-G119,$A$9:$F$1330,3,0)/1000</f>
      </c>
      <c r="M119" s="1264">
        <f>EXP(-VLOOKUP($G$6-G119,$A$9:$E$1250,5,0)*(G119-$I$7))</f>
      </c>
      <c r="N119" s="1262">
        <f>+L119*M119</f>
      </c>
      <c r="O119" s="1263">
        <f>O118-(O118*N118)</f>
      </c>
    </row>
    <row x14ac:dyDescent="0.25" r="120" customHeight="1" ht="18.75">
      <c r="A120" s="1258">
        <v>2003</v>
      </c>
      <c r="B120" s="1259">
        <v>0.053247499999999996</v>
      </c>
      <c r="C120" s="1259">
        <v>0.0478325</v>
      </c>
      <c r="D120" s="1265">
        <v>0.04</v>
      </c>
      <c r="E120" s="1259">
        <v>0.03907702672260291</v>
      </c>
      <c r="F120" s="1"/>
      <c r="G120" s="1261">
        <v>111</v>
      </c>
      <c r="H120" s="1262">
        <f>VLOOKUP($G$6-G120,$A$9:$F$1330,2,0)/1000</f>
      </c>
      <c r="I120" s="1262">
        <f>EXP(-VLOOKUP($G$6-G120,$A$9:$E$1250,4,0)*(G120-$I$7))</f>
      </c>
      <c r="J120" s="1262">
        <f>+H120*I120</f>
      </c>
      <c r="K120" s="1263">
        <f>K119-(K119*J119)</f>
      </c>
      <c r="L120" s="1262">
        <f>VLOOKUP($G$6-G120,$A$9:$F$1330,3,0)/1000</f>
      </c>
      <c r="M120" s="1264">
        <f>EXP(-VLOOKUP($G$6-G120,$A$9:$E$1250,5,0)*(G120-$I$7))</f>
      </c>
      <c r="N120" s="1262">
        <f>+L120*M120</f>
      </c>
      <c r="O120" s="1263">
        <f>O119-(O119*N119)</f>
      </c>
    </row>
    <row x14ac:dyDescent="0.25" r="121" customHeight="1" ht="18.75">
      <c r="A121" s="1258">
        <v>2004</v>
      </c>
      <c r="B121" s="1259">
        <v>0.053247499999999996</v>
      </c>
      <c r="C121" s="1259">
        <v>0.0478325</v>
      </c>
      <c r="D121" s="1265">
        <v>0.04</v>
      </c>
      <c r="E121" s="1259">
        <v>0.039521181428585676</v>
      </c>
      <c r="F121" s="1"/>
      <c r="G121" s="1261">
        <v>112</v>
      </c>
      <c r="H121" s="1262">
        <f>VLOOKUP($G$6-G121,$A$9:$F$1330,2,0)/1000</f>
      </c>
      <c r="I121" s="1262">
        <f>EXP(-VLOOKUP($G$6-G121,$A$9:$E$1250,4,0)*(G121-$I$7))</f>
      </c>
      <c r="J121" s="1262">
        <f>+H121*I121</f>
      </c>
      <c r="K121" s="1263">
        <f>K120-(K120*J120)</f>
      </c>
      <c r="L121" s="1262">
        <f>VLOOKUP($G$6-G121,$A$9:$F$1330,3,0)/1000</f>
      </c>
      <c r="M121" s="1264">
        <f>EXP(-VLOOKUP($G$6-G121,$A$9:$E$1250,5,0)*(G121-$I$7))</f>
      </c>
      <c r="N121" s="1262">
        <f>+L121*M121</f>
      </c>
      <c r="O121" s="1263">
        <f>O120-(O120*N120)</f>
      </c>
    </row>
    <row x14ac:dyDescent="0.25" r="122" customHeight="1" ht="18.75">
      <c r="A122" s="1258">
        <v>2005</v>
      </c>
      <c r="B122" s="1259">
        <v>0.055955</v>
      </c>
      <c r="C122" s="1259">
        <v>0.0514425</v>
      </c>
      <c r="D122" s="1265">
        <v>0.04</v>
      </c>
      <c r="E122" s="1259">
        <v>0.04</v>
      </c>
      <c r="F122" s="1"/>
      <c r="G122" s="1261">
        <v>113</v>
      </c>
      <c r="H122" s="1262">
        <f>VLOOKUP($G$6-G122,$A$9:$F$1330,2,0)/1000</f>
      </c>
      <c r="I122" s="1262">
        <f>EXP(-VLOOKUP($G$6-G122,$A$9:$E$1250,4,0)*(G122-$I$7))</f>
      </c>
      <c r="J122" s="1262">
        <f>+H122*I122</f>
      </c>
      <c r="K122" s="1263">
        <f>K121-(K121*J121)</f>
      </c>
      <c r="L122" s="1262">
        <f>VLOOKUP($G$6-G122,$A$9:$F$1330,3,0)/1000</f>
      </c>
      <c r="M122" s="1264">
        <f>EXP(-VLOOKUP($G$6-G122,$A$9:$E$1250,5,0)*(G122-$I$7))</f>
      </c>
      <c r="N122" s="1262">
        <f>+L122*M122</f>
      </c>
      <c r="O122" s="1263">
        <f>O121-(O121*N121)</f>
      </c>
    </row>
    <row x14ac:dyDescent="0.25" r="123" customHeight="1" ht="18.75">
      <c r="A123" s="1258">
        <v>2006</v>
      </c>
      <c r="B123" s="1259">
        <v>0.0604675</v>
      </c>
      <c r="C123" s="1259">
        <v>0.0568575</v>
      </c>
      <c r="D123" s="1265">
        <v>0.04</v>
      </c>
      <c r="E123" s="1259">
        <v>0.04</v>
      </c>
      <c r="F123" s="1"/>
      <c r="G123" s="1261">
        <v>114</v>
      </c>
      <c r="H123" s="1262">
        <f>VLOOKUP($G$6-G123,$A$9:$F$1330,2,0)/1000</f>
      </c>
      <c r="I123" s="1262">
        <f>EXP(-VLOOKUP($G$6-G123,$A$9:$E$1250,4,0)*(G123-$I$7))</f>
      </c>
      <c r="J123" s="1262">
        <f>+H123*I123</f>
      </c>
      <c r="K123" s="1263">
        <f>K122-(K122*J122)</f>
      </c>
      <c r="L123" s="1262">
        <f>VLOOKUP($G$6-G123,$A$9:$F$1330,3,0)/1000</f>
      </c>
      <c r="M123" s="1264">
        <f>EXP(-VLOOKUP($G$6-G123,$A$9:$E$1250,5,0)*(G123-$I$7))</f>
      </c>
      <c r="N123" s="1262">
        <f>+L123*M123</f>
      </c>
      <c r="O123" s="1263">
        <f>O122-(O122*N122)</f>
      </c>
    </row>
    <row x14ac:dyDescent="0.25" r="124" customHeight="1" ht="18.75">
      <c r="A124" s="1258">
        <v>2007</v>
      </c>
      <c r="B124" s="1259">
        <v>0.06859</v>
      </c>
      <c r="C124" s="1259">
        <v>0.0658825</v>
      </c>
      <c r="D124" s="1265">
        <v>0.04</v>
      </c>
      <c r="E124" s="1259">
        <v>0.04</v>
      </c>
      <c r="F124" s="1"/>
      <c r="G124" s="1261">
        <v>115</v>
      </c>
      <c r="H124" s="1262">
        <f>VLOOKUP($G$6-G124,$A$9:$F$1330,2,0)/1000</f>
      </c>
      <c r="I124" s="1262">
        <f>EXP(-VLOOKUP($G$6-G124,$A$9:$E$1250,4,0)*(G124-$I$7))</f>
      </c>
      <c r="J124" s="1262">
        <f>+H124*I124</f>
      </c>
      <c r="K124" s="1263">
        <f>K123-(K123*J123)</f>
      </c>
      <c r="L124" s="1262">
        <f>VLOOKUP($G$6-G124,$A$9:$F$1330,3,0)/1000</f>
      </c>
      <c r="M124" s="1264">
        <f>EXP(-VLOOKUP($G$6-G124,$A$9:$E$1250,5,0)*(G124-$I$7))</f>
      </c>
      <c r="N124" s="1262">
        <f>+L124*M124</f>
      </c>
      <c r="O124" s="1263">
        <f>O123-(O123*N123)</f>
      </c>
    </row>
    <row x14ac:dyDescent="0.25" r="125" customHeight="1" ht="18.75">
      <c r="A125" s="1258">
        <v>2008</v>
      </c>
      <c r="B125" s="1259">
        <v>0.07941999999999999</v>
      </c>
      <c r="C125" s="1259">
        <v>0.07851749999999999</v>
      </c>
      <c r="D125" s="1265">
        <v>0.04</v>
      </c>
      <c r="E125" s="1259">
        <v>0.04</v>
      </c>
      <c r="F125" s="1"/>
      <c r="G125" s="1261">
        <v>116</v>
      </c>
      <c r="H125" s="1262">
        <f>VLOOKUP($G$6-G125,$A$9:$F$1330,2,0)/1000</f>
      </c>
      <c r="I125" s="1262">
        <f>EXP(-VLOOKUP($G$6-G125,$A$9:$E$1250,4,0)*(G125-$I$7))</f>
      </c>
      <c r="J125" s="1262">
        <f>+H125*I125</f>
      </c>
      <c r="K125" s="1263">
        <f>K124-(K124*J124)</f>
      </c>
      <c r="L125" s="1262">
        <f>VLOOKUP($G$6-G125,$A$9:$F$1330,3,0)/1000</f>
      </c>
      <c r="M125" s="1264">
        <f>EXP(-VLOOKUP($G$6-G125,$A$9:$E$1250,5,0)*(G125-$I$7))</f>
      </c>
      <c r="N125" s="1262">
        <f>+L125*M125</f>
      </c>
      <c r="O125" s="1263">
        <f>O124-(O124*N124)</f>
      </c>
    </row>
    <row x14ac:dyDescent="0.25" r="126" customHeight="1" ht="18.75">
      <c r="A126" s="1258">
        <v>2009</v>
      </c>
      <c r="B126" s="1259">
        <v>0.0929575</v>
      </c>
      <c r="C126" s="1259">
        <v>0.09386</v>
      </c>
      <c r="D126" s="1265">
        <v>0.04</v>
      </c>
      <c r="E126" s="1259">
        <v>0.04</v>
      </c>
      <c r="F126" s="1"/>
      <c r="G126" s="1261">
        <v>117</v>
      </c>
      <c r="H126" s="1262">
        <f>VLOOKUP($G$6-G126,$A$9:$F$1330,2,0)/1000</f>
      </c>
      <c r="I126" s="1262">
        <f>EXP(-VLOOKUP($G$6-G126,$A$9:$E$1250,4,0)*(G126-$I$7))</f>
      </c>
      <c r="J126" s="1262">
        <f>+H126*I126</f>
      </c>
      <c r="K126" s="1263">
        <f>K125-(K125*J125)</f>
      </c>
      <c r="L126" s="1262">
        <f>VLOOKUP($G$6-G126,$A$9:$F$1330,3,0)/1000</f>
      </c>
      <c r="M126" s="1264">
        <f>EXP(-VLOOKUP($G$6-G126,$A$9:$E$1250,5,0)*(G126-$I$7))</f>
      </c>
      <c r="N126" s="1262">
        <f>+L126*M126</f>
      </c>
      <c r="O126" s="1263">
        <f>O125-(O125*N125)</f>
      </c>
    </row>
    <row x14ac:dyDescent="0.25" r="127" customHeight="1" ht="18.75">
      <c r="A127" s="1258">
        <v>2010</v>
      </c>
      <c r="B127" s="1259">
        <v>0.10830000000000001</v>
      </c>
      <c r="C127" s="1259">
        <v>0.11191</v>
      </c>
      <c r="D127" s="1265">
        <v>0.04</v>
      </c>
      <c r="E127" s="1259">
        <v>0.04</v>
      </c>
      <c r="F127" s="1"/>
      <c r="G127" s="1261">
        <v>118</v>
      </c>
      <c r="H127" s="1262">
        <f>VLOOKUP($G$6-G127,$A$9:$F$1330,2,0)/1000</f>
      </c>
      <c r="I127" s="1262">
        <f>EXP(-VLOOKUP($G$6-G127,$A$9:$E$1250,4,0)*(G127-$I$7))</f>
      </c>
      <c r="J127" s="1262">
        <f>+H127*I127</f>
      </c>
      <c r="K127" s="1263">
        <f>K126-(K126*J126)</f>
      </c>
      <c r="L127" s="1262">
        <f>VLOOKUP($G$6-G127,$A$9:$F$1330,3,0)/1000</f>
      </c>
      <c r="M127" s="1264">
        <f>EXP(-VLOOKUP($G$6-G127,$A$9:$E$1250,5,0)*(G127-$I$7))</f>
      </c>
      <c r="N127" s="1262">
        <f>+L127*M127</f>
      </c>
      <c r="O127" s="1263">
        <f>O126-(O126*N126)</f>
      </c>
    </row>
    <row x14ac:dyDescent="0.25" r="128" customHeight="1" ht="18.75">
      <c r="A128" s="1258">
        <v>2011</v>
      </c>
      <c r="B128" s="1259">
        <v>0.1254475</v>
      </c>
      <c r="C128" s="1259">
        <v>0.1308625</v>
      </c>
      <c r="D128" s="1265">
        <v>0.04</v>
      </c>
      <c r="E128" s="1259">
        <v>0.04</v>
      </c>
      <c r="F128" s="1"/>
      <c r="G128" s="1261">
        <v>119</v>
      </c>
      <c r="H128" s="1262">
        <f>VLOOKUP($G$6-G128,$A$9:$F$1330,2,0)/1000</f>
      </c>
      <c r="I128" s="1262">
        <f>EXP(-VLOOKUP($G$6-G128,$A$9:$E$1250,4,0)*(G128-$I$7))</f>
      </c>
      <c r="J128" s="1262">
        <f>+H128*I128</f>
      </c>
      <c r="K128" s="1263">
        <f>K127-(K127*J127)</f>
      </c>
      <c r="L128" s="1262">
        <f>VLOOKUP($G$6-G128,$A$9:$F$1330,3,0)/1000</f>
      </c>
      <c r="M128" s="1264">
        <f>EXP(-VLOOKUP($G$6-G128,$A$9:$E$1250,5,0)*(G128-$I$7))</f>
      </c>
      <c r="N128" s="1262">
        <f>+L128*M128</f>
      </c>
      <c r="O128" s="1263">
        <f>O127-(O127*N127)</f>
      </c>
    </row>
    <row x14ac:dyDescent="0.25" r="129" customHeight="1" ht="18.75">
      <c r="A129" s="1258">
        <v>2012</v>
      </c>
      <c r="B129" s="1259">
        <v>1.9791825</v>
      </c>
      <c r="C129" s="1259">
        <v>1.96384</v>
      </c>
      <c r="D129" s="1265">
        <v>0.04</v>
      </c>
      <c r="E129" s="1259">
        <v>0.04</v>
      </c>
      <c r="F129" s="1"/>
      <c r="G129" s="1261">
        <v>120</v>
      </c>
      <c r="H129" s="1262">
        <f>VLOOKUP($G$6-G129,$A$9:$F$1330,2,0)/1000</f>
      </c>
      <c r="I129" s="1262">
        <f>EXP(-VLOOKUP($G$6-G129,$A$9:$E$1250,4,0)*(G129-$I$7))</f>
      </c>
      <c r="J129" s="1262">
        <f>+H129*I129</f>
      </c>
      <c r="K129" s="1263">
        <f>K128-(K128*J128)</f>
      </c>
      <c r="L129" s="1262">
        <f>VLOOKUP($G$6-G129,$A$9:$F$1330,3,0)/1000</f>
      </c>
      <c r="M129" s="1264">
        <f>EXP(-VLOOKUP($G$6-G129,$A$9:$E$1250,5,0)*(G129-$I$7))</f>
      </c>
      <c r="N129" s="1262">
        <f>+L129*M129</f>
      </c>
      <c r="O129" s="1263">
        <f>O128-(O128*N128)</f>
      </c>
    </row>
  </sheetData>
  <mergeCells count="9">
    <mergeCell ref="A1:O1"/>
    <mergeCell ref="A3:B3"/>
    <mergeCell ref="G3:K4"/>
    <mergeCell ref="L3:O4"/>
    <mergeCell ref="A4:B4"/>
    <mergeCell ref="A5:A6"/>
    <mergeCell ref="B5:C6"/>
    <mergeCell ref="D5:E6"/>
    <mergeCell ref="G6:G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E24"/>
  <sheetViews>
    <sheetView workbookViewId="0"/>
  </sheetViews>
  <sheetFormatPr defaultRowHeight="15" x14ac:dyDescent="0.25"/>
  <cols>
    <col min="1" max="1" style="163" width="13.576428571428572" customWidth="1" bestFit="1"/>
    <col min="2" max="2" style="163" width="13.576428571428572" customWidth="1" bestFit="1"/>
    <col min="3" max="3" style="1210" width="22.290714285714284" customWidth="1" bestFit="1"/>
    <col min="4" max="4" style="163" width="48.43357142857143" customWidth="1" bestFit="1"/>
    <col min="5" max="5" style="1211" width="26.719285714285714" customWidth="1" bestFit="1"/>
  </cols>
  <sheetData>
    <row x14ac:dyDescent="0.25" r="1" customHeight="1" ht="18.75">
      <c r="A1" s="1"/>
      <c r="B1" s="1"/>
      <c r="C1" s="1192"/>
      <c r="D1" s="1"/>
      <c r="E1" s="1193"/>
    </row>
    <row x14ac:dyDescent="0.25" r="2" customHeight="1" ht="18.75">
      <c r="A2" s="1"/>
      <c r="B2" s="1"/>
      <c r="C2" s="1192"/>
      <c r="D2" s="1"/>
      <c r="E2" s="1193"/>
    </row>
    <row x14ac:dyDescent="0.25" r="3" customHeight="1" ht="18.75">
      <c r="A3" s="1"/>
      <c r="B3" s="1"/>
      <c r="C3" s="1192"/>
      <c r="D3" s="1"/>
      <c r="E3" s="1193"/>
    </row>
    <row x14ac:dyDescent="0.25" r="4" customHeight="1" ht="18.75">
      <c r="A4" s="1"/>
      <c r="B4" s="1"/>
      <c r="C4" s="1192"/>
      <c r="D4" s="1"/>
      <c r="E4" s="1193"/>
    </row>
    <row x14ac:dyDescent="0.25" r="5" customHeight="1" ht="14.65" customFormat="1" s="23">
      <c r="A5" s="24"/>
      <c r="B5" s="24"/>
      <c r="C5" s="1194" t="s">
        <v>1199</v>
      </c>
      <c r="D5" s="1195" t="s">
        <v>324</v>
      </c>
      <c r="E5" s="1196">
        <f>TODAY()</f>
        <v>25569.041666666668</v>
      </c>
    </row>
    <row x14ac:dyDescent="0.25" r="6" customHeight="1" ht="14.65" customFormat="1" s="23">
      <c r="A6" s="24"/>
      <c r="B6" s="24"/>
      <c r="C6" s="1197"/>
      <c r="D6" s="1198"/>
      <c r="E6" s="1199"/>
    </row>
    <row x14ac:dyDescent="0.25" r="7" customHeight="1" ht="14.65" customFormat="1" s="23">
      <c r="A7" s="24"/>
      <c r="B7" s="24"/>
      <c r="C7" s="1197"/>
      <c r="D7" s="1195" t="s">
        <v>187</v>
      </c>
      <c r="E7" s="1200">
        <v>0.025</v>
      </c>
    </row>
    <row x14ac:dyDescent="0.25" r="8" customHeight="1" ht="14.65" customFormat="1" s="23">
      <c r="A8" s="24"/>
      <c r="B8" s="24"/>
      <c r="C8" s="1197"/>
      <c r="D8" s="1198"/>
      <c r="E8" s="1201"/>
    </row>
    <row x14ac:dyDescent="0.25" r="9" customHeight="1" ht="14.65" customFormat="1" s="23">
      <c r="A9" s="24"/>
      <c r="B9" s="24"/>
      <c r="C9" s="1197"/>
      <c r="D9" s="1195" t="s">
        <v>1200</v>
      </c>
      <c r="E9" s="1200">
        <v>0.025</v>
      </c>
    </row>
    <row x14ac:dyDescent="0.25" r="10" customHeight="1" ht="14.65" customFormat="1" s="23">
      <c r="A10" s="24"/>
      <c r="B10" s="24"/>
      <c r="C10" s="1197"/>
      <c r="D10" s="1198"/>
      <c r="E10" s="1201"/>
    </row>
    <row x14ac:dyDescent="0.25" r="11" customHeight="1" ht="14.65" customFormat="1" s="23">
      <c r="A11" s="24"/>
      <c r="B11" s="24"/>
      <c r="C11" s="1197"/>
      <c r="D11" s="1195" t="s">
        <v>1201</v>
      </c>
      <c r="E11" s="1200">
        <v>0.025</v>
      </c>
    </row>
    <row x14ac:dyDescent="0.25" r="12" customHeight="1" ht="14.65" customFormat="1" s="23">
      <c r="A12" s="24"/>
      <c r="B12" s="24"/>
      <c r="C12" s="1197"/>
      <c r="D12" s="1198"/>
      <c r="E12" s="1201"/>
    </row>
    <row x14ac:dyDescent="0.25" r="13" customHeight="1" ht="14.65" customFormat="1" s="23">
      <c r="A13" s="24"/>
      <c r="B13" s="24"/>
      <c r="C13" s="1197"/>
      <c r="D13" s="1195" t="s">
        <v>1202</v>
      </c>
      <c r="E13" s="1200">
        <v>0.025</v>
      </c>
    </row>
    <row x14ac:dyDescent="0.25" r="14" customHeight="1" ht="14.65" customFormat="1" s="23">
      <c r="A14" s="24"/>
      <c r="B14" s="24"/>
      <c r="C14" s="1197"/>
      <c r="D14" s="1198"/>
      <c r="E14" s="1201"/>
    </row>
    <row x14ac:dyDescent="0.25" r="15" customHeight="1" ht="14.65">
      <c r="A15" s="1"/>
      <c r="B15" s="1"/>
      <c r="C15" s="1197"/>
      <c r="D15" s="1195" t="s">
        <v>1203</v>
      </c>
      <c r="E15" s="1202">
        <v>0.02</v>
      </c>
    </row>
    <row x14ac:dyDescent="0.25" r="16" customHeight="1" ht="14.65">
      <c r="A16" s="1"/>
      <c r="B16" s="1"/>
      <c r="C16" s="1197"/>
      <c r="D16" s="1198"/>
      <c r="E16" s="1203"/>
    </row>
    <row x14ac:dyDescent="0.25" r="17" customHeight="1" ht="14.65" customFormat="1" s="23">
      <c r="A17" s="24"/>
      <c r="B17" s="24"/>
      <c r="C17" s="1197"/>
      <c r="D17" s="1195" t="s">
        <v>1204</v>
      </c>
      <c r="E17" s="1200">
        <v>0.015</v>
      </c>
    </row>
    <row x14ac:dyDescent="0.25" r="18" customHeight="1" ht="14.65" customFormat="1" s="23">
      <c r="A18" s="24"/>
      <c r="B18" s="24"/>
      <c r="C18" s="1197"/>
      <c r="D18" s="1198"/>
      <c r="E18" s="1201"/>
    </row>
    <row x14ac:dyDescent="0.25" r="19" customHeight="1" ht="18.75" customFormat="1" s="23">
      <c r="A19" s="24"/>
      <c r="B19" s="24"/>
      <c r="C19" s="1197"/>
      <c r="D19" s="1195" t="s">
        <v>1205</v>
      </c>
      <c r="E19" s="1204" t="s">
        <v>64</v>
      </c>
    </row>
    <row x14ac:dyDescent="0.25" r="20" customHeight="1" ht="18.75" customFormat="1" s="23">
      <c r="A20" s="24"/>
      <c r="B20" s="24"/>
      <c r="C20" s="1197"/>
      <c r="D20" s="1198"/>
      <c r="E20" s="1201"/>
    </row>
    <row x14ac:dyDescent="0.25" r="21" customHeight="1" ht="18.75">
      <c r="A21" s="1"/>
      <c r="B21" s="1"/>
      <c r="C21" s="1192"/>
      <c r="D21" s="1"/>
      <c r="E21" s="1193"/>
    </row>
    <row x14ac:dyDescent="0.25" r="22" customHeight="1" ht="18.75">
      <c r="A22" s="1"/>
      <c r="B22" s="1"/>
      <c r="C22" s="1205" t="s">
        <v>1206</v>
      </c>
      <c r="D22" s="1206" t="s">
        <v>1207</v>
      </c>
      <c r="E22" s="1207">
        <v>44531</v>
      </c>
    </row>
    <row x14ac:dyDescent="0.25" r="23" customHeight="1" ht="18.75">
      <c r="A23" s="1"/>
      <c r="B23" s="1"/>
      <c r="C23" s="1208"/>
      <c r="D23" s="1206" t="s">
        <v>1208</v>
      </c>
      <c r="E23" s="1207">
        <v>44531</v>
      </c>
    </row>
    <row x14ac:dyDescent="0.25" r="24" customHeight="1" ht="18.75">
      <c r="A24" s="1"/>
      <c r="B24" s="1"/>
      <c r="C24" s="1209"/>
      <c r="D24" s="1206" t="s">
        <v>1209</v>
      </c>
      <c r="E24" s="1207">
        <v>44531</v>
      </c>
    </row>
  </sheetData>
  <mergeCells count="18">
    <mergeCell ref="C5:C20"/>
    <mergeCell ref="D5:D6"/>
    <mergeCell ref="E5:E6"/>
    <mergeCell ref="D7:D8"/>
    <mergeCell ref="E7:E8"/>
    <mergeCell ref="D9:D10"/>
    <mergeCell ref="E9:E10"/>
    <mergeCell ref="D11:D12"/>
    <mergeCell ref="E11:E12"/>
    <mergeCell ref="D13:D14"/>
    <mergeCell ref="E13:E14"/>
    <mergeCell ref="D15:D16"/>
    <mergeCell ref="E15:E16"/>
    <mergeCell ref="D17:D18"/>
    <mergeCell ref="E17:E18"/>
    <mergeCell ref="D19:D20"/>
    <mergeCell ref="E19:E20"/>
    <mergeCell ref="C22:C2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O132"/>
  <sheetViews>
    <sheetView workbookViewId="0" tabSelected="1"/>
  </sheetViews>
  <sheetFormatPr defaultRowHeight="15" x14ac:dyDescent="0.25"/>
  <cols>
    <col min="1" max="1" style="163" width="13.576428571428572" customWidth="1" bestFit="1" hidden="1"/>
    <col min="2" max="2" style="163" width="13.719285714285713" customWidth="1" bestFit="1"/>
    <col min="3" max="3" style="163" width="1.005" customWidth="1" bestFit="1"/>
    <col min="4" max="4" style="165" width="56.71928571428572" customWidth="1" bestFit="1"/>
    <col min="5" max="5" style="165" width="6.433571428571429" customWidth="1" bestFit="1"/>
    <col min="6" max="6" style="164" width="16.290714285714284" customWidth="1" bestFit="1"/>
    <col min="7" max="7" style="163" width="35.005" customWidth="1" bestFit="1"/>
    <col min="8" max="8" style="163" width="10.290714285714287" customWidth="1" bestFit="1"/>
    <col min="9" max="9" style="163" width="4.433571428571429" customWidth="1" bestFit="1"/>
    <col min="10" max="10" style="163" width="9.290714285714287" customWidth="1" bestFit="1"/>
    <col min="11" max="11" style="163" width="26.433571428571426" customWidth="1" bestFit="1"/>
    <col min="12" max="12" style="163" width="9.290714285714287" customWidth="1" bestFit="1"/>
    <col min="13" max="13" style="163" width="11.290714285714287" customWidth="1" bestFit="1"/>
    <col min="14" max="14" style="163" width="13.719285714285713" customWidth="1" bestFit="1"/>
    <col min="15" max="15" style="163" width="5.2907142857142855" customWidth="1" bestFit="1"/>
    <col min="16" max="16" style="1191" width="13.576428571428572" customWidth="1" bestFit="1"/>
    <col min="17" max="17" style="163" width="13.576428571428572" customWidth="1" bestFit="1"/>
    <col min="18" max="18" style="163" width="13.576428571428572" customWidth="1" bestFit="1"/>
    <col min="19" max="19" style="163" width="13.576428571428572" customWidth="1" bestFit="1"/>
    <col min="20" max="20" style="163" width="13.576428571428572" customWidth="1" bestFit="1"/>
    <col min="21" max="21" style="163" width="13.576428571428572" customWidth="1" bestFit="1"/>
    <col min="22" max="22" style="163" width="13.576428571428572" customWidth="1" bestFit="1"/>
    <col min="23" max="23" style="163" width="13.576428571428572" customWidth="1" bestFit="1"/>
    <col min="24" max="24" style="163" width="13.576428571428572" customWidth="1" bestFit="1"/>
    <col min="25" max="25" style="163" width="13.576428571428572" customWidth="1" bestFit="1"/>
    <col min="26" max="26" style="163" width="13.576428571428572" customWidth="1" bestFit="1"/>
    <col min="27" max="27" style="163" width="13.576428571428572" customWidth="1" bestFit="1"/>
    <col min="28" max="28" style="163" width="13.576428571428572" customWidth="1" bestFit="1"/>
    <col min="29" max="29" style="163" width="13.576428571428572" customWidth="1" bestFit="1"/>
    <col min="30" max="30" style="163" width="13.576428571428572" customWidth="1" bestFit="1"/>
    <col min="31" max="31" style="163" width="13.576428571428572" customWidth="1" bestFit="1"/>
    <col min="32" max="32" style="163" width="13.576428571428572" customWidth="1" bestFit="1"/>
    <col min="33" max="33" style="163" width="13.576428571428572" customWidth="1" bestFit="1"/>
    <col min="34" max="34" style="163" width="13.576428571428572" customWidth="1" bestFit="1"/>
    <col min="35" max="35" style="163" width="13.576428571428572" customWidth="1" bestFit="1"/>
    <col min="36" max="36" style="163" width="13.576428571428572" customWidth="1" bestFit="1"/>
    <col min="37" max="37" style="163" width="13.576428571428572" customWidth="1" bestFit="1"/>
    <col min="38" max="38" style="163" width="13.576428571428572" customWidth="1" bestFit="1"/>
    <col min="39" max="39" style="163" width="13.576428571428572" customWidth="1" bestFit="1"/>
    <col min="40" max="40" style="163" width="13.576428571428572" customWidth="1" bestFit="1"/>
    <col min="41" max="41" style="163" width="13.576428571428572" customWidth="1" bestFit="1"/>
  </cols>
  <sheetData>
    <row x14ac:dyDescent="0.25" r="1" customHeight="1" ht="14.25">
      <c r="A1" s="1"/>
      <c r="B1" s="1"/>
      <c r="C1" s="1"/>
      <c r="D1" s="169"/>
      <c r="E1" s="169"/>
      <c r="F1" s="170"/>
      <c r="G1" s="1"/>
      <c r="H1" s="1"/>
      <c r="I1" s="1"/>
      <c r="J1" s="1"/>
      <c r="K1" s="1"/>
      <c r="L1" s="1"/>
      <c r="M1" s="139"/>
      <c r="N1" s="1"/>
      <c r="O1" s="1"/>
      <c r="P1" s="24"/>
      <c r="Q1" s="1"/>
      <c r="R1" s="1"/>
      <c r="S1" s="1"/>
      <c r="T1" s="1"/>
      <c r="U1" s="1"/>
      <c r="V1" s="1"/>
      <c r="W1" s="1"/>
      <c r="X1" s="1"/>
      <c r="Y1" s="1"/>
      <c r="Z1" s="1"/>
      <c r="AA1" s="1"/>
      <c r="AB1" s="1"/>
      <c r="AC1" s="1"/>
      <c r="AD1" s="1"/>
      <c r="AE1" s="1"/>
      <c r="AF1" s="1"/>
      <c r="AG1" s="1"/>
      <c r="AH1" s="1"/>
      <c r="AI1" s="1"/>
      <c r="AJ1" s="1"/>
      <c r="AK1" s="1"/>
      <c r="AL1" s="1"/>
      <c r="AM1" s="1"/>
      <c r="AN1" s="1"/>
      <c r="AO1" s="1"/>
    </row>
    <row x14ac:dyDescent="0.25" r="2" customHeight="1" ht="36.6">
      <c r="A2" s="1"/>
      <c r="B2" s="1"/>
      <c r="C2" s="1140"/>
      <c r="D2" s="1141" t="s">
        <v>0</v>
      </c>
      <c r="E2" s="1141"/>
      <c r="F2" s="1142"/>
      <c r="G2" s="1143">
        <f>IFERROR(VLOOKUP(0,0,0,FALSE),"-")</f>
      </c>
      <c r="H2" s="1"/>
      <c r="I2" s="1"/>
      <c r="J2" s="1"/>
      <c r="K2" s="1"/>
      <c r="L2" s="1"/>
      <c r="M2" s="324"/>
      <c r="N2" s="1"/>
      <c r="O2" s="1"/>
      <c r="P2" s="24"/>
      <c r="Q2" s="1"/>
      <c r="R2" s="171"/>
      <c r="S2" s="171"/>
      <c r="T2" s="171"/>
      <c r="U2" s="171"/>
      <c r="V2" s="171"/>
      <c r="W2" s="171"/>
      <c r="X2" s="171"/>
      <c r="Y2" s="171"/>
      <c r="Z2" s="488"/>
      <c r="AA2" s="171"/>
      <c r="AB2" s="171"/>
      <c r="AC2" s="171"/>
      <c r="AD2" s="171"/>
      <c r="AE2" s="171"/>
      <c r="AF2" s="171"/>
      <c r="AG2" s="171"/>
      <c r="AH2" s="171"/>
      <c r="AI2" s="171"/>
      <c r="AJ2" s="171"/>
      <c r="AK2" s="171"/>
      <c r="AL2" s="171"/>
      <c r="AM2" s="171"/>
      <c r="AN2" s="171"/>
      <c r="AO2" s="171"/>
    </row>
    <row x14ac:dyDescent="0.25" r="3" customHeight="1" ht="28.5">
      <c r="A3" s="1"/>
      <c r="B3" s="1"/>
      <c r="C3" s="1"/>
      <c r="D3" s="1144" t="s">
        <v>1183</v>
      </c>
      <c r="E3" s="1144"/>
      <c r="F3" s="1145"/>
      <c r="G3" s="1146"/>
      <c r="H3" s="1"/>
      <c r="I3" s="1"/>
      <c r="J3" s="1"/>
      <c r="K3" s="1"/>
      <c r="L3" s="1"/>
      <c r="M3" s="324"/>
      <c r="N3" s="1"/>
      <c r="O3" s="1"/>
      <c r="P3" s="24"/>
      <c r="Q3" s="1"/>
      <c r="R3" s="171"/>
      <c r="S3" s="171"/>
      <c r="T3" s="171"/>
      <c r="U3" s="171"/>
      <c r="V3" s="171"/>
      <c r="W3" s="171"/>
      <c r="X3" s="171"/>
      <c r="Y3" s="171"/>
      <c r="Z3" s="488"/>
      <c r="AA3" s="171"/>
      <c r="AB3" s="171"/>
      <c r="AC3" s="171"/>
      <c r="AD3" s="171"/>
      <c r="AE3" s="171"/>
      <c r="AF3" s="171"/>
      <c r="AG3" s="171"/>
      <c r="AH3" s="171"/>
      <c r="AI3" s="171"/>
      <c r="AJ3" s="171"/>
      <c r="AK3" s="171"/>
      <c r="AL3" s="171"/>
      <c r="AM3" s="171"/>
      <c r="AN3" s="171"/>
      <c r="AO3" s="171"/>
    </row>
    <row x14ac:dyDescent="0.25" r="4" customHeight="1" ht="25.5">
      <c r="A4" s="1"/>
      <c r="B4" s="1"/>
      <c r="C4" s="1"/>
      <c r="D4" s="1147" t="s">
        <v>346</v>
      </c>
      <c r="E4" s="1147"/>
      <c r="F4" s="1148"/>
      <c r="G4" s="1149"/>
      <c r="H4" s="1150"/>
      <c r="I4" s="1"/>
      <c r="J4" s="1"/>
      <c r="K4" s="1"/>
      <c r="L4" s="1"/>
      <c r="M4" s="324"/>
      <c r="N4" s="1"/>
      <c r="O4" s="1"/>
      <c r="P4" s="24"/>
      <c r="Q4" s="1"/>
      <c r="R4" s="316"/>
      <c r="S4" s="316"/>
      <c r="T4" s="316"/>
      <c r="U4" s="316"/>
      <c r="V4" s="316"/>
      <c r="W4" s="316"/>
      <c r="X4" s="316"/>
      <c r="Y4" s="316"/>
      <c r="Z4" s="1151"/>
      <c r="AA4" s="316"/>
      <c r="AB4" s="316"/>
      <c r="AC4" s="316"/>
      <c r="AD4" s="316"/>
      <c r="AE4" s="316"/>
      <c r="AF4" s="316"/>
      <c r="AG4" s="316"/>
      <c r="AH4" s="316"/>
      <c r="AI4" s="316"/>
      <c r="AJ4" s="316"/>
      <c r="AK4" s="316"/>
      <c r="AL4" s="316"/>
      <c r="AM4" s="316"/>
      <c r="AN4" s="316"/>
      <c r="AO4" s="316"/>
    </row>
    <row x14ac:dyDescent="0.25" r="5" customHeight="1" ht="31.149999999999995">
      <c r="A5" s="1"/>
      <c r="B5" s="1"/>
      <c r="C5" s="1152"/>
      <c r="D5" s="1153" t="s">
        <v>1184</v>
      </c>
      <c r="E5" s="1154">
        <v>6</v>
      </c>
      <c r="F5" s="1155"/>
      <c r="G5" s="1"/>
      <c r="H5" s="1"/>
      <c r="I5" s="1"/>
      <c r="J5" s="1"/>
      <c r="K5" s="1"/>
      <c r="L5" s="1"/>
      <c r="M5" s="324"/>
      <c r="N5" s="1"/>
      <c r="O5" s="1"/>
      <c r="P5" s="24"/>
      <c r="Q5" s="171"/>
      <c r="R5" s="171"/>
      <c r="S5" s="171"/>
      <c r="T5" s="171"/>
      <c r="U5" s="171"/>
      <c r="V5" s="171"/>
      <c r="W5" s="171"/>
      <c r="X5" s="171"/>
      <c r="Y5" s="488"/>
      <c r="Z5" s="171"/>
      <c r="AA5" s="171"/>
      <c r="AB5" s="171"/>
      <c r="AC5" s="171"/>
      <c r="AD5" s="171"/>
      <c r="AE5" s="171"/>
      <c r="AF5" s="171"/>
      <c r="AG5" s="171"/>
      <c r="AH5" s="171"/>
      <c r="AI5" s="171"/>
      <c r="AJ5" s="171"/>
      <c r="AK5" s="171"/>
      <c r="AL5" s="171"/>
      <c r="AM5" s="171"/>
      <c r="AN5" s="171"/>
      <c r="AO5" s="1"/>
    </row>
    <row x14ac:dyDescent="0.25" r="6" customHeight="1" ht="18.75" hidden="1">
      <c r="A6" s="1"/>
      <c r="B6" s="1"/>
      <c r="C6" s="1156"/>
      <c r="D6" s="1157"/>
      <c r="E6" s="1158"/>
      <c r="F6" s="1159"/>
      <c r="G6" s="207"/>
      <c r="H6" s="1"/>
      <c r="I6" s="1"/>
      <c r="J6" s="1"/>
      <c r="K6" s="1"/>
      <c r="L6" s="1"/>
      <c r="M6" s="324"/>
      <c r="N6" s="1"/>
      <c r="O6" s="1"/>
      <c r="P6" s="24"/>
      <c r="Q6" s="316"/>
      <c r="R6" s="316"/>
      <c r="S6" s="316"/>
      <c r="T6" s="316"/>
      <c r="U6" s="316"/>
      <c r="V6" s="316"/>
      <c r="W6" s="316"/>
      <c r="X6" s="316"/>
      <c r="Y6" s="1151"/>
      <c r="Z6" s="316"/>
      <c r="AA6" s="316"/>
      <c r="AB6" s="316"/>
      <c r="AC6" s="316"/>
      <c r="AD6" s="316"/>
      <c r="AE6" s="316"/>
      <c r="AF6" s="316"/>
      <c r="AG6" s="316"/>
      <c r="AH6" s="316"/>
      <c r="AI6" s="316"/>
      <c r="AJ6" s="316"/>
      <c r="AK6" s="316"/>
      <c r="AL6" s="316"/>
      <c r="AM6" s="316"/>
      <c r="AN6" s="316"/>
      <c r="AO6" s="1"/>
    </row>
    <row x14ac:dyDescent="0.25" r="7" customHeight="1" ht="31.149999999999995">
      <c r="A7" s="1"/>
      <c r="B7" s="1"/>
      <c r="C7" s="1152"/>
      <c r="D7" s="1153" t="s">
        <v>1</v>
      </c>
      <c r="E7" s="1160">
        <f>+VLOOKUP(E5,BBDD!C3:S24,3,FALSE)</f>
        <v>25569.041666666668</v>
      </c>
      <c r="F7" s="1160"/>
      <c r="G7" s="1161">
        <f>IF(E7&lt;8000,"Completar fecha con formato dd/mm/aaaa"," ")</f>
      </c>
      <c r="H7" s="1162"/>
      <c r="I7" s="1"/>
      <c r="J7" s="1"/>
      <c r="K7" s="1"/>
      <c r="L7" s="1"/>
      <c r="M7" s="324"/>
      <c r="N7" s="1"/>
      <c r="O7" s="1"/>
      <c r="P7" s="24"/>
      <c r="Q7" s="171"/>
      <c r="R7" s="171"/>
      <c r="S7" s="171"/>
      <c r="T7" s="171"/>
      <c r="U7" s="171"/>
      <c r="V7" s="171"/>
      <c r="W7" s="171"/>
      <c r="X7" s="171"/>
      <c r="Y7" s="488"/>
      <c r="Z7" s="171"/>
      <c r="AA7" s="171"/>
      <c r="AB7" s="171"/>
      <c r="AC7" s="171"/>
      <c r="AD7" s="171"/>
      <c r="AE7" s="171"/>
      <c r="AF7" s="171"/>
      <c r="AG7" s="171"/>
      <c r="AH7" s="171"/>
      <c r="AI7" s="171"/>
      <c r="AJ7" s="171"/>
      <c r="AK7" s="171"/>
      <c r="AL7" s="171"/>
      <c r="AM7" s="171"/>
      <c r="AN7" s="171"/>
      <c r="AO7" s="1"/>
    </row>
    <row x14ac:dyDescent="0.25" r="8" customHeight="1" ht="18.75" hidden="1">
      <c r="A8" s="1"/>
      <c r="B8" s="1"/>
      <c r="C8" s="1156"/>
      <c r="D8" s="1157"/>
      <c r="E8" s="1158"/>
      <c r="F8" s="1163"/>
      <c r="G8" s="207"/>
      <c r="H8" s="1"/>
      <c r="I8" s="1"/>
      <c r="J8" s="1"/>
      <c r="K8" s="1"/>
      <c r="L8" s="1"/>
      <c r="M8" s="324"/>
      <c r="N8" s="1"/>
      <c r="O8" s="1"/>
      <c r="P8" s="24"/>
      <c r="Q8" s="316"/>
      <c r="R8" s="316"/>
      <c r="S8" s="316"/>
      <c r="T8" s="316"/>
      <c r="U8" s="316"/>
      <c r="V8" s="316"/>
      <c r="W8" s="316"/>
      <c r="X8" s="316"/>
      <c r="Y8" s="1151"/>
      <c r="Z8" s="316"/>
      <c r="AA8" s="316"/>
      <c r="AB8" s="316"/>
      <c r="AC8" s="316"/>
      <c r="AD8" s="316"/>
      <c r="AE8" s="316"/>
      <c r="AF8" s="316"/>
      <c r="AG8" s="316"/>
      <c r="AH8" s="316"/>
      <c r="AI8" s="316"/>
      <c r="AJ8" s="316"/>
      <c r="AK8" s="316"/>
      <c r="AL8" s="316"/>
      <c r="AM8" s="316"/>
      <c r="AN8" s="316"/>
      <c r="AO8" s="1"/>
    </row>
    <row x14ac:dyDescent="0.25" r="9" customHeight="1" ht="31.149999999999995">
      <c r="A9" s="1"/>
      <c r="B9" s="1"/>
      <c r="C9" s="1152"/>
      <c r="D9" s="1153" t="s">
        <v>1185</v>
      </c>
      <c r="E9" s="1164"/>
      <c r="F9" s="1165" t="s">
        <v>1186</v>
      </c>
      <c r="G9" s="1"/>
      <c r="H9" s="1"/>
      <c r="I9" s="1"/>
      <c r="J9" s="1"/>
      <c r="K9" s="1"/>
      <c r="L9" s="1"/>
      <c r="M9" s="324"/>
      <c r="N9" s="1"/>
      <c r="O9" s="1"/>
      <c r="P9" s="24"/>
      <c r="Q9" s="1"/>
      <c r="R9" s="171"/>
      <c r="S9" s="171"/>
      <c r="T9" s="171"/>
      <c r="U9" s="171"/>
      <c r="V9" s="171"/>
      <c r="W9" s="171"/>
      <c r="X9" s="171"/>
      <c r="Y9" s="488"/>
      <c r="Z9" s="171"/>
      <c r="AA9" s="171"/>
      <c r="AB9" s="171"/>
      <c r="AC9" s="171"/>
      <c r="AD9" s="171"/>
      <c r="AE9" s="171"/>
      <c r="AF9" s="171"/>
      <c r="AG9" s="171"/>
      <c r="AH9" s="171"/>
      <c r="AI9" s="171"/>
      <c r="AJ9" s="171"/>
      <c r="AK9" s="171"/>
      <c r="AL9" s="171"/>
      <c r="AM9" s="171"/>
      <c r="AN9" s="171"/>
      <c r="AO9" s="1"/>
    </row>
    <row x14ac:dyDescent="0.25" r="10" customHeight="1" ht="18.75" hidden="1">
      <c r="A10" s="1"/>
      <c r="B10" s="1"/>
      <c r="C10" s="1156"/>
      <c r="D10" s="1157"/>
      <c r="E10" s="1158"/>
      <c r="F10" s="1166"/>
      <c r="G10" s="207"/>
      <c r="H10" s="1"/>
      <c r="I10" s="1"/>
      <c r="J10" s="1"/>
      <c r="K10" s="1"/>
      <c r="L10" s="1"/>
      <c r="M10" s="324"/>
      <c r="N10" s="1"/>
      <c r="O10" s="1"/>
      <c r="P10" s="24"/>
      <c r="Q10" s="1"/>
      <c r="R10" s="316"/>
      <c r="S10" s="316"/>
      <c r="T10" s="316"/>
      <c r="U10" s="316"/>
      <c r="V10" s="316"/>
      <c r="W10" s="316"/>
      <c r="X10" s="316"/>
      <c r="Y10" s="1151"/>
      <c r="Z10" s="316"/>
      <c r="AA10" s="316"/>
      <c r="AB10" s="316"/>
      <c r="AC10" s="316"/>
      <c r="AD10" s="316"/>
      <c r="AE10" s="316"/>
      <c r="AF10" s="316"/>
      <c r="AG10" s="316"/>
      <c r="AH10" s="316"/>
      <c r="AI10" s="316"/>
      <c r="AJ10" s="316"/>
      <c r="AK10" s="316"/>
      <c r="AL10" s="316"/>
      <c r="AM10" s="316"/>
      <c r="AN10" s="316"/>
      <c r="AO10" s="1"/>
    </row>
    <row x14ac:dyDescent="0.25" r="11" customHeight="1" ht="31.149999999999995">
      <c r="A11" s="1"/>
      <c r="B11" s="1"/>
      <c r="C11" s="1152"/>
      <c r="D11" s="1153" t="s">
        <v>1187</v>
      </c>
      <c r="E11" s="1154">
        <v>0</v>
      </c>
      <c r="F11" s="1155"/>
      <c r="G11" s="1161">
        <f>IF(IFERROR(E11+1,"Formato no válido")="Formato no válido","Formato no válido","")</f>
      </c>
      <c r="H11" s="1167"/>
      <c r="I11" s="1"/>
      <c r="J11" s="219"/>
      <c r="K11" s="1"/>
      <c r="L11" s="1"/>
      <c r="M11" s="324"/>
      <c r="N11" s="1"/>
      <c r="O11" s="1"/>
      <c r="P11" s="24"/>
      <c r="Q11" s="171"/>
      <c r="R11" s="171"/>
      <c r="S11" s="171"/>
      <c r="T11" s="171"/>
      <c r="U11" s="171"/>
      <c r="V11" s="171"/>
      <c r="W11" s="171"/>
      <c r="X11" s="171"/>
      <c r="Y11" s="488"/>
      <c r="Z11" s="171"/>
      <c r="AA11" s="171"/>
      <c r="AB11" s="171"/>
      <c r="AC11" s="171"/>
      <c r="AD11" s="171"/>
      <c r="AE11" s="171"/>
      <c r="AF11" s="171"/>
      <c r="AG11" s="171"/>
      <c r="AH11" s="171"/>
      <c r="AI11" s="171"/>
      <c r="AJ11" s="171"/>
      <c r="AK11" s="171"/>
      <c r="AL11" s="171"/>
      <c r="AM11" s="171"/>
      <c r="AN11" s="171"/>
      <c r="AO11" s="1"/>
    </row>
    <row x14ac:dyDescent="0.25" r="12" customHeight="1" ht="18.75" hidden="1">
      <c r="A12" s="1"/>
      <c r="B12" s="1"/>
      <c r="C12" s="1156"/>
      <c r="D12" s="1157"/>
      <c r="E12" s="1158"/>
      <c r="F12" s="1159"/>
      <c r="G12" s="207"/>
      <c r="H12" s="1"/>
      <c r="I12" s="1"/>
      <c r="J12" s="1"/>
      <c r="K12" s="1"/>
      <c r="L12" s="1"/>
      <c r="M12" s="324"/>
      <c r="N12" s="1"/>
      <c r="O12" s="1"/>
      <c r="P12" s="24"/>
      <c r="Q12" s="316"/>
      <c r="R12" s="316"/>
      <c r="S12" s="316"/>
      <c r="T12" s="316"/>
      <c r="U12" s="316"/>
      <c r="V12" s="316"/>
      <c r="W12" s="316"/>
      <c r="X12" s="316"/>
      <c r="Y12" s="1151"/>
      <c r="Z12" s="316"/>
      <c r="AA12" s="316"/>
      <c r="AB12" s="316"/>
      <c r="AC12" s="316"/>
      <c r="AD12" s="316"/>
      <c r="AE12" s="316"/>
      <c r="AF12" s="316"/>
      <c r="AG12" s="316"/>
      <c r="AH12" s="316"/>
      <c r="AI12" s="316"/>
      <c r="AJ12" s="316"/>
      <c r="AK12" s="316"/>
      <c r="AL12" s="316"/>
      <c r="AM12" s="316"/>
      <c r="AN12" s="316"/>
      <c r="AO12" s="1"/>
    </row>
    <row x14ac:dyDescent="0.25" r="13" customHeight="1" ht="31.149999999999995">
      <c r="A13" s="1"/>
      <c r="B13" s="1"/>
      <c r="C13" s="1152"/>
      <c r="D13" s="1153" t="s">
        <v>1188</v>
      </c>
      <c r="E13" s="1155">
        <f>+IFERROR(VLOOKUP(E5,BBDD!C3:S24,16,FALSE)+VLOOKUP(E5,BBDD!C3:S24,17,FALSE),"-")</f>
      </c>
      <c r="F13" s="1155"/>
      <c r="G13" s="1161">
        <f>IF(IFERROR(E13+1,"Formato no válido")="Formato no válido","Formato no válido","")</f>
      </c>
      <c r="H13" s="219"/>
      <c r="I13" s="1"/>
      <c r="J13" s="1"/>
      <c r="K13" s="1"/>
      <c r="L13" s="1"/>
      <c r="M13" s="324"/>
      <c r="N13" s="1"/>
      <c r="O13" s="1"/>
      <c r="P13" s="24"/>
      <c r="Q13" s="171"/>
      <c r="R13" s="171"/>
      <c r="S13" s="171"/>
      <c r="T13" s="171"/>
      <c r="U13" s="171"/>
      <c r="V13" s="171"/>
      <c r="W13" s="171"/>
      <c r="X13" s="171"/>
      <c r="Y13" s="488"/>
      <c r="Z13" s="171"/>
      <c r="AA13" s="171"/>
      <c r="AB13" s="171"/>
      <c r="AC13" s="171"/>
      <c r="AD13" s="171"/>
      <c r="AE13" s="171"/>
      <c r="AF13" s="171"/>
      <c r="AG13" s="171"/>
      <c r="AH13" s="171"/>
      <c r="AI13" s="171"/>
      <c r="AJ13" s="171"/>
      <c r="AK13" s="171"/>
      <c r="AL13" s="171"/>
      <c r="AM13" s="171"/>
      <c r="AN13" s="171"/>
      <c r="AO13" s="1"/>
    </row>
    <row x14ac:dyDescent="0.25" r="14" customHeight="1" ht="18.75" hidden="1">
      <c r="A14" s="1"/>
      <c r="B14" s="1"/>
      <c r="C14" s="1156"/>
      <c r="D14" s="1157"/>
      <c r="E14" s="1158"/>
      <c r="F14" s="1166"/>
      <c r="G14" s="207"/>
      <c r="H14" s="1"/>
      <c r="I14" s="1"/>
      <c r="J14" s="1"/>
      <c r="K14" s="1"/>
      <c r="L14" s="1"/>
      <c r="M14" s="324"/>
      <c r="N14" s="1"/>
      <c r="O14" s="1"/>
      <c r="P14" s="24"/>
      <c r="Q14" s="316"/>
      <c r="R14" s="316"/>
      <c r="S14" s="316"/>
      <c r="T14" s="316"/>
      <c r="U14" s="316"/>
      <c r="V14" s="316"/>
      <c r="W14" s="316"/>
      <c r="X14" s="316"/>
      <c r="Y14" s="1151"/>
      <c r="Z14" s="316"/>
      <c r="AA14" s="316"/>
      <c r="AB14" s="316"/>
      <c r="AC14" s="316"/>
      <c r="AD14" s="316"/>
      <c r="AE14" s="316"/>
      <c r="AF14" s="316"/>
      <c r="AG14" s="316"/>
      <c r="AH14" s="316"/>
      <c r="AI14" s="316"/>
      <c r="AJ14" s="316"/>
      <c r="AK14" s="316"/>
      <c r="AL14" s="316"/>
      <c r="AM14" s="316"/>
      <c r="AN14" s="316"/>
      <c r="AO14" s="1"/>
    </row>
    <row x14ac:dyDescent="0.25" r="15" customHeight="1" ht="31.149999999999995">
      <c r="A15" s="1"/>
      <c r="B15" s="1"/>
      <c r="C15" s="1152"/>
      <c r="D15" s="1153" t="s">
        <v>1189</v>
      </c>
      <c r="E15" s="1155">
        <f>+IFERROR(VLOOKUP(E5,BBDD!C3:S24,16,FALSE),"-")</f>
      </c>
      <c r="F15" s="1155"/>
      <c r="G15" s="1161">
        <f>IF(IFERROR(E15+1,"Formato no válido")="Formato no válido","Formato no válido"," ")</f>
      </c>
      <c r="H15" s="1"/>
      <c r="I15" s="1168"/>
      <c r="J15" s="1"/>
      <c r="K15" s="1"/>
      <c r="L15" s="1"/>
      <c r="M15" s="324"/>
      <c r="N15" s="1"/>
      <c r="O15" s="1"/>
      <c r="P15" s="24"/>
      <c r="Q15" s="171"/>
      <c r="R15" s="171"/>
      <c r="S15" s="171"/>
      <c r="T15" s="171"/>
      <c r="U15" s="171"/>
      <c r="V15" s="171"/>
      <c r="W15" s="171"/>
      <c r="X15" s="171"/>
      <c r="Y15" s="488"/>
      <c r="Z15" s="171"/>
      <c r="AA15" s="171"/>
      <c r="AB15" s="171"/>
      <c r="AC15" s="171"/>
      <c r="AD15" s="171"/>
      <c r="AE15" s="171"/>
      <c r="AF15" s="171"/>
      <c r="AG15" s="171"/>
      <c r="AH15" s="171"/>
      <c r="AI15" s="171"/>
      <c r="AJ15" s="171"/>
      <c r="AK15" s="171"/>
      <c r="AL15" s="171"/>
      <c r="AM15" s="171"/>
      <c r="AN15" s="171"/>
      <c r="AO15" s="1"/>
    </row>
    <row x14ac:dyDescent="0.25" r="16" customHeight="1" ht="18.75" hidden="1">
      <c r="A16" s="1"/>
      <c r="B16" s="1"/>
      <c r="C16" s="1156"/>
      <c r="D16" s="1169"/>
      <c r="E16" s="1169"/>
      <c r="F16" s="1166"/>
      <c r="G16" s="1"/>
      <c r="H16" s="1"/>
      <c r="I16" s="1"/>
      <c r="J16" s="1"/>
      <c r="K16" s="1"/>
      <c r="L16" s="1"/>
      <c r="M16" s="324"/>
      <c r="N16" s="1"/>
      <c r="O16" s="1"/>
      <c r="P16" s="24"/>
      <c r="Q16" s="316"/>
      <c r="R16" s="316"/>
      <c r="S16" s="316"/>
      <c r="T16" s="316"/>
      <c r="U16" s="316"/>
      <c r="V16" s="316"/>
      <c r="W16" s="316"/>
      <c r="X16" s="316"/>
      <c r="Y16" s="1151"/>
      <c r="Z16" s="316"/>
      <c r="AA16" s="316"/>
      <c r="AB16" s="316"/>
      <c r="AC16" s="316"/>
      <c r="AD16" s="316"/>
      <c r="AE16" s="316"/>
      <c r="AF16" s="316"/>
      <c r="AG16" s="316"/>
      <c r="AH16" s="316"/>
      <c r="AI16" s="316"/>
      <c r="AJ16" s="316"/>
      <c r="AK16" s="316"/>
      <c r="AL16" s="316"/>
      <c r="AM16" s="316"/>
      <c r="AN16" s="316"/>
      <c r="AO16" s="1"/>
    </row>
    <row x14ac:dyDescent="0.25" r="17" customHeight="1" ht="20.1">
      <c r="A17" s="1"/>
      <c r="B17" s="1"/>
      <c r="C17" s="1170"/>
      <c r="D17" s="1171" t="s">
        <v>1190</v>
      </c>
      <c r="E17" s="1171"/>
      <c r="F17" s="1172"/>
      <c r="G17" s="139"/>
      <c r="H17" s="1"/>
      <c r="I17" s="1173"/>
      <c r="J17" s="1"/>
      <c r="K17" s="1"/>
      <c r="L17" s="1"/>
      <c r="M17" s="324"/>
      <c r="N17" s="1"/>
      <c r="O17" s="1"/>
      <c r="P17" s="24"/>
      <c r="Q17" s="171"/>
      <c r="R17" s="171"/>
      <c r="S17" s="171"/>
      <c r="T17" s="171"/>
      <c r="U17" s="171"/>
      <c r="V17" s="171"/>
      <c r="W17" s="171"/>
      <c r="X17" s="171"/>
      <c r="Y17" s="488"/>
      <c r="Z17" s="171"/>
      <c r="AA17" s="171"/>
      <c r="AB17" s="171"/>
      <c r="AC17" s="171"/>
      <c r="AD17" s="171"/>
      <c r="AE17" s="171"/>
      <c r="AF17" s="171"/>
      <c r="AG17" s="171"/>
      <c r="AH17" s="171"/>
      <c r="AI17" s="171"/>
      <c r="AJ17" s="171"/>
      <c r="AK17" s="171"/>
      <c r="AL17" s="171"/>
      <c r="AM17" s="171"/>
      <c r="AN17" s="171"/>
      <c r="AO17" s="1"/>
    </row>
    <row x14ac:dyDescent="0.25" r="18" customHeight="1" ht="31.149999999999995">
      <c r="A18" s="1"/>
      <c r="B18" s="1"/>
      <c r="C18" s="1170"/>
      <c r="D18" s="1174" t="s">
        <v>6</v>
      </c>
      <c r="E18" s="1175">
        <v>0</v>
      </c>
      <c r="F18" s="1176"/>
      <c r="G18" s="1161">
        <f>IF(IFERROR(E18+1,"Formato no válido")="Formato no válido","Formato no válido","")</f>
      </c>
      <c r="H18" s="1"/>
      <c r="I18" s="1"/>
      <c r="J18" s="219"/>
      <c r="K18" s="1"/>
      <c r="L18" s="1"/>
      <c r="M18" s="324"/>
      <c r="N18" s="1"/>
      <c r="O18" s="1"/>
      <c r="P18" s="24"/>
      <c r="Q18" s="171"/>
      <c r="R18" s="171"/>
      <c r="S18" s="171"/>
      <c r="T18" s="171"/>
      <c r="U18" s="171"/>
      <c r="V18" s="171"/>
      <c r="W18" s="171"/>
      <c r="X18" s="171"/>
      <c r="Y18" s="488"/>
      <c r="Z18" s="171"/>
      <c r="AA18" s="171"/>
      <c r="AB18" s="171"/>
      <c r="AC18" s="171"/>
      <c r="AD18" s="171"/>
      <c r="AE18" s="171"/>
      <c r="AF18" s="171"/>
      <c r="AG18" s="171"/>
      <c r="AH18" s="171"/>
      <c r="AI18" s="171"/>
      <c r="AJ18" s="171"/>
      <c r="AK18" s="171"/>
      <c r="AL18" s="171"/>
      <c r="AM18" s="171"/>
      <c r="AN18" s="171"/>
      <c r="AO18" s="1"/>
    </row>
    <row x14ac:dyDescent="0.25" r="19" customHeight="1" ht="31.149999999999995">
      <c r="A19" s="1"/>
      <c r="B19" s="1"/>
      <c r="C19" s="1177"/>
      <c r="D19" s="1178" t="s">
        <v>1191</v>
      </c>
      <c r="E19" s="1154">
        <v>0</v>
      </c>
      <c r="F19" s="1155"/>
      <c r="G19" s="1161">
        <f>IF(IFERROR(E19+1,"Formato no válido")="Formato no válido","Formato no válido","")</f>
      </c>
      <c r="H19" s="1"/>
      <c r="I19" s="1"/>
      <c r="J19" s="1"/>
      <c r="K19" s="1"/>
      <c r="L19" s="1"/>
      <c r="M19" s="324"/>
      <c r="N19" s="1"/>
      <c r="O19" s="1"/>
      <c r="P19" s="24"/>
      <c r="Q19" s="171"/>
      <c r="R19" s="171"/>
      <c r="S19" s="171"/>
      <c r="T19" s="171"/>
      <c r="U19" s="171"/>
      <c r="V19" s="171"/>
      <c r="W19" s="171"/>
      <c r="X19" s="171"/>
      <c r="Y19" s="488"/>
      <c r="Z19" s="171"/>
      <c r="AA19" s="171"/>
      <c r="AB19" s="171"/>
      <c r="AC19" s="171"/>
      <c r="AD19" s="171"/>
      <c r="AE19" s="171"/>
      <c r="AF19" s="171"/>
      <c r="AG19" s="171"/>
      <c r="AH19" s="171"/>
      <c r="AI19" s="171"/>
      <c r="AJ19" s="171"/>
      <c r="AK19" s="171"/>
      <c r="AL19" s="171"/>
      <c r="AM19" s="171"/>
      <c r="AN19" s="171"/>
      <c r="AO19" s="1"/>
    </row>
    <row x14ac:dyDescent="0.25" r="20" customHeight="1" ht="30">
      <c r="A20" s="1"/>
      <c r="B20" s="1179" t="s">
        <v>1192</v>
      </c>
      <c r="C20" s="1179" t="s">
        <v>1192</v>
      </c>
      <c r="D20" s="1180" t="s">
        <v>1193</v>
      </c>
      <c r="E20" s="1181"/>
      <c r="F20" s="1180">
        <f>IFERROR(ROUND(INT(E18)+INT(E19)/12,2),"-")</f>
      </c>
      <c r="G20" s="171"/>
      <c r="H20" s="171"/>
      <c r="I20" s="171"/>
      <c r="J20" s="219"/>
      <c r="K20" s="1"/>
      <c r="L20" s="1"/>
      <c r="M20" s="324"/>
      <c r="N20" s="1"/>
      <c r="O20" s="1"/>
      <c r="P20" s="24"/>
      <c r="Q20" s="171"/>
      <c r="R20" s="171"/>
      <c r="S20" s="171"/>
      <c r="T20" s="171"/>
      <c r="U20" s="171"/>
      <c r="V20" s="171"/>
      <c r="W20" s="171"/>
      <c r="X20" s="171"/>
      <c r="Y20" s="488"/>
      <c r="Z20" s="171"/>
      <c r="AA20" s="171"/>
      <c r="AB20" s="171"/>
      <c r="AC20" s="171"/>
      <c r="AD20" s="171"/>
      <c r="AE20" s="171"/>
      <c r="AF20" s="171"/>
      <c r="AG20" s="171"/>
      <c r="AH20" s="171"/>
      <c r="AI20" s="171"/>
      <c r="AJ20" s="171"/>
      <c r="AK20" s="171"/>
      <c r="AL20" s="171"/>
      <c r="AM20" s="171"/>
      <c r="AN20" s="171"/>
      <c r="AO20" s="1"/>
    </row>
    <row x14ac:dyDescent="0.25" r="21" customHeight="1" ht="15">
      <c r="A21" s="1"/>
      <c r="B21" s="1"/>
      <c r="C21" s="139"/>
      <c r="D21" s="1182"/>
      <c r="E21" s="1182"/>
      <c r="F21" s="1183" t="s">
        <v>1186</v>
      </c>
      <c r="G21" s="171"/>
      <c r="H21" s="171"/>
      <c r="I21" s="171"/>
      <c r="J21" s="1"/>
      <c r="K21" s="1"/>
      <c r="L21" s="1"/>
      <c r="M21" s="324"/>
      <c r="N21" s="1"/>
      <c r="O21" s="1"/>
      <c r="P21" s="24"/>
      <c r="Q21" s="1"/>
      <c r="R21" s="171"/>
      <c r="S21" s="171"/>
      <c r="T21" s="171"/>
      <c r="U21" s="171"/>
      <c r="V21" s="171"/>
      <c r="W21" s="171"/>
      <c r="X21" s="171"/>
      <c r="Y21" s="171"/>
      <c r="Z21" s="488"/>
      <c r="AA21" s="171"/>
      <c r="AB21" s="171"/>
      <c r="AC21" s="171"/>
      <c r="AD21" s="171"/>
      <c r="AE21" s="171"/>
      <c r="AF21" s="171"/>
      <c r="AG21" s="171"/>
      <c r="AH21" s="171"/>
      <c r="AI21" s="171"/>
      <c r="AJ21" s="171"/>
      <c r="AK21" s="171"/>
      <c r="AL21" s="171"/>
      <c r="AM21" s="171"/>
      <c r="AN21" s="171"/>
      <c r="AO21" s="171"/>
    </row>
    <row x14ac:dyDescent="0.25" r="22" customHeight="1" ht="15">
      <c r="A22" s="1"/>
      <c r="B22" s="1"/>
      <c r="C22" s="1"/>
      <c r="D22" s="1182"/>
      <c r="E22" s="1182"/>
      <c r="F22" s="1183" t="s">
        <v>1194</v>
      </c>
      <c r="G22" s="171"/>
      <c r="H22" s="171"/>
      <c r="I22" s="171"/>
      <c r="J22" s="1"/>
      <c r="K22" s="1"/>
      <c r="L22" s="1"/>
      <c r="M22" s="139"/>
      <c r="N22" s="1"/>
      <c r="O22" s="1"/>
      <c r="P22" s="24"/>
      <c r="Q22" s="1"/>
      <c r="R22" s="171"/>
      <c r="S22" s="171"/>
      <c r="T22" s="171"/>
      <c r="U22" s="171"/>
      <c r="V22" s="171"/>
      <c r="W22" s="171"/>
      <c r="X22" s="171"/>
      <c r="Y22" s="171"/>
      <c r="Z22" s="488"/>
      <c r="AA22" s="171"/>
      <c r="AB22" s="171"/>
      <c r="AC22" s="171"/>
      <c r="AD22" s="171"/>
      <c r="AE22" s="171"/>
      <c r="AF22" s="171"/>
      <c r="AG22" s="171"/>
      <c r="AH22" s="171"/>
      <c r="AI22" s="171"/>
      <c r="AJ22" s="171"/>
      <c r="AK22" s="171"/>
      <c r="AL22" s="171"/>
      <c r="AM22" s="171"/>
      <c r="AN22" s="171"/>
      <c r="AO22" s="171"/>
    </row>
    <row x14ac:dyDescent="0.25" r="23" customHeight="1" ht="15">
      <c r="A23" s="1"/>
      <c r="B23" s="1"/>
      <c r="C23" s="1"/>
      <c r="D23" s="906" t="s">
        <v>65</v>
      </c>
      <c r="E23" s="729"/>
      <c r="F23" s="721">
        <f>2%*E15</f>
      </c>
      <c r="G23" s="275"/>
      <c r="H23" s="171"/>
      <c r="I23" s="171"/>
      <c r="J23" s="1"/>
      <c r="K23" s="1"/>
      <c r="L23" s="1"/>
      <c r="M23" s="1"/>
      <c r="N23" s="1"/>
      <c r="O23" s="1"/>
      <c r="P23" s="24"/>
      <c r="Q23" s="1"/>
      <c r="R23" s="171"/>
      <c r="S23" s="171"/>
      <c r="T23" s="171"/>
      <c r="U23" s="171"/>
      <c r="V23" s="171"/>
      <c r="W23" s="171"/>
      <c r="X23" s="171"/>
      <c r="Y23" s="171"/>
      <c r="Z23" s="488"/>
      <c r="AA23" s="171"/>
      <c r="AB23" s="171"/>
      <c r="AC23" s="171"/>
      <c r="AD23" s="171"/>
      <c r="AE23" s="171"/>
      <c r="AF23" s="171"/>
      <c r="AG23" s="171"/>
      <c r="AH23" s="171"/>
      <c r="AI23" s="171"/>
      <c r="AJ23" s="171"/>
      <c r="AK23" s="171"/>
      <c r="AL23" s="171"/>
      <c r="AM23" s="171"/>
      <c r="AN23" s="171"/>
      <c r="AO23" s="171"/>
    </row>
    <row x14ac:dyDescent="0.25" r="24" customHeight="1" ht="15">
      <c r="A24" s="1"/>
      <c r="B24" s="1"/>
      <c r="C24" s="1"/>
      <c r="D24" s="729"/>
      <c r="E24" s="729"/>
      <c r="F24" s="276"/>
      <c r="G24" s="275"/>
      <c r="H24" s="275"/>
      <c r="I24" s="275"/>
      <c r="J24" s="1"/>
      <c r="K24" s="1"/>
      <c r="L24" s="1"/>
      <c r="M24" s="1"/>
      <c r="N24" s="1"/>
      <c r="O24" s="1"/>
      <c r="P24" s="24"/>
      <c r="Q24" s="1"/>
      <c r="R24" s="171"/>
      <c r="S24" s="171"/>
      <c r="T24" s="171"/>
      <c r="U24" s="171"/>
      <c r="V24" s="171"/>
      <c r="W24" s="171"/>
      <c r="X24" s="171"/>
      <c r="Y24" s="171"/>
      <c r="Z24" s="488"/>
      <c r="AA24" s="171"/>
      <c r="AB24" s="171"/>
      <c r="AC24" s="171"/>
      <c r="AD24" s="171"/>
      <c r="AE24" s="171"/>
      <c r="AF24" s="171"/>
      <c r="AG24" s="171"/>
      <c r="AH24" s="171"/>
      <c r="AI24" s="171"/>
      <c r="AJ24" s="171"/>
      <c r="AK24" s="171"/>
      <c r="AL24" s="171"/>
      <c r="AM24" s="171"/>
      <c r="AN24" s="171"/>
      <c r="AO24" s="171"/>
    </row>
    <row x14ac:dyDescent="0.25" r="25" customHeight="1" ht="15">
      <c r="A25" s="1"/>
      <c r="B25" s="1"/>
      <c r="C25" s="1"/>
      <c r="D25" s="1184" t="s">
        <v>1195</v>
      </c>
      <c r="E25" s="729"/>
      <c r="F25" s="276"/>
      <c r="G25" s="275"/>
      <c r="H25" s="275"/>
      <c r="I25" s="275"/>
      <c r="J25" s="1"/>
      <c r="K25" s="1"/>
      <c r="L25" s="1"/>
      <c r="M25" s="1"/>
      <c r="N25" s="1"/>
      <c r="O25" s="1"/>
      <c r="P25" s="24"/>
      <c r="Q25" s="1"/>
      <c r="R25" s="171"/>
      <c r="S25" s="171"/>
      <c r="T25" s="171"/>
      <c r="U25" s="171"/>
      <c r="V25" s="171"/>
      <c r="W25" s="171"/>
      <c r="X25" s="171"/>
      <c r="Y25" s="171"/>
      <c r="Z25" s="488"/>
      <c r="AA25" s="171"/>
      <c r="AB25" s="171"/>
      <c r="AC25" s="171"/>
      <c r="AD25" s="171"/>
      <c r="AE25" s="171"/>
      <c r="AF25" s="171"/>
      <c r="AG25" s="171"/>
      <c r="AH25" s="171"/>
      <c r="AI25" s="171"/>
      <c r="AJ25" s="171"/>
      <c r="AK25" s="171"/>
      <c r="AL25" s="171"/>
      <c r="AM25" s="171"/>
      <c r="AN25" s="171"/>
      <c r="AO25" s="171"/>
    </row>
    <row x14ac:dyDescent="0.25" r="26" customHeight="1" ht="15">
      <c r="A26" s="1"/>
      <c r="B26" s="1"/>
      <c r="C26" s="1"/>
      <c r="D26" s="1185" t="s">
        <v>1196</v>
      </c>
      <c r="E26" s="729"/>
      <c r="F26" s="276"/>
      <c r="G26" s="275"/>
      <c r="H26" s="275"/>
      <c r="I26" s="275"/>
      <c r="J26" s="1"/>
      <c r="K26" s="1"/>
      <c r="L26" s="1"/>
      <c r="M26" s="1"/>
      <c r="N26" s="1"/>
      <c r="O26" s="1"/>
      <c r="P26" s="24"/>
      <c r="Q26" s="1"/>
      <c r="R26" s="171"/>
      <c r="S26" s="171"/>
      <c r="T26" s="171"/>
      <c r="U26" s="171"/>
      <c r="V26" s="171"/>
      <c r="W26" s="171"/>
      <c r="X26" s="171"/>
      <c r="Y26" s="171"/>
      <c r="Z26" s="488"/>
      <c r="AA26" s="171"/>
      <c r="AB26" s="171"/>
      <c r="AC26" s="171"/>
      <c r="AD26" s="171"/>
      <c r="AE26" s="171"/>
      <c r="AF26" s="171"/>
      <c r="AG26" s="171"/>
      <c r="AH26" s="171"/>
      <c r="AI26" s="171"/>
      <c r="AJ26" s="171"/>
      <c r="AK26" s="171"/>
      <c r="AL26" s="171"/>
      <c r="AM26" s="171"/>
      <c r="AN26" s="171"/>
      <c r="AO26" s="171"/>
    </row>
    <row x14ac:dyDescent="0.25" r="27" customHeight="1" ht="15">
      <c r="A27" s="1"/>
      <c r="B27" s="1"/>
      <c r="C27" s="1"/>
      <c r="D27" s="1186">
        <f>VLOOKUP(E5,BBDD!C3:N24,2,FALSE)</f>
      </c>
      <c r="E27" s="169"/>
      <c r="F27" s="1187"/>
      <c r="G27" s="275"/>
      <c r="H27" s="275"/>
      <c r="I27" s="275"/>
      <c r="J27" s="1"/>
      <c r="K27" s="1"/>
      <c r="L27" s="1"/>
      <c r="M27" s="1"/>
      <c r="N27" s="1"/>
      <c r="O27" s="1"/>
      <c r="P27" s="24"/>
      <c r="Q27" s="1"/>
      <c r="R27" s="171"/>
      <c r="S27" s="171"/>
      <c r="T27" s="171"/>
      <c r="U27" s="171"/>
      <c r="V27" s="171"/>
      <c r="W27" s="171"/>
      <c r="X27" s="171"/>
      <c r="Y27" s="171"/>
      <c r="Z27" s="488"/>
      <c r="AA27" s="171"/>
      <c r="AB27" s="171"/>
      <c r="AC27" s="171"/>
      <c r="AD27" s="171"/>
      <c r="AE27" s="171"/>
      <c r="AF27" s="171"/>
      <c r="AG27" s="171"/>
      <c r="AH27" s="171"/>
      <c r="AI27" s="171"/>
      <c r="AJ27" s="171"/>
      <c r="AK27" s="171"/>
      <c r="AL27" s="171"/>
      <c r="AM27" s="171"/>
      <c r="AN27" s="171"/>
      <c r="AO27" s="171"/>
    </row>
    <row x14ac:dyDescent="0.25" r="28" customHeight="1" ht="15">
      <c r="A28" s="1"/>
      <c r="B28" s="1"/>
      <c r="C28" s="1"/>
      <c r="D28" s="729"/>
      <c r="E28" s="729"/>
      <c r="F28" s="276"/>
      <c r="G28" s="275"/>
      <c r="H28" s="275"/>
      <c r="I28" s="275"/>
      <c r="J28" s="1"/>
      <c r="K28" s="1"/>
      <c r="L28" s="1"/>
      <c r="M28" s="1"/>
      <c r="N28" s="1"/>
      <c r="O28" s="1"/>
      <c r="P28" s="24"/>
      <c r="Q28" s="1"/>
      <c r="R28" s="171"/>
      <c r="S28" s="171"/>
      <c r="T28" s="171"/>
      <c r="U28" s="171"/>
      <c r="V28" s="171"/>
      <c r="W28" s="171"/>
      <c r="X28" s="171"/>
      <c r="Y28" s="171"/>
      <c r="Z28" s="488"/>
      <c r="AA28" s="171"/>
      <c r="AB28" s="171"/>
      <c r="AC28" s="171"/>
      <c r="AD28" s="171"/>
      <c r="AE28" s="171"/>
      <c r="AF28" s="171"/>
      <c r="AG28" s="171"/>
      <c r="AH28" s="171"/>
      <c r="AI28" s="171"/>
      <c r="AJ28" s="171"/>
      <c r="AK28" s="171"/>
      <c r="AL28" s="171"/>
      <c r="AM28" s="171"/>
      <c r="AN28" s="171"/>
      <c r="AO28" s="171"/>
    </row>
    <row x14ac:dyDescent="0.25" r="29" customHeight="1" ht="14.65">
      <c r="A29" s="1"/>
      <c r="B29" s="1"/>
      <c r="C29" s="1"/>
      <c r="D29" s="590">
        <f>IFERROR(VLOOKUP(E5,BBDD!C5:S24000,12,FALSE),"")</f>
      </c>
      <c r="E29" s="729"/>
      <c r="F29" s="276"/>
      <c r="G29" s="275"/>
      <c r="H29" s="275"/>
      <c r="I29" s="275"/>
      <c r="J29" s="1"/>
      <c r="K29" s="1"/>
      <c r="L29" s="1"/>
      <c r="M29" s="1"/>
      <c r="N29" s="1"/>
      <c r="O29" s="1"/>
      <c r="P29" s="24"/>
      <c r="Q29" s="1"/>
      <c r="R29" s="171"/>
      <c r="S29" s="171"/>
      <c r="T29" s="171"/>
      <c r="U29" s="171"/>
      <c r="V29" s="171"/>
      <c r="W29" s="171"/>
      <c r="X29" s="171"/>
      <c r="Y29" s="171"/>
      <c r="Z29" s="488"/>
      <c r="AA29" s="171"/>
      <c r="AB29" s="171"/>
      <c r="AC29" s="171"/>
      <c r="AD29" s="171"/>
      <c r="AE29" s="171"/>
      <c r="AF29" s="171"/>
      <c r="AG29" s="171"/>
      <c r="AH29" s="171"/>
      <c r="AI29" s="171"/>
      <c r="AJ29" s="171"/>
      <c r="AK29" s="171"/>
      <c r="AL29" s="171"/>
      <c r="AM29" s="171"/>
      <c r="AN29" s="171"/>
      <c r="AO29" s="171"/>
    </row>
    <row x14ac:dyDescent="0.25" r="30" customHeight="1" ht="15">
      <c r="A30" s="1"/>
      <c r="B30" s="1188" t="s">
        <v>576</v>
      </c>
      <c r="C30" s="1"/>
      <c r="D30" s="1001">
        <f>IF(OR(LEN(E18)&gt;2,E18&lt;0),"Importe no válido","")</f>
      </c>
      <c r="E30" s="729"/>
      <c r="F30" s="276"/>
      <c r="G30" s="275"/>
      <c r="H30" s="275"/>
      <c r="I30" s="275"/>
      <c r="J30" s="1"/>
      <c r="K30" s="1"/>
      <c r="L30" s="1"/>
      <c r="M30" s="1"/>
      <c r="N30" s="1"/>
      <c r="O30" s="1"/>
      <c r="P30" s="24"/>
      <c r="Q30" s="1"/>
      <c r="R30" s="171"/>
      <c r="S30" s="171"/>
      <c r="T30" s="171"/>
      <c r="U30" s="171"/>
      <c r="V30" s="171"/>
      <c r="W30" s="171"/>
      <c r="X30" s="171"/>
      <c r="Y30" s="171"/>
      <c r="Z30" s="488"/>
      <c r="AA30" s="171"/>
      <c r="AB30" s="171"/>
      <c r="AC30" s="171"/>
      <c r="AD30" s="171"/>
      <c r="AE30" s="171"/>
      <c r="AF30" s="171"/>
      <c r="AG30" s="171"/>
      <c r="AH30" s="171"/>
      <c r="AI30" s="171"/>
      <c r="AJ30" s="171"/>
      <c r="AK30" s="171"/>
      <c r="AL30" s="171"/>
      <c r="AM30" s="171"/>
      <c r="AN30" s="171"/>
      <c r="AO30" s="171"/>
    </row>
    <row x14ac:dyDescent="0.25" r="31" customHeight="1" ht="15">
      <c r="A31" s="1"/>
      <c r="B31" s="1"/>
      <c r="C31" s="1"/>
      <c r="D31" s="169"/>
      <c r="E31" s="729"/>
      <c r="F31" s="276"/>
      <c r="G31" s="275"/>
      <c r="H31" s="275"/>
      <c r="I31" s="275"/>
      <c r="J31" s="1"/>
      <c r="K31" s="1"/>
      <c r="L31" s="1"/>
      <c r="M31" s="1"/>
      <c r="N31" s="1"/>
      <c r="O31" s="1"/>
      <c r="P31" s="24"/>
      <c r="Q31" s="1"/>
      <c r="R31" s="171"/>
      <c r="S31" s="171"/>
      <c r="T31" s="171"/>
      <c r="U31" s="171"/>
      <c r="V31" s="171"/>
      <c r="W31" s="171"/>
      <c r="X31" s="171"/>
      <c r="Y31" s="171"/>
      <c r="Z31" s="488"/>
      <c r="AA31" s="171"/>
      <c r="AB31" s="171"/>
      <c r="AC31" s="171"/>
      <c r="AD31" s="171"/>
      <c r="AE31" s="171"/>
      <c r="AF31" s="171"/>
      <c r="AG31" s="171"/>
      <c r="AH31" s="171"/>
      <c r="AI31" s="171"/>
      <c r="AJ31" s="171"/>
      <c r="AK31" s="171"/>
      <c r="AL31" s="171"/>
      <c r="AM31" s="171"/>
      <c r="AN31" s="171"/>
      <c r="AO31" s="171"/>
    </row>
    <row x14ac:dyDescent="0.25" r="32" customHeight="1" ht="15">
      <c r="A32" s="1"/>
      <c r="B32" s="1188" t="s">
        <v>1197</v>
      </c>
      <c r="C32" s="1"/>
      <c r="D32" s="1001">
        <f>IF(OR(E19&lt;0,E19&gt;12,LEN(E19)&gt;2),"Importe no válido","")</f>
      </c>
      <c r="E32" s="729"/>
      <c r="F32" s="276"/>
      <c r="G32" s="275"/>
      <c r="H32" s="275"/>
      <c r="I32" s="275"/>
      <c r="J32" s="1"/>
      <c r="K32" s="1"/>
      <c r="L32" s="1"/>
      <c r="M32" s="1"/>
      <c r="N32" s="1"/>
      <c r="O32" s="1"/>
      <c r="P32" s="24"/>
      <c r="Q32" s="1"/>
      <c r="R32" s="171"/>
      <c r="S32" s="171"/>
      <c r="T32" s="171"/>
      <c r="U32" s="171"/>
      <c r="V32" s="171"/>
      <c r="W32" s="171"/>
      <c r="X32" s="171"/>
      <c r="Y32" s="171"/>
      <c r="Z32" s="488"/>
      <c r="AA32" s="171"/>
      <c r="AB32" s="171"/>
      <c r="AC32" s="171"/>
      <c r="AD32" s="171"/>
      <c r="AE32" s="171"/>
      <c r="AF32" s="171"/>
      <c r="AG32" s="171"/>
      <c r="AH32" s="171"/>
      <c r="AI32" s="171"/>
      <c r="AJ32" s="171"/>
      <c r="AK32" s="171"/>
      <c r="AL32" s="171"/>
      <c r="AM32" s="171"/>
      <c r="AN32" s="171"/>
      <c r="AO32" s="171"/>
    </row>
    <row x14ac:dyDescent="0.25" r="33" customHeight="1" ht="15">
      <c r="A33" s="1"/>
      <c r="B33" s="1"/>
      <c r="C33" s="1"/>
      <c r="D33" s="169"/>
      <c r="E33" s="729"/>
      <c r="F33" s="276"/>
      <c r="G33" s="275"/>
      <c r="H33" s="275"/>
      <c r="I33" s="275"/>
      <c r="J33" s="1"/>
      <c r="K33" s="1"/>
      <c r="L33" s="1"/>
      <c r="M33" s="1"/>
      <c r="N33" s="1"/>
      <c r="O33" s="1"/>
      <c r="P33" s="24"/>
      <c r="Q33" s="1"/>
      <c r="R33" s="171"/>
      <c r="S33" s="171"/>
      <c r="T33" s="171"/>
      <c r="U33" s="171"/>
      <c r="V33" s="171"/>
      <c r="W33" s="171"/>
      <c r="X33" s="171"/>
      <c r="Y33" s="171"/>
      <c r="Z33" s="488"/>
      <c r="AA33" s="171"/>
      <c r="AB33" s="171"/>
      <c r="AC33" s="171"/>
      <c r="AD33" s="171"/>
      <c r="AE33" s="171"/>
      <c r="AF33" s="171"/>
      <c r="AG33" s="171"/>
      <c r="AH33" s="171"/>
      <c r="AI33" s="171"/>
      <c r="AJ33" s="171"/>
      <c r="AK33" s="171"/>
      <c r="AL33" s="171"/>
      <c r="AM33" s="171"/>
      <c r="AN33" s="171"/>
      <c r="AO33" s="171"/>
    </row>
    <row x14ac:dyDescent="0.25" r="34" customHeight="1" ht="15">
      <c r="A34" s="1"/>
      <c r="B34" s="1188" t="s">
        <v>1198</v>
      </c>
      <c r="C34" s="1"/>
      <c r="D34" s="1001">
        <f>IF(OR(E11&lt;0,E11&gt;20),"Importe no válido","")</f>
      </c>
      <c r="E34" s="729"/>
      <c r="F34" s="276"/>
      <c r="G34" s="275"/>
      <c r="H34" s="275"/>
      <c r="I34" s="275"/>
      <c r="J34" s="1"/>
      <c r="K34" s="1"/>
      <c r="L34" s="1"/>
      <c r="M34" s="1"/>
      <c r="N34" s="1"/>
      <c r="O34" s="1"/>
      <c r="P34" s="24"/>
      <c r="Q34" s="1"/>
      <c r="R34" s="171"/>
      <c r="S34" s="171"/>
      <c r="T34" s="171"/>
      <c r="U34" s="171"/>
      <c r="V34" s="171"/>
      <c r="W34" s="171"/>
      <c r="X34" s="171"/>
      <c r="Y34" s="171"/>
      <c r="Z34" s="488"/>
      <c r="AA34" s="171"/>
      <c r="AB34" s="171"/>
      <c r="AC34" s="171"/>
      <c r="AD34" s="171"/>
      <c r="AE34" s="171"/>
      <c r="AF34" s="171"/>
      <c r="AG34" s="171"/>
      <c r="AH34" s="171"/>
      <c r="AI34" s="171"/>
      <c r="AJ34" s="171"/>
      <c r="AK34" s="171"/>
      <c r="AL34" s="171"/>
      <c r="AM34" s="171"/>
      <c r="AN34" s="171"/>
      <c r="AO34" s="171"/>
    </row>
    <row x14ac:dyDescent="0.25" r="35" customHeight="1" ht="15">
      <c r="A35" s="1"/>
      <c r="B35" s="1"/>
      <c r="C35" s="1"/>
      <c r="D35" s="169"/>
      <c r="E35" s="169"/>
      <c r="F35" s="170"/>
      <c r="G35" s="1"/>
      <c r="H35" s="1"/>
      <c r="I35" s="1"/>
      <c r="J35" s="1"/>
      <c r="K35" s="1"/>
      <c r="L35" s="1"/>
      <c r="M35" s="1"/>
      <c r="N35" s="1"/>
      <c r="O35" s="1"/>
      <c r="P35" s="24"/>
      <c r="Q35" s="1"/>
      <c r="R35" s="171"/>
      <c r="S35" s="171"/>
      <c r="T35" s="171"/>
      <c r="U35" s="171"/>
      <c r="V35" s="171"/>
      <c r="W35" s="171"/>
      <c r="X35" s="171"/>
      <c r="Y35" s="171"/>
      <c r="Z35" s="488"/>
      <c r="AA35" s="171"/>
      <c r="AB35" s="171"/>
      <c r="AC35" s="171"/>
      <c r="AD35" s="171"/>
      <c r="AE35" s="171"/>
      <c r="AF35" s="171"/>
      <c r="AG35" s="171"/>
      <c r="AH35" s="171"/>
      <c r="AI35" s="171"/>
      <c r="AJ35" s="171"/>
      <c r="AK35" s="171"/>
      <c r="AL35" s="171"/>
      <c r="AM35" s="171"/>
      <c r="AN35" s="171"/>
      <c r="AO35" s="171"/>
    </row>
    <row x14ac:dyDescent="0.25" r="36" customHeight="1" ht="15">
      <c r="A36" s="1"/>
      <c r="B36" s="1"/>
      <c r="C36" s="1"/>
      <c r="D36" s="169"/>
      <c r="E36" s="169"/>
      <c r="F36" s="170"/>
      <c r="G36" s="1"/>
      <c r="H36" s="1"/>
      <c r="I36" s="1"/>
      <c r="J36" s="1"/>
      <c r="K36" s="1"/>
      <c r="L36" s="1"/>
      <c r="M36" s="1"/>
      <c r="N36" s="1"/>
      <c r="O36" s="1"/>
      <c r="P36" s="24"/>
      <c r="Q36" s="1"/>
      <c r="R36" s="171"/>
      <c r="S36" s="171"/>
      <c r="T36" s="171"/>
      <c r="U36" s="171"/>
      <c r="V36" s="171"/>
      <c r="W36" s="171"/>
      <c r="X36" s="171"/>
      <c r="Y36" s="171"/>
      <c r="Z36" s="488"/>
      <c r="AA36" s="171"/>
      <c r="AB36" s="171"/>
      <c r="AC36" s="171"/>
      <c r="AD36" s="171"/>
      <c r="AE36" s="171"/>
      <c r="AF36" s="171"/>
      <c r="AG36" s="171"/>
      <c r="AH36" s="171"/>
      <c r="AI36" s="171"/>
      <c r="AJ36" s="171"/>
      <c r="AK36" s="171"/>
      <c r="AL36" s="171"/>
      <c r="AM36" s="171"/>
      <c r="AN36" s="171"/>
      <c r="AO36" s="171"/>
    </row>
    <row x14ac:dyDescent="0.25" r="37" customHeight="1" ht="15">
      <c r="A37" s="1"/>
      <c r="B37" s="1"/>
      <c r="C37" s="1"/>
      <c r="D37" s="169"/>
      <c r="E37" s="169"/>
      <c r="F37" s="170"/>
      <c r="G37" s="1"/>
      <c r="H37" s="1"/>
      <c r="I37" s="1"/>
      <c r="J37" s="1"/>
      <c r="K37" s="1"/>
      <c r="L37" s="1"/>
      <c r="M37" s="1"/>
      <c r="N37" s="1"/>
      <c r="O37" s="1"/>
      <c r="P37" s="24"/>
      <c r="Q37" s="1"/>
      <c r="R37" s="171"/>
      <c r="S37" s="171"/>
      <c r="T37" s="171"/>
      <c r="U37" s="171"/>
      <c r="V37" s="171"/>
      <c r="W37" s="171"/>
      <c r="X37" s="171"/>
      <c r="Y37" s="171"/>
      <c r="Z37" s="488"/>
      <c r="AA37" s="171"/>
      <c r="AB37" s="171"/>
      <c r="AC37" s="171"/>
      <c r="AD37" s="171"/>
      <c r="AE37" s="171"/>
      <c r="AF37" s="171"/>
      <c r="AG37" s="171"/>
      <c r="AH37" s="171"/>
      <c r="AI37" s="171"/>
      <c r="AJ37" s="171"/>
      <c r="AK37" s="171"/>
      <c r="AL37" s="171"/>
      <c r="AM37" s="171"/>
      <c r="AN37" s="171"/>
      <c r="AO37" s="171"/>
    </row>
    <row x14ac:dyDescent="0.25" r="38" customHeight="1" ht="15">
      <c r="A38" s="1"/>
      <c r="B38" s="1"/>
      <c r="C38" s="1"/>
      <c r="D38" s="169"/>
      <c r="E38" s="169"/>
      <c r="F38" s="170"/>
      <c r="G38" s="1"/>
      <c r="H38" s="1"/>
      <c r="I38" s="1"/>
      <c r="J38" s="1"/>
      <c r="K38" s="1"/>
      <c r="L38" s="1"/>
      <c r="M38" s="1"/>
      <c r="N38" s="1"/>
      <c r="O38" s="1"/>
      <c r="P38" s="24"/>
      <c r="Q38" s="1"/>
      <c r="R38" s="171"/>
      <c r="S38" s="171"/>
      <c r="T38" s="171"/>
      <c r="U38" s="171"/>
      <c r="V38" s="171"/>
      <c r="W38" s="171"/>
      <c r="X38" s="171"/>
      <c r="Y38" s="171"/>
      <c r="Z38" s="488"/>
      <c r="AA38" s="171"/>
      <c r="AB38" s="171"/>
      <c r="AC38" s="171"/>
      <c r="AD38" s="171"/>
      <c r="AE38" s="171"/>
      <c r="AF38" s="171"/>
      <c r="AG38" s="171"/>
      <c r="AH38" s="171"/>
      <c r="AI38" s="171"/>
      <c r="AJ38" s="171"/>
      <c r="AK38" s="171"/>
      <c r="AL38" s="171"/>
      <c r="AM38" s="171"/>
      <c r="AN38" s="171"/>
      <c r="AO38" s="171"/>
    </row>
    <row x14ac:dyDescent="0.25" r="39" customHeight="1" ht="15">
      <c r="A39" s="1"/>
      <c r="B39" s="1"/>
      <c r="C39" s="1"/>
      <c r="D39" s="169"/>
      <c r="E39" s="169"/>
      <c r="F39" s="170"/>
      <c r="G39" s="1"/>
      <c r="H39" s="1"/>
      <c r="I39" s="1"/>
      <c r="J39" s="1"/>
      <c r="K39" s="1"/>
      <c r="L39" s="1"/>
      <c r="M39" s="1"/>
      <c r="N39" s="1"/>
      <c r="O39" s="1"/>
      <c r="P39" s="24"/>
      <c r="Q39" s="1"/>
      <c r="R39" s="171"/>
      <c r="S39" s="171"/>
      <c r="T39" s="171"/>
      <c r="U39" s="171"/>
      <c r="V39" s="171"/>
      <c r="W39" s="171"/>
      <c r="X39" s="171"/>
      <c r="Y39" s="171"/>
      <c r="Z39" s="488"/>
      <c r="AA39" s="171"/>
      <c r="AB39" s="171"/>
      <c r="AC39" s="171"/>
      <c r="AD39" s="171"/>
      <c r="AE39" s="171"/>
      <c r="AF39" s="171"/>
      <c r="AG39" s="171"/>
      <c r="AH39" s="171"/>
      <c r="AI39" s="171"/>
      <c r="AJ39" s="171"/>
      <c r="AK39" s="171"/>
      <c r="AL39" s="171"/>
      <c r="AM39" s="171"/>
      <c r="AN39" s="171"/>
      <c r="AO39" s="171"/>
    </row>
    <row x14ac:dyDescent="0.25" r="40" customHeight="1" ht="15">
      <c r="A40" s="1"/>
      <c r="B40" s="1"/>
      <c r="C40" s="1"/>
      <c r="D40" s="169"/>
      <c r="E40" s="169"/>
      <c r="F40" s="170"/>
      <c r="G40" s="1"/>
      <c r="H40" s="1"/>
      <c r="I40" s="1"/>
      <c r="J40" s="1"/>
      <c r="K40" s="1"/>
      <c r="L40" s="1"/>
      <c r="M40" s="1"/>
      <c r="N40" s="1"/>
      <c r="O40" s="1"/>
      <c r="P40" s="24"/>
      <c r="Q40" s="1"/>
      <c r="R40" s="171"/>
      <c r="S40" s="171"/>
      <c r="T40" s="171"/>
      <c r="U40" s="171"/>
      <c r="V40" s="171"/>
      <c r="W40" s="171"/>
      <c r="X40" s="171"/>
      <c r="Y40" s="171"/>
      <c r="Z40" s="488"/>
      <c r="AA40" s="171"/>
      <c r="AB40" s="171"/>
      <c r="AC40" s="171"/>
      <c r="AD40" s="171"/>
      <c r="AE40" s="171"/>
      <c r="AF40" s="171"/>
      <c r="AG40" s="171"/>
      <c r="AH40" s="171"/>
      <c r="AI40" s="171"/>
      <c r="AJ40" s="171"/>
      <c r="AK40" s="171"/>
      <c r="AL40" s="171"/>
      <c r="AM40" s="171"/>
      <c r="AN40" s="171"/>
      <c r="AO40" s="171"/>
    </row>
    <row x14ac:dyDescent="0.25" r="41" customHeight="1" ht="15">
      <c r="A41" s="1"/>
      <c r="B41" s="1"/>
      <c r="C41" s="1"/>
      <c r="D41" s="169"/>
      <c r="E41" s="169"/>
      <c r="F41" s="170"/>
      <c r="G41" s="1"/>
      <c r="H41" s="1"/>
      <c r="I41" s="1"/>
      <c r="J41" s="1"/>
      <c r="K41" s="1"/>
      <c r="L41" s="1"/>
      <c r="M41" s="1"/>
      <c r="N41" s="1"/>
      <c r="O41" s="1"/>
      <c r="P41" s="24"/>
      <c r="Q41" s="1"/>
      <c r="R41" s="171"/>
      <c r="S41" s="171"/>
      <c r="T41" s="171"/>
      <c r="U41" s="171"/>
      <c r="V41" s="171"/>
      <c r="W41" s="171"/>
      <c r="X41" s="171"/>
      <c r="Y41" s="171"/>
      <c r="Z41" s="488"/>
      <c r="AA41" s="171"/>
      <c r="AB41" s="171"/>
      <c r="AC41" s="171"/>
      <c r="AD41" s="171"/>
      <c r="AE41" s="171"/>
      <c r="AF41" s="171"/>
      <c r="AG41" s="171"/>
      <c r="AH41" s="171"/>
      <c r="AI41" s="171"/>
      <c r="AJ41" s="171"/>
      <c r="AK41" s="171"/>
      <c r="AL41" s="171"/>
      <c r="AM41" s="171"/>
      <c r="AN41" s="171"/>
      <c r="AO41" s="171"/>
    </row>
    <row x14ac:dyDescent="0.25" r="42" customHeight="1" ht="15">
      <c r="A42" s="1"/>
      <c r="B42" s="1"/>
      <c r="C42" s="1"/>
      <c r="D42" s="169"/>
      <c r="E42" s="169"/>
      <c r="F42" s="170"/>
      <c r="G42" s="1"/>
      <c r="H42" s="1"/>
      <c r="I42" s="1"/>
      <c r="J42" s="1"/>
      <c r="K42" s="1"/>
      <c r="L42" s="1"/>
      <c r="M42" s="1"/>
      <c r="N42" s="1"/>
      <c r="O42" s="1"/>
      <c r="P42" s="24"/>
      <c r="Q42" s="1"/>
      <c r="R42" s="171"/>
      <c r="S42" s="171"/>
      <c r="T42" s="171"/>
      <c r="U42" s="171"/>
      <c r="V42" s="171"/>
      <c r="W42" s="171"/>
      <c r="X42" s="171"/>
      <c r="Y42" s="171"/>
      <c r="Z42" s="488"/>
      <c r="AA42" s="171"/>
      <c r="AB42" s="171"/>
      <c r="AC42" s="171"/>
      <c r="AD42" s="171"/>
      <c r="AE42" s="171"/>
      <c r="AF42" s="171"/>
      <c r="AG42" s="171"/>
      <c r="AH42" s="171"/>
      <c r="AI42" s="171"/>
      <c r="AJ42" s="171"/>
      <c r="AK42" s="171"/>
      <c r="AL42" s="171"/>
      <c r="AM42" s="171"/>
      <c r="AN42" s="171"/>
      <c r="AO42" s="171"/>
    </row>
    <row x14ac:dyDescent="0.25" r="43" customHeight="1" ht="15">
      <c r="A43" s="1"/>
      <c r="B43" s="1"/>
      <c r="C43" s="1"/>
      <c r="D43" s="169"/>
      <c r="E43" s="169"/>
      <c r="F43" s="170"/>
      <c r="G43" s="1"/>
      <c r="H43" s="1"/>
      <c r="I43" s="1"/>
      <c r="J43" s="1"/>
      <c r="K43" s="1"/>
      <c r="L43" s="1"/>
      <c r="M43" s="1"/>
      <c r="N43" s="1"/>
      <c r="O43" s="1"/>
      <c r="P43" s="24"/>
      <c r="Q43" s="1"/>
      <c r="R43" s="171"/>
      <c r="S43" s="171"/>
      <c r="T43" s="171"/>
      <c r="U43" s="171"/>
      <c r="V43" s="171"/>
      <c r="W43" s="171"/>
      <c r="X43" s="171"/>
      <c r="Y43" s="171"/>
      <c r="Z43" s="488"/>
      <c r="AA43" s="171"/>
      <c r="AB43" s="171"/>
      <c r="AC43" s="171"/>
      <c r="AD43" s="171"/>
      <c r="AE43" s="171"/>
      <c r="AF43" s="171"/>
      <c r="AG43" s="171"/>
      <c r="AH43" s="171"/>
      <c r="AI43" s="171"/>
      <c r="AJ43" s="171"/>
      <c r="AK43" s="171"/>
      <c r="AL43" s="171"/>
      <c r="AM43" s="171"/>
      <c r="AN43" s="171"/>
      <c r="AO43" s="171"/>
    </row>
    <row x14ac:dyDescent="0.25" r="44" customHeight="1" ht="15">
      <c r="A44" s="1"/>
      <c r="B44" s="1"/>
      <c r="C44" s="1"/>
      <c r="D44" s="169"/>
      <c r="E44" s="169"/>
      <c r="F44" s="170"/>
      <c r="G44" s="1"/>
      <c r="H44" s="218"/>
      <c r="I44" s="1"/>
      <c r="J44" s="1"/>
      <c r="K44" s="1"/>
      <c r="L44" s="1"/>
      <c r="M44" s="1"/>
      <c r="N44" s="1"/>
      <c r="O44" s="1"/>
      <c r="P44" s="24"/>
      <c r="Q44" s="1"/>
      <c r="R44" s="171"/>
      <c r="S44" s="171"/>
      <c r="T44" s="171"/>
      <c r="U44" s="171"/>
      <c r="V44" s="171"/>
      <c r="W44" s="171"/>
      <c r="X44" s="171"/>
      <c r="Y44" s="171"/>
      <c r="Z44" s="488"/>
      <c r="AA44" s="171"/>
      <c r="AB44" s="171"/>
      <c r="AC44" s="171"/>
      <c r="AD44" s="171"/>
      <c r="AE44" s="171"/>
      <c r="AF44" s="171"/>
      <c r="AG44" s="171"/>
      <c r="AH44" s="171"/>
      <c r="AI44" s="171"/>
      <c r="AJ44" s="171"/>
      <c r="AK44" s="171"/>
      <c r="AL44" s="171"/>
      <c r="AM44" s="171"/>
      <c r="AN44" s="171"/>
      <c r="AO44" s="171"/>
    </row>
    <row x14ac:dyDescent="0.25" r="45" customHeight="1" ht="15">
      <c r="A45" s="1"/>
      <c r="B45" s="1"/>
      <c r="C45" s="1"/>
      <c r="D45" s="169"/>
      <c r="E45" s="169"/>
      <c r="F45" s="170"/>
      <c r="G45" s="1"/>
      <c r="H45" s="1"/>
      <c r="I45" s="1"/>
      <c r="J45" s="1"/>
      <c r="K45" s="1"/>
      <c r="L45" s="1"/>
      <c r="M45" s="1"/>
      <c r="N45" s="1"/>
      <c r="O45" s="1"/>
      <c r="P45" s="24"/>
      <c r="Q45" s="1"/>
      <c r="R45" s="171"/>
      <c r="S45" s="171"/>
      <c r="T45" s="171"/>
      <c r="U45" s="171"/>
      <c r="V45" s="171"/>
      <c r="W45" s="171"/>
      <c r="X45" s="171"/>
      <c r="Y45" s="171"/>
      <c r="Z45" s="488"/>
      <c r="AA45" s="171"/>
      <c r="AB45" s="171"/>
      <c r="AC45" s="171"/>
      <c r="AD45" s="171"/>
      <c r="AE45" s="171"/>
      <c r="AF45" s="171"/>
      <c r="AG45" s="171"/>
      <c r="AH45" s="171"/>
      <c r="AI45" s="171"/>
      <c r="AJ45" s="171"/>
      <c r="AK45" s="171"/>
      <c r="AL45" s="171"/>
      <c r="AM45" s="171"/>
      <c r="AN45" s="171"/>
      <c r="AO45" s="171"/>
    </row>
    <row x14ac:dyDescent="0.25" r="46" customHeight="1" ht="15">
      <c r="A46" s="1"/>
      <c r="B46" s="1"/>
      <c r="C46" s="1"/>
      <c r="D46" s="169"/>
      <c r="E46" s="169"/>
      <c r="F46" s="170"/>
      <c r="G46" s="1"/>
      <c r="H46" s="1"/>
      <c r="I46" s="1"/>
      <c r="J46" s="1"/>
      <c r="K46" s="1"/>
      <c r="L46" s="1"/>
      <c r="M46" s="1"/>
      <c r="N46" s="1"/>
      <c r="O46" s="1"/>
      <c r="P46" s="24"/>
      <c r="Q46" s="1"/>
      <c r="R46" s="171"/>
      <c r="S46" s="171"/>
      <c r="T46" s="171"/>
      <c r="U46" s="171"/>
      <c r="V46" s="171"/>
      <c r="W46" s="171"/>
      <c r="X46" s="171"/>
      <c r="Y46" s="171"/>
      <c r="Z46" s="488"/>
      <c r="AA46" s="171"/>
      <c r="AB46" s="171"/>
      <c r="AC46" s="171"/>
      <c r="AD46" s="171"/>
      <c r="AE46" s="171"/>
      <c r="AF46" s="171"/>
      <c r="AG46" s="171"/>
      <c r="AH46" s="171"/>
      <c r="AI46" s="171"/>
      <c r="AJ46" s="171"/>
      <c r="AK46" s="171"/>
      <c r="AL46" s="171"/>
      <c r="AM46" s="171"/>
      <c r="AN46" s="171"/>
      <c r="AO46" s="171"/>
    </row>
    <row x14ac:dyDescent="0.25" r="47" customHeight="1" ht="15">
      <c r="A47" s="1"/>
      <c r="B47" s="1"/>
      <c r="C47" s="1"/>
      <c r="D47" s="169"/>
      <c r="E47" s="169"/>
      <c r="F47" s="170"/>
      <c r="G47" s="1"/>
      <c r="H47" s="1"/>
      <c r="I47" s="1"/>
      <c r="J47" s="1"/>
      <c r="K47" s="1"/>
      <c r="L47" s="1"/>
      <c r="M47" s="1"/>
      <c r="N47" s="1"/>
      <c r="O47" s="1"/>
      <c r="P47" s="24"/>
      <c r="Q47" s="1"/>
      <c r="R47" s="171"/>
      <c r="S47" s="171"/>
      <c r="T47" s="171"/>
      <c r="U47" s="171"/>
      <c r="V47" s="171"/>
      <c r="W47" s="171"/>
      <c r="X47" s="171"/>
      <c r="Y47" s="171"/>
      <c r="Z47" s="488"/>
      <c r="AA47" s="171"/>
      <c r="AB47" s="171"/>
      <c r="AC47" s="171"/>
      <c r="AD47" s="171"/>
      <c r="AE47" s="171"/>
      <c r="AF47" s="171"/>
      <c r="AG47" s="171"/>
      <c r="AH47" s="171"/>
      <c r="AI47" s="171"/>
      <c r="AJ47" s="171"/>
      <c r="AK47" s="171"/>
      <c r="AL47" s="171"/>
      <c r="AM47" s="171"/>
      <c r="AN47" s="171"/>
      <c r="AO47" s="171"/>
    </row>
    <row x14ac:dyDescent="0.25" r="48" customHeight="1" ht="15">
      <c r="A48" s="1"/>
      <c r="B48" s="1"/>
      <c r="C48" s="1"/>
      <c r="D48" s="169"/>
      <c r="E48" s="169"/>
      <c r="F48" s="170"/>
      <c r="G48" s="1"/>
      <c r="H48" s="1"/>
      <c r="I48" s="1"/>
      <c r="J48" s="1"/>
      <c r="K48" s="1"/>
      <c r="L48" s="1"/>
      <c r="M48" s="1"/>
      <c r="N48" s="1"/>
      <c r="O48" s="1"/>
      <c r="P48" s="24"/>
      <c r="Q48" s="1"/>
      <c r="R48" s="171"/>
      <c r="S48" s="171"/>
      <c r="T48" s="171"/>
      <c r="U48" s="171"/>
      <c r="V48" s="171"/>
      <c r="W48" s="171"/>
      <c r="X48" s="171"/>
      <c r="Y48" s="171"/>
      <c r="Z48" s="488"/>
      <c r="AA48" s="171"/>
      <c r="AB48" s="171"/>
      <c r="AC48" s="171"/>
      <c r="AD48" s="171"/>
      <c r="AE48" s="171"/>
      <c r="AF48" s="171"/>
      <c r="AG48" s="171"/>
      <c r="AH48" s="171"/>
      <c r="AI48" s="171"/>
      <c r="AJ48" s="171"/>
      <c r="AK48" s="171"/>
      <c r="AL48" s="171"/>
      <c r="AM48" s="171"/>
      <c r="AN48" s="171"/>
      <c r="AO48" s="171"/>
    </row>
    <row x14ac:dyDescent="0.25" r="49" customHeight="1" ht="18.75">
      <c r="A49" s="1"/>
      <c r="B49" s="1"/>
      <c r="C49" s="1"/>
      <c r="D49" s="169"/>
      <c r="E49" s="169"/>
      <c r="F49" s="170"/>
      <c r="G49" s="1"/>
      <c r="H49" s="1"/>
      <c r="I49" s="1"/>
      <c r="J49" s="1"/>
      <c r="K49" s="1"/>
      <c r="L49" s="1"/>
      <c r="M49" s="1"/>
      <c r="N49" s="1"/>
      <c r="O49" s="1"/>
      <c r="P49" s="24"/>
      <c r="Q49" s="1"/>
      <c r="R49" s="171"/>
      <c r="S49" s="171"/>
      <c r="T49" s="171"/>
      <c r="U49" s="171"/>
      <c r="V49" s="171"/>
      <c r="W49" s="171"/>
      <c r="X49" s="171"/>
      <c r="Y49" s="171"/>
      <c r="Z49" s="488"/>
      <c r="AA49" s="171"/>
      <c r="AB49" s="171"/>
      <c r="AC49" s="171"/>
      <c r="AD49" s="171"/>
      <c r="AE49" s="171"/>
      <c r="AF49" s="171"/>
      <c r="AG49" s="171"/>
      <c r="AH49" s="171"/>
      <c r="AI49" s="171"/>
      <c r="AJ49" s="171"/>
      <c r="AK49" s="171"/>
      <c r="AL49" s="171"/>
      <c r="AM49" s="171"/>
      <c r="AN49" s="171"/>
      <c r="AO49" s="171"/>
    </row>
    <row x14ac:dyDescent="0.25" r="50" customHeight="1" ht="18.75">
      <c r="A50" s="1"/>
      <c r="B50" s="1"/>
      <c r="C50" s="1"/>
      <c r="D50" s="169"/>
      <c r="E50" s="169"/>
      <c r="F50" s="170"/>
      <c r="G50" s="1"/>
      <c r="H50" s="1"/>
      <c r="I50" s="1"/>
      <c r="J50" s="1"/>
      <c r="K50" s="1"/>
      <c r="L50" s="1"/>
      <c r="M50" s="1"/>
      <c r="N50" s="1"/>
      <c r="O50" s="1"/>
      <c r="P50" s="24"/>
      <c r="Q50" s="1"/>
      <c r="R50" s="171"/>
      <c r="S50" s="171"/>
      <c r="T50" s="171"/>
      <c r="U50" s="171"/>
      <c r="V50" s="171"/>
      <c r="W50" s="171"/>
      <c r="X50" s="171"/>
      <c r="Y50" s="171"/>
      <c r="Z50" s="488"/>
      <c r="AA50" s="171"/>
      <c r="AB50" s="171"/>
      <c r="AC50" s="171"/>
      <c r="AD50" s="171"/>
      <c r="AE50" s="171"/>
      <c r="AF50" s="171"/>
      <c r="AG50" s="171"/>
      <c r="AH50" s="171"/>
      <c r="AI50" s="171"/>
      <c r="AJ50" s="171"/>
      <c r="AK50" s="171"/>
      <c r="AL50" s="171"/>
      <c r="AM50" s="171"/>
      <c r="AN50" s="171"/>
      <c r="AO50" s="171"/>
    </row>
    <row x14ac:dyDescent="0.25" r="51" customHeight="1" ht="18.75">
      <c r="A51" s="1"/>
      <c r="B51" s="1"/>
      <c r="C51" s="1"/>
      <c r="D51" s="169"/>
      <c r="E51" s="169"/>
      <c r="F51" s="170"/>
      <c r="G51" s="1"/>
      <c r="H51" s="1"/>
      <c r="I51" s="1"/>
      <c r="J51" s="1"/>
      <c r="K51" s="1"/>
      <c r="L51" s="1"/>
      <c r="M51" s="1"/>
      <c r="N51" s="1"/>
      <c r="O51" s="1"/>
      <c r="P51" s="24"/>
      <c r="Q51" s="1"/>
      <c r="R51" s="171"/>
      <c r="S51" s="171"/>
      <c r="T51" s="171"/>
      <c r="U51" s="171"/>
      <c r="V51" s="171"/>
      <c r="W51" s="171"/>
      <c r="X51" s="171"/>
      <c r="Y51" s="171"/>
      <c r="Z51" s="488"/>
      <c r="AA51" s="171"/>
      <c r="AB51" s="171"/>
      <c r="AC51" s="171"/>
      <c r="AD51" s="171"/>
      <c r="AE51" s="171"/>
      <c r="AF51" s="171"/>
      <c r="AG51" s="171"/>
      <c r="AH51" s="171"/>
      <c r="AI51" s="171"/>
      <c r="AJ51" s="171"/>
      <c r="AK51" s="171"/>
      <c r="AL51" s="171"/>
      <c r="AM51" s="171"/>
      <c r="AN51" s="171"/>
      <c r="AO51" s="171"/>
    </row>
    <row x14ac:dyDescent="0.25" r="52" customHeight="1" ht="14.1">
      <c r="A52" s="1"/>
      <c r="B52" s="1"/>
      <c r="C52" s="1"/>
      <c r="D52" s="169"/>
      <c r="E52" s="169"/>
      <c r="F52" s="170"/>
      <c r="G52" s="1"/>
      <c r="H52" s="1"/>
      <c r="I52" s="1"/>
      <c r="J52" s="1"/>
      <c r="K52" s="1"/>
      <c r="L52" s="1"/>
      <c r="M52" s="1"/>
      <c r="N52" s="1"/>
      <c r="O52" s="1"/>
      <c r="P52" s="24"/>
      <c r="Q52" s="1"/>
      <c r="R52" s="171"/>
      <c r="S52" s="171"/>
      <c r="T52" s="171"/>
      <c r="U52" s="171"/>
      <c r="V52" s="171"/>
      <c r="W52" s="171"/>
      <c r="X52" s="171"/>
      <c r="Y52" s="171"/>
      <c r="Z52" s="488"/>
      <c r="AA52" s="171"/>
      <c r="AB52" s="171"/>
      <c r="AC52" s="171"/>
      <c r="AD52" s="171"/>
      <c r="AE52" s="171"/>
      <c r="AF52" s="171"/>
      <c r="AG52" s="171"/>
      <c r="AH52" s="171"/>
      <c r="AI52" s="171"/>
      <c r="AJ52" s="171"/>
      <c r="AK52" s="171"/>
      <c r="AL52" s="171"/>
      <c r="AM52" s="171"/>
      <c r="AN52" s="171"/>
      <c r="AO52" s="171"/>
    </row>
    <row x14ac:dyDescent="0.25" r="53" customHeight="1" ht="18.75">
      <c r="A53" s="1"/>
      <c r="B53" s="1"/>
      <c r="C53" s="1"/>
      <c r="D53" s="169"/>
      <c r="E53" s="169"/>
      <c r="F53" s="170"/>
      <c r="G53" s="1"/>
      <c r="H53" s="1"/>
      <c r="I53" s="1"/>
      <c r="J53" s="1"/>
      <c r="K53" s="1"/>
      <c r="L53" s="1"/>
      <c r="M53" s="1"/>
      <c r="N53" s="1"/>
      <c r="O53" s="1"/>
      <c r="P53" s="24"/>
      <c r="Q53" s="1"/>
      <c r="R53" s="171"/>
      <c r="S53" s="171"/>
      <c r="T53" s="171"/>
      <c r="U53" s="171"/>
      <c r="V53" s="171"/>
      <c r="W53" s="171"/>
      <c r="X53" s="171"/>
      <c r="Y53" s="171"/>
      <c r="Z53" s="488"/>
      <c r="AA53" s="171"/>
      <c r="AB53" s="171"/>
      <c r="AC53" s="171"/>
      <c r="AD53" s="171"/>
      <c r="AE53" s="171"/>
      <c r="AF53" s="171"/>
      <c r="AG53" s="171"/>
      <c r="AH53" s="171"/>
      <c r="AI53" s="171"/>
      <c r="AJ53" s="171"/>
      <c r="AK53" s="171"/>
      <c r="AL53" s="171"/>
      <c r="AM53" s="171"/>
      <c r="AN53" s="171"/>
      <c r="AO53" s="171"/>
    </row>
    <row x14ac:dyDescent="0.25" r="54" customHeight="1" ht="18.75">
      <c r="A54" s="1"/>
      <c r="B54" s="1"/>
      <c r="C54" s="1"/>
      <c r="D54" s="169"/>
      <c r="E54" s="169"/>
      <c r="F54" s="170"/>
      <c r="G54" s="1"/>
      <c r="H54" s="1"/>
      <c r="I54" s="1"/>
      <c r="J54" s="1"/>
      <c r="K54" s="1"/>
      <c r="L54" s="1"/>
      <c r="M54" s="1"/>
      <c r="N54" s="1"/>
      <c r="O54" s="1"/>
      <c r="P54" s="24"/>
      <c r="Q54" s="1"/>
      <c r="R54" s="171"/>
      <c r="S54" s="171"/>
      <c r="T54" s="171"/>
      <c r="U54" s="171"/>
      <c r="V54" s="171"/>
      <c r="W54" s="171"/>
      <c r="X54" s="171"/>
      <c r="Y54" s="171"/>
      <c r="Z54" s="488"/>
      <c r="AA54" s="171"/>
      <c r="AB54" s="171"/>
      <c r="AC54" s="171"/>
      <c r="AD54" s="171"/>
      <c r="AE54" s="171"/>
      <c r="AF54" s="171"/>
      <c r="AG54" s="171"/>
      <c r="AH54" s="171"/>
      <c r="AI54" s="171"/>
      <c r="AJ54" s="171"/>
      <c r="AK54" s="171"/>
      <c r="AL54" s="171"/>
      <c r="AM54" s="171"/>
      <c r="AN54" s="171"/>
      <c r="AO54" s="171"/>
    </row>
    <row x14ac:dyDescent="0.25" r="55" customHeight="1" ht="18.75">
      <c r="A55" s="1"/>
      <c r="B55" s="1"/>
      <c r="C55" s="1"/>
      <c r="D55" s="169"/>
      <c r="E55" s="169"/>
      <c r="F55" s="170"/>
      <c r="G55" s="1"/>
      <c r="H55" s="1"/>
      <c r="I55" s="1"/>
      <c r="J55" s="1"/>
      <c r="K55" s="1"/>
      <c r="L55" s="1"/>
      <c r="M55" s="1"/>
      <c r="N55" s="1"/>
      <c r="O55" s="1"/>
      <c r="P55" s="24"/>
      <c r="Q55" s="1"/>
      <c r="R55" s="171"/>
      <c r="S55" s="171"/>
      <c r="T55" s="171"/>
      <c r="U55" s="171"/>
      <c r="V55" s="171"/>
      <c r="W55" s="171"/>
      <c r="X55" s="171"/>
      <c r="Y55" s="171"/>
      <c r="Z55" s="488"/>
      <c r="AA55" s="171"/>
      <c r="AB55" s="171"/>
      <c r="AC55" s="171"/>
      <c r="AD55" s="171"/>
      <c r="AE55" s="171"/>
      <c r="AF55" s="171"/>
      <c r="AG55" s="171"/>
      <c r="AH55" s="171"/>
      <c r="AI55" s="171"/>
      <c r="AJ55" s="171"/>
      <c r="AK55" s="171"/>
      <c r="AL55" s="171"/>
      <c r="AM55" s="171"/>
      <c r="AN55" s="171"/>
      <c r="AO55" s="171"/>
    </row>
    <row x14ac:dyDescent="0.25" r="56" customHeight="1" ht="18.75">
      <c r="A56" s="1"/>
      <c r="B56" s="1"/>
      <c r="C56" s="1"/>
      <c r="D56" s="169"/>
      <c r="E56" s="169"/>
      <c r="F56" s="170"/>
      <c r="G56" s="1"/>
      <c r="H56" s="1"/>
      <c r="I56" s="1"/>
      <c r="J56" s="1"/>
      <c r="K56" s="1"/>
      <c r="L56" s="1"/>
      <c r="M56" s="1"/>
      <c r="N56" s="1"/>
      <c r="O56" s="1"/>
      <c r="P56" s="24"/>
      <c r="Q56" s="1"/>
      <c r="R56" s="171"/>
      <c r="S56" s="171"/>
      <c r="T56" s="171"/>
      <c r="U56" s="171"/>
      <c r="V56" s="171"/>
      <c r="W56" s="171"/>
      <c r="X56" s="171"/>
      <c r="Y56" s="171"/>
      <c r="Z56" s="488"/>
      <c r="AA56" s="171"/>
      <c r="AB56" s="171"/>
      <c r="AC56" s="171"/>
      <c r="AD56" s="171"/>
      <c r="AE56" s="171"/>
      <c r="AF56" s="171"/>
      <c r="AG56" s="171"/>
      <c r="AH56" s="171"/>
      <c r="AI56" s="171"/>
      <c r="AJ56" s="171"/>
      <c r="AK56" s="171"/>
      <c r="AL56" s="171"/>
      <c r="AM56" s="171"/>
      <c r="AN56" s="171"/>
      <c r="AO56" s="171"/>
    </row>
    <row x14ac:dyDescent="0.25" r="57" customHeight="1" ht="14.65">
      <c r="A57" s="1"/>
      <c r="B57" s="1"/>
      <c r="C57" s="1"/>
      <c r="D57" s="169"/>
      <c r="E57" s="169"/>
      <c r="F57" s="170"/>
      <c r="G57" s="1"/>
      <c r="H57" s="1"/>
      <c r="I57" s="1"/>
      <c r="J57" s="1"/>
      <c r="K57" s="1"/>
      <c r="L57" s="1"/>
      <c r="M57" s="1"/>
      <c r="N57" s="1"/>
      <c r="O57" s="1"/>
      <c r="P57" s="1189"/>
      <c r="Q57" s="1189"/>
      <c r="R57" s="171"/>
      <c r="S57" s="171"/>
      <c r="T57" s="171"/>
      <c r="U57" s="171"/>
      <c r="V57" s="171"/>
      <c r="W57" s="171"/>
      <c r="X57" s="171"/>
      <c r="Y57" s="171"/>
      <c r="Z57" s="488"/>
      <c r="AA57" s="171"/>
      <c r="AB57" s="171"/>
      <c r="AC57" s="171"/>
      <c r="AD57" s="171"/>
      <c r="AE57" s="171"/>
      <c r="AF57" s="171"/>
      <c r="AG57" s="171"/>
      <c r="AH57" s="171"/>
      <c r="AI57" s="171"/>
      <c r="AJ57" s="171"/>
      <c r="AK57" s="171"/>
      <c r="AL57" s="171"/>
      <c r="AM57" s="171"/>
      <c r="AN57" s="171"/>
      <c r="AO57" s="171"/>
    </row>
    <row x14ac:dyDescent="0.25" r="58" customHeight="1" ht="18.75">
      <c r="A58" s="1"/>
      <c r="B58" s="1"/>
      <c r="C58" s="1"/>
      <c r="D58" s="169"/>
      <c r="E58" s="169"/>
      <c r="F58" s="170"/>
      <c r="G58" s="1"/>
      <c r="H58" s="1"/>
      <c r="I58" s="1"/>
      <c r="J58" s="1"/>
      <c r="K58" s="1"/>
      <c r="L58" s="1"/>
      <c r="M58" s="1"/>
      <c r="N58" s="1"/>
      <c r="O58" s="1"/>
      <c r="P58" s="1189"/>
      <c r="Q58" s="1189"/>
      <c r="R58" s="1190"/>
      <c r="S58" s="171"/>
      <c r="T58" s="171"/>
      <c r="U58" s="171"/>
      <c r="V58" s="171"/>
      <c r="W58" s="171"/>
      <c r="X58" s="171"/>
      <c r="Y58" s="171"/>
      <c r="Z58" s="488"/>
      <c r="AA58" s="171"/>
      <c r="AB58" s="171"/>
      <c r="AC58" s="171"/>
      <c r="AD58" s="171"/>
      <c r="AE58" s="171"/>
      <c r="AF58" s="171"/>
      <c r="AG58" s="171"/>
      <c r="AH58" s="171"/>
      <c r="AI58" s="171"/>
      <c r="AJ58" s="171"/>
      <c r="AK58" s="171"/>
      <c r="AL58" s="171"/>
      <c r="AM58" s="171"/>
      <c r="AN58" s="171"/>
      <c r="AO58" s="171"/>
    </row>
    <row x14ac:dyDescent="0.25" r="59" customHeight="1" ht="18.75">
      <c r="A59" s="1"/>
      <c r="B59" s="1"/>
      <c r="C59" s="1"/>
      <c r="D59" s="169"/>
      <c r="E59" s="169"/>
      <c r="F59" s="170"/>
      <c r="G59" s="1"/>
      <c r="H59" s="1"/>
      <c r="I59" s="1"/>
      <c r="J59" s="1"/>
      <c r="K59" s="1"/>
      <c r="L59" s="1"/>
      <c r="M59" s="1"/>
      <c r="N59" s="1"/>
      <c r="O59" s="1"/>
      <c r="P59" s="1189"/>
      <c r="Q59" s="1189"/>
      <c r="R59" s="171"/>
      <c r="S59" s="171"/>
      <c r="T59" s="171"/>
      <c r="U59" s="171"/>
      <c r="V59" s="171"/>
      <c r="W59" s="171"/>
      <c r="X59" s="171"/>
      <c r="Y59" s="171"/>
      <c r="Z59" s="488"/>
      <c r="AA59" s="171"/>
      <c r="AB59" s="171"/>
      <c r="AC59" s="171"/>
      <c r="AD59" s="171"/>
      <c r="AE59" s="171"/>
      <c r="AF59" s="171"/>
      <c r="AG59" s="171"/>
      <c r="AH59" s="171"/>
      <c r="AI59" s="171"/>
      <c r="AJ59" s="171"/>
      <c r="AK59" s="171"/>
      <c r="AL59" s="171"/>
      <c r="AM59" s="171"/>
      <c r="AN59" s="171"/>
      <c r="AO59" s="171"/>
    </row>
    <row x14ac:dyDescent="0.25" r="60" customHeight="1" ht="18.75">
      <c r="A60" s="1"/>
      <c r="B60" s="1"/>
      <c r="C60" s="1"/>
      <c r="D60" s="169"/>
      <c r="E60" s="169"/>
      <c r="F60" s="170"/>
      <c r="G60" s="1"/>
      <c r="H60" s="1"/>
      <c r="I60" s="1"/>
      <c r="J60" s="1"/>
      <c r="K60" s="1"/>
      <c r="L60" s="1"/>
      <c r="M60" s="1"/>
      <c r="N60" s="1"/>
      <c r="O60" s="1"/>
      <c r="P60" s="24"/>
      <c r="Q60" s="1"/>
      <c r="R60" s="171"/>
      <c r="S60" s="171"/>
      <c r="T60" s="171"/>
      <c r="U60" s="171"/>
      <c r="V60" s="171"/>
      <c r="W60" s="171"/>
      <c r="X60" s="171"/>
      <c r="Y60" s="171"/>
      <c r="Z60" s="488"/>
      <c r="AA60" s="171"/>
      <c r="AB60" s="171"/>
      <c r="AC60" s="171"/>
      <c r="AD60" s="171"/>
      <c r="AE60" s="171"/>
      <c r="AF60" s="171"/>
      <c r="AG60" s="171"/>
      <c r="AH60" s="171"/>
      <c r="AI60" s="171"/>
      <c r="AJ60" s="171"/>
      <c r="AK60" s="171"/>
      <c r="AL60" s="171"/>
      <c r="AM60" s="171"/>
      <c r="AN60" s="171"/>
      <c r="AO60" s="171"/>
    </row>
    <row x14ac:dyDescent="0.25" r="61" customHeight="1" ht="18.75">
      <c r="A61" s="1"/>
      <c r="B61" s="1"/>
      <c r="C61" s="1"/>
      <c r="D61" s="169"/>
      <c r="E61" s="169"/>
      <c r="F61" s="170"/>
      <c r="G61" s="1"/>
      <c r="H61" s="1"/>
      <c r="I61" s="1"/>
      <c r="J61" s="1"/>
      <c r="K61" s="1"/>
      <c r="L61" s="1"/>
      <c r="M61" s="1"/>
      <c r="N61" s="1"/>
      <c r="O61" s="1"/>
      <c r="P61" s="24"/>
      <c r="Q61" s="1"/>
      <c r="R61" s="171"/>
      <c r="S61" s="171"/>
      <c r="T61" s="171"/>
      <c r="U61" s="171"/>
      <c r="V61" s="171"/>
      <c r="W61" s="171"/>
      <c r="X61" s="171"/>
      <c r="Y61" s="171"/>
      <c r="Z61" s="488"/>
      <c r="AA61" s="171"/>
      <c r="AB61" s="171"/>
      <c r="AC61" s="171"/>
      <c r="AD61" s="171"/>
      <c r="AE61" s="171"/>
      <c r="AF61" s="171"/>
      <c r="AG61" s="171"/>
      <c r="AH61" s="171"/>
      <c r="AI61" s="171"/>
      <c r="AJ61" s="171"/>
      <c r="AK61" s="171"/>
      <c r="AL61" s="171"/>
      <c r="AM61" s="171"/>
      <c r="AN61" s="171"/>
      <c r="AO61" s="171"/>
    </row>
    <row x14ac:dyDescent="0.25" r="62" customHeight="1" ht="18.75">
      <c r="A62" s="1"/>
      <c r="B62" s="1"/>
      <c r="C62" s="1"/>
      <c r="D62" s="169"/>
      <c r="E62" s="169"/>
      <c r="F62" s="170"/>
      <c r="G62" s="1"/>
      <c r="H62" s="1"/>
      <c r="I62" s="1"/>
      <c r="J62" s="1"/>
      <c r="K62" s="1"/>
      <c r="L62" s="1"/>
      <c r="M62" s="1"/>
      <c r="N62" s="1"/>
      <c r="O62" s="1"/>
      <c r="P62" s="24"/>
      <c r="Q62" s="1"/>
      <c r="R62" s="171"/>
      <c r="S62" s="171"/>
      <c r="T62" s="171"/>
      <c r="U62" s="171"/>
      <c r="V62" s="171"/>
      <c r="W62" s="171"/>
      <c r="X62" s="171"/>
      <c r="Y62" s="171"/>
      <c r="Z62" s="488"/>
      <c r="AA62" s="171"/>
      <c r="AB62" s="171"/>
      <c r="AC62" s="171"/>
      <c r="AD62" s="171"/>
      <c r="AE62" s="171"/>
      <c r="AF62" s="171"/>
      <c r="AG62" s="171"/>
      <c r="AH62" s="171"/>
      <c r="AI62" s="171"/>
      <c r="AJ62" s="171"/>
      <c r="AK62" s="171"/>
      <c r="AL62" s="171"/>
      <c r="AM62" s="171"/>
      <c r="AN62" s="171"/>
      <c r="AO62" s="171"/>
    </row>
    <row x14ac:dyDescent="0.25" r="63" customHeight="1" ht="18.75">
      <c r="A63" s="1"/>
      <c r="B63" s="1"/>
      <c r="C63" s="1"/>
      <c r="D63" s="169"/>
      <c r="E63" s="169"/>
      <c r="F63" s="170"/>
      <c r="G63" s="1"/>
      <c r="H63" s="1"/>
      <c r="I63" s="1"/>
      <c r="J63" s="1"/>
      <c r="K63" s="1"/>
      <c r="L63" s="1"/>
      <c r="M63" s="1"/>
      <c r="N63" s="1"/>
      <c r="O63" s="1"/>
      <c r="P63" s="24"/>
      <c r="Q63" s="1"/>
      <c r="R63" s="171"/>
      <c r="S63" s="171"/>
      <c r="T63" s="171"/>
      <c r="U63" s="171"/>
      <c r="V63" s="171"/>
      <c r="W63" s="171"/>
      <c r="X63" s="171"/>
      <c r="Y63" s="171"/>
      <c r="Z63" s="488"/>
      <c r="AA63" s="171"/>
      <c r="AB63" s="171"/>
      <c r="AC63" s="171"/>
      <c r="AD63" s="171"/>
      <c r="AE63" s="171"/>
      <c r="AF63" s="171"/>
      <c r="AG63" s="171"/>
      <c r="AH63" s="171"/>
      <c r="AI63" s="171"/>
      <c r="AJ63" s="171"/>
      <c r="AK63" s="171"/>
      <c r="AL63" s="171"/>
      <c r="AM63" s="171"/>
      <c r="AN63" s="171"/>
      <c r="AO63" s="171"/>
    </row>
    <row x14ac:dyDescent="0.25" r="64" customHeight="1" ht="18.75">
      <c r="A64" s="1"/>
      <c r="B64" s="1"/>
      <c r="C64" s="1"/>
      <c r="D64" s="169"/>
      <c r="E64" s="169"/>
      <c r="F64" s="170"/>
      <c r="G64" s="1"/>
      <c r="H64" s="1"/>
      <c r="I64" s="1"/>
      <c r="J64" s="1"/>
      <c r="K64" s="1"/>
      <c r="L64" s="1"/>
      <c r="M64" s="1"/>
      <c r="N64" s="1"/>
      <c r="O64" s="1"/>
      <c r="P64" s="24"/>
      <c r="Q64" s="1"/>
      <c r="R64" s="171"/>
      <c r="S64" s="171"/>
      <c r="T64" s="171"/>
      <c r="U64" s="171"/>
      <c r="V64" s="171"/>
      <c r="W64" s="171"/>
      <c r="X64" s="171"/>
      <c r="Y64" s="171"/>
      <c r="Z64" s="488"/>
      <c r="AA64" s="171"/>
      <c r="AB64" s="171"/>
      <c r="AC64" s="171"/>
      <c r="AD64" s="171"/>
      <c r="AE64" s="171"/>
      <c r="AF64" s="171"/>
      <c r="AG64" s="171"/>
      <c r="AH64" s="171"/>
      <c r="AI64" s="171"/>
      <c r="AJ64" s="171"/>
      <c r="AK64" s="171"/>
      <c r="AL64" s="171"/>
      <c r="AM64" s="171"/>
      <c r="AN64" s="171"/>
      <c r="AO64" s="171"/>
    </row>
    <row x14ac:dyDescent="0.25" r="65" customHeight="1" ht="18.75">
      <c r="A65" s="1"/>
      <c r="B65" s="1"/>
      <c r="C65" s="1"/>
      <c r="D65" s="169"/>
      <c r="E65" s="169"/>
      <c r="F65" s="170"/>
      <c r="G65" s="1"/>
      <c r="H65" s="1"/>
      <c r="I65" s="1"/>
      <c r="J65" s="1"/>
      <c r="K65" s="1"/>
      <c r="L65" s="1"/>
      <c r="M65" s="1"/>
      <c r="N65" s="1"/>
      <c r="O65" s="1"/>
      <c r="P65" s="24"/>
      <c r="Q65" s="1"/>
      <c r="R65" s="171"/>
      <c r="S65" s="171"/>
      <c r="T65" s="171"/>
      <c r="U65" s="171"/>
      <c r="V65" s="171"/>
      <c r="W65" s="171"/>
      <c r="X65" s="171"/>
      <c r="Y65" s="171"/>
      <c r="Z65" s="488"/>
      <c r="AA65" s="171"/>
      <c r="AB65" s="171"/>
      <c r="AC65" s="171"/>
      <c r="AD65" s="171"/>
      <c r="AE65" s="171"/>
      <c r="AF65" s="171"/>
      <c r="AG65" s="171"/>
      <c r="AH65" s="171"/>
      <c r="AI65" s="171"/>
      <c r="AJ65" s="171"/>
      <c r="AK65" s="171"/>
      <c r="AL65" s="171"/>
      <c r="AM65" s="171"/>
      <c r="AN65" s="171"/>
      <c r="AO65" s="171"/>
    </row>
    <row x14ac:dyDescent="0.25" r="66" customHeight="1" ht="18.75">
      <c r="A66" s="1"/>
      <c r="B66" s="1"/>
      <c r="C66" s="1"/>
      <c r="D66" s="169"/>
      <c r="E66" s="169"/>
      <c r="F66" s="170"/>
      <c r="G66" s="1"/>
      <c r="H66" s="1"/>
      <c r="I66" s="1"/>
      <c r="J66" s="1"/>
      <c r="K66" s="1"/>
      <c r="L66" s="1"/>
      <c r="M66" s="1"/>
      <c r="N66" s="1"/>
      <c r="O66" s="1"/>
      <c r="P66" s="24"/>
      <c r="Q66" s="1"/>
      <c r="R66" s="171"/>
      <c r="S66" s="171"/>
      <c r="T66" s="171"/>
      <c r="U66" s="171"/>
      <c r="V66" s="171"/>
      <c r="W66" s="171"/>
      <c r="X66" s="171"/>
      <c r="Y66" s="171"/>
      <c r="Z66" s="488"/>
      <c r="AA66" s="171"/>
      <c r="AB66" s="171"/>
      <c r="AC66" s="171"/>
      <c r="AD66" s="171"/>
      <c r="AE66" s="171"/>
      <c r="AF66" s="171"/>
      <c r="AG66" s="171"/>
      <c r="AH66" s="171"/>
      <c r="AI66" s="171"/>
      <c r="AJ66" s="171"/>
      <c r="AK66" s="171"/>
      <c r="AL66" s="171"/>
      <c r="AM66" s="171"/>
      <c r="AN66" s="171"/>
      <c r="AO66" s="171"/>
    </row>
    <row x14ac:dyDescent="0.25" r="67" customHeight="1" ht="18.75">
      <c r="A67" s="1"/>
      <c r="B67" s="1"/>
      <c r="C67" s="1"/>
      <c r="D67" s="169"/>
      <c r="E67" s="169"/>
      <c r="F67" s="170"/>
      <c r="G67" s="1"/>
      <c r="H67" s="1"/>
      <c r="I67" s="1"/>
      <c r="J67" s="1"/>
      <c r="K67" s="1"/>
      <c r="L67" s="1"/>
      <c r="M67" s="1"/>
      <c r="N67" s="1"/>
      <c r="O67" s="1"/>
      <c r="P67" s="24"/>
      <c r="Q67" s="1"/>
      <c r="R67" s="171"/>
      <c r="S67" s="171"/>
      <c r="T67" s="171"/>
      <c r="U67" s="171"/>
      <c r="V67" s="171"/>
      <c r="W67" s="171"/>
      <c r="X67" s="171"/>
      <c r="Y67" s="171"/>
      <c r="Z67" s="488"/>
      <c r="AA67" s="171"/>
      <c r="AB67" s="171"/>
      <c r="AC67" s="171"/>
      <c r="AD67" s="171"/>
      <c r="AE67" s="171"/>
      <c r="AF67" s="171"/>
      <c r="AG67" s="171"/>
      <c r="AH67" s="171"/>
      <c r="AI67" s="171"/>
      <c r="AJ67" s="171"/>
      <c r="AK67" s="171"/>
      <c r="AL67" s="171"/>
      <c r="AM67" s="171"/>
      <c r="AN67" s="171"/>
      <c r="AO67" s="171"/>
    </row>
    <row x14ac:dyDescent="0.25" r="68" customHeight="1" ht="18.75">
      <c r="A68" s="1"/>
      <c r="B68" s="1"/>
      <c r="C68" s="1"/>
      <c r="D68" s="169"/>
      <c r="E68" s="169"/>
      <c r="F68" s="170"/>
      <c r="G68" s="1"/>
      <c r="H68" s="1"/>
      <c r="I68" s="1"/>
      <c r="J68" s="1"/>
      <c r="K68" s="1"/>
      <c r="L68" s="1"/>
      <c r="M68" s="1"/>
      <c r="N68" s="1"/>
      <c r="O68" s="1"/>
      <c r="P68" s="24"/>
      <c r="Q68" s="1"/>
      <c r="R68" s="171"/>
      <c r="S68" s="171"/>
      <c r="T68" s="171"/>
      <c r="U68" s="171"/>
      <c r="V68" s="171"/>
      <c r="W68" s="171"/>
      <c r="X68" s="171"/>
      <c r="Y68" s="171"/>
      <c r="Z68" s="488"/>
      <c r="AA68" s="171"/>
      <c r="AB68" s="171"/>
      <c r="AC68" s="171"/>
      <c r="AD68" s="171"/>
      <c r="AE68" s="171"/>
      <c r="AF68" s="171"/>
      <c r="AG68" s="171"/>
      <c r="AH68" s="171"/>
      <c r="AI68" s="171"/>
      <c r="AJ68" s="171"/>
      <c r="AK68" s="171"/>
      <c r="AL68" s="171"/>
      <c r="AM68" s="171"/>
      <c r="AN68" s="171"/>
      <c r="AO68" s="171"/>
    </row>
    <row x14ac:dyDescent="0.25" r="69" customHeight="1" ht="18.75">
      <c r="A69" s="1"/>
      <c r="B69" s="1"/>
      <c r="C69" s="1"/>
      <c r="D69" s="169"/>
      <c r="E69" s="169"/>
      <c r="F69" s="170"/>
      <c r="G69" s="1"/>
      <c r="H69" s="1"/>
      <c r="I69" s="1"/>
      <c r="J69" s="1"/>
      <c r="K69" s="1"/>
      <c r="L69" s="1"/>
      <c r="M69" s="1"/>
      <c r="N69" s="1"/>
      <c r="O69" s="1"/>
      <c r="P69" s="24"/>
      <c r="Q69" s="1"/>
      <c r="R69" s="171"/>
      <c r="S69" s="171"/>
      <c r="T69" s="171"/>
      <c r="U69" s="171"/>
      <c r="V69" s="171"/>
      <c r="W69" s="171"/>
      <c r="X69" s="171"/>
      <c r="Y69" s="171"/>
      <c r="Z69" s="488"/>
      <c r="AA69" s="171"/>
      <c r="AB69" s="171"/>
      <c r="AC69" s="171"/>
      <c r="AD69" s="171"/>
      <c r="AE69" s="171"/>
      <c r="AF69" s="171"/>
      <c r="AG69" s="171"/>
      <c r="AH69" s="171"/>
      <c r="AI69" s="171"/>
      <c r="AJ69" s="171"/>
      <c r="AK69" s="171"/>
      <c r="AL69" s="171"/>
      <c r="AM69" s="171"/>
      <c r="AN69" s="171"/>
      <c r="AO69" s="171"/>
    </row>
    <row x14ac:dyDescent="0.25" r="70" customHeight="1" ht="18.75">
      <c r="A70" s="1"/>
      <c r="B70" s="1"/>
      <c r="C70" s="1"/>
      <c r="D70" s="169"/>
      <c r="E70" s="169"/>
      <c r="F70" s="170"/>
      <c r="G70" s="1"/>
      <c r="H70" s="1"/>
      <c r="I70" s="1"/>
      <c r="J70" s="1"/>
      <c r="K70" s="1"/>
      <c r="L70" s="1"/>
      <c r="M70" s="1"/>
      <c r="N70" s="1"/>
      <c r="O70" s="1"/>
      <c r="P70" s="24"/>
      <c r="Q70" s="1"/>
      <c r="R70" s="171"/>
      <c r="S70" s="171"/>
      <c r="T70" s="171"/>
      <c r="U70" s="171"/>
      <c r="V70" s="171"/>
      <c r="W70" s="171"/>
      <c r="X70" s="171"/>
      <c r="Y70" s="171"/>
      <c r="Z70" s="488"/>
      <c r="AA70" s="171"/>
      <c r="AB70" s="171"/>
      <c r="AC70" s="171"/>
      <c r="AD70" s="171"/>
      <c r="AE70" s="171"/>
      <c r="AF70" s="171"/>
      <c r="AG70" s="171"/>
      <c r="AH70" s="171"/>
      <c r="AI70" s="171"/>
      <c r="AJ70" s="171"/>
      <c r="AK70" s="171"/>
      <c r="AL70" s="171"/>
      <c r="AM70" s="171"/>
      <c r="AN70" s="171"/>
      <c r="AO70" s="171"/>
    </row>
    <row x14ac:dyDescent="0.25" r="71" customHeight="1" ht="14.65">
      <c r="A71" s="1"/>
      <c r="B71" s="1"/>
      <c r="C71" s="1"/>
      <c r="D71" s="169"/>
      <c r="E71" s="169"/>
      <c r="F71" s="170"/>
      <c r="G71" s="1"/>
      <c r="H71" s="1"/>
      <c r="I71" s="1"/>
      <c r="J71" s="1"/>
      <c r="K71" s="1"/>
      <c r="L71" s="1"/>
      <c r="M71" s="1"/>
      <c r="N71" s="1"/>
      <c r="O71" s="1"/>
      <c r="P71" s="24"/>
      <c r="Q71" s="1"/>
      <c r="R71" s="171"/>
      <c r="S71" s="171"/>
      <c r="T71" s="171"/>
      <c r="U71" s="171"/>
      <c r="V71" s="171"/>
      <c r="W71" s="171"/>
      <c r="X71" s="171"/>
      <c r="Y71" s="171"/>
      <c r="Z71" s="488"/>
      <c r="AA71" s="171"/>
      <c r="AB71" s="171"/>
      <c r="AC71" s="171"/>
      <c r="AD71" s="171"/>
      <c r="AE71" s="171"/>
      <c r="AF71" s="171"/>
      <c r="AG71" s="171"/>
      <c r="AH71" s="171"/>
      <c r="AI71" s="171"/>
      <c r="AJ71" s="171"/>
      <c r="AK71" s="171"/>
      <c r="AL71" s="171"/>
      <c r="AM71" s="171"/>
      <c r="AN71" s="171"/>
      <c r="AO71" s="171"/>
    </row>
    <row x14ac:dyDescent="0.25" r="72" customHeight="1" ht="14.65">
      <c r="A72" s="1"/>
      <c r="B72" s="1"/>
      <c r="C72" s="1"/>
      <c r="D72" s="169"/>
      <c r="E72" s="169"/>
      <c r="F72" s="170"/>
      <c r="G72" s="1"/>
      <c r="H72" s="1"/>
      <c r="I72" s="1"/>
      <c r="J72" s="1"/>
      <c r="K72" s="1"/>
      <c r="L72" s="1"/>
      <c r="M72" s="1"/>
      <c r="N72" s="1"/>
      <c r="O72" s="1"/>
      <c r="P72" s="24"/>
      <c r="Q72" s="1"/>
      <c r="R72" s="171"/>
      <c r="S72" s="171"/>
      <c r="T72" s="171"/>
      <c r="U72" s="171"/>
      <c r="V72" s="171"/>
      <c r="W72" s="171"/>
      <c r="X72" s="171"/>
      <c r="Y72" s="171"/>
      <c r="Z72" s="488"/>
      <c r="AA72" s="171"/>
      <c r="AB72" s="171"/>
      <c r="AC72" s="171"/>
      <c r="AD72" s="171"/>
      <c r="AE72" s="171"/>
      <c r="AF72" s="171"/>
      <c r="AG72" s="171"/>
      <c r="AH72" s="171"/>
      <c r="AI72" s="171"/>
      <c r="AJ72" s="171"/>
      <c r="AK72" s="171"/>
      <c r="AL72" s="171"/>
      <c r="AM72" s="171"/>
      <c r="AN72" s="171"/>
      <c r="AO72" s="171"/>
    </row>
    <row x14ac:dyDescent="0.25" r="73" customHeight="1" ht="14.65">
      <c r="A73" s="1"/>
      <c r="B73" s="1"/>
      <c r="C73" s="1"/>
      <c r="D73" s="169"/>
      <c r="E73" s="169"/>
      <c r="F73" s="170"/>
      <c r="G73" s="1"/>
      <c r="H73" s="1"/>
      <c r="I73" s="1"/>
      <c r="J73" s="1"/>
      <c r="K73" s="1"/>
      <c r="L73" s="1"/>
      <c r="M73" s="1"/>
      <c r="N73" s="1"/>
      <c r="O73" s="1"/>
      <c r="P73" s="24"/>
      <c r="Q73" s="1"/>
      <c r="R73" s="171"/>
      <c r="S73" s="171"/>
      <c r="T73" s="171"/>
      <c r="U73" s="171"/>
      <c r="V73" s="171"/>
      <c r="W73" s="171"/>
      <c r="X73" s="171"/>
      <c r="Y73" s="171"/>
      <c r="Z73" s="488"/>
      <c r="AA73" s="171"/>
      <c r="AB73" s="171"/>
      <c r="AC73" s="171"/>
      <c r="AD73" s="171"/>
      <c r="AE73" s="171"/>
      <c r="AF73" s="171"/>
      <c r="AG73" s="171"/>
      <c r="AH73" s="171"/>
      <c r="AI73" s="171"/>
      <c r="AJ73" s="171"/>
      <c r="AK73" s="171"/>
      <c r="AL73" s="171"/>
      <c r="AM73" s="171"/>
      <c r="AN73" s="171"/>
      <c r="AO73" s="171"/>
    </row>
    <row x14ac:dyDescent="0.25" r="74" customHeight="1" ht="14.65">
      <c r="A74" s="1"/>
      <c r="B74" s="1"/>
      <c r="C74" s="1"/>
      <c r="D74" s="169"/>
      <c r="E74" s="169"/>
      <c r="F74" s="170"/>
      <c r="G74" s="1"/>
      <c r="H74" s="1"/>
      <c r="I74" s="1"/>
      <c r="J74" s="1"/>
      <c r="K74" s="1"/>
      <c r="L74" s="1"/>
      <c r="M74" s="1"/>
      <c r="N74" s="1"/>
      <c r="O74" s="1"/>
      <c r="P74" s="24"/>
      <c r="Q74" s="1"/>
      <c r="R74" s="171"/>
      <c r="S74" s="171"/>
      <c r="T74" s="171"/>
      <c r="U74" s="171"/>
      <c r="V74" s="171"/>
      <c r="W74" s="171"/>
      <c r="X74" s="171"/>
      <c r="Y74" s="171"/>
      <c r="Z74" s="488"/>
      <c r="AA74" s="171"/>
      <c r="AB74" s="171"/>
      <c r="AC74" s="171"/>
      <c r="AD74" s="171"/>
      <c r="AE74" s="171"/>
      <c r="AF74" s="171"/>
      <c r="AG74" s="171"/>
      <c r="AH74" s="171"/>
      <c r="AI74" s="171"/>
      <c r="AJ74" s="171"/>
      <c r="AK74" s="171"/>
      <c r="AL74" s="171"/>
      <c r="AM74" s="171"/>
      <c r="AN74" s="171"/>
      <c r="AO74" s="171"/>
    </row>
    <row x14ac:dyDescent="0.25" r="75" customHeight="1" ht="14.65">
      <c r="A75" s="1"/>
      <c r="B75" s="1"/>
      <c r="C75" s="1"/>
      <c r="D75" s="169"/>
      <c r="E75" s="169"/>
      <c r="F75" s="170"/>
      <c r="G75" s="1"/>
      <c r="H75" s="1"/>
      <c r="I75" s="1"/>
      <c r="J75" s="1"/>
      <c r="K75" s="1"/>
      <c r="L75" s="1"/>
      <c r="M75" s="1"/>
      <c r="N75" s="1"/>
      <c r="O75" s="1"/>
      <c r="P75" s="24"/>
      <c r="Q75" s="1"/>
      <c r="R75" s="171"/>
      <c r="S75" s="171"/>
      <c r="T75" s="171"/>
      <c r="U75" s="171"/>
      <c r="V75" s="171"/>
      <c r="W75" s="171"/>
      <c r="X75" s="171"/>
      <c r="Y75" s="171"/>
      <c r="Z75" s="488"/>
      <c r="AA75" s="171"/>
      <c r="AB75" s="171"/>
      <c r="AC75" s="171"/>
      <c r="AD75" s="171"/>
      <c r="AE75" s="171"/>
      <c r="AF75" s="171"/>
      <c r="AG75" s="171"/>
      <c r="AH75" s="171"/>
      <c r="AI75" s="171"/>
      <c r="AJ75" s="171"/>
      <c r="AK75" s="171"/>
      <c r="AL75" s="171"/>
      <c r="AM75" s="171"/>
      <c r="AN75" s="171"/>
      <c r="AO75" s="171"/>
    </row>
    <row x14ac:dyDescent="0.25" r="76" customHeight="1" ht="14.65">
      <c r="A76" s="1"/>
      <c r="B76" s="1"/>
      <c r="C76" s="1"/>
      <c r="D76" s="169"/>
      <c r="E76" s="169"/>
      <c r="F76" s="170"/>
      <c r="G76" s="1"/>
      <c r="H76" s="1"/>
      <c r="I76" s="1"/>
      <c r="J76" s="1"/>
      <c r="K76" s="1"/>
      <c r="L76" s="1"/>
      <c r="M76" s="1"/>
      <c r="N76" s="1"/>
      <c r="O76" s="1"/>
      <c r="P76" s="24"/>
      <c r="Q76" s="1"/>
      <c r="R76" s="171"/>
      <c r="S76" s="171"/>
      <c r="T76" s="171"/>
      <c r="U76" s="171"/>
      <c r="V76" s="171"/>
      <c r="W76" s="171"/>
      <c r="X76" s="171"/>
      <c r="Y76" s="171"/>
      <c r="Z76" s="488"/>
      <c r="AA76" s="171"/>
      <c r="AB76" s="171"/>
      <c r="AC76" s="171"/>
      <c r="AD76" s="171"/>
      <c r="AE76" s="171"/>
      <c r="AF76" s="171"/>
      <c r="AG76" s="171"/>
      <c r="AH76" s="171"/>
      <c r="AI76" s="171"/>
      <c r="AJ76" s="171"/>
      <c r="AK76" s="171"/>
      <c r="AL76" s="171"/>
      <c r="AM76" s="171"/>
      <c r="AN76" s="171"/>
      <c r="AO76" s="171"/>
    </row>
    <row x14ac:dyDescent="0.25" r="77" customHeight="1" ht="14.65">
      <c r="A77" s="1"/>
      <c r="B77" s="1"/>
      <c r="C77" s="1"/>
      <c r="D77" s="169"/>
      <c r="E77" s="169"/>
      <c r="F77" s="170"/>
      <c r="G77" s="1"/>
      <c r="H77" s="1"/>
      <c r="I77" s="1"/>
      <c r="J77" s="1"/>
      <c r="K77" s="1"/>
      <c r="L77" s="1"/>
      <c r="M77" s="1"/>
      <c r="N77" s="1"/>
      <c r="O77" s="1"/>
      <c r="P77" s="24"/>
      <c r="Q77" s="1"/>
      <c r="R77" s="171"/>
      <c r="S77" s="171"/>
      <c r="T77" s="171"/>
      <c r="U77" s="171"/>
      <c r="V77" s="171"/>
      <c r="W77" s="171"/>
      <c r="X77" s="171"/>
      <c r="Y77" s="171"/>
      <c r="Z77" s="488"/>
      <c r="AA77" s="171"/>
      <c r="AB77" s="171"/>
      <c r="AC77" s="171"/>
      <c r="AD77" s="171"/>
      <c r="AE77" s="171"/>
      <c r="AF77" s="171"/>
      <c r="AG77" s="171"/>
      <c r="AH77" s="171"/>
      <c r="AI77" s="171"/>
      <c r="AJ77" s="171"/>
      <c r="AK77" s="171"/>
      <c r="AL77" s="171"/>
      <c r="AM77" s="171"/>
      <c r="AN77" s="171"/>
      <c r="AO77" s="171"/>
    </row>
    <row x14ac:dyDescent="0.25" r="78" customHeight="1" ht="18.75">
      <c r="A78" s="1"/>
      <c r="B78" s="1"/>
      <c r="C78" s="1"/>
      <c r="D78" s="169"/>
      <c r="E78" s="169"/>
      <c r="F78" s="170"/>
      <c r="G78" s="1"/>
      <c r="H78" s="1"/>
      <c r="I78" s="1"/>
      <c r="J78" s="1"/>
      <c r="K78" s="1"/>
      <c r="L78" s="1"/>
      <c r="M78" s="1"/>
      <c r="N78" s="1"/>
      <c r="O78" s="1"/>
      <c r="P78" s="24"/>
      <c r="Q78" s="1"/>
      <c r="R78" s="171"/>
      <c r="S78" s="171"/>
      <c r="T78" s="171"/>
      <c r="U78" s="171"/>
      <c r="V78" s="171"/>
      <c r="W78" s="171"/>
      <c r="X78" s="171"/>
      <c r="Y78" s="171"/>
      <c r="Z78" s="488"/>
      <c r="AA78" s="171"/>
      <c r="AB78" s="171"/>
      <c r="AC78" s="171"/>
      <c r="AD78" s="171"/>
      <c r="AE78" s="171"/>
      <c r="AF78" s="171"/>
      <c r="AG78" s="171"/>
      <c r="AH78" s="171"/>
      <c r="AI78" s="171"/>
      <c r="AJ78" s="171"/>
      <c r="AK78" s="171"/>
      <c r="AL78" s="171"/>
      <c r="AM78" s="171"/>
      <c r="AN78" s="171"/>
      <c r="AO78" s="171"/>
    </row>
    <row x14ac:dyDescent="0.25" r="79" customHeight="1" ht="18.75">
      <c r="A79" s="1"/>
      <c r="B79" s="1"/>
      <c r="C79" s="1"/>
      <c r="D79" s="169"/>
      <c r="E79" s="169"/>
      <c r="F79" s="170"/>
      <c r="G79" s="1"/>
      <c r="H79" s="1"/>
      <c r="I79" s="1"/>
      <c r="J79" s="1"/>
      <c r="K79" s="1"/>
      <c r="L79" s="1"/>
      <c r="M79" s="1"/>
      <c r="N79" s="1"/>
      <c r="O79" s="1"/>
      <c r="P79" s="24"/>
      <c r="Q79" s="1"/>
      <c r="R79" s="171"/>
      <c r="S79" s="171"/>
      <c r="T79" s="171"/>
      <c r="U79" s="171"/>
      <c r="V79" s="171"/>
      <c r="W79" s="171"/>
      <c r="X79" s="171"/>
      <c r="Y79" s="171"/>
      <c r="Z79" s="488"/>
      <c r="AA79" s="171"/>
      <c r="AB79" s="171"/>
      <c r="AC79" s="171"/>
      <c r="AD79" s="171"/>
      <c r="AE79" s="171"/>
      <c r="AF79" s="171"/>
      <c r="AG79" s="171"/>
      <c r="AH79" s="171"/>
      <c r="AI79" s="171"/>
      <c r="AJ79" s="171"/>
      <c r="AK79" s="171"/>
      <c r="AL79" s="171"/>
      <c r="AM79" s="171"/>
      <c r="AN79" s="171"/>
      <c r="AO79" s="171"/>
    </row>
    <row x14ac:dyDescent="0.25" r="80" customHeight="1" ht="18.75">
      <c r="A80" s="1"/>
      <c r="B80" s="1"/>
      <c r="C80" s="1"/>
      <c r="D80" s="169"/>
      <c r="E80" s="169"/>
      <c r="F80" s="170"/>
      <c r="G80" s="1"/>
      <c r="H80" s="1"/>
      <c r="I80" s="1"/>
      <c r="J80" s="1"/>
      <c r="K80" s="1"/>
      <c r="L80" s="1"/>
      <c r="M80" s="1"/>
      <c r="N80" s="1"/>
      <c r="O80" s="1"/>
      <c r="P80" s="24"/>
      <c r="Q80" s="1"/>
      <c r="R80" s="171"/>
      <c r="S80" s="171"/>
      <c r="T80" s="171"/>
      <c r="U80" s="171"/>
      <c r="V80" s="171"/>
      <c r="W80" s="171"/>
      <c r="X80" s="171"/>
      <c r="Y80" s="171"/>
      <c r="Z80" s="488"/>
      <c r="AA80" s="171"/>
      <c r="AB80" s="171"/>
      <c r="AC80" s="171"/>
      <c r="AD80" s="171"/>
      <c r="AE80" s="171"/>
      <c r="AF80" s="171"/>
      <c r="AG80" s="171"/>
      <c r="AH80" s="171"/>
      <c r="AI80" s="171"/>
      <c r="AJ80" s="171"/>
      <c r="AK80" s="171"/>
      <c r="AL80" s="171"/>
      <c r="AM80" s="171"/>
      <c r="AN80" s="171"/>
      <c r="AO80" s="171"/>
    </row>
    <row x14ac:dyDescent="0.25" r="81" customHeight="1" ht="18.75">
      <c r="A81" s="1"/>
      <c r="B81" s="1"/>
      <c r="C81" s="1"/>
      <c r="D81" s="169"/>
      <c r="E81" s="169"/>
      <c r="F81" s="170"/>
      <c r="G81" s="1"/>
      <c r="H81" s="1"/>
      <c r="I81" s="1"/>
      <c r="J81" s="1"/>
      <c r="K81" s="1"/>
      <c r="L81" s="1"/>
      <c r="M81" s="1"/>
      <c r="N81" s="1"/>
      <c r="O81" s="1"/>
      <c r="P81" s="24"/>
      <c r="Q81" s="1"/>
      <c r="R81" s="171"/>
      <c r="S81" s="171"/>
      <c r="T81" s="171"/>
      <c r="U81" s="171"/>
      <c r="V81" s="171"/>
      <c r="W81" s="171"/>
      <c r="X81" s="171"/>
      <c r="Y81" s="171"/>
      <c r="Z81" s="488"/>
      <c r="AA81" s="171"/>
      <c r="AB81" s="171"/>
      <c r="AC81" s="171"/>
      <c r="AD81" s="171"/>
      <c r="AE81" s="171"/>
      <c r="AF81" s="171"/>
      <c r="AG81" s="171"/>
      <c r="AH81" s="171"/>
      <c r="AI81" s="171"/>
      <c r="AJ81" s="171"/>
      <c r="AK81" s="171"/>
      <c r="AL81" s="171"/>
      <c r="AM81" s="171"/>
      <c r="AN81" s="171"/>
      <c r="AO81" s="171"/>
    </row>
    <row x14ac:dyDescent="0.25" r="82" customHeight="1" ht="18.75">
      <c r="A82" s="1"/>
      <c r="B82" s="1"/>
      <c r="C82" s="1"/>
      <c r="D82" s="169"/>
      <c r="E82" s="169"/>
      <c r="F82" s="170"/>
      <c r="G82" s="1"/>
      <c r="H82" s="1"/>
      <c r="I82" s="1"/>
      <c r="J82" s="1"/>
      <c r="K82" s="1"/>
      <c r="L82" s="1"/>
      <c r="M82" s="1"/>
      <c r="N82" s="1"/>
      <c r="O82" s="1"/>
      <c r="P82" s="24"/>
      <c r="Q82" s="1"/>
      <c r="R82" s="171"/>
      <c r="S82" s="171"/>
      <c r="T82" s="171"/>
      <c r="U82" s="171"/>
      <c r="V82" s="171"/>
      <c r="W82" s="171"/>
      <c r="X82" s="171"/>
      <c r="Y82" s="171"/>
      <c r="Z82" s="488"/>
      <c r="AA82" s="171"/>
      <c r="AB82" s="171"/>
      <c r="AC82" s="171"/>
      <c r="AD82" s="171"/>
      <c r="AE82" s="171"/>
      <c r="AF82" s="171"/>
      <c r="AG82" s="171"/>
      <c r="AH82" s="171"/>
      <c r="AI82" s="171"/>
      <c r="AJ82" s="171"/>
      <c r="AK82" s="171"/>
      <c r="AL82" s="171"/>
      <c r="AM82" s="171"/>
      <c r="AN82" s="171"/>
      <c r="AO82" s="171"/>
    </row>
    <row x14ac:dyDescent="0.25" r="83" customHeight="1" ht="18.75">
      <c r="A83" s="1"/>
      <c r="B83" s="1"/>
      <c r="C83" s="1"/>
      <c r="D83" s="169"/>
      <c r="E83" s="169"/>
      <c r="F83" s="170"/>
      <c r="G83" s="1"/>
      <c r="H83" s="1"/>
      <c r="I83" s="1"/>
      <c r="J83" s="1"/>
      <c r="K83" s="1"/>
      <c r="L83" s="1"/>
      <c r="M83" s="1"/>
      <c r="N83" s="1"/>
      <c r="O83" s="1"/>
      <c r="P83" s="24"/>
      <c r="Q83" s="1"/>
      <c r="R83" s="171"/>
      <c r="S83" s="171"/>
      <c r="T83" s="171"/>
      <c r="U83" s="171"/>
      <c r="V83" s="171"/>
      <c r="W83" s="171"/>
      <c r="X83" s="171"/>
      <c r="Y83" s="171"/>
      <c r="Z83" s="488"/>
      <c r="AA83" s="171"/>
      <c r="AB83" s="171"/>
      <c r="AC83" s="171"/>
      <c r="AD83" s="171"/>
      <c r="AE83" s="171"/>
      <c r="AF83" s="171"/>
      <c r="AG83" s="171"/>
      <c r="AH83" s="171"/>
      <c r="AI83" s="171"/>
      <c r="AJ83" s="171"/>
      <c r="AK83" s="171"/>
      <c r="AL83" s="171"/>
      <c r="AM83" s="171"/>
      <c r="AN83" s="171"/>
      <c r="AO83" s="171"/>
    </row>
    <row x14ac:dyDescent="0.25" r="84" customHeight="1" ht="18.75">
      <c r="A84" s="1"/>
      <c r="B84" s="1"/>
      <c r="C84" s="1"/>
      <c r="D84" s="169"/>
      <c r="E84" s="169"/>
      <c r="F84" s="170"/>
      <c r="G84" s="1"/>
      <c r="H84" s="1"/>
      <c r="I84" s="1"/>
      <c r="J84" s="1"/>
      <c r="K84" s="1"/>
      <c r="L84" s="1"/>
      <c r="M84" s="1"/>
      <c r="N84" s="1"/>
      <c r="O84" s="1"/>
      <c r="P84" s="24"/>
      <c r="Q84" s="1"/>
      <c r="R84" s="171"/>
      <c r="S84" s="171"/>
      <c r="T84" s="171"/>
      <c r="U84" s="171"/>
      <c r="V84" s="171"/>
      <c r="W84" s="171"/>
      <c r="X84" s="171"/>
      <c r="Y84" s="171"/>
      <c r="Z84" s="488"/>
      <c r="AA84" s="171"/>
      <c r="AB84" s="171"/>
      <c r="AC84" s="171"/>
      <c r="AD84" s="171"/>
      <c r="AE84" s="171"/>
      <c r="AF84" s="171"/>
      <c r="AG84" s="171"/>
      <c r="AH84" s="171"/>
      <c r="AI84" s="171"/>
      <c r="AJ84" s="171"/>
      <c r="AK84" s="171"/>
      <c r="AL84" s="171"/>
      <c r="AM84" s="171"/>
      <c r="AN84" s="171"/>
      <c r="AO84" s="171"/>
    </row>
    <row x14ac:dyDescent="0.25" r="85" customHeight="1" ht="18.75">
      <c r="A85" s="1"/>
      <c r="B85" s="1"/>
      <c r="C85" s="1"/>
      <c r="D85" s="169"/>
      <c r="E85" s="169"/>
      <c r="F85" s="170"/>
      <c r="G85" s="1"/>
      <c r="H85" s="1"/>
      <c r="I85" s="1"/>
      <c r="J85" s="1"/>
      <c r="K85" s="1"/>
      <c r="L85" s="1"/>
      <c r="M85" s="1"/>
      <c r="N85" s="1"/>
      <c r="O85" s="1"/>
      <c r="P85" s="24"/>
      <c r="Q85" s="1"/>
      <c r="R85" s="171"/>
      <c r="S85" s="171"/>
      <c r="T85" s="171"/>
      <c r="U85" s="171"/>
      <c r="V85" s="171"/>
      <c r="W85" s="171"/>
      <c r="X85" s="171"/>
      <c r="Y85" s="171"/>
      <c r="Z85" s="488"/>
      <c r="AA85" s="171"/>
      <c r="AB85" s="171"/>
      <c r="AC85" s="171"/>
      <c r="AD85" s="171"/>
      <c r="AE85" s="171"/>
      <c r="AF85" s="171"/>
      <c r="AG85" s="171"/>
      <c r="AH85" s="171"/>
      <c r="AI85" s="171"/>
      <c r="AJ85" s="171"/>
      <c r="AK85" s="171"/>
      <c r="AL85" s="171"/>
      <c r="AM85" s="171"/>
      <c r="AN85" s="171"/>
      <c r="AO85" s="171"/>
    </row>
    <row x14ac:dyDescent="0.25" r="86" customHeight="1" ht="18.75">
      <c r="A86" s="1"/>
      <c r="B86" s="1"/>
      <c r="C86" s="1"/>
      <c r="D86" s="169"/>
      <c r="E86" s="169"/>
      <c r="F86" s="170"/>
      <c r="G86" s="1"/>
      <c r="H86" s="1"/>
      <c r="I86" s="1"/>
      <c r="J86" s="1"/>
      <c r="K86" s="1"/>
      <c r="L86" s="1"/>
      <c r="M86" s="1"/>
      <c r="N86" s="1"/>
      <c r="O86" s="1"/>
      <c r="P86" s="24"/>
      <c r="Q86" s="1"/>
      <c r="R86" s="171"/>
      <c r="S86" s="171"/>
      <c r="T86" s="171"/>
      <c r="U86" s="171"/>
      <c r="V86" s="171"/>
      <c r="W86" s="171"/>
      <c r="X86" s="171"/>
      <c r="Y86" s="171"/>
      <c r="Z86" s="488"/>
      <c r="AA86" s="171"/>
      <c r="AB86" s="171"/>
      <c r="AC86" s="171"/>
      <c r="AD86" s="171"/>
      <c r="AE86" s="171"/>
      <c r="AF86" s="171"/>
      <c r="AG86" s="171"/>
      <c r="AH86" s="171"/>
      <c r="AI86" s="171"/>
      <c r="AJ86" s="171"/>
      <c r="AK86" s="171"/>
      <c r="AL86" s="171"/>
      <c r="AM86" s="171"/>
      <c r="AN86" s="171"/>
      <c r="AO86" s="171"/>
    </row>
    <row x14ac:dyDescent="0.25" r="87" customHeight="1" ht="18.75">
      <c r="A87" s="1"/>
      <c r="B87" s="1"/>
      <c r="C87" s="1"/>
      <c r="D87" s="169"/>
      <c r="E87" s="169"/>
      <c r="F87" s="170"/>
      <c r="G87" s="1"/>
      <c r="H87" s="1"/>
      <c r="I87" s="1"/>
      <c r="J87" s="1"/>
      <c r="K87" s="1"/>
      <c r="L87" s="1"/>
      <c r="M87" s="1"/>
      <c r="N87" s="1"/>
      <c r="O87" s="1"/>
      <c r="P87" s="24"/>
      <c r="Q87" s="1"/>
      <c r="R87" s="171"/>
      <c r="S87" s="171"/>
      <c r="T87" s="171"/>
      <c r="U87" s="171"/>
      <c r="V87" s="171"/>
      <c r="W87" s="171"/>
      <c r="X87" s="171"/>
      <c r="Y87" s="171"/>
      <c r="Z87" s="488"/>
      <c r="AA87" s="171"/>
      <c r="AB87" s="171"/>
      <c r="AC87" s="171"/>
      <c r="AD87" s="171"/>
      <c r="AE87" s="171"/>
      <c r="AF87" s="171"/>
      <c r="AG87" s="171"/>
      <c r="AH87" s="171"/>
      <c r="AI87" s="171"/>
      <c r="AJ87" s="171"/>
      <c r="AK87" s="171"/>
      <c r="AL87" s="171"/>
      <c r="AM87" s="171"/>
      <c r="AN87" s="171"/>
      <c r="AO87" s="171"/>
    </row>
    <row x14ac:dyDescent="0.25" r="88" customHeight="1" ht="18.75">
      <c r="A88" s="1"/>
      <c r="B88" s="1"/>
      <c r="C88" s="1"/>
      <c r="D88" s="169"/>
      <c r="E88" s="169"/>
      <c r="F88" s="170"/>
      <c r="G88" s="1"/>
      <c r="H88" s="1"/>
      <c r="I88" s="1"/>
      <c r="J88" s="1"/>
      <c r="K88" s="1"/>
      <c r="L88" s="1"/>
      <c r="M88" s="1"/>
      <c r="N88" s="1"/>
      <c r="O88" s="1"/>
      <c r="P88" s="24"/>
      <c r="Q88" s="1"/>
      <c r="R88" s="171"/>
      <c r="S88" s="171"/>
      <c r="T88" s="171"/>
      <c r="U88" s="171"/>
      <c r="V88" s="171"/>
      <c r="W88" s="171"/>
      <c r="X88" s="171"/>
      <c r="Y88" s="171"/>
      <c r="Z88" s="488"/>
      <c r="AA88" s="171"/>
      <c r="AB88" s="171"/>
      <c r="AC88" s="171"/>
      <c r="AD88" s="171"/>
      <c r="AE88" s="171"/>
      <c r="AF88" s="171"/>
      <c r="AG88" s="171"/>
      <c r="AH88" s="171"/>
      <c r="AI88" s="171"/>
      <c r="AJ88" s="171"/>
      <c r="AK88" s="171"/>
      <c r="AL88" s="171"/>
      <c r="AM88" s="171"/>
      <c r="AN88" s="171"/>
      <c r="AO88" s="171"/>
    </row>
    <row x14ac:dyDescent="0.25" r="89" customHeight="1" ht="18.75">
      <c r="A89" s="1"/>
      <c r="B89" s="1"/>
      <c r="C89" s="1"/>
      <c r="D89" s="169"/>
      <c r="E89" s="169"/>
      <c r="F89" s="170"/>
      <c r="G89" s="1"/>
      <c r="H89" s="1"/>
      <c r="I89" s="1"/>
      <c r="J89" s="1"/>
      <c r="K89" s="1"/>
      <c r="L89" s="1"/>
      <c r="M89" s="1"/>
      <c r="N89" s="1"/>
      <c r="O89" s="1"/>
      <c r="P89" s="24"/>
      <c r="Q89" s="1"/>
      <c r="R89" s="171"/>
      <c r="S89" s="171"/>
      <c r="T89" s="171"/>
      <c r="U89" s="171"/>
      <c r="V89" s="171"/>
      <c r="W89" s="171"/>
      <c r="X89" s="171"/>
      <c r="Y89" s="171"/>
      <c r="Z89" s="171"/>
      <c r="AA89" s="171"/>
      <c r="AB89" s="171"/>
      <c r="AC89" s="171"/>
      <c r="AD89" s="171"/>
      <c r="AE89" s="171"/>
      <c r="AF89" s="171"/>
      <c r="AG89" s="171"/>
      <c r="AH89" s="171"/>
      <c r="AI89" s="171"/>
      <c r="AJ89" s="171"/>
      <c r="AK89" s="171"/>
      <c r="AL89" s="171"/>
      <c r="AM89" s="171"/>
      <c r="AN89" s="171"/>
      <c r="AO89" s="171"/>
    </row>
    <row x14ac:dyDescent="0.25" r="90" customHeight="1" ht="18.75">
      <c r="A90" s="1"/>
      <c r="B90" s="1"/>
      <c r="C90" s="1"/>
      <c r="D90" s="169"/>
      <c r="E90" s="169"/>
      <c r="F90" s="170"/>
      <c r="G90" s="1"/>
      <c r="H90" s="1"/>
      <c r="I90" s="1"/>
      <c r="J90" s="1"/>
      <c r="K90" s="1"/>
      <c r="L90" s="1"/>
      <c r="M90" s="1"/>
      <c r="N90" s="1"/>
      <c r="O90" s="1"/>
      <c r="P90" s="24"/>
      <c r="Q90" s="1"/>
      <c r="R90" s="171"/>
      <c r="S90" s="171"/>
      <c r="T90" s="171"/>
      <c r="U90" s="171"/>
      <c r="V90" s="171"/>
      <c r="W90" s="171"/>
      <c r="X90" s="171"/>
      <c r="Y90" s="171"/>
      <c r="Z90" s="171"/>
      <c r="AA90" s="171"/>
      <c r="AB90" s="171"/>
      <c r="AC90" s="171"/>
      <c r="AD90" s="171"/>
      <c r="AE90" s="171"/>
      <c r="AF90" s="171"/>
      <c r="AG90" s="171"/>
      <c r="AH90" s="171"/>
      <c r="AI90" s="171"/>
      <c r="AJ90" s="171"/>
      <c r="AK90" s="171"/>
      <c r="AL90" s="171"/>
      <c r="AM90" s="171"/>
      <c r="AN90" s="171"/>
      <c r="AO90" s="171"/>
    </row>
    <row x14ac:dyDescent="0.25" r="91" customHeight="1" ht="18.75">
      <c r="A91" s="1"/>
      <c r="B91" s="1"/>
      <c r="C91" s="1"/>
      <c r="D91" s="169"/>
      <c r="E91" s="169"/>
      <c r="F91" s="170"/>
      <c r="G91" s="1"/>
      <c r="H91" s="1"/>
      <c r="I91" s="1"/>
      <c r="J91" s="1"/>
      <c r="K91" s="1"/>
      <c r="L91" s="1"/>
      <c r="M91" s="1"/>
      <c r="N91" s="1"/>
      <c r="O91" s="1"/>
      <c r="P91" s="24"/>
      <c r="Q91" s="1"/>
      <c r="R91" s="171"/>
      <c r="S91" s="171"/>
      <c r="T91" s="171"/>
      <c r="U91" s="171"/>
      <c r="V91" s="171"/>
      <c r="W91" s="171"/>
      <c r="X91" s="171"/>
      <c r="Y91" s="171"/>
      <c r="Z91" s="171"/>
      <c r="AA91" s="171"/>
      <c r="AB91" s="171"/>
      <c r="AC91" s="171"/>
      <c r="AD91" s="171"/>
      <c r="AE91" s="171"/>
      <c r="AF91" s="171"/>
      <c r="AG91" s="171"/>
      <c r="AH91" s="171"/>
      <c r="AI91" s="171"/>
      <c r="AJ91" s="171"/>
      <c r="AK91" s="171"/>
      <c r="AL91" s="171"/>
      <c r="AM91" s="171"/>
      <c r="AN91" s="171"/>
      <c r="AO91" s="171"/>
    </row>
    <row x14ac:dyDescent="0.25" r="92" customHeight="1" ht="18.75">
      <c r="A92" s="1"/>
      <c r="B92" s="1"/>
      <c r="C92" s="1"/>
      <c r="D92" s="169"/>
      <c r="E92" s="169"/>
      <c r="F92" s="170"/>
      <c r="G92" s="1"/>
      <c r="H92" s="1"/>
      <c r="I92" s="1"/>
      <c r="J92" s="1"/>
      <c r="K92" s="1"/>
      <c r="L92" s="1"/>
      <c r="M92" s="1"/>
      <c r="N92" s="1"/>
      <c r="O92" s="1"/>
      <c r="P92" s="24"/>
      <c r="Q92" s="1"/>
      <c r="R92" s="171"/>
      <c r="S92" s="171"/>
      <c r="T92" s="171"/>
      <c r="U92" s="171"/>
      <c r="V92" s="171"/>
      <c r="W92" s="171"/>
      <c r="X92" s="171"/>
      <c r="Y92" s="171"/>
      <c r="Z92" s="171"/>
      <c r="AA92" s="171"/>
      <c r="AB92" s="171"/>
      <c r="AC92" s="171"/>
      <c r="AD92" s="171"/>
      <c r="AE92" s="171"/>
      <c r="AF92" s="171"/>
      <c r="AG92" s="171"/>
      <c r="AH92" s="171"/>
      <c r="AI92" s="171"/>
      <c r="AJ92" s="171"/>
      <c r="AK92" s="171"/>
      <c r="AL92" s="171"/>
      <c r="AM92" s="171"/>
      <c r="AN92" s="171"/>
      <c r="AO92" s="171"/>
    </row>
    <row x14ac:dyDescent="0.25" r="93" customHeight="1" ht="18.75">
      <c r="A93" s="1"/>
      <c r="B93" s="1"/>
      <c r="C93" s="1"/>
      <c r="D93" s="169"/>
      <c r="E93" s="169"/>
      <c r="F93" s="170"/>
      <c r="G93" s="1"/>
      <c r="H93" s="1"/>
      <c r="I93" s="1"/>
      <c r="J93" s="1"/>
      <c r="K93" s="1"/>
      <c r="L93" s="1"/>
      <c r="M93" s="1"/>
      <c r="N93" s="1"/>
      <c r="O93" s="1"/>
      <c r="P93" s="24"/>
      <c r="Q93" s="1"/>
      <c r="R93" s="171"/>
      <c r="S93" s="171"/>
      <c r="T93" s="171"/>
      <c r="U93" s="171"/>
      <c r="V93" s="171"/>
      <c r="W93" s="171"/>
      <c r="X93" s="171"/>
      <c r="Y93" s="171"/>
      <c r="Z93" s="171"/>
      <c r="AA93" s="171"/>
      <c r="AB93" s="171"/>
      <c r="AC93" s="171"/>
      <c r="AD93" s="171"/>
      <c r="AE93" s="171"/>
      <c r="AF93" s="171"/>
      <c r="AG93" s="171"/>
      <c r="AH93" s="171"/>
      <c r="AI93" s="171"/>
      <c r="AJ93" s="171"/>
      <c r="AK93" s="171"/>
      <c r="AL93" s="171"/>
      <c r="AM93" s="171"/>
      <c r="AN93" s="171"/>
      <c r="AO93" s="171"/>
    </row>
    <row x14ac:dyDescent="0.25" r="94" customHeight="1" ht="18.75">
      <c r="A94" s="1"/>
      <c r="B94" s="1"/>
      <c r="C94" s="1"/>
      <c r="D94" s="169"/>
      <c r="E94" s="169"/>
      <c r="F94" s="170"/>
      <c r="G94" s="1"/>
      <c r="H94" s="1"/>
      <c r="I94" s="1"/>
      <c r="J94" s="1"/>
      <c r="K94" s="1"/>
      <c r="L94" s="1"/>
      <c r="M94" s="1"/>
      <c r="N94" s="1"/>
      <c r="O94" s="1"/>
      <c r="P94" s="24"/>
      <c r="Q94" s="1"/>
      <c r="R94" s="171"/>
      <c r="S94" s="171"/>
      <c r="T94" s="171"/>
      <c r="U94" s="171"/>
      <c r="V94" s="171"/>
      <c r="W94" s="171"/>
      <c r="X94" s="171"/>
      <c r="Y94" s="171"/>
      <c r="Z94" s="171"/>
      <c r="AA94" s="171"/>
      <c r="AB94" s="171"/>
      <c r="AC94" s="171"/>
      <c r="AD94" s="171"/>
      <c r="AE94" s="171"/>
      <c r="AF94" s="171"/>
      <c r="AG94" s="171"/>
      <c r="AH94" s="171"/>
      <c r="AI94" s="171"/>
      <c r="AJ94" s="171"/>
      <c r="AK94" s="171"/>
      <c r="AL94" s="171"/>
      <c r="AM94" s="171"/>
      <c r="AN94" s="171"/>
      <c r="AO94" s="171"/>
    </row>
    <row x14ac:dyDescent="0.25" r="95" customHeight="1" ht="18.75">
      <c r="A95" s="1"/>
      <c r="B95" s="1"/>
      <c r="C95" s="1"/>
      <c r="D95" s="169"/>
      <c r="E95" s="169"/>
      <c r="F95" s="170"/>
      <c r="G95" s="1"/>
      <c r="H95" s="1"/>
      <c r="I95" s="1"/>
      <c r="J95" s="1"/>
      <c r="K95" s="1"/>
      <c r="L95" s="1"/>
      <c r="M95" s="1"/>
      <c r="N95" s="1"/>
      <c r="O95" s="1"/>
      <c r="P95" s="24"/>
      <c r="Q95" s="1"/>
      <c r="R95" s="171"/>
      <c r="S95" s="171"/>
      <c r="T95" s="171"/>
      <c r="U95" s="171"/>
      <c r="V95" s="171"/>
      <c r="W95" s="171"/>
      <c r="X95" s="171"/>
      <c r="Y95" s="171"/>
      <c r="Z95" s="171"/>
      <c r="AA95" s="171"/>
      <c r="AB95" s="171"/>
      <c r="AC95" s="171"/>
      <c r="AD95" s="171"/>
      <c r="AE95" s="171"/>
      <c r="AF95" s="171"/>
      <c r="AG95" s="171"/>
      <c r="AH95" s="171"/>
      <c r="AI95" s="171"/>
      <c r="AJ95" s="171"/>
      <c r="AK95" s="171"/>
      <c r="AL95" s="171"/>
      <c r="AM95" s="171"/>
      <c r="AN95" s="171"/>
      <c r="AO95" s="171"/>
    </row>
    <row x14ac:dyDescent="0.25" r="96" customHeight="1" ht="18.75">
      <c r="A96" s="1"/>
      <c r="B96" s="1"/>
      <c r="C96" s="1"/>
      <c r="D96" s="169"/>
      <c r="E96" s="169"/>
      <c r="F96" s="170"/>
      <c r="G96" s="1"/>
      <c r="H96" s="1"/>
      <c r="I96" s="1"/>
      <c r="J96" s="1"/>
      <c r="K96" s="1"/>
      <c r="L96" s="1"/>
      <c r="M96" s="1"/>
      <c r="N96" s="1"/>
      <c r="O96" s="1"/>
      <c r="P96" s="24"/>
      <c r="Q96" s="1"/>
      <c r="R96" s="171"/>
      <c r="S96" s="171"/>
      <c r="T96" s="171"/>
      <c r="U96" s="171"/>
      <c r="V96" s="171"/>
      <c r="W96" s="171"/>
      <c r="X96" s="171"/>
      <c r="Y96" s="171"/>
      <c r="Z96" s="171"/>
      <c r="AA96" s="171"/>
      <c r="AB96" s="171"/>
      <c r="AC96" s="171"/>
      <c r="AD96" s="171"/>
      <c r="AE96" s="171"/>
      <c r="AF96" s="171"/>
      <c r="AG96" s="171"/>
      <c r="AH96" s="171"/>
      <c r="AI96" s="171"/>
      <c r="AJ96" s="171"/>
      <c r="AK96" s="171"/>
      <c r="AL96" s="171"/>
      <c r="AM96" s="171"/>
      <c r="AN96" s="171"/>
      <c r="AO96" s="171"/>
    </row>
    <row x14ac:dyDescent="0.25" r="97" customHeight="1" ht="18.75">
      <c r="A97" s="1"/>
      <c r="B97" s="1"/>
      <c r="C97" s="1"/>
      <c r="D97" s="169"/>
      <c r="E97" s="169"/>
      <c r="F97" s="170"/>
      <c r="G97" s="1"/>
      <c r="H97" s="1"/>
      <c r="I97" s="1"/>
      <c r="J97" s="1"/>
      <c r="K97" s="1"/>
      <c r="L97" s="1"/>
      <c r="M97" s="1"/>
      <c r="N97" s="1"/>
      <c r="O97" s="1"/>
      <c r="P97" s="24"/>
      <c r="Q97" s="1"/>
      <c r="R97" s="171"/>
      <c r="S97" s="171"/>
      <c r="T97" s="171"/>
      <c r="U97" s="171"/>
      <c r="V97" s="171"/>
      <c r="W97" s="171"/>
      <c r="X97" s="171"/>
      <c r="Y97" s="171"/>
      <c r="Z97" s="171"/>
      <c r="AA97" s="171"/>
      <c r="AB97" s="171"/>
      <c r="AC97" s="171"/>
      <c r="AD97" s="171"/>
      <c r="AE97" s="171"/>
      <c r="AF97" s="171"/>
      <c r="AG97" s="171"/>
      <c r="AH97" s="171"/>
      <c r="AI97" s="171"/>
      <c r="AJ97" s="171"/>
      <c r="AK97" s="171"/>
      <c r="AL97" s="171"/>
      <c r="AM97" s="171"/>
      <c r="AN97" s="171"/>
      <c r="AO97" s="171"/>
    </row>
    <row x14ac:dyDescent="0.25" r="98" customHeight="1" ht="18.75">
      <c r="A98" s="1"/>
      <c r="B98" s="1"/>
      <c r="C98" s="1"/>
      <c r="D98" s="169"/>
      <c r="E98" s="169"/>
      <c r="F98" s="170"/>
      <c r="G98" s="1"/>
      <c r="H98" s="1"/>
      <c r="I98" s="1"/>
      <c r="J98" s="1"/>
      <c r="K98" s="1"/>
      <c r="L98" s="1"/>
      <c r="M98" s="1"/>
      <c r="N98" s="1"/>
      <c r="O98" s="1"/>
      <c r="P98" s="24"/>
      <c r="Q98" s="1"/>
      <c r="R98" s="171"/>
      <c r="S98" s="171"/>
      <c r="T98" s="171"/>
      <c r="U98" s="171"/>
      <c r="V98" s="171"/>
      <c r="W98" s="171"/>
      <c r="X98" s="171"/>
      <c r="Y98" s="171"/>
      <c r="Z98" s="171"/>
      <c r="AA98" s="171"/>
      <c r="AB98" s="171"/>
      <c r="AC98" s="171"/>
      <c r="AD98" s="171"/>
      <c r="AE98" s="171"/>
      <c r="AF98" s="171"/>
      <c r="AG98" s="171"/>
      <c r="AH98" s="171"/>
      <c r="AI98" s="171"/>
      <c r="AJ98" s="171"/>
      <c r="AK98" s="171"/>
      <c r="AL98" s="171"/>
      <c r="AM98" s="171"/>
      <c r="AN98" s="171"/>
      <c r="AO98" s="171"/>
    </row>
    <row x14ac:dyDescent="0.25" r="99" customHeight="1" ht="14.65">
      <c r="A99" s="1"/>
      <c r="B99" s="1"/>
      <c r="C99" s="1"/>
      <c r="D99" s="169"/>
      <c r="E99" s="169"/>
      <c r="F99" s="170"/>
      <c r="G99" s="1"/>
      <c r="H99" s="1"/>
      <c r="I99" s="1"/>
      <c r="J99" s="1"/>
      <c r="K99" s="1"/>
      <c r="L99" s="1"/>
      <c r="M99" s="1"/>
      <c r="N99" s="1"/>
      <c r="O99" s="1"/>
      <c r="P99" s="24"/>
      <c r="Q99" s="1"/>
      <c r="R99" s="171"/>
      <c r="S99" s="171"/>
      <c r="T99" s="171"/>
      <c r="U99" s="171"/>
      <c r="V99" s="171"/>
      <c r="W99" s="171"/>
      <c r="X99" s="171"/>
      <c r="Y99" s="171"/>
      <c r="Z99" s="171"/>
      <c r="AA99" s="171"/>
      <c r="AB99" s="171"/>
      <c r="AC99" s="171"/>
      <c r="AD99" s="171"/>
      <c r="AE99" s="171"/>
      <c r="AF99" s="171"/>
      <c r="AG99" s="171"/>
      <c r="AH99" s="171"/>
      <c r="AI99" s="171"/>
      <c r="AJ99" s="171"/>
      <c r="AK99" s="171"/>
      <c r="AL99" s="171"/>
      <c r="AM99" s="171"/>
      <c r="AN99" s="171"/>
      <c r="AO99" s="171"/>
    </row>
    <row x14ac:dyDescent="0.25" r="100" customHeight="1" ht="14.65">
      <c r="A100" s="1"/>
      <c r="B100" s="1"/>
      <c r="C100" s="1"/>
      <c r="D100" s="169"/>
      <c r="E100" s="169"/>
      <c r="F100" s="170"/>
      <c r="G100" s="1"/>
      <c r="H100" s="1"/>
      <c r="I100" s="1"/>
      <c r="J100" s="1"/>
      <c r="K100" s="1"/>
      <c r="L100" s="1"/>
      <c r="M100" s="1"/>
      <c r="N100" s="1"/>
      <c r="O100" s="1"/>
      <c r="P100" s="24"/>
      <c r="Q100" s="1"/>
      <c r="R100" s="171"/>
      <c r="S100" s="171"/>
      <c r="T100" s="171"/>
      <c r="U100" s="171"/>
      <c r="V100" s="171"/>
      <c r="W100" s="171"/>
      <c r="X100" s="171"/>
      <c r="Y100" s="171"/>
      <c r="Z100" s="171"/>
      <c r="AA100" s="171"/>
      <c r="AB100" s="171"/>
      <c r="AC100" s="171"/>
      <c r="AD100" s="171"/>
      <c r="AE100" s="171"/>
      <c r="AF100" s="171"/>
      <c r="AG100" s="171"/>
      <c r="AH100" s="171"/>
      <c r="AI100" s="171"/>
      <c r="AJ100" s="171"/>
      <c r="AK100" s="171"/>
      <c r="AL100" s="171"/>
      <c r="AM100" s="171"/>
      <c r="AN100" s="171"/>
      <c r="AO100" s="171"/>
    </row>
    <row x14ac:dyDescent="0.25" r="101" customHeight="1" ht="14.65">
      <c r="A101" s="1"/>
      <c r="B101" s="1"/>
      <c r="C101" s="1"/>
      <c r="D101" s="169"/>
      <c r="E101" s="169"/>
      <c r="F101" s="170"/>
      <c r="G101" s="1"/>
      <c r="H101" s="1"/>
      <c r="I101" s="1"/>
      <c r="J101" s="1"/>
      <c r="K101" s="1"/>
      <c r="L101" s="1"/>
      <c r="M101" s="1"/>
      <c r="N101" s="1"/>
      <c r="O101" s="1"/>
      <c r="P101" s="24"/>
      <c r="Q101" s="1"/>
      <c r="R101" s="171"/>
      <c r="S101" s="171"/>
      <c r="T101" s="171"/>
      <c r="U101" s="171"/>
      <c r="V101" s="171"/>
      <c r="W101" s="171"/>
      <c r="X101" s="171"/>
      <c r="Y101" s="171"/>
      <c r="Z101" s="171"/>
      <c r="AA101" s="171"/>
      <c r="AB101" s="171"/>
      <c r="AC101" s="171"/>
      <c r="AD101" s="171"/>
      <c r="AE101" s="171"/>
      <c r="AF101" s="171"/>
      <c r="AG101" s="171"/>
      <c r="AH101" s="171"/>
      <c r="AI101" s="171"/>
      <c r="AJ101" s="171"/>
      <c r="AK101" s="171"/>
      <c r="AL101" s="171"/>
      <c r="AM101" s="171"/>
      <c r="AN101" s="171"/>
      <c r="AO101" s="171"/>
    </row>
    <row x14ac:dyDescent="0.25" r="102" customHeight="1" ht="14.65">
      <c r="A102" s="1"/>
      <c r="B102" s="1"/>
      <c r="C102" s="1"/>
      <c r="D102" s="169"/>
      <c r="E102" s="169"/>
      <c r="F102" s="170"/>
      <c r="G102" s="1"/>
      <c r="H102" s="1"/>
      <c r="I102" s="1"/>
      <c r="J102" s="1"/>
      <c r="K102" s="1"/>
      <c r="L102" s="1"/>
      <c r="M102" s="1"/>
      <c r="N102" s="1"/>
      <c r="O102" s="1"/>
      <c r="P102" s="24"/>
      <c r="Q102" s="1"/>
      <c r="R102" s="171"/>
      <c r="S102" s="171"/>
      <c r="T102" s="171"/>
      <c r="U102" s="171"/>
      <c r="V102" s="171"/>
      <c r="W102" s="171"/>
      <c r="X102" s="171"/>
      <c r="Y102" s="171"/>
      <c r="Z102" s="171"/>
      <c r="AA102" s="171"/>
      <c r="AB102" s="171"/>
      <c r="AC102" s="171"/>
      <c r="AD102" s="171"/>
      <c r="AE102" s="171"/>
      <c r="AF102" s="171"/>
      <c r="AG102" s="171"/>
      <c r="AH102" s="171"/>
      <c r="AI102" s="171"/>
      <c r="AJ102" s="171"/>
      <c r="AK102" s="171"/>
      <c r="AL102" s="171"/>
      <c r="AM102" s="171"/>
      <c r="AN102" s="171"/>
      <c r="AO102" s="171"/>
    </row>
    <row x14ac:dyDescent="0.25" r="103" customHeight="1" ht="14.65">
      <c r="A103" s="1"/>
      <c r="B103" s="1"/>
      <c r="C103" s="1"/>
      <c r="D103" s="169"/>
      <c r="E103" s="169"/>
      <c r="F103" s="170"/>
      <c r="G103" s="1"/>
      <c r="H103" s="1"/>
      <c r="I103" s="1"/>
      <c r="J103" s="1"/>
      <c r="K103" s="1"/>
      <c r="L103" s="1"/>
      <c r="M103" s="1"/>
      <c r="N103" s="1"/>
      <c r="O103" s="1"/>
      <c r="P103" s="24"/>
      <c r="Q103" s="1"/>
      <c r="R103" s="171"/>
      <c r="S103" s="171"/>
      <c r="T103" s="171"/>
      <c r="U103" s="171"/>
      <c r="V103" s="171"/>
      <c r="W103" s="171"/>
      <c r="X103" s="171"/>
      <c r="Y103" s="171"/>
      <c r="Z103" s="171"/>
      <c r="AA103" s="171"/>
      <c r="AB103" s="171"/>
      <c r="AC103" s="171"/>
      <c r="AD103" s="171"/>
      <c r="AE103" s="171"/>
      <c r="AF103" s="171"/>
      <c r="AG103" s="171"/>
      <c r="AH103" s="171"/>
      <c r="AI103" s="171"/>
      <c r="AJ103" s="171"/>
      <c r="AK103" s="171"/>
      <c r="AL103" s="171"/>
      <c r="AM103" s="171"/>
      <c r="AN103" s="171"/>
      <c r="AO103" s="171"/>
    </row>
    <row x14ac:dyDescent="0.25" r="104" customHeight="1" ht="14.65">
      <c r="A104" s="1"/>
      <c r="B104" s="1"/>
      <c r="C104" s="1"/>
      <c r="D104" s="169"/>
      <c r="E104" s="169"/>
      <c r="F104" s="170"/>
      <c r="G104" s="1"/>
      <c r="H104" s="1"/>
      <c r="I104" s="1"/>
      <c r="J104" s="1"/>
      <c r="K104" s="1"/>
      <c r="L104" s="1"/>
      <c r="M104" s="1"/>
      <c r="N104" s="1"/>
      <c r="O104" s="1"/>
      <c r="P104" s="24"/>
      <c r="Q104" s="1"/>
      <c r="R104" s="171"/>
      <c r="S104" s="171"/>
      <c r="T104" s="171"/>
      <c r="U104" s="171"/>
      <c r="V104" s="171"/>
      <c r="W104" s="171"/>
      <c r="X104" s="171"/>
      <c r="Y104" s="171"/>
      <c r="Z104" s="171"/>
      <c r="AA104" s="171"/>
      <c r="AB104" s="171"/>
      <c r="AC104" s="171"/>
      <c r="AD104" s="171"/>
      <c r="AE104" s="171"/>
      <c r="AF104" s="171"/>
      <c r="AG104" s="171"/>
      <c r="AH104" s="171"/>
      <c r="AI104" s="171"/>
      <c r="AJ104" s="171"/>
      <c r="AK104" s="171"/>
      <c r="AL104" s="171"/>
      <c r="AM104" s="171"/>
      <c r="AN104" s="171"/>
      <c r="AO104" s="171"/>
    </row>
    <row x14ac:dyDescent="0.25" r="105" customHeight="1" ht="14.65">
      <c r="A105" s="1"/>
      <c r="B105" s="1"/>
      <c r="C105" s="1"/>
      <c r="D105" s="169"/>
      <c r="E105" s="169"/>
      <c r="F105" s="170"/>
      <c r="G105" s="1"/>
      <c r="H105" s="1"/>
      <c r="I105" s="1"/>
      <c r="J105" s="1"/>
      <c r="K105" s="1"/>
      <c r="L105" s="1"/>
      <c r="M105" s="1"/>
      <c r="N105" s="1"/>
      <c r="O105" s="1"/>
      <c r="P105" s="24"/>
      <c r="Q105" s="1"/>
      <c r="R105" s="171"/>
      <c r="S105" s="171"/>
      <c r="T105" s="171"/>
      <c r="U105" s="171"/>
      <c r="V105" s="171"/>
      <c r="W105" s="171"/>
      <c r="X105" s="171"/>
      <c r="Y105" s="171"/>
      <c r="Z105" s="171"/>
      <c r="AA105" s="171"/>
      <c r="AB105" s="171"/>
      <c r="AC105" s="171"/>
      <c r="AD105" s="171"/>
      <c r="AE105" s="171"/>
      <c r="AF105" s="171"/>
      <c r="AG105" s="171"/>
      <c r="AH105" s="171"/>
      <c r="AI105" s="171"/>
      <c r="AJ105" s="171"/>
      <c r="AK105" s="171"/>
      <c r="AL105" s="171"/>
      <c r="AM105" s="171"/>
      <c r="AN105" s="171"/>
      <c r="AO105" s="171"/>
    </row>
    <row x14ac:dyDescent="0.25" r="106" customHeight="1" ht="14.65">
      <c r="A106" s="1"/>
      <c r="B106" s="1"/>
      <c r="C106" s="1"/>
      <c r="D106" s="169"/>
      <c r="E106" s="169"/>
      <c r="F106" s="170"/>
      <c r="G106" s="1"/>
      <c r="H106" s="1"/>
      <c r="I106" s="1"/>
      <c r="J106" s="1"/>
      <c r="K106" s="1"/>
      <c r="L106" s="1"/>
      <c r="M106" s="1"/>
      <c r="N106" s="1"/>
      <c r="O106" s="1"/>
      <c r="P106" s="24"/>
      <c r="Q106" s="1"/>
      <c r="R106" s="171"/>
      <c r="S106" s="171"/>
      <c r="T106" s="171"/>
      <c r="U106" s="171"/>
      <c r="V106" s="171"/>
      <c r="W106" s="171"/>
      <c r="X106" s="171"/>
      <c r="Y106" s="171"/>
      <c r="Z106" s="171"/>
      <c r="AA106" s="171"/>
      <c r="AB106" s="171"/>
      <c r="AC106" s="171"/>
      <c r="AD106" s="171"/>
      <c r="AE106" s="171"/>
      <c r="AF106" s="171"/>
      <c r="AG106" s="171"/>
      <c r="AH106" s="171"/>
      <c r="AI106" s="171"/>
      <c r="AJ106" s="171"/>
      <c r="AK106" s="171"/>
      <c r="AL106" s="171"/>
      <c r="AM106" s="171"/>
      <c r="AN106" s="171"/>
      <c r="AO106" s="171"/>
    </row>
    <row x14ac:dyDescent="0.25" r="107" customHeight="1" ht="14.65">
      <c r="A107" s="1"/>
      <c r="B107" s="1"/>
      <c r="C107" s="1"/>
      <c r="D107" s="169"/>
      <c r="E107" s="169"/>
      <c r="F107" s="170"/>
      <c r="G107" s="1"/>
      <c r="H107" s="1"/>
      <c r="I107" s="1"/>
      <c r="J107" s="1"/>
      <c r="K107" s="1"/>
      <c r="L107" s="1"/>
      <c r="M107" s="1"/>
      <c r="N107" s="1"/>
      <c r="O107" s="1"/>
      <c r="P107" s="24"/>
      <c r="Q107" s="1"/>
      <c r="R107" s="171"/>
      <c r="S107" s="171"/>
      <c r="T107" s="171"/>
      <c r="U107" s="171"/>
      <c r="V107" s="171"/>
      <c r="W107" s="171"/>
      <c r="X107" s="171"/>
      <c r="Y107" s="171"/>
      <c r="Z107" s="171"/>
      <c r="AA107" s="171"/>
      <c r="AB107" s="171"/>
      <c r="AC107" s="171"/>
      <c r="AD107" s="171"/>
      <c r="AE107" s="171"/>
      <c r="AF107" s="171"/>
      <c r="AG107" s="171"/>
      <c r="AH107" s="171"/>
      <c r="AI107" s="171"/>
      <c r="AJ107" s="171"/>
      <c r="AK107" s="171"/>
      <c r="AL107" s="171"/>
      <c r="AM107" s="171"/>
      <c r="AN107" s="171"/>
      <c r="AO107" s="171"/>
    </row>
    <row x14ac:dyDescent="0.25" r="108" customHeight="1" ht="14.65">
      <c r="A108" s="1"/>
      <c r="B108" s="1"/>
      <c r="C108" s="1"/>
      <c r="D108" s="169"/>
      <c r="E108" s="169"/>
      <c r="F108" s="170"/>
      <c r="G108" s="1"/>
      <c r="H108" s="1"/>
      <c r="I108" s="1"/>
      <c r="J108" s="1"/>
      <c r="K108" s="1"/>
      <c r="L108" s="1"/>
      <c r="M108" s="1"/>
      <c r="N108" s="1"/>
      <c r="O108" s="1"/>
      <c r="P108" s="24"/>
      <c r="Q108" s="1"/>
      <c r="R108" s="171"/>
      <c r="S108" s="171"/>
      <c r="T108" s="171"/>
      <c r="U108" s="171"/>
      <c r="V108" s="171"/>
      <c r="W108" s="171"/>
      <c r="X108" s="171"/>
      <c r="Y108" s="171"/>
      <c r="Z108" s="171"/>
      <c r="AA108" s="171"/>
      <c r="AB108" s="171"/>
      <c r="AC108" s="171"/>
      <c r="AD108" s="171"/>
      <c r="AE108" s="171"/>
      <c r="AF108" s="171"/>
      <c r="AG108" s="171"/>
      <c r="AH108" s="171"/>
      <c r="AI108" s="171"/>
      <c r="AJ108" s="171"/>
      <c r="AK108" s="171"/>
      <c r="AL108" s="171"/>
      <c r="AM108" s="171"/>
      <c r="AN108" s="171"/>
      <c r="AO108" s="171"/>
    </row>
    <row x14ac:dyDescent="0.25" r="109" customHeight="1" ht="15.6">
      <c r="A109" s="1"/>
      <c r="B109" s="1"/>
      <c r="C109" s="1"/>
      <c r="D109" s="169"/>
      <c r="E109" s="169"/>
      <c r="F109" s="170"/>
      <c r="G109" s="1"/>
      <c r="H109" s="1"/>
      <c r="I109" s="1"/>
      <c r="J109" s="1"/>
      <c r="K109" s="1"/>
      <c r="L109" s="1"/>
      <c r="M109" s="1"/>
      <c r="N109" s="1"/>
      <c r="O109" s="1"/>
      <c r="P109" s="24"/>
      <c r="Q109" s="1"/>
      <c r="R109" s="171"/>
      <c r="S109" s="171"/>
      <c r="T109" s="171"/>
      <c r="U109" s="171"/>
      <c r="V109" s="171"/>
      <c r="W109" s="171"/>
      <c r="X109" s="171"/>
      <c r="Y109" s="171"/>
      <c r="Z109" s="171"/>
      <c r="AA109" s="171"/>
      <c r="AB109" s="171"/>
      <c r="AC109" s="171"/>
      <c r="AD109" s="171"/>
      <c r="AE109" s="171"/>
      <c r="AF109" s="171"/>
      <c r="AG109" s="171"/>
      <c r="AH109" s="171"/>
      <c r="AI109" s="171"/>
      <c r="AJ109" s="171"/>
      <c r="AK109" s="171"/>
      <c r="AL109" s="171"/>
      <c r="AM109" s="171"/>
      <c r="AN109" s="171"/>
      <c r="AO109" s="171"/>
    </row>
    <row x14ac:dyDescent="0.25" r="110" customHeight="1" ht="15.6">
      <c r="A110" s="1"/>
      <c r="B110" s="1"/>
      <c r="C110" s="1"/>
      <c r="D110" s="169"/>
      <c r="E110" s="169"/>
      <c r="F110" s="170"/>
      <c r="G110" s="1"/>
      <c r="H110" s="1"/>
      <c r="I110" s="1"/>
      <c r="J110" s="1"/>
      <c r="K110" s="1"/>
      <c r="L110" s="1"/>
      <c r="M110" s="1"/>
      <c r="N110" s="1"/>
      <c r="O110" s="1"/>
      <c r="P110" s="24"/>
      <c r="Q110" s="1"/>
      <c r="R110" s="171"/>
      <c r="S110" s="171"/>
      <c r="T110" s="171"/>
      <c r="U110" s="171"/>
      <c r="V110" s="171"/>
      <c r="W110" s="171"/>
      <c r="X110" s="171"/>
      <c r="Y110" s="171"/>
      <c r="Z110" s="171"/>
      <c r="AA110" s="171"/>
      <c r="AB110" s="171"/>
      <c r="AC110" s="171"/>
      <c r="AD110" s="171"/>
      <c r="AE110" s="171"/>
      <c r="AF110" s="171"/>
      <c r="AG110" s="171"/>
      <c r="AH110" s="171"/>
      <c r="AI110" s="171"/>
      <c r="AJ110" s="171"/>
      <c r="AK110" s="171"/>
      <c r="AL110" s="171"/>
      <c r="AM110" s="171"/>
      <c r="AN110" s="171"/>
      <c r="AO110" s="171"/>
    </row>
    <row x14ac:dyDescent="0.25" r="111" customHeight="1" ht="15.6">
      <c r="A111" s="1"/>
      <c r="B111" s="1"/>
      <c r="C111" s="1"/>
      <c r="D111" s="169"/>
      <c r="E111" s="169"/>
      <c r="F111" s="170"/>
      <c r="G111" s="1"/>
      <c r="H111" s="1"/>
      <c r="I111" s="1"/>
      <c r="J111" s="1"/>
      <c r="K111" s="1"/>
      <c r="L111" s="1"/>
      <c r="M111" s="1"/>
      <c r="N111" s="1"/>
      <c r="O111" s="1"/>
      <c r="P111" s="24"/>
      <c r="Q111" s="1"/>
      <c r="R111" s="171"/>
      <c r="S111" s="171"/>
      <c r="T111" s="171"/>
      <c r="U111" s="171"/>
      <c r="V111" s="171"/>
      <c r="W111" s="171"/>
      <c r="X111" s="171"/>
      <c r="Y111" s="171"/>
      <c r="Z111" s="171"/>
      <c r="AA111" s="171"/>
      <c r="AB111" s="171"/>
      <c r="AC111" s="171"/>
      <c r="AD111" s="171"/>
      <c r="AE111" s="171"/>
      <c r="AF111" s="171"/>
      <c r="AG111" s="171"/>
      <c r="AH111" s="171"/>
      <c r="AI111" s="171"/>
      <c r="AJ111" s="171"/>
      <c r="AK111" s="171"/>
      <c r="AL111" s="171"/>
      <c r="AM111" s="171"/>
      <c r="AN111" s="171"/>
      <c r="AO111" s="171"/>
    </row>
    <row x14ac:dyDescent="0.25" r="112" customHeight="1" ht="15.6">
      <c r="A112" s="1"/>
      <c r="B112" s="1"/>
      <c r="C112" s="1"/>
      <c r="D112" s="169"/>
      <c r="E112" s="169"/>
      <c r="F112" s="170"/>
      <c r="G112" s="1"/>
      <c r="H112" s="1"/>
      <c r="I112" s="1"/>
      <c r="J112" s="1"/>
      <c r="K112" s="1"/>
      <c r="L112" s="1"/>
      <c r="M112" s="1"/>
      <c r="N112" s="1"/>
      <c r="O112" s="1"/>
      <c r="P112" s="24"/>
      <c r="Q112" s="1"/>
      <c r="R112" s="171"/>
      <c r="S112" s="171"/>
      <c r="T112" s="171"/>
      <c r="U112" s="171"/>
      <c r="V112" s="171"/>
      <c r="W112" s="171"/>
      <c r="X112" s="171"/>
      <c r="Y112" s="171"/>
      <c r="Z112" s="171"/>
      <c r="AA112" s="171"/>
      <c r="AB112" s="171"/>
      <c r="AC112" s="171"/>
      <c r="AD112" s="171"/>
      <c r="AE112" s="171"/>
      <c r="AF112" s="171"/>
      <c r="AG112" s="171"/>
      <c r="AH112" s="171"/>
      <c r="AI112" s="171"/>
      <c r="AJ112" s="171"/>
      <c r="AK112" s="171"/>
      <c r="AL112" s="171"/>
      <c r="AM112" s="171"/>
      <c r="AN112" s="171"/>
      <c r="AO112" s="171"/>
    </row>
    <row x14ac:dyDescent="0.25" r="113" customHeight="1" ht="18.75">
      <c r="A113" s="1"/>
      <c r="B113" s="1"/>
      <c r="C113" s="1"/>
      <c r="D113" s="169"/>
      <c r="E113" s="169"/>
      <c r="F113" s="170"/>
      <c r="G113" s="1"/>
      <c r="H113" s="1"/>
      <c r="I113" s="1"/>
      <c r="J113" s="1"/>
      <c r="K113" s="1"/>
      <c r="L113" s="1"/>
      <c r="M113" s="1"/>
      <c r="N113" s="1"/>
      <c r="O113" s="1"/>
      <c r="P113" s="24"/>
      <c r="Q113" s="1"/>
      <c r="R113" s="171"/>
      <c r="S113" s="171"/>
      <c r="T113" s="171"/>
      <c r="U113" s="171"/>
      <c r="V113" s="171"/>
      <c r="W113" s="171"/>
      <c r="X113" s="171"/>
      <c r="Y113" s="171"/>
      <c r="Z113" s="171"/>
      <c r="AA113" s="171"/>
      <c r="AB113" s="171"/>
      <c r="AC113" s="171"/>
      <c r="AD113" s="171"/>
      <c r="AE113" s="171"/>
      <c r="AF113" s="171"/>
      <c r="AG113" s="171"/>
      <c r="AH113" s="171"/>
      <c r="AI113" s="171"/>
      <c r="AJ113" s="171"/>
      <c r="AK113" s="171"/>
      <c r="AL113" s="171"/>
      <c r="AM113" s="171"/>
      <c r="AN113" s="171"/>
      <c r="AO113" s="171"/>
    </row>
    <row x14ac:dyDescent="0.25" r="114" customHeight="1" ht="18.75">
      <c r="A114" s="1"/>
      <c r="B114" s="1"/>
      <c r="C114" s="1"/>
      <c r="D114" s="169"/>
      <c r="E114" s="169"/>
      <c r="F114" s="170"/>
      <c r="G114" s="1"/>
      <c r="H114" s="1"/>
      <c r="I114" s="1"/>
      <c r="J114" s="1"/>
      <c r="K114" s="1"/>
      <c r="L114" s="1"/>
      <c r="M114" s="1"/>
      <c r="N114" s="1"/>
      <c r="O114" s="1"/>
      <c r="P114" s="24"/>
      <c r="Q114" s="1"/>
      <c r="R114" s="171"/>
      <c r="S114" s="171"/>
      <c r="T114" s="171"/>
      <c r="U114" s="171"/>
      <c r="V114" s="171"/>
      <c r="W114" s="171"/>
      <c r="X114" s="171"/>
      <c r="Y114" s="171"/>
      <c r="Z114" s="171"/>
      <c r="AA114" s="171"/>
      <c r="AB114" s="171"/>
      <c r="AC114" s="171"/>
      <c r="AD114" s="171"/>
      <c r="AE114" s="171"/>
      <c r="AF114" s="171"/>
      <c r="AG114" s="171"/>
      <c r="AH114" s="171"/>
      <c r="AI114" s="171"/>
      <c r="AJ114" s="171"/>
      <c r="AK114" s="171"/>
      <c r="AL114" s="171"/>
      <c r="AM114" s="171"/>
      <c r="AN114" s="171"/>
      <c r="AO114" s="171"/>
    </row>
    <row x14ac:dyDescent="0.25" r="115" customHeight="1" ht="18.75">
      <c r="A115" s="1"/>
      <c r="B115" s="1"/>
      <c r="C115" s="1"/>
      <c r="D115" s="169"/>
      <c r="E115" s="169"/>
      <c r="F115" s="170"/>
      <c r="G115" s="1"/>
      <c r="H115" s="1"/>
      <c r="I115" s="1"/>
      <c r="J115" s="1"/>
      <c r="K115" s="1"/>
      <c r="L115" s="1"/>
      <c r="M115" s="1"/>
      <c r="N115" s="1"/>
      <c r="O115" s="1"/>
      <c r="P115" s="24"/>
      <c r="Q115" s="1"/>
      <c r="R115" s="171"/>
      <c r="S115" s="171"/>
      <c r="T115" s="171"/>
      <c r="U115" s="171"/>
      <c r="V115" s="171"/>
      <c r="W115" s="171"/>
      <c r="X115" s="171"/>
      <c r="Y115" s="171"/>
      <c r="Z115" s="171"/>
      <c r="AA115" s="171"/>
      <c r="AB115" s="171"/>
      <c r="AC115" s="171"/>
      <c r="AD115" s="171"/>
      <c r="AE115" s="171"/>
      <c r="AF115" s="171"/>
      <c r="AG115" s="171"/>
      <c r="AH115" s="171"/>
      <c r="AI115" s="171"/>
      <c r="AJ115" s="171"/>
      <c r="AK115" s="171"/>
      <c r="AL115" s="171"/>
      <c r="AM115" s="171"/>
      <c r="AN115" s="171"/>
      <c r="AO115" s="171"/>
    </row>
    <row x14ac:dyDescent="0.25" r="116" customHeight="1" ht="18.75">
      <c r="A116" s="1"/>
      <c r="B116" s="1"/>
      <c r="C116" s="1"/>
      <c r="D116" s="169"/>
      <c r="E116" s="169"/>
      <c r="F116" s="170"/>
      <c r="G116" s="1"/>
      <c r="H116" s="1"/>
      <c r="I116" s="1"/>
      <c r="J116" s="1"/>
      <c r="K116" s="1"/>
      <c r="L116" s="1"/>
      <c r="M116" s="1"/>
      <c r="N116" s="1"/>
      <c r="O116" s="1"/>
      <c r="P116" s="24"/>
      <c r="Q116" s="1"/>
      <c r="R116" s="171"/>
      <c r="S116" s="171"/>
      <c r="T116" s="171"/>
      <c r="U116" s="171"/>
      <c r="V116" s="171"/>
      <c r="W116" s="171"/>
      <c r="X116" s="171"/>
      <c r="Y116" s="171"/>
      <c r="Z116" s="171"/>
      <c r="AA116" s="171"/>
      <c r="AB116" s="171"/>
      <c r="AC116" s="171"/>
      <c r="AD116" s="171"/>
      <c r="AE116" s="171"/>
      <c r="AF116" s="171"/>
      <c r="AG116" s="171"/>
      <c r="AH116" s="171"/>
      <c r="AI116" s="171"/>
      <c r="AJ116" s="171"/>
      <c r="AK116" s="171"/>
      <c r="AL116" s="171"/>
      <c r="AM116" s="171"/>
      <c r="AN116" s="171"/>
      <c r="AO116" s="171"/>
    </row>
    <row x14ac:dyDescent="0.25" r="117" customHeight="1" ht="18.75">
      <c r="A117" s="1"/>
      <c r="B117" s="1"/>
      <c r="C117" s="1"/>
      <c r="D117" s="169"/>
      <c r="E117" s="169"/>
      <c r="F117" s="170"/>
      <c r="G117" s="1"/>
      <c r="H117" s="1"/>
      <c r="I117" s="1"/>
      <c r="J117" s="1"/>
      <c r="K117" s="1"/>
      <c r="L117" s="1"/>
      <c r="M117" s="1"/>
      <c r="N117" s="1"/>
      <c r="O117" s="1"/>
      <c r="P117" s="24"/>
      <c r="Q117" s="1"/>
      <c r="R117" s="171"/>
      <c r="S117" s="171"/>
      <c r="T117" s="171"/>
      <c r="U117" s="171"/>
      <c r="V117" s="171"/>
      <c r="W117" s="171"/>
      <c r="X117" s="171"/>
      <c r="Y117" s="171"/>
      <c r="Z117" s="171"/>
      <c r="AA117" s="171"/>
      <c r="AB117" s="171"/>
      <c r="AC117" s="171"/>
      <c r="AD117" s="171"/>
      <c r="AE117" s="171"/>
      <c r="AF117" s="171"/>
      <c r="AG117" s="171"/>
      <c r="AH117" s="171"/>
      <c r="AI117" s="171"/>
      <c r="AJ117" s="171"/>
      <c r="AK117" s="171"/>
      <c r="AL117" s="171"/>
      <c r="AM117" s="171"/>
      <c r="AN117" s="171"/>
      <c r="AO117" s="171"/>
    </row>
    <row x14ac:dyDescent="0.25" r="118" customHeight="1" ht="18.75">
      <c r="A118" s="1"/>
      <c r="B118" s="1"/>
      <c r="C118" s="1"/>
      <c r="D118" s="169"/>
      <c r="E118" s="169"/>
      <c r="F118" s="170"/>
      <c r="G118" s="1"/>
      <c r="H118" s="1"/>
      <c r="I118" s="1"/>
      <c r="J118" s="1"/>
      <c r="K118" s="1"/>
      <c r="L118" s="1"/>
      <c r="M118" s="1"/>
      <c r="N118" s="1"/>
      <c r="O118" s="1"/>
      <c r="P118" s="24"/>
      <c r="Q118" s="1"/>
      <c r="R118" s="171"/>
      <c r="S118" s="171"/>
      <c r="T118" s="171"/>
      <c r="U118" s="171"/>
      <c r="V118" s="171"/>
      <c r="W118" s="171"/>
      <c r="X118" s="171"/>
      <c r="Y118" s="171"/>
      <c r="Z118" s="171"/>
      <c r="AA118" s="171"/>
      <c r="AB118" s="171"/>
      <c r="AC118" s="171"/>
      <c r="AD118" s="171"/>
      <c r="AE118" s="171"/>
      <c r="AF118" s="171"/>
      <c r="AG118" s="171"/>
      <c r="AH118" s="171"/>
      <c r="AI118" s="171"/>
      <c r="AJ118" s="171"/>
      <c r="AK118" s="171"/>
      <c r="AL118" s="171"/>
      <c r="AM118" s="171"/>
      <c r="AN118" s="171"/>
      <c r="AO118" s="171"/>
    </row>
    <row x14ac:dyDescent="0.25" r="119" customHeight="1" ht="18.75">
      <c r="A119" s="1"/>
      <c r="B119" s="1"/>
      <c r="C119" s="1"/>
      <c r="D119" s="169"/>
      <c r="E119" s="169"/>
      <c r="F119" s="170"/>
      <c r="G119" s="1"/>
      <c r="H119" s="1"/>
      <c r="I119" s="1"/>
      <c r="J119" s="1"/>
      <c r="K119" s="1"/>
      <c r="L119" s="1"/>
      <c r="M119" s="1"/>
      <c r="N119" s="1"/>
      <c r="O119" s="1"/>
      <c r="P119" s="24"/>
      <c r="Q119" s="1"/>
      <c r="R119" s="171"/>
      <c r="S119" s="171"/>
      <c r="T119" s="171"/>
      <c r="U119" s="171"/>
      <c r="V119" s="171"/>
      <c r="W119" s="171"/>
      <c r="X119" s="171"/>
      <c r="Y119" s="171"/>
      <c r="Z119" s="171"/>
      <c r="AA119" s="171"/>
      <c r="AB119" s="171"/>
      <c r="AC119" s="171"/>
      <c r="AD119" s="171"/>
      <c r="AE119" s="171"/>
      <c r="AF119" s="171"/>
      <c r="AG119" s="171"/>
      <c r="AH119" s="171"/>
      <c r="AI119" s="171"/>
      <c r="AJ119" s="171"/>
      <c r="AK119" s="171"/>
      <c r="AL119" s="171"/>
      <c r="AM119" s="171"/>
      <c r="AN119" s="171"/>
      <c r="AO119" s="171"/>
    </row>
    <row x14ac:dyDescent="0.25" r="120" customHeight="1" ht="18.75">
      <c r="A120" s="1"/>
      <c r="B120" s="1"/>
      <c r="C120" s="1"/>
      <c r="D120" s="169"/>
      <c r="E120" s="169"/>
      <c r="F120" s="170"/>
      <c r="G120" s="1"/>
      <c r="H120" s="1"/>
      <c r="I120" s="1"/>
      <c r="J120" s="1"/>
      <c r="K120" s="1"/>
      <c r="L120" s="1"/>
      <c r="M120" s="1"/>
      <c r="N120" s="1"/>
      <c r="O120" s="1"/>
      <c r="P120" s="24"/>
      <c r="Q120" s="1"/>
      <c r="R120" s="171"/>
      <c r="S120" s="171"/>
      <c r="T120" s="171"/>
      <c r="U120" s="171"/>
      <c r="V120" s="171"/>
      <c r="W120" s="171"/>
      <c r="X120" s="171"/>
      <c r="Y120" s="171"/>
      <c r="Z120" s="171"/>
      <c r="AA120" s="171"/>
      <c r="AB120" s="171"/>
      <c r="AC120" s="171"/>
      <c r="AD120" s="171"/>
      <c r="AE120" s="171"/>
      <c r="AF120" s="171"/>
      <c r="AG120" s="171"/>
      <c r="AH120" s="171"/>
      <c r="AI120" s="171"/>
      <c r="AJ120" s="171"/>
      <c r="AK120" s="171"/>
      <c r="AL120" s="171"/>
      <c r="AM120" s="171"/>
      <c r="AN120" s="171"/>
      <c r="AO120" s="171"/>
    </row>
    <row x14ac:dyDescent="0.25" r="121" customHeight="1" ht="18.75">
      <c r="A121" s="1"/>
      <c r="B121" s="1"/>
      <c r="C121" s="1"/>
      <c r="D121" s="169"/>
      <c r="E121" s="169"/>
      <c r="F121" s="170"/>
      <c r="G121" s="1"/>
      <c r="H121" s="1"/>
      <c r="I121" s="1"/>
      <c r="J121" s="1"/>
      <c r="K121" s="1"/>
      <c r="L121" s="1"/>
      <c r="M121" s="1"/>
      <c r="N121" s="1"/>
      <c r="O121" s="1"/>
      <c r="P121" s="24"/>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row>
    <row x14ac:dyDescent="0.25" r="122" customHeight="1" ht="18.75">
      <c r="A122" s="1"/>
      <c r="B122" s="1"/>
      <c r="C122" s="1"/>
      <c r="D122" s="169"/>
      <c r="E122" s="169"/>
      <c r="F122" s="170"/>
      <c r="G122" s="1"/>
      <c r="H122" s="1"/>
      <c r="I122" s="1"/>
      <c r="J122" s="1"/>
      <c r="K122" s="1"/>
      <c r="L122" s="1"/>
      <c r="M122" s="1"/>
      <c r="N122" s="1"/>
      <c r="O122" s="1"/>
      <c r="P122" s="24"/>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row>
    <row x14ac:dyDescent="0.25" r="123" customHeight="1" ht="18.75">
      <c r="A123" s="1"/>
      <c r="B123" s="1"/>
      <c r="C123" s="1"/>
      <c r="D123" s="169"/>
      <c r="E123" s="169"/>
      <c r="F123" s="170"/>
      <c r="G123" s="1"/>
      <c r="H123" s="1"/>
      <c r="I123" s="1"/>
      <c r="J123" s="1"/>
      <c r="K123" s="1"/>
      <c r="L123" s="1"/>
      <c r="M123" s="1"/>
      <c r="N123" s="1"/>
      <c r="O123" s="1"/>
      <c r="P123" s="24"/>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row>
    <row x14ac:dyDescent="0.25" r="124" customHeight="1" ht="18.75">
      <c r="A124" s="1"/>
      <c r="B124" s="1"/>
      <c r="C124" s="1"/>
      <c r="D124" s="169"/>
      <c r="E124" s="169"/>
      <c r="F124" s="170"/>
      <c r="G124" s="1"/>
      <c r="H124" s="1"/>
      <c r="I124" s="1"/>
      <c r="J124" s="1"/>
      <c r="K124" s="1"/>
      <c r="L124" s="1"/>
      <c r="M124" s="1"/>
      <c r="N124" s="1"/>
      <c r="O124" s="1"/>
      <c r="P124" s="24"/>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row>
    <row x14ac:dyDescent="0.25" r="125" customHeight="1" ht="18.75">
      <c r="A125" s="1"/>
      <c r="B125" s="1"/>
      <c r="C125" s="1"/>
      <c r="D125" s="169"/>
      <c r="E125" s="169"/>
      <c r="F125" s="170"/>
      <c r="G125" s="1"/>
      <c r="H125" s="1"/>
      <c r="I125" s="1"/>
      <c r="J125" s="1"/>
      <c r="K125" s="1"/>
      <c r="L125" s="1"/>
      <c r="M125" s="1"/>
      <c r="N125" s="1"/>
      <c r="O125" s="1"/>
      <c r="P125" s="24"/>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row>
    <row x14ac:dyDescent="0.25" r="126" customHeight="1" ht="18.75">
      <c r="A126" s="1"/>
      <c r="B126" s="1"/>
      <c r="C126" s="1"/>
      <c r="D126" s="169"/>
      <c r="E126" s="169"/>
      <c r="F126" s="170"/>
      <c r="G126" s="1"/>
      <c r="H126" s="1"/>
      <c r="I126" s="1"/>
      <c r="J126" s="1"/>
      <c r="K126" s="1"/>
      <c r="L126" s="1"/>
      <c r="M126" s="1"/>
      <c r="N126" s="1"/>
      <c r="O126" s="1"/>
      <c r="P126" s="24"/>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row>
    <row x14ac:dyDescent="0.25" r="127" customHeight="1" ht="18.75">
      <c r="A127" s="1"/>
      <c r="B127" s="1"/>
      <c r="C127" s="1"/>
      <c r="D127" s="169"/>
      <c r="E127" s="169"/>
      <c r="F127" s="170"/>
      <c r="G127" s="1"/>
      <c r="H127" s="1"/>
      <c r="I127" s="1"/>
      <c r="J127" s="1"/>
      <c r="K127" s="1"/>
      <c r="L127" s="1"/>
      <c r="M127" s="1"/>
      <c r="N127" s="1"/>
      <c r="O127" s="1"/>
      <c r="P127" s="24"/>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row>
    <row x14ac:dyDescent="0.25" r="128" customHeight="1" ht="18.75">
      <c r="A128" s="1"/>
      <c r="B128" s="1"/>
      <c r="C128" s="1"/>
      <c r="D128" s="169"/>
      <c r="E128" s="169"/>
      <c r="F128" s="170"/>
      <c r="G128" s="1"/>
      <c r="H128" s="1"/>
      <c r="I128" s="1"/>
      <c r="J128" s="1"/>
      <c r="K128" s="1"/>
      <c r="L128" s="1"/>
      <c r="M128" s="1"/>
      <c r="N128" s="1"/>
      <c r="O128" s="1"/>
      <c r="P128" s="24"/>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row>
    <row x14ac:dyDescent="0.25" r="129" customHeight="1" ht="18.75">
      <c r="A129" s="1"/>
      <c r="B129" s="1"/>
      <c r="C129" s="1"/>
      <c r="D129" s="169"/>
      <c r="E129" s="169"/>
      <c r="F129" s="170"/>
      <c r="G129" s="1"/>
      <c r="H129" s="1"/>
      <c r="I129" s="1"/>
      <c r="J129" s="1"/>
      <c r="K129" s="1"/>
      <c r="L129" s="1"/>
      <c r="M129" s="1"/>
      <c r="N129" s="1"/>
      <c r="O129" s="1"/>
      <c r="P129" s="24"/>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row>
    <row x14ac:dyDescent="0.25" r="130" customHeight="1" ht="18.75">
      <c r="A130" s="1"/>
      <c r="B130" s="1"/>
      <c r="C130" s="1"/>
      <c r="D130" s="169"/>
      <c r="E130" s="169"/>
      <c r="F130" s="170"/>
      <c r="G130" s="1"/>
      <c r="H130" s="1"/>
      <c r="I130" s="1"/>
      <c r="J130" s="1"/>
      <c r="K130" s="1"/>
      <c r="L130" s="1"/>
      <c r="M130" s="1"/>
      <c r="N130" s="1"/>
      <c r="O130" s="1"/>
      <c r="P130" s="24"/>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row>
    <row x14ac:dyDescent="0.25" r="131" customHeight="1" ht="18.75">
      <c r="A131" s="1"/>
      <c r="B131" s="1"/>
      <c r="C131" s="1"/>
      <c r="D131" s="169"/>
      <c r="E131" s="169"/>
      <c r="F131" s="170"/>
      <c r="G131" s="1"/>
      <c r="H131" s="1"/>
      <c r="I131" s="1"/>
      <c r="J131" s="1"/>
      <c r="K131" s="1"/>
      <c r="L131" s="1"/>
      <c r="M131" s="1"/>
      <c r="N131" s="1"/>
      <c r="O131" s="1"/>
      <c r="P131" s="24"/>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row>
    <row x14ac:dyDescent="0.25" r="132" customHeight="1" ht="18.75">
      <c r="A132" s="1"/>
      <c r="B132" s="1"/>
      <c r="C132" s="1"/>
      <c r="D132" s="169"/>
      <c r="E132" s="169"/>
      <c r="F132" s="170"/>
      <c r="G132" s="1"/>
      <c r="H132" s="1"/>
      <c r="I132" s="1"/>
      <c r="J132" s="1"/>
      <c r="K132" s="1"/>
      <c r="L132" s="1"/>
      <c r="M132" s="1"/>
      <c r="N132" s="1"/>
      <c r="O132" s="1"/>
      <c r="P132" s="24"/>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row>
  </sheetData>
  <mergeCells count="9">
    <mergeCell ref="D2:F2"/>
    <mergeCell ref="E5:F5"/>
    <mergeCell ref="E7:F7"/>
    <mergeCell ref="E11:F11"/>
    <mergeCell ref="E13:F13"/>
    <mergeCell ref="E15:F15"/>
    <mergeCell ref="D17:F17"/>
    <mergeCell ref="E18:F18"/>
    <mergeCell ref="E19:F1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EP124"/>
  <sheetViews>
    <sheetView workbookViewId="0"/>
  </sheetViews>
  <sheetFormatPr defaultRowHeight="15" x14ac:dyDescent="0.25"/>
  <cols>
    <col min="1" max="1" style="163" width="13.576428571428572" customWidth="1" bestFit="1"/>
    <col min="2" max="2" style="352" width="13.576428571428572" customWidth="1" bestFit="1"/>
    <col min="3" max="3" style="1138" width="13.290714285714287" customWidth="1" bestFit="1"/>
    <col min="4" max="4" style="1138" width="13.576428571428572" customWidth="1" bestFit="1"/>
    <col min="5" max="5" style="1138" width="15.290714285714287" customWidth="1" bestFit="1"/>
    <col min="6" max="6" style="1139" width="12.290714285714287" customWidth="1" bestFit="1"/>
    <col min="7" max="7" style="1139" width="13.576428571428572" customWidth="1" bestFit="1"/>
    <col min="8" max="8" style="1139" width="13.576428571428572" customWidth="1" bestFit="1"/>
    <col min="9" max="9" style="1139" width="13.576428571428572" customWidth="1" bestFit="1"/>
    <col min="10" max="10" style="165" width="13.576428571428572" customWidth="1" bestFit="1"/>
    <col min="11" max="11" style="165" width="13.576428571428572" customWidth="1" bestFit="1"/>
    <col min="12" max="12" style="165" width="13.576428571428572" customWidth="1" bestFit="1"/>
    <col min="13" max="13" style="165" width="13.576428571428572" customWidth="1" bestFit="1"/>
    <col min="14" max="14" style="165" width="13.576428571428572" customWidth="1" bestFit="1"/>
    <col min="15" max="15" style="165" width="13.576428571428572" customWidth="1" bestFit="1"/>
    <col min="16" max="16" style="165" width="13.576428571428572" customWidth="1" bestFit="1"/>
    <col min="17" max="17" style="165" width="13.576428571428572" customWidth="1" bestFit="1"/>
    <col min="18" max="18" style="165" width="13.576428571428572" customWidth="1" bestFit="1"/>
    <col min="19" max="19" style="165" width="13.576428571428572" customWidth="1" bestFit="1"/>
    <col min="20" max="20" style="165" width="13.576428571428572" customWidth="1" bestFit="1"/>
    <col min="21" max="21" style="165" width="13.576428571428572" customWidth="1" bestFit="1"/>
    <col min="22" max="22" style="165" width="13.576428571428572" customWidth="1" bestFit="1"/>
    <col min="23" max="23" style="165" width="13.576428571428572" customWidth="1" bestFit="1"/>
    <col min="24" max="24" style="165" width="13.576428571428572" customWidth="1" bestFit="1"/>
    <col min="25" max="25" style="164" width="13.576428571428572" customWidth="1" bestFit="1"/>
    <col min="26" max="26" style="164" width="13.576428571428572" customWidth="1" bestFit="1"/>
    <col min="27" max="27" style="164" width="13.576428571428572" customWidth="1" bestFit="1"/>
    <col min="28" max="28" style="164" width="13.576428571428572" customWidth="1" bestFit="1"/>
    <col min="29" max="29" style="164" width="13.576428571428572" customWidth="1" bestFit="1"/>
    <col min="30" max="30" style="164" width="13.576428571428572" customWidth="1" bestFit="1"/>
    <col min="31" max="31" style="164" width="13.576428571428572" customWidth="1" bestFit="1"/>
    <col min="32" max="32" style="164" width="13.576428571428572" customWidth="1" bestFit="1"/>
    <col min="33" max="33" style="164" width="13.576428571428572" customWidth="1" bestFit="1"/>
    <col min="34" max="34" style="164" width="13.576428571428572" customWidth="1" bestFit="1"/>
    <col min="35" max="35" style="164" width="13.576428571428572" customWidth="1" bestFit="1"/>
    <col min="36" max="36" style="164" width="13.576428571428572" customWidth="1" bestFit="1"/>
    <col min="37" max="37" style="164" width="13.576428571428572" customWidth="1" bestFit="1"/>
    <col min="38" max="38" style="164" width="13.576428571428572" customWidth="1" bestFit="1"/>
    <col min="39" max="39" style="164" width="13.576428571428572" customWidth="1" bestFit="1"/>
    <col min="40" max="40" style="164" width="13.576428571428572" customWidth="1" bestFit="1"/>
    <col min="41" max="41" style="164" width="13.576428571428572" customWidth="1" bestFit="1"/>
    <col min="42" max="42" style="164" width="13.576428571428572" customWidth="1" bestFit="1"/>
    <col min="43" max="43" style="164" width="13.576428571428572" customWidth="1" bestFit="1"/>
    <col min="44" max="44" style="164" width="13.576428571428572" customWidth="1" bestFit="1"/>
    <col min="45" max="45" style="164" width="13.576428571428572" customWidth="1" bestFit="1"/>
    <col min="46" max="46" style="164" width="13.576428571428572" customWidth="1" bestFit="1"/>
    <col min="47" max="47" style="164" width="13.576428571428572" customWidth="1" bestFit="1"/>
    <col min="48" max="48" style="164" width="13.576428571428572" customWidth="1" bestFit="1"/>
    <col min="49" max="49" style="164" width="13.576428571428572" customWidth="1" bestFit="1"/>
    <col min="50" max="50" style="164" width="13.576428571428572" customWidth="1" bestFit="1"/>
    <col min="51" max="51" style="164" width="13.576428571428572" customWidth="1" bestFit="1"/>
    <col min="52" max="52" style="164" width="13.576428571428572" customWidth="1" bestFit="1"/>
    <col min="53" max="53" style="164" width="13.576428571428572" customWidth="1" bestFit="1"/>
    <col min="54" max="54" style="164" width="13.576428571428572" customWidth="1" bestFit="1"/>
    <col min="55" max="55" style="164" width="13.576428571428572" customWidth="1" bestFit="1"/>
    <col min="56" max="56" style="164" width="13.576428571428572" customWidth="1" bestFit="1"/>
    <col min="57" max="57" style="164" width="13.576428571428572" customWidth="1" bestFit="1"/>
    <col min="58" max="58" style="164" width="13.576428571428572" customWidth="1" bestFit="1"/>
    <col min="59" max="59" style="164" width="13.576428571428572" customWidth="1" bestFit="1"/>
    <col min="60" max="60" style="164" width="13.576428571428572" customWidth="1" bestFit="1"/>
    <col min="61" max="61" style="164" width="13.576428571428572" customWidth="1" bestFit="1"/>
    <col min="62" max="62" style="164" width="13.576428571428572" customWidth="1" bestFit="1"/>
    <col min="63" max="63" style="164" width="13.576428571428572" customWidth="1" bestFit="1"/>
    <col min="64" max="64" style="164" width="13.576428571428572" customWidth="1" bestFit="1"/>
    <col min="65" max="65" style="164" width="13.576428571428572" customWidth="1" bestFit="1"/>
    <col min="66" max="66" style="164" width="13.576428571428572" customWidth="1" bestFit="1"/>
    <col min="67" max="67" style="164" width="13.576428571428572" customWidth="1" bestFit="1"/>
    <col min="68" max="68" style="164" width="13.576428571428572" customWidth="1" bestFit="1"/>
    <col min="69" max="69" style="164" width="13.576428571428572" customWidth="1" bestFit="1"/>
    <col min="70" max="70" style="164" width="13.576428571428572" customWidth="1" bestFit="1"/>
    <col min="71" max="71" style="164" width="13.576428571428572" customWidth="1" bestFit="1"/>
    <col min="72" max="72" style="164" width="13.576428571428572" customWidth="1" bestFit="1"/>
    <col min="73" max="73" style="164" width="13.576428571428572" customWidth="1" bestFit="1"/>
    <col min="74" max="74" style="164" width="13.576428571428572" customWidth="1" bestFit="1"/>
    <col min="75" max="75" style="164" width="13.576428571428572" customWidth="1" bestFit="1"/>
    <col min="76" max="76" style="164" width="13.576428571428572" customWidth="1" bestFit="1"/>
    <col min="77" max="77" style="164" width="13.576428571428572" customWidth="1" bestFit="1"/>
    <col min="78" max="78" style="164" width="13.576428571428572" customWidth="1" bestFit="1"/>
    <col min="79" max="79" style="164" width="13.576428571428572" customWidth="1" bestFit="1"/>
    <col min="80" max="80" style="164" width="13.576428571428572" customWidth="1" bestFit="1"/>
    <col min="81" max="81" style="164" width="13.576428571428572" customWidth="1" bestFit="1"/>
    <col min="82" max="82" style="164" width="13.576428571428572" customWidth="1" bestFit="1"/>
    <col min="83" max="83" style="164" width="13.576428571428572" customWidth="1" bestFit="1"/>
    <col min="84" max="84" style="164" width="13.576428571428572" customWidth="1" bestFit="1"/>
    <col min="85" max="85" style="164" width="13.576428571428572" customWidth="1" bestFit="1"/>
    <col min="86" max="86" style="164" width="13.576428571428572" customWidth="1" bestFit="1"/>
    <col min="87" max="87" style="164" width="13.576428571428572" customWidth="1" bestFit="1"/>
    <col min="88" max="88" style="164" width="13.576428571428572" customWidth="1" bestFit="1"/>
    <col min="89" max="89" style="164" width="13.576428571428572" customWidth="1" bestFit="1"/>
    <col min="90" max="90" style="164" width="13.576428571428572" customWidth="1" bestFit="1"/>
    <col min="91" max="91" style="164" width="13.576428571428572" customWidth="1" bestFit="1"/>
    <col min="92" max="92" style="164" width="13.576428571428572" customWidth="1" bestFit="1"/>
    <col min="93" max="93" style="164" width="13.576428571428572" customWidth="1" bestFit="1"/>
    <col min="94" max="94" style="164" width="13.576428571428572" customWidth="1" bestFit="1"/>
    <col min="95" max="95" style="164" width="13.576428571428572" customWidth="1" bestFit="1"/>
    <col min="96" max="96" style="164" width="13.576428571428572" customWidth="1" bestFit="1"/>
    <col min="97" max="97" style="164" width="13.576428571428572" customWidth="1" bestFit="1"/>
    <col min="98" max="98" style="164" width="13.576428571428572" customWidth="1" bestFit="1"/>
    <col min="99" max="99" style="164" width="13.576428571428572" customWidth="1" bestFit="1"/>
    <col min="100" max="100" style="164" width="13.576428571428572" customWidth="1" bestFit="1"/>
    <col min="101" max="101" style="164" width="13.576428571428572" customWidth="1" bestFit="1"/>
    <col min="102" max="102" style="164" width="13.576428571428572" customWidth="1" bestFit="1"/>
    <col min="103" max="103" style="164" width="13.576428571428572" customWidth="1" bestFit="1"/>
    <col min="104" max="104" style="164" width="13.576428571428572" customWidth="1" bestFit="1"/>
    <col min="105" max="105" style="164" width="13.576428571428572" customWidth="1" bestFit="1"/>
    <col min="106" max="106" style="164" width="13.576428571428572" customWidth="1" bestFit="1"/>
    <col min="107" max="107" style="164" width="13.576428571428572" customWidth="1" bestFit="1"/>
    <col min="108" max="108" style="164" width="13.576428571428572" customWidth="1" bestFit="1"/>
    <col min="109" max="109" style="164" width="13.576428571428572" customWidth="1" bestFit="1"/>
    <col min="110" max="110" style="164" width="13.576428571428572" customWidth="1" bestFit="1"/>
    <col min="111" max="111" style="164" width="13.576428571428572" customWidth="1" bestFit="1"/>
    <col min="112" max="112" style="164" width="13.576428571428572" customWidth="1" bestFit="1"/>
    <col min="113" max="113" style="164" width="13.576428571428572" customWidth="1" bestFit="1"/>
    <col min="114" max="114" style="164" width="13.576428571428572" customWidth="1" bestFit="1"/>
    <col min="115" max="115" style="164" width="13.576428571428572" customWidth="1" bestFit="1"/>
    <col min="116" max="116" style="164" width="13.576428571428572" customWidth="1" bestFit="1"/>
    <col min="117" max="117" style="164" width="13.576428571428572" customWidth="1" bestFit="1"/>
    <col min="118" max="118" style="164" width="13.576428571428572" customWidth="1" bestFit="1"/>
    <col min="119" max="119" style="164" width="13.576428571428572" customWidth="1" bestFit="1"/>
    <col min="120" max="120" style="164" width="13.576428571428572" customWidth="1" bestFit="1"/>
    <col min="121" max="121" style="164" width="13.576428571428572" customWidth="1" bestFit="1"/>
    <col min="122" max="122" style="164" width="13.576428571428572" customWidth="1" bestFit="1"/>
    <col min="123" max="123" style="164" width="13.576428571428572" customWidth="1" bestFit="1"/>
    <col min="124" max="124" style="164" width="13.576428571428572" customWidth="1" bestFit="1"/>
    <col min="125" max="125" style="164" width="13.576428571428572" customWidth="1" bestFit="1"/>
    <col min="126" max="126" style="164" width="13.576428571428572" customWidth="1" bestFit="1"/>
    <col min="127" max="127" style="164" width="13.576428571428572" customWidth="1" bestFit="1"/>
    <col min="128" max="128" style="164" width="13.576428571428572" customWidth="1" bestFit="1"/>
    <col min="129" max="129" style="164" width="13.576428571428572" customWidth="1" bestFit="1"/>
    <col min="130" max="130" style="164" width="13.576428571428572" customWidth="1" bestFit="1"/>
    <col min="131" max="131" style="164" width="13.576428571428572" customWidth="1" bestFit="1"/>
    <col min="132" max="132" style="164" width="13.576428571428572" customWidth="1" bestFit="1"/>
    <col min="133" max="133" style="164" width="13.576428571428572" customWidth="1" bestFit="1"/>
    <col min="134" max="134" style="164" width="13.576428571428572" customWidth="1" bestFit="1"/>
    <col min="135" max="135" style="164" width="13.576428571428572" customWidth="1" bestFit="1"/>
    <col min="136" max="136" style="164" width="13.576428571428572" customWidth="1" bestFit="1"/>
    <col min="137" max="137" style="164" width="13.576428571428572" customWidth="1" bestFit="1"/>
    <col min="138" max="138" style="164" width="13.576428571428572" customWidth="1" bestFit="1"/>
    <col min="139" max="139" style="164" width="13.576428571428572" customWidth="1" bestFit="1"/>
    <col min="140" max="140" style="164" width="13.576428571428572" customWidth="1" bestFit="1"/>
    <col min="141" max="141" style="164" width="13.576428571428572" customWidth="1" bestFit="1"/>
    <col min="142" max="142" style="164" width="13.576428571428572" customWidth="1" bestFit="1"/>
    <col min="143" max="143" style="164" width="13.576428571428572" customWidth="1" bestFit="1"/>
    <col min="144" max="144" style="164" width="13.576428571428572" customWidth="1" bestFit="1"/>
    <col min="145" max="145" style="164" width="13.576428571428572" customWidth="1" bestFit="1"/>
    <col min="146" max="146" style="164" width="13.576428571428572" customWidth="1" bestFit="1"/>
  </cols>
  <sheetData>
    <row x14ac:dyDescent="0.25" r="1" customHeight="1" ht="18.75">
      <c r="A1" s="1"/>
      <c r="B1" s="555">
        <f>TODAY()</f>
        <v>25569.041666666668</v>
      </c>
      <c r="C1" s="1080"/>
      <c r="D1" s="1081" t="s">
        <v>1149</v>
      </c>
      <c r="E1" s="1081"/>
      <c r="F1" s="1082"/>
      <c r="G1" s="333">
        <f>((1+Hipótesis!E13)^(1/12))-1</f>
      </c>
      <c r="H1" s="1083"/>
      <c r="I1" s="1083"/>
      <c r="J1" s="169"/>
      <c r="K1" s="169"/>
      <c r="L1" s="169"/>
      <c r="M1" s="169"/>
      <c r="N1" s="169"/>
      <c r="O1" s="169"/>
      <c r="P1" s="169"/>
      <c r="Q1" s="169"/>
      <c r="R1" s="169"/>
      <c r="S1" s="169"/>
      <c r="T1" s="169"/>
      <c r="U1" s="169"/>
      <c r="V1" s="169"/>
      <c r="W1" s="169"/>
      <c r="X1" s="169"/>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c r="CD1" s="170"/>
      <c r="CE1" s="170"/>
      <c r="CF1" s="170"/>
      <c r="CG1" s="170"/>
      <c r="CH1" s="170"/>
      <c r="CI1" s="170"/>
      <c r="CJ1" s="170"/>
      <c r="CK1" s="170"/>
      <c r="CL1" s="170"/>
      <c r="CM1" s="170"/>
      <c r="CN1" s="170"/>
      <c r="CO1" s="170"/>
      <c r="CP1" s="170"/>
      <c r="CQ1" s="170"/>
      <c r="CR1" s="170"/>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0"/>
      <c r="DS1" s="170"/>
      <c r="DT1" s="170"/>
      <c r="DU1" s="170"/>
      <c r="DV1" s="170"/>
      <c r="DW1" s="170"/>
      <c r="DX1" s="170"/>
      <c r="DY1" s="170"/>
      <c r="DZ1" s="170"/>
      <c r="EA1" s="170"/>
      <c r="EB1" s="170"/>
      <c r="EC1" s="170"/>
      <c r="ED1" s="170"/>
      <c r="EE1" s="170"/>
      <c r="EF1" s="170"/>
      <c r="EG1" s="170"/>
      <c r="EH1" s="170"/>
      <c r="EI1" s="170"/>
      <c r="EJ1" s="170"/>
      <c r="EK1" s="170"/>
      <c r="EL1" s="170"/>
      <c r="EM1" s="170"/>
      <c r="EN1" s="170"/>
      <c r="EO1" s="170"/>
      <c r="EP1" s="170"/>
    </row>
    <row x14ac:dyDescent="0.25" r="2" customHeight="1" ht="18.75">
      <c r="A2" s="1"/>
      <c r="B2" s="320" t="s">
        <v>1150</v>
      </c>
      <c r="C2" s="1080"/>
      <c r="D2" s="1081" t="s">
        <v>1151</v>
      </c>
      <c r="E2" s="1081"/>
      <c r="F2" s="1082"/>
      <c r="G2" s="333">
        <f>((1+Hipótesis!E13)^(1/12))-1</f>
      </c>
      <c r="H2" s="1083"/>
      <c r="I2" s="1083"/>
      <c r="J2" s="169"/>
      <c r="K2" s="169"/>
      <c r="L2" s="169"/>
      <c r="M2" s="169"/>
      <c r="N2" s="169"/>
      <c r="O2" s="169"/>
      <c r="P2" s="169"/>
      <c r="Q2" s="169"/>
      <c r="R2" s="169"/>
      <c r="S2" s="169"/>
      <c r="T2" s="169"/>
      <c r="U2" s="169"/>
      <c r="V2" s="169"/>
      <c r="W2" s="169"/>
      <c r="X2" s="169"/>
      <c r="Y2" s="170"/>
      <c r="Z2" s="170"/>
      <c r="AA2" s="170"/>
      <c r="AB2" s="170"/>
      <c r="AC2" s="170"/>
      <c r="AD2" s="170"/>
      <c r="AE2" s="170"/>
      <c r="AF2" s="170"/>
      <c r="AG2" s="170"/>
      <c r="AH2" s="170"/>
      <c r="AI2" s="170"/>
      <c r="AJ2" s="170"/>
      <c r="AK2" s="170"/>
      <c r="AL2" s="170"/>
      <c r="AM2" s="170"/>
      <c r="AN2" s="170"/>
      <c r="AO2" s="170"/>
      <c r="AP2" s="170"/>
      <c r="AQ2" s="170"/>
      <c r="AR2" s="170"/>
      <c r="AS2" s="170"/>
      <c r="AT2" s="170"/>
      <c r="AU2" s="170"/>
      <c r="AV2" s="170"/>
      <c r="AW2" s="170"/>
      <c r="AX2" s="170"/>
      <c r="AY2" s="170"/>
      <c r="AZ2" s="170"/>
      <c r="BA2" s="170"/>
      <c r="BB2" s="170"/>
      <c r="BC2" s="170"/>
      <c r="BD2" s="170"/>
      <c r="BE2" s="170"/>
      <c r="BF2" s="170"/>
      <c r="BG2" s="170"/>
      <c r="BH2" s="170"/>
      <c r="BI2" s="170"/>
      <c r="BJ2" s="170"/>
      <c r="BK2" s="170"/>
      <c r="BL2" s="170"/>
      <c r="BM2" s="170"/>
      <c r="BN2" s="170"/>
      <c r="BO2" s="170"/>
      <c r="BP2" s="170"/>
      <c r="BQ2" s="170"/>
      <c r="BR2" s="170"/>
      <c r="BS2" s="170"/>
      <c r="BT2" s="170"/>
      <c r="BU2" s="170"/>
      <c r="BV2" s="170"/>
      <c r="BW2" s="170"/>
      <c r="BX2" s="170"/>
      <c r="BY2" s="170"/>
      <c r="BZ2" s="170"/>
      <c r="CA2" s="170"/>
      <c r="CB2" s="170"/>
      <c r="CC2" s="170"/>
      <c r="CD2" s="170"/>
      <c r="CE2" s="170"/>
      <c r="CF2" s="170"/>
      <c r="CG2" s="170"/>
      <c r="CH2" s="170"/>
      <c r="CI2" s="170"/>
      <c r="CJ2" s="170"/>
      <c r="CK2" s="170"/>
      <c r="CL2" s="170"/>
      <c r="CM2" s="170"/>
      <c r="CN2" s="170"/>
      <c r="CO2" s="170"/>
      <c r="CP2" s="170"/>
      <c r="CQ2" s="170"/>
      <c r="CR2" s="170"/>
      <c r="CS2" s="170"/>
      <c r="CT2" s="170"/>
      <c r="CU2" s="170"/>
      <c r="CV2" s="170"/>
      <c r="CW2" s="170"/>
      <c r="CX2" s="170"/>
      <c r="CY2" s="170"/>
      <c r="CZ2" s="170"/>
      <c r="DA2" s="170"/>
      <c r="DB2" s="170"/>
      <c r="DC2" s="170"/>
      <c r="DD2" s="170"/>
      <c r="DE2" s="170"/>
      <c r="DF2" s="170"/>
      <c r="DG2" s="170"/>
      <c r="DH2" s="170"/>
      <c r="DI2" s="170"/>
      <c r="DJ2" s="170"/>
      <c r="DK2" s="170"/>
      <c r="DL2" s="170"/>
      <c r="DM2" s="170"/>
      <c r="DN2" s="170"/>
      <c r="DO2" s="170"/>
      <c r="DP2" s="170"/>
      <c r="DQ2" s="170"/>
      <c r="DR2" s="170"/>
      <c r="DS2" s="170"/>
      <c r="DT2" s="170"/>
      <c r="DU2" s="170"/>
      <c r="DV2" s="170"/>
      <c r="DW2" s="170"/>
      <c r="DX2" s="170"/>
      <c r="DY2" s="170"/>
      <c r="DZ2" s="170"/>
      <c r="EA2" s="170"/>
      <c r="EB2" s="170"/>
      <c r="EC2" s="170"/>
      <c r="ED2" s="170"/>
      <c r="EE2" s="170"/>
      <c r="EF2" s="170"/>
      <c r="EG2" s="170"/>
      <c r="EH2" s="170"/>
      <c r="EI2" s="170"/>
      <c r="EJ2" s="170"/>
      <c r="EK2" s="170"/>
      <c r="EL2" s="170"/>
      <c r="EM2" s="170"/>
      <c r="EN2" s="170"/>
      <c r="EO2" s="170"/>
      <c r="EP2" s="170"/>
    </row>
    <row x14ac:dyDescent="0.25" r="3" customHeight="1" ht="18.75">
      <c r="A3" s="1"/>
      <c r="B3" s="320"/>
      <c r="C3" s="1080"/>
      <c r="D3" s="1080"/>
      <c r="E3" s="1080"/>
      <c r="F3" s="1083"/>
      <c r="G3" s="1083"/>
      <c r="H3" s="1083"/>
      <c r="I3" s="1083"/>
      <c r="J3" s="169"/>
      <c r="K3" s="169"/>
      <c r="L3" s="169"/>
      <c r="M3" s="169"/>
      <c r="N3" s="169"/>
      <c r="O3" s="169"/>
      <c r="P3" s="169"/>
      <c r="Q3" s="169"/>
      <c r="R3" s="169"/>
      <c r="S3" s="169"/>
      <c r="T3" s="169"/>
      <c r="U3" s="169"/>
      <c r="V3" s="169"/>
      <c r="W3" s="169"/>
      <c r="X3" s="169"/>
      <c r="Y3" s="170"/>
      <c r="Z3" s="170"/>
      <c r="AA3" s="170"/>
      <c r="AB3" s="170"/>
      <c r="AC3" s="170"/>
      <c r="AD3" s="170"/>
      <c r="AE3" s="170"/>
      <c r="AF3" s="170"/>
      <c r="AG3" s="170"/>
      <c r="AH3" s="170"/>
      <c r="AI3" s="170"/>
      <c r="AJ3" s="170"/>
      <c r="AK3" s="170"/>
      <c r="AL3" s="170"/>
      <c r="AM3" s="170"/>
      <c r="AN3" s="170"/>
      <c r="AO3" s="170"/>
      <c r="AP3" s="170"/>
      <c r="AQ3" s="170"/>
      <c r="AR3" s="170"/>
      <c r="AS3" s="170"/>
      <c r="AT3" s="170"/>
      <c r="AU3" s="170"/>
      <c r="AV3" s="170"/>
      <c r="AW3" s="170"/>
      <c r="AX3" s="170"/>
      <c r="AY3" s="170"/>
      <c r="AZ3" s="170"/>
      <c r="BA3" s="170"/>
      <c r="BB3" s="170"/>
      <c r="BC3" s="170"/>
      <c r="BD3" s="170"/>
      <c r="BE3" s="170"/>
      <c r="BF3" s="170"/>
      <c r="BG3" s="170"/>
      <c r="BH3" s="170"/>
      <c r="BI3" s="170"/>
      <c r="BJ3" s="170"/>
      <c r="BK3" s="170"/>
      <c r="BL3" s="170"/>
      <c r="BM3" s="170"/>
      <c r="BN3" s="170"/>
      <c r="BO3" s="170"/>
      <c r="BP3" s="170"/>
      <c r="BQ3" s="170"/>
      <c r="BR3" s="170"/>
      <c r="BS3" s="170"/>
      <c r="BT3" s="170"/>
      <c r="BU3" s="170"/>
      <c r="BV3" s="170"/>
      <c r="BW3" s="170"/>
      <c r="BX3" s="170"/>
      <c r="BY3" s="170"/>
      <c r="BZ3" s="170"/>
      <c r="CA3" s="170"/>
      <c r="CB3" s="170"/>
      <c r="CC3" s="170"/>
      <c r="CD3" s="170"/>
      <c r="CE3" s="170"/>
      <c r="CF3" s="170"/>
      <c r="CG3" s="170"/>
      <c r="CH3" s="170"/>
      <c r="CI3" s="170"/>
      <c r="CJ3" s="170"/>
      <c r="CK3" s="170"/>
      <c r="CL3" s="170"/>
      <c r="CM3" s="170"/>
      <c r="CN3" s="170"/>
      <c r="CO3" s="170"/>
      <c r="CP3" s="170"/>
      <c r="CQ3" s="170"/>
      <c r="CR3" s="170"/>
      <c r="CS3" s="170"/>
      <c r="CT3" s="170"/>
      <c r="CU3" s="170"/>
      <c r="CV3" s="170"/>
      <c r="CW3" s="170"/>
      <c r="CX3" s="170"/>
      <c r="CY3" s="170"/>
      <c r="CZ3" s="170"/>
      <c r="DA3" s="170"/>
      <c r="DB3" s="170"/>
      <c r="DC3" s="170"/>
      <c r="DD3" s="170"/>
      <c r="DE3" s="170"/>
      <c r="DF3" s="170"/>
      <c r="DG3" s="170"/>
      <c r="DH3" s="170"/>
      <c r="DI3" s="170"/>
      <c r="DJ3" s="170"/>
      <c r="DK3" s="170"/>
      <c r="DL3" s="170"/>
      <c r="DM3" s="170"/>
      <c r="DN3" s="170"/>
      <c r="DO3" s="170"/>
      <c r="DP3" s="170"/>
      <c r="DQ3" s="170"/>
      <c r="DR3" s="170"/>
      <c r="DS3" s="170"/>
      <c r="DT3" s="170"/>
      <c r="DU3" s="170"/>
      <c r="DV3" s="170"/>
      <c r="DW3" s="170"/>
      <c r="DX3" s="170"/>
      <c r="DY3" s="170"/>
      <c r="DZ3" s="170"/>
      <c r="EA3" s="170"/>
      <c r="EB3" s="170"/>
      <c r="EC3" s="170"/>
      <c r="ED3" s="170"/>
      <c r="EE3" s="170"/>
      <c r="EF3" s="170"/>
      <c r="EG3" s="170"/>
      <c r="EH3" s="170"/>
      <c r="EI3" s="170"/>
      <c r="EJ3" s="170"/>
      <c r="EK3" s="170"/>
      <c r="EL3" s="170"/>
      <c r="EM3" s="170"/>
      <c r="EN3" s="170"/>
      <c r="EO3" s="170"/>
      <c r="EP3" s="170"/>
    </row>
    <row x14ac:dyDescent="0.25" r="4" customHeight="1" ht="18.75" customFormat="1" s="23">
      <c r="A4" s="24"/>
      <c r="B4" s="1084">
        <v>1954</v>
      </c>
      <c r="C4" s="1084">
        <v>1955</v>
      </c>
      <c r="D4" s="1084">
        <v>1956</v>
      </c>
      <c r="E4" s="1084">
        <v>1957</v>
      </c>
      <c r="F4" s="1084">
        <v>1958</v>
      </c>
      <c r="G4" s="1084">
        <v>1959</v>
      </c>
      <c r="H4" s="1084">
        <v>1960</v>
      </c>
      <c r="I4" s="1084">
        <v>1961</v>
      </c>
      <c r="J4" s="1084">
        <v>1962</v>
      </c>
      <c r="K4" s="1084">
        <v>1963</v>
      </c>
      <c r="L4" s="1084">
        <v>1964</v>
      </c>
      <c r="M4" s="1084">
        <v>1965</v>
      </c>
      <c r="N4" s="1084">
        <v>1966</v>
      </c>
      <c r="O4" s="1084">
        <v>1967</v>
      </c>
      <c r="P4" s="1084">
        <v>1968</v>
      </c>
      <c r="Q4" s="1084">
        <v>1969</v>
      </c>
      <c r="R4" s="1084">
        <v>1970</v>
      </c>
      <c r="S4" s="1084">
        <v>1971</v>
      </c>
      <c r="T4" s="1084">
        <v>1972</v>
      </c>
      <c r="U4" s="1084">
        <v>1973</v>
      </c>
      <c r="V4" s="1084">
        <v>1974</v>
      </c>
      <c r="W4" s="1084">
        <v>1975</v>
      </c>
      <c r="X4" s="1084">
        <v>1976</v>
      </c>
      <c r="Y4" s="1084">
        <v>1977</v>
      </c>
      <c r="Z4" s="1084">
        <v>1978</v>
      </c>
      <c r="AA4" s="1084">
        <v>1979</v>
      </c>
      <c r="AB4" s="1084">
        <v>1980</v>
      </c>
      <c r="AC4" s="1084">
        <v>1981</v>
      </c>
      <c r="AD4" s="1084">
        <v>1982</v>
      </c>
      <c r="AE4" s="1084">
        <v>1983</v>
      </c>
      <c r="AF4" s="1084">
        <v>1984</v>
      </c>
      <c r="AG4" s="1084">
        <v>1985</v>
      </c>
      <c r="AH4" s="1084">
        <v>1986</v>
      </c>
      <c r="AI4" s="1084">
        <v>1987</v>
      </c>
      <c r="AJ4" s="1084">
        <v>1988</v>
      </c>
      <c r="AK4" s="1084">
        <v>1989</v>
      </c>
      <c r="AL4" s="1084">
        <v>1990</v>
      </c>
      <c r="AM4" s="1084">
        <v>1991</v>
      </c>
      <c r="AN4" s="1084">
        <v>1992</v>
      </c>
      <c r="AO4" s="1084">
        <v>1993</v>
      </c>
      <c r="AP4" s="1084">
        <v>1994</v>
      </c>
      <c r="AQ4" s="1084">
        <v>1995</v>
      </c>
      <c r="AR4" s="1084">
        <v>1996</v>
      </c>
      <c r="AS4" s="1084">
        <v>1997</v>
      </c>
      <c r="AT4" s="1084">
        <v>1998</v>
      </c>
      <c r="AU4" s="1084">
        <v>1999</v>
      </c>
      <c r="AV4" s="1084">
        <v>2000</v>
      </c>
      <c r="AW4" s="1084">
        <v>2001</v>
      </c>
      <c r="AX4" s="1084">
        <v>2002</v>
      </c>
      <c r="AY4" s="1084">
        <v>2003</v>
      </c>
      <c r="AZ4" s="1084">
        <v>2004</v>
      </c>
      <c r="BA4" s="1084">
        <v>2005</v>
      </c>
      <c r="BB4" s="1084">
        <v>2006</v>
      </c>
      <c r="BC4" s="1084">
        <v>2007</v>
      </c>
      <c r="BD4" s="1084">
        <v>2008</v>
      </c>
      <c r="BE4" s="1084">
        <v>2009</v>
      </c>
      <c r="BF4" s="1084">
        <v>2010</v>
      </c>
      <c r="BG4" s="1084">
        <v>2011</v>
      </c>
      <c r="BH4" s="1084">
        <v>2012</v>
      </c>
      <c r="BI4" s="1084">
        <v>2013</v>
      </c>
      <c r="BJ4" s="1084">
        <v>2014</v>
      </c>
      <c r="BK4" s="1084">
        <v>2015</v>
      </c>
      <c r="BL4" s="1084">
        <v>2016</v>
      </c>
      <c r="BM4" s="1084">
        <v>2017</v>
      </c>
      <c r="BN4" s="1084">
        <v>2018</v>
      </c>
      <c r="BO4" s="1084">
        <v>2019</v>
      </c>
      <c r="BP4" s="1084">
        <v>2020</v>
      </c>
      <c r="BQ4" s="1084">
        <v>2021</v>
      </c>
      <c r="BR4" s="1084">
        <v>2022</v>
      </c>
      <c r="BS4" s="1084">
        <v>2023</v>
      </c>
      <c r="BT4" s="1084">
        <v>2024</v>
      </c>
      <c r="BU4" s="1084">
        <v>2025</v>
      </c>
      <c r="BV4" s="1084">
        <v>2026</v>
      </c>
      <c r="BW4" s="1084">
        <v>2027</v>
      </c>
      <c r="BX4" s="1084">
        <v>2028</v>
      </c>
      <c r="BY4" s="1084">
        <v>2029</v>
      </c>
      <c r="BZ4" s="1084">
        <v>2030</v>
      </c>
      <c r="CA4" s="1084">
        <v>2031</v>
      </c>
      <c r="CB4" s="1084">
        <v>2032</v>
      </c>
      <c r="CC4" s="1084">
        <v>2033</v>
      </c>
      <c r="CD4" s="1084">
        <v>2034</v>
      </c>
      <c r="CE4" s="1084">
        <v>2035</v>
      </c>
      <c r="CF4" s="1084">
        <v>2036</v>
      </c>
      <c r="CG4" s="1084">
        <v>2037</v>
      </c>
      <c r="CH4" s="1084">
        <v>2038</v>
      </c>
      <c r="CI4" s="1084">
        <v>2039</v>
      </c>
      <c r="CJ4" s="1084">
        <v>2040</v>
      </c>
      <c r="CK4" s="1084">
        <v>2041</v>
      </c>
      <c r="CL4" s="1084">
        <v>2042</v>
      </c>
      <c r="CM4" s="1084">
        <v>2043</v>
      </c>
      <c r="CN4" s="1084">
        <v>2044</v>
      </c>
      <c r="CO4" s="1084">
        <v>2045</v>
      </c>
      <c r="CP4" s="1084">
        <v>2046</v>
      </c>
      <c r="CQ4" s="1084">
        <v>2047</v>
      </c>
      <c r="CR4" s="1084">
        <v>2048</v>
      </c>
      <c r="CS4" s="1084">
        <v>2049</v>
      </c>
      <c r="CT4" s="1084">
        <v>2050</v>
      </c>
      <c r="CU4" s="1084">
        <v>2051</v>
      </c>
      <c r="CV4" s="1084">
        <v>2052</v>
      </c>
      <c r="CW4" s="1084">
        <v>2053</v>
      </c>
      <c r="CX4" s="1084">
        <v>2054</v>
      </c>
      <c r="CY4" s="1084">
        <v>2055</v>
      </c>
      <c r="CZ4" s="1084">
        <v>2056</v>
      </c>
      <c r="DA4" s="1084">
        <v>2057</v>
      </c>
      <c r="DB4" s="1084">
        <v>2058</v>
      </c>
      <c r="DC4" s="1084">
        <v>2059</v>
      </c>
      <c r="DD4" s="1084">
        <v>2060</v>
      </c>
      <c r="DE4" s="1084">
        <v>2061</v>
      </c>
      <c r="DF4" s="1084">
        <v>2062</v>
      </c>
      <c r="DG4" s="1084">
        <v>2063</v>
      </c>
      <c r="DH4" s="1084">
        <v>2064</v>
      </c>
      <c r="DI4" s="1084">
        <v>2065</v>
      </c>
      <c r="DJ4" s="1084">
        <v>2066</v>
      </c>
      <c r="DK4" s="1084">
        <v>2067</v>
      </c>
      <c r="DL4" s="1084">
        <v>2068</v>
      </c>
      <c r="DM4" s="1084">
        <v>2069</v>
      </c>
      <c r="DN4" s="1084">
        <v>2070</v>
      </c>
      <c r="DO4" s="1084">
        <v>2071</v>
      </c>
      <c r="DP4" s="1084">
        <v>2072</v>
      </c>
      <c r="DQ4" s="1084">
        <v>2073</v>
      </c>
      <c r="DR4" s="1084">
        <v>2074</v>
      </c>
      <c r="DS4" s="1084">
        <v>2075</v>
      </c>
      <c r="DT4" s="1084">
        <v>2076</v>
      </c>
      <c r="DU4" s="1084">
        <v>2077</v>
      </c>
      <c r="DV4" s="1084">
        <v>2078</v>
      </c>
      <c r="DW4" s="1084">
        <v>2079</v>
      </c>
      <c r="DX4" s="1084">
        <v>2080</v>
      </c>
      <c r="DY4" s="294"/>
      <c r="DZ4" s="294"/>
      <c r="EA4" s="294"/>
      <c r="EB4" s="294"/>
      <c r="EC4" s="294"/>
      <c r="ED4" s="294"/>
      <c r="EE4" s="294"/>
      <c r="EF4" s="294"/>
      <c r="EG4" s="294"/>
      <c r="EH4" s="294"/>
      <c r="EI4" s="294"/>
      <c r="EJ4" s="294"/>
      <c r="EK4" s="294"/>
      <c r="EL4" s="294"/>
      <c r="EM4" s="294"/>
      <c r="EN4" s="294"/>
      <c r="EO4" s="294"/>
      <c r="EP4" s="294"/>
    </row>
    <row x14ac:dyDescent="0.25" r="5" customHeight="1" ht="18.75">
      <c r="A5" s="1" t="s">
        <v>1152</v>
      </c>
      <c r="B5" s="333">
        <f>B6*(1-$G$1)</f>
      </c>
      <c r="C5" s="333">
        <f>C6*(1-$G$1)</f>
      </c>
      <c r="D5" s="333">
        <f>D6*(1-$G$1)</f>
      </c>
      <c r="E5" s="333">
        <f>E6*(1-$G$1)</f>
      </c>
      <c r="F5" s="333">
        <f>F6*(1-$G$1)</f>
      </c>
      <c r="G5" s="333">
        <f>G6*(1-$G$1)</f>
      </c>
      <c r="H5" s="333">
        <f>H6*(1-$G$1)</f>
      </c>
      <c r="I5" s="333">
        <f>I6*(1-$G$1)</f>
      </c>
      <c r="J5" s="333">
        <f>J6*(1-$G$1)</f>
      </c>
      <c r="K5" s="333">
        <f>K6*(1-$G$1)</f>
      </c>
      <c r="L5" s="333">
        <f>L6*(1-$G$1)</f>
      </c>
      <c r="M5" s="333">
        <f>M6*(1-$G$1)</f>
      </c>
      <c r="N5" s="333">
        <f>N6*(1-$G$1)</f>
      </c>
      <c r="O5" s="333">
        <f>O6*(1-$G$1)</f>
      </c>
      <c r="P5" s="333">
        <f>P6*(1-$G$1)</f>
      </c>
      <c r="Q5" s="333">
        <f>Q6*(1-$G$1)</f>
      </c>
      <c r="R5" s="333">
        <f>R6*(1-$G$1)</f>
      </c>
      <c r="S5" s="333">
        <f>S6*(1-$G$1)</f>
      </c>
      <c r="T5" s="333">
        <f>T6*(1-$G$1)</f>
      </c>
      <c r="U5" s="333">
        <f>U6*(1-$G$1)</f>
      </c>
      <c r="V5" s="333">
        <f>V6*(1-$G$1)</f>
      </c>
      <c r="W5" s="333">
        <f>W6*(1-$G$1)</f>
      </c>
      <c r="X5" s="333">
        <f>X6*(1-$G$1)</f>
      </c>
      <c r="Y5" s="333">
        <f>Y6*(1-$G$1)</f>
      </c>
      <c r="Z5" s="333">
        <f>Z6*(1-$G$1)</f>
      </c>
      <c r="AA5" s="333">
        <f>AA6*(1-$G$1)</f>
      </c>
      <c r="AB5" s="1085">
        <v>18.811076736118604</v>
      </c>
      <c r="AC5" s="1085">
        <v>21.519871786119683</v>
      </c>
      <c r="AD5" s="1086">
        <v>24.640253195107036</v>
      </c>
      <c r="AE5" s="1086">
        <v>27.991327629641596</v>
      </c>
      <c r="AF5" s="1086">
        <v>31.37827827282823</v>
      </c>
      <c r="AG5" s="1086">
        <v>34.327836430474086</v>
      </c>
      <c r="AH5" s="1086">
        <v>37.52032521850818</v>
      </c>
      <c r="AI5" s="1086">
        <v>39.77154473161867</v>
      </c>
      <c r="AJ5" s="1086">
        <v>41.561264244541505</v>
      </c>
      <c r="AK5" s="1086">
        <v>44.22118515619216</v>
      </c>
      <c r="AL5" s="1086">
        <v>47.18400456165704</v>
      </c>
      <c r="AM5" s="1086">
        <v>50.345332867288064</v>
      </c>
      <c r="AN5" s="1086">
        <v>53.366052839325356</v>
      </c>
      <c r="AO5" s="1086">
        <v>55.874257322773644</v>
      </c>
      <c r="AP5" s="1086">
        <v>58.66797018891233</v>
      </c>
      <c r="AQ5" s="1086">
        <v>61.24936087722447</v>
      </c>
      <c r="AR5" s="1086">
        <v>63.638085951436224</v>
      </c>
      <c r="AS5" s="1086">
        <v>65.48359044402787</v>
      </c>
      <c r="AT5" s="1086">
        <v>66.79326225290843</v>
      </c>
      <c r="AU5" s="1086">
        <v>67.79516118670205</v>
      </c>
      <c r="AV5" s="1086">
        <v>69.7612208611164</v>
      </c>
      <c r="AW5" s="1086">
        <v>72.3423860329777</v>
      </c>
      <c r="AX5" s="1086">
        <v>74.585</v>
      </c>
      <c r="AY5" s="1086">
        <v>77.354</v>
      </c>
      <c r="AZ5" s="1086">
        <v>79.137</v>
      </c>
      <c r="BA5" s="1086">
        <v>81.575</v>
      </c>
      <c r="BB5" s="1086">
        <v>84.994</v>
      </c>
      <c r="BC5" s="1086">
        <v>87.027</v>
      </c>
      <c r="BD5" s="1086">
        <v>90.749</v>
      </c>
      <c r="BE5" s="1086">
        <v>91.481</v>
      </c>
      <c r="BF5" s="1086">
        <v>92.422</v>
      </c>
      <c r="BG5" s="1086">
        <v>95.444</v>
      </c>
      <c r="BH5" s="1086">
        <v>97.351</v>
      </c>
      <c r="BI5" s="1086">
        <v>99.963</v>
      </c>
      <c r="BJ5" s="1086">
        <v>100.162</v>
      </c>
      <c r="BK5" s="1086">
        <v>98.841</v>
      </c>
      <c r="BL5" s="1086">
        <v>98.556</v>
      </c>
      <c r="BM5" s="1086">
        <v>101.488</v>
      </c>
      <c r="BN5" s="1085">
        <v>102.071</v>
      </c>
      <c r="BO5" s="1085">
        <v>103.071</v>
      </c>
      <c r="BP5" s="1085">
        <v>104.202</v>
      </c>
      <c r="BQ5" s="1085">
        <v>104.678</v>
      </c>
      <c r="BR5" s="1085">
        <v>111.077904</v>
      </c>
      <c r="BS5" s="333">
        <f>BR16*(1+$G$2)</f>
      </c>
      <c r="BT5" s="333">
        <f>BS16*(1+$G$2)</f>
      </c>
      <c r="BU5" s="333">
        <f>BT16*(1+$G$2)</f>
      </c>
      <c r="BV5" s="333">
        <f>BU16*(1+$G$2)</f>
      </c>
      <c r="BW5" s="333">
        <f>BV16*(1+$G$2)</f>
      </c>
      <c r="BX5" s="333">
        <f>BW16*(1+$G$2)</f>
      </c>
      <c r="BY5" s="333">
        <f>BX16*(1+$G$2)</f>
      </c>
      <c r="BZ5" s="333">
        <f>BY16*(1+$G$2)</f>
      </c>
      <c r="CA5" s="333">
        <f>BZ16*(1+$G$2)</f>
      </c>
      <c r="CB5" s="333">
        <f>CA16*(1+$G$2)</f>
      </c>
      <c r="CC5" s="333">
        <f>CB16*(1+$G$2)</f>
      </c>
      <c r="CD5" s="333">
        <f>CC16*(1+$G$2)</f>
      </c>
      <c r="CE5" s="333">
        <f>CD16*(1+$G$2)</f>
      </c>
      <c r="CF5" s="333">
        <f>CE16*(1+$G$2)</f>
      </c>
      <c r="CG5" s="333">
        <f>CF16*(1+$G$2)</f>
      </c>
      <c r="CH5" s="333">
        <f>CG16*(1+$G$2)</f>
      </c>
      <c r="CI5" s="333">
        <f>CH16*(1+$G$2)</f>
      </c>
      <c r="CJ5" s="333">
        <f>CI16*(1+$G$2)</f>
      </c>
      <c r="CK5" s="333">
        <f>CJ16*(1+$G$2)</f>
      </c>
      <c r="CL5" s="333">
        <f>CK16*(1+$G$2)</f>
      </c>
      <c r="CM5" s="333">
        <f>CL16*(1+$G$2)</f>
      </c>
      <c r="CN5" s="333">
        <f>CM16*(1+$G$2)</f>
      </c>
      <c r="CO5" s="333">
        <f>CN16*(1+$G$2)</f>
      </c>
      <c r="CP5" s="333">
        <f>CO16*(1+$G$2)</f>
      </c>
      <c r="CQ5" s="333">
        <f>CP16*(1+$G$2)</f>
      </c>
      <c r="CR5" s="333">
        <f>CQ16*(1+$G$2)</f>
      </c>
      <c r="CS5" s="333">
        <f>CR16*(1+$G$2)</f>
      </c>
      <c r="CT5" s="333">
        <f>CS16*(1+$G$2)</f>
      </c>
      <c r="CU5" s="333">
        <f>CT16*(1+$G$2)</f>
      </c>
      <c r="CV5" s="333">
        <f>CU16*(1+$G$2)</f>
      </c>
      <c r="CW5" s="333">
        <f>CV16*(1+$G$2)</f>
      </c>
      <c r="CX5" s="333">
        <f>CW16*(1+$G$2)</f>
      </c>
      <c r="CY5" s="333">
        <f>CX16*(1+$G$2)</f>
      </c>
      <c r="CZ5" s="333">
        <f>CY16*(1+$G$2)</f>
      </c>
      <c r="DA5" s="333">
        <f>CZ16*(1+$G$2)</f>
      </c>
      <c r="DB5" s="333">
        <f>DA16*(1+$G$2)</f>
      </c>
      <c r="DC5" s="333">
        <f>DB16*(1+$G$2)</f>
      </c>
      <c r="DD5" s="333">
        <f>DC16*(1+$G$2)</f>
      </c>
      <c r="DE5" s="333">
        <f>DD16*(1+$G$2)</f>
      </c>
      <c r="DF5" s="333">
        <f>DE16*(1+$G$2)</f>
      </c>
      <c r="DG5" s="333">
        <f>DF16*(1+$G$2)</f>
      </c>
      <c r="DH5" s="333">
        <f>DG16*(1+$G$2)</f>
      </c>
      <c r="DI5" s="333">
        <f>DH16*(1+$G$2)</f>
      </c>
      <c r="DJ5" s="333">
        <f>DI16*(1+$G$2)</f>
      </c>
      <c r="DK5" s="333">
        <f>DJ16*(1+$G$2)</f>
      </c>
      <c r="DL5" s="333">
        <f>DK16*(1+$G$2)</f>
      </c>
      <c r="DM5" s="333">
        <f>DL16*(1+$G$2)</f>
      </c>
      <c r="DN5" s="333">
        <f>DM16*(1+$G$2)</f>
      </c>
      <c r="DO5" s="333">
        <f>DN16*(1+$G$2)</f>
      </c>
      <c r="DP5" s="333">
        <f>DO16*(1+$G$2)</f>
      </c>
      <c r="DQ5" s="333">
        <f>DP16*(1+$G$2)</f>
      </c>
      <c r="DR5" s="333">
        <f>DQ16*(1+$G$2)</f>
      </c>
      <c r="DS5" s="333">
        <f>DR16*(1+$G$2)</f>
      </c>
      <c r="DT5" s="333">
        <f>DS16*(1+$G$2)</f>
      </c>
      <c r="DU5" s="333">
        <f>DT16*(1+$G$2)</f>
      </c>
      <c r="DV5" s="333">
        <f>DU16*(1+$G$2)</f>
      </c>
      <c r="DW5" s="333">
        <f>DV16*(1+$G$2)</f>
      </c>
      <c r="DX5" s="333">
        <f>DW16*(1+$G$2)</f>
      </c>
      <c r="DY5" s="170"/>
      <c r="DZ5" s="170"/>
      <c r="EA5" s="170"/>
      <c r="EB5" s="170"/>
      <c r="EC5" s="170"/>
      <c r="ED5" s="170"/>
      <c r="EE5" s="170"/>
      <c r="EF5" s="170"/>
      <c r="EG5" s="170"/>
      <c r="EH5" s="170"/>
      <c r="EI5" s="170"/>
      <c r="EJ5" s="170"/>
      <c r="EK5" s="170"/>
      <c r="EL5" s="170"/>
      <c r="EM5" s="170"/>
      <c r="EN5" s="170"/>
      <c r="EO5" s="170"/>
      <c r="EP5" s="170"/>
    </row>
    <row x14ac:dyDescent="0.25" r="6" customHeight="1" ht="18.75">
      <c r="A6" s="1" t="s">
        <v>1153</v>
      </c>
      <c r="B6" s="333">
        <f>B7*(1-$G$1)</f>
      </c>
      <c r="C6" s="333">
        <f>C7*(1-$G$1)</f>
      </c>
      <c r="D6" s="333">
        <f>D7*(1-$G$1)</f>
      </c>
      <c r="E6" s="333">
        <f>E7*(1-$G$1)</f>
      </c>
      <c r="F6" s="333">
        <f>F7*(1-$G$1)</f>
      </c>
      <c r="G6" s="333">
        <f>G7*(1-$G$1)</f>
      </c>
      <c r="H6" s="333">
        <f>H7*(1-$G$1)</f>
      </c>
      <c r="I6" s="333">
        <f>I7*(1-$G$1)</f>
      </c>
      <c r="J6" s="333">
        <f>J7*(1-$G$1)</f>
      </c>
      <c r="K6" s="333">
        <f>K7*(1-$G$1)</f>
      </c>
      <c r="L6" s="333">
        <f>L7*(1-$G$1)</f>
      </c>
      <c r="M6" s="333">
        <f>M7*(1-$G$1)</f>
      </c>
      <c r="N6" s="333">
        <f>N7*(1-$G$1)</f>
      </c>
      <c r="O6" s="333">
        <f>O7*(1-$G$1)</f>
      </c>
      <c r="P6" s="333">
        <f>P7*(1-$G$1)</f>
      </c>
      <c r="Q6" s="333">
        <f>Q7*(1-$G$1)</f>
      </c>
      <c r="R6" s="333">
        <f>R7*(1-$G$1)</f>
      </c>
      <c r="S6" s="333">
        <f>S7*(1-$G$1)</f>
      </c>
      <c r="T6" s="333">
        <f>T7*(1-$G$1)</f>
      </c>
      <c r="U6" s="333">
        <f>U7*(1-$G$1)</f>
      </c>
      <c r="V6" s="333">
        <f>V7*(1-$G$1)</f>
      </c>
      <c r="W6" s="333">
        <f>W7*(1-$G$1)</f>
      </c>
      <c r="X6" s="333">
        <f>X7*(1-$G$1)</f>
      </c>
      <c r="Y6" s="333">
        <f>Y7*(1-$G$1)</f>
      </c>
      <c r="Z6" s="333">
        <f>Z7*(1-$G$1)</f>
      </c>
      <c r="AA6" s="333">
        <f>AA7*(1-$G$1)</f>
      </c>
      <c r="AB6" s="1085">
        <v>19.003473222933714</v>
      </c>
      <c r="AC6" s="1085">
        <v>21.663959474144434</v>
      </c>
      <c r="AD6" s="1086">
        <v>24.870225476317813</v>
      </c>
      <c r="AE6" s="1086">
        <v>28.177965464668084</v>
      </c>
      <c r="AF6" s="1086">
        <v>31.531143354963586</v>
      </c>
      <c r="AG6" s="1086">
        <v>34.589664260395054</v>
      </c>
      <c r="AH6" s="1086">
        <v>37.70273404383061</v>
      </c>
      <c r="AI6" s="1086">
        <v>39.96489808646045</v>
      </c>
      <c r="AJ6" s="1086">
        <v>41.68338870417825</v>
      </c>
      <c r="AK6" s="1086">
        <v>44.2677588038373</v>
      </c>
      <c r="AL6" s="1086">
        <v>47.499305196517426</v>
      </c>
      <c r="AM6" s="1086">
        <v>50.30176420311195</v>
      </c>
      <c r="AN6" s="1086">
        <v>53.722284168923565</v>
      </c>
      <c r="AO6" s="1086">
        <v>55.871175535680514</v>
      </c>
      <c r="AP6" s="1086">
        <v>58.664734312464546</v>
      </c>
      <c r="AQ6" s="1086">
        <v>61.480641559462846</v>
      </c>
      <c r="AR6" s="1086">
        <v>63.755425297162965</v>
      </c>
      <c r="AS6" s="1086">
        <v>65.34931092959204</v>
      </c>
      <c r="AT6" s="1086">
        <v>66.5255985263247</v>
      </c>
      <c r="AU6" s="1086">
        <v>67.72305929979855</v>
      </c>
      <c r="AV6" s="1086">
        <v>69.75475107879251</v>
      </c>
      <c r="AW6" s="1086">
        <v>72.40543161978663</v>
      </c>
      <c r="AX6" s="1086">
        <v>74.65</v>
      </c>
      <c r="AY6" s="1086">
        <v>77.518</v>
      </c>
      <c r="AZ6" s="1086">
        <v>79.173</v>
      </c>
      <c r="BA6" s="1086">
        <v>81.786</v>
      </c>
      <c r="BB6" s="1086">
        <v>85.035</v>
      </c>
      <c r="BC6" s="1086">
        <v>87.087</v>
      </c>
      <c r="BD6" s="1086">
        <v>90.89</v>
      </c>
      <c r="BE6" s="1086">
        <v>91.491</v>
      </c>
      <c r="BF6" s="1086">
        <v>92.254</v>
      </c>
      <c r="BG6" s="1086">
        <v>95.565</v>
      </c>
      <c r="BH6" s="1086">
        <v>97.452</v>
      </c>
      <c r="BI6" s="1086">
        <v>100.136</v>
      </c>
      <c r="BJ6" s="1086">
        <v>100.118</v>
      </c>
      <c r="BK6" s="1086">
        <v>99.043</v>
      </c>
      <c r="BL6" s="1086">
        <v>98.208</v>
      </c>
      <c r="BM6" s="1086">
        <v>101.122</v>
      </c>
      <c r="BN6" s="1085">
        <v>102.208</v>
      </c>
      <c r="BO6" s="1085">
        <v>103.322</v>
      </c>
      <c r="BP6" s="1085">
        <v>104.078</v>
      </c>
      <c r="BQ6" s="1085">
        <v>104.061</v>
      </c>
      <c r="BR6" s="1085">
        <v>111.966527232</v>
      </c>
      <c r="BS6" s="333">
        <f>BS5*(1+$G$2)</f>
      </c>
      <c r="BT6" s="333">
        <f>BU5*(1+$G$2)</f>
      </c>
      <c r="BU6" s="333">
        <f>BV5*(1+$G$2)</f>
      </c>
      <c r="BV6" s="333">
        <f>BW5*(1+$G$2)</f>
      </c>
      <c r="BW6" s="333">
        <f>BX5*(1+$G$2)</f>
      </c>
      <c r="BX6" s="333">
        <f>BY5*(1+$G$2)</f>
      </c>
      <c r="BY6" s="333">
        <f>BZ5*(1+$G$2)</f>
      </c>
      <c r="BZ6" s="333">
        <f>CA5*(1+$G$2)</f>
      </c>
      <c r="CA6" s="333">
        <f>CB5*(1+$G$2)</f>
      </c>
      <c r="CB6" s="333">
        <f>CC5*(1+$G$2)</f>
      </c>
      <c r="CC6" s="333">
        <f>CD5*(1+$G$2)</f>
      </c>
      <c r="CD6" s="333">
        <f>CE5*(1+$G$2)</f>
      </c>
      <c r="CE6" s="333">
        <f>CF5*(1+$G$2)</f>
      </c>
      <c r="CF6" s="333">
        <f>CG5*(1+$G$2)</f>
      </c>
      <c r="CG6" s="333">
        <f>CH5*(1+$G$2)</f>
      </c>
      <c r="CH6" s="333">
        <f>CI5*(1+$G$2)</f>
      </c>
      <c r="CI6" s="333">
        <f>CJ5*(1+$G$2)</f>
      </c>
      <c r="CJ6" s="333">
        <f>CK5*(1+$G$2)</f>
      </c>
      <c r="CK6" s="333">
        <f>CL5*(1+$G$2)</f>
      </c>
      <c r="CL6" s="333">
        <f>CM5*(1+$G$2)</f>
      </c>
      <c r="CM6" s="333">
        <f>CN5*(1+$G$2)</f>
      </c>
      <c r="CN6" s="333">
        <f>CO5*(1+$G$2)</f>
      </c>
      <c r="CO6" s="333">
        <f>CP5*(1+$G$2)</f>
      </c>
      <c r="CP6" s="333">
        <f>CQ5*(1+$G$2)</f>
      </c>
      <c r="CQ6" s="333">
        <f>CR5*(1+$G$2)</f>
      </c>
      <c r="CR6" s="333">
        <f>CS5*(1+$G$2)</f>
      </c>
      <c r="CS6" s="333">
        <f>CT5*(1+$G$2)</f>
      </c>
      <c r="CT6" s="333">
        <f>CU5*(1+$G$2)</f>
      </c>
      <c r="CU6" s="333">
        <f>CU5*(1+$G$2)</f>
      </c>
      <c r="CV6" s="333">
        <f>CV5*(1+$G$2)</f>
      </c>
      <c r="CW6" s="333">
        <f>CW5*(1+$G$2)</f>
      </c>
      <c r="CX6" s="333">
        <f>CX5*(1+$G$2)</f>
      </c>
      <c r="CY6" s="333">
        <f>CY5*(1+$G$2)</f>
      </c>
      <c r="CZ6" s="333">
        <f>CZ5*(1+$G$2)</f>
      </c>
      <c r="DA6" s="333">
        <f>DA5*(1+$G$2)</f>
      </c>
      <c r="DB6" s="333">
        <f>DB5*(1+$G$2)</f>
      </c>
      <c r="DC6" s="333">
        <f>DC5*(1+$G$2)</f>
      </c>
      <c r="DD6" s="333">
        <f>DD5*(1+$G$2)</f>
      </c>
      <c r="DE6" s="333">
        <f>DE5*(1+$G$2)</f>
      </c>
      <c r="DF6" s="333">
        <f>DF5*(1+$G$2)</f>
      </c>
      <c r="DG6" s="333">
        <f>DG5*(1+$G$2)</f>
      </c>
      <c r="DH6" s="333">
        <f>DH5*(1+$G$2)</f>
      </c>
      <c r="DI6" s="333">
        <f>DI5*(1+$G$2)</f>
      </c>
      <c r="DJ6" s="333">
        <f>DJ5*(1+$G$2)</f>
      </c>
      <c r="DK6" s="333">
        <f>DK5*(1+$G$2)</f>
      </c>
      <c r="DL6" s="333">
        <f>DL5*(1+$G$2)</f>
      </c>
      <c r="DM6" s="333">
        <f>DM5*(1+$G$2)</f>
      </c>
      <c r="DN6" s="333">
        <f>DN5*(1+$G$2)</f>
      </c>
      <c r="DO6" s="333">
        <f>DO5*(1+$G$2)</f>
      </c>
      <c r="DP6" s="333">
        <f>DP5*(1+$G$2)</f>
      </c>
      <c r="DQ6" s="333">
        <f>DQ5*(1+$G$2)</f>
      </c>
      <c r="DR6" s="333">
        <f>DR5*(1+$G$2)</f>
      </c>
      <c r="DS6" s="333">
        <f>DS5*(1+$G$2)</f>
      </c>
      <c r="DT6" s="333">
        <f>DT5*(1+$G$2)</f>
      </c>
      <c r="DU6" s="333">
        <f>DU5*(1+$G$2)</f>
      </c>
      <c r="DV6" s="333">
        <f>DV5*(1+$G$2)</f>
      </c>
      <c r="DW6" s="333">
        <f>DW5*(1+$G$2)</f>
      </c>
      <c r="DX6" s="333">
        <f>DX5*(1+$G$2)</f>
      </c>
      <c r="DY6" s="170"/>
      <c r="DZ6" s="170"/>
      <c r="EA6" s="170"/>
      <c r="EB6" s="170"/>
      <c r="EC6" s="170"/>
      <c r="ED6" s="170"/>
      <c r="EE6" s="170"/>
      <c r="EF6" s="170"/>
      <c r="EG6" s="170"/>
      <c r="EH6" s="170"/>
      <c r="EI6" s="170"/>
      <c r="EJ6" s="170"/>
      <c r="EK6" s="170"/>
      <c r="EL6" s="170"/>
      <c r="EM6" s="170"/>
      <c r="EN6" s="170"/>
      <c r="EO6" s="170"/>
      <c r="EP6" s="170"/>
    </row>
    <row x14ac:dyDescent="0.25" r="7" customHeight="1" ht="18.75">
      <c r="A7" s="1" t="s">
        <v>1154</v>
      </c>
      <c r="B7" s="333">
        <f>B8*(1-$G$1)</f>
      </c>
      <c r="C7" s="333">
        <f>C8*(1-$G$1)</f>
      </c>
      <c r="D7" s="333">
        <f>D8*(1-$G$1)</f>
      </c>
      <c r="E7" s="333">
        <f>E8*(1-$G$1)</f>
      </c>
      <c r="F7" s="333">
        <f>F8*(1-$G$1)</f>
      </c>
      <c r="G7" s="333">
        <f>G8*(1-$G$1)</f>
      </c>
      <c r="H7" s="333">
        <f>H8*(1-$G$1)</f>
      </c>
      <c r="I7" s="333">
        <f>I8*(1-$G$1)</f>
      </c>
      <c r="J7" s="333">
        <f>J8*(1-$G$1)</f>
      </c>
      <c r="K7" s="333">
        <f>K8*(1-$G$1)</f>
      </c>
      <c r="L7" s="333">
        <f>L8*(1-$G$1)</f>
      </c>
      <c r="M7" s="333">
        <f>M8*(1-$G$1)</f>
      </c>
      <c r="N7" s="333">
        <f>N8*(1-$G$1)</f>
      </c>
      <c r="O7" s="333">
        <f>O8*(1-$G$1)</f>
      </c>
      <c r="P7" s="333">
        <f>P8*(1-$G$1)</f>
      </c>
      <c r="Q7" s="333">
        <f>Q8*(1-$G$1)</f>
      </c>
      <c r="R7" s="333">
        <f>R8*(1-$G$1)</f>
      </c>
      <c r="S7" s="333">
        <f>S8*(1-$G$1)</f>
      </c>
      <c r="T7" s="333">
        <f>T8*(1-$G$1)</f>
      </c>
      <c r="U7" s="333">
        <f>U8*(1-$G$1)</f>
      </c>
      <c r="V7" s="333">
        <f>V8*(1-$G$1)</f>
      </c>
      <c r="W7" s="333">
        <f>W8*(1-$G$1)</f>
      </c>
      <c r="X7" s="333">
        <f>X8*(1-$G$1)</f>
      </c>
      <c r="Y7" s="333">
        <f>Y8*(1-$G$1)</f>
      </c>
      <c r="Z7" s="333">
        <f>Z8*(1-$G$1)</f>
      </c>
      <c r="AA7" s="333">
        <f>AA8*(1-$G$1)</f>
      </c>
      <c r="AB7" s="1085">
        <v>19.178520784798355</v>
      </c>
      <c r="AC7" s="1085">
        <v>22.170370027226898</v>
      </c>
      <c r="AD7" s="1086">
        <v>25.18554035092976</v>
      </c>
      <c r="AE7" s="1086">
        <v>28.40928951584877</v>
      </c>
      <c r="AF7" s="1086">
        <v>31.875222836782317</v>
      </c>
      <c r="AG7" s="1086">
        <v>34.903369006276634</v>
      </c>
      <c r="AH7" s="1086">
        <v>37.90505874081643</v>
      </c>
      <c r="AI7" s="1086">
        <v>40.29307744148786</v>
      </c>
      <c r="AJ7" s="1086">
        <v>42.10626592635481</v>
      </c>
      <c r="AK7" s="1086">
        <v>44.67474814786245</v>
      </c>
      <c r="AL7" s="1086">
        <v>47.80198051821282</v>
      </c>
      <c r="AM7" s="1086">
        <v>50.62229736878737</v>
      </c>
      <c r="AN7" s="1086">
        <v>54.1152358872337</v>
      </c>
      <c r="AO7" s="1086">
        <v>56.279845322723055</v>
      </c>
      <c r="AP7" s="1086">
        <v>59.09383758885921</v>
      </c>
      <c r="AQ7" s="1086">
        <v>62.107623305891025</v>
      </c>
      <c r="AR7" s="1086">
        <v>64.21928249829132</v>
      </c>
      <c r="AS7" s="1086">
        <v>65.63210671325373</v>
      </c>
      <c r="AT7" s="1086">
        <v>66.8134846340923</v>
      </c>
      <c r="AU7" s="1086">
        <v>68.28338129604234</v>
      </c>
      <c r="AV7" s="1086">
        <v>70.26359935362755</v>
      </c>
      <c r="AW7" s="1086">
        <v>73.00387972841902</v>
      </c>
      <c r="AX7" s="1086">
        <v>75.267</v>
      </c>
      <c r="AY7" s="1086">
        <v>78.056</v>
      </c>
      <c r="AZ7" s="1086">
        <v>79.726</v>
      </c>
      <c r="BA7" s="1086">
        <v>82.433</v>
      </c>
      <c r="BB7" s="1086">
        <v>85.637</v>
      </c>
      <c r="BC7" s="1086">
        <v>87.747</v>
      </c>
      <c r="BD7" s="1086">
        <v>91.697</v>
      </c>
      <c r="BE7" s="1086">
        <v>91.641</v>
      </c>
      <c r="BF7" s="1086">
        <v>92.938</v>
      </c>
      <c r="BG7" s="1086">
        <v>96.28</v>
      </c>
      <c r="BH7" s="1086">
        <v>98.108</v>
      </c>
      <c r="BI7" s="1086">
        <v>100.488</v>
      </c>
      <c r="BJ7" s="1086">
        <v>100.342</v>
      </c>
      <c r="BK7" s="1086">
        <v>99.676</v>
      </c>
      <c r="BL7" s="1086">
        <v>98.838</v>
      </c>
      <c r="BM7" s="1086">
        <v>101.101</v>
      </c>
      <c r="BN7" s="1085">
        <v>102.329</v>
      </c>
      <c r="BO7" s="1085">
        <v>103.698</v>
      </c>
      <c r="BP7" s="1085">
        <v>103.679</v>
      </c>
      <c r="BQ7" s="1085">
        <v>105.07</v>
      </c>
      <c r="BR7" s="1085">
        <v>115.32552304896001</v>
      </c>
      <c r="BS7" s="333">
        <f>BT6*(1+$G$2)</f>
      </c>
      <c r="BT7" s="333">
        <f>BU6*(1+$G$2)</f>
      </c>
      <c r="BU7" s="333">
        <f>BV6*(1+$G$2)</f>
      </c>
      <c r="BV7" s="333">
        <f>BW6*(1+$G$2)</f>
      </c>
      <c r="BW7" s="333">
        <f>BX6*(1+$G$2)</f>
      </c>
      <c r="BX7" s="333">
        <f>BY6*(1+$G$2)</f>
      </c>
      <c r="BY7" s="333">
        <f>BZ6*(1+$G$2)</f>
      </c>
      <c r="BZ7" s="333">
        <f>CA6*(1+$G$2)</f>
      </c>
      <c r="CA7" s="333">
        <f>CB6*(1+$G$2)</f>
      </c>
      <c r="CB7" s="333">
        <f>CC6*(1+$G$2)</f>
      </c>
      <c r="CC7" s="333">
        <f>CD6*(1+$G$2)</f>
      </c>
      <c r="CD7" s="333">
        <f>CE6*(1+$G$2)</f>
      </c>
      <c r="CE7" s="333">
        <f>CF6*(1+$G$2)</f>
      </c>
      <c r="CF7" s="333">
        <f>CG6*(1+$G$2)</f>
      </c>
      <c r="CG7" s="333">
        <f>CH6*(1+$G$2)</f>
      </c>
      <c r="CH7" s="333">
        <f>CI6*(1+$G$2)</f>
      </c>
      <c r="CI7" s="333">
        <f>CJ6*(1+$G$2)</f>
      </c>
      <c r="CJ7" s="333">
        <f>CK6*(1+$G$2)</f>
      </c>
      <c r="CK7" s="333">
        <f>CL6*(1+$G$2)</f>
      </c>
      <c r="CL7" s="333">
        <f>CM6*(1+$G$2)</f>
      </c>
      <c r="CM7" s="333">
        <f>CN6*(1+$G$2)</f>
      </c>
      <c r="CN7" s="333">
        <f>CO6*(1+$G$2)</f>
      </c>
      <c r="CO7" s="333">
        <f>CP6*(1+$G$2)</f>
      </c>
      <c r="CP7" s="333">
        <f>CQ6*(1+$G$2)</f>
      </c>
      <c r="CQ7" s="333">
        <f>CR6*(1+$G$2)</f>
      </c>
      <c r="CR7" s="333">
        <f>CS6*(1+$G$2)</f>
      </c>
      <c r="CS7" s="333">
        <f>CT6*(1+$G$2)</f>
      </c>
      <c r="CT7" s="333">
        <f>CU6*(1+$G$2)</f>
      </c>
      <c r="CU7" s="333">
        <f>CU6*(1+$G$2)</f>
      </c>
      <c r="CV7" s="333">
        <f>CV6*(1+$G$2)</f>
      </c>
      <c r="CW7" s="333">
        <f>CW6*(1+$G$2)</f>
      </c>
      <c r="CX7" s="333">
        <f>CX6*(1+$G$2)</f>
      </c>
      <c r="CY7" s="333">
        <f>CY6*(1+$G$2)</f>
      </c>
      <c r="CZ7" s="333">
        <f>CZ6*(1+$G$2)</f>
      </c>
      <c r="DA7" s="333">
        <f>DA6*(1+$G$2)</f>
      </c>
      <c r="DB7" s="333">
        <f>DB6*(1+$G$2)</f>
      </c>
      <c r="DC7" s="333">
        <f>DC6*(1+$G$2)</f>
      </c>
      <c r="DD7" s="333">
        <f>DD6*(1+$G$2)</f>
      </c>
      <c r="DE7" s="333">
        <f>DE6*(1+$G$2)</f>
      </c>
      <c r="DF7" s="333">
        <f>DF6*(1+$G$2)</f>
      </c>
      <c r="DG7" s="333">
        <f>DG6*(1+$G$2)</f>
      </c>
      <c r="DH7" s="333">
        <f>DH6*(1+$G$2)</f>
      </c>
      <c r="DI7" s="333">
        <f>DI6*(1+$G$2)</f>
      </c>
      <c r="DJ7" s="333">
        <f>DJ6*(1+$G$2)</f>
      </c>
      <c r="DK7" s="333">
        <f>DK6*(1+$G$2)</f>
      </c>
      <c r="DL7" s="333">
        <f>DL6*(1+$G$2)</f>
      </c>
      <c r="DM7" s="333">
        <f>DM6*(1+$G$2)</f>
      </c>
      <c r="DN7" s="333">
        <f>DN6*(1+$G$2)</f>
      </c>
      <c r="DO7" s="333">
        <f>DO6*(1+$G$2)</f>
      </c>
      <c r="DP7" s="333">
        <f>DP6*(1+$G$2)</f>
      </c>
      <c r="DQ7" s="333">
        <f>DQ6*(1+$G$2)</f>
      </c>
      <c r="DR7" s="333">
        <f>DR6*(1+$G$2)</f>
      </c>
      <c r="DS7" s="333">
        <f>DS6*(1+$G$2)</f>
      </c>
      <c r="DT7" s="333">
        <f>DT6*(1+$G$2)</f>
      </c>
      <c r="DU7" s="333">
        <f>DU6*(1+$G$2)</f>
      </c>
      <c r="DV7" s="333">
        <f>DV6*(1+$G$2)</f>
      </c>
      <c r="DW7" s="333">
        <f>DW6*(1+$G$2)</f>
      </c>
      <c r="DX7" s="333">
        <f>DX6*(1+$G$2)</f>
      </c>
      <c r="DY7" s="170"/>
      <c r="DZ7" s="170"/>
      <c r="EA7" s="170"/>
      <c r="EB7" s="170"/>
      <c r="EC7" s="170"/>
      <c r="ED7" s="170"/>
      <c r="EE7" s="170"/>
      <c r="EF7" s="170"/>
      <c r="EG7" s="170"/>
      <c r="EH7" s="170"/>
      <c r="EI7" s="170"/>
      <c r="EJ7" s="170"/>
      <c r="EK7" s="170"/>
      <c r="EL7" s="170"/>
      <c r="EM7" s="170"/>
      <c r="EN7" s="170"/>
      <c r="EO7" s="170"/>
      <c r="EP7" s="170"/>
    </row>
    <row x14ac:dyDescent="0.25" r="8" customHeight="1" ht="18.75">
      <c r="A8" s="1" t="s">
        <v>1155</v>
      </c>
      <c r="B8" s="333">
        <f>B9*(1-$G$1)</f>
      </c>
      <c r="C8" s="333">
        <f>C9*(1-$G$1)</f>
      </c>
      <c r="D8" s="333">
        <f>D9*(1-$G$1)</f>
      </c>
      <c r="E8" s="333">
        <f>E9*(1-$G$1)</f>
      </c>
      <c r="F8" s="333">
        <f>F9*(1-$G$1)</f>
      </c>
      <c r="G8" s="333">
        <f>G9*(1-$G$1)</f>
      </c>
      <c r="H8" s="333">
        <f>H9*(1-$G$1)</f>
      </c>
      <c r="I8" s="333">
        <f>I9*(1-$G$1)</f>
      </c>
      <c r="J8" s="333">
        <f>J9*(1-$G$1)</f>
      </c>
      <c r="K8" s="333">
        <f>K9*(1-$G$1)</f>
      </c>
      <c r="L8" s="333">
        <f>L9*(1-$G$1)</f>
      </c>
      <c r="M8" s="333">
        <f>M9*(1-$G$1)</f>
      </c>
      <c r="N8" s="333">
        <f>N9*(1-$G$1)</f>
      </c>
      <c r="O8" s="333">
        <f>O9*(1-$G$1)</f>
      </c>
      <c r="P8" s="333">
        <f>P9*(1-$G$1)</f>
      </c>
      <c r="Q8" s="333">
        <f>Q9*(1-$G$1)</f>
      </c>
      <c r="R8" s="333">
        <f>R9*(1-$G$1)</f>
      </c>
      <c r="S8" s="333">
        <f>S9*(1-$G$1)</f>
      </c>
      <c r="T8" s="333">
        <f>T9*(1-$G$1)</f>
      </c>
      <c r="U8" s="333">
        <f>U9*(1-$G$1)</f>
      </c>
      <c r="V8" s="333">
        <f>V9*(1-$G$1)</f>
      </c>
      <c r="W8" s="333">
        <f>W9*(1-$G$1)</f>
      </c>
      <c r="X8" s="333">
        <f>X9*(1-$G$1)</f>
      </c>
      <c r="Y8" s="333">
        <f>Y9*(1-$G$1)</f>
      </c>
      <c r="Z8" s="333">
        <f>Z9*(1-$G$1)</f>
      </c>
      <c r="AA8" s="333">
        <f>AA9*(1-$G$1)</f>
      </c>
      <c r="AB8" s="1085">
        <v>19.379515359798468</v>
      </c>
      <c r="AC8" s="1085">
        <v>22.402719755927027</v>
      </c>
      <c r="AD8" s="1086">
        <v>25.53910052175681</v>
      </c>
      <c r="AE8" s="1086">
        <v>28.833644489063442</v>
      </c>
      <c r="AF8" s="1086">
        <v>32.06301267183855</v>
      </c>
      <c r="AG8" s="1086">
        <v>35.333439964366086</v>
      </c>
      <c r="AH8" s="1086">
        <v>38.08944828158664</v>
      </c>
      <c r="AI8" s="1086">
        <v>40.4890835233266</v>
      </c>
      <c r="AJ8" s="1086">
        <v>42.068157780736335</v>
      </c>
      <c r="AK8" s="1086">
        <v>44.88672435204567</v>
      </c>
      <c r="AL8" s="1086">
        <v>48.028795056688864</v>
      </c>
      <c r="AM8" s="1086">
        <v>50.8624939650335</v>
      </c>
      <c r="AN8" s="1086">
        <v>54.16855607276068</v>
      </c>
      <c r="AO8" s="1086">
        <v>56.66030965210768</v>
      </c>
      <c r="AP8" s="1086">
        <v>59.43666482506095</v>
      </c>
      <c r="AQ8" s="1086">
        <v>62.527371395964124</v>
      </c>
      <c r="AR8" s="1086">
        <v>64.71582939482286</v>
      </c>
      <c r="AS8" s="1086">
        <v>65.81599849453485</v>
      </c>
      <c r="AT8" s="1086">
        <v>67.13231846442555</v>
      </c>
      <c r="AU8" s="1086">
        <v>68.74349410757176</v>
      </c>
      <c r="AV8" s="1086">
        <v>70.80579893079891</v>
      </c>
      <c r="AW8" s="1086">
        <v>73.63803088803088</v>
      </c>
      <c r="AX8" s="1086">
        <v>76.289</v>
      </c>
      <c r="AY8" s="1086">
        <v>78.691</v>
      </c>
      <c r="AZ8" s="1086">
        <v>80.817</v>
      </c>
      <c r="BA8" s="1086">
        <v>83.62</v>
      </c>
      <c r="BB8" s="1086">
        <v>86.845</v>
      </c>
      <c r="BC8" s="1086">
        <v>88.959</v>
      </c>
      <c r="BD8" s="1086">
        <v>92.684</v>
      </c>
      <c r="BE8" s="1086">
        <v>92.536</v>
      </c>
      <c r="BF8" s="1086">
        <v>93.928</v>
      </c>
      <c r="BG8" s="1086">
        <v>97.478</v>
      </c>
      <c r="BH8" s="1086">
        <v>99.486</v>
      </c>
      <c r="BI8" s="1086">
        <v>100.864</v>
      </c>
      <c r="BJ8" s="1086">
        <v>101.235</v>
      </c>
      <c r="BK8" s="1086">
        <v>100.592</v>
      </c>
      <c r="BL8" s="1086">
        <v>99.531</v>
      </c>
      <c r="BM8" s="1086">
        <v>102.073</v>
      </c>
      <c r="BN8" s="1085">
        <v>103.174</v>
      </c>
      <c r="BO8" s="1085">
        <v>104.743</v>
      </c>
      <c r="BP8" s="1085">
        <v>103.992</v>
      </c>
      <c r="BQ8" s="1085">
        <v>106.311</v>
      </c>
      <c r="BR8" s="333">
        <f>BS7*(1+$G$2)</f>
      </c>
      <c r="BS8" s="333">
        <f>BT7*(1+$G$2)</f>
      </c>
      <c r="BT8" s="333">
        <f>BU7*(1+$G$2)</f>
      </c>
      <c r="BU8" s="333">
        <f>BV7*(1+$G$2)</f>
      </c>
      <c r="BV8" s="333">
        <f>BW7*(1+$G$2)</f>
      </c>
      <c r="BW8" s="333">
        <f>BX7*(1+$G$2)</f>
      </c>
      <c r="BX8" s="333">
        <f>BY7*(1+$G$2)</f>
      </c>
      <c r="BY8" s="333">
        <f>BZ7*(1+$G$2)</f>
      </c>
      <c r="BZ8" s="333">
        <f>CA7*(1+$G$2)</f>
      </c>
      <c r="CA8" s="333">
        <f>CB7*(1+$G$2)</f>
      </c>
      <c r="CB8" s="333">
        <f>CC7*(1+$G$2)</f>
      </c>
      <c r="CC8" s="333">
        <f>CD7*(1+$G$2)</f>
      </c>
      <c r="CD8" s="333">
        <f>CE7*(1+$G$2)</f>
      </c>
      <c r="CE8" s="333">
        <f>CF7*(1+$G$2)</f>
      </c>
      <c r="CF8" s="333">
        <f>CG7*(1+$G$2)</f>
      </c>
      <c r="CG8" s="333">
        <f>CH7*(1+$G$2)</f>
      </c>
      <c r="CH8" s="333">
        <f>CI7*(1+$G$2)</f>
      </c>
      <c r="CI8" s="333">
        <f>CJ7*(1+$G$2)</f>
      </c>
      <c r="CJ8" s="333">
        <f>CK7*(1+$G$2)</f>
      </c>
      <c r="CK8" s="333">
        <f>CL7*(1+$G$2)</f>
      </c>
      <c r="CL8" s="333">
        <f>CM7*(1+$G$2)</f>
      </c>
      <c r="CM8" s="333">
        <f>CN7*(1+$G$2)</f>
      </c>
      <c r="CN8" s="333">
        <f>CO7*(1+$G$2)</f>
      </c>
      <c r="CO8" s="333">
        <f>CP7*(1+$G$2)</f>
      </c>
      <c r="CP8" s="333">
        <f>CQ7*(1+$G$2)</f>
      </c>
      <c r="CQ8" s="333">
        <f>CR7*(1+$G$2)</f>
      </c>
      <c r="CR8" s="333">
        <f>CS7*(1+$G$2)</f>
      </c>
      <c r="CS8" s="333">
        <f>CT7*(1+$G$2)</f>
      </c>
      <c r="CT8" s="333">
        <f>CU7*(1+$G$2)</f>
      </c>
      <c r="CU8" s="333">
        <f>CU7*(1+$G$2)</f>
      </c>
      <c r="CV8" s="333">
        <f>CV7*(1+$G$2)</f>
      </c>
      <c r="CW8" s="333">
        <f>CW7*(1+$G$2)</f>
      </c>
      <c r="CX8" s="333">
        <f>CX7*(1+$G$2)</f>
      </c>
      <c r="CY8" s="333">
        <f>CY7*(1+$G$2)</f>
      </c>
      <c r="CZ8" s="333">
        <f>CZ7*(1+$G$2)</f>
      </c>
      <c r="DA8" s="333">
        <f>DA7*(1+$G$2)</f>
      </c>
      <c r="DB8" s="333">
        <f>DB7*(1+$G$2)</f>
      </c>
      <c r="DC8" s="333">
        <f>DC7*(1+$G$2)</f>
      </c>
      <c r="DD8" s="333">
        <f>DD7*(1+$G$2)</f>
      </c>
      <c r="DE8" s="333">
        <f>DE7*(1+$G$2)</f>
      </c>
      <c r="DF8" s="333">
        <f>DF7*(1+$G$2)</f>
      </c>
      <c r="DG8" s="333">
        <f>DG7*(1+$G$2)</f>
      </c>
      <c r="DH8" s="333">
        <f>DH7*(1+$G$2)</f>
      </c>
      <c r="DI8" s="333">
        <f>DI7*(1+$G$2)</f>
      </c>
      <c r="DJ8" s="333">
        <f>DJ7*(1+$G$2)</f>
      </c>
      <c r="DK8" s="333">
        <f>DK7*(1+$G$2)</f>
      </c>
      <c r="DL8" s="333">
        <f>DL7*(1+$G$2)</f>
      </c>
      <c r="DM8" s="333">
        <f>DM7*(1+$G$2)</f>
      </c>
      <c r="DN8" s="333">
        <f>DN7*(1+$G$2)</f>
      </c>
      <c r="DO8" s="333">
        <f>DO7*(1+$G$2)</f>
      </c>
      <c r="DP8" s="333">
        <f>DP7*(1+$G$2)</f>
      </c>
      <c r="DQ8" s="333">
        <f>DQ7*(1+$G$2)</f>
      </c>
      <c r="DR8" s="333">
        <f>DR7*(1+$G$2)</f>
      </c>
      <c r="DS8" s="333">
        <f>DS7*(1+$G$2)</f>
      </c>
      <c r="DT8" s="333">
        <f>DT7*(1+$G$2)</f>
      </c>
      <c r="DU8" s="333">
        <f>DU7*(1+$G$2)</f>
      </c>
      <c r="DV8" s="333">
        <f>DV7*(1+$G$2)</f>
      </c>
      <c r="DW8" s="333">
        <f>DW7*(1+$G$2)</f>
      </c>
      <c r="DX8" s="333">
        <f>DX7*(1+$G$2)</f>
      </c>
      <c r="DY8" s="170"/>
      <c r="DZ8" s="170"/>
      <c r="EA8" s="170"/>
      <c r="EB8" s="170"/>
      <c r="EC8" s="170"/>
      <c r="ED8" s="170"/>
      <c r="EE8" s="170"/>
      <c r="EF8" s="170"/>
      <c r="EG8" s="170"/>
      <c r="EH8" s="170"/>
      <c r="EI8" s="170"/>
      <c r="EJ8" s="170"/>
      <c r="EK8" s="170"/>
      <c r="EL8" s="170"/>
      <c r="EM8" s="170"/>
      <c r="EN8" s="170"/>
      <c r="EO8" s="170"/>
      <c r="EP8" s="170"/>
    </row>
    <row x14ac:dyDescent="0.25" r="9" customHeight="1" ht="18.75">
      <c r="A9" s="1" t="s">
        <v>1156</v>
      </c>
      <c r="B9" s="333">
        <f>B10*(1-$G$1)</f>
      </c>
      <c r="C9" s="333">
        <f>C10*(1-$G$1)</f>
      </c>
      <c r="D9" s="333">
        <f>D10*(1-$G$1)</f>
      </c>
      <c r="E9" s="333">
        <f>E10*(1-$G$1)</f>
      </c>
      <c r="F9" s="333">
        <f>F10*(1-$G$1)</f>
      </c>
      <c r="G9" s="333">
        <f>G10*(1-$G$1)</f>
      </c>
      <c r="H9" s="333">
        <f>H10*(1-$G$1)</f>
      </c>
      <c r="I9" s="333">
        <f>I10*(1-$G$1)</f>
      </c>
      <c r="J9" s="333">
        <f>J10*(1-$G$1)</f>
      </c>
      <c r="K9" s="333">
        <f>K10*(1-$G$1)</f>
      </c>
      <c r="L9" s="333">
        <f>L10*(1-$G$1)</f>
      </c>
      <c r="M9" s="333">
        <f>M10*(1-$G$1)</f>
      </c>
      <c r="N9" s="333">
        <f>N10*(1-$G$1)</f>
      </c>
      <c r="O9" s="333">
        <f>O10*(1-$G$1)</f>
      </c>
      <c r="P9" s="333">
        <f>P10*(1-$G$1)</f>
      </c>
      <c r="Q9" s="333">
        <f>Q10*(1-$G$1)</f>
      </c>
      <c r="R9" s="333">
        <f>R10*(1-$G$1)</f>
      </c>
      <c r="S9" s="333">
        <f>S10*(1-$G$1)</f>
      </c>
      <c r="T9" s="333">
        <f>T10*(1-$G$1)</f>
      </c>
      <c r="U9" s="333">
        <f>U10*(1-$G$1)</f>
      </c>
      <c r="V9" s="333">
        <f>V10*(1-$G$1)</f>
      </c>
      <c r="W9" s="333">
        <f>W10*(1-$G$1)</f>
      </c>
      <c r="X9" s="333">
        <f>X10*(1-$G$1)</f>
      </c>
      <c r="Y9" s="333">
        <f>Y10*(1-$G$1)</f>
      </c>
      <c r="Z9" s="333">
        <f>Z10*(1-$G$1)</f>
      </c>
      <c r="AA9" s="333">
        <f>AA10*(1-$G$1)</f>
      </c>
      <c r="AB9" s="1085">
        <v>19.522337093098223</v>
      </c>
      <c r="AC9" s="1085">
        <v>22.528777005435348</v>
      </c>
      <c r="AD9" s="1086">
        <v>25.930622333256085</v>
      </c>
      <c r="AE9" s="1086">
        <v>28.99043576858031</v>
      </c>
      <c r="AF9" s="1086">
        <v>32.26635501042988</v>
      </c>
      <c r="AG9" s="1086">
        <v>35.46072415646244</v>
      </c>
      <c r="AH9" s="1086">
        <v>38.22666064066651</v>
      </c>
      <c r="AI9" s="1086">
        <v>40.44380695782517</v>
      </c>
      <c r="AJ9" s="1086">
        <v>42.06155923613818</v>
      </c>
      <c r="AK9" s="1086">
        <v>44.96380682343172</v>
      </c>
      <c r="AL9" s="1086">
        <v>48.021345687425075</v>
      </c>
      <c r="AM9" s="1086">
        <v>50.998669120045435</v>
      </c>
      <c r="AN9" s="1086">
        <v>54.313582612848386</v>
      </c>
      <c r="AO9" s="1086">
        <v>56.81200741303942</v>
      </c>
      <c r="AP9" s="1086">
        <v>59.59579577627835</v>
      </c>
      <c r="AQ9" s="1086">
        <v>62.63518136086854</v>
      </c>
      <c r="AR9" s="1086">
        <v>65.01531825258155</v>
      </c>
      <c r="AS9" s="1086">
        <v>65.99054802637026</v>
      </c>
      <c r="AT9" s="1086">
        <v>67.31035898689767</v>
      </c>
      <c r="AU9" s="1086">
        <v>68.79118688460942</v>
      </c>
      <c r="AV9" s="1086">
        <v>70.9237136780323</v>
      </c>
      <c r="AW9" s="1086">
        <v>73.90250965250965</v>
      </c>
      <c r="AX9" s="1086">
        <v>76.563</v>
      </c>
      <c r="AY9" s="1086">
        <v>78.618</v>
      </c>
      <c r="AZ9" s="1086">
        <v>81.294</v>
      </c>
      <c r="BA9" s="1086">
        <v>83.78</v>
      </c>
      <c r="BB9" s="1086">
        <v>87.158</v>
      </c>
      <c r="BC9" s="1086">
        <v>89.204</v>
      </c>
      <c r="BD9" s="1086">
        <v>93.31</v>
      </c>
      <c r="BE9" s="1086">
        <v>92.504</v>
      </c>
      <c r="BF9" s="1086">
        <v>94.137</v>
      </c>
      <c r="BG9" s="1086">
        <v>97.445</v>
      </c>
      <c r="BH9" s="1086">
        <v>99.338</v>
      </c>
      <c r="BI9" s="1086">
        <v>101.05</v>
      </c>
      <c r="BJ9" s="1086">
        <v>101.258</v>
      </c>
      <c r="BK9" s="1086">
        <v>101.073</v>
      </c>
      <c r="BL9" s="1086">
        <v>100.074</v>
      </c>
      <c r="BM9" s="1086">
        <v>102.011</v>
      </c>
      <c r="BN9" s="1085">
        <v>104.104</v>
      </c>
      <c r="BO9" s="1085">
        <v>104.947</v>
      </c>
      <c r="BP9" s="1085">
        <v>103.986</v>
      </c>
      <c r="BQ9" s="1085">
        <v>106.811</v>
      </c>
      <c r="BR9" s="333">
        <f>BS8*(1+$G$2)</f>
      </c>
      <c r="BS9" s="333">
        <f>BT8*(1+$G$2)</f>
      </c>
      <c r="BT9" s="333">
        <f>BU8*(1+$G$2)</f>
      </c>
      <c r="BU9" s="333">
        <f>BV8*(1+$G$2)</f>
      </c>
      <c r="BV9" s="333">
        <f>BW8*(1+$G$2)</f>
      </c>
      <c r="BW9" s="333">
        <f>BX8*(1+$G$2)</f>
      </c>
      <c r="BX9" s="333">
        <f>BY8*(1+$G$2)</f>
      </c>
      <c r="BY9" s="333">
        <f>BZ8*(1+$G$2)</f>
      </c>
      <c r="BZ9" s="333">
        <f>CA8*(1+$G$2)</f>
      </c>
      <c r="CA9" s="333">
        <f>CB8*(1+$G$2)</f>
      </c>
      <c r="CB9" s="333">
        <f>CC8*(1+$G$2)</f>
      </c>
      <c r="CC9" s="333">
        <f>CD8*(1+$G$2)</f>
      </c>
      <c r="CD9" s="333">
        <f>CE8*(1+$G$2)</f>
      </c>
      <c r="CE9" s="333">
        <f>CF8*(1+$G$2)</f>
      </c>
      <c r="CF9" s="333">
        <f>CG8*(1+$G$2)</f>
      </c>
      <c r="CG9" s="333">
        <f>CH8*(1+$G$2)</f>
      </c>
      <c r="CH9" s="333">
        <f>CI8*(1+$G$2)</f>
      </c>
      <c r="CI9" s="333">
        <f>CJ8*(1+$G$2)</f>
      </c>
      <c r="CJ9" s="333">
        <f>CK8*(1+$G$2)</f>
      </c>
      <c r="CK9" s="333">
        <f>CL8*(1+$G$2)</f>
      </c>
      <c r="CL9" s="333">
        <f>CM8*(1+$G$2)</f>
      </c>
      <c r="CM9" s="333">
        <f>CN8*(1+$G$2)</f>
      </c>
      <c r="CN9" s="333">
        <f>CO8*(1+$G$2)</f>
      </c>
      <c r="CO9" s="333">
        <f>CP8*(1+$G$2)</f>
      </c>
      <c r="CP9" s="333">
        <f>CQ8*(1+$G$2)</f>
      </c>
      <c r="CQ9" s="333">
        <f>CR8*(1+$G$2)</f>
      </c>
      <c r="CR9" s="333">
        <f>CS8*(1+$G$2)</f>
      </c>
      <c r="CS9" s="333">
        <f>CT8*(1+$G$2)</f>
      </c>
      <c r="CT9" s="333">
        <f>CU8*(1+$G$2)</f>
      </c>
      <c r="CU9" s="333">
        <f>CU8*(1+$G$2)</f>
      </c>
      <c r="CV9" s="333">
        <f>CV8*(1+$G$2)</f>
      </c>
      <c r="CW9" s="333">
        <f>CW8*(1+$G$2)</f>
      </c>
      <c r="CX9" s="333">
        <f>CX8*(1+$G$2)</f>
      </c>
      <c r="CY9" s="333">
        <f>CY8*(1+$G$2)</f>
      </c>
      <c r="CZ9" s="333">
        <f>CZ8*(1+$G$2)</f>
      </c>
      <c r="DA9" s="333">
        <f>DA8*(1+$G$2)</f>
      </c>
      <c r="DB9" s="333">
        <f>DB8*(1+$G$2)</f>
      </c>
      <c r="DC9" s="333">
        <f>DC8*(1+$G$2)</f>
      </c>
      <c r="DD9" s="333">
        <f>DD8*(1+$G$2)</f>
      </c>
      <c r="DE9" s="333">
        <f>DE8*(1+$G$2)</f>
      </c>
      <c r="DF9" s="333">
        <f>DF8*(1+$G$2)</f>
      </c>
      <c r="DG9" s="333">
        <f>DG8*(1+$G$2)</f>
      </c>
      <c r="DH9" s="333">
        <f>DH8*(1+$G$2)</f>
      </c>
      <c r="DI9" s="333">
        <f>DI8*(1+$G$2)</f>
      </c>
      <c r="DJ9" s="333">
        <f>DJ8*(1+$G$2)</f>
      </c>
      <c r="DK9" s="333">
        <f>DK8*(1+$G$2)</f>
      </c>
      <c r="DL9" s="333">
        <f>DL8*(1+$G$2)</f>
      </c>
      <c r="DM9" s="333">
        <f>DM8*(1+$G$2)</f>
      </c>
      <c r="DN9" s="333">
        <f>DN8*(1+$G$2)</f>
      </c>
      <c r="DO9" s="333">
        <f>DO8*(1+$G$2)</f>
      </c>
      <c r="DP9" s="333">
        <f>DP8*(1+$G$2)</f>
      </c>
      <c r="DQ9" s="333">
        <f>DQ8*(1+$G$2)</f>
      </c>
      <c r="DR9" s="333">
        <f>DR8*(1+$G$2)</f>
      </c>
      <c r="DS9" s="333">
        <f>DS8*(1+$G$2)</f>
      </c>
      <c r="DT9" s="333">
        <f>DT8*(1+$G$2)</f>
      </c>
      <c r="DU9" s="333">
        <f>DU8*(1+$G$2)</f>
      </c>
      <c r="DV9" s="333">
        <f>DV8*(1+$G$2)</f>
      </c>
      <c r="DW9" s="333">
        <f>DW8*(1+$G$2)</f>
      </c>
      <c r="DX9" s="333">
        <f>DX8*(1+$G$2)</f>
      </c>
      <c r="DY9" s="170"/>
      <c r="DZ9" s="170"/>
      <c r="EA9" s="170"/>
      <c r="EB9" s="170"/>
      <c r="EC9" s="170"/>
      <c r="ED9" s="170"/>
      <c r="EE9" s="170"/>
      <c r="EF9" s="170"/>
      <c r="EG9" s="170"/>
      <c r="EH9" s="170"/>
      <c r="EI9" s="170"/>
      <c r="EJ9" s="170"/>
      <c r="EK9" s="170"/>
      <c r="EL9" s="170"/>
      <c r="EM9" s="170"/>
      <c r="EN9" s="170"/>
      <c r="EO9" s="170"/>
      <c r="EP9" s="170"/>
    </row>
    <row x14ac:dyDescent="0.25" r="10" customHeight="1" ht="18.75">
      <c r="A10" s="1" t="s">
        <v>1157</v>
      </c>
      <c r="B10" s="333">
        <f>B11*(1-$G$1)</f>
      </c>
      <c r="C10" s="333">
        <f>C11*(1-$G$1)</f>
      </c>
      <c r="D10" s="333">
        <f>D11*(1-$G$1)</f>
      </c>
      <c r="E10" s="333">
        <f>E11*(1-$G$1)</f>
      </c>
      <c r="F10" s="333">
        <f>F11*(1-$G$1)</f>
      </c>
      <c r="G10" s="333">
        <f>G11*(1-$G$1)</f>
      </c>
      <c r="H10" s="333">
        <f>H11*(1-$G$1)</f>
      </c>
      <c r="I10" s="333">
        <f>I11*(1-$G$1)</f>
      </c>
      <c r="J10" s="333">
        <f>J11*(1-$G$1)</f>
      </c>
      <c r="K10" s="333">
        <f>K11*(1-$G$1)</f>
      </c>
      <c r="L10" s="333">
        <f>L11*(1-$G$1)</f>
      </c>
      <c r="M10" s="333">
        <f>M11*(1-$G$1)</f>
      </c>
      <c r="N10" s="333">
        <f>N11*(1-$G$1)</f>
      </c>
      <c r="O10" s="333">
        <f>O11*(1-$G$1)</f>
      </c>
      <c r="P10" s="333">
        <f>P11*(1-$G$1)</f>
      </c>
      <c r="Q10" s="333">
        <f>Q11*(1-$G$1)</f>
      </c>
      <c r="R10" s="333">
        <f>R11*(1-$G$1)</f>
      </c>
      <c r="S10" s="333">
        <f>S11*(1-$G$1)</f>
      </c>
      <c r="T10" s="333">
        <f>T11*(1-$G$1)</f>
      </c>
      <c r="U10" s="333">
        <f>U11*(1-$G$1)</f>
      </c>
      <c r="V10" s="333">
        <f>V11*(1-$G$1)</f>
      </c>
      <c r="W10" s="333">
        <f>W11*(1-$G$1)</f>
      </c>
      <c r="X10" s="333">
        <f>X11*(1-$G$1)</f>
      </c>
      <c r="Y10" s="333">
        <f>Y11*(1-$G$1)</f>
      </c>
      <c r="Z10" s="333">
        <f>Z11*(1-$G$1)</f>
      </c>
      <c r="AA10" s="333">
        <f>AA11*(1-$G$1)</f>
      </c>
      <c r="AB10" s="1085">
        <v>19.823710624269488</v>
      </c>
      <c r="AC10" s="1085">
        <v>22.53955897979441</v>
      </c>
      <c r="AD10" s="1086">
        <v>26.168427975541313</v>
      </c>
      <c r="AE10" s="1086">
        <v>29.125460336777483</v>
      </c>
      <c r="AF10" s="1086">
        <v>32.44576281517012</v>
      </c>
      <c r="AG10" s="1086">
        <v>35.33343570572026</v>
      </c>
      <c r="AH10" s="1086">
        <v>38.47811148352937</v>
      </c>
      <c r="AI10" s="1086">
        <v>40.363538946222306</v>
      </c>
      <c r="AJ10" s="1086">
        <v>42.13953465985609</v>
      </c>
      <c r="AK10" s="1086">
        <v>45.13144162070587</v>
      </c>
      <c r="AL10" s="1086">
        <v>48.064985326051755</v>
      </c>
      <c r="AM10" s="1086">
        <v>51.045014416266966</v>
      </c>
      <c r="AN10" s="1086">
        <v>54.209805310075524</v>
      </c>
      <c r="AO10" s="1086">
        <v>56.86608577026922</v>
      </c>
      <c r="AP10" s="1086">
        <v>59.538791801471874</v>
      </c>
      <c r="AQ10" s="1086">
        <v>62.57527018334694</v>
      </c>
      <c r="AR10" s="1086">
        <v>64.82797990994743</v>
      </c>
      <c r="AS10" s="1086">
        <v>65.86522758850658</v>
      </c>
      <c r="AT10" s="1086">
        <v>67.24839736786521</v>
      </c>
      <c r="AU10" s="1086">
        <v>68.72786210995825</v>
      </c>
      <c r="AV10" s="1086">
        <v>71.06460942169684</v>
      </c>
      <c r="AW10" s="1086">
        <v>74.04932301740811</v>
      </c>
      <c r="AX10" s="1086">
        <v>76.567</v>
      </c>
      <c r="AY10" s="1086">
        <v>78.67</v>
      </c>
      <c r="AZ10" s="1086">
        <v>81.423</v>
      </c>
      <c r="BA10" s="1086">
        <v>83.976</v>
      </c>
      <c r="BB10" s="1086">
        <v>87.29</v>
      </c>
      <c r="BC10" s="1086">
        <v>89.368</v>
      </c>
      <c r="BD10" s="1086">
        <v>93.847</v>
      </c>
      <c r="BE10" s="1086">
        <v>92.911</v>
      </c>
      <c r="BF10" s="1086">
        <v>94.305</v>
      </c>
      <c r="BG10" s="1086">
        <v>97.308</v>
      </c>
      <c r="BH10" s="1086">
        <v>99.153</v>
      </c>
      <c r="BI10" s="1086">
        <v>101.199</v>
      </c>
      <c r="BJ10" s="1086">
        <v>101.286</v>
      </c>
      <c r="BK10" s="1086">
        <v>101.343</v>
      </c>
      <c r="BL10" s="1086">
        <v>100.537</v>
      </c>
      <c r="BM10" s="1086">
        <v>102.055</v>
      </c>
      <c r="BN10" s="1085">
        <v>104.376</v>
      </c>
      <c r="BO10" s="1085">
        <v>104.824</v>
      </c>
      <c r="BP10" s="1085">
        <v>104.466</v>
      </c>
      <c r="BQ10" s="1085">
        <v>107.32</v>
      </c>
      <c r="BR10" s="333">
        <f>BS9*(1+$G$2)</f>
      </c>
      <c r="BS10" s="333">
        <f>BT9*(1+$G$2)</f>
      </c>
      <c r="BT10" s="333">
        <f>BU9*(1+$G$2)</f>
      </c>
      <c r="BU10" s="333">
        <f>BV9*(1+$G$2)</f>
      </c>
      <c r="BV10" s="333">
        <f>BW9*(1+$G$2)</f>
      </c>
      <c r="BW10" s="333">
        <f>BX9*(1+$G$2)</f>
      </c>
      <c r="BX10" s="333">
        <f>BY9*(1+$G$2)</f>
      </c>
      <c r="BY10" s="333">
        <f>BZ9*(1+$G$2)</f>
      </c>
      <c r="BZ10" s="333">
        <f>CA9*(1+$G$2)</f>
      </c>
      <c r="CA10" s="333">
        <f>CB9*(1+$G$2)</f>
      </c>
      <c r="CB10" s="333">
        <f>CC9*(1+$G$2)</f>
      </c>
      <c r="CC10" s="333">
        <f>CD9*(1+$G$2)</f>
      </c>
      <c r="CD10" s="333">
        <f>CE9*(1+$G$2)</f>
      </c>
      <c r="CE10" s="333">
        <f>CF9*(1+$G$2)</f>
      </c>
      <c r="CF10" s="333">
        <f>CG9*(1+$G$2)</f>
      </c>
      <c r="CG10" s="333">
        <f>CH9*(1+$G$2)</f>
      </c>
      <c r="CH10" s="333">
        <f>CI9*(1+$G$2)</f>
      </c>
      <c r="CI10" s="333">
        <f>CJ9*(1+$G$2)</f>
      </c>
      <c r="CJ10" s="333">
        <f>CK9*(1+$G$2)</f>
      </c>
      <c r="CK10" s="333">
        <f>CL9*(1+$G$2)</f>
      </c>
      <c r="CL10" s="333">
        <f>CM9*(1+$G$2)</f>
      </c>
      <c r="CM10" s="333">
        <f>CN9*(1+$G$2)</f>
      </c>
      <c r="CN10" s="333">
        <f>CO9*(1+$G$2)</f>
      </c>
      <c r="CO10" s="333">
        <f>CP9*(1+$G$2)</f>
      </c>
      <c r="CP10" s="333">
        <f>CQ9*(1+$G$2)</f>
      </c>
      <c r="CQ10" s="333">
        <f>CR9*(1+$G$2)</f>
      </c>
      <c r="CR10" s="333">
        <f>CS9*(1+$G$2)</f>
      </c>
      <c r="CS10" s="333">
        <f>CT9*(1+$G$2)</f>
      </c>
      <c r="CT10" s="333">
        <f>CU9*(1+$G$2)</f>
      </c>
      <c r="CU10" s="333">
        <f>CU9*(1+$G$2)</f>
      </c>
      <c r="CV10" s="333">
        <f>CV9*(1+$G$2)</f>
      </c>
      <c r="CW10" s="333">
        <f>CW9*(1+$G$2)</f>
      </c>
      <c r="CX10" s="333">
        <f>CX9*(1+$G$2)</f>
      </c>
      <c r="CY10" s="333">
        <f>CY9*(1+$G$2)</f>
      </c>
      <c r="CZ10" s="333">
        <f>CZ9*(1+$G$2)</f>
      </c>
      <c r="DA10" s="333">
        <f>DA9*(1+$G$2)</f>
      </c>
      <c r="DB10" s="333">
        <f>DB9*(1+$G$2)</f>
      </c>
      <c r="DC10" s="333">
        <f>DC9*(1+$G$2)</f>
      </c>
      <c r="DD10" s="333">
        <f>DD9*(1+$G$2)</f>
      </c>
      <c r="DE10" s="333">
        <f>DE9*(1+$G$2)</f>
      </c>
      <c r="DF10" s="333">
        <f>DF9*(1+$G$2)</f>
      </c>
      <c r="DG10" s="333">
        <f>DG9*(1+$G$2)</f>
      </c>
      <c r="DH10" s="333">
        <f>DH9*(1+$G$2)</f>
      </c>
      <c r="DI10" s="333">
        <f>DI9*(1+$G$2)</f>
      </c>
      <c r="DJ10" s="333">
        <f>DJ9*(1+$G$2)</f>
      </c>
      <c r="DK10" s="333">
        <f>DK9*(1+$G$2)</f>
      </c>
      <c r="DL10" s="333">
        <f>DL9*(1+$G$2)</f>
      </c>
      <c r="DM10" s="333">
        <f>DM9*(1+$G$2)</f>
      </c>
      <c r="DN10" s="333">
        <f>DN9*(1+$G$2)</f>
      </c>
      <c r="DO10" s="333">
        <f>DO9*(1+$G$2)</f>
      </c>
      <c r="DP10" s="333">
        <f>DP9*(1+$G$2)</f>
      </c>
      <c r="DQ10" s="333">
        <f>DQ9*(1+$G$2)</f>
      </c>
      <c r="DR10" s="333">
        <f>DR9*(1+$G$2)</f>
      </c>
      <c r="DS10" s="333">
        <f>DS9*(1+$G$2)</f>
      </c>
      <c r="DT10" s="333">
        <f>DT9*(1+$G$2)</f>
      </c>
      <c r="DU10" s="333">
        <f>DU9*(1+$G$2)</f>
      </c>
      <c r="DV10" s="333">
        <f>DV9*(1+$G$2)</f>
      </c>
      <c r="DW10" s="333">
        <f>DW9*(1+$G$2)</f>
      </c>
      <c r="DX10" s="333">
        <f>DX9*(1+$G$2)</f>
      </c>
      <c r="DY10" s="170"/>
      <c r="DZ10" s="170"/>
      <c r="EA10" s="170"/>
      <c r="EB10" s="170"/>
      <c r="EC10" s="170"/>
      <c r="ED10" s="170"/>
      <c r="EE10" s="170"/>
      <c r="EF10" s="170"/>
      <c r="EG10" s="170"/>
      <c r="EH10" s="170"/>
      <c r="EI10" s="170"/>
      <c r="EJ10" s="170"/>
      <c r="EK10" s="170"/>
      <c r="EL10" s="170"/>
      <c r="EM10" s="170"/>
      <c r="EN10" s="170"/>
      <c r="EO10" s="170"/>
      <c r="EP10" s="170"/>
    </row>
    <row x14ac:dyDescent="0.25" r="11" customHeight="1" ht="18.75">
      <c r="A11" s="1" t="s">
        <v>1158</v>
      </c>
      <c r="B11" s="333">
        <f>B12*(1-$G$1)</f>
      </c>
      <c r="C11" s="333">
        <f>C12*(1-$G$1)</f>
      </c>
      <c r="D11" s="333">
        <f>D12*(1-$G$1)</f>
      </c>
      <c r="E11" s="333">
        <f>E12*(1-$G$1)</f>
      </c>
      <c r="F11" s="333">
        <f>F12*(1-$G$1)</f>
      </c>
      <c r="G11" s="333">
        <f>G12*(1-$G$1)</f>
      </c>
      <c r="H11" s="333">
        <f>H12*(1-$G$1)</f>
      </c>
      <c r="I11" s="333">
        <f>I12*(1-$G$1)</f>
      </c>
      <c r="J11" s="333">
        <f>J12*(1-$G$1)</f>
      </c>
      <c r="K11" s="333">
        <f>K12*(1-$G$1)</f>
      </c>
      <c r="L11" s="333">
        <f>L12*(1-$G$1)</f>
      </c>
      <c r="M11" s="333">
        <f>M12*(1-$G$1)</f>
      </c>
      <c r="N11" s="333">
        <f>N12*(1-$G$1)</f>
      </c>
      <c r="O11" s="333">
        <f>O12*(1-$G$1)</f>
      </c>
      <c r="P11" s="333">
        <f>P12*(1-$G$1)</f>
      </c>
      <c r="Q11" s="333">
        <f>Q12*(1-$G$1)</f>
      </c>
      <c r="R11" s="333">
        <f>R12*(1-$G$1)</f>
      </c>
      <c r="S11" s="333">
        <f>S12*(1-$G$1)</f>
      </c>
      <c r="T11" s="333">
        <f>T12*(1-$G$1)</f>
      </c>
      <c r="U11" s="333">
        <f>U12*(1-$G$1)</f>
      </c>
      <c r="V11" s="333">
        <f>V12*(1-$G$1)</f>
      </c>
      <c r="W11" s="333">
        <f>W12*(1-$G$1)</f>
      </c>
      <c r="X11" s="333">
        <f>X12*(1-$G$1)</f>
      </c>
      <c r="Y11" s="333">
        <f>Y12*(1-$G$1)</f>
      </c>
      <c r="Z11" s="333">
        <f>Z12*(1-$G$1)</f>
      </c>
      <c r="AA11" s="333">
        <f>AA12*(1-$G$1)</f>
      </c>
      <c r="AB11" s="1085">
        <v>19.927619757918293</v>
      </c>
      <c r="AC11" s="1085">
        <v>22.77726938330061</v>
      </c>
      <c r="AD11" s="1086">
        <v>26.262191598945606</v>
      </c>
      <c r="AE11" s="1086">
        <v>28.967197333637003</v>
      </c>
      <c r="AF11" s="1086">
        <v>32.646031395008904</v>
      </c>
      <c r="AG11" s="1086">
        <v>35.225067875214606</v>
      </c>
      <c r="AH11" s="1086">
        <v>38.53622425548478</v>
      </c>
      <c r="AI11" s="1086">
        <v>40.424499244003535</v>
      </c>
      <c r="AJ11" s="1086">
        <v>42.3244507084717</v>
      </c>
      <c r="AK11" s="1086">
        <v>45.456460060898614</v>
      </c>
      <c r="AL11" s="1086">
        <v>48.32021704473522</v>
      </c>
      <c r="AM11" s="1086">
        <v>51.26775028446407</v>
      </c>
      <c r="AN11" s="1086">
        <v>53.933673299256206</v>
      </c>
      <c r="AO11" s="1086">
        <v>56.576423290919756</v>
      </c>
      <c r="AP11" s="1086">
        <v>59.29209160888391</v>
      </c>
      <c r="AQ11" s="1086">
        <v>62.07881991450145</v>
      </c>
      <c r="AR11" s="1086">
        <v>64.375736251338</v>
      </c>
      <c r="AS11" s="1086">
        <v>65.40574803135941</v>
      </c>
      <c r="AT11" s="1086">
        <v>66.84467448804932</v>
      </c>
      <c r="AU11" s="1086">
        <v>68.31525732678641</v>
      </c>
      <c r="AV11" s="1086">
        <v>70.77460659055072</v>
      </c>
      <c r="AW11" s="1086">
        <v>73.5348162475822</v>
      </c>
      <c r="AX11" s="1086">
        <v>76.035</v>
      </c>
      <c r="AY11" s="1086">
        <v>78.177</v>
      </c>
      <c r="AZ11" s="1086">
        <v>80.805</v>
      </c>
      <c r="BA11" s="1086">
        <v>83.462</v>
      </c>
      <c r="BB11" s="1086">
        <v>86.771</v>
      </c>
      <c r="BC11" s="1086">
        <v>88.717</v>
      </c>
      <c r="BD11" s="1086">
        <v>93.396</v>
      </c>
      <c r="BE11" s="1086">
        <v>92.118</v>
      </c>
      <c r="BF11" s="1086">
        <v>93.882</v>
      </c>
      <c r="BG11" s="1086">
        <v>96.786</v>
      </c>
      <c r="BH11" s="1086">
        <v>98.921</v>
      </c>
      <c r="BI11" s="1086">
        <v>100.677</v>
      </c>
      <c r="BJ11" s="1086">
        <v>100.334</v>
      </c>
      <c r="BK11" s="1086">
        <v>100.402</v>
      </c>
      <c r="BL11" s="1086">
        <v>99.806</v>
      </c>
      <c r="BM11" s="1086">
        <v>101.351</v>
      </c>
      <c r="BN11" s="1085">
        <v>103.628</v>
      </c>
      <c r="BO11" s="1085">
        <v>104.174</v>
      </c>
      <c r="BP11" s="1085">
        <v>103.528</v>
      </c>
      <c r="BQ11" s="1085">
        <v>106.511</v>
      </c>
      <c r="BR11" s="333">
        <f>BS10*(1+$G$2)</f>
      </c>
      <c r="BS11" s="333">
        <f>BT10*(1+$G$2)</f>
      </c>
      <c r="BT11" s="333">
        <f>BU10*(1+$G$2)</f>
      </c>
      <c r="BU11" s="333">
        <f>BV10*(1+$G$2)</f>
      </c>
      <c r="BV11" s="333">
        <f>BW10*(1+$G$2)</f>
      </c>
      <c r="BW11" s="333">
        <f>BX10*(1+$G$2)</f>
      </c>
      <c r="BX11" s="333">
        <f>BY10*(1+$G$2)</f>
      </c>
      <c r="BY11" s="333">
        <f>BZ10*(1+$G$2)</f>
      </c>
      <c r="BZ11" s="333">
        <f>CA10*(1+$G$2)</f>
      </c>
      <c r="CA11" s="333">
        <f>CB10*(1+$G$2)</f>
      </c>
      <c r="CB11" s="333">
        <f>CC10*(1+$G$2)</f>
      </c>
      <c r="CC11" s="333">
        <f>CD10*(1+$G$2)</f>
      </c>
      <c r="CD11" s="333">
        <f>CE10*(1+$G$2)</f>
      </c>
      <c r="CE11" s="333">
        <f>CF10*(1+$G$2)</f>
      </c>
      <c r="CF11" s="333">
        <f>CG10*(1+$G$2)</f>
      </c>
      <c r="CG11" s="333">
        <f>CH10*(1+$G$2)</f>
      </c>
      <c r="CH11" s="333">
        <f>CI10*(1+$G$2)</f>
      </c>
      <c r="CI11" s="333">
        <f>CJ10*(1+$G$2)</f>
      </c>
      <c r="CJ11" s="333">
        <f>CK10*(1+$G$2)</f>
      </c>
      <c r="CK11" s="333">
        <f>CL10*(1+$G$2)</f>
      </c>
      <c r="CL11" s="333">
        <f>CM10*(1+$G$2)</f>
      </c>
      <c r="CM11" s="333">
        <f>CN10*(1+$G$2)</f>
      </c>
      <c r="CN11" s="333">
        <f>CO10*(1+$G$2)</f>
      </c>
      <c r="CO11" s="333">
        <f>CP10*(1+$G$2)</f>
      </c>
      <c r="CP11" s="333">
        <f>CQ10*(1+$G$2)</f>
      </c>
      <c r="CQ11" s="333">
        <f>CR10*(1+$G$2)</f>
      </c>
      <c r="CR11" s="333">
        <f>CS10*(1+$G$2)</f>
      </c>
      <c r="CS11" s="333">
        <f>CT10*(1+$G$2)</f>
      </c>
      <c r="CT11" s="333">
        <f>CU10*(1+$G$2)</f>
      </c>
      <c r="CU11" s="333">
        <f>CU10*(1+$G$2)</f>
      </c>
      <c r="CV11" s="333">
        <f>CV10*(1+$G$2)</f>
      </c>
      <c r="CW11" s="333">
        <f>CW10*(1+$G$2)</f>
      </c>
      <c r="CX11" s="333">
        <f>CX10*(1+$G$2)</f>
      </c>
      <c r="CY11" s="333">
        <f>CY10*(1+$G$2)</f>
      </c>
      <c r="CZ11" s="333">
        <f>CZ10*(1+$G$2)</f>
      </c>
      <c r="DA11" s="333">
        <f>DA10*(1+$G$2)</f>
      </c>
      <c r="DB11" s="333">
        <f>DB10*(1+$G$2)</f>
      </c>
      <c r="DC11" s="333">
        <f>DC10*(1+$G$2)</f>
      </c>
      <c r="DD11" s="333">
        <f>DD10*(1+$G$2)</f>
      </c>
      <c r="DE11" s="333">
        <f>DE10*(1+$G$2)</f>
      </c>
      <c r="DF11" s="333">
        <f>DF10*(1+$G$2)</f>
      </c>
      <c r="DG11" s="333">
        <f>DG10*(1+$G$2)</f>
      </c>
      <c r="DH11" s="333">
        <f>DH10*(1+$G$2)</f>
      </c>
      <c r="DI11" s="333">
        <f>DI10*(1+$G$2)</f>
      </c>
      <c r="DJ11" s="333">
        <f>DJ10*(1+$G$2)</f>
      </c>
      <c r="DK11" s="333">
        <f>DK10*(1+$G$2)</f>
      </c>
      <c r="DL11" s="333">
        <f>DL10*(1+$G$2)</f>
      </c>
      <c r="DM11" s="333">
        <f>DM10*(1+$G$2)</f>
      </c>
      <c r="DN11" s="333">
        <f>DN10*(1+$G$2)</f>
      </c>
      <c r="DO11" s="333">
        <f>DO10*(1+$G$2)</f>
      </c>
      <c r="DP11" s="333">
        <f>DP10*(1+$G$2)</f>
      </c>
      <c r="DQ11" s="333">
        <f>DQ10*(1+$G$2)</f>
      </c>
      <c r="DR11" s="333">
        <f>DR10*(1+$G$2)</f>
      </c>
      <c r="DS11" s="333">
        <f>DS10*(1+$G$2)</f>
      </c>
      <c r="DT11" s="333">
        <f>DT10*(1+$G$2)</f>
      </c>
      <c r="DU11" s="333">
        <f>DU10*(1+$G$2)</f>
      </c>
      <c r="DV11" s="333">
        <f>DV10*(1+$G$2)</f>
      </c>
      <c r="DW11" s="333">
        <f>DW10*(1+$G$2)</f>
      </c>
      <c r="DX11" s="333">
        <f>DX10*(1+$G$2)</f>
      </c>
      <c r="DY11" s="170"/>
      <c r="DZ11" s="170"/>
      <c r="EA11" s="170"/>
      <c r="EB11" s="170"/>
      <c r="EC11" s="170"/>
      <c r="ED11" s="170"/>
      <c r="EE11" s="170"/>
      <c r="EF11" s="170"/>
      <c r="EG11" s="170"/>
      <c r="EH11" s="170"/>
      <c r="EI11" s="170"/>
      <c r="EJ11" s="170"/>
      <c r="EK11" s="170"/>
      <c r="EL11" s="170"/>
      <c r="EM11" s="170"/>
      <c r="EN11" s="170"/>
      <c r="EO11" s="170"/>
      <c r="EP11" s="170"/>
    </row>
    <row x14ac:dyDescent="0.25" r="12" customHeight="1" ht="18.75">
      <c r="A12" s="1" t="s">
        <v>1159</v>
      </c>
      <c r="B12" s="333">
        <f>B13*(1-$G$1)</f>
      </c>
      <c r="C12" s="333">
        <f>C13*(1-$G$1)</f>
      </c>
      <c r="D12" s="333">
        <f>D13*(1-$G$1)</f>
      </c>
      <c r="E12" s="333">
        <f>E13*(1-$G$1)</f>
      </c>
      <c r="F12" s="333">
        <f>F13*(1-$G$1)</f>
      </c>
      <c r="G12" s="333">
        <f>G13*(1-$G$1)</f>
      </c>
      <c r="H12" s="333">
        <f>H13*(1-$G$1)</f>
      </c>
      <c r="I12" s="333">
        <f>I13*(1-$G$1)</f>
      </c>
      <c r="J12" s="333">
        <f>J13*(1-$G$1)</f>
      </c>
      <c r="K12" s="333">
        <f>K13*(1-$G$1)</f>
      </c>
      <c r="L12" s="333">
        <f>L13*(1-$G$1)</f>
      </c>
      <c r="M12" s="333">
        <f>M13*(1-$G$1)</f>
      </c>
      <c r="N12" s="333">
        <f>N13*(1-$G$1)</f>
      </c>
      <c r="O12" s="333">
        <f>O13*(1-$G$1)</f>
      </c>
      <c r="P12" s="333">
        <f>P13*(1-$G$1)</f>
      </c>
      <c r="Q12" s="333">
        <f>Q13*(1-$G$1)</f>
      </c>
      <c r="R12" s="333">
        <f>R13*(1-$G$1)</f>
      </c>
      <c r="S12" s="333">
        <f>S13*(1-$G$1)</f>
      </c>
      <c r="T12" s="333">
        <f>T13*(1-$G$1)</f>
      </c>
      <c r="U12" s="333">
        <f>U13*(1-$G$1)</f>
      </c>
      <c r="V12" s="333">
        <f>V13*(1-$G$1)</f>
      </c>
      <c r="W12" s="333">
        <f>W13*(1-$G$1)</f>
      </c>
      <c r="X12" s="333">
        <f>X13*(1-$G$1)</f>
      </c>
      <c r="Y12" s="333">
        <f>Y13*(1-$G$1)</f>
      </c>
      <c r="Z12" s="333">
        <f>Z13*(1-$G$1)</f>
      </c>
      <c r="AA12" s="333">
        <f>AA13*(1-$G$1)</f>
      </c>
      <c r="AB12" s="1085">
        <v>20.103384362216495</v>
      </c>
      <c r="AC12" s="1085">
        <v>22.998271710375672</v>
      </c>
      <c r="AD12" s="1086">
        <v>26.379017651800897</v>
      </c>
      <c r="AE12" s="1086">
        <v>29.280709593498997</v>
      </c>
      <c r="AF12" s="1086">
        <v>32.79439474471888</v>
      </c>
      <c r="AG12" s="1086">
        <v>35.18838556108336</v>
      </c>
      <c r="AH12" s="1086">
        <v>38.531282189386275</v>
      </c>
      <c r="AI12" s="1086">
        <v>40.303721170098044</v>
      </c>
      <c r="AJ12" s="1086">
        <v>42.641336997963734</v>
      </c>
      <c r="AK12" s="1086">
        <v>45.455665239829344</v>
      </c>
      <c r="AL12" s="1086">
        <v>48.41028348041825</v>
      </c>
      <c r="AM12" s="1086">
        <v>51.31490048924335</v>
      </c>
      <c r="AN12" s="1086">
        <v>54.291164717619466</v>
      </c>
      <c r="AO12" s="1086">
        <v>56.788558294629965</v>
      </c>
      <c r="AP12" s="1086">
        <v>59.514409092772205</v>
      </c>
      <c r="AQ12" s="1086">
        <v>62.07352868376141</v>
      </c>
      <c r="AR12" s="1086">
        <v>64.37024924506058</v>
      </c>
      <c r="AS12" s="1086">
        <v>65.52891373147168</v>
      </c>
      <c r="AT12" s="1086">
        <v>66.90502091983257</v>
      </c>
      <c r="AU12" s="1086">
        <v>68.51074142190855</v>
      </c>
      <c r="AV12" s="1086">
        <v>70.97712811309727</v>
      </c>
      <c r="AW12" s="1086">
        <v>73.60328185328186</v>
      </c>
      <c r="AX12" s="1086">
        <v>76.253</v>
      </c>
      <c r="AY12" s="1086">
        <v>78.535</v>
      </c>
      <c r="AZ12" s="1086">
        <v>81.162</v>
      </c>
      <c r="BA12" s="1086">
        <v>83.828</v>
      </c>
      <c r="BB12" s="1086">
        <v>86.948</v>
      </c>
      <c r="BC12" s="1086">
        <v>88.839</v>
      </c>
      <c r="BD12" s="1086">
        <v>93.196</v>
      </c>
      <c r="BE12" s="1086">
        <v>92.44</v>
      </c>
      <c r="BF12" s="1086">
        <v>94.119</v>
      </c>
      <c r="BG12" s="1086">
        <v>96.906</v>
      </c>
      <c r="BH12" s="1086">
        <v>99.479</v>
      </c>
      <c r="BI12" s="1086">
        <v>100.99</v>
      </c>
      <c r="BJ12" s="1086">
        <v>100.492</v>
      </c>
      <c r="BK12" s="1086">
        <v>100.068</v>
      </c>
      <c r="BL12" s="1086">
        <v>99.934</v>
      </c>
      <c r="BM12" s="1086">
        <v>101.553</v>
      </c>
      <c r="BN12" s="1085">
        <v>103.776</v>
      </c>
      <c r="BO12" s="1085">
        <v>104.116</v>
      </c>
      <c r="BP12" s="1085">
        <v>103.575</v>
      </c>
      <c r="BQ12" s="1085">
        <v>106.995</v>
      </c>
      <c r="BR12" s="333">
        <f>BR11*(1+$G$2)</f>
      </c>
      <c r="BS12" s="333">
        <f>BT11*(1+$G$2)</f>
      </c>
      <c r="BT12" s="333">
        <f>BU11*(1+$G$2)</f>
      </c>
      <c r="BU12" s="333">
        <f>BV11*(1+$G$2)</f>
      </c>
      <c r="BV12" s="333">
        <f>BW11*(1+$G$2)</f>
      </c>
      <c r="BW12" s="333">
        <f>BX11*(1+$G$2)</f>
      </c>
      <c r="BX12" s="333">
        <f>BY11*(1+$G$2)</f>
      </c>
      <c r="BY12" s="333">
        <f>BZ11*(1+$G$2)</f>
      </c>
      <c r="BZ12" s="333">
        <f>CA11*(1+$G$2)</f>
      </c>
      <c r="CA12" s="333">
        <f>CB11*(1+$G$2)</f>
      </c>
      <c r="CB12" s="333">
        <f>CC11*(1+$G$2)</f>
      </c>
      <c r="CC12" s="333">
        <f>CD11*(1+$G$2)</f>
      </c>
      <c r="CD12" s="333">
        <f>CE11*(1+$G$2)</f>
      </c>
      <c r="CE12" s="333">
        <f>CF11*(1+$G$2)</f>
      </c>
      <c r="CF12" s="333">
        <f>CG11*(1+$G$2)</f>
      </c>
      <c r="CG12" s="333">
        <f>CH11*(1+$G$2)</f>
      </c>
      <c r="CH12" s="333">
        <f>CI11*(1+$G$2)</f>
      </c>
      <c r="CI12" s="333">
        <f>CJ11*(1+$G$2)</f>
      </c>
      <c r="CJ12" s="333">
        <f>CK11*(1+$G$2)</f>
      </c>
      <c r="CK12" s="333">
        <f>CL11*(1+$G$2)</f>
      </c>
      <c r="CL12" s="333">
        <f>CM11*(1+$G$2)</f>
      </c>
      <c r="CM12" s="333">
        <f>CN11*(1+$G$2)</f>
      </c>
      <c r="CN12" s="333">
        <f>CO11*(1+$G$2)</f>
      </c>
      <c r="CO12" s="333">
        <f>CP11*(1+$G$2)</f>
      </c>
      <c r="CP12" s="333">
        <f>CQ11*(1+$G$2)</f>
      </c>
      <c r="CQ12" s="333">
        <f>CR11*(1+$G$2)</f>
      </c>
      <c r="CR12" s="333">
        <f>CS11*(1+$G$2)</f>
      </c>
      <c r="CS12" s="333">
        <f>CT11*(1+$G$2)</f>
      </c>
      <c r="CT12" s="333">
        <f>CU11*(1+$G$2)</f>
      </c>
      <c r="CU12" s="333">
        <f>CU11*(1+$G$2)</f>
      </c>
      <c r="CV12" s="333">
        <f>CV11*(1+$G$2)</f>
      </c>
      <c r="CW12" s="333">
        <f>CW11*(1+$G$2)</f>
      </c>
      <c r="CX12" s="333">
        <f>CX11*(1+$G$2)</f>
      </c>
      <c r="CY12" s="333">
        <f>CY11*(1+$G$2)</f>
      </c>
      <c r="CZ12" s="333">
        <f>CZ11*(1+$G$2)</f>
      </c>
      <c r="DA12" s="333">
        <f>DA11*(1+$G$2)</f>
      </c>
      <c r="DB12" s="333">
        <f>DB11*(1+$G$2)</f>
      </c>
      <c r="DC12" s="333">
        <f>DC11*(1+$G$2)</f>
      </c>
      <c r="DD12" s="333">
        <f>DD11*(1+$G$2)</f>
      </c>
      <c r="DE12" s="333">
        <f>DE11*(1+$G$2)</f>
      </c>
      <c r="DF12" s="333">
        <f>DF11*(1+$G$2)</f>
      </c>
      <c r="DG12" s="333">
        <f>DG11*(1+$G$2)</f>
      </c>
      <c r="DH12" s="333">
        <f>DH11*(1+$G$2)</f>
      </c>
      <c r="DI12" s="333">
        <f>DI11*(1+$G$2)</f>
      </c>
      <c r="DJ12" s="333">
        <f>DJ11*(1+$G$2)</f>
      </c>
      <c r="DK12" s="333">
        <f>DK11*(1+$G$2)</f>
      </c>
      <c r="DL12" s="333">
        <f>DL11*(1+$G$2)</f>
      </c>
      <c r="DM12" s="333">
        <f>DM11*(1+$G$2)</f>
      </c>
      <c r="DN12" s="333">
        <f>DN11*(1+$G$2)</f>
      </c>
      <c r="DO12" s="333">
        <f>DO11*(1+$G$2)</f>
      </c>
      <c r="DP12" s="333">
        <f>DP11*(1+$G$2)</f>
      </c>
      <c r="DQ12" s="333">
        <f>DQ11*(1+$G$2)</f>
      </c>
      <c r="DR12" s="333">
        <f>DR11*(1+$G$2)</f>
      </c>
      <c r="DS12" s="333">
        <f>DS11*(1+$G$2)</f>
      </c>
      <c r="DT12" s="333">
        <f>DT11*(1+$G$2)</f>
      </c>
      <c r="DU12" s="333">
        <f>DU11*(1+$G$2)</f>
      </c>
      <c r="DV12" s="333">
        <f>DV11*(1+$G$2)</f>
      </c>
      <c r="DW12" s="333">
        <f>DW11*(1+$G$2)</f>
      </c>
      <c r="DX12" s="333">
        <f>DX11*(1+$G$2)</f>
      </c>
      <c r="DY12" s="170"/>
      <c r="DZ12" s="170"/>
      <c r="EA12" s="170"/>
      <c r="EB12" s="170"/>
      <c r="EC12" s="170"/>
      <c r="ED12" s="170"/>
      <c r="EE12" s="170"/>
      <c r="EF12" s="170"/>
      <c r="EG12" s="170"/>
      <c r="EH12" s="170"/>
      <c r="EI12" s="170"/>
      <c r="EJ12" s="170"/>
      <c r="EK12" s="170"/>
      <c r="EL12" s="170"/>
      <c r="EM12" s="170"/>
      <c r="EN12" s="170"/>
      <c r="EO12" s="170"/>
      <c r="EP12" s="170"/>
    </row>
    <row x14ac:dyDescent="0.25" r="13" customHeight="1" ht="18.75">
      <c r="A13" s="1" t="s">
        <v>1160</v>
      </c>
      <c r="B13" s="333">
        <f>B14*(1-$G$1)</f>
      </c>
      <c r="C13" s="333">
        <f>C14*(1-$G$1)</f>
      </c>
      <c r="D13" s="333">
        <f>D14*(1-$G$1)</f>
      </c>
      <c r="E13" s="333">
        <f>E14*(1-$G$1)</f>
      </c>
      <c r="F13" s="333">
        <f>F14*(1-$G$1)</f>
      </c>
      <c r="G13" s="333">
        <f>G14*(1-$G$1)</f>
      </c>
      <c r="H13" s="333">
        <f>H14*(1-$G$1)</f>
      </c>
      <c r="I13" s="333">
        <f>I14*(1-$G$1)</f>
      </c>
      <c r="J13" s="333">
        <f>J14*(1-$G$1)</f>
      </c>
      <c r="K13" s="333">
        <f>K14*(1-$G$1)</f>
      </c>
      <c r="L13" s="333">
        <f>L14*(1-$G$1)</f>
      </c>
      <c r="M13" s="333">
        <f>M14*(1-$G$1)</f>
      </c>
      <c r="N13" s="333">
        <f>N14*(1-$G$1)</f>
      </c>
      <c r="O13" s="333">
        <f>O14*(1-$G$1)</f>
      </c>
      <c r="P13" s="333">
        <f>P14*(1-$G$1)</f>
      </c>
      <c r="Q13" s="333">
        <f>Q14*(1-$G$1)</f>
      </c>
      <c r="R13" s="333">
        <f>R14*(1-$G$1)</f>
      </c>
      <c r="S13" s="333">
        <f>S14*(1-$G$1)</f>
      </c>
      <c r="T13" s="333">
        <f>T14*(1-$G$1)</f>
      </c>
      <c r="U13" s="333">
        <f>U14*(1-$G$1)</f>
      </c>
      <c r="V13" s="333">
        <f>V14*(1-$G$1)</f>
      </c>
      <c r="W13" s="333">
        <f>W14*(1-$G$1)</f>
      </c>
      <c r="X13" s="333">
        <f>X14*(1-$G$1)</f>
      </c>
      <c r="Y13" s="333">
        <f>Y14*(1-$G$1)</f>
      </c>
      <c r="Z13" s="333">
        <f>Z14*(1-$G$1)</f>
      </c>
      <c r="AA13" s="333">
        <f>AA14*(1-$G$1)</f>
      </c>
      <c r="AB13" s="1085">
        <v>20.42404690536664</v>
      </c>
      <c r="AC13" s="1085">
        <v>23.303837519023336</v>
      </c>
      <c r="AD13" s="1086">
        <v>26.566374771686604</v>
      </c>
      <c r="AE13" s="1086">
        <v>29.70120699474563</v>
      </c>
      <c r="AF13" s="1086">
        <v>33.087144592146636</v>
      </c>
      <c r="AG13" s="1086">
        <v>35.833377593294806</v>
      </c>
      <c r="AH13" s="1086">
        <v>39.23754846465781</v>
      </c>
      <c r="AI13" s="1086">
        <v>40.96400059710276</v>
      </c>
      <c r="AJ13" s="1086">
        <v>43.29894863113761</v>
      </c>
      <c r="AK13" s="1086">
        <v>46.24327713805497</v>
      </c>
      <c r="AL13" s="1086">
        <v>49.24909015202854</v>
      </c>
      <c r="AM13" s="1086">
        <v>52.05628829069416</v>
      </c>
      <c r="AN13" s="1086">
        <v>55.075553011554426</v>
      </c>
      <c r="AO13" s="1086">
        <v>57.443801791051264</v>
      </c>
      <c r="AP13" s="1086">
        <v>60.02877287164856</v>
      </c>
      <c r="AQ13" s="1086">
        <v>62.6700388780011</v>
      </c>
      <c r="AR13" s="1086">
        <v>64.92616027760914</v>
      </c>
      <c r="AS13" s="1086">
        <v>66.22468348316133</v>
      </c>
      <c r="AT13" s="1086">
        <v>67.2842784188919</v>
      </c>
      <c r="AU13" s="1086">
        <v>68.9663853793642</v>
      </c>
      <c r="AV13" s="1086">
        <v>71.51814163840066</v>
      </c>
      <c r="AW13" s="1086">
        <v>73.94975845410629</v>
      </c>
      <c r="AX13" s="1086">
        <v>76.538</v>
      </c>
      <c r="AY13" s="1086">
        <v>78.77</v>
      </c>
      <c r="AZ13" s="1086">
        <v>81.307</v>
      </c>
      <c r="BA13" s="1086">
        <v>84.343</v>
      </c>
      <c r="BB13" s="1086">
        <v>86.805</v>
      </c>
      <c r="BC13" s="1086">
        <v>89.131</v>
      </c>
      <c r="BD13" s="1086">
        <v>93.177</v>
      </c>
      <c r="BE13" s="1086">
        <v>92.221</v>
      </c>
      <c r="BF13" s="1086">
        <v>94.184</v>
      </c>
      <c r="BG13" s="1086">
        <v>97.143</v>
      </c>
      <c r="BH13" s="1086">
        <v>100.458</v>
      </c>
      <c r="BI13" s="1086">
        <v>100.801</v>
      </c>
      <c r="BJ13" s="1086">
        <v>100.645</v>
      </c>
      <c r="BK13" s="1086">
        <v>99.761</v>
      </c>
      <c r="BL13" s="1086">
        <v>99.939</v>
      </c>
      <c r="BM13" s="1086">
        <v>101.73</v>
      </c>
      <c r="BN13" s="1085">
        <v>104.029</v>
      </c>
      <c r="BO13" s="1085">
        <v>104.116</v>
      </c>
      <c r="BP13" s="1085">
        <v>103.731</v>
      </c>
      <c r="BQ13" s="1085">
        <v>107.887</v>
      </c>
      <c r="BR13" s="333">
        <f>BR12*(1+$G$2)</f>
      </c>
      <c r="BS13" s="333">
        <f>BT12*(1+$G$2)</f>
      </c>
      <c r="BT13" s="333">
        <f>BU12*(1+$G$2)</f>
      </c>
      <c r="BU13" s="333">
        <f>BV12*(1+$G$2)</f>
      </c>
      <c r="BV13" s="333">
        <f>BW12*(1+$G$2)</f>
      </c>
      <c r="BW13" s="333">
        <f>BX12*(1+$G$2)</f>
      </c>
      <c r="BX13" s="333">
        <f>BY12*(1+$G$2)</f>
      </c>
      <c r="BY13" s="333">
        <f>BZ12*(1+$G$2)</f>
      </c>
      <c r="BZ13" s="333">
        <f>CA12*(1+$G$2)</f>
      </c>
      <c r="CA13" s="333">
        <f>CB12*(1+$G$2)</f>
      </c>
      <c r="CB13" s="333">
        <f>CC12*(1+$G$2)</f>
      </c>
      <c r="CC13" s="333">
        <f>CD12*(1+$G$2)</f>
      </c>
      <c r="CD13" s="333">
        <f>CE12*(1+$G$2)</f>
      </c>
      <c r="CE13" s="333">
        <f>CF12*(1+$G$2)</f>
      </c>
      <c r="CF13" s="333">
        <f>CG12*(1+$G$2)</f>
      </c>
      <c r="CG13" s="333">
        <f>CH12*(1+$G$2)</f>
      </c>
      <c r="CH13" s="333">
        <f>CI12*(1+$G$2)</f>
      </c>
      <c r="CI13" s="333">
        <f>CJ12*(1+$G$2)</f>
      </c>
      <c r="CJ13" s="333">
        <f>CK12*(1+$G$2)</f>
      </c>
      <c r="CK13" s="333">
        <f>CL12*(1+$G$2)</f>
      </c>
      <c r="CL13" s="333">
        <f>CM12*(1+$G$2)</f>
      </c>
      <c r="CM13" s="333">
        <f>CN12*(1+$G$2)</f>
      </c>
      <c r="CN13" s="333">
        <f>CO12*(1+$G$2)</f>
      </c>
      <c r="CO13" s="333">
        <f>CP12*(1+$G$2)</f>
      </c>
      <c r="CP13" s="333">
        <f>CQ12*(1+$G$2)</f>
      </c>
      <c r="CQ13" s="333">
        <f>CR12*(1+$G$2)</f>
      </c>
      <c r="CR13" s="333">
        <f>CS12*(1+$G$2)</f>
      </c>
      <c r="CS13" s="333">
        <f>CT12*(1+$G$2)</f>
      </c>
      <c r="CT13" s="333">
        <f>CU12*(1+$G$2)</f>
      </c>
      <c r="CU13" s="333">
        <f>CU12*(1+$G$2)</f>
      </c>
      <c r="CV13" s="333">
        <f>CV12*(1+$G$2)</f>
      </c>
      <c r="CW13" s="333">
        <f>CW12*(1+$G$2)</f>
      </c>
      <c r="CX13" s="333">
        <f>CX12*(1+$G$2)</f>
      </c>
      <c r="CY13" s="333">
        <f>CY12*(1+$G$2)</f>
      </c>
      <c r="CZ13" s="333">
        <f>CZ12*(1+$G$2)</f>
      </c>
      <c r="DA13" s="333">
        <f>DA12*(1+$G$2)</f>
      </c>
      <c r="DB13" s="333">
        <f>DB12*(1+$G$2)</f>
      </c>
      <c r="DC13" s="333">
        <f>DC12*(1+$G$2)</f>
      </c>
      <c r="DD13" s="333">
        <f>DD12*(1+$G$2)</f>
      </c>
      <c r="DE13" s="333">
        <f>DE12*(1+$G$2)</f>
      </c>
      <c r="DF13" s="333">
        <f>DF12*(1+$G$2)</f>
      </c>
      <c r="DG13" s="333">
        <f>DG12*(1+$G$2)</f>
      </c>
      <c r="DH13" s="333">
        <f>DH12*(1+$G$2)</f>
      </c>
      <c r="DI13" s="333">
        <f>DI12*(1+$G$2)</f>
      </c>
      <c r="DJ13" s="333">
        <f>DJ12*(1+$G$2)</f>
      </c>
      <c r="DK13" s="333">
        <f>DK12*(1+$G$2)</f>
      </c>
      <c r="DL13" s="333">
        <f>DL12*(1+$G$2)</f>
      </c>
      <c r="DM13" s="333">
        <f>DM12*(1+$G$2)</f>
      </c>
      <c r="DN13" s="333">
        <f>DN12*(1+$G$2)</f>
      </c>
      <c r="DO13" s="333">
        <f>DO12*(1+$G$2)</f>
      </c>
      <c r="DP13" s="333">
        <f>DP12*(1+$G$2)</f>
      </c>
      <c r="DQ13" s="333">
        <f>DQ12*(1+$G$2)</f>
      </c>
      <c r="DR13" s="333">
        <f>DR12*(1+$G$2)</f>
      </c>
      <c r="DS13" s="333">
        <f>DS12*(1+$G$2)</f>
      </c>
      <c r="DT13" s="333">
        <f>DT12*(1+$G$2)</f>
      </c>
      <c r="DU13" s="333">
        <f>DU12*(1+$G$2)</f>
      </c>
      <c r="DV13" s="333">
        <f>DV12*(1+$G$2)</f>
      </c>
      <c r="DW13" s="333">
        <f>DW12*(1+$G$2)</f>
      </c>
      <c r="DX13" s="333">
        <f>DX12*(1+$G$2)</f>
      </c>
      <c r="DY13" s="170"/>
      <c r="DZ13" s="170"/>
      <c r="EA13" s="170"/>
      <c r="EB13" s="170"/>
      <c r="EC13" s="170"/>
      <c r="ED13" s="170"/>
      <c r="EE13" s="170"/>
      <c r="EF13" s="170"/>
      <c r="EG13" s="170"/>
      <c r="EH13" s="170"/>
      <c r="EI13" s="170"/>
      <c r="EJ13" s="170"/>
      <c r="EK13" s="170"/>
      <c r="EL13" s="170"/>
      <c r="EM13" s="170"/>
      <c r="EN13" s="170"/>
      <c r="EO13" s="170"/>
      <c r="EP13" s="170"/>
    </row>
    <row x14ac:dyDescent="0.25" r="14" customHeight="1" ht="18.75">
      <c r="A14" s="1" t="s">
        <v>1161</v>
      </c>
      <c r="B14" s="333">
        <f>B15*(1-$G$1)</f>
      </c>
      <c r="C14" s="333">
        <f>C15*(1-$G$1)</f>
      </c>
      <c r="D14" s="333">
        <f>D15*(1-$G$1)</f>
      </c>
      <c r="E14" s="333">
        <f>E15*(1-$G$1)</f>
      </c>
      <c r="F14" s="333">
        <f>F15*(1-$G$1)</f>
      </c>
      <c r="G14" s="333">
        <f>G15*(1-$G$1)</f>
      </c>
      <c r="H14" s="333">
        <f>H15*(1-$G$1)</f>
      </c>
      <c r="I14" s="333">
        <f>I15*(1-$G$1)</f>
      </c>
      <c r="J14" s="333">
        <f>J15*(1-$G$1)</f>
      </c>
      <c r="K14" s="333">
        <f>K15*(1-$G$1)</f>
      </c>
      <c r="L14" s="333">
        <f>L15*(1-$G$1)</f>
      </c>
      <c r="M14" s="333">
        <f>M15*(1-$G$1)</f>
      </c>
      <c r="N14" s="333">
        <f>N15*(1-$G$1)</f>
      </c>
      <c r="O14" s="333">
        <f>O15*(1-$G$1)</f>
      </c>
      <c r="P14" s="333">
        <f>P15*(1-$G$1)</f>
      </c>
      <c r="Q14" s="333">
        <f>Q15*(1-$G$1)</f>
      </c>
      <c r="R14" s="333">
        <f>R15*(1-$G$1)</f>
      </c>
      <c r="S14" s="333">
        <f>S15*(1-$G$1)</f>
      </c>
      <c r="T14" s="333">
        <f>T15*(1-$G$1)</f>
      </c>
      <c r="U14" s="333">
        <f>U15*(1-$G$1)</f>
      </c>
      <c r="V14" s="333">
        <f>V15*(1-$G$1)</f>
      </c>
      <c r="W14" s="333">
        <f>W15*(1-$G$1)</f>
      </c>
      <c r="X14" s="333">
        <f>X15*(1-$G$1)</f>
      </c>
      <c r="Y14" s="333">
        <f>Y15*(1-$G$1)</f>
      </c>
      <c r="Z14" s="333">
        <f>Z15*(1-$G$1)</f>
      </c>
      <c r="AA14" s="333">
        <f>AA15*(1-$G$1)</f>
      </c>
      <c r="AB14" s="1085">
        <v>20.720611091509895</v>
      </c>
      <c r="AC14" s="1085">
        <v>23.704379088687322</v>
      </c>
      <c r="AD14" s="1086">
        <v>26.97558340292617</v>
      </c>
      <c r="AE14" s="1086">
        <v>30.26660457808316</v>
      </c>
      <c r="AF14" s="1086">
        <v>33.44459805878189</v>
      </c>
      <c r="AG14" s="1086">
        <v>36.18705509960201</v>
      </c>
      <c r="AH14" s="1086">
        <v>39.552451223865</v>
      </c>
      <c r="AI14" s="1086">
        <v>41.411416431386655</v>
      </c>
      <c r="AJ14" s="1086">
        <v>43.56481008581876</v>
      </c>
      <c r="AK14" s="1086">
        <v>46.6579116019119</v>
      </c>
      <c r="AL14" s="1086">
        <v>49.92396541404573</v>
      </c>
      <c r="AM14" s="1086">
        <v>52.669783511818245</v>
      </c>
      <c r="AN14" s="1086">
        <v>55.408612254432796</v>
      </c>
      <c r="AO14" s="1086">
        <v>57.95740841813671</v>
      </c>
      <c r="AP14" s="1086">
        <v>60.50753438853472</v>
      </c>
      <c r="AQ14" s="1086">
        <v>63.10935836724171</v>
      </c>
      <c r="AR14" s="1086">
        <v>65.31818591009517</v>
      </c>
      <c r="AS14" s="1086">
        <v>66.55923144238696</v>
      </c>
      <c r="AT14" s="1086">
        <v>67.69073837690753</v>
      </c>
      <c r="AU14" s="1086">
        <v>69.38300683633021</v>
      </c>
      <c r="AV14" s="1086">
        <v>72.15832710978343</v>
      </c>
      <c r="AW14" s="1086">
        <v>74.32307692307693</v>
      </c>
      <c r="AX14" s="1086">
        <v>77.296</v>
      </c>
      <c r="AY14" s="1086">
        <v>79.301</v>
      </c>
      <c r="AZ14" s="1086">
        <v>82.143</v>
      </c>
      <c r="BA14" s="1086">
        <v>85.029</v>
      </c>
      <c r="BB14" s="1086">
        <v>87.161</v>
      </c>
      <c r="BC14" s="1086">
        <v>90.286</v>
      </c>
      <c r="BD14" s="1086">
        <v>93.497</v>
      </c>
      <c r="BE14" s="1086">
        <v>92.879</v>
      </c>
      <c r="BF14" s="1086">
        <v>95.045</v>
      </c>
      <c r="BG14" s="1086">
        <v>97.909</v>
      </c>
      <c r="BH14" s="1086">
        <v>101.311</v>
      </c>
      <c r="BI14" s="1086">
        <v>101.21</v>
      </c>
      <c r="BJ14" s="1086">
        <v>101.114</v>
      </c>
      <c r="BK14" s="1086">
        <v>100.399</v>
      </c>
      <c r="BL14" s="1086">
        <v>101.081</v>
      </c>
      <c r="BM14" s="1086">
        <v>102.668</v>
      </c>
      <c r="BN14" s="1085">
        <v>104.991</v>
      </c>
      <c r="BO14" s="1085">
        <v>105.126</v>
      </c>
      <c r="BP14" s="1085">
        <v>104.275</v>
      </c>
      <c r="BQ14" s="1085">
        <v>109.871</v>
      </c>
      <c r="BR14" s="333">
        <f>BS13*(1+$G$2)</f>
      </c>
      <c r="BS14" s="333">
        <f>BT13*(1+$G$2)</f>
      </c>
      <c r="BT14" s="333">
        <f>BU13*(1+$G$2)</f>
      </c>
      <c r="BU14" s="333">
        <f>BV13*(1+$G$2)</f>
      </c>
      <c r="BV14" s="333">
        <f>BW13*(1+$G$2)</f>
      </c>
      <c r="BW14" s="333">
        <f>BX13*(1+$G$2)</f>
      </c>
      <c r="BX14" s="333">
        <f>BY13*(1+$G$2)</f>
      </c>
      <c r="BY14" s="333">
        <f>BY13*(1+$G$2)</f>
      </c>
      <c r="BZ14" s="333">
        <f>CG13*(1+$G$2)</f>
      </c>
      <c r="CA14" s="333">
        <f>CH13*(1+$G$2)</f>
      </c>
      <c r="CB14" s="333">
        <f>CI13*(1+$G$2)</f>
      </c>
      <c r="CC14" s="333">
        <f>CJ13*(1+$G$2)</f>
      </c>
      <c r="CD14" s="333">
        <f>CK13*(1+$G$2)</f>
      </c>
      <c r="CE14" s="333">
        <f>CL13*(1+$G$2)</f>
      </c>
      <c r="CF14" s="333">
        <f>CM13*(1+$G$2)</f>
      </c>
      <c r="CG14" s="333">
        <f>CN13*(1+$G$2)</f>
      </c>
      <c r="CH14" s="333">
        <f>CO13*(1+$G$2)</f>
      </c>
      <c r="CI14" s="333">
        <f>CP13*(1+$G$2)</f>
      </c>
      <c r="CJ14" s="333">
        <f>CQ13*(1+$G$2)</f>
      </c>
      <c r="CK14" s="333">
        <f>CR13*(1+$G$2)</f>
      </c>
      <c r="CL14" s="333">
        <f>CS13*(1+$G$2)</f>
      </c>
      <c r="CM14" s="333">
        <f>CT13*(1+$G$2)</f>
      </c>
      <c r="CN14" s="333">
        <f>CU13*(1+$G$2)</f>
      </c>
      <c r="CO14" s="333">
        <f>CV13*(1+$G$2)</f>
      </c>
      <c r="CP14" s="333">
        <f>CW13*(1+$G$2)</f>
      </c>
      <c r="CQ14" s="333">
        <f>CX13*(1+$G$2)</f>
      </c>
      <c r="CR14" s="333">
        <f>CY13*(1+$G$2)</f>
      </c>
      <c r="CS14" s="333">
        <f>CZ13*(1+$G$2)</f>
      </c>
      <c r="CT14" s="333">
        <f>DA13*(1+$G$2)</f>
      </c>
      <c r="CU14" s="333">
        <f>CU13*(1+$G$2)</f>
      </c>
      <c r="CV14" s="333">
        <f>CV13*(1+$G$2)</f>
      </c>
      <c r="CW14" s="333">
        <f>CW13*(1+$G$2)</f>
      </c>
      <c r="CX14" s="333">
        <f>CX13*(1+$G$2)</f>
      </c>
      <c r="CY14" s="333">
        <f>CY13*(1+$G$2)</f>
      </c>
      <c r="CZ14" s="333">
        <f>CZ13*(1+$G$2)</f>
      </c>
      <c r="DA14" s="333">
        <f>DA13*(1+$G$2)</f>
      </c>
      <c r="DB14" s="333">
        <f>DB13*(1+$G$2)</f>
      </c>
      <c r="DC14" s="333">
        <f>DC13*(1+$G$2)</f>
      </c>
      <c r="DD14" s="333">
        <f>DD13*(1+$G$2)</f>
      </c>
      <c r="DE14" s="333">
        <f>DE13*(1+$G$2)</f>
      </c>
      <c r="DF14" s="333">
        <f>DF13*(1+$G$2)</f>
      </c>
      <c r="DG14" s="333">
        <f>DG13*(1+$G$2)</f>
      </c>
      <c r="DH14" s="333">
        <f>DH13*(1+$G$2)</f>
      </c>
      <c r="DI14" s="333">
        <f>DI13*(1+$G$2)</f>
      </c>
      <c r="DJ14" s="333">
        <f>DJ13*(1+$G$2)</f>
      </c>
      <c r="DK14" s="333">
        <f>DK13*(1+$G$2)</f>
      </c>
      <c r="DL14" s="333">
        <f>DL13*(1+$G$2)</f>
      </c>
      <c r="DM14" s="333">
        <f>DM13*(1+$G$2)</f>
      </c>
      <c r="DN14" s="333">
        <f>DN13*(1+$G$2)</f>
      </c>
      <c r="DO14" s="333">
        <f>DO13*(1+$G$2)</f>
      </c>
      <c r="DP14" s="333">
        <f>DP13*(1+$G$2)</f>
      </c>
      <c r="DQ14" s="333">
        <f>DQ13*(1+$G$2)</f>
      </c>
      <c r="DR14" s="333">
        <f>DR13*(1+$G$2)</f>
      </c>
      <c r="DS14" s="333">
        <f>DS13*(1+$G$2)</f>
      </c>
      <c r="DT14" s="333">
        <f>DT13*(1+$G$2)</f>
      </c>
      <c r="DU14" s="333">
        <f>DU13*(1+$G$2)</f>
      </c>
      <c r="DV14" s="333">
        <f>DV13*(1+$G$2)</f>
      </c>
      <c r="DW14" s="333">
        <f>DW13*(1+$G$2)</f>
      </c>
      <c r="DX14" s="333">
        <f>DX13*(1+$G$2)</f>
      </c>
      <c r="DY14" s="170"/>
      <c r="DZ14" s="170"/>
      <c r="EA14" s="170"/>
      <c r="EB14" s="170"/>
      <c r="EC14" s="170"/>
      <c r="ED14" s="170"/>
      <c r="EE14" s="170"/>
      <c r="EF14" s="170"/>
      <c r="EG14" s="170"/>
      <c r="EH14" s="170"/>
      <c r="EI14" s="170"/>
      <c r="EJ14" s="170"/>
      <c r="EK14" s="170"/>
      <c r="EL14" s="170"/>
      <c r="EM14" s="170"/>
      <c r="EN14" s="170"/>
      <c r="EO14" s="170"/>
      <c r="EP14" s="170"/>
    </row>
    <row x14ac:dyDescent="0.25" r="15" customHeight="1" ht="18.75">
      <c r="A15" s="1" t="s">
        <v>1162</v>
      </c>
      <c r="B15" s="333">
        <f>B16*(1-$G$1)</f>
      </c>
      <c r="C15" s="333">
        <f>C16*(1-$G$1)</f>
      </c>
      <c r="D15" s="333">
        <f>D16*(1-$G$1)</f>
      </c>
      <c r="E15" s="333">
        <f>E16*(1-$G$1)</f>
      </c>
      <c r="F15" s="333">
        <f>F16*(1-$G$1)</f>
      </c>
      <c r="G15" s="333">
        <f>G16*(1-$G$1)</f>
      </c>
      <c r="H15" s="333">
        <f>H16*(1-$G$1)</f>
      </c>
      <c r="I15" s="333">
        <f>I16*(1-$G$1)</f>
      </c>
      <c r="J15" s="333">
        <f>J16*(1-$G$1)</f>
      </c>
      <c r="K15" s="333">
        <f>K16*(1-$G$1)</f>
      </c>
      <c r="L15" s="333">
        <f>L16*(1-$G$1)</f>
      </c>
      <c r="M15" s="333">
        <f>M16*(1-$G$1)</f>
      </c>
      <c r="N15" s="333">
        <f>N16*(1-$G$1)</f>
      </c>
      <c r="O15" s="333">
        <f>O16*(1-$G$1)</f>
      </c>
      <c r="P15" s="333">
        <f>P16*(1-$G$1)</f>
      </c>
      <c r="Q15" s="333">
        <f>Q16*(1-$G$1)</f>
      </c>
      <c r="R15" s="333">
        <f>R16*(1-$G$1)</f>
      </c>
      <c r="S15" s="333">
        <f>S16*(1-$G$1)</f>
      </c>
      <c r="T15" s="333">
        <f>T16*(1-$G$1)</f>
      </c>
      <c r="U15" s="333">
        <f>U16*(1-$G$1)</f>
      </c>
      <c r="V15" s="333">
        <f>V16*(1-$G$1)</f>
      </c>
      <c r="W15" s="333">
        <f>W16*(1-$G$1)</f>
      </c>
      <c r="X15" s="333">
        <f>X16*(1-$G$1)</f>
      </c>
      <c r="Y15" s="333">
        <f>Y16*(1-$G$1)</f>
      </c>
      <c r="Z15" s="333">
        <f>Z16*(1-$G$1)</f>
      </c>
      <c r="AA15" s="333">
        <f>AA16*(1-$G$1)</f>
      </c>
      <c r="AB15" s="1085">
        <v>21.023651004543492</v>
      </c>
      <c r="AC15" s="1085">
        <v>24.03003309819321</v>
      </c>
      <c r="AD15" s="1086">
        <v>27.201997467154715</v>
      </c>
      <c r="AE15" s="1086">
        <v>30.738257137884826</v>
      </c>
      <c r="AF15" s="1086">
        <v>33.81208285167331</v>
      </c>
      <c r="AG15" s="1086">
        <v>36.68610989406554</v>
      </c>
      <c r="AH15" s="1086">
        <v>39.69437090537892</v>
      </c>
      <c r="AI15" s="1086">
        <v>41.560006337931725</v>
      </c>
      <c r="AJ15" s="1086">
        <v>43.80424668018004</v>
      </c>
      <c r="AK15" s="1086">
        <v>47.001956687833186</v>
      </c>
      <c r="AL15" s="1086">
        <v>50.15108778591801</v>
      </c>
      <c r="AM15" s="1086">
        <v>53.00969978971533</v>
      </c>
      <c r="AN15" s="1086">
        <v>55.71319447899081</v>
      </c>
      <c r="AO15" s="1086">
        <v>58.33171461950337</v>
      </c>
      <c r="AP15" s="1086">
        <v>60.898310062761524</v>
      </c>
      <c r="AQ15" s="1086">
        <v>63.577835705523036</v>
      </c>
      <c r="AR15" s="1086">
        <v>65.61232644809978</v>
      </c>
      <c r="AS15" s="1086">
        <v>66.92457297706177</v>
      </c>
      <c r="AT15" s="1086">
        <v>67.86151699874064</v>
      </c>
      <c r="AU15" s="1086">
        <v>69.69377795770663</v>
      </c>
      <c r="AV15" s="1086">
        <v>72.55122285397259</v>
      </c>
      <c r="AW15" s="1086">
        <v>74.51010587102984</v>
      </c>
      <c r="AX15" s="1086">
        <v>77.416</v>
      </c>
      <c r="AY15" s="1086">
        <v>79.559</v>
      </c>
      <c r="AZ15" s="1086">
        <v>82.348</v>
      </c>
      <c r="BA15" s="1086">
        <v>85.158</v>
      </c>
      <c r="BB15" s="1086">
        <v>87.377</v>
      </c>
      <c r="BC15" s="1086">
        <v>90.933</v>
      </c>
      <c r="BD15" s="1086">
        <v>93.1</v>
      </c>
      <c r="BE15" s="1086">
        <v>93.382</v>
      </c>
      <c r="BF15" s="1086">
        <v>95.56</v>
      </c>
      <c r="BG15" s="1086">
        <v>98.306</v>
      </c>
      <c r="BH15" s="1086">
        <v>101.186</v>
      </c>
      <c r="BI15" s="1086">
        <v>101.421</v>
      </c>
      <c r="BJ15" s="1086">
        <v>101.044</v>
      </c>
      <c r="BK15" s="1086">
        <v>100.767</v>
      </c>
      <c r="BL15" s="1086">
        <v>101.447</v>
      </c>
      <c r="BM15" s="1086">
        <v>103.137</v>
      </c>
      <c r="BN15" s="1085">
        <v>104.876</v>
      </c>
      <c r="BO15" s="1085">
        <v>105.304</v>
      </c>
      <c r="BP15" s="1085">
        <v>104.447</v>
      </c>
      <c r="BQ15" s="1085">
        <v>110.208</v>
      </c>
      <c r="BR15" s="333">
        <f>BY14*(1+$G$2)</f>
      </c>
      <c r="BS15" s="333">
        <f>BZ14*(1+$G$2)</f>
      </c>
      <c r="BT15" s="333">
        <f>CA14*(1+$G$2)</f>
      </c>
      <c r="BU15" s="333">
        <f>CB14*(1+$G$2)</f>
      </c>
      <c r="BV15" s="333">
        <f>CC14*(1+$G$2)</f>
      </c>
      <c r="BW15" s="333">
        <f>CD14*(1+$G$2)</f>
      </c>
      <c r="BX15" s="333">
        <f>CE14*(1+$G$2)</f>
      </c>
      <c r="BY15" s="333">
        <f>CF14*(1+$G$2)</f>
      </c>
      <c r="BZ15" s="333">
        <f>CG14*(1+$G$2)</f>
      </c>
      <c r="CA15" s="333">
        <f>CH14*(1+$G$2)</f>
      </c>
      <c r="CB15" s="333">
        <f>CI14*(1+$G$2)</f>
      </c>
      <c r="CC15" s="333">
        <f>CJ14*(1+$G$2)</f>
      </c>
      <c r="CD15" s="333">
        <f>CK14*(1+$G$2)</f>
      </c>
      <c r="CE15" s="333">
        <f>CL14*(1+$G$2)</f>
      </c>
      <c r="CF15" s="333">
        <f>CM14*(1+$G$2)</f>
      </c>
      <c r="CG15" s="333">
        <f>CN14*(1+$G$2)</f>
      </c>
      <c r="CH15" s="333">
        <f>CO14*(1+$G$2)</f>
      </c>
      <c r="CI15" s="333">
        <f>CP14*(1+$G$2)</f>
      </c>
      <c r="CJ15" s="333">
        <f>CQ14*(1+$G$2)</f>
      </c>
      <c r="CK15" s="333">
        <f>CR14*(1+$G$2)</f>
      </c>
      <c r="CL15" s="333">
        <f>CS14*(1+$G$2)</f>
      </c>
      <c r="CM15" s="333">
        <f>CT14*(1+$G$2)</f>
      </c>
      <c r="CN15" s="333">
        <f>CU14*(1+$G$2)</f>
      </c>
      <c r="CO15" s="333">
        <f>CV14*(1+$G$2)</f>
      </c>
      <c r="CP15" s="333">
        <f>CW14*(1+$G$2)</f>
      </c>
      <c r="CQ15" s="333">
        <f>CX14*(1+$G$2)</f>
      </c>
      <c r="CR15" s="333">
        <f>CY14*(1+$G$2)</f>
      </c>
      <c r="CS15" s="333">
        <f>CZ14*(1+$G$2)</f>
      </c>
      <c r="CT15" s="333">
        <f>CT14*(1+$G$2)</f>
      </c>
      <c r="CU15" s="333">
        <f>CU14*(1+$G$2)</f>
      </c>
      <c r="CV15" s="333">
        <f>CV14*(1+$G$2)</f>
      </c>
      <c r="CW15" s="333">
        <f>CW14*(1+$G$2)</f>
      </c>
      <c r="CX15" s="333">
        <f>CX14*(1+$G$2)</f>
      </c>
      <c r="CY15" s="333">
        <f>CY14*(1+$G$2)</f>
      </c>
      <c r="CZ15" s="333">
        <f>CZ14*(1+$G$2)</f>
      </c>
      <c r="DA15" s="333">
        <f>DA14*(1+$G$2)</f>
      </c>
      <c r="DB15" s="333">
        <f>DB14*(1+$G$2)</f>
      </c>
      <c r="DC15" s="333">
        <f>DC14*(1+$G$2)</f>
      </c>
      <c r="DD15" s="333">
        <f>DD14*(1+$G$2)</f>
      </c>
      <c r="DE15" s="333">
        <f>DE14*(1+$G$2)</f>
      </c>
      <c r="DF15" s="333">
        <f>DF14*(1+$G$2)</f>
      </c>
      <c r="DG15" s="333">
        <f>DG14*(1+$G$2)</f>
      </c>
      <c r="DH15" s="333">
        <f>DH14*(1+$G$2)</f>
      </c>
      <c r="DI15" s="333">
        <f>DI14*(1+$G$2)</f>
      </c>
      <c r="DJ15" s="333">
        <f>DJ14*(1+$G$2)</f>
      </c>
      <c r="DK15" s="333">
        <f>DK14*(1+$G$2)</f>
      </c>
      <c r="DL15" s="333">
        <f>DL14*(1+$G$2)</f>
      </c>
      <c r="DM15" s="333">
        <f>DM14*(1+$G$2)</f>
      </c>
      <c r="DN15" s="333">
        <f>DN14*(1+$G$2)</f>
      </c>
      <c r="DO15" s="333">
        <f>DO14*(1+$G$2)</f>
      </c>
      <c r="DP15" s="333">
        <f>DP14*(1+$G$2)</f>
      </c>
      <c r="DQ15" s="333">
        <f>DQ14*(1+$G$2)</f>
      </c>
      <c r="DR15" s="333">
        <f>DR14*(1+$G$2)</f>
      </c>
      <c r="DS15" s="333">
        <f>DS14*(1+$G$2)</f>
      </c>
      <c r="DT15" s="333">
        <f>DT14*(1+$G$2)</f>
      </c>
      <c r="DU15" s="333">
        <f>DU14*(1+$G$2)</f>
      </c>
      <c r="DV15" s="333">
        <f>DV14*(1+$G$2)</f>
      </c>
      <c r="DW15" s="333">
        <f>DW14*(1+$G$2)</f>
      </c>
      <c r="DX15" s="333">
        <f>DX14*(1+$G$2)</f>
      </c>
      <c r="DY15" s="170"/>
      <c r="DZ15" s="170"/>
      <c r="EA15" s="170"/>
      <c r="EB15" s="170"/>
      <c r="EC15" s="170"/>
      <c r="ED15" s="170"/>
      <c r="EE15" s="170"/>
      <c r="EF15" s="170"/>
      <c r="EG15" s="170"/>
      <c r="EH15" s="170"/>
      <c r="EI15" s="170"/>
      <c r="EJ15" s="170"/>
      <c r="EK15" s="170"/>
      <c r="EL15" s="170"/>
      <c r="EM15" s="170"/>
      <c r="EN15" s="170"/>
      <c r="EO15" s="170"/>
      <c r="EP15" s="170"/>
    </row>
    <row x14ac:dyDescent="0.25" r="16" customHeight="1" ht="18.75">
      <c r="A16" s="1" t="s">
        <v>1163</v>
      </c>
      <c r="B16" s="333">
        <f>C5*(1-$G$1)</f>
      </c>
      <c r="C16" s="333">
        <f>D5*(1-$G$1)</f>
      </c>
      <c r="D16" s="333">
        <f>E5*(1-$G$1)</f>
      </c>
      <c r="E16" s="333">
        <f>F5*(1-$G$1)</f>
      </c>
      <c r="F16" s="333">
        <f>G5*(1-$G$1)</f>
      </c>
      <c r="G16" s="333">
        <f>H5*(1-$G$1)</f>
      </c>
      <c r="H16" s="333">
        <f>I5*(1-$G$1)</f>
      </c>
      <c r="I16" s="333">
        <f>J5*(1-$G$1)</f>
      </c>
      <c r="J16" s="333">
        <f>K5*(1-$G$1)</f>
      </c>
      <c r="K16" s="333">
        <f>L5*(1-$G$1)</f>
      </c>
      <c r="L16" s="333">
        <f>M5*(1-$G$1)</f>
      </c>
      <c r="M16" s="333">
        <f>N5*(1-$G$1)</f>
      </c>
      <c r="N16" s="333">
        <f>O5*(1-$G$1)</f>
      </c>
      <c r="O16" s="333">
        <f>P5*(1-$G$1)</f>
      </c>
      <c r="P16" s="333">
        <f>Q5*(1-$G$1)</f>
      </c>
      <c r="Q16" s="333">
        <f>R5*(1-$G$1)</f>
      </c>
      <c r="R16" s="333">
        <f>S5*(1-$G$1)</f>
      </c>
      <c r="S16" s="333">
        <f>T5*(1-$G$1)</f>
      </c>
      <c r="T16" s="333">
        <f>U5*(1-$G$1)</f>
      </c>
      <c r="U16" s="333">
        <f>V5*(1-$G$1)</f>
      </c>
      <c r="V16" s="333">
        <f>W5*(1-$G$1)</f>
      </c>
      <c r="W16" s="333">
        <f>X5*(1-$G$1)</f>
      </c>
      <c r="X16" s="333">
        <f>Y5*(1-$G$1)</f>
      </c>
      <c r="Y16" s="333">
        <f>Z5*(1-$G$1)</f>
      </c>
      <c r="Z16" s="333">
        <f>AA5*(1-$G$1)</f>
      </c>
      <c r="AA16" s="333">
        <f>AB5*(1-$G$1)</f>
      </c>
      <c r="AB16" s="1085">
        <v>21.326726982649443</v>
      </c>
      <c r="AC16" s="1085">
        <v>24.397775668150967</v>
      </c>
      <c r="AD16" s="1086">
        <v>27.813464261692104</v>
      </c>
      <c r="AE16" s="1086">
        <v>31.20670690161854</v>
      </c>
      <c r="AF16" s="1086">
        <v>34.01531052276421</v>
      </c>
      <c r="AG16" s="1086">
        <v>36.80456598563088</v>
      </c>
      <c r="AH16" s="1086">
        <v>39.85934496243824</v>
      </c>
      <c r="AI16" s="1086">
        <v>41.6928748307104</v>
      </c>
      <c r="AJ16" s="1086">
        <v>44.11106157089161</v>
      </c>
      <c r="AK16" s="1086">
        <v>47.154724819283125</v>
      </c>
      <c r="AL16" s="1086">
        <v>50.21978193253653</v>
      </c>
      <c r="AM16" s="1086">
        <v>52.98186993882604</v>
      </c>
      <c r="AN16" s="1086">
        <v>55.78990904558381</v>
      </c>
      <c r="AO16" s="1086">
        <v>58.523614588817416</v>
      </c>
      <c r="AP16" s="1086">
        <v>61.040130016136565</v>
      </c>
      <c r="AQ16" s="1086">
        <v>63.664855606830436</v>
      </c>
      <c r="AR16" s="1086">
        <v>65.70213098624902</v>
      </c>
      <c r="AS16" s="1086">
        <v>67.016173605974</v>
      </c>
      <c r="AT16" s="1086">
        <v>67.95440003645764</v>
      </c>
      <c r="AU16" s="1086">
        <v>69.9250776375149</v>
      </c>
      <c r="AV16" s="1086">
        <v>72.72208074301551</v>
      </c>
      <c r="AW16" s="1086">
        <v>74.68557692307692</v>
      </c>
      <c r="AX16" s="1086">
        <v>77.673</v>
      </c>
      <c r="AY16" s="1086">
        <v>79.696</v>
      </c>
      <c r="AZ16" s="1086">
        <v>82.268</v>
      </c>
      <c r="BA16" s="1086">
        <v>85.341</v>
      </c>
      <c r="BB16" s="1086">
        <v>87.616</v>
      </c>
      <c r="BC16" s="1086">
        <v>91.314</v>
      </c>
      <c r="BD16" s="1086">
        <v>92.622</v>
      </c>
      <c r="BE16" s="1086">
        <v>93.358</v>
      </c>
      <c r="BF16" s="1086">
        <v>96.148</v>
      </c>
      <c r="BG16" s="1086">
        <v>98.434</v>
      </c>
      <c r="BH16" s="1086">
        <v>101.257</v>
      </c>
      <c r="BI16" s="1086">
        <v>101.512</v>
      </c>
      <c r="BJ16" s="1086">
        <v>100.455</v>
      </c>
      <c r="BK16" s="1086">
        <v>100.472</v>
      </c>
      <c r="BL16" s="1086">
        <v>102.049</v>
      </c>
      <c r="BM16" s="1086">
        <v>103.184</v>
      </c>
      <c r="BN16" s="1085">
        <v>104.405</v>
      </c>
      <c r="BO16" s="1085">
        <v>105.228</v>
      </c>
      <c r="BP16" s="1085">
        <v>104.668</v>
      </c>
      <c r="BQ16" s="1085">
        <v>111.524</v>
      </c>
      <c r="BR16" s="333">
        <f>BY15*(1+$G$2)</f>
      </c>
      <c r="BS16" s="333">
        <f>BZ15*(1+$G$2)</f>
      </c>
      <c r="BT16" s="333">
        <f>CA15*(1+$G$2)</f>
      </c>
      <c r="BU16" s="333">
        <f>CB15*(1+$G$2)</f>
      </c>
      <c r="BV16" s="333">
        <f>CC15*(1+$G$2)</f>
      </c>
      <c r="BW16" s="333">
        <f>CD15*(1+$G$2)</f>
      </c>
      <c r="BX16" s="333">
        <f>CE15*(1+$G$2)</f>
      </c>
      <c r="BY16" s="333">
        <f>CF15*(1+$G$2)</f>
      </c>
      <c r="BZ16" s="333">
        <f>CG15*(1+$G$2)</f>
      </c>
      <c r="CA16" s="333">
        <f>CH15*(1+$G$2)</f>
      </c>
      <c r="CB16" s="333">
        <f>CI15*(1+$G$2)</f>
      </c>
      <c r="CC16" s="333">
        <f>CJ15*(1+$G$2)</f>
      </c>
      <c r="CD16" s="333">
        <f>CK15*(1+$G$2)</f>
      </c>
      <c r="CE16" s="333">
        <f>CL15*(1+$G$2)</f>
      </c>
      <c r="CF16" s="333">
        <f>CM15*(1+$G$2)</f>
      </c>
      <c r="CG16" s="333">
        <f>CN15*(1+$G$2)</f>
      </c>
      <c r="CH16" s="333">
        <f>CO15*(1+$G$2)</f>
      </c>
      <c r="CI16" s="333">
        <f>CP15*(1+$G$2)</f>
      </c>
      <c r="CJ16" s="333">
        <f>CQ15*(1+$G$2)</f>
      </c>
      <c r="CK16" s="333">
        <f>CR15*(1+$G$2)</f>
      </c>
      <c r="CL16" s="333">
        <f>CS15*(1+$G$2)</f>
      </c>
      <c r="CM16" s="333">
        <f>CT15*(1+$G$2)</f>
      </c>
      <c r="CN16" s="333">
        <f>CU15*(1+$G$2)</f>
      </c>
      <c r="CO16" s="333">
        <f>CV15*(1+$G$2)</f>
      </c>
      <c r="CP16" s="333">
        <f>CW15*(1+$G$2)</f>
      </c>
      <c r="CQ16" s="333">
        <f>CX15*(1+$G$2)</f>
      </c>
      <c r="CR16" s="333">
        <f>CY15*(1+$G$2)</f>
      </c>
      <c r="CS16" s="333">
        <f>CZ15*(1+$G$2)</f>
      </c>
      <c r="CT16" s="333">
        <f>DA15*(1+$G$2)</f>
      </c>
      <c r="CU16" s="333">
        <f>CU15*(1+$G$2)</f>
      </c>
      <c r="CV16" s="333">
        <f>CV15*(1+$G$2)</f>
      </c>
      <c r="CW16" s="333">
        <f>CW15*(1+$G$2)</f>
      </c>
      <c r="CX16" s="333">
        <f>CX15*(1+$G$2)</f>
      </c>
      <c r="CY16" s="333">
        <f>CY15*(1+$G$2)</f>
      </c>
      <c r="CZ16" s="333">
        <f>CZ15*(1+$G$2)</f>
      </c>
      <c r="DA16" s="333">
        <f>DA15*(1+$G$2)</f>
      </c>
      <c r="DB16" s="333">
        <f>DB15*(1+$G$2)</f>
      </c>
      <c r="DC16" s="333">
        <f>DC15*(1+$G$2)</f>
      </c>
      <c r="DD16" s="333">
        <f>DD15*(1+$G$2)</f>
      </c>
      <c r="DE16" s="333">
        <f>DE15*(1+$G$2)</f>
      </c>
      <c r="DF16" s="333">
        <f>DF15*(1+$G$2)</f>
      </c>
      <c r="DG16" s="333">
        <f>DG15*(1+$G$2)</f>
      </c>
      <c r="DH16" s="333">
        <f>DH15*(1+$G$2)</f>
      </c>
      <c r="DI16" s="333">
        <f>DI15*(1+$G$2)</f>
      </c>
      <c r="DJ16" s="333">
        <f>DJ15*(1+$G$2)</f>
      </c>
      <c r="DK16" s="333">
        <f>DK15*(1+$G$2)</f>
      </c>
      <c r="DL16" s="333">
        <f>DL15*(1+$G$2)</f>
      </c>
      <c r="DM16" s="333">
        <f>DM15*(1+$G$2)</f>
      </c>
      <c r="DN16" s="333">
        <f>DN15*(1+$G$2)</f>
      </c>
      <c r="DO16" s="333">
        <f>DO15*(1+$G$2)</f>
      </c>
      <c r="DP16" s="333">
        <f>DP15*(1+$G$2)</f>
      </c>
      <c r="DQ16" s="333">
        <f>DQ15*(1+$G$2)</f>
      </c>
      <c r="DR16" s="333">
        <f>DR15*(1+$G$2)</f>
      </c>
      <c r="DS16" s="333">
        <f>DS15*(1+$G$2)</f>
      </c>
      <c r="DT16" s="333">
        <f>DT15*(1+$G$2)</f>
      </c>
      <c r="DU16" s="333">
        <f>DU15*(1+$G$2)</f>
      </c>
      <c r="DV16" s="333">
        <f>DV15*(1+$G$2)</f>
      </c>
      <c r="DW16" s="333">
        <f>DW15*(1+$G$2)</f>
      </c>
      <c r="DX16" s="333">
        <f>DX15*(1+$G$2)</f>
      </c>
      <c r="DY16" s="170"/>
      <c r="DZ16" s="170"/>
      <c r="EA16" s="170"/>
      <c r="EB16" s="170"/>
      <c r="EC16" s="170"/>
      <c r="ED16" s="170"/>
      <c r="EE16" s="170"/>
      <c r="EF16" s="170"/>
      <c r="EG16" s="170"/>
      <c r="EH16" s="170"/>
      <c r="EI16" s="170"/>
      <c r="EJ16" s="170"/>
      <c r="EK16" s="170"/>
      <c r="EL16" s="170"/>
      <c r="EM16" s="170"/>
      <c r="EN16" s="170"/>
      <c r="EO16" s="170"/>
      <c r="EP16" s="170"/>
    </row>
    <row x14ac:dyDescent="0.25" r="17" customHeight="1" ht="18.75">
      <c r="A17" s="1"/>
      <c r="B17" s="1087"/>
      <c r="C17" s="1087">
        <f>C16/B16-1</f>
      </c>
      <c r="D17" s="1087">
        <f>D16/C16-1</f>
      </c>
      <c r="E17" s="1087">
        <f>E16/D16-1</f>
      </c>
      <c r="F17" s="1087">
        <f>F16/E16-1</f>
      </c>
      <c r="G17" s="1087">
        <f>G16/F16-1</f>
      </c>
      <c r="H17" s="1087">
        <f>H16/G16-1</f>
      </c>
      <c r="I17" s="1087">
        <f>I16/H16-1</f>
      </c>
      <c r="J17" s="1087">
        <f>J16/I16-1</f>
      </c>
      <c r="K17" s="1087">
        <f>K16/J16-1</f>
      </c>
      <c r="L17" s="1087">
        <f>L16/K16-1</f>
      </c>
      <c r="M17" s="1087">
        <f>M16/L16-1</f>
      </c>
      <c r="N17" s="1087">
        <f>N16/M16-1</f>
      </c>
      <c r="O17" s="1087">
        <f>O16/N16-1</f>
      </c>
      <c r="P17" s="1087">
        <f>P16/O16-1</f>
      </c>
      <c r="Q17" s="1087">
        <f>Q16/P16-1</f>
      </c>
      <c r="R17" s="1087">
        <f>R16/Q16-1</f>
      </c>
      <c r="S17" s="1087">
        <f>S16/R16-1</f>
      </c>
      <c r="T17" s="1087">
        <f>T16/S16-1</f>
      </c>
      <c r="U17" s="1087">
        <f>U16/T16-1</f>
      </c>
      <c r="V17" s="1087">
        <f>V16/U16-1</f>
      </c>
      <c r="W17" s="1087">
        <f>W16/V16-1</f>
      </c>
      <c r="X17" s="1087">
        <f>X16/W16-1</f>
      </c>
      <c r="Y17" s="1087">
        <f>Y16/X16-1</f>
      </c>
      <c r="Z17" s="1087">
        <f>Z16/Y16-1</f>
      </c>
      <c r="AA17" s="1087">
        <f>AA16/Z16-1</f>
      </c>
      <c r="AB17" s="1087">
        <f>AB16/AA16-1</f>
      </c>
      <c r="AC17" s="1087">
        <f>AC16/AB16-1</f>
      </c>
      <c r="AD17" s="1087">
        <f>AD16/AC16-1</f>
      </c>
      <c r="AE17" s="1087">
        <f>AE16/AD16-1</f>
      </c>
      <c r="AF17" s="1087">
        <f>AF16/AE16-1</f>
      </c>
      <c r="AG17" s="1087">
        <f>AG16/AF16-1</f>
      </c>
      <c r="AH17" s="1087">
        <f>AH16/AG16-1</f>
      </c>
      <c r="AI17" s="1087">
        <f>AI16/AH16-1</f>
      </c>
      <c r="AJ17" s="1087">
        <f>AJ16/AI16-1</f>
      </c>
      <c r="AK17" s="1087">
        <f>AK16/AJ16-1</f>
      </c>
      <c r="AL17" s="1087">
        <f>AL16/AK16-1</f>
      </c>
      <c r="AM17" s="1087">
        <f>AM16/AL16-1</f>
      </c>
      <c r="AN17" s="1087">
        <f>AN16/AM16-1</f>
      </c>
      <c r="AO17" s="1087">
        <f>AO16/AN16-1</f>
      </c>
      <c r="AP17" s="1087">
        <f>AP16/AO16-1</f>
      </c>
      <c r="AQ17" s="1087">
        <f>AQ16/AP16-1</f>
      </c>
      <c r="AR17" s="1087">
        <f>AR16/AQ16-1</f>
      </c>
      <c r="AS17" s="1087">
        <f>AS16/AR16-1</f>
      </c>
      <c r="AT17" s="1087">
        <f>AT16/AS16-1</f>
      </c>
      <c r="AU17" s="1087">
        <f>AU16/AT16-1</f>
      </c>
      <c r="AV17" s="1087">
        <f>AV16/AU16-1</f>
      </c>
      <c r="AW17" s="1087">
        <f>AW16/AV16-1</f>
      </c>
      <c r="AX17" s="1087">
        <f>AX16/AW16-1</f>
      </c>
      <c r="AY17" s="1087">
        <f>AY16/AX16-1</f>
      </c>
      <c r="AZ17" s="1087">
        <f>AZ16/AY16-1</f>
      </c>
      <c r="BA17" s="1087">
        <f>BA16/AZ16-1</f>
      </c>
      <c r="BB17" s="1087">
        <f>BB16/BA16-1</f>
      </c>
      <c r="BC17" s="1087">
        <f>BC16/BB16-1</f>
      </c>
      <c r="BD17" s="1087">
        <f>BD16/BC16-1</f>
      </c>
      <c r="BE17" s="1087">
        <f>BE16/BD16-1</f>
      </c>
      <c r="BF17" s="1087">
        <f>BF16/BE16-1</f>
      </c>
      <c r="BG17" s="1087">
        <f>BG16/BF16-1</f>
      </c>
      <c r="BH17" s="1087">
        <f>BH16/BG16-1</f>
      </c>
      <c r="BI17" s="1087">
        <f>BI16/BH16-1</f>
      </c>
      <c r="BJ17" s="1087">
        <f>BJ16/BI16-1</f>
      </c>
      <c r="BK17" s="1087">
        <f>BK16/BJ16-1</f>
      </c>
      <c r="BL17" s="1087">
        <f>BL16/BK16-1</f>
      </c>
      <c r="BM17" s="1087">
        <f>BM16/BL16-1</f>
      </c>
      <c r="BN17" s="1087">
        <f>BN16/BM16-1</f>
      </c>
      <c r="BO17" s="1087">
        <f>BO16/BN16-1</f>
      </c>
      <c r="BP17" s="1087">
        <f>BP16/BO16-1</f>
      </c>
      <c r="BQ17" s="1087">
        <f>BQ16/BP16-1</f>
      </c>
      <c r="BR17" s="1087">
        <f>BR16/BQ16-1</f>
      </c>
      <c r="BS17" s="1087">
        <f>BS16/BR16-1</f>
      </c>
      <c r="BT17" s="1087">
        <f>BT16/BS16-1</f>
      </c>
      <c r="BU17" s="1087">
        <f>BU16/BT16-1</f>
      </c>
      <c r="BV17" s="1087">
        <f>BV16/BU16-1</f>
      </c>
      <c r="BW17" s="1087">
        <f>BW16/BV16-1</f>
      </c>
      <c r="BX17" s="1087">
        <f>BX16/BW16-1</f>
      </c>
      <c r="BY17" s="1087">
        <f>BY16/BX16-1</f>
      </c>
      <c r="BZ17" s="1087">
        <f>BZ16/BY16-1</f>
      </c>
      <c r="CA17" s="1087">
        <f>CA16/BZ16-1</f>
      </c>
      <c r="CB17" s="1087">
        <f>CB16/CA16-1</f>
      </c>
      <c r="CC17" s="1087">
        <f>CC16/CB16-1</f>
      </c>
      <c r="CD17" s="1087">
        <f>CD16/CC16-1</f>
      </c>
      <c r="CE17" s="1087">
        <f>CE16/CD16-1</f>
      </c>
      <c r="CF17" s="1087">
        <f>CF16/CE16-1</f>
      </c>
      <c r="CG17" s="1087">
        <f>CG16/CF16-1</f>
      </c>
      <c r="CH17" s="1087">
        <f>CH16/CG16-1</f>
      </c>
      <c r="CI17" s="1087">
        <f>CI16/CH16-1</f>
      </c>
      <c r="CJ17" s="1087">
        <f>CJ16/CI16-1</f>
      </c>
      <c r="CK17" s="1087">
        <f>CK16/CJ16-1</f>
      </c>
      <c r="CL17" s="1087">
        <f>CL16/CK16-1</f>
      </c>
      <c r="CM17" s="1087">
        <f>CM16/CL16-1</f>
      </c>
      <c r="CN17" s="1087">
        <f>CN16/CM16-1</f>
      </c>
      <c r="CO17" s="1087">
        <f>CO16/CN16-1</f>
      </c>
      <c r="CP17" s="1087">
        <f>CP16/CO16-1</f>
      </c>
      <c r="CQ17" s="1087">
        <f>CQ16/CP16-1</f>
      </c>
      <c r="CR17" s="1087">
        <f>CR16/CQ16-1</f>
      </c>
      <c r="CS17" s="1087">
        <f>CS16/CR16-1</f>
      </c>
      <c r="CT17" s="1087">
        <f>CT16/CS16-1</f>
      </c>
      <c r="CU17" s="1087">
        <f>CU16/CT16-1</f>
      </c>
      <c r="CV17" s="1087">
        <f>CV16/CU16-1</f>
      </c>
      <c r="CW17" s="1087">
        <f>CW16/CV16-1</f>
      </c>
      <c r="CX17" s="1087">
        <f>CX16/CW16-1</f>
      </c>
      <c r="CY17" s="1087">
        <f>CY16/CX16-1</f>
      </c>
      <c r="CZ17" s="1087">
        <f>CZ16/CY16-1</f>
      </c>
      <c r="DA17" s="1087">
        <f>DA16/CZ16-1</f>
      </c>
      <c r="DB17" s="1087">
        <f>DB16/DA16-1</f>
      </c>
      <c r="DC17" s="1087">
        <f>DC16/DB16-1</f>
      </c>
      <c r="DD17" s="1087">
        <f>DD16/DC16-1</f>
      </c>
      <c r="DE17" s="1087">
        <f>DE16/DD16-1</f>
      </c>
      <c r="DF17" s="1087">
        <f>DF16/DE16-1</f>
      </c>
      <c r="DG17" s="1087">
        <f>DG16/DF16-1</f>
      </c>
      <c r="DH17" s="1087">
        <f>DH16/DG16-1</f>
      </c>
      <c r="DI17" s="1087">
        <f>DI16/DH16-1</f>
      </c>
      <c r="DJ17" s="1087">
        <f>DJ16/DI16-1</f>
      </c>
      <c r="DK17" s="1087">
        <f>DK16/DJ16-1</f>
      </c>
      <c r="DL17" s="1087">
        <f>DL16/DK16-1</f>
      </c>
      <c r="DM17" s="1087">
        <f>DM16/DL16-1</f>
      </c>
      <c r="DN17" s="1087">
        <f>DN16/DM16-1</f>
      </c>
      <c r="DO17" s="1087">
        <f>DO16/DN16-1</f>
      </c>
      <c r="DP17" s="1087">
        <f>DP16/DO16-1</f>
      </c>
      <c r="DQ17" s="1087">
        <f>DQ16/DP16-1</f>
      </c>
      <c r="DR17" s="1087">
        <f>DR16/DQ16-1</f>
      </c>
      <c r="DS17" s="1087">
        <f>DS16/DR16-1</f>
      </c>
      <c r="DT17" s="1087">
        <f>DT16/DS16-1</f>
      </c>
      <c r="DU17" s="1087">
        <f>DU16/DT16-1</f>
      </c>
      <c r="DV17" s="1087">
        <f>DV16/DU16-1</f>
      </c>
      <c r="DW17" s="1087">
        <f>DW16/DV16-1</f>
      </c>
      <c r="DX17" s="1087">
        <f>DX16/DW16-1</f>
      </c>
      <c r="DY17" s="170"/>
      <c r="DZ17" s="170"/>
      <c r="EA17" s="170"/>
      <c r="EB17" s="170"/>
      <c r="EC17" s="170"/>
      <c r="ED17" s="170"/>
      <c r="EE17" s="170"/>
      <c r="EF17" s="170"/>
      <c r="EG17" s="170"/>
      <c r="EH17" s="170"/>
      <c r="EI17" s="170"/>
      <c r="EJ17" s="170"/>
      <c r="EK17" s="170"/>
      <c r="EL17" s="170"/>
      <c r="EM17" s="170"/>
      <c r="EN17" s="170"/>
      <c r="EO17" s="170"/>
      <c r="EP17" s="170"/>
    </row>
    <row x14ac:dyDescent="0.25" r="18" customHeight="1" ht="18.75">
      <c r="A18" s="1"/>
      <c r="B18" s="320" t="s">
        <v>1164</v>
      </c>
      <c r="C18" s="1080"/>
      <c r="D18" s="1080"/>
      <c r="E18" s="1080" t="s">
        <v>1165</v>
      </c>
      <c r="F18" s="1083"/>
      <c r="G18" s="1083"/>
      <c r="H18" s="1083"/>
      <c r="I18" s="1083"/>
      <c r="J18" s="169"/>
      <c r="K18" s="330">
        <f>Hipótesis!E11</f>
      </c>
      <c r="L18" s="169"/>
      <c r="M18" s="169"/>
      <c r="N18" s="169"/>
      <c r="O18" s="169"/>
      <c r="P18" s="169"/>
      <c r="Q18" s="169"/>
      <c r="R18" s="169"/>
      <c r="S18" s="169"/>
      <c r="T18" s="169"/>
      <c r="U18" s="169"/>
      <c r="V18" s="169"/>
      <c r="W18" s="169"/>
      <c r="X18" s="169"/>
      <c r="Y18" s="170"/>
      <c r="Z18" s="170"/>
      <c r="AA18" s="170"/>
      <c r="AB18" s="170"/>
      <c r="AC18" s="170"/>
      <c r="AD18" s="170"/>
      <c r="AE18" s="170"/>
      <c r="AF18" s="170"/>
      <c r="AG18" s="170"/>
      <c r="AH18" s="170"/>
      <c r="AI18" s="170"/>
      <c r="AJ18" s="170"/>
      <c r="AK18" s="170"/>
      <c r="AL18" s="170"/>
      <c r="AM18" s="170"/>
      <c r="AN18" s="170"/>
      <c r="AO18" s="170"/>
      <c r="AP18" s="170"/>
      <c r="AQ18" s="170"/>
      <c r="AR18" s="170"/>
      <c r="AS18" s="170"/>
      <c r="AT18" s="170"/>
      <c r="AU18" s="170"/>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c r="BR18" s="170"/>
      <c r="BS18" s="170"/>
      <c r="BT18" s="170"/>
      <c r="BU18" s="170"/>
      <c r="BV18" s="170"/>
      <c r="BW18" s="170"/>
      <c r="BX18" s="170"/>
      <c r="BY18" s="170"/>
      <c r="BZ18" s="170"/>
      <c r="CA18" s="170"/>
      <c r="CB18" s="170"/>
      <c r="CC18" s="170"/>
      <c r="CD18" s="170"/>
      <c r="CE18" s="170"/>
      <c r="CF18" s="170"/>
      <c r="CG18" s="170"/>
      <c r="CH18" s="170"/>
      <c r="CI18" s="170"/>
      <c r="CJ18" s="170"/>
      <c r="CK18" s="170"/>
      <c r="CL18" s="170"/>
      <c r="CM18" s="170"/>
      <c r="CN18" s="170"/>
      <c r="CO18" s="170"/>
      <c r="CP18" s="170"/>
      <c r="CQ18" s="170"/>
      <c r="CR18" s="170"/>
      <c r="CS18" s="170"/>
      <c r="CT18" s="170"/>
      <c r="CU18" s="170"/>
      <c r="CV18" s="170"/>
      <c r="CW18" s="170"/>
      <c r="CX18" s="170"/>
      <c r="CY18" s="170"/>
      <c r="CZ18" s="170"/>
      <c r="DA18" s="170"/>
      <c r="DB18" s="170"/>
      <c r="DC18" s="170"/>
      <c r="DD18" s="170"/>
      <c r="DE18" s="170"/>
      <c r="DF18" s="170"/>
      <c r="DG18" s="170"/>
      <c r="DH18" s="170"/>
      <c r="DI18" s="170"/>
      <c r="DJ18" s="170"/>
      <c r="DK18" s="170"/>
      <c r="DL18" s="170"/>
      <c r="DM18" s="170"/>
      <c r="DN18" s="170"/>
      <c r="DO18" s="170"/>
      <c r="DP18" s="170"/>
      <c r="DQ18" s="170"/>
      <c r="DR18" s="170"/>
      <c r="DS18" s="170"/>
      <c r="DT18" s="170"/>
      <c r="DU18" s="170"/>
      <c r="DV18" s="170"/>
      <c r="DW18" s="170"/>
      <c r="DX18" s="170"/>
      <c r="DY18" s="170"/>
      <c r="DZ18" s="170"/>
      <c r="EA18" s="170"/>
      <c r="EB18" s="170"/>
      <c r="EC18" s="170"/>
      <c r="ED18" s="170"/>
      <c r="EE18" s="170"/>
      <c r="EF18" s="170"/>
      <c r="EG18" s="170"/>
      <c r="EH18" s="170"/>
      <c r="EI18" s="170"/>
      <c r="EJ18" s="170"/>
      <c r="EK18" s="170"/>
      <c r="EL18" s="170"/>
      <c r="EM18" s="170"/>
      <c r="EN18" s="170"/>
      <c r="EO18" s="170"/>
      <c r="EP18" s="170"/>
    </row>
    <row x14ac:dyDescent="0.25" r="19" customHeight="1" ht="18.75">
      <c r="A19" s="1"/>
      <c r="B19" s="320"/>
      <c r="C19" s="1080"/>
      <c r="D19" s="1080"/>
      <c r="E19" s="1080"/>
      <c r="F19" s="1083"/>
      <c r="G19" s="1083"/>
      <c r="H19" s="1083"/>
      <c r="I19" s="1083"/>
      <c r="J19" s="169"/>
      <c r="K19" s="169"/>
      <c r="L19" s="169"/>
      <c r="M19" s="169"/>
      <c r="N19" s="169"/>
      <c r="O19" s="169"/>
      <c r="P19" s="169"/>
      <c r="Q19" s="169"/>
      <c r="R19" s="169"/>
      <c r="S19" s="169"/>
      <c r="T19" s="169"/>
      <c r="U19" s="169"/>
      <c r="V19" s="169"/>
      <c r="W19" s="169"/>
      <c r="X19" s="169"/>
      <c r="Y19" s="170"/>
      <c r="Z19" s="170"/>
      <c r="AA19" s="170"/>
      <c r="AB19" s="170"/>
      <c r="AC19" s="170"/>
      <c r="AD19" s="170"/>
      <c r="AE19" s="170"/>
      <c r="AF19" s="170"/>
      <c r="AG19" s="170"/>
      <c r="AH19" s="170"/>
      <c r="AI19" s="170"/>
      <c r="AJ19" s="170"/>
      <c r="AK19" s="170"/>
      <c r="AL19" s="170"/>
      <c r="AM19" s="170"/>
      <c r="AN19" s="170"/>
      <c r="AO19" s="170"/>
      <c r="AP19" s="170"/>
      <c r="AQ19" s="170"/>
      <c r="AR19" s="170"/>
      <c r="AS19" s="170"/>
      <c r="AT19" s="170"/>
      <c r="AU19" s="170"/>
      <c r="AV19" s="170"/>
      <c r="AW19" s="170"/>
      <c r="AX19" s="170"/>
      <c r="AY19" s="170"/>
      <c r="AZ19" s="170"/>
      <c r="BA19" s="170"/>
      <c r="BB19" s="170"/>
      <c r="BC19" s="170"/>
      <c r="BD19" s="170"/>
      <c r="BE19" s="170"/>
      <c r="BF19" s="170"/>
      <c r="BG19" s="170"/>
      <c r="BH19" s="170"/>
      <c r="BI19" s="170"/>
      <c r="BJ19" s="170"/>
      <c r="BK19" s="170"/>
      <c r="BL19" s="170"/>
      <c r="BM19" s="170"/>
      <c r="BN19" s="170"/>
      <c r="BO19" s="170"/>
      <c r="BP19" s="170"/>
      <c r="BQ19" s="170"/>
      <c r="BR19" s="170"/>
      <c r="BS19" s="170"/>
      <c r="BT19" s="170"/>
      <c r="BU19" s="170"/>
      <c r="BV19" s="170"/>
      <c r="BW19" s="170"/>
      <c r="BX19" s="170"/>
      <c r="BY19" s="170"/>
      <c r="BZ19" s="170"/>
      <c r="CA19" s="170"/>
      <c r="CB19" s="170"/>
      <c r="CC19" s="170"/>
      <c r="CD19" s="170"/>
      <c r="CE19" s="170"/>
      <c r="CF19" s="170"/>
      <c r="CG19" s="170"/>
      <c r="CH19" s="170"/>
      <c r="CI19" s="170"/>
      <c r="CJ19" s="170"/>
      <c r="CK19" s="170"/>
      <c r="CL19" s="170"/>
      <c r="CM19" s="170"/>
      <c r="CN19" s="170"/>
      <c r="CO19" s="170"/>
      <c r="CP19" s="170"/>
      <c r="CQ19" s="170"/>
      <c r="CR19" s="170"/>
      <c r="CS19" s="170"/>
      <c r="CT19" s="170"/>
      <c r="CU19" s="170"/>
      <c r="CV19" s="170"/>
      <c r="CW19" s="170"/>
      <c r="CX19" s="170"/>
      <c r="CY19" s="170"/>
      <c r="CZ19" s="170"/>
      <c r="DA19" s="170"/>
      <c r="DB19" s="170"/>
      <c r="DC19" s="170"/>
      <c r="DD19" s="170"/>
      <c r="DE19" s="170"/>
      <c r="DF19" s="170"/>
      <c r="DG19" s="170"/>
      <c r="DH19" s="170"/>
      <c r="DI19" s="170"/>
      <c r="DJ19" s="170"/>
      <c r="DK19" s="170"/>
      <c r="DL19" s="170"/>
      <c r="DM19" s="170"/>
      <c r="DN19" s="170"/>
      <c r="DO19" s="170"/>
      <c r="DP19" s="170"/>
      <c r="DQ19" s="170"/>
      <c r="DR19" s="170"/>
      <c r="DS19" s="170"/>
      <c r="DT19" s="170"/>
      <c r="DU19" s="170"/>
      <c r="DV19" s="170"/>
      <c r="DW19" s="170"/>
      <c r="DX19" s="170"/>
      <c r="DY19" s="170"/>
      <c r="DZ19" s="170"/>
      <c r="EA19" s="170"/>
      <c r="EB19" s="170"/>
      <c r="EC19" s="170"/>
      <c r="ED19" s="170"/>
      <c r="EE19" s="170"/>
      <c r="EF19" s="170"/>
      <c r="EG19" s="170"/>
      <c r="EH19" s="170"/>
      <c r="EI19" s="170"/>
      <c r="EJ19" s="170"/>
      <c r="EK19" s="170"/>
      <c r="EL19" s="170"/>
      <c r="EM19" s="170"/>
      <c r="EN19" s="170"/>
      <c r="EO19" s="170"/>
      <c r="EP19" s="170"/>
    </row>
    <row x14ac:dyDescent="0.25" r="20" customHeight="1" ht="18.75" customFormat="1" s="23">
      <c r="A20" s="24"/>
      <c r="B20" s="1084">
        <v>1985</v>
      </c>
      <c r="C20" s="1084">
        <v>1986</v>
      </c>
      <c r="D20" s="1084">
        <v>1987</v>
      </c>
      <c r="E20" s="1084">
        <v>1988</v>
      </c>
      <c r="F20" s="1084">
        <v>1989</v>
      </c>
      <c r="G20" s="1084">
        <v>1990</v>
      </c>
      <c r="H20" s="1084">
        <v>1991</v>
      </c>
      <c r="I20" s="1084">
        <v>1992</v>
      </c>
      <c r="J20" s="1084">
        <v>1993</v>
      </c>
      <c r="K20" s="1084">
        <v>1994</v>
      </c>
      <c r="L20" s="1084">
        <v>1995</v>
      </c>
      <c r="M20" s="1084">
        <v>1996</v>
      </c>
      <c r="N20" s="1084">
        <v>1997</v>
      </c>
      <c r="O20" s="1084">
        <v>1998</v>
      </c>
      <c r="P20" s="1084">
        <v>1999</v>
      </c>
      <c r="Q20" s="1084">
        <v>2000</v>
      </c>
      <c r="R20" s="1084">
        <v>2001</v>
      </c>
      <c r="S20" s="1084">
        <v>2002</v>
      </c>
      <c r="T20" s="1084">
        <v>2003</v>
      </c>
      <c r="U20" s="1084">
        <v>2004</v>
      </c>
      <c r="V20" s="1084">
        <v>2005</v>
      </c>
      <c r="W20" s="1084">
        <v>2006</v>
      </c>
      <c r="X20" s="1084">
        <v>2007</v>
      </c>
      <c r="Y20" s="1084">
        <v>2008</v>
      </c>
      <c r="Z20" s="1084">
        <v>2009</v>
      </c>
      <c r="AA20" s="1084">
        <v>2010</v>
      </c>
      <c r="AB20" s="1084">
        <v>2011</v>
      </c>
      <c r="AC20" s="1084">
        <v>2012</v>
      </c>
      <c r="AD20" s="1084">
        <v>2013</v>
      </c>
      <c r="AE20" s="1084">
        <v>2014</v>
      </c>
      <c r="AF20" s="1084">
        <v>2015</v>
      </c>
      <c r="AG20" s="1084">
        <v>2016</v>
      </c>
      <c r="AH20" s="1084">
        <v>2017</v>
      </c>
      <c r="AI20" s="1084">
        <v>2018</v>
      </c>
      <c r="AJ20" s="1084">
        <v>2019</v>
      </c>
      <c r="AK20" s="1084">
        <v>2020</v>
      </c>
      <c r="AL20" s="1084">
        <v>2021</v>
      </c>
      <c r="AM20" s="1084">
        <v>2022</v>
      </c>
      <c r="AN20" s="1084">
        <v>2023</v>
      </c>
      <c r="AO20" s="1084">
        <v>2024</v>
      </c>
      <c r="AP20" s="1084">
        <v>2025</v>
      </c>
      <c r="AQ20" s="1084">
        <v>2026</v>
      </c>
      <c r="AR20" s="1084">
        <v>2027</v>
      </c>
      <c r="AS20" s="1084">
        <v>2028</v>
      </c>
      <c r="AT20" s="1084">
        <v>2029</v>
      </c>
      <c r="AU20" s="1084">
        <v>2030</v>
      </c>
      <c r="AV20" s="1084">
        <v>2031</v>
      </c>
      <c r="AW20" s="1084">
        <v>2032</v>
      </c>
      <c r="AX20" s="1084">
        <v>2033</v>
      </c>
      <c r="AY20" s="1084">
        <v>2034</v>
      </c>
      <c r="AZ20" s="1084">
        <v>2035</v>
      </c>
      <c r="BA20" s="1084">
        <v>2036</v>
      </c>
      <c r="BB20" s="1084">
        <v>2037</v>
      </c>
      <c r="BC20" s="1084">
        <v>2038</v>
      </c>
      <c r="BD20" s="1084">
        <v>2039</v>
      </c>
      <c r="BE20" s="1084">
        <v>2040</v>
      </c>
      <c r="BF20" s="1084">
        <v>2041</v>
      </c>
      <c r="BG20" s="1084">
        <v>2042</v>
      </c>
      <c r="BH20" s="1084">
        <v>2043</v>
      </c>
      <c r="BI20" s="1084">
        <v>2044</v>
      </c>
      <c r="BJ20" s="1084">
        <v>2045</v>
      </c>
      <c r="BK20" s="1084">
        <v>2046</v>
      </c>
      <c r="BL20" s="1084">
        <v>2047</v>
      </c>
      <c r="BM20" s="1084">
        <v>2048</v>
      </c>
      <c r="BN20" s="1084">
        <v>2049</v>
      </c>
      <c r="BO20" s="1084">
        <v>2050</v>
      </c>
      <c r="BP20" s="1084">
        <v>2051</v>
      </c>
      <c r="BQ20" s="1084">
        <v>2052</v>
      </c>
      <c r="BR20" s="1084">
        <v>2053</v>
      </c>
      <c r="BS20" s="1084">
        <v>2054</v>
      </c>
      <c r="BT20" s="1084">
        <v>2055</v>
      </c>
      <c r="BU20" s="1084">
        <v>2056</v>
      </c>
      <c r="BV20" s="1084">
        <v>2057</v>
      </c>
      <c r="BW20" s="1084">
        <v>2058</v>
      </c>
      <c r="BX20" s="1084">
        <v>2059</v>
      </c>
      <c r="BY20" s="1084">
        <v>2060</v>
      </c>
      <c r="BZ20" s="1084">
        <v>2061</v>
      </c>
      <c r="CA20" s="1084">
        <v>2062</v>
      </c>
      <c r="CB20" s="1084">
        <v>2063</v>
      </c>
      <c r="CC20" s="1084">
        <v>2064</v>
      </c>
      <c r="CD20" s="1084">
        <v>2065</v>
      </c>
      <c r="CE20" s="1084">
        <v>2066</v>
      </c>
      <c r="CF20" s="1084">
        <v>2067</v>
      </c>
      <c r="CG20" s="1084">
        <v>2068</v>
      </c>
      <c r="CH20" s="1084">
        <v>2069</v>
      </c>
      <c r="CI20" s="1084">
        <v>2070</v>
      </c>
      <c r="CJ20" s="1084">
        <v>2071</v>
      </c>
      <c r="CK20" s="1084">
        <v>2072</v>
      </c>
      <c r="CL20" s="1084">
        <v>2073</v>
      </c>
      <c r="CM20" s="1084">
        <v>2074</v>
      </c>
      <c r="CN20" s="1084">
        <v>2075</v>
      </c>
      <c r="CO20" s="1084">
        <v>2076</v>
      </c>
      <c r="CP20" s="1084">
        <v>2077</v>
      </c>
      <c r="CQ20" s="1084">
        <v>2078</v>
      </c>
      <c r="CR20" s="1084">
        <v>2079</v>
      </c>
      <c r="CS20" s="1084">
        <v>2080</v>
      </c>
      <c r="CT20" s="1084">
        <v>2081</v>
      </c>
      <c r="CU20" s="1084">
        <v>2082</v>
      </c>
      <c r="CV20" s="1084">
        <v>2083</v>
      </c>
      <c r="CW20" s="1084">
        <v>2084</v>
      </c>
      <c r="CX20" s="1084">
        <v>2085</v>
      </c>
      <c r="CY20" s="1084">
        <v>2086</v>
      </c>
      <c r="CZ20" s="1084">
        <v>2087</v>
      </c>
      <c r="DA20" s="1084">
        <v>2088</v>
      </c>
      <c r="DB20" s="1084">
        <v>2089</v>
      </c>
      <c r="DC20" s="1084">
        <v>2090</v>
      </c>
      <c r="DD20" s="1084">
        <v>2091</v>
      </c>
      <c r="DE20" s="1084">
        <v>2092</v>
      </c>
      <c r="DF20" s="1084">
        <v>2093</v>
      </c>
      <c r="DG20" s="1084">
        <v>2094</v>
      </c>
      <c r="DH20" s="1084">
        <v>2095</v>
      </c>
      <c r="DI20" s="1084">
        <v>2096</v>
      </c>
      <c r="DJ20" s="1084">
        <v>2097</v>
      </c>
      <c r="DK20" s="1084">
        <v>2098</v>
      </c>
      <c r="DL20" s="1084">
        <v>2099</v>
      </c>
      <c r="DM20" s="1084">
        <v>2100</v>
      </c>
      <c r="DN20" s="294"/>
      <c r="DO20" s="294"/>
      <c r="DP20" s="294"/>
      <c r="DQ20" s="294"/>
      <c r="DR20" s="294"/>
      <c r="DS20" s="294"/>
      <c r="DT20" s="294"/>
      <c r="DU20" s="294"/>
      <c r="DV20" s="294"/>
      <c r="DW20" s="294"/>
      <c r="DX20" s="294"/>
      <c r="DY20" s="294"/>
      <c r="DZ20" s="294"/>
      <c r="EA20" s="294"/>
      <c r="EB20" s="294"/>
      <c r="EC20" s="294"/>
      <c r="ED20" s="294"/>
      <c r="EE20" s="294"/>
      <c r="EF20" s="294"/>
      <c r="EG20" s="294"/>
      <c r="EH20" s="294"/>
      <c r="EI20" s="294"/>
      <c r="EJ20" s="294"/>
      <c r="EK20" s="294"/>
      <c r="EL20" s="294"/>
      <c r="EM20" s="294"/>
      <c r="EN20" s="294"/>
      <c r="EO20" s="294"/>
      <c r="EP20" s="294"/>
    </row>
    <row x14ac:dyDescent="0.25" r="21" customHeight="1" ht="18.75">
      <c r="A21" s="1"/>
      <c r="B21" s="1088">
        <v>15814.431502650465</v>
      </c>
      <c r="C21" s="1088">
        <v>15814.431502650465</v>
      </c>
      <c r="D21" s="1088">
        <v>15814.431502650465</v>
      </c>
      <c r="E21" s="1088">
        <v>15814.431502650465</v>
      </c>
      <c r="F21" s="1088">
        <v>16289.832077218036</v>
      </c>
      <c r="G21" s="1088">
        <v>17430.120322623297</v>
      </c>
      <c r="H21" s="1088">
        <v>18598.007043861864</v>
      </c>
      <c r="I21" s="1088">
        <v>19658.10825430024</v>
      </c>
      <c r="J21" s="1088">
        <v>20660.65654562283</v>
      </c>
      <c r="K21" s="1088">
        <v>21383.77026913322</v>
      </c>
      <c r="L21" s="1088">
        <v>22324.642698303946</v>
      </c>
      <c r="M21" s="1088">
        <v>23306.912841224625</v>
      </c>
      <c r="N21" s="1088">
        <v>23912.901325832703</v>
      </c>
      <c r="O21" s="1088">
        <v>24415.058959287442</v>
      </c>
      <c r="P21" s="1088">
        <v>24854.53103025495</v>
      </c>
      <c r="Q21" s="1088">
        <v>25575.709494789226</v>
      </c>
      <c r="R21" s="1088">
        <v>26624.2832930655</v>
      </c>
      <c r="S21" s="1088">
        <v>27343.4</v>
      </c>
      <c r="T21" s="1088">
        <v>28409.78</v>
      </c>
      <c r="U21" s="1088">
        <v>29205.4</v>
      </c>
      <c r="V21" s="1088">
        <v>30227.68</v>
      </c>
      <c r="W21" s="1088">
        <v>31255.56</v>
      </c>
      <c r="X21" s="1088">
        <v>32068.26</v>
      </c>
      <c r="Y21" s="1088">
        <v>33383.14</v>
      </c>
      <c r="Z21" s="1088">
        <v>34184.5</v>
      </c>
      <c r="AA21" s="1088">
        <v>34526.8</v>
      </c>
      <c r="AB21" s="1088">
        <v>34970.74</v>
      </c>
      <c r="AC21" s="1088">
        <v>35320.46</v>
      </c>
      <c r="AD21" s="1088">
        <v>35673.68</v>
      </c>
      <c r="AE21" s="1088">
        <v>35762.86</v>
      </c>
      <c r="AF21" s="1088">
        <v>35852.26714999999</v>
      </c>
      <c r="AG21" s="1088">
        <v>35941.920000000006</v>
      </c>
      <c r="AH21" s="1088">
        <v>36031.799999999996</v>
      </c>
      <c r="AI21" s="1088">
        <v>36645.47</v>
      </c>
      <c r="AJ21" s="1088">
        <v>37231.79752</v>
      </c>
      <c r="AK21" s="1088">
        <f>AJ21*(1+0.009)</f>
      </c>
      <c r="AL21" s="1088">
        <v>38505.93</v>
      </c>
      <c r="AM21" s="1086">
        <v>39468.52</v>
      </c>
      <c r="AN21" s="1088">
        <f>AM21*(1+$K$18)</f>
      </c>
      <c r="AO21" s="1088">
        <f>AN21*(1+$K$18)</f>
      </c>
      <c r="AP21" s="1088">
        <f>AO21*(1+$K$18)</f>
      </c>
      <c r="AQ21" s="1088">
        <f>AP21*(1+$K$18)</f>
      </c>
      <c r="AR21" s="1088">
        <f>AQ21*(1+$K$18)</f>
      </c>
      <c r="AS21" s="1088">
        <f>AR21*(1+$K$18)</f>
      </c>
      <c r="AT21" s="1088">
        <f>AS21*(1+$K$18)</f>
      </c>
      <c r="AU21" s="1088">
        <f>AT21*(1+$K$18)</f>
      </c>
      <c r="AV21" s="1088">
        <f>AU21*(1+$K$18)</f>
      </c>
      <c r="AW21" s="1088">
        <f>AV21*(1+$K$18)</f>
      </c>
      <c r="AX21" s="1088">
        <f>AW21*(1+$K$18)</f>
      </c>
      <c r="AY21" s="1088">
        <f>AX21*(1+$K$18)</f>
      </c>
      <c r="AZ21" s="1088">
        <f>AY21*(1+$K$18)</f>
      </c>
      <c r="BA21" s="1088">
        <f>AZ21*(1+$K$18)</f>
      </c>
      <c r="BB21" s="1088">
        <f>BA21*(1+$K$18)</f>
      </c>
      <c r="BC21" s="1088">
        <f>BB21*(1+$K$18)</f>
      </c>
      <c r="BD21" s="1088">
        <f>BC21*(1+$K$18)</f>
      </c>
      <c r="BE21" s="1088">
        <f>BD21*(1+$K$18)</f>
      </c>
      <c r="BF21" s="1088">
        <f>BE21*(1+$K$18)</f>
      </c>
      <c r="BG21" s="1088">
        <f>BF21*(1+$K$18)</f>
      </c>
      <c r="BH21" s="1088">
        <f>BG21*(1+$K$18)</f>
      </c>
      <c r="BI21" s="1088">
        <f>BH21*(1+$K$18)</f>
      </c>
      <c r="BJ21" s="1088">
        <f>BI21*(1+$K$18)</f>
      </c>
      <c r="BK21" s="1088">
        <f>BJ21*(1+$K$18)</f>
      </c>
      <c r="BL21" s="1088">
        <f>BK21*(1+$K$18)</f>
      </c>
      <c r="BM21" s="1088">
        <f>BL21*(1+$K$18)</f>
      </c>
      <c r="BN21" s="333">
        <f>BM21*(1+$K$18)</f>
      </c>
      <c r="BO21" s="333">
        <f>BN21*(1+$K$18)</f>
      </c>
      <c r="BP21" s="333">
        <f>BO21*(1+$K$18)</f>
      </c>
      <c r="BQ21" s="333">
        <f>BP21*(1+$K$18)</f>
      </c>
      <c r="BR21" s="333">
        <f>BQ21*(1+$K$18)</f>
      </c>
      <c r="BS21" s="333">
        <f>BR21*(1+$K$18)</f>
      </c>
      <c r="BT21" s="333">
        <f>BS21*(1+$K$18)</f>
      </c>
      <c r="BU21" s="333">
        <f>BT21*(1+$K$18)</f>
      </c>
      <c r="BV21" s="333">
        <f>BU21*(1+$K$18)</f>
      </c>
      <c r="BW21" s="333">
        <f>BV21*(1+$K$18)</f>
      </c>
      <c r="BX21" s="333">
        <f>BW21*(1+$K$18)</f>
      </c>
      <c r="BY21" s="333">
        <f>BX21*(1+$K$18)</f>
      </c>
      <c r="BZ21" s="333">
        <f>BY21*(1+$K$18)</f>
      </c>
      <c r="CA21" s="333">
        <f>BZ21*(1+$K$18)</f>
      </c>
      <c r="CB21" s="333">
        <f>CA21*(1+$K$18)</f>
      </c>
      <c r="CC21" s="333">
        <f>CB21*(1+$K$18)</f>
      </c>
      <c r="CD21" s="333">
        <f>CC21*(1+$K$18)</f>
      </c>
      <c r="CE21" s="333">
        <f>CD21*(1+$K$18)</f>
      </c>
      <c r="CF21" s="333">
        <f>CE21*(1+$K$18)</f>
      </c>
      <c r="CG21" s="333">
        <f>CF21*(1+$K$18)</f>
      </c>
      <c r="CH21" s="333">
        <f>CG21*(1+$K$18)</f>
      </c>
      <c r="CI21" s="333">
        <f>CH21*(1+$K$18)</f>
      </c>
      <c r="CJ21" s="333">
        <f>CI21*(1+$K$18)</f>
      </c>
      <c r="CK21" s="333">
        <f>CJ21*(1+$K$18)</f>
      </c>
      <c r="CL21" s="333">
        <f>CK21*(1+$K$18)</f>
      </c>
      <c r="CM21" s="333">
        <f>CL21*(1+$K$18)</f>
      </c>
      <c r="CN21" s="333">
        <f>CM21*(1+$K$18)</f>
      </c>
      <c r="CO21" s="333">
        <f>CN21*(1+$K$18)</f>
      </c>
      <c r="CP21" s="333">
        <f>CO21*(1+$K$18)</f>
      </c>
      <c r="CQ21" s="333">
        <f>CP21*(1+$K$18)</f>
      </c>
      <c r="CR21" s="333">
        <f>CQ21*(1+$K$18)</f>
      </c>
      <c r="CS21" s="333">
        <f>CR21*(1+$K$18)</f>
      </c>
      <c r="CT21" s="333">
        <f>CS21*(1+$K$18)</f>
      </c>
      <c r="CU21" s="333">
        <f>CT21*(1+$K$18)</f>
      </c>
      <c r="CV21" s="333">
        <f>CU21*(1+$K$18)</f>
      </c>
      <c r="CW21" s="333">
        <f>CV21*(1+$K$18)</f>
      </c>
      <c r="CX21" s="333">
        <f>CW21*(1+$K$18)</f>
      </c>
      <c r="CY21" s="333">
        <f>CX21*(1+$K$18)</f>
      </c>
      <c r="CZ21" s="333">
        <f>CY21*(1+$K$18)</f>
      </c>
      <c r="DA21" s="333">
        <f>CZ21*(1+$K$18)</f>
      </c>
      <c r="DB21" s="333">
        <f>DA21*(1+$K$18)</f>
      </c>
      <c r="DC21" s="333">
        <f>DB21*(1+$K$18)</f>
      </c>
      <c r="DD21" s="333">
        <f>DC21*(1+$K$18)</f>
      </c>
      <c r="DE21" s="333">
        <f>DD21*(1+$K$18)</f>
      </c>
      <c r="DF21" s="333">
        <f>DE21*(1+$K$18)</f>
      </c>
      <c r="DG21" s="333">
        <f>DF21*(1+$K$18)</f>
      </c>
      <c r="DH21" s="333">
        <f>DG21*(1+$K$18)</f>
      </c>
      <c r="DI21" s="333">
        <f>DH21*(1+$K$18)</f>
      </c>
      <c r="DJ21" s="333">
        <f>DI21*(1+$K$18)</f>
      </c>
      <c r="DK21" s="333">
        <f>DJ21*(1+$K$18)</f>
      </c>
      <c r="DL21" s="333">
        <f>DK21*(1+$K$18)</f>
      </c>
      <c r="DM21" s="333">
        <f>DL21*(1+$K$18)</f>
      </c>
      <c r="DN21" s="170"/>
      <c r="DO21" s="170"/>
      <c r="DP21" s="170"/>
      <c r="DQ21" s="170"/>
      <c r="DR21" s="170"/>
      <c r="DS21" s="170"/>
      <c r="DT21" s="170"/>
      <c r="DU21" s="170"/>
      <c r="DV21" s="170"/>
      <c r="DW21" s="170"/>
      <c r="DX21" s="170"/>
      <c r="DY21" s="170"/>
      <c r="DZ21" s="170"/>
      <c r="EA21" s="170"/>
      <c r="EB21" s="170"/>
      <c r="EC21" s="170"/>
      <c r="ED21" s="170"/>
      <c r="EE21" s="170"/>
      <c r="EF21" s="170"/>
      <c r="EG21" s="170"/>
      <c r="EH21" s="170"/>
      <c r="EI21" s="170"/>
      <c r="EJ21" s="170"/>
      <c r="EK21" s="170"/>
      <c r="EL21" s="170"/>
      <c r="EM21" s="170"/>
      <c r="EN21" s="170"/>
      <c r="EO21" s="170"/>
      <c r="EP21" s="170"/>
    </row>
    <row x14ac:dyDescent="0.25" r="22" customHeight="1" ht="18.75">
      <c r="A22" s="1"/>
      <c r="B22" s="320"/>
      <c r="C22" s="1080"/>
      <c r="D22" s="1080"/>
      <c r="E22" s="1080"/>
      <c r="F22" s="1083"/>
      <c r="G22" s="1083"/>
      <c r="H22" s="1083"/>
      <c r="I22" s="1083"/>
      <c r="J22" s="169"/>
      <c r="K22" s="169"/>
      <c r="L22" s="169"/>
      <c r="M22" s="169"/>
      <c r="N22" s="169"/>
      <c r="O22" s="169"/>
      <c r="P22" s="169"/>
      <c r="Q22" s="169"/>
      <c r="R22" s="169"/>
      <c r="S22" s="169"/>
      <c r="T22" s="169"/>
      <c r="U22" s="169"/>
      <c r="V22" s="169"/>
      <c r="W22" s="169"/>
      <c r="X22" s="169"/>
      <c r="Y22" s="170"/>
      <c r="Z22" s="170"/>
      <c r="AA22" s="170"/>
      <c r="AB22" s="170"/>
      <c r="AC22" s="170"/>
      <c r="AD22" s="170"/>
      <c r="AE22" s="170"/>
      <c r="AF22" s="170"/>
      <c r="AG22" s="170"/>
      <c r="AH22" s="170"/>
      <c r="AI22" s="170"/>
      <c r="AJ22" s="170"/>
      <c r="AK22" s="170"/>
      <c r="AL22" s="170"/>
      <c r="AM22" s="170"/>
      <c r="AN22" s="170"/>
      <c r="AO22" s="170"/>
      <c r="AP22" s="170"/>
      <c r="AQ22" s="170"/>
      <c r="AR22" s="170"/>
      <c r="AS22" s="170"/>
      <c r="AT22" s="170"/>
      <c r="AU22" s="170"/>
      <c r="AV22" s="170"/>
      <c r="AW22" s="170"/>
      <c r="AX22" s="170"/>
      <c r="AY22" s="170"/>
      <c r="AZ22" s="170"/>
      <c r="BA22" s="170"/>
      <c r="BB22" s="170"/>
      <c r="BC22" s="170"/>
      <c r="BD22" s="217">
        <f>BD21/14</f>
      </c>
      <c r="BE22" s="217">
        <f>BE21/14</f>
      </c>
      <c r="BF22" s="217">
        <f>BF21/14</f>
      </c>
      <c r="BG22" s="170"/>
      <c r="BH22" s="170"/>
      <c r="BI22" s="170"/>
      <c r="BJ22" s="170"/>
      <c r="BK22" s="170"/>
      <c r="BL22" s="170"/>
      <c r="BM22" s="170"/>
      <c r="BN22" s="170"/>
      <c r="BO22" s="170"/>
      <c r="BP22" s="170"/>
      <c r="BQ22" s="170"/>
      <c r="BR22" s="170"/>
      <c r="BS22" s="170"/>
      <c r="BT22" s="170"/>
      <c r="BU22" s="170"/>
      <c r="BV22" s="170"/>
      <c r="BW22" s="170"/>
      <c r="BX22" s="170"/>
      <c r="BY22" s="170"/>
      <c r="BZ22" s="170"/>
      <c r="CA22" s="170"/>
      <c r="CB22" s="170"/>
      <c r="CC22" s="170"/>
      <c r="CD22" s="170"/>
      <c r="CE22" s="170"/>
      <c r="CF22" s="170"/>
      <c r="CG22" s="170"/>
      <c r="CH22" s="170"/>
      <c r="CI22" s="170"/>
      <c r="CJ22" s="170"/>
      <c r="CK22" s="170"/>
      <c r="CL22" s="170"/>
      <c r="CM22" s="170"/>
      <c r="CN22" s="170"/>
      <c r="CO22" s="170"/>
      <c r="CP22" s="170"/>
      <c r="CQ22" s="170"/>
      <c r="CR22" s="170"/>
      <c r="CS22" s="170"/>
      <c r="CT22" s="170"/>
      <c r="CU22" s="170"/>
      <c r="CV22" s="170"/>
      <c r="CW22" s="170"/>
      <c r="CX22" s="170"/>
      <c r="CY22" s="170"/>
      <c r="CZ22" s="170"/>
      <c r="DA22" s="170"/>
      <c r="DB22" s="170"/>
      <c r="DC22" s="170"/>
      <c r="DD22" s="170"/>
      <c r="DE22" s="170"/>
      <c r="DF22" s="170"/>
      <c r="DG22" s="170"/>
      <c r="DH22" s="170"/>
      <c r="DI22" s="170"/>
      <c r="DJ22" s="170"/>
      <c r="DK22" s="170"/>
      <c r="DL22" s="170"/>
      <c r="DM22" s="170"/>
      <c r="DN22" s="170"/>
      <c r="DO22" s="170"/>
      <c r="DP22" s="170"/>
      <c r="DQ22" s="170"/>
      <c r="DR22" s="170"/>
      <c r="DS22" s="170"/>
      <c r="DT22" s="170"/>
      <c r="DU22" s="170"/>
      <c r="DV22" s="170"/>
      <c r="DW22" s="170"/>
      <c r="DX22" s="170"/>
      <c r="DY22" s="170"/>
      <c r="DZ22" s="170"/>
      <c r="EA22" s="170"/>
      <c r="EB22" s="170"/>
      <c r="EC22" s="170"/>
      <c r="ED22" s="170"/>
      <c r="EE22" s="170"/>
      <c r="EF22" s="170"/>
      <c r="EG22" s="170"/>
      <c r="EH22" s="170"/>
      <c r="EI22" s="170"/>
      <c r="EJ22" s="170"/>
      <c r="EK22" s="170"/>
      <c r="EL22" s="170"/>
      <c r="EM22" s="170"/>
      <c r="EN22" s="170"/>
      <c r="EO22" s="170"/>
      <c r="EP22" s="170"/>
    </row>
    <row x14ac:dyDescent="0.25" r="23" customHeight="1" ht="18.75">
      <c r="A23" s="1"/>
      <c r="B23" s="320" t="s">
        <v>1166</v>
      </c>
      <c r="C23" s="1080"/>
      <c r="D23" s="1080"/>
      <c r="E23" s="1080"/>
      <c r="F23" s="1083"/>
      <c r="G23" s="1083" t="s">
        <v>1167</v>
      </c>
      <c r="H23" s="1083"/>
      <c r="I23" s="1083"/>
      <c r="J23" s="330">
        <f>Hipótesis!E9</f>
      </c>
      <c r="K23" s="169"/>
      <c r="L23" s="169" t="s">
        <v>1168</v>
      </c>
      <c r="M23" s="169"/>
      <c r="N23" s="169"/>
      <c r="O23" s="169"/>
      <c r="P23" s="169"/>
      <c r="Q23" s="169"/>
      <c r="R23" s="169"/>
      <c r="S23" s="169"/>
      <c r="T23" s="169"/>
      <c r="U23" s="169"/>
      <c r="V23" s="169"/>
      <c r="W23" s="169"/>
      <c r="X23" s="169"/>
      <c r="Y23" s="170"/>
      <c r="Z23" s="170"/>
      <c r="AA23" s="170"/>
      <c r="AB23" s="170"/>
      <c r="AC23" s="170"/>
      <c r="AD23" s="170"/>
      <c r="AE23" s="170"/>
      <c r="AF23" s="170"/>
      <c r="AG23" s="170"/>
      <c r="AH23" s="170"/>
      <c r="AI23" s="170"/>
      <c r="AJ23" s="170"/>
      <c r="AK23" s="170"/>
      <c r="AL23" s="170"/>
      <c r="AM23" s="170"/>
      <c r="AN23" s="170"/>
      <c r="AO23" s="170"/>
      <c r="AP23" s="170"/>
      <c r="AQ23" s="170"/>
      <c r="AR23" s="170"/>
      <c r="AS23" s="170"/>
      <c r="AT23" s="170"/>
      <c r="AU23" s="170"/>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c r="BR23" s="170"/>
      <c r="BS23" s="170"/>
      <c r="BT23" s="170"/>
      <c r="BU23" s="170"/>
      <c r="BV23" s="170"/>
      <c r="BW23" s="170"/>
      <c r="BX23" s="170"/>
      <c r="BY23" s="170"/>
      <c r="BZ23" s="170"/>
      <c r="CA23" s="170"/>
      <c r="CB23" s="170"/>
      <c r="CC23" s="170"/>
      <c r="CD23" s="170"/>
      <c r="CE23" s="170"/>
      <c r="CF23" s="170"/>
      <c r="CG23" s="170"/>
      <c r="CH23" s="170"/>
      <c r="CI23" s="170"/>
      <c r="CJ23" s="170"/>
      <c r="CK23" s="170"/>
      <c r="CL23" s="170"/>
      <c r="CM23" s="170"/>
      <c r="CN23" s="170"/>
      <c r="CO23" s="170"/>
      <c r="CP23" s="170"/>
      <c r="CQ23" s="170"/>
      <c r="CR23" s="170"/>
      <c r="CS23" s="170"/>
      <c r="CT23" s="170"/>
      <c r="CU23" s="170"/>
      <c r="CV23" s="170"/>
      <c r="CW23" s="170"/>
      <c r="CX23" s="170"/>
      <c r="CY23" s="170"/>
      <c r="CZ23" s="170"/>
      <c r="DA23" s="170"/>
      <c r="DB23" s="170"/>
      <c r="DC23" s="170"/>
      <c r="DD23" s="170"/>
      <c r="DE23" s="170"/>
      <c r="DF23" s="170"/>
      <c r="DG23" s="170"/>
      <c r="DH23" s="170"/>
      <c r="DI23" s="170"/>
      <c r="DJ23" s="170"/>
      <c r="DK23" s="170"/>
      <c r="DL23" s="170"/>
      <c r="DM23" s="170"/>
      <c r="DN23" s="170"/>
      <c r="DO23" s="170"/>
      <c r="DP23" s="170"/>
      <c r="DQ23" s="170"/>
      <c r="DR23" s="170"/>
      <c r="DS23" s="170"/>
      <c r="DT23" s="170"/>
      <c r="DU23" s="170"/>
      <c r="DV23" s="170"/>
      <c r="DW23" s="170"/>
      <c r="DX23" s="170"/>
      <c r="DY23" s="170"/>
      <c r="DZ23" s="170"/>
      <c r="EA23" s="170"/>
      <c r="EB23" s="170"/>
      <c r="EC23" s="170"/>
      <c r="ED23" s="170"/>
      <c r="EE23" s="170"/>
      <c r="EF23" s="170"/>
      <c r="EG23" s="170"/>
      <c r="EH23" s="170"/>
      <c r="EI23" s="170"/>
      <c r="EJ23" s="170"/>
      <c r="EK23" s="170"/>
      <c r="EL23" s="170"/>
      <c r="EM23" s="170"/>
      <c r="EN23" s="170"/>
      <c r="EO23" s="170"/>
      <c r="EP23" s="170"/>
    </row>
    <row x14ac:dyDescent="0.25" r="24" customHeight="1" ht="18.75">
      <c r="A24" s="1"/>
      <c r="B24" s="320"/>
      <c r="C24" s="1080"/>
      <c r="D24" s="1080"/>
      <c r="E24" s="1080"/>
      <c r="F24" s="1083"/>
      <c r="G24" s="1083"/>
      <c r="H24" s="1083"/>
      <c r="I24" s="1083"/>
      <c r="J24" s="169"/>
      <c r="K24" s="169"/>
      <c r="L24" s="169"/>
      <c r="M24" s="169"/>
      <c r="N24" s="169"/>
      <c r="O24" s="169"/>
      <c r="P24" s="169"/>
      <c r="Q24" s="169"/>
      <c r="R24" s="169"/>
      <c r="S24" s="169"/>
      <c r="T24" s="169"/>
      <c r="U24" s="169"/>
      <c r="V24" s="169"/>
      <c r="W24" s="169"/>
      <c r="X24" s="169"/>
      <c r="Y24" s="170"/>
      <c r="Z24" s="170"/>
      <c r="AA24" s="170"/>
      <c r="AB24" s="170"/>
      <c r="AC24" s="170"/>
      <c r="AD24" s="170"/>
      <c r="AE24" s="170"/>
      <c r="AF24" s="170"/>
      <c r="AG24" s="170"/>
      <c r="AH24" s="170"/>
      <c r="AI24" s="170"/>
      <c r="AJ24" s="170"/>
      <c r="AK24" s="170"/>
      <c r="AL24" s="170"/>
      <c r="AM24" s="170"/>
      <c r="AN24" s="276" t="s">
        <v>1169</v>
      </c>
      <c r="AO24" s="170"/>
      <c r="AP24" s="170"/>
      <c r="AQ24" s="170"/>
      <c r="AR24" s="170"/>
      <c r="AS24" s="170"/>
      <c r="AT24" s="170"/>
      <c r="AU24" s="170"/>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c r="BR24" s="170"/>
      <c r="BS24" s="170"/>
      <c r="BT24" s="170"/>
      <c r="BU24" s="170"/>
      <c r="BV24" s="170"/>
      <c r="BW24" s="170"/>
      <c r="BX24" s="170"/>
      <c r="BY24" s="170"/>
      <c r="BZ24" s="170"/>
      <c r="CA24" s="170"/>
      <c r="CB24" s="170"/>
      <c r="CC24" s="170"/>
      <c r="CD24" s="170"/>
      <c r="CE24" s="170"/>
      <c r="CF24" s="170"/>
      <c r="CG24" s="170"/>
      <c r="CH24" s="170"/>
      <c r="CI24" s="170"/>
      <c r="CJ24" s="170"/>
      <c r="CK24" s="170"/>
      <c r="CL24" s="170"/>
      <c r="CM24" s="170"/>
      <c r="CN24" s="170"/>
      <c r="CO24" s="170"/>
      <c r="CP24" s="170"/>
      <c r="CQ24" s="170"/>
      <c r="CR24" s="170"/>
      <c r="CS24" s="170"/>
      <c r="CT24" s="170"/>
      <c r="CU24" s="170"/>
      <c r="CV24" s="170"/>
      <c r="CW24" s="170"/>
      <c r="CX24" s="170"/>
      <c r="CY24" s="170"/>
      <c r="CZ24" s="170"/>
      <c r="DA24" s="170"/>
      <c r="DB24" s="170"/>
      <c r="DC24" s="170"/>
      <c r="DD24" s="170"/>
      <c r="DE24" s="170"/>
      <c r="DF24" s="170"/>
      <c r="DG24" s="170"/>
      <c r="DH24" s="170"/>
      <c r="DI24" s="170"/>
      <c r="DJ24" s="170"/>
      <c r="DK24" s="170"/>
      <c r="DL24" s="170"/>
      <c r="DM24" s="170"/>
      <c r="DN24" s="170"/>
      <c r="DO24" s="170"/>
      <c r="DP24" s="170"/>
      <c r="DQ24" s="170"/>
      <c r="DR24" s="170"/>
      <c r="DS24" s="170"/>
      <c r="DT24" s="170"/>
      <c r="DU24" s="170"/>
      <c r="DV24" s="170"/>
      <c r="DW24" s="170"/>
      <c r="DX24" s="170"/>
      <c r="DY24" s="170"/>
      <c r="DZ24" s="170"/>
      <c r="EA24" s="170"/>
      <c r="EB24" s="170"/>
      <c r="EC24" s="170"/>
      <c r="ED24" s="170"/>
      <c r="EE24" s="170"/>
      <c r="EF24" s="170"/>
      <c r="EG24" s="170"/>
      <c r="EH24" s="170"/>
      <c r="EI24" s="170"/>
      <c r="EJ24" s="170"/>
      <c r="EK24" s="170"/>
      <c r="EL24" s="170"/>
      <c r="EM24" s="170"/>
      <c r="EN24" s="170"/>
      <c r="EO24" s="170"/>
      <c r="EP24" s="170"/>
    </row>
    <row x14ac:dyDescent="0.25" r="25" customHeight="1" ht="18.75" customFormat="1" s="23">
      <c r="A25" s="24"/>
      <c r="B25" s="1084">
        <v>1980</v>
      </c>
      <c r="C25" s="1084">
        <v>1981</v>
      </c>
      <c r="D25" s="1084">
        <v>1982</v>
      </c>
      <c r="E25" s="1084">
        <v>1983</v>
      </c>
      <c r="F25" s="1084">
        <v>1984</v>
      </c>
      <c r="G25" s="1084">
        <v>1985</v>
      </c>
      <c r="H25" s="1084">
        <v>1986</v>
      </c>
      <c r="I25" s="1084">
        <v>1987</v>
      </c>
      <c r="J25" s="1084">
        <v>1988</v>
      </c>
      <c r="K25" s="1084">
        <v>1989</v>
      </c>
      <c r="L25" s="1084">
        <v>1990</v>
      </c>
      <c r="M25" s="1084">
        <v>1991</v>
      </c>
      <c r="N25" s="1084">
        <v>1992</v>
      </c>
      <c r="O25" s="1084">
        <v>1993</v>
      </c>
      <c r="P25" s="1084">
        <v>1994</v>
      </c>
      <c r="Q25" s="1084">
        <v>1995</v>
      </c>
      <c r="R25" s="1084">
        <v>1996</v>
      </c>
      <c r="S25" s="1084">
        <v>1997</v>
      </c>
      <c r="T25" s="1084">
        <v>1998</v>
      </c>
      <c r="U25" s="1084">
        <v>1999</v>
      </c>
      <c r="V25" s="1084">
        <v>2000</v>
      </c>
      <c r="W25" s="1084">
        <v>2001</v>
      </c>
      <c r="X25" s="1084">
        <v>2002</v>
      </c>
      <c r="Y25" s="1084">
        <v>2003</v>
      </c>
      <c r="Z25" s="1084">
        <v>2004</v>
      </c>
      <c r="AA25" s="1084">
        <v>2005</v>
      </c>
      <c r="AB25" s="1084">
        <v>2006</v>
      </c>
      <c r="AC25" s="1084">
        <v>2007</v>
      </c>
      <c r="AD25" s="1084">
        <v>2008</v>
      </c>
      <c r="AE25" s="1084">
        <v>2009</v>
      </c>
      <c r="AF25" s="1084">
        <v>2010</v>
      </c>
      <c r="AG25" s="1084">
        <v>2011</v>
      </c>
      <c r="AH25" s="1084">
        <v>2012</v>
      </c>
      <c r="AI25" s="1084">
        <v>2013</v>
      </c>
      <c r="AJ25" s="1084">
        <v>2014</v>
      </c>
      <c r="AK25" s="1084">
        <v>2015</v>
      </c>
      <c r="AL25" s="1084">
        <v>2016</v>
      </c>
      <c r="AM25" s="1084">
        <v>2017</v>
      </c>
      <c r="AN25" s="1084">
        <v>2018</v>
      </c>
      <c r="AO25" s="1084">
        <v>2019</v>
      </c>
      <c r="AP25" s="1084">
        <v>2020</v>
      </c>
      <c r="AQ25" s="1084">
        <v>2021</v>
      </c>
      <c r="AR25" s="1084">
        <v>2022</v>
      </c>
      <c r="AS25" s="1084">
        <v>2023</v>
      </c>
      <c r="AT25" s="1084">
        <v>2024</v>
      </c>
      <c r="AU25" s="1084">
        <v>2025</v>
      </c>
      <c r="AV25" s="1084">
        <v>2026</v>
      </c>
      <c r="AW25" s="1084">
        <v>2027</v>
      </c>
      <c r="AX25" s="1084">
        <v>2028</v>
      </c>
      <c r="AY25" s="1084">
        <v>2029</v>
      </c>
      <c r="AZ25" s="1084">
        <v>2030</v>
      </c>
      <c r="BA25" s="1084">
        <v>2031</v>
      </c>
      <c r="BB25" s="1084">
        <v>2032</v>
      </c>
      <c r="BC25" s="1084">
        <v>2033</v>
      </c>
      <c r="BD25" s="1084">
        <v>2034</v>
      </c>
      <c r="BE25" s="1084">
        <v>2035</v>
      </c>
      <c r="BF25" s="1084">
        <v>2036</v>
      </c>
      <c r="BG25" s="1084">
        <v>2037</v>
      </c>
      <c r="BH25" s="1084">
        <v>2038</v>
      </c>
      <c r="BI25" s="1084">
        <v>2039</v>
      </c>
      <c r="BJ25" s="1084">
        <v>2040</v>
      </c>
      <c r="BK25" s="1084">
        <v>2041</v>
      </c>
      <c r="BL25" s="1084">
        <v>2042</v>
      </c>
      <c r="BM25" s="1084">
        <v>2043</v>
      </c>
      <c r="BN25" s="1084">
        <v>2044</v>
      </c>
      <c r="BO25" s="1084">
        <v>2045</v>
      </c>
      <c r="BP25" s="1084">
        <v>2046</v>
      </c>
      <c r="BQ25" s="1084">
        <v>2047</v>
      </c>
      <c r="BR25" s="1084">
        <v>2048</v>
      </c>
      <c r="BS25" s="1084">
        <v>2049</v>
      </c>
      <c r="BT25" s="1084">
        <v>2050</v>
      </c>
      <c r="BU25" s="1084">
        <v>2051</v>
      </c>
      <c r="BV25" s="1084">
        <v>2052</v>
      </c>
      <c r="BW25" s="1084">
        <v>2053</v>
      </c>
      <c r="BX25" s="1084">
        <v>2054</v>
      </c>
      <c r="BY25" s="1084">
        <v>2055</v>
      </c>
      <c r="BZ25" s="1084">
        <v>2056</v>
      </c>
      <c r="CA25" s="1084">
        <v>2057</v>
      </c>
      <c r="CB25" s="1084">
        <v>2058</v>
      </c>
      <c r="CC25" s="1084">
        <v>2059</v>
      </c>
      <c r="CD25" s="1084">
        <v>2060</v>
      </c>
      <c r="CE25" s="1084">
        <v>2061</v>
      </c>
      <c r="CF25" s="1084">
        <v>2062</v>
      </c>
      <c r="CG25" s="1084">
        <v>2063</v>
      </c>
      <c r="CH25" s="1084">
        <v>2064</v>
      </c>
      <c r="CI25" s="1084">
        <v>2065</v>
      </c>
      <c r="CJ25" s="1084">
        <v>2066</v>
      </c>
      <c r="CK25" s="1084">
        <v>2067</v>
      </c>
      <c r="CL25" s="1084">
        <v>2068</v>
      </c>
      <c r="CM25" s="1084">
        <v>2069</v>
      </c>
      <c r="CN25" s="1084">
        <v>2070</v>
      </c>
      <c r="CO25" s="1084">
        <v>2071</v>
      </c>
      <c r="CP25" s="1084">
        <v>2072</v>
      </c>
      <c r="CQ25" s="1084">
        <v>2073</v>
      </c>
      <c r="CR25" s="1084">
        <v>2074</v>
      </c>
      <c r="CS25" s="1084">
        <v>2075</v>
      </c>
      <c r="CT25" s="1084">
        <v>2076</v>
      </c>
      <c r="CU25" s="1084">
        <v>2077</v>
      </c>
      <c r="CV25" s="1084">
        <v>2078</v>
      </c>
      <c r="CW25" s="1084">
        <v>2079</v>
      </c>
      <c r="CX25" s="1084">
        <v>2080</v>
      </c>
      <c r="CY25" s="1084">
        <v>2081</v>
      </c>
      <c r="CZ25" s="1084">
        <v>2082</v>
      </c>
      <c r="DA25" s="1084">
        <v>2083</v>
      </c>
      <c r="DB25" s="1084">
        <v>2084</v>
      </c>
      <c r="DC25" s="1084">
        <v>2085</v>
      </c>
      <c r="DD25" s="1084">
        <v>2086</v>
      </c>
      <c r="DE25" s="1084">
        <v>2087</v>
      </c>
      <c r="DF25" s="1084">
        <v>2088</v>
      </c>
      <c r="DG25" s="1084">
        <v>2089</v>
      </c>
      <c r="DH25" s="1084">
        <v>2090</v>
      </c>
      <c r="DI25" s="1084">
        <v>2091</v>
      </c>
      <c r="DJ25" s="1084">
        <v>2092</v>
      </c>
      <c r="DK25" s="1084">
        <v>2093</v>
      </c>
      <c r="DL25" s="1084">
        <v>2094</v>
      </c>
      <c r="DM25" s="1084">
        <v>2095</v>
      </c>
      <c r="DN25" s="294"/>
      <c r="DO25" s="294"/>
      <c r="DP25" s="294"/>
      <c r="DQ25" s="294"/>
      <c r="DR25" s="294"/>
      <c r="DS25" s="294"/>
      <c r="DT25" s="294"/>
      <c r="DU25" s="294"/>
      <c r="DV25" s="294"/>
      <c r="DW25" s="294"/>
      <c r="DX25" s="294"/>
      <c r="DY25" s="294"/>
      <c r="DZ25" s="294"/>
      <c r="EA25" s="294"/>
      <c r="EB25" s="294"/>
      <c r="EC25" s="294"/>
      <c r="ED25" s="294"/>
      <c r="EE25" s="294"/>
      <c r="EF25" s="294"/>
      <c r="EG25" s="294"/>
      <c r="EH25" s="294"/>
      <c r="EI25" s="294"/>
      <c r="EJ25" s="294"/>
      <c r="EK25" s="294"/>
      <c r="EL25" s="294"/>
      <c r="EM25" s="294"/>
      <c r="EN25" s="294"/>
      <c r="EO25" s="294"/>
      <c r="EP25" s="294"/>
    </row>
    <row x14ac:dyDescent="0.25" r="26" customHeight="1" ht="18.75">
      <c r="A26" s="1"/>
      <c r="B26" s="1088">
        <v>9007.248205978869</v>
      </c>
      <c r="C26" s="1088">
        <v>10130.179221809527</v>
      </c>
      <c r="D26" s="1088">
        <v>11138.43712812376</v>
      </c>
      <c r="E26" s="1088">
        <v>13555.227002271826</v>
      </c>
      <c r="F26" s="1088">
        <v>15452.742418232303</v>
      </c>
      <c r="G26" s="1088">
        <v>16534.564206123112</v>
      </c>
      <c r="H26" s="1088">
        <v>17856.55043092568</v>
      </c>
      <c r="I26" s="1088">
        <v>18750.135227723487</v>
      </c>
      <c r="J26" s="1088">
        <v>19312.682557426706</v>
      </c>
      <c r="K26" s="1088">
        <v>19892.53903573618</v>
      </c>
      <c r="L26" s="1088">
        <v>21026.288269445748</v>
      </c>
      <c r="M26" s="1088">
        <v>22077.819047275614</v>
      </c>
      <c r="N26" s="1088">
        <v>23181.277270924238</v>
      </c>
      <c r="O26" s="1088">
        <v>24386.426742634598</v>
      </c>
      <c r="P26" s="1088">
        <v>25238.902311492555</v>
      </c>
      <c r="Q26" s="1088">
        <v>26121.668890411453</v>
      </c>
      <c r="R26" s="1088">
        <v>27036.890122967077</v>
      </c>
      <c r="S26" s="1088">
        <v>27740.074285096103</v>
      </c>
      <c r="T26" s="1088">
        <v>28322.094406981356</v>
      </c>
      <c r="U26" s="1088">
        <v>28832.714290865817</v>
      </c>
      <c r="V26" s="1088">
        <v>29410.40712559951</v>
      </c>
      <c r="W26" s="1088">
        <v>29998.91817821211</v>
      </c>
      <c r="X26" s="1088">
        <v>30898.8</v>
      </c>
      <c r="Y26" s="1088">
        <v>31824</v>
      </c>
      <c r="Z26" s="1088">
        <v>32778</v>
      </c>
      <c r="AA26" s="1088">
        <v>33760.8</v>
      </c>
      <c r="AB26" s="1088">
        <v>34772.4</v>
      </c>
      <c r="AC26" s="1088">
        <v>35953.2</v>
      </c>
      <c r="AD26" s="1088">
        <v>36889.2</v>
      </c>
      <c r="AE26" s="1088">
        <v>37994.4</v>
      </c>
      <c r="AF26" s="1088">
        <v>38376</v>
      </c>
      <c r="AG26" s="1088">
        <v>38761.2</v>
      </c>
      <c r="AH26" s="1088">
        <v>39148.81</v>
      </c>
      <c r="AI26" s="1088">
        <v>41108.399999999994</v>
      </c>
      <c r="AJ26" s="1088">
        <v>43163.81999999999</v>
      </c>
      <c r="AK26" s="1088">
        <v>43272</v>
      </c>
      <c r="AL26" s="1088">
        <v>43704</v>
      </c>
      <c r="AM26" s="1088">
        <v>45015</v>
      </c>
      <c r="AN26" s="1088">
        <v>45644.399999999994</v>
      </c>
      <c r="AO26" s="1088">
        <v>48841.2</v>
      </c>
      <c r="AP26" s="1088">
        <v>48841.2</v>
      </c>
      <c r="AQ26" s="1088">
        <v>48841.2</v>
      </c>
      <c r="AR26" s="1086">
        <v>49672.799999999996</v>
      </c>
      <c r="AS26" s="1088">
        <f>AR26*(1+$J$23)</f>
      </c>
      <c r="AT26" s="1088">
        <f>AS26*(1+$J$23)</f>
      </c>
      <c r="AU26" s="1088">
        <f>AT26*(1+$J$23)</f>
      </c>
      <c r="AV26" s="1088">
        <f>AU26*(1+$J$23)</f>
      </c>
      <c r="AW26" s="1088">
        <f>AV26*(1+$J$23)</f>
      </c>
      <c r="AX26" s="1088">
        <f>AW26*(1+$J$23)</f>
      </c>
      <c r="AY26" s="1088">
        <f>AX26*(1+$J$23)</f>
      </c>
      <c r="AZ26" s="1088">
        <f>AY26*(1+$J$23)</f>
      </c>
      <c r="BA26" s="1088">
        <f>AZ26*(1+$J$23)</f>
      </c>
      <c r="BB26" s="1088">
        <f>BA26*(1+$J$23)</f>
      </c>
      <c r="BC26" s="1088">
        <f>BB26*(1+$J$23)</f>
      </c>
      <c r="BD26" s="1088">
        <f>BC26*(1+$J$23)</f>
      </c>
      <c r="BE26" s="1088">
        <f>BD26*(1+$J$23)</f>
      </c>
      <c r="BF26" s="1088">
        <f>BE26*(1+$J$23)</f>
      </c>
      <c r="BG26" s="1088">
        <f>BF26*(1+$J$23)</f>
      </c>
      <c r="BH26" s="1088">
        <f>BG26*(1+$J$23)</f>
      </c>
      <c r="BI26" s="1088">
        <f>BH26*(1+$J$23)</f>
      </c>
      <c r="BJ26" s="1088">
        <f>BI26*(1+$J$23)</f>
      </c>
      <c r="BK26" s="1088">
        <f>BJ26*(1+$J$23)</f>
      </c>
      <c r="BL26" s="1088">
        <f>BK26*(1+$J$23)</f>
      </c>
      <c r="BM26" s="1088">
        <f>BL26*(1+$J$23)</f>
      </c>
      <c r="BN26" s="333">
        <f>BM26*(1+$J$23)</f>
      </c>
      <c r="BO26" s="333">
        <f>BN26*(1+$J$23)</f>
      </c>
      <c r="BP26" s="1088">
        <f>BO26*(1+$J$23)</f>
      </c>
      <c r="BQ26" s="1088">
        <f>BP26*(1+$J$23)</f>
      </c>
      <c r="BR26" s="1088">
        <f>BQ26*(1+$J$23)</f>
      </c>
      <c r="BS26" s="1088">
        <f>BR26*(1+$J$23)</f>
      </c>
      <c r="BT26" s="1088">
        <f>BS26*(1+$J$23)</f>
      </c>
      <c r="BU26" s="1088">
        <f>BT26*(1+$J$23)</f>
      </c>
      <c r="BV26" s="1088">
        <f>BU26*(1+$J$23)</f>
      </c>
      <c r="BW26" s="1088">
        <f>BV26*(1+$J$23)</f>
      </c>
      <c r="BX26" s="1088">
        <f>BW26*(1+$J$23)</f>
      </c>
      <c r="BY26" s="1088">
        <f>BX26*(1+$J$23)</f>
      </c>
      <c r="BZ26" s="1088">
        <f>BY26*(1+$J$23)</f>
      </c>
      <c r="CA26" s="1088">
        <f>BZ26*(1+$J$23)</f>
      </c>
      <c r="CB26" s="1088">
        <f>CA26*(1+$J$23)</f>
      </c>
      <c r="CC26" s="1088">
        <f>CB26*(1+$J$23)</f>
      </c>
      <c r="CD26" s="1088">
        <f>CC26*(1+$J$23)</f>
      </c>
      <c r="CE26" s="1088">
        <f>CD26*(1+$J$23)</f>
      </c>
      <c r="CF26" s="1088">
        <f>CE26*(1+$J$23)</f>
      </c>
      <c r="CG26" s="1088">
        <f>CF26*(1+$J$23)</f>
      </c>
      <c r="CH26" s="1088">
        <f>CG26*(1+$J$23)</f>
      </c>
      <c r="CI26" s="1088">
        <f>CH26*(1+$J$23)</f>
      </c>
      <c r="CJ26" s="1088">
        <f>CI26*(1+$J$23)</f>
      </c>
      <c r="CK26" s="1088">
        <f>CJ26*(1+$J$23)</f>
      </c>
      <c r="CL26" s="1088">
        <f>CK26*(1+$J$23)</f>
      </c>
      <c r="CM26" s="1088">
        <f>CL26*(1+$J$23)</f>
      </c>
      <c r="CN26" s="1088">
        <f>CM26*(1+$J$23)</f>
      </c>
      <c r="CO26" s="1088">
        <f>CN26*(1+$J$23)</f>
      </c>
      <c r="CP26" s="1088">
        <f>CO26*(1+$J$23)</f>
      </c>
      <c r="CQ26" s="1088">
        <f>CP26*(1+$J$23)</f>
      </c>
      <c r="CR26" s="1088">
        <f>CQ26*(1+$J$23)</f>
      </c>
      <c r="CS26" s="1088">
        <f>CR26*(1+$J$23)</f>
      </c>
      <c r="CT26" s="1088">
        <f>CS26*(1+$J$23)</f>
      </c>
      <c r="CU26" s="1088">
        <f>CT26*(1+$J$23)</f>
      </c>
      <c r="CV26" s="1088">
        <f>CU26*(1+$J$23)</f>
      </c>
      <c r="CW26" s="1088">
        <f>CV26*(1+$J$23)</f>
      </c>
      <c r="CX26" s="1088">
        <f>CW26*(1+$J$23)</f>
      </c>
      <c r="CY26" s="1088">
        <f>CX26*(1+$J$23)</f>
      </c>
      <c r="CZ26" s="1088">
        <f>CY26*(1+$J$23)</f>
      </c>
      <c r="DA26" s="1088">
        <f>CZ26*(1+$J$23)</f>
      </c>
      <c r="DB26" s="1088">
        <f>DA26*(1+$J$23)</f>
      </c>
      <c r="DC26" s="1088">
        <f>DB26*(1+$J$23)</f>
      </c>
      <c r="DD26" s="1088">
        <f>DC26*(1+$J$23)</f>
      </c>
      <c r="DE26" s="1088">
        <f>DD26*(1+$J$23)</f>
      </c>
      <c r="DF26" s="1088">
        <f>DE26*(1+$J$23)</f>
      </c>
      <c r="DG26" s="1088">
        <f>DF26*(1+$J$23)</f>
      </c>
      <c r="DH26" s="1088">
        <f>DG26*(1+$J$23)</f>
      </c>
      <c r="DI26" s="1088">
        <f>DH26*(1+$J$23)</f>
      </c>
      <c r="DJ26" s="1088">
        <f>DI26*(1+$J$23)</f>
      </c>
      <c r="DK26" s="1088">
        <f>DJ26*(1+$J$23)</f>
      </c>
      <c r="DL26" s="1088">
        <f>DK26*(1+$J$23)</f>
      </c>
      <c r="DM26" s="1088">
        <f>DL26*(1+$J$23)</f>
      </c>
      <c r="DN26" s="170"/>
      <c r="DO26" s="170"/>
      <c r="DP26" s="170"/>
      <c r="DQ26" s="170"/>
      <c r="DR26" s="170"/>
      <c r="DS26" s="170"/>
      <c r="DT26" s="170"/>
      <c r="DU26" s="170"/>
      <c r="DV26" s="170"/>
      <c r="DW26" s="170"/>
      <c r="DX26" s="170"/>
      <c r="DY26" s="170"/>
      <c r="DZ26" s="170"/>
      <c r="EA26" s="170"/>
      <c r="EB26" s="170"/>
      <c r="EC26" s="170"/>
      <c r="ED26" s="170"/>
      <c r="EE26" s="170"/>
      <c r="EF26" s="170"/>
      <c r="EG26" s="170"/>
      <c r="EH26" s="170"/>
      <c r="EI26" s="170"/>
      <c r="EJ26" s="170"/>
      <c r="EK26" s="170"/>
      <c r="EL26" s="170"/>
      <c r="EM26" s="170"/>
      <c r="EN26" s="170"/>
      <c r="EO26" s="170"/>
      <c r="EP26" s="170"/>
    </row>
    <row x14ac:dyDescent="0.25" r="27" customHeight="1" ht="18.75">
      <c r="A27" s="1"/>
      <c r="B27" s="320"/>
      <c r="C27" s="1080"/>
      <c r="D27" s="1080"/>
      <c r="E27" s="1080"/>
      <c r="F27" s="1083"/>
      <c r="G27" s="1083"/>
      <c r="H27" s="1083"/>
      <c r="I27" s="1083"/>
      <c r="J27" s="169"/>
      <c r="K27" s="169"/>
      <c r="L27" s="169"/>
      <c r="M27" s="169"/>
      <c r="N27" s="169"/>
      <c r="O27" s="169"/>
      <c r="P27" s="169"/>
      <c r="Q27" s="169"/>
      <c r="R27" s="169"/>
      <c r="S27" s="169"/>
      <c r="T27" s="169"/>
      <c r="U27" s="169"/>
      <c r="V27" s="169"/>
      <c r="W27" s="169"/>
      <c r="X27" s="169"/>
      <c r="Y27" s="170"/>
      <c r="Z27" s="170"/>
      <c r="AA27" s="170"/>
      <c r="AB27" s="170"/>
      <c r="AC27" s="170"/>
      <c r="AD27" s="170"/>
      <c r="AE27" s="170"/>
      <c r="AF27" s="170"/>
      <c r="AG27" s="170"/>
      <c r="AH27" s="170"/>
      <c r="AI27" s="170"/>
      <c r="AJ27" s="170"/>
      <c r="AK27" s="170"/>
      <c r="AL27" s="170"/>
      <c r="AM27" s="170"/>
      <c r="AN27" s="217">
        <v>45014.4</v>
      </c>
      <c r="AO27" s="170"/>
      <c r="AP27" s="170"/>
      <c r="AQ27" s="170"/>
      <c r="AR27" s="170"/>
      <c r="AS27" s="170"/>
      <c r="AT27" s="170"/>
      <c r="AU27" s="170"/>
      <c r="AV27" s="170"/>
      <c r="AW27" s="170"/>
      <c r="AX27" s="170"/>
      <c r="AY27" s="170"/>
      <c r="AZ27" s="170"/>
      <c r="BA27" s="170"/>
      <c r="BB27" s="170"/>
      <c r="BC27" s="170"/>
      <c r="BD27" s="170"/>
      <c r="BE27" s="170"/>
      <c r="BF27" s="170"/>
      <c r="BG27" s="170"/>
      <c r="BH27" s="170"/>
      <c r="BI27" s="170"/>
      <c r="BJ27" s="170"/>
      <c r="BK27" s="170"/>
      <c r="BL27" s="170"/>
      <c r="BM27" s="170"/>
      <c r="BN27" s="170"/>
      <c r="BO27" s="170"/>
      <c r="BP27" s="170"/>
      <c r="BQ27" s="170"/>
      <c r="BR27" s="170"/>
      <c r="BS27" s="170"/>
      <c r="BT27" s="170"/>
      <c r="BU27" s="170"/>
      <c r="BV27" s="170"/>
      <c r="BW27" s="170"/>
      <c r="BX27" s="170"/>
      <c r="BY27" s="170"/>
      <c r="BZ27" s="170"/>
      <c r="CA27" s="170"/>
      <c r="CB27" s="170"/>
      <c r="CC27" s="170"/>
      <c r="CD27" s="170"/>
      <c r="CE27" s="170"/>
      <c r="CF27" s="170"/>
      <c r="CG27" s="170"/>
      <c r="CH27" s="170"/>
      <c r="CI27" s="170"/>
      <c r="CJ27" s="170"/>
      <c r="CK27" s="170"/>
      <c r="CL27" s="170"/>
      <c r="CM27" s="170"/>
      <c r="CN27" s="170"/>
      <c r="CO27" s="170"/>
      <c r="CP27" s="170"/>
      <c r="CQ27" s="170"/>
      <c r="CR27" s="170"/>
      <c r="CS27" s="170"/>
      <c r="CT27" s="170"/>
      <c r="CU27" s="170"/>
      <c r="CV27" s="170"/>
      <c r="CW27" s="170"/>
      <c r="CX27" s="170"/>
      <c r="CY27" s="170"/>
      <c r="CZ27" s="170"/>
      <c r="DA27" s="170"/>
      <c r="DB27" s="170"/>
      <c r="DC27" s="170"/>
      <c r="DD27" s="170"/>
      <c r="DE27" s="170"/>
      <c r="DF27" s="170"/>
      <c r="DG27" s="170"/>
      <c r="DH27" s="170"/>
      <c r="DI27" s="170"/>
      <c r="DJ27" s="170"/>
      <c r="DK27" s="170"/>
      <c r="DL27" s="170"/>
      <c r="DM27" s="170"/>
      <c r="DN27" s="170"/>
      <c r="DO27" s="170"/>
      <c r="DP27" s="170"/>
      <c r="DQ27" s="170"/>
      <c r="DR27" s="170"/>
      <c r="DS27" s="170"/>
      <c r="DT27" s="170"/>
      <c r="DU27" s="170"/>
      <c r="DV27" s="170"/>
      <c r="DW27" s="170"/>
      <c r="DX27" s="170"/>
      <c r="DY27" s="170"/>
      <c r="DZ27" s="170"/>
      <c r="EA27" s="170"/>
      <c r="EB27" s="170"/>
      <c r="EC27" s="170"/>
      <c r="ED27" s="170"/>
      <c r="EE27" s="170"/>
      <c r="EF27" s="170"/>
      <c r="EG27" s="170"/>
      <c r="EH27" s="170"/>
      <c r="EI27" s="170"/>
      <c r="EJ27" s="170"/>
      <c r="EK27" s="170"/>
      <c r="EL27" s="170"/>
      <c r="EM27" s="170"/>
      <c r="EN27" s="170"/>
      <c r="EO27" s="170"/>
      <c r="EP27" s="170"/>
    </row>
    <row x14ac:dyDescent="0.25" r="28" customHeight="1" ht="18.75">
      <c r="A28" s="1"/>
      <c r="B28" s="320"/>
      <c r="C28" s="1080"/>
      <c r="D28" s="1080"/>
      <c r="E28" s="1080"/>
      <c r="F28" s="1083"/>
      <c r="G28" s="1083"/>
      <c r="H28" s="1083"/>
      <c r="I28" s="1083"/>
      <c r="J28" s="169"/>
      <c r="K28" s="169"/>
      <c r="L28" s="169"/>
      <c r="M28" s="169"/>
      <c r="N28" s="169"/>
      <c r="O28" s="169"/>
      <c r="P28" s="169"/>
      <c r="Q28" s="169"/>
      <c r="R28" s="169"/>
      <c r="S28" s="169"/>
      <c r="T28" s="169"/>
      <c r="U28" s="169"/>
      <c r="V28" s="169"/>
      <c r="W28" s="169"/>
      <c r="X28" s="169"/>
      <c r="Y28" s="170"/>
      <c r="Z28" s="170"/>
      <c r="AA28" s="170"/>
      <c r="AB28" s="170"/>
      <c r="AC28" s="170"/>
      <c r="AD28" s="170"/>
      <c r="AE28" s="170"/>
      <c r="AF28" s="170"/>
      <c r="AG28" s="170"/>
      <c r="AH28" s="170"/>
      <c r="AI28" s="170"/>
      <c r="AJ28" s="170"/>
      <c r="AK28" s="170"/>
      <c r="AL28" s="170"/>
      <c r="AM28" s="170"/>
      <c r="AN28" s="170"/>
      <c r="AO28" s="170"/>
      <c r="AP28" s="170"/>
      <c r="AQ28" s="170"/>
      <c r="AR28" s="170"/>
      <c r="AS28" s="170"/>
      <c r="AT28" s="170"/>
      <c r="AU28" s="170"/>
      <c r="AV28" s="170"/>
      <c r="AW28" s="170"/>
      <c r="AX28" s="170"/>
      <c r="AY28" s="170"/>
      <c r="AZ28" s="170"/>
      <c r="BA28" s="170"/>
      <c r="BB28" s="170"/>
      <c r="BC28" s="170"/>
      <c r="BD28" s="170"/>
      <c r="BE28" s="170"/>
      <c r="BF28" s="170"/>
      <c r="BG28" s="170"/>
      <c r="BH28" s="170"/>
      <c r="BI28" s="170"/>
      <c r="BJ28" s="170"/>
      <c r="BK28" s="170"/>
      <c r="BL28" s="170"/>
      <c r="BM28" s="170"/>
      <c r="BN28" s="170"/>
      <c r="BO28" s="170"/>
      <c r="BP28" s="170"/>
      <c r="BQ28" s="170"/>
      <c r="BR28" s="170"/>
      <c r="BS28" s="170"/>
      <c r="BT28" s="170"/>
      <c r="BU28" s="170"/>
      <c r="BV28" s="170"/>
      <c r="BW28" s="170"/>
      <c r="BX28" s="170"/>
      <c r="BY28" s="170"/>
      <c r="BZ28" s="170"/>
      <c r="CA28" s="170"/>
      <c r="CB28" s="170"/>
      <c r="CC28" s="170"/>
      <c r="CD28" s="170"/>
      <c r="CE28" s="170"/>
      <c r="CF28" s="170"/>
      <c r="CG28" s="170"/>
      <c r="CH28" s="170"/>
      <c r="CI28" s="170"/>
      <c r="CJ28" s="170"/>
      <c r="CK28" s="170"/>
      <c r="CL28" s="170"/>
      <c r="CM28" s="170"/>
      <c r="CN28" s="170"/>
      <c r="CO28" s="170"/>
      <c r="CP28" s="170"/>
      <c r="CQ28" s="170"/>
      <c r="CR28" s="170"/>
      <c r="CS28" s="170"/>
      <c r="CT28" s="170"/>
      <c r="CU28" s="170"/>
      <c r="CV28" s="170"/>
      <c r="CW28" s="170"/>
      <c r="CX28" s="170"/>
      <c r="CY28" s="170"/>
      <c r="CZ28" s="170"/>
      <c r="DA28" s="170"/>
      <c r="DB28" s="170"/>
      <c r="DC28" s="170"/>
      <c r="DD28" s="170"/>
      <c r="DE28" s="170"/>
      <c r="DF28" s="170"/>
      <c r="DG28" s="170"/>
      <c r="DH28" s="170"/>
      <c r="DI28" s="170"/>
      <c r="DJ28" s="170"/>
      <c r="DK28" s="170"/>
      <c r="DL28" s="170"/>
      <c r="DM28" s="170"/>
      <c r="DN28" s="170"/>
      <c r="DO28" s="170"/>
      <c r="DP28" s="170"/>
      <c r="DQ28" s="170"/>
      <c r="DR28" s="170"/>
      <c r="DS28" s="170"/>
      <c r="DT28" s="170"/>
      <c r="DU28" s="170"/>
      <c r="DV28" s="170"/>
      <c r="DW28" s="170"/>
      <c r="DX28" s="170"/>
      <c r="DY28" s="170"/>
      <c r="DZ28" s="170"/>
      <c r="EA28" s="170"/>
      <c r="EB28" s="170"/>
      <c r="EC28" s="170"/>
      <c r="ED28" s="170"/>
      <c r="EE28" s="170"/>
      <c r="EF28" s="170"/>
      <c r="EG28" s="170"/>
      <c r="EH28" s="170"/>
      <c r="EI28" s="170"/>
      <c r="EJ28" s="170"/>
      <c r="EK28" s="170"/>
      <c r="EL28" s="170"/>
      <c r="EM28" s="170"/>
      <c r="EN28" s="170"/>
      <c r="EO28" s="170"/>
      <c r="EP28" s="170"/>
    </row>
    <row x14ac:dyDescent="0.25" r="29" customHeight="1" ht="18.75">
      <c r="A29" s="1"/>
      <c r="B29" s="320" t="s">
        <v>1170</v>
      </c>
      <c r="C29" s="1080"/>
      <c r="D29" s="1080"/>
      <c r="E29" s="1080"/>
      <c r="F29" s="1083"/>
      <c r="G29" s="1083"/>
      <c r="H29" s="1083"/>
      <c r="I29" s="330">
        <f>Hipótesis!E7</f>
      </c>
      <c r="J29" s="169"/>
      <c r="K29" s="169"/>
      <c r="L29" s="169"/>
      <c r="M29" s="169"/>
      <c r="N29" s="169" t="s">
        <v>1171</v>
      </c>
      <c r="O29" s="169"/>
      <c r="P29" s="169"/>
      <c r="Q29" s="169"/>
      <c r="R29" s="169"/>
      <c r="S29" s="169"/>
      <c r="T29" s="169"/>
      <c r="U29" s="169"/>
      <c r="V29" s="169"/>
      <c r="W29" s="169"/>
      <c r="X29" s="169"/>
      <c r="Y29" s="170"/>
      <c r="Z29" s="170"/>
      <c r="AA29" s="331">
        <f>2022-25</f>
      </c>
      <c r="AB29" s="170"/>
      <c r="AC29" s="170"/>
      <c r="AD29" s="170"/>
      <c r="AE29" s="170"/>
      <c r="AF29" s="170"/>
      <c r="AG29" s="170"/>
      <c r="AH29" s="170"/>
      <c r="AI29" s="170"/>
      <c r="AJ29" s="170"/>
      <c r="AK29" s="170"/>
      <c r="AL29" s="170"/>
      <c r="AM29" s="170"/>
      <c r="AN29" s="170"/>
      <c r="AO29" s="170"/>
      <c r="AP29" s="170"/>
      <c r="AQ29" s="170"/>
      <c r="AR29" s="170"/>
      <c r="AS29" s="170"/>
      <c r="AT29" s="170"/>
      <c r="AU29" s="170"/>
      <c r="AV29" s="170"/>
      <c r="AW29" s="170"/>
      <c r="AX29" s="170"/>
      <c r="AY29" s="170"/>
      <c r="AZ29" s="170"/>
      <c r="BA29" s="170"/>
      <c r="BB29" s="170"/>
      <c r="BC29" s="170"/>
      <c r="BD29" s="170"/>
      <c r="BE29" s="170"/>
      <c r="BF29" s="170"/>
      <c r="BG29" s="170"/>
      <c r="BH29" s="170"/>
      <c r="BI29" s="170"/>
      <c r="BJ29" s="170"/>
      <c r="BK29" s="170"/>
      <c r="BL29" s="170"/>
      <c r="BM29" s="170"/>
      <c r="BN29" s="170"/>
      <c r="BO29" s="170"/>
      <c r="BP29" s="170"/>
      <c r="BQ29" s="170"/>
      <c r="BR29" s="170"/>
      <c r="BS29" s="170"/>
      <c r="BT29" s="170"/>
      <c r="BU29" s="170"/>
      <c r="BV29" s="170"/>
      <c r="BW29" s="170"/>
      <c r="BX29" s="170"/>
      <c r="BY29" s="170"/>
      <c r="BZ29" s="170"/>
      <c r="CA29" s="170"/>
      <c r="CB29" s="170"/>
      <c r="CC29" s="170"/>
      <c r="CD29" s="170"/>
      <c r="CE29" s="170"/>
      <c r="CF29" s="170"/>
      <c r="CG29" s="170"/>
      <c r="CH29" s="170"/>
      <c r="CI29" s="170"/>
      <c r="CJ29" s="170"/>
      <c r="CK29" s="170"/>
      <c r="CL29" s="170"/>
      <c r="CM29" s="170"/>
      <c r="CN29" s="170"/>
      <c r="CO29" s="170"/>
      <c r="CP29" s="170"/>
      <c r="CQ29" s="170"/>
      <c r="CR29" s="170"/>
      <c r="CS29" s="170"/>
      <c r="CT29" s="170"/>
      <c r="CU29" s="170"/>
      <c r="CV29" s="170"/>
      <c r="CW29" s="170"/>
      <c r="CX29" s="170"/>
      <c r="CY29" s="170"/>
      <c r="CZ29" s="170"/>
      <c r="DA29" s="170"/>
      <c r="DB29" s="170"/>
      <c r="DC29" s="170"/>
      <c r="DD29" s="170"/>
      <c r="DE29" s="170"/>
      <c r="DF29" s="170"/>
      <c r="DG29" s="170"/>
      <c r="DH29" s="170"/>
      <c r="DI29" s="170"/>
      <c r="DJ29" s="170"/>
      <c r="DK29" s="170"/>
      <c r="DL29" s="170"/>
      <c r="DM29" s="170"/>
      <c r="DN29" s="170"/>
      <c r="DO29" s="170"/>
      <c r="DP29" s="170"/>
      <c r="DQ29" s="170"/>
      <c r="DR29" s="170"/>
      <c r="DS29" s="170"/>
      <c r="DT29" s="170"/>
      <c r="DU29" s="170"/>
      <c r="DV29" s="170"/>
      <c r="DW29" s="170"/>
      <c r="DX29" s="170"/>
      <c r="DY29" s="170"/>
      <c r="DZ29" s="170"/>
      <c r="EA29" s="170"/>
      <c r="EB29" s="170"/>
      <c r="EC29" s="170"/>
      <c r="ED29" s="170"/>
      <c r="EE29" s="170"/>
      <c r="EF29" s="170"/>
      <c r="EG29" s="170"/>
      <c r="EH29" s="170"/>
      <c r="EI29" s="170"/>
      <c r="EJ29" s="170"/>
      <c r="EK29" s="170"/>
      <c r="EL29" s="170"/>
      <c r="EM29" s="170"/>
      <c r="EN29" s="170"/>
      <c r="EO29" s="170"/>
      <c r="EP29" s="170"/>
    </row>
    <row x14ac:dyDescent="0.25" r="30" customHeight="1" ht="18.75">
      <c r="A30" s="1"/>
      <c r="B30" s="320"/>
      <c r="C30" s="1080"/>
      <c r="D30" s="1080"/>
      <c r="E30" s="1080"/>
      <c r="F30" s="1083"/>
      <c r="G30" s="1083"/>
      <c r="H30" s="1083"/>
      <c r="I30" s="1083"/>
      <c r="J30" s="169"/>
      <c r="K30" s="169"/>
      <c r="L30" s="169"/>
      <c r="M30" s="169"/>
      <c r="N30" s="169"/>
      <c r="O30" s="169"/>
      <c r="P30" s="169"/>
      <c r="Q30" s="169"/>
      <c r="R30" s="169"/>
      <c r="S30" s="169"/>
      <c r="T30" s="169"/>
      <c r="U30" s="169"/>
      <c r="V30" s="169"/>
      <c r="W30" s="169"/>
      <c r="X30" s="169"/>
      <c r="Y30" s="170"/>
      <c r="Z30" s="170"/>
      <c r="AA30" s="170"/>
      <c r="AB30" s="170"/>
      <c r="AC30" s="170"/>
      <c r="AD30" s="170"/>
      <c r="AE30" s="170"/>
      <c r="AF30" s="170"/>
      <c r="AG30" s="170"/>
      <c r="AH30" s="170"/>
      <c r="AI30" s="170"/>
      <c r="AJ30" s="170"/>
      <c r="AK30" s="170"/>
      <c r="AL30" s="170"/>
      <c r="AM30" s="170"/>
      <c r="AN30" s="170"/>
      <c r="AO30" s="170"/>
      <c r="AP30" s="170"/>
      <c r="AQ30" s="170"/>
      <c r="AR30" s="170"/>
      <c r="AS30" s="170"/>
      <c r="AT30" s="170"/>
      <c r="AU30" s="170"/>
      <c r="AV30" s="170" t="s">
        <v>1172</v>
      </c>
      <c r="AW30" s="170" t="s">
        <v>1173</v>
      </c>
      <c r="AX30" s="170" t="s">
        <v>1174</v>
      </c>
      <c r="AY30" s="217">
        <v>0.032</v>
      </c>
      <c r="AZ30" s="217">
        <v>0.037</v>
      </c>
      <c r="BA30" s="217">
        <v>0.027</v>
      </c>
      <c r="BB30" s="217">
        <v>0.042</v>
      </c>
      <c r="BC30" s="217">
        <v>0.014</v>
      </c>
      <c r="BD30" s="217">
        <v>0.008</v>
      </c>
      <c r="BE30" s="217">
        <v>0.03</v>
      </c>
      <c r="BF30" s="217">
        <v>0.024</v>
      </c>
      <c r="BG30" s="217">
        <v>0.029</v>
      </c>
      <c r="BH30" s="217">
        <v>0.003</v>
      </c>
      <c r="BI30" s="217">
        <v>-0.01</v>
      </c>
      <c r="BJ30" s="331">
        <v>0</v>
      </c>
      <c r="BK30" s="217">
        <v>0.016</v>
      </c>
      <c r="BL30" s="217">
        <v>0.011</v>
      </c>
      <c r="BM30" s="170"/>
      <c r="BN30" s="217">
        <v>0.44</v>
      </c>
      <c r="BO30" s="170"/>
      <c r="BP30" s="170"/>
      <c r="BQ30" s="170"/>
      <c r="BR30" s="170"/>
      <c r="BS30" s="170"/>
      <c r="BT30" s="170"/>
      <c r="BU30" s="170"/>
      <c r="BV30" s="170"/>
      <c r="BW30" s="170"/>
      <c r="BX30" s="170"/>
      <c r="BY30" s="170"/>
      <c r="BZ30" s="170"/>
      <c r="CA30" s="170"/>
      <c r="CB30" s="170"/>
      <c r="CC30" s="170"/>
      <c r="CD30" s="170"/>
      <c r="CE30" s="170"/>
      <c r="CF30" s="170"/>
      <c r="CG30" s="170"/>
      <c r="CH30" s="170"/>
      <c r="CI30" s="170"/>
      <c r="CJ30" s="170"/>
      <c r="CK30" s="170"/>
      <c r="CL30" s="170"/>
      <c r="CM30" s="170"/>
      <c r="CN30" s="170"/>
      <c r="CO30" s="170"/>
      <c r="CP30" s="170"/>
      <c r="CQ30" s="170"/>
      <c r="CR30" s="170"/>
      <c r="CS30" s="170"/>
      <c r="CT30" s="170"/>
      <c r="CU30" s="170"/>
      <c r="CV30" s="170"/>
      <c r="CW30" s="170"/>
      <c r="CX30" s="170"/>
      <c r="CY30" s="170"/>
      <c r="CZ30" s="170"/>
      <c r="DA30" s="170"/>
      <c r="DB30" s="170"/>
      <c r="DC30" s="170"/>
      <c r="DD30" s="170"/>
      <c r="DE30" s="170"/>
      <c r="DF30" s="170"/>
      <c r="DG30" s="170"/>
      <c r="DH30" s="170"/>
      <c r="DI30" s="170"/>
      <c r="DJ30" s="170"/>
      <c r="DK30" s="170"/>
      <c r="DL30" s="170"/>
      <c r="DM30" s="170"/>
      <c r="DN30" s="170"/>
      <c r="DO30" s="170"/>
      <c r="DP30" s="170"/>
      <c r="DQ30" s="170"/>
      <c r="DR30" s="170"/>
      <c r="DS30" s="170"/>
      <c r="DT30" s="170"/>
      <c r="DU30" s="170"/>
      <c r="DV30" s="170"/>
      <c r="DW30" s="170"/>
      <c r="DX30" s="170"/>
      <c r="DY30" s="170"/>
      <c r="DZ30" s="170"/>
      <c r="EA30" s="170"/>
      <c r="EB30" s="170"/>
      <c r="EC30" s="170"/>
      <c r="ED30" s="170"/>
      <c r="EE30" s="170"/>
      <c r="EF30" s="170"/>
      <c r="EG30" s="170"/>
      <c r="EH30" s="170"/>
      <c r="EI30" s="170"/>
      <c r="EJ30" s="170"/>
      <c r="EK30" s="170"/>
      <c r="EL30" s="170"/>
      <c r="EM30" s="170"/>
      <c r="EN30" s="170"/>
      <c r="EO30" s="170"/>
      <c r="EP30" s="170"/>
    </row>
    <row x14ac:dyDescent="0.25" r="31" customHeight="1" ht="18.75" customFormat="1" s="23">
      <c r="A31" s="24"/>
      <c r="B31" s="1084">
        <v>1955</v>
      </c>
      <c r="C31" s="1084">
        <v>1956</v>
      </c>
      <c r="D31" s="1084">
        <v>1957</v>
      </c>
      <c r="E31" s="1084">
        <v>1958</v>
      </c>
      <c r="F31" s="1084">
        <v>1959</v>
      </c>
      <c r="G31" s="1084">
        <v>1960</v>
      </c>
      <c r="H31" s="1084">
        <v>1961</v>
      </c>
      <c r="I31" s="1084">
        <v>1962</v>
      </c>
      <c r="J31" s="1084">
        <v>1963</v>
      </c>
      <c r="K31" s="1084">
        <v>1964</v>
      </c>
      <c r="L31" s="1084">
        <v>1965</v>
      </c>
      <c r="M31" s="1084">
        <v>1966</v>
      </c>
      <c r="N31" s="1084">
        <v>1967</v>
      </c>
      <c r="O31" s="1084">
        <v>1968</v>
      </c>
      <c r="P31" s="1084">
        <v>1969</v>
      </c>
      <c r="Q31" s="1084">
        <v>1970</v>
      </c>
      <c r="R31" s="1084">
        <v>1971</v>
      </c>
      <c r="S31" s="1084">
        <v>1972</v>
      </c>
      <c r="T31" s="1084">
        <v>1973</v>
      </c>
      <c r="U31" s="1084">
        <v>1974</v>
      </c>
      <c r="V31" s="1084">
        <v>1975</v>
      </c>
      <c r="W31" s="1084">
        <v>1976</v>
      </c>
      <c r="X31" s="1084">
        <v>1977</v>
      </c>
      <c r="Y31" s="1084">
        <v>1978</v>
      </c>
      <c r="Z31" s="1084">
        <v>1979</v>
      </c>
      <c r="AA31" s="1084">
        <v>1980</v>
      </c>
      <c r="AB31" s="1084">
        <v>1981</v>
      </c>
      <c r="AC31" s="1084">
        <v>1982</v>
      </c>
      <c r="AD31" s="1084">
        <v>1983</v>
      </c>
      <c r="AE31" s="1084">
        <v>1984</v>
      </c>
      <c r="AF31" s="1084">
        <v>1985</v>
      </c>
      <c r="AG31" s="1084">
        <v>1986</v>
      </c>
      <c r="AH31" s="1084">
        <v>1987</v>
      </c>
      <c r="AI31" s="1084">
        <v>1988</v>
      </c>
      <c r="AJ31" s="1084">
        <v>1989</v>
      </c>
      <c r="AK31" s="1084">
        <v>1990</v>
      </c>
      <c r="AL31" s="1084">
        <v>1991</v>
      </c>
      <c r="AM31" s="1084">
        <v>1992</v>
      </c>
      <c r="AN31" s="1084">
        <v>1993</v>
      </c>
      <c r="AO31" s="1084">
        <v>1994</v>
      </c>
      <c r="AP31" s="1084">
        <v>1995</v>
      </c>
      <c r="AQ31" s="1084">
        <v>1996</v>
      </c>
      <c r="AR31" s="1084">
        <v>1997</v>
      </c>
      <c r="AS31" s="1084">
        <v>1998</v>
      </c>
      <c r="AT31" s="1084">
        <v>1999</v>
      </c>
      <c r="AU31" s="1084">
        <v>2000</v>
      </c>
      <c r="AV31" s="1084">
        <v>2001</v>
      </c>
      <c r="AW31" s="1084">
        <v>2002</v>
      </c>
      <c r="AX31" s="1084">
        <v>2003</v>
      </c>
      <c r="AY31" s="1084">
        <v>2004</v>
      </c>
      <c r="AZ31" s="1084">
        <v>2005</v>
      </c>
      <c r="BA31" s="1084">
        <v>2006</v>
      </c>
      <c r="BB31" s="1084">
        <v>2007</v>
      </c>
      <c r="BC31" s="1084">
        <v>2008</v>
      </c>
      <c r="BD31" s="1084">
        <v>2009</v>
      </c>
      <c r="BE31" s="1084">
        <v>2010</v>
      </c>
      <c r="BF31" s="1084">
        <v>2011</v>
      </c>
      <c r="BG31" s="1084">
        <v>2012</v>
      </c>
      <c r="BH31" s="1084">
        <v>2013</v>
      </c>
      <c r="BI31" s="1084">
        <v>2014</v>
      </c>
      <c r="BJ31" s="1084">
        <v>2015</v>
      </c>
      <c r="BK31" s="1084">
        <v>2016</v>
      </c>
      <c r="BL31" s="1084">
        <v>2017</v>
      </c>
      <c r="BM31" s="1084">
        <v>2018</v>
      </c>
      <c r="BN31" s="1084">
        <v>2019</v>
      </c>
      <c r="BO31" s="1084">
        <v>2020</v>
      </c>
      <c r="BP31" s="1084">
        <v>2021</v>
      </c>
      <c r="BQ31" s="1084">
        <v>2022</v>
      </c>
      <c r="BR31" s="1084">
        <v>2023</v>
      </c>
      <c r="BS31" s="1084">
        <v>2024</v>
      </c>
      <c r="BT31" s="1084">
        <v>2025</v>
      </c>
      <c r="BU31" s="1084">
        <v>2026</v>
      </c>
      <c r="BV31" s="1084">
        <v>2027</v>
      </c>
      <c r="BW31" s="1084">
        <v>2028</v>
      </c>
      <c r="BX31" s="1084">
        <v>2029</v>
      </c>
      <c r="BY31" s="1084">
        <v>2030</v>
      </c>
      <c r="BZ31" s="1084">
        <v>2031</v>
      </c>
      <c r="CA31" s="1084">
        <v>2032</v>
      </c>
      <c r="CB31" s="1084">
        <v>2033</v>
      </c>
      <c r="CC31" s="1084">
        <v>2034</v>
      </c>
      <c r="CD31" s="1084">
        <v>2035</v>
      </c>
      <c r="CE31" s="1084">
        <v>2036</v>
      </c>
      <c r="CF31" s="1084">
        <v>2037</v>
      </c>
      <c r="CG31" s="1084">
        <v>2038</v>
      </c>
      <c r="CH31" s="1084">
        <v>2039</v>
      </c>
      <c r="CI31" s="1084">
        <v>2040</v>
      </c>
      <c r="CJ31" s="1084">
        <v>2041</v>
      </c>
      <c r="CK31" s="1084">
        <v>2042</v>
      </c>
      <c r="CL31" s="1084">
        <v>2043</v>
      </c>
      <c r="CM31" s="1084">
        <v>2044</v>
      </c>
      <c r="CN31" s="1084">
        <v>2045</v>
      </c>
      <c r="CO31" s="1084">
        <v>2046</v>
      </c>
      <c r="CP31" s="1084">
        <v>2047</v>
      </c>
      <c r="CQ31" s="1084">
        <v>2048</v>
      </c>
      <c r="CR31" s="1084">
        <v>2049</v>
      </c>
      <c r="CS31" s="1084">
        <v>2050</v>
      </c>
      <c r="CT31" s="1084">
        <v>2051</v>
      </c>
      <c r="CU31" s="1084">
        <v>2052</v>
      </c>
      <c r="CV31" s="1084">
        <v>2053</v>
      </c>
      <c r="CW31" s="1084">
        <v>2054</v>
      </c>
      <c r="CX31" s="1084">
        <v>2055</v>
      </c>
      <c r="CY31" s="1084">
        <v>2056</v>
      </c>
      <c r="CZ31" s="1084">
        <v>2057</v>
      </c>
      <c r="DA31" s="1084">
        <v>2058</v>
      </c>
      <c r="DB31" s="1084">
        <v>2059</v>
      </c>
      <c r="DC31" s="1084">
        <v>2060</v>
      </c>
      <c r="DD31" s="1084">
        <v>2061</v>
      </c>
      <c r="DE31" s="1084">
        <v>2062</v>
      </c>
      <c r="DF31" s="1084">
        <v>2063</v>
      </c>
      <c r="DG31" s="1084">
        <v>2064</v>
      </c>
      <c r="DH31" s="1084">
        <v>2065</v>
      </c>
      <c r="DI31" s="1084">
        <v>2066</v>
      </c>
      <c r="DJ31" s="1084">
        <v>2067</v>
      </c>
      <c r="DK31" s="1084">
        <v>2068</v>
      </c>
      <c r="DL31" s="1084">
        <v>2069</v>
      </c>
      <c r="DM31" s="1084">
        <v>2070</v>
      </c>
      <c r="DN31" s="1084">
        <v>2071</v>
      </c>
      <c r="DO31" s="1084">
        <v>2072</v>
      </c>
      <c r="DP31" s="1084">
        <v>2073</v>
      </c>
      <c r="DQ31" s="1084">
        <v>2074</v>
      </c>
      <c r="DR31" s="1084">
        <v>2075</v>
      </c>
      <c r="DS31" s="1084">
        <v>2076</v>
      </c>
      <c r="DT31" s="1084">
        <v>2077</v>
      </c>
      <c r="DU31" s="1084">
        <v>2078</v>
      </c>
      <c r="DV31" s="1084">
        <v>2079</v>
      </c>
      <c r="DW31" s="1084">
        <v>2080</v>
      </c>
      <c r="DX31" s="1084">
        <v>2081</v>
      </c>
      <c r="DY31" s="1084">
        <v>2082</v>
      </c>
      <c r="DZ31" s="1084">
        <v>2083</v>
      </c>
      <c r="EA31" s="1084">
        <v>2084</v>
      </c>
      <c r="EB31" s="1084">
        <v>2085</v>
      </c>
      <c r="EC31" s="1084">
        <v>2086</v>
      </c>
      <c r="ED31" s="1084">
        <v>2087</v>
      </c>
      <c r="EE31" s="1084">
        <v>2088</v>
      </c>
      <c r="EF31" s="1084">
        <v>2089</v>
      </c>
      <c r="EG31" s="1084">
        <v>2090</v>
      </c>
      <c r="EH31" s="294"/>
      <c r="EI31" s="294"/>
      <c r="EJ31" s="294"/>
      <c r="EK31" s="294"/>
      <c r="EL31" s="294"/>
      <c r="EM31" s="294"/>
      <c r="EN31" s="294"/>
      <c r="EO31" s="294"/>
      <c r="EP31" s="294"/>
    </row>
    <row x14ac:dyDescent="0.25" r="32" customHeight="1" ht="18.75" customFormat="1" s="23">
      <c r="A32" s="24"/>
      <c r="B32" s="1089">
        <f>+IF('Datos SS'!B31&lt;YEAR(Hipótesis!$E$5),MAX(0,'Datos SS'!C17),'Datos SS'!$I$29)</f>
      </c>
      <c r="C32" s="1089">
        <f>+IF('Datos SS'!C31&lt;YEAR(Hipótesis!$E$5),MAX(0,'Datos SS'!D17),'Datos SS'!$I$29)</f>
      </c>
      <c r="D32" s="1089">
        <f>+IF('Datos SS'!D31&lt;YEAR(Hipótesis!$E$5),MAX(0,'Datos SS'!E17),'Datos SS'!$I$29)</f>
      </c>
      <c r="E32" s="1089">
        <f>+IF('Datos SS'!E31&lt;YEAR(Hipótesis!$E$5),MAX(0,'Datos SS'!F17),'Datos SS'!$I$29)</f>
      </c>
      <c r="F32" s="1089">
        <f>+IF('Datos SS'!F31&lt;YEAR(Hipótesis!$E$5),MAX(0,'Datos SS'!G17),'Datos SS'!$I$29)</f>
      </c>
      <c r="G32" s="1089">
        <f>+IF('Datos SS'!G31&lt;YEAR(Hipótesis!$E$5),MAX(0,'Datos SS'!H17),'Datos SS'!$I$29)</f>
      </c>
      <c r="H32" s="1089">
        <f>+IF('Datos SS'!H31&lt;YEAR(Hipótesis!$E$5),MAX(0,'Datos SS'!I17),'Datos SS'!$I$29)</f>
      </c>
      <c r="I32" s="1089">
        <f>+IF('Datos SS'!I31&lt;YEAR(Hipótesis!$E$5),MAX(0,'Datos SS'!J17),'Datos SS'!$I$29)</f>
      </c>
      <c r="J32" s="1089">
        <f>+IF('Datos SS'!J31&lt;YEAR(Hipótesis!$E$5),MAX(0,'Datos SS'!K17),'Datos SS'!$I$29)</f>
      </c>
      <c r="K32" s="1089">
        <f>+IF('Datos SS'!K31&lt;YEAR(Hipótesis!$E$5),MAX(0,'Datos SS'!L17),'Datos SS'!$I$29)</f>
      </c>
      <c r="L32" s="1089">
        <f>+IF('Datos SS'!L31&lt;YEAR(Hipótesis!$E$5),MAX(0,'Datos SS'!M17),'Datos SS'!$I$29)</f>
      </c>
      <c r="M32" s="1089">
        <f>+IF('Datos SS'!M31&lt;YEAR(Hipótesis!$E$5),MAX(0,'Datos SS'!N17),'Datos SS'!$I$29)</f>
      </c>
      <c r="N32" s="1089">
        <f>+IF('Datos SS'!N31&lt;YEAR(Hipótesis!$E$5),MAX(0,'Datos SS'!O17),'Datos SS'!$I$29)</f>
      </c>
      <c r="O32" s="1089">
        <f>+IF('Datos SS'!O31&lt;YEAR(Hipótesis!$E$5),MAX(0,'Datos SS'!P17),'Datos SS'!$I$29)</f>
      </c>
      <c r="P32" s="1089">
        <f>+IF('Datos SS'!P31&lt;YEAR(Hipótesis!$E$5),MAX(0,'Datos SS'!Q17),'Datos SS'!$I$29)</f>
      </c>
      <c r="Q32" s="1089">
        <f>+IF('Datos SS'!Q31&lt;YEAR(Hipótesis!$E$5),MAX(0,'Datos SS'!R17),'Datos SS'!$I$29)</f>
      </c>
      <c r="R32" s="1089">
        <f>+IF('Datos SS'!R31&lt;YEAR(Hipótesis!$E$5),MAX(0,'Datos SS'!S17),'Datos SS'!$I$29)</f>
      </c>
      <c r="S32" s="1089">
        <f>+IF('Datos SS'!S31&lt;YEAR(Hipótesis!$E$5),MAX(0,'Datos SS'!T17),'Datos SS'!$I$29)</f>
      </c>
      <c r="T32" s="1089">
        <f>+IF('Datos SS'!T31&lt;YEAR(Hipótesis!$E$5),MAX(0,'Datos SS'!U17),'Datos SS'!$I$29)</f>
      </c>
      <c r="U32" s="1089">
        <f>+IF('Datos SS'!U31&lt;YEAR(Hipótesis!$E$5),MAX(0,'Datos SS'!V17),'Datos SS'!$I$29)</f>
      </c>
      <c r="V32" s="1089">
        <f>+IF('Datos SS'!V31&lt;YEAR(Hipótesis!$E$5),MAX(0,'Datos SS'!W17),'Datos SS'!$I$29)</f>
      </c>
      <c r="W32" s="1089">
        <f>+IF('Datos SS'!W31&lt;YEAR(Hipótesis!$E$5),MAX(0,'Datos SS'!X17),'Datos SS'!$I$29)</f>
      </c>
      <c r="X32" s="1089">
        <f>+IF('Datos SS'!X31&lt;YEAR(Hipótesis!$E$5),MAX(0,'Datos SS'!Y17),'Datos SS'!$I$29)</f>
      </c>
      <c r="Y32" s="1089">
        <f>+IF('Datos SS'!Y31&lt;YEAR(Hipótesis!$E$5),MAX(0,'Datos SS'!Z17),'Datos SS'!$I$29)</f>
      </c>
      <c r="Z32" s="1089">
        <f>+IF('Datos SS'!Z31&lt;YEAR(Hipótesis!$E$5),MAX(0,'Datos SS'!AA17),'Datos SS'!$I$29)</f>
      </c>
      <c r="AA32" s="1089">
        <f>+IF('Datos SS'!AA31&lt;YEAR(Hipótesis!$E$5),MAX(0,'Datos SS'!AB17),'Datos SS'!$I$29)</f>
      </c>
      <c r="AB32" s="1089">
        <f>+IF('Datos SS'!AB31&lt;YEAR(Hipótesis!$E$5),MAX(0,'Datos SS'!AC17),'Datos SS'!$I$29)</f>
      </c>
      <c r="AC32" s="1089">
        <f>+IF('Datos SS'!AC31&lt;YEAR(Hipótesis!$E$5),MAX(0,'Datos SS'!AD17),'Datos SS'!$I$29)</f>
      </c>
      <c r="AD32" s="1089">
        <f>+IF('Datos SS'!AD31&lt;YEAR(Hipótesis!$E$5),MAX(0,'Datos SS'!AE17),'Datos SS'!$I$29)</f>
      </c>
      <c r="AE32" s="1089">
        <f>+IF('Datos SS'!AE31&lt;YEAR(Hipótesis!$E$5),MAX(0,'Datos SS'!AF17),'Datos SS'!$I$29)</f>
      </c>
      <c r="AF32" s="1089">
        <f>+IF('Datos SS'!AF31&lt;YEAR(Hipótesis!$E$5),MAX(0,'Datos SS'!AG17),'Datos SS'!$I$29)</f>
      </c>
      <c r="AG32" s="1089">
        <f>+IF('Datos SS'!AG31&lt;YEAR(Hipótesis!$E$5),MAX(0,'Datos SS'!AH17),'Datos SS'!$I$29)</f>
      </c>
      <c r="AH32" s="1089">
        <f>+IF('Datos SS'!AH31&lt;YEAR(Hipótesis!$E$5),MAX(0,'Datos SS'!AI17),'Datos SS'!$I$29)</f>
      </c>
      <c r="AI32" s="1089">
        <f>+IF('Datos SS'!AI31&lt;YEAR(Hipótesis!$E$5),MAX(0,'Datos SS'!AJ17),'Datos SS'!$I$29)</f>
      </c>
      <c r="AJ32" s="1089">
        <f>+IF('Datos SS'!AJ31&lt;YEAR(Hipótesis!$E$5),MAX(0,'Datos SS'!AK17),'Datos SS'!$I$29)</f>
      </c>
      <c r="AK32" s="1089">
        <f>+IF('Datos SS'!AK31&lt;YEAR(Hipótesis!$E$5),MAX(0,'Datos SS'!AL17),'Datos SS'!$I$29)</f>
      </c>
      <c r="AL32" s="1089">
        <f>+IF('Datos SS'!AL31&lt;YEAR(Hipótesis!$E$5),MAX(0,'Datos SS'!AM17),'Datos SS'!$I$29)</f>
      </c>
      <c r="AM32" s="1089">
        <f>+IF('Datos SS'!AM31&lt;YEAR(Hipótesis!$E$5),MAX(0,'Datos SS'!AN17),'Datos SS'!$I$29)</f>
      </c>
      <c r="AN32" s="1089">
        <f>+IF('Datos SS'!AN31&lt;YEAR(Hipótesis!$E$5),MAX(0,'Datos SS'!AO17),'Datos SS'!$I$29)</f>
      </c>
      <c r="AO32" s="1089">
        <f>+IF('Datos SS'!AO31&lt;YEAR(Hipótesis!$E$5),MAX(0,'Datos SS'!AP17),'Datos SS'!$I$29)</f>
      </c>
      <c r="AP32" s="1089">
        <f>+IF('Datos SS'!AP31&lt;YEAR(Hipótesis!$E$5),MAX(0,'Datos SS'!AQ17),'Datos SS'!$I$29)</f>
      </c>
      <c r="AQ32" s="1089">
        <f>+IF('Datos SS'!AQ31&lt;YEAR(Hipótesis!$E$5),MAX(0,'Datos SS'!AR17),'Datos SS'!$I$29)</f>
      </c>
      <c r="AR32" s="1089">
        <f>+IF('Datos SS'!AR31&lt;YEAR(Hipótesis!$E$5),MAX(0,'Datos SS'!AS17),'Datos SS'!$I$29)</f>
      </c>
      <c r="AS32" s="1089">
        <f>+IF('Datos SS'!AS31&lt;YEAR(Hipótesis!$E$5),MAX(0,'Datos SS'!AT17),'Datos SS'!$I$29)</f>
      </c>
      <c r="AT32" s="1089">
        <f>+IF('Datos SS'!AT31&lt;YEAR(Hipótesis!$E$5),MAX(0,'Datos SS'!AU17),'Datos SS'!$I$29)</f>
      </c>
      <c r="AU32" s="1089">
        <f>+IF('Datos SS'!AU31&lt;YEAR(Hipótesis!$E$5),MAX(0,'Datos SS'!AV17),'Datos SS'!$I$29)</f>
      </c>
      <c r="AV32" s="1089">
        <f>+IF('Datos SS'!AV31&lt;YEAR(Hipótesis!$E$5),MAX(0,'Datos SS'!AW17),'Datos SS'!$I$29)</f>
      </c>
      <c r="AW32" s="1089">
        <f>+IF('Datos SS'!AW31&lt;YEAR(Hipótesis!$E$5),MAX(0,'Datos SS'!AX17),'Datos SS'!$I$29)</f>
      </c>
      <c r="AX32" s="1089">
        <f>+IF('Datos SS'!AX31&lt;YEAR(Hipótesis!$E$5),MAX(0,'Datos SS'!AY17),'Datos SS'!$I$29)</f>
      </c>
      <c r="AY32" s="1089">
        <f>+IF('Datos SS'!AY31&lt;YEAR(Hipótesis!$E$5),MAX(0,'Datos SS'!AZ17),'Datos SS'!$I$29)</f>
      </c>
      <c r="AZ32" s="1089">
        <f>+IF('Datos SS'!AZ31&lt;YEAR(Hipótesis!$E$5),MAX(0,'Datos SS'!BA17),'Datos SS'!$I$29)</f>
      </c>
      <c r="BA32" s="1089">
        <f>+IF('Datos SS'!BA31&lt;YEAR(Hipótesis!$E$5),MAX(0,'Datos SS'!BB17),'Datos SS'!$I$29)</f>
      </c>
      <c r="BB32" s="1089">
        <f>+IF('Datos SS'!BB31&lt;YEAR(Hipótesis!$E$5),MAX(0,'Datos SS'!BC17),'Datos SS'!$I$29)</f>
      </c>
      <c r="BC32" s="1089">
        <f>+IF('Datos SS'!BC31&lt;YEAR(Hipótesis!$E$5),MAX(0,'Datos SS'!BD17),'Datos SS'!$I$29)</f>
      </c>
      <c r="BD32" s="1089">
        <f>+IF('Datos SS'!BD31&lt;YEAR(Hipótesis!$E$5),MAX(0,'Datos SS'!BE17),'Datos SS'!$I$29)</f>
      </c>
      <c r="BE32" s="1089">
        <f>+IF('Datos SS'!BE31&lt;YEAR(Hipótesis!$E$5),MAX(0,'Datos SS'!BF17),'Datos SS'!$I$29)</f>
      </c>
      <c r="BF32" s="1089">
        <f>+IF('Datos SS'!BF31&lt;YEAR(Hipótesis!$E$5),MAX(0,'Datos SS'!BG17),'Datos SS'!$I$29)</f>
      </c>
      <c r="BG32" s="1089">
        <f>+IF('Datos SS'!BG31&lt;YEAR(Hipótesis!$E$5),MAX(0,'Datos SS'!BH17),'Datos SS'!$I$29)</f>
      </c>
      <c r="BH32" s="1089">
        <f>+IF('Datos SS'!BH31&lt;YEAR(Hipótesis!$E$5),MAX(0,'Datos SS'!BI17),'Datos SS'!$I$29)</f>
      </c>
      <c r="BI32" s="1089">
        <f>+IF('Datos SS'!BI31&lt;YEAR(Hipótesis!$E$5),MAX(0,'Datos SS'!BJ17),'Datos SS'!$I$29)</f>
      </c>
      <c r="BJ32" s="1089">
        <f>+IF('Datos SS'!BJ31&lt;YEAR(Hipótesis!$E$5),MAX(0,'Datos SS'!BK17),'Datos SS'!$I$29)</f>
      </c>
      <c r="BK32" s="1089">
        <f>+IF('Datos SS'!BK31&lt;YEAR(Hipótesis!$E$5),MAX(0,'Datos SS'!BL17),'Datos SS'!$I$29)</f>
      </c>
      <c r="BL32" s="1089">
        <f>+IF('Datos SS'!BL31&lt;YEAR(Hipótesis!$E$5),MAX(0,'Datos SS'!BM17),'Datos SS'!$I$29)</f>
      </c>
      <c r="BM32" s="1089">
        <f>+IF('Datos SS'!BM31&lt;YEAR(Hipótesis!$E$5),MAX(0,'Datos SS'!BN17),'Datos SS'!$I$29)</f>
      </c>
      <c r="BN32" s="1089">
        <f>+IF('Datos SS'!BN31&lt;YEAR(Hipótesis!$E$5),MAX(0,'Datos SS'!BO17),'Datos SS'!$I$29)</f>
      </c>
      <c r="BO32" s="1089">
        <f>+IF('Datos SS'!BO31&lt;YEAR(Hipótesis!$E$5),MAX(0,'Datos SS'!BP17),'Datos SS'!$I$29)</f>
      </c>
      <c r="BP32" s="1089">
        <f>+IF('Datos SS'!BP31&lt;YEAR(Hipótesis!$E$5),MAX(0,'Datos SS'!BQ17),'Datos SS'!$I$29)</f>
      </c>
      <c r="BQ32" s="1090">
        <f>+IF('Datos SS'!BQ31&lt;YEAR(Hipótesis!$E$5),MAX(0,'Datos SS'!BR17),'Datos SS'!$I$29)</f>
      </c>
      <c r="BR32" s="1090">
        <f>+IF('Datos SS'!BR31&lt;YEAR(Hipótesis!$E$5),MAX(0,'Datos SS'!BS17),'Datos SS'!$I$29)</f>
      </c>
      <c r="BS32" s="1090">
        <f>+IF('Datos SS'!BS31&lt;YEAR(Hipótesis!$E$5),MAX(0,'Datos SS'!BT17),'Datos SS'!$I$29)</f>
      </c>
      <c r="BT32" s="1090">
        <f>+IF('Datos SS'!BT31&lt;YEAR(Hipótesis!$E$5),MAX(0,'Datos SS'!BU17),'Datos SS'!$I$29)</f>
      </c>
      <c r="BU32" s="1090">
        <f>+IF('Datos SS'!BU31&lt;YEAR(Hipótesis!$E$5),MAX(0,'Datos SS'!BV17),'Datos SS'!$I$29)</f>
      </c>
      <c r="BV32" s="1090">
        <f>+IF('Datos SS'!BV31&lt;YEAR(Hipótesis!$E$5),MAX(0,'Datos SS'!BW17),'Datos SS'!$I$29)</f>
      </c>
      <c r="BW32" s="1090">
        <f>+IF('Datos SS'!BW31&lt;YEAR(Hipótesis!$E$5),MAX(0,'Datos SS'!BX17),'Datos SS'!$I$29)</f>
      </c>
      <c r="BX32" s="1090">
        <f>+IF('Datos SS'!BX31&lt;YEAR(Hipótesis!$E$5),MAX(0,'Datos SS'!BY17),'Datos SS'!$I$29)</f>
      </c>
      <c r="BY32" s="1090">
        <f>+IF('Datos SS'!BY31&lt;YEAR(Hipótesis!$E$5),MAX(0,'Datos SS'!BZ17),'Datos SS'!$I$29)</f>
      </c>
      <c r="BZ32" s="1090">
        <f>+IF('Datos SS'!BZ31&lt;YEAR(Hipótesis!$E$5),MAX(0,'Datos SS'!CA17),'Datos SS'!$I$29)</f>
      </c>
      <c r="CA32" s="1090">
        <f>+IF('Datos SS'!CA31&lt;YEAR(Hipótesis!$E$5),MAX(0,'Datos SS'!CB17),'Datos SS'!$I$29)</f>
      </c>
      <c r="CB32" s="1090">
        <f>+IF('Datos SS'!CB31&lt;YEAR(Hipótesis!$E$5),MAX(0,'Datos SS'!CC17),'Datos SS'!$I$29)</f>
      </c>
      <c r="CC32" s="1090">
        <f>+IF('Datos SS'!CC31&lt;YEAR(Hipótesis!$E$5),MAX(0,'Datos SS'!CD17),'Datos SS'!$I$29)</f>
      </c>
      <c r="CD32" s="1090">
        <f>+IF('Datos SS'!CD31&lt;YEAR(Hipótesis!$E$5),MAX(0,'Datos SS'!CE17),'Datos SS'!$I$29)</f>
      </c>
      <c r="CE32" s="1090">
        <f>+IF('Datos SS'!CE31&lt;YEAR(Hipótesis!$E$5),MAX(0,'Datos SS'!CF17),'Datos SS'!$I$29)</f>
      </c>
      <c r="CF32" s="1090">
        <f>+IF('Datos SS'!CF31&lt;YEAR(Hipótesis!$E$5),MAX(0,'Datos SS'!CG17),'Datos SS'!$I$29)</f>
      </c>
      <c r="CG32" s="1090">
        <f>+IF('Datos SS'!CG31&lt;YEAR(Hipótesis!$E$5),MAX(0,'Datos SS'!CH17),'Datos SS'!$I$29)</f>
      </c>
      <c r="CH32" s="1090">
        <f>+IF('Datos SS'!CH31&lt;YEAR(Hipótesis!$E$5),MAX(0,'Datos SS'!CI17),'Datos SS'!$I$29)</f>
      </c>
      <c r="CI32" s="1090">
        <f>+IF('Datos SS'!CI31&lt;YEAR(Hipótesis!$E$5),MAX(0,'Datos SS'!CJ17),'Datos SS'!$I$29)</f>
      </c>
      <c r="CJ32" s="1090">
        <f>+IF('Datos SS'!CJ31&lt;YEAR(Hipótesis!$E$5),MAX(0,'Datos SS'!CK17),'Datos SS'!$I$29)</f>
      </c>
      <c r="CK32" s="1090">
        <f>+IF('Datos SS'!CK31&lt;YEAR(Hipótesis!$E$5),MAX(0,'Datos SS'!CL17),'Datos SS'!$I$29)</f>
      </c>
      <c r="CL32" s="1090">
        <f>+IF('Datos SS'!CL31&lt;YEAR(Hipótesis!$E$5),MAX(0,'Datos SS'!CM17),'Datos SS'!$I$29)</f>
      </c>
      <c r="CM32" s="1090">
        <f>+IF('Datos SS'!CM31&lt;YEAR(Hipótesis!$E$5),MAX(0,'Datos SS'!CN17),'Datos SS'!$I$29)</f>
      </c>
      <c r="CN32" s="1090">
        <f>+IF('Datos SS'!CN31&lt;YEAR(Hipótesis!$E$5),MAX(0,'Datos SS'!CO17),'Datos SS'!$I$29)</f>
      </c>
      <c r="CO32" s="1090">
        <f>+IF('Datos SS'!CO31&lt;YEAR(Hipótesis!$E$5),MAX(0,'Datos SS'!CP17),'Datos SS'!$I$29)</f>
      </c>
      <c r="CP32" s="1090">
        <f>+IF('Datos SS'!CP31&lt;YEAR(Hipótesis!$E$5),MAX(0,'Datos SS'!CQ17),'Datos SS'!$I$29)</f>
      </c>
      <c r="CQ32" s="1090">
        <f>+IF('Datos SS'!CQ31&lt;YEAR(Hipótesis!$E$5),MAX(0,'Datos SS'!CR17),'Datos SS'!$I$29)</f>
      </c>
      <c r="CR32" s="1090">
        <f>+IF('Datos SS'!CR31&lt;YEAR(Hipótesis!$E$5),MAX(0,'Datos SS'!CS17),'Datos SS'!$I$29)</f>
      </c>
      <c r="CS32" s="1090">
        <f>+IF('Datos SS'!CS31&lt;YEAR(Hipótesis!$E$5),MAX(0,'Datos SS'!CT17),'Datos SS'!$I$29)</f>
      </c>
      <c r="CT32" s="1090">
        <f>+IF('Datos SS'!CT31&lt;YEAR(Hipótesis!$E$5),MAX(0,'Datos SS'!CU17),'Datos SS'!$I$29)</f>
      </c>
      <c r="CU32" s="1090">
        <f>+IF('Datos SS'!CU31&lt;YEAR(Hipótesis!$E$5),MAX(0,'Datos SS'!CV17),'Datos SS'!$I$29)</f>
      </c>
      <c r="CV32" s="1090">
        <f>+IF('Datos SS'!CV31&lt;YEAR(Hipótesis!$E$5),MAX(0,'Datos SS'!CW17),'Datos SS'!$I$29)</f>
      </c>
      <c r="CW32" s="1090">
        <f>+IF('Datos SS'!CW31&lt;YEAR(Hipótesis!$E$5),MAX(0,'Datos SS'!CX17),'Datos SS'!$I$29)</f>
      </c>
      <c r="CX32" s="1090">
        <f>+IF('Datos SS'!CX31&lt;YEAR(Hipótesis!$E$5),MAX(0,'Datos SS'!CY17),'Datos SS'!$I$29)</f>
      </c>
      <c r="CY32" s="1090">
        <f>+IF('Datos SS'!CY31&lt;YEAR(Hipótesis!$E$5),MAX(0,'Datos SS'!CZ17),'Datos SS'!$I$29)</f>
      </c>
      <c r="CZ32" s="1090">
        <f>+IF('Datos SS'!CZ31&lt;YEAR(Hipótesis!$E$5),MAX(0,'Datos SS'!DA17),'Datos SS'!$I$29)</f>
      </c>
      <c r="DA32" s="1090">
        <f>+IF('Datos SS'!DA31&lt;YEAR(Hipótesis!$E$5),MAX(0,'Datos SS'!DB17),'Datos SS'!$I$29)</f>
      </c>
      <c r="DB32" s="1090">
        <f>+IF('Datos SS'!DB31&lt;YEAR(Hipótesis!$E$5),MAX(0,'Datos SS'!DC17),'Datos SS'!$I$29)</f>
      </c>
      <c r="DC32" s="1090">
        <f>+IF('Datos SS'!DC31&lt;YEAR(Hipótesis!$E$5),MAX(0,'Datos SS'!DD17),'Datos SS'!$I$29)</f>
      </c>
      <c r="DD32" s="1090">
        <f>+IF('Datos SS'!DD31&lt;YEAR(Hipótesis!$E$5),MAX(0,'Datos SS'!DE17),'Datos SS'!$I$29)</f>
      </c>
      <c r="DE32" s="1090">
        <f>+IF('Datos SS'!DE31&lt;YEAR(Hipótesis!$E$5),MAX(0,'Datos SS'!DF17),'Datos SS'!$I$29)</f>
      </c>
      <c r="DF32" s="1090">
        <f>+IF('Datos SS'!DF31&lt;YEAR(Hipótesis!$E$5),MAX(0,'Datos SS'!DG17),'Datos SS'!$I$29)</f>
      </c>
      <c r="DG32" s="1090">
        <f>+IF('Datos SS'!DG31&lt;YEAR(Hipótesis!$E$5),MAX(0,'Datos SS'!DH17),'Datos SS'!$I$29)</f>
      </c>
      <c r="DH32" s="1090">
        <f>+IF('Datos SS'!DH31&lt;YEAR(Hipótesis!$E$5),MAX(0,'Datos SS'!DI17),'Datos SS'!$I$29)</f>
      </c>
      <c r="DI32" s="1090">
        <f>+IF('Datos SS'!DI31&lt;YEAR(Hipótesis!$E$5),MAX(0,'Datos SS'!DJ17),'Datos SS'!$I$29)</f>
      </c>
      <c r="DJ32" s="1090">
        <f>+IF('Datos SS'!DJ31&lt;YEAR(Hipótesis!$E$5),MAX(0,'Datos SS'!DK17),'Datos SS'!$I$29)</f>
      </c>
      <c r="DK32" s="1090">
        <f>+IF('Datos SS'!DK31&lt;YEAR(Hipótesis!$E$5),MAX(0,'Datos SS'!DL17),'Datos SS'!$I$29)</f>
      </c>
      <c r="DL32" s="1090">
        <f>+IF('Datos SS'!DL31&lt;YEAR(Hipótesis!$E$5),MAX(0,'Datos SS'!DM17),'Datos SS'!$I$29)</f>
      </c>
      <c r="DM32" s="1090">
        <f>+IF('Datos SS'!DM31&lt;YEAR(Hipótesis!$E$5),MAX(0,'Datos SS'!DN17),'Datos SS'!$I$29)</f>
      </c>
      <c r="DN32" s="1090">
        <f>+IF('Datos SS'!DN31&lt;YEAR(Hipótesis!$E$5),MAX(0,'Datos SS'!DO17),'Datos SS'!$I$29)</f>
      </c>
      <c r="DO32" s="1090">
        <f>+IF('Datos SS'!DO31&lt;YEAR(Hipótesis!$E$5),MAX(0,'Datos SS'!DP17),'Datos SS'!$I$29)</f>
      </c>
      <c r="DP32" s="1090">
        <f>+IF('Datos SS'!DP31&lt;YEAR(Hipótesis!$E$5),MAX(0,'Datos SS'!DQ17),'Datos SS'!$I$29)</f>
      </c>
      <c r="DQ32" s="1090">
        <f>+IF('Datos SS'!DQ31&lt;YEAR(Hipótesis!$E$5),MAX(0,'Datos SS'!DR17),'Datos SS'!$I$29)</f>
      </c>
      <c r="DR32" s="1090">
        <f>+IF('Datos SS'!DR31&lt;YEAR(Hipótesis!$E$5),MAX(0,'Datos SS'!DS17),'Datos SS'!$I$29)</f>
      </c>
      <c r="DS32" s="1090">
        <f>+IF('Datos SS'!DS31&lt;YEAR(Hipótesis!$E$5),MAX(0,'Datos SS'!DT17),'Datos SS'!$I$29)</f>
      </c>
      <c r="DT32" s="1090">
        <f>+IF('Datos SS'!DT31&lt;YEAR(Hipótesis!$E$5),MAX(0,'Datos SS'!DU17),'Datos SS'!$I$29)</f>
      </c>
      <c r="DU32" s="1090">
        <f>+IF('Datos SS'!DU31&lt;YEAR(Hipótesis!$E$5),MAX(0,'Datos SS'!DV17),'Datos SS'!$I$29)</f>
      </c>
      <c r="DV32" s="1090">
        <f>+IF('Datos SS'!DV31&lt;YEAR(Hipótesis!$E$5),MAX(0,'Datos SS'!DW17),'Datos SS'!$I$29)</f>
      </c>
      <c r="DW32" s="1090">
        <f>+IF('Datos SS'!DW31&lt;YEAR(Hipótesis!$E$5),MAX(0,'Datos SS'!DX17),'Datos SS'!$I$29)</f>
      </c>
      <c r="DX32" s="1090">
        <f>+IF('Datos SS'!DX31&lt;YEAR(Hipótesis!$E$5),MAX(0,'Datos SS'!DY17),'Datos SS'!$I$29)</f>
      </c>
      <c r="DY32" s="1090">
        <f>+IF('Datos SS'!DY31&lt;YEAR(Hipótesis!$E$5),MAX(0,'Datos SS'!DZ17),'Datos SS'!$I$29)</f>
      </c>
      <c r="DZ32" s="1090">
        <f>+IF('Datos SS'!DZ31&lt;YEAR(Hipótesis!$E$5),MAX(0,'Datos SS'!EA17),'Datos SS'!$I$29)</f>
      </c>
      <c r="EA32" s="1090">
        <f>+IF('Datos SS'!EA31&lt;YEAR(Hipótesis!$E$5),MAX(0,'Datos SS'!EB17),'Datos SS'!$I$29)</f>
      </c>
      <c r="EB32" s="1090">
        <f>+IF('Datos SS'!EB31&lt;YEAR(Hipótesis!$E$5),MAX(0,'Datos SS'!EC17),'Datos SS'!$I$29)</f>
      </c>
      <c r="EC32" s="1090">
        <f>+IF('Datos SS'!EC31&lt;YEAR(Hipótesis!$E$5),MAX(0,'Datos SS'!ED17),'Datos SS'!$I$29)</f>
      </c>
      <c r="ED32" s="1090">
        <f>+IF('Datos SS'!ED31&lt;YEAR(Hipótesis!$E$5),MAX(0,'Datos SS'!EE17),'Datos SS'!$I$29)</f>
      </c>
      <c r="EE32" s="1090">
        <f>+IF('Datos SS'!EE31&lt;YEAR(Hipótesis!$E$5),MAX(0,'Datos SS'!EF17),'Datos SS'!$I$29)</f>
      </c>
      <c r="EF32" s="1090">
        <f>+IF('Datos SS'!EF31&lt;YEAR(Hipótesis!$E$5),MAX(0,'Datos SS'!EG17),'Datos SS'!$I$29)</f>
      </c>
      <c r="EG32" s="1090">
        <f>+IF('Datos SS'!EG31&lt;YEAR(Hipótesis!$E$5),MAX(0,'Datos SS'!EH17),'Datos SS'!$I$29)</f>
      </c>
      <c r="EH32" s="294"/>
      <c r="EI32" s="294"/>
      <c r="EJ32" s="294"/>
      <c r="EK32" s="294"/>
      <c r="EL32" s="294"/>
      <c r="EM32" s="294"/>
      <c r="EN32" s="294"/>
      <c r="EO32" s="294"/>
      <c r="EP32" s="294"/>
    </row>
    <row x14ac:dyDescent="0.25" r="33" customHeight="1" ht="18.75">
      <c r="A33" s="1"/>
      <c r="B33" s="320"/>
      <c r="C33" s="1080"/>
      <c r="D33" s="1080"/>
      <c r="E33" s="1080"/>
      <c r="F33" s="1083"/>
      <c r="G33" s="1083"/>
      <c r="H33" s="1083"/>
      <c r="I33" s="1083"/>
      <c r="J33" s="169"/>
      <c r="K33" s="169"/>
      <c r="L33" s="169"/>
      <c r="M33" s="169"/>
      <c r="N33" s="169"/>
      <c r="O33" s="169"/>
      <c r="P33" s="169"/>
      <c r="Q33" s="169"/>
      <c r="R33" s="169"/>
      <c r="S33" s="169"/>
      <c r="T33" s="169"/>
      <c r="U33" s="169"/>
      <c r="V33" s="169"/>
      <c r="W33" s="169"/>
      <c r="X33" s="169"/>
      <c r="Y33" s="170"/>
      <c r="Z33" s="170"/>
      <c r="AA33" s="170"/>
      <c r="AB33" s="170"/>
      <c r="AC33" s="170"/>
      <c r="AD33" s="170"/>
      <c r="AE33" s="170"/>
      <c r="AF33" s="170"/>
      <c r="AG33" s="170"/>
      <c r="AH33" s="170"/>
      <c r="AI33" s="170"/>
      <c r="AJ33" s="170"/>
      <c r="AK33" s="170"/>
      <c r="AL33" s="170"/>
      <c r="AM33" s="170"/>
      <c r="AN33" s="170"/>
      <c r="AO33" s="170"/>
      <c r="AP33" s="170"/>
      <c r="AQ33" s="170"/>
      <c r="AR33" s="170"/>
      <c r="AS33" s="170"/>
      <c r="AT33" s="170"/>
      <c r="AU33" s="170"/>
      <c r="AV33" s="170"/>
      <c r="AW33" s="170"/>
      <c r="AX33" s="170"/>
      <c r="AY33" s="170"/>
      <c r="AZ33" s="170"/>
      <c r="BA33" s="170"/>
      <c r="BB33" s="170"/>
      <c r="BC33" s="170"/>
      <c r="BD33" s="170"/>
      <c r="BE33" s="170"/>
      <c r="BF33" s="170"/>
      <c r="BG33" s="170"/>
      <c r="BH33" s="170"/>
      <c r="BI33" s="170"/>
      <c r="BJ33" s="170"/>
      <c r="BK33" s="170"/>
      <c r="BL33" s="170"/>
      <c r="BM33" s="170"/>
      <c r="BN33" s="170"/>
      <c r="BO33" s="170"/>
      <c r="BP33" s="170"/>
      <c r="BQ33" s="170"/>
      <c r="BR33" s="170"/>
      <c r="BS33" s="170"/>
      <c r="BT33" s="170"/>
      <c r="BU33" s="170"/>
      <c r="BV33" s="170"/>
      <c r="BW33" s="170"/>
      <c r="BX33" s="170"/>
      <c r="BY33" s="170"/>
      <c r="BZ33" s="170"/>
      <c r="CA33" s="170"/>
      <c r="CB33" s="170"/>
      <c r="CC33" s="170"/>
      <c r="CD33" s="170"/>
      <c r="CE33" s="170"/>
      <c r="CF33" s="170"/>
      <c r="CG33" s="170"/>
      <c r="CH33" s="170"/>
      <c r="CI33" s="170"/>
      <c r="CJ33" s="170"/>
      <c r="CK33" s="170"/>
      <c r="CL33" s="170"/>
      <c r="CM33" s="170"/>
      <c r="CN33" s="170"/>
      <c r="CO33" s="170"/>
      <c r="CP33" s="170"/>
      <c r="CQ33" s="170"/>
      <c r="CR33" s="170"/>
      <c r="CS33" s="170"/>
      <c r="CT33" s="170"/>
      <c r="CU33" s="170"/>
      <c r="CV33" s="170"/>
      <c r="CW33" s="170"/>
      <c r="CX33" s="170"/>
      <c r="CY33" s="170"/>
      <c r="CZ33" s="170"/>
      <c r="DA33" s="170"/>
      <c r="DB33" s="170"/>
      <c r="DC33" s="170"/>
      <c r="DD33" s="170"/>
      <c r="DE33" s="170"/>
      <c r="DF33" s="170"/>
      <c r="DG33" s="170"/>
      <c r="DH33" s="170"/>
      <c r="DI33" s="170"/>
      <c r="DJ33" s="170"/>
      <c r="DK33" s="170"/>
      <c r="DL33" s="170"/>
      <c r="DM33" s="170"/>
      <c r="DN33" s="170"/>
      <c r="DO33" s="170"/>
      <c r="DP33" s="170"/>
      <c r="DQ33" s="170"/>
      <c r="DR33" s="170"/>
      <c r="DS33" s="170"/>
      <c r="DT33" s="170"/>
      <c r="DU33" s="170"/>
      <c r="DV33" s="170"/>
      <c r="DW33" s="170"/>
      <c r="DX33" s="170"/>
      <c r="DY33" s="170"/>
      <c r="DZ33" s="170"/>
      <c r="EA33" s="170"/>
      <c r="EB33" s="170"/>
      <c r="EC33" s="170"/>
      <c r="ED33" s="170"/>
      <c r="EE33" s="170"/>
      <c r="EF33" s="170"/>
      <c r="EG33" s="170"/>
      <c r="EH33" s="170"/>
      <c r="EI33" s="170"/>
      <c r="EJ33" s="170"/>
      <c r="EK33" s="170"/>
      <c r="EL33" s="170"/>
      <c r="EM33" s="170"/>
      <c r="EN33" s="170"/>
      <c r="EO33" s="170"/>
      <c r="EP33" s="170"/>
    </row>
    <row x14ac:dyDescent="0.25" r="34" customHeight="1" ht="18.75">
      <c r="A34" s="1"/>
      <c r="B34" s="320"/>
      <c r="C34" s="1080"/>
      <c r="D34" s="1080"/>
      <c r="E34" s="1080"/>
      <c r="F34" s="1083"/>
      <c r="G34" s="1083"/>
      <c r="H34" s="1083"/>
      <c r="I34" s="1083"/>
      <c r="J34" s="169"/>
      <c r="K34" s="169"/>
      <c r="L34" s="169"/>
      <c r="M34" s="169"/>
      <c r="N34" s="169"/>
      <c r="O34" s="169"/>
      <c r="P34" s="169"/>
      <c r="Q34" s="169"/>
      <c r="R34" s="169"/>
      <c r="S34" s="169"/>
      <c r="T34" s="169"/>
      <c r="U34" s="169"/>
      <c r="V34" s="169"/>
      <c r="W34" s="169"/>
      <c r="X34" s="169"/>
      <c r="Y34" s="170"/>
      <c r="Z34" s="170"/>
      <c r="AA34" s="170"/>
      <c r="AB34" s="170"/>
      <c r="AC34" s="170"/>
      <c r="AD34" s="170"/>
      <c r="AE34" s="170"/>
      <c r="AF34" s="170"/>
      <c r="AG34" s="170"/>
      <c r="AH34" s="170"/>
      <c r="AI34" s="170"/>
      <c r="AJ34" s="170"/>
      <c r="AK34" s="170"/>
      <c r="AL34" s="170"/>
      <c r="AM34" s="170"/>
      <c r="AN34" s="170"/>
      <c r="AO34" s="170"/>
      <c r="AP34" s="170"/>
      <c r="AQ34" s="170"/>
      <c r="AR34" s="170"/>
      <c r="AS34" s="170"/>
      <c r="AT34" s="170"/>
      <c r="AU34" s="170"/>
      <c r="AV34" s="170"/>
      <c r="AW34" s="170"/>
      <c r="AX34" s="170"/>
      <c r="AY34" s="170"/>
      <c r="AZ34" s="170"/>
      <c r="BA34" s="170"/>
      <c r="BB34" s="170"/>
      <c r="BC34" s="170"/>
      <c r="BD34" s="170"/>
      <c r="BE34" s="170"/>
      <c r="BF34" s="170"/>
      <c r="BG34" s="170"/>
      <c r="BH34" s="170"/>
      <c r="BI34" s="170"/>
      <c r="BJ34" s="170"/>
      <c r="BK34" s="170"/>
      <c r="BL34" s="170"/>
      <c r="BM34" s="170"/>
      <c r="BN34" s="170"/>
      <c r="BO34" s="170"/>
      <c r="BP34" s="170"/>
      <c r="BQ34" s="170"/>
      <c r="BR34" s="170"/>
      <c r="BS34" s="170"/>
      <c r="BT34" s="170"/>
      <c r="BU34" s="170"/>
      <c r="BV34" s="170"/>
      <c r="BW34" s="170"/>
      <c r="BX34" s="170"/>
      <c r="BY34" s="170"/>
      <c r="BZ34" s="170"/>
      <c r="CA34" s="170"/>
      <c r="CB34" s="170"/>
      <c r="CC34" s="170"/>
      <c r="CD34" s="170"/>
      <c r="CE34" s="170"/>
      <c r="CF34" s="170"/>
      <c r="CG34" s="170"/>
      <c r="CH34" s="170"/>
      <c r="CI34" s="170"/>
      <c r="CJ34" s="170"/>
      <c r="CK34" s="170"/>
      <c r="CL34" s="170"/>
      <c r="CM34" s="170"/>
      <c r="CN34" s="170"/>
      <c r="CO34" s="170"/>
      <c r="CP34" s="170"/>
      <c r="CQ34" s="170"/>
      <c r="CR34" s="170"/>
      <c r="CS34" s="170"/>
      <c r="CT34" s="170"/>
      <c r="CU34" s="170"/>
      <c r="CV34" s="170"/>
      <c r="CW34" s="170"/>
      <c r="CX34" s="170"/>
      <c r="CY34" s="170"/>
      <c r="CZ34" s="170"/>
      <c r="DA34" s="170"/>
      <c r="DB34" s="170"/>
      <c r="DC34" s="170"/>
      <c r="DD34" s="170"/>
      <c r="DE34" s="170"/>
      <c r="DF34" s="170"/>
      <c r="DG34" s="170"/>
      <c r="DH34" s="170"/>
      <c r="DI34" s="170"/>
      <c r="DJ34" s="170"/>
      <c r="DK34" s="170"/>
      <c r="DL34" s="170"/>
      <c r="DM34" s="170"/>
      <c r="DN34" s="170"/>
      <c r="DO34" s="170"/>
      <c r="DP34" s="170"/>
      <c r="DQ34" s="170"/>
      <c r="DR34" s="170"/>
      <c r="DS34" s="170"/>
      <c r="DT34" s="170"/>
      <c r="DU34" s="170"/>
      <c r="DV34" s="170"/>
      <c r="DW34" s="170"/>
      <c r="DX34" s="170"/>
      <c r="DY34" s="170"/>
      <c r="DZ34" s="170"/>
      <c r="EA34" s="170"/>
      <c r="EB34" s="170"/>
      <c r="EC34" s="170"/>
      <c r="ED34" s="170"/>
      <c r="EE34" s="170"/>
      <c r="EF34" s="170"/>
      <c r="EG34" s="170"/>
      <c r="EH34" s="170"/>
      <c r="EI34" s="170"/>
      <c r="EJ34" s="170"/>
      <c r="EK34" s="170"/>
      <c r="EL34" s="170"/>
      <c r="EM34" s="170"/>
      <c r="EN34" s="170"/>
      <c r="EO34" s="170"/>
      <c r="EP34" s="170"/>
    </row>
    <row x14ac:dyDescent="0.25" r="35" customHeight="1" ht="18.75">
      <c r="A35" s="1"/>
      <c r="B35" s="320"/>
      <c r="C35" s="1080"/>
      <c r="D35" s="1080"/>
      <c r="E35" s="1080"/>
      <c r="F35" s="1083"/>
      <c r="G35" s="1083"/>
      <c r="H35" s="1083"/>
      <c r="I35" s="1083"/>
      <c r="J35" s="169"/>
      <c r="K35" s="169"/>
      <c r="L35" s="169" t="s">
        <v>1175</v>
      </c>
      <c r="M35" s="169"/>
      <c r="N35" s="169"/>
      <c r="O35" s="330">
        <f>J23</f>
      </c>
      <c r="P35" s="169"/>
      <c r="Q35" s="169"/>
      <c r="R35" s="169"/>
      <c r="S35" s="169"/>
      <c r="T35" s="169"/>
      <c r="U35" s="169"/>
      <c r="V35" s="169"/>
      <c r="W35" s="169"/>
      <c r="X35" s="169"/>
      <c r="Y35" s="170"/>
      <c r="Z35" s="170"/>
      <c r="AA35" s="170"/>
      <c r="AB35" s="170"/>
      <c r="AC35" s="170"/>
      <c r="AD35" s="170"/>
      <c r="AE35" s="170"/>
      <c r="AF35" s="170"/>
      <c r="AG35" s="170"/>
      <c r="AH35" s="170"/>
      <c r="AI35" s="170"/>
      <c r="AJ35" s="170"/>
      <c r="AK35" s="170"/>
      <c r="AL35" s="170"/>
      <c r="AM35" s="170"/>
      <c r="AN35" s="170"/>
      <c r="AO35" s="170"/>
      <c r="AP35" s="170"/>
      <c r="AQ35" s="170"/>
      <c r="AR35" s="170"/>
      <c r="AS35" s="170"/>
      <c r="AT35" s="170"/>
      <c r="AU35" s="170"/>
      <c r="AV35" s="170"/>
      <c r="AW35" s="170"/>
      <c r="AX35" s="170"/>
      <c r="AY35" s="170"/>
      <c r="AZ35" s="170"/>
      <c r="BA35" s="170"/>
      <c r="BB35" s="170"/>
      <c r="BC35" s="170"/>
      <c r="BD35" s="170"/>
      <c r="BE35" s="170"/>
      <c r="BF35" s="170"/>
      <c r="BG35" s="170"/>
      <c r="BH35" s="170"/>
      <c r="BI35" s="170"/>
      <c r="BJ35" s="170"/>
      <c r="BK35" s="170"/>
      <c r="BL35" s="170"/>
      <c r="BM35" s="170"/>
      <c r="BN35" s="170"/>
      <c r="BO35" s="170"/>
      <c r="BP35" s="170"/>
      <c r="BQ35" s="170"/>
      <c r="BR35" s="170"/>
      <c r="BS35" s="170"/>
      <c r="BT35" s="170"/>
      <c r="BU35" s="170"/>
      <c r="BV35" s="170"/>
      <c r="BW35" s="170"/>
      <c r="BX35" s="170"/>
      <c r="BY35" s="170"/>
      <c r="BZ35" s="170"/>
      <c r="CA35" s="170"/>
      <c r="CB35" s="170"/>
      <c r="CC35" s="170"/>
      <c r="CD35" s="170"/>
      <c r="CE35" s="170"/>
      <c r="CF35" s="170"/>
      <c r="CG35" s="170"/>
      <c r="CH35" s="170"/>
      <c r="CI35" s="170"/>
      <c r="CJ35" s="170"/>
      <c r="CK35" s="170"/>
      <c r="CL35" s="170"/>
      <c r="CM35" s="170"/>
      <c r="CN35" s="170"/>
      <c r="CO35" s="170"/>
      <c r="CP35" s="170"/>
      <c r="CQ35" s="170"/>
      <c r="CR35" s="170"/>
      <c r="CS35" s="170"/>
      <c r="CT35" s="170"/>
      <c r="CU35" s="170"/>
      <c r="CV35" s="170"/>
      <c r="CW35" s="170"/>
      <c r="CX35" s="170"/>
      <c r="CY35" s="170"/>
      <c r="CZ35" s="170"/>
      <c r="DA35" s="170"/>
      <c r="DB35" s="170"/>
      <c r="DC35" s="170"/>
      <c r="DD35" s="170"/>
      <c r="DE35" s="170"/>
      <c r="DF35" s="170"/>
      <c r="DG35" s="170"/>
      <c r="DH35" s="170"/>
      <c r="DI35" s="170"/>
      <c r="DJ35" s="170"/>
      <c r="DK35" s="170"/>
      <c r="DL35" s="170"/>
      <c r="DM35" s="170"/>
      <c r="DN35" s="170"/>
      <c r="DO35" s="170"/>
      <c r="DP35" s="170"/>
      <c r="DQ35" s="170"/>
      <c r="DR35" s="170"/>
      <c r="DS35" s="170"/>
      <c r="DT35" s="170"/>
      <c r="DU35" s="170"/>
      <c r="DV35" s="170"/>
      <c r="DW35" s="170"/>
      <c r="DX35" s="170"/>
      <c r="DY35" s="170"/>
      <c r="DZ35" s="170"/>
      <c r="EA35" s="170"/>
      <c r="EB35" s="170"/>
      <c r="EC35" s="170"/>
      <c r="ED35" s="170"/>
      <c r="EE35" s="170"/>
      <c r="EF35" s="170"/>
      <c r="EG35" s="170"/>
      <c r="EH35" s="170"/>
      <c r="EI35" s="170"/>
      <c r="EJ35" s="170"/>
      <c r="EK35" s="170"/>
      <c r="EL35" s="170"/>
      <c r="EM35" s="170"/>
      <c r="EN35" s="170"/>
      <c r="EO35" s="170"/>
      <c r="EP35" s="170"/>
    </row>
    <row x14ac:dyDescent="0.25" r="36" customHeight="1" ht="18.75">
      <c r="A36" s="1"/>
      <c r="B36" s="1091" t="s">
        <v>1176</v>
      </c>
      <c r="C36" s="1092" t="s">
        <v>1177</v>
      </c>
      <c r="D36" s="1092" t="s">
        <v>1178</v>
      </c>
      <c r="E36" s="1093" t="s">
        <v>1179</v>
      </c>
      <c r="F36" s="1083"/>
      <c r="G36" s="1083"/>
      <c r="H36" s="1083"/>
      <c r="I36" s="1083"/>
      <c r="J36" s="169"/>
      <c r="K36" s="169"/>
      <c r="L36" s="169"/>
      <c r="M36" s="169"/>
      <c r="N36" s="169"/>
      <c r="O36" s="169"/>
      <c r="P36" s="169"/>
      <c r="Q36" s="169"/>
      <c r="R36" s="169"/>
      <c r="S36" s="169"/>
      <c r="T36" s="169"/>
      <c r="U36" s="169"/>
      <c r="V36" s="169"/>
      <c r="W36" s="169"/>
      <c r="X36" s="169"/>
      <c r="Y36" s="170"/>
      <c r="Z36" s="170"/>
      <c r="AA36" s="170"/>
      <c r="AB36" s="170"/>
      <c r="AC36" s="170"/>
      <c r="AD36" s="170"/>
      <c r="AE36" s="170"/>
      <c r="AF36" s="170"/>
      <c r="AG36" s="170"/>
      <c r="AH36" s="170"/>
      <c r="AI36" s="170"/>
      <c r="AJ36" s="170"/>
      <c r="AK36" s="170"/>
      <c r="AL36" s="170"/>
      <c r="AM36" s="170"/>
      <c r="AN36" s="170"/>
      <c r="AO36" s="170"/>
      <c r="AP36" s="170"/>
      <c r="AQ36" s="170"/>
      <c r="AR36" s="170"/>
      <c r="AS36" s="170"/>
      <c r="AT36" s="170"/>
      <c r="AU36" s="170"/>
      <c r="AV36" s="170"/>
      <c r="AW36" s="170"/>
      <c r="AX36" s="170"/>
      <c r="AY36" s="170"/>
      <c r="AZ36" s="170"/>
      <c r="BA36" s="170"/>
      <c r="BB36" s="170"/>
      <c r="BC36" s="170"/>
      <c r="BD36" s="170"/>
      <c r="BE36" s="170"/>
      <c r="BF36" s="170"/>
      <c r="BG36" s="170"/>
      <c r="BH36" s="170"/>
      <c r="BI36" s="170"/>
      <c r="BJ36" s="170"/>
      <c r="BK36" s="170"/>
      <c r="BL36" s="170"/>
      <c r="BM36" s="170"/>
      <c r="BN36" s="170"/>
      <c r="BO36" s="170"/>
      <c r="BP36" s="170"/>
      <c r="BQ36" s="170"/>
      <c r="BR36" s="170"/>
      <c r="BS36" s="170"/>
      <c r="BT36" s="170"/>
      <c r="BU36" s="170"/>
      <c r="BV36" s="170"/>
      <c r="BW36" s="170"/>
      <c r="BX36" s="170"/>
      <c r="BY36" s="170"/>
      <c r="BZ36" s="170"/>
      <c r="CA36" s="170"/>
      <c r="CB36" s="170"/>
      <c r="CC36" s="170"/>
      <c r="CD36" s="170"/>
      <c r="CE36" s="170"/>
      <c r="CF36" s="170"/>
      <c r="CG36" s="170"/>
      <c r="CH36" s="170"/>
      <c r="CI36" s="170"/>
      <c r="CJ36" s="170"/>
      <c r="CK36" s="170"/>
      <c r="CL36" s="170"/>
      <c r="CM36" s="170"/>
      <c r="CN36" s="170"/>
      <c r="CO36" s="170"/>
      <c r="CP36" s="170"/>
      <c r="CQ36" s="170"/>
      <c r="CR36" s="170"/>
      <c r="CS36" s="170"/>
      <c r="CT36" s="170"/>
      <c r="CU36" s="170"/>
      <c r="CV36" s="170"/>
      <c r="CW36" s="170"/>
      <c r="CX36" s="170"/>
      <c r="CY36" s="170"/>
      <c r="CZ36" s="170"/>
      <c r="DA36" s="170"/>
      <c r="DB36" s="170"/>
      <c r="DC36" s="170"/>
      <c r="DD36" s="170"/>
      <c r="DE36" s="170"/>
      <c r="DF36" s="170"/>
      <c r="DG36" s="170"/>
      <c r="DH36" s="170"/>
      <c r="DI36" s="170"/>
      <c r="DJ36" s="170"/>
      <c r="DK36" s="170"/>
      <c r="DL36" s="170"/>
      <c r="DM36" s="170"/>
      <c r="DN36" s="170"/>
      <c r="DO36" s="170"/>
      <c r="DP36" s="170"/>
      <c r="DQ36" s="170"/>
      <c r="DR36" s="170"/>
      <c r="DS36" s="170"/>
      <c r="DT36" s="170"/>
      <c r="DU36" s="170"/>
      <c r="DV36" s="170"/>
      <c r="DW36" s="170"/>
      <c r="DX36" s="170"/>
      <c r="DY36" s="170"/>
      <c r="DZ36" s="170"/>
      <c r="EA36" s="170"/>
      <c r="EB36" s="170"/>
      <c r="EC36" s="170"/>
      <c r="ED36" s="170"/>
      <c r="EE36" s="170"/>
      <c r="EF36" s="170"/>
      <c r="EG36" s="170"/>
      <c r="EH36" s="170"/>
      <c r="EI36" s="170"/>
      <c r="EJ36" s="170"/>
      <c r="EK36" s="170"/>
      <c r="EL36" s="170"/>
      <c r="EM36" s="170"/>
      <c r="EN36" s="170"/>
      <c r="EO36" s="170"/>
      <c r="EP36" s="170"/>
    </row>
    <row x14ac:dyDescent="0.25" r="37" customHeight="1" ht="18.75">
      <c r="A37" s="1"/>
      <c r="B37" s="1094"/>
      <c r="C37" s="1095" t="s">
        <v>1180</v>
      </c>
      <c r="D37" s="1095" t="s">
        <v>1180</v>
      </c>
      <c r="E37" s="1096"/>
      <c r="F37" s="1083"/>
      <c r="G37" s="1083"/>
      <c r="H37" s="1083"/>
      <c r="I37" s="1083"/>
      <c r="J37" s="1097" t="s">
        <v>1181</v>
      </c>
      <c r="K37" s="1098">
        <v>1965</v>
      </c>
      <c r="L37" s="1098">
        <v>1966</v>
      </c>
      <c r="M37" s="1098">
        <v>1967</v>
      </c>
      <c r="N37" s="1098">
        <v>1968</v>
      </c>
      <c r="O37" s="1098">
        <v>1969</v>
      </c>
      <c r="P37" s="1098">
        <v>1970</v>
      </c>
      <c r="Q37" s="1098">
        <v>1971</v>
      </c>
      <c r="R37" s="1098">
        <v>1972</v>
      </c>
      <c r="S37" s="1098">
        <v>1973</v>
      </c>
      <c r="T37" s="1098">
        <v>1974</v>
      </c>
      <c r="U37" s="1098">
        <v>1975</v>
      </c>
      <c r="V37" s="1098">
        <v>1976</v>
      </c>
      <c r="W37" s="1098">
        <v>1977</v>
      </c>
      <c r="X37" s="1098">
        <v>1978</v>
      </c>
      <c r="Y37" s="1098">
        <v>1979</v>
      </c>
      <c r="Z37" s="1098">
        <v>1980</v>
      </c>
      <c r="AA37" s="1098">
        <v>1981</v>
      </c>
      <c r="AB37" s="1098">
        <v>1982</v>
      </c>
      <c r="AC37" s="1098">
        <v>1983</v>
      </c>
      <c r="AD37" s="1098">
        <v>1984</v>
      </c>
      <c r="AE37" s="1098">
        <v>1985</v>
      </c>
      <c r="AF37" s="1098">
        <v>1986</v>
      </c>
      <c r="AG37" s="1098">
        <v>1987</v>
      </c>
      <c r="AH37" s="1098">
        <v>1988</v>
      </c>
      <c r="AI37" s="1098">
        <v>1989</v>
      </c>
      <c r="AJ37" s="1098">
        <v>1990</v>
      </c>
      <c r="AK37" s="1098">
        <v>1991</v>
      </c>
      <c r="AL37" s="1098">
        <v>1992</v>
      </c>
      <c r="AM37" s="1098">
        <v>1993</v>
      </c>
      <c r="AN37" s="1098">
        <v>1994</v>
      </c>
      <c r="AO37" s="1098">
        <v>1995</v>
      </c>
      <c r="AP37" s="1098">
        <v>1996</v>
      </c>
      <c r="AQ37" s="1098">
        <v>1997</v>
      </c>
      <c r="AR37" s="1098">
        <v>1998</v>
      </c>
      <c r="AS37" s="1098">
        <v>1999</v>
      </c>
      <c r="AT37" s="1098">
        <v>2000</v>
      </c>
      <c r="AU37" s="1098">
        <v>2001</v>
      </c>
      <c r="AV37" s="1098">
        <v>2002</v>
      </c>
      <c r="AW37" s="1098">
        <v>2003</v>
      </c>
      <c r="AX37" s="1098">
        <v>2004</v>
      </c>
      <c r="AY37" s="1098">
        <v>2005</v>
      </c>
      <c r="AZ37" s="1098">
        <v>2006</v>
      </c>
      <c r="BA37" s="1098">
        <v>2007</v>
      </c>
      <c r="BB37" s="1098">
        <v>2008</v>
      </c>
      <c r="BC37" s="1098">
        <v>2009</v>
      </c>
      <c r="BD37" s="1098">
        <v>2010</v>
      </c>
      <c r="BE37" s="1098">
        <v>2011</v>
      </c>
      <c r="BF37" s="1098">
        <v>2012</v>
      </c>
      <c r="BG37" s="1098">
        <v>2013</v>
      </c>
      <c r="BH37" s="1098">
        <v>2014</v>
      </c>
      <c r="BI37" s="1098">
        <v>2015</v>
      </c>
      <c r="BJ37" s="1098">
        <v>2016</v>
      </c>
      <c r="BK37" s="1098">
        <v>2017</v>
      </c>
      <c r="BL37" s="1098">
        <v>2018</v>
      </c>
      <c r="BM37" s="1098">
        <v>2019</v>
      </c>
      <c r="BN37" s="1098">
        <v>2020</v>
      </c>
      <c r="BO37" s="1098">
        <v>2021</v>
      </c>
      <c r="BP37" s="1098">
        <v>2022</v>
      </c>
      <c r="BQ37" s="1098">
        <v>2023</v>
      </c>
      <c r="BR37" s="1098">
        <v>2024</v>
      </c>
      <c r="BS37" s="1098">
        <v>2025</v>
      </c>
      <c r="BT37" s="1098">
        <v>2026</v>
      </c>
      <c r="BU37" s="1098">
        <v>2027</v>
      </c>
      <c r="BV37" s="1098">
        <v>2028</v>
      </c>
      <c r="BW37" s="1098">
        <v>2029</v>
      </c>
      <c r="BX37" s="1098">
        <v>2030</v>
      </c>
      <c r="BY37" s="1098">
        <v>2031</v>
      </c>
      <c r="BZ37" s="1098">
        <v>2032</v>
      </c>
      <c r="CA37" s="1098">
        <v>2033</v>
      </c>
      <c r="CB37" s="1098">
        <v>2034</v>
      </c>
      <c r="CC37" s="1098">
        <v>2035</v>
      </c>
      <c r="CD37" s="1098">
        <v>2036</v>
      </c>
      <c r="CE37" s="1098">
        <v>2037</v>
      </c>
      <c r="CF37" s="1098">
        <v>2038</v>
      </c>
      <c r="CG37" s="1098">
        <v>2039</v>
      </c>
      <c r="CH37" s="1098">
        <v>2040</v>
      </c>
      <c r="CI37" s="1098">
        <v>2041</v>
      </c>
      <c r="CJ37" s="1098">
        <v>2042</v>
      </c>
      <c r="CK37" s="1098">
        <v>2043</v>
      </c>
      <c r="CL37" s="1098">
        <v>2044</v>
      </c>
      <c r="CM37" s="1098">
        <v>2045</v>
      </c>
      <c r="CN37" s="1098">
        <v>2046</v>
      </c>
      <c r="CO37" s="1098">
        <v>2047</v>
      </c>
      <c r="CP37" s="1098">
        <v>2048</v>
      </c>
      <c r="CQ37" s="1098">
        <v>2049</v>
      </c>
      <c r="CR37" s="1098">
        <v>2050</v>
      </c>
      <c r="CS37" s="1098">
        <v>2051</v>
      </c>
      <c r="CT37" s="1098">
        <v>2052</v>
      </c>
      <c r="CU37" s="1098">
        <v>2053</v>
      </c>
      <c r="CV37" s="1098">
        <v>2054</v>
      </c>
      <c r="CW37" s="1098">
        <v>2055</v>
      </c>
      <c r="CX37" s="1098">
        <v>2056</v>
      </c>
      <c r="CY37" s="1098">
        <v>2057</v>
      </c>
      <c r="CZ37" s="1098">
        <v>2058</v>
      </c>
      <c r="DA37" s="1098">
        <v>2059</v>
      </c>
      <c r="DB37" s="1098">
        <v>2060</v>
      </c>
      <c r="DC37" s="1098">
        <v>2061</v>
      </c>
      <c r="DD37" s="1098">
        <v>2062</v>
      </c>
      <c r="DE37" s="1098">
        <v>2063</v>
      </c>
      <c r="DF37" s="1098">
        <v>2064</v>
      </c>
      <c r="DG37" s="1098">
        <v>2065</v>
      </c>
      <c r="DH37" s="1098">
        <v>2066</v>
      </c>
      <c r="DI37" s="1098">
        <v>2067</v>
      </c>
      <c r="DJ37" s="1098">
        <v>2068</v>
      </c>
      <c r="DK37" s="1098">
        <v>2069</v>
      </c>
      <c r="DL37" s="1098">
        <v>2070</v>
      </c>
      <c r="DM37" s="1098">
        <v>2071</v>
      </c>
      <c r="DN37" s="1098">
        <v>2072</v>
      </c>
      <c r="DO37" s="1098">
        <v>2073</v>
      </c>
      <c r="DP37" s="1098">
        <v>2074</v>
      </c>
      <c r="DQ37" s="1098">
        <v>2075</v>
      </c>
      <c r="DR37" s="1098">
        <v>2076</v>
      </c>
      <c r="DS37" s="1098">
        <v>2077</v>
      </c>
      <c r="DT37" s="1098">
        <v>2078</v>
      </c>
      <c r="DU37" s="1098">
        <v>2079</v>
      </c>
      <c r="DV37" s="1098">
        <v>2080</v>
      </c>
      <c r="DW37" s="1098">
        <v>2081</v>
      </c>
      <c r="DX37" s="1098">
        <v>2082</v>
      </c>
      <c r="DY37" s="1098">
        <v>2083</v>
      </c>
      <c r="DZ37" s="1098">
        <v>2084</v>
      </c>
      <c r="EA37" s="1098">
        <v>2085</v>
      </c>
      <c r="EB37" s="1098">
        <v>2086</v>
      </c>
      <c r="EC37" s="1098">
        <v>2087</v>
      </c>
      <c r="ED37" s="1098">
        <v>2088</v>
      </c>
      <c r="EE37" s="1098">
        <v>2089</v>
      </c>
      <c r="EF37" s="1098">
        <v>2090</v>
      </c>
      <c r="EG37" s="1098">
        <v>2091</v>
      </c>
      <c r="EH37" s="1098">
        <v>2092</v>
      </c>
      <c r="EI37" s="1098">
        <v>2093</v>
      </c>
      <c r="EJ37" s="1098">
        <v>2094</v>
      </c>
      <c r="EK37" s="1098">
        <v>2095</v>
      </c>
      <c r="EL37" s="1098">
        <v>2096</v>
      </c>
      <c r="EM37" s="1098">
        <v>2097</v>
      </c>
      <c r="EN37" s="1098">
        <v>2098</v>
      </c>
      <c r="EO37" s="1098">
        <v>2099</v>
      </c>
      <c r="EP37" s="1098">
        <v>2100</v>
      </c>
    </row>
    <row x14ac:dyDescent="0.25" r="38" customHeight="1" ht="18.75">
      <c r="A38" s="1"/>
      <c r="B38" s="1099">
        <v>2014</v>
      </c>
      <c r="C38" s="1100" t="s">
        <v>1182</v>
      </c>
      <c r="D38" s="1100" t="s">
        <v>1182</v>
      </c>
      <c r="E38" s="1101">
        <v>2.0005092592592595</v>
      </c>
      <c r="F38" s="1083"/>
      <c r="G38" s="1083"/>
      <c r="H38" s="1083"/>
      <c r="I38" s="1083"/>
      <c r="J38" s="331">
        <v>7</v>
      </c>
      <c r="K38" s="169"/>
      <c r="L38" s="169"/>
      <c r="M38" s="169"/>
      <c r="N38" s="169"/>
      <c r="O38" s="169"/>
      <c r="P38" s="169"/>
      <c r="Q38" s="169"/>
      <c r="R38" s="169"/>
      <c r="S38" s="169"/>
      <c r="T38" s="169"/>
      <c r="U38" s="169"/>
      <c r="V38" s="169"/>
      <c r="W38" s="169"/>
      <c r="X38" s="169"/>
      <c r="Y38" s="1102">
        <v>117.2</v>
      </c>
      <c r="Z38" s="1102">
        <v>135.23</v>
      </c>
      <c r="AA38" s="1102">
        <v>148.39</v>
      </c>
      <c r="AB38" s="1102">
        <v>185.17</v>
      </c>
      <c r="AC38" s="1102">
        <v>209.33</v>
      </c>
      <c r="AD38" s="1102">
        <v>243.59</v>
      </c>
      <c r="AE38" s="1102">
        <v>260.66</v>
      </c>
      <c r="AF38" s="1102">
        <v>281.45</v>
      </c>
      <c r="AG38" s="1102">
        <v>295.52</v>
      </c>
      <c r="AH38" s="1102">
        <v>308.86</v>
      </c>
      <c r="AI38" s="1102">
        <v>327.43</v>
      </c>
      <c r="AJ38" s="1102">
        <v>350.69</v>
      </c>
      <c r="AK38" s="1102">
        <v>373.41</v>
      </c>
      <c r="AL38" s="1102">
        <v>394.68</v>
      </c>
      <c r="AM38" s="1102">
        <v>410.55</v>
      </c>
      <c r="AN38" s="1102">
        <v>424.8</v>
      </c>
      <c r="AO38" s="1102">
        <v>439.58</v>
      </c>
      <c r="AP38" s="1102">
        <v>454.91</v>
      </c>
      <c r="AQ38" s="1102">
        <v>467.17</v>
      </c>
      <c r="AR38" s="1102">
        <v>477.08</v>
      </c>
      <c r="AS38" s="1102">
        <v>485.74</v>
      </c>
      <c r="AT38" s="1102">
        <v>495.65</v>
      </c>
      <c r="AU38" s="1102">
        <v>505.8</v>
      </c>
      <c r="AV38" s="1103">
        <v>516</v>
      </c>
      <c r="AW38" s="1102">
        <v>526.5</v>
      </c>
      <c r="AX38" s="1102">
        <v>537.3</v>
      </c>
      <c r="AY38" s="1102">
        <v>598.5</v>
      </c>
      <c r="AZ38" s="1102">
        <v>631.2</v>
      </c>
      <c r="BA38" s="1102">
        <v>665.7</v>
      </c>
      <c r="BB38" s="1102">
        <v>699.9</v>
      </c>
      <c r="BC38" s="1102">
        <v>728.1</v>
      </c>
      <c r="BD38" s="1102">
        <v>738.9</v>
      </c>
      <c r="BE38" s="1102">
        <v>748.2</v>
      </c>
      <c r="BF38" s="1102">
        <v>748.2</v>
      </c>
      <c r="BG38" s="1103">
        <v>753</v>
      </c>
      <c r="BH38" s="1102">
        <v>753</v>
      </c>
      <c r="BI38" s="1102">
        <v>756.6</v>
      </c>
      <c r="BJ38" s="1102">
        <v>764.4</v>
      </c>
      <c r="BK38" s="1102">
        <v>825.6</v>
      </c>
      <c r="BL38" s="1102">
        <v>858.6</v>
      </c>
      <c r="BM38" s="1102">
        <v>1050</v>
      </c>
      <c r="BN38" s="1102">
        <v>1050</v>
      </c>
      <c r="BO38" s="1102">
        <v>1050</v>
      </c>
      <c r="BP38" s="217">
        <f>BO38*($O$35+1)</f>
      </c>
      <c r="BQ38" s="217">
        <f>BP38*($O$35+1)</f>
      </c>
      <c r="BR38" s="217">
        <f>BQ38*($O$35+1)</f>
      </c>
      <c r="BS38" s="217">
        <f>BR38*($O$35+1)</f>
      </c>
      <c r="BT38" s="217">
        <f>BS38*($O$35+1)</f>
      </c>
      <c r="BU38" s="217">
        <f>BT38*($O$35+1)</f>
      </c>
      <c r="BV38" s="217">
        <f>BU38*($O$35+1)</f>
      </c>
      <c r="BW38" s="217">
        <f>BV38*($O$35+1)</f>
      </c>
      <c r="BX38" s="217">
        <f>BW38*($O$35+1)</f>
      </c>
      <c r="BY38" s="217">
        <f>BX38*($O$35+1)</f>
      </c>
      <c r="BZ38" s="217">
        <f>BY38*($O$35+1)</f>
      </c>
      <c r="CA38" s="217">
        <f>BZ38*($O$35+1)</f>
      </c>
      <c r="CB38" s="217">
        <f>CA38*($O$35+1)</f>
      </c>
      <c r="CC38" s="217">
        <f>CB38*($O$35+1)</f>
      </c>
      <c r="CD38" s="217">
        <f>CC38*($O$35+1)</f>
      </c>
      <c r="CE38" s="217">
        <f>CD38*($O$35+1)</f>
      </c>
      <c r="CF38" s="217">
        <f>CE38*($O$35+1)</f>
      </c>
      <c r="CG38" s="217">
        <f>CF38*($O$35+1)</f>
      </c>
      <c r="CH38" s="217">
        <f>CG38*($O$35+1)</f>
      </c>
      <c r="CI38" s="217">
        <f>CH38*($O$35+1)</f>
      </c>
      <c r="CJ38" s="217">
        <f>CI38*($O$35+1)</f>
      </c>
      <c r="CK38" s="217">
        <f>CJ38*($O$35+1)</f>
      </c>
      <c r="CL38" s="217">
        <f>CK38*($O$35+1)</f>
      </c>
      <c r="CM38" s="217">
        <f>CL38*($O$35+1)</f>
      </c>
      <c r="CN38" s="217">
        <f>CM38*($O$35+1)</f>
      </c>
      <c r="CO38" s="217">
        <f>CN38*($O$35+1)</f>
      </c>
      <c r="CP38" s="217">
        <f>CO38*($O$35+1)</f>
      </c>
      <c r="CQ38" s="217">
        <f>CP38*($O$35+1)</f>
      </c>
      <c r="CR38" s="217">
        <f>CQ38*($O$35+1)</f>
      </c>
      <c r="CS38" s="217">
        <f>CR38*($O$35+1)</f>
      </c>
      <c r="CT38" s="217">
        <f>CS38*($O$35+1)</f>
      </c>
      <c r="CU38" s="217">
        <f>CT38*($O$35+1)</f>
      </c>
      <c r="CV38" s="217">
        <f>CU38*($O$35+1)</f>
      </c>
      <c r="CW38" s="217">
        <f>CV38*($O$35+1)</f>
      </c>
      <c r="CX38" s="217">
        <f>CW38*($O$35+1)</f>
      </c>
      <c r="CY38" s="217">
        <f>CX38*($O$35+1)</f>
      </c>
      <c r="CZ38" s="217">
        <f>CY38*($O$35+1)</f>
      </c>
      <c r="DA38" s="217">
        <f>CZ38*($O$35+1)</f>
      </c>
      <c r="DB38" s="217">
        <f>DA38*($O$35+1)</f>
      </c>
      <c r="DC38" s="217">
        <f>DB38*($O$35+1)</f>
      </c>
      <c r="DD38" s="217">
        <f>DC38*($O$35+1)</f>
      </c>
      <c r="DE38" s="217">
        <f>DD38*($O$35+1)</f>
      </c>
      <c r="DF38" s="217">
        <f>DE38*($O$35+1)</f>
      </c>
      <c r="DG38" s="217">
        <f>DF38*($O$35+1)</f>
      </c>
      <c r="DH38" s="217">
        <f>DG38*($O$35+1)</f>
      </c>
      <c r="DI38" s="217">
        <f>DH38*($O$35+1)</f>
      </c>
      <c r="DJ38" s="217">
        <f>DI38*($O$35+1)</f>
      </c>
      <c r="DK38" s="217">
        <f>DJ38*($O$35+1)</f>
      </c>
      <c r="DL38" s="217">
        <f>DK38*($O$35+1)</f>
      </c>
      <c r="DM38" s="217">
        <f>DL38*($O$35+1)</f>
      </c>
      <c r="DN38" s="217">
        <f>DM38*($O$35+1)</f>
      </c>
      <c r="DO38" s="217">
        <f>DN38*($O$35+1)</f>
      </c>
      <c r="DP38" s="217">
        <f>DO38*($O$35+1)</f>
      </c>
      <c r="DQ38" s="217">
        <f>DP38*($O$35+1)</f>
      </c>
      <c r="DR38" s="217">
        <f>DQ38*($O$35+1)</f>
      </c>
      <c r="DS38" s="217">
        <f>DR38*($O$35+1)</f>
      </c>
      <c r="DT38" s="217">
        <f>DS38*($O$35+1)</f>
      </c>
      <c r="DU38" s="217">
        <f>DT38*($O$35+1)</f>
      </c>
      <c r="DV38" s="217">
        <f>DU38*($O$35+1)</f>
      </c>
      <c r="DW38" s="217">
        <f>DV38*($O$35+1)</f>
      </c>
      <c r="DX38" s="217">
        <f>DW38*($O$35+1)</f>
      </c>
      <c r="DY38" s="217">
        <f>DX38*($O$35+1)</f>
      </c>
      <c r="DZ38" s="217">
        <f>DY38*($O$35+1)</f>
      </c>
      <c r="EA38" s="217">
        <f>DZ38*($O$35+1)</f>
      </c>
      <c r="EB38" s="217">
        <f>EA38*($O$35+1)</f>
      </c>
      <c r="EC38" s="217">
        <f>EB38*($O$35+1)</f>
      </c>
      <c r="ED38" s="217">
        <f>EC38*($O$35+1)</f>
      </c>
      <c r="EE38" s="217">
        <f>ED38*($O$35+1)</f>
      </c>
      <c r="EF38" s="217">
        <f>EE38*($O$35+1)</f>
      </c>
      <c r="EG38" s="217">
        <f>EF38*($O$35+1)</f>
      </c>
      <c r="EH38" s="217">
        <f>EG38*($O$35+1)</f>
      </c>
      <c r="EI38" s="217">
        <f>EH38*($O$35+1)</f>
      </c>
      <c r="EJ38" s="217">
        <f>EI38*($O$35+1)</f>
      </c>
      <c r="EK38" s="217">
        <f>EJ38*($O$35+1)</f>
      </c>
      <c r="EL38" s="217">
        <f>EK38*($O$35+1)</f>
      </c>
      <c r="EM38" s="217">
        <f>EL38*($O$35+1)</f>
      </c>
      <c r="EN38" s="217">
        <f>EM38*($O$35+1)</f>
      </c>
      <c r="EO38" s="217">
        <f>EN38*($O$35+1)</f>
      </c>
      <c r="EP38" s="217">
        <f>EO38*($O$35+1)</f>
      </c>
    </row>
    <row x14ac:dyDescent="0.25" r="39" customHeight="1" ht="18.75">
      <c r="A39" s="1"/>
      <c r="B39" s="1104">
        <v>2015</v>
      </c>
      <c r="C39" s="1105" t="s">
        <v>1182</v>
      </c>
      <c r="D39" s="1105" t="s">
        <v>1182</v>
      </c>
      <c r="E39" s="1106">
        <v>2.0005092592592595</v>
      </c>
      <c r="F39" s="1083"/>
      <c r="G39" s="1083"/>
      <c r="H39" s="1083"/>
      <c r="I39" s="1083"/>
      <c r="J39" s="169"/>
      <c r="K39" s="169"/>
      <c r="L39" s="169"/>
      <c r="M39" s="169"/>
      <c r="N39" s="169"/>
      <c r="O39" s="169"/>
      <c r="P39" s="169"/>
      <c r="Q39" s="169"/>
      <c r="R39" s="169"/>
      <c r="S39" s="169"/>
      <c r="T39" s="169"/>
      <c r="U39" s="169"/>
      <c r="V39" s="169"/>
      <c r="W39" s="169"/>
      <c r="X39" s="169"/>
      <c r="Y39" s="217">
        <v>1.51</v>
      </c>
      <c r="Z39" s="217">
        <v>1.74</v>
      </c>
      <c r="AA39" s="217">
        <v>1.92</v>
      </c>
      <c r="AB39" s="217">
        <v>2.39</v>
      </c>
      <c r="AC39" s="217">
        <v>2.7</v>
      </c>
      <c r="AD39" s="217">
        <v>3.14</v>
      </c>
      <c r="AE39" s="217">
        <v>3.37</v>
      </c>
      <c r="AF39" s="217">
        <v>3.62</v>
      </c>
      <c r="AG39" s="217">
        <v>3.8</v>
      </c>
      <c r="AH39" s="217">
        <v>3.97</v>
      </c>
      <c r="AI39" s="217">
        <v>4.21</v>
      </c>
      <c r="AJ39" s="217">
        <v>7.72</v>
      </c>
      <c r="AK39" s="217">
        <v>8.22</v>
      </c>
      <c r="AL39" s="217">
        <v>8.68</v>
      </c>
      <c r="AM39" s="217">
        <v>9.03</v>
      </c>
      <c r="AN39" s="217">
        <v>9.35</v>
      </c>
      <c r="AO39" s="217">
        <v>9.68</v>
      </c>
      <c r="AP39" s="217">
        <v>11.74</v>
      </c>
      <c r="AQ39" s="217">
        <v>13.82</v>
      </c>
      <c r="AR39" s="217">
        <v>15.9</v>
      </c>
      <c r="AS39" s="217">
        <v>16.19</v>
      </c>
      <c r="AT39" s="217">
        <v>16.52</v>
      </c>
      <c r="AU39" s="217">
        <v>16.86</v>
      </c>
      <c r="AV39" s="217">
        <v>17.2</v>
      </c>
      <c r="AW39" s="217">
        <v>17.55</v>
      </c>
      <c r="AX39" s="217">
        <v>17.91</v>
      </c>
      <c r="AY39" s="217">
        <v>19.95</v>
      </c>
      <c r="AZ39" s="217">
        <v>21.04</v>
      </c>
      <c r="BA39" s="217">
        <v>22.19</v>
      </c>
      <c r="BB39" s="217">
        <v>23.33</v>
      </c>
      <c r="BC39" s="217">
        <v>24.27</v>
      </c>
      <c r="BD39" s="217">
        <v>24.63</v>
      </c>
      <c r="BE39" s="217">
        <f>BE38/30</f>
      </c>
      <c r="BF39" s="217">
        <f>BF38/30</f>
      </c>
      <c r="BG39" s="217">
        <f>BG38/30</f>
      </c>
      <c r="BH39" s="217">
        <f>BH38/30</f>
      </c>
      <c r="BI39" s="217">
        <f>BI38/30</f>
      </c>
      <c r="BJ39" s="217">
        <f>BJ38/30</f>
      </c>
      <c r="BK39" s="217">
        <f>BK38/30</f>
      </c>
      <c r="BL39" s="170"/>
      <c r="BM39" s="170"/>
      <c r="BN39" s="170"/>
      <c r="BO39" s="170"/>
      <c r="BP39" s="170"/>
      <c r="BQ39" s="170"/>
      <c r="BR39" s="170"/>
      <c r="BS39" s="170"/>
      <c r="BT39" s="170"/>
      <c r="BU39" s="170"/>
      <c r="BV39" s="170"/>
      <c r="BW39" s="170"/>
      <c r="BX39" s="170"/>
      <c r="BY39" s="170"/>
      <c r="BZ39" s="170"/>
      <c r="CA39" s="170"/>
      <c r="CB39" s="170"/>
      <c r="CC39" s="170"/>
      <c r="CD39" s="170"/>
      <c r="CE39" s="170"/>
      <c r="CF39" s="170"/>
      <c r="CG39" s="170"/>
      <c r="CH39" s="170"/>
      <c r="CI39" s="170"/>
      <c r="CJ39" s="170"/>
      <c r="CK39" s="170"/>
      <c r="CL39" s="170"/>
      <c r="CM39" s="170"/>
      <c r="CN39" s="170"/>
      <c r="CO39" s="170"/>
      <c r="CP39" s="170"/>
      <c r="CQ39" s="170"/>
      <c r="CR39" s="170"/>
      <c r="CS39" s="170"/>
      <c r="CT39" s="170"/>
      <c r="CU39" s="170"/>
      <c r="CV39" s="170"/>
      <c r="CW39" s="170"/>
      <c r="CX39" s="170"/>
      <c r="CY39" s="170"/>
      <c r="CZ39" s="170"/>
      <c r="DA39" s="170"/>
      <c r="DB39" s="170"/>
      <c r="DC39" s="170"/>
      <c r="DD39" s="170"/>
      <c r="DE39" s="170"/>
      <c r="DF39" s="170"/>
      <c r="DG39" s="170"/>
      <c r="DH39" s="170"/>
      <c r="DI39" s="170"/>
      <c r="DJ39" s="170"/>
      <c r="DK39" s="170"/>
      <c r="DL39" s="170"/>
      <c r="DM39" s="170"/>
      <c r="DN39" s="170"/>
      <c r="DO39" s="170"/>
      <c r="DP39" s="170"/>
      <c r="DQ39" s="170"/>
      <c r="DR39" s="170"/>
      <c r="DS39" s="170"/>
      <c r="DT39" s="170"/>
      <c r="DU39" s="170"/>
      <c r="DV39" s="170"/>
      <c r="DW39" s="170"/>
      <c r="DX39" s="170"/>
      <c r="DY39" s="170"/>
      <c r="DZ39" s="170"/>
      <c r="EA39" s="170"/>
      <c r="EB39" s="170"/>
      <c r="EC39" s="170"/>
      <c r="ED39" s="170"/>
      <c r="EE39" s="170"/>
      <c r="EF39" s="170"/>
      <c r="EG39" s="170"/>
      <c r="EH39" s="170"/>
      <c r="EI39" s="170"/>
      <c r="EJ39" s="170"/>
      <c r="EK39" s="170"/>
      <c r="EL39" s="170"/>
      <c r="EM39" s="170"/>
      <c r="EN39" s="170"/>
      <c r="EO39" s="170"/>
      <c r="EP39" s="170"/>
    </row>
    <row x14ac:dyDescent="0.25" r="40" customHeight="1" ht="18.75">
      <c r="A40" s="1"/>
      <c r="B40" s="1104">
        <v>2016</v>
      </c>
      <c r="C40" s="1105" t="s">
        <v>1182</v>
      </c>
      <c r="D40" s="1105" t="s">
        <v>1182</v>
      </c>
      <c r="E40" s="1106">
        <v>2.0005092592592595</v>
      </c>
      <c r="F40" s="1083"/>
      <c r="G40" s="1083"/>
      <c r="H40" s="1083"/>
      <c r="I40" s="1083"/>
      <c r="J40" s="169"/>
      <c r="K40" s="169"/>
      <c r="L40" s="169"/>
      <c r="M40" s="169"/>
      <c r="N40" s="169"/>
      <c r="O40" s="169"/>
      <c r="P40" s="169"/>
      <c r="Q40" s="169"/>
      <c r="R40" s="169"/>
      <c r="S40" s="169"/>
      <c r="T40" s="169"/>
      <c r="U40" s="169"/>
      <c r="V40" s="169"/>
      <c r="W40" s="169"/>
      <c r="X40" s="169"/>
      <c r="Y40" s="170"/>
      <c r="Z40" s="170"/>
      <c r="AA40" s="170"/>
      <c r="AB40" s="170"/>
      <c r="AC40" s="170"/>
      <c r="AD40" s="170"/>
      <c r="AE40" s="170"/>
      <c r="AF40" s="170"/>
      <c r="AG40" s="170"/>
      <c r="AH40" s="170"/>
      <c r="AI40" s="170"/>
      <c r="AJ40" s="170"/>
      <c r="AK40" s="170"/>
      <c r="AL40" s="170"/>
      <c r="AM40" s="170"/>
      <c r="AN40" s="170"/>
      <c r="AO40" s="170"/>
      <c r="AP40" s="170"/>
      <c r="AQ40" s="170"/>
      <c r="AR40" s="170"/>
      <c r="AS40" s="170"/>
      <c r="AT40" s="170"/>
      <c r="AU40" s="170"/>
      <c r="AV40" s="170"/>
      <c r="AW40" s="170"/>
      <c r="AX40" s="170"/>
      <c r="AY40" s="170"/>
      <c r="AZ40" s="170"/>
      <c r="BA40" s="170"/>
      <c r="BB40" s="170"/>
      <c r="BC40" s="170"/>
      <c r="BD40" s="170"/>
      <c r="BE40" s="170"/>
      <c r="BF40" s="170"/>
      <c r="BG40" s="170"/>
      <c r="BH40" s="170"/>
      <c r="BI40" s="170"/>
      <c r="BJ40" s="170"/>
      <c r="BK40" s="170"/>
      <c r="BL40" s="170"/>
      <c r="BM40" s="170"/>
      <c r="BN40" s="170"/>
      <c r="BO40" s="170"/>
      <c r="BP40" s="170"/>
      <c r="BQ40" s="170"/>
      <c r="BR40" s="170"/>
      <c r="BS40" s="170"/>
      <c r="BT40" s="170"/>
      <c r="BU40" s="170"/>
      <c r="BV40" s="170"/>
      <c r="BW40" s="170"/>
      <c r="BX40" s="170"/>
      <c r="BY40" s="170"/>
      <c r="BZ40" s="170"/>
      <c r="CA40" s="170"/>
      <c r="CB40" s="170"/>
      <c r="CC40" s="170"/>
      <c r="CD40" s="170"/>
      <c r="CE40" s="170"/>
      <c r="CF40" s="170"/>
      <c r="CG40" s="170"/>
      <c r="CH40" s="170"/>
      <c r="CI40" s="170"/>
      <c r="CJ40" s="170"/>
      <c r="CK40" s="170"/>
      <c r="CL40" s="170"/>
      <c r="CM40" s="170"/>
      <c r="CN40" s="170"/>
      <c r="CO40" s="170"/>
      <c r="CP40" s="170"/>
      <c r="CQ40" s="170"/>
      <c r="CR40" s="170"/>
      <c r="CS40" s="170"/>
      <c r="CT40" s="170"/>
      <c r="CU40" s="170"/>
      <c r="CV40" s="170"/>
      <c r="CW40" s="170"/>
      <c r="CX40" s="170"/>
      <c r="CY40" s="170"/>
      <c r="CZ40" s="170"/>
      <c r="DA40" s="170"/>
      <c r="DB40" s="170"/>
      <c r="DC40" s="170"/>
      <c r="DD40" s="170"/>
      <c r="DE40" s="170"/>
      <c r="DF40" s="170"/>
      <c r="DG40" s="170"/>
      <c r="DH40" s="170"/>
      <c r="DI40" s="170"/>
      <c r="DJ40" s="170"/>
      <c r="DK40" s="170"/>
      <c r="DL40" s="170"/>
      <c r="DM40" s="170"/>
      <c r="DN40" s="170"/>
      <c r="DO40" s="170"/>
      <c r="DP40" s="170"/>
      <c r="DQ40" s="170"/>
      <c r="DR40" s="170"/>
      <c r="DS40" s="170"/>
      <c r="DT40" s="170"/>
      <c r="DU40" s="170"/>
      <c r="DV40" s="170"/>
      <c r="DW40" s="170"/>
      <c r="DX40" s="170"/>
      <c r="DY40" s="170"/>
      <c r="DZ40" s="170"/>
      <c r="EA40" s="170"/>
      <c r="EB40" s="170"/>
      <c r="EC40" s="170"/>
      <c r="ED40" s="170"/>
      <c r="EE40" s="170"/>
      <c r="EF40" s="170"/>
      <c r="EG40" s="170"/>
      <c r="EH40" s="170"/>
      <c r="EI40" s="170"/>
      <c r="EJ40" s="170"/>
      <c r="EK40" s="170"/>
      <c r="EL40" s="170"/>
      <c r="EM40" s="170"/>
      <c r="EN40" s="170"/>
      <c r="EO40" s="170"/>
      <c r="EP40" s="170"/>
    </row>
    <row x14ac:dyDescent="0.25" r="41" customHeight="1" ht="18.75">
      <c r="A41" s="1"/>
      <c r="B41" s="1104">
        <v>2017</v>
      </c>
      <c r="C41" s="1105" t="s">
        <v>1182</v>
      </c>
      <c r="D41" s="1105" t="s">
        <v>1182</v>
      </c>
      <c r="E41" s="1106">
        <v>2.0005092592592595</v>
      </c>
      <c r="F41" s="1083"/>
      <c r="G41" s="1083"/>
      <c r="H41" s="1083"/>
      <c r="I41" s="1083"/>
      <c r="J41" s="169"/>
      <c r="K41" s="169"/>
      <c r="L41" s="169"/>
      <c r="M41" s="169"/>
      <c r="N41" s="169"/>
      <c r="O41" s="169"/>
      <c r="P41" s="169"/>
      <c r="Q41" s="169"/>
      <c r="R41" s="169"/>
      <c r="S41" s="169"/>
      <c r="T41" s="169"/>
      <c r="U41" s="169"/>
      <c r="V41" s="169"/>
      <c r="W41" s="169"/>
      <c r="X41" s="169"/>
      <c r="Y41" s="170"/>
      <c r="Z41" s="170"/>
      <c r="AA41" s="170"/>
      <c r="AB41" s="170"/>
      <c r="AC41" s="170"/>
      <c r="AD41" s="170"/>
      <c r="AE41" s="170"/>
      <c r="AF41" s="170"/>
      <c r="AG41" s="170"/>
      <c r="AH41" s="170"/>
      <c r="AI41" s="170"/>
      <c r="AJ41" s="170"/>
      <c r="AK41" s="170"/>
      <c r="AL41" s="170"/>
      <c r="AM41" s="170"/>
      <c r="AN41" s="170"/>
      <c r="AO41" s="170"/>
      <c r="AP41" s="170"/>
      <c r="AQ41" s="170"/>
      <c r="AR41" s="170"/>
      <c r="AS41" s="170"/>
      <c r="AT41" s="170"/>
      <c r="AU41" s="170"/>
      <c r="AV41" s="170"/>
      <c r="AW41" s="170"/>
      <c r="AX41" s="170"/>
      <c r="AY41" s="170"/>
      <c r="AZ41" s="170"/>
      <c r="BA41" s="170"/>
      <c r="BB41" s="170"/>
      <c r="BC41" s="170"/>
      <c r="BD41" s="170"/>
      <c r="BE41" s="170"/>
      <c r="BF41" s="170"/>
      <c r="BG41" s="170"/>
      <c r="BH41" s="170"/>
      <c r="BI41" s="170"/>
      <c r="BJ41" s="170"/>
      <c r="BK41" s="170"/>
      <c r="BL41" s="170"/>
      <c r="BM41" s="170"/>
      <c r="BN41" s="170"/>
      <c r="BO41" s="170"/>
      <c r="BP41" s="170"/>
      <c r="BQ41" s="170"/>
      <c r="BR41" s="170"/>
      <c r="BS41" s="170"/>
      <c r="BT41" s="170"/>
      <c r="BU41" s="170"/>
      <c r="BV41" s="170"/>
      <c r="BW41" s="170"/>
      <c r="BX41" s="170"/>
      <c r="BY41" s="170"/>
      <c r="BZ41" s="170"/>
      <c r="CA41" s="170"/>
      <c r="CB41" s="170"/>
      <c r="CC41" s="170"/>
      <c r="CD41" s="170"/>
      <c r="CE41" s="170"/>
      <c r="CF41" s="170"/>
      <c r="CG41" s="170"/>
      <c r="CH41" s="170"/>
      <c r="CI41" s="170"/>
      <c r="CJ41" s="170"/>
      <c r="CK41" s="170"/>
      <c r="CL41" s="170"/>
      <c r="CM41" s="170"/>
      <c r="CN41" s="170"/>
      <c r="CO41" s="170"/>
      <c r="CP41" s="170"/>
      <c r="CQ41" s="170"/>
      <c r="CR41" s="170"/>
      <c r="CS41" s="170"/>
      <c r="CT41" s="170"/>
      <c r="CU41" s="170"/>
      <c r="CV41" s="170"/>
      <c r="CW41" s="170"/>
      <c r="CX41" s="170"/>
      <c r="CY41" s="170"/>
      <c r="CZ41" s="170"/>
      <c r="DA41" s="170"/>
      <c r="DB41" s="170"/>
      <c r="DC41" s="170"/>
      <c r="DD41" s="170"/>
      <c r="DE41" s="170"/>
      <c r="DF41" s="170"/>
      <c r="DG41" s="170"/>
      <c r="DH41" s="170"/>
      <c r="DI41" s="170"/>
      <c r="DJ41" s="170"/>
      <c r="DK41" s="170"/>
      <c r="DL41" s="170"/>
      <c r="DM41" s="170"/>
      <c r="DN41" s="170"/>
      <c r="DO41" s="170"/>
      <c r="DP41" s="170"/>
      <c r="DQ41" s="170"/>
      <c r="DR41" s="170"/>
      <c r="DS41" s="170"/>
      <c r="DT41" s="170"/>
      <c r="DU41" s="170"/>
      <c r="DV41" s="170"/>
      <c r="DW41" s="170"/>
      <c r="DX41" s="170"/>
      <c r="DY41" s="170"/>
      <c r="DZ41" s="170"/>
      <c r="EA41" s="170"/>
      <c r="EB41" s="170"/>
      <c r="EC41" s="170"/>
      <c r="ED41" s="170"/>
      <c r="EE41" s="170"/>
      <c r="EF41" s="170"/>
      <c r="EG41" s="170"/>
      <c r="EH41" s="170"/>
      <c r="EI41" s="170"/>
      <c r="EJ41" s="170"/>
      <c r="EK41" s="170"/>
      <c r="EL41" s="170"/>
      <c r="EM41" s="170"/>
      <c r="EN41" s="170"/>
      <c r="EO41" s="170"/>
      <c r="EP41" s="170"/>
    </row>
    <row x14ac:dyDescent="0.25" r="42" customHeight="1" ht="18.75">
      <c r="A42" s="1"/>
      <c r="B42" s="1107">
        <v>2018</v>
      </c>
      <c r="C42" s="1108">
        <v>2.0005092592592595</v>
      </c>
      <c r="D42" s="1109">
        <v>2.0005092592592595</v>
      </c>
      <c r="E42" s="1110">
        <f>+(C42+D42)/2</f>
        <v>25569.041666666668</v>
      </c>
      <c r="F42" s="1083"/>
      <c r="G42" s="1083"/>
      <c r="H42" s="1083"/>
      <c r="I42" s="1083"/>
      <c r="J42" s="169"/>
      <c r="K42" s="169"/>
      <c r="L42" s="169"/>
      <c r="M42" s="169"/>
      <c r="N42" s="169"/>
      <c r="O42" s="169"/>
      <c r="P42" s="169"/>
      <c r="Q42" s="169"/>
      <c r="R42" s="169"/>
      <c r="S42" s="169"/>
      <c r="T42" s="169"/>
      <c r="U42" s="169"/>
      <c r="V42" s="169"/>
      <c r="W42" s="169"/>
      <c r="X42" s="169"/>
      <c r="Y42" s="217"/>
      <c r="Z42" s="217"/>
      <c r="AA42" s="217"/>
      <c r="AB42" s="217"/>
      <c r="AC42" s="217"/>
      <c r="AD42" s="217"/>
      <c r="AE42" s="217"/>
      <c r="AF42" s="217"/>
      <c r="AG42" s="217"/>
      <c r="AH42" s="217"/>
      <c r="AI42" s="217"/>
      <c r="AJ42" s="217"/>
      <c r="AK42" s="217"/>
      <c r="AL42" s="217"/>
      <c r="AM42" s="217"/>
      <c r="AN42" s="217"/>
      <c r="AO42" s="217"/>
      <c r="AP42" s="217"/>
      <c r="AQ42" s="217"/>
      <c r="AR42" s="217"/>
      <c r="AS42" s="217"/>
      <c r="AT42" s="217"/>
      <c r="AU42" s="217"/>
      <c r="AV42" s="217"/>
      <c r="AW42" s="217"/>
      <c r="AX42" s="217"/>
      <c r="AY42" s="217"/>
      <c r="AZ42" s="217"/>
      <c r="BA42" s="217"/>
      <c r="BB42" s="217"/>
      <c r="BC42" s="217"/>
      <c r="BD42" s="217"/>
      <c r="BE42" s="217"/>
      <c r="BF42" s="217"/>
      <c r="BG42" s="217"/>
      <c r="BH42" s="217"/>
      <c r="BI42" s="217"/>
      <c r="BJ42" s="217"/>
      <c r="BK42" s="217"/>
      <c r="BL42" s="217"/>
      <c r="BM42" s="217"/>
      <c r="BN42" s="217"/>
      <c r="BO42" s="217"/>
      <c r="BP42" s="170"/>
      <c r="BQ42" s="170"/>
      <c r="BR42" s="170"/>
      <c r="BS42" s="170"/>
      <c r="BT42" s="170"/>
      <c r="BU42" s="170"/>
      <c r="BV42" s="170"/>
      <c r="BW42" s="170"/>
      <c r="BX42" s="170"/>
      <c r="BY42" s="170"/>
      <c r="BZ42" s="170"/>
      <c r="CA42" s="170"/>
      <c r="CB42" s="170"/>
      <c r="CC42" s="170"/>
      <c r="CD42" s="170"/>
      <c r="CE42" s="170"/>
      <c r="CF42" s="170"/>
      <c r="CG42" s="170"/>
      <c r="CH42" s="170"/>
      <c r="CI42" s="170"/>
      <c r="CJ42" s="170"/>
      <c r="CK42" s="170"/>
      <c r="CL42" s="170"/>
      <c r="CM42" s="170"/>
      <c r="CN42" s="170"/>
      <c r="CO42" s="170"/>
      <c r="CP42" s="170"/>
      <c r="CQ42" s="170"/>
      <c r="CR42" s="170"/>
      <c r="CS42" s="170"/>
      <c r="CT42" s="170"/>
      <c r="CU42" s="170"/>
      <c r="CV42" s="170"/>
      <c r="CW42" s="170"/>
      <c r="CX42" s="170"/>
      <c r="CY42" s="170"/>
      <c r="CZ42" s="170"/>
      <c r="DA42" s="170"/>
      <c r="DB42" s="170"/>
      <c r="DC42" s="170"/>
      <c r="DD42" s="170"/>
      <c r="DE42" s="170"/>
      <c r="DF42" s="170"/>
      <c r="DG42" s="170"/>
      <c r="DH42" s="170"/>
      <c r="DI42" s="170"/>
      <c r="DJ42" s="170"/>
      <c r="DK42" s="170"/>
      <c r="DL42" s="170"/>
      <c r="DM42" s="170"/>
      <c r="DN42" s="170"/>
      <c r="DO42" s="170"/>
      <c r="DP42" s="170"/>
      <c r="DQ42" s="170"/>
      <c r="DR42" s="170"/>
      <c r="DS42" s="170"/>
      <c r="DT42" s="170"/>
      <c r="DU42" s="170"/>
      <c r="DV42" s="170"/>
      <c r="DW42" s="170"/>
      <c r="DX42" s="170"/>
      <c r="DY42" s="170"/>
      <c r="DZ42" s="170"/>
      <c r="EA42" s="170"/>
      <c r="EB42" s="170"/>
      <c r="EC42" s="170"/>
      <c r="ED42" s="170"/>
      <c r="EE42" s="170"/>
      <c r="EF42" s="170"/>
      <c r="EG42" s="170"/>
      <c r="EH42" s="170"/>
      <c r="EI42" s="170"/>
      <c r="EJ42" s="170"/>
      <c r="EK42" s="170"/>
      <c r="EL42" s="170"/>
      <c r="EM42" s="170"/>
      <c r="EN42" s="170"/>
      <c r="EO42" s="170"/>
      <c r="EP42" s="170"/>
    </row>
    <row x14ac:dyDescent="0.25" r="43" customHeight="1" ht="18.75">
      <c r="A43" s="1"/>
      <c r="B43" s="1111">
        <v>2019</v>
      </c>
      <c r="C43" s="1112">
        <v>1.9920138888888888</v>
      </c>
      <c r="D43" s="1113">
        <v>1.9937037037037038</v>
      </c>
      <c r="E43" s="1110">
        <v>2.0005092592592595</v>
      </c>
      <c r="F43" s="1083"/>
      <c r="G43" s="1083"/>
      <c r="H43" s="1083"/>
      <c r="I43" s="1083"/>
      <c r="J43" s="169"/>
      <c r="K43" s="169"/>
      <c r="L43" s="169"/>
      <c r="M43" s="169"/>
      <c r="N43" s="169"/>
      <c r="O43" s="169"/>
      <c r="P43" s="169"/>
      <c r="Q43" s="169"/>
      <c r="R43" s="169"/>
      <c r="S43" s="169"/>
      <c r="T43" s="169"/>
      <c r="U43" s="169"/>
      <c r="V43" s="169"/>
      <c r="W43" s="169"/>
      <c r="X43" s="169"/>
      <c r="Y43" s="170"/>
      <c r="Z43" s="170"/>
      <c r="AA43" s="170"/>
      <c r="AB43" s="170"/>
      <c r="AC43" s="170"/>
      <c r="AD43" s="170"/>
      <c r="AE43" s="170"/>
      <c r="AF43" s="170"/>
      <c r="AG43" s="170"/>
      <c r="AH43" s="170"/>
      <c r="AI43" s="170"/>
      <c r="AJ43" s="170"/>
      <c r="AK43" s="170"/>
      <c r="AL43" s="170"/>
      <c r="AM43" s="170"/>
      <c r="AN43" s="170"/>
      <c r="AO43" s="170"/>
      <c r="AP43" s="170"/>
      <c r="AQ43" s="170"/>
      <c r="AR43" s="170"/>
      <c r="AS43" s="170"/>
      <c r="AT43" s="170"/>
      <c r="AU43" s="170"/>
      <c r="AV43" s="170"/>
      <c r="AW43" s="170"/>
      <c r="AX43" s="170"/>
      <c r="AY43" s="170"/>
      <c r="AZ43" s="170"/>
      <c r="BA43" s="170"/>
      <c r="BB43" s="170"/>
      <c r="BC43" s="170"/>
      <c r="BD43" s="170"/>
      <c r="BE43" s="170"/>
      <c r="BF43" s="170"/>
      <c r="BG43" s="170"/>
      <c r="BH43" s="170"/>
      <c r="BI43" s="170"/>
      <c r="BJ43" s="170"/>
      <c r="BK43" s="170"/>
      <c r="BL43" s="170"/>
      <c r="BM43" s="170"/>
      <c r="BN43" s="170"/>
      <c r="BO43" s="170"/>
      <c r="BP43" s="170"/>
      <c r="BQ43" s="170"/>
      <c r="BR43" s="170"/>
      <c r="BS43" s="170"/>
      <c r="BT43" s="170"/>
      <c r="BU43" s="170"/>
      <c r="BV43" s="170"/>
      <c r="BW43" s="170"/>
      <c r="BX43" s="170"/>
      <c r="BY43" s="170"/>
      <c r="BZ43" s="170"/>
      <c r="CA43" s="170"/>
      <c r="CB43" s="170"/>
      <c r="CC43" s="170"/>
      <c r="CD43" s="170"/>
      <c r="CE43" s="170"/>
      <c r="CF43" s="170"/>
      <c r="CG43" s="170"/>
      <c r="CH43" s="170"/>
      <c r="CI43" s="170"/>
      <c r="CJ43" s="170"/>
      <c r="CK43" s="170"/>
      <c r="CL43" s="170"/>
      <c r="CM43" s="170"/>
      <c r="CN43" s="170"/>
      <c r="CO43" s="170"/>
      <c r="CP43" s="170"/>
      <c r="CQ43" s="170"/>
      <c r="CR43" s="170"/>
      <c r="CS43" s="170"/>
      <c r="CT43" s="170"/>
      <c r="CU43" s="170"/>
      <c r="CV43" s="170"/>
      <c r="CW43" s="170"/>
      <c r="CX43" s="170"/>
      <c r="CY43" s="170"/>
      <c r="CZ43" s="170"/>
      <c r="DA43" s="170"/>
      <c r="DB43" s="170"/>
      <c r="DC43" s="170"/>
      <c r="DD43" s="170"/>
      <c r="DE43" s="170"/>
      <c r="DF43" s="170"/>
      <c r="DG43" s="170"/>
      <c r="DH43" s="170"/>
      <c r="DI43" s="170"/>
      <c r="DJ43" s="170"/>
      <c r="DK43" s="170"/>
      <c r="DL43" s="170"/>
      <c r="DM43" s="170"/>
      <c r="DN43" s="170"/>
      <c r="DO43" s="170"/>
      <c r="DP43" s="170"/>
      <c r="DQ43" s="170"/>
      <c r="DR43" s="170"/>
      <c r="DS43" s="170"/>
      <c r="DT43" s="170"/>
      <c r="DU43" s="170"/>
      <c r="DV43" s="170"/>
      <c r="DW43" s="170"/>
      <c r="DX43" s="170"/>
      <c r="DY43" s="170"/>
      <c r="DZ43" s="170"/>
      <c r="EA43" s="170"/>
      <c r="EB43" s="170"/>
      <c r="EC43" s="170"/>
      <c r="ED43" s="170"/>
      <c r="EE43" s="170"/>
      <c r="EF43" s="170"/>
      <c r="EG43" s="170"/>
      <c r="EH43" s="170"/>
      <c r="EI43" s="170"/>
      <c r="EJ43" s="170"/>
      <c r="EK43" s="170"/>
      <c r="EL43" s="170"/>
      <c r="EM43" s="170"/>
      <c r="EN43" s="170"/>
      <c r="EO43" s="170"/>
      <c r="EP43" s="170"/>
    </row>
    <row x14ac:dyDescent="0.25" r="44" customHeight="1" ht="18.75">
      <c r="A44" s="1"/>
      <c r="B44" s="1114">
        <v>2020</v>
      </c>
      <c r="C44" s="1115">
        <v>1.9835069444444444</v>
      </c>
      <c r="D44" s="1116">
        <v>1.9870138888888889</v>
      </c>
      <c r="E44" s="1110">
        <v>2.0005092592592595</v>
      </c>
      <c r="F44" s="1083"/>
      <c r="G44" s="1083"/>
      <c r="H44" s="1083"/>
      <c r="I44" s="1083"/>
      <c r="J44" s="169"/>
      <c r="K44" s="169"/>
      <c r="L44" s="169"/>
      <c r="M44" s="169"/>
      <c r="N44" s="169"/>
      <c r="O44" s="169"/>
      <c r="P44" s="169"/>
      <c r="Q44" s="169"/>
      <c r="R44" s="169"/>
      <c r="S44" s="169"/>
      <c r="T44" s="169"/>
      <c r="U44" s="169"/>
      <c r="V44" s="169"/>
      <c r="W44" s="169"/>
      <c r="X44" s="169"/>
      <c r="Y44" s="170"/>
      <c r="Z44" s="170"/>
      <c r="AA44" s="170"/>
      <c r="AB44" s="170"/>
      <c r="AC44" s="170"/>
      <c r="AD44" s="170"/>
      <c r="AE44" s="170"/>
      <c r="AF44" s="170"/>
      <c r="AG44" s="170"/>
      <c r="AH44" s="170"/>
      <c r="AI44" s="170"/>
      <c r="AJ44" s="170"/>
      <c r="AK44" s="170"/>
      <c r="AL44" s="170"/>
      <c r="AM44" s="170"/>
      <c r="AN44" s="170"/>
      <c r="AO44" s="170"/>
      <c r="AP44" s="170"/>
      <c r="AQ44" s="170"/>
      <c r="AR44" s="170"/>
      <c r="AS44" s="170"/>
      <c r="AT44" s="170"/>
      <c r="AU44" s="170"/>
      <c r="AV44" s="170"/>
      <c r="AW44" s="170"/>
      <c r="AX44" s="170"/>
      <c r="AY44" s="170"/>
      <c r="AZ44" s="170"/>
      <c r="BA44" s="170"/>
      <c r="BB44" s="170"/>
      <c r="BC44" s="170"/>
      <c r="BD44" s="170"/>
      <c r="BE44" s="170"/>
      <c r="BF44" s="170"/>
      <c r="BG44" s="170"/>
      <c r="BH44" s="170"/>
      <c r="BI44" s="170"/>
      <c r="BJ44" s="170"/>
      <c r="BK44" s="170"/>
      <c r="BL44" s="170"/>
      <c r="BM44" s="170"/>
      <c r="BN44" s="170"/>
      <c r="BO44" s="170"/>
      <c r="BP44" s="170"/>
      <c r="BQ44" s="170"/>
      <c r="BR44" s="170"/>
      <c r="BS44" s="170"/>
      <c r="BT44" s="170"/>
      <c r="BU44" s="170"/>
      <c r="BV44" s="170"/>
      <c r="BW44" s="170"/>
      <c r="BX44" s="170"/>
      <c r="BY44" s="170"/>
      <c r="BZ44" s="170"/>
      <c r="CA44" s="170"/>
      <c r="CB44" s="170"/>
      <c r="CC44" s="170"/>
      <c r="CD44" s="170"/>
      <c r="CE44" s="170"/>
      <c r="CF44" s="170"/>
      <c r="CG44" s="170"/>
      <c r="CH44" s="170"/>
      <c r="CI44" s="170"/>
      <c r="CJ44" s="170"/>
      <c r="CK44" s="170"/>
      <c r="CL44" s="170"/>
      <c r="CM44" s="170"/>
      <c r="CN44" s="170"/>
      <c r="CO44" s="170"/>
      <c r="CP44" s="170"/>
      <c r="CQ44" s="170"/>
      <c r="CR44" s="170"/>
      <c r="CS44" s="170"/>
      <c r="CT44" s="170"/>
      <c r="CU44" s="170"/>
      <c r="CV44" s="170"/>
      <c r="CW44" s="170"/>
      <c r="CX44" s="170"/>
      <c r="CY44" s="170"/>
      <c r="CZ44" s="170"/>
      <c r="DA44" s="170"/>
      <c r="DB44" s="170"/>
      <c r="DC44" s="170"/>
      <c r="DD44" s="170"/>
      <c r="DE44" s="170"/>
      <c r="DF44" s="170"/>
      <c r="DG44" s="170"/>
      <c r="DH44" s="170"/>
      <c r="DI44" s="170"/>
      <c r="DJ44" s="170"/>
      <c r="DK44" s="170"/>
      <c r="DL44" s="170"/>
      <c r="DM44" s="170"/>
      <c r="DN44" s="170"/>
      <c r="DO44" s="170"/>
      <c r="DP44" s="170"/>
      <c r="DQ44" s="170"/>
      <c r="DR44" s="170"/>
      <c r="DS44" s="170"/>
      <c r="DT44" s="170"/>
      <c r="DU44" s="170"/>
      <c r="DV44" s="170"/>
      <c r="DW44" s="170"/>
      <c r="DX44" s="170"/>
      <c r="DY44" s="170"/>
      <c r="DZ44" s="170"/>
      <c r="EA44" s="170"/>
      <c r="EB44" s="170"/>
      <c r="EC44" s="170"/>
      <c r="ED44" s="170"/>
      <c r="EE44" s="170"/>
      <c r="EF44" s="170"/>
      <c r="EG44" s="170"/>
      <c r="EH44" s="170"/>
      <c r="EI44" s="170"/>
      <c r="EJ44" s="170"/>
      <c r="EK44" s="170"/>
      <c r="EL44" s="170"/>
      <c r="EM44" s="170"/>
      <c r="EN44" s="170"/>
      <c r="EO44" s="170"/>
      <c r="EP44" s="170"/>
    </row>
    <row x14ac:dyDescent="0.25" r="45" customHeight="1" ht="18.75">
      <c r="A45" s="1"/>
      <c r="B45" s="1114">
        <v>2021</v>
      </c>
      <c r="C45" s="1115">
        <v>1.9751041666666667</v>
      </c>
      <c r="D45" s="1116">
        <v>1.9803125000000001</v>
      </c>
      <c r="E45" s="1110">
        <v>2.0005092592592595</v>
      </c>
      <c r="F45" s="1083"/>
      <c r="G45" s="1083"/>
      <c r="H45" s="1083"/>
      <c r="I45" s="1083"/>
      <c r="J45" s="169"/>
      <c r="K45" s="169"/>
      <c r="L45" s="169"/>
      <c r="M45" s="169"/>
      <c r="N45" s="169"/>
      <c r="O45" s="169"/>
      <c r="P45" s="169"/>
      <c r="Q45" s="169"/>
      <c r="R45" s="169"/>
      <c r="S45" s="169"/>
      <c r="T45" s="169"/>
      <c r="U45" s="169"/>
      <c r="V45" s="169"/>
      <c r="W45" s="169"/>
      <c r="X45" s="169"/>
      <c r="Y45" s="170"/>
      <c r="Z45" s="170"/>
      <c r="AA45" s="170"/>
      <c r="AB45" s="170"/>
      <c r="AC45" s="170"/>
      <c r="AD45" s="170"/>
      <c r="AE45" s="170"/>
      <c r="AF45" s="170"/>
      <c r="AG45" s="170"/>
      <c r="AH45" s="170"/>
      <c r="AI45" s="170"/>
      <c r="AJ45" s="170"/>
      <c r="AK45" s="170"/>
      <c r="AL45" s="170"/>
      <c r="AM45" s="170"/>
      <c r="AN45" s="170"/>
      <c r="AO45" s="170"/>
      <c r="AP45" s="170"/>
      <c r="AQ45" s="170"/>
      <c r="AR45" s="170"/>
      <c r="AS45" s="170"/>
      <c r="AT45" s="170"/>
      <c r="AU45" s="170"/>
      <c r="AV45" s="170"/>
      <c r="AW45" s="170"/>
      <c r="AX45" s="170"/>
      <c r="AY45" s="170"/>
      <c r="AZ45" s="170"/>
      <c r="BA45" s="170"/>
      <c r="BB45" s="170"/>
      <c r="BC45" s="170"/>
      <c r="BD45" s="170"/>
      <c r="BE45" s="170"/>
      <c r="BF45" s="170"/>
      <c r="BG45" s="170"/>
      <c r="BH45" s="170"/>
      <c r="BI45" s="170"/>
      <c r="BJ45" s="170"/>
      <c r="BK45" s="170"/>
      <c r="BL45" s="170"/>
      <c r="BM45" s="170"/>
      <c r="BN45" s="170"/>
      <c r="BO45" s="170"/>
      <c r="BP45" s="170"/>
      <c r="BQ45" s="170"/>
      <c r="BR45" s="170"/>
      <c r="BS45" s="170"/>
      <c r="BT45" s="170"/>
      <c r="BU45" s="170"/>
      <c r="BV45" s="170"/>
      <c r="BW45" s="170"/>
      <c r="BX45" s="170"/>
      <c r="BY45" s="170"/>
      <c r="BZ45" s="170"/>
      <c r="CA45" s="170"/>
      <c r="CB45" s="170"/>
      <c r="CC45" s="170"/>
      <c r="CD45" s="170"/>
      <c r="CE45" s="170"/>
      <c r="CF45" s="170"/>
      <c r="CG45" s="170"/>
      <c r="CH45" s="170"/>
      <c r="CI45" s="170"/>
      <c r="CJ45" s="170"/>
      <c r="CK45" s="170"/>
      <c r="CL45" s="170"/>
      <c r="CM45" s="170"/>
      <c r="CN45" s="170"/>
      <c r="CO45" s="170"/>
      <c r="CP45" s="170"/>
      <c r="CQ45" s="170"/>
      <c r="CR45" s="170"/>
      <c r="CS45" s="170"/>
      <c r="CT45" s="170"/>
      <c r="CU45" s="170"/>
      <c r="CV45" s="170"/>
      <c r="CW45" s="170"/>
      <c r="CX45" s="170"/>
      <c r="CY45" s="170"/>
      <c r="CZ45" s="170"/>
      <c r="DA45" s="170"/>
      <c r="DB45" s="170"/>
      <c r="DC45" s="170"/>
      <c r="DD45" s="170"/>
      <c r="DE45" s="170"/>
      <c r="DF45" s="170"/>
      <c r="DG45" s="170"/>
      <c r="DH45" s="170"/>
      <c r="DI45" s="170"/>
      <c r="DJ45" s="170"/>
      <c r="DK45" s="170"/>
      <c r="DL45" s="170"/>
      <c r="DM45" s="170"/>
      <c r="DN45" s="170"/>
      <c r="DO45" s="170"/>
      <c r="DP45" s="170"/>
      <c r="DQ45" s="170"/>
      <c r="DR45" s="170"/>
      <c r="DS45" s="170"/>
      <c r="DT45" s="170"/>
      <c r="DU45" s="170"/>
      <c r="DV45" s="170"/>
      <c r="DW45" s="170"/>
      <c r="DX45" s="170"/>
      <c r="DY45" s="170"/>
      <c r="DZ45" s="170"/>
      <c r="EA45" s="170"/>
      <c r="EB45" s="170"/>
      <c r="EC45" s="170"/>
      <c r="ED45" s="170"/>
      <c r="EE45" s="170"/>
      <c r="EF45" s="170"/>
      <c r="EG45" s="170"/>
      <c r="EH45" s="170"/>
      <c r="EI45" s="170"/>
      <c r="EJ45" s="170"/>
      <c r="EK45" s="170"/>
      <c r="EL45" s="170"/>
      <c r="EM45" s="170"/>
      <c r="EN45" s="170"/>
      <c r="EO45" s="170"/>
      <c r="EP45" s="170"/>
    </row>
    <row x14ac:dyDescent="0.25" r="46" customHeight="1" ht="18.75">
      <c r="A46" s="1"/>
      <c r="B46" s="1114">
        <v>2022</v>
      </c>
      <c r="C46" s="1115">
        <v>1.9668055555555557</v>
      </c>
      <c r="D46" s="1116">
        <v>1.9737037037037037</v>
      </c>
      <c r="E46" s="1110">
        <v>2.0005092592592595</v>
      </c>
      <c r="F46" s="1083"/>
      <c r="G46" s="1083"/>
      <c r="H46" s="1083"/>
      <c r="I46" s="1083"/>
      <c r="J46" s="169"/>
      <c r="K46" s="169"/>
      <c r="L46" s="169"/>
      <c r="M46" s="169"/>
      <c r="N46" s="169"/>
      <c r="O46" s="169"/>
      <c r="P46" s="169"/>
      <c r="Q46" s="169"/>
      <c r="R46" s="169"/>
      <c r="S46" s="169"/>
      <c r="T46" s="169"/>
      <c r="U46" s="169"/>
      <c r="V46" s="169"/>
      <c r="W46" s="169"/>
      <c r="X46" s="169"/>
      <c r="Y46" s="170"/>
      <c r="Z46" s="170"/>
      <c r="AA46" s="170"/>
      <c r="AB46" s="170"/>
      <c r="AC46" s="170"/>
      <c r="AD46" s="170"/>
      <c r="AE46" s="170"/>
      <c r="AF46" s="170"/>
      <c r="AG46" s="170"/>
      <c r="AH46" s="170"/>
      <c r="AI46" s="170"/>
      <c r="AJ46" s="170"/>
      <c r="AK46" s="170"/>
      <c r="AL46" s="170"/>
      <c r="AM46" s="170"/>
      <c r="AN46" s="170"/>
      <c r="AO46" s="170"/>
      <c r="AP46" s="170"/>
      <c r="AQ46" s="170"/>
      <c r="AR46" s="170"/>
      <c r="AS46" s="170"/>
      <c r="AT46" s="170"/>
      <c r="AU46" s="170"/>
      <c r="AV46" s="170"/>
      <c r="AW46" s="170"/>
      <c r="AX46" s="170"/>
      <c r="AY46" s="170"/>
      <c r="AZ46" s="170"/>
      <c r="BA46" s="170"/>
      <c r="BB46" s="170"/>
      <c r="BC46" s="170"/>
      <c r="BD46" s="170"/>
      <c r="BE46" s="170"/>
      <c r="BF46" s="170"/>
      <c r="BG46" s="170"/>
      <c r="BH46" s="170"/>
      <c r="BI46" s="170"/>
      <c r="BJ46" s="170"/>
      <c r="BK46" s="170"/>
      <c r="BL46" s="170"/>
      <c r="BM46" s="170"/>
      <c r="BN46" s="170"/>
      <c r="BO46" s="170"/>
      <c r="BP46" s="170"/>
      <c r="BQ46" s="170"/>
      <c r="BR46" s="170"/>
      <c r="BS46" s="170"/>
      <c r="BT46" s="170"/>
      <c r="BU46" s="170"/>
      <c r="BV46" s="170"/>
      <c r="BW46" s="170"/>
      <c r="BX46" s="170"/>
      <c r="BY46" s="170"/>
      <c r="BZ46" s="170"/>
      <c r="CA46" s="170"/>
      <c r="CB46" s="170"/>
      <c r="CC46" s="170"/>
      <c r="CD46" s="170"/>
      <c r="CE46" s="170"/>
      <c r="CF46" s="170"/>
      <c r="CG46" s="170"/>
      <c r="CH46" s="170"/>
      <c r="CI46" s="170"/>
      <c r="CJ46" s="170"/>
      <c r="CK46" s="170"/>
      <c r="CL46" s="170"/>
      <c r="CM46" s="170"/>
      <c r="CN46" s="170"/>
      <c r="CO46" s="170"/>
      <c r="CP46" s="170"/>
      <c r="CQ46" s="170"/>
      <c r="CR46" s="170"/>
      <c r="CS46" s="170"/>
      <c r="CT46" s="170"/>
      <c r="CU46" s="170"/>
      <c r="CV46" s="170"/>
      <c r="CW46" s="170"/>
      <c r="CX46" s="170"/>
      <c r="CY46" s="170"/>
      <c r="CZ46" s="170"/>
      <c r="DA46" s="170"/>
      <c r="DB46" s="170"/>
      <c r="DC46" s="170"/>
      <c r="DD46" s="170"/>
      <c r="DE46" s="170"/>
      <c r="DF46" s="170"/>
      <c r="DG46" s="170"/>
      <c r="DH46" s="170"/>
      <c r="DI46" s="170"/>
      <c r="DJ46" s="170"/>
      <c r="DK46" s="170"/>
      <c r="DL46" s="170"/>
      <c r="DM46" s="170"/>
      <c r="DN46" s="170"/>
      <c r="DO46" s="170"/>
      <c r="DP46" s="170"/>
      <c r="DQ46" s="170"/>
      <c r="DR46" s="170"/>
      <c r="DS46" s="170"/>
      <c r="DT46" s="170"/>
      <c r="DU46" s="170"/>
      <c r="DV46" s="170"/>
      <c r="DW46" s="170"/>
      <c r="DX46" s="170"/>
      <c r="DY46" s="170"/>
      <c r="DZ46" s="170"/>
      <c r="EA46" s="170"/>
      <c r="EB46" s="170"/>
      <c r="EC46" s="170"/>
      <c r="ED46" s="170"/>
      <c r="EE46" s="170"/>
      <c r="EF46" s="170"/>
      <c r="EG46" s="170"/>
      <c r="EH46" s="170"/>
      <c r="EI46" s="170"/>
      <c r="EJ46" s="170"/>
      <c r="EK46" s="170"/>
      <c r="EL46" s="170"/>
      <c r="EM46" s="170"/>
      <c r="EN46" s="170"/>
      <c r="EO46" s="170"/>
      <c r="EP46" s="170"/>
    </row>
    <row x14ac:dyDescent="0.25" r="47" customHeight="1" ht="18.75">
      <c r="A47" s="1"/>
      <c r="B47" s="1117">
        <v>2023</v>
      </c>
      <c r="C47" s="1118">
        <v>1.958611111111111</v>
      </c>
      <c r="D47" s="1119">
        <v>1.9671064814814816</v>
      </c>
      <c r="E47" s="1120">
        <f>+(C47+D47)/2</f>
        <v>25569.041666666668</v>
      </c>
      <c r="F47" s="1083"/>
      <c r="G47" s="1083"/>
      <c r="H47" s="1083"/>
      <c r="I47" s="1083"/>
      <c r="J47" s="169"/>
      <c r="K47" s="169"/>
      <c r="L47" s="169"/>
      <c r="M47" s="169"/>
      <c r="N47" s="169"/>
      <c r="O47" s="169"/>
      <c r="P47" s="169"/>
      <c r="Q47" s="169"/>
      <c r="R47" s="169"/>
      <c r="S47" s="169"/>
      <c r="T47" s="169"/>
      <c r="U47" s="169"/>
      <c r="V47" s="169"/>
      <c r="W47" s="169"/>
      <c r="X47" s="169"/>
      <c r="Y47" s="170"/>
      <c r="Z47" s="170"/>
      <c r="AA47" s="170"/>
      <c r="AB47" s="170"/>
      <c r="AC47" s="170"/>
      <c r="AD47" s="170"/>
      <c r="AE47" s="170"/>
      <c r="AF47" s="170"/>
      <c r="AG47" s="170"/>
      <c r="AH47" s="170"/>
      <c r="AI47" s="170"/>
      <c r="AJ47" s="170"/>
      <c r="AK47" s="170"/>
      <c r="AL47" s="170"/>
      <c r="AM47" s="170"/>
      <c r="AN47" s="170"/>
      <c r="AO47" s="170"/>
      <c r="AP47" s="170"/>
      <c r="AQ47" s="170"/>
      <c r="AR47" s="170"/>
      <c r="AS47" s="170"/>
      <c r="AT47" s="170"/>
      <c r="AU47" s="170"/>
      <c r="AV47" s="170"/>
      <c r="AW47" s="170"/>
      <c r="AX47" s="170"/>
      <c r="AY47" s="170"/>
      <c r="AZ47" s="170"/>
      <c r="BA47" s="170"/>
      <c r="BB47" s="170"/>
      <c r="BC47" s="170"/>
      <c r="BD47" s="170"/>
      <c r="BE47" s="170"/>
      <c r="BF47" s="170"/>
      <c r="BG47" s="170"/>
      <c r="BH47" s="170"/>
      <c r="BI47" s="170"/>
      <c r="BJ47" s="170"/>
      <c r="BK47" s="170"/>
      <c r="BL47" s="170"/>
      <c r="BM47" s="170"/>
      <c r="BN47" s="170"/>
      <c r="BO47" s="170"/>
      <c r="BP47" s="170"/>
      <c r="BQ47" s="170"/>
      <c r="BR47" s="170"/>
      <c r="BS47" s="170"/>
      <c r="BT47" s="170"/>
      <c r="BU47" s="170"/>
      <c r="BV47" s="170"/>
      <c r="BW47" s="170"/>
      <c r="BX47" s="170"/>
      <c r="BY47" s="170"/>
      <c r="BZ47" s="170"/>
      <c r="CA47" s="170"/>
      <c r="CB47" s="170"/>
      <c r="CC47" s="170"/>
      <c r="CD47" s="170"/>
      <c r="CE47" s="170"/>
      <c r="CF47" s="170"/>
      <c r="CG47" s="170"/>
      <c r="CH47" s="170"/>
      <c r="CI47" s="170"/>
      <c r="CJ47" s="170"/>
      <c r="CK47" s="170"/>
      <c r="CL47" s="170"/>
      <c r="CM47" s="170"/>
      <c r="CN47" s="170"/>
      <c r="CO47" s="170"/>
      <c r="CP47" s="170"/>
      <c r="CQ47" s="170"/>
      <c r="CR47" s="170"/>
      <c r="CS47" s="170"/>
      <c r="CT47" s="170"/>
      <c r="CU47" s="170"/>
      <c r="CV47" s="170"/>
      <c r="CW47" s="170"/>
      <c r="CX47" s="170"/>
      <c r="CY47" s="170"/>
      <c r="CZ47" s="170"/>
      <c r="DA47" s="170"/>
      <c r="DB47" s="170"/>
      <c r="DC47" s="170"/>
      <c r="DD47" s="170"/>
      <c r="DE47" s="170"/>
      <c r="DF47" s="170"/>
      <c r="DG47" s="170"/>
      <c r="DH47" s="170"/>
      <c r="DI47" s="170"/>
      <c r="DJ47" s="170"/>
      <c r="DK47" s="170"/>
      <c r="DL47" s="170"/>
      <c r="DM47" s="170"/>
      <c r="DN47" s="170"/>
      <c r="DO47" s="170"/>
      <c r="DP47" s="170"/>
      <c r="DQ47" s="170"/>
      <c r="DR47" s="170"/>
      <c r="DS47" s="170"/>
      <c r="DT47" s="170"/>
      <c r="DU47" s="170"/>
      <c r="DV47" s="170"/>
      <c r="DW47" s="170"/>
      <c r="DX47" s="170"/>
      <c r="DY47" s="170"/>
      <c r="DZ47" s="170"/>
      <c r="EA47" s="170"/>
      <c r="EB47" s="170"/>
      <c r="EC47" s="170"/>
      <c r="ED47" s="170"/>
      <c r="EE47" s="170"/>
      <c r="EF47" s="170"/>
      <c r="EG47" s="170"/>
      <c r="EH47" s="170"/>
      <c r="EI47" s="170"/>
      <c r="EJ47" s="170"/>
      <c r="EK47" s="170"/>
      <c r="EL47" s="170"/>
      <c r="EM47" s="170"/>
      <c r="EN47" s="170"/>
      <c r="EO47" s="170"/>
      <c r="EP47" s="170"/>
    </row>
    <row x14ac:dyDescent="0.25" r="48" customHeight="1" ht="18.75">
      <c r="A48" s="1"/>
      <c r="B48" s="1121">
        <v>2024</v>
      </c>
      <c r="C48" s="1122">
        <v>1.9509143518518517</v>
      </c>
      <c r="D48" s="1123">
        <v>1.9610069444444445</v>
      </c>
      <c r="E48" s="1124">
        <f>+(C48+D48)/2</f>
        <v>25569.041666666668</v>
      </c>
      <c r="F48" s="1083"/>
      <c r="G48" s="1083"/>
      <c r="H48" s="1083"/>
      <c r="I48" s="1083"/>
      <c r="J48" s="169"/>
      <c r="K48" s="169"/>
      <c r="L48" s="169"/>
      <c r="M48" s="169"/>
      <c r="N48" s="169"/>
      <c r="O48" s="169"/>
      <c r="P48" s="169"/>
      <c r="Q48" s="169"/>
      <c r="R48" s="169"/>
      <c r="S48" s="169"/>
      <c r="T48" s="169"/>
      <c r="U48" s="169"/>
      <c r="V48" s="169"/>
      <c r="W48" s="169"/>
      <c r="X48" s="169"/>
      <c r="Y48" s="170"/>
      <c r="Z48" s="170"/>
      <c r="AA48" s="170"/>
      <c r="AB48" s="170"/>
      <c r="AC48" s="170"/>
      <c r="AD48" s="170"/>
      <c r="AE48" s="170"/>
      <c r="AF48" s="170"/>
      <c r="AG48" s="170"/>
      <c r="AH48" s="170"/>
      <c r="AI48" s="170"/>
      <c r="AJ48" s="170"/>
      <c r="AK48" s="170"/>
      <c r="AL48" s="170"/>
      <c r="AM48" s="170"/>
      <c r="AN48" s="170"/>
      <c r="AO48" s="170"/>
      <c r="AP48" s="170"/>
      <c r="AQ48" s="170"/>
      <c r="AR48" s="170"/>
      <c r="AS48" s="170"/>
      <c r="AT48" s="170"/>
      <c r="AU48" s="170"/>
      <c r="AV48" s="170"/>
      <c r="AW48" s="170"/>
      <c r="AX48" s="170"/>
      <c r="AY48" s="170"/>
      <c r="AZ48" s="170"/>
      <c r="BA48" s="170"/>
      <c r="BB48" s="170"/>
      <c r="BC48" s="170"/>
      <c r="BD48" s="170"/>
      <c r="BE48" s="170"/>
      <c r="BF48" s="170"/>
      <c r="BG48" s="170"/>
      <c r="BH48" s="170"/>
      <c r="BI48" s="170"/>
      <c r="BJ48" s="170"/>
      <c r="BK48" s="170"/>
      <c r="BL48" s="170"/>
      <c r="BM48" s="170"/>
      <c r="BN48" s="170"/>
      <c r="BO48" s="170"/>
      <c r="BP48" s="170"/>
      <c r="BQ48" s="170"/>
      <c r="BR48" s="170"/>
      <c r="BS48" s="170"/>
      <c r="BT48" s="170"/>
      <c r="BU48" s="170"/>
      <c r="BV48" s="170"/>
      <c r="BW48" s="170"/>
      <c r="BX48" s="170"/>
      <c r="BY48" s="170"/>
      <c r="BZ48" s="170"/>
      <c r="CA48" s="170"/>
      <c r="CB48" s="170"/>
      <c r="CC48" s="170"/>
      <c r="CD48" s="170"/>
      <c r="CE48" s="170"/>
      <c r="CF48" s="170"/>
      <c r="CG48" s="170"/>
      <c r="CH48" s="170"/>
      <c r="CI48" s="170"/>
      <c r="CJ48" s="170"/>
      <c r="CK48" s="170"/>
      <c r="CL48" s="170"/>
      <c r="CM48" s="170"/>
      <c r="CN48" s="170"/>
      <c r="CO48" s="170"/>
      <c r="CP48" s="170"/>
      <c r="CQ48" s="170"/>
      <c r="CR48" s="170"/>
      <c r="CS48" s="170"/>
      <c r="CT48" s="170"/>
      <c r="CU48" s="170"/>
      <c r="CV48" s="170"/>
      <c r="CW48" s="170"/>
      <c r="CX48" s="170"/>
      <c r="CY48" s="170"/>
      <c r="CZ48" s="170"/>
      <c r="DA48" s="170"/>
      <c r="DB48" s="170"/>
      <c r="DC48" s="170"/>
      <c r="DD48" s="170"/>
      <c r="DE48" s="170"/>
      <c r="DF48" s="170"/>
      <c r="DG48" s="170"/>
      <c r="DH48" s="170"/>
      <c r="DI48" s="170"/>
      <c r="DJ48" s="170"/>
      <c r="DK48" s="170"/>
      <c r="DL48" s="170"/>
      <c r="DM48" s="170"/>
      <c r="DN48" s="170"/>
      <c r="DO48" s="170"/>
      <c r="DP48" s="170"/>
      <c r="DQ48" s="170"/>
      <c r="DR48" s="170"/>
      <c r="DS48" s="170"/>
      <c r="DT48" s="170"/>
      <c r="DU48" s="170"/>
      <c r="DV48" s="170"/>
      <c r="DW48" s="170"/>
      <c r="DX48" s="170"/>
      <c r="DY48" s="170"/>
      <c r="DZ48" s="170"/>
      <c r="EA48" s="170"/>
      <c r="EB48" s="170"/>
      <c r="EC48" s="170"/>
      <c r="ED48" s="170"/>
      <c r="EE48" s="170"/>
      <c r="EF48" s="170"/>
      <c r="EG48" s="170"/>
      <c r="EH48" s="170"/>
      <c r="EI48" s="170"/>
      <c r="EJ48" s="170"/>
      <c r="EK48" s="170"/>
      <c r="EL48" s="170"/>
      <c r="EM48" s="170"/>
      <c r="EN48" s="170"/>
      <c r="EO48" s="170"/>
      <c r="EP48" s="170"/>
    </row>
    <row x14ac:dyDescent="0.25" r="49" customHeight="1" ht="18.75">
      <c r="A49" s="1"/>
      <c r="B49" s="1125">
        <v>2025</v>
      </c>
      <c r="C49" s="1126">
        <v>1.9432060185185185</v>
      </c>
      <c r="D49" s="1127">
        <v>1.955011574074074</v>
      </c>
      <c r="E49" s="1128">
        <f>+(C49+D49)/2</f>
        <v>25569.041666666668</v>
      </c>
      <c r="F49" s="1083"/>
      <c r="G49" s="1083"/>
      <c r="H49" s="1083"/>
      <c r="I49" s="1083"/>
      <c r="J49" s="169"/>
      <c r="K49" s="169"/>
      <c r="L49" s="169"/>
      <c r="M49" s="169"/>
      <c r="N49" s="169"/>
      <c r="O49" s="169"/>
      <c r="P49" s="169"/>
      <c r="Q49" s="169"/>
      <c r="R49" s="169"/>
      <c r="S49" s="169"/>
      <c r="T49" s="169"/>
      <c r="U49" s="169"/>
      <c r="V49" s="169"/>
      <c r="W49" s="169"/>
      <c r="X49" s="169"/>
      <c r="Y49" s="170"/>
      <c r="Z49" s="170"/>
      <c r="AA49" s="170"/>
      <c r="AB49" s="170"/>
      <c r="AC49" s="170"/>
      <c r="AD49" s="170"/>
      <c r="AE49" s="170"/>
      <c r="AF49" s="170"/>
      <c r="AG49" s="170"/>
      <c r="AH49" s="170"/>
      <c r="AI49" s="170"/>
      <c r="AJ49" s="170"/>
      <c r="AK49" s="170"/>
      <c r="AL49" s="170"/>
      <c r="AM49" s="170"/>
      <c r="AN49" s="170"/>
      <c r="AO49" s="170"/>
      <c r="AP49" s="170"/>
      <c r="AQ49" s="170"/>
      <c r="AR49" s="170"/>
      <c r="AS49" s="170"/>
      <c r="AT49" s="170"/>
      <c r="AU49" s="170"/>
      <c r="AV49" s="170"/>
      <c r="AW49" s="170"/>
      <c r="AX49" s="170"/>
      <c r="AY49" s="170"/>
      <c r="AZ49" s="170"/>
      <c r="BA49" s="170"/>
      <c r="BB49" s="170"/>
      <c r="BC49" s="170"/>
      <c r="BD49" s="170"/>
      <c r="BE49" s="170"/>
      <c r="BF49" s="170"/>
      <c r="BG49" s="170"/>
      <c r="BH49" s="170"/>
      <c r="BI49" s="170"/>
      <c r="BJ49" s="170"/>
      <c r="BK49" s="170"/>
      <c r="BL49" s="170"/>
      <c r="BM49" s="170"/>
      <c r="BN49" s="170"/>
      <c r="BO49" s="170"/>
      <c r="BP49" s="170"/>
      <c r="BQ49" s="170"/>
      <c r="BR49" s="170"/>
      <c r="BS49" s="170"/>
      <c r="BT49" s="170"/>
      <c r="BU49" s="170"/>
      <c r="BV49" s="170"/>
      <c r="BW49" s="170"/>
      <c r="BX49" s="170"/>
      <c r="BY49" s="170"/>
      <c r="BZ49" s="170"/>
      <c r="CA49" s="170"/>
      <c r="CB49" s="170"/>
      <c r="CC49" s="170"/>
      <c r="CD49" s="170"/>
      <c r="CE49" s="170"/>
      <c r="CF49" s="170"/>
      <c r="CG49" s="170"/>
      <c r="CH49" s="170"/>
      <c r="CI49" s="170"/>
      <c r="CJ49" s="170"/>
      <c r="CK49" s="170"/>
      <c r="CL49" s="170"/>
      <c r="CM49" s="170"/>
      <c r="CN49" s="170"/>
      <c r="CO49" s="170"/>
      <c r="CP49" s="170"/>
      <c r="CQ49" s="170"/>
      <c r="CR49" s="170"/>
      <c r="CS49" s="170"/>
      <c r="CT49" s="170"/>
      <c r="CU49" s="170"/>
      <c r="CV49" s="170"/>
      <c r="CW49" s="170"/>
      <c r="CX49" s="170"/>
      <c r="CY49" s="170"/>
      <c r="CZ49" s="170"/>
      <c r="DA49" s="170"/>
      <c r="DB49" s="170"/>
      <c r="DC49" s="170"/>
      <c r="DD49" s="170"/>
      <c r="DE49" s="170"/>
      <c r="DF49" s="170"/>
      <c r="DG49" s="170"/>
      <c r="DH49" s="170"/>
      <c r="DI49" s="170"/>
      <c r="DJ49" s="170"/>
      <c r="DK49" s="170"/>
      <c r="DL49" s="170"/>
      <c r="DM49" s="170"/>
      <c r="DN49" s="170"/>
      <c r="DO49" s="170"/>
      <c r="DP49" s="170"/>
      <c r="DQ49" s="170"/>
      <c r="DR49" s="170"/>
      <c r="DS49" s="170"/>
      <c r="DT49" s="170"/>
      <c r="DU49" s="170"/>
      <c r="DV49" s="170"/>
      <c r="DW49" s="170"/>
      <c r="DX49" s="170"/>
      <c r="DY49" s="170"/>
      <c r="DZ49" s="170"/>
      <c r="EA49" s="170"/>
      <c r="EB49" s="170"/>
      <c r="EC49" s="170"/>
      <c r="ED49" s="170"/>
      <c r="EE49" s="170"/>
      <c r="EF49" s="170"/>
      <c r="EG49" s="170"/>
      <c r="EH49" s="170"/>
      <c r="EI49" s="170"/>
      <c r="EJ49" s="170"/>
      <c r="EK49" s="170"/>
      <c r="EL49" s="170"/>
      <c r="EM49" s="170"/>
      <c r="EN49" s="170"/>
      <c r="EO49" s="170"/>
      <c r="EP49" s="170"/>
    </row>
    <row x14ac:dyDescent="0.25" r="50" customHeight="1" ht="18.75">
      <c r="A50" s="1"/>
      <c r="B50" s="1125">
        <v>2026</v>
      </c>
      <c r="C50" s="1126">
        <v>1.935613425925926</v>
      </c>
      <c r="D50" s="1127">
        <v>1.9490046296296297</v>
      </c>
      <c r="E50" s="1128">
        <f>+(C50+D50)/2</f>
        <v>25569.041666666668</v>
      </c>
      <c r="F50" s="1083"/>
      <c r="G50" s="1083"/>
      <c r="H50" s="1083"/>
      <c r="I50" s="1083"/>
      <c r="J50" s="169"/>
      <c r="K50" s="169"/>
      <c r="L50" s="169"/>
      <c r="M50" s="169"/>
      <c r="N50" s="169"/>
      <c r="O50" s="169"/>
      <c r="P50" s="169"/>
      <c r="Q50" s="169"/>
      <c r="R50" s="169"/>
      <c r="S50" s="169"/>
      <c r="T50" s="169"/>
      <c r="U50" s="169"/>
      <c r="V50" s="169"/>
      <c r="W50" s="169"/>
      <c r="X50" s="169"/>
      <c r="Y50" s="170"/>
      <c r="Z50" s="170"/>
      <c r="AA50" s="170"/>
      <c r="AB50" s="170"/>
      <c r="AC50" s="170"/>
      <c r="AD50" s="170"/>
      <c r="AE50" s="170"/>
      <c r="AF50" s="170"/>
      <c r="AG50" s="170"/>
      <c r="AH50" s="170"/>
      <c r="AI50" s="170"/>
      <c r="AJ50" s="170"/>
      <c r="AK50" s="170"/>
      <c r="AL50" s="170"/>
      <c r="AM50" s="170"/>
      <c r="AN50" s="170"/>
      <c r="AO50" s="170"/>
      <c r="AP50" s="170"/>
      <c r="AQ50" s="170"/>
      <c r="AR50" s="170"/>
      <c r="AS50" s="170"/>
      <c r="AT50" s="170"/>
      <c r="AU50" s="170"/>
      <c r="AV50" s="170"/>
      <c r="AW50" s="170"/>
      <c r="AX50" s="170"/>
      <c r="AY50" s="170"/>
      <c r="AZ50" s="170"/>
      <c r="BA50" s="170"/>
      <c r="BB50" s="170"/>
      <c r="BC50" s="170"/>
      <c r="BD50" s="170"/>
      <c r="BE50" s="170"/>
      <c r="BF50" s="170"/>
      <c r="BG50" s="170"/>
      <c r="BH50" s="170"/>
      <c r="BI50" s="170"/>
      <c r="BJ50" s="170"/>
      <c r="BK50" s="170"/>
      <c r="BL50" s="170"/>
      <c r="BM50" s="170"/>
      <c r="BN50" s="170"/>
      <c r="BO50" s="170"/>
      <c r="BP50" s="170"/>
      <c r="BQ50" s="170"/>
      <c r="BR50" s="170"/>
      <c r="BS50" s="170"/>
      <c r="BT50" s="170"/>
      <c r="BU50" s="170"/>
      <c r="BV50" s="170"/>
      <c r="BW50" s="170"/>
      <c r="BX50" s="170"/>
      <c r="BY50" s="170"/>
      <c r="BZ50" s="170"/>
      <c r="CA50" s="170"/>
      <c r="CB50" s="170"/>
      <c r="CC50" s="170"/>
      <c r="CD50" s="170"/>
      <c r="CE50" s="170"/>
      <c r="CF50" s="170"/>
      <c r="CG50" s="170"/>
      <c r="CH50" s="170"/>
      <c r="CI50" s="170"/>
      <c r="CJ50" s="170"/>
      <c r="CK50" s="170"/>
      <c r="CL50" s="170"/>
      <c r="CM50" s="170"/>
      <c r="CN50" s="170"/>
      <c r="CO50" s="170"/>
      <c r="CP50" s="170"/>
      <c r="CQ50" s="170"/>
      <c r="CR50" s="170"/>
      <c r="CS50" s="170"/>
      <c r="CT50" s="170"/>
      <c r="CU50" s="170"/>
      <c r="CV50" s="170"/>
      <c r="CW50" s="170"/>
      <c r="CX50" s="170"/>
      <c r="CY50" s="170"/>
      <c r="CZ50" s="170"/>
      <c r="DA50" s="170"/>
      <c r="DB50" s="170"/>
      <c r="DC50" s="170"/>
      <c r="DD50" s="170"/>
      <c r="DE50" s="170"/>
      <c r="DF50" s="170"/>
      <c r="DG50" s="170"/>
      <c r="DH50" s="170"/>
      <c r="DI50" s="170"/>
      <c r="DJ50" s="170"/>
      <c r="DK50" s="170"/>
      <c r="DL50" s="170"/>
      <c r="DM50" s="170"/>
      <c r="DN50" s="170"/>
      <c r="DO50" s="170"/>
      <c r="DP50" s="170"/>
      <c r="DQ50" s="170"/>
      <c r="DR50" s="170"/>
      <c r="DS50" s="170"/>
      <c r="DT50" s="170"/>
      <c r="DU50" s="170"/>
      <c r="DV50" s="170"/>
      <c r="DW50" s="170"/>
      <c r="DX50" s="170"/>
      <c r="DY50" s="170"/>
      <c r="DZ50" s="170"/>
      <c r="EA50" s="170"/>
      <c r="EB50" s="170"/>
      <c r="EC50" s="170"/>
      <c r="ED50" s="170"/>
      <c r="EE50" s="170"/>
      <c r="EF50" s="170"/>
      <c r="EG50" s="170"/>
      <c r="EH50" s="170"/>
      <c r="EI50" s="170"/>
      <c r="EJ50" s="170"/>
      <c r="EK50" s="170"/>
      <c r="EL50" s="170"/>
      <c r="EM50" s="170"/>
      <c r="EN50" s="170"/>
      <c r="EO50" s="170"/>
      <c r="EP50" s="170"/>
    </row>
    <row x14ac:dyDescent="0.25" r="51" customHeight="1" ht="18.75">
      <c r="A51" s="1"/>
      <c r="B51" s="1125">
        <v>2027</v>
      </c>
      <c r="C51" s="1126">
        <v>1.9281134259259258</v>
      </c>
      <c r="D51" s="1127">
        <v>1.9430092592592594</v>
      </c>
      <c r="E51" s="1128">
        <f>+(C51+D51)/2</f>
        <v>25569.041666666668</v>
      </c>
      <c r="F51" s="1083"/>
      <c r="G51" s="1083"/>
      <c r="H51" s="1083"/>
      <c r="I51" s="1083"/>
      <c r="J51" s="169"/>
      <c r="K51" s="169"/>
      <c r="L51" s="169"/>
      <c r="M51" s="169"/>
      <c r="N51" s="169"/>
      <c r="O51" s="169"/>
      <c r="P51" s="169"/>
      <c r="Q51" s="169"/>
      <c r="R51" s="169"/>
      <c r="S51" s="169"/>
      <c r="T51" s="169"/>
      <c r="U51" s="169"/>
      <c r="V51" s="169"/>
      <c r="W51" s="169"/>
      <c r="X51" s="169"/>
      <c r="Y51" s="170"/>
      <c r="Z51" s="170"/>
      <c r="AA51" s="170"/>
      <c r="AB51" s="170"/>
      <c r="AC51" s="170"/>
      <c r="AD51" s="170"/>
      <c r="AE51" s="170"/>
      <c r="AF51" s="170"/>
      <c r="AG51" s="170"/>
      <c r="AH51" s="170"/>
      <c r="AI51" s="170"/>
      <c r="AJ51" s="170"/>
      <c r="AK51" s="170"/>
      <c r="AL51" s="170"/>
      <c r="AM51" s="170"/>
      <c r="AN51" s="170"/>
      <c r="AO51" s="170"/>
      <c r="AP51" s="170"/>
      <c r="AQ51" s="170"/>
      <c r="AR51" s="170"/>
      <c r="AS51" s="170"/>
      <c r="AT51" s="170"/>
      <c r="AU51" s="170"/>
      <c r="AV51" s="170"/>
      <c r="AW51" s="170"/>
      <c r="AX51" s="170"/>
      <c r="AY51" s="170"/>
      <c r="AZ51" s="170"/>
      <c r="BA51" s="170"/>
      <c r="BB51" s="170"/>
      <c r="BC51" s="170"/>
      <c r="BD51" s="170"/>
      <c r="BE51" s="170"/>
      <c r="BF51" s="170"/>
      <c r="BG51" s="170"/>
      <c r="BH51" s="170"/>
      <c r="BI51" s="170"/>
      <c r="BJ51" s="170"/>
      <c r="BK51" s="170"/>
      <c r="BL51" s="170"/>
      <c r="BM51" s="170"/>
      <c r="BN51" s="170"/>
      <c r="BO51" s="170"/>
      <c r="BP51" s="170"/>
      <c r="BQ51" s="170"/>
      <c r="BR51" s="170"/>
      <c r="BS51" s="170"/>
      <c r="BT51" s="170"/>
      <c r="BU51" s="170"/>
      <c r="BV51" s="170"/>
      <c r="BW51" s="170"/>
      <c r="BX51" s="170"/>
      <c r="BY51" s="170"/>
      <c r="BZ51" s="170"/>
      <c r="CA51" s="170"/>
      <c r="CB51" s="170"/>
      <c r="CC51" s="170"/>
      <c r="CD51" s="170"/>
      <c r="CE51" s="170"/>
      <c r="CF51" s="170"/>
      <c r="CG51" s="170"/>
      <c r="CH51" s="170"/>
      <c r="CI51" s="170"/>
      <c r="CJ51" s="170"/>
      <c r="CK51" s="170"/>
      <c r="CL51" s="170"/>
      <c r="CM51" s="170"/>
      <c r="CN51" s="170"/>
      <c r="CO51" s="170"/>
      <c r="CP51" s="170"/>
      <c r="CQ51" s="170"/>
      <c r="CR51" s="170"/>
      <c r="CS51" s="170"/>
      <c r="CT51" s="170"/>
      <c r="CU51" s="170"/>
      <c r="CV51" s="170"/>
      <c r="CW51" s="170"/>
      <c r="CX51" s="170"/>
      <c r="CY51" s="170"/>
      <c r="CZ51" s="170"/>
      <c r="DA51" s="170"/>
      <c r="DB51" s="170"/>
      <c r="DC51" s="170"/>
      <c r="DD51" s="170"/>
      <c r="DE51" s="170"/>
      <c r="DF51" s="170"/>
      <c r="DG51" s="170"/>
      <c r="DH51" s="170"/>
      <c r="DI51" s="170"/>
      <c r="DJ51" s="170"/>
      <c r="DK51" s="170"/>
      <c r="DL51" s="170"/>
      <c r="DM51" s="170"/>
      <c r="DN51" s="170"/>
      <c r="DO51" s="170"/>
      <c r="DP51" s="170"/>
      <c r="DQ51" s="170"/>
      <c r="DR51" s="170"/>
      <c r="DS51" s="170"/>
      <c r="DT51" s="170"/>
      <c r="DU51" s="170"/>
      <c r="DV51" s="170"/>
      <c r="DW51" s="170"/>
      <c r="DX51" s="170"/>
      <c r="DY51" s="170"/>
      <c r="DZ51" s="170"/>
      <c r="EA51" s="170"/>
      <c r="EB51" s="170"/>
      <c r="EC51" s="170"/>
      <c r="ED51" s="170"/>
      <c r="EE51" s="170"/>
      <c r="EF51" s="170"/>
      <c r="EG51" s="170"/>
      <c r="EH51" s="170"/>
      <c r="EI51" s="170"/>
      <c r="EJ51" s="170"/>
      <c r="EK51" s="170"/>
      <c r="EL51" s="170"/>
      <c r="EM51" s="170"/>
      <c r="EN51" s="170"/>
      <c r="EO51" s="170"/>
      <c r="EP51" s="170"/>
    </row>
    <row x14ac:dyDescent="0.25" r="52" customHeight="1" ht="18.75">
      <c r="A52" s="1"/>
      <c r="B52" s="1129">
        <v>2028</v>
      </c>
      <c r="C52" s="1130">
        <v>1.920613425925926</v>
      </c>
      <c r="D52" s="1131">
        <v>1.9371064814814813</v>
      </c>
      <c r="E52" s="1132">
        <f>+(C52+D52)/2</f>
        <v>25569.041666666668</v>
      </c>
      <c r="F52" s="1083"/>
      <c r="G52" s="1083"/>
      <c r="H52" s="1083"/>
      <c r="I52" s="1083"/>
      <c r="J52" s="169"/>
      <c r="K52" s="169"/>
      <c r="L52" s="169"/>
      <c r="M52" s="169"/>
      <c r="N52" s="169"/>
      <c r="O52" s="169"/>
      <c r="P52" s="169"/>
      <c r="Q52" s="169"/>
      <c r="R52" s="169"/>
      <c r="S52" s="169"/>
      <c r="T52" s="169"/>
      <c r="U52" s="169"/>
      <c r="V52" s="169"/>
      <c r="W52" s="169"/>
      <c r="X52" s="169"/>
      <c r="Y52" s="170"/>
      <c r="Z52" s="170"/>
      <c r="AA52" s="170"/>
      <c r="AB52" s="170"/>
      <c r="AC52" s="170"/>
      <c r="AD52" s="170"/>
      <c r="AE52" s="170"/>
      <c r="AF52" s="170"/>
      <c r="AG52" s="170"/>
      <c r="AH52" s="170"/>
      <c r="AI52" s="170"/>
      <c r="AJ52" s="170"/>
      <c r="AK52" s="170"/>
      <c r="AL52" s="170"/>
      <c r="AM52" s="170"/>
      <c r="AN52" s="170"/>
      <c r="AO52" s="170"/>
      <c r="AP52" s="170"/>
      <c r="AQ52" s="170"/>
      <c r="AR52" s="170"/>
      <c r="AS52" s="170"/>
      <c r="AT52" s="170"/>
      <c r="AU52" s="170"/>
      <c r="AV52" s="170"/>
      <c r="AW52" s="170"/>
      <c r="AX52" s="170"/>
      <c r="AY52" s="170"/>
      <c r="AZ52" s="170"/>
      <c r="BA52" s="170"/>
      <c r="BB52" s="170"/>
      <c r="BC52" s="170"/>
      <c r="BD52" s="170"/>
      <c r="BE52" s="170"/>
      <c r="BF52" s="170"/>
      <c r="BG52" s="170"/>
      <c r="BH52" s="170"/>
      <c r="BI52" s="170"/>
      <c r="BJ52" s="170"/>
      <c r="BK52" s="170"/>
      <c r="BL52" s="170"/>
      <c r="BM52" s="170"/>
      <c r="BN52" s="170"/>
      <c r="BO52" s="170"/>
      <c r="BP52" s="170"/>
      <c r="BQ52" s="170"/>
      <c r="BR52" s="170"/>
      <c r="BS52" s="170"/>
      <c r="BT52" s="170"/>
      <c r="BU52" s="170"/>
      <c r="BV52" s="170"/>
      <c r="BW52" s="170"/>
      <c r="BX52" s="170"/>
      <c r="BY52" s="170"/>
      <c r="BZ52" s="170"/>
      <c r="CA52" s="170"/>
      <c r="CB52" s="170"/>
      <c r="CC52" s="170"/>
      <c r="CD52" s="170"/>
      <c r="CE52" s="170"/>
      <c r="CF52" s="170"/>
      <c r="CG52" s="170"/>
      <c r="CH52" s="170"/>
      <c r="CI52" s="170"/>
      <c r="CJ52" s="170"/>
      <c r="CK52" s="170"/>
      <c r="CL52" s="170"/>
      <c r="CM52" s="170"/>
      <c r="CN52" s="170"/>
      <c r="CO52" s="170"/>
      <c r="CP52" s="170"/>
      <c r="CQ52" s="170"/>
      <c r="CR52" s="170"/>
      <c r="CS52" s="170"/>
      <c r="CT52" s="170"/>
      <c r="CU52" s="170"/>
      <c r="CV52" s="170"/>
      <c r="CW52" s="170"/>
      <c r="CX52" s="170"/>
      <c r="CY52" s="170"/>
      <c r="CZ52" s="170"/>
      <c r="DA52" s="170"/>
      <c r="DB52" s="170"/>
      <c r="DC52" s="170"/>
      <c r="DD52" s="170"/>
      <c r="DE52" s="170"/>
      <c r="DF52" s="170"/>
      <c r="DG52" s="170"/>
      <c r="DH52" s="170"/>
      <c r="DI52" s="170"/>
      <c r="DJ52" s="170"/>
      <c r="DK52" s="170"/>
      <c r="DL52" s="170"/>
      <c r="DM52" s="170"/>
      <c r="DN52" s="170"/>
      <c r="DO52" s="170"/>
      <c r="DP52" s="170"/>
      <c r="DQ52" s="170"/>
      <c r="DR52" s="170"/>
      <c r="DS52" s="170"/>
      <c r="DT52" s="170"/>
      <c r="DU52" s="170"/>
      <c r="DV52" s="170"/>
      <c r="DW52" s="170"/>
      <c r="DX52" s="170"/>
      <c r="DY52" s="170"/>
      <c r="DZ52" s="170"/>
      <c r="EA52" s="170"/>
      <c r="EB52" s="170"/>
      <c r="EC52" s="170"/>
      <c r="ED52" s="170"/>
      <c r="EE52" s="170"/>
      <c r="EF52" s="170"/>
      <c r="EG52" s="170"/>
      <c r="EH52" s="170"/>
      <c r="EI52" s="170"/>
      <c r="EJ52" s="170"/>
      <c r="EK52" s="170"/>
      <c r="EL52" s="170"/>
      <c r="EM52" s="170"/>
      <c r="EN52" s="170"/>
      <c r="EO52" s="170"/>
      <c r="EP52" s="170"/>
    </row>
    <row x14ac:dyDescent="0.25" r="53" customHeight="1" ht="18.75">
      <c r="A53" s="1"/>
      <c r="B53" s="1111">
        <v>2029</v>
      </c>
      <c r="C53" s="1112">
        <v>1.9136111111111112</v>
      </c>
      <c r="D53" s="1113">
        <v>1.9316087962962962</v>
      </c>
      <c r="E53" s="1133">
        <f>+(C53+D53)/2</f>
        <v>25569.041666666668</v>
      </c>
      <c r="F53" s="1083"/>
      <c r="G53" s="1083"/>
      <c r="H53" s="1083"/>
      <c r="I53" s="1083"/>
      <c r="J53" s="169"/>
      <c r="K53" s="169"/>
      <c r="L53" s="169"/>
      <c r="M53" s="169"/>
      <c r="N53" s="169"/>
      <c r="O53" s="169"/>
      <c r="P53" s="169"/>
      <c r="Q53" s="169"/>
      <c r="R53" s="169"/>
      <c r="S53" s="169"/>
      <c r="T53" s="169"/>
      <c r="U53" s="169"/>
      <c r="V53" s="169"/>
      <c r="W53" s="169"/>
      <c r="X53" s="169"/>
      <c r="Y53" s="170"/>
      <c r="Z53" s="170"/>
      <c r="AA53" s="170"/>
      <c r="AB53" s="170"/>
      <c r="AC53" s="170"/>
      <c r="AD53" s="170"/>
      <c r="AE53" s="170"/>
      <c r="AF53" s="170"/>
      <c r="AG53" s="170"/>
      <c r="AH53" s="170"/>
      <c r="AI53" s="170"/>
      <c r="AJ53" s="170"/>
      <c r="AK53" s="170"/>
      <c r="AL53" s="170"/>
      <c r="AM53" s="170"/>
      <c r="AN53" s="170"/>
      <c r="AO53" s="170"/>
      <c r="AP53" s="170"/>
      <c r="AQ53" s="170"/>
      <c r="AR53" s="170"/>
      <c r="AS53" s="170"/>
      <c r="AT53" s="170"/>
      <c r="AU53" s="170"/>
      <c r="AV53" s="170"/>
      <c r="AW53" s="170"/>
      <c r="AX53" s="170"/>
      <c r="AY53" s="170"/>
      <c r="AZ53" s="170"/>
      <c r="BA53" s="170"/>
      <c r="BB53" s="170"/>
      <c r="BC53" s="170"/>
      <c r="BD53" s="170"/>
      <c r="BE53" s="170"/>
      <c r="BF53" s="170"/>
      <c r="BG53" s="170"/>
      <c r="BH53" s="170"/>
      <c r="BI53" s="170"/>
      <c r="BJ53" s="170"/>
      <c r="BK53" s="170"/>
      <c r="BL53" s="170"/>
      <c r="BM53" s="170"/>
      <c r="BN53" s="170"/>
      <c r="BO53" s="170"/>
      <c r="BP53" s="170"/>
      <c r="BQ53" s="170"/>
      <c r="BR53" s="170"/>
      <c r="BS53" s="170"/>
      <c r="BT53" s="170"/>
      <c r="BU53" s="170"/>
      <c r="BV53" s="170"/>
      <c r="BW53" s="170"/>
      <c r="BX53" s="170"/>
      <c r="BY53" s="170"/>
      <c r="BZ53" s="170"/>
      <c r="CA53" s="170"/>
      <c r="CB53" s="170"/>
      <c r="CC53" s="170"/>
      <c r="CD53" s="170"/>
      <c r="CE53" s="170"/>
      <c r="CF53" s="170"/>
      <c r="CG53" s="170"/>
      <c r="CH53" s="170"/>
      <c r="CI53" s="170"/>
      <c r="CJ53" s="170"/>
      <c r="CK53" s="170"/>
      <c r="CL53" s="170"/>
      <c r="CM53" s="170"/>
      <c r="CN53" s="170"/>
      <c r="CO53" s="170"/>
      <c r="CP53" s="170"/>
      <c r="CQ53" s="170"/>
      <c r="CR53" s="170"/>
      <c r="CS53" s="170"/>
      <c r="CT53" s="170"/>
      <c r="CU53" s="170"/>
      <c r="CV53" s="170"/>
      <c r="CW53" s="170"/>
      <c r="CX53" s="170"/>
      <c r="CY53" s="170"/>
      <c r="CZ53" s="170"/>
      <c r="DA53" s="170"/>
      <c r="DB53" s="170"/>
      <c r="DC53" s="170"/>
      <c r="DD53" s="170"/>
      <c r="DE53" s="170"/>
      <c r="DF53" s="170"/>
      <c r="DG53" s="170"/>
      <c r="DH53" s="170"/>
      <c r="DI53" s="170"/>
      <c r="DJ53" s="170"/>
      <c r="DK53" s="170"/>
      <c r="DL53" s="170"/>
      <c r="DM53" s="170"/>
      <c r="DN53" s="170"/>
      <c r="DO53" s="170"/>
      <c r="DP53" s="170"/>
      <c r="DQ53" s="170"/>
      <c r="DR53" s="170"/>
      <c r="DS53" s="170"/>
      <c r="DT53" s="170"/>
      <c r="DU53" s="170"/>
      <c r="DV53" s="170"/>
      <c r="DW53" s="170"/>
      <c r="DX53" s="170"/>
      <c r="DY53" s="170"/>
      <c r="DZ53" s="170"/>
      <c r="EA53" s="170"/>
      <c r="EB53" s="170"/>
      <c r="EC53" s="170"/>
      <c r="ED53" s="170"/>
      <c r="EE53" s="170"/>
      <c r="EF53" s="170"/>
      <c r="EG53" s="170"/>
      <c r="EH53" s="170"/>
      <c r="EI53" s="170"/>
      <c r="EJ53" s="170"/>
      <c r="EK53" s="170"/>
      <c r="EL53" s="170"/>
      <c r="EM53" s="170"/>
      <c r="EN53" s="170"/>
      <c r="EO53" s="170"/>
      <c r="EP53" s="170"/>
    </row>
    <row x14ac:dyDescent="0.25" r="54" customHeight="1" ht="18.75">
      <c r="A54" s="1"/>
      <c r="B54" s="1114">
        <v>2030</v>
      </c>
      <c r="C54" s="1115">
        <v>1.9067129629629629</v>
      </c>
      <c r="D54" s="1116">
        <v>1.926111111111111</v>
      </c>
      <c r="E54" s="1134">
        <f>+(C54+D54)/2</f>
        <v>25569.041666666668</v>
      </c>
      <c r="F54" s="1083"/>
      <c r="G54" s="1083"/>
      <c r="H54" s="1083"/>
      <c r="I54" s="1083"/>
      <c r="J54" s="169"/>
      <c r="K54" s="169"/>
      <c r="L54" s="169"/>
      <c r="M54" s="169"/>
      <c r="N54" s="169"/>
      <c r="O54" s="169"/>
      <c r="P54" s="169"/>
      <c r="Q54" s="169"/>
      <c r="R54" s="169"/>
      <c r="S54" s="169"/>
      <c r="T54" s="169"/>
      <c r="U54" s="169"/>
      <c r="V54" s="169"/>
      <c r="W54" s="169"/>
      <c r="X54" s="169"/>
      <c r="Y54" s="170"/>
      <c r="Z54" s="170"/>
      <c r="AA54" s="170"/>
      <c r="AB54" s="170"/>
      <c r="AC54" s="170"/>
      <c r="AD54" s="170"/>
      <c r="AE54" s="170"/>
      <c r="AF54" s="170"/>
      <c r="AG54" s="170"/>
      <c r="AH54" s="170"/>
      <c r="AI54" s="170"/>
      <c r="AJ54" s="170"/>
      <c r="AK54" s="170"/>
      <c r="AL54" s="170"/>
      <c r="AM54" s="170"/>
      <c r="AN54" s="170"/>
      <c r="AO54" s="170"/>
      <c r="AP54" s="170"/>
      <c r="AQ54" s="170"/>
      <c r="AR54" s="170"/>
      <c r="AS54" s="170"/>
      <c r="AT54" s="170"/>
      <c r="AU54" s="170"/>
      <c r="AV54" s="170"/>
      <c r="AW54" s="170"/>
      <c r="AX54" s="170"/>
      <c r="AY54" s="170"/>
      <c r="AZ54" s="170"/>
      <c r="BA54" s="170"/>
      <c r="BB54" s="170"/>
      <c r="BC54" s="170"/>
      <c r="BD54" s="170"/>
      <c r="BE54" s="170"/>
      <c r="BF54" s="170"/>
      <c r="BG54" s="170"/>
      <c r="BH54" s="170"/>
      <c r="BI54" s="170"/>
      <c r="BJ54" s="170"/>
      <c r="BK54" s="170"/>
      <c r="BL54" s="170"/>
      <c r="BM54" s="170"/>
      <c r="BN54" s="170"/>
      <c r="BO54" s="170"/>
      <c r="BP54" s="170"/>
      <c r="BQ54" s="170"/>
      <c r="BR54" s="170"/>
      <c r="BS54" s="170"/>
      <c r="BT54" s="170"/>
      <c r="BU54" s="170"/>
      <c r="BV54" s="170"/>
      <c r="BW54" s="170"/>
      <c r="BX54" s="170"/>
      <c r="BY54" s="170"/>
      <c r="BZ54" s="170"/>
      <c r="CA54" s="170"/>
      <c r="CB54" s="170"/>
      <c r="CC54" s="170"/>
      <c r="CD54" s="170"/>
      <c r="CE54" s="170"/>
      <c r="CF54" s="170"/>
      <c r="CG54" s="170"/>
      <c r="CH54" s="170"/>
      <c r="CI54" s="170"/>
      <c r="CJ54" s="170"/>
      <c r="CK54" s="170"/>
      <c r="CL54" s="170"/>
      <c r="CM54" s="170"/>
      <c r="CN54" s="170"/>
      <c r="CO54" s="170"/>
      <c r="CP54" s="170"/>
      <c r="CQ54" s="170"/>
      <c r="CR54" s="170"/>
      <c r="CS54" s="170"/>
      <c r="CT54" s="170"/>
      <c r="CU54" s="170"/>
      <c r="CV54" s="170"/>
      <c r="CW54" s="170"/>
      <c r="CX54" s="170"/>
      <c r="CY54" s="170"/>
      <c r="CZ54" s="170"/>
      <c r="DA54" s="170"/>
      <c r="DB54" s="170"/>
      <c r="DC54" s="170"/>
      <c r="DD54" s="170"/>
      <c r="DE54" s="170"/>
      <c r="DF54" s="170"/>
      <c r="DG54" s="170"/>
      <c r="DH54" s="170"/>
      <c r="DI54" s="170"/>
      <c r="DJ54" s="170"/>
      <c r="DK54" s="170"/>
      <c r="DL54" s="170"/>
      <c r="DM54" s="170"/>
      <c r="DN54" s="170"/>
      <c r="DO54" s="170"/>
      <c r="DP54" s="170"/>
      <c r="DQ54" s="170"/>
      <c r="DR54" s="170"/>
      <c r="DS54" s="170"/>
      <c r="DT54" s="170"/>
      <c r="DU54" s="170"/>
      <c r="DV54" s="170"/>
      <c r="DW54" s="170"/>
      <c r="DX54" s="170"/>
      <c r="DY54" s="170"/>
      <c r="DZ54" s="170"/>
      <c r="EA54" s="170"/>
      <c r="EB54" s="170"/>
      <c r="EC54" s="170"/>
      <c r="ED54" s="170"/>
      <c r="EE54" s="170"/>
      <c r="EF54" s="170"/>
      <c r="EG54" s="170"/>
      <c r="EH54" s="170"/>
      <c r="EI54" s="170"/>
      <c r="EJ54" s="170"/>
      <c r="EK54" s="170"/>
      <c r="EL54" s="170"/>
      <c r="EM54" s="170"/>
      <c r="EN54" s="170"/>
      <c r="EO54" s="170"/>
      <c r="EP54" s="170"/>
    </row>
    <row x14ac:dyDescent="0.25" r="55" customHeight="1" ht="18.75">
      <c r="A55" s="1"/>
      <c r="B55" s="1114">
        <v>2031</v>
      </c>
      <c r="C55" s="1115">
        <v>1.8998148148148148</v>
      </c>
      <c r="D55" s="1116">
        <v>1.9207060185185185</v>
      </c>
      <c r="E55" s="1134">
        <f>+(C55+D55)/2</f>
        <v>25569.041666666668</v>
      </c>
      <c r="F55" s="1083"/>
      <c r="G55" s="1083"/>
      <c r="H55" s="1083"/>
      <c r="I55" s="1083"/>
      <c r="J55" s="169"/>
      <c r="K55" s="169"/>
      <c r="L55" s="169"/>
      <c r="M55" s="169"/>
      <c r="N55" s="169"/>
      <c r="O55" s="169"/>
      <c r="P55" s="169"/>
      <c r="Q55" s="169"/>
      <c r="R55" s="169"/>
      <c r="S55" s="169"/>
      <c r="T55" s="169"/>
      <c r="U55" s="169"/>
      <c r="V55" s="169"/>
      <c r="W55" s="169"/>
      <c r="X55" s="169"/>
      <c r="Y55" s="170"/>
      <c r="Z55" s="170"/>
      <c r="AA55" s="170"/>
      <c r="AB55" s="170"/>
      <c r="AC55" s="170"/>
      <c r="AD55" s="170"/>
      <c r="AE55" s="170"/>
      <c r="AF55" s="170"/>
      <c r="AG55" s="170"/>
      <c r="AH55" s="170"/>
      <c r="AI55" s="170"/>
      <c r="AJ55" s="170"/>
      <c r="AK55" s="170"/>
      <c r="AL55" s="170"/>
      <c r="AM55" s="170"/>
      <c r="AN55" s="170"/>
      <c r="AO55" s="170"/>
      <c r="AP55" s="170"/>
      <c r="AQ55" s="170"/>
      <c r="AR55" s="170"/>
      <c r="AS55" s="170"/>
      <c r="AT55" s="170"/>
      <c r="AU55" s="170"/>
      <c r="AV55" s="170"/>
      <c r="AW55" s="170"/>
      <c r="AX55" s="170"/>
      <c r="AY55" s="170"/>
      <c r="AZ55" s="170"/>
      <c r="BA55" s="170"/>
      <c r="BB55" s="170"/>
      <c r="BC55" s="170"/>
      <c r="BD55" s="170"/>
      <c r="BE55" s="170"/>
      <c r="BF55" s="170"/>
      <c r="BG55" s="170"/>
      <c r="BH55" s="170"/>
      <c r="BI55" s="170"/>
      <c r="BJ55" s="170"/>
      <c r="BK55" s="170"/>
      <c r="BL55" s="170"/>
      <c r="BM55" s="170"/>
      <c r="BN55" s="170"/>
      <c r="BO55" s="170"/>
      <c r="BP55" s="170"/>
      <c r="BQ55" s="170"/>
      <c r="BR55" s="170"/>
      <c r="BS55" s="170"/>
      <c r="BT55" s="170"/>
      <c r="BU55" s="170"/>
      <c r="BV55" s="170"/>
      <c r="BW55" s="170"/>
      <c r="BX55" s="170"/>
      <c r="BY55" s="170"/>
      <c r="BZ55" s="170"/>
      <c r="CA55" s="170"/>
      <c r="CB55" s="170"/>
      <c r="CC55" s="170"/>
      <c r="CD55" s="170"/>
      <c r="CE55" s="170"/>
      <c r="CF55" s="170"/>
      <c r="CG55" s="170"/>
      <c r="CH55" s="170"/>
      <c r="CI55" s="170"/>
      <c r="CJ55" s="170"/>
      <c r="CK55" s="170"/>
      <c r="CL55" s="170"/>
      <c r="CM55" s="170"/>
      <c r="CN55" s="170"/>
      <c r="CO55" s="170"/>
      <c r="CP55" s="170"/>
      <c r="CQ55" s="170"/>
      <c r="CR55" s="170"/>
      <c r="CS55" s="170"/>
      <c r="CT55" s="170"/>
      <c r="CU55" s="170"/>
      <c r="CV55" s="170"/>
      <c r="CW55" s="170"/>
      <c r="CX55" s="170"/>
      <c r="CY55" s="170"/>
      <c r="CZ55" s="170"/>
      <c r="DA55" s="170"/>
      <c r="DB55" s="170"/>
      <c r="DC55" s="170"/>
      <c r="DD55" s="170"/>
      <c r="DE55" s="170"/>
      <c r="DF55" s="170"/>
      <c r="DG55" s="170"/>
      <c r="DH55" s="170"/>
      <c r="DI55" s="170"/>
      <c r="DJ55" s="170"/>
      <c r="DK55" s="170"/>
      <c r="DL55" s="170"/>
      <c r="DM55" s="170"/>
      <c r="DN55" s="170"/>
      <c r="DO55" s="170"/>
      <c r="DP55" s="170"/>
      <c r="DQ55" s="170"/>
      <c r="DR55" s="170"/>
      <c r="DS55" s="170"/>
      <c r="DT55" s="170"/>
      <c r="DU55" s="170"/>
      <c r="DV55" s="170"/>
      <c r="DW55" s="170"/>
      <c r="DX55" s="170"/>
      <c r="DY55" s="170"/>
      <c r="DZ55" s="170"/>
      <c r="EA55" s="170"/>
      <c r="EB55" s="170"/>
      <c r="EC55" s="170"/>
      <c r="ED55" s="170"/>
      <c r="EE55" s="170"/>
      <c r="EF55" s="170"/>
      <c r="EG55" s="170"/>
      <c r="EH55" s="170"/>
      <c r="EI55" s="170"/>
      <c r="EJ55" s="170"/>
      <c r="EK55" s="170"/>
      <c r="EL55" s="170"/>
      <c r="EM55" s="170"/>
      <c r="EN55" s="170"/>
      <c r="EO55" s="170"/>
      <c r="EP55" s="170"/>
    </row>
    <row x14ac:dyDescent="0.25" r="56" customHeight="1" ht="18.75">
      <c r="A56" s="1"/>
      <c r="B56" s="1114">
        <v>2032</v>
      </c>
      <c r="C56" s="1115">
        <v>1.8930092592592591</v>
      </c>
      <c r="D56" s="1116">
        <v>1.9153125</v>
      </c>
      <c r="E56" s="1134">
        <f>+(C56+D56)/2</f>
        <v>25569.041666666668</v>
      </c>
      <c r="F56" s="1083"/>
      <c r="G56" s="1083"/>
      <c r="H56" s="1083"/>
      <c r="I56" s="1083"/>
      <c r="J56" s="169"/>
      <c r="K56" s="169"/>
      <c r="L56" s="169"/>
      <c r="M56" s="169"/>
      <c r="N56" s="169"/>
      <c r="O56" s="169"/>
      <c r="P56" s="169"/>
      <c r="Q56" s="169"/>
      <c r="R56" s="169"/>
      <c r="S56" s="169"/>
      <c r="T56" s="169"/>
      <c r="U56" s="169"/>
      <c r="V56" s="169"/>
      <c r="W56" s="169"/>
      <c r="X56" s="169"/>
      <c r="Y56" s="170"/>
      <c r="Z56" s="170"/>
      <c r="AA56" s="170"/>
      <c r="AB56" s="170"/>
      <c r="AC56" s="170"/>
      <c r="AD56" s="170"/>
      <c r="AE56" s="170"/>
      <c r="AF56" s="170"/>
      <c r="AG56" s="170"/>
      <c r="AH56" s="170"/>
      <c r="AI56" s="170"/>
      <c r="AJ56" s="170"/>
      <c r="AK56" s="170"/>
      <c r="AL56" s="170"/>
      <c r="AM56" s="170"/>
      <c r="AN56" s="170"/>
      <c r="AO56" s="170"/>
      <c r="AP56" s="170"/>
      <c r="AQ56" s="170"/>
      <c r="AR56" s="170"/>
      <c r="AS56" s="170"/>
      <c r="AT56" s="170"/>
      <c r="AU56" s="170"/>
      <c r="AV56" s="170"/>
      <c r="AW56" s="170"/>
      <c r="AX56" s="170"/>
      <c r="AY56" s="170"/>
      <c r="AZ56" s="170"/>
      <c r="BA56" s="170"/>
      <c r="BB56" s="170"/>
      <c r="BC56" s="170"/>
      <c r="BD56" s="170"/>
      <c r="BE56" s="170"/>
      <c r="BF56" s="170"/>
      <c r="BG56" s="170"/>
      <c r="BH56" s="170"/>
      <c r="BI56" s="170"/>
      <c r="BJ56" s="170"/>
      <c r="BK56" s="170"/>
      <c r="BL56" s="170"/>
      <c r="BM56" s="170"/>
      <c r="BN56" s="170"/>
      <c r="BO56" s="170"/>
      <c r="BP56" s="170"/>
      <c r="BQ56" s="170"/>
      <c r="BR56" s="170"/>
      <c r="BS56" s="170"/>
      <c r="BT56" s="170"/>
      <c r="BU56" s="170"/>
      <c r="BV56" s="170"/>
      <c r="BW56" s="170"/>
      <c r="BX56" s="170"/>
      <c r="BY56" s="170"/>
      <c r="BZ56" s="170"/>
      <c r="CA56" s="170"/>
      <c r="CB56" s="170"/>
      <c r="CC56" s="170"/>
      <c r="CD56" s="170"/>
      <c r="CE56" s="170"/>
      <c r="CF56" s="170"/>
      <c r="CG56" s="170"/>
      <c r="CH56" s="170"/>
      <c r="CI56" s="170"/>
      <c r="CJ56" s="170"/>
      <c r="CK56" s="170"/>
      <c r="CL56" s="170"/>
      <c r="CM56" s="170"/>
      <c r="CN56" s="170"/>
      <c r="CO56" s="170"/>
      <c r="CP56" s="170"/>
      <c r="CQ56" s="170"/>
      <c r="CR56" s="170"/>
      <c r="CS56" s="170"/>
      <c r="CT56" s="170"/>
      <c r="CU56" s="170"/>
      <c r="CV56" s="170"/>
      <c r="CW56" s="170"/>
      <c r="CX56" s="170"/>
      <c r="CY56" s="170"/>
      <c r="CZ56" s="170"/>
      <c r="DA56" s="170"/>
      <c r="DB56" s="170"/>
      <c r="DC56" s="170"/>
      <c r="DD56" s="170"/>
      <c r="DE56" s="170"/>
      <c r="DF56" s="170"/>
      <c r="DG56" s="170"/>
      <c r="DH56" s="170"/>
      <c r="DI56" s="170"/>
      <c r="DJ56" s="170"/>
      <c r="DK56" s="170"/>
      <c r="DL56" s="170"/>
      <c r="DM56" s="170"/>
      <c r="DN56" s="170"/>
      <c r="DO56" s="170"/>
      <c r="DP56" s="170"/>
      <c r="DQ56" s="170"/>
      <c r="DR56" s="170"/>
      <c r="DS56" s="170"/>
      <c r="DT56" s="170"/>
      <c r="DU56" s="170"/>
      <c r="DV56" s="170"/>
      <c r="DW56" s="170"/>
      <c r="DX56" s="170"/>
      <c r="DY56" s="170"/>
      <c r="DZ56" s="170"/>
      <c r="EA56" s="170"/>
      <c r="EB56" s="170"/>
      <c r="EC56" s="170"/>
      <c r="ED56" s="170"/>
      <c r="EE56" s="170"/>
      <c r="EF56" s="170"/>
      <c r="EG56" s="170"/>
      <c r="EH56" s="170"/>
      <c r="EI56" s="170"/>
      <c r="EJ56" s="170"/>
      <c r="EK56" s="170"/>
      <c r="EL56" s="170"/>
      <c r="EM56" s="170"/>
      <c r="EN56" s="170"/>
      <c r="EO56" s="170"/>
      <c r="EP56" s="170"/>
    </row>
    <row x14ac:dyDescent="0.25" r="57" customHeight="1" ht="18.75">
      <c r="A57" s="1"/>
      <c r="B57" s="1117">
        <v>2033</v>
      </c>
      <c r="C57" s="1118">
        <v>1.8862037037037038</v>
      </c>
      <c r="D57" s="1119">
        <v>1.9099074074074074</v>
      </c>
      <c r="E57" s="1120">
        <f>+(C57+D57)/2</f>
        <v>25569.041666666668</v>
      </c>
      <c r="F57" s="1083"/>
      <c r="G57" s="1083"/>
      <c r="H57" s="1083"/>
      <c r="I57" s="1083"/>
      <c r="J57" s="169"/>
      <c r="K57" s="169"/>
      <c r="L57" s="169"/>
      <c r="M57" s="169"/>
      <c r="N57" s="169"/>
      <c r="O57" s="169"/>
      <c r="P57" s="169"/>
      <c r="Q57" s="169"/>
      <c r="R57" s="169"/>
      <c r="S57" s="169"/>
      <c r="T57" s="169"/>
      <c r="U57" s="169"/>
      <c r="V57" s="169"/>
      <c r="W57" s="169"/>
      <c r="X57" s="169"/>
      <c r="Y57" s="170"/>
      <c r="Z57" s="170"/>
      <c r="AA57" s="170"/>
      <c r="AB57" s="170"/>
      <c r="AC57" s="170"/>
      <c r="AD57" s="170"/>
      <c r="AE57" s="170"/>
      <c r="AF57" s="170"/>
      <c r="AG57" s="170"/>
      <c r="AH57" s="170"/>
      <c r="AI57" s="170"/>
      <c r="AJ57" s="170"/>
      <c r="AK57" s="170"/>
      <c r="AL57" s="170"/>
      <c r="AM57" s="170"/>
      <c r="AN57" s="170"/>
      <c r="AO57" s="170"/>
      <c r="AP57" s="170"/>
      <c r="AQ57" s="170"/>
      <c r="AR57" s="170"/>
      <c r="AS57" s="170"/>
      <c r="AT57" s="170"/>
      <c r="AU57" s="170"/>
      <c r="AV57" s="170"/>
      <c r="AW57" s="170"/>
      <c r="AX57" s="170"/>
      <c r="AY57" s="170"/>
      <c r="AZ57" s="170"/>
      <c r="BA57" s="170"/>
      <c r="BB57" s="170"/>
      <c r="BC57" s="170"/>
      <c r="BD57" s="170"/>
      <c r="BE57" s="170"/>
      <c r="BF57" s="170"/>
      <c r="BG57" s="170"/>
      <c r="BH57" s="170"/>
      <c r="BI57" s="170"/>
      <c r="BJ57" s="170"/>
      <c r="BK57" s="170"/>
      <c r="BL57" s="170"/>
      <c r="BM57" s="170"/>
      <c r="BN57" s="170"/>
      <c r="BO57" s="170"/>
      <c r="BP57" s="170"/>
      <c r="BQ57" s="170"/>
      <c r="BR57" s="170"/>
      <c r="BS57" s="170"/>
      <c r="BT57" s="170"/>
      <c r="BU57" s="170"/>
      <c r="BV57" s="170"/>
      <c r="BW57" s="170"/>
      <c r="BX57" s="170"/>
      <c r="BY57" s="170"/>
      <c r="BZ57" s="170"/>
      <c r="CA57" s="170"/>
      <c r="CB57" s="170"/>
      <c r="CC57" s="170"/>
      <c r="CD57" s="170"/>
      <c r="CE57" s="170"/>
      <c r="CF57" s="170"/>
      <c r="CG57" s="170"/>
      <c r="CH57" s="170"/>
      <c r="CI57" s="170"/>
      <c r="CJ57" s="170"/>
      <c r="CK57" s="170"/>
      <c r="CL57" s="170"/>
      <c r="CM57" s="170"/>
      <c r="CN57" s="170"/>
      <c r="CO57" s="170"/>
      <c r="CP57" s="170"/>
      <c r="CQ57" s="170"/>
      <c r="CR57" s="170"/>
      <c r="CS57" s="170"/>
      <c r="CT57" s="170"/>
      <c r="CU57" s="170"/>
      <c r="CV57" s="170"/>
      <c r="CW57" s="170"/>
      <c r="CX57" s="170"/>
      <c r="CY57" s="170"/>
      <c r="CZ57" s="170"/>
      <c r="DA57" s="170"/>
      <c r="DB57" s="170"/>
      <c r="DC57" s="170"/>
      <c r="DD57" s="170"/>
      <c r="DE57" s="170"/>
      <c r="DF57" s="170"/>
      <c r="DG57" s="170"/>
      <c r="DH57" s="170"/>
      <c r="DI57" s="170"/>
      <c r="DJ57" s="170"/>
      <c r="DK57" s="170"/>
      <c r="DL57" s="170"/>
      <c r="DM57" s="170"/>
      <c r="DN57" s="170"/>
      <c r="DO57" s="170"/>
      <c r="DP57" s="170"/>
      <c r="DQ57" s="170"/>
      <c r="DR57" s="170"/>
      <c r="DS57" s="170"/>
      <c r="DT57" s="170"/>
      <c r="DU57" s="170"/>
      <c r="DV57" s="170"/>
      <c r="DW57" s="170"/>
      <c r="DX57" s="170"/>
      <c r="DY57" s="170"/>
      <c r="DZ57" s="170"/>
      <c r="EA57" s="170"/>
      <c r="EB57" s="170"/>
      <c r="EC57" s="170"/>
      <c r="ED57" s="170"/>
      <c r="EE57" s="170"/>
      <c r="EF57" s="170"/>
      <c r="EG57" s="170"/>
      <c r="EH57" s="170"/>
      <c r="EI57" s="170"/>
      <c r="EJ57" s="170"/>
      <c r="EK57" s="170"/>
      <c r="EL57" s="170"/>
      <c r="EM57" s="170"/>
      <c r="EN57" s="170"/>
      <c r="EO57" s="170"/>
      <c r="EP57" s="170"/>
    </row>
    <row x14ac:dyDescent="0.25" r="58" customHeight="1" ht="18.75">
      <c r="A58" s="1"/>
      <c r="B58" s="1121">
        <v>2034</v>
      </c>
      <c r="C58" s="1122">
        <v>1.8799074074074074</v>
      </c>
      <c r="D58" s="1123">
        <v>1.9049074074074075</v>
      </c>
      <c r="E58" s="1124">
        <f>+(C58+D58)/2</f>
        <v>25569.041666666668</v>
      </c>
      <c r="F58" s="1083"/>
      <c r="G58" s="1083"/>
      <c r="H58" s="1083"/>
      <c r="I58" s="1083"/>
      <c r="J58" s="169"/>
      <c r="K58" s="169"/>
      <c r="L58" s="169"/>
      <c r="M58" s="169"/>
      <c r="N58" s="169"/>
      <c r="O58" s="169"/>
      <c r="P58" s="169"/>
      <c r="Q58" s="169"/>
      <c r="R58" s="169"/>
      <c r="S58" s="169"/>
      <c r="T58" s="169"/>
      <c r="U58" s="169"/>
      <c r="V58" s="169"/>
      <c r="W58" s="169"/>
      <c r="X58" s="169"/>
      <c r="Y58" s="170"/>
      <c r="Z58" s="170"/>
      <c r="AA58" s="170"/>
      <c r="AB58" s="170"/>
      <c r="AC58" s="170"/>
      <c r="AD58" s="170"/>
      <c r="AE58" s="170"/>
      <c r="AF58" s="170"/>
      <c r="AG58" s="170"/>
      <c r="AH58" s="170"/>
      <c r="AI58" s="170"/>
      <c r="AJ58" s="170"/>
      <c r="AK58" s="170"/>
      <c r="AL58" s="170"/>
      <c r="AM58" s="170"/>
      <c r="AN58" s="170"/>
      <c r="AO58" s="170"/>
      <c r="AP58" s="170"/>
      <c r="AQ58" s="170"/>
      <c r="AR58" s="170"/>
      <c r="AS58" s="170"/>
      <c r="AT58" s="170"/>
      <c r="AU58" s="170"/>
      <c r="AV58" s="170"/>
      <c r="AW58" s="170"/>
      <c r="AX58" s="170"/>
      <c r="AY58" s="170"/>
      <c r="AZ58" s="170"/>
      <c r="BA58" s="170"/>
      <c r="BB58" s="170"/>
      <c r="BC58" s="170"/>
      <c r="BD58" s="170"/>
      <c r="BE58" s="170"/>
      <c r="BF58" s="170"/>
      <c r="BG58" s="170"/>
      <c r="BH58" s="170"/>
      <c r="BI58" s="170"/>
      <c r="BJ58" s="170"/>
      <c r="BK58" s="170"/>
      <c r="BL58" s="170"/>
      <c r="BM58" s="170"/>
      <c r="BN58" s="170"/>
      <c r="BO58" s="170"/>
      <c r="BP58" s="170"/>
      <c r="BQ58" s="170"/>
      <c r="BR58" s="170"/>
      <c r="BS58" s="170"/>
      <c r="BT58" s="170"/>
      <c r="BU58" s="170"/>
      <c r="BV58" s="170"/>
      <c r="BW58" s="170"/>
      <c r="BX58" s="170"/>
      <c r="BY58" s="170"/>
      <c r="BZ58" s="170"/>
      <c r="CA58" s="170"/>
      <c r="CB58" s="170"/>
      <c r="CC58" s="170"/>
      <c r="CD58" s="170"/>
      <c r="CE58" s="170"/>
      <c r="CF58" s="170"/>
      <c r="CG58" s="170"/>
      <c r="CH58" s="170"/>
      <c r="CI58" s="170"/>
      <c r="CJ58" s="170"/>
      <c r="CK58" s="170"/>
      <c r="CL58" s="170"/>
      <c r="CM58" s="170"/>
      <c r="CN58" s="170"/>
      <c r="CO58" s="170"/>
      <c r="CP58" s="170"/>
      <c r="CQ58" s="170"/>
      <c r="CR58" s="170"/>
      <c r="CS58" s="170"/>
      <c r="CT58" s="170"/>
      <c r="CU58" s="170"/>
      <c r="CV58" s="170"/>
      <c r="CW58" s="170"/>
      <c r="CX58" s="170"/>
      <c r="CY58" s="170"/>
      <c r="CZ58" s="170"/>
      <c r="DA58" s="170"/>
      <c r="DB58" s="170"/>
      <c r="DC58" s="170"/>
      <c r="DD58" s="170"/>
      <c r="DE58" s="170"/>
      <c r="DF58" s="170"/>
      <c r="DG58" s="170"/>
      <c r="DH58" s="170"/>
      <c r="DI58" s="170"/>
      <c r="DJ58" s="170"/>
      <c r="DK58" s="170"/>
      <c r="DL58" s="170"/>
      <c r="DM58" s="170"/>
      <c r="DN58" s="170"/>
      <c r="DO58" s="170"/>
      <c r="DP58" s="170"/>
      <c r="DQ58" s="170"/>
      <c r="DR58" s="170"/>
      <c r="DS58" s="170"/>
      <c r="DT58" s="170"/>
      <c r="DU58" s="170"/>
      <c r="DV58" s="170"/>
      <c r="DW58" s="170"/>
      <c r="DX58" s="170"/>
      <c r="DY58" s="170"/>
      <c r="DZ58" s="170"/>
      <c r="EA58" s="170"/>
      <c r="EB58" s="170"/>
      <c r="EC58" s="170"/>
      <c r="ED58" s="170"/>
      <c r="EE58" s="170"/>
      <c r="EF58" s="170"/>
      <c r="EG58" s="170"/>
      <c r="EH58" s="170"/>
      <c r="EI58" s="170"/>
      <c r="EJ58" s="170"/>
      <c r="EK58" s="170"/>
      <c r="EL58" s="170"/>
      <c r="EM58" s="170"/>
      <c r="EN58" s="170"/>
      <c r="EO58" s="170"/>
      <c r="EP58" s="170"/>
    </row>
    <row x14ac:dyDescent="0.25" r="59" customHeight="1" ht="18.75">
      <c r="A59" s="1"/>
      <c r="B59" s="1125">
        <v>2035</v>
      </c>
      <c r="C59" s="1126">
        <v>1.8736111111111111</v>
      </c>
      <c r="D59" s="1127">
        <v>1.9000115740740742</v>
      </c>
      <c r="E59" s="1128">
        <f>+(C59+D59)/2</f>
        <v>25569.041666666668</v>
      </c>
      <c r="F59" s="1083"/>
      <c r="G59" s="1083"/>
      <c r="H59" s="1083"/>
      <c r="I59" s="1083"/>
      <c r="J59" s="169"/>
      <c r="K59" s="169"/>
      <c r="L59" s="169"/>
      <c r="M59" s="169"/>
      <c r="N59" s="169"/>
      <c r="O59" s="169"/>
      <c r="P59" s="169"/>
      <c r="Q59" s="169"/>
      <c r="R59" s="169"/>
      <c r="S59" s="169"/>
      <c r="T59" s="169"/>
      <c r="U59" s="169"/>
      <c r="V59" s="169"/>
      <c r="W59" s="169"/>
      <c r="X59" s="169"/>
      <c r="Y59" s="170"/>
      <c r="Z59" s="170"/>
      <c r="AA59" s="170"/>
      <c r="AB59" s="170"/>
      <c r="AC59" s="170"/>
      <c r="AD59" s="170"/>
      <c r="AE59" s="170"/>
      <c r="AF59" s="170"/>
      <c r="AG59" s="170"/>
      <c r="AH59" s="170"/>
      <c r="AI59" s="170"/>
      <c r="AJ59" s="170"/>
      <c r="AK59" s="170"/>
      <c r="AL59" s="170"/>
      <c r="AM59" s="170"/>
      <c r="AN59" s="170"/>
      <c r="AO59" s="170"/>
      <c r="AP59" s="170"/>
      <c r="AQ59" s="170"/>
      <c r="AR59" s="170"/>
      <c r="AS59" s="170"/>
      <c r="AT59" s="170"/>
      <c r="AU59" s="170"/>
      <c r="AV59" s="170"/>
      <c r="AW59" s="170"/>
      <c r="AX59" s="170"/>
      <c r="AY59" s="170"/>
      <c r="AZ59" s="170"/>
      <c r="BA59" s="170"/>
      <c r="BB59" s="170"/>
      <c r="BC59" s="170"/>
      <c r="BD59" s="170"/>
      <c r="BE59" s="170"/>
      <c r="BF59" s="170"/>
      <c r="BG59" s="170"/>
      <c r="BH59" s="170"/>
      <c r="BI59" s="170"/>
      <c r="BJ59" s="170"/>
      <c r="BK59" s="170"/>
      <c r="BL59" s="170"/>
      <c r="BM59" s="170"/>
      <c r="BN59" s="170"/>
      <c r="BO59" s="170"/>
      <c r="BP59" s="170"/>
      <c r="BQ59" s="170"/>
      <c r="BR59" s="170"/>
      <c r="BS59" s="170"/>
      <c r="BT59" s="170"/>
      <c r="BU59" s="170"/>
      <c r="BV59" s="170"/>
      <c r="BW59" s="170"/>
      <c r="BX59" s="170"/>
      <c r="BY59" s="170"/>
      <c r="BZ59" s="170"/>
      <c r="CA59" s="170"/>
      <c r="CB59" s="170"/>
      <c r="CC59" s="170"/>
      <c r="CD59" s="170"/>
      <c r="CE59" s="170"/>
      <c r="CF59" s="170"/>
      <c r="CG59" s="170"/>
      <c r="CH59" s="170"/>
      <c r="CI59" s="170"/>
      <c r="CJ59" s="170"/>
      <c r="CK59" s="170"/>
      <c r="CL59" s="170"/>
      <c r="CM59" s="170"/>
      <c r="CN59" s="170"/>
      <c r="CO59" s="170"/>
      <c r="CP59" s="170"/>
      <c r="CQ59" s="170"/>
      <c r="CR59" s="170"/>
      <c r="CS59" s="170"/>
      <c r="CT59" s="170"/>
      <c r="CU59" s="170"/>
      <c r="CV59" s="170"/>
      <c r="CW59" s="170"/>
      <c r="CX59" s="170"/>
      <c r="CY59" s="170"/>
      <c r="CZ59" s="170"/>
      <c r="DA59" s="170"/>
      <c r="DB59" s="170"/>
      <c r="DC59" s="170"/>
      <c r="DD59" s="170"/>
      <c r="DE59" s="170"/>
      <c r="DF59" s="170"/>
      <c r="DG59" s="170"/>
      <c r="DH59" s="170"/>
      <c r="DI59" s="170"/>
      <c r="DJ59" s="170"/>
      <c r="DK59" s="170"/>
      <c r="DL59" s="170"/>
      <c r="DM59" s="170"/>
      <c r="DN59" s="170"/>
      <c r="DO59" s="170"/>
      <c r="DP59" s="170"/>
      <c r="DQ59" s="170"/>
      <c r="DR59" s="170"/>
      <c r="DS59" s="170"/>
      <c r="DT59" s="170"/>
      <c r="DU59" s="170"/>
      <c r="DV59" s="170"/>
      <c r="DW59" s="170"/>
      <c r="DX59" s="170"/>
      <c r="DY59" s="170"/>
      <c r="DZ59" s="170"/>
      <c r="EA59" s="170"/>
      <c r="EB59" s="170"/>
      <c r="EC59" s="170"/>
      <c r="ED59" s="170"/>
      <c r="EE59" s="170"/>
      <c r="EF59" s="170"/>
      <c r="EG59" s="170"/>
      <c r="EH59" s="170"/>
      <c r="EI59" s="170"/>
      <c r="EJ59" s="170"/>
      <c r="EK59" s="170"/>
      <c r="EL59" s="170"/>
      <c r="EM59" s="170"/>
      <c r="EN59" s="170"/>
      <c r="EO59" s="170"/>
      <c r="EP59" s="170"/>
    </row>
    <row x14ac:dyDescent="0.25" r="60" customHeight="1" ht="18.75">
      <c r="A60" s="1"/>
      <c r="B60" s="1125">
        <v>2036</v>
      </c>
      <c r="C60" s="1126">
        <v>1.8674074074074074</v>
      </c>
      <c r="D60" s="1127">
        <v>1.8951041666666666</v>
      </c>
      <c r="E60" s="1128">
        <f>+(C60+D60)/2</f>
        <v>25569.041666666668</v>
      </c>
      <c r="F60" s="1083"/>
      <c r="G60" s="1083"/>
      <c r="H60" s="1083"/>
      <c r="I60" s="1083"/>
      <c r="J60" s="169"/>
      <c r="K60" s="169"/>
      <c r="L60" s="169"/>
      <c r="M60" s="169"/>
      <c r="N60" s="169"/>
      <c r="O60" s="169"/>
      <c r="P60" s="169"/>
      <c r="Q60" s="169"/>
      <c r="R60" s="169"/>
      <c r="S60" s="169"/>
      <c r="T60" s="169"/>
      <c r="U60" s="169"/>
      <c r="V60" s="169"/>
      <c r="W60" s="169"/>
      <c r="X60" s="169"/>
      <c r="Y60" s="170"/>
      <c r="Z60" s="170"/>
      <c r="AA60" s="170"/>
      <c r="AB60" s="170"/>
      <c r="AC60" s="170"/>
      <c r="AD60" s="170"/>
      <c r="AE60" s="170"/>
      <c r="AF60" s="170"/>
      <c r="AG60" s="170"/>
      <c r="AH60" s="170"/>
      <c r="AI60" s="170"/>
      <c r="AJ60" s="170"/>
      <c r="AK60" s="170"/>
      <c r="AL60" s="170"/>
      <c r="AM60" s="170"/>
      <c r="AN60" s="170"/>
      <c r="AO60" s="170"/>
      <c r="AP60" s="170"/>
      <c r="AQ60" s="170"/>
      <c r="AR60" s="170"/>
      <c r="AS60" s="170"/>
      <c r="AT60" s="170"/>
      <c r="AU60" s="170"/>
      <c r="AV60" s="170"/>
      <c r="AW60" s="170"/>
      <c r="AX60" s="170"/>
      <c r="AY60" s="170"/>
      <c r="AZ60" s="170"/>
      <c r="BA60" s="170"/>
      <c r="BB60" s="170"/>
      <c r="BC60" s="170"/>
      <c r="BD60" s="170"/>
      <c r="BE60" s="170"/>
      <c r="BF60" s="170"/>
      <c r="BG60" s="170"/>
      <c r="BH60" s="170"/>
      <c r="BI60" s="170"/>
      <c r="BJ60" s="170"/>
      <c r="BK60" s="170"/>
      <c r="BL60" s="170"/>
      <c r="BM60" s="170"/>
      <c r="BN60" s="170"/>
      <c r="BO60" s="170"/>
      <c r="BP60" s="170"/>
      <c r="BQ60" s="170"/>
      <c r="BR60" s="170"/>
      <c r="BS60" s="170"/>
      <c r="BT60" s="170"/>
      <c r="BU60" s="170"/>
      <c r="BV60" s="170"/>
      <c r="BW60" s="170"/>
      <c r="BX60" s="170"/>
      <c r="BY60" s="170"/>
      <c r="BZ60" s="170"/>
      <c r="CA60" s="170"/>
      <c r="CB60" s="170"/>
      <c r="CC60" s="170"/>
      <c r="CD60" s="170"/>
      <c r="CE60" s="170"/>
      <c r="CF60" s="170"/>
      <c r="CG60" s="170"/>
      <c r="CH60" s="170"/>
      <c r="CI60" s="170"/>
      <c r="CJ60" s="170"/>
      <c r="CK60" s="170"/>
      <c r="CL60" s="170"/>
      <c r="CM60" s="170"/>
      <c r="CN60" s="170"/>
      <c r="CO60" s="170"/>
      <c r="CP60" s="170"/>
      <c r="CQ60" s="170"/>
      <c r="CR60" s="170"/>
      <c r="CS60" s="170"/>
      <c r="CT60" s="170"/>
      <c r="CU60" s="170"/>
      <c r="CV60" s="170"/>
      <c r="CW60" s="170"/>
      <c r="CX60" s="170"/>
      <c r="CY60" s="170"/>
      <c r="CZ60" s="170"/>
      <c r="DA60" s="170"/>
      <c r="DB60" s="170"/>
      <c r="DC60" s="170"/>
      <c r="DD60" s="170"/>
      <c r="DE60" s="170"/>
      <c r="DF60" s="170"/>
      <c r="DG60" s="170"/>
      <c r="DH60" s="170"/>
      <c r="DI60" s="170"/>
      <c r="DJ60" s="170"/>
      <c r="DK60" s="170"/>
      <c r="DL60" s="170"/>
      <c r="DM60" s="170"/>
      <c r="DN60" s="170"/>
      <c r="DO60" s="170"/>
      <c r="DP60" s="170"/>
      <c r="DQ60" s="170"/>
      <c r="DR60" s="170"/>
      <c r="DS60" s="170"/>
      <c r="DT60" s="170"/>
      <c r="DU60" s="170"/>
      <c r="DV60" s="170"/>
      <c r="DW60" s="170"/>
      <c r="DX60" s="170"/>
      <c r="DY60" s="170"/>
      <c r="DZ60" s="170"/>
      <c r="EA60" s="170"/>
      <c r="EB60" s="170"/>
      <c r="EC60" s="170"/>
      <c r="ED60" s="170"/>
      <c r="EE60" s="170"/>
      <c r="EF60" s="170"/>
      <c r="EG60" s="170"/>
      <c r="EH60" s="170"/>
      <c r="EI60" s="170"/>
      <c r="EJ60" s="170"/>
      <c r="EK60" s="170"/>
      <c r="EL60" s="170"/>
      <c r="EM60" s="170"/>
      <c r="EN60" s="170"/>
      <c r="EO60" s="170"/>
      <c r="EP60" s="170"/>
    </row>
    <row x14ac:dyDescent="0.25" r="61" customHeight="1" ht="18.75">
      <c r="A61" s="1"/>
      <c r="B61" s="1125">
        <v>2037</v>
      </c>
      <c r="C61" s="1126">
        <v>1.8612037037037037</v>
      </c>
      <c r="D61" s="1127">
        <v>1.8902083333333333</v>
      </c>
      <c r="E61" s="1128">
        <f>+(C61+D61)/2</f>
        <v>25569.041666666668</v>
      </c>
      <c r="F61" s="1083"/>
      <c r="G61" s="1083"/>
      <c r="H61" s="1083"/>
      <c r="I61" s="1083"/>
      <c r="J61" s="169"/>
      <c r="K61" s="169"/>
      <c r="L61" s="169"/>
      <c r="M61" s="169"/>
      <c r="N61" s="169"/>
      <c r="O61" s="169"/>
      <c r="P61" s="169"/>
      <c r="Q61" s="169"/>
      <c r="R61" s="169"/>
      <c r="S61" s="169"/>
      <c r="T61" s="169"/>
      <c r="U61" s="169"/>
      <c r="V61" s="169"/>
      <c r="W61" s="169"/>
      <c r="X61" s="169"/>
      <c r="Y61" s="170"/>
      <c r="Z61" s="170"/>
      <c r="AA61" s="170"/>
      <c r="AB61" s="170"/>
      <c r="AC61" s="170"/>
      <c r="AD61" s="170"/>
      <c r="AE61" s="170"/>
      <c r="AF61" s="170"/>
      <c r="AG61" s="170"/>
      <c r="AH61" s="170"/>
      <c r="AI61" s="170"/>
      <c r="AJ61" s="170"/>
      <c r="AK61" s="170"/>
      <c r="AL61" s="170"/>
      <c r="AM61" s="170"/>
      <c r="AN61" s="170"/>
      <c r="AO61" s="170"/>
      <c r="AP61" s="170"/>
      <c r="AQ61" s="170"/>
      <c r="AR61" s="170"/>
      <c r="AS61" s="170"/>
      <c r="AT61" s="170"/>
      <c r="AU61" s="170"/>
      <c r="AV61" s="170"/>
      <c r="AW61" s="170"/>
      <c r="AX61" s="170"/>
      <c r="AY61" s="170"/>
      <c r="AZ61" s="170"/>
      <c r="BA61" s="170"/>
      <c r="BB61" s="170"/>
      <c r="BC61" s="170"/>
      <c r="BD61" s="170"/>
      <c r="BE61" s="170"/>
      <c r="BF61" s="170"/>
      <c r="BG61" s="170"/>
      <c r="BH61" s="170"/>
      <c r="BI61" s="170"/>
      <c r="BJ61" s="170"/>
      <c r="BK61" s="170"/>
      <c r="BL61" s="170"/>
      <c r="BM61" s="170"/>
      <c r="BN61" s="170"/>
      <c r="BO61" s="170"/>
      <c r="BP61" s="170"/>
      <c r="BQ61" s="170"/>
      <c r="BR61" s="170"/>
      <c r="BS61" s="170"/>
      <c r="BT61" s="170"/>
      <c r="BU61" s="170"/>
      <c r="BV61" s="170"/>
      <c r="BW61" s="170"/>
      <c r="BX61" s="170"/>
      <c r="BY61" s="170"/>
      <c r="BZ61" s="170"/>
      <c r="CA61" s="170"/>
      <c r="CB61" s="170"/>
      <c r="CC61" s="170"/>
      <c r="CD61" s="170"/>
      <c r="CE61" s="170"/>
      <c r="CF61" s="170"/>
      <c r="CG61" s="170"/>
      <c r="CH61" s="170"/>
      <c r="CI61" s="170"/>
      <c r="CJ61" s="170"/>
      <c r="CK61" s="170"/>
      <c r="CL61" s="170"/>
      <c r="CM61" s="170"/>
      <c r="CN61" s="170"/>
      <c r="CO61" s="170"/>
      <c r="CP61" s="170"/>
      <c r="CQ61" s="170"/>
      <c r="CR61" s="170"/>
      <c r="CS61" s="170"/>
      <c r="CT61" s="170"/>
      <c r="CU61" s="170"/>
      <c r="CV61" s="170"/>
      <c r="CW61" s="170"/>
      <c r="CX61" s="170"/>
      <c r="CY61" s="170"/>
      <c r="CZ61" s="170"/>
      <c r="DA61" s="170"/>
      <c r="DB61" s="170"/>
      <c r="DC61" s="170"/>
      <c r="DD61" s="170"/>
      <c r="DE61" s="170"/>
      <c r="DF61" s="170"/>
      <c r="DG61" s="170"/>
      <c r="DH61" s="170"/>
      <c r="DI61" s="170"/>
      <c r="DJ61" s="170"/>
      <c r="DK61" s="170"/>
      <c r="DL61" s="170"/>
      <c r="DM61" s="170"/>
      <c r="DN61" s="170"/>
      <c r="DO61" s="170"/>
      <c r="DP61" s="170"/>
      <c r="DQ61" s="170"/>
      <c r="DR61" s="170"/>
      <c r="DS61" s="170"/>
      <c r="DT61" s="170"/>
      <c r="DU61" s="170"/>
      <c r="DV61" s="170"/>
      <c r="DW61" s="170"/>
      <c r="DX61" s="170"/>
      <c r="DY61" s="170"/>
      <c r="DZ61" s="170"/>
      <c r="EA61" s="170"/>
      <c r="EB61" s="170"/>
      <c r="EC61" s="170"/>
      <c r="ED61" s="170"/>
      <c r="EE61" s="170"/>
      <c r="EF61" s="170"/>
      <c r="EG61" s="170"/>
      <c r="EH61" s="170"/>
      <c r="EI61" s="170"/>
      <c r="EJ61" s="170"/>
      <c r="EK61" s="170"/>
      <c r="EL61" s="170"/>
      <c r="EM61" s="170"/>
      <c r="EN61" s="170"/>
      <c r="EO61" s="170"/>
      <c r="EP61" s="170"/>
    </row>
    <row x14ac:dyDescent="0.25" r="62" customHeight="1" ht="18.75">
      <c r="A62" s="1"/>
      <c r="B62" s="1129">
        <v>2038</v>
      </c>
      <c r="C62" s="1130">
        <v>1.855011574074074</v>
      </c>
      <c r="D62" s="1131">
        <v>1.8853125</v>
      </c>
      <c r="E62" s="1132">
        <f>+(C62+D62)/2</f>
        <v>25569.041666666668</v>
      </c>
      <c r="F62" s="1083"/>
      <c r="G62" s="1083"/>
      <c r="H62" s="1083"/>
      <c r="I62" s="1083"/>
      <c r="J62" s="169"/>
      <c r="K62" s="169"/>
      <c r="L62" s="169"/>
      <c r="M62" s="169"/>
      <c r="N62" s="169"/>
      <c r="O62" s="169"/>
      <c r="P62" s="169"/>
      <c r="Q62" s="169"/>
      <c r="R62" s="169"/>
      <c r="S62" s="169"/>
      <c r="T62" s="169"/>
      <c r="U62" s="169"/>
      <c r="V62" s="169"/>
      <c r="W62" s="169"/>
      <c r="X62" s="169"/>
      <c r="Y62" s="170"/>
      <c r="Z62" s="170"/>
      <c r="AA62" s="170"/>
      <c r="AB62" s="170"/>
      <c r="AC62" s="170"/>
      <c r="AD62" s="170"/>
      <c r="AE62" s="170"/>
      <c r="AF62" s="170"/>
      <c r="AG62" s="170"/>
      <c r="AH62" s="170"/>
      <c r="AI62" s="170"/>
      <c r="AJ62" s="170"/>
      <c r="AK62" s="170"/>
      <c r="AL62" s="170"/>
      <c r="AM62" s="170"/>
      <c r="AN62" s="170"/>
      <c r="AO62" s="170"/>
      <c r="AP62" s="170"/>
      <c r="AQ62" s="170"/>
      <c r="AR62" s="170"/>
      <c r="AS62" s="170"/>
      <c r="AT62" s="170"/>
      <c r="AU62" s="170"/>
      <c r="AV62" s="170"/>
      <c r="AW62" s="170"/>
      <c r="AX62" s="170"/>
      <c r="AY62" s="170"/>
      <c r="AZ62" s="170"/>
      <c r="BA62" s="170"/>
      <c r="BB62" s="170"/>
      <c r="BC62" s="170"/>
      <c r="BD62" s="170"/>
      <c r="BE62" s="170"/>
      <c r="BF62" s="170"/>
      <c r="BG62" s="170"/>
      <c r="BH62" s="170"/>
      <c r="BI62" s="170"/>
      <c r="BJ62" s="170"/>
      <c r="BK62" s="170"/>
      <c r="BL62" s="170"/>
      <c r="BM62" s="170"/>
      <c r="BN62" s="170"/>
      <c r="BO62" s="170"/>
      <c r="BP62" s="170"/>
      <c r="BQ62" s="170"/>
      <c r="BR62" s="170"/>
      <c r="BS62" s="170"/>
      <c r="BT62" s="170"/>
      <c r="BU62" s="170"/>
      <c r="BV62" s="170"/>
      <c r="BW62" s="170"/>
      <c r="BX62" s="170"/>
      <c r="BY62" s="170"/>
      <c r="BZ62" s="170"/>
      <c r="CA62" s="170"/>
      <c r="CB62" s="170"/>
      <c r="CC62" s="170"/>
      <c r="CD62" s="170"/>
      <c r="CE62" s="170"/>
      <c r="CF62" s="170"/>
      <c r="CG62" s="170"/>
      <c r="CH62" s="170"/>
      <c r="CI62" s="170"/>
      <c r="CJ62" s="170"/>
      <c r="CK62" s="170"/>
      <c r="CL62" s="170"/>
      <c r="CM62" s="170"/>
      <c r="CN62" s="170"/>
      <c r="CO62" s="170"/>
      <c r="CP62" s="170"/>
      <c r="CQ62" s="170"/>
      <c r="CR62" s="170"/>
      <c r="CS62" s="170"/>
      <c r="CT62" s="170"/>
      <c r="CU62" s="170"/>
      <c r="CV62" s="170"/>
      <c r="CW62" s="170"/>
      <c r="CX62" s="170"/>
      <c r="CY62" s="170"/>
      <c r="CZ62" s="170"/>
      <c r="DA62" s="170"/>
      <c r="DB62" s="170"/>
      <c r="DC62" s="170"/>
      <c r="DD62" s="170"/>
      <c r="DE62" s="170"/>
      <c r="DF62" s="170"/>
      <c r="DG62" s="170"/>
      <c r="DH62" s="170"/>
      <c r="DI62" s="170"/>
      <c r="DJ62" s="170"/>
      <c r="DK62" s="170"/>
      <c r="DL62" s="170"/>
      <c r="DM62" s="170"/>
      <c r="DN62" s="170"/>
      <c r="DO62" s="170"/>
      <c r="DP62" s="170"/>
      <c r="DQ62" s="170"/>
      <c r="DR62" s="170"/>
      <c r="DS62" s="170"/>
      <c r="DT62" s="170"/>
      <c r="DU62" s="170"/>
      <c r="DV62" s="170"/>
      <c r="DW62" s="170"/>
      <c r="DX62" s="170"/>
      <c r="DY62" s="170"/>
      <c r="DZ62" s="170"/>
      <c r="EA62" s="170"/>
      <c r="EB62" s="170"/>
      <c r="EC62" s="170"/>
      <c r="ED62" s="170"/>
      <c r="EE62" s="170"/>
      <c r="EF62" s="170"/>
      <c r="EG62" s="170"/>
      <c r="EH62" s="170"/>
      <c r="EI62" s="170"/>
      <c r="EJ62" s="170"/>
      <c r="EK62" s="170"/>
      <c r="EL62" s="170"/>
      <c r="EM62" s="170"/>
      <c r="EN62" s="170"/>
      <c r="EO62" s="170"/>
      <c r="EP62" s="170"/>
    </row>
    <row x14ac:dyDescent="0.25" r="63" customHeight="1" ht="18.75">
      <c r="A63" s="1"/>
      <c r="B63" s="1111">
        <v>2039</v>
      </c>
      <c r="C63" s="1112">
        <v>1.849212962962963</v>
      </c>
      <c r="D63" s="1113">
        <v>1.8808101851851853</v>
      </c>
      <c r="E63" s="1133">
        <f>+(C63+D63)/2</f>
        <v>25569.041666666668</v>
      </c>
      <c r="F63" s="1083"/>
      <c r="G63" s="1083"/>
      <c r="H63" s="1083"/>
      <c r="I63" s="1083"/>
      <c r="J63" s="169"/>
      <c r="K63" s="169"/>
      <c r="L63" s="169"/>
      <c r="M63" s="169"/>
      <c r="N63" s="169"/>
      <c r="O63" s="169"/>
      <c r="P63" s="169"/>
      <c r="Q63" s="169"/>
      <c r="R63" s="169"/>
      <c r="S63" s="169"/>
      <c r="T63" s="169"/>
      <c r="U63" s="169"/>
      <c r="V63" s="169"/>
      <c r="W63" s="169"/>
      <c r="X63" s="169"/>
      <c r="Y63" s="170"/>
      <c r="Z63" s="170"/>
      <c r="AA63" s="170"/>
      <c r="AB63" s="170"/>
      <c r="AC63" s="170"/>
      <c r="AD63" s="170"/>
      <c r="AE63" s="170"/>
      <c r="AF63" s="170"/>
      <c r="AG63" s="170"/>
      <c r="AH63" s="170"/>
      <c r="AI63" s="170"/>
      <c r="AJ63" s="170"/>
      <c r="AK63" s="170"/>
      <c r="AL63" s="170"/>
      <c r="AM63" s="170"/>
      <c r="AN63" s="170"/>
      <c r="AO63" s="170"/>
      <c r="AP63" s="170"/>
      <c r="AQ63" s="170"/>
      <c r="AR63" s="170"/>
      <c r="AS63" s="170"/>
      <c r="AT63" s="170"/>
      <c r="AU63" s="170"/>
      <c r="AV63" s="170"/>
      <c r="AW63" s="170"/>
      <c r="AX63" s="170"/>
      <c r="AY63" s="170"/>
      <c r="AZ63" s="170"/>
      <c r="BA63" s="170"/>
      <c r="BB63" s="170"/>
      <c r="BC63" s="170"/>
      <c r="BD63" s="170"/>
      <c r="BE63" s="170"/>
      <c r="BF63" s="170"/>
      <c r="BG63" s="170"/>
      <c r="BH63" s="170"/>
      <c r="BI63" s="170"/>
      <c r="BJ63" s="170"/>
      <c r="BK63" s="170"/>
      <c r="BL63" s="170"/>
      <c r="BM63" s="170"/>
      <c r="BN63" s="170"/>
      <c r="BO63" s="170"/>
      <c r="BP63" s="170"/>
      <c r="BQ63" s="170"/>
      <c r="BR63" s="170"/>
      <c r="BS63" s="170"/>
      <c r="BT63" s="170"/>
      <c r="BU63" s="170"/>
      <c r="BV63" s="170"/>
      <c r="BW63" s="170"/>
      <c r="BX63" s="170"/>
      <c r="BY63" s="170"/>
      <c r="BZ63" s="170"/>
      <c r="CA63" s="170"/>
      <c r="CB63" s="170"/>
      <c r="CC63" s="170"/>
      <c r="CD63" s="170"/>
      <c r="CE63" s="170"/>
      <c r="CF63" s="170"/>
      <c r="CG63" s="170"/>
      <c r="CH63" s="170"/>
      <c r="CI63" s="170"/>
      <c r="CJ63" s="170"/>
      <c r="CK63" s="170"/>
      <c r="CL63" s="170"/>
      <c r="CM63" s="170"/>
      <c r="CN63" s="170"/>
      <c r="CO63" s="170"/>
      <c r="CP63" s="170"/>
      <c r="CQ63" s="170"/>
      <c r="CR63" s="170"/>
      <c r="CS63" s="170"/>
      <c r="CT63" s="170"/>
      <c r="CU63" s="170"/>
      <c r="CV63" s="170"/>
      <c r="CW63" s="170"/>
      <c r="CX63" s="170"/>
      <c r="CY63" s="170"/>
      <c r="CZ63" s="170"/>
      <c r="DA63" s="170"/>
      <c r="DB63" s="170"/>
      <c r="DC63" s="170"/>
      <c r="DD63" s="170"/>
      <c r="DE63" s="170"/>
      <c r="DF63" s="170"/>
      <c r="DG63" s="170"/>
      <c r="DH63" s="170"/>
      <c r="DI63" s="170"/>
      <c r="DJ63" s="170"/>
      <c r="DK63" s="170"/>
      <c r="DL63" s="170"/>
      <c r="DM63" s="170"/>
      <c r="DN63" s="170"/>
      <c r="DO63" s="170"/>
      <c r="DP63" s="170"/>
      <c r="DQ63" s="170"/>
      <c r="DR63" s="170"/>
      <c r="DS63" s="170"/>
      <c r="DT63" s="170"/>
      <c r="DU63" s="170"/>
      <c r="DV63" s="170"/>
      <c r="DW63" s="170"/>
      <c r="DX63" s="170"/>
      <c r="DY63" s="170"/>
      <c r="DZ63" s="170"/>
      <c r="EA63" s="170"/>
      <c r="EB63" s="170"/>
      <c r="EC63" s="170"/>
      <c r="ED63" s="170"/>
      <c r="EE63" s="170"/>
      <c r="EF63" s="170"/>
      <c r="EG63" s="170"/>
      <c r="EH63" s="170"/>
      <c r="EI63" s="170"/>
      <c r="EJ63" s="170"/>
      <c r="EK63" s="170"/>
      <c r="EL63" s="170"/>
      <c r="EM63" s="170"/>
      <c r="EN63" s="170"/>
      <c r="EO63" s="170"/>
      <c r="EP63" s="170"/>
    </row>
    <row x14ac:dyDescent="0.25" r="64" customHeight="1" ht="18.75">
      <c r="A64" s="1"/>
      <c r="B64" s="1114">
        <v>2040</v>
      </c>
      <c r="C64" s="1115">
        <v>1.8435069444444445</v>
      </c>
      <c r="D64" s="1116">
        <v>1.8763078703703704</v>
      </c>
      <c r="E64" s="1134">
        <f>+(C64+D64)/2</f>
        <v>25569.041666666668</v>
      </c>
      <c r="F64" s="1083"/>
      <c r="G64" s="1083"/>
      <c r="H64" s="1083"/>
      <c r="I64" s="1083"/>
      <c r="J64" s="169"/>
      <c r="K64" s="169"/>
      <c r="L64" s="169"/>
      <c r="M64" s="169"/>
      <c r="N64" s="169"/>
      <c r="O64" s="169"/>
      <c r="P64" s="169"/>
      <c r="Q64" s="169"/>
      <c r="R64" s="169"/>
      <c r="S64" s="169"/>
      <c r="T64" s="169"/>
      <c r="U64" s="169"/>
      <c r="V64" s="169"/>
      <c r="W64" s="169"/>
      <c r="X64" s="169"/>
      <c r="Y64" s="170"/>
      <c r="Z64" s="170"/>
      <c r="AA64" s="170"/>
      <c r="AB64" s="170"/>
      <c r="AC64" s="170"/>
      <c r="AD64" s="170"/>
      <c r="AE64" s="170"/>
      <c r="AF64" s="170"/>
      <c r="AG64" s="170"/>
      <c r="AH64" s="170"/>
      <c r="AI64" s="170"/>
      <c r="AJ64" s="170"/>
      <c r="AK64" s="170"/>
      <c r="AL64" s="170"/>
      <c r="AM64" s="170"/>
      <c r="AN64" s="170"/>
      <c r="AO64" s="170"/>
      <c r="AP64" s="170"/>
      <c r="AQ64" s="170"/>
      <c r="AR64" s="170"/>
      <c r="AS64" s="170"/>
      <c r="AT64" s="170"/>
      <c r="AU64" s="170"/>
      <c r="AV64" s="170"/>
      <c r="AW64" s="170"/>
      <c r="AX64" s="170"/>
      <c r="AY64" s="170"/>
      <c r="AZ64" s="170"/>
      <c r="BA64" s="170"/>
      <c r="BB64" s="170"/>
      <c r="BC64" s="170"/>
      <c r="BD64" s="170"/>
      <c r="BE64" s="170"/>
      <c r="BF64" s="170"/>
      <c r="BG64" s="170"/>
      <c r="BH64" s="170"/>
      <c r="BI64" s="170"/>
      <c r="BJ64" s="170"/>
      <c r="BK64" s="170"/>
      <c r="BL64" s="170"/>
      <c r="BM64" s="170"/>
      <c r="BN64" s="170"/>
      <c r="BO64" s="170"/>
      <c r="BP64" s="170"/>
      <c r="BQ64" s="170"/>
      <c r="BR64" s="170"/>
      <c r="BS64" s="170"/>
      <c r="BT64" s="170"/>
      <c r="BU64" s="170"/>
      <c r="BV64" s="170"/>
      <c r="BW64" s="170"/>
      <c r="BX64" s="170"/>
      <c r="BY64" s="170"/>
      <c r="BZ64" s="170"/>
      <c r="CA64" s="170"/>
      <c r="CB64" s="170"/>
      <c r="CC64" s="170"/>
      <c r="CD64" s="170"/>
      <c r="CE64" s="170"/>
      <c r="CF64" s="170"/>
      <c r="CG64" s="170"/>
      <c r="CH64" s="170"/>
      <c r="CI64" s="170"/>
      <c r="CJ64" s="170"/>
      <c r="CK64" s="170"/>
      <c r="CL64" s="170"/>
      <c r="CM64" s="170"/>
      <c r="CN64" s="170"/>
      <c r="CO64" s="170"/>
      <c r="CP64" s="170"/>
      <c r="CQ64" s="170"/>
      <c r="CR64" s="170"/>
      <c r="CS64" s="170"/>
      <c r="CT64" s="170"/>
      <c r="CU64" s="170"/>
      <c r="CV64" s="170"/>
      <c r="CW64" s="170"/>
      <c r="CX64" s="170"/>
      <c r="CY64" s="170"/>
      <c r="CZ64" s="170"/>
      <c r="DA64" s="170"/>
      <c r="DB64" s="170"/>
      <c r="DC64" s="170"/>
      <c r="DD64" s="170"/>
      <c r="DE64" s="170"/>
      <c r="DF64" s="170"/>
      <c r="DG64" s="170"/>
      <c r="DH64" s="170"/>
      <c r="DI64" s="170"/>
      <c r="DJ64" s="170"/>
      <c r="DK64" s="170"/>
      <c r="DL64" s="170"/>
      <c r="DM64" s="170"/>
      <c r="DN64" s="170"/>
      <c r="DO64" s="170"/>
      <c r="DP64" s="170"/>
      <c r="DQ64" s="170"/>
      <c r="DR64" s="170"/>
      <c r="DS64" s="170"/>
      <c r="DT64" s="170"/>
      <c r="DU64" s="170"/>
      <c r="DV64" s="170"/>
      <c r="DW64" s="170"/>
      <c r="DX64" s="170"/>
      <c r="DY64" s="170"/>
      <c r="DZ64" s="170"/>
      <c r="EA64" s="170"/>
      <c r="EB64" s="170"/>
      <c r="EC64" s="170"/>
      <c r="ED64" s="170"/>
      <c r="EE64" s="170"/>
      <c r="EF64" s="170"/>
      <c r="EG64" s="170"/>
      <c r="EH64" s="170"/>
      <c r="EI64" s="170"/>
      <c r="EJ64" s="170"/>
      <c r="EK64" s="170"/>
      <c r="EL64" s="170"/>
      <c r="EM64" s="170"/>
      <c r="EN64" s="170"/>
      <c r="EO64" s="170"/>
      <c r="EP64" s="170"/>
    </row>
    <row x14ac:dyDescent="0.25" r="65" customHeight="1" ht="18.75">
      <c r="A65" s="1"/>
      <c r="B65" s="1114">
        <v>2041</v>
      </c>
      <c r="C65" s="1115">
        <v>1.8378125</v>
      </c>
      <c r="D65" s="1116">
        <v>1.871909722222222</v>
      </c>
      <c r="E65" s="1134">
        <f>+(C65+D65)/2</f>
        <v>25569.041666666668</v>
      </c>
      <c r="F65" s="1083"/>
      <c r="G65" s="1083"/>
      <c r="H65" s="1083"/>
      <c r="I65" s="1083"/>
      <c r="J65" s="169"/>
      <c r="K65" s="169"/>
      <c r="L65" s="169"/>
      <c r="M65" s="169"/>
      <c r="N65" s="169"/>
      <c r="O65" s="169"/>
      <c r="P65" s="169"/>
      <c r="Q65" s="169"/>
      <c r="R65" s="169"/>
      <c r="S65" s="169"/>
      <c r="T65" s="169"/>
      <c r="U65" s="169"/>
      <c r="V65" s="169"/>
      <c r="W65" s="169"/>
      <c r="X65" s="169"/>
      <c r="Y65" s="170"/>
      <c r="Z65" s="170"/>
      <c r="AA65" s="170"/>
      <c r="AB65" s="170"/>
      <c r="AC65" s="170"/>
      <c r="AD65" s="170"/>
      <c r="AE65" s="170"/>
      <c r="AF65" s="170"/>
      <c r="AG65" s="170"/>
      <c r="AH65" s="170"/>
      <c r="AI65" s="170"/>
      <c r="AJ65" s="170"/>
      <c r="AK65" s="170"/>
      <c r="AL65" s="170"/>
      <c r="AM65" s="170"/>
      <c r="AN65" s="170"/>
      <c r="AO65" s="170"/>
      <c r="AP65" s="170"/>
      <c r="AQ65" s="170"/>
      <c r="AR65" s="170"/>
      <c r="AS65" s="170"/>
      <c r="AT65" s="170"/>
      <c r="AU65" s="170"/>
      <c r="AV65" s="170"/>
      <c r="AW65" s="170"/>
      <c r="AX65" s="170"/>
      <c r="AY65" s="170"/>
      <c r="AZ65" s="170"/>
      <c r="BA65" s="170"/>
      <c r="BB65" s="170"/>
      <c r="BC65" s="170"/>
      <c r="BD65" s="170"/>
      <c r="BE65" s="170"/>
      <c r="BF65" s="170"/>
      <c r="BG65" s="170"/>
      <c r="BH65" s="170"/>
      <c r="BI65" s="170"/>
      <c r="BJ65" s="170"/>
      <c r="BK65" s="170"/>
      <c r="BL65" s="170"/>
      <c r="BM65" s="170"/>
      <c r="BN65" s="170"/>
      <c r="BO65" s="170"/>
      <c r="BP65" s="170"/>
      <c r="BQ65" s="170"/>
      <c r="BR65" s="170"/>
      <c r="BS65" s="170"/>
      <c r="BT65" s="170"/>
      <c r="BU65" s="170"/>
      <c r="BV65" s="170"/>
      <c r="BW65" s="170"/>
      <c r="BX65" s="170"/>
      <c r="BY65" s="170"/>
      <c r="BZ65" s="170"/>
      <c r="CA65" s="170"/>
      <c r="CB65" s="170"/>
      <c r="CC65" s="170"/>
      <c r="CD65" s="170"/>
      <c r="CE65" s="170"/>
      <c r="CF65" s="170"/>
      <c r="CG65" s="170"/>
      <c r="CH65" s="170"/>
      <c r="CI65" s="170"/>
      <c r="CJ65" s="170"/>
      <c r="CK65" s="170"/>
      <c r="CL65" s="170"/>
      <c r="CM65" s="170"/>
      <c r="CN65" s="170"/>
      <c r="CO65" s="170"/>
      <c r="CP65" s="170"/>
      <c r="CQ65" s="170"/>
      <c r="CR65" s="170"/>
      <c r="CS65" s="170"/>
      <c r="CT65" s="170"/>
      <c r="CU65" s="170"/>
      <c r="CV65" s="170"/>
      <c r="CW65" s="170"/>
      <c r="CX65" s="170"/>
      <c r="CY65" s="170"/>
      <c r="CZ65" s="170"/>
      <c r="DA65" s="170"/>
      <c r="DB65" s="170"/>
      <c r="DC65" s="170"/>
      <c r="DD65" s="170"/>
      <c r="DE65" s="170"/>
      <c r="DF65" s="170"/>
      <c r="DG65" s="170"/>
      <c r="DH65" s="170"/>
      <c r="DI65" s="170"/>
      <c r="DJ65" s="170"/>
      <c r="DK65" s="170"/>
      <c r="DL65" s="170"/>
      <c r="DM65" s="170"/>
      <c r="DN65" s="170"/>
      <c r="DO65" s="170"/>
      <c r="DP65" s="170"/>
      <c r="DQ65" s="170"/>
      <c r="DR65" s="170"/>
      <c r="DS65" s="170"/>
      <c r="DT65" s="170"/>
      <c r="DU65" s="170"/>
      <c r="DV65" s="170"/>
      <c r="DW65" s="170"/>
      <c r="DX65" s="170"/>
      <c r="DY65" s="170"/>
      <c r="DZ65" s="170"/>
      <c r="EA65" s="170"/>
      <c r="EB65" s="170"/>
      <c r="EC65" s="170"/>
      <c r="ED65" s="170"/>
      <c r="EE65" s="170"/>
      <c r="EF65" s="170"/>
      <c r="EG65" s="170"/>
      <c r="EH65" s="170"/>
      <c r="EI65" s="170"/>
      <c r="EJ65" s="170"/>
      <c r="EK65" s="170"/>
      <c r="EL65" s="170"/>
      <c r="EM65" s="170"/>
      <c r="EN65" s="170"/>
      <c r="EO65" s="170"/>
      <c r="EP65" s="170"/>
    </row>
    <row x14ac:dyDescent="0.25" r="66" customHeight="1" ht="18.75">
      <c r="A66" s="1"/>
      <c r="B66" s="1114">
        <v>2042</v>
      </c>
      <c r="C66" s="1115">
        <v>1.8322106481481482</v>
      </c>
      <c r="D66" s="1116">
        <v>1.867511574074074</v>
      </c>
      <c r="E66" s="1134">
        <f>+(C66+D66)/2</f>
        <v>25569.041666666668</v>
      </c>
      <c r="F66" s="1083"/>
      <c r="G66" s="1083"/>
      <c r="H66" s="1083"/>
      <c r="I66" s="1083"/>
      <c r="J66" s="169"/>
      <c r="K66" s="169"/>
      <c r="L66" s="169"/>
      <c r="M66" s="169"/>
      <c r="N66" s="169"/>
      <c r="O66" s="169"/>
      <c r="P66" s="169"/>
      <c r="Q66" s="169"/>
      <c r="R66" s="169"/>
      <c r="S66" s="169"/>
      <c r="T66" s="169"/>
      <c r="U66" s="169"/>
      <c r="V66" s="169"/>
      <c r="W66" s="169"/>
      <c r="X66" s="169"/>
      <c r="Y66" s="170"/>
      <c r="Z66" s="170"/>
      <c r="AA66" s="170"/>
      <c r="AB66" s="170"/>
      <c r="AC66" s="170"/>
      <c r="AD66" s="170"/>
      <c r="AE66" s="170"/>
      <c r="AF66" s="170"/>
      <c r="AG66" s="170"/>
      <c r="AH66" s="170"/>
      <c r="AI66" s="170"/>
      <c r="AJ66" s="170"/>
      <c r="AK66" s="170"/>
      <c r="AL66" s="170"/>
      <c r="AM66" s="170"/>
      <c r="AN66" s="170"/>
      <c r="AO66" s="170"/>
      <c r="AP66" s="170"/>
      <c r="AQ66" s="170"/>
      <c r="AR66" s="170"/>
      <c r="AS66" s="170"/>
      <c r="AT66" s="170"/>
      <c r="AU66" s="170"/>
      <c r="AV66" s="170"/>
      <c r="AW66" s="170"/>
      <c r="AX66" s="170"/>
      <c r="AY66" s="170"/>
      <c r="AZ66" s="170"/>
      <c r="BA66" s="170"/>
      <c r="BB66" s="170"/>
      <c r="BC66" s="170"/>
      <c r="BD66" s="170"/>
      <c r="BE66" s="170"/>
      <c r="BF66" s="170"/>
      <c r="BG66" s="170"/>
      <c r="BH66" s="170"/>
      <c r="BI66" s="170"/>
      <c r="BJ66" s="170"/>
      <c r="BK66" s="170"/>
      <c r="BL66" s="170"/>
      <c r="BM66" s="170"/>
      <c r="BN66" s="170"/>
      <c r="BO66" s="170"/>
      <c r="BP66" s="170"/>
      <c r="BQ66" s="170"/>
      <c r="BR66" s="170"/>
      <c r="BS66" s="170"/>
      <c r="BT66" s="170"/>
      <c r="BU66" s="170"/>
      <c r="BV66" s="170"/>
      <c r="BW66" s="170"/>
      <c r="BX66" s="170"/>
      <c r="BY66" s="170"/>
      <c r="BZ66" s="170"/>
      <c r="CA66" s="170"/>
      <c r="CB66" s="170"/>
      <c r="CC66" s="170"/>
      <c r="CD66" s="170"/>
      <c r="CE66" s="170"/>
      <c r="CF66" s="170"/>
      <c r="CG66" s="170"/>
      <c r="CH66" s="170"/>
      <c r="CI66" s="170"/>
      <c r="CJ66" s="170"/>
      <c r="CK66" s="170"/>
      <c r="CL66" s="170"/>
      <c r="CM66" s="170"/>
      <c r="CN66" s="170"/>
      <c r="CO66" s="170"/>
      <c r="CP66" s="170"/>
      <c r="CQ66" s="170"/>
      <c r="CR66" s="170"/>
      <c r="CS66" s="170"/>
      <c r="CT66" s="170"/>
      <c r="CU66" s="170"/>
      <c r="CV66" s="170"/>
      <c r="CW66" s="170"/>
      <c r="CX66" s="170"/>
      <c r="CY66" s="170"/>
      <c r="CZ66" s="170"/>
      <c r="DA66" s="170"/>
      <c r="DB66" s="170"/>
      <c r="DC66" s="170"/>
      <c r="DD66" s="170"/>
      <c r="DE66" s="170"/>
      <c r="DF66" s="170"/>
      <c r="DG66" s="170"/>
      <c r="DH66" s="170"/>
      <c r="DI66" s="170"/>
      <c r="DJ66" s="170"/>
      <c r="DK66" s="170"/>
      <c r="DL66" s="170"/>
      <c r="DM66" s="170"/>
      <c r="DN66" s="170"/>
      <c r="DO66" s="170"/>
      <c r="DP66" s="170"/>
      <c r="DQ66" s="170"/>
      <c r="DR66" s="170"/>
      <c r="DS66" s="170"/>
      <c r="DT66" s="170"/>
      <c r="DU66" s="170"/>
      <c r="DV66" s="170"/>
      <c r="DW66" s="170"/>
      <c r="DX66" s="170"/>
      <c r="DY66" s="170"/>
      <c r="DZ66" s="170"/>
      <c r="EA66" s="170"/>
      <c r="EB66" s="170"/>
      <c r="EC66" s="170"/>
      <c r="ED66" s="170"/>
      <c r="EE66" s="170"/>
      <c r="EF66" s="170"/>
      <c r="EG66" s="170"/>
      <c r="EH66" s="170"/>
      <c r="EI66" s="170"/>
      <c r="EJ66" s="170"/>
      <c r="EK66" s="170"/>
      <c r="EL66" s="170"/>
      <c r="EM66" s="170"/>
      <c r="EN66" s="170"/>
      <c r="EO66" s="170"/>
      <c r="EP66" s="170"/>
    </row>
    <row x14ac:dyDescent="0.25" r="67" customHeight="1" ht="18.75">
      <c r="A67" s="1"/>
      <c r="B67" s="1117">
        <v>2043</v>
      </c>
      <c r="C67" s="1118">
        <v>1.8266087962962962</v>
      </c>
      <c r="D67" s="1119">
        <v>1.8631134259259259</v>
      </c>
      <c r="E67" s="1120">
        <f>+(C67+D67)/2</f>
        <v>25569.041666666668</v>
      </c>
      <c r="F67" s="1083"/>
      <c r="G67" s="1083"/>
      <c r="H67" s="1083"/>
      <c r="I67" s="1083"/>
      <c r="J67" s="169"/>
      <c r="K67" s="169"/>
      <c r="L67" s="169"/>
      <c r="M67" s="169"/>
      <c r="N67" s="169"/>
      <c r="O67" s="169"/>
      <c r="P67" s="169"/>
      <c r="Q67" s="169"/>
      <c r="R67" s="169"/>
      <c r="S67" s="169"/>
      <c r="T67" s="169"/>
      <c r="U67" s="169"/>
      <c r="V67" s="169"/>
      <c r="W67" s="169"/>
      <c r="X67" s="169"/>
      <c r="Y67" s="170"/>
      <c r="Z67" s="170"/>
      <c r="AA67" s="170"/>
      <c r="AB67" s="170"/>
      <c r="AC67" s="170"/>
      <c r="AD67" s="170"/>
      <c r="AE67" s="170"/>
      <c r="AF67" s="170"/>
      <c r="AG67" s="170"/>
      <c r="AH67" s="170"/>
      <c r="AI67" s="170"/>
      <c r="AJ67" s="170"/>
      <c r="AK67" s="170"/>
      <c r="AL67" s="170"/>
      <c r="AM67" s="170"/>
      <c r="AN67" s="170"/>
      <c r="AO67" s="170"/>
      <c r="AP67" s="170"/>
      <c r="AQ67" s="170"/>
      <c r="AR67" s="170"/>
      <c r="AS67" s="170"/>
      <c r="AT67" s="170"/>
      <c r="AU67" s="170"/>
      <c r="AV67" s="170"/>
      <c r="AW67" s="170"/>
      <c r="AX67" s="170"/>
      <c r="AY67" s="170"/>
      <c r="AZ67" s="170"/>
      <c r="BA67" s="170"/>
      <c r="BB67" s="170"/>
      <c r="BC67" s="170"/>
      <c r="BD67" s="170"/>
      <c r="BE67" s="170"/>
      <c r="BF67" s="170"/>
      <c r="BG67" s="170"/>
      <c r="BH67" s="170"/>
      <c r="BI67" s="170"/>
      <c r="BJ67" s="170"/>
      <c r="BK67" s="170"/>
      <c r="BL67" s="170"/>
      <c r="BM67" s="170"/>
      <c r="BN67" s="170"/>
      <c r="BO67" s="170"/>
      <c r="BP67" s="170"/>
      <c r="BQ67" s="170"/>
      <c r="BR67" s="170"/>
      <c r="BS67" s="170"/>
      <c r="BT67" s="170"/>
      <c r="BU67" s="170"/>
      <c r="BV67" s="170"/>
      <c r="BW67" s="170"/>
      <c r="BX67" s="170"/>
      <c r="BY67" s="170"/>
      <c r="BZ67" s="170"/>
      <c r="CA67" s="170"/>
      <c r="CB67" s="170"/>
      <c r="CC67" s="170"/>
      <c r="CD67" s="170"/>
      <c r="CE67" s="170"/>
      <c r="CF67" s="170"/>
      <c r="CG67" s="170"/>
      <c r="CH67" s="170"/>
      <c r="CI67" s="170"/>
      <c r="CJ67" s="170"/>
      <c r="CK67" s="170"/>
      <c r="CL67" s="170"/>
      <c r="CM67" s="170"/>
      <c r="CN67" s="170"/>
      <c r="CO67" s="170"/>
      <c r="CP67" s="170"/>
      <c r="CQ67" s="170"/>
      <c r="CR67" s="170"/>
      <c r="CS67" s="170"/>
      <c r="CT67" s="170"/>
      <c r="CU67" s="170"/>
      <c r="CV67" s="170"/>
      <c r="CW67" s="170"/>
      <c r="CX67" s="170"/>
      <c r="CY67" s="170"/>
      <c r="CZ67" s="170"/>
      <c r="DA67" s="170"/>
      <c r="DB67" s="170"/>
      <c r="DC67" s="170"/>
      <c r="DD67" s="170"/>
      <c r="DE67" s="170"/>
      <c r="DF67" s="170"/>
      <c r="DG67" s="170"/>
      <c r="DH67" s="170"/>
      <c r="DI67" s="170"/>
      <c r="DJ67" s="170"/>
      <c r="DK67" s="170"/>
      <c r="DL67" s="170"/>
      <c r="DM67" s="170"/>
      <c r="DN67" s="170"/>
      <c r="DO67" s="170"/>
      <c r="DP67" s="170"/>
      <c r="DQ67" s="170"/>
      <c r="DR67" s="170"/>
      <c r="DS67" s="170"/>
      <c r="DT67" s="170"/>
      <c r="DU67" s="170"/>
      <c r="DV67" s="170"/>
      <c r="DW67" s="170"/>
      <c r="DX67" s="170"/>
      <c r="DY67" s="170"/>
      <c r="DZ67" s="170"/>
      <c r="EA67" s="170"/>
      <c r="EB67" s="170"/>
      <c r="EC67" s="170"/>
      <c r="ED67" s="170"/>
      <c r="EE67" s="170"/>
      <c r="EF67" s="170"/>
      <c r="EG67" s="170"/>
      <c r="EH67" s="170"/>
      <c r="EI67" s="170"/>
      <c r="EJ67" s="170"/>
      <c r="EK67" s="170"/>
      <c r="EL67" s="170"/>
      <c r="EM67" s="170"/>
      <c r="EN67" s="170"/>
      <c r="EO67" s="170"/>
      <c r="EP67" s="170"/>
    </row>
    <row x14ac:dyDescent="0.25" r="68" customHeight="1" ht="18.75">
      <c r="A68" s="1"/>
      <c r="B68" s="1121">
        <v>2044</v>
      </c>
      <c r="C68" s="1122">
        <v>1.821412037037037</v>
      </c>
      <c r="D68" s="1123">
        <v>1.8590046296296296</v>
      </c>
      <c r="E68" s="1124">
        <f>+(C68+D68)/2</f>
        <v>25569.041666666668</v>
      </c>
      <c r="F68" s="1083"/>
      <c r="G68" s="1083"/>
      <c r="H68" s="1083"/>
      <c r="I68" s="1083"/>
      <c r="J68" s="169"/>
      <c r="K68" s="169"/>
      <c r="L68" s="169"/>
      <c r="M68" s="169"/>
      <c r="N68" s="169"/>
      <c r="O68" s="169"/>
      <c r="P68" s="169"/>
      <c r="Q68" s="169"/>
      <c r="R68" s="169"/>
      <c r="S68" s="169"/>
      <c r="T68" s="169"/>
      <c r="U68" s="169"/>
      <c r="V68" s="169"/>
      <c r="W68" s="169"/>
      <c r="X68" s="169"/>
      <c r="Y68" s="170"/>
      <c r="Z68" s="170"/>
      <c r="AA68" s="170"/>
      <c r="AB68" s="170"/>
      <c r="AC68" s="170"/>
      <c r="AD68" s="170"/>
      <c r="AE68" s="170"/>
      <c r="AF68" s="170"/>
      <c r="AG68" s="170"/>
      <c r="AH68" s="170"/>
      <c r="AI68" s="170"/>
      <c r="AJ68" s="170"/>
      <c r="AK68" s="170"/>
      <c r="AL68" s="170"/>
      <c r="AM68" s="170"/>
      <c r="AN68" s="170"/>
      <c r="AO68" s="170"/>
      <c r="AP68" s="170"/>
      <c r="AQ68" s="170"/>
      <c r="AR68" s="170"/>
      <c r="AS68" s="170"/>
      <c r="AT68" s="170"/>
      <c r="AU68" s="170"/>
      <c r="AV68" s="170"/>
      <c r="AW68" s="170"/>
      <c r="AX68" s="170"/>
      <c r="AY68" s="170"/>
      <c r="AZ68" s="170"/>
      <c r="BA68" s="170"/>
      <c r="BB68" s="170"/>
      <c r="BC68" s="170"/>
      <c r="BD68" s="170"/>
      <c r="BE68" s="170"/>
      <c r="BF68" s="170"/>
      <c r="BG68" s="170"/>
      <c r="BH68" s="170"/>
      <c r="BI68" s="170"/>
      <c r="BJ68" s="170"/>
      <c r="BK68" s="170"/>
      <c r="BL68" s="170"/>
      <c r="BM68" s="170"/>
      <c r="BN68" s="170"/>
      <c r="BO68" s="170"/>
      <c r="BP68" s="170"/>
      <c r="BQ68" s="170"/>
      <c r="BR68" s="170"/>
      <c r="BS68" s="170"/>
      <c r="BT68" s="170"/>
      <c r="BU68" s="170"/>
      <c r="BV68" s="170"/>
      <c r="BW68" s="170"/>
      <c r="BX68" s="170"/>
      <c r="BY68" s="170"/>
      <c r="BZ68" s="170"/>
      <c r="CA68" s="170"/>
      <c r="CB68" s="170"/>
      <c r="CC68" s="170"/>
      <c r="CD68" s="170"/>
      <c r="CE68" s="170"/>
      <c r="CF68" s="170"/>
      <c r="CG68" s="170"/>
      <c r="CH68" s="170"/>
      <c r="CI68" s="170"/>
      <c r="CJ68" s="170"/>
      <c r="CK68" s="170"/>
      <c r="CL68" s="170"/>
      <c r="CM68" s="170"/>
      <c r="CN68" s="170"/>
      <c r="CO68" s="170"/>
      <c r="CP68" s="170"/>
      <c r="CQ68" s="170"/>
      <c r="CR68" s="170"/>
      <c r="CS68" s="170"/>
      <c r="CT68" s="170"/>
      <c r="CU68" s="170"/>
      <c r="CV68" s="170"/>
      <c r="CW68" s="170"/>
      <c r="CX68" s="170"/>
      <c r="CY68" s="170"/>
      <c r="CZ68" s="170"/>
      <c r="DA68" s="170"/>
      <c r="DB68" s="170"/>
      <c r="DC68" s="170"/>
      <c r="DD68" s="170"/>
      <c r="DE68" s="170"/>
      <c r="DF68" s="170"/>
      <c r="DG68" s="170"/>
      <c r="DH68" s="170"/>
      <c r="DI68" s="170"/>
      <c r="DJ68" s="170"/>
      <c r="DK68" s="170"/>
      <c r="DL68" s="170"/>
      <c r="DM68" s="170"/>
      <c r="DN68" s="170"/>
      <c r="DO68" s="170"/>
      <c r="DP68" s="170"/>
      <c r="DQ68" s="170"/>
      <c r="DR68" s="170"/>
      <c r="DS68" s="170"/>
      <c r="DT68" s="170"/>
      <c r="DU68" s="170"/>
      <c r="DV68" s="170"/>
      <c r="DW68" s="170"/>
      <c r="DX68" s="170"/>
      <c r="DY68" s="170"/>
      <c r="DZ68" s="170"/>
      <c r="EA68" s="170"/>
      <c r="EB68" s="170"/>
      <c r="EC68" s="170"/>
      <c r="ED68" s="170"/>
      <c r="EE68" s="170"/>
      <c r="EF68" s="170"/>
      <c r="EG68" s="170"/>
      <c r="EH68" s="170"/>
      <c r="EI68" s="170"/>
      <c r="EJ68" s="170"/>
      <c r="EK68" s="170"/>
      <c r="EL68" s="170"/>
      <c r="EM68" s="170"/>
      <c r="EN68" s="170"/>
      <c r="EO68" s="170"/>
      <c r="EP68" s="170"/>
    </row>
    <row x14ac:dyDescent="0.25" r="69" customHeight="1" ht="18.75">
      <c r="A69" s="1"/>
      <c r="B69" s="1125">
        <v>2045</v>
      </c>
      <c r="C69" s="1126">
        <v>1.8162037037037035</v>
      </c>
      <c r="D69" s="1127">
        <v>1.855011574074074</v>
      </c>
      <c r="E69" s="1128">
        <f>+(C69+D69)/2</f>
        <v>25569.041666666668</v>
      </c>
      <c r="F69" s="1083"/>
      <c r="G69" s="1083"/>
      <c r="H69" s="1083"/>
      <c r="I69" s="1083"/>
      <c r="J69" s="169"/>
      <c r="K69" s="169"/>
      <c r="L69" s="169"/>
      <c r="M69" s="169"/>
      <c r="N69" s="169"/>
      <c r="O69" s="169"/>
      <c r="P69" s="169"/>
      <c r="Q69" s="169"/>
      <c r="R69" s="169"/>
      <c r="S69" s="169"/>
      <c r="T69" s="169"/>
      <c r="U69" s="169"/>
      <c r="V69" s="169"/>
      <c r="W69" s="169"/>
      <c r="X69" s="169"/>
      <c r="Y69" s="170"/>
      <c r="Z69" s="170"/>
      <c r="AA69" s="170"/>
      <c r="AB69" s="170"/>
      <c r="AC69" s="170"/>
      <c r="AD69" s="170"/>
      <c r="AE69" s="170"/>
      <c r="AF69" s="170"/>
      <c r="AG69" s="170"/>
      <c r="AH69" s="170"/>
      <c r="AI69" s="170"/>
      <c r="AJ69" s="170"/>
      <c r="AK69" s="170"/>
      <c r="AL69" s="170"/>
      <c r="AM69" s="170"/>
      <c r="AN69" s="170"/>
      <c r="AO69" s="170"/>
      <c r="AP69" s="170"/>
      <c r="AQ69" s="170"/>
      <c r="AR69" s="170"/>
      <c r="AS69" s="170"/>
      <c r="AT69" s="170"/>
      <c r="AU69" s="170"/>
      <c r="AV69" s="170"/>
      <c r="AW69" s="170"/>
      <c r="AX69" s="170"/>
      <c r="AY69" s="170"/>
      <c r="AZ69" s="170"/>
      <c r="BA69" s="170"/>
      <c r="BB69" s="170"/>
      <c r="BC69" s="170"/>
      <c r="BD69" s="170"/>
      <c r="BE69" s="170"/>
      <c r="BF69" s="170"/>
      <c r="BG69" s="170"/>
      <c r="BH69" s="170"/>
      <c r="BI69" s="170"/>
      <c r="BJ69" s="170"/>
      <c r="BK69" s="170"/>
      <c r="BL69" s="170"/>
      <c r="BM69" s="170"/>
      <c r="BN69" s="170"/>
      <c r="BO69" s="170"/>
      <c r="BP69" s="170"/>
      <c r="BQ69" s="170"/>
      <c r="BR69" s="170"/>
      <c r="BS69" s="170"/>
      <c r="BT69" s="170"/>
      <c r="BU69" s="170"/>
      <c r="BV69" s="170"/>
      <c r="BW69" s="170"/>
      <c r="BX69" s="170"/>
      <c r="BY69" s="170"/>
      <c r="BZ69" s="170"/>
      <c r="CA69" s="170"/>
      <c r="CB69" s="170"/>
      <c r="CC69" s="170"/>
      <c r="CD69" s="170"/>
      <c r="CE69" s="170"/>
      <c r="CF69" s="170"/>
      <c r="CG69" s="170"/>
      <c r="CH69" s="170"/>
      <c r="CI69" s="170"/>
      <c r="CJ69" s="170"/>
      <c r="CK69" s="170"/>
      <c r="CL69" s="170"/>
      <c r="CM69" s="170"/>
      <c r="CN69" s="170"/>
      <c r="CO69" s="170"/>
      <c r="CP69" s="170"/>
      <c r="CQ69" s="170"/>
      <c r="CR69" s="170"/>
      <c r="CS69" s="170"/>
      <c r="CT69" s="170"/>
      <c r="CU69" s="170"/>
      <c r="CV69" s="170"/>
      <c r="CW69" s="170"/>
      <c r="CX69" s="170"/>
      <c r="CY69" s="170"/>
      <c r="CZ69" s="170"/>
      <c r="DA69" s="170"/>
      <c r="DB69" s="170"/>
      <c r="DC69" s="170"/>
      <c r="DD69" s="170"/>
      <c r="DE69" s="170"/>
      <c r="DF69" s="170"/>
      <c r="DG69" s="170"/>
      <c r="DH69" s="170"/>
      <c r="DI69" s="170"/>
      <c r="DJ69" s="170"/>
      <c r="DK69" s="170"/>
      <c r="DL69" s="170"/>
      <c r="DM69" s="170"/>
      <c r="DN69" s="170"/>
      <c r="DO69" s="170"/>
      <c r="DP69" s="170"/>
      <c r="DQ69" s="170"/>
      <c r="DR69" s="170"/>
      <c r="DS69" s="170"/>
      <c r="DT69" s="170"/>
      <c r="DU69" s="170"/>
      <c r="DV69" s="170"/>
      <c r="DW69" s="170"/>
      <c r="DX69" s="170"/>
      <c r="DY69" s="170"/>
      <c r="DZ69" s="170"/>
      <c r="EA69" s="170"/>
      <c r="EB69" s="170"/>
      <c r="EC69" s="170"/>
      <c r="ED69" s="170"/>
      <c r="EE69" s="170"/>
      <c r="EF69" s="170"/>
      <c r="EG69" s="170"/>
      <c r="EH69" s="170"/>
      <c r="EI69" s="170"/>
      <c r="EJ69" s="170"/>
      <c r="EK69" s="170"/>
      <c r="EL69" s="170"/>
      <c r="EM69" s="170"/>
      <c r="EN69" s="170"/>
      <c r="EO69" s="170"/>
      <c r="EP69" s="170"/>
    </row>
    <row x14ac:dyDescent="0.25" r="70" customHeight="1" ht="18.75">
      <c r="A70" s="1"/>
      <c r="B70" s="1125">
        <v>2046</v>
      </c>
      <c r="C70" s="1126">
        <v>1.8110069444444443</v>
      </c>
      <c r="D70" s="1127">
        <v>1.8510069444444444</v>
      </c>
      <c r="E70" s="1128">
        <f>+(C70+D70)/2</f>
        <v>25569.041666666668</v>
      </c>
      <c r="F70" s="1083"/>
      <c r="G70" s="1083"/>
      <c r="H70" s="1083"/>
      <c r="I70" s="1083"/>
      <c r="J70" s="169"/>
      <c r="K70" s="169"/>
      <c r="L70" s="169"/>
      <c r="M70" s="169"/>
      <c r="N70" s="169"/>
      <c r="O70" s="169"/>
      <c r="P70" s="169"/>
      <c r="Q70" s="169"/>
      <c r="R70" s="169"/>
      <c r="S70" s="169"/>
      <c r="T70" s="169"/>
      <c r="U70" s="169"/>
      <c r="V70" s="169"/>
      <c r="W70" s="169"/>
      <c r="X70" s="169"/>
      <c r="Y70" s="170"/>
      <c r="Z70" s="170"/>
      <c r="AA70" s="170"/>
      <c r="AB70" s="170"/>
      <c r="AC70" s="170"/>
      <c r="AD70" s="170"/>
      <c r="AE70" s="170"/>
      <c r="AF70" s="170"/>
      <c r="AG70" s="170"/>
      <c r="AH70" s="170"/>
      <c r="AI70" s="170"/>
      <c r="AJ70" s="170"/>
      <c r="AK70" s="170"/>
      <c r="AL70" s="170"/>
      <c r="AM70" s="170"/>
      <c r="AN70" s="170"/>
      <c r="AO70" s="170"/>
      <c r="AP70" s="170"/>
      <c r="AQ70" s="170"/>
      <c r="AR70" s="170"/>
      <c r="AS70" s="170"/>
      <c r="AT70" s="170"/>
      <c r="AU70" s="170"/>
      <c r="AV70" s="170"/>
      <c r="AW70" s="170"/>
      <c r="AX70" s="170"/>
      <c r="AY70" s="170"/>
      <c r="AZ70" s="170"/>
      <c r="BA70" s="170"/>
      <c r="BB70" s="170"/>
      <c r="BC70" s="170"/>
      <c r="BD70" s="170"/>
      <c r="BE70" s="170"/>
      <c r="BF70" s="170"/>
      <c r="BG70" s="170"/>
      <c r="BH70" s="170"/>
      <c r="BI70" s="170"/>
      <c r="BJ70" s="170"/>
      <c r="BK70" s="170"/>
      <c r="BL70" s="170"/>
      <c r="BM70" s="170"/>
      <c r="BN70" s="170"/>
      <c r="BO70" s="170"/>
      <c r="BP70" s="170"/>
      <c r="BQ70" s="170"/>
      <c r="BR70" s="170"/>
      <c r="BS70" s="170"/>
      <c r="BT70" s="170"/>
      <c r="BU70" s="170"/>
      <c r="BV70" s="170"/>
      <c r="BW70" s="170"/>
      <c r="BX70" s="170"/>
      <c r="BY70" s="170"/>
      <c r="BZ70" s="170"/>
      <c r="CA70" s="170"/>
      <c r="CB70" s="170"/>
      <c r="CC70" s="170"/>
      <c r="CD70" s="170"/>
      <c r="CE70" s="170"/>
      <c r="CF70" s="170"/>
      <c r="CG70" s="170"/>
      <c r="CH70" s="170"/>
      <c r="CI70" s="170"/>
      <c r="CJ70" s="170"/>
      <c r="CK70" s="170"/>
      <c r="CL70" s="170"/>
      <c r="CM70" s="170"/>
      <c r="CN70" s="170"/>
      <c r="CO70" s="170"/>
      <c r="CP70" s="170"/>
      <c r="CQ70" s="170"/>
      <c r="CR70" s="170"/>
      <c r="CS70" s="170"/>
      <c r="CT70" s="170"/>
      <c r="CU70" s="170"/>
      <c r="CV70" s="170"/>
      <c r="CW70" s="170"/>
      <c r="CX70" s="170"/>
      <c r="CY70" s="170"/>
      <c r="CZ70" s="170"/>
      <c r="DA70" s="170"/>
      <c r="DB70" s="170"/>
      <c r="DC70" s="170"/>
      <c r="DD70" s="170"/>
      <c r="DE70" s="170"/>
      <c r="DF70" s="170"/>
      <c r="DG70" s="170"/>
      <c r="DH70" s="170"/>
      <c r="DI70" s="170"/>
      <c r="DJ70" s="170"/>
      <c r="DK70" s="170"/>
      <c r="DL70" s="170"/>
      <c r="DM70" s="170"/>
      <c r="DN70" s="170"/>
      <c r="DO70" s="170"/>
      <c r="DP70" s="170"/>
      <c r="DQ70" s="170"/>
      <c r="DR70" s="170"/>
      <c r="DS70" s="170"/>
      <c r="DT70" s="170"/>
      <c r="DU70" s="170"/>
      <c r="DV70" s="170"/>
      <c r="DW70" s="170"/>
      <c r="DX70" s="170"/>
      <c r="DY70" s="170"/>
      <c r="DZ70" s="170"/>
      <c r="EA70" s="170"/>
      <c r="EB70" s="170"/>
      <c r="EC70" s="170"/>
      <c r="ED70" s="170"/>
      <c r="EE70" s="170"/>
      <c r="EF70" s="170"/>
      <c r="EG70" s="170"/>
      <c r="EH70" s="170"/>
      <c r="EI70" s="170"/>
      <c r="EJ70" s="170"/>
      <c r="EK70" s="170"/>
      <c r="EL70" s="170"/>
      <c r="EM70" s="170"/>
      <c r="EN70" s="170"/>
      <c r="EO70" s="170"/>
      <c r="EP70" s="170"/>
    </row>
    <row x14ac:dyDescent="0.25" r="71" customHeight="1" ht="18.75">
      <c r="A71" s="1"/>
      <c r="B71" s="1125">
        <v>2047</v>
      </c>
      <c r="C71" s="1126">
        <v>1.805914351851852</v>
      </c>
      <c r="D71" s="1127">
        <v>1.8470138888888887</v>
      </c>
      <c r="E71" s="1128">
        <f>+(C71+D71)/2</f>
        <v>25569.041666666668</v>
      </c>
      <c r="F71" s="1083"/>
      <c r="G71" s="1083"/>
      <c r="H71" s="1083"/>
      <c r="I71" s="1083"/>
      <c r="J71" s="169"/>
      <c r="K71" s="169"/>
      <c r="L71" s="169"/>
      <c r="M71" s="169"/>
      <c r="N71" s="169"/>
      <c r="O71" s="169"/>
      <c r="P71" s="169"/>
      <c r="Q71" s="169"/>
      <c r="R71" s="169"/>
      <c r="S71" s="169"/>
      <c r="T71" s="169"/>
      <c r="U71" s="169"/>
      <c r="V71" s="169"/>
      <c r="W71" s="169"/>
      <c r="X71" s="169"/>
      <c r="Y71" s="170"/>
      <c r="Z71" s="170"/>
      <c r="AA71" s="170"/>
      <c r="AB71" s="170"/>
      <c r="AC71" s="170"/>
      <c r="AD71" s="170"/>
      <c r="AE71" s="170"/>
      <c r="AF71" s="170"/>
      <c r="AG71" s="170"/>
      <c r="AH71" s="170"/>
      <c r="AI71" s="170"/>
      <c r="AJ71" s="170"/>
      <c r="AK71" s="170"/>
      <c r="AL71" s="170"/>
      <c r="AM71" s="170"/>
      <c r="AN71" s="170"/>
      <c r="AO71" s="170"/>
      <c r="AP71" s="170"/>
      <c r="AQ71" s="170"/>
      <c r="AR71" s="170"/>
      <c r="AS71" s="170"/>
      <c r="AT71" s="170"/>
      <c r="AU71" s="170"/>
      <c r="AV71" s="170"/>
      <c r="AW71" s="170"/>
      <c r="AX71" s="170"/>
      <c r="AY71" s="170"/>
      <c r="AZ71" s="170"/>
      <c r="BA71" s="170"/>
      <c r="BB71" s="170"/>
      <c r="BC71" s="170"/>
      <c r="BD71" s="170"/>
      <c r="BE71" s="170"/>
      <c r="BF71" s="170"/>
      <c r="BG71" s="170"/>
      <c r="BH71" s="170"/>
      <c r="BI71" s="170"/>
      <c r="BJ71" s="170"/>
      <c r="BK71" s="170"/>
      <c r="BL71" s="170"/>
      <c r="BM71" s="170"/>
      <c r="BN71" s="170"/>
      <c r="BO71" s="170"/>
      <c r="BP71" s="170"/>
      <c r="BQ71" s="170"/>
      <c r="BR71" s="170"/>
      <c r="BS71" s="170"/>
      <c r="BT71" s="170"/>
      <c r="BU71" s="170"/>
      <c r="BV71" s="170"/>
      <c r="BW71" s="170"/>
      <c r="BX71" s="170"/>
      <c r="BY71" s="170"/>
      <c r="BZ71" s="170"/>
      <c r="CA71" s="170"/>
      <c r="CB71" s="170"/>
      <c r="CC71" s="170"/>
      <c r="CD71" s="170"/>
      <c r="CE71" s="170"/>
      <c r="CF71" s="170"/>
      <c r="CG71" s="170"/>
      <c r="CH71" s="170"/>
      <c r="CI71" s="170"/>
      <c r="CJ71" s="170"/>
      <c r="CK71" s="170"/>
      <c r="CL71" s="170"/>
      <c r="CM71" s="170"/>
      <c r="CN71" s="170"/>
      <c r="CO71" s="170"/>
      <c r="CP71" s="170"/>
      <c r="CQ71" s="170"/>
      <c r="CR71" s="170"/>
      <c r="CS71" s="170"/>
      <c r="CT71" s="170"/>
      <c r="CU71" s="170"/>
      <c r="CV71" s="170"/>
      <c r="CW71" s="170"/>
      <c r="CX71" s="170"/>
      <c r="CY71" s="170"/>
      <c r="CZ71" s="170"/>
      <c r="DA71" s="170"/>
      <c r="DB71" s="170"/>
      <c r="DC71" s="170"/>
      <c r="DD71" s="170"/>
      <c r="DE71" s="170"/>
      <c r="DF71" s="170"/>
      <c r="DG71" s="170"/>
      <c r="DH71" s="170"/>
      <c r="DI71" s="170"/>
      <c r="DJ71" s="170"/>
      <c r="DK71" s="170"/>
      <c r="DL71" s="170"/>
      <c r="DM71" s="170"/>
      <c r="DN71" s="170"/>
      <c r="DO71" s="170"/>
      <c r="DP71" s="170"/>
      <c r="DQ71" s="170"/>
      <c r="DR71" s="170"/>
      <c r="DS71" s="170"/>
      <c r="DT71" s="170"/>
      <c r="DU71" s="170"/>
      <c r="DV71" s="170"/>
      <c r="DW71" s="170"/>
      <c r="DX71" s="170"/>
      <c r="DY71" s="170"/>
      <c r="DZ71" s="170"/>
      <c r="EA71" s="170"/>
      <c r="EB71" s="170"/>
      <c r="EC71" s="170"/>
      <c r="ED71" s="170"/>
      <c r="EE71" s="170"/>
      <c r="EF71" s="170"/>
      <c r="EG71" s="170"/>
      <c r="EH71" s="170"/>
      <c r="EI71" s="170"/>
      <c r="EJ71" s="170"/>
      <c r="EK71" s="170"/>
      <c r="EL71" s="170"/>
      <c r="EM71" s="170"/>
      <c r="EN71" s="170"/>
      <c r="EO71" s="170"/>
      <c r="EP71" s="170"/>
    </row>
    <row x14ac:dyDescent="0.25" r="72" customHeight="1" ht="18.75">
      <c r="A72" s="1"/>
      <c r="B72" s="1129">
        <v>2048</v>
      </c>
      <c r="C72" s="1130">
        <v>1.8008101851851852</v>
      </c>
      <c r="D72" s="1131">
        <v>1.8430092592592593</v>
      </c>
      <c r="E72" s="1132">
        <f>+(C72+D72)/2</f>
        <v>25569.041666666668</v>
      </c>
      <c r="F72" s="1083"/>
      <c r="G72" s="1083"/>
      <c r="H72" s="1083"/>
      <c r="I72" s="1083"/>
      <c r="J72" s="169"/>
      <c r="K72" s="169"/>
      <c r="L72" s="169"/>
      <c r="M72" s="169"/>
      <c r="N72" s="169"/>
      <c r="O72" s="169"/>
      <c r="P72" s="169"/>
      <c r="Q72" s="169"/>
      <c r="R72" s="169"/>
      <c r="S72" s="169"/>
      <c r="T72" s="169"/>
      <c r="U72" s="169"/>
      <c r="V72" s="169"/>
      <c r="W72" s="169"/>
      <c r="X72" s="169"/>
      <c r="Y72" s="170"/>
      <c r="Z72" s="170"/>
      <c r="AA72" s="170"/>
      <c r="AB72" s="170"/>
      <c r="AC72" s="170"/>
      <c r="AD72" s="170"/>
      <c r="AE72" s="170"/>
      <c r="AF72" s="170"/>
      <c r="AG72" s="170"/>
      <c r="AH72" s="170"/>
      <c r="AI72" s="170"/>
      <c r="AJ72" s="170"/>
      <c r="AK72" s="170"/>
      <c r="AL72" s="170"/>
      <c r="AM72" s="170"/>
      <c r="AN72" s="170"/>
      <c r="AO72" s="170"/>
      <c r="AP72" s="170"/>
      <c r="AQ72" s="170"/>
      <c r="AR72" s="170"/>
      <c r="AS72" s="170"/>
      <c r="AT72" s="170"/>
      <c r="AU72" s="170"/>
      <c r="AV72" s="170"/>
      <c r="AW72" s="170"/>
      <c r="AX72" s="170"/>
      <c r="AY72" s="170"/>
      <c r="AZ72" s="170"/>
      <c r="BA72" s="170"/>
      <c r="BB72" s="170"/>
      <c r="BC72" s="170"/>
      <c r="BD72" s="170"/>
      <c r="BE72" s="170"/>
      <c r="BF72" s="170"/>
      <c r="BG72" s="170"/>
      <c r="BH72" s="170"/>
      <c r="BI72" s="170"/>
      <c r="BJ72" s="170"/>
      <c r="BK72" s="170"/>
      <c r="BL72" s="170"/>
      <c r="BM72" s="170"/>
      <c r="BN72" s="170"/>
      <c r="BO72" s="170"/>
      <c r="BP72" s="170"/>
      <c r="BQ72" s="170"/>
      <c r="BR72" s="170"/>
      <c r="BS72" s="170"/>
      <c r="BT72" s="170"/>
      <c r="BU72" s="170"/>
      <c r="BV72" s="170"/>
      <c r="BW72" s="170"/>
      <c r="BX72" s="170"/>
      <c r="BY72" s="170"/>
      <c r="BZ72" s="170"/>
      <c r="CA72" s="170"/>
      <c r="CB72" s="170"/>
      <c r="CC72" s="170"/>
      <c r="CD72" s="170"/>
      <c r="CE72" s="170"/>
      <c r="CF72" s="170"/>
      <c r="CG72" s="170"/>
      <c r="CH72" s="170"/>
      <c r="CI72" s="170"/>
      <c r="CJ72" s="170"/>
      <c r="CK72" s="170"/>
      <c r="CL72" s="170"/>
      <c r="CM72" s="170"/>
      <c r="CN72" s="170"/>
      <c r="CO72" s="170"/>
      <c r="CP72" s="170"/>
      <c r="CQ72" s="170"/>
      <c r="CR72" s="170"/>
      <c r="CS72" s="170"/>
      <c r="CT72" s="170"/>
      <c r="CU72" s="170"/>
      <c r="CV72" s="170"/>
      <c r="CW72" s="170"/>
      <c r="CX72" s="170"/>
      <c r="CY72" s="170"/>
      <c r="CZ72" s="170"/>
      <c r="DA72" s="170"/>
      <c r="DB72" s="170"/>
      <c r="DC72" s="170"/>
      <c r="DD72" s="170"/>
      <c r="DE72" s="170"/>
      <c r="DF72" s="170"/>
      <c r="DG72" s="170"/>
      <c r="DH72" s="170"/>
      <c r="DI72" s="170"/>
      <c r="DJ72" s="170"/>
      <c r="DK72" s="170"/>
      <c r="DL72" s="170"/>
      <c r="DM72" s="170"/>
      <c r="DN72" s="170"/>
      <c r="DO72" s="170"/>
      <c r="DP72" s="170"/>
      <c r="DQ72" s="170"/>
      <c r="DR72" s="170"/>
      <c r="DS72" s="170"/>
      <c r="DT72" s="170"/>
      <c r="DU72" s="170"/>
      <c r="DV72" s="170"/>
      <c r="DW72" s="170"/>
      <c r="DX72" s="170"/>
      <c r="DY72" s="170"/>
      <c r="DZ72" s="170"/>
      <c r="EA72" s="170"/>
      <c r="EB72" s="170"/>
      <c r="EC72" s="170"/>
      <c r="ED72" s="170"/>
      <c r="EE72" s="170"/>
      <c r="EF72" s="170"/>
      <c r="EG72" s="170"/>
      <c r="EH72" s="170"/>
      <c r="EI72" s="170"/>
      <c r="EJ72" s="170"/>
      <c r="EK72" s="170"/>
      <c r="EL72" s="170"/>
      <c r="EM72" s="170"/>
      <c r="EN72" s="170"/>
      <c r="EO72" s="170"/>
      <c r="EP72" s="170"/>
    </row>
    <row x14ac:dyDescent="0.25" r="73" customHeight="1" ht="18.75">
      <c r="A73" s="1"/>
      <c r="B73" s="1111">
        <v>2049</v>
      </c>
      <c r="C73" s="1112">
        <v>1.7960069444444444</v>
      </c>
      <c r="D73" s="1113">
        <v>1.8393055555555555</v>
      </c>
      <c r="E73" s="1133">
        <f>+(C73+D73)/2</f>
        <v>25569.041666666668</v>
      </c>
      <c r="F73" s="1083"/>
      <c r="G73" s="1083"/>
      <c r="H73" s="1083"/>
      <c r="I73" s="1083"/>
      <c r="J73" s="169"/>
      <c r="K73" s="169"/>
      <c r="L73" s="169"/>
      <c r="M73" s="169"/>
      <c r="N73" s="169"/>
      <c r="O73" s="169"/>
      <c r="P73" s="169"/>
      <c r="Q73" s="169"/>
      <c r="R73" s="169"/>
      <c r="S73" s="169"/>
      <c r="T73" s="169"/>
      <c r="U73" s="169"/>
      <c r="V73" s="169"/>
      <c r="W73" s="169"/>
      <c r="X73" s="169"/>
      <c r="Y73" s="170"/>
      <c r="Z73" s="170"/>
      <c r="AA73" s="170"/>
      <c r="AB73" s="170"/>
      <c r="AC73" s="170"/>
      <c r="AD73" s="170"/>
      <c r="AE73" s="170"/>
      <c r="AF73" s="170"/>
      <c r="AG73" s="170"/>
      <c r="AH73" s="170"/>
      <c r="AI73" s="170"/>
      <c r="AJ73" s="170"/>
      <c r="AK73" s="170"/>
      <c r="AL73" s="170"/>
      <c r="AM73" s="170"/>
      <c r="AN73" s="170"/>
      <c r="AO73" s="170"/>
      <c r="AP73" s="170"/>
      <c r="AQ73" s="170"/>
      <c r="AR73" s="170"/>
      <c r="AS73" s="170"/>
      <c r="AT73" s="170"/>
      <c r="AU73" s="170"/>
      <c r="AV73" s="170"/>
      <c r="AW73" s="170"/>
      <c r="AX73" s="170"/>
      <c r="AY73" s="170"/>
      <c r="AZ73" s="170"/>
      <c r="BA73" s="170"/>
      <c r="BB73" s="170"/>
      <c r="BC73" s="170"/>
      <c r="BD73" s="170"/>
      <c r="BE73" s="170"/>
      <c r="BF73" s="170"/>
      <c r="BG73" s="170"/>
      <c r="BH73" s="170"/>
      <c r="BI73" s="170"/>
      <c r="BJ73" s="170"/>
      <c r="BK73" s="170"/>
      <c r="BL73" s="170"/>
      <c r="BM73" s="170"/>
      <c r="BN73" s="170"/>
      <c r="BO73" s="170"/>
      <c r="BP73" s="170"/>
      <c r="BQ73" s="170"/>
      <c r="BR73" s="170"/>
      <c r="BS73" s="170"/>
      <c r="BT73" s="170"/>
      <c r="BU73" s="170"/>
      <c r="BV73" s="170"/>
      <c r="BW73" s="170"/>
      <c r="BX73" s="170"/>
      <c r="BY73" s="170"/>
      <c r="BZ73" s="170"/>
      <c r="CA73" s="170"/>
      <c r="CB73" s="170"/>
      <c r="CC73" s="170"/>
      <c r="CD73" s="170"/>
      <c r="CE73" s="170"/>
      <c r="CF73" s="170"/>
      <c r="CG73" s="170"/>
      <c r="CH73" s="170"/>
      <c r="CI73" s="170"/>
      <c r="CJ73" s="170"/>
      <c r="CK73" s="170"/>
      <c r="CL73" s="170"/>
      <c r="CM73" s="170"/>
      <c r="CN73" s="170"/>
      <c r="CO73" s="170"/>
      <c r="CP73" s="170"/>
      <c r="CQ73" s="170"/>
      <c r="CR73" s="170"/>
      <c r="CS73" s="170"/>
      <c r="CT73" s="170"/>
      <c r="CU73" s="170"/>
      <c r="CV73" s="170"/>
      <c r="CW73" s="170"/>
      <c r="CX73" s="170"/>
      <c r="CY73" s="170"/>
      <c r="CZ73" s="170"/>
      <c r="DA73" s="170"/>
      <c r="DB73" s="170"/>
      <c r="DC73" s="170"/>
      <c r="DD73" s="170"/>
      <c r="DE73" s="170"/>
      <c r="DF73" s="170"/>
      <c r="DG73" s="170"/>
      <c r="DH73" s="170"/>
      <c r="DI73" s="170"/>
      <c r="DJ73" s="170"/>
      <c r="DK73" s="170"/>
      <c r="DL73" s="170"/>
      <c r="DM73" s="170"/>
      <c r="DN73" s="170"/>
      <c r="DO73" s="170"/>
      <c r="DP73" s="170"/>
      <c r="DQ73" s="170"/>
      <c r="DR73" s="170"/>
      <c r="DS73" s="170"/>
      <c r="DT73" s="170"/>
      <c r="DU73" s="170"/>
      <c r="DV73" s="170"/>
      <c r="DW73" s="170"/>
      <c r="DX73" s="170"/>
      <c r="DY73" s="170"/>
      <c r="DZ73" s="170"/>
      <c r="EA73" s="170"/>
      <c r="EB73" s="170"/>
      <c r="EC73" s="170"/>
      <c r="ED73" s="170"/>
      <c r="EE73" s="170"/>
      <c r="EF73" s="170"/>
      <c r="EG73" s="170"/>
      <c r="EH73" s="170"/>
      <c r="EI73" s="170"/>
      <c r="EJ73" s="170"/>
      <c r="EK73" s="170"/>
      <c r="EL73" s="170"/>
      <c r="EM73" s="170"/>
      <c r="EN73" s="170"/>
      <c r="EO73" s="170"/>
      <c r="EP73" s="170"/>
    </row>
    <row x14ac:dyDescent="0.25" r="74" customHeight="1" ht="18.75">
      <c r="A74" s="1"/>
      <c r="B74" s="1114">
        <v>2050</v>
      </c>
      <c r="C74" s="1115">
        <v>1.7912037037037036</v>
      </c>
      <c r="D74" s="1116">
        <v>1.835613425925926</v>
      </c>
      <c r="E74" s="1134">
        <f>+(C74+D74)/2</f>
        <v>25569.041666666668</v>
      </c>
      <c r="F74" s="1083"/>
      <c r="G74" s="1083"/>
      <c r="H74" s="1083"/>
      <c r="I74" s="1083"/>
      <c r="J74" s="169"/>
      <c r="K74" s="169"/>
      <c r="L74" s="169"/>
      <c r="M74" s="169"/>
      <c r="N74" s="169"/>
      <c r="O74" s="169"/>
      <c r="P74" s="169"/>
      <c r="Q74" s="169"/>
      <c r="R74" s="169"/>
      <c r="S74" s="169"/>
      <c r="T74" s="169"/>
      <c r="U74" s="169"/>
      <c r="V74" s="169"/>
      <c r="W74" s="169"/>
      <c r="X74" s="169"/>
      <c r="Y74" s="170"/>
      <c r="Z74" s="170"/>
      <c r="AA74" s="170"/>
      <c r="AB74" s="170"/>
      <c r="AC74" s="170"/>
      <c r="AD74" s="170"/>
      <c r="AE74" s="170"/>
      <c r="AF74" s="170"/>
      <c r="AG74" s="170"/>
      <c r="AH74" s="170"/>
      <c r="AI74" s="170"/>
      <c r="AJ74" s="170"/>
      <c r="AK74" s="170"/>
      <c r="AL74" s="170"/>
      <c r="AM74" s="170"/>
      <c r="AN74" s="170"/>
      <c r="AO74" s="170"/>
      <c r="AP74" s="170"/>
      <c r="AQ74" s="170"/>
      <c r="AR74" s="170"/>
      <c r="AS74" s="170"/>
      <c r="AT74" s="170"/>
      <c r="AU74" s="170"/>
      <c r="AV74" s="170"/>
      <c r="AW74" s="170"/>
      <c r="AX74" s="170"/>
      <c r="AY74" s="170"/>
      <c r="AZ74" s="170"/>
      <c r="BA74" s="170"/>
      <c r="BB74" s="170"/>
      <c r="BC74" s="170"/>
      <c r="BD74" s="170"/>
      <c r="BE74" s="170"/>
      <c r="BF74" s="170"/>
      <c r="BG74" s="170"/>
      <c r="BH74" s="170"/>
      <c r="BI74" s="170"/>
      <c r="BJ74" s="170"/>
      <c r="BK74" s="170"/>
      <c r="BL74" s="170"/>
      <c r="BM74" s="170"/>
      <c r="BN74" s="170"/>
      <c r="BO74" s="170"/>
      <c r="BP74" s="170"/>
      <c r="BQ74" s="170"/>
      <c r="BR74" s="170"/>
      <c r="BS74" s="170"/>
      <c r="BT74" s="170"/>
      <c r="BU74" s="170"/>
      <c r="BV74" s="170"/>
      <c r="BW74" s="170"/>
      <c r="BX74" s="170"/>
      <c r="BY74" s="170"/>
      <c r="BZ74" s="170"/>
      <c r="CA74" s="170"/>
      <c r="CB74" s="170"/>
      <c r="CC74" s="170"/>
      <c r="CD74" s="170"/>
      <c r="CE74" s="170"/>
      <c r="CF74" s="170"/>
      <c r="CG74" s="170"/>
      <c r="CH74" s="170"/>
      <c r="CI74" s="170"/>
      <c r="CJ74" s="170"/>
      <c r="CK74" s="170"/>
      <c r="CL74" s="170"/>
      <c r="CM74" s="170"/>
      <c r="CN74" s="170"/>
      <c r="CO74" s="170"/>
      <c r="CP74" s="170"/>
      <c r="CQ74" s="170"/>
      <c r="CR74" s="170"/>
      <c r="CS74" s="170"/>
      <c r="CT74" s="170"/>
      <c r="CU74" s="170"/>
      <c r="CV74" s="170"/>
      <c r="CW74" s="170"/>
      <c r="CX74" s="170"/>
      <c r="CY74" s="170"/>
      <c r="CZ74" s="170"/>
      <c r="DA74" s="170"/>
      <c r="DB74" s="170"/>
      <c r="DC74" s="170"/>
      <c r="DD74" s="170"/>
      <c r="DE74" s="170"/>
      <c r="DF74" s="170"/>
      <c r="DG74" s="170"/>
      <c r="DH74" s="170"/>
      <c r="DI74" s="170"/>
      <c r="DJ74" s="170"/>
      <c r="DK74" s="170"/>
      <c r="DL74" s="170"/>
      <c r="DM74" s="170"/>
      <c r="DN74" s="170"/>
      <c r="DO74" s="170"/>
      <c r="DP74" s="170"/>
      <c r="DQ74" s="170"/>
      <c r="DR74" s="170"/>
      <c r="DS74" s="170"/>
      <c r="DT74" s="170"/>
      <c r="DU74" s="170"/>
      <c r="DV74" s="170"/>
      <c r="DW74" s="170"/>
      <c r="DX74" s="170"/>
      <c r="DY74" s="170"/>
      <c r="DZ74" s="170"/>
      <c r="EA74" s="170"/>
      <c r="EB74" s="170"/>
      <c r="EC74" s="170"/>
      <c r="ED74" s="170"/>
      <c r="EE74" s="170"/>
      <c r="EF74" s="170"/>
      <c r="EG74" s="170"/>
      <c r="EH74" s="170"/>
      <c r="EI74" s="170"/>
      <c r="EJ74" s="170"/>
      <c r="EK74" s="170"/>
      <c r="EL74" s="170"/>
      <c r="EM74" s="170"/>
      <c r="EN74" s="170"/>
      <c r="EO74" s="170"/>
      <c r="EP74" s="170"/>
    </row>
    <row x14ac:dyDescent="0.25" r="75" customHeight="1" ht="18.75">
      <c r="A75" s="1"/>
      <c r="B75" s="1114">
        <v>2051</v>
      </c>
      <c r="C75" s="1115">
        <v>1.7865046296296296</v>
      </c>
      <c r="D75" s="1116">
        <v>1.8319097222222223</v>
      </c>
      <c r="E75" s="1134">
        <f>+(C75+D75)/2</f>
        <v>25569.041666666668</v>
      </c>
      <c r="F75" s="1083"/>
      <c r="G75" s="1083"/>
      <c r="H75" s="1083"/>
      <c r="I75" s="1083"/>
      <c r="J75" s="169"/>
      <c r="K75" s="169"/>
      <c r="L75" s="169"/>
      <c r="M75" s="169"/>
      <c r="N75" s="169"/>
      <c r="O75" s="169"/>
      <c r="P75" s="169"/>
      <c r="Q75" s="169"/>
      <c r="R75" s="169"/>
      <c r="S75" s="169"/>
      <c r="T75" s="169"/>
      <c r="U75" s="169"/>
      <c r="V75" s="169"/>
      <c r="W75" s="169"/>
      <c r="X75" s="169"/>
      <c r="Y75" s="170"/>
      <c r="Z75" s="170"/>
      <c r="AA75" s="170"/>
      <c r="AB75" s="170"/>
      <c r="AC75" s="170"/>
      <c r="AD75" s="170"/>
      <c r="AE75" s="170"/>
      <c r="AF75" s="170"/>
      <c r="AG75" s="170"/>
      <c r="AH75" s="170"/>
      <c r="AI75" s="170"/>
      <c r="AJ75" s="170"/>
      <c r="AK75" s="170"/>
      <c r="AL75" s="170"/>
      <c r="AM75" s="170"/>
      <c r="AN75" s="170"/>
      <c r="AO75" s="170"/>
      <c r="AP75" s="170"/>
      <c r="AQ75" s="170"/>
      <c r="AR75" s="170"/>
      <c r="AS75" s="170"/>
      <c r="AT75" s="170"/>
      <c r="AU75" s="170"/>
      <c r="AV75" s="170"/>
      <c r="AW75" s="170"/>
      <c r="AX75" s="170"/>
      <c r="AY75" s="170"/>
      <c r="AZ75" s="170"/>
      <c r="BA75" s="170"/>
      <c r="BB75" s="170"/>
      <c r="BC75" s="170"/>
      <c r="BD75" s="170"/>
      <c r="BE75" s="170"/>
      <c r="BF75" s="170"/>
      <c r="BG75" s="170"/>
      <c r="BH75" s="170"/>
      <c r="BI75" s="170"/>
      <c r="BJ75" s="170"/>
      <c r="BK75" s="170"/>
      <c r="BL75" s="170"/>
      <c r="BM75" s="170"/>
      <c r="BN75" s="170"/>
      <c r="BO75" s="170"/>
      <c r="BP75" s="170"/>
      <c r="BQ75" s="170"/>
      <c r="BR75" s="170"/>
      <c r="BS75" s="170"/>
      <c r="BT75" s="170"/>
      <c r="BU75" s="170"/>
      <c r="BV75" s="170"/>
      <c r="BW75" s="170"/>
      <c r="BX75" s="170"/>
      <c r="BY75" s="170"/>
      <c r="BZ75" s="170"/>
      <c r="CA75" s="170"/>
      <c r="CB75" s="170"/>
      <c r="CC75" s="170"/>
      <c r="CD75" s="170"/>
      <c r="CE75" s="170"/>
      <c r="CF75" s="170"/>
      <c r="CG75" s="170"/>
      <c r="CH75" s="170"/>
      <c r="CI75" s="170"/>
      <c r="CJ75" s="170"/>
      <c r="CK75" s="170"/>
      <c r="CL75" s="170"/>
      <c r="CM75" s="170"/>
      <c r="CN75" s="170"/>
      <c r="CO75" s="170"/>
      <c r="CP75" s="170"/>
      <c r="CQ75" s="170"/>
      <c r="CR75" s="170"/>
      <c r="CS75" s="170"/>
      <c r="CT75" s="170"/>
      <c r="CU75" s="170"/>
      <c r="CV75" s="170"/>
      <c r="CW75" s="170"/>
      <c r="CX75" s="170"/>
      <c r="CY75" s="170"/>
      <c r="CZ75" s="170"/>
      <c r="DA75" s="170"/>
      <c r="DB75" s="170"/>
      <c r="DC75" s="170"/>
      <c r="DD75" s="170"/>
      <c r="DE75" s="170"/>
      <c r="DF75" s="170"/>
      <c r="DG75" s="170"/>
      <c r="DH75" s="170"/>
      <c r="DI75" s="170"/>
      <c r="DJ75" s="170"/>
      <c r="DK75" s="170"/>
      <c r="DL75" s="170"/>
      <c r="DM75" s="170"/>
      <c r="DN75" s="170"/>
      <c r="DO75" s="170"/>
      <c r="DP75" s="170"/>
      <c r="DQ75" s="170"/>
      <c r="DR75" s="170"/>
      <c r="DS75" s="170"/>
      <c r="DT75" s="170"/>
      <c r="DU75" s="170"/>
      <c r="DV75" s="170"/>
      <c r="DW75" s="170"/>
      <c r="DX75" s="170"/>
      <c r="DY75" s="170"/>
      <c r="DZ75" s="170"/>
      <c r="EA75" s="170"/>
      <c r="EB75" s="170"/>
      <c r="EC75" s="170"/>
      <c r="ED75" s="170"/>
      <c r="EE75" s="170"/>
      <c r="EF75" s="170"/>
      <c r="EG75" s="170"/>
      <c r="EH75" s="170"/>
      <c r="EI75" s="170"/>
      <c r="EJ75" s="170"/>
      <c r="EK75" s="170"/>
      <c r="EL75" s="170"/>
      <c r="EM75" s="170"/>
      <c r="EN75" s="170"/>
      <c r="EO75" s="170"/>
      <c r="EP75" s="170"/>
    </row>
    <row x14ac:dyDescent="0.25" r="76" customHeight="1" ht="18.75">
      <c r="A76" s="1"/>
      <c r="B76" s="1114">
        <v>2052</v>
      </c>
      <c r="C76" s="1115">
        <v>1.7818055555555556</v>
      </c>
      <c r="D76" s="1116">
        <v>1.828310185185185</v>
      </c>
      <c r="E76" s="1134">
        <f>+(C76+D76)/2</f>
        <v>25569.041666666668</v>
      </c>
      <c r="F76" s="1083"/>
      <c r="G76" s="1083"/>
      <c r="H76" s="1083"/>
      <c r="I76" s="1083"/>
      <c r="J76" s="169"/>
      <c r="K76" s="169"/>
      <c r="L76" s="169"/>
      <c r="M76" s="169"/>
      <c r="N76" s="169"/>
      <c r="O76" s="169"/>
      <c r="P76" s="169"/>
      <c r="Q76" s="169"/>
      <c r="R76" s="169"/>
      <c r="S76" s="169"/>
      <c r="T76" s="169"/>
      <c r="U76" s="169"/>
      <c r="V76" s="169"/>
      <c r="W76" s="169"/>
      <c r="X76" s="169"/>
      <c r="Y76" s="170"/>
      <c r="Z76" s="170"/>
      <c r="AA76" s="170"/>
      <c r="AB76" s="170"/>
      <c r="AC76" s="170"/>
      <c r="AD76" s="170"/>
      <c r="AE76" s="170"/>
      <c r="AF76" s="170"/>
      <c r="AG76" s="170"/>
      <c r="AH76" s="170"/>
      <c r="AI76" s="170"/>
      <c r="AJ76" s="170"/>
      <c r="AK76" s="170"/>
      <c r="AL76" s="170"/>
      <c r="AM76" s="170"/>
      <c r="AN76" s="170"/>
      <c r="AO76" s="170"/>
      <c r="AP76" s="170"/>
      <c r="AQ76" s="170"/>
      <c r="AR76" s="170"/>
      <c r="AS76" s="170"/>
      <c r="AT76" s="170"/>
      <c r="AU76" s="170"/>
      <c r="AV76" s="170"/>
      <c r="AW76" s="170"/>
      <c r="AX76" s="170"/>
      <c r="AY76" s="170"/>
      <c r="AZ76" s="170"/>
      <c r="BA76" s="170"/>
      <c r="BB76" s="170"/>
      <c r="BC76" s="170"/>
      <c r="BD76" s="170"/>
      <c r="BE76" s="170"/>
      <c r="BF76" s="170"/>
      <c r="BG76" s="170"/>
      <c r="BH76" s="170"/>
      <c r="BI76" s="170"/>
      <c r="BJ76" s="170"/>
      <c r="BK76" s="170"/>
      <c r="BL76" s="170"/>
      <c r="BM76" s="170"/>
      <c r="BN76" s="170"/>
      <c r="BO76" s="170"/>
      <c r="BP76" s="170"/>
      <c r="BQ76" s="170"/>
      <c r="BR76" s="170"/>
      <c r="BS76" s="170"/>
      <c r="BT76" s="170"/>
      <c r="BU76" s="170"/>
      <c r="BV76" s="170"/>
      <c r="BW76" s="170"/>
      <c r="BX76" s="170"/>
      <c r="BY76" s="170"/>
      <c r="BZ76" s="170"/>
      <c r="CA76" s="170"/>
      <c r="CB76" s="170"/>
      <c r="CC76" s="170"/>
      <c r="CD76" s="170"/>
      <c r="CE76" s="170"/>
      <c r="CF76" s="170"/>
      <c r="CG76" s="170"/>
      <c r="CH76" s="170"/>
      <c r="CI76" s="170"/>
      <c r="CJ76" s="170"/>
      <c r="CK76" s="170"/>
      <c r="CL76" s="170"/>
      <c r="CM76" s="170"/>
      <c r="CN76" s="170"/>
      <c r="CO76" s="170"/>
      <c r="CP76" s="170"/>
      <c r="CQ76" s="170"/>
      <c r="CR76" s="170"/>
      <c r="CS76" s="170"/>
      <c r="CT76" s="170"/>
      <c r="CU76" s="170"/>
      <c r="CV76" s="170"/>
      <c r="CW76" s="170"/>
      <c r="CX76" s="170"/>
      <c r="CY76" s="170"/>
      <c r="CZ76" s="170"/>
      <c r="DA76" s="170"/>
      <c r="DB76" s="170"/>
      <c r="DC76" s="170"/>
      <c r="DD76" s="170"/>
      <c r="DE76" s="170"/>
      <c r="DF76" s="170"/>
      <c r="DG76" s="170"/>
      <c r="DH76" s="170"/>
      <c r="DI76" s="170"/>
      <c r="DJ76" s="170"/>
      <c r="DK76" s="170"/>
      <c r="DL76" s="170"/>
      <c r="DM76" s="170"/>
      <c r="DN76" s="170"/>
      <c r="DO76" s="170"/>
      <c r="DP76" s="170"/>
      <c r="DQ76" s="170"/>
      <c r="DR76" s="170"/>
      <c r="DS76" s="170"/>
      <c r="DT76" s="170"/>
      <c r="DU76" s="170"/>
      <c r="DV76" s="170"/>
      <c r="DW76" s="170"/>
      <c r="DX76" s="170"/>
      <c r="DY76" s="170"/>
      <c r="DZ76" s="170"/>
      <c r="EA76" s="170"/>
      <c r="EB76" s="170"/>
      <c r="EC76" s="170"/>
      <c r="ED76" s="170"/>
      <c r="EE76" s="170"/>
      <c r="EF76" s="170"/>
      <c r="EG76" s="170"/>
      <c r="EH76" s="170"/>
      <c r="EI76" s="170"/>
      <c r="EJ76" s="170"/>
      <c r="EK76" s="170"/>
      <c r="EL76" s="170"/>
      <c r="EM76" s="170"/>
      <c r="EN76" s="170"/>
      <c r="EO76" s="170"/>
      <c r="EP76" s="170"/>
    </row>
    <row x14ac:dyDescent="0.25" r="77" customHeight="1" ht="18.75">
      <c r="A77" s="1"/>
      <c r="B77" s="1117">
        <v>2053</v>
      </c>
      <c r="C77" s="1118">
        <v>1.7771064814814816</v>
      </c>
      <c r="D77" s="1119">
        <v>1.824710648148148</v>
      </c>
      <c r="E77" s="1120">
        <f>+(C77+D77)/2</f>
        <v>25569.041666666668</v>
      </c>
      <c r="F77" s="1083"/>
      <c r="G77" s="1083"/>
      <c r="H77" s="1083"/>
      <c r="I77" s="1083"/>
      <c r="J77" s="169"/>
      <c r="K77" s="169"/>
      <c r="L77" s="169"/>
      <c r="M77" s="169"/>
      <c r="N77" s="169"/>
      <c r="O77" s="169"/>
      <c r="P77" s="169"/>
      <c r="Q77" s="169"/>
      <c r="R77" s="169"/>
      <c r="S77" s="169"/>
      <c r="T77" s="169"/>
      <c r="U77" s="169"/>
      <c r="V77" s="169"/>
      <c r="W77" s="169"/>
      <c r="X77" s="169"/>
      <c r="Y77" s="170"/>
      <c r="Z77" s="170"/>
      <c r="AA77" s="170"/>
      <c r="AB77" s="170"/>
      <c r="AC77" s="170"/>
      <c r="AD77" s="170"/>
      <c r="AE77" s="170"/>
      <c r="AF77" s="170"/>
      <c r="AG77" s="170"/>
      <c r="AH77" s="170"/>
      <c r="AI77" s="170"/>
      <c r="AJ77" s="170"/>
      <c r="AK77" s="170"/>
      <c r="AL77" s="170"/>
      <c r="AM77" s="170"/>
      <c r="AN77" s="170"/>
      <c r="AO77" s="170"/>
      <c r="AP77" s="170"/>
      <c r="AQ77" s="170"/>
      <c r="AR77" s="170"/>
      <c r="AS77" s="170"/>
      <c r="AT77" s="170"/>
      <c r="AU77" s="170"/>
      <c r="AV77" s="170"/>
      <c r="AW77" s="170"/>
      <c r="AX77" s="170"/>
      <c r="AY77" s="170"/>
      <c r="AZ77" s="170"/>
      <c r="BA77" s="170"/>
      <c r="BB77" s="170"/>
      <c r="BC77" s="170"/>
      <c r="BD77" s="170"/>
      <c r="BE77" s="170"/>
      <c r="BF77" s="170"/>
      <c r="BG77" s="170"/>
      <c r="BH77" s="170"/>
      <c r="BI77" s="170"/>
      <c r="BJ77" s="170"/>
      <c r="BK77" s="170"/>
      <c r="BL77" s="170"/>
      <c r="BM77" s="170"/>
      <c r="BN77" s="170"/>
      <c r="BO77" s="170"/>
      <c r="BP77" s="170"/>
      <c r="BQ77" s="170"/>
      <c r="BR77" s="170"/>
      <c r="BS77" s="170"/>
      <c r="BT77" s="170"/>
      <c r="BU77" s="170"/>
      <c r="BV77" s="170"/>
      <c r="BW77" s="170"/>
      <c r="BX77" s="170"/>
      <c r="BY77" s="170"/>
      <c r="BZ77" s="170"/>
      <c r="CA77" s="170"/>
      <c r="CB77" s="170"/>
      <c r="CC77" s="170"/>
      <c r="CD77" s="170"/>
      <c r="CE77" s="170"/>
      <c r="CF77" s="170"/>
      <c r="CG77" s="170"/>
      <c r="CH77" s="170"/>
      <c r="CI77" s="170"/>
      <c r="CJ77" s="170"/>
      <c r="CK77" s="170"/>
      <c r="CL77" s="170"/>
      <c r="CM77" s="170"/>
      <c r="CN77" s="170"/>
      <c r="CO77" s="170"/>
      <c r="CP77" s="170"/>
      <c r="CQ77" s="170"/>
      <c r="CR77" s="170"/>
      <c r="CS77" s="170"/>
      <c r="CT77" s="170"/>
      <c r="CU77" s="170"/>
      <c r="CV77" s="170"/>
      <c r="CW77" s="170"/>
      <c r="CX77" s="170"/>
      <c r="CY77" s="170"/>
      <c r="CZ77" s="170"/>
      <c r="DA77" s="170"/>
      <c r="DB77" s="170"/>
      <c r="DC77" s="170"/>
      <c r="DD77" s="170"/>
      <c r="DE77" s="170"/>
      <c r="DF77" s="170"/>
      <c r="DG77" s="170"/>
      <c r="DH77" s="170"/>
      <c r="DI77" s="170"/>
      <c r="DJ77" s="170"/>
      <c r="DK77" s="170"/>
      <c r="DL77" s="170"/>
      <c r="DM77" s="170"/>
      <c r="DN77" s="170"/>
      <c r="DO77" s="170"/>
      <c r="DP77" s="170"/>
      <c r="DQ77" s="170"/>
      <c r="DR77" s="170"/>
      <c r="DS77" s="170"/>
      <c r="DT77" s="170"/>
      <c r="DU77" s="170"/>
      <c r="DV77" s="170"/>
      <c r="DW77" s="170"/>
      <c r="DX77" s="170"/>
      <c r="DY77" s="170"/>
      <c r="DZ77" s="170"/>
      <c r="EA77" s="170"/>
      <c r="EB77" s="170"/>
      <c r="EC77" s="170"/>
      <c r="ED77" s="170"/>
      <c r="EE77" s="170"/>
      <c r="EF77" s="170"/>
      <c r="EG77" s="170"/>
      <c r="EH77" s="170"/>
      <c r="EI77" s="170"/>
      <c r="EJ77" s="170"/>
      <c r="EK77" s="170"/>
      <c r="EL77" s="170"/>
      <c r="EM77" s="170"/>
      <c r="EN77" s="170"/>
      <c r="EO77" s="170"/>
      <c r="EP77" s="170"/>
    </row>
    <row x14ac:dyDescent="0.25" r="78" customHeight="1" ht="18.75">
      <c r="A78" s="1"/>
      <c r="B78" s="1135">
        <f>+B77+1</f>
      </c>
      <c r="C78" s="1136">
        <v>1.7771064814814816</v>
      </c>
      <c r="D78" s="1137">
        <v>1.824710648148148</v>
      </c>
      <c r="E78" s="1137">
        <f>+(C78+D78)/2</f>
        <v>25569.041666666668</v>
      </c>
      <c r="F78" s="1083"/>
      <c r="G78" s="1083"/>
      <c r="H78" s="1083"/>
      <c r="I78" s="1083"/>
      <c r="J78" s="169"/>
      <c r="K78" s="169"/>
      <c r="L78" s="169"/>
      <c r="M78" s="169"/>
      <c r="N78" s="169"/>
      <c r="O78" s="169"/>
      <c r="P78" s="169"/>
      <c r="Q78" s="169"/>
      <c r="R78" s="169"/>
      <c r="S78" s="169"/>
      <c r="T78" s="169"/>
      <c r="U78" s="169"/>
      <c r="V78" s="169"/>
      <c r="W78" s="169"/>
      <c r="X78" s="169"/>
      <c r="Y78" s="170"/>
      <c r="Z78" s="170"/>
      <c r="AA78" s="170"/>
      <c r="AB78" s="170"/>
      <c r="AC78" s="170"/>
      <c r="AD78" s="170"/>
      <c r="AE78" s="170"/>
      <c r="AF78" s="170"/>
      <c r="AG78" s="170"/>
      <c r="AH78" s="170"/>
      <c r="AI78" s="170"/>
      <c r="AJ78" s="170"/>
      <c r="AK78" s="170"/>
      <c r="AL78" s="170"/>
      <c r="AM78" s="170"/>
      <c r="AN78" s="170"/>
      <c r="AO78" s="170"/>
      <c r="AP78" s="170"/>
      <c r="AQ78" s="170"/>
      <c r="AR78" s="170"/>
      <c r="AS78" s="170"/>
      <c r="AT78" s="170"/>
      <c r="AU78" s="170"/>
      <c r="AV78" s="170"/>
      <c r="AW78" s="170"/>
      <c r="AX78" s="170"/>
      <c r="AY78" s="170"/>
      <c r="AZ78" s="170"/>
      <c r="BA78" s="170"/>
      <c r="BB78" s="170"/>
      <c r="BC78" s="170"/>
      <c r="BD78" s="170"/>
      <c r="BE78" s="170"/>
      <c r="BF78" s="170"/>
      <c r="BG78" s="170"/>
      <c r="BH78" s="170"/>
      <c r="BI78" s="170"/>
      <c r="BJ78" s="170"/>
      <c r="BK78" s="170"/>
      <c r="BL78" s="170"/>
      <c r="BM78" s="170"/>
      <c r="BN78" s="170"/>
      <c r="BO78" s="170"/>
      <c r="BP78" s="170"/>
      <c r="BQ78" s="170"/>
      <c r="BR78" s="170"/>
      <c r="BS78" s="170"/>
      <c r="BT78" s="170"/>
      <c r="BU78" s="170"/>
      <c r="BV78" s="170"/>
      <c r="BW78" s="170"/>
      <c r="BX78" s="170"/>
      <c r="BY78" s="170"/>
      <c r="BZ78" s="170"/>
      <c r="CA78" s="170"/>
      <c r="CB78" s="170"/>
      <c r="CC78" s="170"/>
      <c r="CD78" s="170"/>
      <c r="CE78" s="170"/>
      <c r="CF78" s="170"/>
      <c r="CG78" s="170"/>
      <c r="CH78" s="170"/>
      <c r="CI78" s="170"/>
      <c r="CJ78" s="170"/>
      <c r="CK78" s="170"/>
      <c r="CL78" s="170"/>
      <c r="CM78" s="170"/>
      <c r="CN78" s="170"/>
      <c r="CO78" s="170"/>
      <c r="CP78" s="170"/>
      <c r="CQ78" s="170"/>
      <c r="CR78" s="170"/>
      <c r="CS78" s="170"/>
      <c r="CT78" s="170"/>
      <c r="CU78" s="170"/>
      <c r="CV78" s="170"/>
      <c r="CW78" s="170"/>
      <c r="CX78" s="170"/>
      <c r="CY78" s="170"/>
      <c r="CZ78" s="170"/>
      <c r="DA78" s="170"/>
      <c r="DB78" s="170"/>
      <c r="DC78" s="170"/>
      <c r="DD78" s="170"/>
      <c r="DE78" s="170"/>
      <c r="DF78" s="170"/>
      <c r="DG78" s="170"/>
      <c r="DH78" s="170"/>
      <c r="DI78" s="170"/>
      <c r="DJ78" s="170"/>
      <c r="DK78" s="170"/>
      <c r="DL78" s="170"/>
      <c r="DM78" s="170"/>
      <c r="DN78" s="170"/>
      <c r="DO78" s="170"/>
      <c r="DP78" s="170"/>
      <c r="DQ78" s="170"/>
      <c r="DR78" s="170"/>
      <c r="DS78" s="170"/>
      <c r="DT78" s="170"/>
      <c r="DU78" s="170"/>
      <c r="DV78" s="170"/>
      <c r="DW78" s="170"/>
      <c r="DX78" s="170"/>
      <c r="DY78" s="170"/>
      <c r="DZ78" s="170"/>
      <c r="EA78" s="170"/>
      <c r="EB78" s="170"/>
      <c r="EC78" s="170"/>
      <c r="ED78" s="170"/>
      <c r="EE78" s="170"/>
      <c r="EF78" s="170"/>
      <c r="EG78" s="170"/>
      <c r="EH78" s="170"/>
      <c r="EI78" s="170"/>
      <c r="EJ78" s="170"/>
      <c r="EK78" s="170"/>
      <c r="EL78" s="170"/>
      <c r="EM78" s="170"/>
      <c r="EN78" s="170"/>
      <c r="EO78" s="170"/>
      <c r="EP78" s="170"/>
    </row>
    <row x14ac:dyDescent="0.25" r="79" customHeight="1" ht="18.75">
      <c r="A79" s="1"/>
      <c r="B79" s="1135">
        <f>+B78+1</f>
      </c>
      <c r="C79" s="1136">
        <v>1.7771064814814816</v>
      </c>
      <c r="D79" s="1137">
        <v>1.824710648148148</v>
      </c>
      <c r="E79" s="1137">
        <f>+(C79+D79)/2</f>
        <v>25569.041666666668</v>
      </c>
      <c r="F79" s="1083"/>
      <c r="G79" s="1083"/>
      <c r="H79" s="1083"/>
      <c r="I79" s="1083"/>
      <c r="J79" s="169"/>
      <c r="K79" s="169"/>
      <c r="L79" s="169"/>
      <c r="M79" s="169"/>
      <c r="N79" s="169"/>
      <c r="O79" s="169"/>
      <c r="P79" s="169"/>
      <c r="Q79" s="169"/>
      <c r="R79" s="169"/>
      <c r="S79" s="169"/>
      <c r="T79" s="169"/>
      <c r="U79" s="169"/>
      <c r="V79" s="169"/>
      <c r="W79" s="169"/>
      <c r="X79" s="169"/>
      <c r="Y79" s="170"/>
      <c r="Z79" s="170"/>
      <c r="AA79" s="170"/>
      <c r="AB79" s="170"/>
      <c r="AC79" s="170"/>
      <c r="AD79" s="170"/>
      <c r="AE79" s="170"/>
      <c r="AF79" s="170"/>
      <c r="AG79" s="170"/>
      <c r="AH79" s="170"/>
      <c r="AI79" s="170"/>
      <c r="AJ79" s="170"/>
      <c r="AK79" s="170"/>
      <c r="AL79" s="170"/>
      <c r="AM79" s="170"/>
      <c r="AN79" s="170"/>
      <c r="AO79" s="170"/>
      <c r="AP79" s="170"/>
      <c r="AQ79" s="170"/>
      <c r="AR79" s="170"/>
      <c r="AS79" s="170"/>
      <c r="AT79" s="170"/>
      <c r="AU79" s="170"/>
      <c r="AV79" s="170"/>
      <c r="AW79" s="170"/>
      <c r="AX79" s="170"/>
      <c r="AY79" s="170"/>
      <c r="AZ79" s="170"/>
      <c r="BA79" s="170"/>
      <c r="BB79" s="170"/>
      <c r="BC79" s="170"/>
      <c r="BD79" s="170"/>
      <c r="BE79" s="170"/>
      <c r="BF79" s="170"/>
      <c r="BG79" s="170"/>
      <c r="BH79" s="170"/>
      <c r="BI79" s="170"/>
      <c r="BJ79" s="170"/>
      <c r="BK79" s="170"/>
      <c r="BL79" s="170"/>
      <c r="BM79" s="170"/>
      <c r="BN79" s="170"/>
      <c r="BO79" s="170"/>
      <c r="BP79" s="170"/>
      <c r="BQ79" s="170"/>
      <c r="BR79" s="170"/>
      <c r="BS79" s="170"/>
      <c r="BT79" s="170"/>
      <c r="BU79" s="170"/>
      <c r="BV79" s="170"/>
      <c r="BW79" s="170"/>
      <c r="BX79" s="170"/>
      <c r="BY79" s="170"/>
      <c r="BZ79" s="170"/>
      <c r="CA79" s="170"/>
      <c r="CB79" s="170"/>
      <c r="CC79" s="170"/>
      <c r="CD79" s="170"/>
      <c r="CE79" s="170"/>
      <c r="CF79" s="170"/>
      <c r="CG79" s="170"/>
      <c r="CH79" s="170"/>
      <c r="CI79" s="170"/>
      <c r="CJ79" s="170"/>
      <c r="CK79" s="170"/>
      <c r="CL79" s="170"/>
      <c r="CM79" s="170"/>
      <c r="CN79" s="170"/>
      <c r="CO79" s="170"/>
      <c r="CP79" s="170"/>
      <c r="CQ79" s="170"/>
      <c r="CR79" s="170"/>
      <c r="CS79" s="170"/>
      <c r="CT79" s="170"/>
      <c r="CU79" s="170"/>
      <c r="CV79" s="170"/>
      <c r="CW79" s="170"/>
      <c r="CX79" s="170"/>
      <c r="CY79" s="170"/>
      <c r="CZ79" s="170"/>
      <c r="DA79" s="170"/>
      <c r="DB79" s="170"/>
      <c r="DC79" s="170"/>
      <c r="DD79" s="170"/>
      <c r="DE79" s="170"/>
      <c r="DF79" s="170"/>
      <c r="DG79" s="170"/>
      <c r="DH79" s="170"/>
      <c r="DI79" s="170"/>
      <c r="DJ79" s="170"/>
      <c r="DK79" s="170"/>
      <c r="DL79" s="170"/>
      <c r="DM79" s="170"/>
      <c r="DN79" s="170"/>
      <c r="DO79" s="170"/>
      <c r="DP79" s="170"/>
      <c r="DQ79" s="170"/>
      <c r="DR79" s="170"/>
      <c r="DS79" s="170"/>
      <c r="DT79" s="170"/>
      <c r="DU79" s="170"/>
      <c r="DV79" s="170"/>
      <c r="DW79" s="170"/>
      <c r="DX79" s="170"/>
      <c r="DY79" s="170"/>
      <c r="DZ79" s="170"/>
      <c r="EA79" s="170"/>
      <c r="EB79" s="170"/>
      <c r="EC79" s="170"/>
      <c r="ED79" s="170"/>
      <c r="EE79" s="170"/>
      <c r="EF79" s="170"/>
      <c r="EG79" s="170"/>
      <c r="EH79" s="170"/>
      <c r="EI79" s="170"/>
      <c r="EJ79" s="170"/>
      <c r="EK79" s="170"/>
      <c r="EL79" s="170"/>
      <c r="EM79" s="170"/>
      <c r="EN79" s="170"/>
      <c r="EO79" s="170"/>
      <c r="EP79" s="170"/>
    </row>
    <row x14ac:dyDescent="0.25" r="80" customHeight="1" ht="18.75">
      <c r="A80" s="1"/>
      <c r="B80" s="1135">
        <f>+B79+1</f>
      </c>
      <c r="C80" s="1136">
        <v>1.7771064814814816</v>
      </c>
      <c r="D80" s="1137">
        <v>1.824710648148148</v>
      </c>
      <c r="E80" s="1137">
        <f>+(C80+D80)/2</f>
        <v>25569.041666666668</v>
      </c>
      <c r="F80" s="1083"/>
      <c r="G80" s="1083"/>
      <c r="H80" s="1083"/>
      <c r="I80" s="1083"/>
      <c r="J80" s="169"/>
      <c r="K80" s="169"/>
      <c r="L80" s="169"/>
      <c r="M80" s="169"/>
      <c r="N80" s="169"/>
      <c r="O80" s="169"/>
      <c r="P80" s="169"/>
      <c r="Q80" s="169"/>
      <c r="R80" s="169"/>
      <c r="S80" s="169"/>
      <c r="T80" s="169"/>
      <c r="U80" s="169"/>
      <c r="V80" s="169"/>
      <c r="W80" s="169"/>
      <c r="X80" s="169"/>
      <c r="Y80" s="170"/>
      <c r="Z80" s="170"/>
      <c r="AA80" s="170"/>
      <c r="AB80" s="170"/>
      <c r="AC80" s="170"/>
      <c r="AD80" s="170"/>
      <c r="AE80" s="170"/>
      <c r="AF80" s="170"/>
      <c r="AG80" s="170"/>
      <c r="AH80" s="170"/>
      <c r="AI80" s="170"/>
      <c r="AJ80" s="170"/>
      <c r="AK80" s="170"/>
      <c r="AL80" s="170"/>
      <c r="AM80" s="170"/>
      <c r="AN80" s="170"/>
      <c r="AO80" s="170"/>
      <c r="AP80" s="170"/>
      <c r="AQ80" s="170"/>
      <c r="AR80" s="170"/>
      <c r="AS80" s="170"/>
      <c r="AT80" s="170"/>
      <c r="AU80" s="170"/>
      <c r="AV80" s="170"/>
      <c r="AW80" s="170"/>
      <c r="AX80" s="170"/>
      <c r="AY80" s="170"/>
      <c r="AZ80" s="170"/>
      <c r="BA80" s="170"/>
      <c r="BB80" s="170"/>
      <c r="BC80" s="170"/>
      <c r="BD80" s="170"/>
      <c r="BE80" s="170"/>
      <c r="BF80" s="170"/>
      <c r="BG80" s="170"/>
      <c r="BH80" s="170"/>
      <c r="BI80" s="170"/>
      <c r="BJ80" s="170"/>
      <c r="BK80" s="170"/>
      <c r="BL80" s="170"/>
      <c r="BM80" s="170"/>
      <c r="BN80" s="170"/>
      <c r="BO80" s="170"/>
      <c r="BP80" s="170"/>
      <c r="BQ80" s="170"/>
      <c r="BR80" s="170"/>
      <c r="BS80" s="170"/>
      <c r="BT80" s="170"/>
      <c r="BU80" s="170"/>
      <c r="BV80" s="170"/>
      <c r="BW80" s="170"/>
      <c r="BX80" s="170"/>
      <c r="BY80" s="170"/>
      <c r="BZ80" s="170"/>
      <c r="CA80" s="170"/>
      <c r="CB80" s="170"/>
      <c r="CC80" s="170"/>
      <c r="CD80" s="170"/>
      <c r="CE80" s="170"/>
      <c r="CF80" s="170"/>
      <c r="CG80" s="170"/>
      <c r="CH80" s="170"/>
      <c r="CI80" s="170"/>
      <c r="CJ80" s="170"/>
      <c r="CK80" s="170"/>
      <c r="CL80" s="170"/>
      <c r="CM80" s="170"/>
      <c r="CN80" s="170"/>
      <c r="CO80" s="170"/>
      <c r="CP80" s="170"/>
      <c r="CQ80" s="170"/>
      <c r="CR80" s="170"/>
      <c r="CS80" s="170"/>
      <c r="CT80" s="170"/>
      <c r="CU80" s="170"/>
      <c r="CV80" s="170"/>
      <c r="CW80" s="170"/>
      <c r="CX80" s="170"/>
      <c r="CY80" s="170"/>
      <c r="CZ80" s="170"/>
      <c r="DA80" s="170"/>
      <c r="DB80" s="170"/>
      <c r="DC80" s="170"/>
      <c r="DD80" s="170"/>
      <c r="DE80" s="170"/>
      <c r="DF80" s="170"/>
      <c r="DG80" s="170"/>
      <c r="DH80" s="170"/>
      <c r="DI80" s="170"/>
      <c r="DJ80" s="170"/>
      <c r="DK80" s="170"/>
      <c r="DL80" s="170"/>
      <c r="DM80" s="170"/>
      <c r="DN80" s="170"/>
      <c r="DO80" s="170"/>
      <c r="DP80" s="170"/>
      <c r="DQ80" s="170"/>
      <c r="DR80" s="170"/>
      <c r="DS80" s="170"/>
      <c r="DT80" s="170"/>
      <c r="DU80" s="170"/>
      <c r="DV80" s="170"/>
      <c r="DW80" s="170"/>
      <c r="DX80" s="170"/>
      <c r="DY80" s="170"/>
      <c r="DZ80" s="170"/>
      <c r="EA80" s="170"/>
      <c r="EB80" s="170"/>
      <c r="EC80" s="170"/>
      <c r="ED80" s="170"/>
      <c r="EE80" s="170"/>
      <c r="EF80" s="170"/>
      <c r="EG80" s="170"/>
      <c r="EH80" s="170"/>
      <c r="EI80" s="170"/>
      <c r="EJ80" s="170"/>
      <c r="EK80" s="170"/>
      <c r="EL80" s="170"/>
      <c r="EM80" s="170"/>
      <c r="EN80" s="170"/>
      <c r="EO80" s="170"/>
      <c r="EP80" s="170"/>
    </row>
    <row x14ac:dyDescent="0.25" r="81" customHeight="1" ht="18.75">
      <c r="A81" s="1"/>
      <c r="B81" s="1135">
        <f>+B80+1</f>
      </c>
      <c r="C81" s="1136">
        <v>1.7771064814814816</v>
      </c>
      <c r="D81" s="1137">
        <v>1.824710648148148</v>
      </c>
      <c r="E81" s="1137">
        <f>+(C81+D81)/2</f>
        <v>25569.041666666668</v>
      </c>
      <c r="F81" s="1083"/>
      <c r="G81" s="1083"/>
      <c r="H81" s="1083"/>
      <c r="I81" s="1083"/>
      <c r="J81" s="169"/>
      <c r="K81" s="169"/>
      <c r="L81" s="169"/>
      <c r="M81" s="169"/>
      <c r="N81" s="169"/>
      <c r="O81" s="169"/>
      <c r="P81" s="169"/>
      <c r="Q81" s="169"/>
      <c r="R81" s="169"/>
      <c r="S81" s="169"/>
      <c r="T81" s="169"/>
      <c r="U81" s="169"/>
      <c r="V81" s="169"/>
      <c r="W81" s="169"/>
      <c r="X81" s="169"/>
      <c r="Y81" s="170"/>
      <c r="Z81" s="170"/>
      <c r="AA81" s="170"/>
      <c r="AB81" s="170"/>
      <c r="AC81" s="170"/>
      <c r="AD81" s="170"/>
      <c r="AE81" s="170"/>
      <c r="AF81" s="170"/>
      <c r="AG81" s="170"/>
      <c r="AH81" s="170"/>
      <c r="AI81" s="170"/>
      <c r="AJ81" s="170"/>
      <c r="AK81" s="170"/>
      <c r="AL81" s="170"/>
      <c r="AM81" s="170"/>
      <c r="AN81" s="170"/>
      <c r="AO81" s="170"/>
      <c r="AP81" s="170"/>
      <c r="AQ81" s="170"/>
      <c r="AR81" s="170"/>
      <c r="AS81" s="170"/>
      <c r="AT81" s="170"/>
      <c r="AU81" s="170"/>
      <c r="AV81" s="170"/>
      <c r="AW81" s="170"/>
      <c r="AX81" s="170"/>
      <c r="AY81" s="170"/>
      <c r="AZ81" s="170"/>
      <c r="BA81" s="170"/>
      <c r="BB81" s="170"/>
      <c r="BC81" s="170"/>
      <c r="BD81" s="170"/>
      <c r="BE81" s="170"/>
      <c r="BF81" s="170"/>
      <c r="BG81" s="170"/>
      <c r="BH81" s="170"/>
      <c r="BI81" s="170"/>
      <c r="BJ81" s="170"/>
      <c r="BK81" s="170"/>
      <c r="BL81" s="170"/>
      <c r="BM81" s="170"/>
      <c r="BN81" s="170"/>
      <c r="BO81" s="170"/>
      <c r="BP81" s="170"/>
      <c r="BQ81" s="170"/>
      <c r="BR81" s="170"/>
      <c r="BS81" s="170"/>
      <c r="BT81" s="170"/>
      <c r="BU81" s="170"/>
      <c r="BV81" s="170"/>
      <c r="BW81" s="170"/>
      <c r="BX81" s="170"/>
      <c r="BY81" s="170"/>
      <c r="BZ81" s="170"/>
      <c r="CA81" s="170"/>
      <c r="CB81" s="170"/>
      <c r="CC81" s="170"/>
      <c r="CD81" s="170"/>
      <c r="CE81" s="170"/>
      <c r="CF81" s="170"/>
      <c r="CG81" s="170"/>
      <c r="CH81" s="170"/>
      <c r="CI81" s="170"/>
      <c r="CJ81" s="170"/>
      <c r="CK81" s="170"/>
      <c r="CL81" s="170"/>
      <c r="CM81" s="170"/>
      <c r="CN81" s="170"/>
      <c r="CO81" s="170"/>
      <c r="CP81" s="170"/>
      <c r="CQ81" s="170"/>
      <c r="CR81" s="170"/>
      <c r="CS81" s="170"/>
      <c r="CT81" s="170"/>
      <c r="CU81" s="170"/>
      <c r="CV81" s="170"/>
      <c r="CW81" s="170"/>
      <c r="CX81" s="170"/>
      <c r="CY81" s="170"/>
      <c r="CZ81" s="170"/>
      <c r="DA81" s="170"/>
      <c r="DB81" s="170"/>
      <c r="DC81" s="170"/>
      <c r="DD81" s="170"/>
      <c r="DE81" s="170"/>
      <c r="DF81" s="170"/>
      <c r="DG81" s="170"/>
      <c r="DH81" s="170"/>
      <c r="DI81" s="170"/>
      <c r="DJ81" s="170"/>
      <c r="DK81" s="170"/>
      <c r="DL81" s="170"/>
      <c r="DM81" s="170"/>
      <c r="DN81" s="170"/>
      <c r="DO81" s="170"/>
      <c r="DP81" s="170"/>
      <c r="DQ81" s="170"/>
      <c r="DR81" s="170"/>
      <c r="DS81" s="170"/>
      <c r="DT81" s="170"/>
      <c r="DU81" s="170"/>
      <c r="DV81" s="170"/>
      <c r="DW81" s="170"/>
      <c r="DX81" s="170"/>
      <c r="DY81" s="170"/>
      <c r="DZ81" s="170"/>
      <c r="EA81" s="170"/>
      <c r="EB81" s="170"/>
      <c r="EC81" s="170"/>
      <c r="ED81" s="170"/>
      <c r="EE81" s="170"/>
      <c r="EF81" s="170"/>
      <c r="EG81" s="170"/>
      <c r="EH81" s="170"/>
      <c r="EI81" s="170"/>
      <c r="EJ81" s="170"/>
      <c r="EK81" s="170"/>
      <c r="EL81" s="170"/>
      <c r="EM81" s="170"/>
      <c r="EN81" s="170"/>
      <c r="EO81" s="170"/>
      <c r="EP81" s="170"/>
    </row>
    <row x14ac:dyDescent="0.25" r="82" customHeight="1" ht="18.75">
      <c r="A82" s="1"/>
      <c r="B82" s="1135">
        <f>+B81+1</f>
      </c>
      <c r="C82" s="1136">
        <v>1.7771064814814816</v>
      </c>
      <c r="D82" s="1137">
        <v>1.824710648148148</v>
      </c>
      <c r="E82" s="1137">
        <f>+(C82+D82)/2</f>
        <v>25569.041666666668</v>
      </c>
      <c r="F82" s="1083"/>
      <c r="G82" s="1083"/>
      <c r="H82" s="1083"/>
      <c r="I82" s="1083"/>
      <c r="J82" s="169"/>
      <c r="K82" s="169"/>
      <c r="L82" s="169"/>
      <c r="M82" s="169"/>
      <c r="N82" s="169"/>
      <c r="O82" s="169"/>
      <c r="P82" s="169"/>
      <c r="Q82" s="169"/>
      <c r="R82" s="169"/>
      <c r="S82" s="169"/>
      <c r="T82" s="169"/>
      <c r="U82" s="169"/>
      <c r="V82" s="169"/>
      <c r="W82" s="169"/>
      <c r="X82" s="169"/>
      <c r="Y82" s="170"/>
      <c r="Z82" s="170"/>
      <c r="AA82" s="170"/>
      <c r="AB82" s="170"/>
      <c r="AC82" s="170"/>
      <c r="AD82" s="170"/>
      <c r="AE82" s="170"/>
      <c r="AF82" s="170"/>
      <c r="AG82" s="170"/>
      <c r="AH82" s="170"/>
      <c r="AI82" s="170"/>
      <c r="AJ82" s="170"/>
      <c r="AK82" s="170"/>
      <c r="AL82" s="170"/>
      <c r="AM82" s="170"/>
      <c r="AN82" s="170"/>
      <c r="AO82" s="170"/>
      <c r="AP82" s="170"/>
      <c r="AQ82" s="170"/>
      <c r="AR82" s="170"/>
      <c r="AS82" s="170"/>
      <c r="AT82" s="170"/>
      <c r="AU82" s="170"/>
      <c r="AV82" s="170"/>
      <c r="AW82" s="170"/>
      <c r="AX82" s="170"/>
      <c r="AY82" s="170"/>
      <c r="AZ82" s="170"/>
      <c r="BA82" s="170"/>
      <c r="BB82" s="170"/>
      <c r="BC82" s="170"/>
      <c r="BD82" s="170"/>
      <c r="BE82" s="170"/>
      <c r="BF82" s="170"/>
      <c r="BG82" s="170"/>
      <c r="BH82" s="170"/>
      <c r="BI82" s="170"/>
      <c r="BJ82" s="170"/>
      <c r="BK82" s="170"/>
      <c r="BL82" s="170"/>
      <c r="BM82" s="170"/>
      <c r="BN82" s="170"/>
      <c r="BO82" s="170"/>
      <c r="BP82" s="170"/>
      <c r="BQ82" s="170"/>
      <c r="BR82" s="170"/>
      <c r="BS82" s="170"/>
      <c r="BT82" s="170"/>
      <c r="BU82" s="170"/>
      <c r="BV82" s="170"/>
      <c r="BW82" s="170"/>
      <c r="BX82" s="170"/>
      <c r="BY82" s="170"/>
      <c r="BZ82" s="170"/>
      <c r="CA82" s="170"/>
      <c r="CB82" s="170"/>
      <c r="CC82" s="170"/>
      <c r="CD82" s="170"/>
      <c r="CE82" s="170"/>
      <c r="CF82" s="170"/>
      <c r="CG82" s="170"/>
      <c r="CH82" s="170"/>
      <c r="CI82" s="170"/>
      <c r="CJ82" s="170"/>
      <c r="CK82" s="170"/>
      <c r="CL82" s="170"/>
      <c r="CM82" s="170"/>
      <c r="CN82" s="170"/>
      <c r="CO82" s="170"/>
      <c r="CP82" s="170"/>
      <c r="CQ82" s="170"/>
      <c r="CR82" s="170"/>
      <c r="CS82" s="170"/>
      <c r="CT82" s="170"/>
      <c r="CU82" s="170"/>
      <c r="CV82" s="170"/>
      <c r="CW82" s="170"/>
      <c r="CX82" s="170"/>
      <c r="CY82" s="170"/>
      <c r="CZ82" s="170"/>
      <c r="DA82" s="170"/>
      <c r="DB82" s="170"/>
      <c r="DC82" s="170"/>
      <c r="DD82" s="170"/>
      <c r="DE82" s="170"/>
      <c r="DF82" s="170"/>
      <c r="DG82" s="170"/>
      <c r="DH82" s="170"/>
      <c r="DI82" s="170"/>
      <c r="DJ82" s="170"/>
      <c r="DK82" s="170"/>
      <c r="DL82" s="170"/>
      <c r="DM82" s="170"/>
      <c r="DN82" s="170"/>
      <c r="DO82" s="170"/>
      <c r="DP82" s="170"/>
      <c r="DQ82" s="170"/>
      <c r="DR82" s="170"/>
      <c r="DS82" s="170"/>
      <c r="DT82" s="170"/>
      <c r="DU82" s="170"/>
      <c r="DV82" s="170"/>
      <c r="DW82" s="170"/>
      <c r="DX82" s="170"/>
      <c r="DY82" s="170"/>
      <c r="DZ82" s="170"/>
      <c r="EA82" s="170"/>
      <c r="EB82" s="170"/>
      <c r="EC82" s="170"/>
      <c r="ED82" s="170"/>
      <c r="EE82" s="170"/>
      <c r="EF82" s="170"/>
      <c r="EG82" s="170"/>
      <c r="EH82" s="170"/>
      <c r="EI82" s="170"/>
      <c r="EJ82" s="170"/>
      <c r="EK82" s="170"/>
      <c r="EL82" s="170"/>
      <c r="EM82" s="170"/>
      <c r="EN82" s="170"/>
      <c r="EO82" s="170"/>
      <c r="EP82" s="170"/>
    </row>
    <row x14ac:dyDescent="0.25" r="83" customHeight="1" ht="18.75">
      <c r="A83" s="1"/>
      <c r="B83" s="1135">
        <f>+B82+1</f>
      </c>
      <c r="C83" s="1136">
        <v>1.7771064814814816</v>
      </c>
      <c r="D83" s="1137">
        <v>1.824710648148148</v>
      </c>
      <c r="E83" s="1137">
        <f>+(C83+D83)/2</f>
        <v>25569.041666666668</v>
      </c>
      <c r="F83" s="1083"/>
      <c r="G83" s="1083"/>
      <c r="H83" s="1083"/>
      <c r="I83" s="1083"/>
      <c r="J83" s="169"/>
      <c r="K83" s="169"/>
      <c r="L83" s="169"/>
      <c r="M83" s="169"/>
      <c r="N83" s="169"/>
      <c r="O83" s="169"/>
      <c r="P83" s="169"/>
      <c r="Q83" s="169"/>
      <c r="R83" s="169"/>
      <c r="S83" s="169"/>
      <c r="T83" s="169"/>
      <c r="U83" s="169"/>
      <c r="V83" s="169"/>
      <c r="W83" s="169"/>
      <c r="X83" s="169"/>
      <c r="Y83" s="170"/>
      <c r="Z83" s="170"/>
      <c r="AA83" s="170"/>
      <c r="AB83" s="170"/>
      <c r="AC83" s="170"/>
      <c r="AD83" s="170"/>
      <c r="AE83" s="170"/>
      <c r="AF83" s="170"/>
      <c r="AG83" s="170"/>
      <c r="AH83" s="170"/>
      <c r="AI83" s="170"/>
      <c r="AJ83" s="170"/>
      <c r="AK83" s="170"/>
      <c r="AL83" s="170"/>
      <c r="AM83" s="170"/>
      <c r="AN83" s="170"/>
      <c r="AO83" s="170"/>
      <c r="AP83" s="170"/>
      <c r="AQ83" s="170"/>
      <c r="AR83" s="170"/>
      <c r="AS83" s="170"/>
      <c r="AT83" s="170"/>
      <c r="AU83" s="170"/>
      <c r="AV83" s="170"/>
      <c r="AW83" s="170"/>
      <c r="AX83" s="170"/>
      <c r="AY83" s="170"/>
      <c r="AZ83" s="170"/>
      <c r="BA83" s="170"/>
      <c r="BB83" s="170"/>
      <c r="BC83" s="170"/>
      <c r="BD83" s="170"/>
      <c r="BE83" s="170"/>
      <c r="BF83" s="170"/>
      <c r="BG83" s="170"/>
      <c r="BH83" s="170"/>
      <c r="BI83" s="170"/>
      <c r="BJ83" s="170"/>
      <c r="BK83" s="170"/>
      <c r="BL83" s="170"/>
      <c r="BM83" s="170"/>
      <c r="BN83" s="170"/>
      <c r="BO83" s="170"/>
      <c r="BP83" s="170"/>
      <c r="BQ83" s="170"/>
      <c r="BR83" s="170"/>
      <c r="BS83" s="170"/>
      <c r="BT83" s="170"/>
      <c r="BU83" s="170"/>
      <c r="BV83" s="170"/>
      <c r="BW83" s="170"/>
      <c r="BX83" s="170"/>
      <c r="BY83" s="170"/>
      <c r="BZ83" s="170"/>
      <c r="CA83" s="170"/>
      <c r="CB83" s="170"/>
      <c r="CC83" s="170"/>
      <c r="CD83" s="170"/>
      <c r="CE83" s="170"/>
      <c r="CF83" s="170"/>
      <c r="CG83" s="170"/>
      <c r="CH83" s="170"/>
      <c r="CI83" s="170"/>
      <c r="CJ83" s="170"/>
      <c r="CK83" s="170"/>
      <c r="CL83" s="170"/>
      <c r="CM83" s="170"/>
      <c r="CN83" s="170"/>
      <c r="CO83" s="170"/>
      <c r="CP83" s="170"/>
      <c r="CQ83" s="170"/>
      <c r="CR83" s="170"/>
      <c r="CS83" s="170"/>
      <c r="CT83" s="170"/>
      <c r="CU83" s="170"/>
      <c r="CV83" s="170"/>
      <c r="CW83" s="170"/>
      <c r="CX83" s="170"/>
      <c r="CY83" s="170"/>
      <c r="CZ83" s="170"/>
      <c r="DA83" s="170"/>
      <c r="DB83" s="170"/>
      <c r="DC83" s="170"/>
      <c r="DD83" s="170"/>
      <c r="DE83" s="170"/>
      <c r="DF83" s="170"/>
      <c r="DG83" s="170"/>
      <c r="DH83" s="170"/>
      <c r="DI83" s="170"/>
      <c r="DJ83" s="170"/>
      <c r="DK83" s="170"/>
      <c r="DL83" s="170"/>
      <c r="DM83" s="170"/>
      <c r="DN83" s="170"/>
      <c r="DO83" s="170"/>
      <c r="DP83" s="170"/>
      <c r="DQ83" s="170"/>
      <c r="DR83" s="170"/>
      <c r="DS83" s="170"/>
      <c r="DT83" s="170"/>
      <c r="DU83" s="170"/>
      <c r="DV83" s="170"/>
      <c r="DW83" s="170"/>
      <c r="DX83" s="170"/>
      <c r="DY83" s="170"/>
      <c r="DZ83" s="170"/>
      <c r="EA83" s="170"/>
      <c r="EB83" s="170"/>
      <c r="EC83" s="170"/>
      <c r="ED83" s="170"/>
      <c r="EE83" s="170"/>
      <c r="EF83" s="170"/>
      <c r="EG83" s="170"/>
      <c r="EH83" s="170"/>
      <c r="EI83" s="170"/>
      <c r="EJ83" s="170"/>
      <c r="EK83" s="170"/>
      <c r="EL83" s="170"/>
      <c r="EM83" s="170"/>
      <c r="EN83" s="170"/>
      <c r="EO83" s="170"/>
      <c r="EP83" s="170"/>
    </row>
    <row x14ac:dyDescent="0.25" r="84" customHeight="1" ht="18.75">
      <c r="A84" s="1"/>
      <c r="B84" s="1135">
        <f>+B83+1</f>
      </c>
      <c r="C84" s="1136">
        <v>1.7771064814814816</v>
      </c>
      <c r="D84" s="1137">
        <v>1.824710648148148</v>
      </c>
      <c r="E84" s="1137">
        <f>+(C84+D84)/2</f>
        <v>25569.041666666668</v>
      </c>
      <c r="F84" s="1083"/>
      <c r="G84" s="1083"/>
      <c r="H84" s="1083"/>
      <c r="I84" s="1083"/>
      <c r="J84" s="169"/>
      <c r="K84" s="169"/>
      <c r="L84" s="169"/>
      <c r="M84" s="169"/>
      <c r="N84" s="169"/>
      <c r="O84" s="169"/>
      <c r="P84" s="169"/>
      <c r="Q84" s="169"/>
      <c r="R84" s="169"/>
      <c r="S84" s="169"/>
      <c r="T84" s="169"/>
      <c r="U84" s="169"/>
      <c r="V84" s="169"/>
      <c r="W84" s="169"/>
      <c r="X84" s="169"/>
      <c r="Y84" s="170"/>
      <c r="Z84" s="170"/>
      <c r="AA84" s="170"/>
      <c r="AB84" s="170"/>
      <c r="AC84" s="170"/>
      <c r="AD84" s="170"/>
      <c r="AE84" s="170"/>
      <c r="AF84" s="170"/>
      <c r="AG84" s="170"/>
      <c r="AH84" s="170"/>
      <c r="AI84" s="170"/>
      <c r="AJ84" s="170"/>
      <c r="AK84" s="170"/>
      <c r="AL84" s="170"/>
      <c r="AM84" s="170"/>
      <c r="AN84" s="170"/>
      <c r="AO84" s="170"/>
      <c r="AP84" s="170"/>
      <c r="AQ84" s="170"/>
      <c r="AR84" s="170"/>
      <c r="AS84" s="170"/>
      <c r="AT84" s="170"/>
      <c r="AU84" s="170"/>
      <c r="AV84" s="170"/>
      <c r="AW84" s="170"/>
      <c r="AX84" s="170"/>
      <c r="AY84" s="170"/>
      <c r="AZ84" s="170"/>
      <c r="BA84" s="170"/>
      <c r="BB84" s="170"/>
      <c r="BC84" s="170"/>
      <c r="BD84" s="170"/>
      <c r="BE84" s="170"/>
      <c r="BF84" s="170"/>
      <c r="BG84" s="170"/>
      <c r="BH84" s="170"/>
      <c r="BI84" s="170"/>
      <c r="BJ84" s="170"/>
      <c r="BK84" s="170"/>
      <c r="BL84" s="170"/>
      <c r="BM84" s="170"/>
      <c r="BN84" s="170"/>
      <c r="BO84" s="170"/>
      <c r="BP84" s="170"/>
      <c r="BQ84" s="170"/>
      <c r="BR84" s="170"/>
      <c r="BS84" s="170"/>
      <c r="BT84" s="170"/>
      <c r="BU84" s="170"/>
      <c r="BV84" s="170"/>
      <c r="BW84" s="170"/>
      <c r="BX84" s="170"/>
      <c r="BY84" s="170"/>
      <c r="BZ84" s="170"/>
      <c r="CA84" s="170"/>
      <c r="CB84" s="170"/>
      <c r="CC84" s="170"/>
      <c r="CD84" s="170"/>
      <c r="CE84" s="170"/>
      <c r="CF84" s="170"/>
      <c r="CG84" s="170"/>
      <c r="CH84" s="170"/>
      <c r="CI84" s="170"/>
      <c r="CJ84" s="170"/>
      <c r="CK84" s="170"/>
      <c r="CL84" s="170"/>
      <c r="CM84" s="170"/>
      <c r="CN84" s="170"/>
      <c r="CO84" s="170"/>
      <c r="CP84" s="170"/>
      <c r="CQ84" s="170"/>
      <c r="CR84" s="170"/>
      <c r="CS84" s="170"/>
      <c r="CT84" s="170"/>
      <c r="CU84" s="170"/>
      <c r="CV84" s="170"/>
      <c r="CW84" s="170"/>
      <c r="CX84" s="170"/>
      <c r="CY84" s="170"/>
      <c r="CZ84" s="170"/>
      <c r="DA84" s="170"/>
      <c r="DB84" s="170"/>
      <c r="DC84" s="170"/>
      <c r="DD84" s="170"/>
      <c r="DE84" s="170"/>
      <c r="DF84" s="170"/>
      <c r="DG84" s="170"/>
      <c r="DH84" s="170"/>
      <c r="DI84" s="170"/>
      <c r="DJ84" s="170"/>
      <c r="DK84" s="170"/>
      <c r="DL84" s="170"/>
      <c r="DM84" s="170"/>
      <c r="DN84" s="170"/>
      <c r="DO84" s="170"/>
      <c r="DP84" s="170"/>
      <c r="DQ84" s="170"/>
      <c r="DR84" s="170"/>
      <c r="DS84" s="170"/>
      <c r="DT84" s="170"/>
      <c r="DU84" s="170"/>
      <c r="DV84" s="170"/>
      <c r="DW84" s="170"/>
      <c r="DX84" s="170"/>
      <c r="DY84" s="170"/>
      <c r="DZ84" s="170"/>
      <c r="EA84" s="170"/>
      <c r="EB84" s="170"/>
      <c r="EC84" s="170"/>
      <c r="ED84" s="170"/>
      <c r="EE84" s="170"/>
      <c r="EF84" s="170"/>
      <c r="EG84" s="170"/>
      <c r="EH84" s="170"/>
      <c r="EI84" s="170"/>
      <c r="EJ84" s="170"/>
      <c r="EK84" s="170"/>
      <c r="EL84" s="170"/>
      <c r="EM84" s="170"/>
      <c r="EN84" s="170"/>
      <c r="EO84" s="170"/>
      <c r="EP84" s="170"/>
    </row>
    <row x14ac:dyDescent="0.25" r="85" customHeight="1" ht="18.75">
      <c r="A85" s="1"/>
      <c r="B85" s="1135">
        <f>+B84+1</f>
      </c>
      <c r="C85" s="1136">
        <v>1.7771064814814816</v>
      </c>
      <c r="D85" s="1137">
        <v>1.824710648148148</v>
      </c>
      <c r="E85" s="1137">
        <f>+(C85+D85)/2</f>
        <v>25569.041666666668</v>
      </c>
      <c r="F85" s="1083"/>
      <c r="G85" s="1083"/>
      <c r="H85" s="1083"/>
      <c r="I85" s="1083"/>
      <c r="J85" s="169"/>
      <c r="K85" s="169"/>
      <c r="L85" s="169"/>
      <c r="M85" s="169"/>
      <c r="N85" s="169"/>
      <c r="O85" s="169"/>
      <c r="P85" s="169"/>
      <c r="Q85" s="169"/>
      <c r="R85" s="169"/>
      <c r="S85" s="169"/>
      <c r="T85" s="169"/>
      <c r="U85" s="169"/>
      <c r="V85" s="169"/>
      <c r="W85" s="169"/>
      <c r="X85" s="169"/>
      <c r="Y85" s="170"/>
      <c r="Z85" s="170"/>
      <c r="AA85" s="170"/>
      <c r="AB85" s="170"/>
      <c r="AC85" s="170"/>
      <c r="AD85" s="170"/>
      <c r="AE85" s="170"/>
      <c r="AF85" s="170"/>
      <c r="AG85" s="170"/>
      <c r="AH85" s="170"/>
      <c r="AI85" s="170"/>
      <c r="AJ85" s="170"/>
      <c r="AK85" s="170"/>
      <c r="AL85" s="170"/>
      <c r="AM85" s="170"/>
      <c r="AN85" s="170"/>
      <c r="AO85" s="170"/>
      <c r="AP85" s="170"/>
      <c r="AQ85" s="170"/>
      <c r="AR85" s="170"/>
      <c r="AS85" s="170"/>
      <c r="AT85" s="170"/>
      <c r="AU85" s="170"/>
      <c r="AV85" s="170"/>
      <c r="AW85" s="170"/>
      <c r="AX85" s="170"/>
      <c r="AY85" s="170"/>
      <c r="AZ85" s="170"/>
      <c r="BA85" s="170"/>
      <c r="BB85" s="170"/>
      <c r="BC85" s="170"/>
      <c r="BD85" s="170"/>
      <c r="BE85" s="170"/>
      <c r="BF85" s="170"/>
      <c r="BG85" s="170"/>
      <c r="BH85" s="170"/>
      <c r="BI85" s="170"/>
      <c r="BJ85" s="170"/>
      <c r="BK85" s="170"/>
      <c r="BL85" s="170"/>
      <c r="BM85" s="170"/>
      <c r="BN85" s="170"/>
      <c r="BO85" s="170"/>
      <c r="BP85" s="170"/>
      <c r="BQ85" s="170"/>
      <c r="BR85" s="170"/>
      <c r="BS85" s="170"/>
      <c r="BT85" s="170"/>
      <c r="BU85" s="170"/>
      <c r="BV85" s="170"/>
      <c r="BW85" s="170"/>
      <c r="BX85" s="170"/>
      <c r="BY85" s="170"/>
      <c r="BZ85" s="170"/>
      <c r="CA85" s="170"/>
      <c r="CB85" s="170"/>
      <c r="CC85" s="170"/>
      <c r="CD85" s="170"/>
      <c r="CE85" s="170"/>
      <c r="CF85" s="170"/>
      <c r="CG85" s="170"/>
      <c r="CH85" s="170"/>
      <c r="CI85" s="170"/>
      <c r="CJ85" s="170"/>
      <c r="CK85" s="170"/>
      <c r="CL85" s="170"/>
      <c r="CM85" s="170"/>
      <c r="CN85" s="170"/>
      <c r="CO85" s="170"/>
      <c r="CP85" s="170"/>
      <c r="CQ85" s="170"/>
      <c r="CR85" s="170"/>
      <c r="CS85" s="170"/>
      <c r="CT85" s="170"/>
      <c r="CU85" s="170"/>
      <c r="CV85" s="170"/>
      <c r="CW85" s="170"/>
      <c r="CX85" s="170"/>
      <c r="CY85" s="170"/>
      <c r="CZ85" s="170"/>
      <c r="DA85" s="170"/>
      <c r="DB85" s="170"/>
      <c r="DC85" s="170"/>
      <c r="DD85" s="170"/>
      <c r="DE85" s="170"/>
      <c r="DF85" s="170"/>
      <c r="DG85" s="170"/>
      <c r="DH85" s="170"/>
      <c r="DI85" s="170"/>
      <c r="DJ85" s="170"/>
      <c r="DK85" s="170"/>
      <c r="DL85" s="170"/>
      <c r="DM85" s="170"/>
      <c r="DN85" s="170"/>
      <c r="DO85" s="170"/>
      <c r="DP85" s="170"/>
      <c r="DQ85" s="170"/>
      <c r="DR85" s="170"/>
      <c r="DS85" s="170"/>
      <c r="DT85" s="170"/>
      <c r="DU85" s="170"/>
      <c r="DV85" s="170"/>
      <c r="DW85" s="170"/>
      <c r="DX85" s="170"/>
      <c r="DY85" s="170"/>
      <c r="DZ85" s="170"/>
      <c r="EA85" s="170"/>
      <c r="EB85" s="170"/>
      <c r="EC85" s="170"/>
      <c r="ED85" s="170"/>
      <c r="EE85" s="170"/>
      <c r="EF85" s="170"/>
      <c r="EG85" s="170"/>
      <c r="EH85" s="170"/>
      <c r="EI85" s="170"/>
      <c r="EJ85" s="170"/>
      <c r="EK85" s="170"/>
      <c r="EL85" s="170"/>
      <c r="EM85" s="170"/>
      <c r="EN85" s="170"/>
      <c r="EO85" s="170"/>
      <c r="EP85" s="170"/>
    </row>
    <row x14ac:dyDescent="0.25" r="86" customHeight="1" ht="18.75">
      <c r="A86" s="1"/>
      <c r="B86" s="1135">
        <f>+B85+1</f>
      </c>
      <c r="C86" s="1136">
        <v>1.7771064814814816</v>
      </c>
      <c r="D86" s="1137">
        <v>1.824710648148148</v>
      </c>
      <c r="E86" s="1137">
        <f>+(C86+D86)/2</f>
        <v>25569.041666666668</v>
      </c>
      <c r="F86" s="1083"/>
      <c r="G86" s="1083"/>
      <c r="H86" s="1083"/>
      <c r="I86" s="1083"/>
      <c r="J86" s="169"/>
      <c r="K86" s="169"/>
      <c r="L86" s="169"/>
      <c r="M86" s="169"/>
      <c r="N86" s="169"/>
      <c r="O86" s="169"/>
      <c r="P86" s="169"/>
      <c r="Q86" s="169"/>
      <c r="R86" s="169"/>
      <c r="S86" s="169"/>
      <c r="T86" s="169"/>
      <c r="U86" s="169"/>
      <c r="V86" s="169"/>
      <c r="W86" s="169"/>
      <c r="X86" s="169"/>
      <c r="Y86" s="170"/>
      <c r="Z86" s="170"/>
      <c r="AA86" s="170"/>
      <c r="AB86" s="170"/>
      <c r="AC86" s="170"/>
      <c r="AD86" s="170"/>
      <c r="AE86" s="170"/>
      <c r="AF86" s="170"/>
      <c r="AG86" s="170"/>
      <c r="AH86" s="170"/>
      <c r="AI86" s="170"/>
      <c r="AJ86" s="170"/>
      <c r="AK86" s="170"/>
      <c r="AL86" s="170"/>
      <c r="AM86" s="170"/>
      <c r="AN86" s="170"/>
      <c r="AO86" s="170"/>
      <c r="AP86" s="170"/>
      <c r="AQ86" s="170"/>
      <c r="AR86" s="170"/>
      <c r="AS86" s="170"/>
      <c r="AT86" s="170"/>
      <c r="AU86" s="170"/>
      <c r="AV86" s="170"/>
      <c r="AW86" s="170"/>
      <c r="AX86" s="170"/>
      <c r="AY86" s="170"/>
      <c r="AZ86" s="170"/>
      <c r="BA86" s="170"/>
      <c r="BB86" s="170"/>
      <c r="BC86" s="170"/>
      <c r="BD86" s="170"/>
      <c r="BE86" s="170"/>
      <c r="BF86" s="170"/>
      <c r="BG86" s="170"/>
      <c r="BH86" s="170"/>
      <c r="BI86" s="170"/>
      <c r="BJ86" s="170"/>
      <c r="BK86" s="170"/>
      <c r="BL86" s="170"/>
      <c r="BM86" s="170"/>
      <c r="BN86" s="170"/>
      <c r="BO86" s="170"/>
      <c r="BP86" s="170"/>
      <c r="BQ86" s="170"/>
      <c r="BR86" s="170"/>
      <c r="BS86" s="170"/>
      <c r="BT86" s="170"/>
      <c r="BU86" s="170"/>
      <c r="BV86" s="170"/>
      <c r="BW86" s="170"/>
      <c r="BX86" s="170"/>
      <c r="BY86" s="170"/>
      <c r="BZ86" s="170"/>
      <c r="CA86" s="170"/>
      <c r="CB86" s="170"/>
      <c r="CC86" s="170"/>
      <c r="CD86" s="170"/>
      <c r="CE86" s="170"/>
      <c r="CF86" s="170"/>
      <c r="CG86" s="170"/>
      <c r="CH86" s="170"/>
      <c r="CI86" s="170"/>
      <c r="CJ86" s="170"/>
      <c r="CK86" s="170"/>
      <c r="CL86" s="170"/>
      <c r="CM86" s="170"/>
      <c r="CN86" s="170"/>
      <c r="CO86" s="170"/>
      <c r="CP86" s="170"/>
      <c r="CQ86" s="170"/>
      <c r="CR86" s="170"/>
      <c r="CS86" s="170"/>
      <c r="CT86" s="170"/>
      <c r="CU86" s="170"/>
      <c r="CV86" s="170"/>
      <c r="CW86" s="170"/>
      <c r="CX86" s="170"/>
      <c r="CY86" s="170"/>
      <c r="CZ86" s="170"/>
      <c r="DA86" s="170"/>
      <c r="DB86" s="170"/>
      <c r="DC86" s="170"/>
      <c r="DD86" s="170"/>
      <c r="DE86" s="170"/>
      <c r="DF86" s="170"/>
      <c r="DG86" s="170"/>
      <c r="DH86" s="170"/>
      <c r="DI86" s="170"/>
      <c r="DJ86" s="170"/>
      <c r="DK86" s="170"/>
      <c r="DL86" s="170"/>
      <c r="DM86" s="170"/>
      <c r="DN86" s="170"/>
      <c r="DO86" s="170"/>
      <c r="DP86" s="170"/>
      <c r="DQ86" s="170"/>
      <c r="DR86" s="170"/>
      <c r="DS86" s="170"/>
      <c r="DT86" s="170"/>
      <c r="DU86" s="170"/>
      <c r="DV86" s="170"/>
      <c r="DW86" s="170"/>
      <c r="DX86" s="170"/>
      <c r="DY86" s="170"/>
      <c r="DZ86" s="170"/>
      <c r="EA86" s="170"/>
      <c r="EB86" s="170"/>
      <c r="EC86" s="170"/>
      <c r="ED86" s="170"/>
      <c r="EE86" s="170"/>
      <c r="EF86" s="170"/>
      <c r="EG86" s="170"/>
      <c r="EH86" s="170"/>
      <c r="EI86" s="170"/>
      <c r="EJ86" s="170"/>
      <c r="EK86" s="170"/>
      <c r="EL86" s="170"/>
      <c r="EM86" s="170"/>
      <c r="EN86" s="170"/>
      <c r="EO86" s="170"/>
      <c r="EP86" s="170"/>
    </row>
    <row x14ac:dyDescent="0.25" r="87" customHeight="1" ht="18.75">
      <c r="A87" s="1"/>
      <c r="B87" s="1135">
        <f>+B86+1</f>
      </c>
      <c r="C87" s="1136">
        <v>1.7771064814814816</v>
      </c>
      <c r="D87" s="1137">
        <v>1.824710648148148</v>
      </c>
      <c r="E87" s="1137">
        <f>+(C87+D87)/2</f>
        <v>25569.041666666668</v>
      </c>
      <c r="F87" s="1083"/>
      <c r="G87" s="1083"/>
      <c r="H87" s="1083"/>
      <c r="I87" s="1083"/>
      <c r="J87" s="169"/>
      <c r="K87" s="169"/>
      <c r="L87" s="169"/>
      <c r="M87" s="169"/>
      <c r="N87" s="169"/>
      <c r="O87" s="169"/>
      <c r="P87" s="169"/>
      <c r="Q87" s="169"/>
      <c r="R87" s="169"/>
      <c r="S87" s="169"/>
      <c r="T87" s="169"/>
      <c r="U87" s="169"/>
      <c r="V87" s="169"/>
      <c r="W87" s="169"/>
      <c r="X87" s="169"/>
      <c r="Y87" s="170"/>
      <c r="Z87" s="170"/>
      <c r="AA87" s="170"/>
      <c r="AB87" s="170"/>
      <c r="AC87" s="170"/>
      <c r="AD87" s="170"/>
      <c r="AE87" s="170"/>
      <c r="AF87" s="170"/>
      <c r="AG87" s="170"/>
      <c r="AH87" s="170"/>
      <c r="AI87" s="170"/>
      <c r="AJ87" s="170"/>
      <c r="AK87" s="170"/>
      <c r="AL87" s="170"/>
      <c r="AM87" s="170"/>
      <c r="AN87" s="170"/>
      <c r="AO87" s="170"/>
      <c r="AP87" s="170"/>
      <c r="AQ87" s="170"/>
      <c r="AR87" s="170"/>
      <c r="AS87" s="170"/>
      <c r="AT87" s="170"/>
      <c r="AU87" s="170"/>
      <c r="AV87" s="170"/>
      <c r="AW87" s="170"/>
      <c r="AX87" s="170"/>
      <c r="AY87" s="170"/>
      <c r="AZ87" s="170"/>
      <c r="BA87" s="170"/>
      <c r="BB87" s="170"/>
      <c r="BC87" s="170"/>
      <c r="BD87" s="170"/>
      <c r="BE87" s="170"/>
      <c r="BF87" s="170"/>
      <c r="BG87" s="170"/>
      <c r="BH87" s="170"/>
      <c r="BI87" s="170"/>
      <c r="BJ87" s="170"/>
      <c r="BK87" s="170"/>
      <c r="BL87" s="170"/>
      <c r="BM87" s="170"/>
      <c r="BN87" s="170"/>
      <c r="BO87" s="170"/>
      <c r="BP87" s="170"/>
      <c r="BQ87" s="170"/>
      <c r="BR87" s="170"/>
      <c r="BS87" s="170"/>
      <c r="BT87" s="170"/>
      <c r="BU87" s="170"/>
      <c r="BV87" s="170"/>
      <c r="BW87" s="170"/>
      <c r="BX87" s="170"/>
      <c r="BY87" s="170"/>
      <c r="BZ87" s="170"/>
      <c r="CA87" s="170"/>
      <c r="CB87" s="170"/>
      <c r="CC87" s="170"/>
      <c r="CD87" s="170"/>
      <c r="CE87" s="170"/>
      <c r="CF87" s="170"/>
      <c r="CG87" s="170"/>
      <c r="CH87" s="170"/>
      <c r="CI87" s="170"/>
      <c r="CJ87" s="170"/>
      <c r="CK87" s="170"/>
      <c r="CL87" s="170"/>
      <c r="CM87" s="170"/>
      <c r="CN87" s="170"/>
      <c r="CO87" s="170"/>
      <c r="CP87" s="170"/>
      <c r="CQ87" s="170"/>
      <c r="CR87" s="170"/>
      <c r="CS87" s="170"/>
      <c r="CT87" s="170"/>
      <c r="CU87" s="170"/>
      <c r="CV87" s="170"/>
      <c r="CW87" s="170"/>
      <c r="CX87" s="170"/>
      <c r="CY87" s="170"/>
      <c r="CZ87" s="170"/>
      <c r="DA87" s="170"/>
      <c r="DB87" s="170"/>
      <c r="DC87" s="170"/>
      <c r="DD87" s="170"/>
      <c r="DE87" s="170"/>
      <c r="DF87" s="170"/>
      <c r="DG87" s="170"/>
      <c r="DH87" s="170"/>
      <c r="DI87" s="170"/>
      <c r="DJ87" s="170"/>
      <c r="DK87" s="170"/>
      <c r="DL87" s="170"/>
      <c r="DM87" s="170"/>
      <c r="DN87" s="170"/>
      <c r="DO87" s="170"/>
      <c r="DP87" s="170"/>
      <c r="DQ87" s="170"/>
      <c r="DR87" s="170"/>
      <c r="DS87" s="170"/>
      <c r="DT87" s="170"/>
      <c r="DU87" s="170"/>
      <c r="DV87" s="170"/>
      <c r="DW87" s="170"/>
      <c r="DX87" s="170"/>
      <c r="DY87" s="170"/>
      <c r="DZ87" s="170"/>
      <c r="EA87" s="170"/>
      <c r="EB87" s="170"/>
      <c r="EC87" s="170"/>
      <c r="ED87" s="170"/>
      <c r="EE87" s="170"/>
      <c r="EF87" s="170"/>
      <c r="EG87" s="170"/>
      <c r="EH87" s="170"/>
      <c r="EI87" s="170"/>
      <c r="EJ87" s="170"/>
      <c r="EK87" s="170"/>
      <c r="EL87" s="170"/>
      <c r="EM87" s="170"/>
      <c r="EN87" s="170"/>
      <c r="EO87" s="170"/>
      <c r="EP87" s="170"/>
    </row>
    <row x14ac:dyDescent="0.25" r="88" customHeight="1" ht="18.75">
      <c r="A88" s="1"/>
      <c r="B88" s="1135">
        <f>+B87+1</f>
      </c>
      <c r="C88" s="1136">
        <v>1.7771064814814816</v>
      </c>
      <c r="D88" s="1137">
        <v>1.824710648148148</v>
      </c>
      <c r="E88" s="1137">
        <f>+(C88+D88)/2</f>
        <v>25569.041666666668</v>
      </c>
      <c r="F88" s="1083"/>
      <c r="G88" s="1083"/>
      <c r="H88" s="1083"/>
      <c r="I88" s="1083"/>
      <c r="J88" s="169"/>
      <c r="K88" s="169"/>
      <c r="L88" s="169"/>
      <c r="M88" s="169"/>
      <c r="N88" s="169"/>
      <c r="O88" s="169"/>
      <c r="P88" s="169"/>
      <c r="Q88" s="169"/>
      <c r="R88" s="169"/>
      <c r="S88" s="169"/>
      <c r="T88" s="169"/>
      <c r="U88" s="169"/>
      <c r="V88" s="169"/>
      <c r="W88" s="169"/>
      <c r="X88" s="169"/>
      <c r="Y88" s="170"/>
      <c r="Z88" s="170"/>
      <c r="AA88" s="170"/>
      <c r="AB88" s="170"/>
      <c r="AC88" s="170"/>
      <c r="AD88" s="170"/>
      <c r="AE88" s="170"/>
      <c r="AF88" s="170"/>
      <c r="AG88" s="170"/>
      <c r="AH88" s="170"/>
      <c r="AI88" s="170"/>
      <c r="AJ88" s="170"/>
      <c r="AK88" s="170"/>
      <c r="AL88" s="170"/>
      <c r="AM88" s="170"/>
      <c r="AN88" s="170"/>
      <c r="AO88" s="170"/>
      <c r="AP88" s="170"/>
      <c r="AQ88" s="170"/>
      <c r="AR88" s="170"/>
      <c r="AS88" s="170"/>
      <c r="AT88" s="170"/>
      <c r="AU88" s="170"/>
      <c r="AV88" s="170"/>
      <c r="AW88" s="170"/>
      <c r="AX88" s="170"/>
      <c r="AY88" s="170"/>
      <c r="AZ88" s="170"/>
      <c r="BA88" s="170"/>
      <c r="BB88" s="170"/>
      <c r="BC88" s="170"/>
      <c r="BD88" s="170"/>
      <c r="BE88" s="170"/>
      <c r="BF88" s="170"/>
      <c r="BG88" s="170"/>
      <c r="BH88" s="170"/>
      <c r="BI88" s="170"/>
      <c r="BJ88" s="170"/>
      <c r="BK88" s="170"/>
      <c r="BL88" s="170"/>
      <c r="BM88" s="170"/>
      <c r="BN88" s="170"/>
      <c r="BO88" s="170"/>
      <c r="BP88" s="170"/>
      <c r="BQ88" s="170"/>
      <c r="BR88" s="170"/>
      <c r="BS88" s="170"/>
      <c r="BT88" s="170"/>
      <c r="BU88" s="170"/>
      <c r="BV88" s="170"/>
      <c r="BW88" s="170"/>
      <c r="BX88" s="170"/>
      <c r="BY88" s="170"/>
      <c r="BZ88" s="170"/>
      <c r="CA88" s="170"/>
      <c r="CB88" s="170"/>
      <c r="CC88" s="170"/>
      <c r="CD88" s="170"/>
      <c r="CE88" s="170"/>
      <c r="CF88" s="170"/>
      <c r="CG88" s="170"/>
      <c r="CH88" s="170"/>
      <c r="CI88" s="170"/>
      <c r="CJ88" s="170"/>
      <c r="CK88" s="170"/>
      <c r="CL88" s="170"/>
      <c r="CM88" s="170"/>
      <c r="CN88" s="170"/>
      <c r="CO88" s="170"/>
      <c r="CP88" s="170"/>
      <c r="CQ88" s="170"/>
      <c r="CR88" s="170"/>
      <c r="CS88" s="170"/>
      <c r="CT88" s="170"/>
      <c r="CU88" s="170"/>
      <c r="CV88" s="170"/>
      <c r="CW88" s="170"/>
      <c r="CX88" s="170"/>
      <c r="CY88" s="170"/>
      <c r="CZ88" s="170"/>
      <c r="DA88" s="170"/>
      <c r="DB88" s="170"/>
      <c r="DC88" s="170"/>
      <c r="DD88" s="170"/>
      <c r="DE88" s="170"/>
      <c r="DF88" s="170"/>
      <c r="DG88" s="170"/>
      <c r="DH88" s="170"/>
      <c r="DI88" s="170"/>
      <c r="DJ88" s="170"/>
      <c r="DK88" s="170"/>
      <c r="DL88" s="170"/>
      <c r="DM88" s="170"/>
      <c r="DN88" s="170"/>
      <c r="DO88" s="170"/>
      <c r="DP88" s="170"/>
      <c r="DQ88" s="170"/>
      <c r="DR88" s="170"/>
      <c r="DS88" s="170"/>
      <c r="DT88" s="170"/>
      <c r="DU88" s="170"/>
      <c r="DV88" s="170"/>
      <c r="DW88" s="170"/>
      <c r="DX88" s="170"/>
      <c r="DY88" s="170"/>
      <c r="DZ88" s="170"/>
      <c r="EA88" s="170"/>
      <c r="EB88" s="170"/>
      <c r="EC88" s="170"/>
      <c r="ED88" s="170"/>
      <c r="EE88" s="170"/>
      <c r="EF88" s="170"/>
      <c r="EG88" s="170"/>
      <c r="EH88" s="170"/>
      <c r="EI88" s="170"/>
      <c r="EJ88" s="170"/>
      <c r="EK88" s="170"/>
      <c r="EL88" s="170"/>
      <c r="EM88" s="170"/>
      <c r="EN88" s="170"/>
      <c r="EO88" s="170"/>
      <c r="EP88" s="170"/>
    </row>
    <row x14ac:dyDescent="0.25" r="89" customHeight="1" ht="18.75">
      <c r="A89" s="1"/>
      <c r="B89" s="1135">
        <f>+B88+1</f>
      </c>
      <c r="C89" s="1136">
        <v>1.7771064814814816</v>
      </c>
      <c r="D89" s="1137">
        <v>1.824710648148148</v>
      </c>
      <c r="E89" s="1137">
        <f>+(C89+D89)/2</f>
        <v>25569.041666666668</v>
      </c>
      <c r="F89" s="1083"/>
      <c r="G89" s="1083"/>
      <c r="H89" s="1083"/>
      <c r="I89" s="1083"/>
      <c r="J89" s="169"/>
      <c r="K89" s="169"/>
      <c r="L89" s="169"/>
      <c r="M89" s="169"/>
      <c r="N89" s="169"/>
      <c r="O89" s="169"/>
      <c r="P89" s="169"/>
      <c r="Q89" s="169"/>
      <c r="R89" s="169"/>
      <c r="S89" s="169"/>
      <c r="T89" s="169"/>
      <c r="U89" s="169"/>
      <c r="V89" s="169"/>
      <c r="W89" s="169"/>
      <c r="X89" s="169"/>
      <c r="Y89" s="170"/>
      <c r="Z89" s="170"/>
      <c r="AA89" s="170"/>
      <c r="AB89" s="170"/>
      <c r="AC89" s="170"/>
      <c r="AD89" s="170"/>
      <c r="AE89" s="170"/>
      <c r="AF89" s="170"/>
      <c r="AG89" s="170"/>
      <c r="AH89" s="170"/>
      <c r="AI89" s="170"/>
      <c r="AJ89" s="170"/>
      <c r="AK89" s="170"/>
      <c r="AL89" s="170"/>
      <c r="AM89" s="170"/>
      <c r="AN89" s="170"/>
      <c r="AO89" s="170"/>
      <c r="AP89" s="170"/>
      <c r="AQ89" s="170"/>
      <c r="AR89" s="170"/>
      <c r="AS89" s="170"/>
      <c r="AT89" s="170"/>
      <c r="AU89" s="170"/>
      <c r="AV89" s="170"/>
      <c r="AW89" s="170"/>
      <c r="AX89" s="170"/>
      <c r="AY89" s="170"/>
      <c r="AZ89" s="170"/>
      <c r="BA89" s="170"/>
      <c r="BB89" s="170"/>
      <c r="BC89" s="170"/>
      <c r="BD89" s="170"/>
      <c r="BE89" s="170"/>
      <c r="BF89" s="170"/>
      <c r="BG89" s="170"/>
      <c r="BH89" s="170"/>
      <c r="BI89" s="170"/>
      <c r="BJ89" s="170"/>
      <c r="BK89" s="170"/>
      <c r="BL89" s="170"/>
      <c r="BM89" s="170"/>
      <c r="BN89" s="170"/>
      <c r="BO89" s="170"/>
      <c r="BP89" s="170"/>
      <c r="BQ89" s="170"/>
      <c r="BR89" s="170"/>
      <c r="BS89" s="170"/>
      <c r="BT89" s="170"/>
      <c r="BU89" s="170"/>
      <c r="BV89" s="170"/>
      <c r="BW89" s="170"/>
      <c r="BX89" s="170"/>
      <c r="BY89" s="170"/>
      <c r="BZ89" s="170"/>
      <c r="CA89" s="170"/>
      <c r="CB89" s="170"/>
      <c r="CC89" s="170"/>
      <c r="CD89" s="170"/>
      <c r="CE89" s="170"/>
      <c r="CF89" s="170"/>
      <c r="CG89" s="170"/>
      <c r="CH89" s="170"/>
      <c r="CI89" s="170"/>
      <c r="CJ89" s="170"/>
      <c r="CK89" s="170"/>
      <c r="CL89" s="170"/>
      <c r="CM89" s="170"/>
      <c r="CN89" s="170"/>
      <c r="CO89" s="170"/>
      <c r="CP89" s="170"/>
      <c r="CQ89" s="170"/>
      <c r="CR89" s="170"/>
      <c r="CS89" s="170"/>
      <c r="CT89" s="170"/>
      <c r="CU89" s="170"/>
      <c r="CV89" s="170"/>
      <c r="CW89" s="170"/>
      <c r="CX89" s="170"/>
      <c r="CY89" s="170"/>
      <c r="CZ89" s="170"/>
      <c r="DA89" s="170"/>
      <c r="DB89" s="170"/>
      <c r="DC89" s="170"/>
      <c r="DD89" s="170"/>
      <c r="DE89" s="170"/>
      <c r="DF89" s="170"/>
      <c r="DG89" s="170"/>
      <c r="DH89" s="170"/>
      <c r="DI89" s="170"/>
      <c r="DJ89" s="170"/>
      <c r="DK89" s="170"/>
      <c r="DL89" s="170"/>
      <c r="DM89" s="170"/>
      <c r="DN89" s="170"/>
      <c r="DO89" s="170"/>
      <c r="DP89" s="170"/>
      <c r="DQ89" s="170"/>
      <c r="DR89" s="170"/>
      <c r="DS89" s="170"/>
      <c r="DT89" s="170"/>
      <c r="DU89" s="170"/>
      <c r="DV89" s="170"/>
      <c r="DW89" s="170"/>
      <c r="DX89" s="170"/>
      <c r="DY89" s="170"/>
      <c r="DZ89" s="170"/>
      <c r="EA89" s="170"/>
      <c r="EB89" s="170"/>
      <c r="EC89" s="170"/>
      <c r="ED89" s="170"/>
      <c r="EE89" s="170"/>
      <c r="EF89" s="170"/>
      <c r="EG89" s="170"/>
      <c r="EH89" s="170"/>
      <c r="EI89" s="170"/>
      <c r="EJ89" s="170"/>
      <c r="EK89" s="170"/>
      <c r="EL89" s="170"/>
      <c r="EM89" s="170"/>
      <c r="EN89" s="170"/>
      <c r="EO89" s="170"/>
      <c r="EP89" s="170"/>
    </row>
    <row x14ac:dyDescent="0.25" r="90" customHeight="1" ht="18.75">
      <c r="A90" s="1"/>
      <c r="B90" s="1135">
        <f>+B89+1</f>
      </c>
      <c r="C90" s="1136">
        <v>1.7771064814814816</v>
      </c>
      <c r="D90" s="1137">
        <v>1.824710648148148</v>
      </c>
      <c r="E90" s="1137">
        <f>+(C90+D90)/2</f>
        <v>25569.041666666668</v>
      </c>
      <c r="F90" s="1083"/>
      <c r="G90" s="1083"/>
      <c r="H90" s="1083"/>
      <c r="I90" s="1083"/>
      <c r="J90" s="169"/>
      <c r="K90" s="169"/>
      <c r="L90" s="169"/>
      <c r="M90" s="169"/>
      <c r="N90" s="169"/>
      <c r="O90" s="169"/>
      <c r="P90" s="169"/>
      <c r="Q90" s="169"/>
      <c r="R90" s="169"/>
      <c r="S90" s="169"/>
      <c r="T90" s="169"/>
      <c r="U90" s="169"/>
      <c r="V90" s="169"/>
      <c r="W90" s="169"/>
      <c r="X90" s="169"/>
      <c r="Y90" s="170"/>
      <c r="Z90" s="170"/>
      <c r="AA90" s="170"/>
      <c r="AB90" s="170"/>
      <c r="AC90" s="170"/>
      <c r="AD90" s="170"/>
      <c r="AE90" s="170"/>
      <c r="AF90" s="170"/>
      <c r="AG90" s="170"/>
      <c r="AH90" s="170"/>
      <c r="AI90" s="170"/>
      <c r="AJ90" s="170"/>
      <c r="AK90" s="170"/>
      <c r="AL90" s="170"/>
      <c r="AM90" s="170"/>
      <c r="AN90" s="170"/>
      <c r="AO90" s="170"/>
      <c r="AP90" s="170"/>
      <c r="AQ90" s="170"/>
      <c r="AR90" s="170"/>
      <c r="AS90" s="170"/>
      <c r="AT90" s="170"/>
      <c r="AU90" s="170"/>
      <c r="AV90" s="170"/>
      <c r="AW90" s="170"/>
      <c r="AX90" s="170"/>
      <c r="AY90" s="170"/>
      <c r="AZ90" s="170"/>
      <c r="BA90" s="170"/>
      <c r="BB90" s="170"/>
      <c r="BC90" s="170"/>
      <c r="BD90" s="170"/>
      <c r="BE90" s="170"/>
      <c r="BF90" s="170"/>
      <c r="BG90" s="170"/>
      <c r="BH90" s="170"/>
      <c r="BI90" s="170"/>
      <c r="BJ90" s="170"/>
      <c r="BK90" s="170"/>
      <c r="BL90" s="170"/>
      <c r="BM90" s="170"/>
      <c r="BN90" s="170"/>
      <c r="BO90" s="170"/>
      <c r="BP90" s="170"/>
      <c r="BQ90" s="170"/>
      <c r="BR90" s="170"/>
      <c r="BS90" s="170"/>
      <c r="BT90" s="170"/>
      <c r="BU90" s="170"/>
      <c r="BV90" s="170"/>
      <c r="BW90" s="170"/>
      <c r="BX90" s="170"/>
      <c r="BY90" s="170"/>
      <c r="BZ90" s="170"/>
      <c r="CA90" s="170"/>
      <c r="CB90" s="170"/>
      <c r="CC90" s="170"/>
      <c r="CD90" s="170"/>
      <c r="CE90" s="170"/>
      <c r="CF90" s="170"/>
      <c r="CG90" s="170"/>
      <c r="CH90" s="170"/>
      <c r="CI90" s="170"/>
      <c r="CJ90" s="170"/>
      <c r="CK90" s="170"/>
      <c r="CL90" s="170"/>
      <c r="CM90" s="170"/>
      <c r="CN90" s="170"/>
      <c r="CO90" s="170"/>
      <c r="CP90" s="170"/>
      <c r="CQ90" s="170"/>
      <c r="CR90" s="170"/>
      <c r="CS90" s="170"/>
      <c r="CT90" s="170"/>
      <c r="CU90" s="170"/>
      <c r="CV90" s="170"/>
      <c r="CW90" s="170"/>
      <c r="CX90" s="170"/>
      <c r="CY90" s="170"/>
      <c r="CZ90" s="170"/>
      <c r="DA90" s="170"/>
      <c r="DB90" s="170"/>
      <c r="DC90" s="170"/>
      <c r="DD90" s="170"/>
      <c r="DE90" s="170"/>
      <c r="DF90" s="170"/>
      <c r="DG90" s="170"/>
      <c r="DH90" s="170"/>
      <c r="DI90" s="170"/>
      <c r="DJ90" s="170"/>
      <c r="DK90" s="170"/>
      <c r="DL90" s="170"/>
      <c r="DM90" s="170"/>
      <c r="DN90" s="170"/>
      <c r="DO90" s="170"/>
      <c r="DP90" s="170"/>
      <c r="DQ90" s="170"/>
      <c r="DR90" s="170"/>
      <c r="DS90" s="170"/>
      <c r="DT90" s="170"/>
      <c r="DU90" s="170"/>
      <c r="DV90" s="170"/>
      <c r="DW90" s="170"/>
      <c r="DX90" s="170"/>
      <c r="DY90" s="170"/>
      <c r="DZ90" s="170"/>
      <c r="EA90" s="170"/>
      <c r="EB90" s="170"/>
      <c r="EC90" s="170"/>
      <c r="ED90" s="170"/>
      <c r="EE90" s="170"/>
      <c r="EF90" s="170"/>
      <c r="EG90" s="170"/>
      <c r="EH90" s="170"/>
      <c r="EI90" s="170"/>
      <c r="EJ90" s="170"/>
      <c r="EK90" s="170"/>
      <c r="EL90" s="170"/>
      <c r="EM90" s="170"/>
      <c r="EN90" s="170"/>
      <c r="EO90" s="170"/>
      <c r="EP90" s="170"/>
    </row>
    <row x14ac:dyDescent="0.25" r="91" customHeight="1" ht="18.75">
      <c r="A91" s="1"/>
      <c r="B91" s="1135">
        <f>+B90+1</f>
      </c>
      <c r="C91" s="1136">
        <v>1.7771064814814816</v>
      </c>
      <c r="D91" s="1137">
        <v>1.824710648148148</v>
      </c>
      <c r="E91" s="1137">
        <f>+(C91+D91)/2</f>
        <v>25569.041666666668</v>
      </c>
      <c r="F91" s="1083"/>
      <c r="G91" s="1083"/>
      <c r="H91" s="1083"/>
      <c r="I91" s="1083"/>
      <c r="J91" s="169"/>
      <c r="K91" s="169"/>
      <c r="L91" s="169"/>
      <c r="M91" s="169"/>
      <c r="N91" s="169"/>
      <c r="O91" s="169"/>
      <c r="P91" s="169"/>
      <c r="Q91" s="169"/>
      <c r="R91" s="169"/>
      <c r="S91" s="169"/>
      <c r="T91" s="169"/>
      <c r="U91" s="169"/>
      <c r="V91" s="169"/>
      <c r="W91" s="169"/>
      <c r="X91" s="169"/>
      <c r="Y91" s="170"/>
      <c r="Z91" s="170"/>
      <c r="AA91" s="170"/>
      <c r="AB91" s="170"/>
      <c r="AC91" s="170"/>
      <c r="AD91" s="170"/>
      <c r="AE91" s="170"/>
      <c r="AF91" s="170"/>
      <c r="AG91" s="170"/>
      <c r="AH91" s="170"/>
      <c r="AI91" s="170"/>
      <c r="AJ91" s="170"/>
      <c r="AK91" s="170"/>
      <c r="AL91" s="170"/>
      <c r="AM91" s="170"/>
      <c r="AN91" s="170"/>
      <c r="AO91" s="170"/>
      <c r="AP91" s="170"/>
      <c r="AQ91" s="170"/>
      <c r="AR91" s="170"/>
      <c r="AS91" s="170"/>
      <c r="AT91" s="170"/>
      <c r="AU91" s="170"/>
      <c r="AV91" s="170"/>
      <c r="AW91" s="170"/>
      <c r="AX91" s="170"/>
      <c r="AY91" s="170"/>
      <c r="AZ91" s="170"/>
      <c r="BA91" s="170"/>
      <c r="BB91" s="170"/>
      <c r="BC91" s="170"/>
      <c r="BD91" s="170"/>
      <c r="BE91" s="170"/>
      <c r="BF91" s="170"/>
      <c r="BG91" s="170"/>
      <c r="BH91" s="170"/>
      <c r="BI91" s="170"/>
      <c r="BJ91" s="170"/>
      <c r="BK91" s="170"/>
      <c r="BL91" s="170"/>
      <c r="BM91" s="170"/>
      <c r="BN91" s="170"/>
      <c r="BO91" s="170"/>
      <c r="BP91" s="170"/>
      <c r="BQ91" s="170"/>
      <c r="BR91" s="170"/>
      <c r="BS91" s="170"/>
      <c r="BT91" s="170"/>
      <c r="BU91" s="170"/>
      <c r="BV91" s="170"/>
      <c r="BW91" s="170"/>
      <c r="BX91" s="170"/>
      <c r="BY91" s="170"/>
      <c r="BZ91" s="170"/>
      <c r="CA91" s="170"/>
      <c r="CB91" s="170"/>
      <c r="CC91" s="170"/>
      <c r="CD91" s="170"/>
      <c r="CE91" s="170"/>
      <c r="CF91" s="170"/>
      <c r="CG91" s="170"/>
      <c r="CH91" s="170"/>
      <c r="CI91" s="170"/>
      <c r="CJ91" s="170"/>
      <c r="CK91" s="170"/>
      <c r="CL91" s="170"/>
      <c r="CM91" s="170"/>
      <c r="CN91" s="170"/>
      <c r="CO91" s="170"/>
      <c r="CP91" s="170"/>
      <c r="CQ91" s="170"/>
      <c r="CR91" s="170"/>
      <c r="CS91" s="170"/>
      <c r="CT91" s="170"/>
      <c r="CU91" s="170"/>
      <c r="CV91" s="170"/>
      <c r="CW91" s="170"/>
      <c r="CX91" s="170"/>
      <c r="CY91" s="170"/>
      <c r="CZ91" s="170"/>
      <c r="DA91" s="170"/>
      <c r="DB91" s="170"/>
      <c r="DC91" s="170"/>
      <c r="DD91" s="170"/>
      <c r="DE91" s="170"/>
      <c r="DF91" s="170"/>
      <c r="DG91" s="170"/>
      <c r="DH91" s="170"/>
      <c r="DI91" s="170"/>
      <c r="DJ91" s="170"/>
      <c r="DK91" s="170"/>
      <c r="DL91" s="170"/>
      <c r="DM91" s="170"/>
      <c r="DN91" s="170"/>
      <c r="DO91" s="170"/>
      <c r="DP91" s="170"/>
      <c r="DQ91" s="170"/>
      <c r="DR91" s="170"/>
      <c r="DS91" s="170"/>
      <c r="DT91" s="170"/>
      <c r="DU91" s="170"/>
      <c r="DV91" s="170"/>
      <c r="DW91" s="170"/>
      <c r="DX91" s="170"/>
      <c r="DY91" s="170"/>
      <c r="DZ91" s="170"/>
      <c r="EA91" s="170"/>
      <c r="EB91" s="170"/>
      <c r="EC91" s="170"/>
      <c r="ED91" s="170"/>
      <c r="EE91" s="170"/>
      <c r="EF91" s="170"/>
      <c r="EG91" s="170"/>
      <c r="EH91" s="170"/>
      <c r="EI91" s="170"/>
      <c r="EJ91" s="170"/>
      <c r="EK91" s="170"/>
      <c r="EL91" s="170"/>
      <c r="EM91" s="170"/>
      <c r="EN91" s="170"/>
      <c r="EO91" s="170"/>
      <c r="EP91" s="170"/>
    </row>
    <row x14ac:dyDescent="0.25" r="92" customHeight="1" ht="18.75">
      <c r="A92" s="1"/>
      <c r="B92" s="1135">
        <f>+B91+1</f>
      </c>
      <c r="C92" s="1136">
        <v>1.7771064814814816</v>
      </c>
      <c r="D92" s="1137">
        <v>1.824710648148148</v>
      </c>
      <c r="E92" s="1137">
        <f>+(C92+D92)/2</f>
        <v>25569.041666666668</v>
      </c>
      <c r="F92" s="1083"/>
      <c r="G92" s="1083"/>
      <c r="H92" s="1083"/>
      <c r="I92" s="1083"/>
      <c r="J92" s="169"/>
      <c r="K92" s="169"/>
      <c r="L92" s="169"/>
      <c r="M92" s="169"/>
      <c r="N92" s="169"/>
      <c r="O92" s="169"/>
      <c r="P92" s="169"/>
      <c r="Q92" s="169"/>
      <c r="R92" s="169"/>
      <c r="S92" s="169"/>
      <c r="T92" s="169"/>
      <c r="U92" s="169"/>
      <c r="V92" s="169"/>
      <c r="W92" s="169"/>
      <c r="X92" s="169"/>
      <c r="Y92" s="170"/>
      <c r="Z92" s="170"/>
      <c r="AA92" s="170"/>
      <c r="AB92" s="170"/>
      <c r="AC92" s="170"/>
      <c r="AD92" s="170"/>
      <c r="AE92" s="170"/>
      <c r="AF92" s="170"/>
      <c r="AG92" s="170"/>
      <c r="AH92" s="170"/>
      <c r="AI92" s="170"/>
      <c r="AJ92" s="170"/>
      <c r="AK92" s="170"/>
      <c r="AL92" s="170"/>
      <c r="AM92" s="170"/>
      <c r="AN92" s="170"/>
      <c r="AO92" s="170"/>
      <c r="AP92" s="170"/>
      <c r="AQ92" s="170"/>
      <c r="AR92" s="170"/>
      <c r="AS92" s="170"/>
      <c r="AT92" s="170"/>
      <c r="AU92" s="170"/>
      <c r="AV92" s="170"/>
      <c r="AW92" s="170"/>
      <c r="AX92" s="170"/>
      <c r="AY92" s="170"/>
      <c r="AZ92" s="170"/>
      <c r="BA92" s="170"/>
      <c r="BB92" s="170"/>
      <c r="BC92" s="170"/>
      <c r="BD92" s="170"/>
      <c r="BE92" s="170"/>
      <c r="BF92" s="170"/>
      <c r="BG92" s="170"/>
      <c r="BH92" s="170"/>
      <c r="BI92" s="170"/>
      <c r="BJ92" s="170"/>
      <c r="BK92" s="170"/>
      <c r="BL92" s="170"/>
      <c r="BM92" s="170"/>
      <c r="BN92" s="170"/>
      <c r="BO92" s="170"/>
      <c r="BP92" s="170"/>
      <c r="BQ92" s="170"/>
      <c r="BR92" s="170"/>
      <c r="BS92" s="170"/>
      <c r="BT92" s="170"/>
      <c r="BU92" s="170"/>
      <c r="BV92" s="170"/>
      <c r="BW92" s="170"/>
      <c r="BX92" s="170"/>
      <c r="BY92" s="170"/>
      <c r="BZ92" s="170"/>
      <c r="CA92" s="170"/>
      <c r="CB92" s="170"/>
      <c r="CC92" s="170"/>
      <c r="CD92" s="170"/>
      <c r="CE92" s="170"/>
      <c r="CF92" s="170"/>
      <c r="CG92" s="170"/>
      <c r="CH92" s="170"/>
      <c r="CI92" s="170"/>
      <c r="CJ92" s="170"/>
      <c r="CK92" s="170"/>
      <c r="CL92" s="170"/>
      <c r="CM92" s="170"/>
      <c r="CN92" s="170"/>
      <c r="CO92" s="170"/>
      <c r="CP92" s="170"/>
      <c r="CQ92" s="170"/>
      <c r="CR92" s="170"/>
      <c r="CS92" s="170"/>
      <c r="CT92" s="170"/>
      <c r="CU92" s="170"/>
      <c r="CV92" s="170"/>
      <c r="CW92" s="170"/>
      <c r="CX92" s="170"/>
      <c r="CY92" s="170"/>
      <c r="CZ92" s="170"/>
      <c r="DA92" s="170"/>
      <c r="DB92" s="170"/>
      <c r="DC92" s="170"/>
      <c r="DD92" s="170"/>
      <c r="DE92" s="170"/>
      <c r="DF92" s="170"/>
      <c r="DG92" s="170"/>
      <c r="DH92" s="170"/>
      <c r="DI92" s="170"/>
      <c r="DJ92" s="170"/>
      <c r="DK92" s="170"/>
      <c r="DL92" s="170"/>
      <c r="DM92" s="170"/>
      <c r="DN92" s="170"/>
      <c r="DO92" s="170"/>
      <c r="DP92" s="170"/>
      <c r="DQ92" s="170"/>
      <c r="DR92" s="170"/>
      <c r="DS92" s="170"/>
      <c r="DT92" s="170"/>
      <c r="DU92" s="170"/>
      <c r="DV92" s="170"/>
      <c r="DW92" s="170"/>
      <c r="DX92" s="170"/>
      <c r="DY92" s="170"/>
      <c r="DZ92" s="170"/>
      <c r="EA92" s="170"/>
      <c r="EB92" s="170"/>
      <c r="EC92" s="170"/>
      <c r="ED92" s="170"/>
      <c r="EE92" s="170"/>
      <c r="EF92" s="170"/>
      <c r="EG92" s="170"/>
      <c r="EH92" s="170"/>
      <c r="EI92" s="170"/>
      <c r="EJ92" s="170"/>
      <c r="EK92" s="170"/>
      <c r="EL92" s="170"/>
      <c r="EM92" s="170"/>
      <c r="EN92" s="170"/>
      <c r="EO92" s="170"/>
      <c r="EP92" s="170"/>
    </row>
    <row x14ac:dyDescent="0.25" r="93" customHeight="1" ht="18.75">
      <c r="A93" s="1"/>
      <c r="B93" s="1135">
        <f>+B92+1</f>
      </c>
      <c r="C93" s="1136">
        <v>1.7771064814814816</v>
      </c>
      <c r="D93" s="1137">
        <v>1.824710648148148</v>
      </c>
      <c r="E93" s="1137">
        <f>+(C93+D93)/2</f>
        <v>25569.041666666668</v>
      </c>
      <c r="F93" s="1083"/>
      <c r="G93" s="1083"/>
      <c r="H93" s="1083"/>
      <c r="I93" s="1083"/>
      <c r="J93" s="169"/>
      <c r="K93" s="169"/>
      <c r="L93" s="169"/>
      <c r="M93" s="169"/>
      <c r="N93" s="169"/>
      <c r="O93" s="169"/>
      <c r="P93" s="169"/>
      <c r="Q93" s="169"/>
      <c r="R93" s="169"/>
      <c r="S93" s="169"/>
      <c r="T93" s="169"/>
      <c r="U93" s="169"/>
      <c r="V93" s="169"/>
      <c r="W93" s="169"/>
      <c r="X93" s="169"/>
      <c r="Y93" s="170"/>
      <c r="Z93" s="170"/>
      <c r="AA93" s="170"/>
      <c r="AB93" s="170"/>
      <c r="AC93" s="170"/>
      <c r="AD93" s="170"/>
      <c r="AE93" s="170"/>
      <c r="AF93" s="170"/>
      <c r="AG93" s="170"/>
      <c r="AH93" s="170"/>
      <c r="AI93" s="170"/>
      <c r="AJ93" s="170"/>
      <c r="AK93" s="170"/>
      <c r="AL93" s="170"/>
      <c r="AM93" s="170"/>
      <c r="AN93" s="170"/>
      <c r="AO93" s="170"/>
      <c r="AP93" s="170"/>
      <c r="AQ93" s="170"/>
      <c r="AR93" s="170"/>
      <c r="AS93" s="170"/>
      <c r="AT93" s="170"/>
      <c r="AU93" s="170"/>
      <c r="AV93" s="170"/>
      <c r="AW93" s="170"/>
      <c r="AX93" s="170"/>
      <c r="AY93" s="170"/>
      <c r="AZ93" s="170"/>
      <c r="BA93" s="170"/>
      <c r="BB93" s="170"/>
      <c r="BC93" s="170"/>
      <c r="BD93" s="170"/>
      <c r="BE93" s="170"/>
      <c r="BF93" s="170"/>
      <c r="BG93" s="170"/>
      <c r="BH93" s="170"/>
      <c r="BI93" s="170"/>
      <c r="BJ93" s="170"/>
      <c r="BK93" s="170"/>
      <c r="BL93" s="170"/>
      <c r="BM93" s="170"/>
      <c r="BN93" s="170"/>
      <c r="BO93" s="170"/>
      <c r="BP93" s="170"/>
      <c r="BQ93" s="170"/>
      <c r="BR93" s="170"/>
      <c r="BS93" s="170"/>
      <c r="BT93" s="170"/>
      <c r="BU93" s="170"/>
      <c r="BV93" s="170"/>
      <c r="BW93" s="170"/>
      <c r="BX93" s="170"/>
      <c r="BY93" s="170"/>
      <c r="BZ93" s="170"/>
      <c r="CA93" s="170"/>
      <c r="CB93" s="170"/>
      <c r="CC93" s="170"/>
      <c r="CD93" s="170"/>
      <c r="CE93" s="170"/>
      <c r="CF93" s="170"/>
      <c r="CG93" s="170"/>
      <c r="CH93" s="170"/>
      <c r="CI93" s="170"/>
      <c r="CJ93" s="170"/>
      <c r="CK93" s="170"/>
      <c r="CL93" s="170"/>
      <c r="CM93" s="170"/>
      <c r="CN93" s="170"/>
      <c r="CO93" s="170"/>
      <c r="CP93" s="170"/>
      <c r="CQ93" s="170"/>
      <c r="CR93" s="170"/>
      <c r="CS93" s="170"/>
      <c r="CT93" s="170"/>
      <c r="CU93" s="170"/>
      <c r="CV93" s="170"/>
      <c r="CW93" s="170"/>
      <c r="CX93" s="170"/>
      <c r="CY93" s="170"/>
      <c r="CZ93" s="170"/>
      <c r="DA93" s="170"/>
      <c r="DB93" s="170"/>
      <c r="DC93" s="170"/>
      <c r="DD93" s="170"/>
      <c r="DE93" s="170"/>
      <c r="DF93" s="170"/>
      <c r="DG93" s="170"/>
      <c r="DH93" s="170"/>
      <c r="DI93" s="170"/>
      <c r="DJ93" s="170"/>
      <c r="DK93" s="170"/>
      <c r="DL93" s="170"/>
      <c r="DM93" s="170"/>
      <c r="DN93" s="170"/>
      <c r="DO93" s="170"/>
      <c r="DP93" s="170"/>
      <c r="DQ93" s="170"/>
      <c r="DR93" s="170"/>
      <c r="DS93" s="170"/>
      <c r="DT93" s="170"/>
      <c r="DU93" s="170"/>
      <c r="DV93" s="170"/>
      <c r="DW93" s="170"/>
      <c r="DX93" s="170"/>
      <c r="DY93" s="170"/>
      <c r="DZ93" s="170"/>
      <c r="EA93" s="170"/>
      <c r="EB93" s="170"/>
      <c r="EC93" s="170"/>
      <c r="ED93" s="170"/>
      <c r="EE93" s="170"/>
      <c r="EF93" s="170"/>
      <c r="EG93" s="170"/>
      <c r="EH93" s="170"/>
      <c r="EI93" s="170"/>
      <c r="EJ93" s="170"/>
      <c r="EK93" s="170"/>
      <c r="EL93" s="170"/>
      <c r="EM93" s="170"/>
      <c r="EN93" s="170"/>
      <c r="EO93" s="170"/>
      <c r="EP93" s="170"/>
    </row>
    <row x14ac:dyDescent="0.25" r="94" customHeight="1" ht="18.75">
      <c r="A94" s="1"/>
      <c r="B94" s="1135">
        <f>+B93+1</f>
      </c>
      <c r="C94" s="1136">
        <v>1.7771064814814816</v>
      </c>
      <c r="D94" s="1137">
        <v>1.824710648148148</v>
      </c>
      <c r="E94" s="1137">
        <f>+(C94+D94)/2</f>
        <v>25569.041666666668</v>
      </c>
      <c r="F94" s="1083"/>
      <c r="G94" s="1083"/>
      <c r="H94" s="1083"/>
      <c r="I94" s="1083"/>
      <c r="J94" s="169"/>
      <c r="K94" s="169"/>
      <c r="L94" s="169"/>
      <c r="M94" s="169"/>
      <c r="N94" s="169"/>
      <c r="O94" s="169"/>
      <c r="P94" s="169"/>
      <c r="Q94" s="169"/>
      <c r="R94" s="169"/>
      <c r="S94" s="169"/>
      <c r="T94" s="169"/>
      <c r="U94" s="169"/>
      <c r="V94" s="169"/>
      <c r="W94" s="169"/>
      <c r="X94" s="169"/>
      <c r="Y94" s="170"/>
      <c r="Z94" s="170"/>
      <c r="AA94" s="170"/>
      <c r="AB94" s="170"/>
      <c r="AC94" s="170"/>
      <c r="AD94" s="170"/>
      <c r="AE94" s="170"/>
      <c r="AF94" s="170"/>
      <c r="AG94" s="170"/>
      <c r="AH94" s="170"/>
      <c r="AI94" s="170"/>
      <c r="AJ94" s="170"/>
      <c r="AK94" s="170"/>
      <c r="AL94" s="170"/>
      <c r="AM94" s="170"/>
      <c r="AN94" s="170"/>
      <c r="AO94" s="170"/>
      <c r="AP94" s="170"/>
      <c r="AQ94" s="170"/>
      <c r="AR94" s="170"/>
      <c r="AS94" s="170"/>
      <c r="AT94" s="170"/>
      <c r="AU94" s="170"/>
      <c r="AV94" s="170"/>
      <c r="AW94" s="170"/>
      <c r="AX94" s="170"/>
      <c r="AY94" s="170"/>
      <c r="AZ94" s="170"/>
      <c r="BA94" s="170"/>
      <c r="BB94" s="170"/>
      <c r="BC94" s="170"/>
      <c r="BD94" s="170"/>
      <c r="BE94" s="170"/>
      <c r="BF94" s="170"/>
      <c r="BG94" s="170"/>
      <c r="BH94" s="170"/>
      <c r="BI94" s="170"/>
      <c r="BJ94" s="170"/>
      <c r="BK94" s="170"/>
      <c r="BL94" s="170"/>
      <c r="BM94" s="170"/>
      <c r="BN94" s="170"/>
      <c r="BO94" s="170"/>
      <c r="BP94" s="170"/>
      <c r="BQ94" s="170"/>
      <c r="BR94" s="170"/>
      <c r="BS94" s="170"/>
      <c r="BT94" s="170"/>
      <c r="BU94" s="170"/>
      <c r="BV94" s="170"/>
      <c r="BW94" s="170"/>
      <c r="BX94" s="170"/>
      <c r="BY94" s="170"/>
      <c r="BZ94" s="170"/>
      <c r="CA94" s="170"/>
      <c r="CB94" s="170"/>
      <c r="CC94" s="170"/>
      <c r="CD94" s="170"/>
      <c r="CE94" s="170"/>
      <c r="CF94" s="170"/>
      <c r="CG94" s="170"/>
      <c r="CH94" s="170"/>
      <c r="CI94" s="170"/>
      <c r="CJ94" s="170"/>
      <c r="CK94" s="170"/>
      <c r="CL94" s="170"/>
      <c r="CM94" s="170"/>
      <c r="CN94" s="170"/>
      <c r="CO94" s="170"/>
      <c r="CP94" s="170"/>
      <c r="CQ94" s="170"/>
      <c r="CR94" s="170"/>
      <c r="CS94" s="170"/>
      <c r="CT94" s="170"/>
      <c r="CU94" s="170"/>
      <c r="CV94" s="170"/>
      <c r="CW94" s="170"/>
      <c r="CX94" s="170"/>
      <c r="CY94" s="170"/>
      <c r="CZ94" s="170"/>
      <c r="DA94" s="170"/>
      <c r="DB94" s="170"/>
      <c r="DC94" s="170"/>
      <c r="DD94" s="170"/>
      <c r="DE94" s="170"/>
      <c r="DF94" s="170"/>
      <c r="DG94" s="170"/>
      <c r="DH94" s="170"/>
      <c r="DI94" s="170"/>
      <c r="DJ94" s="170"/>
      <c r="DK94" s="170"/>
      <c r="DL94" s="170"/>
      <c r="DM94" s="170"/>
      <c r="DN94" s="170"/>
      <c r="DO94" s="170"/>
      <c r="DP94" s="170"/>
      <c r="DQ94" s="170"/>
      <c r="DR94" s="170"/>
      <c r="DS94" s="170"/>
      <c r="DT94" s="170"/>
      <c r="DU94" s="170"/>
      <c r="DV94" s="170"/>
      <c r="DW94" s="170"/>
      <c r="DX94" s="170"/>
      <c r="DY94" s="170"/>
      <c r="DZ94" s="170"/>
      <c r="EA94" s="170"/>
      <c r="EB94" s="170"/>
      <c r="EC94" s="170"/>
      <c r="ED94" s="170"/>
      <c r="EE94" s="170"/>
      <c r="EF94" s="170"/>
      <c r="EG94" s="170"/>
      <c r="EH94" s="170"/>
      <c r="EI94" s="170"/>
      <c r="EJ94" s="170"/>
      <c r="EK94" s="170"/>
      <c r="EL94" s="170"/>
      <c r="EM94" s="170"/>
      <c r="EN94" s="170"/>
      <c r="EO94" s="170"/>
      <c r="EP94" s="170"/>
    </row>
    <row x14ac:dyDescent="0.25" r="95" customHeight="1" ht="18.75">
      <c r="A95" s="1"/>
      <c r="B95" s="1135">
        <f>+B94+1</f>
      </c>
      <c r="C95" s="1136">
        <v>1.7771064814814816</v>
      </c>
      <c r="D95" s="1137">
        <v>1.824710648148148</v>
      </c>
      <c r="E95" s="1137">
        <f>+(C95+D95)/2</f>
        <v>25569.041666666668</v>
      </c>
      <c r="F95" s="1083"/>
      <c r="G95" s="1083"/>
      <c r="H95" s="1083"/>
      <c r="I95" s="1083"/>
      <c r="J95" s="169"/>
      <c r="K95" s="169"/>
      <c r="L95" s="169"/>
      <c r="M95" s="169"/>
      <c r="N95" s="169"/>
      <c r="O95" s="169"/>
      <c r="P95" s="169"/>
      <c r="Q95" s="169"/>
      <c r="R95" s="169"/>
      <c r="S95" s="169"/>
      <c r="T95" s="169"/>
      <c r="U95" s="169"/>
      <c r="V95" s="169"/>
      <c r="W95" s="169"/>
      <c r="X95" s="169"/>
      <c r="Y95" s="170"/>
      <c r="Z95" s="170"/>
      <c r="AA95" s="170"/>
      <c r="AB95" s="170"/>
      <c r="AC95" s="170"/>
      <c r="AD95" s="170"/>
      <c r="AE95" s="170"/>
      <c r="AF95" s="170"/>
      <c r="AG95" s="170"/>
      <c r="AH95" s="170"/>
      <c r="AI95" s="170"/>
      <c r="AJ95" s="170"/>
      <c r="AK95" s="170"/>
      <c r="AL95" s="170"/>
      <c r="AM95" s="170"/>
      <c r="AN95" s="170"/>
      <c r="AO95" s="170"/>
      <c r="AP95" s="170"/>
      <c r="AQ95" s="170"/>
      <c r="AR95" s="170"/>
      <c r="AS95" s="170"/>
      <c r="AT95" s="170"/>
      <c r="AU95" s="170"/>
      <c r="AV95" s="170"/>
      <c r="AW95" s="170"/>
      <c r="AX95" s="170"/>
      <c r="AY95" s="170"/>
      <c r="AZ95" s="170"/>
      <c r="BA95" s="170"/>
      <c r="BB95" s="170"/>
      <c r="BC95" s="170"/>
      <c r="BD95" s="170"/>
      <c r="BE95" s="170"/>
      <c r="BF95" s="170"/>
      <c r="BG95" s="170"/>
      <c r="BH95" s="170"/>
      <c r="BI95" s="170"/>
      <c r="BJ95" s="170"/>
      <c r="BK95" s="170"/>
      <c r="BL95" s="170"/>
      <c r="BM95" s="170"/>
      <c r="BN95" s="170"/>
      <c r="BO95" s="170"/>
      <c r="BP95" s="170"/>
      <c r="BQ95" s="170"/>
      <c r="BR95" s="170"/>
      <c r="BS95" s="170"/>
      <c r="BT95" s="170"/>
      <c r="BU95" s="170"/>
      <c r="BV95" s="170"/>
      <c r="BW95" s="170"/>
      <c r="BX95" s="170"/>
      <c r="BY95" s="170"/>
      <c r="BZ95" s="170"/>
      <c r="CA95" s="170"/>
      <c r="CB95" s="170"/>
      <c r="CC95" s="170"/>
      <c r="CD95" s="170"/>
      <c r="CE95" s="170"/>
      <c r="CF95" s="170"/>
      <c r="CG95" s="170"/>
      <c r="CH95" s="170"/>
      <c r="CI95" s="170"/>
      <c r="CJ95" s="170"/>
      <c r="CK95" s="170"/>
      <c r="CL95" s="170"/>
      <c r="CM95" s="170"/>
      <c r="CN95" s="170"/>
      <c r="CO95" s="170"/>
      <c r="CP95" s="170"/>
      <c r="CQ95" s="170"/>
      <c r="CR95" s="170"/>
      <c r="CS95" s="170"/>
      <c r="CT95" s="170"/>
      <c r="CU95" s="170"/>
      <c r="CV95" s="170"/>
      <c r="CW95" s="170"/>
      <c r="CX95" s="170"/>
      <c r="CY95" s="170"/>
      <c r="CZ95" s="170"/>
      <c r="DA95" s="170"/>
      <c r="DB95" s="170"/>
      <c r="DC95" s="170"/>
      <c r="DD95" s="170"/>
      <c r="DE95" s="170"/>
      <c r="DF95" s="170"/>
      <c r="DG95" s="170"/>
      <c r="DH95" s="170"/>
      <c r="DI95" s="170"/>
      <c r="DJ95" s="170"/>
      <c r="DK95" s="170"/>
      <c r="DL95" s="170"/>
      <c r="DM95" s="170"/>
      <c r="DN95" s="170"/>
      <c r="DO95" s="170"/>
      <c r="DP95" s="170"/>
      <c r="DQ95" s="170"/>
      <c r="DR95" s="170"/>
      <c r="DS95" s="170"/>
      <c r="DT95" s="170"/>
      <c r="DU95" s="170"/>
      <c r="DV95" s="170"/>
      <c r="DW95" s="170"/>
      <c r="DX95" s="170"/>
      <c r="DY95" s="170"/>
      <c r="DZ95" s="170"/>
      <c r="EA95" s="170"/>
      <c r="EB95" s="170"/>
      <c r="EC95" s="170"/>
      <c r="ED95" s="170"/>
      <c r="EE95" s="170"/>
      <c r="EF95" s="170"/>
      <c r="EG95" s="170"/>
      <c r="EH95" s="170"/>
      <c r="EI95" s="170"/>
      <c r="EJ95" s="170"/>
      <c r="EK95" s="170"/>
      <c r="EL95" s="170"/>
      <c r="EM95" s="170"/>
      <c r="EN95" s="170"/>
      <c r="EO95" s="170"/>
      <c r="EP95" s="170"/>
    </row>
    <row x14ac:dyDescent="0.25" r="96" customHeight="1" ht="18.75">
      <c r="A96" s="1"/>
      <c r="B96" s="1135">
        <f>+B95+1</f>
      </c>
      <c r="C96" s="1136">
        <v>1.7771064814814816</v>
      </c>
      <c r="D96" s="1137">
        <v>1.824710648148148</v>
      </c>
      <c r="E96" s="1137">
        <f>+(C96+D96)/2</f>
        <v>25569.041666666668</v>
      </c>
      <c r="F96" s="1083"/>
      <c r="G96" s="1083"/>
      <c r="H96" s="1083"/>
      <c r="I96" s="1083"/>
      <c r="J96" s="169"/>
      <c r="K96" s="169"/>
      <c r="L96" s="169"/>
      <c r="M96" s="169"/>
      <c r="N96" s="169"/>
      <c r="O96" s="169"/>
      <c r="P96" s="169"/>
      <c r="Q96" s="169"/>
      <c r="R96" s="169"/>
      <c r="S96" s="169"/>
      <c r="T96" s="169"/>
      <c r="U96" s="169"/>
      <c r="V96" s="169"/>
      <c r="W96" s="169"/>
      <c r="X96" s="169"/>
      <c r="Y96" s="170"/>
      <c r="Z96" s="170"/>
      <c r="AA96" s="170"/>
      <c r="AB96" s="170"/>
      <c r="AC96" s="170"/>
      <c r="AD96" s="170"/>
      <c r="AE96" s="170"/>
      <c r="AF96" s="170"/>
      <c r="AG96" s="170"/>
      <c r="AH96" s="170"/>
      <c r="AI96" s="170"/>
      <c r="AJ96" s="170"/>
      <c r="AK96" s="170"/>
      <c r="AL96" s="170"/>
      <c r="AM96" s="170"/>
      <c r="AN96" s="170"/>
      <c r="AO96" s="170"/>
      <c r="AP96" s="170"/>
      <c r="AQ96" s="170"/>
      <c r="AR96" s="170"/>
      <c r="AS96" s="170"/>
      <c r="AT96" s="170"/>
      <c r="AU96" s="170"/>
      <c r="AV96" s="170"/>
      <c r="AW96" s="170"/>
      <c r="AX96" s="170"/>
      <c r="AY96" s="170"/>
      <c r="AZ96" s="170"/>
      <c r="BA96" s="170"/>
      <c r="BB96" s="170"/>
      <c r="BC96" s="170"/>
      <c r="BD96" s="170"/>
      <c r="BE96" s="170"/>
      <c r="BF96" s="170"/>
      <c r="BG96" s="170"/>
      <c r="BH96" s="170"/>
      <c r="BI96" s="170"/>
      <c r="BJ96" s="170"/>
      <c r="BK96" s="170"/>
      <c r="BL96" s="170"/>
      <c r="BM96" s="170"/>
      <c r="BN96" s="170"/>
      <c r="BO96" s="170"/>
      <c r="BP96" s="170"/>
      <c r="BQ96" s="170"/>
      <c r="BR96" s="170"/>
      <c r="BS96" s="170"/>
      <c r="BT96" s="170"/>
      <c r="BU96" s="170"/>
      <c r="BV96" s="170"/>
      <c r="BW96" s="170"/>
      <c r="BX96" s="170"/>
      <c r="BY96" s="170"/>
      <c r="BZ96" s="170"/>
      <c r="CA96" s="170"/>
      <c r="CB96" s="170"/>
      <c r="CC96" s="170"/>
      <c r="CD96" s="170"/>
      <c r="CE96" s="170"/>
      <c r="CF96" s="170"/>
      <c r="CG96" s="170"/>
      <c r="CH96" s="170"/>
      <c r="CI96" s="170"/>
      <c r="CJ96" s="170"/>
      <c r="CK96" s="170"/>
      <c r="CL96" s="170"/>
      <c r="CM96" s="170"/>
      <c r="CN96" s="170"/>
      <c r="CO96" s="170"/>
      <c r="CP96" s="170"/>
      <c r="CQ96" s="170"/>
      <c r="CR96" s="170"/>
      <c r="CS96" s="170"/>
      <c r="CT96" s="170"/>
      <c r="CU96" s="170"/>
      <c r="CV96" s="170"/>
      <c r="CW96" s="170"/>
      <c r="CX96" s="170"/>
      <c r="CY96" s="170"/>
      <c r="CZ96" s="170"/>
      <c r="DA96" s="170"/>
      <c r="DB96" s="170"/>
      <c r="DC96" s="170"/>
      <c r="DD96" s="170"/>
      <c r="DE96" s="170"/>
      <c r="DF96" s="170"/>
      <c r="DG96" s="170"/>
      <c r="DH96" s="170"/>
      <c r="DI96" s="170"/>
      <c r="DJ96" s="170"/>
      <c r="DK96" s="170"/>
      <c r="DL96" s="170"/>
      <c r="DM96" s="170"/>
      <c r="DN96" s="170"/>
      <c r="DO96" s="170"/>
      <c r="DP96" s="170"/>
      <c r="DQ96" s="170"/>
      <c r="DR96" s="170"/>
      <c r="DS96" s="170"/>
      <c r="DT96" s="170"/>
      <c r="DU96" s="170"/>
      <c r="DV96" s="170"/>
      <c r="DW96" s="170"/>
      <c r="DX96" s="170"/>
      <c r="DY96" s="170"/>
      <c r="DZ96" s="170"/>
      <c r="EA96" s="170"/>
      <c r="EB96" s="170"/>
      <c r="EC96" s="170"/>
      <c r="ED96" s="170"/>
      <c r="EE96" s="170"/>
      <c r="EF96" s="170"/>
      <c r="EG96" s="170"/>
      <c r="EH96" s="170"/>
      <c r="EI96" s="170"/>
      <c r="EJ96" s="170"/>
      <c r="EK96" s="170"/>
      <c r="EL96" s="170"/>
      <c r="EM96" s="170"/>
      <c r="EN96" s="170"/>
      <c r="EO96" s="170"/>
      <c r="EP96" s="170"/>
    </row>
    <row x14ac:dyDescent="0.25" r="97" customHeight="1" ht="18.75">
      <c r="A97" s="1"/>
      <c r="B97" s="1135">
        <f>+B96+1</f>
      </c>
      <c r="C97" s="1136">
        <v>1.7771064814814816</v>
      </c>
      <c r="D97" s="1137">
        <v>1.824710648148148</v>
      </c>
      <c r="E97" s="1137">
        <f>+(C97+D97)/2</f>
        <v>25569.041666666668</v>
      </c>
      <c r="F97" s="1083"/>
      <c r="G97" s="1083"/>
      <c r="H97" s="1083"/>
      <c r="I97" s="1083"/>
      <c r="J97" s="169"/>
      <c r="K97" s="169"/>
      <c r="L97" s="169"/>
      <c r="M97" s="169"/>
      <c r="N97" s="169"/>
      <c r="O97" s="169"/>
      <c r="P97" s="169"/>
      <c r="Q97" s="169"/>
      <c r="R97" s="169"/>
      <c r="S97" s="169"/>
      <c r="T97" s="169"/>
      <c r="U97" s="169"/>
      <c r="V97" s="169"/>
      <c r="W97" s="169"/>
      <c r="X97" s="169"/>
      <c r="Y97" s="170"/>
      <c r="Z97" s="170"/>
      <c r="AA97" s="170"/>
      <c r="AB97" s="170"/>
      <c r="AC97" s="170"/>
      <c r="AD97" s="170"/>
      <c r="AE97" s="170"/>
      <c r="AF97" s="170"/>
      <c r="AG97" s="170"/>
      <c r="AH97" s="170"/>
      <c r="AI97" s="170"/>
      <c r="AJ97" s="170"/>
      <c r="AK97" s="170"/>
      <c r="AL97" s="170"/>
      <c r="AM97" s="170"/>
      <c r="AN97" s="170"/>
      <c r="AO97" s="170"/>
      <c r="AP97" s="170"/>
      <c r="AQ97" s="170"/>
      <c r="AR97" s="170"/>
      <c r="AS97" s="170"/>
      <c r="AT97" s="170"/>
      <c r="AU97" s="170"/>
      <c r="AV97" s="170"/>
      <c r="AW97" s="170"/>
      <c r="AX97" s="170"/>
      <c r="AY97" s="170"/>
      <c r="AZ97" s="170"/>
      <c r="BA97" s="170"/>
      <c r="BB97" s="170"/>
      <c r="BC97" s="170"/>
      <c r="BD97" s="170"/>
      <c r="BE97" s="170"/>
      <c r="BF97" s="170"/>
      <c r="BG97" s="170"/>
      <c r="BH97" s="170"/>
      <c r="BI97" s="170"/>
      <c r="BJ97" s="170"/>
      <c r="BK97" s="170"/>
      <c r="BL97" s="170"/>
      <c r="BM97" s="170"/>
      <c r="BN97" s="170"/>
      <c r="BO97" s="170"/>
      <c r="BP97" s="170"/>
      <c r="BQ97" s="170"/>
      <c r="BR97" s="170"/>
      <c r="BS97" s="170"/>
      <c r="BT97" s="170"/>
      <c r="BU97" s="170"/>
      <c r="BV97" s="170"/>
      <c r="BW97" s="170"/>
      <c r="BX97" s="170"/>
      <c r="BY97" s="170"/>
      <c r="BZ97" s="170"/>
      <c r="CA97" s="170"/>
      <c r="CB97" s="170"/>
      <c r="CC97" s="170"/>
      <c r="CD97" s="170"/>
      <c r="CE97" s="170"/>
      <c r="CF97" s="170"/>
      <c r="CG97" s="170"/>
      <c r="CH97" s="170"/>
      <c r="CI97" s="170"/>
      <c r="CJ97" s="170"/>
      <c r="CK97" s="170"/>
      <c r="CL97" s="170"/>
      <c r="CM97" s="170"/>
      <c r="CN97" s="170"/>
      <c r="CO97" s="170"/>
      <c r="CP97" s="170"/>
      <c r="CQ97" s="170"/>
      <c r="CR97" s="170"/>
      <c r="CS97" s="170"/>
      <c r="CT97" s="170"/>
      <c r="CU97" s="170"/>
      <c r="CV97" s="170"/>
      <c r="CW97" s="170"/>
      <c r="CX97" s="170"/>
      <c r="CY97" s="170"/>
      <c r="CZ97" s="170"/>
      <c r="DA97" s="170"/>
      <c r="DB97" s="170"/>
      <c r="DC97" s="170"/>
      <c r="DD97" s="170"/>
      <c r="DE97" s="170"/>
      <c r="DF97" s="170"/>
      <c r="DG97" s="170"/>
      <c r="DH97" s="170"/>
      <c r="DI97" s="170"/>
      <c r="DJ97" s="170"/>
      <c r="DK97" s="170"/>
      <c r="DL97" s="170"/>
      <c r="DM97" s="170"/>
      <c r="DN97" s="170"/>
      <c r="DO97" s="170"/>
      <c r="DP97" s="170"/>
      <c r="DQ97" s="170"/>
      <c r="DR97" s="170"/>
      <c r="DS97" s="170"/>
      <c r="DT97" s="170"/>
      <c r="DU97" s="170"/>
      <c r="DV97" s="170"/>
      <c r="DW97" s="170"/>
      <c r="DX97" s="170"/>
      <c r="DY97" s="170"/>
      <c r="DZ97" s="170"/>
      <c r="EA97" s="170"/>
      <c r="EB97" s="170"/>
      <c r="EC97" s="170"/>
      <c r="ED97" s="170"/>
      <c r="EE97" s="170"/>
      <c r="EF97" s="170"/>
      <c r="EG97" s="170"/>
      <c r="EH97" s="170"/>
      <c r="EI97" s="170"/>
      <c r="EJ97" s="170"/>
      <c r="EK97" s="170"/>
      <c r="EL97" s="170"/>
      <c r="EM97" s="170"/>
      <c r="EN97" s="170"/>
      <c r="EO97" s="170"/>
      <c r="EP97" s="170"/>
    </row>
    <row x14ac:dyDescent="0.25" r="98" customHeight="1" ht="18.75">
      <c r="A98" s="1"/>
      <c r="B98" s="1135">
        <f>+B97+1</f>
      </c>
      <c r="C98" s="1136">
        <v>1.7771064814814816</v>
      </c>
      <c r="D98" s="1137">
        <v>1.824710648148148</v>
      </c>
      <c r="E98" s="1137">
        <f>+(C98+D98)/2</f>
        <v>25569.041666666668</v>
      </c>
      <c r="F98" s="1083"/>
      <c r="G98" s="1083"/>
      <c r="H98" s="1083"/>
      <c r="I98" s="1083"/>
      <c r="J98" s="169"/>
      <c r="K98" s="169"/>
      <c r="L98" s="169"/>
      <c r="M98" s="169"/>
      <c r="N98" s="169"/>
      <c r="O98" s="169"/>
      <c r="P98" s="169"/>
      <c r="Q98" s="169"/>
      <c r="R98" s="169"/>
      <c r="S98" s="169"/>
      <c r="T98" s="169"/>
      <c r="U98" s="169"/>
      <c r="V98" s="169"/>
      <c r="W98" s="169"/>
      <c r="X98" s="169"/>
      <c r="Y98" s="170"/>
      <c r="Z98" s="170"/>
      <c r="AA98" s="170"/>
      <c r="AB98" s="170"/>
      <c r="AC98" s="170"/>
      <c r="AD98" s="170"/>
      <c r="AE98" s="170"/>
      <c r="AF98" s="170"/>
      <c r="AG98" s="170"/>
      <c r="AH98" s="170"/>
      <c r="AI98" s="170"/>
      <c r="AJ98" s="170"/>
      <c r="AK98" s="170"/>
      <c r="AL98" s="170"/>
      <c r="AM98" s="170"/>
      <c r="AN98" s="170"/>
      <c r="AO98" s="170"/>
      <c r="AP98" s="170"/>
      <c r="AQ98" s="170"/>
      <c r="AR98" s="170"/>
      <c r="AS98" s="170"/>
      <c r="AT98" s="170"/>
      <c r="AU98" s="170"/>
      <c r="AV98" s="170"/>
      <c r="AW98" s="170"/>
      <c r="AX98" s="170"/>
      <c r="AY98" s="170"/>
      <c r="AZ98" s="170"/>
      <c r="BA98" s="170"/>
      <c r="BB98" s="170"/>
      <c r="BC98" s="170"/>
      <c r="BD98" s="170"/>
      <c r="BE98" s="170"/>
      <c r="BF98" s="170"/>
      <c r="BG98" s="170"/>
      <c r="BH98" s="170"/>
      <c r="BI98" s="170"/>
      <c r="BJ98" s="170"/>
      <c r="BK98" s="170"/>
      <c r="BL98" s="170"/>
      <c r="BM98" s="170"/>
      <c r="BN98" s="170"/>
      <c r="BO98" s="170"/>
      <c r="BP98" s="170"/>
      <c r="BQ98" s="170"/>
      <c r="BR98" s="170"/>
      <c r="BS98" s="170"/>
      <c r="BT98" s="170"/>
      <c r="BU98" s="170"/>
      <c r="BV98" s="170"/>
      <c r="BW98" s="170"/>
      <c r="BX98" s="170"/>
      <c r="BY98" s="170"/>
      <c r="BZ98" s="170"/>
      <c r="CA98" s="170"/>
      <c r="CB98" s="170"/>
      <c r="CC98" s="170"/>
      <c r="CD98" s="170"/>
      <c r="CE98" s="170"/>
      <c r="CF98" s="170"/>
      <c r="CG98" s="170"/>
      <c r="CH98" s="170"/>
      <c r="CI98" s="170"/>
      <c r="CJ98" s="170"/>
      <c r="CK98" s="170"/>
      <c r="CL98" s="170"/>
      <c r="CM98" s="170"/>
      <c r="CN98" s="170"/>
      <c r="CO98" s="170"/>
      <c r="CP98" s="170"/>
      <c r="CQ98" s="170"/>
      <c r="CR98" s="170"/>
      <c r="CS98" s="170"/>
      <c r="CT98" s="170"/>
      <c r="CU98" s="170"/>
      <c r="CV98" s="170"/>
      <c r="CW98" s="170"/>
      <c r="CX98" s="170"/>
      <c r="CY98" s="170"/>
      <c r="CZ98" s="170"/>
      <c r="DA98" s="170"/>
      <c r="DB98" s="170"/>
      <c r="DC98" s="170"/>
      <c r="DD98" s="170"/>
      <c r="DE98" s="170"/>
      <c r="DF98" s="170"/>
      <c r="DG98" s="170"/>
      <c r="DH98" s="170"/>
      <c r="DI98" s="170"/>
      <c r="DJ98" s="170"/>
      <c r="DK98" s="170"/>
      <c r="DL98" s="170"/>
      <c r="DM98" s="170"/>
      <c r="DN98" s="170"/>
      <c r="DO98" s="170"/>
      <c r="DP98" s="170"/>
      <c r="DQ98" s="170"/>
      <c r="DR98" s="170"/>
      <c r="DS98" s="170"/>
      <c r="DT98" s="170"/>
      <c r="DU98" s="170"/>
      <c r="DV98" s="170"/>
      <c r="DW98" s="170"/>
      <c r="DX98" s="170"/>
      <c r="DY98" s="170"/>
      <c r="DZ98" s="170"/>
      <c r="EA98" s="170"/>
      <c r="EB98" s="170"/>
      <c r="EC98" s="170"/>
      <c r="ED98" s="170"/>
      <c r="EE98" s="170"/>
      <c r="EF98" s="170"/>
      <c r="EG98" s="170"/>
      <c r="EH98" s="170"/>
      <c r="EI98" s="170"/>
      <c r="EJ98" s="170"/>
      <c r="EK98" s="170"/>
      <c r="EL98" s="170"/>
      <c r="EM98" s="170"/>
      <c r="EN98" s="170"/>
      <c r="EO98" s="170"/>
      <c r="EP98" s="170"/>
    </row>
    <row x14ac:dyDescent="0.25" r="99" customHeight="1" ht="18.75">
      <c r="A99" s="1"/>
      <c r="B99" s="1135">
        <f>+B98+1</f>
      </c>
      <c r="C99" s="1136">
        <v>1.7771064814814816</v>
      </c>
      <c r="D99" s="1137">
        <v>1.824710648148148</v>
      </c>
      <c r="E99" s="1137">
        <f>+(C99+D99)/2</f>
        <v>25569.041666666668</v>
      </c>
      <c r="F99" s="1083"/>
      <c r="G99" s="1083"/>
      <c r="H99" s="1083"/>
      <c r="I99" s="1083"/>
      <c r="J99" s="169"/>
      <c r="K99" s="169"/>
      <c r="L99" s="169"/>
      <c r="M99" s="169"/>
      <c r="N99" s="169"/>
      <c r="O99" s="169"/>
      <c r="P99" s="169"/>
      <c r="Q99" s="169"/>
      <c r="R99" s="169"/>
      <c r="S99" s="169"/>
      <c r="T99" s="169"/>
      <c r="U99" s="169"/>
      <c r="V99" s="169"/>
      <c r="W99" s="169"/>
      <c r="X99" s="169"/>
      <c r="Y99" s="170"/>
      <c r="Z99" s="170"/>
      <c r="AA99" s="170"/>
      <c r="AB99" s="170"/>
      <c r="AC99" s="170"/>
      <c r="AD99" s="170"/>
      <c r="AE99" s="170"/>
      <c r="AF99" s="170"/>
      <c r="AG99" s="170"/>
      <c r="AH99" s="170"/>
      <c r="AI99" s="170"/>
      <c r="AJ99" s="170"/>
      <c r="AK99" s="170"/>
      <c r="AL99" s="170"/>
      <c r="AM99" s="170"/>
      <c r="AN99" s="170"/>
      <c r="AO99" s="170"/>
      <c r="AP99" s="170"/>
      <c r="AQ99" s="170"/>
      <c r="AR99" s="170"/>
      <c r="AS99" s="170"/>
      <c r="AT99" s="170"/>
      <c r="AU99" s="170"/>
      <c r="AV99" s="170"/>
      <c r="AW99" s="170"/>
      <c r="AX99" s="170"/>
      <c r="AY99" s="170"/>
      <c r="AZ99" s="170"/>
      <c r="BA99" s="170"/>
      <c r="BB99" s="170"/>
      <c r="BC99" s="170"/>
      <c r="BD99" s="170"/>
      <c r="BE99" s="170"/>
      <c r="BF99" s="170"/>
      <c r="BG99" s="170"/>
      <c r="BH99" s="170"/>
      <c r="BI99" s="170"/>
      <c r="BJ99" s="170"/>
      <c r="BK99" s="170"/>
      <c r="BL99" s="170"/>
      <c r="BM99" s="170"/>
      <c r="BN99" s="170"/>
      <c r="BO99" s="170"/>
      <c r="BP99" s="170"/>
      <c r="BQ99" s="170"/>
      <c r="BR99" s="170"/>
      <c r="BS99" s="170"/>
      <c r="BT99" s="170"/>
      <c r="BU99" s="170"/>
      <c r="BV99" s="170"/>
      <c r="BW99" s="170"/>
      <c r="BX99" s="170"/>
      <c r="BY99" s="170"/>
      <c r="BZ99" s="170"/>
      <c r="CA99" s="170"/>
      <c r="CB99" s="170"/>
      <c r="CC99" s="170"/>
      <c r="CD99" s="170"/>
      <c r="CE99" s="170"/>
      <c r="CF99" s="170"/>
      <c r="CG99" s="170"/>
      <c r="CH99" s="170"/>
      <c r="CI99" s="170"/>
      <c r="CJ99" s="170"/>
      <c r="CK99" s="170"/>
      <c r="CL99" s="170"/>
      <c r="CM99" s="170"/>
      <c r="CN99" s="170"/>
      <c r="CO99" s="170"/>
      <c r="CP99" s="170"/>
      <c r="CQ99" s="170"/>
      <c r="CR99" s="170"/>
      <c r="CS99" s="170"/>
      <c r="CT99" s="170"/>
      <c r="CU99" s="170"/>
      <c r="CV99" s="170"/>
      <c r="CW99" s="170"/>
      <c r="CX99" s="170"/>
      <c r="CY99" s="170"/>
      <c r="CZ99" s="170"/>
      <c r="DA99" s="170"/>
      <c r="DB99" s="170"/>
      <c r="DC99" s="170"/>
      <c r="DD99" s="170"/>
      <c r="DE99" s="170"/>
      <c r="DF99" s="170"/>
      <c r="DG99" s="170"/>
      <c r="DH99" s="170"/>
      <c r="DI99" s="170"/>
      <c r="DJ99" s="170"/>
      <c r="DK99" s="170"/>
      <c r="DL99" s="170"/>
      <c r="DM99" s="170"/>
      <c r="DN99" s="170"/>
      <c r="DO99" s="170"/>
      <c r="DP99" s="170"/>
      <c r="DQ99" s="170"/>
      <c r="DR99" s="170"/>
      <c r="DS99" s="170"/>
      <c r="DT99" s="170"/>
      <c r="DU99" s="170"/>
      <c r="DV99" s="170"/>
      <c r="DW99" s="170"/>
      <c r="DX99" s="170"/>
      <c r="DY99" s="170"/>
      <c r="DZ99" s="170"/>
      <c r="EA99" s="170"/>
      <c r="EB99" s="170"/>
      <c r="EC99" s="170"/>
      <c r="ED99" s="170"/>
      <c r="EE99" s="170"/>
      <c r="EF99" s="170"/>
      <c r="EG99" s="170"/>
      <c r="EH99" s="170"/>
      <c r="EI99" s="170"/>
      <c r="EJ99" s="170"/>
      <c r="EK99" s="170"/>
      <c r="EL99" s="170"/>
      <c r="EM99" s="170"/>
      <c r="EN99" s="170"/>
      <c r="EO99" s="170"/>
      <c r="EP99" s="170"/>
    </row>
    <row x14ac:dyDescent="0.25" r="100" customHeight="1" ht="18.75">
      <c r="A100" s="1"/>
      <c r="B100" s="1135">
        <f>+B99+1</f>
      </c>
      <c r="C100" s="1136">
        <v>1.7771064814814816</v>
      </c>
      <c r="D100" s="1137">
        <v>1.824710648148148</v>
      </c>
      <c r="E100" s="1137">
        <f>+(C100+D100)/2</f>
        <v>25569.041666666668</v>
      </c>
      <c r="F100" s="1083"/>
      <c r="G100" s="1083"/>
      <c r="H100" s="1083"/>
      <c r="I100" s="1083"/>
      <c r="J100" s="169"/>
      <c r="K100" s="169"/>
      <c r="L100" s="169"/>
      <c r="M100" s="169"/>
      <c r="N100" s="169"/>
      <c r="O100" s="169"/>
      <c r="P100" s="169"/>
      <c r="Q100" s="169"/>
      <c r="R100" s="169"/>
      <c r="S100" s="169"/>
      <c r="T100" s="169"/>
      <c r="U100" s="169"/>
      <c r="V100" s="169"/>
      <c r="W100" s="169"/>
      <c r="X100" s="169"/>
      <c r="Y100" s="170"/>
      <c r="Z100" s="170"/>
      <c r="AA100" s="170"/>
      <c r="AB100" s="170"/>
      <c r="AC100" s="170"/>
      <c r="AD100" s="170"/>
      <c r="AE100" s="170"/>
      <c r="AF100" s="170"/>
      <c r="AG100" s="170"/>
      <c r="AH100" s="170"/>
      <c r="AI100" s="170"/>
      <c r="AJ100" s="170"/>
      <c r="AK100" s="170"/>
      <c r="AL100" s="170"/>
      <c r="AM100" s="170"/>
      <c r="AN100" s="170"/>
      <c r="AO100" s="170"/>
      <c r="AP100" s="170"/>
      <c r="AQ100" s="170"/>
      <c r="AR100" s="170"/>
      <c r="AS100" s="170"/>
      <c r="AT100" s="170"/>
      <c r="AU100" s="170"/>
      <c r="AV100" s="170"/>
      <c r="AW100" s="170"/>
      <c r="AX100" s="170"/>
      <c r="AY100" s="170"/>
      <c r="AZ100" s="170"/>
      <c r="BA100" s="170"/>
      <c r="BB100" s="170"/>
      <c r="BC100" s="170"/>
      <c r="BD100" s="170"/>
      <c r="BE100" s="170"/>
      <c r="BF100" s="170"/>
      <c r="BG100" s="170"/>
      <c r="BH100" s="170"/>
      <c r="BI100" s="170"/>
      <c r="BJ100" s="170"/>
      <c r="BK100" s="170"/>
      <c r="BL100" s="170"/>
      <c r="BM100" s="170"/>
      <c r="BN100" s="170"/>
      <c r="BO100" s="170"/>
      <c r="BP100" s="170"/>
      <c r="BQ100" s="170"/>
      <c r="BR100" s="170"/>
      <c r="BS100" s="170"/>
      <c r="BT100" s="170"/>
      <c r="BU100" s="170"/>
      <c r="BV100" s="170"/>
      <c r="BW100" s="170"/>
      <c r="BX100" s="170"/>
      <c r="BY100" s="170"/>
      <c r="BZ100" s="170"/>
      <c r="CA100" s="170"/>
      <c r="CB100" s="170"/>
      <c r="CC100" s="170"/>
      <c r="CD100" s="170"/>
      <c r="CE100" s="170"/>
      <c r="CF100" s="170"/>
      <c r="CG100" s="170"/>
      <c r="CH100" s="170"/>
      <c r="CI100" s="170"/>
      <c r="CJ100" s="170"/>
      <c r="CK100" s="170"/>
      <c r="CL100" s="170"/>
      <c r="CM100" s="170"/>
      <c r="CN100" s="170"/>
      <c r="CO100" s="170"/>
      <c r="CP100" s="170"/>
      <c r="CQ100" s="170"/>
      <c r="CR100" s="170"/>
      <c r="CS100" s="170"/>
      <c r="CT100" s="170"/>
      <c r="CU100" s="170"/>
      <c r="CV100" s="170"/>
      <c r="CW100" s="170"/>
      <c r="CX100" s="170"/>
      <c r="CY100" s="170"/>
      <c r="CZ100" s="170"/>
      <c r="DA100" s="170"/>
      <c r="DB100" s="170"/>
      <c r="DC100" s="170"/>
      <c r="DD100" s="170"/>
      <c r="DE100" s="170"/>
      <c r="DF100" s="170"/>
      <c r="DG100" s="170"/>
      <c r="DH100" s="170"/>
      <c r="DI100" s="170"/>
      <c r="DJ100" s="170"/>
      <c r="DK100" s="170"/>
      <c r="DL100" s="170"/>
      <c r="DM100" s="170"/>
      <c r="DN100" s="170"/>
      <c r="DO100" s="170"/>
      <c r="DP100" s="170"/>
      <c r="DQ100" s="170"/>
      <c r="DR100" s="170"/>
      <c r="DS100" s="170"/>
      <c r="DT100" s="170"/>
      <c r="DU100" s="170"/>
      <c r="DV100" s="170"/>
      <c r="DW100" s="170"/>
      <c r="DX100" s="170"/>
      <c r="DY100" s="170"/>
      <c r="DZ100" s="170"/>
      <c r="EA100" s="170"/>
      <c r="EB100" s="170"/>
      <c r="EC100" s="170"/>
      <c r="ED100" s="170"/>
      <c r="EE100" s="170"/>
      <c r="EF100" s="170"/>
      <c r="EG100" s="170"/>
      <c r="EH100" s="170"/>
      <c r="EI100" s="170"/>
      <c r="EJ100" s="170"/>
      <c r="EK100" s="170"/>
      <c r="EL100" s="170"/>
      <c r="EM100" s="170"/>
      <c r="EN100" s="170"/>
      <c r="EO100" s="170"/>
      <c r="EP100" s="170"/>
    </row>
    <row x14ac:dyDescent="0.25" r="101" customHeight="1" ht="18.75">
      <c r="A101" s="1"/>
      <c r="B101" s="1135">
        <f>+B100+1</f>
      </c>
      <c r="C101" s="1136">
        <v>1.7771064814814816</v>
      </c>
      <c r="D101" s="1137">
        <v>1.824710648148148</v>
      </c>
      <c r="E101" s="1137">
        <f>+(C101+D101)/2</f>
        <v>25569.041666666668</v>
      </c>
      <c r="F101" s="1083"/>
      <c r="G101" s="1083"/>
      <c r="H101" s="1083"/>
      <c r="I101" s="1083"/>
      <c r="J101" s="169"/>
      <c r="K101" s="169"/>
      <c r="L101" s="169"/>
      <c r="M101" s="169"/>
      <c r="N101" s="169"/>
      <c r="O101" s="169"/>
      <c r="P101" s="169"/>
      <c r="Q101" s="169"/>
      <c r="R101" s="169"/>
      <c r="S101" s="169"/>
      <c r="T101" s="169"/>
      <c r="U101" s="169"/>
      <c r="V101" s="169"/>
      <c r="W101" s="169"/>
      <c r="X101" s="169"/>
      <c r="Y101" s="170"/>
      <c r="Z101" s="170"/>
      <c r="AA101" s="170"/>
      <c r="AB101" s="170"/>
      <c r="AC101" s="170"/>
      <c r="AD101" s="170"/>
      <c r="AE101" s="170"/>
      <c r="AF101" s="170"/>
      <c r="AG101" s="170"/>
      <c r="AH101" s="170"/>
      <c r="AI101" s="170"/>
      <c r="AJ101" s="170"/>
      <c r="AK101" s="170"/>
      <c r="AL101" s="170"/>
      <c r="AM101" s="170"/>
      <c r="AN101" s="170"/>
      <c r="AO101" s="170"/>
      <c r="AP101" s="170"/>
      <c r="AQ101" s="170"/>
      <c r="AR101" s="170"/>
      <c r="AS101" s="170"/>
      <c r="AT101" s="170"/>
      <c r="AU101" s="170"/>
      <c r="AV101" s="170"/>
      <c r="AW101" s="170"/>
      <c r="AX101" s="170"/>
      <c r="AY101" s="170"/>
      <c r="AZ101" s="170"/>
      <c r="BA101" s="170"/>
      <c r="BB101" s="170"/>
      <c r="BC101" s="170"/>
      <c r="BD101" s="170"/>
      <c r="BE101" s="170"/>
      <c r="BF101" s="170"/>
      <c r="BG101" s="170"/>
      <c r="BH101" s="170"/>
      <c r="BI101" s="170"/>
      <c r="BJ101" s="170"/>
      <c r="BK101" s="170"/>
      <c r="BL101" s="170"/>
      <c r="BM101" s="170"/>
      <c r="BN101" s="170"/>
      <c r="BO101" s="170"/>
      <c r="BP101" s="170"/>
      <c r="BQ101" s="170"/>
      <c r="BR101" s="170"/>
      <c r="BS101" s="170"/>
      <c r="BT101" s="170"/>
      <c r="BU101" s="170"/>
      <c r="BV101" s="170"/>
      <c r="BW101" s="170"/>
      <c r="BX101" s="170"/>
      <c r="BY101" s="170"/>
      <c r="BZ101" s="170"/>
      <c r="CA101" s="170"/>
      <c r="CB101" s="170"/>
      <c r="CC101" s="170"/>
      <c r="CD101" s="170"/>
      <c r="CE101" s="170"/>
      <c r="CF101" s="170"/>
      <c r="CG101" s="170"/>
      <c r="CH101" s="170"/>
      <c r="CI101" s="170"/>
      <c r="CJ101" s="170"/>
      <c r="CK101" s="170"/>
      <c r="CL101" s="170"/>
      <c r="CM101" s="170"/>
      <c r="CN101" s="170"/>
      <c r="CO101" s="170"/>
      <c r="CP101" s="170"/>
      <c r="CQ101" s="170"/>
      <c r="CR101" s="170"/>
      <c r="CS101" s="170"/>
      <c r="CT101" s="170"/>
      <c r="CU101" s="170"/>
      <c r="CV101" s="170"/>
      <c r="CW101" s="170"/>
      <c r="CX101" s="170"/>
      <c r="CY101" s="170"/>
      <c r="CZ101" s="170"/>
      <c r="DA101" s="170"/>
      <c r="DB101" s="170"/>
      <c r="DC101" s="170"/>
      <c r="DD101" s="170"/>
      <c r="DE101" s="170"/>
      <c r="DF101" s="170"/>
      <c r="DG101" s="170"/>
      <c r="DH101" s="170"/>
      <c r="DI101" s="170"/>
      <c r="DJ101" s="170"/>
      <c r="DK101" s="170"/>
      <c r="DL101" s="170"/>
      <c r="DM101" s="170"/>
      <c r="DN101" s="170"/>
      <c r="DO101" s="170"/>
      <c r="DP101" s="170"/>
      <c r="DQ101" s="170"/>
      <c r="DR101" s="170"/>
      <c r="DS101" s="170"/>
      <c r="DT101" s="170"/>
      <c r="DU101" s="170"/>
      <c r="DV101" s="170"/>
      <c r="DW101" s="170"/>
      <c r="DX101" s="170"/>
      <c r="DY101" s="170"/>
      <c r="DZ101" s="170"/>
      <c r="EA101" s="170"/>
      <c r="EB101" s="170"/>
      <c r="EC101" s="170"/>
      <c r="ED101" s="170"/>
      <c r="EE101" s="170"/>
      <c r="EF101" s="170"/>
      <c r="EG101" s="170"/>
      <c r="EH101" s="170"/>
      <c r="EI101" s="170"/>
      <c r="EJ101" s="170"/>
      <c r="EK101" s="170"/>
      <c r="EL101" s="170"/>
      <c r="EM101" s="170"/>
      <c r="EN101" s="170"/>
      <c r="EO101" s="170"/>
      <c r="EP101" s="170"/>
    </row>
    <row x14ac:dyDescent="0.25" r="102" customHeight="1" ht="18.75">
      <c r="A102" s="1"/>
      <c r="B102" s="1135">
        <f>+B101+1</f>
      </c>
      <c r="C102" s="1136">
        <v>1.7771064814814816</v>
      </c>
      <c r="D102" s="1137">
        <v>1.824710648148148</v>
      </c>
      <c r="E102" s="1137">
        <f>+(C102+D102)/2</f>
        <v>25569.041666666668</v>
      </c>
      <c r="F102" s="1083"/>
      <c r="G102" s="1083"/>
      <c r="H102" s="1083"/>
      <c r="I102" s="1083"/>
      <c r="J102" s="169"/>
      <c r="K102" s="169"/>
      <c r="L102" s="169"/>
      <c r="M102" s="169"/>
      <c r="N102" s="169"/>
      <c r="O102" s="169"/>
      <c r="P102" s="169"/>
      <c r="Q102" s="169"/>
      <c r="R102" s="169"/>
      <c r="S102" s="169"/>
      <c r="T102" s="169"/>
      <c r="U102" s="169"/>
      <c r="V102" s="169"/>
      <c r="W102" s="169"/>
      <c r="X102" s="169"/>
      <c r="Y102" s="170"/>
      <c r="Z102" s="170"/>
      <c r="AA102" s="170"/>
      <c r="AB102" s="170"/>
      <c r="AC102" s="170"/>
      <c r="AD102" s="170"/>
      <c r="AE102" s="170"/>
      <c r="AF102" s="170"/>
      <c r="AG102" s="170"/>
      <c r="AH102" s="170"/>
      <c r="AI102" s="170"/>
      <c r="AJ102" s="170"/>
      <c r="AK102" s="170"/>
      <c r="AL102" s="170"/>
      <c r="AM102" s="170"/>
      <c r="AN102" s="170"/>
      <c r="AO102" s="170"/>
      <c r="AP102" s="170"/>
      <c r="AQ102" s="170"/>
      <c r="AR102" s="170"/>
      <c r="AS102" s="170"/>
      <c r="AT102" s="170"/>
      <c r="AU102" s="170"/>
      <c r="AV102" s="170"/>
      <c r="AW102" s="170"/>
      <c r="AX102" s="170"/>
      <c r="AY102" s="170"/>
      <c r="AZ102" s="170"/>
      <c r="BA102" s="170"/>
      <c r="BB102" s="170"/>
      <c r="BC102" s="170"/>
      <c r="BD102" s="170"/>
      <c r="BE102" s="170"/>
      <c r="BF102" s="170"/>
      <c r="BG102" s="170"/>
      <c r="BH102" s="170"/>
      <c r="BI102" s="170"/>
      <c r="BJ102" s="170"/>
      <c r="BK102" s="170"/>
      <c r="BL102" s="170"/>
      <c r="BM102" s="170"/>
      <c r="BN102" s="170"/>
      <c r="BO102" s="170"/>
      <c r="BP102" s="170"/>
      <c r="BQ102" s="170"/>
      <c r="BR102" s="170"/>
      <c r="BS102" s="170"/>
      <c r="BT102" s="170"/>
      <c r="BU102" s="170"/>
      <c r="BV102" s="170"/>
      <c r="BW102" s="170"/>
      <c r="BX102" s="170"/>
      <c r="BY102" s="170"/>
      <c r="BZ102" s="170"/>
      <c r="CA102" s="170"/>
      <c r="CB102" s="170"/>
      <c r="CC102" s="170"/>
      <c r="CD102" s="170"/>
      <c r="CE102" s="170"/>
      <c r="CF102" s="170"/>
      <c r="CG102" s="170"/>
      <c r="CH102" s="170"/>
      <c r="CI102" s="170"/>
      <c r="CJ102" s="170"/>
      <c r="CK102" s="170"/>
      <c r="CL102" s="170"/>
      <c r="CM102" s="170"/>
      <c r="CN102" s="170"/>
      <c r="CO102" s="170"/>
      <c r="CP102" s="170"/>
      <c r="CQ102" s="170"/>
      <c r="CR102" s="170"/>
      <c r="CS102" s="170"/>
      <c r="CT102" s="170"/>
      <c r="CU102" s="170"/>
      <c r="CV102" s="170"/>
      <c r="CW102" s="170"/>
      <c r="CX102" s="170"/>
      <c r="CY102" s="170"/>
      <c r="CZ102" s="170"/>
      <c r="DA102" s="170"/>
      <c r="DB102" s="170"/>
      <c r="DC102" s="170"/>
      <c r="DD102" s="170"/>
      <c r="DE102" s="170"/>
      <c r="DF102" s="170"/>
      <c r="DG102" s="170"/>
      <c r="DH102" s="170"/>
      <c r="DI102" s="170"/>
      <c r="DJ102" s="170"/>
      <c r="DK102" s="170"/>
      <c r="DL102" s="170"/>
      <c r="DM102" s="170"/>
      <c r="DN102" s="170"/>
      <c r="DO102" s="170"/>
      <c r="DP102" s="170"/>
      <c r="DQ102" s="170"/>
      <c r="DR102" s="170"/>
      <c r="DS102" s="170"/>
      <c r="DT102" s="170"/>
      <c r="DU102" s="170"/>
      <c r="DV102" s="170"/>
      <c r="DW102" s="170"/>
      <c r="DX102" s="170"/>
      <c r="DY102" s="170"/>
      <c r="DZ102" s="170"/>
      <c r="EA102" s="170"/>
      <c r="EB102" s="170"/>
      <c r="EC102" s="170"/>
      <c r="ED102" s="170"/>
      <c r="EE102" s="170"/>
      <c r="EF102" s="170"/>
      <c r="EG102" s="170"/>
      <c r="EH102" s="170"/>
      <c r="EI102" s="170"/>
      <c r="EJ102" s="170"/>
      <c r="EK102" s="170"/>
      <c r="EL102" s="170"/>
      <c r="EM102" s="170"/>
      <c r="EN102" s="170"/>
      <c r="EO102" s="170"/>
      <c r="EP102" s="170"/>
    </row>
    <row x14ac:dyDescent="0.25" r="103" customHeight="1" ht="18.75">
      <c r="A103" s="1"/>
      <c r="B103" s="1135">
        <f>+B102+1</f>
      </c>
      <c r="C103" s="1136">
        <v>1.7771064814814816</v>
      </c>
      <c r="D103" s="1137">
        <v>1.824710648148148</v>
      </c>
      <c r="E103" s="1137">
        <f>+(C103+D103)/2</f>
        <v>25569.041666666668</v>
      </c>
      <c r="F103" s="1083"/>
      <c r="G103" s="1083"/>
      <c r="H103" s="1083"/>
      <c r="I103" s="1083"/>
      <c r="J103" s="169"/>
      <c r="K103" s="169"/>
      <c r="L103" s="169"/>
      <c r="M103" s="169"/>
      <c r="N103" s="169"/>
      <c r="O103" s="169"/>
      <c r="P103" s="169"/>
      <c r="Q103" s="169"/>
      <c r="R103" s="169"/>
      <c r="S103" s="169"/>
      <c r="T103" s="169"/>
      <c r="U103" s="169"/>
      <c r="V103" s="169"/>
      <c r="W103" s="169"/>
      <c r="X103" s="169"/>
      <c r="Y103" s="170"/>
      <c r="Z103" s="170"/>
      <c r="AA103" s="170"/>
      <c r="AB103" s="170"/>
      <c r="AC103" s="170"/>
      <c r="AD103" s="170"/>
      <c r="AE103" s="170"/>
      <c r="AF103" s="170"/>
      <c r="AG103" s="170"/>
      <c r="AH103" s="170"/>
      <c r="AI103" s="170"/>
      <c r="AJ103" s="170"/>
      <c r="AK103" s="170"/>
      <c r="AL103" s="170"/>
      <c r="AM103" s="170"/>
      <c r="AN103" s="170"/>
      <c r="AO103" s="170"/>
      <c r="AP103" s="170"/>
      <c r="AQ103" s="170"/>
      <c r="AR103" s="170"/>
      <c r="AS103" s="170"/>
      <c r="AT103" s="170"/>
      <c r="AU103" s="170"/>
      <c r="AV103" s="170"/>
      <c r="AW103" s="170"/>
      <c r="AX103" s="170"/>
      <c r="AY103" s="170"/>
      <c r="AZ103" s="170"/>
      <c r="BA103" s="170"/>
      <c r="BB103" s="170"/>
      <c r="BC103" s="170"/>
      <c r="BD103" s="170"/>
      <c r="BE103" s="170"/>
      <c r="BF103" s="170"/>
      <c r="BG103" s="170"/>
      <c r="BH103" s="170"/>
      <c r="BI103" s="170"/>
      <c r="BJ103" s="170"/>
      <c r="BK103" s="170"/>
      <c r="BL103" s="170"/>
      <c r="BM103" s="170"/>
      <c r="BN103" s="170"/>
      <c r="BO103" s="170"/>
      <c r="BP103" s="170"/>
      <c r="BQ103" s="170"/>
      <c r="BR103" s="170"/>
      <c r="BS103" s="170"/>
      <c r="BT103" s="170"/>
      <c r="BU103" s="170"/>
      <c r="BV103" s="170"/>
      <c r="BW103" s="170"/>
      <c r="BX103" s="170"/>
      <c r="BY103" s="170"/>
      <c r="BZ103" s="170"/>
      <c r="CA103" s="170"/>
      <c r="CB103" s="170"/>
      <c r="CC103" s="170"/>
      <c r="CD103" s="170"/>
      <c r="CE103" s="170"/>
      <c r="CF103" s="170"/>
      <c r="CG103" s="170"/>
      <c r="CH103" s="170"/>
      <c r="CI103" s="170"/>
      <c r="CJ103" s="170"/>
      <c r="CK103" s="170"/>
      <c r="CL103" s="170"/>
      <c r="CM103" s="170"/>
      <c r="CN103" s="170"/>
      <c r="CO103" s="170"/>
      <c r="CP103" s="170"/>
      <c r="CQ103" s="170"/>
      <c r="CR103" s="170"/>
      <c r="CS103" s="170"/>
      <c r="CT103" s="170"/>
      <c r="CU103" s="170"/>
      <c r="CV103" s="170"/>
      <c r="CW103" s="170"/>
      <c r="CX103" s="170"/>
      <c r="CY103" s="170"/>
      <c r="CZ103" s="170"/>
      <c r="DA103" s="170"/>
      <c r="DB103" s="170"/>
      <c r="DC103" s="170"/>
      <c r="DD103" s="170"/>
      <c r="DE103" s="170"/>
      <c r="DF103" s="170"/>
      <c r="DG103" s="170"/>
      <c r="DH103" s="170"/>
      <c r="DI103" s="170"/>
      <c r="DJ103" s="170"/>
      <c r="DK103" s="170"/>
      <c r="DL103" s="170"/>
      <c r="DM103" s="170"/>
      <c r="DN103" s="170"/>
      <c r="DO103" s="170"/>
      <c r="DP103" s="170"/>
      <c r="DQ103" s="170"/>
      <c r="DR103" s="170"/>
      <c r="DS103" s="170"/>
      <c r="DT103" s="170"/>
      <c r="DU103" s="170"/>
      <c r="DV103" s="170"/>
      <c r="DW103" s="170"/>
      <c r="DX103" s="170"/>
      <c r="DY103" s="170"/>
      <c r="DZ103" s="170"/>
      <c r="EA103" s="170"/>
      <c r="EB103" s="170"/>
      <c r="EC103" s="170"/>
      <c r="ED103" s="170"/>
      <c r="EE103" s="170"/>
      <c r="EF103" s="170"/>
      <c r="EG103" s="170"/>
      <c r="EH103" s="170"/>
      <c r="EI103" s="170"/>
      <c r="EJ103" s="170"/>
      <c r="EK103" s="170"/>
      <c r="EL103" s="170"/>
      <c r="EM103" s="170"/>
      <c r="EN103" s="170"/>
      <c r="EO103" s="170"/>
      <c r="EP103" s="170"/>
    </row>
    <row x14ac:dyDescent="0.25" r="104" customHeight="1" ht="18.75">
      <c r="A104" s="1"/>
      <c r="B104" s="1135">
        <f>+B103+1</f>
      </c>
      <c r="C104" s="1136">
        <v>1.7771064814814816</v>
      </c>
      <c r="D104" s="1137">
        <v>1.824710648148148</v>
      </c>
      <c r="E104" s="1137">
        <f>+(C104+D104)/2</f>
        <v>25569.041666666668</v>
      </c>
      <c r="F104" s="1083"/>
      <c r="G104" s="1083"/>
      <c r="H104" s="1083"/>
      <c r="I104" s="1083"/>
      <c r="J104" s="169"/>
      <c r="K104" s="169"/>
      <c r="L104" s="169"/>
      <c r="M104" s="169"/>
      <c r="N104" s="169"/>
      <c r="O104" s="169"/>
      <c r="P104" s="169"/>
      <c r="Q104" s="169"/>
      <c r="R104" s="169"/>
      <c r="S104" s="169"/>
      <c r="T104" s="169"/>
      <c r="U104" s="169"/>
      <c r="V104" s="169"/>
      <c r="W104" s="169"/>
      <c r="X104" s="169"/>
      <c r="Y104" s="170"/>
      <c r="Z104" s="170"/>
      <c r="AA104" s="170"/>
      <c r="AB104" s="170"/>
      <c r="AC104" s="170"/>
      <c r="AD104" s="170"/>
      <c r="AE104" s="170"/>
      <c r="AF104" s="170"/>
      <c r="AG104" s="170"/>
      <c r="AH104" s="170"/>
      <c r="AI104" s="170"/>
      <c r="AJ104" s="170"/>
      <c r="AK104" s="170"/>
      <c r="AL104" s="170"/>
      <c r="AM104" s="170"/>
      <c r="AN104" s="170"/>
      <c r="AO104" s="170"/>
      <c r="AP104" s="170"/>
      <c r="AQ104" s="170"/>
      <c r="AR104" s="170"/>
      <c r="AS104" s="170"/>
      <c r="AT104" s="170"/>
      <c r="AU104" s="170"/>
      <c r="AV104" s="170"/>
      <c r="AW104" s="170"/>
      <c r="AX104" s="170"/>
      <c r="AY104" s="170"/>
      <c r="AZ104" s="170"/>
      <c r="BA104" s="170"/>
      <c r="BB104" s="170"/>
      <c r="BC104" s="170"/>
      <c r="BD104" s="170"/>
      <c r="BE104" s="170"/>
      <c r="BF104" s="170"/>
      <c r="BG104" s="170"/>
      <c r="BH104" s="170"/>
      <c r="BI104" s="170"/>
      <c r="BJ104" s="170"/>
      <c r="BK104" s="170"/>
      <c r="BL104" s="170"/>
      <c r="BM104" s="170"/>
      <c r="BN104" s="170"/>
      <c r="BO104" s="170"/>
      <c r="BP104" s="170"/>
      <c r="BQ104" s="170"/>
      <c r="BR104" s="170"/>
      <c r="BS104" s="170"/>
      <c r="BT104" s="170"/>
      <c r="BU104" s="170"/>
      <c r="BV104" s="170"/>
      <c r="BW104" s="170"/>
      <c r="BX104" s="170"/>
      <c r="BY104" s="170"/>
      <c r="BZ104" s="170"/>
      <c r="CA104" s="170"/>
      <c r="CB104" s="170"/>
      <c r="CC104" s="170"/>
      <c r="CD104" s="170"/>
      <c r="CE104" s="170"/>
      <c r="CF104" s="170"/>
      <c r="CG104" s="170"/>
      <c r="CH104" s="170"/>
      <c r="CI104" s="170"/>
      <c r="CJ104" s="170"/>
      <c r="CK104" s="170"/>
      <c r="CL104" s="170"/>
      <c r="CM104" s="170"/>
      <c r="CN104" s="170"/>
      <c r="CO104" s="170"/>
      <c r="CP104" s="170"/>
      <c r="CQ104" s="170"/>
      <c r="CR104" s="170"/>
      <c r="CS104" s="170"/>
      <c r="CT104" s="170"/>
      <c r="CU104" s="170"/>
      <c r="CV104" s="170"/>
      <c r="CW104" s="170"/>
      <c r="CX104" s="170"/>
      <c r="CY104" s="170"/>
      <c r="CZ104" s="170"/>
      <c r="DA104" s="170"/>
      <c r="DB104" s="170"/>
      <c r="DC104" s="170"/>
      <c r="DD104" s="170"/>
      <c r="DE104" s="170"/>
      <c r="DF104" s="170"/>
      <c r="DG104" s="170"/>
      <c r="DH104" s="170"/>
      <c r="DI104" s="170"/>
      <c r="DJ104" s="170"/>
      <c r="DK104" s="170"/>
      <c r="DL104" s="170"/>
      <c r="DM104" s="170"/>
      <c r="DN104" s="170"/>
      <c r="DO104" s="170"/>
      <c r="DP104" s="170"/>
      <c r="DQ104" s="170"/>
      <c r="DR104" s="170"/>
      <c r="DS104" s="170"/>
      <c r="DT104" s="170"/>
      <c r="DU104" s="170"/>
      <c r="DV104" s="170"/>
      <c r="DW104" s="170"/>
      <c r="DX104" s="170"/>
      <c r="DY104" s="170"/>
      <c r="DZ104" s="170"/>
      <c r="EA104" s="170"/>
      <c r="EB104" s="170"/>
      <c r="EC104" s="170"/>
      <c r="ED104" s="170"/>
      <c r="EE104" s="170"/>
      <c r="EF104" s="170"/>
      <c r="EG104" s="170"/>
      <c r="EH104" s="170"/>
      <c r="EI104" s="170"/>
      <c r="EJ104" s="170"/>
      <c r="EK104" s="170"/>
      <c r="EL104" s="170"/>
      <c r="EM104" s="170"/>
      <c r="EN104" s="170"/>
      <c r="EO104" s="170"/>
      <c r="EP104" s="170"/>
    </row>
    <row x14ac:dyDescent="0.25" r="105" customHeight="1" ht="18.75">
      <c r="A105" s="1"/>
      <c r="B105" s="1135">
        <f>+B104+1</f>
      </c>
      <c r="C105" s="1136">
        <v>1.7771064814814816</v>
      </c>
      <c r="D105" s="1137">
        <v>1.824710648148148</v>
      </c>
      <c r="E105" s="1137">
        <f>+(C105+D105)/2</f>
        <v>25569.041666666668</v>
      </c>
      <c r="F105" s="1083"/>
      <c r="G105" s="1083"/>
      <c r="H105" s="1083"/>
      <c r="I105" s="1083"/>
      <c r="J105" s="169"/>
      <c r="K105" s="169"/>
      <c r="L105" s="169"/>
      <c r="M105" s="169"/>
      <c r="N105" s="169"/>
      <c r="O105" s="169"/>
      <c r="P105" s="169"/>
      <c r="Q105" s="169"/>
      <c r="R105" s="169"/>
      <c r="S105" s="169"/>
      <c r="T105" s="169"/>
      <c r="U105" s="169"/>
      <c r="V105" s="169"/>
      <c r="W105" s="169"/>
      <c r="X105" s="169"/>
      <c r="Y105" s="170"/>
      <c r="Z105" s="170"/>
      <c r="AA105" s="170"/>
      <c r="AB105" s="170"/>
      <c r="AC105" s="170"/>
      <c r="AD105" s="170"/>
      <c r="AE105" s="170"/>
      <c r="AF105" s="170"/>
      <c r="AG105" s="170"/>
      <c r="AH105" s="170"/>
      <c r="AI105" s="170"/>
      <c r="AJ105" s="170"/>
      <c r="AK105" s="170"/>
      <c r="AL105" s="170"/>
      <c r="AM105" s="170"/>
      <c r="AN105" s="170"/>
      <c r="AO105" s="170"/>
      <c r="AP105" s="170"/>
      <c r="AQ105" s="170"/>
      <c r="AR105" s="170"/>
      <c r="AS105" s="170"/>
      <c r="AT105" s="170"/>
      <c r="AU105" s="170"/>
      <c r="AV105" s="170"/>
      <c r="AW105" s="170"/>
      <c r="AX105" s="170"/>
      <c r="AY105" s="170"/>
      <c r="AZ105" s="170"/>
      <c r="BA105" s="170"/>
      <c r="BB105" s="170"/>
      <c r="BC105" s="170"/>
      <c r="BD105" s="170"/>
      <c r="BE105" s="170"/>
      <c r="BF105" s="170"/>
      <c r="BG105" s="170"/>
      <c r="BH105" s="170"/>
      <c r="BI105" s="170"/>
      <c r="BJ105" s="170"/>
      <c r="BK105" s="170"/>
      <c r="BL105" s="170"/>
      <c r="BM105" s="170"/>
      <c r="BN105" s="170"/>
      <c r="BO105" s="170"/>
      <c r="BP105" s="170"/>
      <c r="BQ105" s="170"/>
      <c r="BR105" s="170"/>
      <c r="BS105" s="170"/>
      <c r="BT105" s="170"/>
      <c r="BU105" s="170"/>
      <c r="BV105" s="170"/>
      <c r="BW105" s="170"/>
      <c r="BX105" s="170"/>
      <c r="BY105" s="170"/>
      <c r="BZ105" s="170"/>
      <c r="CA105" s="170"/>
      <c r="CB105" s="170"/>
      <c r="CC105" s="170"/>
      <c r="CD105" s="170"/>
      <c r="CE105" s="170"/>
      <c r="CF105" s="170"/>
      <c r="CG105" s="170"/>
      <c r="CH105" s="170"/>
      <c r="CI105" s="170"/>
      <c r="CJ105" s="170"/>
      <c r="CK105" s="170"/>
      <c r="CL105" s="170"/>
      <c r="CM105" s="170"/>
      <c r="CN105" s="170"/>
      <c r="CO105" s="170"/>
      <c r="CP105" s="170"/>
      <c r="CQ105" s="170"/>
      <c r="CR105" s="170"/>
      <c r="CS105" s="170"/>
      <c r="CT105" s="170"/>
      <c r="CU105" s="170"/>
      <c r="CV105" s="170"/>
      <c r="CW105" s="170"/>
      <c r="CX105" s="170"/>
      <c r="CY105" s="170"/>
      <c r="CZ105" s="170"/>
      <c r="DA105" s="170"/>
      <c r="DB105" s="170"/>
      <c r="DC105" s="170"/>
      <c r="DD105" s="170"/>
      <c r="DE105" s="170"/>
      <c r="DF105" s="170"/>
      <c r="DG105" s="170"/>
      <c r="DH105" s="170"/>
      <c r="DI105" s="170"/>
      <c r="DJ105" s="170"/>
      <c r="DK105" s="170"/>
      <c r="DL105" s="170"/>
      <c r="DM105" s="170"/>
      <c r="DN105" s="170"/>
      <c r="DO105" s="170"/>
      <c r="DP105" s="170"/>
      <c r="DQ105" s="170"/>
      <c r="DR105" s="170"/>
      <c r="DS105" s="170"/>
      <c r="DT105" s="170"/>
      <c r="DU105" s="170"/>
      <c r="DV105" s="170"/>
      <c r="DW105" s="170"/>
      <c r="DX105" s="170"/>
      <c r="DY105" s="170"/>
      <c r="DZ105" s="170"/>
      <c r="EA105" s="170"/>
      <c r="EB105" s="170"/>
      <c r="EC105" s="170"/>
      <c r="ED105" s="170"/>
      <c r="EE105" s="170"/>
      <c r="EF105" s="170"/>
      <c r="EG105" s="170"/>
      <c r="EH105" s="170"/>
      <c r="EI105" s="170"/>
      <c r="EJ105" s="170"/>
      <c r="EK105" s="170"/>
      <c r="EL105" s="170"/>
      <c r="EM105" s="170"/>
      <c r="EN105" s="170"/>
      <c r="EO105" s="170"/>
      <c r="EP105" s="170"/>
    </row>
    <row x14ac:dyDescent="0.25" r="106" customHeight="1" ht="18.75">
      <c r="A106" s="1"/>
      <c r="B106" s="1135">
        <f>+B105+1</f>
      </c>
      <c r="C106" s="1136">
        <v>1.7771064814814816</v>
      </c>
      <c r="D106" s="1137">
        <v>1.824710648148148</v>
      </c>
      <c r="E106" s="1137">
        <f>+(C106+D106)/2</f>
        <v>25569.041666666668</v>
      </c>
      <c r="F106" s="1083"/>
      <c r="G106" s="1083"/>
      <c r="H106" s="1083"/>
      <c r="I106" s="1083"/>
      <c r="J106" s="169"/>
      <c r="K106" s="169"/>
      <c r="L106" s="169"/>
      <c r="M106" s="169"/>
      <c r="N106" s="169"/>
      <c r="O106" s="169"/>
      <c r="P106" s="169"/>
      <c r="Q106" s="169"/>
      <c r="R106" s="169"/>
      <c r="S106" s="169"/>
      <c r="T106" s="169"/>
      <c r="U106" s="169"/>
      <c r="V106" s="169"/>
      <c r="W106" s="169"/>
      <c r="X106" s="169"/>
      <c r="Y106" s="170"/>
      <c r="Z106" s="170"/>
      <c r="AA106" s="170"/>
      <c r="AB106" s="170"/>
      <c r="AC106" s="170"/>
      <c r="AD106" s="170"/>
      <c r="AE106" s="170"/>
      <c r="AF106" s="170"/>
      <c r="AG106" s="170"/>
      <c r="AH106" s="170"/>
      <c r="AI106" s="170"/>
      <c r="AJ106" s="170"/>
      <c r="AK106" s="170"/>
      <c r="AL106" s="170"/>
      <c r="AM106" s="170"/>
      <c r="AN106" s="170"/>
      <c r="AO106" s="170"/>
      <c r="AP106" s="170"/>
      <c r="AQ106" s="170"/>
      <c r="AR106" s="170"/>
      <c r="AS106" s="170"/>
      <c r="AT106" s="170"/>
      <c r="AU106" s="170"/>
      <c r="AV106" s="170"/>
      <c r="AW106" s="170"/>
      <c r="AX106" s="170"/>
      <c r="AY106" s="170"/>
      <c r="AZ106" s="170"/>
      <c r="BA106" s="170"/>
      <c r="BB106" s="170"/>
      <c r="BC106" s="170"/>
      <c r="BD106" s="170"/>
      <c r="BE106" s="170"/>
      <c r="BF106" s="170"/>
      <c r="BG106" s="170"/>
      <c r="BH106" s="170"/>
      <c r="BI106" s="170"/>
      <c r="BJ106" s="170"/>
      <c r="BK106" s="170"/>
      <c r="BL106" s="170"/>
      <c r="BM106" s="170"/>
      <c r="BN106" s="170"/>
      <c r="BO106" s="170"/>
      <c r="BP106" s="170"/>
      <c r="BQ106" s="170"/>
      <c r="BR106" s="170"/>
      <c r="BS106" s="170"/>
      <c r="BT106" s="170"/>
      <c r="BU106" s="170"/>
      <c r="BV106" s="170"/>
      <c r="BW106" s="170"/>
      <c r="BX106" s="170"/>
      <c r="BY106" s="170"/>
      <c r="BZ106" s="170"/>
      <c r="CA106" s="170"/>
      <c r="CB106" s="170"/>
      <c r="CC106" s="170"/>
      <c r="CD106" s="170"/>
      <c r="CE106" s="170"/>
      <c r="CF106" s="170"/>
      <c r="CG106" s="170"/>
      <c r="CH106" s="170"/>
      <c r="CI106" s="170"/>
      <c r="CJ106" s="170"/>
      <c r="CK106" s="170"/>
      <c r="CL106" s="170"/>
      <c r="CM106" s="170"/>
      <c r="CN106" s="170"/>
      <c r="CO106" s="170"/>
      <c r="CP106" s="170"/>
      <c r="CQ106" s="170"/>
      <c r="CR106" s="170"/>
      <c r="CS106" s="170"/>
      <c r="CT106" s="170"/>
      <c r="CU106" s="170"/>
      <c r="CV106" s="170"/>
      <c r="CW106" s="170"/>
      <c r="CX106" s="170"/>
      <c r="CY106" s="170"/>
      <c r="CZ106" s="170"/>
      <c r="DA106" s="170"/>
      <c r="DB106" s="170"/>
      <c r="DC106" s="170"/>
      <c r="DD106" s="170"/>
      <c r="DE106" s="170"/>
      <c r="DF106" s="170"/>
      <c r="DG106" s="170"/>
      <c r="DH106" s="170"/>
      <c r="DI106" s="170"/>
      <c r="DJ106" s="170"/>
      <c r="DK106" s="170"/>
      <c r="DL106" s="170"/>
      <c r="DM106" s="170"/>
      <c r="DN106" s="170"/>
      <c r="DO106" s="170"/>
      <c r="DP106" s="170"/>
      <c r="DQ106" s="170"/>
      <c r="DR106" s="170"/>
      <c r="DS106" s="170"/>
      <c r="DT106" s="170"/>
      <c r="DU106" s="170"/>
      <c r="DV106" s="170"/>
      <c r="DW106" s="170"/>
      <c r="DX106" s="170"/>
      <c r="DY106" s="170"/>
      <c r="DZ106" s="170"/>
      <c r="EA106" s="170"/>
      <c r="EB106" s="170"/>
      <c r="EC106" s="170"/>
      <c r="ED106" s="170"/>
      <c r="EE106" s="170"/>
      <c r="EF106" s="170"/>
      <c r="EG106" s="170"/>
      <c r="EH106" s="170"/>
      <c r="EI106" s="170"/>
      <c r="EJ106" s="170"/>
      <c r="EK106" s="170"/>
      <c r="EL106" s="170"/>
      <c r="EM106" s="170"/>
      <c r="EN106" s="170"/>
      <c r="EO106" s="170"/>
      <c r="EP106" s="170"/>
    </row>
    <row x14ac:dyDescent="0.25" r="107" customHeight="1" ht="18.75">
      <c r="A107" s="1"/>
      <c r="B107" s="1135">
        <f>+B106+1</f>
      </c>
      <c r="C107" s="1136">
        <v>1.7771064814814816</v>
      </c>
      <c r="D107" s="1137">
        <v>1.824710648148148</v>
      </c>
      <c r="E107" s="1137">
        <f>+(C107+D107)/2</f>
        <v>25569.041666666668</v>
      </c>
      <c r="F107" s="1083"/>
      <c r="G107" s="1083"/>
      <c r="H107" s="1083"/>
      <c r="I107" s="1083"/>
      <c r="J107" s="169"/>
      <c r="K107" s="169"/>
      <c r="L107" s="169"/>
      <c r="M107" s="169"/>
      <c r="N107" s="169"/>
      <c r="O107" s="169"/>
      <c r="P107" s="169"/>
      <c r="Q107" s="169"/>
      <c r="R107" s="169"/>
      <c r="S107" s="169"/>
      <c r="T107" s="169"/>
      <c r="U107" s="169"/>
      <c r="V107" s="169"/>
      <c r="W107" s="169"/>
      <c r="X107" s="169"/>
      <c r="Y107" s="170"/>
      <c r="Z107" s="170"/>
      <c r="AA107" s="170"/>
      <c r="AB107" s="170"/>
      <c r="AC107" s="170"/>
      <c r="AD107" s="170"/>
      <c r="AE107" s="170"/>
      <c r="AF107" s="170"/>
      <c r="AG107" s="170"/>
      <c r="AH107" s="170"/>
      <c r="AI107" s="170"/>
      <c r="AJ107" s="170"/>
      <c r="AK107" s="170"/>
      <c r="AL107" s="170"/>
      <c r="AM107" s="170"/>
      <c r="AN107" s="170"/>
      <c r="AO107" s="170"/>
      <c r="AP107" s="170"/>
      <c r="AQ107" s="170"/>
      <c r="AR107" s="170"/>
      <c r="AS107" s="170"/>
      <c r="AT107" s="170"/>
      <c r="AU107" s="170"/>
      <c r="AV107" s="170"/>
      <c r="AW107" s="170"/>
      <c r="AX107" s="170"/>
      <c r="AY107" s="170"/>
      <c r="AZ107" s="170"/>
      <c r="BA107" s="170"/>
      <c r="BB107" s="170"/>
      <c r="BC107" s="170"/>
      <c r="BD107" s="170"/>
      <c r="BE107" s="170"/>
      <c r="BF107" s="170"/>
      <c r="BG107" s="170"/>
      <c r="BH107" s="170"/>
      <c r="BI107" s="170"/>
      <c r="BJ107" s="170"/>
      <c r="BK107" s="170"/>
      <c r="BL107" s="170"/>
      <c r="BM107" s="170"/>
      <c r="BN107" s="170"/>
      <c r="BO107" s="170"/>
      <c r="BP107" s="170"/>
      <c r="BQ107" s="170"/>
      <c r="BR107" s="170"/>
      <c r="BS107" s="170"/>
      <c r="BT107" s="170"/>
      <c r="BU107" s="170"/>
      <c r="BV107" s="170"/>
      <c r="BW107" s="170"/>
      <c r="BX107" s="170"/>
      <c r="BY107" s="170"/>
      <c r="BZ107" s="170"/>
      <c r="CA107" s="170"/>
      <c r="CB107" s="170"/>
      <c r="CC107" s="170"/>
      <c r="CD107" s="170"/>
      <c r="CE107" s="170"/>
      <c r="CF107" s="170"/>
      <c r="CG107" s="170"/>
      <c r="CH107" s="170"/>
      <c r="CI107" s="170"/>
      <c r="CJ107" s="170"/>
      <c r="CK107" s="170"/>
      <c r="CL107" s="170"/>
      <c r="CM107" s="170"/>
      <c r="CN107" s="170"/>
      <c r="CO107" s="170"/>
      <c r="CP107" s="170"/>
      <c r="CQ107" s="170"/>
      <c r="CR107" s="170"/>
      <c r="CS107" s="170"/>
      <c r="CT107" s="170"/>
      <c r="CU107" s="170"/>
      <c r="CV107" s="170"/>
      <c r="CW107" s="170"/>
      <c r="CX107" s="170"/>
      <c r="CY107" s="170"/>
      <c r="CZ107" s="170"/>
      <c r="DA107" s="170"/>
      <c r="DB107" s="170"/>
      <c r="DC107" s="170"/>
      <c r="DD107" s="170"/>
      <c r="DE107" s="170"/>
      <c r="DF107" s="170"/>
      <c r="DG107" s="170"/>
      <c r="DH107" s="170"/>
      <c r="DI107" s="170"/>
      <c r="DJ107" s="170"/>
      <c r="DK107" s="170"/>
      <c r="DL107" s="170"/>
      <c r="DM107" s="170"/>
      <c r="DN107" s="170"/>
      <c r="DO107" s="170"/>
      <c r="DP107" s="170"/>
      <c r="DQ107" s="170"/>
      <c r="DR107" s="170"/>
      <c r="DS107" s="170"/>
      <c r="DT107" s="170"/>
      <c r="DU107" s="170"/>
      <c r="DV107" s="170"/>
      <c r="DW107" s="170"/>
      <c r="DX107" s="170"/>
      <c r="DY107" s="170"/>
      <c r="DZ107" s="170"/>
      <c r="EA107" s="170"/>
      <c r="EB107" s="170"/>
      <c r="EC107" s="170"/>
      <c r="ED107" s="170"/>
      <c r="EE107" s="170"/>
      <c r="EF107" s="170"/>
      <c r="EG107" s="170"/>
      <c r="EH107" s="170"/>
      <c r="EI107" s="170"/>
      <c r="EJ107" s="170"/>
      <c r="EK107" s="170"/>
      <c r="EL107" s="170"/>
      <c r="EM107" s="170"/>
      <c r="EN107" s="170"/>
      <c r="EO107" s="170"/>
      <c r="EP107" s="170"/>
    </row>
    <row x14ac:dyDescent="0.25" r="108" customHeight="1" ht="18.75">
      <c r="A108" s="1"/>
      <c r="B108" s="1135">
        <f>+B107+1</f>
      </c>
      <c r="C108" s="1136">
        <v>1.7771064814814816</v>
      </c>
      <c r="D108" s="1137">
        <v>1.824710648148148</v>
      </c>
      <c r="E108" s="1137">
        <f>+(C108+D108)/2</f>
        <v>25569.041666666668</v>
      </c>
      <c r="F108" s="1083"/>
      <c r="G108" s="1083"/>
      <c r="H108" s="1083"/>
      <c r="I108" s="1083"/>
      <c r="J108" s="169"/>
      <c r="K108" s="169"/>
      <c r="L108" s="169"/>
      <c r="M108" s="169"/>
      <c r="N108" s="169"/>
      <c r="O108" s="169"/>
      <c r="P108" s="169"/>
      <c r="Q108" s="169"/>
      <c r="R108" s="169"/>
      <c r="S108" s="169"/>
      <c r="T108" s="169"/>
      <c r="U108" s="169"/>
      <c r="V108" s="169"/>
      <c r="W108" s="169"/>
      <c r="X108" s="169"/>
      <c r="Y108" s="170"/>
      <c r="Z108" s="170"/>
      <c r="AA108" s="170"/>
      <c r="AB108" s="170"/>
      <c r="AC108" s="170"/>
      <c r="AD108" s="170"/>
      <c r="AE108" s="170"/>
      <c r="AF108" s="170"/>
      <c r="AG108" s="170"/>
      <c r="AH108" s="170"/>
      <c r="AI108" s="170"/>
      <c r="AJ108" s="170"/>
      <c r="AK108" s="170"/>
      <c r="AL108" s="170"/>
      <c r="AM108" s="170"/>
      <c r="AN108" s="170"/>
      <c r="AO108" s="170"/>
      <c r="AP108" s="170"/>
      <c r="AQ108" s="170"/>
      <c r="AR108" s="170"/>
      <c r="AS108" s="170"/>
      <c r="AT108" s="170"/>
      <c r="AU108" s="170"/>
      <c r="AV108" s="170"/>
      <c r="AW108" s="170"/>
      <c r="AX108" s="170"/>
      <c r="AY108" s="170"/>
      <c r="AZ108" s="170"/>
      <c r="BA108" s="170"/>
      <c r="BB108" s="170"/>
      <c r="BC108" s="170"/>
      <c r="BD108" s="170"/>
      <c r="BE108" s="170"/>
      <c r="BF108" s="170"/>
      <c r="BG108" s="170"/>
      <c r="BH108" s="170"/>
      <c r="BI108" s="170"/>
      <c r="BJ108" s="170"/>
      <c r="BK108" s="170"/>
      <c r="BL108" s="170"/>
      <c r="BM108" s="170"/>
      <c r="BN108" s="170"/>
      <c r="BO108" s="170"/>
      <c r="BP108" s="170"/>
      <c r="BQ108" s="170"/>
      <c r="BR108" s="170"/>
      <c r="BS108" s="170"/>
      <c r="BT108" s="170"/>
      <c r="BU108" s="170"/>
      <c r="BV108" s="170"/>
      <c r="BW108" s="170"/>
      <c r="BX108" s="170"/>
      <c r="BY108" s="170"/>
      <c r="BZ108" s="170"/>
      <c r="CA108" s="170"/>
      <c r="CB108" s="170"/>
      <c r="CC108" s="170"/>
      <c r="CD108" s="170"/>
      <c r="CE108" s="170"/>
      <c r="CF108" s="170"/>
      <c r="CG108" s="170"/>
      <c r="CH108" s="170"/>
      <c r="CI108" s="170"/>
      <c r="CJ108" s="170"/>
      <c r="CK108" s="170"/>
      <c r="CL108" s="170"/>
      <c r="CM108" s="170"/>
      <c r="CN108" s="170"/>
      <c r="CO108" s="170"/>
      <c r="CP108" s="170"/>
      <c r="CQ108" s="170"/>
      <c r="CR108" s="170"/>
      <c r="CS108" s="170"/>
      <c r="CT108" s="170"/>
      <c r="CU108" s="170"/>
      <c r="CV108" s="170"/>
      <c r="CW108" s="170"/>
      <c r="CX108" s="170"/>
      <c r="CY108" s="170"/>
      <c r="CZ108" s="170"/>
      <c r="DA108" s="170"/>
      <c r="DB108" s="170"/>
      <c r="DC108" s="170"/>
      <c r="DD108" s="170"/>
      <c r="DE108" s="170"/>
      <c r="DF108" s="170"/>
      <c r="DG108" s="170"/>
      <c r="DH108" s="170"/>
      <c r="DI108" s="170"/>
      <c r="DJ108" s="170"/>
      <c r="DK108" s="170"/>
      <c r="DL108" s="170"/>
      <c r="DM108" s="170"/>
      <c r="DN108" s="170"/>
      <c r="DO108" s="170"/>
      <c r="DP108" s="170"/>
      <c r="DQ108" s="170"/>
      <c r="DR108" s="170"/>
      <c r="DS108" s="170"/>
      <c r="DT108" s="170"/>
      <c r="DU108" s="170"/>
      <c r="DV108" s="170"/>
      <c r="DW108" s="170"/>
      <c r="DX108" s="170"/>
      <c r="DY108" s="170"/>
      <c r="DZ108" s="170"/>
      <c r="EA108" s="170"/>
      <c r="EB108" s="170"/>
      <c r="EC108" s="170"/>
      <c r="ED108" s="170"/>
      <c r="EE108" s="170"/>
      <c r="EF108" s="170"/>
      <c r="EG108" s="170"/>
      <c r="EH108" s="170"/>
      <c r="EI108" s="170"/>
      <c r="EJ108" s="170"/>
      <c r="EK108" s="170"/>
      <c r="EL108" s="170"/>
      <c r="EM108" s="170"/>
      <c r="EN108" s="170"/>
      <c r="EO108" s="170"/>
      <c r="EP108" s="170"/>
    </row>
    <row x14ac:dyDescent="0.25" r="109" customHeight="1" ht="18.75">
      <c r="A109" s="1"/>
      <c r="B109" s="1135">
        <f>+B108+1</f>
      </c>
      <c r="C109" s="1136">
        <v>1.7771064814814816</v>
      </c>
      <c r="D109" s="1137">
        <v>1.824710648148148</v>
      </c>
      <c r="E109" s="1137">
        <f>+(C109+D109)/2</f>
        <v>25569.041666666668</v>
      </c>
      <c r="F109" s="1083"/>
      <c r="G109" s="1083"/>
      <c r="H109" s="1083"/>
      <c r="I109" s="1083"/>
      <c r="J109" s="169"/>
      <c r="K109" s="169"/>
      <c r="L109" s="169"/>
      <c r="M109" s="169"/>
      <c r="N109" s="169"/>
      <c r="O109" s="169"/>
      <c r="P109" s="169"/>
      <c r="Q109" s="169"/>
      <c r="R109" s="169"/>
      <c r="S109" s="169"/>
      <c r="T109" s="169"/>
      <c r="U109" s="169"/>
      <c r="V109" s="169"/>
      <c r="W109" s="169"/>
      <c r="X109" s="169"/>
      <c r="Y109" s="170"/>
      <c r="Z109" s="170"/>
      <c r="AA109" s="170"/>
      <c r="AB109" s="170"/>
      <c r="AC109" s="170"/>
      <c r="AD109" s="170"/>
      <c r="AE109" s="170"/>
      <c r="AF109" s="170"/>
      <c r="AG109" s="170"/>
      <c r="AH109" s="170"/>
      <c r="AI109" s="170"/>
      <c r="AJ109" s="170"/>
      <c r="AK109" s="170"/>
      <c r="AL109" s="170"/>
      <c r="AM109" s="170"/>
      <c r="AN109" s="170"/>
      <c r="AO109" s="170"/>
      <c r="AP109" s="170"/>
      <c r="AQ109" s="170"/>
      <c r="AR109" s="170"/>
      <c r="AS109" s="170"/>
      <c r="AT109" s="170"/>
      <c r="AU109" s="170"/>
      <c r="AV109" s="170"/>
      <c r="AW109" s="170"/>
      <c r="AX109" s="170"/>
      <c r="AY109" s="170"/>
      <c r="AZ109" s="170"/>
      <c r="BA109" s="170"/>
      <c r="BB109" s="170"/>
      <c r="BC109" s="170"/>
      <c r="BD109" s="170"/>
      <c r="BE109" s="170"/>
      <c r="BF109" s="170"/>
      <c r="BG109" s="170"/>
      <c r="BH109" s="170"/>
      <c r="BI109" s="170"/>
      <c r="BJ109" s="170"/>
      <c r="BK109" s="170"/>
      <c r="BL109" s="170"/>
      <c r="BM109" s="170"/>
      <c r="BN109" s="170"/>
      <c r="BO109" s="170"/>
      <c r="BP109" s="170"/>
      <c r="BQ109" s="170"/>
      <c r="BR109" s="170"/>
      <c r="BS109" s="170"/>
      <c r="BT109" s="170"/>
      <c r="BU109" s="170"/>
      <c r="BV109" s="170"/>
      <c r="BW109" s="170"/>
      <c r="BX109" s="170"/>
      <c r="BY109" s="170"/>
      <c r="BZ109" s="170"/>
      <c r="CA109" s="170"/>
      <c r="CB109" s="170"/>
      <c r="CC109" s="170"/>
      <c r="CD109" s="170"/>
      <c r="CE109" s="170"/>
      <c r="CF109" s="170"/>
      <c r="CG109" s="170"/>
      <c r="CH109" s="170"/>
      <c r="CI109" s="170"/>
      <c r="CJ109" s="170"/>
      <c r="CK109" s="170"/>
      <c r="CL109" s="170"/>
      <c r="CM109" s="170"/>
      <c r="CN109" s="170"/>
      <c r="CO109" s="170"/>
      <c r="CP109" s="170"/>
      <c r="CQ109" s="170"/>
      <c r="CR109" s="170"/>
      <c r="CS109" s="170"/>
      <c r="CT109" s="170"/>
      <c r="CU109" s="170"/>
      <c r="CV109" s="170"/>
      <c r="CW109" s="170"/>
      <c r="CX109" s="170"/>
      <c r="CY109" s="170"/>
      <c r="CZ109" s="170"/>
      <c r="DA109" s="170"/>
      <c r="DB109" s="170"/>
      <c r="DC109" s="170"/>
      <c r="DD109" s="170"/>
      <c r="DE109" s="170"/>
      <c r="DF109" s="170"/>
      <c r="DG109" s="170"/>
      <c r="DH109" s="170"/>
      <c r="DI109" s="170"/>
      <c r="DJ109" s="170"/>
      <c r="DK109" s="170"/>
      <c r="DL109" s="170"/>
      <c r="DM109" s="170"/>
      <c r="DN109" s="170"/>
      <c r="DO109" s="170"/>
      <c r="DP109" s="170"/>
      <c r="DQ109" s="170"/>
      <c r="DR109" s="170"/>
      <c r="DS109" s="170"/>
      <c r="DT109" s="170"/>
      <c r="DU109" s="170"/>
      <c r="DV109" s="170"/>
      <c r="DW109" s="170"/>
      <c r="DX109" s="170"/>
      <c r="DY109" s="170"/>
      <c r="DZ109" s="170"/>
      <c r="EA109" s="170"/>
      <c r="EB109" s="170"/>
      <c r="EC109" s="170"/>
      <c r="ED109" s="170"/>
      <c r="EE109" s="170"/>
      <c r="EF109" s="170"/>
      <c r="EG109" s="170"/>
      <c r="EH109" s="170"/>
      <c r="EI109" s="170"/>
      <c r="EJ109" s="170"/>
      <c r="EK109" s="170"/>
      <c r="EL109" s="170"/>
      <c r="EM109" s="170"/>
      <c r="EN109" s="170"/>
      <c r="EO109" s="170"/>
      <c r="EP109" s="170"/>
    </row>
    <row x14ac:dyDescent="0.25" r="110" customHeight="1" ht="18.75">
      <c r="A110" s="1"/>
      <c r="B110" s="1135">
        <f>+B109+1</f>
      </c>
      <c r="C110" s="1136">
        <v>1.7771064814814816</v>
      </c>
      <c r="D110" s="1137">
        <v>1.824710648148148</v>
      </c>
      <c r="E110" s="1137">
        <f>+(C110+D110)/2</f>
        <v>25569.041666666668</v>
      </c>
      <c r="F110" s="1083"/>
      <c r="G110" s="1083"/>
      <c r="H110" s="1083"/>
      <c r="I110" s="1083"/>
      <c r="J110" s="169"/>
      <c r="K110" s="169"/>
      <c r="L110" s="169"/>
      <c r="M110" s="169"/>
      <c r="N110" s="169"/>
      <c r="O110" s="169"/>
      <c r="P110" s="169"/>
      <c r="Q110" s="169"/>
      <c r="R110" s="169"/>
      <c r="S110" s="169"/>
      <c r="T110" s="169"/>
      <c r="U110" s="169"/>
      <c r="V110" s="169"/>
      <c r="W110" s="169"/>
      <c r="X110" s="169"/>
      <c r="Y110" s="170"/>
      <c r="Z110" s="170"/>
      <c r="AA110" s="170"/>
      <c r="AB110" s="170"/>
      <c r="AC110" s="170"/>
      <c r="AD110" s="170"/>
      <c r="AE110" s="170"/>
      <c r="AF110" s="170"/>
      <c r="AG110" s="170"/>
      <c r="AH110" s="170"/>
      <c r="AI110" s="170"/>
      <c r="AJ110" s="170"/>
      <c r="AK110" s="170"/>
      <c r="AL110" s="170"/>
      <c r="AM110" s="170"/>
      <c r="AN110" s="170"/>
      <c r="AO110" s="170"/>
      <c r="AP110" s="170"/>
      <c r="AQ110" s="170"/>
      <c r="AR110" s="170"/>
      <c r="AS110" s="170"/>
      <c r="AT110" s="170"/>
      <c r="AU110" s="170"/>
      <c r="AV110" s="170"/>
      <c r="AW110" s="170"/>
      <c r="AX110" s="170"/>
      <c r="AY110" s="170"/>
      <c r="AZ110" s="170"/>
      <c r="BA110" s="170"/>
      <c r="BB110" s="170"/>
      <c r="BC110" s="170"/>
      <c r="BD110" s="170"/>
      <c r="BE110" s="170"/>
      <c r="BF110" s="170"/>
      <c r="BG110" s="170"/>
      <c r="BH110" s="170"/>
      <c r="BI110" s="170"/>
      <c r="BJ110" s="170"/>
      <c r="BK110" s="170"/>
      <c r="BL110" s="170"/>
      <c r="BM110" s="170"/>
      <c r="BN110" s="170"/>
      <c r="BO110" s="170"/>
      <c r="BP110" s="170"/>
      <c r="BQ110" s="170"/>
      <c r="BR110" s="170"/>
      <c r="BS110" s="170"/>
      <c r="BT110" s="170"/>
      <c r="BU110" s="170"/>
      <c r="BV110" s="170"/>
      <c r="BW110" s="170"/>
      <c r="BX110" s="170"/>
      <c r="BY110" s="170"/>
      <c r="BZ110" s="170"/>
      <c r="CA110" s="170"/>
      <c r="CB110" s="170"/>
      <c r="CC110" s="170"/>
      <c r="CD110" s="170"/>
      <c r="CE110" s="170"/>
      <c r="CF110" s="170"/>
      <c r="CG110" s="170"/>
      <c r="CH110" s="170"/>
      <c r="CI110" s="170"/>
      <c r="CJ110" s="170"/>
      <c r="CK110" s="170"/>
      <c r="CL110" s="170"/>
      <c r="CM110" s="170"/>
      <c r="CN110" s="170"/>
      <c r="CO110" s="170"/>
      <c r="CP110" s="170"/>
      <c r="CQ110" s="170"/>
      <c r="CR110" s="170"/>
      <c r="CS110" s="170"/>
      <c r="CT110" s="170"/>
      <c r="CU110" s="170"/>
      <c r="CV110" s="170"/>
      <c r="CW110" s="170"/>
      <c r="CX110" s="170"/>
      <c r="CY110" s="170"/>
      <c r="CZ110" s="170"/>
      <c r="DA110" s="170"/>
      <c r="DB110" s="170"/>
      <c r="DC110" s="170"/>
      <c r="DD110" s="170"/>
      <c r="DE110" s="170"/>
      <c r="DF110" s="170"/>
      <c r="DG110" s="170"/>
      <c r="DH110" s="170"/>
      <c r="DI110" s="170"/>
      <c r="DJ110" s="170"/>
      <c r="DK110" s="170"/>
      <c r="DL110" s="170"/>
      <c r="DM110" s="170"/>
      <c r="DN110" s="170"/>
      <c r="DO110" s="170"/>
      <c r="DP110" s="170"/>
      <c r="DQ110" s="170"/>
      <c r="DR110" s="170"/>
      <c r="DS110" s="170"/>
      <c r="DT110" s="170"/>
      <c r="DU110" s="170"/>
      <c r="DV110" s="170"/>
      <c r="DW110" s="170"/>
      <c r="DX110" s="170"/>
      <c r="DY110" s="170"/>
      <c r="DZ110" s="170"/>
      <c r="EA110" s="170"/>
      <c r="EB110" s="170"/>
      <c r="EC110" s="170"/>
      <c r="ED110" s="170"/>
      <c r="EE110" s="170"/>
      <c r="EF110" s="170"/>
      <c r="EG110" s="170"/>
      <c r="EH110" s="170"/>
      <c r="EI110" s="170"/>
      <c r="EJ110" s="170"/>
      <c r="EK110" s="170"/>
      <c r="EL110" s="170"/>
      <c r="EM110" s="170"/>
      <c r="EN110" s="170"/>
      <c r="EO110" s="170"/>
      <c r="EP110" s="170"/>
    </row>
    <row x14ac:dyDescent="0.25" r="111" customHeight="1" ht="18.75">
      <c r="A111" s="1"/>
      <c r="B111" s="1135">
        <f>+B110+1</f>
      </c>
      <c r="C111" s="1136">
        <v>1.7771064814814816</v>
      </c>
      <c r="D111" s="1137">
        <v>1.824710648148148</v>
      </c>
      <c r="E111" s="1137">
        <f>+(C111+D111)/2</f>
        <v>25569.041666666668</v>
      </c>
      <c r="F111" s="1083"/>
      <c r="G111" s="1083"/>
      <c r="H111" s="1083"/>
      <c r="I111" s="1083"/>
      <c r="J111" s="169"/>
      <c r="K111" s="169"/>
      <c r="L111" s="169"/>
      <c r="M111" s="169"/>
      <c r="N111" s="169"/>
      <c r="O111" s="169"/>
      <c r="P111" s="169"/>
      <c r="Q111" s="169"/>
      <c r="R111" s="169"/>
      <c r="S111" s="169"/>
      <c r="T111" s="169"/>
      <c r="U111" s="169"/>
      <c r="V111" s="169"/>
      <c r="W111" s="169"/>
      <c r="X111" s="169"/>
      <c r="Y111" s="170"/>
      <c r="Z111" s="170"/>
      <c r="AA111" s="170"/>
      <c r="AB111" s="170"/>
      <c r="AC111" s="170"/>
      <c r="AD111" s="170"/>
      <c r="AE111" s="170"/>
      <c r="AF111" s="170"/>
      <c r="AG111" s="170"/>
      <c r="AH111" s="170"/>
      <c r="AI111" s="170"/>
      <c r="AJ111" s="170"/>
      <c r="AK111" s="170"/>
      <c r="AL111" s="170"/>
      <c r="AM111" s="170"/>
      <c r="AN111" s="170"/>
      <c r="AO111" s="170"/>
      <c r="AP111" s="170"/>
      <c r="AQ111" s="170"/>
      <c r="AR111" s="170"/>
      <c r="AS111" s="170"/>
      <c r="AT111" s="170"/>
      <c r="AU111" s="170"/>
      <c r="AV111" s="170"/>
      <c r="AW111" s="170"/>
      <c r="AX111" s="170"/>
      <c r="AY111" s="170"/>
      <c r="AZ111" s="170"/>
      <c r="BA111" s="170"/>
      <c r="BB111" s="170"/>
      <c r="BC111" s="170"/>
      <c r="BD111" s="170"/>
      <c r="BE111" s="170"/>
      <c r="BF111" s="170"/>
      <c r="BG111" s="170"/>
      <c r="BH111" s="170"/>
      <c r="BI111" s="170"/>
      <c r="BJ111" s="170"/>
      <c r="BK111" s="170"/>
      <c r="BL111" s="170"/>
      <c r="BM111" s="170"/>
      <c r="BN111" s="170"/>
      <c r="BO111" s="170"/>
      <c r="BP111" s="170"/>
      <c r="BQ111" s="170"/>
      <c r="BR111" s="170"/>
      <c r="BS111" s="170"/>
      <c r="BT111" s="170"/>
      <c r="BU111" s="170"/>
      <c r="BV111" s="170"/>
      <c r="BW111" s="170"/>
      <c r="BX111" s="170"/>
      <c r="BY111" s="170"/>
      <c r="BZ111" s="170"/>
      <c r="CA111" s="170"/>
      <c r="CB111" s="170"/>
      <c r="CC111" s="170"/>
      <c r="CD111" s="170"/>
      <c r="CE111" s="170"/>
      <c r="CF111" s="170"/>
      <c r="CG111" s="170"/>
      <c r="CH111" s="170"/>
      <c r="CI111" s="170"/>
      <c r="CJ111" s="170"/>
      <c r="CK111" s="170"/>
      <c r="CL111" s="170"/>
      <c r="CM111" s="170"/>
      <c r="CN111" s="170"/>
      <c r="CO111" s="170"/>
      <c r="CP111" s="170"/>
      <c r="CQ111" s="170"/>
      <c r="CR111" s="170"/>
      <c r="CS111" s="170"/>
      <c r="CT111" s="170"/>
      <c r="CU111" s="170"/>
      <c r="CV111" s="170"/>
      <c r="CW111" s="170"/>
      <c r="CX111" s="170"/>
      <c r="CY111" s="170"/>
      <c r="CZ111" s="170"/>
      <c r="DA111" s="170"/>
      <c r="DB111" s="170"/>
      <c r="DC111" s="170"/>
      <c r="DD111" s="170"/>
      <c r="DE111" s="170"/>
      <c r="DF111" s="170"/>
      <c r="DG111" s="170"/>
      <c r="DH111" s="170"/>
      <c r="DI111" s="170"/>
      <c r="DJ111" s="170"/>
      <c r="DK111" s="170"/>
      <c r="DL111" s="170"/>
      <c r="DM111" s="170"/>
      <c r="DN111" s="170"/>
      <c r="DO111" s="170"/>
      <c r="DP111" s="170"/>
      <c r="DQ111" s="170"/>
      <c r="DR111" s="170"/>
      <c r="DS111" s="170"/>
      <c r="DT111" s="170"/>
      <c r="DU111" s="170"/>
      <c r="DV111" s="170"/>
      <c r="DW111" s="170"/>
      <c r="DX111" s="170"/>
      <c r="DY111" s="170"/>
      <c r="DZ111" s="170"/>
      <c r="EA111" s="170"/>
      <c r="EB111" s="170"/>
      <c r="EC111" s="170"/>
      <c r="ED111" s="170"/>
      <c r="EE111" s="170"/>
      <c r="EF111" s="170"/>
      <c r="EG111" s="170"/>
      <c r="EH111" s="170"/>
      <c r="EI111" s="170"/>
      <c r="EJ111" s="170"/>
      <c r="EK111" s="170"/>
      <c r="EL111" s="170"/>
      <c r="EM111" s="170"/>
      <c r="EN111" s="170"/>
      <c r="EO111" s="170"/>
      <c r="EP111" s="170"/>
    </row>
    <row x14ac:dyDescent="0.25" r="112" customHeight="1" ht="18.75">
      <c r="A112" s="1"/>
      <c r="B112" s="1135">
        <f>+B111+1</f>
      </c>
      <c r="C112" s="1136">
        <v>1.7771064814814816</v>
      </c>
      <c r="D112" s="1137">
        <v>1.824710648148148</v>
      </c>
      <c r="E112" s="1137">
        <f>+(C112+D112)/2</f>
        <v>25569.041666666668</v>
      </c>
      <c r="F112" s="1083"/>
      <c r="G112" s="1083"/>
      <c r="H112" s="1083"/>
      <c r="I112" s="1083"/>
      <c r="J112" s="169"/>
      <c r="K112" s="169"/>
      <c r="L112" s="169"/>
      <c r="M112" s="169"/>
      <c r="N112" s="169"/>
      <c r="O112" s="169"/>
      <c r="P112" s="169"/>
      <c r="Q112" s="169"/>
      <c r="R112" s="169"/>
      <c r="S112" s="169"/>
      <c r="T112" s="169"/>
      <c r="U112" s="169"/>
      <c r="V112" s="169"/>
      <c r="W112" s="169"/>
      <c r="X112" s="169"/>
      <c r="Y112" s="170"/>
      <c r="Z112" s="170"/>
      <c r="AA112" s="170"/>
      <c r="AB112" s="170"/>
      <c r="AC112" s="170"/>
      <c r="AD112" s="170"/>
      <c r="AE112" s="170"/>
      <c r="AF112" s="170"/>
      <c r="AG112" s="170"/>
      <c r="AH112" s="170"/>
      <c r="AI112" s="170"/>
      <c r="AJ112" s="170"/>
      <c r="AK112" s="170"/>
      <c r="AL112" s="170"/>
      <c r="AM112" s="170"/>
      <c r="AN112" s="170"/>
      <c r="AO112" s="170"/>
      <c r="AP112" s="170"/>
      <c r="AQ112" s="170"/>
      <c r="AR112" s="170"/>
      <c r="AS112" s="170"/>
      <c r="AT112" s="170"/>
      <c r="AU112" s="170"/>
      <c r="AV112" s="170"/>
      <c r="AW112" s="170"/>
      <c r="AX112" s="170"/>
      <c r="AY112" s="170"/>
      <c r="AZ112" s="170"/>
      <c r="BA112" s="170"/>
      <c r="BB112" s="170"/>
      <c r="BC112" s="170"/>
      <c r="BD112" s="170"/>
      <c r="BE112" s="170"/>
      <c r="BF112" s="170"/>
      <c r="BG112" s="170"/>
      <c r="BH112" s="170"/>
      <c r="BI112" s="170"/>
      <c r="BJ112" s="170"/>
      <c r="BK112" s="170"/>
      <c r="BL112" s="170"/>
      <c r="BM112" s="170"/>
      <c r="BN112" s="170"/>
      <c r="BO112" s="170"/>
      <c r="BP112" s="170"/>
      <c r="BQ112" s="170"/>
      <c r="BR112" s="170"/>
      <c r="BS112" s="170"/>
      <c r="BT112" s="170"/>
      <c r="BU112" s="170"/>
      <c r="BV112" s="170"/>
      <c r="BW112" s="170"/>
      <c r="BX112" s="170"/>
      <c r="BY112" s="170"/>
      <c r="BZ112" s="170"/>
      <c r="CA112" s="170"/>
      <c r="CB112" s="170"/>
      <c r="CC112" s="170"/>
      <c r="CD112" s="170"/>
      <c r="CE112" s="170"/>
      <c r="CF112" s="170"/>
      <c r="CG112" s="170"/>
      <c r="CH112" s="170"/>
      <c r="CI112" s="170"/>
      <c r="CJ112" s="170"/>
      <c r="CK112" s="170"/>
      <c r="CL112" s="170"/>
      <c r="CM112" s="170"/>
      <c r="CN112" s="170"/>
      <c r="CO112" s="170"/>
      <c r="CP112" s="170"/>
      <c r="CQ112" s="170"/>
      <c r="CR112" s="170"/>
      <c r="CS112" s="170"/>
      <c r="CT112" s="170"/>
      <c r="CU112" s="170"/>
      <c r="CV112" s="170"/>
      <c r="CW112" s="170"/>
      <c r="CX112" s="170"/>
      <c r="CY112" s="170"/>
      <c r="CZ112" s="170"/>
      <c r="DA112" s="170"/>
      <c r="DB112" s="170"/>
      <c r="DC112" s="170"/>
      <c r="DD112" s="170"/>
      <c r="DE112" s="170"/>
      <c r="DF112" s="170"/>
      <c r="DG112" s="170"/>
      <c r="DH112" s="170"/>
      <c r="DI112" s="170"/>
      <c r="DJ112" s="170"/>
      <c r="DK112" s="170"/>
      <c r="DL112" s="170"/>
      <c r="DM112" s="170"/>
      <c r="DN112" s="170"/>
      <c r="DO112" s="170"/>
      <c r="DP112" s="170"/>
      <c r="DQ112" s="170"/>
      <c r="DR112" s="170"/>
      <c r="DS112" s="170"/>
      <c r="DT112" s="170"/>
      <c r="DU112" s="170"/>
      <c r="DV112" s="170"/>
      <c r="DW112" s="170"/>
      <c r="DX112" s="170"/>
      <c r="DY112" s="170"/>
      <c r="DZ112" s="170"/>
      <c r="EA112" s="170"/>
      <c r="EB112" s="170"/>
      <c r="EC112" s="170"/>
      <c r="ED112" s="170"/>
      <c r="EE112" s="170"/>
      <c r="EF112" s="170"/>
      <c r="EG112" s="170"/>
      <c r="EH112" s="170"/>
      <c r="EI112" s="170"/>
      <c r="EJ112" s="170"/>
      <c r="EK112" s="170"/>
      <c r="EL112" s="170"/>
      <c r="EM112" s="170"/>
      <c r="EN112" s="170"/>
      <c r="EO112" s="170"/>
      <c r="EP112" s="170"/>
    </row>
    <row x14ac:dyDescent="0.25" r="113" customHeight="1" ht="18.75">
      <c r="A113" s="1"/>
      <c r="B113" s="1135">
        <f>+B112+1</f>
      </c>
      <c r="C113" s="1136">
        <v>1.7771064814814816</v>
      </c>
      <c r="D113" s="1137">
        <v>1.824710648148148</v>
      </c>
      <c r="E113" s="1137">
        <f>+(C113+D113)/2</f>
        <v>25569.041666666668</v>
      </c>
      <c r="F113" s="1083"/>
      <c r="G113" s="1083"/>
      <c r="H113" s="1083"/>
      <c r="I113" s="1083"/>
      <c r="J113" s="169"/>
      <c r="K113" s="169"/>
      <c r="L113" s="169"/>
      <c r="M113" s="169"/>
      <c r="N113" s="169"/>
      <c r="O113" s="169"/>
      <c r="P113" s="169"/>
      <c r="Q113" s="169"/>
      <c r="R113" s="169"/>
      <c r="S113" s="169"/>
      <c r="T113" s="169"/>
      <c r="U113" s="169"/>
      <c r="V113" s="169"/>
      <c r="W113" s="169"/>
      <c r="X113" s="169"/>
      <c r="Y113" s="170"/>
      <c r="Z113" s="170"/>
      <c r="AA113" s="170"/>
      <c r="AB113" s="170"/>
      <c r="AC113" s="170"/>
      <c r="AD113" s="170"/>
      <c r="AE113" s="170"/>
      <c r="AF113" s="170"/>
      <c r="AG113" s="170"/>
      <c r="AH113" s="170"/>
      <c r="AI113" s="170"/>
      <c r="AJ113" s="170"/>
      <c r="AK113" s="170"/>
      <c r="AL113" s="170"/>
      <c r="AM113" s="170"/>
      <c r="AN113" s="170"/>
      <c r="AO113" s="170"/>
      <c r="AP113" s="170"/>
      <c r="AQ113" s="170"/>
      <c r="AR113" s="170"/>
      <c r="AS113" s="170"/>
      <c r="AT113" s="170"/>
      <c r="AU113" s="170"/>
      <c r="AV113" s="170"/>
      <c r="AW113" s="170"/>
      <c r="AX113" s="170"/>
      <c r="AY113" s="170"/>
      <c r="AZ113" s="170"/>
      <c r="BA113" s="170"/>
      <c r="BB113" s="170"/>
      <c r="BC113" s="170"/>
      <c r="BD113" s="170"/>
      <c r="BE113" s="170"/>
      <c r="BF113" s="170"/>
      <c r="BG113" s="170"/>
      <c r="BH113" s="170"/>
      <c r="BI113" s="170"/>
      <c r="BJ113" s="170"/>
      <c r="BK113" s="170"/>
      <c r="BL113" s="170"/>
      <c r="BM113" s="170"/>
      <c r="BN113" s="170"/>
      <c r="BO113" s="170"/>
      <c r="BP113" s="170"/>
      <c r="BQ113" s="170"/>
      <c r="BR113" s="170"/>
      <c r="BS113" s="170"/>
      <c r="BT113" s="170"/>
      <c r="BU113" s="170"/>
      <c r="BV113" s="170"/>
      <c r="BW113" s="170"/>
      <c r="BX113" s="170"/>
      <c r="BY113" s="170"/>
      <c r="BZ113" s="170"/>
      <c r="CA113" s="170"/>
      <c r="CB113" s="170"/>
      <c r="CC113" s="170"/>
      <c r="CD113" s="170"/>
      <c r="CE113" s="170"/>
      <c r="CF113" s="170"/>
      <c r="CG113" s="170"/>
      <c r="CH113" s="170"/>
      <c r="CI113" s="170"/>
      <c r="CJ113" s="170"/>
      <c r="CK113" s="170"/>
      <c r="CL113" s="170"/>
      <c r="CM113" s="170"/>
      <c r="CN113" s="170"/>
      <c r="CO113" s="170"/>
      <c r="CP113" s="170"/>
      <c r="CQ113" s="170"/>
      <c r="CR113" s="170"/>
      <c r="CS113" s="170"/>
      <c r="CT113" s="170"/>
      <c r="CU113" s="170"/>
      <c r="CV113" s="170"/>
      <c r="CW113" s="170"/>
      <c r="CX113" s="170"/>
      <c r="CY113" s="170"/>
      <c r="CZ113" s="170"/>
      <c r="DA113" s="170"/>
      <c r="DB113" s="170"/>
      <c r="DC113" s="170"/>
      <c r="DD113" s="170"/>
      <c r="DE113" s="170"/>
      <c r="DF113" s="170"/>
      <c r="DG113" s="170"/>
      <c r="DH113" s="170"/>
      <c r="DI113" s="170"/>
      <c r="DJ113" s="170"/>
      <c r="DK113" s="170"/>
      <c r="DL113" s="170"/>
      <c r="DM113" s="170"/>
      <c r="DN113" s="170"/>
      <c r="DO113" s="170"/>
      <c r="DP113" s="170"/>
      <c r="DQ113" s="170"/>
      <c r="DR113" s="170"/>
      <c r="DS113" s="170"/>
      <c r="DT113" s="170"/>
      <c r="DU113" s="170"/>
      <c r="DV113" s="170"/>
      <c r="DW113" s="170"/>
      <c r="DX113" s="170"/>
      <c r="DY113" s="170"/>
      <c r="DZ113" s="170"/>
      <c r="EA113" s="170"/>
      <c r="EB113" s="170"/>
      <c r="EC113" s="170"/>
      <c r="ED113" s="170"/>
      <c r="EE113" s="170"/>
      <c r="EF113" s="170"/>
      <c r="EG113" s="170"/>
      <c r="EH113" s="170"/>
      <c r="EI113" s="170"/>
      <c r="EJ113" s="170"/>
      <c r="EK113" s="170"/>
      <c r="EL113" s="170"/>
      <c r="EM113" s="170"/>
      <c r="EN113" s="170"/>
      <c r="EO113" s="170"/>
      <c r="EP113" s="170"/>
    </row>
    <row x14ac:dyDescent="0.25" r="114" customHeight="1" ht="18.75">
      <c r="A114" s="1"/>
      <c r="B114" s="1135">
        <f>+B113+1</f>
      </c>
      <c r="C114" s="1136">
        <v>1.7771064814814816</v>
      </c>
      <c r="D114" s="1137">
        <v>1.824710648148148</v>
      </c>
      <c r="E114" s="1137">
        <f>+(C114+D114)/2</f>
        <v>25569.041666666668</v>
      </c>
      <c r="F114" s="1083"/>
      <c r="G114" s="1083"/>
      <c r="H114" s="1083"/>
      <c r="I114" s="1083"/>
      <c r="J114" s="169"/>
      <c r="K114" s="169"/>
      <c r="L114" s="169"/>
      <c r="M114" s="169"/>
      <c r="N114" s="169"/>
      <c r="O114" s="169"/>
      <c r="P114" s="169"/>
      <c r="Q114" s="169"/>
      <c r="R114" s="169"/>
      <c r="S114" s="169"/>
      <c r="T114" s="169"/>
      <c r="U114" s="169"/>
      <c r="V114" s="169"/>
      <c r="W114" s="169"/>
      <c r="X114" s="169"/>
      <c r="Y114" s="170"/>
      <c r="Z114" s="170"/>
      <c r="AA114" s="170"/>
      <c r="AB114" s="170"/>
      <c r="AC114" s="170"/>
      <c r="AD114" s="170"/>
      <c r="AE114" s="170"/>
      <c r="AF114" s="170"/>
      <c r="AG114" s="170"/>
      <c r="AH114" s="170"/>
      <c r="AI114" s="170"/>
      <c r="AJ114" s="170"/>
      <c r="AK114" s="170"/>
      <c r="AL114" s="170"/>
      <c r="AM114" s="170"/>
      <c r="AN114" s="170"/>
      <c r="AO114" s="170"/>
      <c r="AP114" s="170"/>
      <c r="AQ114" s="170"/>
      <c r="AR114" s="170"/>
      <c r="AS114" s="170"/>
      <c r="AT114" s="170"/>
      <c r="AU114" s="170"/>
      <c r="AV114" s="170"/>
      <c r="AW114" s="170"/>
      <c r="AX114" s="170"/>
      <c r="AY114" s="170"/>
      <c r="AZ114" s="170"/>
      <c r="BA114" s="170"/>
      <c r="BB114" s="170"/>
      <c r="BC114" s="170"/>
      <c r="BD114" s="170"/>
      <c r="BE114" s="170"/>
      <c r="BF114" s="170"/>
      <c r="BG114" s="170"/>
      <c r="BH114" s="170"/>
      <c r="BI114" s="170"/>
      <c r="BJ114" s="170"/>
      <c r="BK114" s="170"/>
      <c r="BL114" s="170"/>
      <c r="BM114" s="170"/>
      <c r="BN114" s="170"/>
      <c r="BO114" s="170"/>
      <c r="BP114" s="170"/>
      <c r="BQ114" s="170"/>
      <c r="BR114" s="170"/>
      <c r="BS114" s="170"/>
      <c r="BT114" s="170"/>
      <c r="BU114" s="170"/>
      <c r="BV114" s="170"/>
      <c r="BW114" s="170"/>
      <c r="BX114" s="170"/>
      <c r="BY114" s="170"/>
      <c r="BZ114" s="170"/>
      <c r="CA114" s="170"/>
      <c r="CB114" s="170"/>
      <c r="CC114" s="170"/>
      <c r="CD114" s="170"/>
      <c r="CE114" s="170"/>
      <c r="CF114" s="170"/>
      <c r="CG114" s="170"/>
      <c r="CH114" s="170"/>
      <c r="CI114" s="170"/>
      <c r="CJ114" s="170"/>
      <c r="CK114" s="170"/>
      <c r="CL114" s="170"/>
      <c r="CM114" s="170"/>
      <c r="CN114" s="170"/>
      <c r="CO114" s="170"/>
      <c r="CP114" s="170"/>
      <c r="CQ114" s="170"/>
      <c r="CR114" s="170"/>
      <c r="CS114" s="170"/>
      <c r="CT114" s="170"/>
      <c r="CU114" s="170"/>
      <c r="CV114" s="170"/>
      <c r="CW114" s="170"/>
      <c r="CX114" s="170"/>
      <c r="CY114" s="170"/>
      <c r="CZ114" s="170"/>
      <c r="DA114" s="170"/>
      <c r="DB114" s="170"/>
      <c r="DC114" s="170"/>
      <c r="DD114" s="170"/>
      <c r="DE114" s="170"/>
      <c r="DF114" s="170"/>
      <c r="DG114" s="170"/>
      <c r="DH114" s="170"/>
      <c r="DI114" s="170"/>
      <c r="DJ114" s="170"/>
      <c r="DK114" s="170"/>
      <c r="DL114" s="170"/>
      <c r="DM114" s="170"/>
      <c r="DN114" s="170"/>
      <c r="DO114" s="170"/>
      <c r="DP114" s="170"/>
      <c r="DQ114" s="170"/>
      <c r="DR114" s="170"/>
      <c r="DS114" s="170"/>
      <c r="DT114" s="170"/>
      <c r="DU114" s="170"/>
      <c r="DV114" s="170"/>
      <c r="DW114" s="170"/>
      <c r="DX114" s="170"/>
      <c r="DY114" s="170"/>
      <c r="DZ114" s="170"/>
      <c r="EA114" s="170"/>
      <c r="EB114" s="170"/>
      <c r="EC114" s="170"/>
      <c r="ED114" s="170"/>
      <c r="EE114" s="170"/>
      <c r="EF114" s="170"/>
      <c r="EG114" s="170"/>
      <c r="EH114" s="170"/>
      <c r="EI114" s="170"/>
      <c r="EJ114" s="170"/>
      <c r="EK114" s="170"/>
      <c r="EL114" s="170"/>
      <c r="EM114" s="170"/>
      <c r="EN114" s="170"/>
      <c r="EO114" s="170"/>
      <c r="EP114" s="170"/>
    </row>
    <row x14ac:dyDescent="0.25" r="115" customHeight="1" ht="18.75">
      <c r="A115" s="1"/>
      <c r="B115" s="1135">
        <f>+B114+1</f>
      </c>
      <c r="C115" s="1136">
        <v>1.7771064814814816</v>
      </c>
      <c r="D115" s="1137">
        <v>1.824710648148148</v>
      </c>
      <c r="E115" s="1137">
        <f>+(C115+D115)/2</f>
        <v>25569.041666666668</v>
      </c>
      <c r="F115" s="1083"/>
      <c r="G115" s="1083"/>
      <c r="H115" s="1083"/>
      <c r="I115" s="1083"/>
      <c r="J115" s="169"/>
      <c r="K115" s="169"/>
      <c r="L115" s="169"/>
      <c r="M115" s="169"/>
      <c r="N115" s="169"/>
      <c r="O115" s="169"/>
      <c r="P115" s="169"/>
      <c r="Q115" s="169"/>
      <c r="R115" s="169"/>
      <c r="S115" s="169"/>
      <c r="T115" s="169"/>
      <c r="U115" s="169"/>
      <c r="V115" s="169"/>
      <c r="W115" s="169"/>
      <c r="X115" s="169"/>
      <c r="Y115" s="170"/>
      <c r="Z115" s="170"/>
      <c r="AA115" s="170"/>
      <c r="AB115" s="170"/>
      <c r="AC115" s="170"/>
      <c r="AD115" s="170"/>
      <c r="AE115" s="170"/>
      <c r="AF115" s="170"/>
      <c r="AG115" s="170"/>
      <c r="AH115" s="170"/>
      <c r="AI115" s="170"/>
      <c r="AJ115" s="170"/>
      <c r="AK115" s="170"/>
      <c r="AL115" s="170"/>
      <c r="AM115" s="170"/>
      <c r="AN115" s="170"/>
      <c r="AO115" s="170"/>
      <c r="AP115" s="170"/>
      <c r="AQ115" s="170"/>
      <c r="AR115" s="170"/>
      <c r="AS115" s="170"/>
      <c r="AT115" s="170"/>
      <c r="AU115" s="170"/>
      <c r="AV115" s="170"/>
      <c r="AW115" s="170"/>
      <c r="AX115" s="170"/>
      <c r="AY115" s="170"/>
      <c r="AZ115" s="170"/>
      <c r="BA115" s="170"/>
      <c r="BB115" s="170"/>
      <c r="BC115" s="170"/>
      <c r="BD115" s="170"/>
      <c r="BE115" s="170"/>
      <c r="BF115" s="170"/>
      <c r="BG115" s="170"/>
      <c r="BH115" s="170"/>
      <c r="BI115" s="170"/>
      <c r="BJ115" s="170"/>
      <c r="BK115" s="170"/>
      <c r="BL115" s="170"/>
      <c r="BM115" s="170"/>
      <c r="BN115" s="170"/>
      <c r="BO115" s="170"/>
      <c r="BP115" s="170"/>
      <c r="BQ115" s="170"/>
      <c r="BR115" s="170"/>
      <c r="BS115" s="170"/>
      <c r="BT115" s="170"/>
      <c r="BU115" s="170"/>
      <c r="BV115" s="170"/>
      <c r="BW115" s="170"/>
      <c r="BX115" s="170"/>
      <c r="BY115" s="170"/>
      <c r="BZ115" s="170"/>
      <c r="CA115" s="170"/>
      <c r="CB115" s="170"/>
      <c r="CC115" s="170"/>
      <c r="CD115" s="170"/>
      <c r="CE115" s="170"/>
      <c r="CF115" s="170"/>
      <c r="CG115" s="170"/>
      <c r="CH115" s="170"/>
      <c r="CI115" s="170"/>
      <c r="CJ115" s="170"/>
      <c r="CK115" s="170"/>
      <c r="CL115" s="170"/>
      <c r="CM115" s="170"/>
      <c r="CN115" s="170"/>
      <c r="CO115" s="170"/>
      <c r="CP115" s="170"/>
      <c r="CQ115" s="170"/>
      <c r="CR115" s="170"/>
      <c r="CS115" s="170"/>
      <c r="CT115" s="170"/>
      <c r="CU115" s="170"/>
      <c r="CV115" s="170"/>
      <c r="CW115" s="170"/>
      <c r="CX115" s="170"/>
      <c r="CY115" s="170"/>
      <c r="CZ115" s="170"/>
      <c r="DA115" s="170"/>
      <c r="DB115" s="170"/>
      <c r="DC115" s="170"/>
      <c r="DD115" s="170"/>
      <c r="DE115" s="170"/>
      <c r="DF115" s="170"/>
      <c r="DG115" s="170"/>
      <c r="DH115" s="170"/>
      <c r="DI115" s="170"/>
      <c r="DJ115" s="170"/>
      <c r="DK115" s="170"/>
      <c r="DL115" s="170"/>
      <c r="DM115" s="170"/>
      <c r="DN115" s="170"/>
      <c r="DO115" s="170"/>
      <c r="DP115" s="170"/>
      <c r="DQ115" s="170"/>
      <c r="DR115" s="170"/>
      <c r="DS115" s="170"/>
      <c r="DT115" s="170"/>
      <c r="DU115" s="170"/>
      <c r="DV115" s="170"/>
      <c r="DW115" s="170"/>
      <c r="DX115" s="170"/>
      <c r="DY115" s="170"/>
      <c r="DZ115" s="170"/>
      <c r="EA115" s="170"/>
      <c r="EB115" s="170"/>
      <c r="EC115" s="170"/>
      <c r="ED115" s="170"/>
      <c r="EE115" s="170"/>
      <c r="EF115" s="170"/>
      <c r="EG115" s="170"/>
      <c r="EH115" s="170"/>
      <c r="EI115" s="170"/>
      <c r="EJ115" s="170"/>
      <c r="EK115" s="170"/>
      <c r="EL115" s="170"/>
      <c r="EM115" s="170"/>
      <c r="EN115" s="170"/>
      <c r="EO115" s="170"/>
      <c r="EP115" s="170"/>
    </row>
    <row x14ac:dyDescent="0.25" r="116" customHeight="1" ht="18.75">
      <c r="A116" s="1"/>
      <c r="B116" s="1135">
        <f>+B115+1</f>
      </c>
      <c r="C116" s="1136">
        <v>1.7771064814814816</v>
      </c>
      <c r="D116" s="1137">
        <v>1.824710648148148</v>
      </c>
      <c r="E116" s="1137">
        <f>+(C116+D116)/2</f>
        <v>25569.041666666668</v>
      </c>
      <c r="F116" s="1083"/>
      <c r="G116" s="1083"/>
      <c r="H116" s="1083"/>
      <c r="I116" s="1083"/>
      <c r="J116" s="169"/>
      <c r="K116" s="169"/>
      <c r="L116" s="169"/>
      <c r="M116" s="169"/>
      <c r="N116" s="169"/>
      <c r="O116" s="169"/>
      <c r="P116" s="169"/>
      <c r="Q116" s="169"/>
      <c r="R116" s="169"/>
      <c r="S116" s="169"/>
      <c r="T116" s="169"/>
      <c r="U116" s="169"/>
      <c r="V116" s="169"/>
      <c r="W116" s="169"/>
      <c r="X116" s="169"/>
      <c r="Y116" s="170"/>
      <c r="Z116" s="170"/>
      <c r="AA116" s="170"/>
      <c r="AB116" s="170"/>
      <c r="AC116" s="170"/>
      <c r="AD116" s="170"/>
      <c r="AE116" s="170"/>
      <c r="AF116" s="170"/>
      <c r="AG116" s="170"/>
      <c r="AH116" s="170"/>
      <c r="AI116" s="170"/>
      <c r="AJ116" s="170"/>
      <c r="AK116" s="170"/>
      <c r="AL116" s="170"/>
      <c r="AM116" s="170"/>
      <c r="AN116" s="170"/>
      <c r="AO116" s="170"/>
      <c r="AP116" s="170"/>
      <c r="AQ116" s="170"/>
      <c r="AR116" s="170"/>
      <c r="AS116" s="170"/>
      <c r="AT116" s="170"/>
      <c r="AU116" s="170"/>
      <c r="AV116" s="170"/>
      <c r="AW116" s="170"/>
      <c r="AX116" s="170"/>
      <c r="AY116" s="170"/>
      <c r="AZ116" s="170"/>
      <c r="BA116" s="170"/>
      <c r="BB116" s="170"/>
      <c r="BC116" s="170"/>
      <c r="BD116" s="170"/>
      <c r="BE116" s="170"/>
      <c r="BF116" s="170"/>
      <c r="BG116" s="170"/>
      <c r="BH116" s="170"/>
      <c r="BI116" s="170"/>
      <c r="BJ116" s="170"/>
      <c r="BK116" s="170"/>
      <c r="BL116" s="170"/>
      <c r="BM116" s="170"/>
      <c r="BN116" s="170"/>
      <c r="BO116" s="170"/>
      <c r="BP116" s="170"/>
      <c r="BQ116" s="170"/>
      <c r="BR116" s="170"/>
      <c r="BS116" s="170"/>
      <c r="BT116" s="170"/>
      <c r="BU116" s="170"/>
      <c r="BV116" s="170"/>
      <c r="BW116" s="170"/>
      <c r="BX116" s="170"/>
      <c r="BY116" s="170"/>
      <c r="BZ116" s="170"/>
      <c r="CA116" s="170"/>
      <c r="CB116" s="170"/>
      <c r="CC116" s="170"/>
      <c r="CD116" s="170"/>
      <c r="CE116" s="170"/>
      <c r="CF116" s="170"/>
      <c r="CG116" s="170"/>
      <c r="CH116" s="170"/>
      <c r="CI116" s="170"/>
      <c r="CJ116" s="170"/>
      <c r="CK116" s="170"/>
      <c r="CL116" s="170"/>
      <c r="CM116" s="170"/>
      <c r="CN116" s="170"/>
      <c r="CO116" s="170"/>
      <c r="CP116" s="170"/>
      <c r="CQ116" s="170"/>
      <c r="CR116" s="170"/>
      <c r="CS116" s="170"/>
      <c r="CT116" s="170"/>
      <c r="CU116" s="170"/>
      <c r="CV116" s="170"/>
      <c r="CW116" s="170"/>
      <c r="CX116" s="170"/>
      <c r="CY116" s="170"/>
      <c r="CZ116" s="170"/>
      <c r="DA116" s="170"/>
      <c r="DB116" s="170"/>
      <c r="DC116" s="170"/>
      <c r="DD116" s="170"/>
      <c r="DE116" s="170"/>
      <c r="DF116" s="170"/>
      <c r="DG116" s="170"/>
      <c r="DH116" s="170"/>
      <c r="DI116" s="170"/>
      <c r="DJ116" s="170"/>
      <c r="DK116" s="170"/>
      <c r="DL116" s="170"/>
      <c r="DM116" s="170"/>
      <c r="DN116" s="170"/>
      <c r="DO116" s="170"/>
      <c r="DP116" s="170"/>
      <c r="DQ116" s="170"/>
      <c r="DR116" s="170"/>
      <c r="DS116" s="170"/>
      <c r="DT116" s="170"/>
      <c r="DU116" s="170"/>
      <c r="DV116" s="170"/>
      <c r="DW116" s="170"/>
      <c r="DX116" s="170"/>
      <c r="DY116" s="170"/>
      <c r="DZ116" s="170"/>
      <c r="EA116" s="170"/>
      <c r="EB116" s="170"/>
      <c r="EC116" s="170"/>
      <c r="ED116" s="170"/>
      <c r="EE116" s="170"/>
      <c r="EF116" s="170"/>
      <c r="EG116" s="170"/>
      <c r="EH116" s="170"/>
      <c r="EI116" s="170"/>
      <c r="EJ116" s="170"/>
      <c r="EK116" s="170"/>
      <c r="EL116" s="170"/>
      <c r="EM116" s="170"/>
      <c r="EN116" s="170"/>
      <c r="EO116" s="170"/>
      <c r="EP116" s="170"/>
    </row>
    <row x14ac:dyDescent="0.25" r="117" customHeight="1" ht="18.75">
      <c r="A117" s="1"/>
      <c r="B117" s="1135">
        <f>+B116+1</f>
      </c>
      <c r="C117" s="1136">
        <v>1.7771064814814816</v>
      </c>
      <c r="D117" s="1137">
        <v>1.824710648148148</v>
      </c>
      <c r="E117" s="1137">
        <f>+(C117+D117)/2</f>
        <v>25569.041666666668</v>
      </c>
      <c r="F117" s="1083"/>
      <c r="G117" s="1083"/>
      <c r="H117" s="1083"/>
      <c r="I117" s="1083"/>
      <c r="J117" s="169"/>
      <c r="K117" s="169"/>
      <c r="L117" s="169"/>
      <c r="M117" s="169"/>
      <c r="N117" s="169"/>
      <c r="O117" s="169"/>
      <c r="P117" s="169"/>
      <c r="Q117" s="169"/>
      <c r="R117" s="169"/>
      <c r="S117" s="169"/>
      <c r="T117" s="169"/>
      <c r="U117" s="169"/>
      <c r="V117" s="169"/>
      <c r="W117" s="169"/>
      <c r="X117" s="169"/>
      <c r="Y117" s="170"/>
      <c r="Z117" s="170"/>
      <c r="AA117" s="170"/>
      <c r="AB117" s="170"/>
      <c r="AC117" s="170"/>
      <c r="AD117" s="170"/>
      <c r="AE117" s="170"/>
      <c r="AF117" s="170"/>
      <c r="AG117" s="170"/>
      <c r="AH117" s="170"/>
      <c r="AI117" s="170"/>
      <c r="AJ117" s="170"/>
      <c r="AK117" s="170"/>
      <c r="AL117" s="170"/>
      <c r="AM117" s="170"/>
      <c r="AN117" s="170"/>
      <c r="AO117" s="170"/>
      <c r="AP117" s="170"/>
      <c r="AQ117" s="170"/>
      <c r="AR117" s="170"/>
      <c r="AS117" s="170"/>
      <c r="AT117" s="170"/>
      <c r="AU117" s="170"/>
      <c r="AV117" s="170"/>
      <c r="AW117" s="170"/>
      <c r="AX117" s="170"/>
      <c r="AY117" s="170"/>
      <c r="AZ117" s="170"/>
      <c r="BA117" s="170"/>
      <c r="BB117" s="170"/>
      <c r="BC117" s="170"/>
      <c r="BD117" s="170"/>
      <c r="BE117" s="170"/>
      <c r="BF117" s="170"/>
      <c r="BG117" s="170"/>
      <c r="BH117" s="170"/>
      <c r="BI117" s="170"/>
      <c r="BJ117" s="170"/>
      <c r="BK117" s="170"/>
      <c r="BL117" s="170"/>
      <c r="BM117" s="170"/>
      <c r="BN117" s="170"/>
      <c r="BO117" s="170"/>
      <c r="BP117" s="170"/>
      <c r="BQ117" s="170"/>
      <c r="BR117" s="170"/>
      <c r="BS117" s="170"/>
      <c r="BT117" s="170"/>
      <c r="BU117" s="170"/>
      <c r="BV117" s="170"/>
      <c r="BW117" s="170"/>
      <c r="BX117" s="170"/>
      <c r="BY117" s="170"/>
      <c r="BZ117" s="170"/>
      <c r="CA117" s="170"/>
      <c r="CB117" s="170"/>
      <c r="CC117" s="170"/>
      <c r="CD117" s="170"/>
      <c r="CE117" s="170"/>
      <c r="CF117" s="170"/>
      <c r="CG117" s="170"/>
      <c r="CH117" s="170"/>
      <c r="CI117" s="170"/>
      <c r="CJ117" s="170"/>
      <c r="CK117" s="170"/>
      <c r="CL117" s="170"/>
      <c r="CM117" s="170"/>
      <c r="CN117" s="170"/>
      <c r="CO117" s="170"/>
      <c r="CP117" s="170"/>
      <c r="CQ117" s="170"/>
      <c r="CR117" s="170"/>
      <c r="CS117" s="170"/>
      <c r="CT117" s="170"/>
      <c r="CU117" s="170"/>
      <c r="CV117" s="170"/>
      <c r="CW117" s="170"/>
      <c r="CX117" s="170"/>
      <c r="CY117" s="170"/>
      <c r="CZ117" s="170"/>
      <c r="DA117" s="170"/>
      <c r="DB117" s="170"/>
      <c r="DC117" s="170"/>
      <c r="DD117" s="170"/>
      <c r="DE117" s="170"/>
      <c r="DF117" s="170"/>
      <c r="DG117" s="170"/>
      <c r="DH117" s="170"/>
      <c r="DI117" s="170"/>
      <c r="DJ117" s="170"/>
      <c r="DK117" s="170"/>
      <c r="DL117" s="170"/>
      <c r="DM117" s="170"/>
      <c r="DN117" s="170"/>
      <c r="DO117" s="170"/>
      <c r="DP117" s="170"/>
      <c r="DQ117" s="170"/>
      <c r="DR117" s="170"/>
      <c r="DS117" s="170"/>
      <c r="DT117" s="170"/>
      <c r="DU117" s="170"/>
      <c r="DV117" s="170"/>
      <c r="DW117" s="170"/>
      <c r="DX117" s="170"/>
      <c r="DY117" s="170"/>
      <c r="DZ117" s="170"/>
      <c r="EA117" s="170"/>
      <c r="EB117" s="170"/>
      <c r="EC117" s="170"/>
      <c r="ED117" s="170"/>
      <c r="EE117" s="170"/>
      <c r="EF117" s="170"/>
      <c r="EG117" s="170"/>
      <c r="EH117" s="170"/>
      <c r="EI117" s="170"/>
      <c r="EJ117" s="170"/>
      <c r="EK117" s="170"/>
      <c r="EL117" s="170"/>
      <c r="EM117" s="170"/>
      <c r="EN117" s="170"/>
      <c r="EO117" s="170"/>
      <c r="EP117" s="170"/>
    </row>
    <row x14ac:dyDescent="0.25" r="118" customHeight="1" ht="18.75">
      <c r="A118" s="1"/>
      <c r="B118" s="1135">
        <f>+B117+1</f>
      </c>
      <c r="C118" s="1136">
        <v>1.7771064814814816</v>
      </c>
      <c r="D118" s="1137">
        <v>1.824710648148148</v>
      </c>
      <c r="E118" s="1137">
        <f>+(C118+D118)/2</f>
        <v>25569.041666666668</v>
      </c>
      <c r="F118" s="1083"/>
      <c r="G118" s="1083"/>
      <c r="H118" s="1083"/>
      <c r="I118" s="1083"/>
      <c r="J118" s="169"/>
      <c r="K118" s="169"/>
      <c r="L118" s="169"/>
      <c r="M118" s="169"/>
      <c r="N118" s="169"/>
      <c r="O118" s="169"/>
      <c r="P118" s="169"/>
      <c r="Q118" s="169"/>
      <c r="R118" s="169"/>
      <c r="S118" s="169"/>
      <c r="T118" s="169"/>
      <c r="U118" s="169"/>
      <c r="V118" s="169"/>
      <c r="W118" s="169"/>
      <c r="X118" s="169"/>
      <c r="Y118" s="170"/>
      <c r="Z118" s="170"/>
      <c r="AA118" s="170"/>
      <c r="AB118" s="170"/>
      <c r="AC118" s="170"/>
      <c r="AD118" s="170"/>
      <c r="AE118" s="170"/>
      <c r="AF118" s="170"/>
      <c r="AG118" s="170"/>
      <c r="AH118" s="170"/>
      <c r="AI118" s="170"/>
      <c r="AJ118" s="170"/>
      <c r="AK118" s="170"/>
      <c r="AL118" s="170"/>
      <c r="AM118" s="170"/>
      <c r="AN118" s="170"/>
      <c r="AO118" s="170"/>
      <c r="AP118" s="170"/>
      <c r="AQ118" s="170"/>
      <c r="AR118" s="170"/>
      <c r="AS118" s="170"/>
      <c r="AT118" s="170"/>
      <c r="AU118" s="170"/>
      <c r="AV118" s="170"/>
      <c r="AW118" s="170"/>
      <c r="AX118" s="170"/>
      <c r="AY118" s="170"/>
      <c r="AZ118" s="170"/>
      <c r="BA118" s="170"/>
      <c r="BB118" s="170"/>
      <c r="BC118" s="170"/>
      <c r="BD118" s="170"/>
      <c r="BE118" s="170"/>
      <c r="BF118" s="170"/>
      <c r="BG118" s="170"/>
      <c r="BH118" s="170"/>
      <c r="BI118" s="170"/>
      <c r="BJ118" s="170"/>
      <c r="BK118" s="170"/>
      <c r="BL118" s="170"/>
      <c r="BM118" s="170"/>
      <c r="BN118" s="170"/>
      <c r="BO118" s="170"/>
      <c r="BP118" s="170"/>
      <c r="BQ118" s="170"/>
      <c r="BR118" s="170"/>
      <c r="BS118" s="170"/>
      <c r="BT118" s="170"/>
      <c r="BU118" s="170"/>
      <c r="BV118" s="170"/>
      <c r="BW118" s="170"/>
      <c r="BX118" s="170"/>
      <c r="BY118" s="170"/>
      <c r="BZ118" s="170"/>
      <c r="CA118" s="170"/>
      <c r="CB118" s="170"/>
      <c r="CC118" s="170"/>
      <c r="CD118" s="170"/>
      <c r="CE118" s="170"/>
      <c r="CF118" s="170"/>
      <c r="CG118" s="170"/>
      <c r="CH118" s="170"/>
      <c r="CI118" s="170"/>
      <c r="CJ118" s="170"/>
      <c r="CK118" s="170"/>
      <c r="CL118" s="170"/>
      <c r="CM118" s="170"/>
      <c r="CN118" s="170"/>
      <c r="CO118" s="170"/>
      <c r="CP118" s="170"/>
      <c r="CQ118" s="170"/>
      <c r="CR118" s="170"/>
      <c r="CS118" s="170"/>
      <c r="CT118" s="170"/>
      <c r="CU118" s="170"/>
      <c r="CV118" s="170"/>
      <c r="CW118" s="170"/>
      <c r="CX118" s="170"/>
      <c r="CY118" s="170"/>
      <c r="CZ118" s="170"/>
      <c r="DA118" s="170"/>
      <c r="DB118" s="170"/>
      <c r="DC118" s="170"/>
      <c r="DD118" s="170"/>
      <c r="DE118" s="170"/>
      <c r="DF118" s="170"/>
      <c r="DG118" s="170"/>
      <c r="DH118" s="170"/>
      <c r="DI118" s="170"/>
      <c r="DJ118" s="170"/>
      <c r="DK118" s="170"/>
      <c r="DL118" s="170"/>
      <c r="DM118" s="170"/>
      <c r="DN118" s="170"/>
      <c r="DO118" s="170"/>
      <c r="DP118" s="170"/>
      <c r="DQ118" s="170"/>
      <c r="DR118" s="170"/>
      <c r="DS118" s="170"/>
      <c r="DT118" s="170"/>
      <c r="DU118" s="170"/>
      <c r="DV118" s="170"/>
      <c r="DW118" s="170"/>
      <c r="DX118" s="170"/>
      <c r="DY118" s="170"/>
      <c r="DZ118" s="170"/>
      <c r="EA118" s="170"/>
      <c r="EB118" s="170"/>
      <c r="EC118" s="170"/>
      <c r="ED118" s="170"/>
      <c r="EE118" s="170"/>
      <c r="EF118" s="170"/>
      <c r="EG118" s="170"/>
      <c r="EH118" s="170"/>
      <c r="EI118" s="170"/>
      <c r="EJ118" s="170"/>
      <c r="EK118" s="170"/>
      <c r="EL118" s="170"/>
      <c r="EM118" s="170"/>
      <c r="EN118" s="170"/>
      <c r="EO118" s="170"/>
      <c r="EP118" s="170"/>
    </row>
    <row x14ac:dyDescent="0.25" r="119" customHeight="1" ht="18.75">
      <c r="A119" s="1"/>
      <c r="B119" s="1135">
        <f>+B118+1</f>
      </c>
      <c r="C119" s="1136">
        <v>1.7771064814814816</v>
      </c>
      <c r="D119" s="1137">
        <v>1.824710648148148</v>
      </c>
      <c r="E119" s="1137">
        <f>+(C119+D119)/2</f>
        <v>25569.041666666668</v>
      </c>
      <c r="F119" s="1083"/>
      <c r="G119" s="1083"/>
      <c r="H119" s="1083"/>
      <c r="I119" s="1083"/>
      <c r="J119" s="169"/>
      <c r="K119" s="169"/>
      <c r="L119" s="169"/>
      <c r="M119" s="169"/>
      <c r="N119" s="169"/>
      <c r="O119" s="169"/>
      <c r="P119" s="169"/>
      <c r="Q119" s="169"/>
      <c r="R119" s="169"/>
      <c r="S119" s="169"/>
      <c r="T119" s="169"/>
      <c r="U119" s="169"/>
      <c r="V119" s="169"/>
      <c r="W119" s="169"/>
      <c r="X119" s="169"/>
      <c r="Y119" s="170"/>
      <c r="Z119" s="170"/>
      <c r="AA119" s="170"/>
      <c r="AB119" s="170"/>
      <c r="AC119" s="170"/>
      <c r="AD119" s="170"/>
      <c r="AE119" s="170"/>
      <c r="AF119" s="170"/>
      <c r="AG119" s="170"/>
      <c r="AH119" s="170"/>
      <c r="AI119" s="170"/>
      <c r="AJ119" s="170"/>
      <c r="AK119" s="170"/>
      <c r="AL119" s="170"/>
      <c r="AM119" s="170"/>
      <c r="AN119" s="170"/>
      <c r="AO119" s="170"/>
      <c r="AP119" s="170"/>
      <c r="AQ119" s="170"/>
      <c r="AR119" s="170"/>
      <c r="AS119" s="170"/>
      <c r="AT119" s="170"/>
      <c r="AU119" s="170"/>
      <c r="AV119" s="170"/>
      <c r="AW119" s="170"/>
      <c r="AX119" s="170"/>
      <c r="AY119" s="170"/>
      <c r="AZ119" s="170"/>
      <c r="BA119" s="170"/>
      <c r="BB119" s="170"/>
      <c r="BC119" s="170"/>
      <c r="BD119" s="170"/>
      <c r="BE119" s="170"/>
      <c r="BF119" s="170"/>
      <c r="BG119" s="170"/>
      <c r="BH119" s="170"/>
      <c r="BI119" s="170"/>
      <c r="BJ119" s="170"/>
      <c r="BK119" s="170"/>
      <c r="BL119" s="170"/>
      <c r="BM119" s="170"/>
      <c r="BN119" s="170"/>
      <c r="BO119" s="170"/>
      <c r="BP119" s="170"/>
      <c r="BQ119" s="170"/>
      <c r="BR119" s="170"/>
      <c r="BS119" s="170"/>
      <c r="BT119" s="170"/>
      <c r="BU119" s="170"/>
      <c r="BV119" s="170"/>
      <c r="BW119" s="170"/>
      <c r="BX119" s="170"/>
      <c r="BY119" s="170"/>
      <c r="BZ119" s="170"/>
      <c r="CA119" s="170"/>
      <c r="CB119" s="170"/>
      <c r="CC119" s="170"/>
      <c r="CD119" s="170"/>
      <c r="CE119" s="170"/>
      <c r="CF119" s="170"/>
      <c r="CG119" s="170"/>
      <c r="CH119" s="170"/>
      <c r="CI119" s="170"/>
      <c r="CJ119" s="170"/>
      <c r="CK119" s="170"/>
      <c r="CL119" s="170"/>
      <c r="CM119" s="170"/>
      <c r="CN119" s="170"/>
      <c r="CO119" s="170"/>
      <c r="CP119" s="170"/>
      <c r="CQ119" s="170"/>
      <c r="CR119" s="170"/>
      <c r="CS119" s="170"/>
      <c r="CT119" s="170"/>
      <c r="CU119" s="170"/>
      <c r="CV119" s="170"/>
      <c r="CW119" s="170"/>
      <c r="CX119" s="170"/>
      <c r="CY119" s="170"/>
      <c r="CZ119" s="170"/>
      <c r="DA119" s="170"/>
      <c r="DB119" s="170"/>
      <c r="DC119" s="170"/>
      <c r="DD119" s="170"/>
      <c r="DE119" s="170"/>
      <c r="DF119" s="170"/>
      <c r="DG119" s="170"/>
      <c r="DH119" s="170"/>
      <c r="DI119" s="170"/>
      <c r="DJ119" s="170"/>
      <c r="DK119" s="170"/>
      <c r="DL119" s="170"/>
      <c r="DM119" s="170"/>
      <c r="DN119" s="170"/>
      <c r="DO119" s="170"/>
      <c r="DP119" s="170"/>
      <c r="DQ119" s="170"/>
      <c r="DR119" s="170"/>
      <c r="DS119" s="170"/>
      <c r="DT119" s="170"/>
      <c r="DU119" s="170"/>
      <c r="DV119" s="170"/>
      <c r="DW119" s="170"/>
      <c r="DX119" s="170"/>
      <c r="DY119" s="170"/>
      <c r="DZ119" s="170"/>
      <c r="EA119" s="170"/>
      <c r="EB119" s="170"/>
      <c r="EC119" s="170"/>
      <c r="ED119" s="170"/>
      <c r="EE119" s="170"/>
      <c r="EF119" s="170"/>
      <c r="EG119" s="170"/>
      <c r="EH119" s="170"/>
      <c r="EI119" s="170"/>
      <c r="EJ119" s="170"/>
      <c r="EK119" s="170"/>
      <c r="EL119" s="170"/>
      <c r="EM119" s="170"/>
      <c r="EN119" s="170"/>
      <c r="EO119" s="170"/>
      <c r="EP119" s="170"/>
    </row>
    <row x14ac:dyDescent="0.25" r="120" customHeight="1" ht="18.75">
      <c r="A120" s="1"/>
      <c r="B120" s="1135">
        <f>+B119+1</f>
      </c>
      <c r="C120" s="1136">
        <v>1.7771064814814816</v>
      </c>
      <c r="D120" s="1137">
        <v>1.824710648148148</v>
      </c>
      <c r="E120" s="1137">
        <f>+(C120+D120)/2</f>
        <v>25569.041666666668</v>
      </c>
      <c r="F120" s="1083"/>
      <c r="G120" s="1083"/>
      <c r="H120" s="1083"/>
      <c r="I120" s="1083"/>
      <c r="J120" s="169"/>
      <c r="K120" s="169"/>
      <c r="L120" s="169"/>
      <c r="M120" s="169"/>
      <c r="N120" s="169"/>
      <c r="O120" s="169"/>
      <c r="P120" s="169"/>
      <c r="Q120" s="169"/>
      <c r="R120" s="169"/>
      <c r="S120" s="169"/>
      <c r="T120" s="169"/>
      <c r="U120" s="169"/>
      <c r="V120" s="169"/>
      <c r="W120" s="169"/>
      <c r="X120" s="169"/>
      <c r="Y120" s="170"/>
      <c r="Z120" s="170"/>
      <c r="AA120" s="170"/>
      <c r="AB120" s="170"/>
      <c r="AC120" s="170"/>
      <c r="AD120" s="170"/>
      <c r="AE120" s="170"/>
      <c r="AF120" s="170"/>
      <c r="AG120" s="170"/>
      <c r="AH120" s="170"/>
      <c r="AI120" s="170"/>
      <c r="AJ120" s="170"/>
      <c r="AK120" s="170"/>
      <c r="AL120" s="170"/>
      <c r="AM120" s="170"/>
      <c r="AN120" s="170"/>
      <c r="AO120" s="170"/>
      <c r="AP120" s="170"/>
      <c r="AQ120" s="170"/>
      <c r="AR120" s="170"/>
      <c r="AS120" s="170"/>
      <c r="AT120" s="170"/>
      <c r="AU120" s="170"/>
      <c r="AV120" s="170"/>
      <c r="AW120" s="170"/>
      <c r="AX120" s="170"/>
      <c r="AY120" s="170"/>
      <c r="AZ120" s="170"/>
      <c r="BA120" s="170"/>
      <c r="BB120" s="170"/>
      <c r="BC120" s="170"/>
      <c r="BD120" s="170"/>
      <c r="BE120" s="170"/>
      <c r="BF120" s="170"/>
      <c r="BG120" s="170"/>
      <c r="BH120" s="170"/>
      <c r="BI120" s="170"/>
      <c r="BJ120" s="170"/>
      <c r="BK120" s="170"/>
      <c r="BL120" s="170"/>
      <c r="BM120" s="170"/>
      <c r="BN120" s="170"/>
      <c r="BO120" s="170"/>
      <c r="BP120" s="170"/>
      <c r="BQ120" s="170"/>
      <c r="BR120" s="170"/>
      <c r="BS120" s="170"/>
      <c r="BT120" s="170"/>
      <c r="BU120" s="170"/>
      <c r="BV120" s="170"/>
      <c r="BW120" s="170"/>
      <c r="BX120" s="170"/>
      <c r="BY120" s="170"/>
      <c r="BZ120" s="170"/>
      <c r="CA120" s="170"/>
      <c r="CB120" s="170"/>
      <c r="CC120" s="170"/>
      <c r="CD120" s="170"/>
      <c r="CE120" s="170"/>
      <c r="CF120" s="170"/>
      <c r="CG120" s="170"/>
      <c r="CH120" s="170"/>
      <c r="CI120" s="170"/>
      <c r="CJ120" s="170"/>
      <c r="CK120" s="170"/>
      <c r="CL120" s="170"/>
      <c r="CM120" s="170"/>
      <c r="CN120" s="170"/>
      <c r="CO120" s="170"/>
      <c r="CP120" s="170"/>
      <c r="CQ120" s="170"/>
      <c r="CR120" s="170"/>
      <c r="CS120" s="170"/>
      <c r="CT120" s="170"/>
      <c r="CU120" s="170"/>
      <c r="CV120" s="170"/>
      <c r="CW120" s="170"/>
      <c r="CX120" s="170"/>
      <c r="CY120" s="170"/>
      <c r="CZ120" s="170"/>
      <c r="DA120" s="170"/>
      <c r="DB120" s="170"/>
      <c r="DC120" s="170"/>
      <c r="DD120" s="170"/>
      <c r="DE120" s="170"/>
      <c r="DF120" s="170"/>
      <c r="DG120" s="170"/>
      <c r="DH120" s="170"/>
      <c r="DI120" s="170"/>
      <c r="DJ120" s="170"/>
      <c r="DK120" s="170"/>
      <c r="DL120" s="170"/>
      <c r="DM120" s="170"/>
      <c r="DN120" s="170"/>
      <c r="DO120" s="170"/>
      <c r="DP120" s="170"/>
      <c r="DQ120" s="170"/>
      <c r="DR120" s="170"/>
      <c r="DS120" s="170"/>
      <c r="DT120" s="170"/>
      <c r="DU120" s="170"/>
      <c r="DV120" s="170"/>
      <c r="DW120" s="170"/>
      <c r="DX120" s="170"/>
      <c r="DY120" s="170"/>
      <c r="DZ120" s="170"/>
      <c r="EA120" s="170"/>
      <c r="EB120" s="170"/>
      <c r="EC120" s="170"/>
      <c r="ED120" s="170"/>
      <c r="EE120" s="170"/>
      <c r="EF120" s="170"/>
      <c r="EG120" s="170"/>
      <c r="EH120" s="170"/>
      <c r="EI120" s="170"/>
      <c r="EJ120" s="170"/>
      <c r="EK120" s="170"/>
      <c r="EL120" s="170"/>
      <c r="EM120" s="170"/>
      <c r="EN120" s="170"/>
      <c r="EO120" s="170"/>
      <c r="EP120" s="170"/>
    </row>
    <row x14ac:dyDescent="0.25" r="121" customHeight="1" ht="18.75">
      <c r="A121" s="1"/>
      <c r="B121" s="1135">
        <f>+B120+1</f>
      </c>
      <c r="C121" s="1136">
        <v>1.7771064814814816</v>
      </c>
      <c r="D121" s="1137">
        <v>1.824710648148148</v>
      </c>
      <c r="E121" s="1137">
        <f>+(C121+D121)/2</f>
        <v>25569.041666666668</v>
      </c>
      <c r="F121" s="1083"/>
      <c r="G121" s="1083"/>
      <c r="H121" s="1083"/>
      <c r="I121" s="1083"/>
      <c r="J121" s="169"/>
      <c r="K121" s="169"/>
      <c r="L121" s="169"/>
      <c r="M121" s="169"/>
      <c r="N121" s="169"/>
      <c r="O121" s="169"/>
      <c r="P121" s="169"/>
      <c r="Q121" s="169"/>
      <c r="R121" s="169"/>
      <c r="S121" s="169"/>
      <c r="T121" s="169"/>
      <c r="U121" s="169"/>
      <c r="V121" s="169"/>
      <c r="W121" s="169"/>
      <c r="X121" s="169"/>
      <c r="Y121" s="170"/>
      <c r="Z121" s="170"/>
      <c r="AA121" s="170"/>
      <c r="AB121" s="170"/>
      <c r="AC121" s="170"/>
      <c r="AD121" s="170"/>
      <c r="AE121" s="170"/>
      <c r="AF121" s="170"/>
      <c r="AG121" s="170"/>
      <c r="AH121" s="170"/>
      <c r="AI121" s="170"/>
      <c r="AJ121" s="170"/>
      <c r="AK121" s="170"/>
      <c r="AL121" s="170"/>
      <c r="AM121" s="170"/>
      <c r="AN121" s="170"/>
      <c r="AO121" s="170"/>
      <c r="AP121" s="170"/>
      <c r="AQ121" s="170"/>
      <c r="AR121" s="170"/>
      <c r="AS121" s="170"/>
      <c r="AT121" s="170"/>
      <c r="AU121" s="170"/>
      <c r="AV121" s="170"/>
      <c r="AW121" s="170"/>
      <c r="AX121" s="170"/>
      <c r="AY121" s="170"/>
      <c r="AZ121" s="170"/>
      <c r="BA121" s="170"/>
      <c r="BB121" s="170"/>
      <c r="BC121" s="170"/>
      <c r="BD121" s="170"/>
      <c r="BE121" s="170"/>
      <c r="BF121" s="170"/>
      <c r="BG121" s="170"/>
      <c r="BH121" s="170"/>
      <c r="BI121" s="170"/>
      <c r="BJ121" s="170"/>
      <c r="BK121" s="170"/>
      <c r="BL121" s="170"/>
      <c r="BM121" s="170"/>
      <c r="BN121" s="170"/>
      <c r="BO121" s="170"/>
      <c r="BP121" s="170"/>
      <c r="BQ121" s="170"/>
      <c r="BR121" s="170"/>
      <c r="BS121" s="170"/>
      <c r="BT121" s="170"/>
      <c r="BU121" s="170"/>
      <c r="BV121" s="170"/>
      <c r="BW121" s="170"/>
      <c r="BX121" s="170"/>
      <c r="BY121" s="170"/>
      <c r="BZ121" s="170"/>
      <c r="CA121" s="170"/>
      <c r="CB121" s="170"/>
      <c r="CC121" s="170"/>
      <c r="CD121" s="170"/>
      <c r="CE121" s="170"/>
      <c r="CF121" s="170"/>
      <c r="CG121" s="170"/>
      <c r="CH121" s="170"/>
      <c r="CI121" s="170"/>
      <c r="CJ121" s="170"/>
      <c r="CK121" s="170"/>
      <c r="CL121" s="170"/>
      <c r="CM121" s="170"/>
      <c r="CN121" s="170"/>
      <c r="CO121" s="170"/>
      <c r="CP121" s="170"/>
      <c r="CQ121" s="170"/>
      <c r="CR121" s="170"/>
      <c r="CS121" s="170"/>
      <c r="CT121" s="170"/>
      <c r="CU121" s="170"/>
      <c r="CV121" s="170"/>
      <c r="CW121" s="170"/>
      <c r="CX121" s="170"/>
      <c r="CY121" s="170"/>
      <c r="CZ121" s="170"/>
      <c r="DA121" s="170"/>
      <c r="DB121" s="170"/>
      <c r="DC121" s="170"/>
      <c r="DD121" s="170"/>
      <c r="DE121" s="170"/>
      <c r="DF121" s="170"/>
      <c r="DG121" s="170"/>
      <c r="DH121" s="170"/>
      <c r="DI121" s="170"/>
      <c r="DJ121" s="170"/>
      <c r="DK121" s="170"/>
      <c r="DL121" s="170"/>
      <c r="DM121" s="170"/>
      <c r="DN121" s="170"/>
      <c r="DO121" s="170"/>
      <c r="DP121" s="170"/>
      <c r="DQ121" s="170"/>
      <c r="DR121" s="170"/>
      <c r="DS121" s="170"/>
      <c r="DT121" s="170"/>
      <c r="DU121" s="170"/>
      <c r="DV121" s="170"/>
      <c r="DW121" s="170"/>
      <c r="DX121" s="170"/>
      <c r="DY121" s="170"/>
      <c r="DZ121" s="170"/>
      <c r="EA121" s="170"/>
      <c r="EB121" s="170"/>
      <c r="EC121" s="170"/>
      <c r="ED121" s="170"/>
      <c r="EE121" s="170"/>
      <c r="EF121" s="170"/>
      <c r="EG121" s="170"/>
      <c r="EH121" s="170"/>
      <c r="EI121" s="170"/>
      <c r="EJ121" s="170"/>
      <c r="EK121" s="170"/>
      <c r="EL121" s="170"/>
      <c r="EM121" s="170"/>
      <c r="EN121" s="170"/>
      <c r="EO121" s="170"/>
      <c r="EP121" s="170"/>
    </row>
    <row x14ac:dyDescent="0.25" r="122" customHeight="1" ht="18.75">
      <c r="A122" s="1"/>
      <c r="B122" s="1135">
        <f>+B121+1</f>
      </c>
      <c r="C122" s="1136">
        <v>1.7771064814814816</v>
      </c>
      <c r="D122" s="1137">
        <v>1.824710648148148</v>
      </c>
      <c r="E122" s="1137">
        <f>+(C122+D122)/2</f>
        <v>25569.041666666668</v>
      </c>
      <c r="F122" s="1083"/>
      <c r="G122" s="1083"/>
      <c r="H122" s="1083"/>
      <c r="I122" s="1083"/>
      <c r="J122" s="169"/>
      <c r="K122" s="169"/>
      <c r="L122" s="169"/>
      <c r="M122" s="169"/>
      <c r="N122" s="169"/>
      <c r="O122" s="169"/>
      <c r="P122" s="169"/>
      <c r="Q122" s="169"/>
      <c r="R122" s="169"/>
      <c r="S122" s="169"/>
      <c r="T122" s="169"/>
      <c r="U122" s="169"/>
      <c r="V122" s="169"/>
      <c r="W122" s="169"/>
      <c r="X122" s="169"/>
      <c r="Y122" s="170"/>
      <c r="Z122" s="170"/>
      <c r="AA122" s="170"/>
      <c r="AB122" s="170"/>
      <c r="AC122" s="170"/>
      <c r="AD122" s="170"/>
      <c r="AE122" s="170"/>
      <c r="AF122" s="170"/>
      <c r="AG122" s="170"/>
      <c r="AH122" s="170"/>
      <c r="AI122" s="170"/>
      <c r="AJ122" s="170"/>
      <c r="AK122" s="170"/>
      <c r="AL122" s="170"/>
      <c r="AM122" s="170"/>
      <c r="AN122" s="170"/>
      <c r="AO122" s="170"/>
      <c r="AP122" s="170"/>
      <c r="AQ122" s="170"/>
      <c r="AR122" s="170"/>
      <c r="AS122" s="170"/>
      <c r="AT122" s="170"/>
      <c r="AU122" s="170"/>
      <c r="AV122" s="170"/>
      <c r="AW122" s="170"/>
      <c r="AX122" s="170"/>
      <c r="AY122" s="170"/>
      <c r="AZ122" s="170"/>
      <c r="BA122" s="170"/>
      <c r="BB122" s="170"/>
      <c r="BC122" s="170"/>
      <c r="BD122" s="170"/>
      <c r="BE122" s="170"/>
      <c r="BF122" s="170"/>
      <c r="BG122" s="170"/>
      <c r="BH122" s="170"/>
      <c r="BI122" s="170"/>
      <c r="BJ122" s="170"/>
      <c r="BK122" s="170"/>
      <c r="BL122" s="170"/>
      <c r="BM122" s="170"/>
      <c r="BN122" s="170"/>
      <c r="BO122" s="170"/>
      <c r="BP122" s="170"/>
      <c r="BQ122" s="170"/>
      <c r="BR122" s="170"/>
      <c r="BS122" s="170"/>
      <c r="BT122" s="170"/>
      <c r="BU122" s="170"/>
      <c r="BV122" s="170"/>
      <c r="BW122" s="170"/>
      <c r="BX122" s="170"/>
      <c r="BY122" s="170"/>
      <c r="BZ122" s="170"/>
      <c r="CA122" s="170"/>
      <c r="CB122" s="170"/>
      <c r="CC122" s="170"/>
      <c r="CD122" s="170"/>
      <c r="CE122" s="170"/>
      <c r="CF122" s="170"/>
      <c r="CG122" s="170"/>
      <c r="CH122" s="170"/>
      <c r="CI122" s="170"/>
      <c r="CJ122" s="170"/>
      <c r="CK122" s="170"/>
      <c r="CL122" s="170"/>
      <c r="CM122" s="170"/>
      <c r="CN122" s="170"/>
      <c r="CO122" s="170"/>
      <c r="CP122" s="170"/>
      <c r="CQ122" s="170"/>
      <c r="CR122" s="170"/>
      <c r="CS122" s="170"/>
      <c r="CT122" s="170"/>
      <c r="CU122" s="170"/>
      <c r="CV122" s="170"/>
      <c r="CW122" s="170"/>
      <c r="CX122" s="170"/>
      <c r="CY122" s="170"/>
      <c r="CZ122" s="170"/>
      <c r="DA122" s="170"/>
      <c r="DB122" s="170"/>
      <c r="DC122" s="170"/>
      <c r="DD122" s="170"/>
      <c r="DE122" s="170"/>
      <c r="DF122" s="170"/>
      <c r="DG122" s="170"/>
      <c r="DH122" s="170"/>
      <c r="DI122" s="170"/>
      <c r="DJ122" s="170"/>
      <c r="DK122" s="170"/>
      <c r="DL122" s="170"/>
      <c r="DM122" s="170"/>
      <c r="DN122" s="170"/>
      <c r="DO122" s="170"/>
      <c r="DP122" s="170"/>
      <c r="DQ122" s="170"/>
      <c r="DR122" s="170"/>
      <c r="DS122" s="170"/>
      <c r="DT122" s="170"/>
      <c r="DU122" s="170"/>
      <c r="DV122" s="170"/>
      <c r="DW122" s="170"/>
      <c r="DX122" s="170"/>
      <c r="DY122" s="170"/>
      <c r="DZ122" s="170"/>
      <c r="EA122" s="170"/>
      <c r="EB122" s="170"/>
      <c r="EC122" s="170"/>
      <c r="ED122" s="170"/>
      <c r="EE122" s="170"/>
      <c r="EF122" s="170"/>
      <c r="EG122" s="170"/>
      <c r="EH122" s="170"/>
      <c r="EI122" s="170"/>
      <c r="EJ122" s="170"/>
      <c r="EK122" s="170"/>
      <c r="EL122" s="170"/>
      <c r="EM122" s="170"/>
      <c r="EN122" s="170"/>
      <c r="EO122" s="170"/>
      <c r="EP122" s="170"/>
    </row>
    <row x14ac:dyDescent="0.25" r="123" customHeight="1" ht="18.75">
      <c r="A123" s="1"/>
      <c r="B123" s="1135">
        <f>+B122+1</f>
      </c>
      <c r="C123" s="1136">
        <v>1.7771064814814816</v>
      </c>
      <c r="D123" s="1137">
        <v>1.824710648148148</v>
      </c>
      <c r="E123" s="1137">
        <f>+(C123+D123)/2</f>
        <v>25569.041666666668</v>
      </c>
      <c r="F123" s="1083"/>
      <c r="G123" s="1083"/>
      <c r="H123" s="1083"/>
      <c r="I123" s="1083"/>
      <c r="J123" s="169"/>
      <c r="K123" s="169"/>
      <c r="L123" s="169"/>
      <c r="M123" s="169"/>
      <c r="N123" s="169"/>
      <c r="O123" s="169"/>
      <c r="P123" s="169"/>
      <c r="Q123" s="169"/>
      <c r="R123" s="169"/>
      <c r="S123" s="169"/>
      <c r="T123" s="169"/>
      <c r="U123" s="169"/>
      <c r="V123" s="169"/>
      <c r="W123" s="169"/>
      <c r="X123" s="169"/>
      <c r="Y123" s="170"/>
      <c r="Z123" s="170"/>
      <c r="AA123" s="170"/>
      <c r="AB123" s="170"/>
      <c r="AC123" s="170"/>
      <c r="AD123" s="170"/>
      <c r="AE123" s="170"/>
      <c r="AF123" s="170"/>
      <c r="AG123" s="170"/>
      <c r="AH123" s="170"/>
      <c r="AI123" s="170"/>
      <c r="AJ123" s="170"/>
      <c r="AK123" s="170"/>
      <c r="AL123" s="170"/>
      <c r="AM123" s="170"/>
      <c r="AN123" s="170"/>
      <c r="AO123" s="170"/>
      <c r="AP123" s="170"/>
      <c r="AQ123" s="170"/>
      <c r="AR123" s="170"/>
      <c r="AS123" s="170"/>
      <c r="AT123" s="170"/>
      <c r="AU123" s="170"/>
      <c r="AV123" s="170"/>
      <c r="AW123" s="170"/>
      <c r="AX123" s="170"/>
      <c r="AY123" s="170"/>
      <c r="AZ123" s="170"/>
      <c r="BA123" s="170"/>
      <c r="BB123" s="170"/>
      <c r="BC123" s="170"/>
      <c r="BD123" s="170"/>
      <c r="BE123" s="170"/>
      <c r="BF123" s="170"/>
      <c r="BG123" s="170"/>
      <c r="BH123" s="170"/>
      <c r="BI123" s="170"/>
      <c r="BJ123" s="170"/>
      <c r="BK123" s="170"/>
      <c r="BL123" s="170"/>
      <c r="BM123" s="170"/>
      <c r="BN123" s="170"/>
      <c r="BO123" s="170"/>
      <c r="BP123" s="170"/>
      <c r="BQ123" s="170"/>
      <c r="BR123" s="170"/>
      <c r="BS123" s="170"/>
      <c r="BT123" s="170"/>
      <c r="BU123" s="170"/>
      <c r="BV123" s="170"/>
      <c r="BW123" s="170"/>
      <c r="BX123" s="170"/>
      <c r="BY123" s="170"/>
      <c r="BZ123" s="170"/>
      <c r="CA123" s="170"/>
      <c r="CB123" s="170"/>
      <c r="CC123" s="170"/>
      <c r="CD123" s="170"/>
      <c r="CE123" s="170"/>
      <c r="CF123" s="170"/>
      <c r="CG123" s="170"/>
      <c r="CH123" s="170"/>
      <c r="CI123" s="170"/>
      <c r="CJ123" s="170"/>
      <c r="CK123" s="170"/>
      <c r="CL123" s="170"/>
      <c r="CM123" s="170"/>
      <c r="CN123" s="170"/>
      <c r="CO123" s="170"/>
      <c r="CP123" s="170"/>
      <c r="CQ123" s="170"/>
      <c r="CR123" s="170"/>
      <c r="CS123" s="170"/>
      <c r="CT123" s="170"/>
      <c r="CU123" s="170"/>
      <c r="CV123" s="170"/>
      <c r="CW123" s="170"/>
      <c r="CX123" s="170"/>
      <c r="CY123" s="170"/>
      <c r="CZ123" s="170"/>
      <c r="DA123" s="170"/>
      <c r="DB123" s="170"/>
      <c r="DC123" s="170"/>
      <c r="DD123" s="170"/>
      <c r="DE123" s="170"/>
      <c r="DF123" s="170"/>
      <c r="DG123" s="170"/>
      <c r="DH123" s="170"/>
      <c r="DI123" s="170"/>
      <c r="DJ123" s="170"/>
      <c r="DK123" s="170"/>
      <c r="DL123" s="170"/>
      <c r="DM123" s="170"/>
      <c r="DN123" s="170"/>
      <c r="DO123" s="170"/>
      <c r="DP123" s="170"/>
      <c r="DQ123" s="170"/>
      <c r="DR123" s="170"/>
      <c r="DS123" s="170"/>
      <c r="DT123" s="170"/>
      <c r="DU123" s="170"/>
      <c r="DV123" s="170"/>
      <c r="DW123" s="170"/>
      <c r="DX123" s="170"/>
      <c r="DY123" s="170"/>
      <c r="DZ123" s="170"/>
      <c r="EA123" s="170"/>
      <c r="EB123" s="170"/>
      <c r="EC123" s="170"/>
      <c r="ED123" s="170"/>
      <c r="EE123" s="170"/>
      <c r="EF123" s="170"/>
      <c r="EG123" s="170"/>
      <c r="EH123" s="170"/>
      <c r="EI123" s="170"/>
      <c r="EJ123" s="170"/>
      <c r="EK123" s="170"/>
      <c r="EL123" s="170"/>
      <c r="EM123" s="170"/>
      <c r="EN123" s="170"/>
      <c r="EO123" s="170"/>
      <c r="EP123" s="170"/>
    </row>
    <row x14ac:dyDescent="0.25" r="124" customHeight="1" ht="18.75">
      <c r="A124" s="1"/>
      <c r="B124" s="1135">
        <f>+B123+1</f>
      </c>
      <c r="C124" s="1136">
        <v>1.7771064814814816</v>
      </c>
      <c r="D124" s="1137">
        <v>1.824710648148148</v>
      </c>
      <c r="E124" s="1137">
        <f>+(C124+D124)/2</f>
        <v>25569.041666666668</v>
      </c>
      <c r="F124" s="1083"/>
      <c r="G124" s="1083"/>
      <c r="H124" s="1083"/>
      <c r="I124" s="1083"/>
      <c r="J124" s="169"/>
      <c r="K124" s="169"/>
      <c r="L124" s="169"/>
      <c r="M124" s="169"/>
      <c r="N124" s="169"/>
      <c r="O124" s="169"/>
      <c r="P124" s="169"/>
      <c r="Q124" s="169"/>
      <c r="R124" s="169"/>
      <c r="S124" s="169"/>
      <c r="T124" s="169"/>
      <c r="U124" s="169"/>
      <c r="V124" s="169"/>
      <c r="W124" s="169"/>
      <c r="X124" s="169"/>
      <c r="Y124" s="170"/>
      <c r="Z124" s="170"/>
      <c r="AA124" s="170"/>
      <c r="AB124" s="170"/>
      <c r="AC124" s="170"/>
      <c r="AD124" s="170"/>
      <c r="AE124" s="170"/>
      <c r="AF124" s="170"/>
      <c r="AG124" s="170"/>
      <c r="AH124" s="170"/>
      <c r="AI124" s="170"/>
      <c r="AJ124" s="170"/>
      <c r="AK124" s="170"/>
      <c r="AL124" s="170"/>
      <c r="AM124" s="170"/>
      <c r="AN124" s="170"/>
      <c r="AO124" s="170"/>
      <c r="AP124" s="170"/>
      <c r="AQ124" s="170"/>
      <c r="AR124" s="170"/>
      <c r="AS124" s="170"/>
      <c r="AT124" s="170"/>
      <c r="AU124" s="170"/>
      <c r="AV124" s="170"/>
      <c r="AW124" s="170"/>
      <c r="AX124" s="170"/>
      <c r="AY124" s="170"/>
      <c r="AZ124" s="170"/>
      <c r="BA124" s="170"/>
      <c r="BB124" s="170"/>
      <c r="BC124" s="170"/>
      <c r="BD124" s="170"/>
      <c r="BE124" s="170"/>
      <c r="BF124" s="170"/>
      <c r="BG124" s="170"/>
      <c r="BH124" s="170"/>
      <c r="BI124" s="170"/>
      <c r="BJ124" s="170"/>
      <c r="BK124" s="170"/>
      <c r="BL124" s="170"/>
      <c r="BM124" s="170"/>
      <c r="BN124" s="170"/>
      <c r="BO124" s="170"/>
      <c r="BP124" s="170"/>
      <c r="BQ124" s="170"/>
      <c r="BR124" s="170"/>
      <c r="BS124" s="170"/>
      <c r="BT124" s="170"/>
      <c r="BU124" s="170"/>
      <c r="BV124" s="170"/>
      <c r="BW124" s="170"/>
      <c r="BX124" s="170"/>
      <c r="BY124" s="170"/>
      <c r="BZ124" s="170"/>
      <c r="CA124" s="170"/>
      <c r="CB124" s="170"/>
      <c r="CC124" s="170"/>
      <c r="CD124" s="170"/>
      <c r="CE124" s="170"/>
      <c r="CF124" s="170"/>
      <c r="CG124" s="170"/>
      <c r="CH124" s="170"/>
      <c r="CI124" s="170"/>
      <c r="CJ124" s="170"/>
      <c r="CK124" s="170"/>
      <c r="CL124" s="170"/>
      <c r="CM124" s="170"/>
      <c r="CN124" s="170"/>
      <c r="CO124" s="170"/>
      <c r="CP124" s="170"/>
      <c r="CQ124" s="170"/>
      <c r="CR124" s="170"/>
      <c r="CS124" s="170"/>
      <c r="CT124" s="170"/>
      <c r="CU124" s="170"/>
      <c r="CV124" s="170"/>
      <c r="CW124" s="170"/>
      <c r="CX124" s="170"/>
      <c r="CY124" s="170"/>
      <c r="CZ124" s="170"/>
      <c r="DA124" s="170"/>
      <c r="DB124" s="170"/>
      <c r="DC124" s="170"/>
      <c r="DD124" s="170"/>
      <c r="DE124" s="170"/>
      <c r="DF124" s="170"/>
      <c r="DG124" s="170"/>
      <c r="DH124" s="170"/>
      <c r="DI124" s="170"/>
      <c r="DJ124" s="170"/>
      <c r="DK124" s="170"/>
      <c r="DL124" s="170"/>
      <c r="DM124" s="170"/>
      <c r="DN124" s="170"/>
      <c r="DO124" s="170"/>
      <c r="DP124" s="170"/>
      <c r="DQ124" s="170"/>
      <c r="DR124" s="170"/>
      <c r="DS124" s="170"/>
      <c r="DT124" s="170"/>
      <c r="DU124" s="170"/>
      <c r="DV124" s="170"/>
      <c r="DW124" s="170"/>
      <c r="DX124" s="170"/>
      <c r="DY124" s="170"/>
      <c r="DZ124" s="170"/>
      <c r="EA124" s="170"/>
      <c r="EB124" s="170"/>
      <c r="EC124" s="170"/>
      <c r="ED124" s="170"/>
      <c r="EE124" s="170"/>
      <c r="EF124" s="170"/>
      <c r="EG124" s="170"/>
      <c r="EH124" s="170"/>
      <c r="EI124" s="170"/>
      <c r="EJ124" s="170"/>
      <c r="EK124" s="170"/>
      <c r="EL124" s="170"/>
      <c r="EM124" s="170"/>
      <c r="EN124" s="170"/>
      <c r="EO124" s="170"/>
      <c r="EP124" s="170"/>
    </row>
  </sheetData>
  <mergeCells count="3">
    <mergeCell ref="D1:F1"/>
    <mergeCell ref="D2:F2"/>
    <mergeCell ref="B36:B3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S36"/>
  <sheetViews>
    <sheetView workbookViewId="0"/>
  </sheetViews>
  <sheetFormatPr defaultRowHeight="15" x14ac:dyDescent="0.25"/>
  <cols>
    <col min="1" max="1" style="163" width="19.005" customWidth="1" bestFit="1"/>
    <col min="2" max="2" style="165" width="17.719285714285714" customWidth="1" bestFit="1"/>
    <col min="3" max="3" style="163" width="16.290714285714284" customWidth="1" bestFit="1"/>
    <col min="4" max="4" style="163" width="16.290714285714284" customWidth="1" bestFit="1"/>
    <col min="5" max="5" style="166" width="15.290714285714287" customWidth="1" bestFit="1"/>
    <col min="6" max="6" style="164" width="19.719285714285714" customWidth="1" bestFit="1"/>
    <col min="7" max="7" style="163" width="16.290714285714284" customWidth="1" bestFit="1"/>
    <col min="8" max="8" style="163" width="16.290714285714284" customWidth="1" bestFit="1"/>
    <col min="9" max="9" style="166" width="14.719285714285713" customWidth="1" bestFit="1"/>
    <col min="10" max="10" style="165" width="17.719285714285714" customWidth="1" bestFit="1"/>
    <col min="11" max="11" style="163" width="16.290714285714284" customWidth="1" bestFit="1"/>
    <col min="12" max="12" style="163" width="16.290714285714284" customWidth="1" bestFit="1"/>
    <col min="13" max="13" style="166" width="11.719285714285713" customWidth="1" bestFit="1"/>
    <col min="14" max="14" style="165" width="12.290714285714287" customWidth="1" bestFit="1"/>
    <col min="15" max="15" style="163" width="16.290714285714284" customWidth="1" bestFit="1"/>
    <col min="16" max="16" style="163" width="16.290714285714284" customWidth="1" bestFit="1"/>
    <col min="17" max="17" style="166" width="11.43357142857143" customWidth="1" bestFit="1"/>
    <col min="18" max="18" style="163" width="13.576428571428572" customWidth="1" bestFit="1"/>
    <col min="19" max="19" style="163" width="13.576428571428572" customWidth="1" bestFit="1"/>
  </cols>
  <sheetData>
    <row x14ac:dyDescent="0.25" r="1" customHeight="1" ht="18.75">
      <c r="A1" s="1051" t="s">
        <v>1125</v>
      </c>
      <c r="B1" s="169"/>
      <c r="C1" s="1"/>
      <c r="D1" s="1"/>
      <c r="E1" s="168"/>
      <c r="F1" s="170"/>
      <c r="G1" s="1"/>
      <c r="H1" s="1"/>
      <c r="I1" s="168"/>
      <c r="J1" s="169"/>
      <c r="K1" s="1"/>
      <c r="L1" s="1"/>
      <c r="M1" s="168"/>
      <c r="N1" s="169"/>
      <c r="O1" s="1"/>
      <c r="P1" s="1"/>
      <c r="Q1" s="168"/>
      <c r="R1" s="1"/>
      <c r="S1" s="1"/>
    </row>
    <row x14ac:dyDescent="0.25" r="2" customHeight="1" ht="18.75">
      <c r="A2" s="414" t="s">
        <v>1126</v>
      </c>
      <c r="B2" s="169"/>
      <c r="C2" s="1"/>
      <c r="D2" s="1"/>
      <c r="E2" s="168"/>
      <c r="F2" s="170"/>
      <c r="G2" s="1"/>
      <c r="H2" s="1"/>
      <c r="I2" s="168"/>
      <c r="J2" s="169"/>
      <c r="K2" s="1"/>
      <c r="L2" s="1"/>
      <c r="M2" s="168"/>
      <c r="N2" s="169"/>
      <c r="O2" s="1"/>
      <c r="P2" s="1"/>
      <c r="Q2" s="168"/>
      <c r="R2" s="1"/>
      <c r="S2" s="1"/>
    </row>
    <row x14ac:dyDescent="0.25" r="3" customHeight="1" ht="18.75">
      <c r="A3" s="414" t="s">
        <v>1127</v>
      </c>
      <c r="B3" s="169"/>
      <c r="C3" s="1"/>
      <c r="D3" s="1"/>
      <c r="E3" s="168"/>
      <c r="F3" s="170"/>
      <c r="G3" s="1"/>
      <c r="H3" s="1"/>
      <c r="I3" s="168"/>
      <c r="J3" s="169"/>
      <c r="K3" s="1"/>
      <c r="L3" s="1"/>
      <c r="M3" s="168"/>
      <c r="N3" s="169"/>
      <c r="O3" s="1"/>
      <c r="P3" s="1"/>
      <c r="Q3" s="168"/>
      <c r="R3" s="1"/>
      <c r="S3" s="1"/>
    </row>
    <row x14ac:dyDescent="0.25" r="4" customHeight="1" ht="18.75">
      <c r="A4" s="414" t="s">
        <v>1128</v>
      </c>
      <c r="B4" s="169"/>
      <c r="C4" s="1"/>
      <c r="D4" s="1"/>
      <c r="E4" s="168"/>
      <c r="F4" s="170"/>
      <c r="G4" s="1"/>
      <c r="H4" s="1"/>
      <c r="I4" s="168"/>
      <c r="J4" s="169"/>
      <c r="K4" s="1"/>
      <c r="L4" s="1"/>
      <c r="M4" s="168"/>
      <c r="N4" s="169"/>
      <c r="O4" s="1"/>
      <c r="P4" s="1"/>
      <c r="Q4" s="168"/>
      <c r="R4" s="1"/>
      <c r="S4" s="1"/>
    </row>
    <row x14ac:dyDescent="0.25" r="5" customHeight="1" ht="18.75">
      <c r="A5" s="414" t="s">
        <v>1129</v>
      </c>
      <c r="B5" s="169"/>
      <c r="C5" s="1"/>
      <c r="D5" s="1"/>
      <c r="E5" s="168"/>
      <c r="F5" s="170"/>
      <c r="G5" s="1"/>
      <c r="H5" s="1"/>
      <c r="I5" s="168"/>
      <c r="J5" s="169"/>
      <c r="K5" s="1"/>
      <c r="L5" s="1"/>
      <c r="M5" s="168"/>
      <c r="N5" s="169"/>
      <c r="O5" s="1"/>
      <c r="P5" s="1"/>
      <c r="Q5" s="168"/>
      <c r="R5" s="1"/>
      <c r="S5" s="1"/>
    </row>
    <row x14ac:dyDescent="0.25" r="6" customHeight="1" ht="18.75">
      <c r="A6" s="1"/>
      <c r="B6" s="169"/>
      <c r="C6" s="1"/>
      <c r="D6" s="1"/>
      <c r="E6" s="168"/>
      <c r="F6" s="170"/>
      <c r="G6" s="1"/>
      <c r="H6" s="1"/>
      <c r="I6" s="168"/>
      <c r="J6" s="169"/>
      <c r="K6" s="1"/>
      <c r="L6" s="1"/>
      <c r="M6" s="168"/>
      <c r="N6" s="169"/>
      <c r="O6" s="1"/>
      <c r="P6" s="1"/>
      <c r="Q6" s="168"/>
      <c r="R6" s="1"/>
      <c r="S6" s="1"/>
    </row>
    <row x14ac:dyDescent="0.25" r="7" customHeight="1" ht="18.75">
      <c r="A7" s="1"/>
      <c r="B7" s="1052" t="s">
        <v>1130</v>
      </c>
      <c r="C7" s="1053"/>
      <c r="D7" s="1053"/>
      <c r="E7" s="1054"/>
      <c r="F7" s="1055"/>
      <c r="G7" s="1053"/>
      <c r="H7" s="1053"/>
      <c r="I7" s="1054"/>
      <c r="J7" s="1052"/>
      <c r="K7" s="1053"/>
      <c r="L7" s="1053"/>
      <c r="M7" s="1054"/>
      <c r="N7" s="1052"/>
      <c r="O7" s="1053"/>
      <c r="P7" s="1053"/>
      <c r="Q7" s="168"/>
      <c r="R7" s="1"/>
      <c r="S7" s="1"/>
    </row>
    <row x14ac:dyDescent="0.25" r="8" customHeight="1" ht="18.75">
      <c r="A8" s="1"/>
      <c r="B8" s="169"/>
      <c r="C8" s="1"/>
      <c r="D8" s="1"/>
      <c r="E8" s="168"/>
      <c r="F8" s="170"/>
      <c r="G8" s="1"/>
      <c r="H8" s="1"/>
      <c r="I8" s="168"/>
      <c r="J8" s="169"/>
      <c r="K8" s="1"/>
      <c r="L8" s="1"/>
      <c r="M8" s="168"/>
      <c r="N8" s="169"/>
      <c r="O8" s="1"/>
      <c r="P8" s="1"/>
      <c r="Q8" s="168"/>
      <c r="R8" s="1"/>
      <c r="S8" s="1"/>
    </row>
    <row x14ac:dyDescent="0.25" r="9" customHeight="1" ht="18.75" customFormat="1" s="23">
      <c r="A9" s="24"/>
      <c r="B9" s="1056" t="s">
        <v>1131</v>
      </c>
      <c r="C9" s="1057"/>
      <c r="D9" s="1058"/>
      <c r="E9" s="1059"/>
      <c r="F9" s="1060" t="s">
        <v>1132</v>
      </c>
      <c r="G9" s="1057"/>
      <c r="H9" s="1058"/>
      <c r="I9" s="1059"/>
      <c r="J9" s="1056" t="s">
        <v>1133</v>
      </c>
      <c r="K9" s="1057"/>
      <c r="L9" s="1058"/>
      <c r="M9" s="1059"/>
      <c r="N9" s="1056" t="s">
        <v>1134</v>
      </c>
      <c r="O9" s="1057"/>
      <c r="P9" s="1058"/>
      <c r="Q9" s="1059"/>
      <c r="R9" s="24"/>
      <c r="S9" s="24"/>
    </row>
    <row x14ac:dyDescent="0.25" r="10" customHeight="1" ht="18.75">
      <c r="A10" s="1"/>
      <c r="B10" s="1061" t="s">
        <v>589</v>
      </c>
      <c r="C10" s="1062" t="s">
        <v>1135</v>
      </c>
      <c r="D10" s="1063" t="s">
        <v>1136</v>
      </c>
      <c r="E10" s="1064" t="s">
        <v>1137</v>
      </c>
      <c r="F10" s="1065" t="s">
        <v>589</v>
      </c>
      <c r="G10" s="1062" t="s">
        <v>1135</v>
      </c>
      <c r="H10" s="1063" t="s">
        <v>1136</v>
      </c>
      <c r="I10" s="1064" t="s">
        <v>1137</v>
      </c>
      <c r="J10" s="1061" t="s">
        <v>589</v>
      </c>
      <c r="K10" s="1062" t="s">
        <v>1135</v>
      </c>
      <c r="L10" s="1063" t="s">
        <v>1136</v>
      </c>
      <c r="M10" s="1064" t="s">
        <v>1137</v>
      </c>
      <c r="N10" s="1061" t="s">
        <v>589</v>
      </c>
      <c r="O10" s="1062" t="s">
        <v>1135</v>
      </c>
      <c r="P10" s="1063" t="s">
        <v>1136</v>
      </c>
      <c r="Q10" s="1064" t="s">
        <v>1137</v>
      </c>
      <c r="R10" s="1"/>
      <c r="S10" s="1"/>
    </row>
    <row x14ac:dyDescent="0.25" r="11" customHeight="1" ht="18.75">
      <c r="A11" s="1"/>
      <c r="B11" s="1066">
        <v>24</v>
      </c>
      <c r="C11" s="1067" t="s">
        <v>807</v>
      </c>
      <c r="D11" s="1068" t="s">
        <v>599</v>
      </c>
      <c r="E11" s="780">
        <v>0.04999999999999999</v>
      </c>
      <c r="F11" s="1069">
        <v>24</v>
      </c>
      <c r="G11" s="1067" t="s">
        <v>944</v>
      </c>
      <c r="H11" s="1070" t="s">
        <v>809</v>
      </c>
      <c r="I11" s="780">
        <v>0.04000000000000001</v>
      </c>
      <c r="J11" s="1066">
        <v>24</v>
      </c>
      <c r="K11" s="1067" t="s">
        <v>814</v>
      </c>
      <c r="L11" s="1070" t="s">
        <v>937</v>
      </c>
      <c r="M11" s="780">
        <v>0.03</v>
      </c>
      <c r="N11" s="1071">
        <v>24</v>
      </c>
      <c r="O11" s="324" t="s">
        <v>805</v>
      </c>
      <c r="P11" s="1072" t="s">
        <v>805</v>
      </c>
      <c r="Q11" s="780">
        <v>0</v>
      </c>
      <c r="R11" s="1"/>
      <c r="S11" s="324"/>
    </row>
    <row x14ac:dyDescent="0.25" r="12" customHeight="1" ht="18.75">
      <c r="A12" s="1"/>
      <c r="B12" s="1066">
        <v>23</v>
      </c>
      <c r="C12" s="1067" t="s">
        <v>807</v>
      </c>
      <c r="D12" s="1068" t="s">
        <v>597</v>
      </c>
      <c r="E12" s="780">
        <v>0.015999999999999986</v>
      </c>
      <c r="F12" s="1069">
        <v>23</v>
      </c>
      <c r="G12" s="1067" t="s">
        <v>944</v>
      </c>
      <c r="H12" s="1070" t="s">
        <v>816</v>
      </c>
      <c r="I12" s="780">
        <v>0.015000000000000013</v>
      </c>
      <c r="J12" s="1066">
        <v>23</v>
      </c>
      <c r="K12" s="1067" t="s">
        <v>814</v>
      </c>
      <c r="L12" s="1070" t="s">
        <v>944</v>
      </c>
      <c r="M12" s="780">
        <v>0.009999999999999981</v>
      </c>
      <c r="N12" s="1071">
        <v>23</v>
      </c>
      <c r="O12" s="324" t="s">
        <v>805</v>
      </c>
      <c r="P12" s="1072" t="s">
        <v>817</v>
      </c>
      <c r="Q12" s="780">
        <v>-0.010000000000000009</v>
      </c>
      <c r="R12" s="1"/>
      <c r="S12" s="1"/>
    </row>
    <row x14ac:dyDescent="0.25" r="13" customHeight="1" ht="18.75">
      <c r="A13" s="1"/>
      <c r="B13" s="1071">
        <v>22</v>
      </c>
      <c r="C13" s="324" t="s">
        <v>807</v>
      </c>
      <c r="D13" s="1073" t="s">
        <v>617</v>
      </c>
      <c r="E13" s="780">
        <v>-0.013300000000000006</v>
      </c>
      <c r="F13" s="1074">
        <v>22</v>
      </c>
      <c r="G13" s="324" t="s">
        <v>944</v>
      </c>
      <c r="H13" s="1072" t="s">
        <v>814</v>
      </c>
      <c r="I13" s="780">
        <v>-0.009999999999999981</v>
      </c>
      <c r="J13" s="1071">
        <v>22</v>
      </c>
      <c r="K13" s="324" t="s">
        <v>814</v>
      </c>
      <c r="L13" s="1072" t="s">
        <v>952</v>
      </c>
      <c r="M13" s="780">
        <v>-0.0067000000000000115</v>
      </c>
      <c r="N13" s="1071">
        <v>22</v>
      </c>
      <c r="O13" s="324" t="s">
        <v>805</v>
      </c>
      <c r="P13" s="1072" t="s">
        <v>637</v>
      </c>
      <c r="Q13" s="780">
        <v>-0.020000000000000004</v>
      </c>
      <c r="R13" s="1"/>
      <c r="S13" s="1"/>
    </row>
    <row x14ac:dyDescent="0.25" r="14" customHeight="1" ht="18.75">
      <c r="A14" s="1"/>
      <c r="B14" s="1071">
        <v>21</v>
      </c>
      <c r="C14" s="324" t="s">
        <v>814</v>
      </c>
      <c r="D14" s="1073" t="s">
        <v>627</v>
      </c>
      <c r="E14" s="780">
        <v>-0.014300000000000007</v>
      </c>
      <c r="F14" s="1074">
        <v>21</v>
      </c>
      <c r="G14" s="324" t="s">
        <v>1138</v>
      </c>
      <c r="H14" s="1072" t="s">
        <v>817</v>
      </c>
      <c r="I14" s="780">
        <v>-0.01125000000000001</v>
      </c>
      <c r="J14" s="1071">
        <v>21</v>
      </c>
      <c r="K14" s="324" t="s">
        <v>1139</v>
      </c>
      <c r="L14" s="1072" t="s">
        <v>962</v>
      </c>
      <c r="M14" s="780">
        <v>-0.008199999999999999</v>
      </c>
      <c r="N14" s="1071">
        <v>21</v>
      </c>
      <c r="O14" s="324" t="s">
        <v>1140</v>
      </c>
      <c r="P14" s="1072" t="s">
        <v>803</v>
      </c>
      <c r="Q14" s="780">
        <v>-0.013749999999999998</v>
      </c>
      <c r="R14" s="1"/>
      <c r="S14" s="1"/>
    </row>
    <row x14ac:dyDescent="0.25" r="15" customHeight="1" ht="18.75">
      <c r="A15" s="1"/>
      <c r="B15" s="1071">
        <v>20</v>
      </c>
      <c r="C15" s="324" t="s">
        <v>814</v>
      </c>
      <c r="D15" s="1073" t="s">
        <v>637</v>
      </c>
      <c r="E15" s="780">
        <v>-0.030000000000000013</v>
      </c>
      <c r="F15" s="1074">
        <v>20</v>
      </c>
      <c r="G15" s="324" t="s">
        <v>1138</v>
      </c>
      <c r="H15" s="1072" t="s">
        <v>830</v>
      </c>
      <c r="I15" s="780">
        <v>-0.02625000000000001</v>
      </c>
      <c r="J15" s="1071">
        <v>20</v>
      </c>
      <c r="K15" s="324" t="s">
        <v>1139</v>
      </c>
      <c r="L15" s="1072" t="s">
        <v>803</v>
      </c>
      <c r="M15" s="780">
        <v>-0.022499999999999992</v>
      </c>
      <c r="N15" s="1071">
        <v>20</v>
      </c>
      <c r="O15" s="324" t="s">
        <v>1140</v>
      </c>
      <c r="P15" s="1072" t="s">
        <v>932</v>
      </c>
      <c r="Q15" s="780">
        <v>-0.021750000000000005</v>
      </c>
      <c r="R15" s="1"/>
      <c r="S15" s="1"/>
    </row>
    <row x14ac:dyDescent="0.25" r="16" customHeight="1" ht="18.75">
      <c r="A16" s="1"/>
      <c r="B16" s="1071">
        <v>19</v>
      </c>
      <c r="C16" s="324" t="s">
        <v>814</v>
      </c>
      <c r="D16" s="1073" t="s">
        <v>647</v>
      </c>
      <c r="E16" s="780">
        <v>-0.042200000000000015</v>
      </c>
      <c r="F16" s="1074">
        <v>19</v>
      </c>
      <c r="G16" s="324" t="s">
        <v>1138</v>
      </c>
      <c r="H16" s="1072" t="s">
        <v>837</v>
      </c>
      <c r="I16" s="780">
        <v>-0.03795000000000001</v>
      </c>
      <c r="J16" s="1071">
        <v>19</v>
      </c>
      <c r="K16" s="324" t="s">
        <v>1139</v>
      </c>
      <c r="L16" s="1072" t="s">
        <v>977</v>
      </c>
      <c r="M16" s="780">
        <v>-0.03359999999999999</v>
      </c>
      <c r="N16" s="1071">
        <v>19</v>
      </c>
      <c r="O16" s="324" t="s">
        <v>1140</v>
      </c>
      <c r="P16" s="1072" t="s">
        <v>828</v>
      </c>
      <c r="Q16" s="780">
        <v>-0.02975</v>
      </c>
      <c r="R16" s="1"/>
      <c r="S16" s="1"/>
    </row>
    <row x14ac:dyDescent="0.25" r="17" customHeight="1" ht="18.75">
      <c r="A17" s="1"/>
      <c r="B17" s="1071">
        <v>18</v>
      </c>
      <c r="C17" s="324" t="s">
        <v>817</v>
      </c>
      <c r="D17" s="1073" t="s">
        <v>657</v>
      </c>
      <c r="E17" s="780">
        <v>-0.032</v>
      </c>
      <c r="F17" s="1074">
        <v>18</v>
      </c>
      <c r="G17" s="324" t="s">
        <v>1141</v>
      </c>
      <c r="H17" s="1072" t="s">
        <v>828</v>
      </c>
      <c r="I17" s="780">
        <v>-0.028499999999999998</v>
      </c>
      <c r="J17" s="1071">
        <v>18</v>
      </c>
      <c r="K17" s="324" t="s">
        <v>830</v>
      </c>
      <c r="L17" s="1072" t="s">
        <v>633</v>
      </c>
      <c r="M17" s="780">
        <v>-0.024999999999999994</v>
      </c>
      <c r="N17" s="1071">
        <v>18</v>
      </c>
      <c r="O17" s="324" t="s">
        <v>1142</v>
      </c>
      <c r="P17" s="1072" t="s">
        <v>1046</v>
      </c>
      <c r="Q17" s="780">
        <v>-0.021500000000000005</v>
      </c>
      <c r="R17" s="1"/>
      <c r="S17" s="1"/>
    </row>
    <row x14ac:dyDescent="0.25" r="18" customHeight="1" ht="18.75">
      <c r="A18" s="1"/>
      <c r="B18" s="1071">
        <v>17</v>
      </c>
      <c r="C18" s="324" t="s">
        <v>817</v>
      </c>
      <c r="D18" s="1073" t="s">
        <v>633</v>
      </c>
      <c r="E18" s="780">
        <v>-0.039999999999999994</v>
      </c>
      <c r="F18" s="1074">
        <v>17</v>
      </c>
      <c r="G18" s="324" t="s">
        <v>1141</v>
      </c>
      <c r="H18" s="1072" t="s">
        <v>655</v>
      </c>
      <c r="I18" s="780">
        <v>-0.03610000000000001</v>
      </c>
      <c r="J18" s="1071">
        <v>17</v>
      </c>
      <c r="K18" s="324" t="s">
        <v>830</v>
      </c>
      <c r="L18" s="1072" t="s">
        <v>643</v>
      </c>
      <c r="M18" s="780">
        <v>-0.032299999999999995</v>
      </c>
      <c r="N18" s="1071">
        <v>17</v>
      </c>
      <c r="O18" s="324" t="s">
        <v>1142</v>
      </c>
      <c r="P18" s="1072" t="s">
        <v>1077</v>
      </c>
      <c r="Q18" s="780">
        <v>-0.02840000000000001</v>
      </c>
      <c r="R18" s="1"/>
      <c r="S18" s="1"/>
    </row>
    <row x14ac:dyDescent="0.25" r="19" customHeight="1" ht="18.75">
      <c r="A19" s="1"/>
      <c r="B19" s="1071">
        <v>16</v>
      </c>
      <c r="C19" s="324" t="s">
        <v>817</v>
      </c>
      <c r="D19" s="1073" t="s">
        <v>674</v>
      </c>
      <c r="E19" s="780">
        <v>-0.04669999999999999</v>
      </c>
      <c r="F19" s="1074">
        <v>16</v>
      </c>
      <c r="G19" s="324" t="s">
        <v>1141</v>
      </c>
      <c r="H19" s="1072" t="s">
        <v>663</v>
      </c>
      <c r="I19" s="780">
        <v>-0.042499999999999996</v>
      </c>
      <c r="J19" s="1071">
        <v>16</v>
      </c>
      <c r="K19" s="324" t="s">
        <v>830</v>
      </c>
      <c r="L19" s="1072" t="s">
        <v>956</v>
      </c>
      <c r="M19" s="780">
        <v>-0.0383</v>
      </c>
      <c r="N19" s="1071">
        <v>16</v>
      </c>
      <c r="O19" s="324" t="s">
        <v>1142</v>
      </c>
      <c r="P19" s="1072" t="s">
        <v>1078</v>
      </c>
      <c r="Q19" s="780">
        <v>-0.03420000000000001</v>
      </c>
      <c r="R19" s="1"/>
      <c r="S19" s="1"/>
    </row>
    <row x14ac:dyDescent="0.25" r="20" customHeight="1" ht="18.75">
      <c r="A20" s="1"/>
      <c r="B20" s="1071">
        <v>15</v>
      </c>
      <c r="C20" s="324" t="s">
        <v>803</v>
      </c>
      <c r="D20" s="1073" t="s">
        <v>684</v>
      </c>
      <c r="E20" s="780">
        <v>-0.03230000000000001</v>
      </c>
      <c r="F20" s="1074">
        <v>15</v>
      </c>
      <c r="G20" s="324" t="s">
        <v>1143</v>
      </c>
      <c r="H20" s="1072" t="s">
        <v>672</v>
      </c>
      <c r="I20" s="780">
        <v>-0.029149999999999995</v>
      </c>
      <c r="J20" s="1071">
        <v>15</v>
      </c>
      <c r="K20" s="324" t="s">
        <v>634</v>
      </c>
      <c r="L20" s="1072" t="s">
        <v>993</v>
      </c>
      <c r="M20" s="780">
        <v>-0.025999999999999995</v>
      </c>
      <c r="N20" s="1071">
        <v>15</v>
      </c>
      <c r="O20" s="324" t="s">
        <v>1144</v>
      </c>
      <c r="P20" s="1072" t="s">
        <v>1083</v>
      </c>
      <c r="Q20" s="780">
        <v>-0.02275</v>
      </c>
      <c r="R20" s="1"/>
      <c r="S20" s="1"/>
    </row>
    <row x14ac:dyDescent="0.25" r="21" customHeight="1" ht="18.75">
      <c r="A21" s="1"/>
      <c r="B21" s="1071">
        <v>14</v>
      </c>
      <c r="C21" s="324" t="s">
        <v>803</v>
      </c>
      <c r="D21" s="1073" t="s">
        <v>694</v>
      </c>
      <c r="E21" s="780">
        <v>-0.03710000000000001</v>
      </c>
      <c r="F21" s="1074">
        <v>14</v>
      </c>
      <c r="G21" s="324" t="s">
        <v>1143</v>
      </c>
      <c r="H21" s="1072" t="s">
        <v>662</v>
      </c>
      <c r="I21" s="780">
        <v>-0.03375</v>
      </c>
      <c r="J21" s="1071">
        <v>14</v>
      </c>
      <c r="K21" s="324" t="s">
        <v>634</v>
      </c>
      <c r="L21" s="1072" t="s">
        <v>998</v>
      </c>
      <c r="M21" s="780">
        <v>-0.030399999999999996</v>
      </c>
      <c r="N21" s="1071">
        <v>14</v>
      </c>
      <c r="O21" s="324" t="s">
        <v>1144</v>
      </c>
      <c r="P21" s="1072" t="s">
        <v>1087</v>
      </c>
      <c r="Q21" s="780">
        <v>-0.02695</v>
      </c>
      <c r="R21" s="1"/>
      <c r="S21" s="1"/>
    </row>
    <row x14ac:dyDescent="0.25" r="22" customHeight="1" ht="18.75">
      <c r="A22" s="1"/>
      <c r="B22" s="1071">
        <v>13</v>
      </c>
      <c r="C22" s="324" t="s">
        <v>803</v>
      </c>
      <c r="D22" s="1073" t="s">
        <v>703</v>
      </c>
      <c r="E22" s="780">
        <v>-0.0413</v>
      </c>
      <c r="F22" s="1074">
        <v>13</v>
      </c>
      <c r="G22" s="324" t="s">
        <v>1143</v>
      </c>
      <c r="H22" s="1072" t="s">
        <v>670</v>
      </c>
      <c r="I22" s="780">
        <v>-0.03775</v>
      </c>
      <c r="J22" s="1071">
        <v>13</v>
      </c>
      <c r="K22" s="324" t="s">
        <v>634</v>
      </c>
      <c r="L22" s="1072" t="s">
        <v>1001</v>
      </c>
      <c r="M22" s="780">
        <v>-0.034199999999999994</v>
      </c>
      <c r="N22" s="1071">
        <v>13</v>
      </c>
      <c r="O22" s="324" t="s">
        <v>1144</v>
      </c>
      <c r="P22" s="1072" t="s">
        <v>608</v>
      </c>
      <c r="Q22" s="780">
        <v>-0.03055</v>
      </c>
      <c r="R22" s="1"/>
      <c r="S22" s="1"/>
    </row>
    <row x14ac:dyDescent="0.25" r="23" customHeight="1" ht="18.75">
      <c r="A23" s="1"/>
      <c r="B23" s="1071">
        <v>12</v>
      </c>
      <c r="C23" s="324" t="s">
        <v>633</v>
      </c>
      <c r="D23" s="1073" t="s">
        <v>661</v>
      </c>
      <c r="E23" s="780">
        <v>-0.025</v>
      </c>
      <c r="F23" s="1074">
        <v>12</v>
      </c>
      <c r="G23" s="324" t="s">
        <v>664</v>
      </c>
      <c r="H23" s="1072" t="s">
        <v>810</v>
      </c>
      <c r="I23" s="780">
        <v>-0.0225</v>
      </c>
      <c r="J23" s="1071">
        <v>12</v>
      </c>
      <c r="K23" s="324" t="s">
        <v>663</v>
      </c>
      <c r="L23" s="1072" t="s">
        <v>629</v>
      </c>
      <c r="M23" s="780">
        <v>-0.020000000000000004</v>
      </c>
      <c r="N23" s="1071">
        <v>12</v>
      </c>
      <c r="O23" s="324" t="s">
        <v>631</v>
      </c>
      <c r="P23" s="1072" t="s">
        <v>996</v>
      </c>
      <c r="Q23" s="780">
        <v>-0.0175</v>
      </c>
      <c r="R23" s="1"/>
      <c r="S23" s="1"/>
    </row>
    <row x14ac:dyDescent="0.25" r="24" customHeight="1" ht="18.75">
      <c r="A24" s="1"/>
      <c r="B24" s="1071">
        <v>11</v>
      </c>
      <c r="C24" s="324" t="s">
        <v>633</v>
      </c>
      <c r="D24" s="1073" t="s">
        <v>720</v>
      </c>
      <c r="E24" s="780">
        <v>-0.028200000000000003</v>
      </c>
      <c r="F24" s="1074">
        <v>11</v>
      </c>
      <c r="G24" s="324" t="s">
        <v>664</v>
      </c>
      <c r="H24" s="1072" t="s">
        <v>889</v>
      </c>
      <c r="I24" s="780">
        <v>-0.025599999999999998</v>
      </c>
      <c r="J24" s="1071">
        <v>11</v>
      </c>
      <c r="K24" s="324" t="s">
        <v>663</v>
      </c>
      <c r="L24" s="1072" t="s">
        <v>978</v>
      </c>
      <c r="M24" s="780">
        <v>-0.022900000000000004</v>
      </c>
      <c r="N24" s="1071">
        <v>11</v>
      </c>
      <c r="O24" s="324" t="s">
        <v>631</v>
      </c>
      <c r="P24" s="1072" t="s">
        <v>984</v>
      </c>
      <c r="Q24" s="780">
        <v>-0.020300000000000006</v>
      </c>
      <c r="R24" s="1"/>
      <c r="S24" s="1"/>
    </row>
    <row x14ac:dyDescent="0.25" r="25" customHeight="1" ht="18.75">
      <c r="A25" s="1"/>
      <c r="B25" s="1071">
        <v>10</v>
      </c>
      <c r="C25" s="324" t="s">
        <v>633</v>
      </c>
      <c r="D25" s="1073" t="s">
        <v>729</v>
      </c>
      <c r="E25" s="780">
        <v>-0.031100000000000003</v>
      </c>
      <c r="F25" s="1074">
        <v>10</v>
      </c>
      <c r="G25" s="324" t="s">
        <v>664</v>
      </c>
      <c r="H25" s="1072" t="s">
        <v>832</v>
      </c>
      <c r="I25" s="780">
        <v>-0.0283</v>
      </c>
      <c r="J25" s="1071">
        <v>10</v>
      </c>
      <c r="K25" s="324" t="s">
        <v>663</v>
      </c>
      <c r="L25" s="1072" t="s">
        <v>1007</v>
      </c>
      <c r="M25" s="780">
        <v>-0.025600000000000005</v>
      </c>
      <c r="N25" s="1071">
        <v>10</v>
      </c>
      <c r="O25" s="324" t="s">
        <v>631</v>
      </c>
      <c r="P25" s="1072" t="s">
        <v>1097</v>
      </c>
      <c r="Q25" s="780">
        <v>-0.0228</v>
      </c>
      <c r="R25" s="1"/>
      <c r="S25" s="1"/>
    </row>
    <row x14ac:dyDescent="0.25" r="26" customHeight="1" ht="18.75">
      <c r="A26" s="1"/>
      <c r="B26" s="1071">
        <v>9</v>
      </c>
      <c r="C26" s="324" t="s">
        <v>662</v>
      </c>
      <c r="D26" s="1073" t="s">
        <v>738</v>
      </c>
      <c r="E26" s="780">
        <v>-0.013699999999999997</v>
      </c>
      <c r="F26" s="1074">
        <v>9</v>
      </c>
      <c r="G26" s="324" t="s">
        <v>1145</v>
      </c>
      <c r="H26" s="1072" t="s">
        <v>900</v>
      </c>
      <c r="I26" s="780">
        <v>-0.012049999999999998</v>
      </c>
      <c r="J26" s="1071">
        <v>9</v>
      </c>
      <c r="K26" s="324" t="s">
        <v>810</v>
      </c>
      <c r="L26" s="1072" t="s">
        <v>678</v>
      </c>
      <c r="M26" s="780">
        <v>-0.0104</v>
      </c>
      <c r="N26" s="1071">
        <v>9</v>
      </c>
      <c r="O26" s="324" t="s">
        <v>1146</v>
      </c>
      <c r="P26" s="1072" t="s">
        <v>659</v>
      </c>
      <c r="Q26" s="780">
        <v>-0.00875</v>
      </c>
      <c r="R26" s="1"/>
      <c r="S26" s="1"/>
    </row>
    <row x14ac:dyDescent="0.25" r="27" customHeight="1" ht="18.75">
      <c r="A27" s="1"/>
      <c r="B27" s="1071">
        <v>8</v>
      </c>
      <c r="C27" s="324" t="s">
        <v>662</v>
      </c>
      <c r="D27" s="1073" t="s">
        <v>689</v>
      </c>
      <c r="E27" s="780">
        <v>-0.016</v>
      </c>
      <c r="F27" s="1074">
        <v>8</v>
      </c>
      <c r="G27" s="324" t="s">
        <v>1145</v>
      </c>
      <c r="H27" s="1072" t="s">
        <v>824</v>
      </c>
      <c r="I27" s="780">
        <v>-0.014249999999999999</v>
      </c>
      <c r="J27" s="1071">
        <v>8</v>
      </c>
      <c r="K27" s="324" t="s">
        <v>810</v>
      </c>
      <c r="L27" s="1072" t="s">
        <v>659</v>
      </c>
      <c r="M27" s="780">
        <v>-0.012499999999999997</v>
      </c>
      <c r="N27" s="1071">
        <v>8</v>
      </c>
      <c r="O27" s="324" t="s">
        <v>1146</v>
      </c>
      <c r="P27" s="1072" t="s">
        <v>852</v>
      </c>
      <c r="Q27" s="780">
        <v>-0.010750000000000003</v>
      </c>
      <c r="R27" s="1"/>
      <c r="S27" s="1"/>
    </row>
    <row x14ac:dyDescent="0.25" r="28" customHeight="1" ht="18.75">
      <c r="A28" s="1"/>
      <c r="B28" s="1071">
        <v>7</v>
      </c>
      <c r="C28" s="324" t="s">
        <v>662</v>
      </c>
      <c r="D28" s="1073" t="s">
        <v>699</v>
      </c>
      <c r="E28" s="780">
        <v>-0.018099999999999998</v>
      </c>
      <c r="F28" s="1074">
        <v>7</v>
      </c>
      <c r="G28" s="324" t="s">
        <v>1145</v>
      </c>
      <c r="H28" s="1072" t="s">
        <v>659</v>
      </c>
      <c r="I28" s="780">
        <v>-0.01625</v>
      </c>
      <c r="J28" s="1071">
        <v>7</v>
      </c>
      <c r="K28" s="324" t="s">
        <v>810</v>
      </c>
      <c r="L28" s="1072" t="s">
        <v>1018</v>
      </c>
      <c r="M28" s="780">
        <v>-0.014399999999999996</v>
      </c>
      <c r="N28" s="1071">
        <v>7</v>
      </c>
      <c r="O28" s="324" t="s">
        <v>1146</v>
      </c>
      <c r="P28" s="1072" t="s">
        <v>1102</v>
      </c>
      <c r="Q28" s="780">
        <v>-0.012549999999999999</v>
      </c>
      <c r="R28" s="1"/>
      <c r="S28" s="1"/>
    </row>
    <row x14ac:dyDescent="0.25" r="29" customHeight="1" ht="18.75">
      <c r="A29" s="1"/>
      <c r="B29" s="1071">
        <v>6</v>
      </c>
      <c r="C29" s="324" t="s">
        <v>659</v>
      </c>
      <c r="D29" s="1073" t="s">
        <v>659</v>
      </c>
      <c r="E29" s="780">
        <v>0</v>
      </c>
      <c r="F29" s="1069">
        <v>6</v>
      </c>
      <c r="G29" s="1067" t="s">
        <v>708</v>
      </c>
      <c r="H29" s="1070" t="s">
        <v>745</v>
      </c>
      <c r="I29" s="780">
        <v>0.0006999999999999992</v>
      </c>
      <c r="J29" s="1066">
        <v>6</v>
      </c>
      <c r="K29" s="1067" t="s">
        <v>658</v>
      </c>
      <c r="L29" s="1070" t="s">
        <v>687</v>
      </c>
      <c r="M29" s="780">
        <v>0.0013999999999999985</v>
      </c>
      <c r="N29" s="1071">
        <v>6</v>
      </c>
      <c r="O29" s="324" t="s">
        <v>898</v>
      </c>
      <c r="P29" s="1072" t="s">
        <v>725</v>
      </c>
      <c r="Q29" s="780">
        <v>0.0020000000000000018</v>
      </c>
      <c r="R29" s="1"/>
      <c r="S29" s="1"/>
    </row>
    <row x14ac:dyDescent="0.25" r="30" customHeight="1" ht="18.75">
      <c r="A30" s="1"/>
      <c r="B30" s="1071">
        <v>5</v>
      </c>
      <c r="C30" s="324" t="s">
        <v>659</v>
      </c>
      <c r="D30" s="1073" t="s">
        <v>768</v>
      </c>
      <c r="E30" s="780">
        <v>-0.0017000000000000001</v>
      </c>
      <c r="F30" s="1074">
        <v>5</v>
      </c>
      <c r="G30" s="324" t="s">
        <v>708</v>
      </c>
      <c r="H30" s="1072" t="s">
        <v>752</v>
      </c>
      <c r="I30" s="780">
        <v>-0.0010000000000000009</v>
      </c>
      <c r="J30" s="1071">
        <v>5</v>
      </c>
      <c r="K30" s="324" t="s">
        <v>658</v>
      </c>
      <c r="L30" s="1072" t="s">
        <v>1023</v>
      </c>
      <c r="M30" s="780">
        <v>-0.00020000000000000573</v>
      </c>
      <c r="N30" s="1071">
        <v>5</v>
      </c>
      <c r="O30" s="324" t="s">
        <v>898</v>
      </c>
      <c r="P30" s="1072" t="s">
        <v>878</v>
      </c>
      <c r="Q30" s="780">
        <v>0.0005000000000000004</v>
      </c>
      <c r="R30" s="1"/>
      <c r="S30" s="1"/>
    </row>
    <row x14ac:dyDescent="0.25" r="31" customHeight="1" ht="18.75">
      <c r="A31" s="1"/>
      <c r="B31" s="1071">
        <v>4</v>
      </c>
      <c r="C31" s="324" t="s">
        <v>659</v>
      </c>
      <c r="D31" s="1073" t="s">
        <v>776</v>
      </c>
      <c r="E31" s="780">
        <v>-0.0032999999999999974</v>
      </c>
      <c r="F31" s="1074">
        <v>4</v>
      </c>
      <c r="G31" s="324" t="s">
        <v>708</v>
      </c>
      <c r="H31" s="1072" t="s">
        <v>658</v>
      </c>
      <c r="I31" s="780">
        <v>-0.0024999999999999953</v>
      </c>
      <c r="J31" s="1071">
        <v>4</v>
      </c>
      <c r="K31" s="324" t="s">
        <v>658</v>
      </c>
      <c r="L31" s="1072" t="s">
        <v>1030</v>
      </c>
      <c r="M31" s="780">
        <v>-0.0017000000000000001</v>
      </c>
      <c r="N31" s="1071">
        <v>4</v>
      </c>
      <c r="O31" s="324" t="s">
        <v>898</v>
      </c>
      <c r="P31" s="1072" t="s">
        <v>696</v>
      </c>
      <c r="Q31" s="780">
        <v>-0.0008000000000000021</v>
      </c>
      <c r="R31" s="1"/>
      <c r="S31" s="1"/>
    </row>
    <row x14ac:dyDescent="0.25" r="32" customHeight="1" ht="18.75">
      <c r="A32" s="1"/>
      <c r="B32" s="1066">
        <v>3</v>
      </c>
      <c r="C32" s="1067" t="s">
        <v>904</v>
      </c>
      <c r="D32" s="1068" t="s">
        <v>785</v>
      </c>
      <c r="E32" s="780">
        <v>0.015200000000000002</v>
      </c>
      <c r="F32" s="1069">
        <v>3</v>
      </c>
      <c r="G32" s="1067" t="s">
        <v>1147</v>
      </c>
      <c r="H32" s="1070" t="s">
        <v>920</v>
      </c>
      <c r="I32" s="780">
        <v>0.014849999999999999</v>
      </c>
      <c r="J32" s="1066">
        <v>3</v>
      </c>
      <c r="K32" s="1067" t="s">
        <v>903</v>
      </c>
      <c r="L32" s="1070" t="s">
        <v>864</v>
      </c>
      <c r="M32" s="780">
        <v>0.014499999999999999</v>
      </c>
      <c r="N32" s="1066">
        <v>3</v>
      </c>
      <c r="O32" s="1067" t="s">
        <v>1148</v>
      </c>
      <c r="P32" s="1070" t="s">
        <v>1115</v>
      </c>
      <c r="Q32" s="780">
        <v>0.01415</v>
      </c>
      <c r="R32" s="1"/>
      <c r="S32" s="1"/>
    </row>
    <row x14ac:dyDescent="0.25" r="33" customHeight="1" ht="18.75">
      <c r="A33" s="1"/>
      <c r="B33" s="1066">
        <v>2</v>
      </c>
      <c r="C33" s="1067" t="s">
        <v>904</v>
      </c>
      <c r="D33" s="1068" t="s">
        <v>735</v>
      </c>
      <c r="E33" s="780">
        <v>0.013799999999999996</v>
      </c>
      <c r="F33" s="1069">
        <v>2</v>
      </c>
      <c r="G33" s="1067" t="s">
        <v>1147</v>
      </c>
      <c r="H33" s="1070" t="s">
        <v>927</v>
      </c>
      <c r="I33" s="780">
        <v>0.013550000000000003</v>
      </c>
      <c r="J33" s="1066">
        <v>2</v>
      </c>
      <c r="K33" s="1067" t="s">
        <v>903</v>
      </c>
      <c r="L33" s="1070" t="s">
        <v>1005</v>
      </c>
      <c r="M33" s="780">
        <v>0.0133</v>
      </c>
      <c r="N33" s="1066">
        <v>2</v>
      </c>
      <c r="O33" s="1067" t="s">
        <v>1148</v>
      </c>
      <c r="P33" s="1070" t="s">
        <v>783</v>
      </c>
      <c r="Q33" s="780">
        <v>0.01295</v>
      </c>
      <c r="R33" s="1"/>
      <c r="S33" s="1"/>
    </row>
    <row x14ac:dyDescent="0.25" r="34" customHeight="1" ht="18.75">
      <c r="A34" s="1"/>
      <c r="B34" s="1075">
        <v>1</v>
      </c>
      <c r="C34" s="1076" t="s">
        <v>904</v>
      </c>
      <c r="D34" s="1077" t="s">
        <v>686</v>
      </c>
      <c r="E34" s="780">
        <v>0.012599999999999997</v>
      </c>
      <c r="F34" s="1078">
        <v>1</v>
      </c>
      <c r="G34" s="1076" t="s">
        <v>1147</v>
      </c>
      <c r="H34" s="1079" t="s">
        <v>751</v>
      </c>
      <c r="I34" s="780">
        <v>0.01235</v>
      </c>
      <c r="J34" s="1075">
        <v>1</v>
      </c>
      <c r="K34" s="1076" t="s">
        <v>903</v>
      </c>
      <c r="L34" s="1079" t="s">
        <v>897</v>
      </c>
      <c r="M34" s="780">
        <v>0.0121</v>
      </c>
      <c r="N34" s="1075">
        <v>1</v>
      </c>
      <c r="O34" s="1076" t="s">
        <v>1148</v>
      </c>
      <c r="P34" s="1079" t="s">
        <v>869</v>
      </c>
      <c r="Q34" s="780">
        <v>0.01185</v>
      </c>
      <c r="R34" s="1"/>
      <c r="S34" s="1"/>
    </row>
    <row x14ac:dyDescent="0.25" r="35" customHeight="1" ht="14.25">
      <c r="A35" s="1"/>
      <c r="B35" s="169"/>
      <c r="C35" s="1"/>
      <c r="D35" s="1"/>
      <c r="E35" s="168"/>
      <c r="F35" s="170"/>
      <c r="G35" s="1"/>
      <c r="H35" s="1"/>
      <c r="I35" s="168"/>
      <c r="J35" s="169"/>
      <c r="K35" s="1"/>
      <c r="L35" s="1"/>
      <c r="M35" s="168"/>
      <c r="N35" s="169"/>
      <c r="O35" s="1"/>
      <c r="P35" s="1"/>
      <c r="Q35" s="168"/>
      <c r="R35" s="1"/>
      <c r="S35" s="1"/>
    </row>
    <row x14ac:dyDescent="0.25" r="36" customHeight="1" ht="15.75">
      <c r="A36" s="1"/>
      <c r="B36" s="169"/>
      <c r="C36" s="1"/>
      <c r="D36" s="1"/>
      <c r="E36" s="168"/>
      <c r="F36" s="170"/>
      <c r="G36" s="1"/>
      <c r="H36" s="1"/>
      <c r="I36" s="168"/>
      <c r="J36" s="169"/>
      <c r="K36" s="1"/>
      <c r="L36" s="1"/>
      <c r="M36" s="168"/>
      <c r="N36" s="169"/>
      <c r="O36" s="1"/>
      <c r="P36" s="1"/>
      <c r="Q36" s="168"/>
      <c r="R36" s="1"/>
      <c r="S36" s="1"/>
    </row>
  </sheetData>
  <mergeCells count="4">
    <mergeCell ref="B9:D9"/>
    <mergeCell ref="F9:H9"/>
    <mergeCell ref="J9:L9"/>
    <mergeCell ref="N9:P9"/>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D120"/>
  <sheetViews>
    <sheetView workbookViewId="0"/>
  </sheetViews>
  <sheetFormatPr defaultRowHeight="15" x14ac:dyDescent="0.25"/>
  <cols>
    <col min="1" max="1" style="163" width="13.576428571428572" customWidth="1" bestFit="1"/>
    <col min="2" max="2" style="352" width="18.719285714285714" customWidth="1" bestFit="1"/>
    <col min="3" max="3" style="165" width="13.576428571428572" customWidth="1" bestFit="1"/>
    <col min="4" max="4" style="165" width="13.576428571428572" customWidth="1" bestFit="1"/>
    <col min="5" max="5" style="165" width="13.576428571428572" customWidth="1" bestFit="1"/>
    <col min="6" max="6" style="165" width="13.576428571428572" customWidth="1" bestFit="1"/>
    <col min="7" max="7" style="165" width="13.576428571428572" customWidth="1" bestFit="1"/>
    <col min="8" max="8" style="165" width="13.576428571428572" customWidth="1" bestFit="1"/>
    <col min="9" max="9" style="165" width="13.576428571428572" customWidth="1" bestFit="1"/>
    <col min="10" max="10" style="165" width="13.576428571428572" customWidth="1" bestFit="1"/>
    <col min="11" max="11" style="165" width="13.576428571428572" customWidth="1" bestFit="1"/>
    <col min="12" max="12" style="165" width="13.576428571428572" customWidth="1" bestFit="1"/>
    <col min="13" max="13" style="165" width="13.576428571428572" customWidth="1" bestFit="1"/>
    <col min="14" max="14" style="165" width="13.576428571428572" customWidth="1" bestFit="1"/>
    <col min="15" max="15" style="165" width="13.576428571428572" customWidth="1" bestFit="1"/>
    <col min="16" max="16" style="165" width="13.576428571428572" customWidth="1" bestFit="1"/>
    <col min="17" max="17" style="165" width="13.576428571428572" customWidth="1" bestFit="1"/>
    <col min="18" max="18" style="165" width="13.576428571428572" customWidth="1" bestFit="1"/>
    <col min="19" max="19" style="165" width="13.576428571428572" customWidth="1" bestFit="1"/>
    <col min="20" max="20" style="165" width="13.576428571428572" customWidth="1" bestFit="1"/>
    <col min="21" max="21" style="165" width="13.576428571428572" customWidth="1" bestFit="1"/>
    <col min="22" max="22" style="165" width="13.576428571428572" customWidth="1" bestFit="1"/>
    <col min="23" max="23" style="165" width="13.576428571428572" customWidth="1" bestFit="1"/>
    <col min="24" max="24" style="165" width="13.576428571428572" customWidth="1" bestFit="1"/>
    <col min="25" max="25" style="165" width="13.576428571428572" customWidth="1" bestFit="1"/>
    <col min="26" max="26" style="165" width="13.576428571428572" customWidth="1" bestFit="1"/>
    <col min="27" max="27" style="165" width="13.576428571428572" customWidth="1" bestFit="1"/>
    <col min="28" max="28" style="165" width="13.576428571428572" customWidth="1" bestFit="1"/>
    <col min="29" max="29" style="165" width="13.576428571428572" customWidth="1" bestFit="1"/>
    <col min="30" max="30" style="165" width="13.576428571428572" customWidth="1" bestFit="1"/>
    <col min="31" max="31" style="165" width="13.576428571428572" customWidth="1" bestFit="1"/>
    <col min="32" max="32" style="165" width="13.576428571428572" customWidth="1" bestFit="1"/>
    <col min="33" max="33" style="165" width="13.576428571428572" customWidth="1" bestFit="1"/>
    <col min="34" max="34" style="165" width="13.576428571428572" customWidth="1" bestFit="1"/>
    <col min="35" max="35" style="165" width="13.576428571428572" customWidth="1" bestFit="1"/>
    <col min="36" max="36" style="165" width="13.576428571428572" customWidth="1" bestFit="1"/>
    <col min="37" max="37" style="165" width="13.576428571428572" customWidth="1" bestFit="1"/>
    <col min="38" max="38" style="165" width="13.576428571428572" customWidth="1" bestFit="1"/>
    <col min="39" max="39" style="165" width="13.576428571428572" customWidth="1" bestFit="1"/>
    <col min="40" max="40" style="165" width="13.576428571428572" customWidth="1" bestFit="1"/>
    <col min="41" max="41" style="165" width="13.576428571428572" customWidth="1" bestFit="1"/>
    <col min="42" max="42" style="165" width="13.576428571428572" customWidth="1" bestFit="1"/>
    <col min="43" max="43" style="165" width="13.576428571428572" customWidth="1" bestFit="1"/>
    <col min="44" max="44" style="165" width="13.576428571428572" customWidth="1" bestFit="1"/>
    <col min="45" max="45" style="165" width="13.576428571428572" customWidth="1" bestFit="1"/>
    <col min="46" max="46" style="165" width="13.576428571428572" customWidth="1" bestFit="1"/>
    <col min="47" max="47" style="165" width="13.576428571428572" customWidth="1" bestFit="1"/>
    <col min="48" max="48" style="165" width="13.576428571428572" customWidth="1" bestFit="1"/>
    <col min="49" max="49" style="165" width="13.576428571428572" customWidth="1" bestFit="1"/>
    <col min="50" max="50" style="165" width="13.576428571428572" customWidth="1" bestFit="1"/>
    <col min="51" max="51" style="165" width="13.576428571428572" customWidth="1" bestFit="1"/>
    <col min="52" max="52" style="165" width="13.576428571428572" customWidth="1" bestFit="1"/>
    <col min="53" max="53" style="165" width="13.576428571428572" customWidth="1" bestFit="1"/>
    <col min="54" max="54" style="165" width="13.576428571428572" customWidth="1" bestFit="1"/>
    <col min="55" max="55" style="165" width="13.576428571428572" customWidth="1" bestFit="1"/>
    <col min="56" max="56" style="165" width="13.576428571428572" customWidth="1" bestFit="1"/>
    <col min="57" max="57" style="165" width="13.576428571428572" customWidth="1" bestFit="1"/>
    <col min="58" max="58" style="165" width="13.576428571428572" customWidth="1" bestFit="1"/>
    <col min="59" max="59" style="165" width="13.576428571428572" customWidth="1" bestFit="1"/>
    <col min="60" max="60" style="165" width="13.576428571428572" customWidth="1" bestFit="1"/>
    <col min="61" max="61" style="165" width="13.576428571428572" customWidth="1" bestFit="1"/>
    <col min="62" max="62" style="165" width="13.576428571428572" customWidth="1" bestFit="1"/>
    <col min="63" max="63" style="165" width="13.576428571428572" customWidth="1" bestFit="1"/>
    <col min="64" max="64" style="165" width="13.576428571428572" customWidth="1" bestFit="1"/>
    <col min="65" max="65" style="165" width="13.576428571428572" customWidth="1" bestFit="1"/>
    <col min="66" max="66" style="165" width="13.576428571428572" customWidth="1" bestFit="1"/>
    <col min="67" max="67" style="165" width="13.576428571428572" customWidth="1" bestFit="1"/>
    <col min="68" max="68" style="165" width="13.576428571428572" customWidth="1" bestFit="1"/>
    <col min="69" max="69" style="165" width="13.576428571428572" customWidth="1" bestFit="1"/>
    <col min="70" max="70" style="165" width="13.576428571428572" customWidth="1" bestFit="1"/>
    <col min="71" max="71" style="165" width="13.576428571428572" customWidth="1" bestFit="1"/>
    <col min="72" max="72" style="165" width="13.576428571428572" customWidth="1" bestFit="1"/>
    <col min="73" max="73" style="165" width="13.576428571428572" customWidth="1" bestFit="1"/>
    <col min="74" max="74" style="165" width="13.576428571428572" customWidth="1" bestFit="1"/>
    <col min="75" max="75" style="165" width="13.576428571428572" customWidth="1" bestFit="1"/>
    <col min="76" max="76" style="165" width="13.576428571428572" customWidth="1" bestFit="1"/>
    <col min="77" max="77" style="165" width="13.576428571428572" customWidth="1" bestFit="1"/>
    <col min="78" max="78" style="165" width="13.576428571428572" customWidth="1" bestFit="1"/>
    <col min="79" max="79" style="165" width="13.576428571428572" customWidth="1" bestFit="1"/>
    <col min="80" max="80" style="165" width="13.576428571428572" customWidth="1" bestFit="1"/>
    <col min="81" max="81" style="165" width="13.576428571428572" customWidth="1" bestFit="1"/>
    <col min="82" max="82" style="165" width="13.576428571428572" customWidth="1" bestFit="1"/>
  </cols>
  <sheetData>
    <row x14ac:dyDescent="0.25" r="1" customHeight="1" ht="18.75">
      <c r="A1" s="1"/>
      <c r="B1" s="320"/>
      <c r="C1" s="169"/>
      <c r="D1" s="169"/>
      <c r="E1" s="169"/>
      <c r="F1" s="169"/>
      <c r="G1" s="169"/>
      <c r="H1" s="169"/>
      <c r="I1" s="169"/>
      <c r="J1" s="169"/>
      <c r="K1" s="169"/>
      <c r="L1" s="169"/>
      <c r="M1" s="169"/>
      <c r="N1" s="169"/>
      <c r="O1" s="169"/>
      <c r="P1" s="169"/>
      <c r="Q1" s="169"/>
      <c r="R1" s="169"/>
      <c r="S1" s="169"/>
      <c r="T1" s="169"/>
      <c r="U1" s="169"/>
      <c r="V1" s="169"/>
      <c r="W1" s="169"/>
      <c r="X1" s="169"/>
      <c r="Y1" s="169"/>
      <c r="Z1" s="169"/>
      <c r="AA1" s="169"/>
      <c r="AB1" s="169"/>
      <c r="AC1" s="169"/>
      <c r="AD1" s="169"/>
      <c r="AE1" s="169"/>
      <c r="AF1" s="169"/>
      <c r="AG1" s="169"/>
      <c r="AH1" s="169"/>
      <c r="AI1" s="169"/>
      <c r="AJ1" s="169"/>
      <c r="AK1" s="169"/>
      <c r="AL1" s="169"/>
      <c r="AM1" s="169"/>
      <c r="AN1" s="169"/>
      <c r="AO1" s="169"/>
      <c r="AP1" s="169"/>
      <c r="AQ1" s="169"/>
      <c r="AR1" s="169"/>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69"/>
      <c r="BU1" s="169"/>
      <c r="BV1" s="169"/>
      <c r="BW1" s="169"/>
      <c r="BX1" s="169"/>
      <c r="BY1" s="169"/>
      <c r="BZ1" s="169"/>
      <c r="CA1" s="169"/>
      <c r="CB1" s="169"/>
      <c r="CC1" s="169"/>
      <c r="CD1" s="169"/>
    </row>
    <row x14ac:dyDescent="0.25" r="2" customHeight="1" ht="18.75">
      <c r="A2" s="1"/>
      <c r="B2" s="320"/>
      <c r="C2" s="169"/>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c r="AT2" s="169"/>
      <c r="AU2" s="169"/>
      <c r="AV2" s="169"/>
      <c r="AW2" s="169"/>
      <c r="AX2" s="169"/>
      <c r="AY2" s="169"/>
      <c r="AZ2" s="169"/>
      <c r="BA2" s="169"/>
      <c r="BB2" s="169"/>
      <c r="BC2" s="169"/>
      <c r="BD2" s="169"/>
      <c r="BE2" s="169"/>
      <c r="BF2" s="169"/>
      <c r="BG2" s="169"/>
      <c r="BH2" s="169"/>
      <c r="BI2" s="169"/>
      <c r="BJ2" s="169"/>
      <c r="BK2" s="169"/>
      <c r="BL2" s="169"/>
      <c r="BM2" s="169"/>
      <c r="BN2" s="169"/>
      <c r="BO2" s="169"/>
      <c r="BP2" s="169"/>
      <c r="BQ2" s="169"/>
      <c r="BR2" s="169"/>
      <c r="BS2" s="169"/>
      <c r="BT2" s="169"/>
      <c r="BU2" s="169"/>
      <c r="BV2" s="169"/>
      <c r="BW2" s="169"/>
      <c r="BX2" s="169"/>
      <c r="BY2" s="169"/>
      <c r="BZ2" s="169"/>
      <c r="CA2" s="169"/>
      <c r="CB2" s="169"/>
      <c r="CC2" s="169"/>
      <c r="CD2" s="169"/>
    </row>
    <row x14ac:dyDescent="0.25" r="3" customHeight="1" ht="18.75">
      <c r="A3" s="1"/>
      <c r="B3" s="320"/>
      <c r="C3" s="169"/>
      <c r="D3" s="169"/>
      <c r="E3" s="169"/>
      <c r="F3" s="169"/>
      <c r="G3" s="169"/>
      <c r="H3" s="169"/>
      <c r="I3" s="169"/>
      <c r="J3" s="169"/>
      <c r="K3" s="169"/>
      <c r="L3" s="169"/>
      <c r="M3" s="169"/>
      <c r="N3" s="169"/>
      <c r="O3" s="169"/>
      <c r="P3" s="169"/>
      <c r="Q3" s="169"/>
      <c r="R3" s="169"/>
      <c r="S3" s="169"/>
      <c r="T3" s="169"/>
      <c r="U3" s="169"/>
      <c r="V3" s="169"/>
      <c r="W3" s="169"/>
      <c r="X3" s="169"/>
      <c r="Y3" s="169"/>
      <c r="Z3" s="169"/>
      <c r="AA3" s="169"/>
      <c r="AB3" s="169"/>
      <c r="AC3" s="169"/>
      <c r="AD3" s="169"/>
      <c r="AE3" s="169"/>
      <c r="AF3" s="169"/>
      <c r="AG3" s="169"/>
      <c r="AH3" s="169"/>
      <c r="AI3" s="169"/>
      <c r="AJ3" s="169"/>
      <c r="AK3" s="169"/>
      <c r="AL3" s="169"/>
      <c r="AM3" s="169"/>
      <c r="AN3" s="169"/>
      <c r="AO3" s="169"/>
      <c r="AP3" s="169"/>
      <c r="AQ3" s="169"/>
      <c r="AR3" s="169"/>
      <c r="AS3" s="169"/>
      <c r="AT3" s="169"/>
      <c r="AU3" s="169"/>
      <c r="AV3" s="169"/>
      <c r="AW3" s="169"/>
      <c r="AX3" s="169"/>
      <c r="AY3" s="169"/>
      <c r="AZ3" s="169"/>
      <c r="BA3" s="169"/>
      <c r="BB3" s="169"/>
      <c r="BC3" s="169"/>
      <c r="BD3" s="169"/>
      <c r="BE3" s="169"/>
      <c r="BF3" s="169"/>
      <c r="BG3" s="169"/>
      <c r="BH3" s="169"/>
      <c r="BI3" s="169"/>
      <c r="BJ3" s="169"/>
      <c r="BK3" s="169"/>
      <c r="BL3" s="169"/>
      <c r="BM3" s="169"/>
      <c r="BN3" s="169"/>
      <c r="BO3" s="169"/>
      <c r="BP3" s="169"/>
      <c r="BQ3" s="169"/>
      <c r="BR3" s="169"/>
      <c r="BS3" s="169"/>
      <c r="BT3" s="169"/>
      <c r="BU3" s="169"/>
      <c r="BV3" s="169"/>
      <c r="BW3" s="169"/>
      <c r="BX3" s="169"/>
      <c r="BY3" s="169"/>
      <c r="BZ3" s="169"/>
      <c r="CA3" s="169"/>
      <c r="CB3" s="169"/>
      <c r="CC3" s="169"/>
      <c r="CD3" s="169"/>
    </row>
    <row x14ac:dyDescent="0.25" r="4" customHeight="1" ht="18.75">
      <c r="A4" s="1"/>
      <c r="B4" s="320"/>
      <c r="C4" s="169"/>
      <c r="D4" s="169"/>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69"/>
      <c r="AI4" s="169"/>
      <c r="AJ4" s="169"/>
      <c r="AK4" s="169"/>
      <c r="AL4" s="169"/>
      <c r="AM4" s="169"/>
      <c r="AN4" s="169"/>
      <c r="AO4" s="169"/>
      <c r="AP4" s="169"/>
      <c r="AQ4" s="169"/>
      <c r="AR4" s="169"/>
      <c r="AS4" s="169"/>
      <c r="AT4" s="169"/>
      <c r="AU4" s="169"/>
      <c r="AV4" s="169"/>
      <c r="AW4" s="169"/>
      <c r="AX4" s="169"/>
      <c r="AY4" s="169"/>
      <c r="AZ4" s="169"/>
      <c r="BA4" s="169"/>
      <c r="BB4" s="169"/>
      <c r="BC4" s="169"/>
      <c r="BD4" s="169"/>
      <c r="BE4" s="169"/>
      <c r="BF4" s="169"/>
      <c r="BG4" s="169"/>
      <c r="BH4" s="169"/>
      <c r="BI4" s="169"/>
      <c r="BJ4" s="169"/>
      <c r="BK4" s="169"/>
      <c r="BL4" s="169"/>
      <c r="BM4" s="169"/>
      <c r="BN4" s="169"/>
      <c r="BO4" s="169"/>
      <c r="BP4" s="169"/>
      <c r="BQ4" s="169"/>
      <c r="BR4" s="169"/>
      <c r="BS4" s="169"/>
      <c r="BT4" s="169"/>
      <c r="BU4" s="169"/>
      <c r="BV4" s="169"/>
      <c r="BW4" s="169"/>
      <c r="BX4" s="169"/>
      <c r="BY4" s="169"/>
      <c r="BZ4" s="169"/>
      <c r="CA4" s="169"/>
      <c r="CB4" s="169"/>
      <c r="CC4" s="169"/>
      <c r="CD4" s="169"/>
    </row>
    <row x14ac:dyDescent="0.25" r="5" customHeight="1" ht="18.75">
      <c r="A5" s="1"/>
      <c r="B5" s="320"/>
      <c r="C5" s="169"/>
      <c r="D5" s="169"/>
      <c r="E5" s="169"/>
      <c r="F5" s="169"/>
      <c r="G5" s="169"/>
      <c r="H5" s="169"/>
      <c r="I5" s="169"/>
      <c r="J5" s="169"/>
      <c r="K5" s="169"/>
      <c r="L5" s="169"/>
      <c r="M5" s="169"/>
      <c r="N5" s="169"/>
      <c r="O5" s="169"/>
      <c r="P5" s="169"/>
      <c r="Q5" s="169"/>
      <c r="R5" s="169"/>
      <c r="S5" s="169"/>
      <c r="T5" s="169"/>
      <c r="U5" s="169"/>
      <c r="V5" s="169"/>
      <c r="W5" s="169"/>
      <c r="X5" s="169"/>
      <c r="Y5" s="169"/>
      <c r="Z5" s="169"/>
      <c r="AA5" s="169"/>
      <c r="AB5" s="169"/>
      <c r="AC5" s="169"/>
      <c r="AD5" s="169"/>
      <c r="AE5" s="169"/>
      <c r="AF5" s="169"/>
      <c r="AG5" s="169"/>
      <c r="AH5" s="169"/>
      <c r="AI5" s="169"/>
      <c r="AJ5" s="169"/>
      <c r="AK5" s="169"/>
      <c r="AL5" s="169"/>
      <c r="AM5" s="169"/>
      <c r="AN5" s="169"/>
      <c r="AO5" s="169"/>
      <c r="AP5" s="169"/>
      <c r="AQ5" s="169"/>
      <c r="AR5" s="169"/>
      <c r="AS5" s="169"/>
      <c r="AT5" s="169"/>
      <c r="AU5" s="169"/>
      <c r="AV5" s="169"/>
      <c r="AW5" s="169"/>
      <c r="AX5" s="169"/>
      <c r="AY5" s="169"/>
      <c r="AZ5" s="169"/>
      <c r="BA5" s="169"/>
      <c r="BB5" s="169"/>
      <c r="BC5" s="169"/>
      <c r="BD5" s="169"/>
      <c r="BE5" s="169"/>
      <c r="BF5" s="169"/>
      <c r="BG5" s="169"/>
      <c r="BH5" s="169"/>
      <c r="BI5" s="169"/>
      <c r="BJ5" s="169"/>
      <c r="BK5" s="169"/>
      <c r="BL5" s="169"/>
      <c r="BM5" s="169"/>
      <c r="BN5" s="169"/>
      <c r="BO5" s="169"/>
      <c r="BP5" s="169"/>
      <c r="BQ5" s="169"/>
      <c r="BR5" s="169"/>
      <c r="BS5" s="169"/>
      <c r="BT5" s="169"/>
      <c r="BU5" s="169"/>
      <c r="BV5" s="169"/>
      <c r="BW5" s="169"/>
      <c r="BX5" s="169"/>
      <c r="BY5" s="169"/>
      <c r="BZ5" s="169"/>
      <c r="CA5" s="169"/>
      <c r="CB5" s="169"/>
      <c r="CC5" s="169"/>
      <c r="CD5" s="169"/>
    </row>
    <row x14ac:dyDescent="0.25" r="6" customHeight="1" ht="18.75">
      <c r="A6" s="1"/>
      <c r="B6" s="320"/>
      <c r="C6" s="169"/>
      <c r="D6" s="169"/>
      <c r="E6" s="169"/>
      <c r="F6" s="169"/>
      <c r="G6" s="169"/>
      <c r="H6" s="169"/>
      <c r="I6" s="169"/>
      <c r="J6" s="169"/>
      <c r="K6" s="169"/>
      <c r="L6" s="169"/>
      <c r="M6" s="169"/>
      <c r="N6" s="169"/>
      <c r="O6" s="169"/>
      <c r="P6" s="169"/>
      <c r="Q6" s="169"/>
      <c r="R6" s="169"/>
      <c r="S6" s="169"/>
      <c r="T6" s="169"/>
      <c r="U6" s="169"/>
      <c r="V6" s="169"/>
      <c r="W6" s="169"/>
      <c r="X6" s="169"/>
      <c r="Y6" s="169"/>
      <c r="Z6" s="169"/>
      <c r="AA6" s="169"/>
      <c r="AB6" s="169"/>
      <c r="AC6" s="169"/>
      <c r="AD6" s="169"/>
      <c r="AE6" s="169"/>
      <c r="AF6" s="169"/>
      <c r="AG6" s="169"/>
      <c r="AH6" s="169"/>
      <c r="AI6" s="169"/>
      <c r="AJ6" s="169"/>
      <c r="AK6" s="169"/>
      <c r="AL6" s="169"/>
      <c r="AM6" s="169"/>
      <c r="AN6" s="169"/>
      <c r="AO6" s="169"/>
      <c r="AP6" s="169"/>
      <c r="AQ6" s="169"/>
      <c r="AR6" s="169"/>
      <c r="AS6" s="169"/>
      <c r="AT6" s="169"/>
      <c r="AU6" s="169"/>
      <c r="AV6" s="169"/>
      <c r="AW6" s="169"/>
      <c r="AX6" s="169"/>
      <c r="AY6" s="169"/>
      <c r="AZ6" s="169"/>
      <c r="BA6" s="169"/>
      <c r="BB6" s="169"/>
      <c r="BC6" s="169"/>
      <c r="BD6" s="169"/>
      <c r="BE6" s="169"/>
      <c r="BF6" s="169"/>
      <c r="BG6" s="169"/>
      <c r="BH6" s="169"/>
      <c r="BI6" s="169"/>
      <c r="BJ6" s="169"/>
      <c r="BK6" s="169"/>
      <c r="BL6" s="169"/>
      <c r="BM6" s="169"/>
      <c r="BN6" s="169"/>
      <c r="BO6" s="169"/>
      <c r="BP6" s="169"/>
      <c r="BQ6" s="169"/>
      <c r="BR6" s="169"/>
      <c r="BS6" s="169"/>
      <c r="BT6" s="169"/>
      <c r="BU6" s="169"/>
      <c r="BV6" s="169"/>
      <c r="BW6" s="169"/>
      <c r="BX6" s="169"/>
      <c r="BY6" s="169"/>
      <c r="BZ6" s="169"/>
      <c r="CA6" s="169"/>
      <c r="CB6" s="169"/>
      <c r="CC6" s="169"/>
      <c r="CD6" s="169"/>
    </row>
    <row x14ac:dyDescent="0.25" r="7" customHeight="1" ht="18.75">
      <c r="A7" s="1"/>
      <c r="B7" s="1048" t="s">
        <v>588</v>
      </c>
      <c r="C7" s="169"/>
      <c r="D7" s="169"/>
      <c r="E7" s="169"/>
      <c r="F7" s="169"/>
      <c r="G7" s="169"/>
      <c r="H7" s="169"/>
      <c r="I7" s="169"/>
      <c r="J7" s="169"/>
      <c r="K7" s="169"/>
      <c r="L7" s="169"/>
      <c r="M7" s="169"/>
      <c r="N7" s="169"/>
      <c r="O7" s="169"/>
      <c r="P7" s="169"/>
      <c r="Q7" s="169"/>
      <c r="R7" s="169"/>
      <c r="S7" s="169"/>
      <c r="T7" s="169"/>
      <c r="U7" s="169"/>
      <c r="V7" s="169"/>
      <c r="W7" s="169"/>
      <c r="X7" s="169"/>
      <c r="Y7" s="169"/>
      <c r="Z7" s="169"/>
      <c r="AA7" s="169"/>
      <c r="AB7" s="169"/>
      <c r="AC7" s="169"/>
      <c r="AD7" s="169"/>
      <c r="AE7" s="169"/>
      <c r="AF7" s="169"/>
      <c r="AG7" s="169"/>
      <c r="AH7" s="169"/>
      <c r="AI7" s="169"/>
      <c r="AJ7" s="169"/>
      <c r="AK7" s="169"/>
      <c r="AL7" s="169"/>
      <c r="AM7" s="169"/>
      <c r="AN7" s="169"/>
      <c r="AO7" s="169"/>
      <c r="AP7" s="169"/>
      <c r="AQ7" s="169"/>
      <c r="AR7" s="169"/>
      <c r="AS7" s="169"/>
      <c r="AT7" s="169"/>
      <c r="AU7" s="169"/>
      <c r="AV7" s="169"/>
      <c r="AW7" s="169"/>
      <c r="AX7" s="169"/>
      <c r="AY7" s="169"/>
      <c r="AZ7" s="169"/>
      <c r="BA7" s="169"/>
      <c r="BB7" s="169"/>
      <c r="BC7" s="169"/>
      <c r="BD7" s="169"/>
      <c r="BE7" s="169"/>
      <c r="BF7" s="169"/>
      <c r="BG7" s="169"/>
      <c r="BH7" s="169"/>
      <c r="BI7" s="169"/>
      <c r="BJ7" s="169"/>
      <c r="BK7" s="169"/>
      <c r="BL7" s="169"/>
      <c r="BM7" s="169"/>
      <c r="BN7" s="169"/>
      <c r="BO7" s="169"/>
      <c r="BP7" s="169"/>
      <c r="BQ7" s="169"/>
      <c r="BR7" s="169"/>
      <c r="BS7" s="169"/>
      <c r="BT7" s="169"/>
      <c r="BU7" s="169"/>
      <c r="BV7" s="169"/>
      <c r="BW7" s="169"/>
      <c r="BX7" s="169"/>
      <c r="BY7" s="169"/>
      <c r="BZ7" s="169"/>
      <c r="CA7" s="169"/>
      <c r="CB7" s="169"/>
      <c r="CC7" s="169"/>
      <c r="CD7" s="169"/>
    </row>
    <row x14ac:dyDescent="0.25" r="8" customHeight="1" ht="18.75">
      <c r="A8" s="1"/>
      <c r="B8" s="320"/>
      <c r="C8" s="169"/>
      <c r="D8" s="169"/>
      <c r="E8" s="169"/>
      <c r="F8" s="169"/>
      <c r="G8" s="169"/>
      <c r="H8" s="169"/>
      <c r="I8" s="169"/>
      <c r="J8" s="169"/>
      <c r="K8" s="169"/>
      <c r="L8" s="169"/>
      <c r="M8" s="169"/>
      <c r="N8" s="169"/>
      <c r="O8" s="169"/>
      <c r="P8" s="169"/>
      <c r="Q8" s="169"/>
      <c r="R8" s="169"/>
      <c r="S8" s="169"/>
      <c r="T8" s="169"/>
      <c r="U8" s="169"/>
      <c r="V8" s="169"/>
      <c r="W8" s="169"/>
      <c r="X8" s="169"/>
      <c r="Y8" s="169"/>
      <c r="Z8" s="169"/>
      <c r="AA8" s="169"/>
      <c r="AB8" s="169"/>
      <c r="AC8" s="169"/>
      <c r="AD8" s="169"/>
      <c r="AE8" s="169"/>
      <c r="AF8" s="169"/>
      <c r="AG8" s="169"/>
      <c r="AH8" s="169"/>
      <c r="AI8" s="169"/>
      <c r="AJ8" s="169"/>
      <c r="AK8" s="169"/>
      <c r="AL8" s="169"/>
      <c r="AM8" s="169"/>
      <c r="AN8" s="169"/>
      <c r="AO8" s="169"/>
      <c r="AP8" s="169"/>
      <c r="AQ8" s="169"/>
      <c r="AR8" s="169"/>
      <c r="AS8" s="169"/>
      <c r="AT8" s="169"/>
      <c r="AU8" s="169"/>
      <c r="AV8" s="169"/>
      <c r="AW8" s="169"/>
      <c r="AX8" s="169"/>
      <c r="AY8" s="169"/>
      <c r="AZ8" s="169"/>
      <c r="BA8" s="169"/>
      <c r="BB8" s="169"/>
      <c r="BC8" s="169"/>
      <c r="BD8" s="169"/>
      <c r="BE8" s="169"/>
      <c r="BF8" s="169"/>
      <c r="BG8" s="169"/>
      <c r="BH8" s="169"/>
      <c r="BI8" s="169"/>
      <c r="BJ8" s="169"/>
      <c r="BK8" s="169"/>
      <c r="BL8" s="169"/>
      <c r="BM8" s="169"/>
      <c r="BN8" s="169"/>
      <c r="BO8" s="169"/>
      <c r="BP8" s="169"/>
      <c r="BQ8" s="169"/>
      <c r="BR8" s="169"/>
      <c r="BS8" s="169"/>
      <c r="BT8" s="169"/>
      <c r="BU8" s="169"/>
      <c r="BV8" s="169"/>
      <c r="BW8" s="169"/>
      <c r="BX8" s="169"/>
      <c r="BY8" s="169"/>
      <c r="BZ8" s="169"/>
      <c r="CA8" s="169"/>
      <c r="CB8" s="169"/>
      <c r="CC8" s="169"/>
      <c r="CD8" s="169"/>
    </row>
    <row x14ac:dyDescent="0.25" r="9" customHeight="1" ht="18.75">
      <c r="A9" s="1"/>
      <c r="B9" s="1049" t="s">
        <v>589</v>
      </c>
      <c r="C9" s="1050">
        <v>2024</v>
      </c>
      <c r="D9" s="1050">
        <v>2025</v>
      </c>
      <c r="E9" s="1050">
        <v>2026</v>
      </c>
      <c r="F9" s="1050">
        <v>2027</v>
      </c>
      <c r="G9" s="1050">
        <v>2028</v>
      </c>
      <c r="H9" s="1050">
        <v>2029</v>
      </c>
      <c r="I9" s="1050">
        <v>2030</v>
      </c>
      <c r="J9" s="1050">
        <v>2031</v>
      </c>
      <c r="K9" s="1050">
        <v>2032</v>
      </c>
      <c r="L9" s="1050">
        <v>2033</v>
      </c>
      <c r="M9" s="331">
        <f>+L9+1</f>
      </c>
      <c r="N9" s="331">
        <f>+M9+1</f>
      </c>
      <c r="O9" s="331">
        <f>+N9+1</f>
      </c>
      <c r="P9" s="331">
        <f>+O9+1</f>
      </c>
      <c r="Q9" s="331">
        <f>+P9+1</f>
      </c>
      <c r="R9" s="331">
        <f>+Q9+1</f>
      </c>
      <c r="S9" s="331">
        <f>+R9+1</f>
      </c>
      <c r="T9" s="331">
        <f>+S9+1</f>
      </c>
      <c r="U9" s="331">
        <f>+T9+1</f>
      </c>
      <c r="V9" s="331">
        <f>+U9+1</f>
      </c>
      <c r="W9" s="331">
        <f>+V9+1</f>
      </c>
      <c r="X9" s="331">
        <f>+W9+1</f>
      </c>
      <c r="Y9" s="331">
        <f>+X9+1</f>
      </c>
      <c r="Z9" s="331">
        <f>+Y9+1</f>
      </c>
      <c r="AA9" s="331">
        <f>+Z9+1</f>
      </c>
      <c r="AB9" s="331">
        <f>+AA9+1</f>
      </c>
      <c r="AC9" s="331">
        <f>+AB9+1</f>
      </c>
      <c r="AD9" s="331">
        <f>+AC9+1</f>
      </c>
      <c r="AE9" s="331">
        <f>+AD9+1</f>
      </c>
      <c r="AF9" s="331">
        <f>+AE9+1</f>
      </c>
      <c r="AG9" s="331">
        <f>+AF9+1</f>
      </c>
      <c r="AH9" s="331">
        <f>+AG9+1</f>
      </c>
      <c r="AI9" s="331">
        <f>+AH9+1</f>
      </c>
      <c r="AJ9" s="331">
        <f>+AI9+1</f>
      </c>
      <c r="AK9" s="331">
        <f>+AJ9+1</f>
      </c>
      <c r="AL9" s="331">
        <f>+AK9+1</f>
      </c>
      <c r="AM9" s="331">
        <f>+AL9+1</f>
      </c>
      <c r="AN9" s="331">
        <f>+AM9+1</f>
      </c>
      <c r="AO9" s="331">
        <f>+AN9+1</f>
      </c>
      <c r="AP9" s="331">
        <f>+AO9+1</f>
      </c>
      <c r="AQ9" s="331">
        <f>+AP9+1</f>
      </c>
      <c r="AR9" s="331">
        <f>+AQ9+1</f>
      </c>
      <c r="AS9" s="331">
        <f>+AR9+1</f>
      </c>
      <c r="AT9" s="331">
        <f>+AS9+1</f>
      </c>
      <c r="AU9" s="331">
        <f>+AT9+1</f>
      </c>
      <c r="AV9" s="331">
        <f>+AU9+1</f>
      </c>
      <c r="AW9" s="331">
        <f>+AV9+1</f>
      </c>
      <c r="AX9" s="331">
        <f>+AW9+1</f>
      </c>
      <c r="AY9" s="331">
        <f>+AX9+1</f>
      </c>
      <c r="AZ9" s="331">
        <f>+AY9+1</f>
      </c>
      <c r="BA9" s="331">
        <f>+AZ9+1</f>
      </c>
      <c r="BB9" s="331">
        <f>+BA9+1</f>
      </c>
      <c r="BC9" s="331">
        <f>+BB9+1</f>
      </c>
      <c r="BD9" s="331">
        <f>+BC9+1</f>
      </c>
      <c r="BE9" s="331">
        <f>+BD9+1</f>
      </c>
      <c r="BF9" s="331">
        <f>+BE9+1</f>
      </c>
      <c r="BG9" s="331">
        <f>+BF9+1</f>
      </c>
      <c r="BH9" s="331">
        <f>+BG9+1</f>
      </c>
      <c r="BI9" s="331">
        <f>+BH9+1</f>
      </c>
      <c r="BJ9" s="331">
        <f>+BI9+1</f>
      </c>
      <c r="BK9" s="331">
        <f>+BJ9+1</f>
      </c>
      <c r="BL9" s="331">
        <f>+BK9+1</f>
      </c>
      <c r="BM9" s="331">
        <f>+BL9+1</f>
      </c>
      <c r="BN9" s="331">
        <f>+BM9+1</f>
      </c>
      <c r="BO9" s="331">
        <f>+BN9+1</f>
      </c>
      <c r="BP9" s="331">
        <f>+BO9+1</f>
      </c>
      <c r="BQ9" s="331">
        <f>+BP9+1</f>
      </c>
      <c r="BR9" s="331">
        <f>+BQ9+1</f>
      </c>
      <c r="BS9" s="331">
        <f>+BR9+1</f>
      </c>
      <c r="BT9" s="331">
        <f>+BS9+1</f>
      </c>
      <c r="BU9" s="331">
        <f>+BT9+1</f>
      </c>
      <c r="BV9" s="331">
        <f>+BU9+1</f>
      </c>
      <c r="BW9" s="331">
        <f>+BV9+1</f>
      </c>
      <c r="BX9" s="331">
        <f>+BW9+1</f>
      </c>
      <c r="BY9" s="331">
        <f>+BX9+1</f>
      </c>
      <c r="BZ9" s="331">
        <f>+BY9+1</f>
      </c>
      <c r="CA9" s="331">
        <f>+BZ9+1</f>
      </c>
      <c r="CB9" s="331">
        <f>+CA9+1</f>
      </c>
      <c r="CC9" s="331">
        <f>+CB9+1</f>
      </c>
      <c r="CD9" s="331">
        <f>+CC9+1</f>
      </c>
    </row>
    <row x14ac:dyDescent="0.25" r="10" customHeight="1" ht="18.75">
      <c r="A10" s="1"/>
      <c r="B10" s="1050">
        <v>24</v>
      </c>
      <c r="C10" s="1049" t="s">
        <v>590</v>
      </c>
      <c r="D10" s="1049" t="s">
        <v>591</v>
      </c>
      <c r="E10" s="1049" t="s">
        <v>592</v>
      </c>
      <c r="F10" s="1049" t="s">
        <v>593</v>
      </c>
      <c r="G10" s="1049" t="s">
        <v>594</v>
      </c>
      <c r="H10" s="1049" t="s">
        <v>595</v>
      </c>
      <c r="I10" s="1049" t="s">
        <v>596</v>
      </c>
      <c r="J10" s="1049" t="s">
        <v>597</v>
      </c>
      <c r="K10" s="1049" t="s">
        <v>598</v>
      </c>
      <c r="L10" s="1049" t="s">
        <v>599</v>
      </c>
      <c r="M10" s="169" t="s">
        <v>599</v>
      </c>
      <c r="N10" s="169" t="s">
        <v>599</v>
      </c>
      <c r="O10" s="169" t="s">
        <v>599</v>
      </c>
      <c r="P10" s="169" t="s">
        <v>599</v>
      </c>
      <c r="Q10" s="169" t="s">
        <v>599</v>
      </c>
      <c r="R10" s="169" t="s">
        <v>599</v>
      </c>
      <c r="S10" s="169" t="s">
        <v>599</v>
      </c>
      <c r="T10" s="169" t="s">
        <v>599</v>
      </c>
      <c r="U10" s="169" t="s">
        <v>599</v>
      </c>
      <c r="V10" s="169" t="s">
        <v>599</v>
      </c>
      <c r="W10" s="169" t="s">
        <v>599</v>
      </c>
      <c r="X10" s="169" t="s">
        <v>599</v>
      </c>
      <c r="Y10" s="169" t="s">
        <v>599</v>
      </c>
      <c r="Z10" s="169" t="s">
        <v>599</v>
      </c>
      <c r="AA10" s="169" t="s">
        <v>599</v>
      </c>
      <c r="AB10" s="169" t="s">
        <v>599</v>
      </c>
      <c r="AC10" s="169" t="s">
        <v>599</v>
      </c>
      <c r="AD10" s="169" t="s">
        <v>599</v>
      </c>
      <c r="AE10" s="169" t="s">
        <v>599</v>
      </c>
      <c r="AF10" s="169" t="s">
        <v>599</v>
      </c>
      <c r="AG10" s="169" t="s">
        <v>599</v>
      </c>
      <c r="AH10" s="169" t="s">
        <v>599</v>
      </c>
      <c r="AI10" s="169" t="s">
        <v>599</v>
      </c>
      <c r="AJ10" s="169" t="s">
        <v>599</v>
      </c>
      <c r="AK10" s="169" t="s">
        <v>599</v>
      </c>
      <c r="AL10" s="169" t="s">
        <v>599</v>
      </c>
      <c r="AM10" s="169" t="s">
        <v>599</v>
      </c>
      <c r="AN10" s="169" t="s">
        <v>599</v>
      </c>
      <c r="AO10" s="169" t="s">
        <v>599</v>
      </c>
      <c r="AP10" s="169" t="s">
        <v>599</v>
      </c>
      <c r="AQ10" s="169" t="s">
        <v>599</v>
      </c>
      <c r="AR10" s="169" t="s">
        <v>599</v>
      </c>
      <c r="AS10" s="169" t="s">
        <v>599</v>
      </c>
      <c r="AT10" s="169" t="s">
        <v>599</v>
      </c>
      <c r="AU10" s="169" t="s">
        <v>599</v>
      </c>
      <c r="AV10" s="169" t="s">
        <v>599</v>
      </c>
      <c r="AW10" s="169" t="s">
        <v>599</v>
      </c>
      <c r="AX10" s="169" t="s">
        <v>599</v>
      </c>
      <c r="AY10" s="169" t="s">
        <v>599</v>
      </c>
      <c r="AZ10" s="169" t="s">
        <v>599</v>
      </c>
      <c r="BA10" s="169" t="s">
        <v>599</v>
      </c>
      <c r="BB10" s="169" t="s">
        <v>599</v>
      </c>
      <c r="BC10" s="169" t="s">
        <v>599</v>
      </c>
      <c r="BD10" s="169" t="s">
        <v>599</v>
      </c>
      <c r="BE10" s="169" t="s">
        <v>599</v>
      </c>
      <c r="BF10" s="169" t="s">
        <v>599</v>
      </c>
      <c r="BG10" s="169" t="s">
        <v>599</v>
      </c>
      <c r="BH10" s="169" t="s">
        <v>599</v>
      </c>
      <c r="BI10" s="169" t="s">
        <v>599</v>
      </c>
      <c r="BJ10" s="169" t="s">
        <v>599</v>
      </c>
      <c r="BK10" s="169" t="s">
        <v>599</v>
      </c>
      <c r="BL10" s="169" t="s">
        <v>599</v>
      </c>
      <c r="BM10" s="169" t="s">
        <v>599</v>
      </c>
      <c r="BN10" s="169" t="s">
        <v>599</v>
      </c>
      <c r="BO10" s="169" t="s">
        <v>599</v>
      </c>
      <c r="BP10" s="169" t="s">
        <v>599</v>
      </c>
      <c r="BQ10" s="169" t="s">
        <v>599</v>
      </c>
      <c r="BR10" s="169" t="s">
        <v>599</v>
      </c>
      <c r="BS10" s="169" t="s">
        <v>599</v>
      </c>
      <c r="BT10" s="169" t="s">
        <v>599</v>
      </c>
      <c r="BU10" s="169" t="s">
        <v>599</v>
      </c>
      <c r="BV10" s="169" t="s">
        <v>599</v>
      </c>
      <c r="BW10" s="169" t="s">
        <v>599</v>
      </c>
      <c r="BX10" s="169" t="s">
        <v>599</v>
      </c>
      <c r="BY10" s="169" t="s">
        <v>599</v>
      </c>
      <c r="BZ10" s="169" t="s">
        <v>599</v>
      </c>
      <c r="CA10" s="169" t="s">
        <v>599</v>
      </c>
      <c r="CB10" s="169" t="s">
        <v>599</v>
      </c>
      <c r="CC10" s="169" t="s">
        <v>599</v>
      </c>
      <c r="CD10" s="169" t="s">
        <v>599</v>
      </c>
    </row>
    <row x14ac:dyDescent="0.25" r="11" customHeight="1" ht="18.75">
      <c r="A11" s="1"/>
      <c r="B11" s="1050">
        <v>23</v>
      </c>
      <c r="C11" s="1049" t="s">
        <v>600</v>
      </c>
      <c r="D11" s="1049" t="s">
        <v>601</v>
      </c>
      <c r="E11" s="1049" t="s">
        <v>602</v>
      </c>
      <c r="F11" s="1049" t="s">
        <v>603</v>
      </c>
      <c r="G11" s="1049" t="s">
        <v>593</v>
      </c>
      <c r="H11" s="1049" t="s">
        <v>604</v>
      </c>
      <c r="I11" s="1049" t="s">
        <v>605</v>
      </c>
      <c r="J11" s="1049" t="s">
        <v>606</v>
      </c>
      <c r="K11" s="1049" t="s">
        <v>607</v>
      </c>
      <c r="L11" s="1049" t="s">
        <v>597</v>
      </c>
      <c r="M11" s="169" t="s">
        <v>597</v>
      </c>
      <c r="N11" s="169" t="s">
        <v>597</v>
      </c>
      <c r="O11" s="169" t="s">
        <v>597</v>
      </c>
      <c r="P11" s="169" t="s">
        <v>597</v>
      </c>
      <c r="Q11" s="169" t="s">
        <v>597</v>
      </c>
      <c r="R11" s="169" t="s">
        <v>597</v>
      </c>
      <c r="S11" s="169" t="s">
        <v>597</v>
      </c>
      <c r="T11" s="169" t="s">
        <v>597</v>
      </c>
      <c r="U11" s="169" t="s">
        <v>597</v>
      </c>
      <c r="V11" s="169" t="s">
        <v>597</v>
      </c>
      <c r="W11" s="169" t="s">
        <v>597</v>
      </c>
      <c r="X11" s="169" t="s">
        <v>597</v>
      </c>
      <c r="Y11" s="169" t="s">
        <v>597</v>
      </c>
      <c r="Z11" s="169" t="s">
        <v>597</v>
      </c>
      <c r="AA11" s="169" t="s">
        <v>597</v>
      </c>
      <c r="AB11" s="169" t="s">
        <v>597</v>
      </c>
      <c r="AC11" s="169" t="s">
        <v>597</v>
      </c>
      <c r="AD11" s="169" t="s">
        <v>597</v>
      </c>
      <c r="AE11" s="169" t="s">
        <v>597</v>
      </c>
      <c r="AF11" s="169" t="s">
        <v>597</v>
      </c>
      <c r="AG11" s="169" t="s">
        <v>597</v>
      </c>
      <c r="AH11" s="169" t="s">
        <v>597</v>
      </c>
      <c r="AI11" s="169" t="s">
        <v>597</v>
      </c>
      <c r="AJ11" s="169" t="s">
        <v>597</v>
      </c>
      <c r="AK11" s="169" t="s">
        <v>597</v>
      </c>
      <c r="AL11" s="169" t="s">
        <v>597</v>
      </c>
      <c r="AM11" s="169" t="s">
        <v>597</v>
      </c>
      <c r="AN11" s="169" t="s">
        <v>597</v>
      </c>
      <c r="AO11" s="169" t="s">
        <v>597</v>
      </c>
      <c r="AP11" s="169" t="s">
        <v>597</v>
      </c>
      <c r="AQ11" s="169" t="s">
        <v>597</v>
      </c>
      <c r="AR11" s="169" t="s">
        <v>597</v>
      </c>
      <c r="AS11" s="169" t="s">
        <v>597</v>
      </c>
      <c r="AT11" s="169" t="s">
        <v>597</v>
      </c>
      <c r="AU11" s="169" t="s">
        <v>597</v>
      </c>
      <c r="AV11" s="169" t="s">
        <v>597</v>
      </c>
      <c r="AW11" s="169" t="s">
        <v>597</v>
      </c>
      <c r="AX11" s="169" t="s">
        <v>597</v>
      </c>
      <c r="AY11" s="169" t="s">
        <v>597</v>
      </c>
      <c r="AZ11" s="169" t="s">
        <v>597</v>
      </c>
      <c r="BA11" s="169" t="s">
        <v>597</v>
      </c>
      <c r="BB11" s="169" t="s">
        <v>597</v>
      </c>
      <c r="BC11" s="169" t="s">
        <v>597</v>
      </c>
      <c r="BD11" s="169" t="s">
        <v>597</v>
      </c>
      <c r="BE11" s="169" t="s">
        <v>597</v>
      </c>
      <c r="BF11" s="169" t="s">
        <v>597</v>
      </c>
      <c r="BG11" s="169" t="s">
        <v>597</v>
      </c>
      <c r="BH11" s="169" t="s">
        <v>597</v>
      </c>
      <c r="BI11" s="169" t="s">
        <v>597</v>
      </c>
      <c r="BJ11" s="169" t="s">
        <v>597</v>
      </c>
      <c r="BK11" s="169" t="s">
        <v>597</v>
      </c>
      <c r="BL11" s="169" t="s">
        <v>597</v>
      </c>
      <c r="BM11" s="169" t="s">
        <v>597</v>
      </c>
      <c r="BN11" s="169" t="s">
        <v>597</v>
      </c>
      <c r="BO11" s="169" t="s">
        <v>597</v>
      </c>
      <c r="BP11" s="169" t="s">
        <v>597</v>
      </c>
      <c r="BQ11" s="169" t="s">
        <v>597</v>
      </c>
      <c r="BR11" s="169" t="s">
        <v>597</v>
      </c>
      <c r="BS11" s="169" t="s">
        <v>597</v>
      </c>
      <c r="BT11" s="169" t="s">
        <v>597</v>
      </c>
      <c r="BU11" s="169" t="s">
        <v>597</v>
      </c>
      <c r="BV11" s="169" t="s">
        <v>597</v>
      </c>
      <c r="BW11" s="169" t="s">
        <v>597</v>
      </c>
      <c r="BX11" s="169" t="s">
        <v>597</v>
      </c>
      <c r="BY11" s="169" t="s">
        <v>597</v>
      </c>
      <c r="BZ11" s="169" t="s">
        <v>597</v>
      </c>
      <c r="CA11" s="169" t="s">
        <v>597</v>
      </c>
      <c r="CB11" s="169" t="s">
        <v>597</v>
      </c>
      <c r="CC11" s="169" t="s">
        <v>597</v>
      </c>
      <c r="CD11" s="169" t="s">
        <v>597</v>
      </c>
    </row>
    <row x14ac:dyDescent="0.25" r="12" customHeight="1" ht="18.75">
      <c r="A12" s="1"/>
      <c r="B12" s="1050">
        <v>22</v>
      </c>
      <c r="C12" s="1049" t="s">
        <v>608</v>
      </c>
      <c r="D12" s="1049" t="s">
        <v>609</v>
      </c>
      <c r="E12" s="1049" t="s">
        <v>610</v>
      </c>
      <c r="F12" s="1049" t="s">
        <v>611</v>
      </c>
      <c r="G12" s="1049" t="s">
        <v>612</v>
      </c>
      <c r="H12" s="1049" t="s">
        <v>613</v>
      </c>
      <c r="I12" s="1049" t="s">
        <v>614</v>
      </c>
      <c r="J12" s="1049" t="s">
        <v>615</v>
      </c>
      <c r="K12" s="1049" t="s">
        <v>616</v>
      </c>
      <c r="L12" s="1049" t="s">
        <v>617</v>
      </c>
      <c r="M12" s="169" t="s">
        <v>617</v>
      </c>
      <c r="N12" s="169" t="s">
        <v>617</v>
      </c>
      <c r="O12" s="169" t="s">
        <v>617</v>
      </c>
      <c r="P12" s="169" t="s">
        <v>617</v>
      </c>
      <c r="Q12" s="169" t="s">
        <v>617</v>
      </c>
      <c r="R12" s="169" t="s">
        <v>617</v>
      </c>
      <c r="S12" s="169" t="s">
        <v>617</v>
      </c>
      <c r="T12" s="169" t="s">
        <v>617</v>
      </c>
      <c r="U12" s="169" t="s">
        <v>617</v>
      </c>
      <c r="V12" s="169" t="s">
        <v>617</v>
      </c>
      <c r="W12" s="169" t="s">
        <v>617</v>
      </c>
      <c r="X12" s="169" t="s">
        <v>617</v>
      </c>
      <c r="Y12" s="169" t="s">
        <v>617</v>
      </c>
      <c r="Z12" s="169" t="s">
        <v>617</v>
      </c>
      <c r="AA12" s="169" t="s">
        <v>617</v>
      </c>
      <c r="AB12" s="169" t="s">
        <v>617</v>
      </c>
      <c r="AC12" s="169" t="s">
        <v>617</v>
      </c>
      <c r="AD12" s="169" t="s">
        <v>617</v>
      </c>
      <c r="AE12" s="169" t="s">
        <v>617</v>
      </c>
      <c r="AF12" s="169" t="s">
        <v>617</v>
      </c>
      <c r="AG12" s="169" t="s">
        <v>617</v>
      </c>
      <c r="AH12" s="169" t="s">
        <v>617</v>
      </c>
      <c r="AI12" s="169" t="s">
        <v>617</v>
      </c>
      <c r="AJ12" s="169" t="s">
        <v>617</v>
      </c>
      <c r="AK12" s="169" t="s">
        <v>617</v>
      </c>
      <c r="AL12" s="169" t="s">
        <v>617</v>
      </c>
      <c r="AM12" s="169" t="s">
        <v>617</v>
      </c>
      <c r="AN12" s="169" t="s">
        <v>617</v>
      </c>
      <c r="AO12" s="169" t="s">
        <v>617</v>
      </c>
      <c r="AP12" s="169" t="s">
        <v>617</v>
      </c>
      <c r="AQ12" s="169" t="s">
        <v>617</v>
      </c>
      <c r="AR12" s="169" t="s">
        <v>617</v>
      </c>
      <c r="AS12" s="169" t="s">
        <v>617</v>
      </c>
      <c r="AT12" s="169" t="s">
        <v>617</v>
      </c>
      <c r="AU12" s="169" t="s">
        <v>617</v>
      </c>
      <c r="AV12" s="169" t="s">
        <v>617</v>
      </c>
      <c r="AW12" s="169" t="s">
        <v>617</v>
      </c>
      <c r="AX12" s="169" t="s">
        <v>617</v>
      </c>
      <c r="AY12" s="169" t="s">
        <v>617</v>
      </c>
      <c r="AZ12" s="169" t="s">
        <v>617</v>
      </c>
      <c r="BA12" s="169" t="s">
        <v>617</v>
      </c>
      <c r="BB12" s="169" t="s">
        <v>617</v>
      </c>
      <c r="BC12" s="169" t="s">
        <v>617</v>
      </c>
      <c r="BD12" s="169" t="s">
        <v>617</v>
      </c>
      <c r="BE12" s="169" t="s">
        <v>617</v>
      </c>
      <c r="BF12" s="169" t="s">
        <v>617</v>
      </c>
      <c r="BG12" s="169" t="s">
        <v>617</v>
      </c>
      <c r="BH12" s="169" t="s">
        <v>617</v>
      </c>
      <c r="BI12" s="169" t="s">
        <v>617</v>
      </c>
      <c r="BJ12" s="169" t="s">
        <v>617</v>
      </c>
      <c r="BK12" s="169" t="s">
        <v>617</v>
      </c>
      <c r="BL12" s="169" t="s">
        <v>617</v>
      </c>
      <c r="BM12" s="169" t="s">
        <v>617</v>
      </c>
      <c r="BN12" s="169" t="s">
        <v>617</v>
      </c>
      <c r="BO12" s="169" t="s">
        <v>617</v>
      </c>
      <c r="BP12" s="169" t="s">
        <v>617</v>
      </c>
      <c r="BQ12" s="169" t="s">
        <v>617</v>
      </c>
      <c r="BR12" s="169" t="s">
        <v>617</v>
      </c>
      <c r="BS12" s="169" t="s">
        <v>617</v>
      </c>
      <c r="BT12" s="169" t="s">
        <v>617</v>
      </c>
      <c r="BU12" s="169" t="s">
        <v>617</v>
      </c>
      <c r="BV12" s="169" t="s">
        <v>617</v>
      </c>
      <c r="BW12" s="169" t="s">
        <v>617</v>
      </c>
      <c r="BX12" s="169" t="s">
        <v>617</v>
      </c>
      <c r="BY12" s="169" t="s">
        <v>617</v>
      </c>
      <c r="BZ12" s="169" t="s">
        <v>617</v>
      </c>
      <c r="CA12" s="169" t="s">
        <v>617</v>
      </c>
      <c r="CB12" s="169" t="s">
        <v>617</v>
      </c>
      <c r="CC12" s="169" t="s">
        <v>617</v>
      </c>
      <c r="CD12" s="169" t="s">
        <v>617</v>
      </c>
    </row>
    <row x14ac:dyDescent="0.25" r="13" customHeight="1" ht="18.75">
      <c r="A13" s="1"/>
      <c r="B13" s="1050">
        <v>21</v>
      </c>
      <c r="C13" s="1049" t="s">
        <v>618</v>
      </c>
      <c r="D13" s="1049" t="s">
        <v>619</v>
      </c>
      <c r="E13" s="1049" t="s">
        <v>620</v>
      </c>
      <c r="F13" s="1049" t="s">
        <v>621</v>
      </c>
      <c r="G13" s="1049" t="s">
        <v>622</v>
      </c>
      <c r="H13" s="1049" t="s">
        <v>623</v>
      </c>
      <c r="I13" s="1049" t="s">
        <v>624</v>
      </c>
      <c r="J13" s="1049" t="s">
        <v>625</v>
      </c>
      <c r="K13" s="1049" t="s">
        <v>626</v>
      </c>
      <c r="L13" s="1049" t="s">
        <v>627</v>
      </c>
      <c r="M13" s="169" t="s">
        <v>627</v>
      </c>
      <c r="N13" s="169" t="s">
        <v>627</v>
      </c>
      <c r="O13" s="169" t="s">
        <v>627</v>
      </c>
      <c r="P13" s="169" t="s">
        <v>627</v>
      </c>
      <c r="Q13" s="169" t="s">
        <v>627</v>
      </c>
      <c r="R13" s="169" t="s">
        <v>627</v>
      </c>
      <c r="S13" s="169" t="s">
        <v>627</v>
      </c>
      <c r="T13" s="169" t="s">
        <v>627</v>
      </c>
      <c r="U13" s="169" t="s">
        <v>627</v>
      </c>
      <c r="V13" s="169" t="s">
        <v>627</v>
      </c>
      <c r="W13" s="169" t="s">
        <v>627</v>
      </c>
      <c r="X13" s="169" t="s">
        <v>627</v>
      </c>
      <c r="Y13" s="169" t="s">
        <v>627</v>
      </c>
      <c r="Z13" s="169" t="s">
        <v>627</v>
      </c>
      <c r="AA13" s="169" t="s">
        <v>627</v>
      </c>
      <c r="AB13" s="169" t="s">
        <v>627</v>
      </c>
      <c r="AC13" s="169" t="s">
        <v>627</v>
      </c>
      <c r="AD13" s="169" t="s">
        <v>627</v>
      </c>
      <c r="AE13" s="169" t="s">
        <v>627</v>
      </c>
      <c r="AF13" s="169" t="s">
        <v>627</v>
      </c>
      <c r="AG13" s="169" t="s">
        <v>627</v>
      </c>
      <c r="AH13" s="169" t="s">
        <v>627</v>
      </c>
      <c r="AI13" s="169" t="s">
        <v>627</v>
      </c>
      <c r="AJ13" s="169" t="s">
        <v>627</v>
      </c>
      <c r="AK13" s="169" t="s">
        <v>627</v>
      </c>
      <c r="AL13" s="169" t="s">
        <v>627</v>
      </c>
      <c r="AM13" s="169" t="s">
        <v>627</v>
      </c>
      <c r="AN13" s="169" t="s">
        <v>627</v>
      </c>
      <c r="AO13" s="169" t="s">
        <v>627</v>
      </c>
      <c r="AP13" s="169" t="s">
        <v>627</v>
      </c>
      <c r="AQ13" s="169" t="s">
        <v>627</v>
      </c>
      <c r="AR13" s="169" t="s">
        <v>627</v>
      </c>
      <c r="AS13" s="169" t="s">
        <v>627</v>
      </c>
      <c r="AT13" s="169" t="s">
        <v>627</v>
      </c>
      <c r="AU13" s="169" t="s">
        <v>627</v>
      </c>
      <c r="AV13" s="169" t="s">
        <v>627</v>
      </c>
      <c r="AW13" s="169" t="s">
        <v>627</v>
      </c>
      <c r="AX13" s="169" t="s">
        <v>627</v>
      </c>
      <c r="AY13" s="169" t="s">
        <v>627</v>
      </c>
      <c r="AZ13" s="169" t="s">
        <v>627</v>
      </c>
      <c r="BA13" s="169" t="s">
        <v>627</v>
      </c>
      <c r="BB13" s="169" t="s">
        <v>627</v>
      </c>
      <c r="BC13" s="169" t="s">
        <v>627</v>
      </c>
      <c r="BD13" s="169" t="s">
        <v>627</v>
      </c>
      <c r="BE13" s="169" t="s">
        <v>627</v>
      </c>
      <c r="BF13" s="169" t="s">
        <v>627</v>
      </c>
      <c r="BG13" s="169" t="s">
        <v>627</v>
      </c>
      <c r="BH13" s="169" t="s">
        <v>627</v>
      </c>
      <c r="BI13" s="169" t="s">
        <v>627</v>
      </c>
      <c r="BJ13" s="169" t="s">
        <v>627</v>
      </c>
      <c r="BK13" s="169" t="s">
        <v>627</v>
      </c>
      <c r="BL13" s="169" t="s">
        <v>627</v>
      </c>
      <c r="BM13" s="169" t="s">
        <v>627</v>
      </c>
      <c r="BN13" s="169" t="s">
        <v>627</v>
      </c>
      <c r="BO13" s="169" t="s">
        <v>627</v>
      </c>
      <c r="BP13" s="169" t="s">
        <v>627</v>
      </c>
      <c r="BQ13" s="169" t="s">
        <v>627</v>
      </c>
      <c r="BR13" s="169" t="s">
        <v>627</v>
      </c>
      <c r="BS13" s="169" t="s">
        <v>627</v>
      </c>
      <c r="BT13" s="169" t="s">
        <v>627</v>
      </c>
      <c r="BU13" s="169" t="s">
        <v>627</v>
      </c>
      <c r="BV13" s="169" t="s">
        <v>627</v>
      </c>
      <c r="BW13" s="169" t="s">
        <v>627</v>
      </c>
      <c r="BX13" s="169" t="s">
        <v>627</v>
      </c>
      <c r="BY13" s="169" t="s">
        <v>627</v>
      </c>
      <c r="BZ13" s="169" t="s">
        <v>627</v>
      </c>
      <c r="CA13" s="169" t="s">
        <v>627</v>
      </c>
      <c r="CB13" s="169" t="s">
        <v>627</v>
      </c>
      <c r="CC13" s="169" t="s">
        <v>627</v>
      </c>
      <c r="CD13" s="169" t="s">
        <v>627</v>
      </c>
    </row>
    <row x14ac:dyDescent="0.25" r="14" customHeight="1" ht="18.75">
      <c r="A14" s="1"/>
      <c r="B14" s="1050">
        <v>20</v>
      </c>
      <c r="C14" s="1049" t="s">
        <v>628</v>
      </c>
      <c r="D14" s="1049" t="s">
        <v>629</v>
      </c>
      <c r="E14" s="1049" t="s">
        <v>630</v>
      </c>
      <c r="F14" s="1049" t="s">
        <v>631</v>
      </c>
      <c r="G14" s="1049" t="s">
        <v>632</v>
      </c>
      <c r="H14" s="1049" t="s">
        <v>633</v>
      </c>
      <c r="I14" s="1049" t="s">
        <v>634</v>
      </c>
      <c r="J14" s="1049" t="s">
        <v>635</v>
      </c>
      <c r="K14" s="1049" t="s">
        <v>636</v>
      </c>
      <c r="L14" s="1049" t="s">
        <v>637</v>
      </c>
      <c r="M14" s="169" t="s">
        <v>637</v>
      </c>
      <c r="N14" s="169" t="s">
        <v>637</v>
      </c>
      <c r="O14" s="169" t="s">
        <v>637</v>
      </c>
      <c r="P14" s="169" t="s">
        <v>637</v>
      </c>
      <c r="Q14" s="169" t="s">
        <v>637</v>
      </c>
      <c r="R14" s="169" t="s">
        <v>637</v>
      </c>
      <c r="S14" s="169" t="s">
        <v>637</v>
      </c>
      <c r="T14" s="169" t="s">
        <v>637</v>
      </c>
      <c r="U14" s="169" t="s">
        <v>637</v>
      </c>
      <c r="V14" s="169" t="s">
        <v>637</v>
      </c>
      <c r="W14" s="169" t="s">
        <v>637</v>
      </c>
      <c r="X14" s="169" t="s">
        <v>637</v>
      </c>
      <c r="Y14" s="169" t="s">
        <v>637</v>
      </c>
      <c r="Z14" s="169" t="s">
        <v>637</v>
      </c>
      <c r="AA14" s="169" t="s">
        <v>637</v>
      </c>
      <c r="AB14" s="169" t="s">
        <v>637</v>
      </c>
      <c r="AC14" s="169" t="s">
        <v>637</v>
      </c>
      <c r="AD14" s="169" t="s">
        <v>637</v>
      </c>
      <c r="AE14" s="169" t="s">
        <v>637</v>
      </c>
      <c r="AF14" s="169" t="s">
        <v>637</v>
      </c>
      <c r="AG14" s="169" t="s">
        <v>637</v>
      </c>
      <c r="AH14" s="169" t="s">
        <v>637</v>
      </c>
      <c r="AI14" s="169" t="s">
        <v>637</v>
      </c>
      <c r="AJ14" s="169" t="s">
        <v>637</v>
      </c>
      <c r="AK14" s="169" t="s">
        <v>637</v>
      </c>
      <c r="AL14" s="169" t="s">
        <v>637</v>
      </c>
      <c r="AM14" s="169" t="s">
        <v>637</v>
      </c>
      <c r="AN14" s="169" t="s">
        <v>637</v>
      </c>
      <c r="AO14" s="169" t="s">
        <v>637</v>
      </c>
      <c r="AP14" s="169" t="s">
        <v>637</v>
      </c>
      <c r="AQ14" s="169" t="s">
        <v>637</v>
      </c>
      <c r="AR14" s="169" t="s">
        <v>637</v>
      </c>
      <c r="AS14" s="169" t="s">
        <v>637</v>
      </c>
      <c r="AT14" s="169" t="s">
        <v>637</v>
      </c>
      <c r="AU14" s="169" t="s">
        <v>637</v>
      </c>
      <c r="AV14" s="169" t="s">
        <v>637</v>
      </c>
      <c r="AW14" s="169" t="s">
        <v>637</v>
      </c>
      <c r="AX14" s="169" t="s">
        <v>637</v>
      </c>
      <c r="AY14" s="169" t="s">
        <v>637</v>
      </c>
      <c r="AZ14" s="169" t="s">
        <v>637</v>
      </c>
      <c r="BA14" s="169" t="s">
        <v>637</v>
      </c>
      <c r="BB14" s="169" t="s">
        <v>637</v>
      </c>
      <c r="BC14" s="169" t="s">
        <v>637</v>
      </c>
      <c r="BD14" s="169" t="s">
        <v>637</v>
      </c>
      <c r="BE14" s="169" t="s">
        <v>637</v>
      </c>
      <c r="BF14" s="169" t="s">
        <v>637</v>
      </c>
      <c r="BG14" s="169" t="s">
        <v>637</v>
      </c>
      <c r="BH14" s="169" t="s">
        <v>637</v>
      </c>
      <c r="BI14" s="169" t="s">
        <v>637</v>
      </c>
      <c r="BJ14" s="169" t="s">
        <v>637</v>
      </c>
      <c r="BK14" s="169" t="s">
        <v>637</v>
      </c>
      <c r="BL14" s="169" t="s">
        <v>637</v>
      </c>
      <c r="BM14" s="169" t="s">
        <v>637</v>
      </c>
      <c r="BN14" s="169" t="s">
        <v>637</v>
      </c>
      <c r="BO14" s="169" t="s">
        <v>637</v>
      </c>
      <c r="BP14" s="169" t="s">
        <v>637</v>
      </c>
      <c r="BQ14" s="169" t="s">
        <v>637</v>
      </c>
      <c r="BR14" s="169" t="s">
        <v>637</v>
      </c>
      <c r="BS14" s="169" t="s">
        <v>637</v>
      </c>
      <c r="BT14" s="169" t="s">
        <v>637</v>
      </c>
      <c r="BU14" s="169" t="s">
        <v>637</v>
      </c>
      <c r="BV14" s="169" t="s">
        <v>637</v>
      </c>
      <c r="BW14" s="169" t="s">
        <v>637</v>
      </c>
      <c r="BX14" s="169" t="s">
        <v>637</v>
      </c>
      <c r="BY14" s="169" t="s">
        <v>637</v>
      </c>
      <c r="BZ14" s="169" t="s">
        <v>637</v>
      </c>
      <c r="CA14" s="169" t="s">
        <v>637</v>
      </c>
      <c r="CB14" s="169" t="s">
        <v>637</v>
      </c>
      <c r="CC14" s="169" t="s">
        <v>637</v>
      </c>
      <c r="CD14" s="169" t="s">
        <v>637</v>
      </c>
    </row>
    <row x14ac:dyDescent="0.25" r="15" customHeight="1" ht="18.75">
      <c r="A15" s="1"/>
      <c r="B15" s="1050">
        <v>19</v>
      </c>
      <c r="C15" s="1049" t="s">
        <v>638</v>
      </c>
      <c r="D15" s="1049" t="s">
        <v>639</v>
      </c>
      <c r="E15" s="1049" t="s">
        <v>640</v>
      </c>
      <c r="F15" s="1049" t="s">
        <v>641</v>
      </c>
      <c r="G15" s="1049" t="s">
        <v>642</v>
      </c>
      <c r="H15" s="1049" t="s">
        <v>643</v>
      </c>
      <c r="I15" s="1049" t="s">
        <v>644</v>
      </c>
      <c r="J15" s="1049" t="s">
        <v>645</v>
      </c>
      <c r="K15" s="1049" t="s">
        <v>646</v>
      </c>
      <c r="L15" s="1049" t="s">
        <v>647</v>
      </c>
      <c r="M15" s="169" t="s">
        <v>647</v>
      </c>
      <c r="N15" s="169" t="s">
        <v>647</v>
      </c>
      <c r="O15" s="169" t="s">
        <v>647</v>
      </c>
      <c r="P15" s="169" t="s">
        <v>647</v>
      </c>
      <c r="Q15" s="169" t="s">
        <v>647</v>
      </c>
      <c r="R15" s="169" t="s">
        <v>647</v>
      </c>
      <c r="S15" s="169" t="s">
        <v>647</v>
      </c>
      <c r="T15" s="169" t="s">
        <v>647</v>
      </c>
      <c r="U15" s="169" t="s">
        <v>647</v>
      </c>
      <c r="V15" s="169" t="s">
        <v>647</v>
      </c>
      <c r="W15" s="169" t="s">
        <v>647</v>
      </c>
      <c r="X15" s="169" t="s">
        <v>647</v>
      </c>
      <c r="Y15" s="169" t="s">
        <v>647</v>
      </c>
      <c r="Z15" s="169" t="s">
        <v>647</v>
      </c>
      <c r="AA15" s="169" t="s">
        <v>647</v>
      </c>
      <c r="AB15" s="169" t="s">
        <v>647</v>
      </c>
      <c r="AC15" s="169" t="s">
        <v>647</v>
      </c>
      <c r="AD15" s="169" t="s">
        <v>647</v>
      </c>
      <c r="AE15" s="169" t="s">
        <v>647</v>
      </c>
      <c r="AF15" s="169" t="s">
        <v>647</v>
      </c>
      <c r="AG15" s="169" t="s">
        <v>647</v>
      </c>
      <c r="AH15" s="169" t="s">
        <v>647</v>
      </c>
      <c r="AI15" s="169" t="s">
        <v>647</v>
      </c>
      <c r="AJ15" s="169" t="s">
        <v>647</v>
      </c>
      <c r="AK15" s="169" t="s">
        <v>647</v>
      </c>
      <c r="AL15" s="169" t="s">
        <v>647</v>
      </c>
      <c r="AM15" s="169" t="s">
        <v>647</v>
      </c>
      <c r="AN15" s="169" t="s">
        <v>647</v>
      </c>
      <c r="AO15" s="169" t="s">
        <v>647</v>
      </c>
      <c r="AP15" s="169" t="s">
        <v>647</v>
      </c>
      <c r="AQ15" s="169" t="s">
        <v>647</v>
      </c>
      <c r="AR15" s="169" t="s">
        <v>647</v>
      </c>
      <c r="AS15" s="169" t="s">
        <v>647</v>
      </c>
      <c r="AT15" s="169" t="s">
        <v>647</v>
      </c>
      <c r="AU15" s="169" t="s">
        <v>647</v>
      </c>
      <c r="AV15" s="169" t="s">
        <v>647</v>
      </c>
      <c r="AW15" s="169" t="s">
        <v>647</v>
      </c>
      <c r="AX15" s="169" t="s">
        <v>647</v>
      </c>
      <c r="AY15" s="169" t="s">
        <v>647</v>
      </c>
      <c r="AZ15" s="169" t="s">
        <v>647</v>
      </c>
      <c r="BA15" s="169" t="s">
        <v>647</v>
      </c>
      <c r="BB15" s="169" t="s">
        <v>647</v>
      </c>
      <c r="BC15" s="169" t="s">
        <v>647</v>
      </c>
      <c r="BD15" s="169" t="s">
        <v>647</v>
      </c>
      <c r="BE15" s="169" t="s">
        <v>647</v>
      </c>
      <c r="BF15" s="169" t="s">
        <v>647</v>
      </c>
      <c r="BG15" s="169" t="s">
        <v>647</v>
      </c>
      <c r="BH15" s="169" t="s">
        <v>647</v>
      </c>
      <c r="BI15" s="169" t="s">
        <v>647</v>
      </c>
      <c r="BJ15" s="169" t="s">
        <v>647</v>
      </c>
      <c r="BK15" s="169" t="s">
        <v>647</v>
      </c>
      <c r="BL15" s="169" t="s">
        <v>647</v>
      </c>
      <c r="BM15" s="169" t="s">
        <v>647</v>
      </c>
      <c r="BN15" s="169" t="s">
        <v>647</v>
      </c>
      <c r="BO15" s="169" t="s">
        <v>647</v>
      </c>
      <c r="BP15" s="169" t="s">
        <v>647</v>
      </c>
      <c r="BQ15" s="169" t="s">
        <v>647</v>
      </c>
      <c r="BR15" s="169" t="s">
        <v>647</v>
      </c>
      <c r="BS15" s="169" t="s">
        <v>647</v>
      </c>
      <c r="BT15" s="169" t="s">
        <v>647</v>
      </c>
      <c r="BU15" s="169" t="s">
        <v>647</v>
      </c>
      <c r="BV15" s="169" t="s">
        <v>647</v>
      </c>
      <c r="BW15" s="169" t="s">
        <v>647</v>
      </c>
      <c r="BX15" s="169" t="s">
        <v>647</v>
      </c>
      <c r="BY15" s="169" t="s">
        <v>647</v>
      </c>
      <c r="BZ15" s="169" t="s">
        <v>647</v>
      </c>
      <c r="CA15" s="169" t="s">
        <v>647</v>
      </c>
      <c r="CB15" s="169" t="s">
        <v>647</v>
      </c>
      <c r="CC15" s="169" t="s">
        <v>647</v>
      </c>
      <c r="CD15" s="169" t="s">
        <v>647</v>
      </c>
    </row>
    <row x14ac:dyDescent="0.25" r="16" customHeight="1" ht="18.75">
      <c r="A16" s="1"/>
      <c r="B16" s="1050">
        <v>18</v>
      </c>
      <c r="C16" s="1049" t="s">
        <v>648</v>
      </c>
      <c r="D16" s="1049" t="s">
        <v>649</v>
      </c>
      <c r="E16" s="1049" t="s">
        <v>650</v>
      </c>
      <c r="F16" s="1049" t="s">
        <v>651</v>
      </c>
      <c r="G16" s="1049" t="s">
        <v>652</v>
      </c>
      <c r="H16" s="1049" t="s">
        <v>653</v>
      </c>
      <c r="I16" s="1049" t="s">
        <v>654</v>
      </c>
      <c r="J16" s="1049" t="s">
        <v>655</v>
      </c>
      <c r="K16" s="1049" t="s">
        <v>656</v>
      </c>
      <c r="L16" s="1049" t="s">
        <v>657</v>
      </c>
      <c r="M16" s="169" t="s">
        <v>657</v>
      </c>
      <c r="N16" s="169" t="s">
        <v>657</v>
      </c>
      <c r="O16" s="169" t="s">
        <v>657</v>
      </c>
      <c r="P16" s="169" t="s">
        <v>657</v>
      </c>
      <c r="Q16" s="169" t="s">
        <v>657</v>
      </c>
      <c r="R16" s="169" t="s">
        <v>657</v>
      </c>
      <c r="S16" s="169" t="s">
        <v>657</v>
      </c>
      <c r="T16" s="169" t="s">
        <v>657</v>
      </c>
      <c r="U16" s="169" t="s">
        <v>657</v>
      </c>
      <c r="V16" s="169" t="s">
        <v>657</v>
      </c>
      <c r="W16" s="169" t="s">
        <v>657</v>
      </c>
      <c r="X16" s="169" t="s">
        <v>657</v>
      </c>
      <c r="Y16" s="169" t="s">
        <v>657</v>
      </c>
      <c r="Z16" s="169" t="s">
        <v>657</v>
      </c>
      <c r="AA16" s="169" t="s">
        <v>657</v>
      </c>
      <c r="AB16" s="169" t="s">
        <v>657</v>
      </c>
      <c r="AC16" s="169" t="s">
        <v>657</v>
      </c>
      <c r="AD16" s="169" t="s">
        <v>657</v>
      </c>
      <c r="AE16" s="169" t="s">
        <v>657</v>
      </c>
      <c r="AF16" s="169" t="s">
        <v>657</v>
      </c>
      <c r="AG16" s="169" t="s">
        <v>657</v>
      </c>
      <c r="AH16" s="169" t="s">
        <v>657</v>
      </c>
      <c r="AI16" s="169" t="s">
        <v>657</v>
      </c>
      <c r="AJ16" s="169" t="s">
        <v>657</v>
      </c>
      <c r="AK16" s="169" t="s">
        <v>657</v>
      </c>
      <c r="AL16" s="169" t="s">
        <v>657</v>
      </c>
      <c r="AM16" s="169" t="s">
        <v>657</v>
      </c>
      <c r="AN16" s="169" t="s">
        <v>657</v>
      </c>
      <c r="AO16" s="169" t="s">
        <v>657</v>
      </c>
      <c r="AP16" s="169" t="s">
        <v>657</v>
      </c>
      <c r="AQ16" s="169" t="s">
        <v>657</v>
      </c>
      <c r="AR16" s="169" t="s">
        <v>657</v>
      </c>
      <c r="AS16" s="169" t="s">
        <v>657</v>
      </c>
      <c r="AT16" s="169" t="s">
        <v>657</v>
      </c>
      <c r="AU16" s="169" t="s">
        <v>657</v>
      </c>
      <c r="AV16" s="169" t="s">
        <v>657</v>
      </c>
      <c r="AW16" s="169" t="s">
        <v>657</v>
      </c>
      <c r="AX16" s="169" t="s">
        <v>657</v>
      </c>
      <c r="AY16" s="169" t="s">
        <v>657</v>
      </c>
      <c r="AZ16" s="169" t="s">
        <v>657</v>
      </c>
      <c r="BA16" s="169" t="s">
        <v>657</v>
      </c>
      <c r="BB16" s="169" t="s">
        <v>657</v>
      </c>
      <c r="BC16" s="169" t="s">
        <v>657</v>
      </c>
      <c r="BD16" s="169" t="s">
        <v>657</v>
      </c>
      <c r="BE16" s="169" t="s">
        <v>657</v>
      </c>
      <c r="BF16" s="169" t="s">
        <v>657</v>
      </c>
      <c r="BG16" s="169" t="s">
        <v>657</v>
      </c>
      <c r="BH16" s="169" t="s">
        <v>657</v>
      </c>
      <c r="BI16" s="169" t="s">
        <v>657</v>
      </c>
      <c r="BJ16" s="169" t="s">
        <v>657</v>
      </c>
      <c r="BK16" s="169" t="s">
        <v>657</v>
      </c>
      <c r="BL16" s="169" t="s">
        <v>657</v>
      </c>
      <c r="BM16" s="169" t="s">
        <v>657</v>
      </c>
      <c r="BN16" s="169" t="s">
        <v>657</v>
      </c>
      <c r="BO16" s="169" t="s">
        <v>657</v>
      </c>
      <c r="BP16" s="169" t="s">
        <v>657</v>
      </c>
      <c r="BQ16" s="169" t="s">
        <v>657</v>
      </c>
      <c r="BR16" s="169" t="s">
        <v>657</v>
      </c>
      <c r="BS16" s="169" t="s">
        <v>657</v>
      </c>
      <c r="BT16" s="169" t="s">
        <v>657</v>
      </c>
      <c r="BU16" s="169" t="s">
        <v>657</v>
      </c>
      <c r="BV16" s="169" t="s">
        <v>657</v>
      </c>
      <c r="BW16" s="169" t="s">
        <v>657</v>
      </c>
      <c r="BX16" s="169" t="s">
        <v>657</v>
      </c>
      <c r="BY16" s="169" t="s">
        <v>657</v>
      </c>
      <c r="BZ16" s="169" t="s">
        <v>657</v>
      </c>
      <c r="CA16" s="169" t="s">
        <v>657</v>
      </c>
      <c r="CB16" s="169" t="s">
        <v>657</v>
      </c>
      <c r="CC16" s="169" t="s">
        <v>657</v>
      </c>
      <c r="CD16" s="169" t="s">
        <v>657</v>
      </c>
    </row>
    <row x14ac:dyDescent="0.25" r="17" customHeight="1" ht="18.75">
      <c r="A17" s="1"/>
      <c r="B17" s="1050">
        <v>17</v>
      </c>
      <c r="C17" s="1049" t="s">
        <v>658</v>
      </c>
      <c r="D17" s="1049" t="s">
        <v>659</v>
      </c>
      <c r="E17" s="1049" t="s">
        <v>660</v>
      </c>
      <c r="F17" s="1049" t="s">
        <v>629</v>
      </c>
      <c r="G17" s="1049" t="s">
        <v>661</v>
      </c>
      <c r="H17" s="1049" t="s">
        <v>662</v>
      </c>
      <c r="I17" s="1049" t="s">
        <v>631</v>
      </c>
      <c r="J17" s="1049" t="s">
        <v>663</v>
      </c>
      <c r="K17" s="1049" t="s">
        <v>664</v>
      </c>
      <c r="L17" s="1049" t="s">
        <v>633</v>
      </c>
      <c r="M17" s="169" t="s">
        <v>633</v>
      </c>
      <c r="N17" s="169" t="s">
        <v>633</v>
      </c>
      <c r="O17" s="169" t="s">
        <v>633</v>
      </c>
      <c r="P17" s="169" t="s">
        <v>633</v>
      </c>
      <c r="Q17" s="169" t="s">
        <v>633</v>
      </c>
      <c r="R17" s="169" t="s">
        <v>633</v>
      </c>
      <c r="S17" s="169" t="s">
        <v>633</v>
      </c>
      <c r="T17" s="169" t="s">
        <v>633</v>
      </c>
      <c r="U17" s="169" t="s">
        <v>633</v>
      </c>
      <c r="V17" s="169" t="s">
        <v>633</v>
      </c>
      <c r="W17" s="169" t="s">
        <v>633</v>
      </c>
      <c r="X17" s="169" t="s">
        <v>633</v>
      </c>
      <c r="Y17" s="169" t="s">
        <v>633</v>
      </c>
      <c r="Z17" s="169" t="s">
        <v>633</v>
      </c>
      <c r="AA17" s="169" t="s">
        <v>633</v>
      </c>
      <c r="AB17" s="169" t="s">
        <v>633</v>
      </c>
      <c r="AC17" s="169" t="s">
        <v>633</v>
      </c>
      <c r="AD17" s="169" t="s">
        <v>633</v>
      </c>
      <c r="AE17" s="169" t="s">
        <v>633</v>
      </c>
      <c r="AF17" s="169" t="s">
        <v>633</v>
      </c>
      <c r="AG17" s="169" t="s">
        <v>633</v>
      </c>
      <c r="AH17" s="169" t="s">
        <v>633</v>
      </c>
      <c r="AI17" s="169" t="s">
        <v>633</v>
      </c>
      <c r="AJ17" s="169" t="s">
        <v>633</v>
      </c>
      <c r="AK17" s="169" t="s">
        <v>633</v>
      </c>
      <c r="AL17" s="169" t="s">
        <v>633</v>
      </c>
      <c r="AM17" s="169" t="s">
        <v>633</v>
      </c>
      <c r="AN17" s="169" t="s">
        <v>633</v>
      </c>
      <c r="AO17" s="169" t="s">
        <v>633</v>
      </c>
      <c r="AP17" s="169" t="s">
        <v>633</v>
      </c>
      <c r="AQ17" s="169" t="s">
        <v>633</v>
      </c>
      <c r="AR17" s="169" t="s">
        <v>633</v>
      </c>
      <c r="AS17" s="169" t="s">
        <v>633</v>
      </c>
      <c r="AT17" s="169" t="s">
        <v>633</v>
      </c>
      <c r="AU17" s="169" t="s">
        <v>633</v>
      </c>
      <c r="AV17" s="169" t="s">
        <v>633</v>
      </c>
      <c r="AW17" s="169" t="s">
        <v>633</v>
      </c>
      <c r="AX17" s="169" t="s">
        <v>633</v>
      </c>
      <c r="AY17" s="169" t="s">
        <v>633</v>
      </c>
      <c r="AZ17" s="169" t="s">
        <v>633</v>
      </c>
      <c r="BA17" s="169" t="s">
        <v>633</v>
      </c>
      <c r="BB17" s="169" t="s">
        <v>633</v>
      </c>
      <c r="BC17" s="169" t="s">
        <v>633</v>
      </c>
      <c r="BD17" s="169" t="s">
        <v>633</v>
      </c>
      <c r="BE17" s="169" t="s">
        <v>633</v>
      </c>
      <c r="BF17" s="169" t="s">
        <v>633</v>
      </c>
      <c r="BG17" s="169" t="s">
        <v>633</v>
      </c>
      <c r="BH17" s="169" t="s">
        <v>633</v>
      </c>
      <c r="BI17" s="169" t="s">
        <v>633</v>
      </c>
      <c r="BJ17" s="169" t="s">
        <v>633</v>
      </c>
      <c r="BK17" s="169" t="s">
        <v>633</v>
      </c>
      <c r="BL17" s="169" t="s">
        <v>633</v>
      </c>
      <c r="BM17" s="169" t="s">
        <v>633</v>
      </c>
      <c r="BN17" s="169" t="s">
        <v>633</v>
      </c>
      <c r="BO17" s="169" t="s">
        <v>633</v>
      </c>
      <c r="BP17" s="169" t="s">
        <v>633</v>
      </c>
      <c r="BQ17" s="169" t="s">
        <v>633</v>
      </c>
      <c r="BR17" s="169" t="s">
        <v>633</v>
      </c>
      <c r="BS17" s="169" t="s">
        <v>633</v>
      </c>
      <c r="BT17" s="169" t="s">
        <v>633</v>
      </c>
      <c r="BU17" s="169" t="s">
        <v>633</v>
      </c>
      <c r="BV17" s="169" t="s">
        <v>633</v>
      </c>
      <c r="BW17" s="169" t="s">
        <v>633</v>
      </c>
      <c r="BX17" s="169" t="s">
        <v>633</v>
      </c>
      <c r="BY17" s="169" t="s">
        <v>633</v>
      </c>
      <c r="BZ17" s="169" t="s">
        <v>633</v>
      </c>
      <c r="CA17" s="169" t="s">
        <v>633</v>
      </c>
      <c r="CB17" s="169" t="s">
        <v>633</v>
      </c>
      <c r="CC17" s="169" t="s">
        <v>633</v>
      </c>
      <c r="CD17" s="169" t="s">
        <v>633</v>
      </c>
    </row>
    <row x14ac:dyDescent="0.25" r="18" customHeight="1" ht="18.75">
      <c r="A18" s="1"/>
      <c r="B18" s="1050">
        <v>16</v>
      </c>
      <c r="C18" s="1049" t="s">
        <v>665</v>
      </c>
      <c r="D18" s="1049" t="s">
        <v>666</v>
      </c>
      <c r="E18" s="1049" t="s">
        <v>667</v>
      </c>
      <c r="F18" s="1049" t="s">
        <v>668</v>
      </c>
      <c r="G18" s="1049" t="s">
        <v>669</v>
      </c>
      <c r="H18" s="1049" t="s">
        <v>670</v>
      </c>
      <c r="I18" s="1049" t="s">
        <v>671</v>
      </c>
      <c r="J18" s="1049" t="s">
        <v>672</v>
      </c>
      <c r="K18" s="1049" t="s">
        <v>673</v>
      </c>
      <c r="L18" s="1049" t="s">
        <v>674</v>
      </c>
      <c r="M18" s="169" t="s">
        <v>674</v>
      </c>
      <c r="N18" s="169" t="s">
        <v>674</v>
      </c>
      <c r="O18" s="169" t="s">
        <v>674</v>
      </c>
      <c r="P18" s="169" t="s">
        <v>674</v>
      </c>
      <c r="Q18" s="169" t="s">
        <v>674</v>
      </c>
      <c r="R18" s="169" t="s">
        <v>674</v>
      </c>
      <c r="S18" s="169" t="s">
        <v>674</v>
      </c>
      <c r="T18" s="169" t="s">
        <v>674</v>
      </c>
      <c r="U18" s="169" t="s">
        <v>674</v>
      </c>
      <c r="V18" s="169" t="s">
        <v>674</v>
      </c>
      <c r="W18" s="169" t="s">
        <v>674</v>
      </c>
      <c r="X18" s="169" t="s">
        <v>674</v>
      </c>
      <c r="Y18" s="169" t="s">
        <v>674</v>
      </c>
      <c r="Z18" s="169" t="s">
        <v>674</v>
      </c>
      <c r="AA18" s="169" t="s">
        <v>674</v>
      </c>
      <c r="AB18" s="169" t="s">
        <v>674</v>
      </c>
      <c r="AC18" s="169" t="s">
        <v>674</v>
      </c>
      <c r="AD18" s="169" t="s">
        <v>674</v>
      </c>
      <c r="AE18" s="169" t="s">
        <v>674</v>
      </c>
      <c r="AF18" s="169" t="s">
        <v>674</v>
      </c>
      <c r="AG18" s="169" t="s">
        <v>674</v>
      </c>
      <c r="AH18" s="169" t="s">
        <v>674</v>
      </c>
      <c r="AI18" s="169" t="s">
        <v>674</v>
      </c>
      <c r="AJ18" s="169" t="s">
        <v>674</v>
      </c>
      <c r="AK18" s="169" t="s">
        <v>674</v>
      </c>
      <c r="AL18" s="169" t="s">
        <v>674</v>
      </c>
      <c r="AM18" s="169" t="s">
        <v>674</v>
      </c>
      <c r="AN18" s="169" t="s">
        <v>674</v>
      </c>
      <c r="AO18" s="169" t="s">
        <v>674</v>
      </c>
      <c r="AP18" s="169" t="s">
        <v>674</v>
      </c>
      <c r="AQ18" s="169" t="s">
        <v>674</v>
      </c>
      <c r="AR18" s="169" t="s">
        <v>674</v>
      </c>
      <c r="AS18" s="169" t="s">
        <v>674</v>
      </c>
      <c r="AT18" s="169" t="s">
        <v>674</v>
      </c>
      <c r="AU18" s="169" t="s">
        <v>674</v>
      </c>
      <c r="AV18" s="169" t="s">
        <v>674</v>
      </c>
      <c r="AW18" s="169" t="s">
        <v>674</v>
      </c>
      <c r="AX18" s="169" t="s">
        <v>674</v>
      </c>
      <c r="AY18" s="169" t="s">
        <v>674</v>
      </c>
      <c r="AZ18" s="169" t="s">
        <v>674</v>
      </c>
      <c r="BA18" s="169" t="s">
        <v>674</v>
      </c>
      <c r="BB18" s="169" t="s">
        <v>674</v>
      </c>
      <c r="BC18" s="169" t="s">
        <v>674</v>
      </c>
      <c r="BD18" s="169" t="s">
        <v>674</v>
      </c>
      <c r="BE18" s="169" t="s">
        <v>674</v>
      </c>
      <c r="BF18" s="169" t="s">
        <v>674</v>
      </c>
      <c r="BG18" s="169" t="s">
        <v>674</v>
      </c>
      <c r="BH18" s="169" t="s">
        <v>674</v>
      </c>
      <c r="BI18" s="169" t="s">
        <v>674</v>
      </c>
      <c r="BJ18" s="169" t="s">
        <v>674</v>
      </c>
      <c r="BK18" s="169" t="s">
        <v>674</v>
      </c>
      <c r="BL18" s="169" t="s">
        <v>674</v>
      </c>
      <c r="BM18" s="169" t="s">
        <v>674</v>
      </c>
      <c r="BN18" s="169" t="s">
        <v>674</v>
      </c>
      <c r="BO18" s="169" t="s">
        <v>674</v>
      </c>
      <c r="BP18" s="169" t="s">
        <v>674</v>
      </c>
      <c r="BQ18" s="169" t="s">
        <v>674</v>
      </c>
      <c r="BR18" s="169" t="s">
        <v>674</v>
      </c>
      <c r="BS18" s="169" t="s">
        <v>674</v>
      </c>
      <c r="BT18" s="169" t="s">
        <v>674</v>
      </c>
      <c r="BU18" s="169" t="s">
        <v>674</v>
      </c>
      <c r="BV18" s="169" t="s">
        <v>674</v>
      </c>
      <c r="BW18" s="169" t="s">
        <v>674</v>
      </c>
      <c r="BX18" s="169" t="s">
        <v>674</v>
      </c>
      <c r="BY18" s="169" t="s">
        <v>674</v>
      </c>
      <c r="BZ18" s="169" t="s">
        <v>674</v>
      </c>
      <c r="CA18" s="169" t="s">
        <v>674</v>
      </c>
      <c r="CB18" s="169" t="s">
        <v>674</v>
      </c>
      <c r="CC18" s="169" t="s">
        <v>674</v>
      </c>
      <c r="CD18" s="169" t="s">
        <v>674</v>
      </c>
    </row>
    <row x14ac:dyDescent="0.25" r="19" customHeight="1" ht="18.75">
      <c r="A19" s="1"/>
      <c r="B19" s="1050">
        <v>15</v>
      </c>
      <c r="C19" s="1049" t="s">
        <v>675</v>
      </c>
      <c r="D19" s="1049" t="s">
        <v>676</v>
      </c>
      <c r="E19" s="1049" t="s">
        <v>677</v>
      </c>
      <c r="F19" s="1049" t="s">
        <v>678</v>
      </c>
      <c r="G19" s="1049" t="s">
        <v>679</v>
      </c>
      <c r="H19" s="1049" t="s">
        <v>680</v>
      </c>
      <c r="I19" s="1049" t="s">
        <v>681</v>
      </c>
      <c r="J19" s="1049" t="s">
        <v>682</v>
      </c>
      <c r="K19" s="1049" t="s">
        <v>683</v>
      </c>
      <c r="L19" s="1049" t="s">
        <v>684</v>
      </c>
      <c r="M19" s="169" t="s">
        <v>684</v>
      </c>
      <c r="N19" s="169" t="s">
        <v>684</v>
      </c>
      <c r="O19" s="169" t="s">
        <v>684</v>
      </c>
      <c r="P19" s="169" t="s">
        <v>684</v>
      </c>
      <c r="Q19" s="169" t="s">
        <v>684</v>
      </c>
      <c r="R19" s="169" t="s">
        <v>684</v>
      </c>
      <c r="S19" s="169" t="s">
        <v>684</v>
      </c>
      <c r="T19" s="169" t="s">
        <v>684</v>
      </c>
      <c r="U19" s="169" t="s">
        <v>684</v>
      </c>
      <c r="V19" s="169" t="s">
        <v>684</v>
      </c>
      <c r="W19" s="169" t="s">
        <v>684</v>
      </c>
      <c r="X19" s="169" t="s">
        <v>684</v>
      </c>
      <c r="Y19" s="169" t="s">
        <v>684</v>
      </c>
      <c r="Z19" s="169" t="s">
        <v>684</v>
      </c>
      <c r="AA19" s="169" t="s">
        <v>684</v>
      </c>
      <c r="AB19" s="169" t="s">
        <v>684</v>
      </c>
      <c r="AC19" s="169" t="s">
        <v>684</v>
      </c>
      <c r="AD19" s="169" t="s">
        <v>684</v>
      </c>
      <c r="AE19" s="169" t="s">
        <v>684</v>
      </c>
      <c r="AF19" s="169" t="s">
        <v>684</v>
      </c>
      <c r="AG19" s="169" t="s">
        <v>684</v>
      </c>
      <c r="AH19" s="169" t="s">
        <v>684</v>
      </c>
      <c r="AI19" s="169" t="s">
        <v>684</v>
      </c>
      <c r="AJ19" s="169" t="s">
        <v>684</v>
      </c>
      <c r="AK19" s="169" t="s">
        <v>684</v>
      </c>
      <c r="AL19" s="169" t="s">
        <v>684</v>
      </c>
      <c r="AM19" s="169" t="s">
        <v>684</v>
      </c>
      <c r="AN19" s="169" t="s">
        <v>684</v>
      </c>
      <c r="AO19" s="169" t="s">
        <v>684</v>
      </c>
      <c r="AP19" s="169" t="s">
        <v>684</v>
      </c>
      <c r="AQ19" s="169" t="s">
        <v>684</v>
      </c>
      <c r="AR19" s="169" t="s">
        <v>684</v>
      </c>
      <c r="AS19" s="169" t="s">
        <v>684</v>
      </c>
      <c r="AT19" s="169" t="s">
        <v>684</v>
      </c>
      <c r="AU19" s="169" t="s">
        <v>684</v>
      </c>
      <c r="AV19" s="169" t="s">
        <v>684</v>
      </c>
      <c r="AW19" s="169" t="s">
        <v>684</v>
      </c>
      <c r="AX19" s="169" t="s">
        <v>684</v>
      </c>
      <c r="AY19" s="169" t="s">
        <v>684</v>
      </c>
      <c r="AZ19" s="169" t="s">
        <v>684</v>
      </c>
      <c r="BA19" s="169" t="s">
        <v>684</v>
      </c>
      <c r="BB19" s="169" t="s">
        <v>684</v>
      </c>
      <c r="BC19" s="169" t="s">
        <v>684</v>
      </c>
      <c r="BD19" s="169" t="s">
        <v>684</v>
      </c>
      <c r="BE19" s="169" t="s">
        <v>684</v>
      </c>
      <c r="BF19" s="169" t="s">
        <v>684</v>
      </c>
      <c r="BG19" s="169" t="s">
        <v>684</v>
      </c>
      <c r="BH19" s="169" t="s">
        <v>684</v>
      </c>
      <c r="BI19" s="169" t="s">
        <v>684</v>
      </c>
      <c r="BJ19" s="169" t="s">
        <v>684</v>
      </c>
      <c r="BK19" s="169" t="s">
        <v>684</v>
      </c>
      <c r="BL19" s="169" t="s">
        <v>684</v>
      </c>
      <c r="BM19" s="169" t="s">
        <v>684</v>
      </c>
      <c r="BN19" s="169" t="s">
        <v>684</v>
      </c>
      <c r="BO19" s="169" t="s">
        <v>684</v>
      </c>
      <c r="BP19" s="169" t="s">
        <v>684</v>
      </c>
      <c r="BQ19" s="169" t="s">
        <v>684</v>
      </c>
      <c r="BR19" s="169" t="s">
        <v>684</v>
      </c>
      <c r="BS19" s="169" t="s">
        <v>684</v>
      </c>
      <c r="BT19" s="169" t="s">
        <v>684</v>
      </c>
      <c r="BU19" s="169" t="s">
        <v>684</v>
      </c>
      <c r="BV19" s="169" t="s">
        <v>684</v>
      </c>
      <c r="BW19" s="169" t="s">
        <v>684</v>
      </c>
      <c r="BX19" s="169" t="s">
        <v>684</v>
      </c>
      <c r="BY19" s="169" t="s">
        <v>684</v>
      </c>
      <c r="BZ19" s="169" t="s">
        <v>684</v>
      </c>
      <c r="CA19" s="169" t="s">
        <v>684</v>
      </c>
      <c r="CB19" s="169" t="s">
        <v>684</v>
      </c>
      <c r="CC19" s="169" t="s">
        <v>684</v>
      </c>
      <c r="CD19" s="169" t="s">
        <v>684</v>
      </c>
    </row>
    <row x14ac:dyDescent="0.25" r="20" customHeight="1" ht="18.75">
      <c r="A20" s="1"/>
      <c r="B20" s="1050">
        <v>14</v>
      </c>
      <c r="C20" s="1049" t="s">
        <v>685</v>
      </c>
      <c r="D20" s="1049" t="s">
        <v>686</v>
      </c>
      <c r="E20" s="1049" t="s">
        <v>687</v>
      </c>
      <c r="F20" s="1049" t="s">
        <v>688</v>
      </c>
      <c r="G20" s="1049" t="s">
        <v>689</v>
      </c>
      <c r="H20" s="1049" t="s">
        <v>690</v>
      </c>
      <c r="I20" s="1049" t="s">
        <v>691</v>
      </c>
      <c r="J20" s="1049" t="s">
        <v>692</v>
      </c>
      <c r="K20" s="1049" t="s">
        <v>693</v>
      </c>
      <c r="L20" s="1049" t="s">
        <v>694</v>
      </c>
      <c r="M20" s="169" t="s">
        <v>694</v>
      </c>
      <c r="N20" s="169" t="s">
        <v>694</v>
      </c>
      <c r="O20" s="169" t="s">
        <v>694</v>
      </c>
      <c r="P20" s="169" t="s">
        <v>694</v>
      </c>
      <c r="Q20" s="169" t="s">
        <v>694</v>
      </c>
      <c r="R20" s="169" t="s">
        <v>694</v>
      </c>
      <c r="S20" s="169" t="s">
        <v>694</v>
      </c>
      <c r="T20" s="169" t="s">
        <v>694</v>
      </c>
      <c r="U20" s="169" t="s">
        <v>694</v>
      </c>
      <c r="V20" s="169" t="s">
        <v>694</v>
      </c>
      <c r="W20" s="169" t="s">
        <v>694</v>
      </c>
      <c r="X20" s="169" t="s">
        <v>694</v>
      </c>
      <c r="Y20" s="169" t="s">
        <v>694</v>
      </c>
      <c r="Z20" s="169" t="s">
        <v>694</v>
      </c>
      <c r="AA20" s="169" t="s">
        <v>694</v>
      </c>
      <c r="AB20" s="169" t="s">
        <v>694</v>
      </c>
      <c r="AC20" s="169" t="s">
        <v>694</v>
      </c>
      <c r="AD20" s="169" t="s">
        <v>694</v>
      </c>
      <c r="AE20" s="169" t="s">
        <v>694</v>
      </c>
      <c r="AF20" s="169" t="s">
        <v>694</v>
      </c>
      <c r="AG20" s="169" t="s">
        <v>694</v>
      </c>
      <c r="AH20" s="169" t="s">
        <v>694</v>
      </c>
      <c r="AI20" s="169" t="s">
        <v>694</v>
      </c>
      <c r="AJ20" s="169" t="s">
        <v>694</v>
      </c>
      <c r="AK20" s="169" t="s">
        <v>694</v>
      </c>
      <c r="AL20" s="169" t="s">
        <v>694</v>
      </c>
      <c r="AM20" s="169" t="s">
        <v>694</v>
      </c>
      <c r="AN20" s="169" t="s">
        <v>694</v>
      </c>
      <c r="AO20" s="169" t="s">
        <v>694</v>
      </c>
      <c r="AP20" s="169" t="s">
        <v>694</v>
      </c>
      <c r="AQ20" s="169" t="s">
        <v>694</v>
      </c>
      <c r="AR20" s="169" t="s">
        <v>694</v>
      </c>
      <c r="AS20" s="169" t="s">
        <v>694</v>
      </c>
      <c r="AT20" s="169" t="s">
        <v>694</v>
      </c>
      <c r="AU20" s="169" t="s">
        <v>694</v>
      </c>
      <c r="AV20" s="169" t="s">
        <v>694</v>
      </c>
      <c r="AW20" s="169" t="s">
        <v>694</v>
      </c>
      <c r="AX20" s="169" t="s">
        <v>694</v>
      </c>
      <c r="AY20" s="169" t="s">
        <v>694</v>
      </c>
      <c r="AZ20" s="169" t="s">
        <v>694</v>
      </c>
      <c r="BA20" s="169" t="s">
        <v>694</v>
      </c>
      <c r="BB20" s="169" t="s">
        <v>694</v>
      </c>
      <c r="BC20" s="169" t="s">
        <v>694</v>
      </c>
      <c r="BD20" s="169" t="s">
        <v>694</v>
      </c>
      <c r="BE20" s="169" t="s">
        <v>694</v>
      </c>
      <c r="BF20" s="169" t="s">
        <v>694</v>
      </c>
      <c r="BG20" s="169" t="s">
        <v>694</v>
      </c>
      <c r="BH20" s="169" t="s">
        <v>694</v>
      </c>
      <c r="BI20" s="169" t="s">
        <v>694</v>
      </c>
      <c r="BJ20" s="169" t="s">
        <v>694</v>
      </c>
      <c r="BK20" s="169" t="s">
        <v>694</v>
      </c>
      <c r="BL20" s="169" t="s">
        <v>694</v>
      </c>
      <c r="BM20" s="169" t="s">
        <v>694</v>
      </c>
      <c r="BN20" s="169" t="s">
        <v>694</v>
      </c>
      <c r="BO20" s="169" t="s">
        <v>694</v>
      </c>
      <c r="BP20" s="169" t="s">
        <v>694</v>
      </c>
      <c r="BQ20" s="169" t="s">
        <v>694</v>
      </c>
      <c r="BR20" s="169" t="s">
        <v>694</v>
      </c>
      <c r="BS20" s="169" t="s">
        <v>694</v>
      </c>
      <c r="BT20" s="169" t="s">
        <v>694</v>
      </c>
      <c r="BU20" s="169" t="s">
        <v>694</v>
      </c>
      <c r="BV20" s="169" t="s">
        <v>694</v>
      </c>
      <c r="BW20" s="169" t="s">
        <v>694</v>
      </c>
      <c r="BX20" s="169" t="s">
        <v>694</v>
      </c>
      <c r="BY20" s="169" t="s">
        <v>694</v>
      </c>
      <c r="BZ20" s="169" t="s">
        <v>694</v>
      </c>
      <c r="CA20" s="169" t="s">
        <v>694</v>
      </c>
      <c r="CB20" s="169" t="s">
        <v>694</v>
      </c>
      <c r="CC20" s="169" t="s">
        <v>694</v>
      </c>
      <c r="CD20" s="169" t="s">
        <v>694</v>
      </c>
    </row>
    <row x14ac:dyDescent="0.25" r="21" customHeight="1" ht="18.75">
      <c r="A21" s="1"/>
      <c r="B21" s="1050">
        <v>13</v>
      </c>
      <c r="C21" s="1049" t="s">
        <v>695</v>
      </c>
      <c r="D21" s="1049" t="s">
        <v>696</v>
      </c>
      <c r="E21" s="1049" t="s">
        <v>697</v>
      </c>
      <c r="F21" s="1049" t="s">
        <v>698</v>
      </c>
      <c r="G21" s="1049" t="s">
        <v>699</v>
      </c>
      <c r="H21" s="1049" t="s">
        <v>700</v>
      </c>
      <c r="I21" s="1049" t="s">
        <v>701</v>
      </c>
      <c r="J21" s="1049" t="s">
        <v>702</v>
      </c>
      <c r="K21" s="1049" t="s">
        <v>692</v>
      </c>
      <c r="L21" s="1049" t="s">
        <v>703</v>
      </c>
      <c r="M21" s="169" t="s">
        <v>703</v>
      </c>
      <c r="N21" s="169" t="s">
        <v>703</v>
      </c>
      <c r="O21" s="169" t="s">
        <v>703</v>
      </c>
      <c r="P21" s="169" t="s">
        <v>703</v>
      </c>
      <c r="Q21" s="169" t="s">
        <v>703</v>
      </c>
      <c r="R21" s="169" t="s">
        <v>703</v>
      </c>
      <c r="S21" s="169" t="s">
        <v>703</v>
      </c>
      <c r="T21" s="169" t="s">
        <v>703</v>
      </c>
      <c r="U21" s="169" t="s">
        <v>703</v>
      </c>
      <c r="V21" s="169" t="s">
        <v>703</v>
      </c>
      <c r="W21" s="169" t="s">
        <v>703</v>
      </c>
      <c r="X21" s="169" t="s">
        <v>703</v>
      </c>
      <c r="Y21" s="169" t="s">
        <v>703</v>
      </c>
      <c r="Z21" s="169" t="s">
        <v>703</v>
      </c>
      <c r="AA21" s="169" t="s">
        <v>703</v>
      </c>
      <c r="AB21" s="169" t="s">
        <v>703</v>
      </c>
      <c r="AC21" s="169" t="s">
        <v>703</v>
      </c>
      <c r="AD21" s="169" t="s">
        <v>703</v>
      </c>
      <c r="AE21" s="169" t="s">
        <v>703</v>
      </c>
      <c r="AF21" s="169" t="s">
        <v>703</v>
      </c>
      <c r="AG21" s="169" t="s">
        <v>703</v>
      </c>
      <c r="AH21" s="169" t="s">
        <v>703</v>
      </c>
      <c r="AI21" s="169" t="s">
        <v>703</v>
      </c>
      <c r="AJ21" s="169" t="s">
        <v>703</v>
      </c>
      <c r="AK21" s="169" t="s">
        <v>703</v>
      </c>
      <c r="AL21" s="169" t="s">
        <v>703</v>
      </c>
      <c r="AM21" s="169" t="s">
        <v>703</v>
      </c>
      <c r="AN21" s="169" t="s">
        <v>703</v>
      </c>
      <c r="AO21" s="169" t="s">
        <v>703</v>
      </c>
      <c r="AP21" s="169" t="s">
        <v>703</v>
      </c>
      <c r="AQ21" s="169" t="s">
        <v>703</v>
      </c>
      <c r="AR21" s="169" t="s">
        <v>703</v>
      </c>
      <c r="AS21" s="169" t="s">
        <v>703</v>
      </c>
      <c r="AT21" s="169" t="s">
        <v>703</v>
      </c>
      <c r="AU21" s="169" t="s">
        <v>703</v>
      </c>
      <c r="AV21" s="169" t="s">
        <v>703</v>
      </c>
      <c r="AW21" s="169" t="s">
        <v>703</v>
      </c>
      <c r="AX21" s="169" t="s">
        <v>703</v>
      </c>
      <c r="AY21" s="169" t="s">
        <v>703</v>
      </c>
      <c r="AZ21" s="169" t="s">
        <v>703</v>
      </c>
      <c r="BA21" s="169" t="s">
        <v>703</v>
      </c>
      <c r="BB21" s="169" t="s">
        <v>703</v>
      </c>
      <c r="BC21" s="169" t="s">
        <v>703</v>
      </c>
      <c r="BD21" s="169" t="s">
        <v>703</v>
      </c>
      <c r="BE21" s="169" t="s">
        <v>703</v>
      </c>
      <c r="BF21" s="169" t="s">
        <v>703</v>
      </c>
      <c r="BG21" s="169" t="s">
        <v>703</v>
      </c>
      <c r="BH21" s="169" t="s">
        <v>703</v>
      </c>
      <c r="BI21" s="169" t="s">
        <v>703</v>
      </c>
      <c r="BJ21" s="169" t="s">
        <v>703</v>
      </c>
      <c r="BK21" s="169" t="s">
        <v>703</v>
      </c>
      <c r="BL21" s="169" t="s">
        <v>703</v>
      </c>
      <c r="BM21" s="169" t="s">
        <v>703</v>
      </c>
      <c r="BN21" s="169" t="s">
        <v>703</v>
      </c>
      <c r="BO21" s="169" t="s">
        <v>703</v>
      </c>
      <c r="BP21" s="169" t="s">
        <v>703</v>
      </c>
      <c r="BQ21" s="169" t="s">
        <v>703</v>
      </c>
      <c r="BR21" s="169" t="s">
        <v>703</v>
      </c>
      <c r="BS21" s="169" t="s">
        <v>703</v>
      </c>
      <c r="BT21" s="169" t="s">
        <v>703</v>
      </c>
      <c r="BU21" s="169" t="s">
        <v>703</v>
      </c>
      <c r="BV21" s="169" t="s">
        <v>703</v>
      </c>
      <c r="BW21" s="169" t="s">
        <v>703</v>
      </c>
      <c r="BX21" s="169" t="s">
        <v>703</v>
      </c>
      <c r="BY21" s="169" t="s">
        <v>703</v>
      </c>
      <c r="BZ21" s="169" t="s">
        <v>703</v>
      </c>
      <c r="CA21" s="169" t="s">
        <v>703</v>
      </c>
      <c r="CB21" s="169" t="s">
        <v>703</v>
      </c>
      <c r="CC21" s="169" t="s">
        <v>703</v>
      </c>
      <c r="CD21" s="169" t="s">
        <v>703</v>
      </c>
    </row>
    <row x14ac:dyDescent="0.25" r="22" customHeight="1" ht="18.75">
      <c r="A22" s="1"/>
      <c r="B22" s="1050">
        <v>12</v>
      </c>
      <c r="C22" s="1049" t="s">
        <v>704</v>
      </c>
      <c r="D22" s="1049" t="s">
        <v>705</v>
      </c>
      <c r="E22" s="1049" t="s">
        <v>706</v>
      </c>
      <c r="F22" s="1049" t="s">
        <v>707</v>
      </c>
      <c r="G22" s="1049" t="s">
        <v>708</v>
      </c>
      <c r="H22" s="1049" t="s">
        <v>709</v>
      </c>
      <c r="I22" s="1049" t="s">
        <v>710</v>
      </c>
      <c r="J22" s="1049" t="s">
        <v>711</v>
      </c>
      <c r="K22" s="1049" t="s">
        <v>691</v>
      </c>
      <c r="L22" s="1049" t="s">
        <v>661</v>
      </c>
      <c r="M22" s="169" t="s">
        <v>661</v>
      </c>
      <c r="N22" s="169" t="s">
        <v>661</v>
      </c>
      <c r="O22" s="169" t="s">
        <v>661</v>
      </c>
      <c r="P22" s="169" t="s">
        <v>661</v>
      </c>
      <c r="Q22" s="169" t="s">
        <v>661</v>
      </c>
      <c r="R22" s="169" t="s">
        <v>661</v>
      </c>
      <c r="S22" s="169" t="s">
        <v>661</v>
      </c>
      <c r="T22" s="169" t="s">
        <v>661</v>
      </c>
      <c r="U22" s="169" t="s">
        <v>661</v>
      </c>
      <c r="V22" s="169" t="s">
        <v>661</v>
      </c>
      <c r="W22" s="169" t="s">
        <v>661</v>
      </c>
      <c r="X22" s="169" t="s">
        <v>661</v>
      </c>
      <c r="Y22" s="169" t="s">
        <v>661</v>
      </c>
      <c r="Z22" s="169" t="s">
        <v>661</v>
      </c>
      <c r="AA22" s="169" t="s">
        <v>661</v>
      </c>
      <c r="AB22" s="169" t="s">
        <v>661</v>
      </c>
      <c r="AC22" s="169" t="s">
        <v>661</v>
      </c>
      <c r="AD22" s="169" t="s">
        <v>661</v>
      </c>
      <c r="AE22" s="169" t="s">
        <v>661</v>
      </c>
      <c r="AF22" s="169" t="s">
        <v>661</v>
      </c>
      <c r="AG22" s="169" t="s">
        <v>661</v>
      </c>
      <c r="AH22" s="169" t="s">
        <v>661</v>
      </c>
      <c r="AI22" s="169" t="s">
        <v>661</v>
      </c>
      <c r="AJ22" s="169" t="s">
        <v>661</v>
      </c>
      <c r="AK22" s="169" t="s">
        <v>661</v>
      </c>
      <c r="AL22" s="169" t="s">
        <v>661</v>
      </c>
      <c r="AM22" s="169" t="s">
        <v>661</v>
      </c>
      <c r="AN22" s="169" t="s">
        <v>661</v>
      </c>
      <c r="AO22" s="169" t="s">
        <v>661</v>
      </c>
      <c r="AP22" s="169" t="s">
        <v>661</v>
      </c>
      <c r="AQ22" s="169" t="s">
        <v>661</v>
      </c>
      <c r="AR22" s="169" t="s">
        <v>661</v>
      </c>
      <c r="AS22" s="169" t="s">
        <v>661</v>
      </c>
      <c r="AT22" s="169" t="s">
        <v>661</v>
      </c>
      <c r="AU22" s="169" t="s">
        <v>661</v>
      </c>
      <c r="AV22" s="169" t="s">
        <v>661</v>
      </c>
      <c r="AW22" s="169" t="s">
        <v>661</v>
      </c>
      <c r="AX22" s="169" t="s">
        <v>661</v>
      </c>
      <c r="AY22" s="169" t="s">
        <v>661</v>
      </c>
      <c r="AZ22" s="169" t="s">
        <v>661</v>
      </c>
      <c r="BA22" s="169" t="s">
        <v>661</v>
      </c>
      <c r="BB22" s="169" t="s">
        <v>661</v>
      </c>
      <c r="BC22" s="169" t="s">
        <v>661</v>
      </c>
      <c r="BD22" s="169" t="s">
        <v>661</v>
      </c>
      <c r="BE22" s="169" t="s">
        <v>661</v>
      </c>
      <c r="BF22" s="169" t="s">
        <v>661</v>
      </c>
      <c r="BG22" s="169" t="s">
        <v>661</v>
      </c>
      <c r="BH22" s="169" t="s">
        <v>661</v>
      </c>
      <c r="BI22" s="169" t="s">
        <v>661</v>
      </c>
      <c r="BJ22" s="169" t="s">
        <v>661</v>
      </c>
      <c r="BK22" s="169" t="s">
        <v>661</v>
      </c>
      <c r="BL22" s="169" t="s">
        <v>661</v>
      </c>
      <c r="BM22" s="169" t="s">
        <v>661</v>
      </c>
      <c r="BN22" s="169" t="s">
        <v>661</v>
      </c>
      <c r="BO22" s="169" t="s">
        <v>661</v>
      </c>
      <c r="BP22" s="169" t="s">
        <v>661</v>
      </c>
      <c r="BQ22" s="169" t="s">
        <v>661</v>
      </c>
      <c r="BR22" s="169" t="s">
        <v>661</v>
      </c>
      <c r="BS22" s="169" t="s">
        <v>661</v>
      </c>
      <c r="BT22" s="169" t="s">
        <v>661</v>
      </c>
      <c r="BU22" s="169" t="s">
        <v>661</v>
      </c>
      <c r="BV22" s="169" t="s">
        <v>661</v>
      </c>
      <c r="BW22" s="169" t="s">
        <v>661</v>
      </c>
      <c r="BX22" s="169" t="s">
        <v>661</v>
      </c>
      <c r="BY22" s="169" t="s">
        <v>661</v>
      </c>
      <c r="BZ22" s="169" t="s">
        <v>661</v>
      </c>
      <c r="CA22" s="169" t="s">
        <v>661</v>
      </c>
      <c r="CB22" s="169" t="s">
        <v>661</v>
      </c>
      <c r="CC22" s="169" t="s">
        <v>661</v>
      </c>
      <c r="CD22" s="169" t="s">
        <v>661</v>
      </c>
    </row>
    <row x14ac:dyDescent="0.25" r="23" customHeight="1" ht="18.75">
      <c r="A23" s="1"/>
      <c r="B23" s="1050">
        <v>11</v>
      </c>
      <c r="C23" s="1049" t="s">
        <v>712</v>
      </c>
      <c r="D23" s="1049" t="s">
        <v>713</v>
      </c>
      <c r="E23" s="1049" t="s">
        <v>714</v>
      </c>
      <c r="F23" s="1049" t="s">
        <v>715</v>
      </c>
      <c r="G23" s="1049" t="s">
        <v>716</v>
      </c>
      <c r="H23" s="1049" t="s">
        <v>717</v>
      </c>
      <c r="I23" s="1049" t="s">
        <v>718</v>
      </c>
      <c r="J23" s="1049" t="s">
        <v>719</v>
      </c>
      <c r="K23" s="1049" t="s">
        <v>701</v>
      </c>
      <c r="L23" s="1049" t="s">
        <v>720</v>
      </c>
      <c r="M23" s="169" t="s">
        <v>720</v>
      </c>
      <c r="N23" s="169" t="s">
        <v>720</v>
      </c>
      <c r="O23" s="169" t="s">
        <v>720</v>
      </c>
      <c r="P23" s="169" t="s">
        <v>720</v>
      </c>
      <c r="Q23" s="169" t="s">
        <v>720</v>
      </c>
      <c r="R23" s="169" t="s">
        <v>720</v>
      </c>
      <c r="S23" s="169" t="s">
        <v>720</v>
      </c>
      <c r="T23" s="169" t="s">
        <v>720</v>
      </c>
      <c r="U23" s="169" t="s">
        <v>720</v>
      </c>
      <c r="V23" s="169" t="s">
        <v>720</v>
      </c>
      <c r="W23" s="169" t="s">
        <v>720</v>
      </c>
      <c r="X23" s="169" t="s">
        <v>720</v>
      </c>
      <c r="Y23" s="169" t="s">
        <v>720</v>
      </c>
      <c r="Z23" s="169" t="s">
        <v>720</v>
      </c>
      <c r="AA23" s="169" t="s">
        <v>720</v>
      </c>
      <c r="AB23" s="169" t="s">
        <v>720</v>
      </c>
      <c r="AC23" s="169" t="s">
        <v>720</v>
      </c>
      <c r="AD23" s="169" t="s">
        <v>720</v>
      </c>
      <c r="AE23" s="169" t="s">
        <v>720</v>
      </c>
      <c r="AF23" s="169" t="s">
        <v>720</v>
      </c>
      <c r="AG23" s="169" t="s">
        <v>720</v>
      </c>
      <c r="AH23" s="169" t="s">
        <v>720</v>
      </c>
      <c r="AI23" s="169" t="s">
        <v>720</v>
      </c>
      <c r="AJ23" s="169" t="s">
        <v>720</v>
      </c>
      <c r="AK23" s="169" t="s">
        <v>720</v>
      </c>
      <c r="AL23" s="169" t="s">
        <v>720</v>
      </c>
      <c r="AM23" s="169" t="s">
        <v>720</v>
      </c>
      <c r="AN23" s="169" t="s">
        <v>720</v>
      </c>
      <c r="AO23" s="169" t="s">
        <v>720</v>
      </c>
      <c r="AP23" s="169" t="s">
        <v>720</v>
      </c>
      <c r="AQ23" s="169" t="s">
        <v>720</v>
      </c>
      <c r="AR23" s="169" t="s">
        <v>720</v>
      </c>
      <c r="AS23" s="169" t="s">
        <v>720</v>
      </c>
      <c r="AT23" s="169" t="s">
        <v>720</v>
      </c>
      <c r="AU23" s="169" t="s">
        <v>720</v>
      </c>
      <c r="AV23" s="169" t="s">
        <v>720</v>
      </c>
      <c r="AW23" s="169" t="s">
        <v>720</v>
      </c>
      <c r="AX23" s="169" t="s">
        <v>720</v>
      </c>
      <c r="AY23" s="169" t="s">
        <v>720</v>
      </c>
      <c r="AZ23" s="169" t="s">
        <v>720</v>
      </c>
      <c r="BA23" s="169" t="s">
        <v>720</v>
      </c>
      <c r="BB23" s="169" t="s">
        <v>720</v>
      </c>
      <c r="BC23" s="169" t="s">
        <v>720</v>
      </c>
      <c r="BD23" s="169" t="s">
        <v>720</v>
      </c>
      <c r="BE23" s="169" t="s">
        <v>720</v>
      </c>
      <c r="BF23" s="169" t="s">
        <v>720</v>
      </c>
      <c r="BG23" s="169" t="s">
        <v>720</v>
      </c>
      <c r="BH23" s="169" t="s">
        <v>720</v>
      </c>
      <c r="BI23" s="169" t="s">
        <v>720</v>
      </c>
      <c r="BJ23" s="169" t="s">
        <v>720</v>
      </c>
      <c r="BK23" s="169" t="s">
        <v>720</v>
      </c>
      <c r="BL23" s="169" t="s">
        <v>720</v>
      </c>
      <c r="BM23" s="169" t="s">
        <v>720</v>
      </c>
      <c r="BN23" s="169" t="s">
        <v>720</v>
      </c>
      <c r="BO23" s="169" t="s">
        <v>720</v>
      </c>
      <c r="BP23" s="169" t="s">
        <v>720</v>
      </c>
      <c r="BQ23" s="169" t="s">
        <v>720</v>
      </c>
      <c r="BR23" s="169" t="s">
        <v>720</v>
      </c>
      <c r="BS23" s="169" t="s">
        <v>720</v>
      </c>
      <c r="BT23" s="169" t="s">
        <v>720</v>
      </c>
      <c r="BU23" s="169" t="s">
        <v>720</v>
      </c>
      <c r="BV23" s="169" t="s">
        <v>720</v>
      </c>
      <c r="BW23" s="169" t="s">
        <v>720</v>
      </c>
      <c r="BX23" s="169" t="s">
        <v>720</v>
      </c>
      <c r="BY23" s="169" t="s">
        <v>720</v>
      </c>
      <c r="BZ23" s="169" t="s">
        <v>720</v>
      </c>
      <c r="CA23" s="169" t="s">
        <v>720</v>
      </c>
      <c r="CB23" s="169" t="s">
        <v>720</v>
      </c>
      <c r="CC23" s="169" t="s">
        <v>720</v>
      </c>
      <c r="CD23" s="169" t="s">
        <v>720</v>
      </c>
    </row>
    <row x14ac:dyDescent="0.25" r="24" customHeight="1" ht="18.75">
      <c r="A24" s="1"/>
      <c r="B24" s="1050">
        <v>10</v>
      </c>
      <c r="C24" s="1049" t="s">
        <v>721</v>
      </c>
      <c r="D24" s="1049" t="s">
        <v>722</v>
      </c>
      <c r="E24" s="1049" t="s">
        <v>723</v>
      </c>
      <c r="F24" s="1049" t="s">
        <v>724</v>
      </c>
      <c r="G24" s="1049" t="s">
        <v>725</v>
      </c>
      <c r="H24" s="1049" t="s">
        <v>726</v>
      </c>
      <c r="I24" s="1049" t="s">
        <v>688</v>
      </c>
      <c r="J24" s="1049" t="s">
        <v>727</v>
      </c>
      <c r="K24" s="1049" t="s">
        <v>728</v>
      </c>
      <c r="L24" s="1049" t="s">
        <v>729</v>
      </c>
      <c r="M24" s="169" t="s">
        <v>729</v>
      </c>
      <c r="N24" s="169" t="s">
        <v>729</v>
      </c>
      <c r="O24" s="169" t="s">
        <v>729</v>
      </c>
      <c r="P24" s="169" t="s">
        <v>729</v>
      </c>
      <c r="Q24" s="169" t="s">
        <v>729</v>
      </c>
      <c r="R24" s="169" t="s">
        <v>729</v>
      </c>
      <c r="S24" s="169" t="s">
        <v>729</v>
      </c>
      <c r="T24" s="169" t="s">
        <v>729</v>
      </c>
      <c r="U24" s="169" t="s">
        <v>729</v>
      </c>
      <c r="V24" s="169" t="s">
        <v>729</v>
      </c>
      <c r="W24" s="169" t="s">
        <v>729</v>
      </c>
      <c r="X24" s="169" t="s">
        <v>729</v>
      </c>
      <c r="Y24" s="169" t="s">
        <v>729</v>
      </c>
      <c r="Z24" s="169" t="s">
        <v>729</v>
      </c>
      <c r="AA24" s="169" t="s">
        <v>729</v>
      </c>
      <c r="AB24" s="169" t="s">
        <v>729</v>
      </c>
      <c r="AC24" s="169" t="s">
        <v>729</v>
      </c>
      <c r="AD24" s="169" t="s">
        <v>729</v>
      </c>
      <c r="AE24" s="169" t="s">
        <v>729</v>
      </c>
      <c r="AF24" s="169" t="s">
        <v>729</v>
      </c>
      <c r="AG24" s="169" t="s">
        <v>729</v>
      </c>
      <c r="AH24" s="169" t="s">
        <v>729</v>
      </c>
      <c r="AI24" s="169" t="s">
        <v>729</v>
      </c>
      <c r="AJ24" s="169" t="s">
        <v>729</v>
      </c>
      <c r="AK24" s="169" t="s">
        <v>729</v>
      </c>
      <c r="AL24" s="169" t="s">
        <v>729</v>
      </c>
      <c r="AM24" s="169" t="s">
        <v>729</v>
      </c>
      <c r="AN24" s="169" t="s">
        <v>729</v>
      </c>
      <c r="AO24" s="169" t="s">
        <v>729</v>
      </c>
      <c r="AP24" s="169" t="s">
        <v>729</v>
      </c>
      <c r="AQ24" s="169" t="s">
        <v>729</v>
      </c>
      <c r="AR24" s="169" t="s">
        <v>729</v>
      </c>
      <c r="AS24" s="169" t="s">
        <v>729</v>
      </c>
      <c r="AT24" s="169" t="s">
        <v>729</v>
      </c>
      <c r="AU24" s="169" t="s">
        <v>729</v>
      </c>
      <c r="AV24" s="169" t="s">
        <v>729</v>
      </c>
      <c r="AW24" s="169" t="s">
        <v>729</v>
      </c>
      <c r="AX24" s="169" t="s">
        <v>729</v>
      </c>
      <c r="AY24" s="169" t="s">
        <v>729</v>
      </c>
      <c r="AZ24" s="169" t="s">
        <v>729</v>
      </c>
      <c r="BA24" s="169" t="s">
        <v>729</v>
      </c>
      <c r="BB24" s="169" t="s">
        <v>729</v>
      </c>
      <c r="BC24" s="169" t="s">
        <v>729</v>
      </c>
      <c r="BD24" s="169" t="s">
        <v>729</v>
      </c>
      <c r="BE24" s="169" t="s">
        <v>729</v>
      </c>
      <c r="BF24" s="169" t="s">
        <v>729</v>
      </c>
      <c r="BG24" s="169" t="s">
        <v>729</v>
      </c>
      <c r="BH24" s="169" t="s">
        <v>729</v>
      </c>
      <c r="BI24" s="169" t="s">
        <v>729</v>
      </c>
      <c r="BJ24" s="169" t="s">
        <v>729</v>
      </c>
      <c r="BK24" s="169" t="s">
        <v>729</v>
      </c>
      <c r="BL24" s="169" t="s">
        <v>729</v>
      </c>
      <c r="BM24" s="169" t="s">
        <v>729</v>
      </c>
      <c r="BN24" s="169" t="s">
        <v>729</v>
      </c>
      <c r="BO24" s="169" t="s">
        <v>729</v>
      </c>
      <c r="BP24" s="169" t="s">
        <v>729</v>
      </c>
      <c r="BQ24" s="169" t="s">
        <v>729</v>
      </c>
      <c r="BR24" s="169" t="s">
        <v>729</v>
      </c>
      <c r="BS24" s="169" t="s">
        <v>729</v>
      </c>
      <c r="BT24" s="169" t="s">
        <v>729</v>
      </c>
      <c r="BU24" s="169" t="s">
        <v>729</v>
      </c>
      <c r="BV24" s="169" t="s">
        <v>729</v>
      </c>
      <c r="BW24" s="169" t="s">
        <v>729</v>
      </c>
      <c r="BX24" s="169" t="s">
        <v>729</v>
      </c>
      <c r="BY24" s="169" t="s">
        <v>729</v>
      </c>
      <c r="BZ24" s="169" t="s">
        <v>729</v>
      </c>
      <c r="CA24" s="169" t="s">
        <v>729</v>
      </c>
      <c r="CB24" s="169" t="s">
        <v>729</v>
      </c>
      <c r="CC24" s="169" t="s">
        <v>729</v>
      </c>
      <c r="CD24" s="169" t="s">
        <v>729</v>
      </c>
    </row>
    <row x14ac:dyDescent="0.25" r="25" customHeight="1" ht="18.75">
      <c r="A25" s="1"/>
      <c r="B25" s="1050">
        <v>9</v>
      </c>
      <c r="C25" s="1049" t="s">
        <v>730</v>
      </c>
      <c r="D25" s="1049" t="s">
        <v>731</v>
      </c>
      <c r="E25" s="1049" t="s">
        <v>732</v>
      </c>
      <c r="F25" s="1049" t="s">
        <v>733</v>
      </c>
      <c r="G25" s="1049" t="s">
        <v>734</v>
      </c>
      <c r="H25" s="1049" t="s">
        <v>735</v>
      </c>
      <c r="I25" s="1049" t="s">
        <v>736</v>
      </c>
      <c r="J25" s="1049" t="s">
        <v>659</v>
      </c>
      <c r="K25" s="1049" t="s">
        <v>737</v>
      </c>
      <c r="L25" s="1049" t="s">
        <v>738</v>
      </c>
      <c r="M25" s="169" t="s">
        <v>738</v>
      </c>
      <c r="N25" s="169" t="s">
        <v>738</v>
      </c>
      <c r="O25" s="169" t="s">
        <v>738</v>
      </c>
      <c r="P25" s="169" t="s">
        <v>738</v>
      </c>
      <c r="Q25" s="169" t="s">
        <v>738</v>
      </c>
      <c r="R25" s="169" t="s">
        <v>738</v>
      </c>
      <c r="S25" s="169" t="s">
        <v>738</v>
      </c>
      <c r="T25" s="169" t="s">
        <v>738</v>
      </c>
      <c r="U25" s="169" t="s">
        <v>738</v>
      </c>
      <c r="V25" s="169" t="s">
        <v>738</v>
      </c>
      <c r="W25" s="169" t="s">
        <v>738</v>
      </c>
      <c r="X25" s="169" t="s">
        <v>738</v>
      </c>
      <c r="Y25" s="169" t="s">
        <v>738</v>
      </c>
      <c r="Z25" s="169" t="s">
        <v>738</v>
      </c>
      <c r="AA25" s="169" t="s">
        <v>738</v>
      </c>
      <c r="AB25" s="169" t="s">
        <v>738</v>
      </c>
      <c r="AC25" s="169" t="s">
        <v>738</v>
      </c>
      <c r="AD25" s="169" t="s">
        <v>738</v>
      </c>
      <c r="AE25" s="169" t="s">
        <v>738</v>
      </c>
      <c r="AF25" s="169" t="s">
        <v>738</v>
      </c>
      <c r="AG25" s="169" t="s">
        <v>738</v>
      </c>
      <c r="AH25" s="169" t="s">
        <v>738</v>
      </c>
      <c r="AI25" s="169" t="s">
        <v>738</v>
      </c>
      <c r="AJ25" s="169" t="s">
        <v>738</v>
      </c>
      <c r="AK25" s="169" t="s">
        <v>738</v>
      </c>
      <c r="AL25" s="169" t="s">
        <v>738</v>
      </c>
      <c r="AM25" s="169" t="s">
        <v>738</v>
      </c>
      <c r="AN25" s="169" t="s">
        <v>738</v>
      </c>
      <c r="AO25" s="169" t="s">
        <v>738</v>
      </c>
      <c r="AP25" s="169" t="s">
        <v>738</v>
      </c>
      <c r="AQ25" s="169" t="s">
        <v>738</v>
      </c>
      <c r="AR25" s="169" t="s">
        <v>738</v>
      </c>
      <c r="AS25" s="169" t="s">
        <v>738</v>
      </c>
      <c r="AT25" s="169" t="s">
        <v>738</v>
      </c>
      <c r="AU25" s="169" t="s">
        <v>738</v>
      </c>
      <c r="AV25" s="169" t="s">
        <v>738</v>
      </c>
      <c r="AW25" s="169" t="s">
        <v>738</v>
      </c>
      <c r="AX25" s="169" t="s">
        <v>738</v>
      </c>
      <c r="AY25" s="169" t="s">
        <v>738</v>
      </c>
      <c r="AZ25" s="169" t="s">
        <v>738</v>
      </c>
      <c r="BA25" s="169" t="s">
        <v>738</v>
      </c>
      <c r="BB25" s="169" t="s">
        <v>738</v>
      </c>
      <c r="BC25" s="169" t="s">
        <v>738</v>
      </c>
      <c r="BD25" s="169" t="s">
        <v>738</v>
      </c>
      <c r="BE25" s="169" t="s">
        <v>738</v>
      </c>
      <c r="BF25" s="169" t="s">
        <v>738</v>
      </c>
      <c r="BG25" s="169" t="s">
        <v>738</v>
      </c>
      <c r="BH25" s="169" t="s">
        <v>738</v>
      </c>
      <c r="BI25" s="169" t="s">
        <v>738</v>
      </c>
      <c r="BJ25" s="169" t="s">
        <v>738</v>
      </c>
      <c r="BK25" s="169" t="s">
        <v>738</v>
      </c>
      <c r="BL25" s="169" t="s">
        <v>738</v>
      </c>
      <c r="BM25" s="169" t="s">
        <v>738</v>
      </c>
      <c r="BN25" s="169" t="s">
        <v>738</v>
      </c>
      <c r="BO25" s="169" t="s">
        <v>738</v>
      </c>
      <c r="BP25" s="169" t="s">
        <v>738</v>
      </c>
      <c r="BQ25" s="169" t="s">
        <v>738</v>
      </c>
      <c r="BR25" s="169" t="s">
        <v>738</v>
      </c>
      <c r="BS25" s="169" t="s">
        <v>738</v>
      </c>
      <c r="BT25" s="169" t="s">
        <v>738</v>
      </c>
      <c r="BU25" s="169" t="s">
        <v>738</v>
      </c>
      <c r="BV25" s="169" t="s">
        <v>738</v>
      </c>
      <c r="BW25" s="169" t="s">
        <v>738</v>
      </c>
      <c r="BX25" s="169" t="s">
        <v>738</v>
      </c>
      <c r="BY25" s="169" t="s">
        <v>738</v>
      </c>
      <c r="BZ25" s="169" t="s">
        <v>738</v>
      </c>
      <c r="CA25" s="169" t="s">
        <v>738</v>
      </c>
      <c r="CB25" s="169" t="s">
        <v>738</v>
      </c>
      <c r="CC25" s="169" t="s">
        <v>738</v>
      </c>
      <c r="CD25" s="169" t="s">
        <v>738</v>
      </c>
    </row>
    <row x14ac:dyDescent="0.25" r="26" customHeight="1" ht="18.75">
      <c r="A26" s="1"/>
      <c r="B26" s="1050">
        <v>8</v>
      </c>
      <c r="C26" s="1049" t="s">
        <v>739</v>
      </c>
      <c r="D26" s="1049" t="s">
        <v>740</v>
      </c>
      <c r="E26" s="1049" t="s">
        <v>741</v>
      </c>
      <c r="F26" s="1049" t="s">
        <v>742</v>
      </c>
      <c r="G26" s="1049" t="s">
        <v>714</v>
      </c>
      <c r="H26" s="1049" t="s">
        <v>743</v>
      </c>
      <c r="I26" s="1049" t="s">
        <v>744</v>
      </c>
      <c r="J26" s="1049" t="s">
        <v>745</v>
      </c>
      <c r="K26" s="1049" t="s">
        <v>746</v>
      </c>
      <c r="L26" s="1049" t="s">
        <v>689</v>
      </c>
      <c r="M26" s="169" t="s">
        <v>689</v>
      </c>
      <c r="N26" s="169" t="s">
        <v>689</v>
      </c>
      <c r="O26" s="169" t="s">
        <v>689</v>
      </c>
      <c r="P26" s="169" t="s">
        <v>689</v>
      </c>
      <c r="Q26" s="169" t="s">
        <v>689</v>
      </c>
      <c r="R26" s="169" t="s">
        <v>689</v>
      </c>
      <c r="S26" s="169" t="s">
        <v>689</v>
      </c>
      <c r="T26" s="169" t="s">
        <v>689</v>
      </c>
      <c r="U26" s="169" t="s">
        <v>689</v>
      </c>
      <c r="V26" s="169" t="s">
        <v>689</v>
      </c>
      <c r="W26" s="169" t="s">
        <v>689</v>
      </c>
      <c r="X26" s="169" t="s">
        <v>689</v>
      </c>
      <c r="Y26" s="169" t="s">
        <v>689</v>
      </c>
      <c r="Z26" s="169" t="s">
        <v>689</v>
      </c>
      <c r="AA26" s="169" t="s">
        <v>689</v>
      </c>
      <c r="AB26" s="169" t="s">
        <v>689</v>
      </c>
      <c r="AC26" s="169" t="s">
        <v>689</v>
      </c>
      <c r="AD26" s="169" t="s">
        <v>689</v>
      </c>
      <c r="AE26" s="169" t="s">
        <v>689</v>
      </c>
      <c r="AF26" s="169" t="s">
        <v>689</v>
      </c>
      <c r="AG26" s="169" t="s">
        <v>689</v>
      </c>
      <c r="AH26" s="169" t="s">
        <v>689</v>
      </c>
      <c r="AI26" s="169" t="s">
        <v>689</v>
      </c>
      <c r="AJ26" s="169" t="s">
        <v>689</v>
      </c>
      <c r="AK26" s="169" t="s">
        <v>689</v>
      </c>
      <c r="AL26" s="169" t="s">
        <v>689</v>
      </c>
      <c r="AM26" s="169" t="s">
        <v>689</v>
      </c>
      <c r="AN26" s="169" t="s">
        <v>689</v>
      </c>
      <c r="AO26" s="169" t="s">
        <v>689</v>
      </c>
      <c r="AP26" s="169" t="s">
        <v>689</v>
      </c>
      <c r="AQ26" s="169" t="s">
        <v>689</v>
      </c>
      <c r="AR26" s="169" t="s">
        <v>689</v>
      </c>
      <c r="AS26" s="169" t="s">
        <v>689</v>
      </c>
      <c r="AT26" s="169" t="s">
        <v>689</v>
      </c>
      <c r="AU26" s="169" t="s">
        <v>689</v>
      </c>
      <c r="AV26" s="169" t="s">
        <v>689</v>
      </c>
      <c r="AW26" s="169" t="s">
        <v>689</v>
      </c>
      <c r="AX26" s="169" t="s">
        <v>689</v>
      </c>
      <c r="AY26" s="169" t="s">
        <v>689</v>
      </c>
      <c r="AZ26" s="169" t="s">
        <v>689</v>
      </c>
      <c r="BA26" s="169" t="s">
        <v>689</v>
      </c>
      <c r="BB26" s="169" t="s">
        <v>689</v>
      </c>
      <c r="BC26" s="169" t="s">
        <v>689</v>
      </c>
      <c r="BD26" s="169" t="s">
        <v>689</v>
      </c>
      <c r="BE26" s="169" t="s">
        <v>689</v>
      </c>
      <c r="BF26" s="169" t="s">
        <v>689</v>
      </c>
      <c r="BG26" s="169" t="s">
        <v>689</v>
      </c>
      <c r="BH26" s="169" t="s">
        <v>689</v>
      </c>
      <c r="BI26" s="169" t="s">
        <v>689</v>
      </c>
      <c r="BJ26" s="169" t="s">
        <v>689</v>
      </c>
      <c r="BK26" s="169" t="s">
        <v>689</v>
      </c>
      <c r="BL26" s="169" t="s">
        <v>689</v>
      </c>
      <c r="BM26" s="169" t="s">
        <v>689</v>
      </c>
      <c r="BN26" s="169" t="s">
        <v>689</v>
      </c>
      <c r="BO26" s="169" t="s">
        <v>689</v>
      </c>
      <c r="BP26" s="169" t="s">
        <v>689</v>
      </c>
      <c r="BQ26" s="169" t="s">
        <v>689</v>
      </c>
      <c r="BR26" s="169" t="s">
        <v>689</v>
      </c>
      <c r="BS26" s="169" t="s">
        <v>689</v>
      </c>
      <c r="BT26" s="169" t="s">
        <v>689</v>
      </c>
      <c r="BU26" s="169" t="s">
        <v>689</v>
      </c>
      <c r="BV26" s="169" t="s">
        <v>689</v>
      </c>
      <c r="BW26" s="169" t="s">
        <v>689</v>
      </c>
      <c r="BX26" s="169" t="s">
        <v>689</v>
      </c>
      <c r="BY26" s="169" t="s">
        <v>689</v>
      </c>
      <c r="BZ26" s="169" t="s">
        <v>689</v>
      </c>
      <c r="CA26" s="169" t="s">
        <v>689</v>
      </c>
      <c r="CB26" s="169" t="s">
        <v>689</v>
      </c>
      <c r="CC26" s="169" t="s">
        <v>689</v>
      </c>
      <c r="CD26" s="169" t="s">
        <v>689</v>
      </c>
    </row>
    <row x14ac:dyDescent="0.25" r="27" customHeight="1" ht="18.75">
      <c r="A27" s="1"/>
      <c r="B27" s="1050">
        <v>7</v>
      </c>
      <c r="C27" s="1049" t="s">
        <v>747</v>
      </c>
      <c r="D27" s="1049" t="s">
        <v>748</v>
      </c>
      <c r="E27" s="1049" t="s">
        <v>749</v>
      </c>
      <c r="F27" s="1049" t="s">
        <v>722</v>
      </c>
      <c r="G27" s="1049" t="s">
        <v>750</v>
      </c>
      <c r="H27" s="1049" t="s">
        <v>751</v>
      </c>
      <c r="I27" s="1049" t="s">
        <v>735</v>
      </c>
      <c r="J27" s="1049" t="s">
        <v>752</v>
      </c>
      <c r="K27" s="1049" t="s">
        <v>753</v>
      </c>
      <c r="L27" s="1049" t="s">
        <v>699</v>
      </c>
      <c r="M27" s="169" t="s">
        <v>699</v>
      </c>
      <c r="N27" s="169" t="s">
        <v>699</v>
      </c>
      <c r="O27" s="169" t="s">
        <v>699</v>
      </c>
      <c r="P27" s="169" t="s">
        <v>699</v>
      </c>
      <c r="Q27" s="169" t="s">
        <v>699</v>
      </c>
      <c r="R27" s="169" t="s">
        <v>699</v>
      </c>
      <c r="S27" s="169" t="s">
        <v>699</v>
      </c>
      <c r="T27" s="169" t="s">
        <v>699</v>
      </c>
      <c r="U27" s="169" t="s">
        <v>699</v>
      </c>
      <c r="V27" s="169" t="s">
        <v>699</v>
      </c>
      <c r="W27" s="169" t="s">
        <v>699</v>
      </c>
      <c r="X27" s="169" t="s">
        <v>699</v>
      </c>
      <c r="Y27" s="169" t="s">
        <v>699</v>
      </c>
      <c r="Z27" s="169" t="s">
        <v>699</v>
      </c>
      <c r="AA27" s="169" t="s">
        <v>699</v>
      </c>
      <c r="AB27" s="169" t="s">
        <v>699</v>
      </c>
      <c r="AC27" s="169" t="s">
        <v>699</v>
      </c>
      <c r="AD27" s="169" t="s">
        <v>699</v>
      </c>
      <c r="AE27" s="169" t="s">
        <v>699</v>
      </c>
      <c r="AF27" s="169" t="s">
        <v>699</v>
      </c>
      <c r="AG27" s="169" t="s">
        <v>699</v>
      </c>
      <c r="AH27" s="169" t="s">
        <v>699</v>
      </c>
      <c r="AI27" s="169" t="s">
        <v>699</v>
      </c>
      <c r="AJ27" s="169" t="s">
        <v>699</v>
      </c>
      <c r="AK27" s="169" t="s">
        <v>699</v>
      </c>
      <c r="AL27" s="169" t="s">
        <v>699</v>
      </c>
      <c r="AM27" s="169" t="s">
        <v>699</v>
      </c>
      <c r="AN27" s="169" t="s">
        <v>699</v>
      </c>
      <c r="AO27" s="169" t="s">
        <v>699</v>
      </c>
      <c r="AP27" s="169" t="s">
        <v>699</v>
      </c>
      <c r="AQ27" s="169" t="s">
        <v>699</v>
      </c>
      <c r="AR27" s="169" t="s">
        <v>699</v>
      </c>
      <c r="AS27" s="169" t="s">
        <v>699</v>
      </c>
      <c r="AT27" s="169" t="s">
        <v>699</v>
      </c>
      <c r="AU27" s="169" t="s">
        <v>699</v>
      </c>
      <c r="AV27" s="169" t="s">
        <v>699</v>
      </c>
      <c r="AW27" s="169" t="s">
        <v>699</v>
      </c>
      <c r="AX27" s="169" t="s">
        <v>699</v>
      </c>
      <c r="AY27" s="169" t="s">
        <v>699</v>
      </c>
      <c r="AZ27" s="169" t="s">
        <v>699</v>
      </c>
      <c r="BA27" s="169" t="s">
        <v>699</v>
      </c>
      <c r="BB27" s="169" t="s">
        <v>699</v>
      </c>
      <c r="BC27" s="169" t="s">
        <v>699</v>
      </c>
      <c r="BD27" s="169" t="s">
        <v>699</v>
      </c>
      <c r="BE27" s="169" t="s">
        <v>699</v>
      </c>
      <c r="BF27" s="169" t="s">
        <v>699</v>
      </c>
      <c r="BG27" s="169" t="s">
        <v>699</v>
      </c>
      <c r="BH27" s="169" t="s">
        <v>699</v>
      </c>
      <c r="BI27" s="169" t="s">
        <v>699</v>
      </c>
      <c r="BJ27" s="169" t="s">
        <v>699</v>
      </c>
      <c r="BK27" s="169" t="s">
        <v>699</v>
      </c>
      <c r="BL27" s="169" t="s">
        <v>699</v>
      </c>
      <c r="BM27" s="169" t="s">
        <v>699</v>
      </c>
      <c r="BN27" s="169" t="s">
        <v>699</v>
      </c>
      <c r="BO27" s="169" t="s">
        <v>699</v>
      </c>
      <c r="BP27" s="169" t="s">
        <v>699</v>
      </c>
      <c r="BQ27" s="169" t="s">
        <v>699</v>
      </c>
      <c r="BR27" s="169" t="s">
        <v>699</v>
      </c>
      <c r="BS27" s="169" t="s">
        <v>699</v>
      </c>
      <c r="BT27" s="169" t="s">
        <v>699</v>
      </c>
      <c r="BU27" s="169" t="s">
        <v>699</v>
      </c>
      <c r="BV27" s="169" t="s">
        <v>699</v>
      </c>
      <c r="BW27" s="169" t="s">
        <v>699</v>
      </c>
      <c r="BX27" s="169" t="s">
        <v>699</v>
      </c>
      <c r="BY27" s="169" t="s">
        <v>699</v>
      </c>
      <c r="BZ27" s="169" t="s">
        <v>699</v>
      </c>
      <c r="CA27" s="169" t="s">
        <v>699</v>
      </c>
      <c r="CB27" s="169" t="s">
        <v>699</v>
      </c>
      <c r="CC27" s="169" t="s">
        <v>699</v>
      </c>
      <c r="CD27" s="169" t="s">
        <v>699</v>
      </c>
    </row>
    <row x14ac:dyDescent="0.25" r="28" customHeight="1" ht="18.75">
      <c r="A28" s="1"/>
      <c r="B28" s="1050">
        <v>6</v>
      </c>
      <c r="C28" s="1049" t="s">
        <v>754</v>
      </c>
      <c r="D28" s="1049" t="s">
        <v>755</v>
      </c>
      <c r="E28" s="1049" t="s">
        <v>756</v>
      </c>
      <c r="F28" s="1049" t="s">
        <v>757</v>
      </c>
      <c r="G28" s="1049" t="s">
        <v>758</v>
      </c>
      <c r="H28" s="1049" t="s">
        <v>759</v>
      </c>
      <c r="I28" s="1049" t="s">
        <v>760</v>
      </c>
      <c r="J28" s="1049" t="s">
        <v>707</v>
      </c>
      <c r="K28" s="1049" t="s">
        <v>761</v>
      </c>
      <c r="L28" s="1049" t="s">
        <v>659</v>
      </c>
      <c r="M28" s="169" t="s">
        <v>659</v>
      </c>
      <c r="N28" s="169" t="s">
        <v>659</v>
      </c>
      <c r="O28" s="169" t="s">
        <v>659</v>
      </c>
      <c r="P28" s="169" t="s">
        <v>659</v>
      </c>
      <c r="Q28" s="169" t="s">
        <v>659</v>
      </c>
      <c r="R28" s="169" t="s">
        <v>659</v>
      </c>
      <c r="S28" s="169" t="s">
        <v>659</v>
      </c>
      <c r="T28" s="169" t="s">
        <v>659</v>
      </c>
      <c r="U28" s="169" t="s">
        <v>659</v>
      </c>
      <c r="V28" s="169" t="s">
        <v>659</v>
      </c>
      <c r="W28" s="169" t="s">
        <v>659</v>
      </c>
      <c r="X28" s="169" t="s">
        <v>659</v>
      </c>
      <c r="Y28" s="169" t="s">
        <v>659</v>
      </c>
      <c r="Z28" s="169" t="s">
        <v>659</v>
      </c>
      <c r="AA28" s="169" t="s">
        <v>659</v>
      </c>
      <c r="AB28" s="169" t="s">
        <v>659</v>
      </c>
      <c r="AC28" s="169" t="s">
        <v>659</v>
      </c>
      <c r="AD28" s="169" t="s">
        <v>659</v>
      </c>
      <c r="AE28" s="169" t="s">
        <v>659</v>
      </c>
      <c r="AF28" s="169" t="s">
        <v>659</v>
      </c>
      <c r="AG28" s="169" t="s">
        <v>659</v>
      </c>
      <c r="AH28" s="169" t="s">
        <v>659</v>
      </c>
      <c r="AI28" s="169" t="s">
        <v>659</v>
      </c>
      <c r="AJ28" s="169" t="s">
        <v>659</v>
      </c>
      <c r="AK28" s="169" t="s">
        <v>659</v>
      </c>
      <c r="AL28" s="169" t="s">
        <v>659</v>
      </c>
      <c r="AM28" s="169" t="s">
        <v>659</v>
      </c>
      <c r="AN28" s="169" t="s">
        <v>659</v>
      </c>
      <c r="AO28" s="169" t="s">
        <v>659</v>
      </c>
      <c r="AP28" s="169" t="s">
        <v>659</v>
      </c>
      <c r="AQ28" s="169" t="s">
        <v>659</v>
      </c>
      <c r="AR28" s="169" t="s">
        <v>659</v>
      </c>
      <c r="AS28" s="169" t="s">
        <v>659</v>
      </c>
      <c r="AT28" s="169" t="s">
        <v>659</v>
      </c>
      <c r="AU28" s="169" t="s">
        <v>659</v>
      </c>
      <c r="AV28" s="169" t="s">
        <v>659</v>
      </c>
      <c r="AW28" s="169" t="s">
        <v>659</v>
      </c>
      <c r="AX28" s="169" t="s">
        <v>659</v>
      </c>
      <c r="AY28" s="169" t="s">
        <v>659</v>
      </c>
      <c r="AZ28" s="169" t="s">
        <v>659</v>
      </c>
      <c r="BA28" s="169" t="s">
        <v>659</v>
      </c>
      <c r="BB28" s="169" t="s">
        <v>659</v>
      </c>
      <c r="BC28" s="169" t="s">
        <v>659</v>
      </c>
      <c r="BD28" s="169" t="s">
        <v>659</v>
      </c>
      <c r="BE28" s="169" t="s">
        <v>659</v>
      </c>
      <c r="BF28" s="169" t="s">
        <v>659</v>
      </c>
      <c r="BG28" s="169" t="s">
        <v>659</v>
      </c>
      <c r="BH28" s="169" t="s">
        <v>659</v>
      </c>
      <c r="BI28" s="169" t="s">
        <v>659</v>
      </c>
      <c r="BJ28" s="169" t="s">
        <v>659</v>
      </c>
      <c r="BK28" s="169" t="s">
        <v>659</v>
      </c>
      <c r="BL28" s="169" t="s">
        <v>659</v>
      </c>
      <c r="BM28" s="169" t="s">
        <v>659</v>
      </c>
      <c r="BN28" s="169" t="s">
        <v>659</v>
      </c>
      <c r="BO28" s="169" t="s">
        <v>659</v>
      </c>
      <c r="BP28" s="169" t="s">
        <v>659</v>
      </c>
      <c r="BQ28" s="169" t="s">
        <v>659</v>
      </c>
      <c r="BR28" s="169" t="s">
        <v>659</v>
      </c>
      <c r="BS28" s="169" t="s">
        <v>659</v>
      </c>
      <c r="BT28" s="169" t="s">
        <v>659</v>
      </c>
      <c r="BU28" s="169" t="s">
        <v>659</v>
      </c>
      <c r="BV28" s="169" t="s">
        <v>659</v>
      </c>
      <c r="BW28" s="169" t="s">
        <v>659</v>
      </c>
      <c r="BX28" s="169" t="s">
        <v>659</v>
      </c>
      <c r="BY28" s="169" t="s">
        <v>659</v>
      </c>
      <c r="BZ28" s="169" t="s">
        <v>659</v>
      </c>
      <c r="CA28" s="169" t="s">
        <v>659</v>
      </c>
      <c r="CB28" s="169" t="s">
        <v>659</v>
      </c>
      <c r="CC28" s="169" t="s">
        <v>659</v>
      </c>
      <c r="CD28" s="169" t="s">
        <v>659</v>
      </c>
    </row>
    <row x14ac:dyDescent="0.25" r="29" customHeight="1" ht="18.75">
      <c r="A29" s="1"/>
      <c r="B29" s="1050">
        <v>5</v>
      </c>
      <c r="C29" s="1049" t="s">
        <v>762</v>
      </c>
      <c r="D29" s="1049" t="s">
        <v>763</v>
      </c>
      <c r="E29" s="1049" t="s">
        <v>764</v>
      </c>
      <c r="F29" s="1049" t="s">
        <v>731</v>
      </c>
      <c r="G29" s="1049" t="s">
        <v>765</v>
      </c>
      <c r="H29" s="1049" t="s">
        <v>705</v>
      </c>
      <c r="I29" s="1049" t="s">
        <v>766</v>
      </c>
      <c r="J29" s="1049" t="s">
        <v>686</v>
      </c>
      <c r="K29" s="1049" t="s">
        <v>767</v>
      </c>
      <c r="L29" s="1049" t="s">
        <v>768</v>
      </c>
      <c r="M29" s="169" t="s">
        <v>768</v>
      </c>
      <c r="N29" s="169" t="s">
        <v>768</v>
      </c>
      <c r="O29" s="169" t="s">
        <v>768</v>
      </c>
      <c r="P29" s="169" t="s">
        <v>768</v>
      </c>
      <c r="Q29" s="169" t="s">
        <v>768</v>
      </c>
      <c r="R29" s="169" t="s">
        <v>768</v>
      </c>
      <c r="S29" s="169" t="s">
        <v>768</v>
      </c>
      <c r="T29" s="169" t="s">
        <v>768</v>
      </c>
      <c r="U29" s="169" t="s">
        <v>768</v>
      </c>
      <c r="V29" s="169" t="s">
        <v>768</v>
      </c>
      <c r="W29" s="169" t="s">
        <v>768</v>
      </c>
      <c r="X29" s="169" t="s">
        <v>768</v>
      </c>
      <c r="Y29" s="169" t="s">
        <v>768</v>
      </c>
      <c r="Z29" s="169" t="s">
        <v>768</v>
      </c>
      <c r="AA29" s="169" t="s">
        <v>768</v>
      </c>
      <c r="AB29" s="169" t="s">
        <v>768</v>
      </c>
      <c r="AC29" s="169" t="s">
        <v>768</v>
      </c>
      <c r="AD29" s="169" t="s">
        <v>768</v>
      </c>
      <c r="AE29" s="169" t="s">
        <v>768</v>
      </c>
      <c r="AF29" s="169" t="s">
        <v>768</v>
      </c>
      <c r="AG29" s="169" t="s">
        <v>768</v>
      </c>
      <c r="AH29" s="169" t="s">
        <v>768</v>
      </c>
      <c r="AI29" s="169" t="s">
        <v>768</v>
      </c>
      <c r="AJ29" s="169" t="s">
        <v>768</v>
      </c>
      <c r="AK29" s="169" t="s">
        <v>768</v>
      </c>
      <c r="AL29" s="169" t="s">
        <v>768</v>
      </c>
      <c r="AM29" s="169" t="s">
        <v>768</v>
      </c>
      <c r="AN29" s="169" t="s">
        <v>768</v>
      </c>
      <c r="AO29" s="169" t="s">
        <v>768</v>
      </c>
      <c r="AP29" s="169" t="s">
        <v>768</v>
      </c>
      <c r="AQ29" s="169" t="s">
        <v>768</v>
      </c>
      <c r="AR29" s="169" t="s">
        <v>768</v>
      </c>
      <c r="AS29" s="169" t="s">
        <v>768</v>
      </c>
      <c r="AT29" s="169" t="s">
        <v>768</v>
      </c>
      <c r="AU29" s="169" t="s">
        <v>768</v>
      </c>
      <c r="AV29" s="169" t="s">
        <v>768</v>
      </c>
      <c r="AW29" s="169" t="s">
        <v>768</v>
      </c>
      <c r="AX29" s="169" t="s">
        <v>768</v>
      </c>
      <c r="AY29" s="169" t="s">
        <v>768</v>
      </c>
      <c r="AZ29" s="169" t="s">
        <v>768</v>
      </c>
      <c r="BA29" s="169" t="s">
        <v>768</v>
      </c>
      <c r="BB29" s="169" t="s">
        <v>768</v>
      </c>
      <c r="BC29" s="169" t="s">
        <v>768</v>
      </c>
      <c r="BD29" s="169" t="s">
        <v>768</v>
      </c>
      <c r="BE29" s="169" t="s">
        <v>768</v>
      </c>
      <c r="BF29" s="169" t="s">
        <v>768</v>
      </c>
      <c r="BG29" s="169" t="s">
        <v>768</v>
      </c>
      <c r="BH29" s="169" t="s">
        <v>768</v>
      </c>
      <c r="BI29" s="169" t="s">
        <v>768</v>
      </c>
      <c r="BJ29" s="169" t="s">
        <v>768</v>
      </c>
      <c r="BK29" s="169" t="s">
        <v>768</v>
      </c>
      <c r="BL29" s="169" t="s">
        <v>768</v>
      </c>
      <c r="BM29" s="169" t="s">
        <v>768</v>
      </c>
      <c r="BN29" s="169" t="s">
        <v>768</v>
      </c>
      <c r="BO29" s="169" t="s">
        <v>768</v>
      </c>
      <c r="BP29" s="169" t="s">
        <v>768</v>
      </c>
      <c r="BQ29" s="169" t="s">
        <v>768</v>
      </c>
      <c r="BR29" s="169" t="s">
        <v>768</v>
      </c>
      <c r="BS29" s="169" t="s">
        <v>768</v>
      </c>
      <c r="BT29" s="169" t="s">
        <v>768</v>
      </c>
      <c r="BU29" s="169" t="s">
        <v>768</v>
      </c>
      <c r="BV29" s="169" t="s">
        <v>768</v>
      </c>
      <c r="BW29" s="169" t="s">
        <v>768</v>
      </c>
      <c r="BX29" s="169" t="s">
        <v>768</v>
      </c>
      <c r="BY29" s="169" t="s">
        <v>768</v>
      </c>
      <c r="BZ29" s="169" t="s">
        <v>768</v>
      </c>
      <c r="CA29" s="169" t="s">
        <v>768</v>
      </c>
      <c r="CB29" s="169" t="s">
        <v>768</v>
      </c>
      <c r="CC29" s="169" t="s">
        <v>768</v>
      </c>
      <c r="CD29" s="169" t="s">
        <v>768</v>
      </c>
    </row>
    <row x14ac:dyDescent="0.25" r="30" customHeight="1" ht="18.75">
      <c r="A30" s="1"/>
      <c r="B30" s="1050">
        <v>4</v>
      </c>
      <c r="C30" s="1049" t="s">
        <v>769</v>
      </c>
      <c r="D30" s="1049" t="s">
        <v>770</v>
      </c>
      <c r="E30" s="1049" t="s">
        <v>771</v>
      </c>
      <c r="F30" s="1049" t="s">
        <v>772</v>
      </c>
      <c r="G30" s="1049" t="s">
        <v>773</v>
      </c>
      <c r="H30" s="1049" t="s">
        <v>774</v>
      </c>
      <c r="I30" s="1049" t="s">
        <v>723</v>
      </c>
      <c r="J30" s="1049" t="s">
        <v>775</v>
      </c>
      <c r="K30" s="1049" t="s">
        <v>707</v>
      </c>
      <c r="L30" s="1049" t="s">
        <v>776</v>
      </c>
      <c r="M30" s="169" t="s">
        <v>776</v>
      </c>
      <c r="N30" s="169" t="s">
        <v>776</v>
      </c>
      <c r="O30" s="169" t="s">
        <v>776</v>
      </c>
      <c r="P30" s="169" t="s">
        <v>776</v>
      </c>
      <c r="Q30" s="169" t="s">
        <v>776</v>
      </c>
      <c r="R30" s="169" t="s">
        <v>776</v>
      </c>
      <c r="S30" s="169" t="s">
        <v>776</v>
      </c>
      <c r="T30" s="169" t="s">
        <v>776</v>
      </c>
      <c r="U30" s="169" t="s">
        <v>776</v>
      </c>
      <c r="V30" s="169" t="s">
        <v>776</v>
      </c>
      <c r="W30" s="169" t="s">
        <v>776</v>
      </c>
      <c r="X30" s="169" t="s">
        <v>776</v>
      </c>
      <c r="Y30" s="169" t="s">
        <v>776</v>
      </c>
      <c r="Z30" s="169" t="s">
        <v>776</v>
      </c>
      <c r="AA30" s="169" t="s">
        <v>776</v>
      </c>
      <c r="AB30" s="169" t="s">
        <v>776</v>
      </c>
      <c r="AC30" s="169" t="s">
        <v>776</v>
      </c>
      <c r="AD30" s="169" t="s">
        <v>776</v>
      </c>
      <c r="AE30" s="169" t="s">
        <v>776</v>
      </c>
      <c r="AF30" s="169" t="s">
        <v>776</v>
      </c>
      <c r="AG30" s="169" t="s">
        <v>776</v>
      </c>
      <c r="AH30" s="169" t="s">
        <v>776</v>
      </c>
      <c r="AI30" s="169" t="s">
        <v>776</v>
      </c>
      <c r="AJ30" s="169" t="s">
        <v>776</v>
      </c>
      <c r="AK30" s="169" t="s">
        <v>776</v>
      </c>
      <c r="AL30" s="169" t="s">
        <v>776</v>
      </c>
      <c r="AM30" s="169" t="s">
        <v>776</v>
      </c>
      <c r="AN30" s="169" t="s">
        <v>776</v>
      </c>
      <c r="AO30" s="169" t="s">
        <v>776</v>
      </c>
      <c r="AP30" s="169" t="s">
        <v>776</v>
      </c>
      <c r="AQ30" s="169" t="s">
        <v>776</v>
      </c>
      <c r="AR30" s="169" t="s">
        <v>776</v>
      </c>
      <c r="AS30" s="169" t="s">
        <v>776</v>
      </c>
      <c r="AT30" s="169" t="s">
        <v>776</v>
      </c>
      <c r="AU30" s="169" t="s">
        <v>776</v>
      </c>
      <c r="AV30" s="169" t="s">
        <v>776</v>
      </c>
      <c r="AW30" s="169" t="s">
        <v>776</v>
      </c>
      <c r="AX30" s="169" t="s">
        <v>776</v>
      </c>
      <c r="AY30" s="169" t="s">
        <v>776</v>
      </c>
      <c r="AZ30" s="169" t="s">
        <v>776</v>
      </c>
      <c r="BA30" s="169" t="s">
        <v>776</v>
      </c>
      <c r="BB30" s="169" t="s">
        <v>776</v>
      </c>
      <c r="BC30" s="169" t="s">
        <v>776</v>
      </c>
      <c r="BD30" s="169" t="s">
        <v>776</v>
      </c>
      <c r="BE30" s="169" t="s">
        <v>776</v>
      </c>
      <c r="BF30" s="169" t="s">
        <v>776</v>
      </c>
      <c r="BG30" s="169" t="s">
        <v>776</v>
      </c>
      <c r="BH30" s="169" t="s">
        <v>776</v>
      </c>
      <c r="BI30" s="169" t="s">
        <v>776</v>
      </c>
      <c r="BJ30" s="169" t="s">
        <v>776</v>
      </c>
      <c r="BK30" s="169" t="s">
        <v>776</v>
      </c>
      <c r="BL30" s="169" t="s">
        <v>776</v>
      </c>
      <c r="BM30" s="169" t="s">
        <v>776</v>
      </c>
      <c r="BN30" s="169" t="s">
        <v>776</v>
      </c>
      <c r="BO30" s="169" t="s">
        <v>776</v>
      </c>
      <c r="BP30" s="169" t="s">
        <v>776</v>
      </c>
      <c r="BQ30" s="169" t="s">
        <v>776</v>
      </c>
      <c r="BR30" s="169" t="s">
        <v>776</v>
      </c>
      <c r="BS30" s="169" t="s">
        <v>776</v>
      </c>
      <c r="BT30" s="169" t="s">
        <v>776</v>
      </c>
      <c r="BU30" s="169" t="s">
        <v>776</v>
      </c>
      <c r="BV30" s="169" t="s">
        <v>776</v>
      </c>
      <c r="BW30" s="169" t="s">
        <v>776</v>
      </c>
      <c r="BX30" s="169" t="s">
        <v>776</v>
      </c>
      <c r="BY30" s="169" t="s">
        <v>776</v>
      </c>
      <c r="BZ30" s="169" t="s">
        <v>776</v>
      </c>
      <c r="CA30" s="169" t="s">
        <v>776</v>
      </c>
      <c r="CB30" s="169" t="s">
        <v>776</v>
      </c>
      <c r="CC30" s="169" t="s">
        <v>776</v>
      </c>
      <c r="CD30" s="169" t="s">
        <v>776</v>
      </c>
    </row>
    <row x14ac:dyDescent="0.25" r="31" customHeight="1" ht="18.75">
      <c r="A31" s="1"/>
      <c r="B31" s="1050">
        <v>3</v>
      </c>
      <c r="C31" s="1049" t="s">
        <v>777</v>
      </c>
      <c r="D31" s="1049" t="s">
        <v>778</v>
      </c>
      <c r="E31" s="1049" t="s">
        <v>779</v>
      </c>
      <c r="F31" s="1049" t="s">
        <v>780</v>
      </c>
      <c r="G31" s="1049" t="s">
        <v>781</v>
      </c>
      <c r="H31" s="1049" t="s">
        <v>749</v>
      </c>
      <c r="I31" s="1049" t="s">
        <v>782</v>
      </c>
      <c r="J31" s="1049" t="s">
        <v>783</v>
      </c>
      <c r="K31" s="1049" t="s">
        <v>784</v>
      </c>
      <c r="L31" s="1049" t="s">
        <v>785</v>
      </c>
      <c r="M31" s="169" t="s">
        <v>785</v>
      </c>
      <c r="N31" s="169" t="s">
        <v>785</v>
      </c>
      <c r="O31" s="169" t="s">
        <v>785</v>
      </c>
      <c r="P31" s="169" t="s">
        <v>785</v>
      </c>
      <c r="Q31" s="169" t="s">
        <v>785</v>
      </c>
      <c r="R31" s="169" t="s">
        <v>785</v>
      </c>
      <c r="S31" s="169" t="s">
        <v>785</v>
      </c>
      <c r="T31" s="169" t="s">
        <v>785</v>
      </c>
      <c r="U31" s="169" t="s">
        <v>785</v>
      </c>
      <c r="V31" s="169" t="s">
        <v>785</v>
      </c>
      <c r="W31" s="169" t="s">
        <v>785</v>
      </c>
      <c r="X31" s="169" t="s">
        <v>785</v>
      </c>
      <c r="Y31" s="169" t="s">
        <v>785</v>
      </c>
      <c r="Z31" s="169" t="s">
        <v>785</v>
      </c>
      <c r="AA31" s="169" t="s">
        <v>785</v>
      </c>
      <c r="AB31" s="169" t="s">
        <v>785</v>
      </c>
      <c r="AC31" s="169" t="s">
        <v>785</v>
      </c>
      <c r="AD31" s="169" t="s">
        <v>785</v>
      </c>
      <c r="AE31" s="169" t="s">
        <v>785</v>
      </c>
      <c r="AF31" s="169" t="s">
        <v>785</v>
      </c>
      <c r="AG31" s="169" t="s">
        <v>785</v>
      </c>
      <c r="AH31" s="169" t="s">
        <v>785</v>
      </c>
      <c r="AI31" s="169" t="s">
        <v>785</v>
      </c>
      <c r="AJ31" s="169" t="s">
        <v>785</v>
      </c>
      <c r="AK31" s="169" t="s">
        <v>785</v>
      </c>
      <c r="AL31" s="169" t="s">
        <v>785</v>
      </c>
      <c r="AM31" s="169" t="s">
        <v>785</v>
      </c>
      <c r="AN31" s="169" t="s">
        <v>785</v>
      </c>
      <c r="AO31" s="169" t="s">
        <v>785</v>
      </c>
      <c r="AP31" s="169" t="s">
        <v>785</v>
      </c>
      <c r="AQ31" s="169" t="s">
        <v>785</v>
      </c>
      <c r="AR31" s="169" t="s">
        <v>785</v>
      </c>
      <c r="AS31" s="169" t="s">
        <v>785</v>
      </c>
      <c r="AT31" s="169" t="s">
        <v>785</v>
      </c>
      <c r="AU31" s="169" t="s">
        <v>785</v>
      </c>
      <c r="AV31" s="169" t="s">
        <v>785</v>
      </c>
      <c r="AW31" s="169" t="s">
        <v>785</v>
      </c>
      <c r="AX31" s="169" t="s">
        <v>785</v>
      </c>
      <c r="AY31" s="169" t="s">
        <v>785</v>
      </c>
      <c r="AZ31" s="169" t="s">
        <v>785</v>
      </c>
      <c r="BA31" s="169" t="s">
        <v>785</v>
      </c>
      <c r="BB31" s="169" t="s">
        <v>785</v>
      </c>
      <c r="BC31" s="169" t="s">
        <v>785</v>
      </c>
      <c r="BD31" s="169" t="s">
        <v>785</v>
      </c>
      <c r="BE31" s="169" t="s">
        <v>785</v>
      </c>
      <c r="BF31" s="169" t="s">
        <v>785</v>
      </c>
      <c r="BG31" s="169" t="s">
        <v>785</v>
      </c>
      <c r="BH31" s="169" t="s">
        <v>785</v>
      </c>
      <c r="BI31" s="169" t="s">
        <v>785</v>
      </c>
      <c r="BJ31" s="169" t="s">
        <v>785</v>
      </c>
      <c r="BK31" s="169" t="s">
        <v>785</v>
      </c>
      <c r="BL31" s="169" t="s">
        <v>785</v>
      </c>
      <c r="BM31" s="169" t="s">
        <v>785</v>
      </c>
      <c r="BN31" s="169" t="s">
        <v>785</v>
      </c>
      <c r="BO31" s="169" t="s">
        <v>785</v>
      </c>
      <c r="BP31" s="169" t="s">
        <v>785</v>
      </c>
      <c r="BQ31" s="169" t="s">
        <v>785</v>
      </c>
      <c r="BR31" s="169" t="s">
        <v>785</v>
      </c>
      <c r="BS31" s="169" t="s">
        <v>785</v>
      </c>
      <c r="BT31" s="169" t="s">
        <v>785</v>
      </c>
      <c r="BU31" s="169" t="s">
        <v>785</v>
      </c>
      <c r="BV31" s="169" t="s">
        <v>785</v>
      </c>
      <c r="BW31" s="169" t="s">
        <v>785</v>
      </c>
      <c r="BX31" s="169" t="s">
        <v>785</v>
      </c>
      <c r="BY31" s="169" t="s">
        <v>785</v>
      </c>
      <c r="BZ31" s="169" t="s">
        <v>785</v>
      </c>
      <c r="CA31" s="169" t="s">
        <v>785</v>
      </c>
      <c r="CB31" s="169" t="s">
        <v>785</v>
      </c>
      <c r="CC31" s="169" t="s">
        <v>785</v>
      </c>
      <c r="CD31" s="169" t="s">
        <v>785</v>
      </c>
    </row>
    <row x14ac:dyDescent="0.25" r="32" customHeight="1" ht="18.75">
      <c r="A32" s="1"/>
      <c r="B32" s="1050">
        <v>2</v>
      </c>
      <c r="C32" s="1049" t="s">
        <v>786</v>
      </c>
      <c r="D32" s="1049" t="s">
        <v>787</v>
      </c>
      <c r="E32" s="1049" t="s">
        <v>788</v>
      </c>
      <c r="F32" s="1049" t="s">
        <v>789</v>
      </c>
      <c r="G32" s="1049" t="s">
        <v>790</v>
      </c>
      <c r="H32" s="1049" t="s">
        <v>791</v>
      </c>
      <c r="I32" s="1049" t="s">
        <v>792</v>
      </c>
      <c r="J32" s="1049" t="s">
        <v>759</v>
      </c>
      <c r="K32" s="1049" t="s">
        <v>793</v>
      </c>
      <c r="L32" s="1049" t="s">
        <v>735</v>
      </c>
      <c r="M32" s="169" t="s">
        <v>735</v>
      </c>
      <c r="N32" s="169" t="s">
        <v>735</v>
      </c>
      <c r="O32" s="169" t="s">
        <v>735</v>
      </c>
      <c r="P32" s="169" t="s">
        <v>735</v>
      </c>
      <c r="Q32" s="169" t="s">
        <v>735</v>
      </c>
      <c r="R32" s="169" t="s">
        <v>735</v>
      </c>
      <c r="S32" s="169" t="s">
        <v>735</v>
      </c>
      <c r="T32" s="169" t="s">
        <v>735</v>
      </c>
      <c r="U32" s="169" t="s">
        <v>735</v>
      </c>
      <c r="V32" s="169" t="s">
        <v>735</v>
      </c>
      <c r="W32" s="169" t="s">
        <v>735</v>
      </c>
      <c r="X32" s="169" t="s">
        <v>735</v>
      </c>
      <c r="Y32" s="169" t="s">
        <v>735</v>
      </c>
      <c r="Z32" s="169" t="s">
        <v>735</v>
      </c>
      <c r="AA32" s="169" t="s">
        <v>735</v>
      </c>
      <c r="AB32" s="169" t="s">
        <v>735</v>
      </c>
      <c r="AC32" s="169" t="s">
        <v>735</v>
      </c>
      <c r="AD32" s="169" t="s">
        <v>735</v>
      </c>
      <c r="AE32" s="169" t="s">
        <v>735</v>
      </c>
      <c r="AF32" s="169" t="s">
        <v>735</v>
      </c>
      <c r="AG32" s="169" t="s">
        <v>735</v>
      </c>
      <c r="AH32" s="169" t="s">
        <v>735</v>
      </c>
      <c r="AI32" s="169" t="s">
        <v>735</v>
      </c>
      <c r="AJ32" s="169" t="s">
        <v>735</v>
      </c>
      <c r="AK32" s="169" t="s">
        <v>735</v>
      </c>
      <c r="AL32" s="169" t="s">
        <v>735</v>
      </c>
      <c r="AM32" s="169" t="s">
        <v>735</v>
      </c>
      <c r="AN32" s="169" t="s">
        <v>735</v>
      </c>
      <c r="AO32" s="169" t="s">
        <v>735</v>
      </c>
      <c r="AP32" s="169" t="s">
        <v>735</v>
      </c>
      <c r="AQ32" s="169" t="s">
        <v>735</v>
      </c>
      <c r="AR32" s="169" t="s">
        <v>735</v>
      </c>
      <c r="AS32" s="169" t="s">
        <v>735</v>
      </c>
      <c r="AT32" s="169" t="s">
        <v>735</v>
      </c>
      <c r="AU32" s="169" t="s">
        <v>735</v>
      </c>
      <c r="AV32" s="169" t="s">
        <v>735</v>
      </c>
      <c r="AW32" s="169" t="s">
        <v>735</v>
      </c>
      <c r="AX32" s="169" t="s">
        <v>735</v>
      </c>
      <c r="AY32" s="169" t="s">
        <v>735</v>
      </c>
      <c r="AZ32" s="169" t="s">
        <v>735</v>
      </c>
      <c r="BA32" s="169" t="s">
        <v>735</v>
      </c>
      <c r="BB32" s="169" t="s">
        <v>735</v>
      </c>
      <c r="BC32" s="169" t="s">
        <v>735</v>
      </c>
      <c r="BD32" s="169" t="s">
        <v>735</v>
      </c>
      <c r="BE32" s="169" t="s">
        <v>735</v>
      </c>
      <c r="BF32" s="169" t="s">
        <v>735</v>
      </c>
      <c r="BG32" s="169" t="s">
        <v>735</v>
      </c>
      <c r="BH32" s="169" t="s">
        <v>735</v>
      </c>
      <c r="BI32" s="169" t="s">
        <v>735</v>
      </c>
      <c r="BJ32" s="169" t="s">
        <v>735</v>
      </c>
      <c r="BK32" s="169" t="s">
        <v>735</v>
      </c>
      <c r="BL32" s="169" t="s">
        <v>735</v>
      </c>
      <c r="BM32" s="169" t="s">
        <v>735</v>
      </c>
      <c r="BN32" s="169" t="s">
        <v>735</v>
      </c>
      <c r="BO32" s="169" t="s">
        <v>735</v>
      </c>
      <c r="BP32" s="169" t="s">
        <v>735</v>
      </c>
      <c r="BQ32" s="169" t="s">
        <v>735</v>
      </c>
      <c r="BR32" s="169" t="s">
        <v>735</v>
      </c>
      <c r="BS32" s="169" t="s">
        <v>735</v>
      </c>
      <c r="BT32" s="169" t="s">
        <v>735</v>
      </c>
      <c r="BU32" s="169" t="s">
        <v>735</v>
      </c>
      <c r="BV32" s="169" t="s">
        <v>735</v>
      </c>
      <c r="BW32" s="169" t="s">
        <v>735</v>
      </c>
      <c r="BX32" s="169" t="s">
        <v>735</v>
      </c>
      <c r="BY32" s="169" t="s">
        <v>735</v>
      </c>
      <c r="BZ32" s="169" t="s">
        <v>735</v>
      </c>
      <c r="CA32" s="169" t="s">
        <v>735</v>
      </c>
      <c r="CB32" s="169" t="s">
        <v>735</v>
      </c>
      <c r="CC32" s="169" t="s">
        <v>735</v>
      </c>
      <c r="CD32" s="169" t="s">
        <v>735</v>
      </c>
    </row>
    <row x14ac:dyDescent="0.25" r="33" customHeight="1" ht="18.75">
      <c r="A33" s="1"/>
      <c r="B33" s="1050">
        <v>1</v>
      </c>
      <c r="C33" s="1049" t="s">
        <v>794</v>
      </c>
      <c r="D33" s="1049" t="s">
        <v>795</v>
      </c>
      <c r="E33" s="1049" t="s">
        <v>796</v>
      </c>
      <c r="F33" s="1049" t="s">
        <v>755</v>
      </c>
      <c r="G33" s="1049" t="s">
        <v>797</v>
      </c>
      <c r="H33" s="1049" t="s">
        <v>798</v>
      </c>
      <c r="I33" s="1049" t="s">
        <v>799</v>
      </c>
      <c r="J33" s="1049" t="s">
        <v>800</v>
      </c>
      <c r="K33" s="1049" t="s">
        <v>766</v>
      </c>
      <c r="L33" s="1049" t="s">
        <v>686</v>
      </c>
      <c r="M33" s="169" t="s">
        <v>686</v>
      </c>
      <c r="N33" s="169" t="s">
        <v>686</v>
      </c>
      <c r="O33" s="169" t="s">
        <v>686</v>
      </c>
      <c r="P33" s="169" t="s">
        <v>686</v>
      </c>
      <c r="Q33" s="169" t="s">
        <v>686</v>
      </c>
      <c r="R33" s="169" t="s">
        <v>686</v>
      </c>
      <c r="S33" s="169" t="s">
        <v>686</v>
      </c>
      <c r="T33" s="169" t="s">
        <v>686</v>
      </c>
      <c r="U33" s="169" t="s">
        <v>686</v>
      </c>
      <c r="V33" s="169" t="s">
        <v>686</v>
      </c>
      <c r="W33" s="169" t="s">
        <v>686</v>
      </c>
      <c r="X33" s="169" t="s">
        <v>686</v>
      </c>
      <c r="Y33" s="169" t="s">
        <v>686</v>
      </c>
      <c r="Z33" s="169" t="s">
        <v>686</v>
      </c>
      <c r="AA33" s="169" t="s">
        <v>686</v>
      </c>
      <c r="AB33" s="169" t="s">
        <v>686</v>
      </c>
      <c r="AC33" s="169" t="s">
        <v>686</v>
      </c>
      <c r="AD33" s="169" t="s">
        <v>686</v>
      </c>
      <c r="AE33" s="169" t="s">
        <v>686</v>
      </c>
      <c r="AF33" s="169" t="s">
        <v>686</v>
      </c>
      <c r="AG33" s="169" t="s">
        <v>686</v>
      </c>
      <c r="AH33" s="169" t="s">
        <v>686</v>
      </c>
      <c r="AI33" s="169" t="s">
        <v>686</v>
      </c>
      <c r="AJ33" s="169" t="s">
        <v>686</v>
      </c>
      <c r="AK33" s="169" t="s">
        <v>686</v>
      </c>
      <c r="AL33" s="169" t="s">
        <v>686</v>
      </c>
      <c r="AM33" s="169" t="s">
        <v>686</v>
      </c>
      <c r="AN33" s="169" t="s">
        <v>686</v>
      </c>
      <c r="AO33" s="169" t="s">
        <v>686</v>
      </c>
      <c r="AP33" s="169" t="s">
        <v>686</v>
      </c>
      <c r="AQ33" s="169" t="s">
        <v>686</v>
      </c>
      <c r="AR33" s="169" t="s">
        <v>686</v>
      </c>
      <c r="AS33" s="169" t="s">
        <v>686</v>
      </c>
      <c r="AT33" s="169" t="s">
        <v>686</v>
      </c>
      <c r="AU33" s="169" t="s">
        <v>686</v>
      </c>
      <c r="AV33" s="169" t="s">
        <v>686</v>
      </c>
      <c r="AW33" s="169" t="s">
        <v>686</v>
      </c>
      <c r="AX33" s="169" t="s">
        <v>686</v>
      </c>
      <c r="AY33" s="169" t="s">
        <v>686</v>
      </c>
      <c r="AZ33" s="169" t="s">
        <v>686</v>
      </c>
      <c r="BA33" s="169" t="s">
        <v>686</v>
      </c>
      <c r="BB33" s="169" t="s">
        <v>686</v>
      </c>
      <c r="BC33" s="169" t="s">
        <v>686</v>
      </c>
      <c r="BD33" s="169" t="s">
        <v>686</v>
      </c>
      <c r="BE33" s="169" t="s">
        <v>686</v>
      </c>
      <c r="BF33" s="169" t="s">
        <v>686</v>
      </c>
      <c r="BG33" s="169" t="s">
        <v>686</v>
      </c>
      <c r="BH33" s="169" t="s">
        <v>686</v>
      </c>
      <c r="BI33" s="169" t="s">
        <v>686</v>
      </c>
      <c r="BJ33" s="169" t="s">
        <v>686</v>
      </c>
      <c r="BK33" s="169" t="s">
        <v>686</v>
      </c>
      <c r="BL33" s="169" t="s">
        <v>686</v>
      </c>
      <c r="BM33" s="169" t="s">
        <v>686</v>
      </c>
      <c r="BN33" s="169" t="s">
        <v>686</v>
      </c>
      <c r="BO33" s="169" t="s">
        <v>686</v>
      </c>
      <c r="BP33" s="169" t="s">
        <v>686</v>
      </c>
      <c r="BQ33" s="169" t="s">
        <v>686</v>
      </c>
      <c r="BR33" s="169" t="s">
        <v>686</v>
      </c>
      <c r="BS33" s="169" t="s">
        <v>686</v>
      </c>
      <c r="BT33" s="169" t="s">
        <v>686</v>
      </c>
      <c r="BU33" s="169" t="s">
        <v>686</v>
      </c>
      <c r="BV33" s="169" t="s">
        <v>686</v>
      </c>
      <c r="BW33" s="169" t="s">
        <v>686</v>
      </c>
      <c r="BX33" s="169" t="s">
        <v>686</v>
      </c>
      <c r="BY33" s="169" t="s">
        <v>686</v>
      </c>
      <c r="BZ33" s="169" t="s">
        <v>686</v>
      </c>
      <c r="CA33" s="169" t="s">
        <v>686</v>
      </c>
      <c r="CB33" s="169" t="s">
        <v>686</v>
      </c>
      <c r="CC33" s="169" t="s">
        <v>686</v>
      </c>
      <c r="CD33" s="169" t="s">
        <v>686</v>
      </c>
    </row>
    <row x14ac:dyDescent="0.25" r="34" customHeight="1" ht="18.75">
      <c r="A34" s="1"/>
      <c r="B34" s="320"/>
      <c r="C34" s="169"/>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69"/>
      <c r="AI34" s="169"/>
      <c r="AJ34" s="169"/>
      <c r="AK34" s="169"/>
      <c r="AL34" s="169"/>
      <c r="AM34" s="169"/>
      <c r="AN34" s="169"/>
      <c r="AO34" s="169"/>
      <c r="AP34" s="169"/>
      <c r="AQ34" s="169"/>
      <c r="AR34" s="169"/>
      <c r="AS34" s="169"/>
      <c r="AT34" s="169"/>
      <c r="AU34" s="169"/>
      <c r="AV34" s="169"/>
      <c r="AW34" s="169"/>
      <c r="AX34" s="169"/>
      <c r="AY34" s="169"/>
      <c r="AZ34" s="169"/>
      <c r="BA34" s="169"/>
      <c r="BB34" s="169"/>
      <c r="BC34" s="169"/>
      <c r="BD34" s="169"/>
      <c r="BE34" s="169"/>
      <c r="BF34" s="169"/>
      <c r="BG34" s="169"/>
      <c r="BH34" s="169"/>
      <c r="BI34" s="169"/>
      <c r="BJ34" s="169"/>
      <c r="BK34" s="169"/>
      <c r="BL34" s="169"/>
      <c r="BM34" s="169"/>
      <c r="BN34" s="169"/>
      <c r="BO34" s="169"/>
      <c r="BP34" s="169"/>
      <c r="BQ34" s="169"/>
      <c r="BR34" s="169"/>
      <c r="BS34" s="169"/>
      <c r="BT34" s="169"/>
      <c r="BU34" s="169"/>
      <c r="BV34" s="169"/>
      <c r="BW34" s="169"/>
      <c r="BX34" s="169"/>
      <c r="BY34" s="169"/>
      <c r="BZ34" s="169"/>
      <c r="CA34" s="169"/>
      <c r="CB34" s="169"/>
      <c r="CC34" s="169"/>
      <c r="CD34" s="169"/>
    </row>
    <row x14ac:dyDescent="0.25" r="35" customHeight="1" ht="18.75">
      <c r="A35" s="1"/>
      <c r="B35" s="320"/>
      <c r="C35" s="169"/>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169"/>
      <c r="AB35" s="169"/>
      <c r="AC35" s="169"/>
      <c r="AD35" s="169"/>
      <c r="AE35" s="169"/>
      <c r="AF35" s="169"/>
      <c r="AG35" s="169"/>
      <c r="AH35" s="169"/>
      <c r="AI35" s="169"/>
      <c r="AJ35" s="169"/>
      <c r="AK35" s="169"/>
      <c r="AL35" s="169"/>
      <c r="AM35" s="169"/>
      <c r="AN35" s="169"/>
      <c r="AO35" s="169"/>
      <c r="AP35" s="169"/>
      <c r="AQ35" s="169"/>
      <c r="AR35" s="169"/>
      <c r="AS35" s="169"/>
      <c r="AT35" s="169"/>
      <c r="AU35" s="169"/>
      <c r="AV35" s="169"/>
      <c r="AW35" s="169"/>
      <c r="AX35" s="169"/>
      <c r="AY35" s="169"/>
      <c r="AZ35" s="169"/>
      <c r="BA35" s="169"/>
      <c r="BB35" s="169"/>
      <c r="BC35" s="169"/>
      <c r="BD35" s="169"/>
      <c r="BE35" s="169"/>
      <c r="BF35" s="169"/>
      <c r="BG35" s="169"/>
      <c r="BH35" s="169"/>
      <c r="BI35" s="169"/>
      <c r="BJ35" s="169"/>
      <c r="BK35" s="169"/>
      <c r="BL35" s="169"/>
      <c r="BM35" s="169"/>
      <c r="BN35" s="169"/>
      <c r="BO35" s="169"/>
      <c r="BP35" s="169"/>
      <c r="BQ35" s="169"/>
      <c r="BR35" s="169"/>
      <c r="BS35" s="169"/>
      <c r="BT35" s="169"/>
      <c r="BU35" s="169"/>
      <c r="BV35" s="169"/>
      <c r="BW35" s="169"/>
      <c r="BX35" s="169"/>
      <c r="BY35" s="169"/>
      <c r="BZ35" s="169"/>
      <c r="CA35" s="169"/>
      <c r="CB35" s="169"/>
      <c r="CC35" s="169"/>
      <c r="CD35" s="169"/>
    </row>
    <row x14ac:dyDescent="0.25" r="36" customHeight="1" ht="18.75">
      <c r="A36" s="1"/>
      <c r="B36" s="320"/>
      <c r="C36" s="169"/>
      <c r="D36" s="169"/>
      <c r="E36" s="169"/>
      <c r="F36" s="169"/>
      <c r="G36" s="169"/>
      <c r="H36" s="169"/>
      <c r="I36" s="169"/>
      <c r="J36" s="169"/>
      <c r="K36" s="169"/>
      <c r="L36" s="169"/>
      <c r="M36" s="169"/>
      <c r="N36" s="169"/>
      <c r="O36" s="169"/>
      <c r="P36" s="169"/>
      <c r="Q36" s="169"/>
      <c r="R36" s="169"/>
      <c r="S36" s="169"/>
      <c r="T36" s="169"/>
      <c r="U36" s="169"/>
      <c r="V36" s="169"/>
      <c r="W36" s="169"/>
      <c r="X36" s="169"/>
      <c r="Y36" s="169"/>
      <c r="Z36" s="169"/>
      <c r="AA36" s="169"/>
      <c r="AB36" s="169"/>
      <c r="AC36" s="169"/>
      <c r="AD36" s="169"/>
      <c r="AE36" s="169"/>
      <c r="AF36" s="169"/>
      <c r="AG36" s="169"/>
      <c r="AH36" s="169"/>
      <c r="AI36" s="169"/>
      <c r="AJ36" s="169"/>
      <c r="AK36" s="169"/>
      <c r="AL36" s="169"/>
      <c r="AM36" s="169"/>
      <c r="AN36" s="169"/>
      <c r="AO36" s="169"/>
      <c r="AP36" s="169"/>
      <c r="AQ36" s="169"/>
      <c r="AR36" s="169"/>
      <c r="AS36" s="169"/>
      <c r="AT36" s="169"/>
      <c r="AU36" s="169"/>
      <c r="AV36" s="169"/>
      <c r="AW36" s="169"/>
      <c r="AX36" s="169"/>
      <c r="AY36" s="169"/>
      <c r="AZ36" s="169"/>
      <c r="BA36" s="169"/>
      <c r="BB36" s="169"/>
      <c r="BC36" s="169"/>
      <c r="BD36" s="169"/>
      <c r="BE36" s="169"/>
      <c r="BF36" s="169"/>
      <c r="BG36" s="169"/>
      <c r="BH36" s="169"/>
      <c r="BI36" s="169"/>
      <c r="BJ36" s="169"/>
      <c r="BK36" s="169"/>
      <c r="BL36" s="169"/>
      <c r="BM36" s="169"/>
      <c r="BN36" s="169"/>
      <c r="BO36" s="169"/>
      <c r="BP36" s="169"/>
      <c r="BQ36" s="169"/>
      <c r="BR36" s="169"/>
      <c r="BS36" s="169"/>
      <c r="BT36" s="169"/>
      <c r="BU36" s="169"/>
      <c r="BV36" s="169"/>
      <c r="BW36" s="169"/>
      <c r="BX36" s="169"/>
      <c r="BY36" s="169"/>
      <c r="BZ36" s="169"/>
      <c r="CA36" s="169"/>
      <c r="CB36" s="169"/>
      <c r="CC36" s="169"/>
      <c r="CD36" s="169"/>
    </row>
    <row x14ac:dyDescent="0.25" r="37" customHeight="1" ht="18.75">
      <c r="A37" s="1"/>
      <c r="B37" s="1048" t="s">
        <v>801</v>
      </c>
      <c r="C37" s="169"/>
      <c r="D37" s="169"/>
      <c r="E37" s="169"/>
      <c r="F37" s="169"/>
      <c r="G37" s="169"/>
      <c r="H37" s="169"/>
      <c r="I37" s="169"/>
      <c r="J37" s="169"/>
      <c r="K37" s="169"/>
      <c r="L37" s="169"/>
      <c r="M37" s="169"/>
      <c r="N37" s="169"/>
      <c r="O37" s="169"/>
      <c r="P37" s="169"/>
      <c r="Q37" s="169"/>
      <c r="R37" s="169"/>
      <c r="S37" s="169"/>
      <c r="T37" s="169"/>
      <c r="U37" s="169"/>
      <c r="V37" s="169"/>
      <c r="W37" s="169"/>
      <c r="X37" s="169"/>
      <c r="Y37" s="169"/>
      <c r="Z37" s="169"/>
      <c r="AA37" s="169"/>
      <c r="AB37" s="169"/>
      <c r="AC37" s="169"/>
      <c r="AD37" s="169"/>
      <c r="AE37" s="169"/>
      <c r="AF37" s="169"/>
      <c r="AG37" s="169"/>
      <c r="AH37" s="169"/>
      <c r="AI37" s="169"/>
      <c r="AJ37" s="169"/>
      <c r="AK37" s="169"/>
      <c r="AL37" s="169"/>
      <c r="AM37" s="169"/>
      <c r="AN37" s="169"/>
      <c r="AO37" s="169"/>
      <c r="AP37" s="169"/>
      <c r="AQ37" s="169"/>
      <c r="AR37" s="169"/>
      <c r="AS37" s="169"/>
      <c r="AT37" s="169"/>
      <c r="AU37" s="169"/>
      <c r="AV37" s="169"/>
      <c r="AW37" s="169"/>
      <c r="AX37" s="169"/>
      <c r="AY37" s="169"/>
      <c r="AZ37" s="169"/>
      <c r="BA37" s="169"/>
      <c r="BB37" s="169"/>
      <c r="BC37" s="169"/>
      <c r="BD37" s="169"/>
      <c r="BE37" s="169"/>
      <c r="BF37" s="169"/>
      <c r="BG37" s="169"/>
      <c r="BH37" s="169"/>
      <c r="BI37" s="169"/>
      <c r="BJ37" s="169"/>
      <c r="BK37" s="169"/>
      <c r="BL37" s="169"/>
      <c r="BM37" s="169"/>
      <c r="BN37" s="169"/>
      <c r="BO37" s="169"/>
      <c r="BP37" s="169"/>
      <c r="BQ37" s="169"/>
      <c r="BR37" s="169"/>
      <c r="BS37" s="169"/>
      <c r="BT37" s="169"/>
      <c r="BU37" s="169"/>
      <c r="BV37" s="169"/>
      <c r="BW37" s="169"/>
      <c r="BX37" s="169"/>
      <c r="BY37" s="169"/>
      <c r="BZ37" s="169"/>
      <c r="CA37" s="169"/>
      <c r="CB37" s="169"/>
      <c r="CC37" s="169"/>
      <c r="CD37" s="169"/>
    </row>
    <row x14ac:dyDescent="0.25" r="38" customHeight="1" ht="18.75">
      <c r="A38" s="1"/>
      <c r="B38" s="1049" t="s">
        <v>589</v>
      </c>
      <c r="C38" s="1050">
        <v>2024</v>
      </c>
      <c r="D38" s="1050">
        <v>2025</v>
      </c>
      <c r="E38" s="1050">
        <v>2026</v>
      </c>
      <c r="F38" s="1050">
        <v>2027</v>
      </c>
      <c r="G38" s="1050">
        <v>2028</v>
      </c>
      <c r="H38" s="1050">
        <v>2029</v>
      </c>
      <c r="I38" s="1050">
        <v>2030</v>
      </c>
      <c r="J38" s="1050">
        <v>2031</v>
      </c>
      <c r="K38" s="1050">
        <v>2032</v>
      </c>
      <c r="L38" s="1050">
        <v>2033</v>
      </c>
      <c r="M38" s="331">
        <f>+L38+1</f>
      </c>
      <c r="N38" s="331">
        <f>+M38+1</f>
      </c>
      <c r="O38" s="331">
        <f>+N38+1</f>
      </c>
      <c r="P38" s="331">
        <f>+O38+1</f>
      </c>
      <c r="Q38" s="331">
        <f>+P38+1</f>
      </c>
      <c r="R38" s="331">
        <f>+Q38+1</f>
      </c>
      <c r="S38" s="331">
        <f>+R38+1</f>
      </c>
      <c r="T38" s="331">
        <f>+S38+1</f>
      </c>
      <c r="U38" s="331">
        <f>+T38+1</f>
      </c>
      <c r="V38" s="331">
        <f>+U38+1</f>
      </c>
      <c r="W38" s="331">
        <f>+V38+1</f>
      </c>
      <c r="X38" s="331">
        <f>+W38+1</f>
      </c>
      <c r="Y38" s="331">
        <f>+X38+1</f>
      </c>
      <c r="Z38" s="331">
        <f>+Y38+1</f>
      </c>
      <c r="AA38" s="331">
        <f>+Z38+1</f>
      </c>
      <c r="AB38" s="331">
        <f>+AA38+1</f>
      </c>
      <c r="AC38" s="331">
        <f>+AB38+1</f>
      </c>
      <c r="AD38" s="331">
        <f>+AC38+1</f>
      </c>
      <c r="AE38" s="331">
        <f>+AD38+1</f>
      </c>
      <c r="AF38" s="331">
        <f>+AE38+1</f>
      </c>
      <c r="AG38" s="331">
        <f>+AF38+1</f>
      </c>
      <c r="AH38" s="331">
        <f>+AG38+1</f>
      </c>
      <c r="AI38" s="331">
        <f>+AH38+1</f>
      </c>
      <c r="AJ38" s="331">
        <f>+AI38+1</f>
      </c>
      <c r="AK38" s="331">
        <f>+AJ38+1</f>
      </c>
      <c r="AL38" s="331">
        <f>+AK38+1</f>
      </c>
      <c r="AM38" s="331">
        <f>+AL38+1</f>
      </c>
      <c r="AN38" s="331">
        <f>+AM38+1</f>
      </c>
      <c r="AO38" s="331">
        <f>+AN38+1</f>
      </c>
      <c r="AP38" s="331">
        <f>+AO38+1</f>
      </c>
      <c r="AQ38" s="331">
        <f>+AP38+1</f>
      </c>
      <c r="AR38" s="331">
        <f>+AQ38+1</f>
      </c>
      <c r="AS38" s="331">
        <f>+AR38+1</f>
      </c>
      <c r="AT38" s="331">
        <f>+AS38+1</f>
      </c>
      <c r="AU38" s="331">
        <f>+AT38+1</f>
      </c>
      <c r="AV38" s="331">
        <f>+AU38+1</f>
      </c>
      <c r="AW38" s="331">
        <f>+AV38+1</f>
      </c>
      <c r="AX38" s="331">
        <f>+AW38+1</f>
      </c>
      <c r="AY38" s="331">
        <f>+AX38+1</f>
      </c>
      <c r="AZ38" s="331">
        <f>+AY38+1</f>
      </c>
      <c r="BA38" s="331">
        <f>+AZ38+1</f>
      </c>
      <c r="BB38" s="331">
        <f>+BA38+1</f>
      </c>
      <c r="BC38" s="331">
        <f>+BB38+1</f>
      </c>
      <c r="BD38" s="331">
        <f>+BC38+1</f>
      </c>
      <c r="BE38" s="331">
        <f>+BD38+1</f>
      </c>
      <c r="BF38" s="331">
        <f>+BE38+1</f>
      </c>
      <c r="BG38" s="331">
        <f>+BF38+1</f>
      </c>
      <c r="BH38" s="331">
        <f>+BG38+1</f>
      </c>
      <c r="BI38" s="331">
        <f>+BH38+1</f>
      </c>
      <c r="BJ38" s="331">
        <f>+BI38+1</f>
      </c>
      <c r="BK38" s="331">
        <f>+BJ38+1</f>
      </c>
      <c r="BL38" s="331">
        <f>+BK38+1</f>
      </c>
      <c r="BM38" s="331">
        <f>+BL38+1</f>
      </c>
      <c r="BN38" s="331">
        <f>+BM38+1</f>
      </c>
      <c r="BO38" s="331">
        <f>+BN38+1</f>
      </c>
      <c r="BP38" s="331">
        <f>+BO38+1</f>
      </c>
      <c r="BQ38" s="331">
        <f>+BP38+1</f>
      </c>
      <c r="BR38" s="331">
        <f>+BQ38+1</f>
      </c>
      <c r="BS38" s="331">
        <f>+BR38+1</f>
      </c>
      <c r="BT38" s="331">
        <f>+BS38+1</f>
      </c>
      <c r="BU38" s="331">
        <f>+BT38+1</f>
      </c>
      <c r="BV38" s="331">
        <f>+BU38+1</f>
      </c>
      <c r="BW38" s="331">
        <f>+BV38+1</f>
      </c>
      <c r="BX38" s="331">
        <f>+BW38+1</f>
      </c>
      <c r="BY38" s="331">
        <f>+BX38+1</f>
      </c>
      <c r="BZ38" s="331">
        <f>+BY38+1</f>
      </c>
      <c r="CA38" s="331">
        <f>+BZ38+1</f>
      </c>
      <c r="CB38" s="331">
        <f>+CA38+1</f>
      </c>
      <c r="CC38" s="331">
        <f>+CB38+1</f>
      </c>
      <c r="CD38" s="331">
        <f>+CC38+1</f>
      </c>
    </row>
    <row x14ac:dyDescent="0.25" r="39" customHeight="1" ht="18.75">
      <c r="A39" s="1"/>
      <c r="B39" s="1050">
        <v>24</v>
      </c>
      <c r="C39" s="1049" t="s">
        <v>661</v>
      </c>
      <c r="D39" s="1049" t="s">
        <v>663</v>
      </c>
      <c r="E39" s="1049" t="s">
        <v>802</v>
      </c>
      <c r="F39" s="1049" t="s">
        <v>803</v>
      </c>
      <c r="G39" s="1049" t="s">
        <v>804</v>
      </c>
      <c r="H39" s="1049" t="s">
        <v>805</v>
      </c>
      <c r="I39" s="1049" t="s">
        <v>806</v>
      </c>
      <c r="J39" s="1049" t="s">
        <v>807</v>
      </c>
      <c r="K39" s="1049" t="s">
        <v>808</v>
      </c>
      <c r="L39" s="1049" t="s">
        <v>809</v>
      </c>
      <c r="M39" s="169" t="s">
        <v>809</v>
      </c>
      <c r="N39" s="169" t="s">
        <v>809</v>
      </c>
      <c r="O39" s="169" t="s">
        <v>809</v>
      </c>
      <c r="P39" s="169" t="s">
        <v>809</v>
      </c>
      <c r="Q39" s="169" t="s">
        <v>809</v>
      </c>
      <c r="R39" s="169" t="s">
        <v>809</v>
      </c>
      <c r="S39" s="169" t="s">
        <v>809</v>
      </c>
      <c r="T39" s="169" t="s">
        <v>809</v>
      </c>
      <c r="U39" s="169" t="s">
        <v>809</v>
      </c>
      <c r="V39" s="169" t="s">
        <v>809</v>
      </c>
      <c r="W39" s="169" t="s">
        <v>809</v>
      </c>
      <c r="X39" s="169" t="s">
        <v>809</v>
      </c>
      <c r="Y39" s="169" t="s">
        <v>809</v>
      </c>
      <c r="Z39" s="169" t="s">
        <v>809</v>
      </c>
      <c r="AA39" s="169" t="s">
        <v>809</v>
      </c>
      <c r="AB39" s="169" t="s">
        <v>809</v>
      </c>
      <c r="AC39" s="169" t="s">
        <v>809</v>
      </c>
      <c r="AD39" s="169" t="s">
        <v>809</v>
      </c>
      <c r="AE39" s="169" t="s">
        <v>809</v>
      </c>
      <c r="AF39" s="169" t="s">
        <v>809</v>
      </c>
      <c r="AG39" s="169" t="s">
        <v>809</v>
      </c>
      <c r="AH39" s="169" t="s">
        <v>809</v>
      </c>
      <c r="AI39" s="169" t="s">
        <v>809</v>
      </c>
      <c r="AJ39" s="169" t="s">
        <v>809</v>
      </c>
      <c r="AK39" s="169" t="s">
        <v>809</v>
      </c>
      <c r="AL39" s="169" t="s">
        <v>809</v>
      </c>
      <c r="AM39" s="169" t="s">
        <v>809</v>
      </c>
      <c r="AN39" s="169" t="s">
        <v>809</v>
      </c>
      <c r="AO39" s="169" t="s">
        <v>809</v>
      </c>
      <c r="AP39" s="169" t="s">
        <v>809</v>
      </c>
      <c r="AQ39" s="169" t="s">
        <v>809</v>
      </c>
      <c r="AR39" s="169" t="s">
        <v>809</v>
      </c>
      <c r="AS39" s="169" t="s">
        <v>809</v>
      </c>
      <c r="AT39" s="169" t="s">
        <v>809</v>
      </c>
      <c r="AU39" s="169" t="s">
        <v>809</v>
      </c>
      <c r="AV39" s="169" t="s">
        <v>809</v>
      </c>
      <c r="AW39" s="169" t="s">
        <v>809</v>
      </c>
      <c r="AX39" s="169" t="s">
        <v>809</v>
      </c>
      <c r="AY39" s="169" t="s">
        <v>809</v>
      </c>
      <c r="AZ39" s="169" t="s">
        <v>809</v>
      </c>
      <c r="BA39" s="169" t="s">
        <v>809</v>
      </c>
      <c r="BB39" s="169" t="s">
        <v>809</v>
      </c>
      <c r="BC39" s="169" t="s">
        <v>809</v>
      </c>
      <c r="BD39" s="169" t="s">
        <v>809</v>
      </c>
      <c r="BE39" s="169" t="s">
        <v>809</v>
      </c>
      <c r="BF39" s="169" t="s">
        <v>809</v>
      </c>
      <c r="BG39" s="169" t="s">
        <v>809</v>
      </c>
      <c r="BH39" s="169" t="s">
        <v>809</v>
      </c>
      <c r="BI39" s="169" t="s">
        <v>809</v>
      </c>
      <c r="BJ39" s="169" t="s">
        <v>809</v>
      </c>
      <c r="BK39" s="169" t="s">
        <v>809</v>
      </c>
      <c r="BL39" s="169" t="s">
        <v>809</v>
      </c>
      <c r="BM39" s="169" t="s">
        <v>809</v>
      </c>
      <c r="BN39" s="169" t="s">
        <v>809</v>
      </c>
      <c r="BO39" s="169" t="s">
        <v>809</v>
      </c>
      <c r="BP39" s="169" t="s">
        <v>809</v>
      </c>
      <c r="BQ39" s="169" t="s">
        <v>809</v>
      </c>
      <c r="BR39" s="169" t="s">
        <v>809</v>
      </c>
      <c r="BS39" s="169" t="s">
        <v>809</v>
      </c>
      <c r="BT39" s="169" t="s">
        <v>809</v>
      </c>
      <c r="BU39" s="169" t="s">
        <v>809</v>
      </c>
      <c r="BV39" s="169" t="s">
        <v>809</v>
      </c>
      <c r="BW39" s="169" t="s">
        <v>809</v>
      </c>
      <c r="BX39" s="169" t="s">
        <v>809</v>
      </c>
      <c r="BY39" s="169" t="s">
        <v>809</v>
      </c>
      <c r="BZ39" s="169" t="s">
        <v>809</v>
      </c>
      <c r="CA39" s="169" t="s">
        <v>809</v>
      </c>
      <c r="CB39" s="169" t="s">
        <v>809</v>
      </c>
      <c r="CC39" s="169" t="s">
        <v>809</v>
      </c>
      <c r="CD39" s="169" t="s">
        <v>809</v>
      </c>
    </row>
    <row x14ac:dyDescent="0.25" r="40" customHeight="1" ht="18.75">
      <c r="A40" s="1"/>
      <c r="B40" s="1050">
        <v>23</v>
      </c>
      <c r="C40" s="1049" t="s">
        <v>810</v>
      </c>
      <c r="D40" s="1049" t="s">
        <v>631</v>
      </c>
      <c r="E40" s="1049" t="s">
        <v>811</v>
      </c>
      <c r="F40" s="1049" t="s">
        <v>812</v>
      </c>
      <c r="G40" s="1049" t="s">
        <v>636</v>
      </c>
      <c r="H40" s="1049" t="s">
        <v>804</v>
      </c>
      <c r="I40" s="1049" t="s">
        <v>813</v>
      </c>
      <c r="J40" s="1049" t="s">
        <v>814</v>
      </c>
      <c r="K40" s="1049" t="s">
        <v>815</v>
      </c>
      <c r="L40" s="1049" t="s">
        <v>816</v>
      </c>
      <c r="M40" s="169" t="s">
        <v>816</v>
      </c>
      <c r="N40" s="169" t="s">
        <v>816</v>
      </c>
      <c r="O40" s="169" t="s">
        <v>816</v>
      </c>
      <c r="P40" s="169" t="s">
        <v>816</v>
      </c>
      <c r="Q40" s="169" t="s">
        <v>816</v>
      </c>
      <c r="R40" s="169" t="s">
        <v>816</v>
      </c>
      <c r="S40" s="169" t="s">
        <v>816</v>
      </c>
      <c r="T40" s="169" t="s">
        <v>816</v>
      </c>
      <c r="U40" s="169" t="s">
        <v>816</v>
      </c>
      <c r="V40" s="169" t="s">
        <v>816</v>
      </c>
      <c r="W40" s="169" t="s">
        <v>816</v>
      </c>
      <c r="X40" s="169" t="s">
        <v>816</v>
      </c>
      <c r="Y40" s="169" t="s">
        <v>816</v>
      </c>
      <c r="Z40" s="169" t="s">
        <v>816</v>
      </c>
      <c r="AA40" s="169" t="s">
        <v>816</v>
      </c>
      <c r="AB40" s="169" t="s">
        <v>816</v>
      </c>
      <c r="AC40" s="169" t="s">
        <v>816</v>
      </c>
      <c r="AD40" s="169" t="s">
        <v>816</v>
      </c>
      <c r="AE40" s="169" t="s">
        <v>816</v>
      </c>
      <c r="AF40" s="169" t="s">
        <v>816</v>
      </c>
      <c r="AG40" s="169" t="s">
        <v>816</v>
      </c>
      <c r="AH40" s="169" t="s">
        <v>816</v>
      </c>
      <c r="AI40" s="169" t="s">
        <v>816</v>
      </c>
      <c r="AJ40" s="169" t="s">
        <v>816</v>
      </c>
      <c r="AK40" s="169" t="s">
        <v>816</v>
      </c>
      <c r="AL40" s="169" t="s">
        <v>816</v>
      </c>
      <c r="AM40" s="169" t="s">
        <v>816</v>
      </c>
      <c r="AN40" s="169" t="s">
        <v>816</v>
      </c>
      <c r="AO40" s="169" t="s">
        <v>816</v>
      </c>
      <c r="AP40" s="169" t="s">
        <v>816</v>
      </c>
      <c r="AQ40" s="169" t="s">
        <v>816</v>
      </c>
      <c r="AR40" s="169" t="s">
        <v>816</v>
      </c>
      <c r="AS40" s="169" t="s">
        <v>816</v>
      </c>
      <c r="AT40" s="169" t="s">
        <v>816</v>
      </c>
      <c r="AU40" s="169" t="s">
        <v>816</v>
      </c>
      <c r="AV40" s="169" t="s">
        <v>816</v>
      </c>
      <c r="AW40" s="169" t="s">
        <v>816</v>
      </c>
      <c r="AX40" s="169" t="s">
        <v>816</v>
      </c>
      <c r="AY40" s="169" t="s">
        <v>816</v>
      </c>
      <c r="AZ40" s="169" t="s">
        <v>816</v>
      </c>
      <c r="BA40" s="169" t="s">
        <v>816</v>
      </c>
      <c r="BB40" s="169" t="s">
        <v>816</v>
      </c>
      <c r="BC40" s="169" t="s">
        <v>816</v>
      </c>
      <c r="BD40" s="169" t="s">
        <v>816</v>
      </c>
      <c r="BE40" s="169" t="s">
        <v>816</v>
      </c>
      <c r="BF40" s="169" t="s">
        <v>816</v>
      </c>
      <c r="BG40" s="169" t="s">
        <v>816</v>
      </c>
      <c r="BH40" s="169" t="s">
        <v>816</v>
      </c>
      <c r="BI40" s="169" t="s">
        <v>816</v>
      </c>
      <c r="BJ40" s="169" t="s">
        <v>816</v>
      </c>
      <c r="BK40" s="169" t="s">
        <v>816</v>
      </c>
      <c r="BL40" s="169" t="s">
        <v>816</v>
      </c>
      <c r="BM40" s="169" t="s">
        <v>816</v>
      </c>
      <c r="BN40" s="169" t="s">
        <v>816</v>
      </c>
      <c r="BO40" s="169" t="s">
        <v>816</v>
      </c>
      <c r="BP40" s="169" t="s">
        <v>816</v>
      </c>
      <c r="BQ40" s="169" t="s">
        <v>816</v>
      </c>
      <c r="BR40" s="169" t="s">
        <v>816</v>
      </c>
      <c r="BS40" s="169" t="s">
        <v>816</v>
      </c>
      <c r="BT40" s="169" t="s">
        <v>816</v>
      </c>
      <c r="BU40" s="169" t="s">
        <v>816</v>
      </c>
      <c r="BV40" s="169" t="s">
        <v>816</v>
      </c>
      <c r="BW40" s="169" t="s">
        <v>816</v>
      </c>
      <c r="BX40" s="169" t="s">
        <v>816</v>
      </c>
      <c r="BY40" s="169" t="s">
        <v>816</v>
      </c>
      <c r="BZ40" s="169" t="s">
        <v>816</v>
      </c>
      <c r="CA40" s="169" t="s">
        <v>816</v>
      </c>
      <c r="CB40" s="169" t="s">
        <v>816</v>
      </c>
      <c r="CC40" s="169" t="s">
        <v>816</v>
      </c>
      <c r="CD40" s="169" t="s">
        <v>816</v>
      </c>
    </row>
    <row x14ac:dyDescent="0.25" r="41" customHeight="1" ht="18.75">
      <c r="A41" s="1"/>
      <c r="B41" s="1050">
        <v>22</v>
      </c>
      <c r="C41" s="1049" t="s">
        <v>629</v>
      </c>
      <c r="D41" s="1049" t="s">
        <v>662</v>
      </c>
      <c r="E41" s="1049" t="s">
        <v>663</v>
      </c>
      <c r="F41" s="1049" t="s">
        <v>633</v>
      </c>
      <c r="G41" s="1049" t="s">
        <v>812</v>
      </c>
      <c r="H41" s="1049" t="s">
        <v>803</v>
      </c>
      <c r="I41" s="1049" t="s">
        <v>637</v>
      </c>
      <c r="J41" s="1049" t="s">
        <v>817</v>
      </c>
      <c r="K41" s="1049" t="s">
        <v>805</v>
      </c>
      <c r="L41" s="1049" t="s">
        <v>814</v>
      </c>
      <c r="M41" s="169" t="s">
        <v>814</v>
      </c>
      <c r="N41" s="169" t="s">
        <v>814</v>
      </c>
      <c r="O41" s="169" t="s">
        <v>814</v>
      </c>
      <c r="P41" s="169" t="s">
        <v>814</v>
      </c>
      <c r="Q41" s="169" t="s">
        <v>814</v>
      </c>
      <c r="R41" s="169" t="s">
        <v>814</v>
      </c>
      <c r="S41" s="169" t="s">
        <v>814</v>
      </c>
      <c r="T41" s="169" t="s">
        <v>814</v>
      </c>
      <c r="U41" s="169" t="s">
        <v>814</v>
      </c>
      <c r="V41" s="169" t="s">
        <v>814</v>
      </c>
      <c r="W41" s="169" t="s">
        <v>814</v>
      </c>
      <c r="X41" s="169" t="s">
        <v>814</v>
      </c>
      <c r="Y41" s="169" t="s">
        <v>814</v>
      </c>
      <c r="Z41" s="169" t="s">
        <v>814</v>
      </c>
      <c r="AA41" s="169" t="s">
        <v>814</v>
      </c>
      <c r="AB41" s="169" t="s">
        <v>814</v>
      </c>
      <c r="AC41" s="169" t="s">
        <v>814</v>
      </c>
      <c r="AD41" s="169" t="s">
        <v>814</v>
      </c>
      <c r="AE41" s="169" t="s">
        <v>814</v>
      </c>
      <c r="AF41" s="169" t="s">
        <v>814</v>
      </c>
      <c r="AG41" s="169" t="s">
        <v>814</v>
      </c>
      <c r="AH41" s="169" t="s">
        <v>814</v>
      </c>
      <c r="AI41" s="169" t="s">
        <v>814</v>
      </c>
      <c r="AJ41" s="169" t="s">
        <v>814</v>
      </c>
      <c r="AK41" s="169" t="s">
        <v>814</v>
      </c>
      <c r="AL41" s="169" t="s">
        <v>814</v>
      </c>
      <c r="AM41" s="169" t="s">
        <v>814</v>
      </c>
      <c r="AN41" s="169" t="s">
        <v>814</v>
      </c>
      <c r="AO41" s="169" t="s">
        <v>814</v>
      </c>
      <c r="AP41" s="169" t="s">
        <v>814</v>
      </c>
      <c r="AQ41" s="169" t="s">
        <v>814</v>
      </c>
      <c r="AR41" s="169" t="s">
        <v>814</v>
      </c>
      <c r="AS41" s="169" t="s">
        <v>814</v>
      </c>
      <c r="AT41" s="169" t="s">
        <v>814</v>
      </c>
      <c r="AU41" s="169" t="s">
        <v>814</v>
      </c>
      <c r="AV41" s="169" t="s">
        <v>814</v>
      </c>
      <c r="AW41" s="169" t="s">
        <v>814</v>
      </c>
      <c r="AX41" s="169" t="s">
        <v>814</v>
      </c>
      <c r="AY41" s="169" t="s">
        <v>814</v>
      </c>
      <c r="AZ41" s="169" t="s">
        <v>814</v>
      </c>
      <c r="BA41" s="169" t="s">
        <v>814</v>
      </c>
      <c r="BB41" s="169" t="s">
        <v>814</v>
      </c>
      <c r="BC41" s="169" t="s">
        <v>814</v>
      </c>
      <c r="BD41" s="169" t="s">
        <v>814</v>
      </c>
      <c r="BE41" s="169" t="s">
        <v>814</v>
      </c>
      <c r="BF41" s="169" t="s">
        <v>814</v>
      </c>
      <c r="BG41" s="169" t="s">
        <v>814</v>
      </c>
      <c r="BH41" s="169" t="s">
        <v>814</v>
      </c>
      <c r="BI41" s="169" t="s">
        <v>814</v>
      </c>
      <c r="BJ41" s="169" t="s">
        <v>814</v>
      </c>
      <c r="BK41" s="169" t="s">
        <v>814</v>
      </c>
      <c r="BL41" s="169" t="s">
        <v>814</v>
      </c>
      <c r="BM41" s="169" t="s">
        <v>814</v>
      </c>
      <c r="BN41" s="169" t="s">
        <v>814</v>
      </c>
      <c r="BO41" s="169" t="s">
        <v>814</v>
      </c>
      <c r="BP41" s="169" t="s">
        <v>814</v>
      </c>
      <c r="BQ41" s="169" t="s">
        <v>814</v>
      </c>
      <c r="BR41" s="169" t="s">
        <v>814</v>
      </c>
      <c r="BS41" s="169" t="s">
        <v>814</v>
      </c>
      <c r="BT41" s="169" t="s">
        <v>814</v>
      </c>
      <c r="BU41" s="169" t="s">
        <v>814</v>
      </c>
      <c r="BV41" s="169" t="s">
        <v>814</v>
      </c>
      <c r="BW41" s="169" t="s">
        <v>814</v>
      </c>
      <c r="BX41" s="169" t="s">
        <v>814</v>
      </c>
      <c r="BY41" s="169" t="s">
        <v>814</v>
      </c>
      <c r="BZ41" s="169" t="s">
        <v>814</v>
      </c>
      <c r="CA41" s="169" t="s">
        <v>814</v>
      </c>
      <c r="CB41" s="169" t="s">
        <v>814</v>
      </c>
      <c r="CC41" s="169" t="s">
        <v>814</v>
      </c>
      <c r="CD41" s="169" t="s">
        <v>814</v>
      </c>
    </row>
    <row x14ac:dyDescent="0.25" r="42" customHeight="1" ht="18.75">
      <c r="A42" s="1"/>
      <c r="B42" s="1050">
        <v>21</v>
      </c>
      <c r="C42" s="1049" t="s">
        <v>818</v>
      </c>
      <c r="D42" s="1049" t="s">
        <v>702</v>
      </c>
      <c r="E42" s="1049" t="s">
        <v>819</v>
      </c>
      <c r="F42" s="1049" t="s">
        <v>673</v>
      </c>
      <c r="G42" s="1049" t="s">
        <v>811</v>
      </c>
      <c r="H42" s="1049" t="s">
        <v>820</v>
      </c>
      <c r="I42" s="1049" t="s">
        <v>821</v>
      </c>
      <c r="J42" s="1049" t="s">
        <v>822</v>
      </c>
      <c r="K42" s="1049" t="s">
        <v>823</v>
      </c>
      <c r="L42" s="1049" t="s">
        <v>817</v>
      </c>
      <c r="M42" s="169" t="s">
        <v>817</v>
      </c>
      <c r="N42" s="169" t="s">
        <v>817</v>
      </c>
      <c r="O42" s="169" t="s">
        <v>817</v>
      </c>
      <c r="P42" s="169" t="s">
        <v>817</v>
      </c>
      <c r="Q42" s="169" t="s">
        <v>817</v>
      </c>
      <c r="R42" s="169" t="s">
        <v>817</v>
      </c>
      <c r="S42" s="169" t="s">
        <v>817</v>
      </c>
      <c r="T42" s="169" t="s">
        <v>817</v>
      </c>
      <c r="U42" s="169" t="s">
        <v>817</v>
      </c>
      <c r="V42" s="169" t="s">
        <v>817</v>
      </c>
      <c r="W42" s="169" t="s">
        <v>817</v>
      </c>
      <c r="X42" s="169" t="s">
        <v>817</v>
      </c>
      <c r="Y42" s="169" t="s">
        <v>817</v>
      </c>
      <c r="Z42" s="169" t="s">
        <v>817</v>
      </c>
      <c r="AA42" s="169" t="s">
        <v>817</v>
      </c>
      <c r="AB42" s="169" t="s">
        <v>817</v>
      </c>
      <c r="AC42" s="169" t="s">
        <v>817</v>
      </c>
      <c r="AD42" s="169" t="s">
        <v>817</v>
      </c>
      <c r="AE42" s="169" t="s">
        <v>817</v>
      </c>
      <c r="AF42" s="169" t="s">
        <v>817</v>
      </c>
      <c r="AG42" s="169" t="s">
        <v>817</v>
      </c>
      <c r="AH42" s="169" t="s">
        <v>817</v>
      </c>
      <c r="AI42" s="169" t="s">
        <v>817</v>
      </c>
      <c r="AJ42" s="169" t="s">
        <v>817</v>
      </c>
      <c r="AK42" s="169" t="s">
        <v>817</v>
      </c>
      <c r="AL42" s="169" t="s">
        <v>817</v>
      </c>
      <c r="AM42" s="169" t="s">
        <v>817</v>
      </c>
      <c r="AN42" s="169" t="s">
        <v>817</v>
      </c>
      <c r="AO42" s="169" t="s">
        <v>817</v>
      </c>
      <c r="AP42" s="169" t="s">
        <v>817</v>
      </c>
      <c r="AQ42" s="169" t="s">
        <v>817</v>
      </c>
      <c r="AR42" s="169" t="s">
        <v>817</v>
      </c>
      <c r="AS42" s="169" t="s">
        <v>817</v>
      </c>
      <c r="AT42" s="169" t="s">
        <v>817</v>
      </c>
      <c r="AU42" s="169" t="s">
        <v>817</v>
      </c>
      <c r="AV42" s="169" t="s">
        <v>817</v>
      </c>
      <c r="AW42" s="169" t="s">
        <v>817</v>
      </c>
      <c r="AX42" s="169" t="s">
        <v>817</v>
      </c>
      <c r="AY42" s="169" t="s">
        <v>817</v>
      </c>
      <c r="AZ42" s="169" t="s">
        <v>817</v>
      </c>
      <c r="BA42" s="169" t="s">
        <v>817</v>
      </c>
      <c r="BB42" s="169" t="s">
        <v>817</v>
      </c>
      <c r="BC42" s="169" t="s">
        <v>817</v>
      </c>
      <c r="BD42" s="169" t="s">
        <v>817</v>
      </c>
      <c r="BE42" s="169" t="s">
        <v>817</v>
      </c>
      <c r="BF42" s="169" t="s">
        <v>817</v>
      </c>
      <c r="BG42" s="169" t="s">
        <v>817</v>
      </c>
      <c r="BH42" s="169" t="s">
        <v>817</v>
      </c>
      <c r="BI42" s="169" t="s">
        <v>817</v>
      </c>
      <c r="BJ42" s="169" t="s">
        <v>817</v>
      </c>
      <c r="BK42" s="169" t="s">
        <v>817</v>
      </c>
      <c r="BL42" s="169" t="s">
        <v>817</v>
      </c>
      <c r="BM42" s="169" t="s">
        <v>817</v>
      </c>
      <c r="BN42" s="169" t="s">
        <v>817</v>
      </c>
      <c r="BO42" s="169" t="s">
        <v>817</v>
      </c>
      <c r="BP42" s="169" t="s">
        <v>817</v>
      </c>
      <c r="BQ42" s="169" t="s">
        <v>817</v>
      </c>
      <c r="BR42" s="169" t="s">
        <v>817</v>
      </c>
      <c r="BS42" s="169" t="s">
        <v>817</v>
      </c>
      <c r="BT42" s="169" t="s">
        <v>817</v>
      </c>
      <c r="BU42" s="169" t="s">
        <v>817</v>
      </c>
      <c r="BV42" s="169" t="s">
        <v>817</v>
      </c>
      <c r="BW42" s="169" t="s">
        <v>817</v>
      </c>
      <c r="BX42" s="169" t="s">
        <v>817</v>
      </c>
      <c r="BY42" s="169" t="s">
        <v>817</v>
      </c>
      <c r="BZ42" s="169" t="s">
        <v>817</v>
      </c>
      <c r="CA42" s="169" t="s">
        <v>817</v>
      </c>
      <c r="CB42" s="169" t="s">
        <v>817</v>
      </c>
      <c r="CC42" s="169" t="s">
        <v>817</v>
      </c>
      <c r="CD42" s="169" t="s">
        <v>817</v>
      </c>
    </row>
    <row x14ac:dyDescent="0.25" r="43" customHeight="1" ht="18.75">
      <c r="A43" s="1"/>
      <c r="B43" s="1050">
        <v>20</v>
      </c>
      <c r="C43" s="1049" t="s">
        <v>824</v>
      </c>
      <c r="D43" s="1049" t="s">
        <v>825</v>
      </c>
      <c r="E43" s="1049" t="s">
        <v>670</v>
      </c>
      <c r="F43" s="1049" t="s">
        <v>826</v>
      </c>
      <c r="G43" s="1049" t="s">
        <v>663</v>
      </c>
      <c r="H43" s="1049" t="s">
        <v>827</v>
      </c>
      <c r="I43" s="1049" t="s">
        <v>828</v>
      </c>
      <c r="J43" s="1049" t="s">
        <v>592</v>
      </c>
      <c r="K43" s="1049" t="s">
        <v>829</v>
      </c>
      <c r="L43" s="1049" t="s">
        <v>830</v>
      </c>
      <c r="M43" s="169" t="s">
        <v>830</v>
      </c>
      <c r="N43" s="169" t="s">
        <v>830</v>
      </c>
      <c r="O43" s="169" t="s">
        <v>830</v>
      </c>
      <c r="P43" s="169" t="s">
        <v>830</v>
      </c>
      <c r="Q43" s="169" t="s">
        <v>830</v>
      </c>
      <c r="R43" s="169" t="s">
        <v>830</v>
      </c>
      <c r="S43" s="169" t="s">
        <v>830</v>
      </c>
      <c r="T43" s="169" t="s">
        <v>830</v>
      </c>
      <c r="U43" s="169" t="s">
        <v>830</v>
      </c>
      <c r="V43" s="169" t="s">
        <v>830</v>
      </c>
      <c r="W43" s="169" t="s">
        <v>830</v>
      </c>
      <c r="X43" s="169" t="s">
        <v>830</v>
      </c>
      <c r="Y43" s="169" t="s">
        <v>830</v>
      </c>
      <c r="Z43" s="169" t="s">
        <v>830</v>
      </c>
      <c r="AA43" s="169" t="s">
        <v>830</v>
      </c>
      <c r="AB43" s="169" t="s">
        <v>830</v>
      </c>
      <c r="AC43" s="169" t="s">
        <v>830</v>
      </c>
      <c r="AD43" s="169" t="s">
        <v>830</v>
      </c>
      <c r="AE43" s="169" t="s">
        <v>830</v>
      </c>
      <c r="AF43" s="169" t="s">
        <v>830</v>
      </c>
      <c r="AG43" s="169" t="s">
        <v>830</v>
      </c>
      <c r="AH43" s="169" t="s">
        <v>830</v>
      </c>
      <c r="AI43" s="169" t="s">
        <v>830</v>
      </c>
      <c r="AJ43" s="169" t="s">
        <v>830</v>
      </c>
      <c r="AK43" s="169" t="s">
        <v>830</v>
      </c>
      <c r="AL43" s="169" t="s">
        <v>830</v>
      </c>
      <c r="AM43" s="169" t="s">
        <v>830</v>
      </c>
      <c r="AN43" s="169" t="s">
        <v>830</v>
      </c>
      <c r="AO43" s="169" t="s">
        <v>830</v>
      </c>
      <c r="AP43" s="169" t="s">
        <v>830</v>
      </c>
      <c r="AQ43" s="169" t="s">
        <v>830</v>
      </c>
      <c r="AR43" s="169" t="s">
        <v>830</v>
      </c>
      <c r="AS43" s="169" t="s">
        <v>830</v>
      </c>
      <c r="AT43" s="169" t="s">
        <v>830</v>
      </c>
      <c r="AU43" s="169" t="s">
        <v>830</v>
      </c>
      <c r="AV43" s="169" t="s">
        <v>830</v>
      </c>
      <c r="AW43" s="169" t="s">
        <v>830</v>
      </c>
      <c r="AX43" s="169" t="s">
        <v>830</v>
      </c>
      <c r="AY43" s="169" t="s">
        <v>830</v>
      </c>
      <c r="AZ43" s="169" t="s">
        <v>830</v>
      </c>
      <c r="BA43" s="169" t="s">
        <v>830</v>
      </c>
      <c r="BB43" s="169" t="s">
        <v>830</v>
      </c>
      <c r="BC43" s="169" t="s">
        <v>830</v>
      </c>
      <c r="BD43" s="169" t="s">
        <v>830</v>
      </c>
      <c r="BE43" s="169" t="s">
        <v>830</v>
      </c>
      <c r="BF43" s="169" t="s">
        <v>830</v>
      </c>
      <c r="BG43" s="169" t="s">
        <v>830</v>
      </c>
      <c r="BH43" s="169" t="s">
        <v>830</v>
      </c>
      <c r="BI43" s="169" t="s">
        <v>830</v>
      </c>
      <c r="BJ43" s="169" t="s">
        <v>830</v>
      </c>
      <c r="BK43" s="169" t="s">
        <v>830</v>
      </c>
      <c r="BL43" s="169" t="s">
        <v>830</v>
      </c>
      <c r="BM43" s="169" t="s">
        <v>830</v>
      </c>
      <c r="BN43" s="169" t="s">
        <v>830</v>
      </c>
      <c r="BO43" s="169" t="s">
        <v>830</v>
      </c>
      <c r="BP43" s="169" t="s">
        <v>830</v>
      </c>
      <c r="BQ43" s="169" t="s">
        <v>830</v>
      </c>
      <c r="BR43" s="169" t="s">
        <v>830</v>
      </c>
      <c r="BS43" s="169" t="s">
        <v>830</v>
      </c>
      <c r="BT43" s="169" t="s">
        <v>830</v>
      </c>
      <c r="BU43" s="169" t="s">
        <v>830</v>
      </c>
      <c r="BV43" s="169" t="s">
        <v>830</v>
      </c>
      <c r="BW43" s="169" t="s">
        <v>830</v>
      </c>
      <c r="BX43" s="169" t="s">
        <v>830</v>
      </c>
      <c r="BY43" s="169" t="s">
        <v>830</v>
      </c>
      <c r="BZ43" s="169" t="s">
        <v>830</v>
      </c>
      <c r="CA43" s="169" t="s">
        <v>830</v>
      </c>
      <c r="CB43" s="169" t="s">
        <v>830</v>
      </c>
      <c r="CC43" s="169" t="s">
        <v>830</v>
      </c>
      <c r="CD43" s="169" t="s">
        <v>830</v>
      </c>
    </row>
    <row x14ac:dyDescent="0.25" r="44" customHeight="1" ht="18.75">
      <c r="A44" s="1"/>
      <c r="B44" s="1050">
        <v>19</v>
      </c>
      <c r="C44" s="1049" t="s">
        <v>831</v>
      </c>
      <c r="D44" s="1049" t="s">
        <v>832</v>
      </c>
      <c r="E44" s="1049" t="s">
        <v>810</v>
      </c>
      <c r="F44" s="1049" t="s">
        <v>833</v>
      </c>
      <c r="G44" s="1049" t="s">
        <v>834</v>
      </c>
      <c r="H44" s="1049" t="s">
        <v>663</v>
      </c>
      <c r="I44" s="1049" t="s">
        <v>835</v>
      </c>
      <c r="J44" s="1049" t="s">
        <v>836</v>
      </c>
      <c r="K44" s="1049" t="s">
        <v>634</v>
      </c>
      <c r="L44" s="1049" t="s">
        <v>837</v>
      </c>
      <c r="M44" s="169" t="s">
        <v>837</v>
      </c>
      <c r="N44" s="169" t="s">
        <v>837</v>
      </c>
      <c r="O44" s="169" t="s">
        <v>837</v>
      </c>
      <c r="P44" s="169" t="s">
        <v>837</v>
      </c>
      <c r="Q44" s="169" t="s">
        <v>837</v>
      </c>
      <c r="R44" s="169" t="s">
        <v>837</v>
      </c>
      <c r="S44" s="169" t="s">
        <v>837</v>
      </c>
      <c r="T44" s="169" t="s">
        <v>837</v>
      </c>
      <c r="U44" s="169" t="s">
        <v>837</v>
      </c>
      <c r="V44" s="169" t="s">
        <v>837</v>
      </c>
      <c r="W44" s="169" t="s">
        <v>837</v>
      </c>
      <c r="X44" s="169" t="s">
        <v>837</v>
      </c>
      <c r="Y44" s="169" t="s">
        <v>837</v>
      </c>
      <c r="Z44" s="169" t="s">
        <v>837</v>
      </c>
      <c r="AA44" s="169" t="s">
        <v>837</v>
      </c>
      <c r="AB44" s="169" t="s">
        <v>837</v>
      </c>
      <c r="AC44" s="169" t="s">
        <v>837</v>
      </c>
      <c r="AD44" s="169" t="s">
        <v>837</v>
      </c>
      <c r="AE44" s="169" t="s">
        <v>837</v>
      </c>
      <c r="AF44" s="169" t="s">
        <v>837</v>
      </c>
      <c r="AG44" s="169" t="s">
        <v>837</v>
      </c>
      <c r="AH44" s="169" t="s">
        <v>837</v>
      </c>
      <c r="AI44" s="169" t="s">
        <v>837</v>
      </c>
      <c r="AJ44" s="169" t="s">
        <v>837</v>
      </c>
      <c r="AK44" s="169" t="s">
        <v>837</v>
      </c>
      <c r="AL44" s="169" t="s">
        <v>837</v>
      </c>
      <c r="AM44" s="169" t="s">
        <v>837</v>
      </c>
      <c r="AN44" s="169" t="s">
        <v>837</v>
      </c>
      <c r="AO44" s="169" t="s">
        <v>837</v>
      </c>
      <c r="AP44" s="169" t="s">
        <v>837</v>
      </c>
      <c r="AQ44" s="169" t="s">
        <v>837</v>
      </c>
      <c r="AR44" s="169" t="s">
        <v>837</v>
      </c>
      <c r="AS44" s="169" t="s">
        <v>837</v>
      </c>
      <c r="AT44" s="169" t="s">
        <v>837</v>
      </c>
      <c r="AU44" s="169" t="s">
        <v>837</v>
      </c>
      <c r="AV44" s="169" t="s">
        <v>837</v>
      </c>
      <c r="AW44" s="169" t="s">
        <v>837</v>
      </c>
      <c r="AX44" s="169" t="s">
        <v>837</v>
      </c>
      <c r="AY44" s="169" t="s">
        <v>837</v>
      </c>
      <c r="AZ44" s="169" t="s">
        <v>837</v>
      </c>
      <c r="BA44" s="169" t="s">
        <v>837</v>
      </c>
      <c r="BB44" s="169" t="s">
        <v>837</v>
      </c>
      <c r="BC44" s="169" t="s">
        <v>837</v>
      </c>
      <c r="BD44" s="169" t="s">
        <v>837</v>
      </c>
      <c r="BE44" s="169" t="s">
        <v>837</v>
      </c>
      <c r="BF44" s="169" t="s">
        <v>837</v>
      </c>
      <c r="BG44" s="169" t="s">
        <v>837</v>
      </c>
      <c r="BH44" s="169" t="s">
        <v>837</v>
      </c>
      <c r="BI44" s="169" t="s">
        <v>837</v>
      </c>
      <c r="BJ44" s="169" t="s">
        <v>837</v>
      </c>
      <c r="BK44" s="169" t="s">
        <v>837</v>
      </c>
      <c r="BL44" s="169" t="s">
        <v>837</v>
      </c>
      <c r="BM44" s="169" t="s">
        <v>837</v>
      </c>
      <c r="BN44" s="169" t="s">
        <v>837</v>
      </c>
      <c r="BO44" s="169" t="s">
        <v>837</v>
      </c>
      <c r="BP44" s="169" t="s">
        <v>837</v>
      </c>
      <c r="BQ44" s="169" t="s">
        <v>837</v>
      </c>
      <c r="BR44" s="169" t="s">
        <v>837</v>
      </c>
      <c r="BS44" s="169" t="s">
        <v>837</v>
      </c>
      <c r="BT44" s="169" t="s">
        <v>837</v>
      </c>
      <c r="BU44" s="169" t="s">
        <v>837</v>
      </c>
      <c r="BV44" s="169" t="s">
        <v>837</v>
      </c>
      <c r="BW44" s="169" t="s">
        <v>837</v>
      </c>
      <c r="BX44" s="169" t="s">
        <v>837</v>
      </c>
      <c r="BY44" s="169" t="s">
        <v>837</v>
      </c>
      <c r="BZ44" s="169" t="s">
        <v>837</v>
      </c>
      <c r="CA44" s="169" t="s">
        <v>837</v>
      </c>
      <c r="CB44" s="169" t="s">
        <v>837</v>
      </c>
      <c r="CC44" s="169" t="s">
        <v>837</v>
      </c>
      <c r="CD44" s="169" t="s">
        <v>837</v>
      </c>
    </row>
    <row x14ac:dyDescent="0.25" r="45" customHeight="1" ht="18.75">
      <c r="A45" s="1"/>
      <c r="B45" s="1050">
        <v>18</v>
      </c>
      <c r="C45" s="1049" t="s">
        <v>838</v>
      </c>
      <c r="D45" s="1049" t="s">
        <v>831</v>
      </c>
      <c r="E45" s="1049" t="s">
        <v>839</v>
      </c>
      <c r="F45" s="1049" t="s">
        <v>840</v>
      </c>
      <c r="G45" s="1049" t="s">
        <v>590</v>
      </c>
      <c r="H45" s="1049" t="s">
        <v>841</v>
      </c>
      <c r="I45" s="1049" t="s">
        <v>842</v>
      </c>
      <c r="J45" s="1049" t="s">
        <v>843</v>
      </c>
      <c r="K45" s="1049" t="s">
        <v>844</v>
      </c>
      <c r="L45" s="1049" t="s">
        <v>828</v>
      </c>
      <c r="M45" s="169" t="s">
        <v>828</v>
      </c>
      <c r="N45" s="169" t="s">
        <v>828</v>
      </c>
      <c r="O45" s="169" t="s">
        <v>828</v>
      </c>
      <c r="P45" s="169" t="s">
        <v>828</v>
      </c>
      <c r="Q45" s="169" t="s">
        <v>828</v>
      </c>
      <c r="R45" s="169" t="s">
        <v>828</v>
      </c>
      <c r="S45" s="169" t="s">
        <v>828</v>
      </c>
      <c r="T45" s="169" t="s">
        <v>828</v>
      </c>
      <c r="U45" s="169" t="s">
        <v>828</v>
      </c>
      <c r="V45" s="169" t="s">
        <v>828</v>
      </c>
      <c r="W45" s="169" t="s">
        <v>828</v>
      </c>
      <c r="X45" s="169" t="s">
        <v>828</v>
      </c>
      <c r="Y45" s="169" t="s">
        <v>828</v>
      </c>
      <c r="Z45" s="169" t="s">
        <v>828</v>
      </c>
      <c r="AA45" s="169" t="s">
        <v>828</v>
      </c>
      <c r="AB45" s="169" t="s">
        <v>828</v>
      </c>
      <c r="AC45" s="169" t="s">
        <v>828</v>
      </c>
      <c r="AD45" s="169" t="s">
        <v>828</v>
      </c>
      <c r="AE45" s="169" t="s">
        <v>828</v>
      </c>
      <c r="AF45" s="169" t="s">
        <v>828</v>
      </c>
      <c r="AG45" s="169" t="s">
        <v>828</v>
      </c>
      <c r="AH45" s="169" t="s">
        <v>828</v>
      </c>
      <c r="AI45" s="169" t="s">
        <v>828</v>
      </c>
      <c r="AJ45" s="169" t="s">
        <v>828</v>
      </c>
      <c r="AK45" s="169" t="s">
        <v>828</v>
      </c>
      <c r="AL45" s="169" t="s">
        <v>828</v>
      </c>
      <c r="AM45" s="169" t="s">
        <v>828</v>
      </c>
      <c r="AN45" s="169" t="s">
        <v>828</v>
      </c>
      <c r="AO45" s="169" t="s">
        <v>828</v>
      </c>
      <c r="AP45" s="169" t="s">
        <v>828</v>
      </c>
      <c r="AQ45" s="169" t="s">
        <v>828</v>
      </c>
      <c r="AR45" s="169" t="s">
        <v>828</v>
      </c>
      <c r="AS45" s="169" t="s">
        <v>828</v>
      </c>
      <c r="AT45" s="169" t="s">
        <v>828</v>
      </c>
      <c r="AU45" s="169" t="s">
        <v>828</v>
      </c>
      <c r="AV45" s="169" t="s">
        <v>828</v>
      </c>
      <c r="AW45" s="169" t="s">
        <v>828</v>
      </c>
      <c r="AX45" s="169" t="s">
        <v>828</v>
      </c>
      <c r="AY45" s="169" t="s">
        <v>828</v>
      </c>
      <c r="AZ45" s="169" t="s">
        <v>828</v>
      </c>
      <c r="BA45" s="169" t="s">
        <v>828</v>
      </c>
      <c r="BB45" s="169" t="s">
        <v>828</v>
      </c>
      <c r="BC45" s="169" t="s">
        <v>828</v>
      </c>
      <c r="BD45" s="169" t="s">
        <v>828</v>
      </c>
      <c r="BE45" s="169" t="s">
        <v>828</v>
      </c>
      <c r="BF45" s="169" t="s">
        <v>828</v>
      </c>
      <c r="BG45" s="169" t="s">
        <v>828</v>
      </c>
      <c r="BH45" s="169" t="s">
        <v>828</v>
      </c>
      <c r="BI45" s="169" t="s">
        <v>828</v>
      </c>
      <c r="BJ45" s="169" t="s">
        <v>828</v>
      </c>
      <c r="BK45" s="169" t="s">
        <v>828</v>
      </c>
      <c r="BL45" s="169" t="s">
        <v>828</v>
      </c>
      <c r="BM45" s="169" t="s">
        <v>828</v>
      </c>
      <c r="BN45" s="169" t="s">
        <v>828</v>
      </c>
      <c r="BO45" s="169" t="s">
        <v>828</v>
      </c>
      <c r="BP45" s="169" t="s">
        <v>828</v>
      </c>
      <c r="BQ45" s="169" t="s">
        <v>828</v>
      </c>
      <c r="BR45" s="169" t="s">
        <v>828</v>
      </c>
      <c r="BS45" s="169" t="s">
        <v>828</v>
      </c>
      <c r="BT45" s="169" t="s">
        <v>828</v>
      </c>
      <c r="BU45" s="169" t="s">
        <v>828</v>
      </c>
      <c r="BV45" s="169" t="s">
        <v>828</v>
      </c>
      <c r="BW45" s="169" t="s">
        <v>828</v>
      </c>
      <c r="BX45" s="169" t="s">
        <v>828</v>
      </c>
      <c r="BY45" s="169" t="s">
        <v>828</v>
      </c>
      <c r="BZ45" s="169" t="s">
        <v>828</v>
      </c>
      <c r="CA45" s="169" t="s">
        <v>828</v>
      </c>
      <c r="CB45" s="169" t="s">
        <v>828</v>
      </c>
      <c r="CC45" s="169" t="s">
        <v>828</v>
      </c>
      <c r="CD45" s="169" t="s">
        <v>828</v>
      </c>
    </row>
    <row x14ac:dyDescent="0.25" r="46" customHeight="1" ht="18.75">
      <c r="A46" s="1"/>
      <c r="B46" s="1050">
        <v>17</v>
      </c>
      <c r="C46" s="1049" t="s">
        <v>845</v>
      </c>
      <c r="D46" s="1049" t="s">
        <v>846</v>
      </c>
      <c r="E46" s="1049" t="s">
        <v>847</v>
      </c>
      <c r="F46" s="1049" t="s">
        <v>701</v>
      </c>
      <c r="G46" s="1049" t="s">
        <v>651</v>
      </c>
      <c r="H46" s="1049" t="s">
        <v>848</v>
      </c>
      <c r="I46" s="1049" t="s">
        <v>849</v>
      </c>
      <c r="J46" s="1049" t="s">
        <v>850</v>
      </c>
      <c r="K46" s="1049" t="s">
        <v>851</v>
      </c>
      <c r="L46" s="1049" t="s">
        <v>655</v>
      </c>
      <c r="M46" s="169" t="s">
        <v>655</v>
      </c>
      <c r="N46" s="169" t="s">
        <v>655</v>
      </c>
      <c r="O46" s="169" t="s">
        <v>655</v>
      </c>
      <c r="P46" s="169" t="s">
        <v>655</v>
      </c>
      <c r="Q46" s="169" t="s">
        <v>655</v>
      </c>
      <c r="R46" s="169" t="s">
        <v>655</v>
      </c>
      <c r="S46" s="169" t="s">
        <v>655</v>
      </c>
      <c r="T46" s="169" t="s">
        <v>655</v>
      </c>
      <c r="U46" s="169" t="s">
        <v>655</v>
      </c>
      <c r="V46" s="169" t="s">
        <v>655</v>
      </c>
      <c r="W46" s="169" t="s">
        <v>655</v>
      </c>
      <c r="X46" s="169" t="s">
        <v>655</v>
      </c>
      <c r="Y46" s="169" t="s">
        <v>655</v>
      </c>
      <c r="Z46" s="169" t="s">
        <v>655</v>
      </c>
      <c r="AA46" s="169" t="s">
        <v>655</v>
      </c>
      <c r="AB46" s="169" t="s">
        <v>655</v>
      </c>
      <c r="AC46" s="169" t="s">
        <v>655</v>
      </c>
      <c r="AD46" s="169" t="s">
        <v>655</v>
      </c>
      <c r="AE46" s="169" t="s">
        <v>655</v>
      </c>
      <c r="AF46" s="169" t="s">
        <v>655</v>
      </c>
      <c r="AG46" s="169" t="s">
        <v>655</v>
      </c>
      <c r="AH46" s="169" t="s">
        <v>655</v>
      </c>
      <c r="AI46" s="169" t="s">
        <v>655</v>
      </c>
      <c r="AJ46" s="169" t="s">
        <v>655</v>
      </c>
      <c r="AK46" s="169" t="s">
        <v>655</v>
      </c>
      <c r="AL46" s="169" t="s">
        <v>655</v>
      </c>
      <c r="AM46" s="169" t="s">
        <v>655</v>
      </c>
      <c r="AN46" s="169" t="s">
        <v>655</v>
      </c>
      <c r="AO46" s="169" t="s">
        <v>655</v>
      </c>
      <c r="AP46" s="169" t="s">
        <v>655</v>
      </c>
      <c r="AQ46" s="169" t="s">
        <v>655</v>
      </c>
      <c r="AR46" s="169" t="s">
        <v>655</v>
      </c>
      <c r="AS46" s="169" t="s">
        <v>655</v>
      </c>
      <c r="AT46" s="169" t="s">
        <v>655</v>
      </c>
      <c r="AU46" s="169" t="s">
        <v>655</v>
      </c>
      <c r="AV46" s="169" t="s">
        <v>655</v>
      </c>
      <c r="AW46" s="169" t="s">
        <v>655</v>
      </c>
      <c r="AX46" s="169" t="s">
        <v>655</v>
      </c>
      <c r="AY46" s="169" t="s">
        <v>655</v>
      </c>
      <c r="AZ46" s="169" t="s">
        <v>655</v>
      </c>
      <c r="BA46" s="169" t="s">
        <v>655</v>
      </c>
      <c r="BB46" s="169" t="s">
        <v>655</v>
      </c>
      <c r="BC46" s="169" t="s">
        <v>655</v>
      </c>
      <c r="BD46" s="169" t="s">
        <v>655</v>
      </c>
      <c r="BE46" s="169" t="s">
        <v>655</v>
      </c>
      <c r="BF46" s="169" t="s">
        <v>655</v>
      </c>
      <c r="BG46" s="169" t="s">
        <v>655</v>
      </c>
      <c r="BH46" s="169" t="s">
        <v>655</v>
      </c>
      <c r="BI46" s="169" t="s">
        <v>655</v>
      </c>
      <c r="BJ46" s="169" t="s">
        <v>655</v>
      </c>
      <c r="BK46" s="169" t="s">
        <v>655</v>
      </c>
      <c r="BL46" s="169" t="s">
        <v>655</v>
      </c>
      <c r="BM46" s="169" t="s">
        <v>655</v>
      </c>
      <c r="BN46" s="169" t="s">
        <v>655</v>
      </c>
      <c r="BO46" s="169" t="s">
        <v>655</v>
      </c>
      <c r="BP46" s="169" t="s">
        <v>655</v>
      </c>
      <c r="BQ46" s="169" t="s">
        <v>655</v>
      </c>
      <c r="BR46" s="169" t="s">
        <v>655</v>
      </c>
      <c r="BS46" s="169" t="s">
        <v>655</v>
      </c>
      <c r="BT46" s="169" t="s">
        <v>655</v>
      </c>
      <c r="BU46" s="169" t="s">
        <v>655</v>
      </c>
      <c r="BV46" s="169" t="s">
        <v>655</v>
      </c>
      <c r="BW46" s="169" t="s">
        <v>655</v>
      </c>
      <c r="BX46" s="169" t="s">
        <v>655</v>
      </c>
      <c r="BY46" s="169" t="s">
        <v>655</v>
      </c>
      <c r="BZ46" s="169" t="s">
        <v>655</v>
      </c>
      <c r="CA46" s="169" t="s">
        <v>655</v>
      </c>
      <c r="CB46" s="169" t="s">
        <v>655</v>
      </c>
      <c r="CC46" s="169" t="s">
        <v>655</v>
      </c>
      <c r="CD46" s="169" t="s">
        <v>655</v>
      </c>
    </row>
    <row x14ac:dyDescent="0.25" r="47" customHeight="1" ht="18.75">
      <c r="A47" s="1"/>
      <c r="B47" s="1050">
        <v>16</v>
      </c>
      <c r="C47" s="1049" t="s">
        <v>707</v>
      </c>
      <c r="D47" s="1049" t="s">
        <v>852</v>
      </c>
      <c r="E47" s="1049" t="s">
        <v>824</v>
      </c>
      <c r="F47" s="1049" t="s">
        <v>728</v>
      </c>
      <c r="G47" s="1049" t="s">
        <v>629</v>
      </c>
      <c r="H47" s="1049" t="s">
        <v>853</v>
      </c>
      <c r="I47" s="1049" t="s">
        <v>854</v>
      </c>
      <c r="J47" s="1049" t="s">
        <v>855</v>
      </c>
      <c r="K47" s="1049" t="s">
        <v>856</v>
      </c>
      <c r="L47" s="1049" t="s">
        <v>663</v>
      </c>
      <c r="M47" s="169" t="s">
        <v>663</v>
      </c>
      <c r="N47" s="169" t="s">
        <v>663</v>
      </c>
      <c r="O47" s="169" t="s">
        <v>663</v>
      </c>
      <c r="P47" s="169" t="s">
        <v>663</v>
      </c>
      <c r="Q47" s="169" t="s">
        <v>663</v>
      </c>
      <c r="R47" s="169" t="s">
        <v>663</v>
      </c>
      <c r="S47" s="169" t="s">
        <v>663</v>
      </c>
      <c r="T47" s="169" t="s">
        <v>663</v>
      </c>
      <c r="U47" s="169" t="s">
        <v>663</v>
      </c>
      <c r="V47" s="169" t="s">
        <v>663</v>
      </c>
      <c r="W47" s="169" t="s">
        <v>663</v>
      </c>
      <c r="X47" s="169" t="s">
        <v>663</v>
      </c>
      <c r="Y47" s="169" t="s">
        <v>663</v>
      </c>
      <c r="Z47" s="169" t="s">
        <v>663</v>
      </c>
      <c r="AA47" s="169" t="s">
        <v>663</v>
      </c>
      <c r="AB47" s="169" t="s">
        <v>663</v>
      </c>
      <c r="AC47" s="169" t="s">
        <v>663</v>
      </c>
      <c r="AD47" s="169" t="s">
        <v>663</v>
      </c>
      <c r="AE47" s="169" t="s">
        <v>663</v>
      </c>
      <c r="AF47" s="169" t="s">
        <v>663</v>
      </c>
      <c r="AG47" s="169" t="s">
        <v>663</v>
      </c>
      <c r="AH47" s="169" t="s">
        <v>663</v>
      </c>
      <c r="AI47" s="169" t="s">
        <v>663</v>
      </c>
      <c r="AJ47" s="169" t="s">
        <v>663</v>
      </c>
      <c r="AK47" s="169" t="s">
        <v>663</v>
      </c>
      <c r="AL47" s="169" t="s">
        <v>663</v>
      </c>
      <c r="AM47" s="169" t="s">
        <v>663</v>
      </c>
      <c r="AN47" s="169" t="s">
        <v>663</v>
      </c>
      <c r="AO47" s="169" t="s">
        <v>663</v>
      </c>
      <c r="AP47" s="169" t="s">
        <v>663</v>
      </c>
      <c r="AQ47" s="169" t="s">
        <v>663</v>
      </c>
      <c r="AR47" s="169" t="s">
        <v>663</v>
      </c>
      <c r="AS47" s="169" t="s">
        <v>663</v>
      </c>
      <c r="AT47" s="169" t="s">
        <v>663</v>
      </c>
      <c r="AU47" s="169" t="s">
        <v>663</v>
      </c>
      <c r="AV47" s="169" t="s">
        <v>663</v>
      </c>
      <c r="AW47" s="169" t="s">
        <v>663</v>
      </c>
      <c r="AX47" s="169" t="s">
        <v>663</v>
      </c>
      <c r="AY47" s="169" t="s">
        <v>663</v>
      </c>
      <c r="AZ47" s="169" t="s">
        <v>663</v>
      </c>
      <c r="BA47" s="169" t="s">
        <v>663</v>
      </c>
      <c r="BB47" s="169" t="s">
        <v>663</v>
      </c>
      <c r="BC47" s="169" t="s">
        <v>663</v>
      </c>
      <c r="BD47" s="169" t="s">
        <v>663</v>
      </c>
      <c r="BE47" s="169" t="s">
        <v>663</v>
      </c>
      <c r="BF47" s="169" t="s">
        <v>663</v>
      </c>
      <c r="BG47" s="169" t="s">
        <v>663</v>
      </c>
      <c r="BH47" s="169" t="s">
        <v>663</v>
      </c>
      <c r="BI47" s="169" t="s">
        <v>663</v>
      </c>
      <c r="BJ47" s="169" t="s">
        <v>663</v>
      </c>
      <c r="BK47" s="169" t="s">
        <v>663</v>
      </c>
      <c r="BL47" s="169" t="s">
        <v>663</v>
      </c>
      <c r="BM47" s="169" t="s">
        <v>663</v>
      </c>
      <c r="BN47" s="169" t="s">
        <v>663</v>
      </c>
      <c r="BO47" s="169" t="s">
        <v>663</v>
      </c>
      <c r="BP47" s="169" t="s">
        <v>663</v>
      </c>
      <c r="BQ47" s="169" t="s">
        <v>663</v>
      </c>
      <c r="BR47" s="169" t="s">
        <v>663</v>
      </c>
      <c r="BS47" s="169" t="s">
        <v>663</v>
      </c>
      <c r="BT47" s="169" t="s">
        <v>663</v>
      </c>
      <c r="BU47" s="169" t="s">
        <v>663</v>
      </c>
      <c r="BV47" s="169" t="s">
        <v>663</v>
      </c>
      <c r="BW47" s="169" t="s">
        <v>663</v>
      </c>
      <c r="BX47" s="169" t="s">
        <v>663</v>
      </c>
      <c r="BY47" s="169" t="s">
        <v>663</v>
      </c>
      <c r="BZ47" s="169" t="s">
        <v>663</v>
      </c>
      <c r="CA47" s="169" t="s">
        <v>663</v>
      </c>
      <c r="CB47" s="169" t="s">
        <v>663</v>
      </c>
      <c r="CC47" s="169" t="s">
        <v>663</v>
      </c>
      <c r="CD47" s="169" t="s">
        <v>663</v>
      </c>
    </row>
    <row x14ac:dyDescent="0.25" r="48" customHeight="1" ht="18.75">
      <c r="A48" s="1"/>
      <c r="B48" s="1050">
        <v>15</v>
      </c>
      <c r="C48" s="1049" t="s">
        <v>857</v>
      </c>
      <c r="D48" s="1049" t="s">
        <v>858</v>
      </c>
      <c r="E48" s="1049" t="s">
        <v>736</v>
      </c>
      <c r="F48" s="1049" t="s">
        <v>831</v>
      </c>
      <c r="G48" s="1049" t="s">
        <v>859</v>
      </c>
      <c r="H48" s="1049" t="s">
        <v>860</v>
      </c>
      <c r="I48" s="1049" t="s">
        <v>861</v>
      </c>
      <c r="J48" s="1049" t="s">
        <v>862</v>
      </c>
      <c r="K48" s="1049" t="s">
        <v>863</v>
      </c>
      <c r="L48" s="1049" t="s">
        <v>672</v>
      </c>
      <c r="M48" s="169" t="s">
        <v>672</v>
      </c>
      <c r="N48" s="169" t="s">
        <v>672</v>
      </c>
      <c r="O48" s="169" t="s">
        <v>672</v>
      </c>
      <c r="P48" s="169" t="s">
        <v>672</v>
      </c>
      <c r="Q48" s="169" t="s">
        <v>672</v>
      </c>
      <c r="R48" s="169" t="s">
        <v>672</v>
      </c>
      <c r="S48" s="169" t="s">
        <v>672</v>
      </c>
      <c r="T48" s="169" t="s">
        <v>672</v>
      </c>
      <c r="U48" s="169" t="s">
        <v>672</v>
      </c>
      <c r="V48" s="169" t="s">
        <v>672</v>
      </c>
      <c r="W48" s="169" t="s">
        <v>672</v>
      </c>
      <c r="X48" s="169" t="s">
        <v>672</v>
      </c>
      <c r="Y48" s="169" t="s">
        <v>672</v>
      </c>
      <c r="Z48" s="169" t="s">
        <v>672</v>
      </c>
      <c r="AA48" s="169" t="s">
        <v>672</v>
      </c>
      <c r="AB48" s="169" t="s">
        <v>672</v>
      </c>
      <c r="AC48" s="169" t="s">
        <v>672</v>
      </c>
      <c r="AD48" s="169" t="s">
        <v>672</v>
      </c>
      <c r="AE48" s="169" t="s">
        <v>672</v>
      </c>
      <c r="AF48" s="169" t="s">
        <v>672</v>
      </c>
      <c r="AG48" s="169" t="s">
        <v>672</v>
      </c>
      <c r="AH48" s="169" t="s">
        <v>672</v>
      </c>
      <c r="AI48" s="169" t="s">
        <v>672</v>
      </c>
      <c r="AJ48" s="169" t="s">
        <v>672</v>
      </c>
      <c r="AK48" s="169" t="s">
        <v>672</v>
      </c>
      <c r="AL48" s="169" t="s">
        <v>672</v>
      </c>
      <c r="AM48" s="169" t="s">
        <v>672</v>
      </c>
      <c r="AN48" s="169" t="s">
        <v>672</v>
      </c>
      <c r="AO48" s="169" t="s">
        <v>672</v>
      </c>
      <c r="AP48" s="169" t="s">
        <v>672</v>
      </c>
      <c r="AQ48" s="169" t="s">
        <v>672</v>
      </c>
      <c r="AR48" s="169" t="s">
        <v>672</v>
      </c>
      <c r="AS48" s="169" t="s">
        <v>672</v>
      </c>
      <c r="AT48" s="169" t="s">
        <v>672</v>
      </c>
      <c r="AU48" s="169" t="s">
        <v>672</v>
      </c>
      <c r="AV48" s="169" t="s">
        <v>672</v>
      </c>
      <c r="AW48" s="169" t="s">
        <v>672</v>
      </c>
      <c r="AX48" s="169" t="s">
        <v>672</v>
      </c>
      <c r="AY48" s="169" t="s">
        <v>672</v>
      </c>
      <c r="AZ48" s="169" t="s">
        <v>672</v>
      </c>
      <c r="BA48" s="169" t="s">
        <v>672</v>
      </c>
      <c r="BB48" s="169" t="s">
        <v>672</v>
      </c>
      <c r="BC48" s="169" t="s">
        <v>672</v>
      </c>
      <c r="BD48" s="169" t="s">
        <v>672</v>
      </c>
      <c r="BE48" s="169" t="s">
        <v>672</v>
      </c>
      <c r="BF48" s="169" t="s">
        <v>672</v>
      </c>
      <c r="BG48" s="169" t="s">
        <v>672</v>
      </c>
      <c r="BH48" s="169" t="s">
        <v>672</v>
      </c>
      <c r="BI48" s="169" t="s">
        <v>672</v>
      </c>
      <c r="BJ48" s="169" t="s">
        <v>672</v>
      </c>
      <c r="BK48" s="169" t="s">
        <v>672</v>
      </c>
      <c r="BL48" s="169" t="s">
        <v>672</v>
      </c>
      <c r="BM48" s="169" t="s">
        <v>672</v>
      </c>
      <c r="BN48" s="169" t="s">
        <v>672</v>
      </c>
      <c r="BO48" s="169" t="s">
        <v>672</v>
      </c>
      <c r="BP48" s="169" t="s">
        <v>672</v>
      </c>
      <c r="BQ48" s="169" t="s">
        <v>672</v>
      </c>
      <c r="BR48" s="169" t="s">
        <v>672</v>
      </c>
      <c r="BS48" s="169" t="s">
        <v>672</v>
      </c>
      <c r="BT48" s="169" t="s">
        <v>672</v>
      </c>
      <c r="BU48" s="169" t="s">
        <v>672</v>
      </c>
      <c r="BV48" s="169" t="s">
        <v>672</v>
      </c>
      <c r="BW48" s="169" t="s">
        <v>672</v>
      </c>
      <c r="BX48" s="169" t="s">
        <v>672</v>
      </c>
      <c r="BY48" s="169" t="s">
        <v>672</v>
      </c>
      <c r="BZ48" s="169" t="s">
        <v>672</v>
      </c>
      <c r="CA48" s="169" t="s">
        <v>672</v>
      </c>
      <c r="CB48" s="169" t="s">
        <v>672</v>
      </c>
      <c r="CC48" s="169" t="s">
        <v>672</v>
      </c>
      <c r="CD48" s="169" t="s">
        <v>672</v>
      </c>
    </row>
    <row x14ac:dyDescent="0.25" r="49" customHeight="1" ht="18.75">
      <c r="A49" s="1"/>
      <c r="B49" s="1050">
        <v>14</v>
      </c>
      <c r="C49" s="1049" t="s">
        <v>750</v>
      </c>
      <c r="D49" s="1049" t="s">
        <v>864</v>
      </c>
      <c r="E49" s="1049" t="s">
        <v>767</v>
      </c>
      <c r="F49" s="1049" t="s">
        <v>865</v>
      </c>
      <c r="G49" s="1049" t="s">
        <v>628</v>
      </c>
      <c r="H49" s="1049" t="s">
        <v>728</v>
      </c>
      <c r="I49" s="1049" t="s">
        <v>866</v>
      </c>
      <c r="J49" s="1049" t="s">
        <v>867</v>
      </c>
      <c r="K49" s="1049" t="s">
        <v>868</v>
      </c>
      <c r="L49" s="1049" t="s">
        <v>662</v>
      </c>
      <c r="M49" s="169" t="s">
        <v>662</v>
      </c>
      <c r="N49" s="169" t="s">
        <v>662</v>
      </c>
      <c r="O49" s="169" t="s">
        <v>662</v>
      </c>
      <c r="P49" s="169" t="s">
        <v>662</v>
      </c>
      <c r="Q49" s="169" t="s">
        <v>662</v>
      </c>
      <c r="R49" s="169" t="s">
        <v>662</v>
      </c>
      <c r="S49" s="169" t="s">
        <v>662</v>
      </c>
      <c r="T49" s="169" t="s">
        <v>662</v>
      </c>
      <c r="U49" s="169" t="s">
        <v>662</v>
      </c>
      <c r="V49" s="169" t="s">
        <v>662</v>
      </c>
      <c r="W49" s="169" t="s">
        <v>662</v>
      </c>
      <c r="X49" s="169" t="s">
        <v>662</v>
      </c>
      <c r="Y49" s="169" t="s">
        <v>662</v>
      </c>
      <c r="Z49" s="169" t="s">
        <v>662</v>
      </c>
      <c r="AA49" s="169" t="s">
        <v>662</v>
      </c>
      <c r="AB49" s="169" t="s">
        <v>662</v>
      </c>
      <c r="AC49" s="169" t="s">
        <v>662</v>
      </c>
      <c r="AD49" s="169" t="s">
        <v>662</v>
      </c>
      <c r="AE49" s="169" t="s">
        <v>662</v>
      </c>
      <c r="AF49" s="169" t="s">
        <v>662</v>
      </c>
      <c r="AG49" s="169" t="s">
        <v>662</v>
      </c>
      <c r="AH49" s="169" t="s">
        <v>662</v>
      </c>
      <c r="AI49" s="169" t="s">
        <v>662</v>
      </c>
      <c r="AJ49" s="169" t="s">
        <v>662</v>
      </c>
      <c r="AK49" s="169" t="s">
        <v>662</v>
      </c>
      <c r="AL49" s="169" t="s">
        <v>662</v>
      </c>
      <c r="AM49" s="169" t="s">
        <v>662</v>
      </c>
      <c r="AN49" s="169" t="s">
        <v>662</v>
      </c>
      <c r="AO49" s="169" t="s">
        <v>662</v>
      </c>
      <c r="AP49" s="169" t="s">
        <v>662</v>
      </c>
      <c r="AQ49" s="169" t="s">
        <v>662</v>
      </c>
      <c r="AR49" s="169" t="s">
        <v>662</v>
      </c>
      <c r="AS49" s="169" t="s">
        <v>662</v>
      </c>
      <c r="AT49" s="169" t="s">
        <v>662</v>
      </c>
      <c r="AU49" s="169" t="s">
        <v>662</v>
      </c>
      <c r="AV49" s="169" t="s">
        <v>662</v>
      </c>
      <c r="AW49" s="169" t="s">
        <v>662</v>
      </c>
      <c r="AX49" s="169" t="s">
        <v>662</v>
      </c>
      <c r="AY49" s="169" t="s">
        <v>662</v>
      </c>
      <c r="AZ49" s="169" t="s">
        <v>662</v>
      </c>
      <c r="BA49" s="169" t="s">
        <v>662</v>
      </c>
      <c r="BB49" s="169" t="s">
        <v>662</v>
      </c>
      <c r="BC49" s="169" t="s">
        <v>662</v>
      </c>
      <c r="BD49" s="169" t="s">
        <v>662</v>
      </c>
      <c r="BE49" s="169" t="s">
        <v>662</v>
      </c>
      <c r="BF49" s="169" t="s">
        <v>662</v>
      </c>
      <c r="BG49" s="169" t="s">
        <v>662</v>
      </c>
      <c r="BH49" s="169" t="s">
        <v>662</v>
      </c>
      <c r="BI49" s="169" t="s">
        <v>662</v>
      </c>
      <c r="BJ49" s="169" t="s">
        <v>662</v>
      </c>
      <c r="BK49" s="169" t="s">
        <v>662</v>
      </c>
      <c r="BL49" s="169" t="s">
        <v>662</v>
      </c>
      <c r="BM49" s="169" t="s">
        <v>662</v>
      </c>
      <c r="BN49" s="169" t="s">
        <v>662</v>
      </c>
      <c r="BO49" s="169" t="s">
        <v>662</v>
      </c>
      <c r="BP49" s="169" t="s">
        <v>662</v>
      </c>
      <c r="BQ49" s="169" t="s">
        <v>662</v>
      </c>
      <c r="BR49" s="169" t="s">
        <v>662</v>
      </c>
      <c r="BS49" s="169" t="s">
        <v>662</v>
      </c>
      <c r="BT49" s="169" t="s">
        <v>662</v>
      </c>
      <c r="BU49" s="169" t="s">
        <v>662</v>
      </c>
      <c r="BV49" s="169" t="s">
        <v>662</v>
      </c>
      <c r="BW49" s="169" t="s">
        <v>662</v>
      </c>
      <c r="BX49" s="169" t="s">
        <v>662</v>
      </c>
      <c r="BY49" s="169" t="s">
        <v>662</v>
      </c>
      <c r="BZ49" s="169" t="s">
        <v>662</v>
      </c>
      <c r="CA49" s="169" t="s">
        <v>662</v>
      </c>
      <c r="CB49" s="169" t="s">
        <v>662</v>
      </c>
      <c r="CC49" s="169" t="s">
        <v>662</v>
      </c>
      <c r="CD49" s="169" t="s">
        <v>662</v>
      </c>
    </row>
    <row x14ac:dyDescent="0.25" r="50" customHeight="1" ht="18.75">
      <c r="A50" s="1"/>
      <c r="B50" s="1050">
        <v>13</v>
      </c>
      <c r="C50" s="1049" t="s">
        <v>869</v>
      </c>
      <c r="D50" s="1049" t="s">
        <v>870</v>
      </c>
      <c r="E50" s="1049" t="s">
        <v>665</v>
      </c>
      <c r="F50" s="1049" t="s">
        <v>871</v>
      </c>
      <c r="G50" s="1049" t="s">
        <v>872</v>
      </c>
      <c r="H50" s="1049" t="s">
        <v>873</v>
      </c>
      <c r="I50" s="1049" t="s">
        <v>832</v>
      </c>
      <c r="J50" s="1049" t="s">
        <v>874</v>
      </c>
      <c r="K50" s="1049" t="s">
        <v>875</v>
      </c>
      <c r="L50" s="1049" t="s">
        <v>670</v>
      </c>
      <c r="M50" s="169" t="s">
        <v>670</v>
      </c>
      <c r="N50" s="169" t="s">
        <v>670</v>
      </c>
      <c r="O50" s="169" t="s">
        <v>670</v>
      </c>
      <c r="P50" s="169" t="s">
        <v>670</v>
      </c>
      <c r="Q50" s="169" t="s">
        <v>670</v>
      </c>
      <c r="R50" s="169" t="s">
        <v>670</v>
      </c>
      <c r="S50" s="169" t="s">
        <v>670</v>
      </c>
      <c r="T50" s="169" t="s">
        <v>670</v>
      </c>
      <c r="U50" s="169" t="s">
        <v>670</v>
      </c>
      <c r="V50" s="169" t="s">
        <v>670</v>
      </c>
      <c r="W50" s="169" t="s">
        <v>670</v>
      </c>
      <c r="X50" s="169" t="s">
        <v>670</v>
      </c>
      <c r="Y50" s="169" t="s">
        <v>670</v>
      </c>
      <c r="Z50" s="169" t="s">
        <v>670</v>
      </c>
      <c r="AA50" s="169" t="s">
        <v>670</v>
      </c>
      <c r="AB50" s="169" t="s">
        <v>670</v>
      </c>
      <c r="AC50" s="169" t="s">
        <v>670</v>
      </c>
      <c r="AD50" s="169" t="s">
        <v>670</v>
      </c>
      <c r="AE50" s="169" t="s">
        <v>670</v>
      </c>
      <c r="AF50" s="169" t="s">
        <v>670</v>
      </c>
      <c r="AG50" s="169" t="s">
        <v>670</v>
      </c>
      <c r="AH50" s="169" t="s">
        <v>670</v>
      </c>
      <c r="AI50" s="169" t="s">
        <v>670</v>
      </c>
      <c r="AJ50" s="169" t="s">
        <v>670</v>
      </c>
      <c r="AK50" s="169" t="s">
        <v>670</v>
      </c>
      <c r="AL50" s="169" t="s">
        <v>670</v>
      </c>
      <c r="AM50" s="169" t="s">
        <v>670</v>
      </c>
      <c r="AN50" s="169" t="s">
        <v>670</v>
      </c>
      <c r="AO50" s="169" t="s">
        <v>670</v>
      </c>
      <c r="AP50" s="169" t="s">
        <v>670</v>
      </c>
      <c r="AQ50" s="169" t="s">
        <v>670</v>
      </c>
      <c r="AR50" s="169" t="s">
        <v>670</v>
      </c>
      <c r="AS50" s="169" t="s">
        <v>670</v>
      </c>
      <c r="AT50" s="169" t="s">
        <v>670</v>
      </c>
      <c r="AU50" s="169" t="s">
        <v>670</v>
      </c>
      <c r="AV50" s="169" t="s">
        <v>670</v>
      </c>
      <c r="AW50" s="169" t="s">
        <v>670</v>
      </c>
      <c r="AX50" s="169" t="s">
        <v>670</v>
      </c>
      <c r="AY50" s="169" t="s">
        <v>670</v>
      </c>
      <c r="AZ50" s="169" t="s">
        <v>670</v>
      </c>
      <c r="BA50" s="169" t="s">
        <v>670</v>
      </c>
      <c r="BB50" s="169" t="s">
        <v>670</v>
      </c>
      <c r="BC50" s="169" t="s">
        <v>670</v>
      </c>
      <c r="BD50" s="169" t="s">
        <v>670</v>
      </c>
      <c r="BE50" s="169" t="s">
        <v>670</v>
      </c>
      <c r="BF50" s="169" t="s">
        <v>670</v>
      </c>
      <c r="BG50" s="169" t="s">
        <v>670</v>
      </c>
      <c r="BH50" s="169" t="s">
        <v>670</v>
      </c>
      <c r="BI50" s="169" t="s">
        <v>670</v>
      </c>
      <c r="BJ50" s="169" t="s">
        <v>670</v>
      </c>
      <c r="BK50" s="169" t="s">
        <v>670</v>
      </c>
      <c r="BL50" s="169" t="s">
        <v>670</v>
      </c>
      <c r="BM50" s="169" t="s">
        <v>670</v>
      </c>
      <c r="BN50" s="169" t="s">
        <v>670</v>
      </c>
      <c r="BO50" s="169" t="s">
        <v>670</v>
      </c>
      <c r="BP50" s="169" t="s">
        <v>670</v>
      </c>
      <c r="BQ50" s="169" t="s">
        <v>670</v>
      </c>
      <c r="BR50" s="169" t="s">
        <v>670</v>
      </c>
      <c r="BS50" s="169" t="s">
        <v>670</v>
      </c>
      <c r="BT50" s="169" t="s">
        <v>670</v>
      </c>
      <c r="BU50" s="169" t="s">
        <v>670</v>
      </c>
      <c r="BV50" s="169" t="s">
        <v>670</v>
      </c>
      <c r="BW50" s="169" t="s">
        <v>670</v>
      </c>
      <c r="BX50" s="169" t="s">
        <v>670</v>
      </c>
      <c r="BY50" s="169" t="s">
        <v>670</v>
      </c>
      <c r="BZ50" s="169" t="s">
        <v>670</v>
      </c>
      <c r="CA50" s="169" t="s">
        <v>670</v>
      </c>
      <c r="CB50" s="169" t="s">
        <v>670</v>
      </c>
      <c r="CC50" s="169" t="s">
        <v>670</v>
      </c>
      <c r="CD50" s="169" t="s">
        <v>670</v>
      </c>
    </row>
    <row x14ac:dyDescent="0.25" r="51" customHeight="1" ht="18.75">
      <c r="A51" s="1"/>
      <c r="B51" s="1050">
        <v>12</v>
      </c>
      <c r="C51" s="1049" t="s">
        <v>876</v>
      </c>
      <c r="D51" s="1049" t="s">
        <v>877</v>
      </c>
      <c r="E51" s="1049" t="s">
        <v>766</v>
      </c>
      <c r="F51" s="1049" t="s">
        <v>878</v>
      </c>
      <c r="G51" s="1049" t="s">
        <v>879</v>
      </c>
      <c r="H51" s="1049" t="s">
        <v>880</v>
      </c>
      <c r="I51" s="1049" t="s">
        <v>881</v>
      </c>
      <c r="J51" s="1049" t="s">
        <v>728</v>
      </c>
      <c r="K51" s="1049" t="s">
        <v>882</v>
      </c>
      <c r="L51" s="1049" t="s">
        <v>810</v>
      </c>
      <c r="M51" s="169" t="s">
        <v>810</v>
      </c>
      <c r="N51" s="169" t="s">
        <v>810</v>
      </c>
      <c r="O51" s="169" t="s">
        <v>810</v>
      </c>
      <c r="P51" s="169" t="s">
        <v>810</v>
      </c>
      <c r="Q51" s="169" t="s">
        <v>810</v>
      </c>
      <c r="R51" s="169" t="s">
        <v>810</v>
      </c>
      <c r="S51" s="169" t="s">
        <v>810</v>
      </c>
      <c r="T51" s="169" t="s">
        <v>810</v>
      </c>
      <c r="U51" s="169" t="s">
        <v>810</v>
      </c>
      <c r="V51" s="169" t="s">
        <v>810</v>
      </c>
      <c r="W51" s="169" t="s">
        <v>810</v>
      </c>
      <c r="X51" s="169" t="s">
        <v>810</v>
      </c>
      <c r="Y51" s="169" t="s">
        <v>810</v>
      </c>
      <c r="Z51" s="169" t="s">
        <v>810</v>
      </c>
      <c r="AA51" s="169" t="s">
        <v>810</v>
      </c>
      <c r="AB51" s="169" t="s">
        <v>810</v>
      </c>
      <c r="AC51" s="169" t="s">
        <v>810</v>
      </c>
      <c r="AD51" s="169" t="s">
        <v>810</v>
      </c>
      <c r="AE51" s="169" t="s">
        <v>810</v>
      </c>
      <c r="AF51" s="169" t="s">
        <v>810</v>
      </c>
      <c r="AG51" s="169" t="s">
        <v>810</v>
      </c>
      <c r="AH51" s="169" t="s">
        <v>810</v>
      </c>
      <c r="AI51" s="169" t="s">
        <v>810</v>
      </c>
      <c r="AJ51" s="169" t="s">
        <v>810</v>
      </c>
      <c r="AK51" s="169" t="s">
        <v>810</v>
      </c>
      <c r="AL51" s="169" t="s">
        <v>810</v>
      </c>
      <c r="AM51" s="169" t="s">
        <v>810</v>
      </c>
      <c r="AN51" s="169" t="s">
        <v>810</v>
      </c>
      <c r="AO51" s="169" t="s">
        <v>810</v>
      </c>
      <c r="AP51" s="169" t="s">
        <v>810</v>
      </c>
      <c r="AQ51" s="169" t="s">
        <v>810</v>
      </c>
      <c r="AR51" s="169" t="s">
        <v>810</v>
      </c>
      <c r="AS51" s="169" t="s">
        <v>810</v>
      </c>
      <c r="AT51" s="169" t="s">
        <v>810</v>
      </c>
      <c r="AU51" s="169" t="s">
        <v>810</v>
      </c>
      <c r="AV51" s="169" t="s">
        <v>810</v>
      </c>
      <c r="AW51" s="169" t="s">
        <v>810</v>
      </c>
      <c r="AX51" s="169" t="s">
        <v>810</v>
      </c>
      <c r="AY51" s="169" t="s">
        <v>810</v>
      </c>
      <c r="AZ51" s="169" t="s">
        <v>810</v>
      </c>
      <c r="BA51" s="169" t="s">
        <v>810</v>
      </c>
      <c r="BB51" s="169" t="s">
        <v>810</v>
      </c>
      <c r="BC51" s="169" t="s">
        <v>810</v>
      </c>
      <c r="BD51" s="169" t="s">
        <v>810</v>
      </c>
      <c r="BE51" s="169" t="s">
        <v>810</v>
      </c>
      <c r="BF51" s="169" t="s">
        <v>810</v>
      </c>
      <c r="BG51" s="169" t="s">
        <v>810</v>
      </c>
      <c r="BH51" s="169" t="s">
        <v>810</v>
      </c>
      <c r="BI51" s="169" t="s">
        <v>810</v>
      </c>
      <c r="BJ51" s="169" t="s">
        <v>810</v>
      </c>
      <c r="BK51" s="169" t="s">
        <v>810</v>
      </c>
      <c r="BL51" s="169" t="s">
        <v>810</v>
      </c>
      <c r="BM51" s="169" t="s">
        <v>810</v>
      </c>
      <c r="BN51" s="169" t="s">
        <v>810</v>
      </c>
      <c r="BO51" s="169" t="s">
        <v>810</v>
      </c>
      <c r="BP51" s="169" t="s">
        <v>810</v>
      </c>
      <c r="BQ51" s="169" t="s">
        <v>810</v>
      </c>
      <c r="BR51" s="169" t="s">
        <v>810</v>
      </c>
      <c r="BS51" s="169" t="s">
        <v>810</v>
      </c>
      <c r="BT51" s="169" t="s">
        <v>810</v>
      </c>
      <c r="BU51" s="169" t="s">
        <v>810</v>
      </c>
      <c r="BV51" s="169" t="s">
        <v>810</v>
      </c>
      <c r="BW51" s="169" t="s">
        <v>810</v>
      </c>
      <c r="BX51" s="169" t="s">
        <v>810</v>
      </c>
      <c r="BY51" s="169" t="s">
        <v>810</v>
      </c>
      <c r="BZ51" s="169" t="s">
        <v>810</v>
      </c>
      <c r="CA51" s="169" t="s">
        <v>810</v>
      </c>
      <c r="CB51" s="169" t="s">
        <v>810</v>
      </c>
      <c r="CC51" s="169" t="s">
        <v>810</v>
      </c>
      <c r="CD51" s="169" t="s">
        <v>810</v>
      </c>
    </row>
    <row x14ac:dyDescent="0.25" r="52" customHeight="1" ht="18.75">
      <c r="A52" s="1"/>
      <c r="B52" s="1050">
        <v>11</v>
      </c>
      <c r="C52" s="1049" t="s">
        <v>721</v>
      </c>
      <c r="D52" s="1049" t="s">
        <v>883</v>
      </c>
      <c r="E52" s="1049" t="s">
        <v>685</v>
      </c>
      <c r="F52" s="1049" t="s">
        <v>884</v>
      </c>
      <c r="G52" s="1049" t="s">
        <v>885</v>
      </c>
      <c r="H52" s="1049" t="s">
        <v>886</v>
      </c>
      <c r="I52" s="1049" t="s">
        <v>887</v>
      </c>
      <c r="J52" s="1049" t="s">
        <v>818</v>
      </c>
      <c r="K52" s="1049" t="s">
        <v>888</v>
      </c>
      <c r="L52" s="1049" t="s">
        <v>889</v>
      </c>
      <c r="M52" s="169" t="s">
        <v>889</v>
      </c>
      <c r="N52" s="169" t="s">
        <v>889</v>
      </c>
      <c r="O52" s="169" t="s">
        <v>889</v>
      </c>
      <c r="P52" s="169" t="s">
        <v>889</v>
      </c>
      <c r="Q52" s="169" t="s">
        <v>889</v>
      </c>
      <c r="R52" s="169" t="s">
        <v>889</v>
      </c>
      <c r="S52" s="169" t="s">
        <v>889</v>
      </c>
      <c r="T52" s="169" t="s">
        <v>889</v>
      </c>
      <c r="U52" s="169" t="s">
        <v>889</v>
      </c>
      <c r="V52" s="169" t="s">
        <v>889</v>
      </c>
      <c r="W52" s="169" t="s">
        <v>889</v>
      </c>
      <c r="X52" s="169" t="s">
        <v>889</v>
      </c>
      <c r="Y52" s="169" t="s">
        <v>889</v>
      </c>
      <c r="Z52" s="169" t="s">
        <v>889</v>
      </c>
      <c r="AA52" s="169" t="s">
        <v>889</v>
      </c>
      <c r="AB52" s="169" t="s">
        <v>889</v>
      </c>
      <c r="AC52" s="169" t="s">
        <v>889</v>
      </c>
      <c r="AD52" s="169" t="s">
        <v>889</v>
      </c>
      <c r="AE52" s="169" t="s">
        <v>889</v>
      </c>
      <c r="AF52" s="169" t="s">
        <v>889</v>
      </c>
      <c r="AG52" s="169" t="s">
        <v>889</v>
      </c>
      <c r="AH52" s="169" t="s">
        <v>889</v>
      </c>
      <c r="AI52" s="169" t="s">
        <v>889</v>
      </c>
      <c r="AJ52" s="169" t="s">
        <v>889</v>
      </c>
      <c r="AK52" s="169" t="s">
        <v>889</v>
      </c>
      <c r="AL52" s="169" t="s">
        <v>889</v>
      </c>
      <c r="AM52" s="169" t="s">
        <v>889</v>
      </c>
      <c r="AN52" s="169" t="s">
        <v>889</v>
      </c>
      <c r="AO52" s="169" t="s">
        <v>889</v>
      </c>
      <c r="AP52" s="169" t="s">
        <v>889</v>
      </c>
      <c r="AQ52" s="169" t="s">
        <v>889</v>
      </c>
      <c r="AR52" s="169" t="s">
        <v>889</v>
      </c>
      <c r="AS52" s="169" t="s">
        <v>889</v>
      </c>
      <c r="AT52" s="169" t="s">
        <v>889</v>
      </c>
      <c r="AU52" s="169" t="s">
        <v>889</v>
      </c>
      <c r="AV52" s="169" t="s">
        <v>889</v>
      </c>
      <c r="AW52" s="169" t="s">
        <v>889</v>
      </c>
      <c r="AX52" s="169" t="s">
        <v>889</v>
      </c>
      <c r="AY52" s="169" t="s">
        <v>889</v>
      </c>
      <c r="AZ52" s="169" t="s">
        <v>889</v>
      </c>
      <c r="BA52" s="169" t="s">
        <v>889</v>
      </c>
      <c r="BB52" s="169" t="s">
        <v>889</v>
      </c>
      <c r="BC52" s="169" t="s">
        <v>889</v>
      </c>
      <c r="BD52" s="169" t="s">
        <v>889</v>
      </c>
      <c r="BE52" s="169" t="s">
        <v>889</v>
      </c>
      <c r="BF52" s="169" t="s">
        <v>889</v>
      </c>
      <c r="BG52" s="169" t="s">
        <v>889</v>
      </c>
      <c r="BH52" s="169" t="s">
        <v>889</v>
      </c>
      <c r="BI52" s="169" t="s">
        <v>889</v>
      </c>
      <c r="BJ52" s="169" t="s">
        <v>889</v>
      </c>
      <c r="BK52" s="169" t="s">
        <v>889</v>
      </c>
      <c r="BL52" s="169" t="s">
        <v>889</v>
      </c>
      <c r="BM52" s="169" t="s">
        <v>889</v>
      </c>
      <c r="BN52" s="169" t="s">
        <v>889</v>
      </c>
      <c r="BO52" s="169" t="s">
        <v>889</v>
      </c>
      <c r="BP52" s="169" t="s">
        <v>889</v>
      </c>
      <c r="BQ52" s="169" t="s">
        <v>889</v>
      </c>
      <c r="BR52" s="169" t="s">
        <v>889</v>
      </c>
      <c r="BS52" s="169" t="s">
        <v>889</v>
      </c>
      <c r="BT52" s="169" t="s">
        <v>889</v>
      </c>
      <c r="BU52" s="169" t="s">
        <v>889</v>
      </c>
      <c r="BV52" s="169" t="s">
        <v>889</v>
      </c>
      <c r="BW52" s="169" t="s">
        <v>889</v>
      </c>
      <c r="BX52" s="169" t="s">
        <v>889</v>
      </c>
      <c r="BY52" s="169" t="s">
        <v>889</v>
      </c>
      <c r="BZ52" s="169" t="s">
        <v>889</v>
      </c>
      <c r="CA52" s="169" t="s">
        <v>889</v>
      </c>
      <c r="CB52" s="169" t="s">
        <v>889</v>
      </c>
      <c r="CC52" s="169" t="s">
        <v>889</v>
      </c>
      <c r="CD52" s="169" t="s">
        <v>889</v>
      </c>
    </row>
    <row x14ac:dyDescent="0.25" r="53" customHeight="1" ht="18.75">
      <c r="A53" s="1"/>
      <c r="B53" s="1050">
        <v>10</v>
      </c>
      <c r="C53" s="1049" t="s">
        <v>890</v>
      </c>
      <c r="D53" s="1049" t="s">
        <v>891</v>
      </c>
      <c r="E53" s="1049" t="s">
        <v>759</v>
      </c>
      <c r="F53" s="1049" t="s">
        <v>734</v>
      </c>
      <c r="G53" s="1049" t="s">
        <v>892</v>
      </c>
      <c r="H53" s="1049" t="s">
        <v>893</v>
      </c>
      <c r="I53" s="1049" t="s">
        <v>666</v>
      </c>
      <c r="J53" s="1049" t="s">
        <v>894</v>
      </c>
      <c r="K53" s="1049" t="s">
        <v>689</v>
      </c>
      <c r="L53" s="1049" t="s">
        <v>832</v>
      </c>
      <c r="M53" s="169" t="s">
        <v>832</v>
      </c>
      <c r="N53" s="169" t="s">
        <v>832</v>
      </c>
      <c r="O53" s="169" t="s">
        <v>832</v>
      </c>
      <c r="P53" s="169" t="s">
        <v>832</v>
      </c>
      <c r="Q53" s="169" t="s">
        <v>832</v>
      </c>
      <c r="R53" s="169" t="s">
        <v>832</v>
      </c>
      <c r="S53" s="169" t="s">
        <v>832</v>
      </c>
      <c r="T53" s="169" t="s">
        <v>832</v>
      </c>
      <c r="U53" s="169" t="s">
        <v>832</v>
      </c>
      <c r="V53" s="169" t="s">
        <v>832</v>
      </c>
      <c r="W53" s="169" t="s">
        <v>832</v>
      </c>
      <c r="X53" s="169" t="s">
        <v>832</v>
      </c>
      <c r="Y53" s="169" t="s">
        <v>832</v>
      </c>
      <c r="Z53" s="169" t="s">
        <v>832</v>
      </c>
      <c r="AA53" s="169" t="s">
        <v>832</v>
      </c>
      <c r="AB53" s="169" t="s">
        <v>832</v>
      </c>
      <c r="AC53" s="169" t="s">
        <v>832</v>
      </c>
      <c r="AD53" s="169" t="s">
        <v>832</v>
      </c>
      <c r="AE53" s="169" t="s">
        <v>832</v>
      </c>
      <c r="AF53" s="169" t="s">
        <v>832</v>
      </c>
      <c r="AG53" s="169" t="s">
        <v>832</v>
      </c>
      <c r="AH53" s="169" t="s">
        <v>832</v>
      </c>
      <c r="AI53" s="169" t="s">
        <v>832</v>
      </c>
      <c r="AJ53" s="169" t="s">
        <v>832</v>
      </c>
      <c r="AK53" s="169" t="s">
        <v>832</v>
      </c>
      <c r="AL53" s="169" t="s">
        <v>832</v>
      </c>
      <c r="AM53" s="169" t="s">
        <v>832</v>
      </c>
      <c r="AN53" s="169" t="s">
        <v>832</v>
      </c>
      <c r="AO53" s="169" t="s">
        <v>832</v>
      </c>
      <c r="AP53" s="169" t="s">
        <v>832</v>
      </c>
      <c r="AQ53" s="169" t="s">
        <v>832</v>
      </c>
      <c r="AR53" s="169" t="s">
        <v>832</v>
      </c>
      <c r="AS53" s="169" t="s">
        <v>832</v>
      </c>
      <c r="AT53" s="169" t="s">
        <v>832</v>
      </c>
      <c r="AU53" s="169" t="s">
        <v>832</v>
      </c>
      <c r="AV53" s="169" t="s">
        <v>832</v>
      </c>
      <c r="AW53" s="169" t="s">
        <v>832</v>
      </c>
      <c r="AX53" s="169" t="s">
        <v>832</v>
      </c>
      <c r="AY53" s="169" t="s">
        <v>832</v>
      </c>
      <c r="AZ53" s="169" t="s">
        <v>832</v>
      </c>
      <c r="BA53" s="169" t="s">
        <v>832</v>
      </c>
      <c r="BB53" s="169" t="s">
        <v>832</v>
      </c>
      <c r="BC53" s="169" t="s">
        <v>832</v>
      </c>
      <c r="BD53" s="169" t="s">
        <v>832</v>
      </c>
      <c r="BE53" s="169" t="s">
        <v>832</v>
      </c>
      <c r="BF53" s="169" t="s">
        <v>832</v>
      </c>
      <c r="BG53" s="169" t="s">
        <v>832</v>
      </c>
      <c r="BH53" s="169" t="s">
        <v>832</v>
      </c>
      <c r="BI53" s="169" t="s">
        <v>832</v>
      </c>
      <c r="BJ53" s="169" t="s">
        <v>832</v>
      </c>
      <c r="BK53" s="169" t="s">
        <v>832</v>
      </c>
      <c r="BL53" s="169" t="s">
        <v>832</v>
      </c>
      <c r="BM53" s="169" t="s">
        <v>832</v>
      </c>
      <c r="BN53" s="169" t="s">
        <v>832</v>
      </c>
      <c r="BO53" s="169" t="s">
        <v>832</v>
      </c>
      <c r="BP53" s="169" t="s">
        <v>832</v>
      </c>
      <c r="BQ53" s="169" t="s">
        <v>832</v>
      </c>
      <c r="BR53" s="169" t="s">
        <v>832</v>
      </c>
      <c r="BS53" s="169" t="s">
        <v>832</v>
      </c>
      <c r="BT53" s="169" t="s">
        <v>832</v>
      </c>
      <c r="BU53" s="169" t="s">
        <v>832</v>
      </c>
      <c r="BV53" s="169" t="s">
        <v>832</v>
      </c>
      <c r="BW53" s="169" t="s">
        <v>832</v>
      </c>
      <c r="BX53" s="169" t="s">
        <v>832</v>
      </c>
      <c r="BY53" s="169" t="s">
        <v>832</v>
      </c>
      <c r="BZ53" s="169" t="s">
        <v>832</v>
      </c>
      <c r="CA53" s="169" t="s">
        <v>832</v>
      </c>
      <c r="CB53" s="169" t="s">
        <v>832</v>
      </c>
      <c r="CC53" s="169" t="s">
        <v>832</v>
      </c>
      <c r="CD53" s="169" t="s">
        <v>832</v>
      </c>
    </row>
    <row x14ac:dyDescent="0.25" r="54" customHeight="1" ht="18.75">
      <c r="A54" s="1"/>
      <c r="B54" s="1050">
        <v>9</v>
      </c>
      <c r="C54" s="1049" t="s">
        <v>739</v>
      </c>
      <c r="D54" s="1049" t="s">
        <v>740</v>
      </c>
      <c r="E54" s="1049" t="s">
        <v>895</v>
      </c>
      <c r="F54" s="1049" t="s">
        <v>896</v>
      </c>
      <c r="G54" s="1049" t="s">
        <v>897</v>
      </c>
      <c r="H54" s="1049" t="s">
        <v>898</v>
      </c>
      <c r="I54" s="1049" t="s">
        <v>838</v>
      </c>
      <c r="J54" s="1049" t="s">
        <v>899</v>
      </c>
      <c r="K54" s="1049" t="s">
        <v>638</v>
      </c>
      <c r="L54" s="1049" t="s">
        <v>900</v>
      </c>
      <c r="M54" s="169" t="s">
        <v>900</v>
      </c>
      <c r="N54" s="169" t="s">
        <v>900</v>
      </c>
      <c r="O54" s="169" t="s">
        <v>900</v>
      </c>
      <c r="P54" s="169" t="s">
        <v>900</v>
      </c>
      <c r="Q54" s="169" t="s">
        <v>900</v>
      </c>
      <c r="R54" s="169" t="s">
        <v>900</v>
      </c>
      <c r="S54" s="169" t="s">
        <v>900</v>
      </c>
      <c r="T54" s="169" t="s">
        <v>900</v>
      </c>
      <c r="U54" s="169" t="s">
        <v>900</v>
      </c>
      <c r="V54" s="169" t="s">
        <v>900</v>
      </c>
      <c r="W54" s="169" t="s">
        <v>900</v>
      </c>
      <c r="X54" s="169" t="s">
        <v>900</v>
      </c>
      <c r="Y54" s="169" t="s">
        <v>900</v>
      </c>
      <c r="Z54" s="169" t="s">
        <v>900</v>
      </c>
      <c r="AA54" s="169" t="s">
        <v>900</v>
      </c>
      <c r="AB54" s="169" t="s">
        <v>900</v>
      </c>
      <c r="AC54" s="169" t="s">
        <v>900</v>
      </c>
      <c r="AD54" s="169" t="s">
        <v>900</v>
      </c>
      <c r="AE54" s="169" t="s">
        <v>900</v>
      </c>
      <c r="AF54" s="169" t="s">
        <v>900</v>
      </c>
      <c r="AG54" s="169" t="s">
        <v>900</v>
      </c>
      <c r="AH54" s="169" t="s">
        <v>900</v>
      </c>
      <c r="AI54" s="169" t="s">
        <v>900</v>
      </c>
      <c r="AJ54" s="169" t="s">
        <v>900</v>
      </c>
      <c r="AK54" s="169" t="s">
        <v>900</v>
      </c>
      <c r="AL54" s="169" t="s">
        <v>900</v>
      </c>
      <c r="AM54" s="169" t="s">
        <v>900</v>
      </c>
      <c r="AN54" s="169" t="s">
        <v>900</v>
      </c>
      <c r="AO54" s="169" t="s">
        <v>900</v>
      </c>
      <c r="AP54" s="169" t="s">
        <v>900</v>
      </c>
      <c r="AQ54" s="169" t="s">
        <v>900</v>
      </c>
      <c r="AR54" s="169" t="s">
        <v>900</v>
      </c>
      <c r="AS54" s="169" t="s">
        <v>900</v>
      </c>
      <c r="AT54" s="169" t="s">
        <v>900</v>
      </c>
      <c r="AU54" s="169" t="s">
        <v>900</v>
      </c>
      <c r="AV54" s="169" t="s">
        <v>900</v>
      </c>
      <c r="AW54" s="169" t="s">
        <v>900</v>
      </c>
      <c r="AX54" s="169" t="s">
        <v>900</v>
      </c>
      <c r="AY54" s="169" t="s">
        <v>900</v>
      </c>
      <c r="AZ54" s="169" t="s">
        <v>900</v>
      </c>
      <c r="BA54" s="169" t="s">
        <v>900</v>
      </c>
      <c r="BB54" s="169" t="s">
        <v>900</v>
      </c>
      <c r="BC54" s="169" t="s">
        <v>900</v>
      </c>
      <c r="BD54" s="169" t="s">
        <v>900</v>
      </c>
      <c r="BE54" s="169" t="s">
        <v>900</v>
      </c>
      <c r="BF54" s="169" t="s">
        <v>900</v>
      </c>
      <c r="BG54" s="169" t="s">
        <v>900</v>
      </c>
      <c r="BH54" s="169" t="s">
        <v>900</v>
      </c>
      <c r="BI54" s="169" t="s">
        <v>900</v>
      </c>
      <c r="BJ54" s="169" t="s">
        <v>900</v>
      </c>
      <c r="BK54" s="169" t="s">
        <v>900</v>
      </c>
      <c r="BL54" s="169" t="s">
        <v>900</v>
      </c>
      <c r="BM54" s="169" t="s">
        <v>900</v>
      </c>
      <c r="BN54" s="169" t="s">
        <v>900</v>
      </c>
      <c r="BO54" s="169" t="s">
        <v>900</v>
      </c>
      <c r="BP54" s="169" t="s">
        <v>900</v>
      </c>
      <c r="BQ54" s="169" t="s">
        <v>900</v>
      </c>
      <c r="BR54" s="169" t="s">
        <v>900</v>
      </c>
      <c r="BS54" s="169" t="s">
        <v>900</v>
      </c>
      <c r="BT54" s="169" t="s">
        <v>900</v>
      </c>
      <c r="BU54" s="169" t="s">
        <v>900</v>
      </c>
      <c r="BV54" s="169" t="s">
        <v>900</v>
      </c>
      <c r="BW54" s="169" t="s">
        <v>900</v>
      </c>
      <c r="BX54" s="169" t="s">
        <v>900</v>
      </c>
      <c r="BY54" s="169" t="s">
        <v>900</v>
      </c>
      <c r="BZ54" s="169" t="s">
        <v>900</v>
      </c>
      <c r="CA54" s="169" t="s">
        <v>900</v>
      </c>
      <c r="CB54" s="169" t="s">
        <v>900</v>
      </c>
      <c r="CC54" s="169" t="s">
        <v>900</v>
      </c>
      <c r="CD54" s="169" t="s">
        <v>900</v>
      </c>
    </row>
    <row x14ac:dyDescent="0.25" r="55" customHeight="1" ht="18.75">
      <c r="A55" s="1"/>
      <c r="B55" s="1050">
        <v>8</v>
      </c>
      <c r="C55" s="1049" t="s">
        <v>747</v>
      </c>
      <c r="D55" s="1049" t="s">
        <v>748</v>
      </c>
      <c r="E55" s="1049" t="s">
        <v>749</v>
      </c>
      <c r="F55" s="1049" t="s">
        <v>722</v>
      </c>
      <c r="G55" s="1049" t="s">
        <v>750</v>
      </c>
      <c r="H55" s="1049" t="s">
        <v>870</v>
      </c>
      <c r="I55" s="1049" t="s">
        <v>901</v>
      </c>
      <c r="J55" s="1049" t="s">
        <v>902</v>
      </c>
      <c r="K55" s="1049" t="s">
        <v>846</v>
      </c>
      <c r="L55" s="1049" t="s">
        <v>824</v>
      </c>
      <c r="M55" s="169" t="s">
        <v>824</v>
      </c>
      <c r="N55" s="169" t="s">
        <v>824</v>
      </c>
      <c r="O55" s="169" t="s">
        <v>824</v>
      </c>
      <c r="P55" s="169" t="s">
        <v>824</v>
      </c>
      <c r="Q55" s="169" t="s">
        <v>824</v>
      </c>
      <c r="R55" s="169" t="s">
        <v>824</v>
      </c>
      <c r="S55" s="169" t="s">
        <v>824</v>
      </c>
      <c r="T55" s="169" t="s">
        <v>824</v>
      </c>
      <c r="U55" s="169" t="s">
        <v>824</v>
      </c>
      <c r="V55" s="169" t="s">
        <v>824</v>
      </c>
      <c r="W55" s="169" t="s">
        <v>824</v>
      </c>
      <c r="X55" s="169" t="s">
        <v>824</v>
      </c>
      <c r="Y55" s="169" t="s">
        <v>824</v>
      </c>
      <c r="Z55" s="169" t="s">
        <v>824</v>
      </c>
      <c r="AA55" s="169" t="s">
        <v>824</v>
      </c>
      <c r="AB55" s="169" t="s">
        <v>824</v>
      </c>
      <c r="AC55" s="169" t="s">
        <v>824</v>
      </c>
      <c r="AD55" s="169" t="s">
        <v>824</v>
      </c>
      <c r="AE55" s="169" t="s">
        <v>824</v>
      </c>
      <c r="AF55" s="169" t="s">
        <v>824</v>
      </c>
      <c r="AG55" s="169" t="s">
        <v>824</v>
      </c>
      <c r="AH55" s="169" t="s">
        <v>824</v>
      </c>
      <c r="AI55" s="169" t="s">
        <v>824</v>
      </c>
      <c r="AJ55" s="169" t="s">
        <v>824</v>
      </c>
      <c r="AK55" s="169" t="s">
        <v>824</v>
      </c>
      <c r="AL55" s="169" t="s">
        <v>824</v>
      </c>
      <c r="AM55" s="169" t="s">
        <v>824</v>
      </c>
      <c r="AN55" s="169" t="s">
        <v>824</v>
      </c>
      <c r="AO55" s="169" t="s">
        <v>824</v>
      </c>
      <c r="AP55" s="169" t="s">
        <v>824</v>
      </c>
      <c r="AQ55" s="169" t="s">
        <v>824</v>
      </c>
      <c r="AR55" s="169" t="s">
        <v>824</v>
      </c>
      <c r="AS55" s="169" t="s">
        <v>824</v>
      </c>
      <c r="AT55" s="169" t="s">
        <v>824</v>
      </c>
      <c r="AU55" s="169" t="s">
        <v>824</v>
      </c>
      <c r="AV55" s="169" t="s">
        <v>824</v>
      </c>
      <c r="AW55" s="169" t="s">
        <v>824</v>
      </c>
      <c r="AX55" s="169" t="s">
        <v>824</v>
      </c>
      <c r="AY55" s="169" t="s">
        <v>824</v>
      </c>
      <c r="AZ55" s="169" t="s">
        <v>824</v>
      </c>
      <c r="BA55" s="169" t="s">
        <v>824</v>
      </c>
      <c r="BB55" s="169" t="s">
        <v>824</v>
      </c>
      <c r="BC55" s="169" t="s">
        <v>824</v>
      </c>
      <c r="BD55" s="169" t="s">
        <v>824</v>
      </c>
      <c r="BE55" s="169" t="s">
        <v>824</v>
      </c>
      <c r="BF55" s="169" t="s">
        <v>824</v>
      </c>
      <c r="BG55" s="169" t="s">
        <v>824</v>
      </c>
      <c r="BH55" s="169" t="s">
        <v>824</v>
      </c>
      <c r="BI55" s="169" t="s">
        <v>824</v>
      </c>
      <c r="BJ55" s="169" t="s">
        <v>824</v>
      </c>
      <c r="BK55" s="169" t="s">
        <v>824</v>
      </c>
      <c r="BL55" s="169" t="s">
        <v>824</v>
      </c>
      <c r="BM55" s="169" t="s">
        <v>824</v>
      </c>
      <c r="BN55" s="169" t="s">
        <v>824</v>
      </c>
      <c r="BO55" s="169" t="s">
        <v>824</v>
      </c>
      <c r="BP55" s="169" t="s">
        <v>824</v>
      </c>
      <c r="BQ55" s="169" t="s">
        <v>824</v>
      </c>
      <c r="BR55" s="169" t="s">
        <v>824</v>
      </c>
      <c r="BS55" s="169" t="s">
        <v>824</v>
      </c>
      <c r="BT55" s="169" t="s">
        <v>824</v>
      </c>
      <c r="BU55" s="169" t="s">
        <v>824</v>
      </c>
      <c r="BV55" s="169" t="s">
        <v>824</v>
      </c>
      <c r="BW55" s="169" t="s">
        <v>824</v>
      </c>
      <c r="BX55" s="169" t="s">
        <v>824</v>
      </c>
      <c r="BY55" s="169" t="s">
        <v>824</v>
      </c>
      <c r="BZ55" s="169" t="s">
        <v>824</v>
      </c>
      <c r="CA55" s="169" t="s">
        <v>824</v>
      </c>
      <c r="CB55" s="169" t="s">
        <v>824</v>
      </c>
      <c r="CC55" s="169" t="s">
        <v>824</v>
      </c>
      <c r="CD55" s="169" t="s">
        <v>824</v>
      </c>
    </row>
    <row x14ac:dyDescent="0.25" r="56" customHeight="1" ht="18.75">
      <c r="A56" s="1"/>
      <c r="B56" s="1050">
        <v>7</v>
      </c>
      <c r="C56" s="1049" t="s">
        <v>903</v>
      </c>
      <c r="D56" s="1049" t="s">
        <v>904</v>
      </c>
      <c r="E56" s="1049" t="s">
        <v>905</v>
      </c>
      <c r="F56" s="1049" t="s">
        <v>758</v>
      </c>
      <c r="G56" s="1049" t="s">
        <v>733</v>
      </c>
      <c r="H56" s="1049" t="s">
        <v>906</v>
      </c>
      <c r="I56" s="1049" t="s">
        <v>898</v>
      </c>
      <c r="J56" s="1049" t="s">
        <v>658</v>
      </c>
      <c r="K56" s="1049" t="s">
        <v>708</v>
      </c>
      <c r="L56" s="1049" t="s">
        <v>659</v>
      </c>
      <c r="M56" s="169" t="s">
        <v>659</v>
      </c>
      <c r="N56" s="169" t="s">
        <v>659</v>
      </c>
      <c r="O56" s="169" t="s">
        <v>659</v>
      </c>
      <c r="P56" s="169" t="s">
        <v>659</v>
      </c>
      <c r="Q56" s="169" t="s">
        <v>659</v>
      </c>
      <c r="R56" s="169" t="s">
        <v>659</v>
      </c>
      <c r="S56" s="169" t="s">
        <v>659</v>
      </c>
      <c r="T56" s="169" t="s">
        <v>659</v>
      </c>
      <c r="U56" s="169" t="s">
        <v>659</v>
      </c>
      <c r="V56" s="169" t="s">
        <v>659</v>
      </c>
      <c r="W56" s="169" t="s">
        <v>659</v>
      </c>
      <c r="X56" s="169" t="s">
        <v>659</v>
      </c>
      <c r="Y56" s="169" t="s">
        <v>659</v>
      </c>
      <c r="Z56" s="169" t="s">
        <v>659</v>
      </c>
      <c r="AA56" s="169" t="s">
        <v>659</v>
      </c>
      <c r="AB56" s="169" t="s">
        <v>659</v>
      </c>
      <c r="AC56" s="169" t="s">
        <v>659</v>
      </c>
      <c r="AD56" s="169" t="s">
        <v>659</v>
      </c>
      <c r="AE56" s="169" t="s">
        <v>659</v>
      </c>
      <c r="AF56" s="169" t="s">
        <v>659</v>
      </c>
      <c r="AG56" s="169" t="s">
        <v>659</v>
      </c>
      <c r="AH56" s="169" t="s">
        <v>659</v>
      </c>
      <c r="AI56" s="169" t="s">
        <v>659</v>
      </c>
      <c r="AJ56" s="169" t="s">
        <v>659</v>
      </c>
      <c r="AK56" s="169" t="s">
        <v>659</v>
      </c>
      <c r="AL56" s="169" t="s">
        <v>659</v>
      </c>
      <c r="AM56" s="169" t="s">
        <v>659</v>
      </c>
      <c r="AN56" s="169" t="s">
        <v>659</v>
      </c>
      <c r="AO56" s="169" t="s">
        <v>659</v>
      </c>
      <c r="AP56" s="169" t="s">
        <v>659</v>
      </c>
      <c r="AQ56" s="169" t="s">
        <v>659</v>
      </c>
      <c r="AR56" s="169" t="s">
        <v>659</v>
      </c>
      <c r="AS56" s="169" t="s">
        <v>659</v>
      </c>
      <c r="AT56" s="169" t="s">
        <v>659</v>
      </c>
      <c r="AU56" s="169" t="s">
        <v>659</v>
      </c>
      <c r="AV56" s="169" t="s">
        <v>659</v>
      </c>
      <c r="AW56" s="169" t="s">
        <v>659</v>
      </c>
      <c r="AX56" s="169" t="s">
        <v>659</v>
      </c>
      <c r="AY56" s="169" t="s">
        <v>659</v>
      </c>
      <c r="AZ56" s="169" t="s">
        <v>659</v>
      </c>
      <c r="BA56" s="169" t="s">
        <v>659</v>
      </c>
      <c r="BB56" s="169" t="s">
        <v>659</v>
      </c>
      <c r="BC56" s="169" t="s">
        <v>659</v>
      </c>
      <c r="BD56" s="169" t="s">
        <v>659</v>
      </c>
      <c r="BE56" s="169" t="s">
        <v>659</v>
      </c>
      <c r="BF56" s="169" t="s">
        <v>659</v>
      </c>
      <c r="BG56" s="169" t="s">
        <v>659</v>
      </c>
      <c r="BH56" s="169" t="s">
        <v>659</v>
      </c>
      <c r="BI56" s="169" t="s">
        <v>659</v>
      </c>
      <c r="BJ56" s="169" t="s">
        <v>659</v>
      </c>
      <c r="BK56" s="169" t="s">
        <v>659</v>
      </c>
      <c r="BL56" s="169" t="s">
        <v>659</v>
      </c>
      <c r="BM56" s="169" t="s">
        <v>659</v>
      </c>
      <c r="BN56" s="169" t="s">
        <v>659</v>
      </c>
      <c r="BO56" s="169" t="s">
        <v>659</v>
      </c>
      <c r="BP56" s="169" t="s">
        <v>659</v>
      </c>
      <c r="BQ56" s="169" t="s">
        <v>659</v>
      </c>
      <c r="BR56" s="169" t="s">
        <v>659</v>
      </c>
      <c r="BS56" s="169" t="s">
        <v>659</v>
      </c>
      <c r="BT56" s="169" t="s">
        <v>659</v>
      </c>
      <c r="BU56" s="169" t="s">
        <v>659</v>
      </c>
      <c r="BV56" s="169" t="s">
        <v>659</v>
      </c>
      <c r="BW56" s="169" t="s">
        <v>659</v>
      </c>
      <c r="BX56" s="169" t="s">
        <v>659</v>
      </c>
      <c r="BY56" s="169" t="s">
        <v>659</v>
      </c>
      <c r="BZ56" s="169" t="s">
        <v>659</v>
      </c>
      <c r="CA56" s="169" t="s">
        <v>659</v>
      </c>
      <c r="CB56" s="169" t="s">
        <v>659</v>
      </c>
      <c r="CC56" s="169" t="s">
        <v>659</v>
      </c>
      <c r="CD56" s="169" t="s">
        <v>659</v>
      </c>
    </row>
    <row x14ac:dyDescent="0.25" r="57" customHeight="1" ht="18.75">
      <c r="A57" s="1"/>
      <c r="B57" s="1050">
        <v>6</v>
      </c>
      <c r="C57" s="1049" t="s">
        <v>762</v>
      </c>
      <c r="D57" s="1049" t="s">
        <v>907</v>
      </c>
      <c r="E57" s="1049" t="s">
        <v>764</v>
      </c>
      <c r="F57" s="1049" t="s">
        <v>731</v>
      </c>
      <c r="G57" s="1049" t="s">
        <v>908</v>
      </c>
      <c r="H57" s="1049" t="s">
        <v>909</v>
      </c>
      <c r="I57" s="1049" t="s">
        <v>910</v>
      </c>
      <c r="J57" s="1049" t="s">
        <v>686</v>
      </c>
      <c r="K57" s="1049" t="s">
        <v>838</v>
      </c>
      <c r="L57" s="1049" t="s">
        <v>745</v>
      </c>
      <c r="M57" s="169" t="s">
        <v>745</v>
      </c>
      <c r="N57" s="169" t="s">
        <v>745</v>
      </c>
      <c r="O57" s="169" t="s">
        <v>745</v>
      </c>
      <c r="P57" s="169" t="s">
        <v>745</v>
      </c>
      <c r="Q57" s="169" t="s">
        <v>745</v>
      </c>
      <c r="R57" s="169" t="s">
        <v>745</v>
      </c>
      <c r="S57" s="169" t="s">
        <v>745</v>
      </c>
      <c r="T57" s="169" t="s">
        <v>745</v>
      </c>
      <c r="U57" s="169" t="s">
        <v>745</v>
      </c>
      <c r="V57" s="169" t="s">
        <v>745</v>
      </c>
      <c r="W57" s="169" t="s">
        <v>745</v>
      </c>
      <c r="X57" s="169" t="s">
        <v>745</v>
      </c>
      <c r="Y57" s="169" t="s">
        <v>745</v>
      </c>
      <c r="Z57" s="169" t="s">
        <v>745</v>
      </c>
      <c r="AA57" s="169" t="s">
        <v>745</v>
      </c>
      <c r="AB57" s="169" t="s">
        <v>745</v>
      </c>
      <c r="AC57" s="169" t="s">
        <v>745</v>
      </c>
      <c r="AD57" s="169" t="s">
        <v>745</v>
      </c>
      <c r="AE57" s="169" t="s">
        <v>745</v>
      </c>
      <c r="AF57" s="169" t="s">
        <v>745</v>
      </c>
      <c r="AG57" s="169" t="s">
        <v>745</v>
      </c>
      <c r="AH57" s="169" t="s">
        <v>745</v>
      </c>
      <c r="AI57" s="169" t="s">
        <v>745</v>
      </c>
      <c r="AJ57" s="169" t="s">
        <v>745</v>
      </c>
      <c r="AK57" s="169" t="s">
        <v>745</v>
      </c>
      <c r="AL57" s="169" t="s">
        <v>745</v>
      </c>
      <c r="AM57" s="169" t="s">
        <v>745</v>
      </c>
      <c r="AN57" s="169" t="s">
        <v>745</v>
      </c>
      <c r="AO57" s="169" t="s">
        <v>745</v>
      </c>
      <c r="AP57" s="169" t="s">
        <v>745</v>
      </c>
      <c r="AQ57" s="169" t="s">
        <v>745</v>
      </c>
      <c r="AR57" s="169" t="s">
        <v>745</v>
      </c>
      <c r="AS57" s="169" t="s">
        <v>745</v>
      </c>
      <c r="AT57" s="169" t="s">
        <v>745</v>
      </c>
      <c r="AU57" s="169" t="s">
        <v>745</v>
      </c>
      <c r="AV57" s="169" t="s">
        <v>745</v>
      </c>
      <c r="AW57" s="169" t="s">
        <v>745</v>
      </c>
      <c r="AX57" s="169" t="s">
        <v>745</v>
      </c>
      <c r="AY57" s="169" t="s">
        <v>745</v>
      </c>
      <c r="AZ57" s="169" t="s">
        <v>745</v>
      </c>
      <c r="BA57" s="169" t="s">
        <v>745</v>
      </c>
      <c r="BB57" s="169" t="s">
        <v>745</v>
      </c>
      <c r="BC57" s="169" t="s">
        <v>745</v>
      </c>
      <c r="BD57" s="169" t="s">
        <v>745</v>
      </c>
      <c r="BE57" s="169" t="s">
        <v>745</v>
      </c>
      <c r="BF57" s="169" t="s">
        <v>745</v>
      </c>
      <c r="BG57" s="169" t="s">
        <v>745</v>
      </c>
      <c r="BH57" s="169" t="s">
        <v>745</v>
      </c>
      <c r="BI57" s="169" t="s">
        <v>745</v>
      </c>
      <c r="BJ57" s="169" t="s">
        <v>745</v>
      </c>
      <c r="BK57" s="169" t="s">
        <v>745</v>
      </c>
      <c r="BL57" s="169" t="s">
        <v>745</v>
      </c>
      <c r="BM57" s="169" t="s">
        <v>745</v>
      </c>
      <c r="BN57" s="169" t="s">
        <v>745</v>
      </c>
      <c r="BO57" s="169" t="s">
        <v>745</v>
      </c>
      <c r="BP57" s="169" t="s">
        <v>745</v>
      </c>
      <c r="BQ57" s="169" t="s">
        <v>745</v>
      </c>
      <c r="BR57" s="169" t="s">
        <v>745</v>
      </c>
      <c r="BS57" s="169" t="s">
        <v>745</v>
      </c>
      <c r="BT57" s="169" t="s">
        <v>745</v>
      </c>
      <c r="BU57" s="169" t="s">
        <v>745</v>
      </c>
      <c r="BV57" s="169" t="s">
        <v>745</v>
      </c>
      <c r="BW57" s="169" t="s">
        <v>745</v>
      </c>
      <c r="BX57" s="169" t="s">
        <v>745</v>
      </c>
      <c r="BY57" s="169" t="s">
        <v>745</v>
      </c>
      <c r="BZ57" s="169" t="s">
        <v>745</v>
      </c>
      <c r="CA57" s="169" t="s">
        <v>745</v>
      </c>
      <c r="CB57" s="169" t="s">
        <v>745</v>
      </c>
      <c r="CC57" s="169" t="s">
        <v>745</v>
      </c>
      <c r="CD57" s="169" t="s">
        <v>745</v>
      </c>
    </row>
    <row x14ac:dyDescent="0.25" r="58" customHeight="1" ht="18.75">
      <c r="A58" s="1"/>
      <c r="B58" s="1050">
        <v>5</v>
      </c>
      <c r="C58" s="1049" t="s">
        <v>769</v>
      </c>
      <c r="D58" s="1049" t="s">
        <v>770</v>
      </c>
      <c r="E58" s="1049" t="s">
        <v>771</v>
      </c>
      <c r="F58" s="1049" t="s">
        <v>911</v>
      </c>
      <c r="G58" s="1049" t="s">
        <v>876</v>
      </c>
      <c r="H58" s="1049" t="s">
        <v>883</v>
      </c>
      <c r="I58" s="1049" t="s">
        <v>912</v>
      </c>
      <c r="J58" s="1049" t="s">
        <v>870</v>
      </c>
      <c r="K58" s="1049" t="s">
        <v>901</v>
      </c>
      <c r="L58" s="1049" t="s">
        <v>752</v>
      </c>
      <c r="M58" s="169" t="s">
        <v>752</v>
      </c>
      <c r="N58" s="169" t="s">
        <v>752</v>
      </c>
      <c r="O58" s="169" t="s">
        <v>752</v>
      </c>
      <c r="P58" s="169" t="s">
        <v>752</v>
      </c>
      <c r="Q58" s="169" t="s">
        <v>752</v>
      </c>
      <c r="R58" s="169" t="s">
        <v>752</v>
      </c>
      <c r="S58" s="169" t="s">
        <v>752</v>
      </c>
      <c r="T58" s="169" t="s">
        <v>752</v>
      </c>
      <c r="U58" s="169" t="s">
        <v>752</v>
      </c>
      <c r="V58" s="169" t="s">
        <v>752</v>
      </c>
      <c r="W58" s="169" t="s">
        <v>752</v>
      </c>
      <c r="X58" s="169" t="s">
        <v>752</v>
      </c>
      <c r="Y58" s="169" t="s">
        <v>752</v>
      </c>
      <c r="Z58" s="169" t="s">
        <v>752</v>
      </c>
      <c r="AA58" s="169" t="s">
        <v>752</v>
      </c>
      <c r="AB58" s="169" t="s">
        <v>752</v>
      </c>
      <c r="AC58" s="169" t="s">
        <v>752</v>
      </c>
      <c r="AD58" s="169" t="s">
        <v>752</v>
      </c>
      <c r="AE58" s="169" t="s">
        <v>752</v>
      </c>
      <c r="AF58" s="169" t="s">
        <v>752</v>
      </c>
      <c r="AG58" s="169" t="s">
        <v>752</v>
      </c>
      <c r="AH58" s="169" t="s">
        <v>752</v>
      </c>
      <c r="AI58" s="169" t="s">
        <v>752</v>
      </c>
      <c r="AJ58" s="169" t="s">
        <v>752</v>
      </c>
      <c r="AK58" s="169" t="s">
        <v>752</v>
      </c>
      <c r="AL58" s="169" t="s">
        <v>752</v>
      </c>
      <c r="AM58" s="169" t="s">
        <v>752</v>
      </c>
      <c r="AN58" s="169" t="s">
        <v>752</v>
      </c>
      <c r="AO58" s="169" t="s">
        <v>752</v>
      </c>
      <c r="AP58" s="169" t="s">
        <v>752</v>
      </c>
      <c r="AQ58" s="169" t="s">
        <v>752</v>
      </c>
      <c r="AR58" s="169" t="s">
        <v>752</v>
      </c>
      <c r="AS58" s="169" t="s">
        <v>752</v>
      </c>
      <c r="AT58" s="169" t="s">
        <v>752</v>
      </c>
      <c r="AU58" s="169" t="s">
        <v>752</v>
      </c>
      <c r="AV58" s="169" t="s">
        <v>752</v>
      </c>
      <c r="AW58" s="169" t="s">
        <v>752</v>
      </c>
      <c r="AX58" s="169" t="s">
        <v>752</v>
      </c>
      <c r="AY58" s="169" t="s">
        <v>752</v>
      </c>
      <c r="AZ58" s="169" t="s">
        <v>752</v>
      </c>
      <c r="BA58" s="169" t="s">
        <v>752</v>
      </c>
      <c r="BB58" s="169" t="s">
        <v>752</v>
      </c>
      <c r="BC58" s="169" t="s">
        <v>752</v>
      </c>
      <c r="BD58" s="169" t="s">
        <v>752</v>
      </c>
      <c r="BE58" s="169" t="s">
        <v>752</v>
      </c>
      <c r="BF58" s="169" t="s">
        <v>752</v>
      </c>
      <c r="BG58" s="169" t="s">
        <v>752</v>
      </c>
      <c r="BH58" s="169" t="s">
        <v>752</v>
      </c>
      <c r="BI58" s="169" t="s">
        <v>752</v>
      </c>
      <c r="BJ58" s="169" t="s">
        <v>752</v>
      </c>
      <c r="BK58" s="169" t="s">
        <v>752</v>
      </c>
      <c r="BL58" s="169" t="s">
        <v>752</v>
      </c>
      <c r="BM58" s="169" t="s">
        <v>752</v>
      </c>
      <c r="BN58" s="169" t="s">
        <v>752</v>
      </c>
      <c r="BO58" s="169" t="s">
        <v>752</v>
      </c>
      <c r="BP58" s="169" t="s">
        <v>752</v>
      </c>
      <c r="BQ58" s="169" t="s">
        <v>752</v>
      </c>
      <c r="BR58" s="169" t="s">
        <v>752</v>
      </c>
      <c r="BS58" s="169" t="s">
        <v>752</v>
      </c>
      <c r="BT58" s="169" t="s">
        <v>752</v>
      </c>
      <c r="BU58" s="169" t="s">
        <v>752</v>
      </c>
      <c r="BV58" s="169" t="s">
        <v>752</v>
      </c>
      <c r="BW58" s="169" t="s">
        <v>752</v>
      </c>
      <c r="BX58" s="169" t="s">
        <v>752</v>
      </c>
      <c r="BY58" s="169" t="s">
        <v>752</v>
      </c>
      <c r="BZ58" s="169" t="s">
        <v>752</v>
      </c>
      <c r="CA58" s="169" t="s">
        <v>752</v>
      </c>
      <c r="CB58" s="169" t="s">
        <v>752</v>
      </c>
      <c r="CC58" s="169" t="s">
        <v>752</v>
      </c>
      <c r="CD58" s="169" t="s">
        <v>752</v>
      </c>
    </row>
    <row x14ac:dyDescent="0.25" r="59" customHeight="1" ht="18.75">
      <c r="A59" s="1"/>
      <c r="B59" s="1050">
        <v>4</v>
      </c>
      <c r="C59" s="1049" t="s">
        <v>913</v>
      </c>
      <c r="D59" s="1049" t="s">
        <v>914</v>
      </c>
      <c r="E59" s="1049" t="s">
        <v>903</v>
      </c>
      <c r="F59" s="1049" t="s">
        <v>904</v>
      </c>
      <c r="G59" s="1049" t="s">
        <v>905</v>
      </c>
      <c r="H59" s="1049" t="s">
        <v>758</v>
      </c>
      <c r="I59" s="1049" t="s">
        <v>733</v>
      </c>
      <c r="J59" s="1049" t="s">
        <v>906</v>
      </c>
      <c r="K59" s="1049" t="s">
        <v>898</v>
      </c>
      <c r="L59" s="1049" t="s">
        <v>658</v>
      </c>
      <c r="M59" s="169" t="s">
        <v>658</v>
      </c>
      <c r="N59" s="169" t="s">
        <v>658</v>
      </c>
      <c r="O59" s="169" t="s">
        <v>658</v>
      </c>
      <c r="P59" s="169" t="s">
        <v>658</v>
      </c>
      <c r="Q59" s="169" t="s">
        <v>658</v>
      </c>
      <c r="R59" s="169" t="s">
        <v>658</v>
      </c>
      <c r="S59" s="169" t="s">
        <v>658</v>
      </c>
      <c r="T59" s="169" t="s">
        <v>658</v>
      </c>
      <c r="U59" s="169" t="s">
        <v>658</v>
      </c>
      <c r="V59" s="169" t="s">
        <v>658</v>
      </c>
      <c r="W59" s="169" t="s">
        <v>658</v>
      </c>
      <c r="X59" s="169" t="s">
        <v>658</v>
      </c>
      <c r="Y59" s="169" t="s">
        <v>658</v>
      </c>
      <c r="Z59" s="169" t="s">
        <v>658</v>
      </c>
      <c r="AA59" s="169" t="s">
        <v>658</v>
      </c>
      <c r="AB59" s="169" t="s">
        <v>658</v>
      </c>
      <c r="AC59" s="169" t="s">
        <v>658</v>
      </c>
      <c r="AD59" s="169" t="s">
        <v>658</v>
      </c>
      <c r="AE59" s="169" t="s">
        <v>658</v>
      </c>
      <c r="AF59" s="169" t="s">
        <v>658</v>
      </c>
      <c r="AG59" s="169" t="s">
        <v>658</v>
      </c>
      <c r="AH59" s="169" t="s">
        <v>658</v>
      </c>
      <c r="AI59" s="169" t="s">
        <v>658</v>
      </c>
      <c r="AJ59" s="169" t="s">
        <v>658</v>
      </c>
      <c r="AK59" s="169" t="s">
        <v>658</v>
      </c>
      <c r="AL59" s="169" t="s">
        <v>658</v>
      </c>
      <c r="AM59" s="169" t="s">
        <v>658</v>
      </c>
      <c r="AN59" s="169" t="s">
        <v>658</v>
      </c>
      <c r="AO59" s="169" t="s">
        <v>658</v>
      </c>
      <c r="AP59" s="169" t="s">
        <v>658</v>
      </c>
      <c r="AQ59" s="169" t="s">
        <v>658</v>
      </c>
      <c r="AR59" s="169" t="s">
        <v>658</v>
      </c>
      <c r="AS59" s="169" t="s">
        <v>658</v>
      </c>
      <c r="AT59" s="169" t="s">
        <v>658</v>
      </c>
      <c r="AU59" s="169" t="s">
        <v>658</v>
      </c>
      <c r="AV59" s="169" t="s">
        <v>658</v>
      </c>
      <c r="AW59" s="169" t="s">
        <v>658</v>
      </c>
      <c r="AX59" s="169" t="s">
        <v>658</v>
      </c>
      <c r="AY59" s="169" t="s">
        <v>658</v>
      </c>
      <c r="AZ59" s="169" t="s">
        <v>658</v>
      </c>
      <c r="BA59" s="169" t="s">
        <v>658</v>
      </c>
      <c r="BB59" s="169" t="s">
        <v>658</v>
      </c>
      <c r="BC59" s="169" t="s">
        <v>658</v>
      </c>
      <c r="BD59" s="169" t="s">
        <v>658</v>
      </c>
      <c r="BE59" s="169" t="s">
        <v>658</v>
      </c>
      <c r="BF59" s="169" t="s">
        <v>658</v>
      </c>
      <c r="BG59" s="169" t="s">
        <v>658</v>
      </c>
      <c r="BH59" s="169" t="s">
        <v>658</v>
      </c>
      <c r="BI59" s="169" t="s">
        <v>658</v>
      </c>
      <c r="BJ59" s="169" t="s">
        <v>658</v>
      </c>
      <c r="BK59" s="169" t="s">
        <v>658</v>
      </c>
      <c r="BL59" s="169" t="s">
        <v>658</v>
      </c>
      <c r="BM59" s="169" t="s">
        <v>658</v>
      </c>
      <c r="BN59" s="169" t="s">
        <v>658</v>
      </c>
      <c r="BO59" s="169" t="s">
        <v>658</v>
      </c>
      <c r="BP59" s="169" t="s">
        <v>658</v>
      </c>
      <c r="BQ59" s="169" t="s">
        <v>658</v>
      </c>
      <c r="BR59" s="169" t="s">
        <v>658</v>
      </c>
      <c r="BS59" s="169" t="s">
        <v>658</v>
      </c>
      <c r="BT59" s="169" t="s">
        <v>658</v>
      </c>
      <c r="BU59" s="169" t="s">
        <v>658</v>
      </c>
      <c r="BV59" s="169" t="s">
        <v>658</v>
      </c>
      <c r="BW59" s="169" t="s">
        <v>658</v>
      </c>
      <c r="BX59" s="169" t="s">
        <v>658</v>
      </c>
      <c r="BY59" s="169" t="s">
        <v>658</v>
      </c>
      <c r="BZ59" s="169" t="s">
        <v>658</v>
      </c>
      <c r="CA59" s="169" t="s">
        <v>658</v>
      </c>
      <c r="CB59" s="169" t="s">
        <v>658</v>
      </c>
      <c r="CC59" s="169" t="s">
        <v>658</v>
      </c>
      <c r="CD59" s="169" t="s">
        <v>658</v>
      </c>
    </row>
    <row x14ac:dyDescent="0.25" r="60" customHeight="1" ht="18.75">
      <c r="A60" s="1"/>
      <c r="B60" s="1050">
        <v>3</v>
      </c>
      <c r="C60" s="1049" t="s">
        <v>786</v>
      </c>
      <c r="D60" s="1049" t="s">
        <v>915</v>
      </c>
      <c r="E60" s="1049" t="s">
        <v>788</v>
      </c>
      <c r="F60" s="1049" t="s">
        <v>916</v>
      </c>
      <c r="G60" s="1049" t="s">
        <v>917</v>
      </c>
      <c r="H60" s="1049" t="s">
        <v>918</v>
      </c>
      <c r="I60" s="1049" t="s">
        <v>758</v>
      </c>
      <c r="J60" s="1049" t="s">
        <v>919</v>
      </c>
      <c r="K60" s="1049" t="s">
        <v>734</v>
      </c>
      <c r="L60" s="1049" t="s">
        <v>920</v>
      </c>
      <c r="M60" s="169" t="s">
        <v>920</v>
      </c>
      <c r="N60" s="169" t="s">
        <v>920</v>
      </c>
      <c r="O60" s="169" t="s">
        <v>920</v>
      </c>
      <c r="P60" s="169" t="s">
        <v>920</v>
      </c>
      <c r="Q60" s="169" t="s">
        <v>920</v>
      </c>
      <c r="R60" s="169" t="s">
        <v>920</v>
      </c>
      <c r="S60" s="169" t="s">
        <v>920</v>
      </c>
      <c r="T60" s="169" t="s">
        <v>920</v>
      </c>
      <c r="U60" s="169" t="s">
        <v>920</v>
      </c>
      <c r="V60" s="169" t="s">
        <v>920</v>
      </c>
      <c r="W60" s="169" t="s">
        <v>920</v>
      </c>
      <c r="X60" s="169" t="s">
        <v>920</v>
      </c>
      <c r="Y60" s="169" t="s">
        <v>920</v>
      </c>
      <c r="Z60" s="169" t="s">
        <v>920</v>
      </c>
      <c r="AA60" s="169" t="s">
        <v>920</v>
      </c>
      <c r="AB60" s="169" t="s">
        <v>920</v>
      </c>
      <c r="AC60" s="169" t="s">
        <v>920</v>
      </c>
      <c r="AD60" s="169" t="s">
        <v>920</v>
      </c>
      <c r="AE60" s="169" t="s">
        <v>920</v>
      </c>
      <c r="AF60" s="169" t="s">
        <v>920</v>
      </c>
      <c r="AG60" s="169" t="s">
        <v>920</v>
      </c>
      <c r="AH60" s="169" t="s">
        <v>920</v>
      </c>
      <c r="AI60" s="169" t="s">
        <v>920</v>
      </c>
      <c r="AJ60" s="169" t="s">
        <v>920</v>
      </c>
      <c r="AK60" s="169" t="s">
        <v>920</v>
      </c>
      <c r="AL60" s="169" t="s">
        <v>920</v>
      </c>
      <c r="AM60" s="169" t="s">
        <v>920</v>
      </c>
      <c r="AN60" s="169" t="s">
        <v>920</v>
      </c>
      <c r="AO60" s="169" t="s">
        <v>920</v>
      </c>
      <c r="AP60" s="169" t="s">
        <v>920</v>
      </c>
      <c r="AQ60" s="169" t="s">
        <v>920</v>
      </c>
      <c r="AR60" s="169" t="s">
        <v>920</v>
      </c>
      <c r="AS60" s="169" t="s">
        <v>920</v>
      </c>
      <c r="AT60" s="169" t="s">
        <v>920</v>
      </c>
      <c r="AU60" s="169" t="s">
        <v>920</v>
      </c>
      <c r="AV60" s="169" t="s">
        <v>920</v>
      </c>
      <c r="AW60" s="169" t="s">
        <v>920</v>
      </c>
      <c r="AX60" s="169" t="s">
        <v>920</v>
      </c>
      <c r="AY60" s="169" t="s">
        <v>920</v>
      </c>
      <c r="AZ60" s="169" t="s">
        <v>920</v>
      </c>
      <c r="BA60" s="169" t="s">
        <v>920</v>
      </c>
      <c r="BB60" s="169" t="s">
        <v>920</v>
      </c>
      <c r="BC60" s="169" t="s">
        <v>920</v>
      </c>
      <c r="BD60" s="169" t="s">
        <v>920</v>
      </c>
      <c r="BE60" s="169" t="s">
        <v>920</v>
      </c>
      <c r="BF60" s="169" t="s">
        <v>920</v>
      </c>
      <c r="BG60" s="169" t="s">
        <v>920</v>
      </c>
      <c r="BH60" s="169" t="s">
        <v>920</v>
      </c>
      <c r="BI60" s="169" t="s">
        <v>920</v>
      </c>
      <c r="BJ60" s="169" t="s">
        <v>920</v>
      </c>
      <c r="BK60" s="169" t="s">
        <v>920</v>
      </c>
      <c r="BL60" s="169" t="s">
        <v>920</v>
      </c>
      <c r="BM60" s="169" t="s">
        <v>920</v>
      </c>
      <c r="BN60" s="169" t="s">
        <v>920</v>
      </c>
      <c r="BO60" s="169" t="s">
        <v>920</v>
      </c>
      <c r="BP60" s="169" t="s">
        <v>920</v>
      </c>
      <c r="BQ60" s="169" t="s">
        <v>920</v>
      </c>
      <c r="BR60" s="169" t="s">
        <v>920</v>
      </c>
      <c r="BS60" s="169" t="s">
        <v>920</v>
      </c>
      <c r="BT60" s="169" t="s">
        <v>920</v>
      </c>
      <c r="BU60" s="169" t="s">
        <v>920</v>
      </c>
      <c r="BV60" s="169" t="s">
        <v>920</v>
      </c>
      <c r="BW60" s="169" t="s">
        <v>920</v>
      </c>
      <c r="BX60" s="169" t="s">
        <v>920</v>
      </c>
      <c r="BY60" s="169" t="s">
        <v>920</v>
      </c>
      <c r="BZ60" s="169" t="s">
        <v>920</v>
      </c>
      <c r="CA60" s="169" t="s">
        <v>920</v>
      </c>
      <c r="CB60" s="169" t="s">
        <v>920</v>
      </c>
      <c r="CC60" s="169" t="s">
        <v>920</v>
      </c>
      <c r="CD60" s="169" t="s">
        <v>920</v>
      </c>
    </row>
    <row x14ac:dyDescent="0.25" r="61" customHeight="1" ht="18.75">
      <c r="A61" s="1"/>
      <c r="B61" s="1050">
        <v>2</v>
      </c>
      <c r="C61" s="1049" t="s">
        <v>921</v>
      </c>
      <c r="D61" s="1049" t="s">
        <v>795</v>
      </c>
      <c r="E61" s="1049" t="s">
        <v>922</v>
      </c>
      <c r="F61" s="1049" t="s">
        <v>923</v>
      </c>
      <c r="G61" s="1049" t="s">
        <v>924</v>
      </c>
      <c r="H61" s="1049" t="s">
        <v>925</v>
      </c>
      <c r="I61" s="1049" t="s">
        <v>908</v>
      </c>
      <c r="J61" s="1049" t="s">
        <v>926</v>
      </c>
      <c r="K61" s="1049" t="s">
        <v>897</v>
      </c>
      <c r="L61" s="1049" t="s">
        <v>927</v>
      </c>
      <c r="M61" s="169" t="s">
        <v>927</v>
      </c>
      <c r="N61" s="169" t="s">
        <v>927</v>
      </c>
      <c r="O61" s="169" t="s">
        <v>927</v>
      </c>
      <c r="P61" s="169" t="s">
        <v>927</v>
      </c>
      <c r="Q61" s="169" t="s">
        <v>927</v>
      </c>
      <c r="R61" s="169" t="s">
        <v>927</v>
      </c>
      <c r="S61" s="169" t="s">
        <v>927</v>
      </c>
      <c r="T61" s="169" t="s">
        <v>927</v>
      </c>
      <c r="U61" s="169" t="s">
        <v>927</v>
      </c>
      <c r="V61" s="169" t="s">
        <v>927</v>
      </c>
      <c r="W61" s="169" t="s">
        <v>927</v>
      </c>
      <c r="X61" s="169" t="s">
        <v>927</v>
      </c>
      <c r="Y61" s="169" t="s">
        <v>927</v>
      </c>
      <c r="Z61" s="169" t="s">
        <v>927</v>
      </c>
      <c r="AA61" s="169" t="s">
        <v>927</v>
      </c>
      <c r="AB61" s="169" t="s">
        <v>927</v>
      </c>
      <c r="AC61" s="169" t="s">
        <v>927</v>
      </c>
      <c r="AD61" s="169" t="s">
        <v>927</v>
      </c>
      <c r="AE61" s="169" t="s">
        <v>927</v>
      </c>
      <c r="AF61" s="169" t="s">
        <v>927</v>
      </c>
      <c r="AG61" s="169" t="s">
        <v>927</v>
      </c>
      <c r="AH61" s="169" t="s">
        <v>927</v>
      </c>
      <c r="AI61" s="169" t="s">
        <v>927</v>
      </c>
      <c r="AJ61" s="169" t="s">
        <v>927</v>
      </c>
      <c r="AK61" s="169" t="s">
        <v>927</v>
      </c>
      <c r="AL61" s="169" t="s">
        <v>927</v>
      </c>
      <c r="AM61" s="169" t="s">
        <v>927</v>
      </c>
      <c r="AN61" s="169" t="s">
        <v>927</v>
      </c>
      <c r="AO61" s="169" t="s">
        <v>927</v>
      </c>
      <c r="AP61" s="169" t="s">
        <v>927</v>
      </c>
      <c r="AQ61" s="169" t="s">
        <v>927</v>
      </c>
      <c r="AR61" s="169" t="s">
        <v>927</v>
      </c>
      <c r="AS61" s="169" t="s">
        <v>927</v>
      </c>
      <c r="AT61" s="169" t="s">
        <v>927</v>
      </c>
      <c r="AU61" s="169" t="s">
        <v>927</v>
      </c>
      <c r="AV61" s="169" t="s">
        <v>927</v>
      </c>
      <c r="AW61" s="169" t="s">
        <v>927</v>
      </c>
      <c r="AX61" s="169" t="s">
        <v>927</v>
      </c>
      <c r="AY61" s="169" t="s">
        <v>927</v>
      </c>
      <c r="AZ61" s="169" t="s">
        <v>927</v>
      </c>
      <c r="BA61" s="169" t="s">
        <v>927</v>
      </c>
      <c r="BB61" s="169" t="s">
        <v>927</v>
      </c>
      <c r="BC61" s="169" t="s">
        <v>927</v>
      </c>
      <c r="BD61" s="169" t="s">
        <v>927</v>
      </c>
      <c r="BE61" s="169" t="s">
        <v>927</v>
      </c>
      <c r="BF61" s="169" t="s">
        <v>927</v>
      </c>
      <c r="BG61" s="169" t="s">
        <v>927</v>
      </c>
      <c r="BH61" s="169" t="s">
        <v>927</v>
      </c>
      <c r="BI61" s="169" t="s">
        <v>927</v>
      </c>
      <c r="BJ61" s="169" t="s">
        <v>927</v>
      </c>
      <c r="BK61" s="169" t="s">
        <v>927</v>
      </c>
      <c r="BL61" s="169" t="s">
        <v>927</v>
      </c>
      <c r="BM61" s="169" t="s">
        <v>927</v>
      </c>
      <c r="BN61" s="169" t="s">
        <v>927</v>
      </c>
      <c r="BO61" s="169" t="s">
        <v>927</v>
      </c>
      <c r="BP61" s="169" t="s">
        <v>927</v>
      </c>
      <c r="BQ61" s="169" t="s">
        <v>927</v>
      </c>
      <c r="BR61" s="169" t="s">
        <v>927</v>
      </c>
      <c r="BS61" s="169" t="s">
        <v>927</v>
      </c>
      <c r="BT61" s="169" t="s">
        <v>927</v>
      </c>
      <c r="BU61" s="169" t="s">
        <v>927</v>
      </c>
      <c r="BV61" s="169" t="s">
        <v>927</v>
      </c>
      <c r="BW61" s="169" t="s">
        <v>927</v>
      </c>
      <c r="BX61" s="169" t="s">
        <v>927</v>
      </c>
      <c r="BY61" s="169" t="s">
        <v>927</v>
      </c>
      <c r="BZ61" s="169" t="s">
        <v>927</v>
      </c>
      <c r="CA61" s="169" t="s">
        <v>927</v>
      </c>
      <c r="CB61" s="169" t="s">
        <v>927</v>
      </c>
      <c r="CC61" s="169" t="s">
        <v>927</v>
      </c>
      <c r="CD61" s="169" t="s">
        <v>927</v>
      </c>
    </row>
    <row x14ac:dyDescent="0.25" r="62" customHeight="1" ht="18.75">
      <c r="A62" s="1"/>
      <c r="B62" s="1050">
        <v>1</v>
      </c>
      <c r="C62" s="1049" t="s">
        <v>928</v>
      </c>
      <c r="D62" s="1049" t="s">
        <v>929</v>
      </c>
      <c r="E62" s="1049" t="s">
        <v>762</v>
      </c>
      <c r="F62" s="1049" t="s">
        <v>930</v>
      </c>
      <c r="G62" s="1049" t="s">
        <v>730</v>
      </c>
      <c r="H62" s="1049" t="s">
        <v>772</v>
      </c>
      <c r="I62" s="1049" t="s">
        <v>876</v>
      </c>
      <c r="J62" s="1049" t="s">
        <v>883</v>
      </c>
      <c r="K62" s="1049" t="s">
        <v>750</v>
      </c>
      <c r="L62" s="1049" t="s">
        <v>751</v>
      </c>
      <c r="M62" s="169" t="s">
        <v>751</v>
      </c>
      <c r="N62" s="169" t="s">
        <v>751</v>
      </c>
      <c r="O62" s="169" t="s">
        <v>751</v>
      </c>
      <c r="P62" s="169" t="s">
        <v>751</v>
      </c>
      <c r="Q62" s="169" t="s">
        <v>751</v>
      </c>
      <c r="R62" s="169" t="s">
        <v>751</v>
      </c>
      <c r="S62" s="169" t="s">
        <v>751</v>
      </c>
      <c r="T62" s="169" t="s">
        <v>751</v>
      </c>
      <c r="U62" s="169" t="s">
        <v>751</v>
      </c>
      <c r="V62" s="169" t="s">
        <v>751</v>
      </c>
      <c r="W62" s="169" t="s">
        <v>751</v>
      </c>
      <c r="X62" s="169" t="s">
        <v>751</v>
      </c>
      <c r="Y62" s="169" t="s">
        <v>751</v>
      </c>
      <c r="Z62" s="169" t="s">
        <v>751</v>
      </c>
      <c r="AA62" s="169" t="s">
        <v>751</v>
      </c>
      <c r="AB62" s="169" t="s">
        <v>751</v>
      </c>
      <c r="AC62" s="169" t="s">
        <v>751</v>
      </c>
      <c r="AD62" s="169" t="s">
        <v>751</v>
      </c>
      <c r="AE62" s="169" t="s">
        <v>751</v>
      </c>
      <c r="AF62" s="169" t="s">
        <v>751</v>
      </c>
      <c r="AG62" s="169" t="s">
        <v>751</v>
      </c>
      <c r="AH62" s="169" t="s">
        <v>751</v>
      </c>
      <c r="AI62" s="169" t="s">
        <v>751</v>
      </c>
      <c r="AJ62" s="169" t="s">
        <v>751</v>
      </c>
      <c r="AK62" s="169" t="s">
        <v>751</v>
      </c>
      <c r="AL62" s="169" t="s">
        <v>751</v>
      </c>
      <c r="AM62" s="169" t="s">
        <v>751</v>
      </c>
      <c r="AN62" s="169" t="s">
        <v>751</v>
      </c>
      <c r="AO62" s="169" t="s">
        <v>751</v>
      </c>
      <c r="AP62" s="169" t="s">
        <v>751</v>
      </c>
      <c r="AQ62" s="169" t="s">
        <v>751</v>
      </c>
      <c r="AR62" s="169" t="s">
        <v>751</v>
      </c>
      <c r="AS62" s="169" t="s">
        <v>751</v>
      </c>
      <c r="AT62" s="169" t="s">
        <v>751</v>
      </c>
      <c r="AU62" s="169" t="s">
        <v>751</v>
      </c>
      <c r="AV62" s="169" t="s">
        <v>751</v>
      </c>
      <c r="AW62" s="169" t="s">
        <v>751</v>
      </c>
      <c r="AX62" s="169" t="s">
        <v>751</v>
      </c>
      <c r="AY62" s="169" t="s">
        <v>751</v>
      </c>
      <c r="AZ62" s="169" t="s">
        <v>751</v>
      </c>
      <c r="BA62" s="169" t="s">
        <v>751</v>
      </c>
      <c r="BB62" s="169" t="s">
        <v>751</v>
      </c>
      <c r="BC62" s="169" t="s">
        <v>751</v>
      </c>
      <c r="BD62" s="169" t="s">
        <v>751</v>
      </c>
      <c r="BE62" s="169" t="s">
        <v>751</v>
      </c>
      <c r="BF62" s="169" t="s">
        <v>751</v>
      </c>
      <c r="BG62" s="169" t="s">
        <v>751</v>
      </c>
      <c r="BH62" s="169" t="s">
        <v>751</v>
      </c>
      <c r="BI62" s="169" t="s">
        <v>751</v>
      </c>
      <c r="BJ62" s="169" t="s">
        <v>751</v>
      </c>
      <c r="BK62" s="169" t="s">
        <v>751</v>
      </c>
      <c r="BL62" s="169" t="s">
        <v>751</v>
      </c>
      <c r="BM62" s="169" t="s">
        <v>751</v>
      </c>
      <c r="BN62" s="169" t="s">
        <v>751</v>
      </c>
      <c r="BO62" s="169" t="s">
        <v>751</v>
      </c>
      <c r="BP62" s="169" t="s">
        <v>751</v>
      </c>
      <c r="BQ62" s="169" t="s">
        <v>751</v>
      </c>
      <c r="BR62" s="169" t="s">
        <v>751</v>
      </c>
      <c r="BS62" s="169" t="s">
        <v>751</v>
      </c>
      <c r="BT62" s="169" t="s">
        <v>751</v>
      </c>
      <c r="BU62" s="169" t="s">
        <v>751</v>
      </c>
      <c r="BV62" s="169" t="s">
        <v>751</v>
      </c>
      <c r="BW62" s="169" t="s">
        <v>751</v>
      </c>
      <c r="BX62" s="169" t="s">
        <v>751</v>
      </c>
      <c r="BY62" s="169" t="s">
        <v>751</v>
      </c>
      <c r="BZ62" s="169" t="s">
        <v>751</v>
      </c>
      <c r="CA62" s="169" t="s">
        <v>751</v>
      </c>
      <c r="CB62" s="169" t="s">
        <v>751</v>
      </c>
      <c r="CC62" s="169" t="s">
        <v>751</v>
      </c>
      <c r="CD62" s="169" t="s">
        <v>751</v>
      </c>
    </row>
    <row x14ac:dyDescent="0.25" r="63" customHeight="1" ht="18.75">
      <c r="A63" s="1"/>
      <c r="B63" s="320"/>
      <c r="C63" s="169"/>
      <c r="D63" s="169"/>
      <c r="E63" s="169"/>
      <c r="F63" s="169"/>
      <c r="G63" s="169"/>
      <c r="H63" s="169"/>
      <c r="I63" s="169"/>
      <c r="J63" s="169"/>
      <c r="K63" s="169"/>
      <c r="L63" s="169"/>
      <c r="M63" s="169"/>
      <c r="N63" s="169"/>
      <c r="O63" s="169"/>
      <c r="P63" s="169"/>
      <c r="Q63" s="169"/>
      <c r="R63" s="169"/>
      <c r="S63" s="169"/>
      <c r="T63" s="169"/>
      <c r="U63" s="169"/>
      <c r="V63" s="169"/>
      <c r="W63" s="169"/>
      <c r="X63" s="169"/>
      <c r="Y63" s="169"/>
      <c r="Z63" s="169"/>
      <c r="AA63" s="169"/>
      <c r="AB63" s="169"/>
      <c r="AC63" s="169"/>
      <c r="AD63" s="169"/>
      <c r="AE63" s="169"/>
      <c r="AF63" s="169"/>
      <c r="AG63" s="169"/>
      <c r="AH63" s="169"/>
      <c r="AI63" s="169"/>
      <c r="AJ63" s="169"/>
      <c r="AK63" s="169"/>
      <c r="AL63" s="169"/>
      <c r="AM63" s="169"/>
      <c r="AN63" s="169"/>
      <c r="AO63" s="169"/>
      <c r="AP63" s="169"/>
      <c r="AQ63" s="169"/>
      <c r="AR63" s="169"/>
      <c r="AS63" s="169"/>
      <c r="AT63" s="169"/>
      <c r="AU63" s="169"/>
      <c r="AV63" s="169"/>
      <c r="AW63" s="169"/>
      <c r="AX63" s="169"/>
      <c r="AY63" s="169"/>
      <c r="AZ63" s="169"/>
      <c r="BA63" s="169"/>
      <c r="BB63" s="169"/>
      <c r="BC63" s="169"/>
      <c r="BD63" s="169"/>
      <c r="BE63" s="169"/>
      <c r="BF63" s="169"/>
      <c r="BG63" s="169"/>
      <c r="BH63" s="169"/>
      <c r="BI63" s="169"/>
      <c r="BJ63" s="169"/>
      <c r="BK63" s="169"/>
      <c r="BL63" s="169"/>
      <c r="BM63" s="169"/>
      <c r="BN63" s="169"/>
      <c r="BO63" s="169"/>
      <c r="BP63" s="169"/>
      <c r="BQ63" s="169"/>
      <c r="BR63" s="169"/>
      <c r="BS63" s="169"/>
      <c r="BT63" s="169"/>
      <c r="BU63" s="169"/>
      <c r="BV63" s="169"/>
      <c r="BW63" s="169"/>
      <c r="BX63" s="169"/>
      <c r="BY63" s="169"/>
      <c r="BZ63" s="169"/>
      <c r="CA63" s="169"/>
      <c r="CB63" s="169"/>
      <c r="CC63" s="169"/>
      <c r="CD63" s="169"/>
    </row>
    <row x14ac:dyDescent="0.25" r="64" customHeight="1" ht="18.75">
      <c r="A64" s="1"/>
      <c r="B64" s="320"/>
      <c r="C64" s="169"/>
      <c r="D64" s="169"/>
      <c r="E64" s="169"/>
      <c r="F64" s="169"/>
      <c r="G64" s="169"/>
      <c r="H64" s="169"/>
      <c r="I64" s="169"/>
      <c r="J64" s="169"/>
      <c r="K64" s="169"/>
      <c r="L64" s="169"/>
      <c r="M64" s="169"/>
      <c r="N64" s="169"/>
      <c r="O64" s="169"/>
      <c r="P64" s="169"/>
      <c r="Q64" s="169"/>
      <c r="R64" s="169"/>
      <c r="S64" s="169"/>
      <c r="T64" s="169"/>
      <c r="U64" s="169"/>
      <c r="V64" s="169"/>
      <c r="W64" s="169"/>
      <c r="X64" s="169"/>
      <c r="Y64" s="169"/>
      <c r="Z64" s="169"/>
      <c r="AA64" s="169"/>
      <c r="AB64" s="169"/>
      <c r="AC64" s="169"/>
      <c r="AD64" s="169"/>
      <c r="AE64" s="169"/>
      <c r="AF64" s="169"/>
      <c r="AG64" s="169"/>
      <c r="AH64" s="169"/>
      <c r="AI64" s="169"/>
      <c r="AJ64" s="169"/>
      <c r="AK64" s="169"/>
      <c r="AL64" s="169"/>
      <c r="AM64" s="169"/>
      <c r="AN64" s="169"/>
      <c r="AO64" s="169"/>
      <c r="AP64" s="169"/>
      <c r="AQ64" s="169"/>
      <c r="AR64" s="169"/>
      <c r="AS64" s="169"/>
      <c r="AT64" s="169"/>
      <c r="AU64" s="169"/>
      <c r="AV64" s="169"/>
      <c r="AW64" s="169"/>
      <c r="AX64" s="169"/>
      <c r="AY64" s="169"/>
      <c r="AZ64" s="169"/>
      <c r="BA64" s="169"/>
      <c r="BB64" s="169"/>
      <c r="BC64" s="169"/>
      <c r="BD64" s="169"/>
      <c r="BE64" s="169"/>
      <c r="BF64" s="169"/>
      <c r="BG64" s="169"/>
      <c r="BH64" s="169"/>
      <c r="BI64" s="169"/>
      <c r="BJ64" s="169"/>
      <c r="BK64" s="169"/>
      <c r="BL64" s="169"/>
      <c r="BM64" s="169"/>
      <c r="BN64" s="169"/>
      <c r="BO64" s="169"/>
      <c r="BP64" s="169"/>
      <c r="BQ64" s="169"/>
      <c r="BR64" s="169"/>
      <c r="BS64" s="169"/>
      <c r="BT64" s="169"/>
      <c r="BU64" s="169"/>
      <c r="BV64" s="169"/>
      <c r="BW64" s="169"/>
      <c r="BX64" s="169"/>
      <c r="BY64" s="169"/>
      <c r="BZ64" s="169"/>
      <c r="CA64" s="169"/>
      <c r="CB64" s="169"/>
      <c r="CC64" s="169"/>
      <c r="CD64" s="169"/>
    </row>
    <row x14ac:dyDescent="0.25" r="65" customHeight="1" ht="18.75">
      <c r="A65" s="1"/>
      <c r="B65" s="320"/>
      <c r="C65" s="169"/>
      <c r="D65" s="169"/>
      <c r="E65" s="169"/>
      <c r="F65" s="169"/>
      <c r="G65" s="169"/>
      <c r="H65" s="169"/>
      <c r="I65" s="169"/>
      <c r="J65" s="169"/>
      <c r="K65" s="169"/>
      <c r="L65" s="169"/>
      <c r="M65" s="169"/>
      <c r="N65" s="169"/>
      <c r="O65" s="169"/>
      <c r="P65" s="169"/>
      <c r="Q65" s="169"/>
      <c r="R65" s="169"/>
      <c r="S65" s="169"/>
      <c r="T65" s="169"/>
      <c r="U65" s="169"/>
      <c r="V65" s="169"/>
      <c r="W65" s="169"/>
      <c r="X65" s="169"/>
      <c r="Y65" s="169"/>
      <c r="Z65" s="169"/>
      <c r="AA65" s="169"/>
      <c r="AB65" s="169"/>
      <c r="AC65" s="169"/>
      <c r="AD65" s="169"/>
      <c r="AE65" s="169"/>
      <c r="AF65" s="169"/>
      <c r="AG65" s="169"/>
      <c r="AH65" s="169"/>
      <c r="AI65" s="169"/>
      <c r="AJ65" s="169"/>
      <c r="AK65" s="169"/>
      <c r="AL65" s="169"/>
      <c r="AM65" s="169"/>
      <c r="AN65" s="169"/>
      <c r="AO65" s="169"/>
      <c r="AP65" s="169"/>
      <c r="AQ65" s="169"/>
      <c r="AR65" s="169"/>
      <c r="AS65" s="169"/>
      <c r="AT65" s="169"/>
      <c r="AU65" s="169"/>
      <c r="AV65" s="169"/>
      <c r="AW65" s="169"/>
      <c r="AX65" s="169"/>
      <c r="AY65" s="169"/>
      <c r="AZ65" s="169"/>
      <c r="BA65" s="169"/>
      <c r="BB65" s="169"/>
      <c r="BC65" s="169"/>
      <c r="BD65" s="169"/>
      <c r="BE65" s="169"/>
      <c r="BF65" s="169"/>
      <c r="BG65" s="169"/>
      <c r="BH65" s="169"/>
      <c r="BI65" s="169"/>
      <c r="BJ65" s="169"/>
      <c r="BK65" s="169"/>
      <c r="BL65" s="169"/>
      <c r="BM65" s="169"/>
      <c r="BN65" s="169"/>
      <c r="BO65" s="169"/>
      <c r="BP65" s="169"/>
      <c r="BQ65" s="169"/>
      <c r="BR65" s="169"/>
      <c r="BS65" s="169"/>
      <c r="BT65" s="169"/>
      <c r="BU65" s="169"/>
      <c r="BV65" s="169"/>
      <c r="BW65" s="169"/>
      <c r="BX65" s="169"/>
      <c r="BY65" s="169"/>
      <c r="BZ65" s="169"/>
      <c r="CA65" s="169"/>
      <c r="CB65" s="169"/>
      <c r="CC65" s="169"/>
      <c r="CD65" s="169"/>
    </row>
    <row x14ac:dyDescent="0.25" r="66" customHeight="1" ht="18.75">
      <c r="A66" s="1"/>
      <c r="B66" s="1048" t="s">
        <v>931</v>
      </c>
      <c r="C66" s="169"/>
      <c r="D66" s="169"/>
      <c r="E66" s="169"/>
      <c r="F66" s="169"/>
      <c r="G66" s="169"/>
      <c r="H66" s="169"/>
      <c r="I66" s="169"/>
      <c r="J66" s="169"/>
      <c r="K66" s="169"/>
      <c r="L66" s="169"/>
      <c r="M66" s="169"/>
      <c r="N66" s="169"/>
      <c r="O66" s="169"/>
      <c r="P66" s="169"/>
      <c r="Q66" s="169"/>
      <c r="R66" s="169"/>
      <c r="S66" s="169"/>
      <c r="T66" s="169"/>
      <c r="U66" s="169"/>
      <c r="V66" s="169"/>
      <c r="W66" s="169"/>
      <c r="X66" s="169"/>
      <c r="Y66" s="169"/>
      <c r="Z66" s="169"/>
      <c r="AA66" s="169"/>
      <c r="AB66" s="169"/>
      <c r="AC66" s="169"/>
      <c r="AD66" s="169"/>
      <c r="AE66" s="169"/>
      <c r="AF66" s="169"/>
      <c r="AG66" s="169"/>
      <c r="AH66" s="169"/>
      <c r="AI66" s="169"/>
      <c r="AJ66" s="169"/>
      <c r="AK66" s="169"/>
      <c r="AL66" s="169"/>
      <c r="AM66" s="169"/>
      <c r="AN66" s="169"/>
      <c r="AO66" s="169"/>
      <c r="AP66" s="169"/>
      <c r="AQ66" s="169"/>
      <c r="AR66" s="169"/>
      <c r="AS66" s="169"/>
      <c r="AT66" s="169"/>
      <c r="AU66" s="169"/>
      <c r="AV66" s="169"/>
      <c r="AW66" s="169"/>
      <c r="AX66" s="169"/>
      <c r="AY66" s="169"/>
      <c r="AZ66" s="169"/>
      <c r="BA66" s="169"/>
      <c r="BB66" s="169"/>
      <c r="BC66" s="169"/>
      <c r="BD66" s="169"/>
      <c r="BE66" s="169"/>
      <c r="BF66" s="169"/>
      <c r="BG66" s="169"/>
      <c r="BH66" s="169"/>
      <c r="BI66" s="169"/>
      <c r="BJ66" s="169"/>
      <c r="BK66" s="169"/>
      <c r="BL66" s="169"/>
      <c r="BM66" s="169"/>
      <c r="BN66" s="169"/>
      <c r="BO66" s="169"/>
      <c r="BP66" s="169"/>
      <c r="BQ66" s="169"/>
      <c r="BR66" s="169"/>
      <c r="BS66" s="169"/>
      <c r="BT66" s="169"/>
      <c r="BU66" s="169"/>
      <c r="BV66" s="169"/>
      <c r="BW66" s="169"/>
      <c r="BX66" s="169"/>
      <c r="BY66" s="169"/>
      <c r="BZ66" s="169"/>
      <c r="CA66" s="169"/>
      <c r="CB66" s="169"/>
      <c r="CC66" s="169"/>
      <c r="CD66" s="169"/>
    </row>
    <row x14ac:dyDescent="0.25" r="67" customHeight="1" ht="18.75">
      <c r="A67" s="1"/>
      <c r="B67" s="1049" t="s">
        <v>589</v>
      </c>
      <c r="C67" s="1050">
        <v>2024</v>
      </c>
      <c r="D67" s="1050">
        <v>2025</v>
      </c>
      <c r="E67" s="1050">
        <v>2026</v>
      </c>
      <c r="F67" s="1050">
        <v>2027</v>
      </c>
      <c r="G67" s="1050">
        <v>2028</v>
      </c>
      <c r="H67" s="1050">
        <v>2029</v>
      </c>
      <c r="I67" s="1050">
        <v>2030</v>
      </c>
      <c r="J67" s="1050">
        <v>2031</v>
      </c>
      <c r="K67" s="1050">
        <v>2032</v>
      </c>
      <c r="L67" s="1050">
        <v>2033</v>
      </c>
      <c r="M67" s="331">
        <f>+L67+1</f>
      </c>
      <c r="N67" s="331">
        <f>+M67+1</f>
      </c>
      <c r="O67" s="331">
        <f>+N67+1</f>
      </c>
      <c r="P67" s="331">
        <f>+O67+1</f>
      </c>
      <c r="Q67" s="331">
        <f>+P67+1</f>
      </c>
      <c r="R67" s="331">
        <f>+Q67+1</f>
      </c>
      <c r="S67" s="331">
        <f>+R67+1</f>
      </c>
      <c r="T67" s="331">
        <f>+S67+1</f>
      </c>
      <c r="U67" s="331">
        <f>+T67+1</f>
      </c>
      <c r="V67" s="331">
        <f>+U67+1</f>
      </c>
      <c r="W67" s="331">
        <f>+V67+1</f>
      </c>
      <c r="X67" s="331">
        <f>+W67+1</f>
      </c>
      <c r="Y67" s="331">
        <f>+X67+1</f>
      </c>
      <c r="Z67" s="331">
        <f>+Y67+1</f>
      </c>
      <c r="AA67" s="331">
        <f>+Z67+1</f>
      </c>
      <c r="AB67" s="331">
        <f>+AA67+1</f>
      </c>
      <c r="AC67" s="331">
        <f>+AB67+1</f>
      </c>
      <c r="AD67" s="331">
        <f>+AC67+1</f>
      </c>
      <c r="AE67" s="331">
        <f>+AD67+1</f>
      </c>
      <c r="AF67" s="331">
        <f>+AE67+1</f>
      </c>
      <c r="AG67" s="331">
        <f>+AF67+1</f>
      </c>
      <c r="AH67" s="331">
        <f>+AG67+1</f>
      </c>
      <c r="AI67" s="331">
        <f>+AH67+1</f>
      </c>
      <c r="AJ67" s="331">
        <f>+AI67+1</f>
      </c>
      <c r="AK67" s="331">
        <f>+AJ67+1</f>
      </c>
      <c r="AL67" s="331">
        <f>+AK67+1</f>
      </c>
      <c r="AM67" s="331">
        <f>+AL67+1</f>
      </c>
      <c r="AN67" s="331">
        <f>+AM67+1</f>
      </c>
      <c r="AO67" s="331">
        <f>+AN67+1</f>
      </c>
      <c r="AP67" s="331">
        <f>+AO67+1</f>
      </c>
      <c r="AQ67" s="331">
        <f>+AP67+1</f>
      </c>
      <c r="AR67" s="331">
        <f>+AQ67+1</f>
      </c>
      <c r="AS67" s="331">
        <f>+AR67+1</f>
      </c>
      <c r="AT67" s="331">
        <f>+AS67+1</f>
      </c>
      <c r="AU67" s="331">
        <f>+AT67+1</f>
      </c>
      <c r="AV67" s="331">
        <f>+AU67+1</f>
      </c>
      <c r="AW67" s="331">
        <f>+AV67+1</f>
      </c>
      <c r="AX67" s="331">
        <f>+AW67+1</f>
      </c>
      <c r="AY67" s="331">
        <f>+AX67+1</f>
      </c>
      <c r="AZ67" s="331">
        <f>+AY67+1</f>
      </c>
      <c r="BA67" s="331">
        <f>+AZ67+1</f>
      </c>
      <c r="BB67" s="331">
        <f>+BA67+1</f>
      </c>
      <c r="BC67" s="331">
        <f>+BB67+1</f>
      </c>
      <c r="BD67" s="331">
        <f>+BC67+1</f>
      </c>
      <c r="BE67" s="331">
        <f>+BD67+1</f>
      </c>
      <c r="BF67" s="331">
        <f>+BE67+1</f>
      </c>
      <c r="BG67" s="331">
        <f>+BF67+1</f>
      </c>
      <c r="BH67" s="331">
        <f>+BG67+1</f>
      </c>
      <c r="BI67" s="331">
        <f>+BH67+1</f>
      </c>
      <c r="BJ67" s="331">
        <f>+BI67+1</f>
      </c>
      <c r="BK67" s="331">
        <f>+BJ67+1</f>
      </c>
      <c r="BL67" s="331">
        <f>+BK67+1</f>
      </c>
      <c r="BM67" s="331">
        <f>+BL67+1</f>
      </c>
      <c r="BN67" s="331">
        <f>+BM67+1</f>
      </c>
      <c r="BO67" s="331">
        <f>+BN67+1</f>
      </c>
      <c r="BP67" s="331">
        <f>+BO67+1</f>
      </c>
      <c r="BQ67" s="331">
        <f>+BP67+1</f>
      </c>
      <c r="BR67" s="331">
        <f>+BQ67+1</f>
      </c>
      <c r="BS67" s="331">
        <f>+BR67+1</f>
      </c>
      <c r="BT67" s="331">
        <f>+BS67+1</f>
      </c>
      <c r="BU67" s="331">
        <f>+BT67+1</f>
      </c>
      <c r="BV67" s="331">
        <f>+BU67+1</f>
      </c>
      <c r="BW67" s="331">
        <f>+BV67+1</f>
      </c>
      <c r="BX67" s="331">
        <f>+BW67+1</f>
      </c>
      <c r="BY67" s="331">
        <f>+BX67+1</f>
      </c>
      <c r="BZ67" s="331">
        <f>+BY67+1</f>
      </c>
      <c r="CA67" s="331">
        <f>+BZ67+1</f>
      </c>
      <c r="CB67" s="331">
        <f>+CA67+1</f>
      </c>
      <c r="CC67" s="331">
        <f>+CB67+1</f>
      </c>
      <c r="CD67" s="331">
        <f>+CC67+1</f>
      </c>
    </row>
    <row x14ac:dyDescent="0.25" r="68" customHeight="1" ht="18.75">
      <c r="A68" s="1"/>
      <c r="B68" s="1050">
        <v>24</v>
      </c>
      <c r="C68" s="1049" t="s">
        <v>867</v>
      </c>
      <c r="D68" s="1049" t="s">
        <v>856</v>
      </c>
      <c r="E68" s="1049" t="s">
        <v>644</v>
      </c>
      <c r="F68" s="1049" t="s">
        <v>932</v>
      </c>
      <c r="G68" s="1049" t="s">
        <v>830</v>
      </c>
      <c r="H68" s="1049" t="s">
        <v>933</v>
      </c>
      <c r="I68" s="1049" t="s">
        <v>934</v>
      </c>
      <c r="J68" s="1049" t="s">
        <v>935</v>
      </c>
      <c r="K68" s="1049" t="s">
        <v>936</v>
      </c>
      <c r="L68" s="1049" t="s">
        <v>937</v>
      </c>
      <c r="M68" s="169" t="s">
        <v>937</v>
      </c>
      <c r="N68" s="169" t="s">
        <v>937</v>
      </c>
      <c r="O68" s="169" t="s">
        <v>937</v>
      </c>
      <c r="P68" s="169" t="s">
        <v>937</v>
      </c>
      <c r="Q68" s="169" t="s">
        <v>937</v>
      </c>
      <c r="R68" s="169" t="s">
        <v>937</v>
      </c>
      <c r="S68" s="169" t="s">
        <v>937</v>
      </c>
      <c r="T68" s="169" t="s">
        <v>937</v>
      </c>
      <c r="U68" s="169" t="s">
        <v>937</v>
      </c>
      <c r="V68" s="169" t="s">
        <v>937</v>
      </c>
      <c r="W68" s="169" t="s">
        <v>937</v>
      </c>
      <c r="X68" s="169" t="s">
        <v>937</v>
      </c>
      <c r="Y68" s="169" t="s">
        <v>937</v>
      </c>
      <c r="Z68" s="169" t="s">
        <v>937</v>
      </c>
      <c r="AA68" s="169" t="s">
        <v>937</v>
      </c>
      <c r="AB68" s="169" t="s">
        <v>937</v>
      </c>
      <c r="AC68" s="169" t="s">
        <v>937</v>
      </c>
      <c r="AD68" s="169" t="s">
        <v>937</v>
      </c>
      <c r="AE68" s="169" t="s">
        <v>937</v>
      </c>
      <c r="AF68" s="169" t="s">
        <v>937</v>
      </c>
      <c r="AG68" s="169" t="s">
        <v>937</v>
      </c>
      <c r="AH68" s="169" t="s">
        <v>937</v>
      </c>
      <c r="AI68" s="169" t="s">
        <v>937</v>
      </c>
      <c r="AJ68" s="169" t="s">
        <v>937</v>
      </c>
      <c r="AK68" s="169" t="s">
        <v>937</v>
      </c>
      <c r="AL68" s="169" t="s">
        <v>937</v>
      </c>
      <c r="AM68" s="169" t="s">
        <v>937</v>
      </c>
      <c r="AN68" s="169" t="s">
        <v>937</v>
      </c>
      <c r="AO68" s="169" t="s">
        <v>937</v>
      </c>
      <c r="AP68" s="169" t="s">
        <v>937</v>
      </c>
      <c r="AQ68" s="169" t="s">
        <v>937</v>
      </c>
      <c r="AR68" s="169" t="s">
        <v>937</v>
      </c>
      <c r="AS68" s="169" t="s">
        <v>937</v>
      </c>
      <c r="AT68" s="169" t="s">
        <v>937</v>
      </c>
      <c r="AU68" s="169" t="s">
        <v>937</v>
      </c>
      <c r="AV68" s="169" t="s">
        <v>937</v>
      </c>
      <c r="AW68" s="169" t="s">
        <v>937</v>
      </c>
      <c r="AX68" s="169" t="s">
        <v>937</v>
      </c>
      <c r="AY68" s="169" t="s">
        <v>937</v>
      </c>
      <c r="AZ68" s="169" t="s">
        <v>937</v>
      </c>
      <c r="BA68" s="169" t="s">
        <v>937</v>
      </c>
      <c r="BB68" s="169" t="s">
        <v>937</v>
      </c>
      <c r="BC68" s="169" t="s">
        <v>937</v>
      </c>
      <c r="BD68" s="169" t="s">
        <v>937</v>
      </c>
      <c r="BE68" s="169" t="s">
        <v>937</v>
      </c>
      <c r="BF68" s="169" t="s">
        <v>937</v>
      </c>
      <c r="BG68" s="169" t="s">
        <v>937</v>
      </c>
      <c r="BH68" s="169" t="s">
        <v>937</v>
      </c>
      <c r="BI68" s="169" t="s">
        <v>937</v>
      </c>
      <c r="BJ68" s="169" t="s">
        <v>937</v>
      </c>
      <c r="BK68" s="169" t="s">
        <v>937</v>
      </c>
      <c r="BL68" s="169" t="s">
        <v>937</v>
      </c>
      <c r="BM68" s="169" t="s">
        <v>937</v>
      </c>
      <c r="BN68" s="169" t="s">
        <v>937</v>
      </c>
      <c r="BO68" s="169" t="s">
        <v>937</v>
      </c>
      <c r="BP68" s="169" t="s">
        <v>937</v>
      </c>
      <c r="BQ68" s="169" t="s">
        <v>937</v>
      </c>
      <c r="BR68" s="169" t="s">
        <v>937</v>
      </c>
      <c r="BS68" s="169" t="s">
        <v>937</v>
      </c>
      <c r="BT68" s="169" t="s">
        <v>937</v>
      </c>
      <c r="BU68" s="169" t="s">
        <v>937</v>
      </c>
      <c r="BV68" s="169" t="s">
        <v>937</v>
      </c>
      <c r="BW68" s="169" t="s">
        <v>937</v>
      </c>
      <c r="BX68" s="169" t="s">
        <v>937</v>
      </c>
      <c r="BY68" s="169" t="s">
        <v>937</v>
      </c>
      <c r="BZ68" s="169" t="s">
        <v>937</v>
      </c>
      <c r="CA68" s="169" t="s">
        <v>937</v>
      </c>
      <c r="CB68" s="169" t="s">
        <v>937</v>
      </c>
      <c r="CC68" s="169" t="s">
        <v>937</v>
      </c>
      <c r="CD68" s="169" t="s">
        <v>937</v>
      </c>
    </row>
    <row x14ac:dyDescent="0.25" r="69" customHeight="1" ht="18.75">
      <c r="A69" s="1"/>
      <c r="B69" s="1050">
        <v>23</v>
      </c>
      <c r="C69" s="1049" t="s">
        <v>938</v>
      </c>
      <c r="D69" s="1049" t="s">
        <v>855</v>
      </c>
      <c r="E69" s="1049" t="s">
        <v>939</v>
      </c>
      <c r="F69" s="1049" t="s">
        <v>828</v>
      </c>
      <c r="G69" s="1049" t="s">
        <v>635</v>
      </c>
      <c r="H69" s="1049" t="s">
        <v>940</v>
      </c>
      <c r="I69" s="1049" t="s">
        <v>941</v>
      </c>
      <c r="J69" s="1049" t="s">
        <v>942</v>
      </c>
      <c r="K69" s="1049" t="s">
        <v>943</v>
      </c>
      <c r="L69" s="1049" t="s">
        <v>944</v>
      </c>
      <c r="M69" s="169" t="s">
        <v>944</v>
      </c>
      <c r="N69" s="169" t="s">
        <v>944</v>
      </c>
      <c r="O69" s="169" t="s">
        <v>944</v>
      </c>
      <c r="P69" s="169" t="s">
        <v>944</v>
      </c>
      <c r="Q69" s="169" t="s">
        <v>944</v>
      </c>
      <c r="R69" s="169" t="s">
        <v>944</v>
      </c>
      <c r="S69" s="169" t="s">
        <v>944</v>
      </c>
      <c r="T69" s="169" t="s">
        <v>944</v>
      </c>
      <c r="U69" s="169" t="s">
        <v>944</v>
      </c>
      <c r="V69" s="169" t="s">
        <v>944</v>
      </c>
      <c r="W69" s="169" t="s">
        <v>944</v>
      </c>
      <c r="X69" s="169" t="s">
        <v>944</v>
      </c>
      <c r="Y69" s="169" t="s">
        <v>944</v>
      </c>
      <c r="Z69" s="169" t="s">
        <v>944</v>
      </c>
      <c r="AA69" s="169" t="s">
        <v>944</v>
      </c>
      <c r="AB69" s="169" t="s">
        <v>944</v>
      </c>
      <c r="AC69" s="169" t="s">
        <v>944</v>
      </c>
      <c r="AD69" s="169" t="s">
        <v>944</v>
      </c>
      <c r="AE69" s="169" t="s">
        <v>944</v>
      </c>
      <c r="AF69" s="169" t="s">
        <v>944</v>
      </c>
      <c r="AG69" s="169" t="s">
        <v>944</v>
      </c>
      <c r="AH69" s="169" t="s">
        <v>944</v>
      </c>
      <c r="AI69" s="169" t="s">
        <v>944</v>
      </c>
      <c r="AJ69" s="169" t="s">
        <v>944</v>
      </c>
      <c r="AK69" s="169" t="s">
        <v>944</v>
      </c>
      <c r="AL69" s="169" t="s">
        <v>944</v>
      </c>
      <c r="AM69" s="169" t="s">
        <v>944</v>
      </c>
      <c r="AN69" s="169" t="s">
        <v>944</v>
      </c>
      <c r="AO69" s="169" t="s">
        <v>944</v>
      </c>
      <c r="AP69" s="169" t="s">
        <v>944</v>
      </c>
      <c r="AQ69" s="169" t="s">
        <v>944</v>
      </c>
      <c r="AR69" s="169" t="s">
        <v>944</v>
      </c>
      <c r="AS69" s="169" t="s">
        <v>944</v>
      </c>
      <c r="AT69" s="169" t="s">
        <v>944</v>
      </c>
      <c r="AU69" s="169" t="s">
        <v>944</v>
      </c>
      <c r="AV69" s="169" t="s">
        <v>944</v>
      </c>
      <c r="AW69" s="169" t="s">
        <v>944</v>
      </c>
      <c r="AX69" s="169" t="s">
        <v>944</v>
      </c>
      <c r="AY69" s="169" t="s">
        <v>944</v>
      </c>
      <c r="AZ69" s="169" t="s">
        <v>944</v>
      </c>
      <c r="BA69" s="169" t="s">
        <v>944</v>
      </c>
      <c r="BB69" s="169" t="s">
        <v>944</v>
      </c>
      <c r="BC69" s="169" t="s">
        <v>944</v>
      </c>
      <c r="BD69" s="169" t="s">
        <v>944</v>
      </c>
      <c r="BE69" s="169" t="s">
        <v>944</v>
      </c>
      <c r="BF69" s="169" t="s">
        <v>944</v>
      </c>
      <c r="BG69" s="169" t="s">
        <v>944</v>
      </c>
      <c r="BH69" s="169" t="s">
        <v>944</v>
      </c>
      <c r="BI69" s="169" t="s">
        <v>944</v>
      </c>
      <c r="BJ69" s="169" t="s">
        <v>944</v>
      </c>
      <c r="BK69" s="169" t="s">
        <v>944</v>
      </c>
      <c r="BL69" s="169" t="s">
        <v>944</v>
      </c>
      <c r="BM69" s="169" t="s">
        <v>944</v>
      </c>
      <c r="BN69" s="169" t="s">
        <v>944</v>
      </c>
      <c r="BO69" s="169" t="s">
        <v>944</v>
      </c>
      <c r="BP69" s="169" t="s">
        <v>944</v>
      </c>
      <c r="BQ69" s="169" t="s">
        <v>944</v>
      </c>
      <c r="BR69" s="169" t="s">
        <v>944</v>
      </c>
      <c r="BS69" s="169" t="s">
        <v>944</v>
      </c>
      <c r="BT69" s="169" t="s">
        <v>944</v>
      </c>
      <c r="BU69" s="169" t="s">
        <v>944</v>
      </c>
      <c r="BV69" s="169" t="s">
        <v>944</v>
      </c>
      <c r="BW69" s="169" t="s">
        <v>944</v>
      </c>
      <c r="BX69" s="169" t="s">
        <v>944</v>
      </c>
      <c r="BY69" s="169" t="s">
        <v>944</v>
      </c>
      <c r="BZ69" s="169" t="s">
        <v>944</v>
      </c>
      <c r="CA69" s="169" t="s">
        <v>944</v>
      </c>
      <c r="CB69" s="169" t="s">
        <v>944</v>
      </c>
      <c r="CC69" s="169" t="s">
        <v>944</v>
      </c>
      <c r="CD69" s="169" t="s">
        <v>944</v>
      </c>
    </row>
    <row x14ac:dyDescent="0.25" r="70" customHeight="1" ht="18.75">
      <c r="A70" s="1"/>
      <c r="B70" s="1050">
        <v>22</v>
      </c>
      <c r="C70" s="1049" t="s">
        <v>882</v>
      </c>
      <c r="D70" s="1049" t="s">
        <v>703</v>
      </c>
      <c r="E70" s="1049" t="s">
        <v>945</v>
      </c>
      <c r="F70" s="1049" t="s">
        <v>946</v>
      </c>
      <c r="G70" s="1049" t="s">
        <v>947</v>
      </c>
      <c r="H70" s="1049" t="s">
        <v>948</v>
      </c>
      <c r="I70" s="1049" t="s">
        <v>949</v>
      </c>
      <c r="J70" s="1049" t="s">
        <v>950</v>
      </c>
      <c r="K70" s="1049" t="s">
        <v>951</v>
      </c>
      <c r="L70" s="1049" t="s">
        <v>952</v>
      </c>
      <c r="M70" s="169" t="s">
        <v>952</v>
      </c>
      <c r="N70" s="169" t="s">
        <v>952</v>
      </c>
      <c r="O70" s="169" t="s">
        <v>952</v>
      </c>
      <c r="P70" s="169" t="s">
        <v>952</v>
      </c>
      <c r="Q70" s="169" t="s">
        <v>952</v>
      </c>
      <c r="R70" s="169" t="s">
        <v>952</v>
      </c>
      <c r="S70" s="169" t="s">
        <v>952</v>
      </c>
      <c r="T70" s="169" t="s">
        <v>952</v>
      </c>
      <c r="U70" s="169" t="s">
        <v>952</v>
      </c>
      <c r="V70" s="169" t="s">
        <v>952</v>
      </c>
      <c r="W70" s="169" t="s">
        <v>952</v>
      </c>
      <c r="X70" s="169" t="s">
        <v>952</v>
      </c>
      <c r="Y70" s="169" t="s">
        <v>952</v>
      </c>
      <c r="Z70" s="169" t="s">
        <v>952</v>
      </c>
      <c r="AA70" s="169" t="s">
        <v>952</v>
      </c>
      <c r="AB70" s="169" t="s">
        <v>952</v>
      </c>
      <c r="AC70" s="169" t="s">
        <v>952</v>
      </c>
      <c r="AD70" s="169" t="s">
        <v>952</v>
      </c>
      <c r="AE70" s="169" t="s">
        <v>952</v>
      </c>
      <c r="AF70" s="169" t="s">
        <v>952</v>
      </c>
      <c r="AG70" s="169" t="s">
        <v>952</v>
      </c>
      <c r="AH70" s="169" t="s">
        <v>952</v>
      </c>
      <c r="AI70" s="169" t="s">
        <v>952</v>
      </c>
      <c r="AJ70" s="169" t="s">
        <v>952</v>
      </c>
      <c r="AK70" s="169" t="s">
        <v>952</v>
      </c>
      <c r="AL70" s="169" t="s">
        <v>952</v>
      </c>
      <c r="AM70" s="169" t="s">
        <v>952</v>
      </c>
      <c r="AN70" s="169" t="s">
        <v>952</v>
      </c>
      <c r="AO70" s="169" t="s">
        <v>952</v>
      </c>
      <c r="AP70" s="169" t="s">
        <v>952</v>
      </c>
      <c r="AQ70" s="169" t="s">
        <v>952</v>
      </c>
      <c r="AR70" s="169" t="s">
        <v>952</v>
      </c>
      <c r="AS70" s="169" t="s">
        <v>952</v>
      </c>
      <c r="AT70" s="169" t="s">
        <v>952</v>
      </c>
      <c r="AU70" s="169" t="s">
        <v>952</v>
      </c>
      <c r="AV70" s="169" t="s">
        <v>952</v>
      </c>
      <c r="AW70" s="169" t="s">
        <v>952</v>
      </c>
      <c r="AX70" s="169" t="s">
        <v>952</v>
      </c>
      <c r="AY70" s="169" t="s">
        <v>952</v>
      </c>
      <c r="AZ70" s="169" t="s">
        <v>952</v>
      </c>
      <c r="BA70" s="169" t="s">
        <v>952</v>
      </c>
      <c r="BB70" s="169" t="s">
        <v>952</v>
      </c>
      <c r="BC70" s="169" t="s">
        <v>952</v>
      </c>
      <c r="BD70" s="169" t="s">
        <v>952</v>
      </c>
      <c r="BE70" s="169" t="s">
        <v>952</v>
      </c>
      <c r="BF70" s="169" t="s">
        <v>952</v>
      </c>
      <c r="BG70" s="169" t="s">
        <v>952</v>
      </c>
      <c r="BH70" s="169" t="s">
        <v>952</v>
      </c>
      <c r="BI70" s="169" t="s">
        <v>952</v>
      </c>
      <c r="BJ70" s="169" t="s">
        <v>952</v>
      </c>
      <c r="BK70" s="169" t="s">
        <v>952</v>
      </c>
      <c r="BL70" s="169" t="s">
        <v>952</v>
      </c>
      <c r="BM70" s="169" t="s">
        <v>952</v>
      </c>
      <c r="BN70" s="169" t="s">
        <v>952</v>
      </c>
      <c r="BO70" s="169" t="s">
        <v>952</v>
      </c>
      <c r="BP70" s="169" t="s">
        <v>952</v>
      </c>
      <c r="BQ70" s="169" t="s">
        <v>952</v>
      </c>
      <c r="BR70" s="169" t="s">
        <v>952</v>
      </c>
      <c r="BS70" s="169" t="s">
        <v>952</v>
      </c>
      <c r="BT70" s="169" t="s">
        <v>952</v>
      </c>
      <c r="BU70" s="169" t="s">
        <v>952</v>
      </c>
      <c r="BV70" s="169" t="s">
        <v>952</v>
      </c>
      <c r="BW70" s="169" t="s">
        <v>952</v>
      </c>
      <c r="BX70" s="169" t="s">
        <v>952</v>
      </c>
      <c r="BY70" s="169" t="s">
        <v>952</v>
      </c>
      <c r="BZ70" s="169" t="s">
        <v>952</v>
      </c>
      <c r="CA70" s="169" t="s">
        <v>952</v>
      </c>
      <c r="CB70" s="169" t="s">
        <v>952</v>
      </c>
      <c r="CC70" s="169" t="s">
        <v>952</v>
      </c>
      <c r="CD70" s="169" t="s">
        <v>952</v>
      </c>
    </row>
    <row x14ac:dyDescent="0.25" r="71" customHeight="1" ht="18.75">
      <c r="A71" s="1"/>
      <c r="B71" s="1050">
        <v>21</v>
      </c>
      <c r="C71" s="1049" t="s">
        <v>953</v>
      </c>
      <c r="D71" s="1049" t="s">
        <v>954</v>
      </c>
      <c r="E71" s="1049" t="s">
        <v>955</v>
      </c>
      <c r="F71" s="1049" t="s">
        <v>956</v>
      </c>
      <c r="G71" s="1049" t="s">
        <v>957</v>
      </c>
      <c r="H71" s="1049" t="s">
        <v>958</v>
      </c>
      <c r="I71" s="1049" t="s">
        <v>959</v>
      </c>
      <c r="J71" s="1049" t="s">
        <v>960</v>
      </c>
      <c r="K71" s="1049" t="s">
        <v>961</v>
      </c>
      <c r="L71" s="1049" t="s">
        <v>962</v>
      </c>
      <c r="M71" s="169" t="s">
        <v>962</v>
      </c>
      <c r="N71" s="169" t="s">
        <v>962</v>
      </c>
      <c r="O71" s="169" t="s">
        <v>962</v>
      </c>
      <c r="P71" s="169" t="s">
        <v>962</v>
      </c>
      <c r="Q71" s="169" t="s">
        <v>962</v>
      </c>
      <c r="R71" s="169" t="s">
        <v>962</v>
      </c>
      <c r="S71" s="169" t="s">
        <v>962</v>
      </c>
      <c r="T71" s="169" t="s">
        <v>962</v>
      </c>
      <c r="U71" s="169" t="s">
        <v>962</v>
      </c>
      <c r="V71" s="169" t="s">
        <v>962</v>
      </c>
      <c r="W71" s="169" t="s">
        <v>962</v>
      </c>
      <c r="X71" s="169" t="s">
        <v>962</v>
      </c>
      <c r="Y71" s="169" t="s">
        <v>962</v>
      </c>
      <c r="Z71" s="169" t="s">
        <v>962</v>
      </c>
      <c r="AA71" s="169" t="s">
        <v>962</v>
      </c>
      <c r="AB71" s="169" t="s">
        <v>962</v>
      </c>
      <c r="AC71" s="169" t="s">
        <v>962</v>
      </c>
      <c r="AD71" s="169" t="s">
        <v>962</v>
      </c>
      <c r="AE71" s="169" t="s">
        <v>962</v>
      </c>
      <c r="AF71" s="169" t="s">
        <v>962</v>
      </c>
      <c r="AG71" s="169" t="s">
        <v>962</v>
      </c>
      <c r="AH71" s="169" t="s">
        <v>962</v>
      </c>
      <c r="AI71" s="169" t="s">
        <v>962</v>
      </c>
      <c r="AJ71" s="169" t="s">
        <v>962</v>
      </c>
      <c r="AK71" s="169" t="s">
        <v>962</v>
      </c>
      <c r="AL71" s="169" t="s">
        <v>962</v>
      </c>
      <c r="AM71" s="169" t="s">
        <v>962</v>
      </c>
      <c r="AN71" s="169" t="s">
        <v>962</v>
      </c>
      <c r="AO71" s="169" t="s">
        <v>962</v>
      </c>
      <c r="AP71" s="169" t="s">
        <v>962</v>
      </c>
      <c r="AQ71" s="169" t="s">
        <v>962</v>
      </c>
      <c r="AR71" s="169" t="s">
        <v>962</v>
      </c>
      <c r="AS71" s="169" t="s">
        <v>962</v>
      </c>
      <c r="AT71" s="169" t="s">
        <v>962</v>
      </c>
      <c r="AU71" s="169" t="s">
        <v>962</v>
      </c>
      <c r="AV71" s="169" t="s">
        <v>962</v>
      </c>
      <c r="AW71" s="169" t="s">
        <v>962</v>
      </c>
      <c r="AX71" s="169" t="s">
        <v>962</v>
      </c>
      <c r="AY71" s="169" t="s">
        <v>962</v>
      </c>
      <c r="AZ71" s="169" t="s">
        <v>962</v>
      </c>
      <c r="BA71" s="169" t="s">
        <v>962</v>
      </c>
      <c r="BB71" s="169" t="s">
        <v>962</v>
      </c>
      <c r="BC71" s="169" t="s">
        <v>962</v>
      </c>
      <c r="BD71" s="169" t="s">
        <v>962</v>
      </c>
      <c r="BE71" s="169" t="s">
        <v>962</v>
      </c>
      <c r="BF71" s="169" t="s">
        <v>962</v>
      </c>
      <c r="BG71" s="169" t="s">
        <v>962</v>
      </c>
      <c r="BH71" s="169" t="s">
        <v>962</v>
      </c>
      <c r="BI71" s="169" t="s">
        <v>962</v>
      </c>
      <c r="BJ71" s="169" t="s">
        <v>962</v>
      </c>
      <c r="BK71" s="169" t="s">
        <v>962</v>
      </c>
      <c r="BL71" s="169" t="s">
        <v>962</v>
      </c>
      <c r="BM71" s="169" t="s">
        <v>962</v>
      </c>
      <c r="BN71" s="169" t="s">
        <v>962</v>
      </c>
      <c r="BO71" s="169" t="s">
        <v>962</v>
      </c>
      <c r="BP71" s="169" t="s">
        <v>962</v>
      </c>
      <c r="BQ71" s="169" t="s">
        <v>962</v>
      </c>
      <c r="BR71" s="169" t="s">
        <v>962</v>
      </c>
      <c r="BS71" s="169" t="s">
        <v>962</v>
      </c>
      <c r="BT71" s="169" t="s">
        <v>962</v>
      </c>
      <c r="BU71" s="169" t="s">
        <v>962</v>
      </c>
      <c r="BV71" s="169" t="s">
        <v>962</v>
      </c>
      <c r="BW71" s="169" t="s">
        <v>962</v>
      </c>
      <c r="BX71" s="169" t="s">
        <v>962</v>
      </c>
      <c r="BY71" s="169" t="s">
        <v>962</v>
      </c>
      <c r="BZ71" s="169" t="s">
        <v>962</v>
      </c>
      <c r="CA71" s="169" t="s">
        <v>962</v>
      </c>
      <c r="CB71" s="169" t="s">
        <v>962</v>
      </c>
      <c r="CC71" s="169" t="s">
        <v>962</v>
      </c>
      <c r="CD71" s="169" t="s">
        <v>962</v>
      </c>
    </row>
    <row x14ac:dyDescent="0.25" r="72" customHeight="1" ht="18.75">
      <c r="A72" s="1"/>
      <c r="B72" s="1050">
        <v>20</v>
      </c>
      <c r="C72" s="1049" t="s">
        <v>963</v>
      </c>
      <c r="D72" s="1049" t="s">
        <v>711</v>
      </c>
      <c r="E72" s="1049" t="s">
        <v>964</v>
      </c>
      <c r="F72" s="1049" t="s">
        <v>965</v>
      </c>
      <c r="G72" s="1049" t="s">
        <v>966</v>
      </c>
      <c r="H72" s="1049" t="s">
        <v>591</v>
      </c>
      <c r="I72" s="1049" t="s">
        <v>967</v>
      </c>
      <c r="J72" s="1049" t="s">
        <v>968</v>
      </c>
      <c r="K72" s="1049" t="s">
        <v>969</v>
      </c>
      <c r="L72" s="1049" t="s">
        <v>803</v>
      </c>
      <c r="M72" s="169" t="s">
        <v>803</v>
      </c>
      <c r="N72" s="169" t="s">
        <v>803</v>
      </c>
      <c r="O72" s="169" t="s">
        <v>803</v>
      </c>
      <c r="P72" s="169" t="s">
        <v>803</v>
      </c>
      <c r="Q72" s="169" t="s">
        <v>803</v>
      </c>
      <c r="R72" s="169" t="s">
        <v>803</v>
      </c>
      <c r="S72" s="169" t="s">
        <v>803</v>
      </c>
      <c r="T72" s="169" t="s">
        <v>803</v>
      </c>
      <c r="U72" s="169" t="s">
        <v>803</v>
      </c>
      <c r="V72" s="169" t="s">
        <v>803</v>
      </c>
      <c r="W72" s="169" t="s">
        <v>803</v>
      </c>
      <c r="X72" s="169" t="s">
        <v>803</v>
      </c>
      <c r="Y72" s="169" t="s">
        <v>803</v>
      </c>
      <c r="Z72" s="169" t="s">
        <v>803</v>
      </c>
      <c r="AA72" s="169" t="s">
        <v>803</v>
      </c>
      <c r="AB72" s="169" t="s">
        <v>803</v>
      </c>
      <c r="AC72" s="169" t="s">
        <v>803</v>
      </c>
      <c r="AD72" s="169" t="s">
        <v>803</v>
      </c>
      <c r="AE72" s="169" t="s">
        <v>803</v>
      </c>
      <c r="AF72" s="169" t="s">
        <v>803</v>
      </c>
      <c r="AG72" s="169" t="s">
        <v>803</v>
      </c>
      <c r="AH72" s="169" t="s">
        <v>803</v>
      </c>
      <c r="AI72" s="169" t="s">
        <v>803</v>
      </c>
      <c r="AJ72" s="169" t="s">
        <v>803</v>
      </c>
      <c r="AK72" s="169" t="s">
        <v>803</v>
      </c>
      <c r="AL72" s="169" t="s">
        <v>803</v>
      </c>
      <c r="AM72" s="169" t="s">
        <v>803</v>
      </c>
      <c r="AN72" s="169" t="s">
        <v>803</v>
      </c>
      <c r="AO72" s="169" t="s">
        <v>803</v>
      </c>
      <c r="AP72" s="169" t="s">
        <v>803</v>
      </c>
      <c r="AQ72" s="169" t="s">
        <v>803</v>
      </c>
      <c r="AR72" s="169" t="s">
        <v>803</v>
      </c>
      <c r="AS72" s="169" t="s">
        <v>803</v>
      </c>
      <c r="AT72" s="169" t="s">
        <v>803</v>
      </c>
      <c r="AU72" s="169" t="s">
        <v>803</v>
      </c>
      <c r="AV72" s="169" t="s">
        <v>803</v>
      </c>
      <c r="AW72" s="169" t="s">
        <v>803</v>
      </c>
      <c r="AX72" s="169" t="s">
        <v>803</v>
      </c>
      <c r="AY72" s="169" t="s">
        <v>803</v>
      </c>
      <c r="AZ72" s="169" t="s">
        <v>803</v>
      </c>
      <c r="BA72" s="169" t="s">
        <v>803</v>
      </c>
      <c r="BB72" s="169" t="s">
        <v>803</v>
      </c>
      <c r="BC72" s="169" t="s">
        <v>803</v>
      </c>
      <c r="BD72" s="169" t="s">
        <v>803</v>
      </c>
      <c r="BE72" s="169" t="s">
        <v>803</v>
      </c>
      <c r="BF72" s="169" t="s">
        <v>803</v>
      </c>
      <c r="BG72" s="169" t="s">
        <v>803</v>
      </c>
      <c r="BH72" s="169" t="s">
        <v>803</v>
      </c>
      <c r="BI72" s="169" t="s">
        <v>803</v>
      </c>
      <c r="BJ72" s="169" t="s">
        <v>803</v>
      </c>
      <c r="BK72" s="169" t="s">
        <v>803</v>
      </c>
      <c r="BL72" s="169" t="s">
        <v>803</v>
      </c>
      <c r="BM72" s="169" t="s">
        <v>803</v>
      </c>
      <c r="BN72" s="169" t="s">
        <v>803</v>
      </c>
      <c r="BO72" s="169" t="s">
        <v>803</v>
      </c>
      <c r="BP72" s="169" t="s">
        <v>803</v>
      </c>
      <c r="BQ72" s="169" t="s">
        <v>803</v>
      </c>
      <c r="BR72" s="169" t="s">
        <v>803</v>
      </c>
      <c r="BS72" s="169" t="s">
        <v>803</v>
      </c>
      <c r="BT72" s="169" t="s">
        <v>803</v>
      </c>
      <c r="BU72" s="169" t="s">
        <v>803</v>
      </c>
      <c r="BV72" s="169" t="s">
        <v>803</v>
      </c>
      <c r="BW72" s="169" t="s">
        <v>803</v>
      </c>
      <c r="BX72" s="169" t="s">
        <v>803</v>
      </c>
      <c r="BY72" s="169" t="s">
        <v>803</v>
      </c>
      <c r="BZ72" s="169" t="s">
        <v>803</v>
      </c>
      <c r="CA72" s="169" t="s">
        <v>803</v>
      </c>
      <c r="CB72" s="169" t="s">
        <v>803</v>
      </c>
      <c r="CC72" s="169" t="s">
        <v>803</v>
      </c>
      <c r="CD72" s="169" t="s">
        <v>803</v>
      </c>
    </row>
    <row x14ac:dyDescent="0.25" r="73" customHeight="1" ht="18.75">
      <c r="A73" s="1"/>
      <c r="B73" s="1050">
        <v>19</v>
      </c>
      <c r="C73" s="1049" t="s">
        <v>970</v>
      </c>
      <c r="D73" s="1049" t="s">
        <v>971</v>
      </c>
      <c r="E73" s="1049" t="s">
        <v>972</v>
      </c>
      <c r="F73" s="1049" t="s">
        <v>973</v>
      </c>
      <c r="G73" s="1049" t="s">
        <v>855</v>
      </c>
      <c r="H73" s="1049" t="s">
        <v>974</v>
      </c>
      <c r="I73" s="1049" t="s">
        <v>643</v>
      </c>
      <c r="J73" s="1049" t="s">
        <v>975</v>
      </c>
      <c r="K73" s="1049" t="s">
        <v>976</v>
      </c>
      <c r="L73" s="1049" t="s">
        <v>977</v>
      </c>
      <c r="M73" s="169" t="s">
        <v>977</v>
      </c>
      <c r="N73" s="169" t="s">
        <v>977</v>
      </c>
      <c r="O73" s="169" t="s">
        <v>977</v>
      </c>
      <c r="P73" s="169" t="s">
        <v>977</v>
      </c>
      <c r="Q73" s="169" t="s">
        <v>977</v>
      </c>
      <c r="R73" s="169" t="s">
        <v>977</v>
      </c>
      <c r="S73" s="169" t="s">
        <v>977</v>
      </c>
      <c r="T73" s="169" t="s">
        <v>977</v>
      </c>
      <c r="U73" s="169" t="s">
        <v>977</v>
      </c>
      <c r="V73" s="169" t="s">
        <v>977</v>
      </c>
      <c r="W73" s="169" t="s">
        <v>977</v>
      </c>
      <c r="X73" s="169" t="s">
        <v>977</v>
      </c>
      <c r="Y73" s="169" t="s">
        <v>977</v>
      </c>
      <c r="Z73" s="169" t="s">
        <v>977</v>
      </c>
      <c r="AA73" s="169" t="s">
        <v>977</v>
      </c>
      <c r="AB73" s="169" t="s">
        <v>977</v>
      </c>
      <c r="AC73" s="169" t="s">
        <v>977</v>
      </c>
      <c r="AD73" s="169" t="s">
        <v>977</v>
      </c>
      <c r="AE73" s="169" t="s">
        <v>977</v>
      </c>
      <c r="AF73" s="169" t="s">
        <v>977</v>
      </c>
      <c r="AG73" s="169" t="s">
        <v>977</v>
      </c>
      <c r="AH73" s="169" t="s">
        <v>977</v>
      </c>
      <c r="AI73" s="169" t="s">
        <v>977</v>
      </c>
      <c r="AJ73" s="169" t="s">
        <v>977</v>
      </c>
      <c r="AK73" s="169" t="s">
        <v>977</v>
      </c>
      <c r="AL73" s="169" t="s">
        <v>977</v>
      </c>
      <c r="AM73" s="169" t="s">
        <v>977</v>
      </c>
      <c r="AN73" s="169" t="s">
        <v>977</v>
      </c>
      <c r="AO73" s="169" t="s">
        <v>977</v>
      </c>
      <c r="AP73" s="169" t="s">
        <v>977</v>
      </c>
      <c r="AQ73" s="169" t="s">
        <v>977</v>
      </c>
      <c r="AR73" s="169" t="s">
        <v>977</v>
      </c>
      <c r="AS73" s="169" t="s">
        <v>977</v>
      </c>
      <c r="AT73" s="169" t="s">
        <v>977</v>
      </c>
      <c r="AU73" s="169" t="s">
        <v>977</v>
      </c>
      <c r="AV73" s="169" t="s">
        <v>977</v>
      </c>
      <c r="AW73" s="169" t="s">
        <v>977</v>
      </c>
      <c r="AX73" s="169" t="s">
        <v>977</v>
      </c>
      <c r="AY73" s="169" t="s">
        <v>977</v>
      </c>
      <c r="AZ73" s="169" t="s">
        <v>977</v>
      </c>
      <c r="BA73" s="169" t="s">
        <v>977</v>
      </c>
      <c r="BB73" s="169" t="s">
        <v>977</v>
      </c>
      <c r="BC73" s="169" t="s">
        <v>977</v>
      </c>
      <c r="BD73" s="169" t="s">
        <v>977</v>
      </c>
      <c r="BE73" s="169" t="s">
        <v>977</v>
      </c>
      <c r="BF73" s="169" t="s">
        <v>977</v>
      </c>
      <c r="BG73" s="169" t="s">
        <v>977</v>
      </c>
      <c r="BH73" s="169" t="s">
        <v>977</v>
      </c>
      <c r="BI73" s="169" t="s">
        <v>977</v>
      </c>
      <c r="BJ73" s="169" t="s">
        <v>977</v>
      </c>
      <c r="BK73" s="169" t="s">
        <v>977</v>
      </c>
      <c r="BL73" s="169" t="s">
        <v>977</v>
      </c>
      <c r="BM73" s="169" t="s">
        <v>977</v>
      </c>
      <c r="BN73" s="169" t="s">
        <v>977</v>
      </c>
      <c r="BO73" s="169" t="s">
        <v>977</v>
      </c>
      <c r="BP73" s="169" t="s">
        <v>977</v>
      </c>
      <c r="BQ73" s="169" t="s">
        <v>977</v>
      </c>
      <c r="BR73" s="169" t="s">
        <v>977</v>
      </c>
      <c r="BS73" s="169" t="s">
        <v>977</v>
      </c>
      <c r="BT73" s="169" t="s">
        <v>977</v>
      </c>
      <c r="BU73" s="169" t="s">
        <v>977</v>
      </c>
      <c r="BV73" s="169" t="s">
        <v>977</v>
      </c>
      <c r="BW73" s="169" t="s">
        <v>977</v>
      </c>
      <c r="BX73" s="169" t="s">
        <v>977</v>
      </c>
      <c r="BY73" s="169" t="s">
        <v>977</v>
      </c>
      <c r="BZ73" s="169" t="s">
        <v>977</v>
      </c>
      <c r="CA73" s="169" t="s">
        <v>977</v>
      </c>
      <c r="CB73" s="169" t="s">
        <v>977</v>
      </c>
      <c r="CC73" s="169" t="s">
        <v>977</v>
      </c>
      <c r="CD73" s="169" t="s">
        <v>977</v>
      </c>
    </row>
    <row x14ac:dyDescent="0.25" r="74" customHeight="1" ht="18.75">
      <c r="A74" s="1"/>
      <c r="B74" s="1050">
        <v>18</v>
      </c>
      <c r="C74" s="1049" t="s">
        <v>658</v>
      </c>
      <c r="D74" s="1049" t="s">
        <v>659</v>
      </c>
      <c r="E74" s="1049" t="s">
        <v>660</v>
      </c>
      <c r="F74" s="1049" t="s">
        <v>629</v>
      </c>
      <c r="G74" s="1049" t="s">
        <v>661</v>
      </c>
      <c r="H74" s="1049" t="s">
        <v>662</v>
      </c>
      <c r="I74" s="1049" t="s">
        <v>631</v>
      </c>
      <c r="J74" s="1049" t="s">
        <v>663</v>
      </c>
      <c r="K74" s="1049" t="s">
        <v>664</v>
      </c>
      <c r="L74" s="1049" t="s">
        <v>633</v>
      </c>
      <c r="M74" s="169" t="s">
        <v>633</v>
      </c>
      <c r="N74" s="169" t="s">
        <v>633</v>
      </c>
      <c r="O74" s="169" t="s">
        <v>633</v>
      </c>
      <c r="P74" s="169" t="s">
        <v>633</v>
      </c>
      <c r="Q74" s="169" t="s">
        <v>633</v>
      </c>
      <c r="R74" s="169" t="s">
        <v>633</v>
      </c>
      <c r="S74" s="169" t="s">
        <v>633</v>
      </c>
      <c r="T74" s="169" t="s">
        <v>633</v>
      </c>
      <c r="U74" s="169" t="s">
        <v>633</v>
      </c>
      <c r="V74" s="169" t="s">
        <v>633</v>
      </c>
      <c r="W74" s="169" t="s">
        <v>633</v>
      </c>
      <c r="X74" s="169" t="s">
        <v>633</v>
      </c>
      <c r="Y74" s="169" t="s">
        <v>633</v>
      </c>
      <c r="Z74" s="169" t="s">
        <v>633</v>
      </c>
      <c r="AA74" s="169" t="s">
        <v>633</v>
      </c>
      <c r="AB74" s="169" t="s">
        <v>633</v>
      </c>
      <c r="AC74" s="169" t="s">
        <v>633</v>
      </c>
      <c r="AD74" s="169" t="s">
        <v>633</v>
      </c>
      <c r="AE74" s="169" t="s">
        <v>633</v>
      </c>
      <c r="AF74" s="169" t="s">
        <v>633</v>
      </c>
      <c r="AG74" s="169" t="s">
        <v>633</v>
      </c>
      <c r="AH74" s="169" t="s">
        <v>633</v>
      </c>
      <c r="AI74" s="169" t="s">
        <v>633</v>
      </c>
      <c r="AJ74" s="169" t="s">
        <v>633</v>
      </c>
      <c r="AK74" s="169" t="s">
        <v>633</v>
      </c>
      <c r="AL74" s="169" t="s">
        <v>633</v>
      </c>
      <c r="AM74" s="169" t="s">
        <v>633</v>
      </c>
      <c r="AN74" s="169" t="s">
        <v>633</v>
      </c>
      <c r="AO74" s="169" t="s">
        <v>633</v>
      </c>
      <c r="AP74" s="169" t="s">
        <v>633</v>
      </c>
      <c r="AQ74" s="169" t="s">
        <v>633</v>
      </c>
      <c r="AR74" s="169" t="s">
        <v>633</v>
      </c>
      <c r="AS74" s="169" t="s">
        <v>633</v>
      </c>
      <c r="AT74" s="169" t="s">
        <v>633</v>
      </c>
      <c r="AU74" s="169" t="s">
        <v>633</v>
      </c>
      <c r="AV74" s="169" t="s">
        <v>633</v>
      </c>
      <c r="AW74" s="169" t="s">
        <v>633</v>
      </c>
      <c r="AX74" s="169" t="s">
        <v>633</v>
      </c>
      <c r="AY74" s="169" t="s">
        <v>633</v>
      </c>
      <c r="AZ74" s="169" t="s">
        <v>633</v>
      </c>
      <c r="BA74" s="169" t="s">
        <v>633</v>
      </c>
      <c r="BB74" s="169" t="s">
        <v>633</v>
      </c>
      <c r="BC74" s="169" t="s">
        <v>633</v>
      </c>
      <c r="BD74" s="169" t="s">
        <v>633</v>
      </c>
      <c r="BE74" s="169" t="s">
        <v>633</v>
      </c>
      <c r="BF74" s="169" t="s">
        <v>633</v>
      </c>
      <c r="BG74" s="169" t="s">
        <v>633</v>
      </c>
      <c r="BH74" s="169" t="s">
        <v>633</v>
      </c>
      <c r="BI74" s="169" t="s">
        <v>633</v>
      </c>
      <c r="BJ74" s="169" t="s">
        <v>633</v>
      </c>
      <c r="BK74" s="169" t="s">
        <v>633</v>
      </c>
      <c r="BL74" s="169" t="s">
        <v>633</v>
      </c>
      <c r="BM74" s="169" t="s">
        <v>633</v>
      </c>
      <c r="BN74" s="169" t="s">
        <v>633</v>
      </c>
      <c r="BO74" s="169" t="s">
        <v>633</v>
      </c>
      <c r="BP74" s="169" t="s">
        <v>633</v>
      </c>
      <c r="BQ74" s="169" t="s">
        <v>633</v>
      </c>
      <c r="BR74" s="169" t="s">
        <v>633</v>
      </c>
      <c r="BS74" s="169" t="s">
        <v>633</v>
      </c>
      <c r="BT74" s="169" t="s">
        <v>633</v>
      </c>
      <c r="BU74" s="169" t="s">
        <v>633</v>
      </c>
      <c r="BV74" s="169" t="s">
        <v>633</v>
      </c>
      <c r="BW74" s="169" t="s">
        <v>633</v>
      </c>
      <c r="BX74" s="169" t="s">
        <v>633</v>
      </c>
      <c r="BY74" s="169" t="s">
        <v>633</v>
      </c>
      <c r="BZ74" s="169" t="s">
        <v>633</v>
      </c>
      <c r="CA74" s="169" t="s">
        <v>633</v>
      </c>
      <c r="CB74" s="169" t="s">
        <v>633</v>
      </c>
      <c r="CC74" s="169" t="s">
        <v>633</v>
      </c>
      <c r="CD74" s="169" t="s">
        <v>633</v>
      </c>
    </row>
    <row x14ac:dyDescent="0.25" r="75" customHeight="1" ht="18.75">
      <c r="A75" s="1"/>
      <c r="B75" s="1050">
        <v>17</v>
      </c>
      <c r="C75" s="1049" t="s">
        <v>665</v>
      </c>
      <c r="D75" s="1049" t="s">
        <v>698</v>
      </c>
      <c r="E75" s="1049" t="s">
        <v>881</v>
      </c>
      <c r="F75" s="1049" t="s">
        <v>978</v>
      </c>
      <c r="G75" s="1049" t="s">
        <v>979</v>
      </c>
      <c r="H75" s="1049" t="s">
        <v>980</v>
      </c>
      <c r="I75" s="1049" t="s">
        <v>981</v>
      </c>
      <c r="J75" s="1049" t="s">
        <v>834</v>
      </c>
      <c r="K75" s="1049" t="s">
        <v>982</v>
      </c>
      <c r="L75" s="1049" t="s">
        <v>643</v>
      </c>
      <c r="M75" s="169" t="s">
        <v>643</v>
      </c>
      <c r="N75" s="169" t="s">
        <v>643</v>
      </c>
      <c r="O75" s="169" t="s">
        <v>643</v>
      </c>
      <c r="P75" s="169" t="s">
        <v>643</v>
      </c>
      <c r="Q75" s="169" t="s">
        <v>643</v>
      </c>
      <c r="R75" s="169" t="s">
        <v>643</v>
      </c>
      <c r="S75" s="169" t="s">
        <v>643</v>
      </c>
      <c r="T75" s="169" t="s">
        <v>643</v>
      </c>
      <c r="U75" s="169" t="s">
        <v>643</v>
      </c>
      <c r="V75" s="169" t="s">
        <v>643</v>
      </c>
      <c r="W75" s="169" t="s">
        <v>643</v>
      </c>
      <c r="X75" s="169" t="s">
        <v>643</v>
      </c>
      <c r="Y75" s="169" t="s">
        <v>643</v>
      </c>
      <c r="Z75" s="169" t="s">
        <v>643</v>
      </c>
      <c r="AA75" s="169" t="s">
        <v>643</v>
      </c>
      <c r="AB75" s="169" t="s">
        <v>643</v>
      </c>
      <c r="AC75" s="169" t="s">
        <v>643</v>
      </c>
      <c r="AD75" s="169" t="s">
        <v>643</v>
      </c>
      <c r="AE75" s="169" t="s">
        <v>643</v>
      </c>
      <c r="AF75" s="169" t="s">
        <v>643</v>
      </c>
      <c r="AG75" s="169" t="s">
        <v>643</v>
      </c>
      <c r="AH75" s="169" t="s">
        <v>643</v>
      </c>
      <c r="AI75" s="169" t="s">
        <v>643</v>
      </c>
      <c r="AJ75" s="169" t="s">
        <v>643</v>
      </c>
      <c r="AK75" s="169" t="s">
        <v>643</v>
      </c>
      <c r="AL75" s="169" t="s">
        <v>643</v>
      </c>
      <c r="AM75" s="169" t="s">
        <v>643</v>
      </c>
      <c r="AN75" s="169" t="s">
        <v>643</v>
      </c>
      <c r="AO75" s="169" t="s">
        <v>643</v>
      </c>
      <c r="AP75" s="169" t="s">
        <v>643</v>
      </c>
      <c r="AQ75" s="169" t="s">
        <v>643</v>
      </c>
      <c r="AR75" s="169" t="s">
        <v>643</v>
      </c>
      <c r="AS75" s="169" t="s">
        <v>643</v>
      </c>
      <c r="AT75" s="169" t="s">
        <v>643</v>
      </c>
      <c r="AU75" s="169" t="s">
        <v>643</v>
      </c>
      <c r="AV75" s="169" t="s">
        <v>643</v>
      </c>
      <c r="AW75" s="169" t="s">
        <v>643</v>
      </c>
      <c r="AX75" s="169" t="s">
        <v>643</v>
      </c>
      <c r="AY75" s="169" t="s">
        <v>643</v>
      </c>
      <c r="AZ75" s="169" t="s">
        <v>643</v>
      </c>
      <c r="BA75" s="169" t="s">
        <v>643</v>
      </c>
      <c r="BB75" s="169" t="s">
        <v>643</v>
      </c>
      <c r="BC75" s="169" t="s">
        <v>643</v>
      </c>
      <c r="BD75" s="169" t="s">
        <v>643</v>
      </c>
      <c r="BE75" s="169" t="s">
        <v>643</v>
      </c>
      <c r="BF75" s="169" t="s">
        <v>643</v>
      </c>
      <c r="BG75" s="169" t="s">
        <v>643</v>
      </c>
      <c r="BH75" s="169" t="s">
        <v>643</v>
      </c>
      <c r="BI75" s="169" t="s">
        <v>643</v>
      </c>
      <c r="BJ75" s="169" t="s">
        <v>643</v>
      </c>
      <c r="BK75" s="169" t="s">
        <v>643</v>
      </c>
      <c r="BL75" s="169" t="s">
        <v>643</v>
      </c>
      <c r="BM75" s="169" t="s">
        <v>643</v>
      </c>
      <c r="BN75" s="169" t="s">
        <v>643</v>
      </c>
      <c r="BO75" s="169" t="s">
        <v>643</v>
      </c>
      <c r="BP75" s="169" t="s">
        <v>643</v>
      </c>
      <c r="BQ75" s="169" t="s">
        <v>643</v>
      </c>
      <c r="BR75" s="169" t="s">
        <v>643</v>
      </c>
      <c r="BS75" s="169" t="s">
        <v>643</v>
      </c>
      <c r="BT75" s="169" t="s">
        <v>643</v>
      </c>
      <c r="BU75" s="169" t="s">
        <v>643</v>
      </c>
      <c r="BV75" s="169" t="s">
        <v>643</v>
      </c>
      <c r="BW75" s="169" t="s">
        <v>643</v>
      </c>
      <c r="BX75" s="169" t="s">
        <v>643</v>
      </c>
      <c r="BY75" s="169" t="s">
        <v>643</v>
      </c>
      <c r="BZ75" s="169" t="s">
        <v>643</v>
      </c>
      <c r="CA75" s="169" t="s">
        <v>643</v>
      </c>
      <c r="CB75" s="169" t="s">
        <v>643</v>
      </c>
      <c r="CC75" s="169" t="s">
        <v>643</v>
      </c>
      <c r="CD75" s="169" t="s">
        <v>643</v>
      </c>
    </row>
    <row x14ac:dyDescent="0.25" r="76" customHeight="1" ht="18.75">
      <c r="A76" s="1"/>
      <c r="B76" s="1050">
        <v>16</v>
      </c>
      <c r="C76" s="1049" t="s">
        <v>983</v>
      </c>
      <c r="D76" s="1049" t="s">
        <v>726</v>
      </c>
      <c r="E76" s="1049" t="s">
        <v>709</v>
      </c>
      <c r="F76" s="1049" t="s">
        <v>984</v>
      </c>
      <c r="G76" s="1049" t="s">
        <v>985</v>
      </c>
      <c r="H76" s="1049" t="s">
        <v>702</v>
      </c>
      <c r="I76" s="1049" t="s">
        <v>986</v>
      </c>
      <c r="J76" s="1049" t="s">
        <v>987</v>
      </c>
      <c r="K76" s="1049" t="s">
        <v>826</v>
      </c>
      <c r="L76" s="1049" t="s">
        <v>956</v>
      </c>
      <c r="M76" s="169" t="s">
        <v>956</v>
      </c>
      <c r="N76" s="169" t="s">
        <v>956</v>
      </c>
      <c r="O76" s="169" t="s">
        <v>956</v>
      </c>
      <c r="P76" s="169" t="s">
        <v>956</v>
      </c>
      <c r="Q76" s="169" t="s">
        <v>956</v>
      </c>
      <c r="R76" s="169" t="s">
        <v>956</v>
      </c>
      <c r="S76" s="169" t="s">
        <v>956</v>
      </c>
      <c r="T76" s="169" t="s">
        <v>956</v>
      </c>
      <c r="U76" s="169" t="s">
        <v>956</v>
      </c>
      <c r="V76" s="169" t="s">
        <v>956</v>
      </c>
      <c r="W76" s="169" t="s">
        <v>956</v>
      </c>
      <c r="X76" s="169" t="s">
        <v>956</v>
      </c>
      <c r="Y76" s="169" t="s">
        <v>956</v>
      </c>
      <c r="Z76" s="169" t="s">
        <v>956</v>
      </c>
      <c r="AA76" s="169" t="s">
        <v>956</v>
      </c>
      <c r="AB76" s="169" t="s">
        <v>956</v>
      </c>
      <c r="AC76" s="169" t="s">
        <v>956</v>
      </c>
      <c r="AD76" s="169" t="s">
        <v>956</v>
      </c>
      <c r="AE76" s="169" t="s">
        <v>956</v>
      </c>
      <c r="AF76" s="169" t="s">
        <v>956</v>
      </c>
      <c r="AG76" s="169" t="s">
        <v>956</v>
      </c>
      <c r="AH76" s="169" t="s">
        <v>956</v>
      </c>
      <c r="AI76" s="169" t="s">
        <v>956</v>
      </c>
      <c r="AJ76" s="169" t="s">
        <v>956</v>
      </c>
      <c r="AK76" s="169" t="s">
        <v>956</v>
      </c>
      <c r="AL76" s="169" t="s">
        <v>956</v>
      </c>
      <c r="AM76" s="169" t="s">
        <v>956</v>
      </c>
      <c r="AN76" s="169" t="s">
        <v>956</v>
      </c>
      <c r="AO76" s="169" t="s">
        <v>956</v>
      </c>
      <c r="AP76" s="169" t="s">
        <v>956</v>
      </c>
      <c r="AQ76" s="169" t="s">
        <v>956</v>
      </c>
      <c r="AR76" s="169" t="s">
        <v>956</v>
      </c>
      <c r="AS76" s="169" t="s">
        <v>956</v>
      </c>
      <c r="AT76" s="169" t="s">
        <v>956</v>
      </c>
      <c r="AU76" s="169" t="s">
        <v>956</v>
      </c>
      <c r="AV76" s="169" t="s">
        <v>956</v>
      </c>
      <c r="AW76" s="169" t="s">
        <v>956</v>
      </c>
      <c r="AX76" s="169" t="s">
        <v>956</v>
      </c>
      <c r="AY76" s="169" t="s">
        <v>956</v>
      </c>
      <c r="AZ76" s="169" t="s">
        <v>956</v>
      </c>
      <c r="BA76" s="169" t="s">
        <v>956</v>
      </c>
      <c r="BB76" s="169" t="s">
        <v>956</v>
      </c>
      <c r="BC76" s="169" t="s">
        <v>956</v>
      </c>
      <c r="BD76" s="169" t="s">
        <v>956</v>
      </c>
      <c r="BE76" s="169" t="s">
        <v>956</v>
      </c>
      <c r="BF76" s="169" t="s">
        <v>956</v>
      </c>
      <c r="BG76" s="169" t="s">
        <v>956</v>
      </c>
      <c r="BH76" s="169" t="s">
        <v>956</v>
      </c>
      <c r="BI76" s="169" t="s">
        <v>956</v>
      </c>
      <c r="BJ76" s="169" t="s">
        <v>956</v>
      </c>
      <c r="BK76" s="169" t="s">
        <v>956</v>
      </c>
      <c r="BL76" s="169" t="s">
        <v>956</v>
      </c>
      <c r="BM76" s="169" t="s">
        <v>956</v>
      </c>
      <c r="BN76" s="169" t="s">
        <v>956</v>
      </c>
      <c r="BO76" s="169" t="s">
        <v>956</v>
      </c>
      <c r="BP76" s="169" t="s">
        <v>956</v>
      </c>
      <c r="BQ76" s="169" t="s">
        <v>956</v>
      </c>
      <c r="BR76" s="169" t="s">
        <v>956</v>
      </c>
      <c r="BS76" s="169" t="s">
        <v>956</v>
      </c>
      <c r="BT76" s="169" t="s">
        <v>956</v>
      </c>
      <c r="BU76" s="169" t="s">
        <v>956</v>
      </c>
      <c r="BV76" s="169" t="s">
        <v>956</v>
      </c>
      <c r="BW76" s="169" t="s">
        <v>956</v>
      </c>
      <c r="BX76" s="169" t="s">
        <v>956</v>
      </c>
      <c r="BY76" s="169" t="s">
        <v>956</v>
      </c>
      <c r="BZ76" s="169" t="s">
        <v>956</v>
      </c>
      <c r="CA76" s="169" t="s">
        <v>956</v>
      </c>
      <c r="CB76" s="169" t="s">
        <v>956</v>
      </c>
      <c r="CC76" s="169" t="s">
        <v>956</v>
      </c>
      <c r="CD76" s="169" t="s">
        <v>956</v>
      </c>
    </row>
    <row x14ac:dyDescent="0.25" r="77" customHeight="1" ht="18.75">
      <c r="A77" s="1"/>
      <c r="B77" s="1050">
        <v>15</v>
      </c>
      <c r="C77" s="1049" t="s">
        <v>723</v>
      </c>
      <c r="D77" s="1049" t="s">
        <v>927</v>
      </c>
      <c r="E77" s="1049" t="s">
        <v>893</v>
      </c>
      <c r="F77" s="1049" t="s">
        <v>988</v>
      </c>
      <c r="G77" s="1049" t="s">
        <v>989</v>
      </c>
      <c r="H77" s="1049" t="s">
        <v>990</v>
      </c>
      <c r="I77" s="1049" t="s">
        <v>680</v>
      </c>
      <c r="J77" s="1049" t="s">
        <v>991</v>
      </c>
      <c r="K77" s="1049" t="s">
        <v>992</v>
      </c>
      <c r="L77" s="1049" t="s">
        <v>993</v>
      </c>
      <c r="M77" s="169" t="s">
        <v>993</v>
      </c>
      <c r="N77" s="169" t="s">
        <v>993</v>
      </c>
      <c r="O77" s="169" t="s">
        <v>993</v>
      </c>
      <c r="P77" s="169" t="s">
        <v>993</v>
      </c>
      <c r="Q77" s="169" t="s">
        <v>993</v>
      </c>
      <c r="R77" s="169" t="s">
        <v>993</v>
      </c>
      <c r="S77" s="169" t="s">
        <v>993</v>
      </c>
      <c r="T77" s="169" t="s">
        <v>993</v>
      </c>
      <c r="U77" s="169" t="s">
        <v>993</v>
      </c>
      <c r="V77" s="169" t="s">
        <v>993</v>
      </c>
      <c r="W77" s="169" t="s">
        <v>993</v>
      </c>
      <c r="X77" s="169" t="s">
        <v>993</v>
      </c>
      <c r="Y77" s="169" t="s">
        <v>993</v>
      </c>
      <c r="Z77" s="169" t="s">
        <v>993</v>
      </c>
      <c r="AA77" s="169" t="s">
        <v>993</v>
      </c>
      <c r="AB77" s="169" t="s">
        <v>993</v>
      </c>
      <c r="AC77" s="169" t="s">
        <v>993</v>
      </c>
      <c r="AD77" s="169" t="s">
        <v>993</v>
      </c>
      <c r="AE77" s="169" t="s">
        <v>993</v>
      </c>
      <c r="AF77" s="169" t="s">
        <v>993</v>
      </c>
      <c r="AG77" s="169" t="s">
        <v>993</v>
      </c>
      <c r="AH77" s="169" t="s">
        <v>993</v>
      </c>
      <c r="AI77" s="169" t="s">
        <v>993</v>
      </c>
      <c r="AJ77" s="169" t="s">
        <v>993</v>
      </c>
      <c r="AK77" s="169" t="s">
        <v>993</v>
      </c>
      <c r="AL77" s="169" t="s">
        <v>993</v>
      </c>
      <c r="AM77" s="169" t="s">
        <v>993</v>
      </c>
      <c r="AN77" s="169" t="s">
        <v>993</v>
      </c>
      <c r="AO77" s="169" t="s">
        <v>993</v>
      </c>
      <c r="AP77" s="169" t="s">
        <v>993</v>
      </c>
      <c r="AQ77" s="169" t="s">
        <v>993</v>
      </c>
      <c r="AR77" s="169" t="s">
        <v>993</v>
      </c>
      <c r="AS77" s="169" t="s">
        <v>993</v>
      </c>
      <c r="AT77" s="169" t="s">
        <v>993</v>
      </c>
      <c r="AU77" s="169" t="s">
        <v>993</v>
      </c>
      <c r="AV77" s="169" t="s">
        <v>993</v>
      </c>
      <c r="AW77" s="169" t="s">
        <v>993</v>
      </c>
      <c r="AX77" s="169" t="s">
        <v>993</v>
      </c>
      <c r="AY77" s="169" t="s">
        <v>993</v>
      </c>
      <c r="AZ77" s="169" t="s">
        <v>993</v>
      </c>
      <c r="BA77" s="169" t="s">
        <v>993</v>
      </c>
      <c r="BB77" s="169" t="s">
        <v>993</v>
      </c>
      <c r="BC77" s="169" t="s">
        <v>993</v>
      </c>
      <c r="BD77" s="169" t="s">
        <v>993</v>
      </c>
      <c r="BE77" s="169" t="s">
        <v>993</v>
      </c>
      <c r="BF77" s="169" t="s">
        <v>993</v>
      </c>
      <c r="BG77" s="169" t="s">
        <v>993</v>
      </c>
      <c r="BH77" s="169" t="s">
        <v>993</v>
      </c>
      <c r="BI77" s="169" t="s">
        <v>993</v>
      </c>
      <c r="BJ77" s="169" t="s">
        <v>993</v>
      </c>
      <c r="BK77" s="169" t="s">
        <v>993</v>
      </c>
      <c r="BL77" s="169" t="s">
        <v>993</v>
      </c>
      <c r="BM77" s="169" t="s">
        <v>993</v>
      </c>
      <c r="BN77" s="169" t="s">
        <v>993</v>
      </c>
      <c r="BO77" s="169" t="s">
        <v>993</v>
      </c>
      <c r="BP77" s="169" t="s">
        <v>993</v>
      </c>
      <c r="BQ77" s="169" t="s">
        <v>993</v>
      </c>
      <c r="BR77" s="169" t="s">
        <v>993</v>
      </c>
      <c r="BS77" s="169" t="s">
        <v>993</v>
      </c>
      <c r="BT77" s="169" t="s">
        <v>993</v>
      </c>
      <c r="BU77" s="169" t="s">
        <v>993</v>
      </c>
      <c r="BV77" s="169" t="s">
        <v>993</v>
      </c>
      <c r="BW77" s="169" t="s">
        <v>993</v>
      </c>
      <c r="BX77" s="169" t="s">
        <v>993</v>
      </c>
      <c r="BY77" s="169" t="s">
        <v>993</v>
      </c>
      <c r="BZ77" s="169" t="s">
        <v>993</v>
      </c>
      <c r="CA77" s="169" t="s">
        <v>993</v>
      </c>
      <c r="CB77" s="169" t="s">
        <v>993</v>
      </c>
      <c r="CC77" s="169" t="s">
        <v>993</v>
      </c>
      <c r="CD77" s="169" t="s">
        <v>993</v>
      </c>
    </row>
    <row x14ac:dyDescent="0.25" r="78" customHeight="1" ht="18.75">
      <c r="A78" s="1"/>
      <c r="B78" s="1050">
        <v>14</v>
      </c>
      <c r="C78" s="1049" t="s">
        <v>994</v>
      </c>
      <c r="D78" s="1049" t="s">
        <v>775</v>
      </c>
      <c r="E78" s="1049" t="s">
        <v>845</v>
      </c>
      <c r="F78" s="1049" t="s">
        <v>677</v>
      </c>
      <c r="G78" s="1049" t="s">
        <v>746</v>
      </c>
      <c r="H78" s="1049" t="s">
        <v>995</v>
      </c>
      <c r="I78" s="1049" t="s">
        <v>996</v>
      </c>
      <c r="J78" s="1049" t="s">
        <v>608</v>
      </c>
      <c r="K78" s="1049" t="s">
        <v>997</v>
      </c>
      <c r="L78" s="1049" t="s">
        <v>998</v>
      </c>
      <c r="M78" s="169" t="s">
        <v>998</v>
      </c>
      <c r="N78" s="169" t="s">
        <v>998</v>
      </c>
      <c r="O78" s="169" t="s">
        <v>998</v>
      </c>
      <c r="P78" s="169" t="s">
        <v>998</v>
      </c>
      <c r="Q78" s="169" t="s">
        <v>998</v>
      </c>
      <c r="R78" s="169" t="s">
        <v>998</v>
      </c>
      <c r="S78" s="169" t="s">
        <v>998</v>
      </c>
      <c r="T78" s="169" t="s">
        <v>998</v>
      </c>
      <c r="U78" s="169" t="s">
        <v>998</v>
      </c>
      <c r="V78" s="169" t="s">
        <v>998</v>
      </c>
      <c r="W78" s="169" t="s">
        <v>998</v>
      </c>
      <c r="X78" s="169" t="s">
        <v>998</v>
      </c>
      <c r="Y78" s="169" t="s">
        <v>998</v>
      </c>
      <c r="Z78" s="169" t="s">
        <v>998</v>
      </c>
      <c r="AA78" s="169" t="s">
        <v>998</v>
      </c>
      <c r="AB78" s="169" t="s">
        <v>998</v>
      </c>
      <c r="AC78" s="169" t="s">
        <v>998</v>
      </c>
      <c r="AD78" s="169" t="s">
        <v>998</v>
      </c>
      <c r="AE78" s="169" t="s">
        <v>998</v>
      </c>
      <c r="AF78" s="169" t="s">
        <v>998</v>
      </c>
      <c r="AG78" s="169" t="s">
        <v>998</v>
      </c>
      <c r="AH78" s="169" t="s">
        <v>998</v>
      </c>
      <c r="AI78" s="169" t="s">
        <v>998</v>
      </c>
      <c r="AJ78" s="169" t="s">
        <v>998</v>
      </c>
      <c r="AK78" s="169" t="s">
        <v>998</v>
      </c>
      <c r="AL78" s="169" t="s">
        <v>998</v>
      </c>
      <c r="AM78" s="169" t="s">
        <v>998</v>
      </c>
      <c r="AN78" s="169" t="s">
        <v>998</v>
      </c>
      <c r="AO78" s="169" t="s">
        <v>998</v>
      </c>
      <c r="AP78" s="169" t="s">
        <v>998</v>
      </c>
      <c r="AQ78" s="169" t="s">
        <v>998</v>
      </c>
      <c r="AR78" s="169" t="s">
        <v>998</v>
      </c>
      <c r="AS78" s="169" t="s">
        <v>998</v>
      </c>
      <c r="AT78" s="169" t="s">
        <v>998</v>
      </c>
      <c r="AU78" s="169" t="s">
        <v>998</v>
      </c>
      <c r="AV78" s="169" t="s">
        <v>998</v>
      </c>
      <c r="AW78" s="169" t="s">
        <v>998</v>
      </c>
      <c r="AX78" s="169" t="s">
        <v>998</v>
      </c>
      <c r="AY78" s="169" t="s">
        <v>998</v>
      </c>
      <c r="AZ78" s="169" t="s">
        <v>998</v>
      </c>
      <c r="BA78" s="169" t="s">
        <v>998</v>
      </c>
      <c r="BB78" s="169" t="s">
        <v>998</v>
      </c>
      <c r="BC78" s="169" t="s">
        <v>998</v>
      </c>
      <c r="BD78" s="169" t="s">
        <v>998</v>
      </c>
      <c r="BE78" s="169" t="s">
        <v>998</v>
      </c>
      <c r="BF78" s="169" t="s">
        <v>998</v>
      </c>
      <c r="BG78" s="169" t="s">
        <v>998</v>
      </c>
      <c r="BH78" s="169" t="s">
        <v>998</v>
      </c>
      <c r="BI78" s="169" t="s">
        <v>998</v>
      </c>
      <c r="BJ78" s="169" t="s">
        <v>998</v>
      </c>
      <c r="BK78" s="169" t="s">
        <v>998</v>
      </c>
      <c r="BL78" s="169" t="s">
        <v>998</v>
      </c>
      <c r="BM78" s="169" t="s">
        <v>998</v>
      </c>
      <c r="BN78" s="169" t="s">
        <v>998</v>
      </c>
      <c r="BO78" s="169" t="s">
        <v>998</v>
      </c>
      <c r="BP78" s="169" t="s">
        <v>998</v>
      </c>
      <c r="BQ78" s="169" t="s">
        <v>998</v>
      </c>
      <c r="BR78" s="169" t="s">
        <v>998</v>
      </c>
      <c r="BS78" s="169" t="s">
        <v>998</v>
      </c>
      <c r="BT78" s="169" t="s">
        <v>998</v>
      </c>
      <c r="BU78" s="169" t="s">
        <v>998</v>
      </c>
      <c r="BV78" s="169" t="s">
        <v>998</v>
      </c>
      <c r="BW78" s="169" t="s">
        <v>998</v>
      </c>
      <c r="BX78" s="169" t="s">
        <v>998</v>
      </c>
      <c r="BY78" s="169" t="s">
        <v>998</v>
      </c>
      <c r="BZ78" s="169" t="s">
        <v>998</v>
      </c>
      <c r="CA78" s="169" t="s">
        <v>998</v>
      </c>
      <c r="CB78" s="169" t="s">
        <v>998</v>
      </c>
      <c r="CC78" s="169" t="s">
        <v>998</v>
      </c>
      <c r="CD78" s="169" t="s">
        <v>998</v>
      </c>
    </row>
    <row x14ac:dyDescent="0.25" r="79" customHeight="1" ht="18.75">
      <c r="A79" s="1"/>
      <c r="B79" s="1050">
        <v>13</v>
      </c>
      <c r="C79" s="1049" t="s">
        <v>999</v>
      </c>
      <c r="D79" s="1049" t="s">
        <v>734</v>
      </c>
      <c r="E79" s="1049" t="s">
        <v>676</v>
      </c>
      <c r="F79" s="1049" t="s">
        <v>879</v>
      </c>
      <c r="G79" s="1049" t="s">
        <v>753</v>
      </c>
      <c r="H79" s="1049" t="s">
        <v>824</v>
      </c>
      <c r="I79" s="1049" t="s">
        <v>859</v>
      </c>
      <c r="J79" s="1049" t="s">
        <v>639</v>
      </c>
      <c r="K79" s="1049" t="s">
        <v>1000</v>
      </c>
      <c r="L79" s="1049" t="s">
        <v>1001</v>
      </c>
      <c r="M79" s="169" t="s">
        <v>1001</v>
      </c>
      <c r="N79" s="169" t="s">
        <v>1001</v>
      </c>
      <c r="O79" s="169" t="s">
        <v>1001</v>
      </c>
      <c r="P79" s="169" t="s">
        <v>1001</v>
      </c>
      <c r="Q79" s="169" t="s">
        <v>1001</v>
      </c>
      <c r="R79" s="169" t="s">
        <v>1001</v>
      </c>
      <c r="S79" s="169" t="s">
        <v>1001</v>
      </c>
      <c r="T79" s="169" t="s">
        <v>1001</v>
      </c>
      <c r="U79" s="169" t="s">
        <v>1001</v>
      </c>
      <c r="V79" s="169" t="s">
        <v>1001</v>
      </c>
      <c r="W79" s="169" t="s">
        <v>1001</v>
      </c>
      <c r="X79" s="169" t="s">
        <v>1001</v>
      </c>
      <c r="Y79" s="169" t="s">
        <v>1001</v>
      </c>
      <c r="Z79" s="169" t="s">
        <v>1001</v>
      </c>
      <c r="AA79" s="169" t="s">
        <v>1001</v>
      </c>
      <c r="AB79" s="169" t="s">
        <v>1001</v>
      </c>
      <c r="AC79" s="169" t="s">
        <v>1001</v>
      </c>
      <c r="AD79" s="169" t="s">
        <v>1001</v>
      </c>
      <c r="AE79" s="169" t="s">
        <v>1001</v>
      </c>
      <c r="AF79" s="169" t="s">
        <v>1001</v>
      </c>
      <c r="AG79" s="169" t="s">
        <v>1001</v>
      </c>
      <c r="AH79" s="169" t="s">
        <v>1001</v>
      </c>
      <c r="AI79" s="169" t="s">
        <v>1001</v>
      </c>
      <c r="AJ79" s="169" t="s">
        <v>1001</v>
      </c>
      <c r="AK79" s="169" t="s">
        <v>1001</v>
      </c>
      <c r="AL79" s="169" t="s">
        <v>1001</v>
      </c>
      <c r="AM79" s="169" t="s">
        <v>1001</v>
      </c>
      <c r="AN79" s="169" t="s">
        <v>1001</v>
      </c>
      <c r="AO79" s="169" t="s">
        <v>1001</v>
      </c>
      <c r="AP79" s="169" t="s">
        <v>1001</v>
      </c>
      <c r="AQ79" s="169" t="s">
        <v>1001</v>
      </c>
      <c r="AR79" s="169" t="s">
        <v>1001</v>
      </c>
      <c r="AS79" s="169" t="s">
        <v>1001</v>
      </c>
      <c r="AT79" s="169" t="s">
        <v>1001</v>
      </c>
      <c r="AU79" s="169" t="s">
        <v>1001</v>
      </c>
      <c r="AV79" s="169" t="s">
        <v>1001</v>
      </c>
      <c r="AW79" s="169" t="s">
        <v>1001</v>
      </c>
      <c r="AX79" s="169" t="s">
        <v>1001</v>
      </c>
      <c r="AY79" s="169" t="s">
        <v>1001</v>
      </c>
      <c r="AZ79" s="169" t="s">
        <v>1001</v>
      </c>
      <c r="BA79" s="169" t="s">
        <v>1001</v>
      </c>
      <c r="BB79" s="169" t="s">
        <v>1001</v>
      </c>
      <c r="BC79" s="169" t="s">
        <v>1001</v>
      </c>
      <c r="BD79" s="169" t="s">
        <v>1001</v>
      </c>
      <c r="BE79" s="169" t="s">
        <v>1001</v>
      </c>
      <c r="BF79" s="169" t="s">
        <v>1001</v>
      </c>
      <c r="BG79" s="169" t="s">
        <v>1001</v>
      </c>
      <c r="BH79" s="169" t="s">
        <v>1001</v>
      </c>
      <c r="BI79" s="169" t="s">
        <v>1001</v>
      </c>
      <c r="BJ79" s="169" t="s">
        <v>1001</v>
      </c>
      <c r="BK79" s="169" t="s">
        <v>1001</v>
      </c>
      <c r="BL79" s="169" t="s">
        <v>1001</v>
      </c>
      <c r="BM79" s="169" t="s">
        <v>1001</v>
      </c>
      <c r="BN79" s="169" t="s">
        <v>1001</v>
      </c>
      <c r="BO79" s="169" t="s">
        <v>1001</v>
      </c>
      <c r="BP79" s="169" t="s">
        <v>1001</v>
      </c>
      <c r="BQ79" s="169" t="s">
        <v>1001</v>
      </c>
      <c r="BR79" s="169" t="s">
        <v>1001</v>
      </c>
      <c r="BS79" s="169" t="s">
        <v>1001</v>
      </c>
      <c r="BT79" s="169" t="s">
        <v>1001</v>
      </c>
      <c r="BU79" s="169" t="s">
        <v>1001</v>
      </c>
      <c r="BV79" s="169" t="s">
        <v>1001</v>
      </c>
      <c r="BW79" s="169" t="s">
        <v>1001</v>
      </c>
      <c r="BX79" s="169" t="s">
        <v>1001</v>
      </c>
      <c r="BY79" s="169" t="s">
        <v>1001</v>
      </c>
      <c r="BZ79" s="169" t="s">
        <v>1001</v>
      </c>
      <c r="CA79" s="169" t="s">
        <v>1001</v>
      </c>
      <c r="CB79" s="169" t="s">
        <v>1001</v>
      </c>
      <c r="CC79" s="169" t="s">
        <v>1001</v>
      </c>
      <c r="CD79" s="169" t="s">
        <v>1001</v>
      </c>
    </row>
    <row x14ac:dyDescent="0.25" r="80" customHeight="1" ht="18.75">
      <c r="A80" s="1"/>
      <c r="B80" s="1050">
        <v>12</v>
      </c>
      <c r="C80" s="1049" t="s">
        <v>1002</v>
      </c>
      <c r="D80" s="1049" t="s">
        <v>774</v>
      </c>
      <c r="E80" s="1049" t="s">
        <v>857</v>
      </c>
      <c r="F80" s="1049" t="s">
        <v>864</v>
      </c>
      <c r="G80" s="1049" t="s">
        <v>658</v>
      </c>
      <c r="H80" s="1049" t="s">
        <v>852</v>
      </c>
      <c r="I80" s="1049" t="s">
        <v>709</v>
      </c>
      <c r="J80" s="1049" t="s">
        <v>689</v>
      </c>
      <c r="K80" s="1049" t="s">
        <v>1003</v>
      </c>
      <c r="L80" s="1049" t="s">
        <v>629</v>
      </c>
      <c r="M80" s="169" t="s">
        <v>629</v>
      </c>
      <c r="N80" s="169" t="s">
        <v>629</v>
      </c>
      <c r="O80" s="169" t="s">
        <v>629</v>
      </c>
      <c r="P80" s="169" t="s">
        <v>629</v>
      </c>
      <c r="Q80" s="169" t="s">
        <v>629</v>
      </c>
      <c r="R80" s="169" t="s">
        <v>629</v>
      </c>
      <c r="S80" s="169" t="s">
        <v>629</v>
      </c>
      <c r="T80" s="169" t="s">
        <v>629</v>
      </c>
      <c r="U80" s="169" t="s">
        <v>629</v>
      </c>
      <c r="V80" s="169" t="s">
        <v>629</v>
      </c>
      <c r="W80" s="169" t="s">
        <v>629</v>
      </c>
      <c r="X80" s="169" t="s">
        <v>629</v>
      </c>
      <c r="Y80" s="169" t="s">
        <v>629</v>
      </c>
      <c r="Z80" s="169" t="s">
        <v>629</v>
      </c>
      <c r="AA80" s="169" t="s">
        <v>629</v>
      </c>
      <c r="AB80" s="169" t="s">
        <v>629</v>
      </c>
      <c r="AC80" s="169" t="s">
        <v>629</v>
      </c>
      <c r="AD80" s="169" t="s">
        <v>629</v>
      </c>
      <c r="AE80" s="169" t="s">
        <v>629</v>
      </c>
      <c r="AF80" s="169" t="s">
        <v>629</v>
      </c>
      <c r="AG80" s="169" t="s">
        <v>629</v>
      </c>
      <c r="AH80" s="169" t="s">
        <v>629</v>
      </c>
      <c r="AI80" s="169" t="s">
        <v>629</v>
      </c>
      <c r="AJ80" s="169" t="s">
        <v>629</v>
      </c>
      <c r="AK80" s="169" t="s">
        <v>629</v>
      </c>
      <c r="AL80" s="169" t="s">
        <v>629</v>
      </c>
      <c r="AM80" s="169" t="s">
        <v>629</v>
      </c>
      <c r="AN80" s="169" t="s">
        <v>629</v>
      </c>
      <c r="AO80" s="169" t="s">
        <v>629</v>
      </c>
      <c r="AP80" s="169" t="s">
        <v>629</v>
      </c>
      <c r="AQ80" s="169" t="s">
        <v>629</v>
      </c>
      <c r="AR80" s="169" t="s">
        <v>629</v>
      </c>
      <c r="AS80" s="169" t="s">
        <v>629</v>
      </c>
      <c r="AT80" s="169" t="s">
        <v>629</v>
      </c>
      <c r="AU80" s="169" t="s">
        <v>629</v>
      </c>
      <c r="AV80" s="169" t="s">
        <v>629</v>
      </c>
      <c r="AW80" s="169" t="s">
        <v>629</v>
      </c>
      <c r="AX80" s="169" t="s">
        <v>629</v>
      </c>
      <c r="AY80" s="169" t="s">
        <v>629</v>
      </c>
      <c r="AZ80" s="169" t="s">
        <v>629</v>
      </c>
      <c r="BA80" s="169" t="s">
        <v>629</v>
      </c>
      <c r="BB80" s="169" t="s">
        <v>629</v>
      </c>
      <c r="BC80" s="169" t="s">
        <v>629</v>
      </c>
      <c r="BD80" s="169" t="s">
        <v>629</v>
      </c>
      <c r="BE80" s="169" t="s">
        <v>629</v>
      </c>
      <c r="BF80" s="169" t="s">
        <v>629</v>
      </c>
      <c r="BG80" s="169" t="s">
        <v>629</v>
      </c>
      <c r="BH80" s="169" t="s">
        <v>629</v>
      </c>
      <c r="BI80" s="169" t="s">
        <v>629</v>
      </c>
      <c r="BJ80" s="169" t="s">
        <v>629</v>
      </c>
      <c r="BK80" s="169" t="s">
        <v>629</v>
      </c>
      <c r="BL80" s="169" t="s">
        <v>629</v>
      </c>
      <c r="BM80" s="169" t="s">
        <v>629</v>
      </c>
      <c r="BN80" s="169" t="s">
        <v>629</v>
      </c>
      <c r="BO80" s="169" t="s">
        <v>629</v>
      </c>
      <c r="BP80" s="169" t="s">
        <v>629</v>
      </c>
      <c r="BQ80" s="169" t="s">
        <v>629</v>
      </c>
      <c r="BR80" s="169" t="s">
        <v>629</v>
      </c>
      <c r="BS80" s="169" t="s">
        <v>629</v>
      </c>
      <c r="BT80" s="169" t="s">
        <v>629</v>
      </c>
      <c r="BU80" s="169" t="s">
        <v>629</v>
      </c>
      <c r="BV80" s="169" t="s">
        <v>629</v>
      </c>
      <c r="BW80" s="169" t="s">
        <v>629</v>
      </c>
      <c r="BX80" s="169" t="s">
        <v>629</v>
      </c>
      <c r="BY80" s="169" t="s">
        <v>629</v>
      </c>
      <c r="BZ80" s="169" t="s">
        <v>629</v>
      </c>
      <c r="CA80" s="169" t="s">
        <v>629</v>
      </c>
      <c r="CB80" s="169" t="s">
        <v>629</v>
      </c>
      <c r="CC80" s="169" t="s">
        <v>629</v>
      </c>
      <c r="CD80" s="169" t="s">
        <v>629</v>
      </c>
    </row>
    <row x14ac:dyDescent="0.25" r="81" customHeight="1" ht="18.75">
      <c r="A81" s="1"/>
      <c r="B81" s="1050">
        <v>11</v>
      </c>
      <c r="C81" s="1049" t="s">
        <v>890</v>
      </c>
      <c r="D81" s="1049" t="s">
        <v>1004</v>
      </c>
      <c r="E81" s="1049" t="s">
        <v>869</v>
      </c>
      <c r="F81" s="1049" t="s">
        <v>1005</v>
      </c>
      <c r="G81" s="1049" t="s">
        <v>920</v>
      </c>
      <c r="H81" s="1049" t="s">
        <v>879</v>
      </c>
      <c r="I81" s="1049" t="s">
        <v>865</v>
      </c>
      <c r="J81" s="1049" t="s">
        <v>1006</v>
      </c>
      <c r="K81" s="1049" t="s">
        <v>1007</v>
      </c>
      <c r="L81" s="1049" t="s">
        <v>978</v>
      </c>
      <c r="M81" s="169" t="s">
        <v>978</v>
      </c>
      <c r="N81" s="169" t="s">
        <v>978</v>
      </c>
      <c r="O81" s="169" t="s">
        <v>978</v>
      </c>
      <c r="P81" s="169" t="s">
        <v>978</v>
      </c>
      <c r="Q81" s="169" t="s">
        <v>978</v>
      </c>
      <c r="R81" s="169" t="s">
        <v>978</v>
      </c>
      <c r="S81" s="169" t="s">
        <v>978</v>
      </c>
      <c r="T81" s="169" t="s">
        <v>978</v>
      </c>
      <c r="U81" s="169" t="s">
        <v>978</v>
      </c>
      <c r="V81" s="169" t="s">
        <v>978</v>
      </c>
      <c r="W81" s="169" t="s">
        <v>978</v>
      </c>
      <c r="X81" s="169" t="s">
        <v>978</v>
      </c>
      <c r="Y81" s="169" t="s">
        <v>978</v>
      </c>
      <c r="Z81" s="169" t="s">
        <v>978</v>
      </c>
      <c r="AA81" s="169" t="s">
        <v>978</v>
      </c>
      <c r="AB81" s="169" t="s">
        <v>978</v>
      </c>
      <c r="AC81" s="169" t="s">
        <v>978</v>
      </c>
      <c r="AD81" s="169" t="s">
        <v>978</v>
      </c>
      <c r="AE81" s="169" t="s">
        <v>978</v>
      </c>
      <c r="AF81" s="169" t="s">
        <v>978</v>
      </c>
      <c r="AG81" s="169" t="s">
        <v>978</v>
      </c>
      <c r="AH81" s="169" t="s">
        <v>978</v>
      </c>
      <c r="AI81" s="169" t="s">
        <v>978</v>
      </c>
      <c r="AJ81" s="169" t="s">
        <v>978</v>
      </c>
      <c r="AK81" s="169" t="s">
        <v>978</v>
      </c>
      <c r="AL81" s="169" t="s">
        <v>978</v>
      </c>
      <c r="AM81" s="169" t="s">
        <v>978</v>
      </c>
      <c r="AN81" s="169" t="s">
        <v>978</v>
      </c>
      <c r="AO81" s="169" t="s">
        <v>978</v>
      </c>
      <c r="AP81" s="169" t="s">
        <v>978</v>
      </c>
      <c r="AQ81" s="169" t="s">
        <v>978</v>
      </c>
      <c r="AR81" s="169" t="s">
        <v>978</v>
      </c>
      <c r="AS81" s="169" t="s">
        <v>978</v>
      </c>
      <c r="AT81" s="169" t="s">
        <v>978</v>
      </c>
      <c r="AU81" s="169" t="s">
        <v>978</v>
      </c>
      <c r="AV81" s="169" t="s">
        <v>978</v>
      </c>
      <c r="AW81" s="169" t="s">
        <v>978</v>
      </c>
      <c r="AX81" s="169" t="s">
        <v>978</v>
      </c>
      <c r="AY81" s="169" t="s">
        <v>978</v>
      </c>
      <c r="AZ81" s="169" t="s">
        <v>978</v>
      </c>
      <c r="BA81" s="169" t="s">
        <v>978</v>
      </c>
      <c r="BB81" s="169" t="s">
        <v>978</v>
      </c>
      <c r="BC81" s="169" t="s">
        <v>978</v>
      </c>
      <c r="BD81" s="169" t="s">
        <v>978</v>
      </c>
      <c r="BE81" s="169" t="s">
        <v>978</v>
      </c>
      <c r="BF81" s="169" t="s">
        <v>978</v>
      </c>
      <c r="BG81" s="169" t="s">
        <v>978</v>
      </c>
      <c r="BH81" s="169" t="s">
        <v>978</v>
      </c>
      <c r="BI81" s="169" t="s">
        <v>978</v>
      </c>
      <c r="BJ81" s="169" t="s">
        <v>978</v>
      </c>
      <c r="BK81" s="169" t="s">
        <v>978</v>
      </c>
      <c r="BL81" s="169" t="s">
        <v>978</v>
      </c>
      <c r="BM81" s="169" t="s">
        <v>978</v>
      </c>
      <c r="BN81" s="169" t="s">
        <v>978</v>
      </c>
      <c r="BO81" s="169" t="s">
        <v>978</v>
      </c>
      <c r="BP81" s="169" t="s">
        <v>978</v>
      </c>
      <c r="BQ81" s="169" t="s">
        <v>978</v>
      </c>
      <c r="BR81" s="169" t="s">
        <v>978</v>
      </c>
      <c r="BS81" s="169" t="s">
        <v>978</v>
      </c>
      <c r="BT81" s="169" t="s">
        <v>978</v>
      </c>
      <c r="BU81" s="169" t="s">
        <v>978</v>
      </c>
      <c r="BV81" s="169" t="s">
        <v>978</v>
      </c>
      <c r="BW81" s="169" t="s">
        <v>978</v>
      </c>
      <c r="BX81" s="169" t="s">
        <v>978</v>
      </c>
      <c r="BY81" s="169" t="s">
        <v>978</v>
      </c>
      <c r="BZ81" s="169" t="s">
        <v>978</v>
      </c>
      <c r="CA81" s="169" t="s">
        <v>978</v>
      </c>
      <c r="CB81" s="169" t="s">
        <v>978</v>
      </c>
      <c r="CC81" s="169" t="s">
        <v>978</v>
      </c>
      <c r="CD81" s="169" t="s">
        <v>978</v>
      </c>
    </row>
    <row x14ac:dyDescent="0.25" r="82" customHeight="1" ht="18.75">
      <c r="A82" s="1"/>
      <c r="B82" s="1050">
        <v>10</v>
      </c>
      <c r="C82" s="1049" t="s">
        <v>1008</v>
      </c>
      <c r="D82" s="1049" t="s">
        <v>1009</v>
      </c>
      <c r="E82" s="1049" t="s">
        <v>1010</v>
      </c>
      <c r="F82" s="1049" t="s">
        <v>766</v>
      </c>
      <c r="G82" s="1049" t="s">
        <v>784</v>
      </c>
      <c r="H82" s="1049" t="s">
        <v>845</v>
      </c>
      <c r="I82" s="1049" t="s">
        <v>1011</v>
      </c>
      <c r="J82" s="1049" t="s">
        <v>880</v>
      </c>
      <c r="K82" s="1049" t="s">
        <v>824</v>
      </c>
      <c r="L82" s="1049" t="s">
        <v>1007</v>
      </c>
      <c r="M82" s="169" t="s">
        <v>1007</v>
      </c>
      <c r="N82" s="169" t="s">
        <v>1007</v>
      </c>
      <c r="O82" s="169" t="s">
        <v>1007</v>
      </c>
      <c r="P82" s="169" t="s">
        <v>1007</v>
      </c>
      <c r="Q82" s="169" t="s">
        <v>1007</v>
      </c>
      <c r="R82" s="169" t="s">
        <v>1007</v>
      </c>
      <c r="S82" s="169" t="s">
        <v>1007</v>
      </c>
      <c r="T82" s="169" t="s">
        <v>1007</v>
      </c>
      <c r="U82" s="169" t="s">
        <v>1007</v>
      </c>
      <c r="V82" s="169" t="s">
        <v>1007</v>
      </c>
      <c r="W82" s="169" t="s">
        <v>1007</v>
      </c>
      <c r="X82" s="169" t="s">
        <v>1007</v>
      </c>
      <c r="Y82" s="169" t="s">
        <v>1007</v>
      </c>
      <c r="Z82" s="169" t="s">
        <v>1007</v>
      </c>
      <c r="AA82" s="169" t="s">
        <v>1007</v>
      </c>
      <c r="AB82" s="169" t="s">
        <v>1007</v>
      </c>
      <c r="AC82" s="169" t="s">
        <v>1007</v>
      </c>
      <c r="AD82" s="169" t="s">
        <v>1007</v>
      </c>
      <c r="AE82" s="169" t="s">
        <v>1007</v>
      </c>
      <c r="AF82" s="169" t="s">
        <v>1007</v>
      </c>
      <c r="AG82" s="169" t="s">
        <v>1007</v>
      </c>
      <c r="AH82" s="169" t="s">
        <v>1007</v>
      </c>
      <c r="AI82" s="169" t="s">
        <v>1007</v>
      </c>
      <c r="AJ82" s="169" t="s">
        <v>1007</v>
      </c>
      <c r="AK82" s="169" t="s">
        <v>1007</v>
      </c>
      <c r="AL82" s="169" t="s">
        <v>1007</v>
      </c>
      <c r="AM82" s="169" t="s">
        <v>1007</v>
      </c>
      <c r="AN82" s="169" t="s">
        <v>1007</v>
      </c>
      <c r="AO82" s="169" t="s">
        <v>1007</v>
      </c>
      <c r="AP82" s="169" t="s">
        <v>1007</v>
      </c>
      <c r="AQ82" s="169" t="s">
        <v>1007</v>
      </c>
      <c r="AR82" s="169" t="s">
        <v>1007</v>
      </c>
      <c r="AS82" s="169" t="s">
        <v>1007</v>
      </c>
      <c r="AT82" s="169" t="s">
        <v>1007</v>
      </c>
      <c r="AU82" s="169" t="s">
        <v>1007</v>
      </c>
      <c r="AV82" s="169" t="s">
        <v>1007</v>
      </c>
      <c r="AW82" s="169" t="s">
        <v>1007</v>
      </c>
      <c r="AX82" s="169" t="s">
        <v>1007</v>
      </c>
      <c r="AY82" s="169" t="s">
        <v>1007</v>
      </c>
      <c r="AZ82" s="169" t="s">
        <v>1007</v>
      </c>
      <c r="BA82" s="169" t="s">
        <v>1007</v>
      </c>
      <c r="BB82" s="169" t="s">
        <v>1007</v>
      </c>
      <c r="BC82" s="169" t="s">
        <v>1007</v>
      </c>
      <c r="BD82" s="169" t="s">
        <v>1007</v>
      </c>
      <c r="BE82" s="169" t="s">
        <v>1007</v>
      </c>
      <c r="BF82" s="169" t="s">
        <v>1007</v>
      </c>
      <c r="BG82" s="169" t="s">
        <v>1007</v>
      </c>
      <c r="BH82" s="169" t="s">
        <v>1007</v>
      </c>
      <c r="BI82" s="169" t="s">
        <v>1007</v>
      </c>
      <c r="BJ82" s="169" t="s">
        <v>1007</v>
      </c>
      <c r="BK82" s="169" t="s">
        <v>1007</v>
      </c>
      <c r="BL82" s="169" t="s">
        <v>1007</v>
      </c>
      <c r="BM82" s="169" t="s">
        <v>1007</v>
      </c>
      <c r="BN82" s="169" t="s">
        <v>1007</v>
      </c>
      <c r="BO82" s="169" t="s">
        <v>1007</v>
      </c>
      <c r="BP82" s="169" t="s">
        <v>1007</v>
      </c>
      <c r="BQ82" s="169" t="s">
        <v>1007</v>
      </c>
      <c r="BR82" s="169" t="s">
        <v>1007</v>
      </c>
      <c r="BS82" s="169" t="s">
        <v>1007</v>
      </c>
      <c r="BT82" s="169" t="s">
        <v>1007</v>
      </c>
      <c r="BU82" s="169" t="s">
        <v>1007</v>
      </c>
      <c r="BV82" s="169" t="s">
        <v>1007</v>
      </c>
      <c r="BW82" s="169" t="s">
        <v>1007</v>
      </c>
      <c r="BX82" s="169" t="s">
        <v>1007</v>
      </c>
      <c r="BY82" s="169" t="s">
        <v>1007</v>
      </c>
      <c r="BZ82" s="169" t="s">
        <v>1007</v>
      </c>
      <c r="CA82" s="169" t="s">
        <v>1007</v>
      </c>
      <c r="CB82" s="169" t="s">
        <v>1007</v>
      </c>
      <c r="CC82" s="169" t="s">
        <v>1007</v>
      </c>
      <c r="CD82" s="169" t="s">
        <v>1007</v>
      </c>
    </row>
    <row x14ac:dyDescent="0.25" r="83" customHeight="1" ht="18.75">
      <c r="A83" s="1"/>
      <c r="B83" s="1050">
        <v>9</v>
      </c>
      <c r="C83" s="1049" t="s">
        <v>747</v>
      </c>
      <c r="D83" s="1049" t="s">
        <v>748</v>
      </c>
      <c r="E83" s="1049" t="s">
        <v>749</v>
      </c>
      <c r="F83" s="1049" t="s">
        <v>722</v>
      </c>
      <c r="G83" s="1049" t="s">
        <v>912</v>
      </c>
      <c r="H83" s="1049" t="s">
        <v>1012</v>
      </c>
      <c r="I83" s="1049" t="s">
        <v>707</v>
      </c>
      <c r="J83" s="1049" t="s">
        <v>776</v>
      </c>
      <c r="K83" s="1049" t="s">
        <v>1013</v>
      </c>
      <c r="L83" s="1049" t="s">
        <v>678</v>
      </c>
      <c r="M83" s="169" t="s">
        <v>678</v>
      </c>
      <c r="N83" s="169" t="s">
        <v>678</v>
      </c>
      <c r="O83" s="169" t="s">
        <v>678</v>
      </c>
      <c r="P83" s="169" t="s">
        <v>678</v>
      </c>
      <c r="Q83" s="169" t="s">
        <v>678</v>
      </c>
      <c r="R83" s="169" t="s">
        <v>678</v>
      </c>
      <c r="S83" s="169" t="s">
        <v>678</v>
      </c>
      <c r="T83" s="169" t="s">
        <v>678</v>
      </c>
      <c r="U83" s="169" t="s">
        <v>678</v>
      </c>
      <c r="V83" s="169" t="s">
        <v>678</v>
      </c>
      <c r="W83" s="169" t="s">
        <v>678</v>
      </c>
      <c r="X83" s="169" t="s">
        <v>678</v>
      </c>
      <c r="Y83" s="169" t="s">
        <v>678</v>
      </c>
      <c r="Z83" s="169" t="s">
        <v>678</v>
      </c>
      <c r="AA83" s="169" t="s">
        <v>678</v>
      </c>
      <c r="AB83" s="169" t="s">
        <v>678</v>
      </c>
      <c r="AC83" s="169" t="s">
        <v>678</v>
      </c>
      <c r="AD83" s="169" t="s">
        <v>678</v>
      </c>
      <c r="AE83" s="169" t="s">
        <v>678</v>
      </c>
      <c r="AF83" s="169" t="s">
        <v>678</v>
      </c>
      <c r="AG83" s="169" t="s">
        <v>678</v>
      </c>
      <c r="AH83" s="169" t="s">
        <v>678</v>
      </c>
      <c r="AI83" s="169" t="s">
        <v>678</v>
      </c>
      <c r="AJ83" s="169" t="s">
        <v>678</v>
      </c>
      <c r="AK83" s="169" t="s">
        <v>678</v>
      </c>
      <c r="AL83" s="169" t="s">
        <v>678</v>
      </c>
      <c r="AM83" s="169" t="s">
        <v>678</v>
      </c>
      <c r="AN83" s="169" t="s">
        <v>678</v>
      </c>
      <c r="AO83" s="169" t="s">
        <v>678</v>
      </c>
      <c r="AP83" s="169" t="s">
        <v>678</v>
      </c>
      <c r="AQ83" s="169" t="s">
        <v>678</v>
      </c>
      <c r="AR83" s="169" t="s">
        <v>678</v>
      </c>
      <c r="AS83" s="169" t="s">
        <v>678</v>
      </c>
      <c r="AT83" s="169" t="s">
        <v>678</v>
      </c>
      <c r="AU83" s="169" t="s">
        <v>678</v>
      </c>
      <c r="AV83" s="169" t="s">
        <v>678</v>
      </c>
      <c r="AW83" s="169" t="s">
        <v>678</v>
      </c>
      <c r="AX83" s="169" t="s">
        <v>678</v>
      </c>
      <c r="AY83" s="169" t="s">
        <v>678</v>
      </c>
      <c r="AZ83" s="169" t="s">
        <v>678</v>
      </c>
      <c r="BA83" s="169" t="s">
        <v>678</v>
      </c>
      <c r="BB83" s="169" t="s">
        <v>678</v>
      </c>
      <c r="BC83" s="169" t="s">
        <v>678</v>
      </c>
      <c r="BD83" s="169" t="s">
        <v>678</v>
      </c>
      <c r="BE83" s="169" t="s">
        <v>678</v>
      </c>
      <c r="BF83" s="169" t="s">
        <v>678</v>
      </c>
      <c r="BG83" s="169" t="s">
        <v>678</v>
      </c>
      <c r="BH83" s="169" t="s">
        <v>678</v>
      </c>
      <c r="BI83" s="169" t="s">
        <v>678</v>
      </c>
      <c r="BJ83" s="169" t="s">
        <v>678</v>
      </c>
      <c r="BK83" s="169" t="s">
        <v>678</v>
      </c>
      <c r="BL83" s="169" t="s">
        <v>678</v>
      </c>
      <c r="BM83" s="169" t="s">
        <v>678</v>
      </c>
      <c r="BN83" s="169" t="s">
        <v>678</v>
      </c>
      <c r="BO83" s="169" t="s">
        <v>678</v>
      </c>
      <c r="BP83" s="169" t="s">
        <v>678</v>
      </c>
      <c r="BQ83" s="169" t="s">
        <v>678</v>
      </c>
      <c r="BR83" s="169" t="s">
        <v>678</v>
      </c>
      <c r="BS83" s="169" t="s">
        <v>678</v>
      </c>
      <c r="BT83" s="169" t="s">
        <v>678</v>
      </c>
      <c r="BU83" s="169" t="s">
        <v>678</v>
      </c>
      <c r="BV83" s="169" t="s">
        <v>678</v>
      </c>
      <c r="BW83" s="169" t="s">
        <v>678</v>
      </c>
      <c r="BX83" s="169" t="s">
        <v>678</v>
      </c>
      <c r="BY83" s="169" t="s">
        <v>678</v>
      </c>
      <c r="BZ83" s="169" t="s">
        <v>678</v>
      </c>
      <c r="CA83" s="169" t="s">
        <v>678</v>
      </c>
      <c r="CB83" s="169" t="s">
        <v>678</v>
      </c>
      <c r="CC83" s="169" t="s">
        <v>678</v>
      </c>
      <c r="CD83" s="169" t="s">
        <v>678</v>
      </c>
    </row>
    <row x14ac:dyDescent="0.25" r="84" customHeight="1" ht="18.75">
      <c r="A84" s="1"/>
      <c r="B84" s="1050">
        <v>8</v>
      </c>
      <c r="C84" s="1049" t="s">
        <v>903</v>
      </c>
      <c r="D84" s="1049" t="s">
        <v>904</v>
      </c>
      <c r="E84" s="1049" t="s">
        <v>905</v>
      </c>
      <c r="F84" s="1049" t="s">
        <v>758</v>
      </c>
      <c r="G84" s="1049" t="s">
        <v>733</v>
      </c>
      <c r="H84" s="1049" t="s">
        <v>906</v>
      </c>
      <c r="I84" s="1049" t="s">
        <v>898</v>
      </c>
      <c r="J84" s="1049" t="s">
        <v>658</v>
      </c>
      <c r="K84" s="1049" t="s">
        <v>708</v>
      </c>
      <c r="L84" s="1049" t="s">
        <v>659</v>
      </c>
      <c r="M84" s="169" t="s">
        <v>659</v>
      </c>
      <c r="N84" s="169" t="s">
        <v>659</v>
      </c>
      <c r="O84" s="169" t="s">
        <v>659</v>
      </c>
      <c r="P84" s="169" t="s">
        <v>659</v>
      </c>
      <c r="Q84" s="169" t="s">
        <v>659</v>
      </c>
      <c r="R84" s="169" t="s">
        <v>659</v>
      </c>
      <c r="S84" s="169" t="s">
        <v>659</v>
      </c>
      <c r="T84" s="169" t="s">
        <v>659</v>
      </c>
      <c r="U84" s="169" t="s">
        <v>659</v>
      </c>
      <c r="V84" s="169" t="s">
        <v>659</v>
      </c>
      <c r="W84" s="169" t="s">
        <v>659</v>
      </c>
      <c r="X84" s="169" t="s">
        <v>659</v>
      </c>
      <c r="Y84" s="169" t="s">
        <v>659</v>
      </c>
      <c r="Z84" s="169" t="s">
        <v>659</v>
      </c>
      <c r="AA84" s="169" t="s">
        <v>659</v>
      </c>
      <c r="AB84" s="169" t="s">
        <v>659</v>
      </c>
      <c r="AC84" s="169" t="s">
        <v>659</v>
      </c>
      <c r="AD84" s="169" t="s">
        <v>659</v>
      </c>
      <c r="AE84" s="169" t="s">
        <v>659</v>
      </c>
      <c r="AF84" s="169" t="s">
        <v>659</v>
      </c>
      <c r="AG84" s="169" t="s">
        <v>659</v>
      </c>
      <c r="AH84" s="169" t="s">
        <v>659</v>
      </c>
      <c r="AI84" s="169" t="s">
        <v>659</v>
      </c>
      <c r="AJ84" s="169" t="s">
        <v>659</v>
      </c>
      <c r="AK84" s="169" t="s">
        <v>659</v>
      </c>
      <c r="AL84" s="169" t="s">
        <v>659</v>
      </c>
      <c r="AM84" s="169" t="s">
        <v>659</v>
      </c>
      <c r="AN84" s="169" t="s">
        <v>659</v>
      </c>
      <c r="AO84" s="169" t="s">
        <v>659</v>
      </c>
      <c r="AP84" s="169" t="s">
        <v>659</v>
      </c>
      <c r="AQ84" s="169" t="s">
        <v>659</v>
      </c>
      <c r="AR84" s="169" t="s">
        <v>659</v>
      </c>
      <c r="AS84" s="169" t="s">
        <v>659</v>
      </c>
      <c r="AT84" s="169" t="s">
        <v>659</v>
      </c>
      <c r="AU84" s="169" t="s">
        <v>659</v>
      </c>
      <c r="AV84" s="169" t="s">
        <v>659</v>
      </c>
      <c r="AW84" s="169" t="s">
        <v>659</v>
      </c>
      <c r="AX84" s="169" t="s">
        <v>659</v>
      </c>
      <c r="AY84" s="169" t="s">
        <v>659</v>
      </c>
      <c r="AZ84" s="169" t="s">
        <v>659</v>
      </c>
      <c r="BA84" s="169" t="s">
        <v>659</v>
      </c>
      <c r="BB84" s="169" t="s">
        <v>659</v>
      </c>
      <c r="BC84" s="169" t="s">
        <v>659</v>
      </c>
      <c r="BD84" s="169" t="s">
        <v>659</v>
      </c>
      <c r="BE84" s="169" t="s">
        <v>659</v>
      </c>
      <c r="BF84" s="169" t="s">
        <v>659</v>
      </c>
      <c r="BG84" s="169" t="s">
        <v>659</v>
      </c>
      <c r="BH84" s="169" t="s">
        <v>659</v>
      </c>
      <c r="BI84" s="169" t="s">
        <v>659</v>
      </c>
      <c r="BJ84" s="169" t="s">
        <v>659</v>
      </c>
      <c r="BK84" s="169" t="s">
        <v>659</v>
      </c>
      <c r="BL84" s="169" t="s">
        <v>659</v>
      </c>
      <c r="BM84" s="169" t="s">
        <v>659</v>
      </c>
      <c r="BN84" s="169" t="s">
        <v>659</v>
      </c>
      <c r="BO84" s="169" t="s">
        <v>659</v>
      </c>
      <c r="BP84" s="169" t="s">
        <v>659</v>
      </c>
      <c r="BQ84" s="169" t="s">
        <v>659</v>
      </c>
      <c r="BR84" s="169" t="s">
        <v>659</v>
      </c>
      <c r="BS84" s="169" t="s">
        <v>659</v>
      </c>
      <c r="BT84" s="169" t="s">
        <v>659</v>
      </c>
      <c r="BU84" s="169" t="s">
        <v>659</v>
      </c>
      <c r="BV84" s="169" t="s">
        <v>659</v>
      </c>
      <c r="BW84" s="169" t="s">
        <v>659</v>
      </c>
      <c r="BX84" s="169" t="s">
        <v>659</v>
      </c>
      <c r="BY84" s="169" t="s">
        <v>659</v>
      </c>
      <c r="BZ84" s="169" t="s">
        <v>659</v>
      </c>
      <c r="CA84" s="169" t="s">
        <v>659</v>
      </c>
      <c r="CB84" s="169" t="s">
        <v>659</v>
      </c>
      <c r="CC84" s="169" t="s">
        <v>659</v>
      </c>
      <c r="CD84" s="169" t="s">
        <v>659</v>
      </c>
    </row>
    <row x14ac:dyDescent="0.25" r="85" customHeight="1" ht="18.75">
      <c r="A85" s="1"/>
      <c r="B85" s="1050">
        <v>7</v>
      </c>
      <c r="C85" s="1049" t="s">
        <v>1014</v>
      </c>
      <c r="D85" s="1049" t="s">
        <v>1015</v>
      </c>
      <c r="E85" s="1049" t="s">
        <v>1016</v>
      </c>
      <c r="F85" s="1049" t="s">
        <v>765</v>
      </c>
      <c r="G85" s="1049" t="s">
        <v>742</v>
      </c>
      <c r="H85" s="1049" t="s">
        <v>1017</v>
      </c>
      <c r="I85" s="1049" t="s">
        <v>870</v>
      </c>
      <c r="J85" s="1049" t="s">
        <v>676</v>
      </c>
      <c r="K85" s="1049" t="s">
        <v>648</v>
      </c>
      <c r="L85" s="1049" t="s">
        <v>1018</v>
      </c>
      <c r="M85" s="169" t="s">
        <v>1018</v>
      </c>
      <c r="N85" s="169" t="s">
        <v>1018</v>
      </c>
      <c r="O85" s="169" t="s">
        <v>1018</v>
      </c>
      <c r="P85" s="169" t="s">
        <v>1018</v>
      </c>
      <c r="Q85" s="169" t="s">
        <v>1018</v>
      </c>
      <c r="R85" s="169" t="s">
        <v>1018</v>
      </c>
      <c r="S85" s="169" t="s">
        <v>1018</v>
      </c>
      <c r="T85" s="169" t="s">
        <v>1018</v>
      </c>
      <c r="U85" s="169" t="s">
        <v>1018</v>
      </c>
      <c r="V85" s="169" t="s">
        <v>1018</v>
      </c>
      <c r="W85" s="169" t="s">
        <v>1018</v>
      </c>
      <c r="X85" s="169" t="s">
        <v>1018</v>
      </c>
      <c r="Y85" s="169" t="s">
        <v>1018</v>
      </c>
      <c r="Z85" s="169" t="s">
        <v>1018</v>
      </c>
      <c r="AA85" s="169" t="s">
        <v>1018</v>
      </c>
      <c r="AB85" s="169" t="s">
        <v>1018</v>
      </c>
      <c r="AC85" s="169" t="s">
        <v>1018</v>
      </c>
      <c r="AD85" s="169" t="s">
        <v>1018</v>
      </c>
      <c r="AE85" s="169" t="s">
        <v>1018</v>
      </c>
      <c r="AF85" s="169" t="s">
        <v>1018</v>
      </c>
      <c r="AG85" s="169" t="s">
        <v>1018</v>
      </c>
      <c r="AH85" s="169" t="s">
        <v>1018</v>
      </c>
      <c r="AI85" s="169" t="s">
        <v>1018</v>
      </c>
      <c r="AJ85" s="169" t="s">
        <v>1018</v>
      </c>
      <c r="AK85" s="169" t="s">
        <v>1018</v>
      </c>
      <c r="AL85" s="169" t="s">
        <v>1018</v>
      </c>
      <c r="AM85" s="169" t="s">
        <v>1018</v>
      </c>
      <c r="AN85" s="169" t="s">
        <v>1018</v>
      </c>
      <c r="AO85" s="169" t="s">
        <v>1018</v>
      </c>
      <c r="AP85" s="169" t="s">
        <v>1018</v>
      </c>
      <c r="AQ85" s="169" t="s">
        <v>1018</v>
      </c>
      <c r="AR85" s="169" t="s">
        <v>1018</v>
      </c>
      <c r="AS85" s="169" t="s">
        <v>1018</v>
      </c>
      <c r="AT85" s="169" t="s">
        <v>1018</v>
      </c>
      <c r="AU85" s="169" t="s">
        <v>1018</v>
      </c>
      <c r="AV85" s="169" t="s">
        <v>1018</v>
      </c>
      <c r="AW85" s="169" t="s">
        <v>1018</v>
      </c>
      <c r="AX85" s="169" t="s">
        <v>1018</v>
      </c>
      <c r="AY85" s="169" t="s">
        <v>1018</v>
      </c>
      <c r="AZ85" s="169" t="s">
        <v>1018</v>
      </c>
      <c r="BA85" s="169" t="s">
        <v>1018</v>
      </c>
      <c r="BB85" s="169" t="s">
        <v>1018</v>
      </c>
      <c r="BC85" s="169" t="s">
        <v>1018</v>
      </c>
      <c r="BD85" s="169" t="s">
        <v>1018</v>
      </c>
      <c r="BE85" s="169" t="s">
        <v>1018</v>
      </c>
      <c r="BF85" s="169" t="s">
        <v>1018</v>
      </c>
      <c r="BG85" s="169" t="s">
        <v>1018</v>
      </c>
      <c r="BH85" s="169" t="s">
        <v>1018</v>
      </c>
      <c r="BI85" s="169" t="s">
        <v>1018</v>
      </c>
      <c r="BJ85" s="169" t="s">
        <v>1018</v>
      </c>
      <c r="BK85" s="169" t="s">
        <v>1018</v>
      </c>
      <c r="BL85" s="169" t="s">
        <v>1018</v>
      </c>
      <c r="BM85" s="169" t="s">
        <v>1018</v>
      </c>
      <c r="BN85" s="169" t="s">
        <v>1018</v>
      </c>
      <c r="BO85" s="169" t="s">
        <v>1018</v>
      </c>
      <c r="BP85" s="169" t="s">
        <v>1018</v>
      </c>
      <c r="BQ85" s="169" t="s">
        <v>1018</v>
      </c>
      <c r="BR85" s="169" t="s">
        <v>1018</v>
      </c>
      <c r="BS85" s="169" t="s">
        <v>1018</v>
      </c>
      <c r="BT85" s="169" t="s">
        <v>1018</v>
      </c>
      <c r="BU85" s="169" t="s">
        <v>1018</v>
      </c>
      <c r="BV85" s="169" t="s">
        <v>1018</v>
      </c>
      <c r="BW85" s="169" t="s">
        <v>1018</v>
      </c>
      <c r="BX85" s="169" t="s">
        <v>1018</v>
      </c>
      <c r="BY85" s="169" t="s">
        <v>1018</v>
      </c>
      <c r="BZ85" s="169" t="s">
        <v>1018</v>
      </c>
      <c r="CA85" s="169" t="s">
        <v>1018</v>
      </c>
      <c r="CB85" s="169" t="s">
        <v>1018</v>
      </c>
      <c r="CC85" s="169" t="s">
        <v>1018</v>
      </c>
      <c r="CD85" s="169" t="s">
        <v>1018</v>
      </c>
    </row>
    <row x14ac:dyDescent="0.25" r="86" customHeight="1" ht="18.75">
      <c r="A86" s="1"/>
      <c r="B86" s="1050">
        <v>6</v>
      </c>
      <c r="C86" s="1049" t="s">
        <v>1019</v>
      </c>
      <c r="D86" s="1049" t="s">
        <v>770</v>
      </c>
      <c r="E86" s="1049" t="s">
        <v>739</v>
      </c>
      <c r="F86" s="1049" t="s">
        <v>911</v>
      </c>
      <c r="G86" s="1049" t="s">
        <v>712</v>
      </c>
      <c r="H86" s="1049" t="s">
        <v>722</v>
      </c>
      <c r="I86" s="1049" t="s">
        <v>750</v>
      </c>
      <c r="J86" s="1049" t="s">
        <v>751</v>
      </c>
      <c r="K86" s="1049" t="s">
        <v>735</v>
      </c>
      <c r="L86" s="1049" t="s">
        <v>687</v>
      </c>
      <c r="M86" s="169" t="s">
        <v>687</v>
      </c>
      <c r="N86" s="169" t="s">
        <v>687</v>
      </c>
      <c r="O86" s="169" t="s">
        <v>687</v>
      </c>
      <c r="P86" s="169" t="s">
        <v>687</v>
      </c>
      <c r="Q86" s="169" t="s">
        <v>687</v>
      </c>
      <c r="R86" s="169" t="s">
        <v>687</v>
      </c>
      <c r="S86" s="169" t="s">
        <v>687</v>
      </c>
      <c r="T86" s="169" t="s">
        <v>687</v>
      </c>
      <c r="U86" s="169" t="s">
        <v>687</v>
      </c>
      <c r="V86" s="169" t="s">
        <v>687</v>
      </c>
      <c r="W86" s="169" t="s">
        <v>687</v>
      </c>
      <c r="X86" s="169" t="s">
        <v>687</v>
      </c>
      <c r="Y86" s="169" t="s">
        <v>687</v>
      </c>
      <c r="Z86" s="169" t="s">
        <v>687</v>
      </c>
      <c r="AA86" s="169" t="s">
        <v>687</v>
      </c>
      <c r="AB86" s="169" t="s">
        <v>687</v>
      </c>
      <c r="AC86" s="169" t="s">
        <v>687</v>
      </c>
      <c r="AD86" s="169" t="s">
        <v>687</v>
      </c>
      <c r="AE86" s="169" t="s">
        <v>687</v>
      </c>
      <c r="AF86" s="169" t="s">
        <v>687</v>
      </c>
      <c r="AG86" s="169" t="s">
        <v>687</v>
      </c>
      <c r="AH86" s="169" t="s">
        <v>687</v>
      </c>
      <c r="AI86" s="169" t="s">
        <v>687</v>
      </c>
      <c r="AJ86" s="169" t="s">
        <v>687</v>
      </c>
      <c r="AK86" s="169" t="s">
        <v>687</v>
      </c>
      <c r="AL86" s="169" t="s">
        <v>687</v>
      </c>
      <c r="AM86" s="169" t="s">
        <v>687</v>
      </c>
      <c r="AN86" s="169" t="s">
        <v>687</v>
      </c>
      <c r="AO86" s="169" t="s">
        <v>687</v>
      </c>
      <c r="AP86" s="169" t="s">
        <v>687</v>
      </c>
      <c r="AQ86" s="169" t="s">
        <v>687</v>
      </c>
      <c r="AR86" s="169" t="s">
        <v>687</v>
      </c>
      <c r="AS86" s="169" t="s">
        <v>687</v>
      </c>
      <c r="AT86" s="169" t="s">
        <v>687</v>
      </c>
      <c r="AU86" s="169" t="s">
        <v>687</v>
      </c>
      <c r="AV86" s="169" t="s">
        <v>687</v>
      </c>
      <c r="AW86" s="169" t="s">
        <v>687</v>
      </c>
      <c r="AX86" s="169" t="s">
        <v>687</v>
      </c>
      <c r="AY86" s="169" t="s">
        <v>687</v>
      </c>
      <c r="AZ86" s="169" t="s">
        <v>687</v>
      </c>
      <c r="BA86" s="169" t="s">
        <v>687</v>
      </c>
      <c r="BB86" s="169" t="s">
        <v>687</v>
      </c>
      <c r="BC86" s="169" t="s">
        <v>687</v>
      </c>
      <c r="BD86" s="169" t="s">
        <v>687</v>
      </c>
      <c r="BE86" s="169" t="s">
        <v>687</v>
      </c>
      <c r="BF86" s="169" t="s">
        <v>687</v>
      </c>
      <c r="BG86" s="169" t="s">
        <v>687</v>
      </c>
      <c r="BH86" s="169" t="s">
        <v>687</v>
      </c>
      <c r="BI86" s="169" t="s">
        <v>687</v>
      </c>
      <c r="BJ86" s="169" t="s">
        <v>687</v>
      </c>
      <c r="BK86" s="169" t="s">
        <v>687</v>
      </c>
      <c r="BL86" s="169" t="s">
        <v>687</v>
      </c>
      <c r="BM86" s="169" t="s">
        <v>687</v>
      </c>
      <c r="BN86" s="169" t="s">
        <v>687</v>
      </c>
      <c r="BO86" s="169" t="s">
        <v>687</v>
      </c>
      <c r="BP86" s="169" t="s">
        <v>687</v>
      </c>
      <c r="BQ86" s="169" t="s">
        <v>687</v>
      </c>
      <c r="BR86" s="169" t="s">
        <v>687</v>
      </c>
      <c r="BS86" s="169" t="s">
        <v>687</v>
      </c>
      <c r="BT86" s="169" t="s">
        <v>687</v>
      </c>
      <c r="BU86" s="169" t="s">
        <v>687</v>
      </c>
      <c r="BV86" s="169" t="s">
        <v>687</v>
      </c>
      <c r="BW86" s="169" t="s">
        <v>687</v>
      </c>
      <c r="BX86" s="169" t="s">
        <v>687</v>
      </c>
      <c r="BY86" s="169" t="s">
        <v>687</v>
      </c>
      <c r="BZ86" s="169" t="s">
        <v>687</v>
      </c>
      <c r="CA86" s="169" t="s">
        <v>687</v>
      </c>
      <c r="CB86" s="169" t="s">
        <v>687</v>
      </c>
      <c r="CC86" s="169" t="s">
        <v>687</v>
      </c>
      <c r="CD86" s="169" t="s">
        <v>687</v>
      </c>
    </row>
    <row x14ac:dyDescent="0.25" r="87" customHeight="1" ht="18.75">
      <c r="A87" s="1"/>
      <c r="B87" s="1050">
        <v>5</v>
      </c>
      <c r="C87" s="1049" t="s">
        <v>913</v>
      </c>
      <c r="D87" s="1049" t="s">
        <v>914</v>
      </c>
      <c r="E87" s="1049" t="s">
        <v>1020</v>
      </c>
      <c r="F87" s="1049" t="s">
        <v>1021</v>
      </c>
      <c r="G87" s="1049" t="s">
        <v>1008</v>
      </c>
      <c r="H87" s="1049" t="s">
        <v>1009</v>
      </c>
      <c r="I87" s="1049" t="s">
        <v>1022</v>
      </c>
      <c r="J87" s="1049" t="s">
        <v>766</v>
      </c>
      <c r="K87" s="1049" t="s">
        <v>927</v>
      </c>
      <c r="L87" s="1049" t="s">
        <v>1023</v>
      </c>
      <c r="M87" s="169" t="s">
        <v>1023</v>
      </c>
      <c r="N87" s="169" t="s">
        <v>1023</v>
      </c>
      <c r="O87" s="169" t="s">
        <v>1023</v>
      </c>
      <c r="P87" s="169" t="s">
        <v>1023</v>
      </c>
      <c r="Q87" s="169" t="s">
        <v>1023</v>
      </c>
      <c r="R87" s="169" t="s">
        <v>1023</v>
      </c>
      <c r="S87" s="169" t="s">
        <v>1023</v>
      </c>
      <c r="T87" s="169" t="s">
        <v>1023</v>
      </c>
      <c r="U87" s="169" t="s">
        <v>1023</v>
      </c>
      <c r="V87" s="169" t="s">
        <v>1023</v>
      </c>
      <c r="W87" s="169" t="s">
        <v>1023</v>
      </c>
      <c r="X87" s="169" t="s">
        <v>1023</v>
      </c>
      <c r="Y87" s="169" t="s">
        <v>1023</v>
      </c>
      <c r="Z87" s="169" t="s">
        <v>1023</v>
      </c>
      <c r="AA87" s="169" t="s">
        <v>1023</v>
      </c>
      <c r="AB87" s="169" t="s">
        <v>1023</v>
      </c>
      <c r="AC87" s="169" t="s">
        <v>1023</v>
      </c>
      <c r="AD87" s="169" t="s">
        <v>1023</v>
      </c>
      <c r="AE87" s="169" t="s">
        <v>1023</v>
      </c>
      <c r="AF87" s="169" t="s">
        <v>1023</v>
      </c>
      <c r="AG87" s="169" t="s">
        <v>1023</v>
      </c>
      <c r="AH87" s="169" t="s">
        <v>1023</v>
      </c>
      <c r="AI87" s="169" t="s">
        <v>1023</v>
      </c>
      <c r="AJ87" s="169" t="s">
        <v>1023</v>
      </c>
      <c r="AK87" s="169" t="s">
        <v>1023</v>
      </c>
      <c r="AL87" s="169" t="s">
        <v>1023</v>
      </c>
      <c r="AM87" s="169" t="s">
        <v>1023</v>
      </c>
      <c r="AN87" s="169" t="s">
        <v>1023</v>
      </c>
      <c r="AO87" s="169" t="s">
        <v>1023</v>
      </c>
      <c r="AP87" s="169" t="s">
        <v>1023</v>
      </c>
      <c r="AQ87" s="169" t="s">
        <v>1023</v>
      </c>
      <c r="AR87" s="169" t="s">
        <v>1023</v>
      </c>
      <c r="AS87" s="169" t="s">
        <v>1023</v>
      </c>
      <c r="AT87" s="169" t="s">
        <v>1023</v>
      </c>
      <c r="AU87" s="169" t="s">
        <v>1023</v>
      </c>
      <c r="AV87" s="169" t="s">
        <v>1023</v>
      </c>
      <c r="AW87" s="169" t="s">
        <v>1023</v>
      </c>
      <c r="AX87" s="169" t="s">
        <v>1023</v>
      </c>
      <c r="AY87" s="169" t="s">
        <v>1023</v>
      </c>
      <c r="AZ87" s="169" t="s">
        <v>1023</v>
      </c>
      <c r="BA87" s="169" t="s">
        <v>1023</v>
      </c>
      <c r="BB87" s="169" t="s">
        <v>1023</v>
      </c>
      <c r="BC87" s="169" t="s">
        <v>1023</v>
      </c>
      <c r="BD87" s="169" t="s">
        <v>1023</v>
      </c>
      <c r="BE87" s="169" t="s">
        <v>1023</v>
      </c>
      <c r="BF87" s="169" t="s">
        <v>1023</v>
      </c>
      <c r="BG87" s="169" t="s">
        <v>1023</v>
      </c>
      <c r="BH87" s="169" t="s">
        <v>1023</v>
      </c>
      <c r="BI87" s="169" t="s">
        <v>1023</v>
      </c>
      <c r="BJ87" s="169" t="s">
        <v>1023</v>
      </c>
      <c r="BK87" s="169" t="s">
        <v>1023</v>
      </c>
      <c r="BL87" s="169" t="s">
        <v>1023</v>
      </c>
      <c r="BM87" s="169" t="s">
        <v>1023</v>
      </c>
      <c r="BN87" s="169" t="s">
        <v>1023</v>
      </c>
      <c r="BO87" s="169" t="s">
        <v>1023</v>
      </c>
      <c r="BP87" s="169" t="s">
        <v>1023</v>
      </c>
      <c r="BQ87" s="169" t="s">
        <v>1023</v>
      </c>
      <c r="BR87" s="169" t="s">
        <v>1023</v>
      </c>
      <c r="BS87" s="169" t="s">
        <v>1023</v>
      </c>
      <c r="BT87" s="169" t="s">
        <v>1023</v>
      </c>
      <c r="BU87" s="169" t="s">
        <v>1023</v>
      </c>
      <c r="BV87" s="169" t="s">
        <v>1023</v>
      </c>
      <c r="BW87" s="169" t="s">
        <v>1023</v>
      </c>
      <c r="BX87" s="169" t="s">
        <v>1023</v>
      </c>
      <c r="BY87" s="169" t="s">
        <v>1023</v>
      </c>
      <c r="BZ87" s="169" t="s">
        <v>1023</v>
      </c>
      <c r="CA87" s="169" t="s">
        <v>1023</v>
      </c>
      <c r="CB87" s="169" t="s">
        <v>1023</v>
      </c>
      <c r="CC87" s="169" t="s">
        <v>1023</v>
      </c>
      <c r="CD87" s="169" t="s">
        <v>1023</v>
      </c>
    </row>
    <row x14ac:dyDescent="0.25" r="88" customHeight="1" ht="18.75">
      <c r="A88" s="1"/>
      <c r="B88" s="1050">
        <v>4</v>
      </c>
      <c r="C88" s="1049" t="s">
        <v>1024</v>
      </c>
      <c r="D88" s="1049" t="s">
        <v>1025</v>
      </c>
      <c r="E88" s="1049" t="s">
        <v>1026</v>
      </c>
      <c r="F88" s="1049" t="s">
        <v>917</v>
      </c>
      <c r="G88" s="1049" t="s">
        <v>1027</v>
      </c>
      <c r="H88" s="1049" t="s">
        <v>1028</v>
      </c>
      <c r="I88" s="1049" t="s">
        <v>1029</v>
      </c>
      <c r="J88" s="1049" t="s">
        <v>912</v>
      </c>
      <c r="K88" s="1049" t="s">
        <v>760</v>
      </c>
      <c r="L88" s="1049" t="s">
        <v>1030</v>
      </c>
      <c r="M88" s="169" t="s">
        <v>1030</v>
      </c>
      <c r="N88" s="169" t="s">
        <v>1030</v>
      </c>
      <c r="O88" s="169" t="s">
        <v>1030</v>
      </c>
      <c r="P88" s="169" t="s">
        <v>1030</v>
      </c>
      <c r="Q88" s="169" t="s">
        <v>1030</v>
      </c>
      <c r="R88" s="169" t="s">
        <v>1030</v>
      </c>
      <c r="S88" s="169" t="s">
        <v>1030</v>
      </c>
      <c r="T88" s="169" t="s">
        <v>1030</v>
      </c>
      <c r="U88" s="169" t="s">
        <v>1030</v>
      </c>
      <c r="V88" s="169" t="s">
        <v>1030</v>
      </c>
      <c r="W88" s="169" t="s">
        <v>1030</v>
      </c>
      <c r="X88" s="169" t="s">
        <v>1030</v>
      </c>
      <c r="Y88" s="169" t="s">
        <v>1030</v>
      </c>
      <c r="Z88" s="169" t="s">
        <v>1030</v>
      </c>
      <c r="AA88" s="169" t="s">
        <v>1030</v>
      </c>
      <c r="AB88" s="169" t="s">
        <v>1030</v>
      </c>
      <c r="AC88" s="169" t="s">
        <v>1030</v>
      </c>
      <c r="AD88" s="169" t="s">
        <v>1030</v>
      </c>
      <c r="AE88" s="169" t="s">
        <v>1030</v>
      </c>
      <c r="AF88" s="169" t="s">
        <v>1030</v>
      </c>
      <c r="AG88" s="169" t="s">
        <v>1030</v>
      </c>
      <c r="AH88" s="169" t="s">
        <v>1030</v>
      </c>
      <c r="AI88" s="169" t="s">
        <v>1030</v>
      </c>
      <c r="AJ88" s="169" t="s">
        <v>1030</v>
      </c>
      <c r="AK88" s="169" t="s">
        <v>1030</v>
      </c>
      <c r="AL88" s="169" t="s">
        <v>1030</v>
      </c>
      <c r="AM88" s="169" t="s">
        <v>1030</v>
      </c>
      <c r="AN88" s="169" t="s">
        <v>1030</v>
      </c>
      <c r="AO88" s="169" t="s">
        <v>1030</v>
      </c>
      <c r="AP88" s="169" t="s">
        <v>1030</v>
      </c>
      <c r="AQ88" s="169" t="s">
        <v>1030</v>
      </c>
      <c r="AR88" s="169" t="s">
        <v>1030</v>
      </c>
      <c r="AS88" s="169" t="s">
        <v>1030</v>
      </c>
      <c r="AT88" s="169" t="s">
        <v>1030</v>
      </c>
      <c r="AU88" s="169" t="s">
        <v>1030</v>
      </c>
      <c r="AV88" s="169" t="s">
        <v>1030</v>
      </c>
      <c r="AW88" s="169" t="s">
        <v>1030</v>
      </c>
      <c r="AX88" s="169" t="s">
        <v>1030</v>
      </c>
      <c r="AY88" s="169" t="s">
        <v>1030</v>
      </c>
      <c r="AZ88" s="169" t="s">
        <v>1030</v>
      </c>
      <c r="BA88" s="169" t="s">
        <v>1030</v>
      </c>
      <c r="BB88" s="169" t="s">
        <v>1030</v>
      </c>
      <c r="BC88" s="169" t="s">
        <v>1030</v>
      </c>
      <c r="BD88" s="169" t="s">
        <v>1030</v>
      </c>
      <c r="BE88" s="169" t="s">
        <v>1030</v>
      </c>
      <c r="BF88" s="169" t="s">
        <v>1030</v>
      </c>
      <c r="BG88" s="169" t="s">
        <v>1030</v>
      </c>
      <c r="BH88" s="169" t="s">
        <v>1030</v>
      </c>
      <c r="BI88" s="169" t="s">
        <v>1030</v>
      </c>
      <c r="BJ88" s="169" t="s">
        <v>1030</v>
      </c>
      <c r="BK88" s="169" t="s">
        <v>1030</v>
      </c>
      <c r="BL88" s="169" t="s">
        <v>1030</v>
      </c>
      <c r="BM88" s="169" t="s">
        <v>1030</v>
      </c>
      <c r="BN88" s="169" t="s">
        <v>1030</v>
      </c>
      <c r="BO88" s="169" t="s">
        <v>1030</v>
      </c>
      <c r="BP88" s="169" t="s">
        <v>1030</v>
      </c>
      <c r="BQ88" s="169" t="s">
        <v>1030</v>
      </c>
      <c r="BR88" s="169" t="s">
        <v>1030</v>
      </c>
      <c r="BS88" s="169" t="s">
        <v>1030</v>
      </c>
      <c r="BT88" s="169" t="s">
        <v>1030</v>
      </c>
      <c r="BU88" s="169" t="s">
        <v>1030</v>
      </c>
      <c r="BV88" s="169" t="s">
        <v>1030</v>
      </c>
      <c r="BW88" s="169" t="s">
        <v>1030</v>
      </c>
      <c r="BX88" s="169" t="s">
        <v>1030</v>
      </c>
      <c r="BY88" s="169" t="s">
        <v>1030</v>
      </c>
      <c r="BZ88" s="169" t="s">
        <v>1030</v>
      </c>
      <c r="CA88" s="169" t="s">
        <v>1030</v>
      </c>
      <c r="CB88" s="169" t="s">
        <v>1030</v>
      </c>
      <c r="CC88" s="169" t="s">
        <v>1030</v>
      </c>
      <c r="CD88" s="169" t="s">
        <v>1030</v>
      </c>
    </row>
    <row x14ac:dyDescent="0.25" r="89" customHeight="1" ht="18.75">
      <c r="A89" s="1"/>
      <c r="B89" s="1050">
        <v>3</v>
      </c>
      <c r="C89" s="1049" t="s">
        <v>921</v>
      </c>
      <c r="D89" s="1049" t="s">
        <v>1031</v>
      </c>
      <c r="E89" s="1049" t="s">
        <v>1032</v>
      </c>
      <c r="F89" s="1049" t="s">
        <v>1033</v>
      </c>
      <c r="G89" s="1049" t="s">
        <v>764</v>
      </c>
      <c r="H89" s="1049" t="s">
        <v>1034</v>
      </c>
      <c r="I89" s="1049" t="s">
        <v>1035</v>
      </c>
      <c r="J89" s="1049" t="s">
        <v>742</v>
      </c>
      <c r="K89" s="1049" t="s">
        <v>675</v>
      </c>
      <c r="L89" s="1049" t="s">
        <v>864</v>
      </c>
      <c r="M89" s="169" t="s">
        <v>864</v>
      </c>
      <c r="N89" s="169" t="s">
        <v>864</v>
      </c>
      <c r="O89" s="169" t="s">
        <v>864</v>
      </c>
      <c r="P89" s="169" t="s">
        <v>864</v>
      </c>
      <c r="Q89" s="169" t="s">
        <v>864</v>
      </c>
      <c r="R89" s="169" t="s">
        <v>864</v>
      </c>
      <c r="S89" s="169" t="s">
        <v>864</v>
      </c>
      <c r="T89" s="169" t="s">
        <v>864</v>
      </c>
      <c r="U89" s="169" t="s">
        <v>864</v>
      </c>
      <c r="V89" s="169" t="s">
        <v>864</v>
      </c>
      <c r="W89" s="169" t="s">
        <v>864</v>
      </c>
      <c r="X89" s="169" t="s">
        <v>864</v>
      </c>
      <c r="Y89" s="169" t="s">
        <v>864</v>
      </c>
      <c r="Z89" s="169" t="s">
        <v>864</v>
      </c>
      <c r="AA89" s="169" t="s">
        <v>864</v>
      </c>
      <c r="AB89" s="169" t="s">
        <v>864</v>
      </c>
      <c r="AC89" s="169" t="s">
        <v>864</v>
      </c>
      <c r="AD89" s="169" t="s">
        <v>864</v>
      </c>
      <c r="AE89" s="169" t="s">
        <v>864</v>
      </c>
      <c r="AF89" s="169" t="s">
        <v>864</v>
      </c>
      <c r="AG89" s="169" t="s">
        <v>864</v>
      </c>
      <c r="AH89" s="169" t="s">
        <v>864</v>
      </c>
      <c r="AI89" s="169" t="s">
        <v>864</v>
      </c>
      <c r="AJ89" s="169" t="s">
        <v>864</v>
      </c>
      <c r="AK89" s="169" t="s">
        <v>864</v>
      </c>
      <c r="AL89" s="169" t="s">
        <v>864</v>
      </c>
      <c r="AM89" s="169" t="s">
        <v>864</v>
      </c>
      <c r="AN89" s="169" t="s">
        <v>864</v>
      </c>
      <c r="AO89" s="169" t="s">
        <v>864</v>
      </c>
      <c r="AP89" s="169" t="s">
        <v>864</v>
      </c>
      <c r="AQ89" s="169" t="s">
        <v>864</v>
      </c>
      <c r="AR89" s="169" t="s">
        <v>864</v>
      </c>
      <c r="AS89" s="169" t="s">
        <v>864</v>
      </c>
      <c r="AT89" s="169" t="s">
        <v>864</v>
      </c>
      <c r="AU89" s="169" t="s">
        <v>864</v>
      </c>
      <c r="AV89" s="169" t="s">
        <v>864</v>
      </c>
      <c r="AW89" s="169" t="s">
        <v>864</v>
      </c>
      <c r="AX89" s="169" t="s">
        <v>864</v>
      </c>
      <c r="AY89" s="169" t="s">
        <v>864</v>
      </c>
      <c r="AZ89" s="169" t="s">
        <v>864</v>
      </c>
      <c r="BA89" s="169" t="s">
        <v>864</v>
      </c>
      <c r="BB89" s="169" t="s">
        <v>864</v>
      </c>
      <c r="BC89" s="169" t="s">
        <v>864</v>
      </c>
      <c r="BD89" s="169" t="s">
        <v>864</v>
      </c>
      <c r="BE89" s="169" t="s">
        <v>864</v>
      </c>
      <c r="BF89" s="169" t="s">
        <v>864</v>
      </c>
      <c r="BG89" s="169" t="s">
        <v>864</v>
      </c>
      <c r="BH89" s="169" t="s">
        <v>864</v>
      </c>
      <c r="BI89" s="169" t="s">
        <v>864</v>
      </c>
      <c r="BJ89" s="169" t="s">
        <v>864</v>
      </c>
      <c r="BK89" s="169" t="s">
        <v>864</v>
      </c>
      <c r="BL89" s="169" t="s">
        <v>864</v>
      </c>
      <c r="BM89" s="169" t="s">
        <v>864</v>
      </c>
      <c r="BN89" s="169" t="s">
        <v>864</v>
      </c>
      <c r="BO89" s="169" t="s">
        <v>864</v>
      </c>
      <c r="BP89" s="169" t="s">
        <v>864</v>
      </c>
      <c r="BQ89" s="169" t="s">
        <v>864</v>
      </c>
      <c r="BR89" s="169" t="s">
        <v>864</v>
      </c>
      <c r="BS89" s="169" t="s">
        <v>864</v>
      </c>
      <c r="BT89" s="169" t="s">
        <v>864</v>
      </c>
      <c r="BU89" s="169" t="s">
        <v>864</v>
      </c>
      <c r="BV89" s="169" t="s">
        <v>864</v>
      </c>
      <c r="BW89" s="169" t="s">
        <v>864</v>
      </c>
      <c r="BX89" s="169" t="s">
        <v>864</v>
      </c>
      <c r="BY89" s="169" t="s">
        <v>864</v>
      </c>
      <c r="BZ89" s="169" t="s">
        <v>864</v>
      </c>
      <c r="CA89" s="169" t="s">
        <v>864</v>
      </c>
      <c r="CB89" s="169" t="s">
        <v>864</v>
      </c>
      <c r="CC89" s="169" t="s">
        <v>864</v>
      </c>
      <c r="CD89" s="169" t="s">
        <v>864</v>
      </c>
    </row>
    <row x14ac:dyDescent="0.25" r="90" customHeight="1" ht="18.75">
      <c r="A90" s="1"/>
      <c r="B90" s="1050">
        <v>2</v>
      </c>
      <c r="C90" s="1049" t="s">
        <v>928</v>
      </c>
      <c r="D90" s="1049" t="s">
        <v>929</v>
      </c>
      <c r="E90" s="1049" t="s">
        <v>769</v>
      </c>
      <c r="F90" s="1049" t="s">
        <v>770</v>
      </c>
      <c r="G90" s="1049" t="s">
        <v>739</v>
      </c>
      <c r="H90" s="1049" t="s">
        <v>1036</v>
      </c>
      <c r="I90" s="1049" t="s">
        <v>749</v>
      </c>
      <c r="J90" s="1049" t="s">
        <v>1037</v>
      </c>
      <c r="K90" s="1049" t="s">
        <v>994</v>
      </c>
      <c r="L90" s="1049" t="s">
        <v>1005</v>
      </c>
      <c r="M90" s="169" t="s">
        <v>1005</v>
      </c>
      <c r="N90" s="169" t="s">
        <v>1005</v>
      </c>
      <c r="O90" s="169" t="s">
        <v>1005</v>
      </c>
      <c r="P90" s="169" t="s">
        <v>1005</v>
      </c>
      <c r="Q90" s="169" t="s">
        <v>1005</v>
      </c>
      <c r="R90" s="169" t="s">
        <v>1005</v>
      </c>
      <c r="S90" s="169" t="s">
        <v>1005</v>
      </c>
      <c r="T90" s="169" t="s">
        <v>1005</v>
      </c>
      <c r="U90" s="169" t="s">
        <v>1005</v>
      </c>
      <c r="V90" s="169" t="s">
        <v>1005</v>
      </c>
      <c r="W90" s="169" t="s">
        <v>1005</v>
      </c>
      <c r="X90" s="169" t="s">
        <v>1005</v>
      </c>
      <c r="Y90" s="169" t="s">
        <v>1005</v>
      </c>
      <c r="Z90" s="169" t="s">
        <v>1005</v>
      </c>
      <c r="AA90" s="169" t="s">
        <v>1005</v>
      </c>
      <c r="AB90" s="169" t="s">
        <v>1005</v>
      </c>
      <c r="AC90" s="169" t="s">
        <v>1005</v>
      </c>
      <c r="AD90" s="169" t="s">
        <v>1005</v>
      </c>
      <c r="AE90" s="169" t="s">
        <v>1005</v>
      </c>
      <c r="AF90" s="169" t="s">
        <v>1005</v>
      </c>
      <c r="AG90" s="169" t="s">
        <v>1005</v>
      </c>
      <c r="AH90" s="169" t="s">
        <v>1005</v>
      </c>
      <c r="AI90" s="169" t="s">
        <v>1005</v>
      </c>
      <c r="AJ90" s="169" t="s">
        <v>1005</v>
      </c>
      <c r="AK90" s="169" t="s">
        <v>1005</v>
      </c>
      <c r="AL90" s="169" t="s">
        <v>1005</v>
      </c>
      <c r="AM90" s="169" t="s">
        <v>1005</v>
      </c>
      <c r="AN90" s="169" t="s">
        <v>1005</v>
      </c>
      <c r="AO90" s="169" t="s">
        <v>1005</v>
      </c>
      <c r="AP90" s="169" t="s">
        <v>1005</v>
      </c>
      <c r="AQ90" s="169" t="s">
        <v>1005</v>
      </c>
      <c r="AR90" s="169" t="s">
        <v>1005</v>
      </c>
      <c r="AS90" s="169" t="s">
        <v>1005</v>
      </c>
      <c r="AT90" s="169" t="s">
        <v>1005</v>
      </c>
      <c r="AU90" s="169" t="s">
        <v>1005</v>
      </c>
      <c r="AV90" s="169" t="s">
        <v>1005</v>
      </c>
      <c r="AW90" s="169" t="s">
        <v>1005</v>
      </c>
      <c r="AX90" s="169" t="s">
        <v>1005</v>
      </c>
      <c r="AY90" s="169" t="s">
        <v>1005</v>
      </c>
      <c r="AZ90" s="169" t="s">
        <v>1005</v>
      </c>
      <c r="BA90" s="169" t="s">
        <v>1005</v>
      </c>
      <c r="BB90" s="169" t="s">
        <v>1005</v>
      </c>
      <c r="BC90" s="169" t="s">
        <v>1005</v>
      </c>
      <c r="BD90" s="169" t="s">
        <v>1005</v>
      </c>
      <c r="BE90" s="169" t="s">
        <v>1005</v>
      </c>
      <c r="BF90" s="169" t="s">
        <v>1005</v>
      </c>
      <c r="BG90" s="169" t="s">
        <v>1005</v>
      </c>
      <c r="BH90" s="169" t="s">
        <v>1005</v>
      </c>
      <c r="BI90" s="169" t="s">
        <v>1005</v>
      </c>
      <c r="BJ90" s="169" t="s">
        <v>1005</v>
      </c>
      <c r="BK90" s="169" t="s">
        <v>1005</v>
      </c>
      <c r="BL90" s="169" t="s">
        <v>1005</v>
      </c>
      <c r="BM90" s="169" t="s">
        <v>1005</v>
      </c>
      <c r="BN90" s="169" t="s">
        <v>1005</v>
      </c>
      <c r="BO90" s="169" t="s">
        <v>1005</v>
      </c>
      <c r="BP90" s="169" t="s">
        <v>1005</v>
      </c>
      <c r="BQ90" s="169" t="s">
        <v>1005</v>
      </c>
      <c r="BR90" s="169" t="s">
        <v>1005</v>
      </c>
      <c r="BS90" s="169" t="s">
        <v>1005</v>
      </c>
      <c r="BT90" s="169" t="s">
        <v>1005</v>
      </c>
      <c r="BU90" s="169" t="s">
        <v>1005</v>
      </c>
      <c r="BV90" s="169" t="s">
        <v>1005</v>
      </c>
      <c r="BW90" s="169" t="s">
        <v>1005</v>
      </c>
      <c r="BX90" s="169" t="s">
        <v>1005</v>
      </c>
      <c r="BY90" s="169" t="s">
        <v>1005</v>
      </c>
      <c r="BZ90" s="169" t="s">
        <v>1005</v>
      </c>
      <c r="CA90" s="169" t="s">
        <v>1005</v>
      </c>
      <c r="CB90" s="169" t="s">
        <v>1005</v>
      </c>
      <c r="CC90" s="169" t="s">
        <v>1005</v>
      </c>
      <c r="CD90" s="169" t="s">
        <v>1005</v>
      </c>
    </row>
    <row x14ac:dyDescent="0.25" r="91" customHeight="1" ht="18.75">
      <c r="A91" s="1"/>
      <c r="B91" s="1050">
        <v>1</v>
      </c>
      <c r="C91" s="1049" t="s">
        <v>1038</v>
      </c>
      <c r="D91" s="1049" t="s">
        <v>1039</v>
      </c>
      <c r="E91" s="1049" t="s">
        <v>1040</v>
      </c>
      <c r="F91" s="1049" t="s">
        <v>1041</v>
      </c>
      <c r="G91" s="1049" t="s">
        <v>1014</v>
      </c>
      <c r="H91" s="1049" t="s">
        <v>1042</v>
      </c>
      <c r="I91" s="1049" t="s">
        <v>918</v>
      </c>
      <c r="J91" s="1049" t="s">
        <v>1043</v>
      </c>
      <c r="K91" s="1049" t="s">
        <v>800</v>
      </c>
      <c r="L91" s="1049" t="s">
        <v>897</v>
      </c>
      <c r="M91" s="169" t="s">
        <v>897</v>
      </c>
      <c r="N91" s="169" t="s">
        <v>897</v>
      </c>
      <c r="O91" s="169" t="s">
        <v>897</v>
      </c>
      <c r="P91" s="169" t="s">
        <v>897</v>
      </c>
      <c r="Q91" s="169" t="s">
        <v>897</v>
      </c>
      <c r="R91" s="169" t="s">
        <v>897</v>
      </c>
      <c r="S91" s="169" t="s">
        <v>897</v>
      </c>
      <c r="T91" s="169" t="s">
        <v>897</v>
      </c>
      <c r="U91" s="169" t="s">
        <v>897</v>
      </c>
      <c r="V91" s="169" t="s">
        <v>897</v>
      </c>
      <c r="W91" s="169" t="s">
        <v>897</v>
      </c>
      <c r="X91" s="169" t="s">
        <v>897</v>
      </c>
      <c r="Y91" s="169" t="s">
        <v>897</v>
      </c>
      <c r="Z91" s="169" t="s">
        <v>897</v>
      </c>
      <c r="AA91" s="169" t="s">
        <v>897</v>
      </c>
      <c r="AB91" s="169" t="s">
        <v>897</v>
      </c>
      <c r="AC91" s="169" t="s">
        <v>897</v>
      </c>
      <c r="AD91" s="169" t="s">
        <v>897</v>
      </c>
      <c r="AE91" s="169" t="s">
        <v>897</v>
      </c>
      <c r="AF91" s="169" t="s">
        <v>897</v>
      </c>
      <c r="AG91" s="169" t="s">
        <v>897</v>
      </c>
      <c r="AH91" s="169" t="s">
        <v>897</v>
      </c>
      <c r="AI91" s="169" t="s">
        <v>897</v>
      </c>
      <c r="AJ91" s="169" t="s">
        <v>897</v>
      </c>
      <c r="AK91" s="169" t="s">
        <v>897</v>
      </c>
      <c r="AL91" s="169" t="s">
        <v>897</v>
      </c>
      <c r="AM91" s="169" t="s">
        <v>897</v>
      </c>
      <c r="AN91" s="169" t="s">
        <v>897</v>
      </c>
      <c r="AO91" s="169" t="s">
        <v>897</v>
      </c>
      <c r="AP91" s="169" t="s">
        <v>897</v>
      </c>
      <c r="AQ91" s="169" t="s">
        <v>897</v>
      </c>
      <c r="AR91" s="169" t="s">
        <v>897</v>
      </c>
      <c r="AS91" s="169" t="s">
        <v>897</v>
      </c>
      <c r="AT91" s="169" t="s">
        <v>897</v>
      </c>
      <c r="AU91" s="169" t="s">
        <v>897</v>
      </c>
      <c r="AV91" s="169" t="s">
        <v>897</v>
      </c>
      <c r="AW91" s="169" t="s">
        <v>897</v>
      </c>
      <c r="AX91" s="169" t="s">
        <v>897</v>
      </c>
      <c r="AY91" s="169" t="s">
        <v>897</v>
      </c>
      <c r="AZ91" s="169" t="s">
        <v>897</v>
      </c>
      <c r="BA91" s="169" t="s">
        <v>897</v>
      </c>
      <c r="BB91" s="169" t="s">
        <v>897</v>
      </c>
      <c r="BC91" s="169" t="s">
        <v>897</v>
      </c>
      <c r="BD91" s="169" t="s">
        <v>897</v>
      </c>
      <c r="BE91" s="169" t="s">
        <v>897</v>
      </c>
      <c r="BF91" s="169" t="s">
        <v>897</v>
      </c>
      <c r="BG91" s="169" t="s">
        <v>897</v>
      </c>
      <c r="BH91" s="169" t="s">
        <v>897</v>
      </c>
      <c r="BI91" s="169" t="s">
        <v>897</v>
      </c>
      <c r="BJ91" s="169" t="s">
        <v>897</v>
      </c>
      <c r="BK91" s="169" t="s">
        <v>897</v>
      </c>
      <c r="BL91" s="169" t="s">
        <v>897</v>
      </c>
      <c r="BM91" s="169" t="s">
        <v>897</v>
      </c>
      <c r="BN91" s="169" t="s">
        <v>897</v>
      </c>
      <c r="BO91" s="169" t="s">
        <v>897</v>
      </c>
      <c r="BP91" s="169" t="s">
        <v>897</v>
      </c>
      <c r="BQ91" s="169" t="s">
        <v>897</v>
      </c>
      <c r="BR91" s="169" t="s">
        <v>897</v>
      </c>
      <c r="BS91" s="169" t="s">
        <v>897</v>
      </c>
      <c r="BT91" s="169" t="s">
        <v>897</v>
      </c>
      <c r="BU91" s="169" t="s">
        <v>897</v>
      </c>
      <c r="BV91" s="169" t="s">
        <v>897</v>
      </c>
      <c r="BW91" s="169" t="s">
        <v>897</v>
      </c>
      <c r="BX91" s="169" t="s">
        <v>897</v>
      </c>
      <c r="BY91" s="169" t="s">
        <v>897</v>
      </c>
      <c r="BZ91" s="169" t="s">
        <v>897</v>
      </c>
      <c r="CA91" s="169" t="s">
        <v>897</v>
      </c>
      <c r="CB91" s="169" t="s">
        <v>897</v>
      </c>
      <c r="CC91" s="169" t="s">
        <v>897</v>
      </c>
      <c r="CD91" s="169" t="s">
        <v>897</v>
      </c>
    </row>
    <row x14ac:dyDescent="0.25" r="92" customHeight="1" ht="18.75">
      <c r="A92" s="1"/>
      <c r="B92" s="320"/>
      <c r="C92" s="169"/>
      <c r="D92" s="169"/>
      <c r="E92" s="169"/>
      <c r="F92" s="169"/>
      <c r="G92" s="169"/>
      <c r="H92" s="169"/>
      <c r="I92" s="169"/>
      <c r="J92" s="169"/>
      <c r="K92" s="169"/>
      <c r="L92" s="169"/>
      <c r="M92" s="169"/>
      <c r="N92" s="169"/>
      <c r="O92" s="169"/>
      <c r="P92" s="169"/>
      <c r="Q92" s="169"/>
      <c r="R92" s="169"/>
      <c r="S92" s="169"/>
      <c r="T92" s="169"/>
      <c r="U92" s="169"/>
      <c r="V92" s="169"/>
      <c r="W92" s="169"/>
      <c r="X92" s="169"/>
      <c r="Y92" s="169"/>
      <c r="Z92" s="169"/>
      <c r="AA92" s="169"/>
      <c r="AB92" s="169"/>
      <c r="AC92" s="169"/>
      <c r="AD92" s="169"/>
      <c r="AE92" s="169"/>
      <c r="AF92" s="169"/>
      <c r="AG92" s="169"/>
      <c r="AH92" s="169"/>
      <c r="AI92" s="169"/>
      <c r="AJ92" s="169"/>
      <c r="AK92" s="169"/>
      <c r="AL92" s="169"/>
      <c r="AM92" s="169"/>
      <c r="AN92" s="169"/>
      <c r="AO92" s="169"/>
      <c r="AP92" s="169"/>
      <c r="AQ92" s="169"/>
      <c r="AR92" s="169"/>
      <c r="AS92" s="169"/>
      <c r="AT92" s="169"/>
      <c r="AU92" s="169"/>
      <c r="AV92" s="169"/>
      <c r="AW92" s="169"/>
      <c r="AX92" s="169"/>
      <c r="AY92" s="169"/>
      <c r="AZ92" s="169"/>
      <c r="BA92" s="169"/>
      <c r="BB92" s="169"/>
      <c r="BC92" s="169"/>
      <c r="BD92" s="169"/>
      <c r="BE92" s="169"/>
      <c r="BF92" s="169"/>
      <c r="BG92" s="169"/>
      <c r="BH92" s="169"/>
      <c r="BI92" s="169"/>
      <c r="BJ92" s="169"/>
      <c r="BK92" s="169"/>
      <c r="BL92" s="169"/>
      <c r="BM92" s="169"/>
      <c r="BN92" s="169"/>
      <c r="BO92" s="169"/>
      <c r="BP92" s="169"/>
      <c r="BQ92" s="169"/>
      <c r="BR92" s="169"/>
      <c r="BS92" s="169"/>
      <c r="BT92" s="169"/>
      <c r="BU92" s="169"/>
      <c r="BV92" s="169"/>
      <c r="BW92" s="169"/>
      <c r="BX92" s="169"/>
      <c r="BY92" s="169"/>
      <c r="BZ92" s="169"/>
      <c r="CA92" s="169"/>
      <c r="CB92" s="169"/>
      <c r="CC92" s="169"/>
      <c r="CD92" s="169"/>
    </row>
    <row x14ac:dyDescent="0.25" r="93" customHeight="1" ht="18.75">
      <c r="A93" s="1"/>
      <c r="B93" s="320"/>
      <c r="C93" s="169"/>
      <c r="D93" s="169"/>
      <c r="E93" s="169"/>
      <c r="F93" s="169"/>
      <c r="G93" s="169"/>
      <c r="H93" s="169"/>
      <c r="I93" s="169"/>
      <c r="J93" s="169"/>
      <c r="K93" s="169"/>
      <c r="L93" s="169"/>
      <c r="M93" s="169"/>
      <c r="N93" s="169"/>
      <c r="O93" s="169"/>
      <c r="P93" s="169"/>
      <c r="Q93" s="169"/>
      <c r="R93" s="169"/>
      <c r="S93" s="169"/>
      <c r="T93" s="169"/>
      <c r="U93" s="169"/>
      <c r="V93" s="169"/>
      <c r="W93" s="169"/>
      <c r="X93" s="169"/>
      <c r="Y93" s="169"/>
      <c r="Z93" s="169"/>
      <c r="AA93" s="169"/>
      <c r="AB93" s="169"/>
      <c r="AC93" s="169"/>
      <c r="AD93" s="169"/>
      <c r="AE93" s="169"/>
      <c r="AF93" s="169"/>
      <c r="AG93" s="169"/>
      <c r="AH93" s="169"/>
      <c r="AI93" s="169"/>
      <c r="AJ93" s="169"/>
      <c r="AK93" s="169"/>
      <c r="AL93" s="169"/>
      <c r="AM93" s="169"/>
      <c r="AN93" s="169"/>
      <c r="AO93" s="169"/>
      <c r="AP93" s="169"/>
      <c r="AQ93" s="169"/>
      <c r="AR93" s="169"/>
      <c r="AS93" s="169"/>
      <c r="AT93" s="169"/>
      <c r="AU93" s="169"/>
      <c r="AV93" s="169"/>
      <c r="AW93" s="169"/>
      <c r="AX93" s="169"/>
      <c r="AY93" s="169"/>
      <c r="AZ93" s="169"/>
      <c r="BA93" s="169"/>
      <c r="BB93" s="169"/>
      <c r="BC93" s="169"/>
      <c r="BD93" s="169"/>
      <c r="BE93" s="169"/>
      <c r="BF93" s="169"/>
      <c r="BG93" s="169"/>
      <c r="BH93" s="169"/>
      <c r="BI93" s="169"/>
      <c r="BJ93" s="169"/>
      <c r="BK93" s="169"/>
      <c r="BL93" s="169"/>
      <c r="BM93" s="169"/>
      <c r="BN93" s="169"/>
      <c r="BO93" s="169"/>
      <c r="BP93" s="169"/>
      <c r="BQ93" s="169"/>
      <c r="BR93" s="169"/>
      <c r="BS93" s="169"/>
      <c r="BT93" s="169"/>
      <c r="BU93" s="169"/>
      <c r="BV93" s="169"/>
      <c r="BW93" s="169"/>
      <c r="BX93" s="169"/>
      <c r="BY93" s="169"/>
      <c r="BZ93" s="169"/>
      <c r="CA93" s="169"/>
      <c r="CB93" s="169"/>
      <c r="CC93" s="169"/>
      <c r="CD93" s="169"/>
    </row>
    <row x14ac:dyDescent="0.25" r="94" customHeight="1" ht="18.75">
      <c r="A94" s="1"/>
      <c r="B94" s="320"/>
      <c r="C94" s="169"/>
      <c r="D94" s="169"/>
      <c r="E94" s="169"/>
      <c r="F94" s="169"/>
      <c r="G94" s="169"/>
      <c r="H94" s="169"/>
      <c r="I94" s="169"/>
      <c r="J94" s="169"/>
      <c r="K94" s="169"/>
      <c r="L94" s="169"/>
      <c r="M94" s="169"/>
      <c r="N94" s="169"/>
      <c r="O94" s="169"/>
      <c r="P94" s="169"/>
      <c r="Q94" s="169"/>
      <c r="R94" s="169"/>
      <c r="S94" s="169"/>
      <c r="T94" s="169"/>
      <c r="U94" s="169"/>
      <c r="V94" s="169"/>
      <c r="W94" s="169"/>
      <c r="X94" s="169"/>
      <c r="Y94" s="169"/>
      <c r="Z94" s="169"/>
      <c r="AA94" s="169"/>
      <c r="AB94" s="169"/>
      <c r="AC94" s="169"/>
      <c r="AD94" s="169"/>
      <c r="AE94" s="169"/>
      <c r="AF94" s="169"/>
      <c r="AG94" s="169"/>
      <c r="AH94" s="169"/>
      <c r="AI94" s="169"/>
      <c r="AJ94" s="169"/>
      <c r="AK94" s="169"/>
      <c r="AL94" s="169"/>
      <c r="AM94" s="169"/>
      <c r="AN94" s="169"/>
      <c r="AO94" s="169"/>
      <c r="AP94" s="169"/>
      <c r="AQ94" s="169"/>
      <c r="AR94" s="169"/>
      <c r="AS94" s="169"/>
      <c r="AT94" s="169"/>
      <c r="AU94" s="169"/>
      <c r="AV94" s="169"/>
      <c r="AW94" s="169"/>
      <c r="AX94" s="169"/>
      <c r="AY94" s="169"/>
      <c r="AZ94" s="169"/>
      <c r="BA94" s="169"/>
      <c r="BB94" s="169"/>
      <c r="BC94" s="169"/>
      <c r="BD94" s="169"/>
      <c r="BE94" s="169"/>
      <c r="BF94" s="169"/>
      <c r="BG94" s="169"/>
      <c r="BH94" s="169"/>
      <c r="BI94" s="169"/>
      <c r="BJ94" s="169"/>
      <c r="BK94" s="169"/>
      <c r="BL94" s="169"/>
      <c r="BM94" s="169"/>
      <c r="BN94" s="169"/>
      <c r="BO94" s="169"/>
      <c r="BP94" s="169"/>
      <c r="BQ94" s="169"/>
      <c r="BR94" s="169"/>
      <c r="BS94" s="169"/>
      <c r="BT94" s="169"/>
      <c r="BU94" s="169"/>
      <c r="BV94" s="169"/>
      <c r="BW94" s="169"/>
      <c r="BX94" s="169"/>
      <c r="BY94" s="169"/>
      <c r="BZ94" s="169"/>
      <c r="CA94" s="169"/>
      <c r="CB94" s="169"/>
      <c r="CC94" s="169"/>
      <c r="CD94" s="169"/>
    </row>
    <row x14ac:dyDescent="0.25" r="95" customHeight="1" ht="18.75">
      <c r="A95" s="1"/>
      <c r="B95" s="1048" t="s">
        <v>1044</v>
      </c>
      <c r="C95" s="169"/>
      <c r="D95" s="169"/>
      <c r="E95" s="169"/>
      <c r="F95" s="169"/>
      <c r="G95" s="169"/>
      <c r="H95" s="169"/>
      <c r="I95" s="169"/>
      <c r="J95" s="169"/>
      <c r="K95" s="169"/>
      <c r="L95" s="169"/>
      <c r="M95" s="169"/>
      <c r="N95" s="169"/>
      <c r="O95" s="169"/>
      <c r="P95" s="169"/>
      <c r="Q95" s="169"/>
      <c r="R95" s="169"/>
      <c r="S95" s="169"/>
      <c r="T95" s="169"/>
      <c r="U95" s="169"/>
      <c r="V95" s="169"/>
      <c r="W95" s="169"/>
      <c r="X95" s="169"/>
      <c r="Y95" s="169"/>
      <c r="Z95" s="169"/>
      <c r="AA95" s="169"/>
      <c r="AB95" s="169"/>
      <c r="AC95" s="169"/>
      <c r="AD95" s="169"/>
      <c r="AE95" s="169"/>
      <c r="AF95" s="169"/>
      <c r="AG95" s="169"/>
      <c r="AH95" s="169"/>
      <c r="AI95" s="169"/>
      <c r="AJ95" s="169"/>
      <c r="AK95" s="169"/>
      <c r="AL95" s="169"/>
      <c r="AM95" s="169"/>
      <c r="AN95" s="169"/>
      <c r="AO95" s="169"/>
      <c r="AP95" s="169"/>
      <c r="AQ95" s="169"/>
      <c r="AR95" s="169"/>
      <c r="AS95" s="169"/>
      <c r="AT95" s="169"/>
      <c r="AU95" s="169"/>
      <c r="AV95" s="169"/>
      <c r="AW95" s="169"/>
      <c r="AX95" s="169"/>
      <c r="AY95" s="169"/>
      <c r="AZ95" s="169"/>
      <c r="BA95" s="169"/>
      <c r="BB95" s="169"/>
      <c r="BC95" s="169"/>
      <c r="BD95" s="169"/>
      <c r="BE95" s="169"/>
      <c r="BF95" s="169"/>
      <c r="BG95" s="169"/>
      <c r="BH95" s="169"/>
      <c r="BI95" s="169"/>
      <c r="BJ95" s="169"/>
      <c r="BK95" s="169"/>
      <c r="BL95" s="169"/>
      <c r="BM95" s="169"/>
      <c r="BN95" s="169"/>
      <c r="BO95" s="169"/>
      <c r="BP95" s="169"/>
      <c r="BQ95" s="169"/>
      <c r="BR95" s="169"/>
      <c r="BS95" s="169"/>
      <c r="BT95" s="169"/>
      <c r="BU95" s="169"/>
      <c r="BV95" s="169"/>
      <c r="BW95" s="169"/>
      <c r="BX95" s="169"/>
      <c r="BY95" s="169"/>
      <c r="BZ95" s="169"/>
      <c r="CA95" s="169"/>
      <c r="CB95" s="169"/>
      <c r="CC95" s="169"/>
      <c r="CD95" s="169"/>
    </row>
    <row x14ac:dyDescent="0.25" r="96" customHeight="1" ht="18.75">
      <c r="A96" s="1"/>
      <c r="B96" s="1049" t="s">
        <v>589</v>
      </c>
      <c r="C96" s="1050">
        <v>2024</v>
      </c>
      <c r="D96" s="1050">
        <v>2025</v>
      </c>
      <c r="E96" s="1050">
        <v>2026</v>
      </c>
      <c r="F96" s="1050">
        <v>2027</v>
      </c>
      <c r="G96" s="1050">
        <v>2028</v>
      </c>
      <c r="H96" s="1050">
        <v>2029</v>
      </c>
      <c r="I96" s="1050">
        <v>2030</v>
      </c>
      <c r="J96" s="1050">
        <v>2031</v>
      </c>
      <c r="K96" s="1050">
        <v>2032</v>
      </c>
      <c r="L96" s="1050">
        <v>2033</v>
      </c>
      <c r="M96" s="331">
        <f>+L96+1</f>
      </c>
      <c r="N96" s="331">
        <f>+M96+1</f>
      </c>
      <c r="O96" s="331">
        <f>+N96+1</f>
      </c>
      <c r="P96" s="331">
        <f>+O96+1</f>
      </c>
      <c r="Q96" s="331">
        <f>+P96+1</f>
      </c>
      <c r="R96" s="331">
        <f>+Q96+1</f>
      </c>
      <c r="S96" s="331">
        <f>+R96+1</f>
      </c>
      <c r="T96" s="331">
        <f>+S96+1</f>
      </c>
      <c r="U96" s="331">
        <f>+T96+1</f>
      </c>
      <c r="V96" s="331">
        <f>+U96+1</f>
      </c>
      <c r="W96" s="331">
        <f>+V96+1</f>
      </c>
      <c r="X96" s="331">
        <f>+W96+1</f>
      </c>
      <c r="Y96" s="331">
        <f>+X96+1</f>
      </c>
      <c r="Z96" s="331">
        <f>+Y96+1</f>
      </c>
      <c r="AA96" s="331">
        <f>+Z96+1</f>
      </c>
      <c r="AB96" s="331">
        <f>+AA96+1</f>
      </c>
      <c r="AC96" s="331">
        <f>+AB96+1</f>
      </c>
      <c r="AD96" s="331">
        <f>+AC96+1</f>
      </c>
      <c r="AE96" s="331">
        <f>+AD96+1</f>
      </c>
      <c r="AF96" s="331">
        <f>+AE96+1</f>
      </c>
      <c r="AG96" s="331">
        <f>+AF96+1</f>
      </c>
      <c r="AH96" s="331">
        <f>+AG96+1</f>
      </c>
      <c r="AI96" s="331">
        <f>+AH96+1</f>
      </c>
      <c r="AJ96" s="331">
        <f>+AI96+1</f>
      </c>
      <c r="AK96" s="331">
        <f>+AJ96+1</f>
      </c>
      <c r="AL96" s="331">
        <f>+AK96+1</f>
      </c>
      <c r="AM96" s="331">
        <f>+AL96+1</f>
      </c>
      <c r="AN96" s="331">
        <f>+AM96+1</f>
      </c>
      <c r="AO96" s="331">
        <f>+AN96+1</f>
      </c>
      <c r="AP96" s="331">
        <f>+AO96+1</f>
      </c>
      <c r="AQ96" s="331">
        <f>+AP96+1</f>
      </c>
      <c r="AR96" s="331">
        <f>+AQ96+1</f>
      </c>
      <c r="AS96" s="331">
        <f>+AR96+1</f>
      </c>
      <c r="AT96" s="331">
        <f>+AS96+1</f>
      </c>
      <c r="AU96" s="331">
        <f>+AT96+1</f>
      </c>
      <c r="AV96" s="331">
        <f>+AU96+1</f>
      </c>
      <c r="AW96" s="331">
        <f>+AV96+1</f>
      </c>
      <c r="AX96" s="331">
        <f>+AW96+1</f>
      </c>
      <c r="AY96" s="331">
        <f>+AX96+1</f>
      </c>
      <c r="AZ96" s="331">
        <f>+AY96+1</f>
      </c>
      <c r="BA96" s="331">
        <f>+AZ96+1</f>
      </c>
      <c r="BB96" s="331">
        <f>+BA96+1</f>
      </c>
      <c r="BC96" s="331">
        <f>+BB96+1</f>
      </c>
      <c r="BD96" s="331">
        <f>+BC96+1</f>
      </c>
      <c r="BE96" s="331">
        <f>+BD96+1</f>
      </c>
      <c r="BF96" s="331">
        <f>+BE96+1</f>
      </c>
      <c r="BG96" s="331">
        <f>+BF96+1</f>
      </c>
      <c r="BH96" s="331">
        <f>+BG96+1</f>
      </c>
      <c r="BI96" s="331">
        <f>+BH96+1</f>
      </c>
      <c r="BJ96" s="331">
        <f>+BI96+1</f>
      </c>
      <c r="BK96" s="331">
        <f>+BJ96+1</f>
      </c>
      <c r="BL96" s="331">
        <f>+BK96+1</f>
      </c>
      <c r="BM96" s="331">
        <f>+BL96+1</f>
      </c>
      <c r="BN96" s="331">
        <f>+BM96+1</f>
      </c>
      <c r="BO96" s="331">
        <f>+BN96+1</f>
      </c>
      <c r="BP96" s="331">
        <f>+BO96+1</f>
      </c>
      <c r="BQ96" s="331">
        <f>+BP96+1</f>
      </c>
      <c r="BR96" s="331">
        <f>+BQ96+1</f>
      </c>
      <c r="BS96" s="331">
        <f>+BR96+1</f>
      </c>
      <c r="BT96" s="331">
        <f>+BS96+1</f>
      </c>
      <c r="BU96" s="331">
        <f>+BT96+1</f>
      </c>
      <c r="BV96" s="331">
        <f>+BU96+1</f>
      </c>
      <c r="BW96" s="331">
        <f>+BV96+1</f>
      </c>
      <c r="BX96" s="331">
        <f>+BW96+1</f>
      </c>
      <c r="BY96" s="331">
        <f>+BX96+1</f>
      </c>
      <c r="BZ96" s="331">
        <f>+BY96+1</f>
      </c>
      <c r="CA96" s="331">
        <f>+BZ96+1</f>
      </c>
      <c r="CB96" s="331">
        <f>+CA96+1</f>
      </c>
      <c r="CC96" s="331">
        <f>+CB96+1</f>
      </c>
      <c r="CD96" s="331">
        <f>+CC96+1</f>
      </c>
    </row>
    <row x14ac:dyDescent="0.25" r="97" customHeight="1" ht="18.75">
      <c r="A97" s="1"/>
      <c r="B97" s="1050">
        <v>24</v>
      </c>
      <c r="C97" s="1049" t="s">
        <v>825</v>
      </c>
      <c r="D97" s="1049" t="s">
        <v>854</v>
      </c>
      <c r="E97" s="1049" t="s">
        <v>1045</v>
      </c>
      <c r="F97" s="1049" t="s">
        <v>1046</v>
      </c>
      <c r="G97" s="1049" t="s">
        <v>802</v>
      </c>
      <c r="H97" s="1049" t="s">
        <v>1047</v>
      </c>
      <c r="I97" s="1049" t="s">
        <v>822</v>
      </c>
      <c r="J97" s="1049" t="s">
        <v>1048</v>
      </c>
      <c r="K97" s="1049" t="s">
        <v>1049</v>
      </c>
      <c r="L97" s="1049" t="s">
        <v>805</v>
      </c>
      <c r="M97" s="169" t="s">
        <v>805</v>
      </c>
      <c r="N97" s="169" t="s">
        <v>805</v>
      </c>
      <c r="O97" s="169" t="s">
        <v>805</v>
      </c>
      <c r="P97" s="169" t="s">
        <v>805</v>
      </c>
      <c r="Q97" s="169" t="s">
        <v>805</v>
      </c>
      <c r="R97" s="169" t="s">
        <v>805</v>
      </c>
      <c r="S97" s="169" t="s">
        <v>805</v>
      </c>
      <c r="T97" s="169" t="s">
        <v>805</v>
      </c>
      <c r="U97" s="169" t="s">
        <v>805</v>
      </c>
      <c r="V97" s="169" t="s">
        <v>805</v>
      </c>
      <c r="W97" s="169" t="s">
        <v>805</v>
      </c>
      <c r="X97" s="169" t="s">
        <v>805</v>
      </c>
      <c r="Y97" s="169" t="s">
        <v>805</v>
      </c>
      <c r="Z97" s="169" t="s">
        <v>805</v>
      </c>
      <c r="AA97" s="169" t="s">
        <v>805</v>
      </c>
      <c r="AB97" s="169" t="s">
        <v>805</v>
      </c>
      <c r="AC97" s="169" t="s">
        <v>805</v>
      </c>
      <c r="AD97" s="169" t="s">
        <v>805</v>
      </c>
      <c r="AE97" s="169" t="s">
        <v>805</v>
      </c>
      <c r="AF97" s="169" t="s">
        <v>805</v>
      </c>
      <c r="AG97" s="169" t="s">
        <v>805</v>
      </c>
      <c r="AH97" s="169" t="s">
        <v>805</v>
      </c>
      <c r="AI97" s="169" t="s">
        <v>805</v>
      </c>
      <c r="AJ97" s="169" t="s">
        <v>805</v>
      </c>
      <c r="AK97" s="169" t="s">
        <v>805</v>
      </c>
      <c r="AL97" s="169" t="s">
        <v>805</v>
      </c>
      <c r="AM97" s="169" t="s">
        <v>805</v>
      </c>
      <c r="AN97" s="169" t="s">
        <v>805</v>
      </c>
      <c r="AO97" s="169" t="s">
        <v>805</v>
      </c>
      <c r="AP97" s="169" t="s">
        <v>805</v>
      </c>
      <c r="AQ97" s="169" t="s">
        <v>805</v>
      </c>
      <c r="AR97" s="169" t="s">
        <v>805</v>
      </c>
      <c r="AS97" s="169" t="s">
        <v>805</v>
      </c>
      <c r="AT97" s="169" t="s">
        <v>805</v>
      </c>
      <c r="AU97" s="169" t="s">
        <v>805</v>
      </c>
      <c r="AV97" s="169" t="s">
        <v>805</v>
      </c>
      <c r="AW97" s="169" t="s">
        <v>805</v>
      </c>
      <c r="AX97" s="169" t="s">
        <v>805</v>
      </c>
      <c r="AY97" s="169" t="s">
        <v>805</v>
      </c>
      <c r="AZ97" s="169" t="s">
        <v>805</v>
      </c>
      <c r="BA97" s="169" t="s">
        <v>805</v>
      </c>
      <c r="BB97" s="169" t="s">
        <v>805</v>
      </c>
      <c r="BC97" s="169" t="s">
        <v>805</v>
      </c>
      <c r="BD97" s="169" t="s">
        <v>805</v>
      </c>
      <c r="BE97" s="169" t="s">
        <v>805</v>
      </c>
      <c r="BF97" s="169" t="s">
        <v>805</v>
      </c>
      <c r="BG97" s="169" t="s">
        <v>805</v>
      </c>
      <c r="BH97" s="169" t="s">
        <v>805</v>
      </c>
      <c r="BI97" s="169" t="s">
        <v>805</v>
      </c>
      <c r="BJ97" s="169" t="s">
        <v>805</v>
      </c>
      <c r="BK97" s="169" t="s">
        <v>805</v>
      </c>
      <c r="BL97" s="169" t="s">
        <v>805</v>
      </c>
      <c r="BM97" s="169" t="s">
        <v>805</v>
      </c>
      <c r="BN97" s="169" t="s">
        <v>805</v>
      </c>
      <c r="BO97" s="169" t="s">
        <v>805</v>
      </c>
      <c r="BP97" s="169" t="s">
        <v>805</v>
      </c>
      <c r="BQ97" s="169" t="s">
        <v>805</v>
      </c>
      <c r="BR97" s="169" t="s">
        <v>805</v>
      </c>
      <c r="BS97" s="169" t="s">
        <v>805</v>
      </c>
      <c r="BT97" s="169" t="s">
        <v>805</v>
      </c>
      <c r="BU97" s="169" t="s">
        <v>805</v>
      </c>
      <c r="BV97" s="169" t="s">
        <v>805</v>
      </c>
      <c r="BW97" s="169" t="s">
        <v>805</v>
      </c>
      <c r="BX97" s="169" t="s">
        <v>805</v>
      </c>
      <c r="BY97" s="169" t="s">
        <v>805</v>
      </c>
      <c r="BZ97" s="169" t="s">
        <v>805</v>
      </c>
      <c r="CA97" s="169" t="s">
        <v>805</v>
      </c>
      <c r="CB97" s="169" t="s">
        <v>805</v>
      </c>
      <c r="CC97" s="169" t="s">
        <v>805</v>
      </c>
      <c r="CD97" s="169" t="s">
        <v>805</v>
      </c>
    </row>
    <row x14ac:dyDescent="0.25" r="98" customHeight="1" ht="18.75">
      <c r="A98" s="1"/>
      <c r="B98" s="1050">
        <v>23</v>
      </c>
      <c r="C98" s="1049" t="s">
        <v>711</v>
      </c>
      <c r="D98" s="1049" t="s">
        <v>670</v>
      </c>
      <c r="E98" s="1049" t="s">
        <v>1050</v>
      </c>
      <c r="F98" s="1049" t="s">
        <v>610</v>
      </c>
      <c r="G98" s="1049" t="s">
        <v>633</v>
      </c>
      <c r="H98" s="1049" t="s">
        <v>657</v>
      </c>
      <c r="I98" s="1049" t="s">
        <v>948</v>
      </c>
      <c r="J98" s="1049" t="s">
        <v>613</v>
      </c>
      <c r="K98" s="1049" t="s">
        <v>1048</v>
      </c>
      <c r="L98" s="1049" t="s">
        <v>817</v>
      </c>
      <c r="M98" s="169" t="s">
        <v>817</v>
      </c>
      <c r="N98" s="169" t="s">
        <v>817</v>
      </c>
      <c r="O98" s="169" t="s">
        <v>817</v>
      </c>
      <c r="P98" s="169" t="s">
        <v>817</v>
      </c>
      <c r="Q98" s="169" t="s">
        <v>817</v>
      </c>
      <c r="R98" s="169" t="s">
        <v>817</v>
      </c>
      <c r="S98" s="169" t="s">
        <v>817</v>
      </c>
      <c r="T98" s="169" t="s">
        <v>817</v>
      </c>
      <c r="U98" s="169" t="s">
        <v>817</v>
      </c>
      <c r="V98" s="169" t="s">
        <v>817</v>
      </c>
      <c r="W98" s="169" t="s">
        <v>817</v>
      </c>
      <c r="X98" s="169" t="s">
        <v>817</v>
      </c>
      <c r="Y98" s="169" t="s">
        <v>817</v>
      </c>
      <c r="Z98" s="169" t="s">
        <v>817</v>
      </c>
      <c r="AA98" s="169" t="s">
        <v>817</v>
      </c>
      <c r="AB98" s="169" t="s">
        <v>817</v>
      </c>
      <c r="AC98" s="169" t="s">
        <v>817</v>
      </c>
      <c r="AD98" s="169" t="s">
        <v>817</v>
      </c>
      <c r="AE98" s="169" t="s">
        <v>817</v>
      </c>
      <c r="AF98" s="169" t="s">
        <v>817</v>
      </c>
      <c r="AG98" s="169" t="s">
        <v>817</v>
      </c>
      <c r="AH98" s="169" t="s">
        <v>817</v>
      </c>
      <c r="AI98" s="169" t="s">
        <v>817</v>
      </c>
      <c r="AJ98" s="169" t="s">
        <v>817</v>
      </c>
      <c r="AK98" s="169" t="s">
        <v>817</v>
      </c>
      <c r="AL98" s="169" t="s">
        <v>817</v>
      </c>
      <c r="AM98" s="169" t="s">
        <v>817</v>
      </c>
      <c r="AN98" s="169" t="s">
        <v>817</v>
      </c>
      <c r="AO98" s="169" t="s">
        <v>817</v>
      </c>
      <c r="AP98" s="169" t="s">
        <v>817</v>
      </c>
      <c r="AQ98" s="169" t="s">
        <v>817</v>
      </c>
      <c r="AR98" s="169" t="s">
        <v>817</v>
      </c>
      <c r="AS98" s="169" t="s">
        <v>817</v>
      </c>
      <c r="AT98" s="169" t="s">
        <v>817</v>
      </c>
      <c r="AU98" s="169" t="s">
        <v>817</v>
      </c>
      <c r="AV98" s="169" t="s">
        <v>817</v>
      </c>
      <c r="AW98" s="169" t="s">
        <v>817</v>
      </c>
      <c r="AX98" s="169" t="s">
        <v>817</v>
      </c>
      <c r="AY98" s="169" t="s">
        <v>817</v>
      </c>
      <c r="AZ98" s="169" t="s">
        <v>817</v>
      </c>
      <c r="BA98" s="169" t="s">
        <v>817</v>
      </c>
      <c r="BB98" s="169" t="s">
        <v>817</v>
      </c>
      <c r="BC98" s="169" t="s">
        <v>817</v>
      </c>
      <c r="BD98" s="169" t="s">
        <v>817</v>
      </c>
      <c r="BE98" s="169" t="s">
        <v>817</v>
      </c>
      <c r="BF98" s="169" t="s">
        <v>817</v>
      </c>
      <c r="BG98" s="169" t="s">
        <v>817</v>
      </c>
      <c r="BH98" s="169" t="s">
        <v>817</v>
      </c>
      <c r="BI98" s="169" t="s">
        <v>817</v>
      </c>
      <c r="BJ98" s="169" t="s">
        <v>817</v>
      </c>
      <c r="BK98" s="169" t="s">
        <v>817</v>
      </c>
      <c r="BL98" s="169" t="s">
        <v>817</v>
      </c>
      <c r="BM98" s="169" t="s">
        <v>817</v>
      </c>
      <c r="BN98" s="169" t="s">
        <v>817</v>
      </c>
      <c r="BO98" s="169" t="s">
        <v>817</v>
      </c>
      <c r="BP98" s="169" t="s">
        <v>817</v>
      </c>
      <c r="BQ98" s="169" t="s">
        <v>817</v>
      </c>
      <c r="BR98" s="169" t="s">
        <v>817</v>
      </c>
      <c r="BS98" s="169" t="s">
        <v>817</v>
      </c>
      <c r="BT98" s="169" t="s">
        <v>817</v>
      </c>
      <c r="BU98" s="169" t="s">
        <v>817</v>
      </c>
      <c r="BV98" s="169" t="s">
        <v>817</v>
      </c>
      <c r="BW98" s="169" t="s">
        <v>817</v>
      </c>
      <c r="BX98" s="169" t="s">
        <v>817</v>
      </c>
      <c r="BY98" s="169" t="s">
        <v>817</v>
      </c>
      <c r="BZ98" s="169" t="s">
        <v>817</v>
      </c>
      <c r="CA98" s="169" t="s">
        <v>817</v>
      </c>
      <c r="CB98" s="169" t="s">
        <v>817</v>
      </c>
      <c r="CC98" s="169" t="s">
        <v>817</v>
      </c>
      <c r="CD98" s="169" t="s">
        <v>817</v>
      </c>
    </row>
    <row x14ac:dyDescent="0.25" r="99" customHeight="1" ht="18.75">
      <c r="A99" s="1"/>
      <c r="B99" s="1050">
        <v>22</v>
      </c>
      <c r="C99" s="1049" t="s">
        <v>1003</v>
      </c>
      <c r="D99" s="1049" t="s">
        <v>853</v>
      </c>
      <c r="E99" s="1049" t="s">
        <v>965</v>
      </c>
      <c r="F99" s="1049" t="s">
        <v>945</v>
      </c>
      <c r="G99" s="1049" t="s">
        <v>664</v>
      </c>
      <c r="H99" s="1049" t="s">
        <v>1051</v>
      </c>
      <c r="I99" s="1049" t="s">
        <v>1052</v>
      </c>
      <c r="J99" s="1049" t="s">
        <v>948</v>
      </c>
      <c r="K99" s="1049" t="s">
        <v>822</v>
      </c>
      <c r="L99" s="1049" t="s">
        <v>637</v>
      </c>
      <c r="M99" s="169" t="s">
        <v>637</v>
      </c>
      <c r="N99" s="169" t="s">
        <v>637</v>
      </c>
      <c r="O99" s="169" t="s">
        <v>637</v>
      </c>
      <c r="P99" s="169" t="s">
        <v>637</v>
      </c>
      <c r="Q99" s="169" t="s">
        <v>637</v>
      </c>
      <c r="R99" s="169" t="s">
        <v>637</v>
      </c>
      <c r="S99" s="169" t="s">
        <v>637</v>
      </c>
      <c r="T99" s="169" t="s">
        <v>637</v>
      </c>
      <c r="U99" s="169" t="s">
        <v>637</v>
      </c>
      <c r="V99" s="169" t="s">
        <v>637</v>
      </c>
      <c r="W99" s="169" t="s">
        <v>637</v>
      </c>
      <c r="X99" s="169" t="s">
        <v>637</v>
      </c>
      <c r="Y99" s="169" t="s">
        <v>637</v>
      </c>
      <c r="Z99" s="169" t="s">
        <v>637</v>
      </c>
      <c r="AA99" s="169" t="s">
        <v>637</v>
      </c>
      <c r="AB99" s="169" t="s">
        <v>637</v>
      </c>
      <c r="AC99" s="169" t="s">
        <v>637</v>
      </c>
      <c r="AD99" s="169" t="s">
        <v>637</v>
      </c>
      <c r="AE99" s="169" t="s">
        <v>637</v>
      </c>
      <c r="AF99" s="169" t="s">
        <v>637</v>
      </c>
      <c r="AG99" s="169" t="s">
        <v>637</v>
      </c>
      <c r="AH99" s="169" t="s">
        <v>637</v>
      </c>
      <c r="AI99" s="169" t="s">
        <v>637</v>
      </c>
      <c r="AJ99" s="169" t="s">
        <v>637</v>
      </c>
      <c r="AK99" s="169" t="s">
        <v>637</v>
      </c>
      <c r="AL99" s="169" t="s">
        <v>637</v>
      </c>
      <c r="AM99" s="169" t="s">
        <v>637</v>
      </c>
      <c r="AN99" s="169" t="s">
        <v>637</v>
      </c>
      <c r="AO99" s="169" t="s">
        <v>637</v>
      </c>
      <c r="AP99" s="169" t="s">
        <v>637</v>
      </c>
      <c r="AQ99" s="169" t="s">
        <v>637</v>
      </c>
      <c r="AR99" s="169" t="s">
        <v>637</v>
      </c>
      <c r="AS99" s="169" t="s">
        <v>637</v>
      </c>
      <c r="AT99" s="169" t="s">
        <v>637</v>
      </c>
      <c r="AU99" s="169" t="s">
        <v>637</v>
      </c>
      <c r="AV99" s="169" t="s">
        <v>637</v>
      </c>
      <c r="AW99" s="169" t="s">
        <v>637</v>
      </c>
      <c r="AX99" s="169" t="s">
        <v>637</v>
      </c>
      <c r="AY99" s="169" t="s">
        <v>637</v>
      </c>
      <c r="AZ99" s="169" t="s">
        <v>637</v>
      </c>
      <c r="BA99" s="169" t="s">
        <v>637</v>
      </c>
      <c r="BB99" s="169" t="s">
        <v>637</v>
      </c>
      <c r="BC99" s="169" t="s">
        <v>637</v>
      </c>
      <c r="BD99" s="169" t="s">
        <v>637</v>
      </c>
      <c r="BE99" s="169" t="s">
        <v>637</v>
      </c>
      <c r="BF99" s="169" t="s">
        <v>637</v>
      </c>
      <c r="BG99" s="169" t="s">
        <v>637</v>
      </c>
      <c r="BH99" s="169" t="s">
        <v>637</v>
      </c>
      <c r="BI99" s="169" t="s">
        <v>637</v>
      </c>
      <c r="BJ99" s="169" t="s">
        <v>637</v>
      </c>
      <c r="BK99" s="169" t="s">
        <v>637</v>
      </c>
      <c r="BL99" s="169" t="s">
        <v>637</v>
      </c>
      <c r="BM99" s="169" t="s">
        <v>637</v>
      </c>
      <c r="BN99" s="169" t="s">
        <v>637</v>
      </c>
      <c r="BO99" s="169" t="s">
        <v>637</v>
      </c>
      <c r="BP99" s="169" t="s">
        <v>637</v>
      </c>
      <c r="BQ99" s="169" t="s">
        <v>637</v>
      </c>
      <c r="BR99" s="169" t="s">
        <v>637</v>
      </c>
      <c r="BS99" s="169" t="s">
        <v>637</v>
      </c>
      <c r="BT99" s="169" t="s">
        <v>637</v>
      </c>
      <c r="BU99" s="169" t="s">
        <v>637</v>
      </c>
      <c r="BV99" s="169" t="s">
        <v>637</v>
      </c>
      <c r="BW99" s="169" t="s">
        <v>637</v>
      </c>
      <c r="BX99" s="169" t="s">
        <v>637</v>
      </c>
      <c r="BY99" s="169" t="s">
        <v>637</v>
      </c>
      <c r="BZ99" s="169" t="s">
        <v>637</v>
      </c>
      <c r="CA99" s="169" t="s">
        <v>637</v>
      </c>
      <c r="CB99" s="169" t="s">
        <v>637</v>
      </c>
      <c r="CC99" s="169" t="s">
        <v>637</v>
      </c>
      <c r="CD99" s="169" t="s">
        <v>637</v>
      </c>
    </row>
    <row x14ac:dyDescent="0.25" r="100" customHeight="1" ht="18.75">
      <c r="A100" s="1"/>
      <c r="B100" s="1050">
        <v>21</v>
      </c>
      <c r="C100" s="1049" t="s">
        <v>963</v>
      </c>
      <c r="D100" s="1049" t="s">
        <v>711</v>
      </c>
      <c r="E100" s="1049" t="s">
        <v>964</v>
      </c>
      <c r="F100" s="1049" t="s">
        <v>965</v>
      </c>
      <c r="G100" s="1049" t="s">
        <v>966</v>
      </c>
      <c r="H100" s="1049" t="s">
        <v>591</v>
      </c>
      <c r="I100" s="1049" t="s">
        <v>967</v>
      </c>
      <c r="J100" s="1049" t="s">
        <v>968</v>
      </c>
      <c r="K100" s="1049" t="s">
        <v>969</v>
      </c>
      <c r="L100" s="1049" t="s">
        <v>803</v>
      </c>
      <c r="M100" s="169" t="s">
        <v>803</v>
      </c>
      <c r="N100" s="169" t="s">
        <v>803</v>
      </c>
      <c r="O100" s="169" t="s">
        <v>803</v>
      </c>
      <c r="P100" s="169" t="s">
        <v>803</v>
      </c>
      <c r="Q100" s="169" t="s">
        <v>803</v>
      </c>
      <c r="R100" s="169" t="s">
        <v>803</v>
      </c>
      <c r="S100" s="169" t="s">
        <v>803</v>
      </c>
      <c r="T100" s="169" t="s">
        <v>803</v>
      </c>
      <c r="U100" s="169" t="s">
        <v>803</v>
      </c>
      <c r="V100" s="169" t="s">
        <v>803</v>
      </c>
      <c r="W100" s="169" t="s">
        <v>803</v>
      </c>
      <c r="X100" s="169" t="s">
        <v>803</v>
      </c>
      <c r="Y100" s="169" t="s">
        <v>803</v>
      </c>
      <c r="Z100" s="169" t="s">
        <v>803</v>
      </c>
      <c r="AA100" s="169" t="s">
        <v>803</v>
      </c>
      <c r="AB100" s="169" t="s">
        <v>803</v>
      </c>
      <c r="AC100" s="169" t="s">
        <v>803</v>
      </c>
      <c r="AD100" s="169" t="s">
        <v>803</v>
      </c>
      <c r="AE100" s="169" t="s">
        <v>803</v>
      </c>
      <c r="AF100" s="169" t="s">
        <v>803</v>
      </c>
      <c r="AG100" s="169" t="s">
        <v>803</v>
      </c>
      <c r="AH100" s="169" t="s">
        <v>803</v>
      </c>
      <c r="AI100" s="169" t="s">
        <v>803</v>
      </c>
      <c r="AJ100" s="169" t="s">
        <v>803</v>
      </c>
      <c r="AK100" s="169" t="s">
        <v>803</v>
      </c>
      <c r="AL100" s="169" t="s">
        <v>803</v>
      </c>
      <c r="AM100" s="169" t="s">
        <v>803</v>
      </c>
      <c r="AN100" s="169" t="s">
        <v>803</v>
      </c>
      <c r="AO100" s="169" t="s">
        <v>803</v>
      </c>
      <c r="AP100" s="169" t="s">
        <v>803</v>
      </c>
      <c r="AQ100" s="169" t="s">
        <v>803</v>
      </c>
      <c r="AR100" s="169" t="s">
        <v>803</v>
      </c>
      <c r="AS100" s="169" t="s">
        <v>803</v>
      </c>
      <c r="AT100" s="169" t="s">
        <v>803</v>
      </c>
      <c r="AU100" s="169" t="s">
        <v>803</v>
      </c>
      <c r="AV100" s="169" t="s">
        <v>803</v>
      </c>
      <c r="AW100" s="169" t="s">
        <v>803</v>
      </c>
      <c r="AX100" s="169" t="s">
        <v>803</v>
      </c>
      <c r="AY100" s="169" t="s">
        <v>803</v>
      </c>
      <c r="AZ100" s="169" t="s">
        <v>803</v>
      </c>
      <c r="BA100" s="169" t="s">
        <v>803</v>
      </c>
      <c r="BB100" s="169" t="s">
        <v>803</v>
      </c>
      <c r="BC100" s="169" t="s">
        <v>803</v>
      </c>
      <c r="BD100" s="169" t="s">
        <v>803</v>
      </c>
      <c r="BE100" s="169" t="s">
        <v>803</v>
      </c>
      <c r="BF100" s="169" t="s">
        <v>803</v>
      </c>
      <c r="BG100" s="169" t="s">
        <v>803</v>
      </c>
      <c r="BH100" s="169" t="s">
        <v>803</v>
      </c>
      <c r="BI100" s="169" t="s">
        <v>803</v>
      </c>
      <c r="BJ100" s="169" t="s">
        <v>803</v>
      </c>
      <c r="BK100" s="169" t="s">
        <v>803</v>
      </c>
      <c r="BL100" s="169" t="s">
        <v>803</v>
      </c>
      <c r="BM100" s="169" t="s">
        <v>803</v>
      </c>
      <c r="BN100" s="169" t="s">
        <v>803</v>
      </c>
      <c r="BO100" s="169" t="s">
        <v>803</v>
      </c>
      <c r="BP100" s="169" t="s">
        <v>803</v>
      </c>
      <c r="BQ100" s="169" t="s">
        <v>803</v>
      </c>
      <c r="BR100" s="169" t="s">
        <v>803</v>
      </c>
      <c r="BS100" s="169" t="s">
        <v>803</v>
      </c>
      <c r="BT100" s="169" t="s">
        <v>803</v>
      </c>
      <c r="BU100" s="169" t="s">
        <v>803</v>
      </c>
      <c r="BV100" s="169" t="s">
        <v>803</v>
      </c>
      <c r="BW100" s="169" t="s">
        <v>803</v>
      </c>
      <c r="BX100" s="169" t="s">
        <v>803</v>
      </c>
      <c r="BY100" s="169" t="s">
        <v>803</v>
      </c>
      <c r="BZ100" s="169" t="s">
        <v>803</v>
      </c>
      <c r="CA100" s="169" t="s">
        <v>803</v>
      </c>
      <c r="CB100" s="169" t="s">
        <v>803</v>
      </c>
      <c r="CC100" s="169" t="s">
        <v>803</v>
      </c>
      <c r="CD100" s="169" t="s">
        <v>803</v>
      </c>
    </row>
    <row x14ac:dyDescent="0.25" r="101" customHeight="1" ht="18.75">
      <c r="A101" s="1"/>
      <c r="B101" s="1050">
        <v>20</v>
      </c>
      <c r="C101" s="1049" t="s">
        <v>1053</v>
      </c>
      <c r="D101" s="1049" t="s">
        <v>679</v>
      </c>
      <c r="E101" s="1049" t="s">
        <v>1054</v>
      </c>
      <c r="F101" s="1049" t="s">
        <v>848</v>
      </c>
      <c r="G101" s="1049" t="s">
        <v>1055</v>
      </c>
      <c r="H101" s="1049" t="s">
        <v>1056</v>
      </c>
      <c r="I101" s="1049" t="s">
        <v>1057</v>
      </c>
      <c r="J101" s="1049" t="s">
        <v>1058</v>
      </c>
      <c r="K101" s="1049" t="s">
        <v>1059</v>
      </c>
      <c r="L101" s="1049" t="s">
        <v>932</v>
      </c>
      <c r="M101" s="169" t="s">
        <v>932</v>
      </c>
      <c r="N101" s="169" t="s">
        <v>932</v>
      </c>
      <c r="O101" s="169" t="s">
        <v>932</v>
      </c>
      <c r="P101" s="169" t="s">
        <v>932</v>
      </c>
      <c r="Q101" s="169" t="s">
        <v>932</v>
      </c>
      <c r="R101" s="169" t="s">
        <v>932</v>
      </c>
      <c r="S101" s="169" t="s">
        <v>932</v>
      </c>
      <c r="T101" s="169" t="s">
        <v>932</v>
      </c>
      <c r="U101" s="169" t="s">
        <v>932</v>
      </c>
      <c r="V101" s="169" t="s">
        <v>932</v>
      </c>
      <c r="W101" s="169" t="s">
        <v>932</v>
      </c>
      <c r="X101" s="169" t="s">
        <v>932</v>
      </c>
      <c r="Y101" s="169" t="s">
        <v>932</v>
      </c>
      <c r="Z101" s="169" t="s">
        <v>932</v>
      </c>
      <c r="AA101" s="169" t="s">
        <v>932</v>
      </c>
      <c r="AB101" s="169" t="s">
        <v>932</v>
      </c>
      <c r="AC101" s="169" t="s">
        <v>932</v>
      </c>
      <c r="AD101" s="169" t="s">
        <v>932</v>
      </c>
      <c r="AE101" s="169" t="s">
        <v>932</v>
      </c>
      <c r="AF101" s="169" t="s">
        <v>932</v>
      </c>
      <c r="AG101" s="169" t="s">
        <v>932</v>
      </c>
      <c r="AH101" s="169" t="s">
        <v>932</v>
      </c>
      <c r="AI101" s="169" t="s">
        <v>932</v>
      </c>
      <c r="AJ101" s="169" t="s">
        <v>932</v>
      </c>
      <c r="AK101" s="169" t="s">
        <v>932</v>
      </c>
      <c r="AL101" s="169" t="s">
        <v>932</v>
      </c>
      <c r="AM101" s="169" t="s">
        <v>932</v>
      </c>
      <c r="AN101" s="169" t="s">
        <v>932</v>
      </c>
      <c r="AO101" s="169" t="s">
        <v>932</v>
      </c>
      <c r="AP101" s="169" t="s">
        <v>932</v>
      </c>
      <c r="AQ101" s="169" t="s">
        <v>932</v>
      </c>
      <c r="AR101" s="169" t="s">
        <v>932</v>
      </c>
      <c r="AS101" s="169" t="s">
        <v>932</v>
      </c>
      <c r="AT101" s="169" t="s">
        <v>932</v>
      </c>
      <c r="AU101" s="169" t="s">
        <v>932</v>
      </c>
      <c r="AV101" s="169" t="s">
        <v>932</v>
      </c>
      <c r="AW101" s="169" t="s">
        <v>932</v>
      </c>
      <c r="AX101" s="169" t="s">
        <v>932</v>
      </c>
      <c r="AY101" s="169" t="s">
        <v>932</v>
      </c>
      <c r="AZ101" s="169" t="s">
        <v>932</v>
      </c>
      <c r="BA101" s="169" t="s">
        <v>932</v>
      </c>
      <c r="BB101" s="169" t="s">
        <v>932</v>
      </c>
      <c r="BC101" s="169" t="s">
        <v>932</v>
      </c>
      <c r="BD101" s="169" t="s">
        <v>932</v>
      </c>
      <c r="BE101" s="169" t="s">
        <v>932</v>
      </c>
      <c r="BF101" s="169" t="s">
        <v>932</v>
      </c>
      <c r="BG101" s="169" t="s">
        <v>932</v>
      </c>
      <c r="BH101" s="169" t="s">
        <v>932</v>
      </c>
      <c r="BI101" s="169" t="s">
        <v>932</v>
      </c>
      <c r="BJ101" s="169" t="s">
        <v>932</v>
      </c>
      <c r="BK101" s="169" t="s">
        <v>932</v>
      </c>
      <c r="BL101" s="169" t="s">
        <v>932</v>
      </c>
      <c r="BM101" s="169" t="s">
        <v>932</v>
      </c>
      <c r="BN101" s="169" t="s">
        <v>932</v>
      </c>
      <c r="BO101" s="169" t="s">
        <v>932</v>
      </c>
      <c r="BP101" s="169" t="s">
        <v>932</v>
      </c>
      <c r="BQ101" s="169" t="s">
        <v>932</v>
      </c>
      <c r="BR101" s="169" t="s">
        <v>932</v>
      </c>
      <c r="BS101" s="169" t="s">
        <v>932</v>
      </c>
      <c r="BT101" s="169" t="s">
        <v>932</v>
      </c>
      <c r="BU101" s="169" t="s">
        <v>932</v>
      </c>
      <c r="BV101" s="169" t="s">
        <v>932</v>
      </c>
      <c r="BW101" s="169" t="s">
        <v>932</v>
      </c>
      <c r="BX101" s="169" t="s">
        <v>932</v>
      </c>
      <c r="BY101" s="169" t="s">
        <v>932</v>
      </c>
      <c r="BZ101" s="169" t="s">
        <v>932</v>
      </c>
      <c r="CA101" s="169" t="s">
        <v>932</v>
      </c>
      <c r="CB101" s="169" t="s">
        <v>932</v>
      </c>
      <c r="CC101" s="169" t="s">
        <v>932</v>
      </c>
      <c r="CD101" s="169" t="s">
        <v>932</v>
      </c>
    </row>
    <row x14ac:dyDescent="0.25" r="102" customHeight="1" ht="18.75">
      <c r="A102" s="1"/>
      <c r="B102" s="1050">
        <v>19</v>
      </c>
      <c r="C102" s="1049" t="s">
        <v>1060</v>
      </c>
      <c r="D102" s="1049" t="s">
        <v>859</v>
      </c>
      <c r="E102" s="1049" t="s">
        <v>1061</v>
      </c>
      <c r="F102" s="1049" t="s">
        <v>1062</v>
      </c>
      <c r="G102" s="1049" t="s">
        <v>1063</v>
      </c>
      <c r="H102" s="1049" t="s">
        <v>1064</v>
      </c>
      <c r="I102" s="1049" t="s">
        <v>1065</v>
      </c>
      <c r="J102" s="1049" t="s">
        <v>1066</v>
      </c>
      <c r="K102" s="1049" t="s">
        <v>1067</v>
      </c>
      <c r="L102" s="1049" t="s">
        <v>828</v>
      </c>
      <c r="M102" s="169" t="s">
        <v>828</v>
      </c>
      <c r="N102" s="169" t="s">
        <v>828</v>
      </c>
      <c r="O102" s="169" t="s">
        <v>828</v>
      </c>
      <c r="P102" s="169" t="s">
        <v>828</v>
      </c>
      <c r="Q102" s="169" t="s">
        <v>828</v>
      </c>
      <c r="R102" s="169" t="s">
        <v>828</v>
      </c>
      <c r="S102" s="169" t="s">
        <v>828</v>
      </c>
      <c r="T102" s="169" t="s">
        <v>828</v>
      </c>
      <c r="U102" s="169" t="s">
        <v>828</v>
      </c>
      <c r="V102" s="169" t="s">
        <v>828</v>
      </c>
      <c r="W102" s="169" t="s">
        <v>828</v>
      </c>
      <c r="X102" s="169" t="s">
        <v>828</v>
      </c>
      <c r="Y102" s="169" t="s">
        <v>828</v>
      </c>
      <c r="Z102" s="169" t="s">
        <v>828</v>
      </c>
      <c r="AA102" s="169" t="s">
        <v>828</v>
      </c>
      <c r="AB102" s="169" t="s">
        <v>828</v>
      </c>
      <c r="AC102" s="169" t="s">
        <v>828</v>
      </c>
      <c r="AD102" s="169" t="s">
        <v>828</v>
      </c>
      <c r="AE102" s="169" t="s">
        <v>828</v>
      </c>
      <c r="AF102" s="169" t="s">
        <v>828</v>
      </c>
      <c r="AG102" s="169" t="s">
        <v>828</v>
      </c>
      <c r="AH102" s="169" t="s">
        <v>828</v>
      </c>
      <c r="AI102" s="169" t="s">
        <v>828</v>
      </c>
      <c r="AJ102" s="169" t="s">
        <v>828</v>
      </c>
      <c r="AK102" s="169" t="s">
        <v>828</v>
      </c>
      <c r="AL102" s="169" t="s">
        <v>828</v>
      </c>
      <c r="AM102" s="169" t="s">
        <v>828</v>
      </c>
      <c r="AN102" s="169" t="s">
        <v>828</v>
      </c>
      <c r="AO102" s="169" t="s">
        <v>828</v>
      </c>
      <c r="AP102" s="169" t="s">
        <v>828</v>
      </c>
      <c r="AQ102" s="169" t="s">
        <v>828</v>
      </c>
      <c r="AR102" s="169" t="s">
        <v>828</v>
      </c>
      <c r="AS102" s="169" t="s">
        <v>828</v>
      </c>
      <c r="AT102" s="169" t="s">
        <v>828</v>
      </c>
      <c r="AU102" s="169" t="s">
        <v>828</v>
      </c>
      <c r="AV102" s="169" t="s">
        <v>828</v>
      </c>
      <c r="AW102" s="169" t="s">
        <v>828</v>
      </c>
      <c r="AX102" s="169" t="s">
        <v>828</v>
      </c>
      <c r="AY102" s="169" t="s">
        <v>828</v>
      </c>
      <c r="AZ102" s="169" t="s">
        <v>828</v>
      </c>
      <c r="BA102" s="169" t="s">
        <v>828</v>
      </c>
      <c r="BB102" s="169" t="s">
        <v>828</v>
      </c>
      <c r="BC102" s="169" t="s">
        <v>828</v>
      </c>
      <c r="BD102" s="169" t="s">
        <v>828</v>
      </c>
      <c r="BE102" s="169" t="s">
        <v>828</v>
      </c>
      <c r="BF102" s="169" t="s">
        <v>828</v>
      </c>
      <c r="BG102" s="169" t="s">
        <v>828</v>
      </c>
      <c r="BH102" s="169" t="s">
        <v>828</v>
      </c>
      <c r="BI102" s="169" t="s">
        <v>828</v>
      </c>
      <c r="BJ102" s="169" t="s">
        <v>828</v>
      </c>
      <c r="BK102" s="169" t="s">
        <v>828</v>
      </c>
      <c r="BL102" s="169" t="s">
        <v>828</v>
      </c>
      <c r="BM102" s="169" t="s">
        <v>828</v>
      </c>
      <c r="BN102" s="169" t="s">
        <v>828</v>
      </c>
      <c r="BO102" s="169" t="s">
        <v>828</v>
      </c>
      <c r="BP102" s="169" t="s">
        <v>828</v>
      </c>
      <c r="BQ102" s="169" t="s">
        <v>828</v>
      </c>
      <c r="BR102" s="169" t="s">
        <v>828</v>
      </c>
      <c r="BS102" s="169" t="s">
        <v>828</v>
      </c>
      <c r="BT102" s="169" t="s">
        <v>828</v>
      </c>
      <c r="BU102" s="169" t="s">
        <v>828</v>
      </c>
      <c r="BV102" s="169" t="s">
        <v>828</v>
      </c>
      <c r="BW102" s="169" t="s">
        <v>828</v>
      </c>
      <c r="BX102" s="169" t="s">
        <v>828</v>
      </c>
      <c r="BY102" s="169" t="s">
        <v>828</v>
      </c>
      <c r="BZ102" s="169" t="s">
        <v>828</v>
      </c>
      <c r="CA102" s="169" t="s">
        <v>828</v>
      </c>
      <c r="CB102" s="169" t="s">
        <v>828</v>
      </c>
      <c r="CC102" s="169" t="s">
        <v>828</v>
      </c>
      <c r="CD102" s="169" t="s">
        <v>828</v>
      </c>
    </row>
    <row x14ac:dyDescent="0.25" r="103" customHeight="1" ht="18.75">
      <c r="A103" s="1"/>
      <c r="B103" s="1050">
        <v>18</v>
      </c>
      <c r="C103" s="1049" t="s">
        <v>845</v>
      </c>
      <c r="D103" s="1049" t="s">
        <v>753</v>
      </c>
      <c r="E103" s="1049" t="s">
        <v>1068</v>
      </c>
      <c r="F103" s="1049" t="s">
        <v>985</v>
      </c>
      <c r="G103" s="1049" t="s">
        <v>867</v>
      </c>
      <c r="H103" s="1049" t="s">
        <v>1069</v>
      </c>
      <c r="I103" s="1049" t="s">
        <v>620</v>
      </c>
      <c r="J103" s="1049" t="s">
        <v>1070</v>
      </c>
      <c r="K103" s="1049" t="s">
        <v>1071</v>
      </c>
      <c r="L103" s="1049" t="s">
        <v>1046</v>
      </c>
      <c r="M103" s="169" t="s">
        <v>1046</v>
      </c>
      <c r="N103" s="169" t="s">
        <v>1046</v>
      </c>
      <c r="O103" s="169" t="s">
        <v>1046</v>
      </c>
      <c r="P103" s="169" t="s">
        <v>1046</v>
      </c>
      <c r="Q103" s="169" t="s">
        <v>1046</v>
      </c>
      <c r="R103" s="169" t="s">
        <v>1046</v>
      </c>
      <c r="S103" s="169" t="s">
        <v>1046</v>
      </c>
      <c r="T103" s="169" t="s">
        <v>1046</v>
      </c>
      <c r="U103" s="169" t="s">
        <v>1046</v>
      </c>
      <c r="V103" s="169" t="s">
        <v>1046</v>
      </c>
      <c r="W103" s="169" t="s">
        <v>1046</v>
      </c>
      <c r="X103" s="169" t="s">
        <v>1046</v>
      </c>
      <c r="Y103" s="169" t="s">
        <v>1046</v>
      </c>
      <c r="Z103" s="169" t="s">
        <v>1046</v>
      </c>
      <c r="AA103" s="169" t="s">
        <v>1046</v>
      </c>
      <c r="AB103" s="169" t="s">
        <v>1046</v>
      </c>
      <c r="AC103" s="169" t="s">
        <v>1046</v>
      </c>
      <c r="AD103" s="169" t="s">
        <v>1046</v>
      </c>
      <c r="AE103" s="169" t="s">
        <v>1046</v>
      </c>
      <c r="AF103" s="169" t="s">
        <v>1046</v>
      </c>
      <c r="AG103" s="169" t="s">
        <v>1046</v>
      </c>
      <c r="AH103" s="169" t="s">
        <v>1046</v>
      </c>
      <c r="AI103" s="169" t="s">
        <v>1046</v>
      </c>
      <c r="AJ103" s="169" t="s">
        <v>1046</v>
      </c>
      <c r="AK103" s="169" t="s">
        <v>1046</v>
      </c>
      <c r="AL103" s="169" t="s">
        <v>1046</v>
      </c>
      <c r="AM103" s="169" t="s">
        <v>1046</v>
      </c>
      <c r="AN103" s="169" t="s">
        <v>1046</v>
      </c>
      <c r="AO103" s="169" t="s">
        <v>1046</v>
      </c>
      <c r="AP103" s="169" t="s">
        <v>1046</v>
      </c>
      <c r="AQ103" s="169" t="s">
        <v>1046</v>
      </c>
      <c r="AR103" s="169" t="s">
        <v>1046</v>
      </c>
      <c r="AS103" s="169" t="s">
        <v>1046</v>
      </c>
      <c r="AT103" s="169" t="s">
        <v>1046</v>
      </c>
      <c r="AU103" s="169" t="s">
        <v>1046</v>
      </c>
      <c r="AV103" s="169" t="s">
        <v>1046</v>
      </c>
      <c r="AW103" s="169" t="s">
        <v>1046</v>
      </c>
      <c r="AX103" s="169" t="s">
        <v>1046</v>
      </c>
      <c r="AY103" s="169" t="s">
        <v>1046</v>
      </c>
      <c r="AZ103" s="169" t="s">
        <v>1046</v>
      </c>
      <c r="BA103" s="169" t="s">
        <v>1046</v>
      </c>
      <c r="BB103" s="169" t="s">
        <v>1046</v>
      </c>
      <c r="BC103" s="169" t="s">
        <v>1046</v>
      </c>
      <c r="BD103" s="169" t="s">
        <v>1046</v>
      </c>
      <c r="BE103" s="169" t="s">
        <v>1046</v>
      </c>
      <c r="BF103" s="169" t="s">
        <v>1046</v>
      </c>
      <c r="BG103" s="169" t="s">
        <v>1046</v>
      </c>
      <c r="BH103" s="169" t="s">
        <v>1046</v>
      </c>
      <c r="BI103" s="169" t="s">
        <v>1046</v>
      </c>
      <c r="BJ103" s="169" t="s">
        <v>1046</v>
      </c>
      <c r="BK103" s="169" t="s">
        <v>1046</v>
      </c>
      <c r="BL103" s="169" t="s">
        <v>1046</v>
      </c>
      <c r="BM103" s="169" t="s">
        <v>1046</v>
      </c>
      <c r="BN103" s="169" t="s">
        <v>1046</v>
      </c>
      <c r="BO103" s="169" t="s">
        <v>1046</v>
      </c>
      <c r="BP103" s="169" t="s">
        <v>1046</v>
      </c>
      <c r="BQ103" s="169" t="s">
        <v>1046</v>
      </c>
      <c r="BR103" s="169" t="s">
        <v>1046</v>
      </c>
      <c r="BS103" s="169" t="s">
        <v>1046</v>
      </c>
      <c r="BT103" s="169" t="s">
        <v>1046</v>
      </c>
      <c r="BU103" s="169" t="s">
        <v>1046</v>
      </c>
      <c r="BV103" s="169" t="s">
        <v>1046</v>
      </c>
      <c r="BW103" s="169" t="s">
        <v>1046</v>
      </c>
      <c r="BX103" s="169" t="s">
        <v>1046</v>
      </c>
      <c r="BY103" s="169" t="s">
        <v>1046</v>
      </c>
      <c r="BZ103" s="169" t="s">
        <v>1046</v>
      </c>
      <c r="CA103" s="169" t="s">
        <v>1046</v>
      </c>
      <c r="CB103" s="169" t="s">
        <v>1046</v>
      </c>
      <c r="CC103" s="169" t="s">
        <v>1046</v>
      </c>
      <c r="CD103" s="169" t="s">
        <v>1046</v>
      </c>
    </row>
    <row x14ac:dyDescent="0.25" r="104" customHeight="1" ht="18.75">
      <c r="A104" s="1"/>
      <c r="B104" s="1050">
        <v>17</v>
      </c>
      <c r="C104" s="1049" t="s">
        <v>901</v>
      </c>
      <c r="D104" s="1049" t="s">
        <v>677</v>
      </c>
      <c r="E104" s="1049" t="s">
        <v>1006</v>
      </c>
      <c r="F104" s="1049" t="s">
        <v>1072</v>
      </c>
      <c r="G104" s="1049" t="s">
        <v>1073</v>
      </c>
      <c r="H104" s="1049" t="s">
        <v>1074</v>
      </c>
      <c r="I104" s="1049" t="s">
        <v>1075</v>
      </c>
      <c r="J104" s="1049" t="s">
        <v>609</v>
      </c>
      <c r="K104" s="1049" t="s">
        <v>1076</v>
      </c>
      <c r="L104" s="1049" t="s">
        <v>1077</v>
      </c>
      <c r="M104" s="169" t="s">
        <v>1077</v>
      </c>
      <c r="N104" s="169" t="s">
        <v>1077</v>
      </c>
      <c r="O104" s="169" t="s">
        <v>1077</v>
      </c>
      <c r="P104" s="169" t="s">
        <v>1077</v>
      </c>
      <c r="Q104" s="169" t="s">
        <v>1077</v>
      </c>
      <c r="R104" s="169" t="s">
        <v>1077</v>
      </c>
      <c r="S104" s="169" t="s">
        <v>1077</v>
      </c>
      <c r="T104" s="169" t="s">
        <v>1077</v>
      </c>
      <c r="U104" s="169" t="s">
        <v>1077</v>
      </c>
      <c r="V104" s="169" t="s">
        <v>1077</v>
      </c>
      <c r="W104" s="169" t="s">
        <v>1077</v>
      </c>
      <c r="X104" s="169" t="s">
        <v>1077</v>
      </c>
      <c r="Y104" s="169" t="s">
        <v>1077</v>
      </c>
      <c r="Z104" s="169" t="s">
        <v>1077</v>
      </c>
      <c r="AA104" s="169" t="s">
        <v>1077</v>
      </c>
      <c r="AB104" s="169" t="s">
        <v>1077</v>
      </c>
      <c r="AC104" s="169" t="s">
        <v>1077</v>
      </c>
      <c r="AD104" s="169" t="s">
        <v>1077</v>
      </c>
      <c r="AE104" s="169" t="s">
        <v>1077</v>
      </c>
      <c r="AF104" s="169" t="s">
        <v>1077</v>
      </c>
      <c r="AG104" s="169" t="s">
        <v>1077</v>
      </c>
      <c r="AH104" s="169" t="s">
        <v>1077</v>
      </c>
      <c r="AI104" s="169" t="s">
        <v>1077</v>
      </c>
      <c r="AJ104" s="169" t="s">
        <v>1077</v>
      </c>
      <c r="AK104" s="169" t="s">
        <v>1077</v>
      </c>
      <c r="AL104" s="169" t="s">
        <v>1077</v>
      </c>
      <c r="AM104" s="169" t="s">
        <v>1077</v>
      </c>
      <c r="AN104" s="169" t="s">
        <v>1077</v>
      </c>
      <c r="AO104" s="169" t="s">
        <v>1077</v>
      </c>
      <c r="AP104" s="169" t="s">
        <v>1077</v>
      </c>
      <c r="AQ104" s="169" t="s">
        <v>1077</v>
      </c>
      <c r="AR104" s="169" t="s">
        <v>1077</v>
      </c>
      <c r="AS104" s="169" t="s">
        <v>1077</v>
      </c>
      <c r="AT104" s="169" t="s">
        <v>1077</v>
      </c>
      <c r="AU104" s="169" t="s">
        <v>1077</v>
      </c>
      <c r="AV104" s="169" t="s">
        <v>1077</v>
      </c>
      <c r="AW104" s="169" t="s">
        <v>1077</v>
      </c>
      <c r="AX104" s="169" t="s">
        <v>1077</v>
      </c>
      <c r="AY104" s="169" t="s">
        <v>1077</v>
      </c>
      <c r="AZ104" s="169" t="s">
        <v>1077</v>
      </c>
      <c r="BA104" s="169" t="s">
        <v>1077</v>
      </c>
      <c r="BB104" s="169" t="s">
        <v>1077</v>
      </c>
      <c r="BC104" s="169" t="s">
        <v>1077</v>
      </c>
      <c r="BD104" s="169" t="s">
        <v>1077</v>
      </c>
      <c r="BE104" s="169" t="s">
        <v>1077</v>
      </c>
      <c r="BF104" s="169" t="s">
        <v>1077</v>
      </c>
      <c r="BG104" s="169" t="s">
        <v>1077</v>
      </c>
      <c r="BH104" s="169" t="s">
        <v>1077</v>
      </c>
      <c r="BI104" s="169" t="s">
        <v>1077</v>
      </c>
      <c r="BJ104" s="169" t="s">
        <v>1077</v>
      </c>
      <c r="BK104" s="169" t="s">
        <v>1077</v>
      </c>
      <c r="BL104" s="169" t="s">
        <v>1077</v>
      </c>
      <c r="BM104" s="169" t="s">
        <v>1077</v>
      </c>
      <c r="BN104" s="169" t="s">
        <v>1077</v>
      </c>
      <c r="BO104" s="169" t="s">
        <v>1077</v>
      </c>
      <c r="BP104" s="169" t="s">
        <v>1077</v>
      </c>
      <c r="BQ104" s="169" t="s">
        <v>1077</v>
      </c>
      <c r="BR104" s="169" t="s">
        <v>1077</v>
      </c>
      <c r="BS104" s="169" t="s">
        <v>1077</v>
      </c>
      <c r="BT104" s="169" t="s">
        <v>1077</v>
      </c>
      <c r="BU104" s="169" t="s">
        <v>1077</v>
      </c>
      <c r="BV104" s="169" t="s">
        <v>1077</v>
      </c>
      <c r="BW104" s="169" t="s">
        <v>1077</v>
      </c>
      <c r="BX104" s="169" t="s">
        <v>1077</v>
      </c>
      <c r="BY104" s="169" t="s">
        <v>1077</v>
      </c>
      <c r="BZ104" s="169" t="s">
        <v>1077</v>
      </c>
      <c r="CA104" s="169" t="s">
        <v>1077</v>
      </c>
      <c r="CB104" s="169" t="s">
        <v>1077</v>
      </c>
      <c r="CC104" s="169" t="s">
        <v>1077</v>
      </c>
      <c r="CD104" s="169" t="s">
        <v>1077</v>
      </c>
    </row>
    <row x14ac:dyDescent="0.25" r="105" customHeight="1" ht="18.75">
      <c r="A105" s="1"/>
      <c r="B105" s="1050">
        <v>16</v>
      </c>
      <c r="C105" s="1049" t="s">
        <v>1030</v>
      </c>
      <c r="D105" s="1049" t="s">
        <v>776</v>
      </c>
      <c r="E105" s="1049" t="s">
        <v>659</v>
      </c>
      <c r="F105" s="1049" t="s">
        <v>989</v>
      </c>
      <c r="G105" s="1049" t="s">
        <v>832</v>
      </c>
      <c r="H105" s="1049" t="s">
        <v>629</v>
      </c>
      <c r="I105" s="1049" t="s">
        <v>1001</v>
      </c>
      <c r="J105" s="1049" t="s">
        <v>973</v>
      </c>
      <c r="K105" s="1049" t="s">
        <v>662</v>
      </c>
      <c r="L105" s="1049" t="s">
        <v>1078</v>
      </c>
      <c r="M105" s="169" t="s">
        <v>1078</v>
      </c>
      <c r="N105" s="169" t="s">
        <v>1078</v>
      </c>
      <c r="O105" s="169" t="s">
        <v>1078</v>
      </c>
      <c r="P105" s="169" t="s">
        <v>1078</v>
      </c>
      <c r="Q105" s="169" t="s">
        <v>1078</v>
      </c>
      <c r="R105" s="169" t="s">
        <v>1078</v>
      </c>
      <c r="S105" s="169" t="s">
        <v>1078</v>
      </c>
      <c r="T105" s="169" t="s">
        <v>1078</v>
      </c>
      <c r="U105" s="169" t="s">
        <v>1078</v>
      </c>
      <c r="V105" s="169" t="s">
        <v>1078</v>
      </c>
      <c r="W105" s="169" t="s">
        <v>1078</v>
      </c>
      <c r="X105" s="169" t="s">
        <v>1078</v>
      </c>
      <c r="Y105" s="169" t="s">
        <v>1078</v>
      </c>
      <c r="Z105" s="169" t="s">
        <v>1078</v>
      </c>
      <c r="AA105" s="169" t="s">
        <v>1078</v>
      </c>
      <c r="AB105" s="169" t="s">
        <v>1078</v>
      </c>
      <c r="AC105" s="169" t="s">
        <v>1078</v>
      </c>
      <c r="AD105" s="169" t="s">
        <v>1078</v>
      </c>
      <c r="AE105" s="169" t="s">
        <v>1078</v>
      </c>
      <c r="AF105" s="169" t="s">
        <v>1078</v>
      </c>
      <c r="AG105" s="169" t="s">
        <v>1078</v>
      </c>
      <c r="AH105" s="169" t="s">
        <v>1078</v>
      </c>
      <c r="AI105" s="169" t="s">
        <v>1078</v>
      </c>
      <c r="AJ105" s="169" t="s">
        <v>1078</v>
      </c>
      <c r="AK105" s="169" t="s">
        <v>1078</v>
      </c>
      <c r="AL105" s="169" t="s">
        <v>1078</v>
      </c>
      <c r="AM105" s="169" t="s">
        <v>1078</v>
      </c>
      <c r="AN105" s="169" t="s">
        <v>1078</v>
      </c>
      <c r="AO105" s="169" t="s">
        <v>1078</v>
      </c>
      <c r="AP105" s="169" t="s">
        <v>1078</v>
      </c>
      <c r="AQ105" s="169" t="s">
        <v>1078</v>
      </c>
      <c r="AR105" s="169" t="s">
        <v>1078</v>
      </c>
      <c r="AS105" s="169" t="s">
        <v>1078</v>
      </c>
      <c r="AT105" s="169" t="s">
        <v>1078</v>
      </c>
      <c r="AU105" s="169" t="s">
        <v>1078</v>
      </c>
      <c r="AV105" s="169" t="s">
        <v>1078</v>
      </c>
      <c r="AW105" s="169" t="s">
        <v>1078</v>
      </c>
      <c r="AX105" s="169" t="s">
        <v>1078</v>
      </c>
      <c r="AY105" s="169" t="s">
        <v>1078</v>
      </c>
      <c r="AZ105" s="169" t="s">
        <v>1078</v>
      </c>
      <c r="BA105" s="169" t="s">
        <v>1078</v>
      </c>
      <c r="BB105" s="169" t="s">
        <v>1078</v>
      </c>
      <c r="BC105" s="169" t="s">
        <v>1078</v>
      </c>
      <c r="BD105" s="169" t="s">
        <v>1078</v>
      </c>
      <c r="BE105" s="169" t="s">
        <v>1078</v>
      </c>
      <c r="BF105" s="169" t="s">
        <v>1078</v>
      </c>
      <c r="BG105" s="169" t="s">
        <v>1078</v>
      </c>
      <c r="BH105" s="169" t="s">
        <v>1078</v>
      </c>
      <c r="BI105" s="169" t="s">
        <v>1078</v>
      </c>
      <c r="BJ105" s="169" t="s">
        <v>1078</v>
      </c>
      <c r="BK105" s="169" t="s">
        <v>1078</v>
      </c>
      <c r="BL105" s="169" t="s">
        <v>1078</v>
      </c>
      <c r="BM105" s="169" t="s">
        <v>1078</v>
      </c>
      <c r="BN105" s="169" t="s">
        <v>1078</v>
      </c>
      <c r="BO105" s="169" t="s">
        <v>1078</v>
      </c>
      <c r="BP105" s="169" t="s">
        <v>1078</v>
      </c>
      <c r="BQ105" s="169" t="s">
        <v>1078</v>
      </c>
      <c r="BR105" s="169" t="s">
        <v>1078</v>
      </c>
      <c r="BS105" s="169" t="s">
        <v>1078</v>
      </c>
      <c r="BT105" s="169" t="s">
        <v>1078</v>
      </c>
      <c r="BU105" s="169" t="s">
        <v>1078</v>
      </c>
      <c r="BV105" s="169" t="s">
        <v>1078</v>
      </c>
      <c r="BW105" s="169" t="s">
        <v>1078</v>
      </c>
      <c r="BX105" s="169" t="s">
        <v>1078</v>
      </c>
      <c r="BY105" s="169" t="s">
        <v>1078</v>
      </c>
      <c r="BZ105" s="169" t="s">
        <v>1078</v>
      </c>
      <c r="CA105" s="169" t="s">
        <v>1078</v>
      </c>
      <c r="CB105" s="169" t="s">
        <v>1078</v>
      </c>
      <c r="CC105" s="169" t="s">
        <v>1078</v>
      </c>
      <c r="CD105" s="169" t="s">
        <v>1078</v>
      </c>
    </row>
    <row x14ac:dyDescent="0.25" r="106" customHeight="1" ht="18.75">
      <c r="A106" s="1"/>
      <c r="B106" s="1050">
        <v>15</v>
      </c>
      <c r="C106" s="1049" t="s">
        <v>695</v>
      </c>
      <c r="D106" s="1049" t="s">
        <v>696</v>
      </c>
      <c r="E106" s="1049" t="s">
        <v>697</v>
      </c>
      <c r="F106" s="1049" t="s">
        <v>899</v>
      </c>
      <c r="G106" s="1049" t="s">
        <v>1079</v>
      </c>
      <c r="H106" s="1049" t="s">
        <v>1080</v>
      </c>
      <c r="I106" s="1049" t="s">
        <v>1081</v>
      </c>
      <c r="J106" s="1049" t="s">
        <v>720</v>
      </c>
      <c r="K106" s="1049" t="s">
        <v>1082</v>
      </c>
      <c r="L106" s="1049" t="s">
        <v>1083</v>
      </c>
      <c r="M106" s="169" t="s">
        <v>1083</v>
      </c>
      <c r="N106" s="169" t="s">
        <v>1083</v>
      </c>
      <c r="O106" s="169" t="s">
        <v>1083</v>
      </c>
      <c r="P106" s="169" t="s">
        <v>1083</v>
      </c>
      <c r="Q106" s="169" t="s">
        <v>1083</v>
      </c>
      <c r="R106" s="169" t="s">
        <v>1083</v>
      </c>
      <c r="S106" s="169" t="s">
        <v>1083</v>
      </c>
      <c r="T106" s="169" t="s">
        <v>1083</v>
      </c>
      <c r="U106" s="169" t="s">
        <v>1083</v>
      </c>
      <c r="V106" s="169" t="s">
        <v>1083</v>
      </c>
      <c r="W106" s="169" t="s">
        <v>1083</v>
      </c>
      <c r="X106" s="169" t="s">
        <v>1083</v>
      </c>
      <c r="Y106" s="169" t="s">
        <v>1083</v>
      </c>
      <c r="Z106" s="169" t="s">
        <v>1083</v>
      </c>
      <c r="AA106" s="169" t="s">
        <v>1083</v>
      </c>
      <c r="AB106" s="169" t="s">
        <v>1083</v>
      </c>
      <c r="AC106" s="169" t="s">
        <v>1083</v>
      </c>
      <c r="AD106" s="169" t="s">
        <v>1083</v>
      </c>
      <c r="AE106" s="169" t="s">
        <v>1083</v>
      </c>
      <c r="AF106" s="169" t="s">
        <v>1083</v>
      </c>
      <c r="AG106" s="169" t="s">
        <v>1083</v>
      </c>
      <c r="AH106" s="169" t="s">
        <v>1083</v>
      </c>
      <c r="AI106" s="169" t="s">
        <v>1083</v>
      </c>
      <c r="AJ106" s="169" t="s">
        <v>1083</v>
      </c>
      <c r="AK106" s="169" t="s">
        <v>1083</v>
      </c>
      <c r="AL106" s="169" t="s">
        <v>1083</v>
      </c>
      <c r="AM106" s="169" t="s">
        <v>1083</v>
      </c>
      <c r="AN106" s="169" t="s">
        <v>1083</v>
      </c>
      <c r="AO106" s="169" t="s">
        <v>1083</v>
      </c>
      <c r="AP106" s="169" t="s">
        <v>1083</v>
      </c>
      <c r="AQ106" s="169" t="s">
        <v>1083</v>
      </c>
      <c r="AR106" s="169" t="s">
        <v>1083</v>
      </c>
      <c r="AS106" s="169" t="s">
        <v>1083</v>
      </c>
      <c r="AT106" s="169" t="s">
        <v>1083</v>
      </c>
      <c r="AU106" s="169" t="s">
        <v>1083</v>
      </c>
      <c r="AV106" s="169" t="s">
        <v>1083</v>
      </c>
      <c r="AW106" s="169" t="s">
        <v>1083</v>
      </c>
      <c r="AX106" s="169" t="s">
        <v>1083</v>
      </c>
      <c r="AY106" s="169" t="s">
        <v>1083</v>
      </c>
      <c r="AZ106" s="169" t="s">
        <v>1083</v>
      </c>
      <c r="BA106" s="169" t="s">
        <v>1083</v>
      </c>
      <c r="BB106" s="169" t="s">
        <v>1083</v>
      </c>
      <c r="BC106" s="169" t="s">
        <v>1083</v>
      </c>
      <c r="BD106" s="169" t="s">
        <v>1083</v>
      </c>
      <c r="BE106" s="169" t="s">
        <v>1083</v>
      </c>
      <c r="BF106" s="169" t="s">
        <v>1083</v>
      </c>
      <c r="BG106" s="169" t="s">
        <v>1083</v>
      </c>
      <c r="BH106" s="169" t="s">
        <v>1083</v>
      </c>
      <c r="BI106" s="169" t="s">
        <v>1083</v>
      </c>
      <c r="BJ106" s="169" t="s">
        <v>1083</v>
      </c>
      <c r="BK106" s="169" t="s">
        <v>1083</v>
      </c>
      <c r="BL106" s="169" t="s">
        <v>1083</v>
      </c>
      <c r="BM106" s="169" t="s">
        <v>1083</v>
      </c>
      <c r="BN106" s="169" t="s">
        <v>1083</v>
      </c>
      <c r="BO106" s="169" t="s">
        <v>1083</v>
      </c>
      <c r="BP106" s="169" t="s">
        <v>1083</v>
      </c>
      <c r="BQ106" s="169" t="s">
        <v>1083</v>
      </c>
      <c r="BR106" s="169" t="s">
        <v>1083</v>
      </c>
      <c r="BS106" s="169" t="s">
        <v>1083</v>
      </c>
      <c r="BT106" s="169" t="s">
        <v>1083</v>
      </c>
      <c r="BU106" s="169" t="s">
        <v>1083</v>
      </c>
      <c r="BV106" s="169" t="s">
        <v>1083</v>
      </c>
      <c r="BW106" s="169" t="s">
        <v>1083</v>
      </c>
      <c r="BX106" s="169" t="s">
        <v>1083</v>
      </c>
      <c r="BY106" s="169" t="s">
        <v>1083</v>
      </c>
      <c r="BZ106" s="169" t="s">
        <v>1083</v>
      </c>
      <c r="CA106" s="169" t="s">
        <v>1083</v>
      </c>
      <c r="CB106" s="169" t="s">
        <v>1083</v>
      </c>
      <c r="CC106" s="169" t="s">
        <v>1083</v>
      </c>
      <c r="CD106" s="169" t="s">
        <v>1083</v>
      </c>
    </row>
    <row x14ac:dyDescent="0.25" r="107" customHeight="1" ht="18.75">
      <c r="A107" s="1"/>
      <c r="B107" s="1050">
        <v>14</v>
      </c>
      <c r="C107" s="1049" t="s">
        <v>919</v>
      </c>
      <c r="D107" s="1049" t="s">
        <v>793</v>
      </c>
      <c r="E107" s="1049" t="s">
        <v>735</v>
      </c>
      <c r="F107" s="1049" t="s">
        <v>776</v>
      </c>
      <c r="G107" s="1049" t="s">
        <v>1084</v>
      </c>
      <c r="H107" s="1049" t="s">
        <v>1085</v>
      </c>
      <c r="I107" s="1049" t="s">
        <v>1086</v>
      </c>
      <c r="J107" s="1049" t="s">
        <v>985</v>
      </c>
      <c r="K107" s="1049" t="s">
        <v>979</v>
      </c>
      <c r="L107" s="1049" t="s">
        <v>1087</v>
      </c>
      <c r="M107" s="169" t="s">
        <v>1087</v>
      </c>
      <c r="N107" s="169" t="s">
        <v>1087</v>
      </c>
      <c r="O107" s="169" t="s">
        <v>1087</v>
      </c>
      <c r="P107" s="169" t="s">
        <v>1087</v>
      </c>
      <c r="Q107" s="169" t="s">
        <v>1087</v>
      </c>
      <c r="R107" s="169" t="s">
        <v>1087</v>
      </c>
      <c r="S107" s="169" t="s">
        <v>1087</v>
      </c>
      <c r="T107" s="169" t="s">
        <v>1087</v>
      </c>
      <c r="U107" s="169" t="s">
        <v>1087</v>
      </c>
      <c r="V107" s="169" t="s">
        <v>1087</v>
      </c>
      <c r="W107" s="169" t="s">
        <v>1087</v>
      </c>
      <c r="X107" s="169" t="s">
        <v>1087</v>
      </c>
      <c r="Y107" s="169" t="s">
        <v>1087</v>
      </c>
      <c r="Z107" s="169" t="s">
        <v>1087</v>
      </c>
      <c r="AA107" s="169" t="s">
        <v>1087</v>
      </c>
      <c r="AB107" s="169" t="s">
        <v>1087</v>
      </c>
      <c r="AC107" s="169" t="s">
        <v>1087</v>
      </c>
      <c r="AD107" s="169" t="s">
        <v>1087</v>
      </c>
      <c r="AE107" s="169" t="s">
        <v>1087</v>
      </c>
      <c r="AF107" s="169" t="s">
        <v>1087</v>
      </c>
      <c r="AG107" s="169" t="s">
        <v>1087</v>
      </c>
      <c r="AH107" s="169" t="s">
        <v>1087</v>
      </c>
      <c r="AI107" s="169" t="s">
        <v>1087</v>
      </c>
      <c r="AJ107" s="169" t="s">
        <v>1087</v>
      </c>
      <c r="AK107" s="169" t="s">
        <v>1087</v>
      </c>
      <c r="AL107" s="169" t="s">
        <v>1087</v>
      </c>
      <c r="AM107" s="169" t="s">
        <v>1087</v>
      </c>
      <c r="AN107" s="169" t="s">
        <v>1087</v>
      </c>
      <c r="AO107" s="169" t="s">
        <v>1087</v>
      </c>
      <c r="AP107" s="169" t="s">
        <v>1087</v>
      </c>
      <c r="AQ107" s="169" t="s">
        <v>1087</v>
      </c>
      <c r="AR107" s="169" t="s">
        <v>1087</v>
      </c>
      <c r="AS107" s="169" t="s">
        <v>1087</v>
      </c>
      <c r="AT107" s="169" t="s">
        <v>1087</v>
      </c>
      <c r="AU107" s="169" t="s">
        <v>1087</v>
      </c>
      <c r="AV107" s="169" t="s">
        <v>1087</v>
      </c>
      <c r="AW107" s="169" t="s">
        <v>1087</v>
      </c>
      <c r="AX107" s="169" t="s">
        <v>1087</v>
      </c>
      <c r="AY107" s="169" t="s">
        <v>1087</v>
      </c>
      <c r="AZ107" s="169" t="s">
        <v>1087</v>
      </c>
      <c r="BA107" s="169" t="s">
        <v>1087</v>
      </c>
      <c r="BB107" s="169" t="s">
        <v>1087</v>
      </c>
      <c r="BC107" s="169" t="s">
        <v>1087</v>
      </c>
      <c r="BD107" s="169" t="s">
        <v>1087</v>
      </c>
      <c r="BE107" s="169" t="s">
        <v>1087</v>
      </c>
      <c r="BF107" s="169" t="s">
        <v>1087</v>
      </c>
      <c r="BG107" s="169" t="s">
        <v>1087</v>
      </c>
      <c r="BH107" s="169" t="s">
        <v>1087</v>
      </c>
      <c r="BI107" s="169" t="s">
        <v>1087</v>
      </c>
      <c r="BJ107" s="169" t="s">
        <v>1087</v>
      </c>
      <c r="BK107" s="169" t="s">
        <v>1087</v>
      </c>
      <c r="BL107" s="169" t="s">
        <v>1087</v>
      </c>
      <c r="BM107" s="169" t="s">
        <v>1087</v>
      </c>
      <c r="BN107" s="169" t="s">
        <v>1087</v>
      </c>
      <c r="BO107" s="169" t="s">
        <v>1087</v>
      </c>
      <c r="BP107" s="169" t="s">
        <v>1087</v>
      </c>
      <c r="BQ107" s="169" t="s">
        <v>1087</v>
      </c>
      <c r="BR107" s="169" t="s">
        <v>1087</v>
      </c>
      <c r="BS107" s="169" t="s">
        <v>1087</v>
      </c>
      <c r="BT107" s="169" t="s">
        <v>1087</v>
      </c>
      <c r="BU107" s="169" t="s">
        <v>1087</v>
      </c>
      <c r="BV107" s="169" t="s">
        <v>1087</v>
      </c>
      <c r="BW107" s="169" t="s">
        <v>1087</v>
      </c>
      <c r="BX107" s="169" t="s">
        <v>1087</v>
      </c>
      <c r="BY107" s="169" t="s">
        <v>1087</v>
      </c>
      <c r="BZ107" s="169" t="s">
        <v>1087</v>
      </c>
      <c r="CA107" s="169" t="s">
        <v>1087</v>
      </c>
      <c r="CB107" s="169" t="s">
        <v>1087</v>
      </c>
      <c r="CC107" s="169" t="s">
        <v>1087</v>
      </c>
      <c r="CD107" s="169" t="s">
        <v>1087</v>
      </c>
    </row>
    <row x14ac:dyDescent="0.25" r="108" customHeight="1" ht="18.75">
      <c r="A108" s="1"/>
      <c r="B108" s="1050">
        <v>13</v>
      </c>
      <c r="C108" s="1049" t="s">
        <v>1088</v>
      </c>
      <c r="D108" s="1049" t="s">
        <v>1089</v>
      </c>
      <c r="E108" s="1049" t="s">
        <v>715</v>
      </c>
      <c r="F108" s="1049" t="s">
        <v>744</v>
      </c>
      <c r="G108" s="1049" t="s">
        <v>1090</v>
      </c>
      <c r="H108" s="1049" t="s">
        <v>970</v>
      </c>
      <c r="I108" s="1049" t="s">
        <v>667</v>
      </c>
      <c r="J108" s="1049" t="s">
        <v>1072</v>
      </c>
      <c r="K108" s="1049" t="s">
        <v>1091</v>
      </c>
      <c r="L108" s="1049" t="s">
        <v>608</v>
      </c>
      <c r="M108" s="169" t="s">
        <v>608</v>
      </c>
      <c r="N108" s="169" t="s">
        <v>608</v>
      </c>
      <c r="O108" s="169" t="s">
        <v>608</v>
      </c>
      <c r="P108" s="169" t="s">
        <v>608</v>
      </c>
      <c r="Q108" s="169" t="s">
        <v>608</v>
      </c>
      <c r="R108" s="169" t="s">
        <v>608</v>
      </c>
      <c r="S108" s="169" t="s">
        <v>608</v>
      </c>
      <c r="T108" s="169" t="s">
        <v>608</v>
      </c>
      <c r="U108" s="169" t="s">
        <v>608</v>
      </c>
      <c r="V108" s="169" t="s">
        <v>608</v>
      </c>
      <c r="W108" s="169" t="s">
        <v>608</v>
      </c>
      <c r="X108" s="169" t="s">
        <v>608</v>
      </c>
      <c r="Y108" s="169" t="s">
        <v>608</v>
      </c>
      <c r="Z108" s="169" t="s">
        <v>608</v>
      </c>
      <c r="AA108" s="169" t="s">
        <v>608</v>
      </c>
      <c r="AB108" s="169" t="s">
        <v>608</v>
      </c>
      <c r="AC108" s="169" t="s">
        <v>608</v>
      </c>
      <c r="AD108" s="169" t="s">
        <v>608</v>
      </c>
      <c r="AE108" s="169" t="s">
        <v>608</v>
      </c>
      <c r="AF108" s="169" t="s">
        <v>608</v>
      </c>
      <c r="AG108" s="169" t="s">
        <v>608</v>
      </c>
      <c r="AH108" s="169" t="s">
        <v>608</v>
      </c>
      <c r="AI108" s="169" t="s">
        <v>608</v>
      </c>
      <c r="AJ108" s="169" t="s">
        <v>608</v>
      </c>
      <c r="AK108" s="169" t="s">
        <v>608</v>
      </c>
      <c r="AL108" s="169" t="s">
        <v>608</v>
      </c>
      <c r="AM108" s="169" t="s">
        <v>608</v>
      </c>
      <c r="AN108" s="169" t="s">
        <v>608</v>
      </c>
      <c r="AO108" s="169" t="s">
        <v>608</v>
      </c>
      <c r="AP108" s="169" t="s">
        <v>608</v>
      </c>
      <c r="AQ108" s="169" t="s">
        <v>608</v>
      </c>
      <c r="AR108" s="169" t="s">
        <v>608</v>
      </c>
      <c r="AS108" s="169" t="s">
        <v>608</v>
      </c>
      <c r="AT108" s="169" t="s">
        <v>608</v>
      </c>
      <c r="AU108" s="169" t="s">
        <v>608</v>
      </c>
      <c r="AV108" s="169" t="s">
        <v>608</v>
      </c>
      <c r="AW108" s="169" t="s">
        <v>608</v>
      </c>
      <c r="AX108" s="169" t="s">
        <v>608</v>
      </c>
      <c r="AY108" s="169" t="s">
        <v>608</v>
      </c>
      <c r="AZ108" s="169" t="s">
        <v>608</v>
      </c>
      <c r="BA108" s="169" t="s">
        <v>608</v>
      </c>
      <c r="BB108" s="169" t="s">
        <v>608</v>
      </c>
      <c r="BC108" s="169" t="s">
        <v>608</v>
      </c>
      <c r="BD108" s="169" t="s">
        <v>608</v>
      </c>
      <c r="BE108" s="169" t="s">
        <v>608</v>
      </c>
      <c r="BF108" s="169" t="s">
        <v>608</v>
      </c>
      <c r="BG108" s="169" t="s">
        <v>608</v>
      </c>
      <c r="BH108" s="169" t="s">
        <v>608</v>
      </c>
      <c r="BI108" s="169" t="s">
        <v>608</v>
      </c>
      <c r="BJ108" s="169" t="s">
        <v>608</v>
      </c>
      <c r="BK108" s="169" t="s">
        <v>608</v>
      </c>
      <c r="BL108" s="169" t="s">
        <v>608</v>
      </c>
      <c r="BM108" s="169" t="s">
        <v>608</v>
      </c>
      <c r="BN108" s="169" t="s">
        <v>608</v>
      </c>
      <c r="BO108" s="169" t="s">
        <v>608</v>
      </c>
      <c r="BP108" s="169" t="s">
        <v>608</v>
      </c>
      <c r="BQ108" s="169" t="s">
        <v>608</v>
      </c>
      <c r="BR108" s="169" t="s">
        <v>608</v>
      </c>
      <c r="BS108" s="169" t="s">
        <v>608</v>
      </c>
      <c r="BT108" s="169" t="s">
        <v>608</v>
      </c>
      <c r="BU108" s="169" t="s">
        <v>608</v>
      </c>
      <c r="BV108" s="169" t="s">
        <v>608</v>
      </c>
      <c r="BW108" s="169" t="s">
        <v>608</v>
      </c>
      <c r="BX108" s="169" t="s">
        <v>608</v>
      </c>
      <c r="BY108" s="169" t="s">
        <v>608</v>
      </c>
      <c r="BZ108" s="169" t="s">
        <v>608</v>
      </c>
      <c r="CA108" s="169" t="s">
        <v>608</v>
      </c>
      <c r="CB108" s="169" t="s">
        <v>608</v>
      </c>
      <c r="CC108" s="169" t="s">
        <v>608</v>
      </c>
      <c r="CD108" s="169" t="s">
        <v>608</v>
      </c>
    </row>
    <row x14ac:dyDescent="0.25" r="109" customHeight="1" ht="18.75">
      <c r="A109" s="1"/>
      <c r="B109" s="1050">
        <v>12</v>
      </c>
      <c r="C109" s="1049" t="s">
        <v>1092</v>
      </c>
      <c r="D109" s="1049" t="s">
        <v>1093</v>
      </c>
      <c r="E109" s="1049" t="s">
        <v>1094</v>
      </c>
      <c r="F109" s="1049" t="s">
        <v>760</v>
      </c>
      <c r="G109" s="1049" t="s">
        <v>735</v>
      </c>
      <c r="H109" s="1049" t="s">
        <v>752</v>
      </c>
      <c r="I109" s="1049" t="s">
        <v>846</v>
      </c>
      <c r="J109" s="1049" t="s">
        <v>824</v>
      </c>
      <c r="K109" s="1049" t="s">
        <v>859</v>
      </c>
      <c r="L109" s="1049" t="s">
        <v>996</v>
      </c>
      <c r="M109" s="169" t="s">
        <v>996</v>
      </c>
      <c r="N109" s="169" t="s">
        <v>996</v>
      </c>
      <c r="O109" s="169" t="s">
        <v>996</v>
      </c>
      <c r="P109" s="169" t="s">
        <v>996</v>
      </c>
      <c r="Q109" s="169" t="s">
        <v>996</v>
      </c>
      <c r="R109" s="169" t="s">
        <v>996</v>
      </c>
      <c r="S109" s="169" t="s">
        <v>996</v>
      </c>
      <c r="T109" s="169" t="s">
        <v>996</v>
      </c>
      <c r="U109" s="169" t="s">
        <v>996</v>
      </c>
      <c r="V109" s="169" t="s">
        <v>996</v>
      </c>
      <c r="W109" s="169" t="s">
        <v>996</v>
      </c>
      <c r="X109" s="169" t="s">
        <v>996</v>
      </c>
      <c r="Y109" s="169" t="s">
        <v>996</v>
      </c>
      <c r="Z109" s="169" t="s">
        <v>996</v>
      </c>
      <c r="AA109" s="169" t="s">
        <v>996</v>
      </c>
      <c r="AB109" s="169" t="s">
        <v>996</v>
      </c>
      <c r="AC109" s="169" t="s">
        <v>996</v>
      </c>
      <c r="AD109" s="169" t="s">
        <v>996</v>
      </c>
      <c r="AE109" s="169" t="s">
        <v>996</v>
      </c>
      <c r="AF109" s="169" t="s">
        <v>996</v>
      </c>
      <c r="AG109" s="169" t="s">
        <v>996</v>
      </c>
      <c r="AH109" s="169" t="s">
        <v>996</v>
      </c>
      <c r="AI109" s="169" t="s">
        <v>996</v>
      </c>
      <c r="AJ109" s="169" t="s">
        <v>996</v>
      </c>
      <c r="AK109" s="169" t="s">
        <v>996</v>
      </c>
      <c r="AL109" s="169" t="s">
        <v>996</v>
      </c>
      <c r="AM109" s="169" t="s">
        <v>996</v>
      </c>
      <c r="AN109" s="169" t="s">
        <v>996</v>
      </c>
      <c r="AO109" s="169" t="s">
        <v>996</v>
      </c>
      <c r="AP109" s="169" t="s">
        <v>996</v>
      </c>
      <c r="AQ109" s="169" t="s">
        <v>996</v>
      </c>
      <c r="AR109" s="169" t="s">
        <v>996</v>
      </c>
      <c r="AS109" s="169" t="s">
        <v>996</v>
      </c>
      <c r="AT109" s="169" t="s">
        <v>996</v>
      </c>
      <c r="AU109" s="169" t="s">
        <v>996</v>
      </c>
      <c r="AV109" s="169" t="s">
        <v>996</v>
      </c>
      <c r="AW109" s="169" t="s">
        <v>996</v>
      </c>
      <c r="AX109" s="169" t="s">
        <v>996</v>
      </c>
      <c r="AY109" s="169" t="s">
        <v>996</v>
      </c>
      <c r="AZ109" s="169" t="s">
        <v>996</v>
      </c>
      <c r="BA109" s="169" t="s">
        <v>996</v>
      </c>
      <c r="BB109" s="169" t="s">
        <v>996</v>
      </c>
      <c r="BC109" s="169" t="s">
        <v>996</v>
      </c>
      <c r="BD109" s="169" t="s">
        <v>996</v>
      </c>
      <c r="BE109" s="169" t="s">
        <v>996</v>
      </c>
      <c r="BF109" s="169" t="s">
        <v>996</v>
      </c>
      <c r="BG109" s="169" t="s">
        <v>996</v>
      </c>
      <c r="BH109" s="169" t="s">
        <v>996</v>
      </c>
      <c r="BI109" s="169" t="s">
        <v>996</v>
      </c>
      <c r="BJ109" s="169" t="s">
        <v>996</v>
      </c>
      <c r="BK109" s="169" t="s">
        <v>996</v>
      </c>
      <c r="BL109" s="169" t="s">
        <v>996</v>
      </c>
      <c r="BM109" s="169" t="s">
        <v>996</v>
      </c>
      <c r="BN109" s="169" t="s">
        <v>996</v>
      </c>
      <c r="BO109" s="169" t="s">
        <v>996</v>
      </c>
      <c r="BP109" s="169" t="s">
        <v>996</v>
      </c>
      <c r="BQ109" s="169" t="s">
        <v>996</v>
      </c>
      <c r="BR109" s="169" t="s">
        <v>996</v>
      </c>
      <c r="BS109" s="169" t="s">
        <v>996</v>
      </c>
      <c r="BT109" s="169" t="s">
        <v>996</v>
      </c>
      <c r="BU109" s="169" t="s">
        <v>996</v>
      </c>
      <c r="BV109" s="169" t="s">
        <v>996</v>
      </c>
      <c r="BW109" s="169" t="s">
        <v>996</v>
      </c>
      <c r="BX109" s="169" t="s">
        <v>996</v>
      </c>
      <c r="BY109" s="169" t="s">
        <v>996</v>
      </c>
      <c r="BZ109" s="169" t="s">
        <v>996</v>
      </c>
      <c r="CA109" s="169" t="s">
        <v>996</v>
      </c>
      <c r="CB109" s="169" t="s">
        <v>996</v>
      </c>
      <c r="CC109" s="169" t="s">
        <v>996</v>
      </c>
      <c r="CD109" s="169" t="s">
        <v>996</v>
      </c>
    </row>
    <row x14ac:dyDescent="0.25" r="110" customHeight="1" ht="18.75">
      <c r="A110" s="1"/>
      <c r="B110" s="1050">
        <v>11</v>
      </c>
      <c r="C110" s="1049" t="s">
        <v>905</v>
      </c>
      <c r="D110" s="1049" t="s">
        <v>1009</v>
      </c>
      <c r="E110" s="1049" t="s">
        <v>1022</v>
      </c>
      <c r="F110" s="1049" t="s">
        <v>1095</v>
      </c>
      <c r="G110" s="1049" t="s">
        <v>743</v>
      </c>
      <c r="H110" s="1049" t="s">
        <v>1023</v>
      </c>
      <c r="I110" s="1049" t="s">
        <v>726</v>
      </c>
      <c r="J110" s="1049" t="s">
        <v>1096</v>
      </c>
      <c r="K110" s="1049" t="s">
        <v>1097</v>
      </c>
      <c r="L110" s="1049" t="s">
        <v>984</v>
      </c>
      <c r="M110" s="169" t="s">
        <v>984</v>
      </c>
      <c r="N110" s="169" t="s">
        <v>984</v>
      </c>
      <c r="O110" s="169" t="s">
        <v>984</v>
      </c>
      <c r="P110" s="169" t="s">
        <v>984</v>
      </c>
      <c r="Q110" s="169" t="s">
        <v>984</v>
      </c>
      <c r="R110" s="169" t="s">
        <v>984</v>
      </c>
      <c r="S110" s="169" t="s">
        <v>984</v>
      </c>
      <c r="T110" s="169" t="s">
        <v>984</v>
      </c>
      <c r="U110" s="169" t="s">
        <v>984</v>
      </c>
      <c r="V110" s="169" t="s">
        <v>984</v>
      </c>
      <c r="W110" s="169" t="s">
        <v>984</v>
      </c>
      <c r="X110" s="169" t="s">
        <v>984</v>
      </c>
      <c r="Y110" s="169" t="s">
        <v>984</v>
      </c>
      <c r="Z110" s="169" t="s">
        <v>984</v>
      </c>
      <c r="AA110" s="169" t="s">
        <v>984</v>
      </c>
      <c r="AB110" s="169" t="s">
        <v>984</v>
      </c>
      <c r="AC110" s="169" t="s">
        <v>984</v>
      </c>
      <c r="AD110" s="169" t="s">
        <v>984</v>
      </c>
      <c r="AE110" s="169" t="s">
        <v>984</v>
      </c>
      <c r="AF110" s="169" t="s">
        <v>984</v>
      </c>
      <c r="AG110" s="169" t="s">
        <v>984</v>
      </c>
      <c r="AH110" s="169" t="s">
        <v>984</v>
      </c>
      <c r="AI110" s="169" t="s">
        <v>984</v>
      </c>
      <c r="AJ110" s="169" t="s">
        <v>984</v>
      </c>
      <c r="AK110" s="169" t="s">
        <v>984</v>
      </c>
      <c r="AL110" s="169" t="s">
        <v>984</v>
      </c>
      <c r="AM110" s="169" t="s">
        <v>984</v>
      </c>
      <c r="AN110" s="169" t="s">
        <v>984</v>
      </c>
      <c r="AO110" s="169" t="s">
        <v>984</v>
      </c>
      <c r="AP110" s="169" t="s">
        <v>984</v>
      </c>
      <c r="AQ110" s="169" t="s">
        <v>984</v>
      </c>
      <c r="AR110" s="169" t="s">
        <v>984</v>
      </c>
      <c r="AS110" s="169" t="s">
        <v>984</v>
      </c>
      <c r="AT110" s="169" t="s">
        <v>984</v>
      </c>
      <c r="AU110" s="169" t="s">
        <v>984</v>
      </c>
      <c r="AV110" s="169" t="s">
        <v>984</v>
      </c>
      <c r="AW110" s="169" t="s">
        <v>984</v>
      </c>
      <c r="AX110" s="169" t="s">
        <v>984</v>
      </c>
      <c r="AY110" s="169" t="s">
        <v>984</v>
      </c>
      <c r="AZ110" s="169" t="s">
        <v>984</v>
      </c>
      <c r="BA110" s="169" t="s">
        <v>984</v>
      </c>
      <c r="BB110" s="169" t="s">
        <v>984</v>
      </c>
      <c r="BC110" s="169" t="s">
        <v>984</v>
      </c>
      <c r="BD110" s="169" t="s">
        <v>984</v>
      </c>
      <c r="BE110" s="169" t="s">
        <v>984</v>
      </c>
      <c r="BF110" s="169" t="s">
        <v>984</v>
      </c>
      <c r="BG110" s="169" t="s">
        <v>984</v>
      </c>
      <c r="BH110" s="169" t="s">
        <v>984</v>
      </c>
      <c r="BI110" s="169" t="s">
        <v>984</v>
      </c>
      <c r="BJ110" s="169" t="s">
        <v>984</v>
      </c>
      <c r="BK110" s="169" t="s">
        <v>984</v>
      </c>
      <c r="BL110" s="169" t="s">
        <v>984</v>
      </c>
      <c r="BM110" s="169" t="s">
        <v>984</v>
      </c>
      <c r="BN110" s="169" t="s">
        <v>984</v>
      </c>
      <c r="BO110" s="169" t="s">
        <v>984</v>
      </c>
      <c r="BP110" s="169" t="s">
        <v>984</v>
      </c>
      <c r="BQ110" s="169" t="s">
        <v>984</v>
      </c>
      <c r="BR110" s="169" t="s">
        <v>984</v>
      </c>
      <c r="BS110" s="169" t="s">
        <v>984</v>
      </c>
      <c r="BT110" s="169" t="s">
        <v>984</v>
      </c>
      <c r="BU110" s="169" t="s">
        <v>984</v>
      </c>
      <c r="BV110" s="169" t="s">
        <v>984</v>
      </c>
      <c r="BW110" s="169" t="s">
        <v>984</v>
      </c>
      <c r="BX110" s="169" t="s">
        <v>984</v>
      </c>
      <c r="BY110" s="169" t="s">
        <v>984</v>
      </c>
      <c r="BZ110" s="169" t="s">
        <v>984</v>
      </c>
      <c r="CA110" s="169" t="s">
        <v>984</v>
      </c>
      <c r="CB110" s="169" t="s">
        <v>984</v>
      </c>
      <c r="CC110" s="169" t="s">
        <v>984</v>
      </c>
      <c r="CD110" s="169" t="s">
        <v>984</v>
      </c>
    </row>
    <row x14ac:dyDescent="0.25" r="111" customHeight="1" ht="18.75">
      <c r="A111" s="1"/>
      <c r="B111" s="1050">
        <v>10</v>
      </c>
      <c r="C111" s="1049" t="s">
        <v>918</v>
      </c>
      <c r="D111" s="1049" t="s">
        <v>732</v>
      </c>
      <c r="E111" s="1049" t="s">
        <v>896</v>
      </c>
      <c r="F111" s="1049" t="s">
        <v>1017</v>
      </c>
      <c r="G111" s="1049" t="s">
        <v>751</v>
      </c>
      <c r="H111" s="1049" t="s">
        <v>1030</v>
      </c>
      <c r="I111" s="1049" t="s">
        <v>767</v>
      </c>
      <c r="J111" s="1049" t="s">
        <v>677</v>
      </c>
      <c r="K111" s="1049" t="s">
        <v>659</v>
      </c>
      <c r="L111" s="1049" t="s">
        <v>1097</v>
      </c>
      <c r="M111" s="169" t="s">
        <v>1097</v>
      </c>
      <c r="N111" s="169" t="s">
        <v>1097</v>
      </c>
      <c r="O111" s="169" t="s">
        <v>1097</v>
      </c>
      <c r="P111" s="169" t="s">
        <v>1097</v>
      </c>
      <c r="Q111" s="169" t="s">
        <v>1097</v>
      </c>
      <c r="R111" s="169" t="s">
        <v>1097</v>
      </c>
      <c r="S111" s="169" t="s">
        <v>1097</v>
      </c>
      <c r="T111" s="169" t="s">
        <v>1097</v>
      </c>
      <c r="U111" s="169" t="s">
        <v>1097</v>
      </c>
      <c r="V111" s="169" t="s">
        <v>1097</v>
      </c>
      <c r="W111" s="169" t="s">
        <v>1097</v>
      </c>
      <c r="X111" s="169" t="s">
        <v>1097</v>
      </c>
      <c r="Y111" s="169" t="s">
        <v>1097</v>
      </c>
      <c r="Z111" s="169" t="s">
        <v>1097</v>
      </c>
      <c r="AA111" s="169" t="s">
        <v>1097</v>
      </c>
      <c r="AB111" s="169" t="s">
        <v>1097</v>
      </c>
      <c r="AC111" s="169" t="s">
        <v>1097</v>
      </c>
      <c r="AD111" s="169" t="s">
        <v>1097</v>
      </c>
      <c r="AE111" s="169" t="s">
        <v>1097</v>
      </c>
      <c r="AF111" s="169" t="s">
        <v>1097</v>
      </c>
      <c r="AG111" s="169" t="s">
        <v>1097</v>
      </c>
      <c r="AH111" s="169" t="s">
        <v>1097</v>
      </c>
      <c r="AI111" s="169" t="s">
        <v>1097</v>
      </c>
      <c r="AJ111" s="169" t="s">
        <v>1097</v>
      </c>
      <c r="AK111" s="169" t="s">
        <v>1097</v>
      </c>
      <c r="AL111" s="169" t="s">
        <v>1097</v>
      </c>
      <c r="AM111" s="169" t="s">
        <v>1097</v>
      </c>
      <c r="AN111" s="169" t="s">
        <v>1097</v>
      </c>
      <c r="AO111" s="169" t="s">
        <v>1097</v>
      </c>
      <c r="AP111" s="169" t="s">
        <v>1097</v>
      </c>
      <c r="AQ111" s="169" t="s">
        <v>1097</v>
      </c>
      <c r="AR111" s="169" t="s">
        <v>1097</v>
      </c>
      <c r="AS111" s="169" t="s">
        <v>1097</v>
      </c>
      <c r="AT111" s="169" t="s">
        <v>1097</v>
      </c>
      <c r="AU111" s="169" t="s">
        <v>1097</v>
      </c>
      <c r="AV111" s="169" t="s">
        <v>1097</v>
      </c>
      <c r="AW111" s="169" t="s">
        <v>1097</v>
      </c>
      <c r="AX111" s="169" t="s">
        <v>1097</v>
      </c>
      <c r="AY111" s="169" t="s">
        <v>1097</v>
      </c>
      <c r="AZ111" s="169" t="s">
        <v>1097</v>
      </c>
      <c r="BA111" s="169" t="s">
        <v>1097</v>
      </c>
      <c r="BB111" s="169" t="s">
        <v>1097</v>
      </c>
      <c r="BC111" s="169" t="s">
        <v>1097</v>
      </c>
      <c r="BD111" s="169" t="s">
        <v>1097</v>
      </c>
      <c r="BE111" s="169" t="s">
        <v>1097</v>
      </c>
      <c r="BF111" s="169" t="s">
        <v>1097</v>
      </c>
      <c r="BG111" s="169" t="s">
        <v>1097</v>
      </c>
      <c r="BH111" s="169" t="s">
        <v>1097</v>
      </c>
      <c r="BI111" s="169" t="s">
        <v>1097</v>
      </c>
      <c r="BJ111" s="169" t="s">
        <v>1097</v>
      </c>
      <c r="BK111" s="169" t="s">
        <v>1097</v>
      </c>
      <c r="BL111" s="169" t="s">
        <v>1097</v>
      </c>
      <c r="BM111" s="169" t="s">
        <v>1097</v>
      </c>
      <c r="BN111" s="169" t="s">
        <v>1097</v>
      </c>
      <c r="BO111" s="169" t="s">
        <v>1097</v>
      </c>
      <c r="BP111" s="169" t="s">
        <v>1097</v>
      </c>
      <c r="BQ111" s="169" t="s">
        <v>1097</v>
      </c>
      <c r="BR111" s="169" t="s">
        <v>1097</v>
      </c>
      <c r="BS111" s="169" t="s">
        <v>1097</v>
      </c>
      <c r="BT111" s="169" t="s">
        <v>1097</v>
      </c>
      <c r="BU111" s="169" t="s">
        <v>1097</v>
      </c>
      <c r="BV111" s="169" t="s">
        <v>1097</v>
      </c>
      <c r="BW111" s="169" t="s">
        <v>1097</v>
      </c>
      <c r="BX111" s="169" t="s">
        <v>1097</v>
      </c>
      <c r="BY111" s="169" t="s">
        <v>1097</v>
      </c>
      <c r="BZ111" s="169" t="s">
        <v>1097</v>
      </c>
      <c r="CA111" s="169" t="s">
        <v>1097</v>
      </c>
      <c r="CB111" s="169" t="s">
        <v>1097</v>
      </c>
      <c r="CC111" s="169" t="s">
        <v>1097</v>
      </c>
      <c r="CD111" s="169" t="s">
        <v>1097</v>
      </c>
    </row>
    <row x14ac:dyDescent="0.25" r="112" customHeight="1" ht="18.75">
      <c r="A112" s="1"/>
      <c r="B112" s="1050">
        <v>9</v>
      </c>
      <c r="C112" s="1049" t="s">
        <v>903</v>
      </c>
      <c r="D112" s="1049" t="s">
        <v>904</v>
      </c>
      <c r="E112" s="1049" t="s">
        <v>905</v>
      </c>
      <c r="F112" s="1049" t="s">
        <v>758</v>
      </c>
      <c r="G112" s="1049" t="s">
        <v>733</v>
      </c>
      <c r="H112" s="1049" t="s">
        <v>906</v>
      </c>
      <c r="I112" s="1049" t="s">
        <v>898</v>
      </c>
      <c r="J112" s="1049" t="s">
        <v>658</v>
      </c>
      <c r="K112" s="1049" t="s">
        <v>708</v>
      </c>
      <c r="L112" s="1049" t="s">
        <v>659</v>
      </c>
      <c r="M112" s="169" t="s">
        <v>659</v>
      </c>
      <c r="N112" s="169" t="s">
        <v>659</v>
      </c>
      <c r="O112" s="169" t="s">
        <v>659</v>
      </c>
      <c r="P112" s="169" t="s">
        <v>659</v>
      </c>
      <c r="Q112" s="169" t="s">
        <v>659</v>
      </c>
      <c r="R112" s="169" t="s">
        <v>659</v>
      </c>
      <c r="S112" s="169" t="s">
        <v>659</v>
      </c>
      <c r="T112" s="169" t="s">
        <v>659</v>
      </c>
      <c r="U112" s="169" t="s">
        <v>659</v>
      </c>
      <c r="V112" s="169" t="s">
        <v>659</v>
      </c>
      <c r="W112" s="169" t="s">
        <v>659</v>
      </c>
      <c r="X112" s="169" t="s">
        <v>659</v>
      </c>
      <c r="Y112" s="169" t="s">
        <v>659</v>
      </c>
      <c r="Z112" s="169" t="s">
        <v>659</v>
      </c>
      <c r="AA112" s="169" t="s">
        <v>659</v>
      </c>
      <c r="AB112" s="169" t="s">
        <v>659</v>
      </c>
      <c r="AC112" s="169" t="s">
        <v>659</v>
      </c>
      <c r="AD112" s="169" t="s">
        <v>659</v>
      </c>
      <c r="AE112" s="169" t="s">
        <v>659</v>
      </c>
      <c r="AF112" s="169" t="s">
        <v>659</v>
      </c>
      <c r="AG112" s="169" t="s">
        <v>659</v>
      </c>
      <c r="AH112" s="169" t="s">
        <v>659</v>
      </c>
      <c r="AI112" s="169" t="s">
        <v>659</v>
      </c>
      <c r="AJ112" s="169" t="s">
        <v>659</v>
      </c>
      <c r="AK112" s="169" t="s">
        <v>659</v>
      </c>
      <c r="AL112" s="169" t="s">
        <v>659</v>
      </c>
      <c r="AM112" s="169" t="s">
        <v>659</v>
      </c>
      <c r="AN112" s="169" t="s">
        <v>659</v>
      </c>
      <c r="AO112" s="169" t="s">
        <v>659</v>
      </c>
      <c r="AP112" s="169" t="s">
        <v>659</v>
      </c>
      <c r="AQ112" s="169" t="s">
        <v>659</v>
      </c>
      <c r="AR112" s="169" t="s">
        <v>659</v>
      </c>
      <c r="AS112" s="169" t="s">
        <v>659</v>
      </c>
      <c r="AT112" s="169" t="s">
        <v>659</v>
      </c>
      <c r="AU112" s="169" t="s">
        <v>659</v>
      </c>
      <c r="AV112" s="169" t="s">
        <v>659</v>
      </c>
      <c r="AW112" s="169" t="s">
        <v>659</v>
      </c>
      <c r="AX112" s="169" t="s">
        <v>659</v>
      </c>
      <c r="AY112" s="169" t="s">
        <v>659</v>
      </c>
      <c r="AZ112" s="169" t="s">
        <v>659</v>
      </c>
      <c r="BA112" s="169" t="s">
        <v>659</v>
      </c>
      <c r="BB112" s="169" t="s">
        <v>659</v>
      </c>
      <c r="BC112" s="169" t="s">
        <v>659</v>
      </c>
      <c r="BD112" s="169" t="s">
        <v>659</v>
      </c>
      <c r="BE112" s="169" t="s">
        <v>659</v>
      </c>
      <c r="BF112" s="169" t="s">
        <v>659</v>
      </c>
      <c r="BG112" s="169" t="s">
        <v>659</v>
      </c>
      <c r="BH112" s="169" t="s">
        <v>659</v>
      </c>
      <c r="BI112" s="169" t="s">
        <v>659</v>
      </c>
      <c r="BJ112" s="169" t="s">
        <v>659</v>
      </c>
      <c r="BK112" s="169" t="s">
        <v>659</v>
      </c>
      <c r="BL112" s="169" t="s">
        <v>659</v>
      </c>
      <c r="BM112" s="169" t="s">
        <v>659</v>
      </c>
      <c r="BN112" s="169" t="s">
        <v>659</v>
      </c>
      <c r="BO112" s="169" t="s">
        <v>659</v>
      </c>
      <c r="BP112" s="169" t="s">
        <v>659</v>
      </c>
      <c r="BQ112" s="169" t="s">
        <v>659</v>
      </c>
      <c r="BR112" s="169" t="s">
        <v>659</v>
      </c>
      <c r="BS112" s="169" t="s">
        <v>659</v>
      </c>
      <c r="BT112" s="169" t="s">
        <v>659</v>
      </c>
      <c r="BU112" s="169" t="s">
        <v>659</v>
      </c>
      <c r="BV112" s="169" t="s">
        <v>659</v>
      </c>
      <c r="BW112" s="169" t="s">
        <v>659</v>
      </c>
      <c r="BX112" s="169" t="s">
        <v>659</v>
      </c>
      <c r="BY112" s="169" t="s">
        <v>659</v>
      </c>
      <c r="BZ112" s="169" t="s">
        <v>659</v>
      </c>
      <c r="CA112" s="169" t="s">
        <v>659</v>
      </c>
      <c r="CB112" s="169" t="s">
        <v>659</v>
      </c>
      <c r="CC112" s="169" t="s">
        <v>659</v>
      </c>
      <c r="CD112" s="169" t="s">
        <v>659</v>
      </c>
    </row>
    <row x14ac:dyDescent="0.25" r="113" customHeight="1" ht="18.75">
      <c r="A113" s="1"/>
      <c r="B113" s="1050">
        <v>8</v>
      </c>
      <c r="C113" s="1049" t="s">
        <v>1014</v>
      </c>
      <c r="D113" s="1049" t="s">
        <v>1015</v>
      </c>
      <c r="E113" s="1049" t="s">
        <v>1016</v>
      </c>
      <c r="F113" s="1049" t="s">
        <v>765</v>
      </c>
      <c r="G113" s="1049" t="s">
        <v>877</v>
      </c>
      <c r="H113" s="1049" t="s">
        <v>685</v>
      </c>
      <c r="I113" s="1049" t="s">
        <v>751</v>
      </c>
      <c r="J113" s="1049" t="s">
        <v>892</v>
      </c>
      <c r="K113" s="1049" t="s">
        <v>1098</v>
      </c>
      <c r="L113" s="1049" t="s">
        <v>852</v>
      </c>
      <c r="M113" s="169" t="s">
        <v>852</v>
      </c>
      <c r="N113" s="169" t="s">
        <v>852</v>
      </c>
      <c r="O113" s="169" t="s">
        <v>852</v>
      </c>
      <c r="P113" s="169" t="s">
        <v>852</v>
      </c>
      <c r="Q113" s="169" t="s">
        <v>852</v>
      </c>
      <c r="R113" s="169" t="s">
        <v>852</v>
      </c>
      <c r="S113" s="169" t="s">
        <v>852</v>
      </c>
      <c r="T113" s="169" t="s">
        <v>852</v>
      </c>
      <c r="U113" s="169" t="s">
        <v>852</v>
      </c>
      <c r="V113" s="169" t="s">
        <v>852</v>
      </c>
      <c r="W113" s="169" t="s">
        <v>852</v>
      </c>
      <c r="X113" s="169" t="s">
        <v>852</v>
      </c>
      <c r="Y113" s="169" t="s">
        <v>852</v>
      </c>
      <c r="Z113" s="169" t="s">
        <v>852</v>
      </c>
      <c r="AA113" s="169" t="s">
        <v>852</v>
      </c>
      <c r="AB113" s="169" t="s">
        <v>852</v>
      </c>
      <c r="AC113" s="169" t="s">
        <v>852</v>
      </c>
      <c r="AD113" s="169" t="s">
        <v>852</v>
      </c>
      <c r="AE113" s="169" t="s">
        <v>852</v>
      </c>
      <c r="AF113" s="169" t="s">
        <v>852</v>
      </c>
      <c r="AG113" s="169" t="s">
        <v>852</v>
      </c>
      <c r="AH113" s="169" t="s">
        <v>852</v>
      </c>
      <c r="AI113" s="169" t="s">
        <v>852</v>
      </c>
      <c r="AJ113" s="169" t="s">
        <v>852</v>
      </c>
      <c r="AK113" s="169" t="s">
        <v>852</v>
      </c>
      <c r="AL113" s="169" t="s">
        <v>852</v>
      </c>
      <c r="AM113" s="169" t="s">
        <v>852</v>
      </c>
      <c r="AN113" s="169" t="s">
        <v>852</v>
      </c>
      <c r="AO113" s="169" t="s">
        <v>852</v>
      </c>
      <c r="AP113" s="169" t="s">
        <v>852</v>
      </c>
      <c r="AQ113" s="169" t="s">
        <v>852</v>
      </c>
      <c r="AR113" s="169" t="s">
        <v>852</v>
      </c>
      <c r="AS113" s="169" t="s">
        <v>852</v>
      </c>
      <c r="AT113" s="169" t="s">
        <v>852</v>
      </c>
      <c r="AU113" s="169" t="s">
        <v>852</v>
      </c>
      <c r="AV113" s="169" t="s">
        <v>852</v>
      </c>
      <c r="AW113" s="169" t="s">
        <v>852</v>
      </c>
      <c r="AX113" s="169" t="s">
        <v>852</v>
      </c>
      <c r="AY113" s="169" t="s">
        <v>852</v>
      </c>
      <c r="AZ113" s="169" t="s">
        <v>852</v>
      </c>
      <c r="BA113" s="169" t="s">
        <v>852</v>
      </c>
      <c r="BB113" s="169" t="s">
        <v>852</v>
      </c>
      <c r="BC113" s="169" t="s">
        <v>852</v>
      </c>
      <c r="BD113" s="169" t="s">
        <v>852</v>
      </c>
      <c r="BE113" s="169" t="s">
        <v>852</v>
      </c>
      <c r="BF113" s="169" t="s">
        <v>852</v>
      </c>
      <c r="BG113" s="169" t="s">
        <v>852</v>
      </c>
      <c r="BH113" s="169" t="s">
        <v>852</v>
      </c>
      <c r="BI113" s="169" t="s">
        <v>852</v>
      </c>
      <c r="BJ113" s="169" t="s">
        <v>852</v>
      </c>
      <c r="BK113" s="169" t="s">
        <v>852</v>
      </c>
      <c r="BL113" s="169" t="s">
        <v>852</v>
      </c>
      <c r="BM113" s="169" t="s">
        <v>852</v>
      </c>
      <c r="BN113" s="169" t="s">
        <v>852</v>
      </c>
      <c r="BO113" s="169" t="s">
        <v>852</v>
      </c>
      <c r="BP113" s="169" t="s">
        <v>852</v>
      </c>
      <c r="BQ113" s="169" t="s">
        <v>852</v>
      </c>
      <c r="BR113" s="169" t="s">
        <v>852</v>
      </c>
      <c r="BS113" s="169" t="s">
        <v>852</v>
      </c>
      <c r="BT113" s="169" t="s">
        <v>852</v>
      </c>
      <c r="BU113" s="169" t="s">
        <v>852</v>
      </c>
      <c r="BV113" s="169" t="s">
        <v>852</v>
      </c>
      <c r="BW113" s="169" t="s">
        <v>852</v>
      </c>
      <c r="BX113" s="169" t="s">
        <v>852</v>
      </c>
      <c r="BY113" s="169" t="s">
        <v>852</v>
      </c>
      <c r="BZ113" s="169" t="s">
        <v>852</v>
      </c>
      <c r="CA113" s="169" t="s">
        <v>852</v>
      </c>
      <c r="CB113" s="169" t="s">
        <v>852</v>
      </c>
      <c r="CC113" s="169" t="s">
        <v>852</v>
      </c>
      <c r="CD113" s="169" t="s">
        <v>852</v>
      </c>
    </row>
    <row x14ac:dyDescent="0.25" r="114" customHeight="1" ht="18.75">
      <c r="A114" s="1"/>
      <c r="B114" s="1050">
        <v>7</v>
      </c>
      <c r="C114" s="1049" t="s">
        <v>780</v>
      </c>
      <c r="D114" s="1049" t="s">
        <v>1099</v>
      </c>
      <c r="E114" s="1049" t="s">
        <v>925</v>
      </c>
      <c r="F114" s="1049" t="s">
        <v>704</v>
      </c>
      <c r="G114" s="1049" t="s">
        <v>1037</v>
      </c>
      <c r="H114" s="1049" t="s">
        <v>1100</v>
      </c>
      <c r="I114" s="1049" t="s">
        <v>766</v>
      </c>
      <c r="J114" s="1049" t="s">
        <v>864</v>
      </c>
      <c r="K114" s="1049" t="s">
        <v>1101</v>
      </c>
      <c r="L114" s="1049" t="s">
        <v>1102</v>
      </c>
      <c r="M114" s="169" t="s">
        <v>1102</v>
      </c>
      <c r="N114" s="169" t="s">
        <v>1102</v>
      </c>
      <c r="O114" s="169" t="s">
        <v>1102</v>
      </c>
      <c r="P114" s="169" t="s">
        <v>1102</v>
      </c>
      <c r="Q114" s="169" t="s">
        <v>1102</v>
      </c>
      <c r="R114" s="169" t="s">
        <v>1102</v>
      </c>
      <c r="S114" s="169" t="s">
        <v>1102</v>
      </c>
      <c r="T114" s="169" t="s">
        <v>1102</v>
      </c>
      <c r="U114" s="169" t="s">
        <v>1102</v>
      </c>
      <c r="V114" s="169" t="s">
        <v>1102</v>
      </c>
      <c r="W114" s="169" t="s">
        <v>1102</v>
      </c>
      <c r="X114" s="169" t="s">
        <v>1102</v>
      </c>
      <c r="Y114" s="169" t="s">
        <v>1102</v>
      </c>
      <c r="Z114" s="169" t="s">
        <v>1102</v>
      </c>
      <c r="AA114" s="169" t="s">
        <v>1102</v>
      </c>
      <c r="AB114" s="169" t="s">
        <v>1102</v>
      </c>
      <c r="AC114" s="169" t="s">
        <v>1102</v>
      </c>
      <c r="AD114" s="169" t="s">
        <v>1102</v>
      </c>
      <c r="AE114" s="169" t="s">
        <v>1102</v>
      </c>
      <c r="AF114" s="169" t="s">
        <v>1102</v>
      </c>
      <c r="AG114" s="169" t="s">
        <v>1102</v>
      </c>
      <c r="AH114" s="169" t="s">
        <v>1102</v>
      </c>
      <c r="AI114" s="169" t="s">
        <v>1102</v>
      </c>
      <c r="AJ114" s="169" t="s">
        <v>1102</v>
      </c>
      <c r="AK114" s="169" t="s">
        <v>1102</v>
      </c>
      <c r="AL114" s="169" t="s">
        <v>1102</v>
      </c>
      <c r="AM114" s="169" t="s">
        <v>1102</v>
      </c>
      <c r="AN114" s="169" t="s">
        <v>1102</v>
      </c>
      <c r="AO114" s="169" t="s">
        <v>1102</v>
      </c>
      <c r="AP114" s="169" t="s">
        <v>1102</v>
      </c>
      <c r="AQ114" s="169" t="s">
        <v>1102</v>
      </c>
      <c r="AR114" s="169" t="s">
        <v>1102</v>
      </c>
      <c r="AS114" s="169" t="s">
        <v>1102</v>
      </c>
      <c r="AT114" s="169" t="s">
        <v>1102</v>
      </c>
      <c r="AU114" s="169" t="s">
        <v>1102</v>
      </c>
      <c r="AV114" s="169" t="s">
        <v>1102</v>
      </c>
      <c r="AW114" s="169" t="s">
        <v>1102</v>
      </c>
      <c r="AX114" s="169" t="s">
        <v>1102</v>
      </c>
      <c r="AY114" s="169" t="s">
        <v>1102</v>
      </c>
      <c r="AZ114" s="169" t="s">
        <v>1102</v>
      </c>
      <c r="BA114" s="169" t="s">
        <v>1102</v>
      </c>
      <c r="BB114" s="169" t="s">
        <v>1102</v>
      </c>
      <c r="BC114" s="169" t="s">
        <v>1102</v>
      </c>
      <c r="BD114" s="169" t="s">
        <v>1102</v>
      </c>
      <c r="BE114" s="169" t="s">
        <v>1102</v>
      </c>
      <c r="BF114" s="169" t="s">
        <v>1102</v>
      </c>
      <c r="BG114" s="169" t="s">
        <v>1102</v>
      </c>
      <c r="BH114" s="169" t="s">
        <v>1102</v>
      </c>
      <c r="BI114" s="169" t="s">
        <v>1102</v>
      </c>
      <c r="BJ114" s="169" t="s">
        <v>1102</v>
      </c>
      <c r="BK114" s="169" t="s">
        <v>1102</v>
      </c>
      <c r="BL114" s="169" t="s">
        <v>1102</v>
      </c>
      <c r="BM114" s="169" t="s">
        <v>1102</v>
      </c>
      <c r="BN114" s="169" t="s">
        <v>1102</v>
      </c>
      <c r="BO114" s="169" t="s">
        <v>1102</v>
      </c>
      <c r="BP114" s="169" t="s">
        <v>1102</v>
      </c>
      <c r="BQ114" s="169" t="s">
        <v>1102</v>
      </c>
      <c r="BR114" s="169" t="s">
        <v>1102</v>
      </c>
      <c r="BS114" s="169" t="s">
        <v>1102</v>
      </c>
      <c r="BT114" s="169" t="s">
        <v>1102</v>
      </c>
      <c r="BU114" s="169" t="s">
        <v>1102</v>
      </c>
      <c r="BV114" s="169" t="s">
        <v>1102</v>
      </c>
      <c r="BW114" s="169" t="s">
        <v>1102</v>
      </c>
      <c r="BX114" s="169" t="s">
        <v>1102</v>
      </c>
      <c r="BY114" s="169" t="s">
        <v>1102</v>
      </c>
      <c r="BZ114" s="169" t="s">
        <v>1102</v>
      </c>
      <c r="CA114" s="169" t="s">
        <v>1102</v>
      </c>
      <c r="CB114" s="169" t="s">
        <v>1102</v>
      </c>
      <c r="CC114" s="169" t="s">
        <v>1102</v>
      </c>
      <c r="CD114" s="169" t="s">
        <v>1102</v>
      </c>
    </row>
    <row x14ac:dyDescent="0.25" r="115" customHeight="1" ht="18.75">
      <c r="A115" s="1"/>
      <c r="B115" s="1050">
        <v>6</v>
      </c>
      <c r="C115" s="1049" t="s">
        <v>913</v>
      </c>
      <c r="D115" s="1049" t="s">
        <v>1103</v>
      </c>
      <c r="E115" s="1049" t="s">
        <v>1020</v>
      </c>
      <c r="F115" s="1049" t="s">
        <v>1042</v>
      </c>
      <c r="G115" s="1049" t="s">
        <v>791</v>
      </c>
      <c r="H115" s="1049" t="s">
        <v>1043</v>
      </c>
      <c r="I115" s="1049" t="s">
        <v>1104</v>
      </c>
      <c r="J115" s="1049" t="s">
        <v>897</v>
      </c>
      <c r="K115" s="1049" t="s">
        <v>1105</v>
      </c>
      <c r="L115" s="1049" t="s">
        <v>725</v>
      </c>
      <c r="M115" s="169" t="s">
        <v>725</v>
      </c>
      <c r="N115" s="169" t="s">
        <v>725</v>
      </c>
      <c r="O115" s="169" t="s">
        <v>725</v>
      </c>
      <c r="P115" s="169" t="s">
        <v>725</v>
      </c>
      <c r="Q115" s="169" t="s">
        <v>725</v>
      </c>
      <c r="R115" s="169" t="s">
        <v>725</v>
      </c>
      <c r="S115" s="169" t="s">
        <v>725</v>
      </c>
      <c r="T115" s="169" t="s">
        <v>725</v>
      </c>
      <c r="U115" s="169" t="s">
        <v>725</v>
      </c>
      <c r="V115" s="169" t="s">
        <v>725</v>
      </c>
      <c r="W115" s="169" t="s">
        <v>725</v>
      </c>
      <c r="X115" s="169" t="s">
        <v>725</v>
      </c>
      <c r="Y115" s="169" t="s">
        <v>725</v>
      </c>
      <c r="Z115" s="169" t="s">
        <v>725</v>
      </c>
      <c r="AA115" s="169" t="s">
        <v>725</v>
      </c>
      <c r="AB115" s="169" t="s">
        <v>725</v>
      </c>
      <c r="AC115" s="169" t="s">
        <v>725</v>
      </c>
      <c r="AD115" s="169" t="s">
        <v>725</v>
      </c>
      <c r="AE115" s="169" t="s">
        <v>725</v>
      </c>
      <c r="AF115" s="169" t="s">
        <v>725</v>
      </c>
      <c r="AG115" s="169" t="s">
        <v>725</v>
      </c>
      <c r="AH115" s="169" t="s">
        <v>725</v>
      </c>
      <c r="AI115" s="169" t="s">
        <v>725</v>
      </c>
      <c r="AJ115" s="169" t="s">
        <v>725</v>
      </c>
      <c r="AK115" s="169" t="s">
        <v>725</v>
      </c>
      <c r="AL115" s="169" t="s">
        <v>725</v>
      </c>
      <c r="AM115" s="169" t="s">
        <v>725</v>
      </c>
      <c r="AN115" s="169" t="s">
        <v>725</v>
      </c>
      <c r="AO115" s="169" t="s">
        <v>725</v>
      </c>
      <c r="AP115" s="169" t="s">
        <v>725</v>
      </c>
      <c r="AQ115" s="169" t="s">
        <v>725</v>
      </c>
      <c r="AR115" s="169" t="s">
        <v>725</v>
      </c>
      <c r="AS115" s="169" t="s">
        <v>725</v>
      </c>
      <c r="AT115" s="169" t="s">
        <v>725</v>
      </c>
      <c r="AU115" s="169" t="s">
        <v>725</v>
      </c>
      <c r="AV115" s="169" t="s">
        <v>725</v>
      </c>
      <c r="AW115" s="169" t="s">
        <v>725</v>
      </c>
      <c r="AX115" s="169" t="s">
        <v>725</v>
      </c>
      <c r="AY115" s="169" t="s">
        <v>725</v>
      </c>
      <c r="AZ115" s="169" t="s">
        <v>725</v>
      </c>
      <c r="BA115" s="169" t="s">
        <v>725</v>
      </c>
      <c r="BB115" s="169" t="s">
        <v>725</v>
      </c>
      <c r="BC115" s="169" t="s">
        <v>725</v>
      </c>
      <c r="BD115" s="169" t="s">
        <v>725</v>
      </c>
      <c r="BE115" s="169" t="s">
        <v>725</v>
      </c>
      <c r="BF115" s="169" t="s">
        <v>725</v>
      </c>
      <c r="BG115" s="169" t="s">
        <v>725</v>
      </c>
      <c r="BH115" s="169" t="s">
        <v>725</v>
      </c>
      <c r="BI115" s="169" t="s">
        <v>725</v>
      </c>
      <c r="BJ115" s="169" t="s">
        <v>725</v>
      </c>
      <c r="BK115" s="169" t="s">
        <v>725</v>
      </c>
      <c r="BL115" s="169" t="s">
        <v>725</v>
      </c>
      <c r="BM115" s="169" t="s">
        <v>725</v>
      </c>
      <c r="BN115" s="169" t="s">
        <v>725</v>
      </c>
      <c r="BO115" s="169" t="s">
        <v>725</v>
      </c>
      <c r="BP115" s="169" t="s">
        <v>725</v>
      </c>
      <c r="BQ115" s="169" t="s">
        <v>725</v>
      </c>
      <c r="BR115" s="169" t="s">
        <v>725</v>
      </c>
      <c r="BS115" s="169" t="s">
        <v>725</v>
      </c>
      <c r="BT115" s="169" t="s">
        <v>725</v>
      </c>
      <c r="BU115" s="169" t="s">
        <v>725</v>
      </c>
      <c r="BV115" s="169" t="s">
        <v>725</v>
      </c>
      <c r="BW115" s="169" t="s">
        <v>725</v>
      </c>
      <c r="BX115" s="169" t="s">
        <v>725</v>
      </c>
      <c r="BY115" s="169" t="s">
        <v>725</v>
      </c>
      <c r="BZ115" s="169" t="s">
        <v>725</v>
      </c>
      <c r="CA115" s="169" t="s">
        <v>725</v>
      </c>
      <c r="CB115" s="169" t="s">
        <v>725</v>
      </c>
      <c r="CC115" s="169" t="s">
        <v>725</v>
      </c>
      <c r="CD115" s="169" t="s">
        <v>725</v>
      </c>
    </row>
    <row x14ac:dyDescent="0.25" r="116" customHeight="1" ht="18.75">
      <c r="A116" s="1"/>
      <c r="B116" s="1050">
        <v>5</v>
      </c>
      <c r="C116" s="1049" t="s">
        <v>1024</v>
      </c>
      <c r="D116" s="1049" t="s">
        <v>1106</v>
      </c>
      <c r="E116" s="1049" t="s">
        <v>1107</v>
      </c>
      <c r="F116" s="1049" t="s">
        <v>1099</v>
      </c>
      <c r="G116" s="1049" t="s">
        <v>1108</v>
      </c>
      <c r="H116" s="1049" t="s">
        <v>895</v>
      </c>
      <c r="I116" s="1049" t="s">
        <v>782</v>
      </c>
      <c r="J116" s="1049" t="s">
        <v>695</v>
      </c>
      <c r="K116" s="1049" t="s">
        <v>734</v>
      </c>
      <c r="L116" s="1049" t="s">
        <v>878</v>
      </c>
      <c r="M116" s="169" t="s">
        <v>878</v>
      </c>
      <c r="N116" s="169" t="s">
        <v>878</v>
      </c>
      <c r="O116" s="169" t="s">
        <v>878</v>
      </c>
      <c r="P116" s="169" t="s">
        <v>878</v>
      </c>
      <c r="Q116" s="169" t="s">
        <v>878</v>
      </c>
      <c r="R116" s="169" t="s">
        <v>878</v>
      </c>
      <c r="S116" s="169" t="s">
        <v>878</v>
      </c>
      <c r="T116" s="169" t="s">
        <v>878</v>
      </c>
      <c r="U116" s="169" t="s">
        <v>878</v>
      </c>
      <c r="V116" s="169" t="s">
        <v>878</v>
      </c>
      <c r="W116" s="169" t="s">
        <v>878</v>
      </c>
      <c r="X116" s="169" t="s">
        <v>878</v>
      </c>
      <c r="Y116" s="169" t="s">
        <v>878</v>
      </c>
      <c r="Z116" s="169" t="s">
        <v>878</v>
      </c>
      <c r="AA116" s="169" t="s">
        <v>878</v>
      </c>
      <c r="AB116" s="169" t="s">
        <v>878</v>
      </c>
      <c r="AC116" s="169" t="s">
        <v>878</v>
      </c>
      <c r="AD116" s="169" t="s">
        <v>878</v>
      </c>
      <c r="AE116" s="169" t="s">
        <v>878</v>
      </c>
      <c r="AF116" s="169" t="s">
        <v>878</v>
      </c>
      <c r="AG116" s="169" t="s">
        <v>878</v>
      </c>
      <c r="AH116" s="169" t="s">
        <v>878</v>
      </c>
      <c r="AI116" s="169" t="s">
        <v>878</v>
      </c>
      <c r="AJ116" s="169" t="s">
        <v>878</v>
      </c>
      <c r="AK116" s="169" t="s">
        <v>878</v>
      </c>
      <c r="AL116" s="169" t="s">
        <v>878</v>
      </c>
      <c r="AM116" s="169" t="s">
        <v>878</v>
      </c>
      <c r="AN116" s="169" t="s">
        <v>878</v>
      </c>
      <c r="AO116" s="169" t="s">
        <v>878</v>
      </c>
      <c r="AP116" s="169" t="s">
        <v>878</v>
      </c>
      <c r="AQ116" s="169" t="s">
        <v>878</v>
      </c>
      <c r="AR116" s="169" t="s">
        <v>878</v>
      </c>
      <c r="AS116" s="169" t="s">
        <v>878</v>
      </c>
      <c r="AT116" s="169" t="s">
        <v>878</v>
      </c>
      <c r="AU116" s="169" t="s">
        <v>878</v>
      </c>
      <c r="AV116" s="169" t="s">
        <v>878</v>
      </c>
      <c r="AW116" s="169" t="s">
        <v>878</v>
      </c>
      <c r="AX116" s="169" t="s">
        <v>878</v>
      </c>
      <c r="AY116" s="169" t="s">
        <v>878</v>
      </c>
      <c r="AZ116" s="169" t="s">
        <v>878</v>
      </c>
      <c r="BA116" s="169" t="s">
        <v>878</v>
      </c>
      <c r="BB116" s="169" t="s">
        <v>878</v>
      </c>
      <c r="BC116" s="169" t="s">
        <v>878</v>
      </c>
      <c r="BD116" s="169" t="s">
        <v>878</v>
      </c>
      <c r="BE116" s="169" t="s">
        <v>878</v>
      </c>
      <c r="BF116" s="169" t="s">
        <v>878</v>
      </c>
      <c r="BG116" s="169" t="s">
        <v>878</v>
      </c>
      <c r="BH116" s="169" t="s">
        <v>878</v>
      </c>
      <c r="BI116" s="169" t="s">
        <v>878</v>
      </c>
      <c r="BJ116" s="169" t="s">
        <v>878</v>
      </c>
      <c r="BK116" s="169" t="s">
        <v>878</v>
      </c>
      <c r="BL116" s="169" t="s">
        <v>878</v>
      </c>
      <c r="BM116" s="169" t="s">
        <v>878</v>
      </c>
      <c r="BN116" s="169" t="s">
        <v>878</v>
      </c>
      <c r="BO116" s="169" t="s">
        <v>878</v>
      </c>
      <c r="BP116" s="169" t="s">
        <v>878</v>
      </c>
      <c r="BQ116" s="169" t="s">
        <v>878</v>
      </c>
      <c r="BR116" s="169" t="s">
        <v>878</v>
      </c>
      <c r="BS116" s="169" t="s">
        <v>878</v>
      </c>
      <c r="BT116" s="169" t="s">
        <v>878</v>
      </c>
      <c r="BU116" s="169" t="s">
        <v>878</v>
      </c>
      <c r="BV116" s="169" t="s">
        <v>878</v>
      </c>
      <c r="BW116" s="169" t="s">
        <v>878</v>
      </c>
      <c r="BX116" s="169" t="s">
        <v>878</v>
      </c>
      <c r="BY116" s="169" t="s">
        <v>878</v>
      </c>
      <c r="BZ116" s="169" t="s">
        <v>878</v>
      </c>
      <c r="CA116" s="169" t="s">
        <v>878</v>
      </c>
      <c r="CB116" s="169" t="s">
        <v>878</v>
      </c>
      <c r="CC116" s="169" t="s">
        <v>878</v>
      </c>
      <c r="CD116" s="169" t="s">
        <v>878</v>
      </c>
    </row>
    <row x14ac:dyDescent="0.25" r="117" customHeight="1" ht="18.75">
      <c r="A117" s="1"/>
      <c r="B117" s="1050">
        <v>4</v>
      </c>
      <c r="C117" s="1049" t="s">
        <v>1109</v>
      </c>
      <c r="D117" s="1049" t="s">
        <v>1110</v>
      </c>
      <c r="E117" s="1049" t="s">
        <v>789</v>
      </c>
      <c r="F117" s="1049" t="s">
        <v>924</v>
      </c>
      <c r="G117" s="1049" t="s">
        <v>1111</v>
      </c>
      <c r="H117" s="1049" t="s">
        <v>1002</v>
      </c>
      <c r="I117" s="1049" t="s">
        <v>792</v>
      </c>
      <c r="J117" s="1049" t="s">
        <v>1022</v>
      </c>
      <c r="K117" s="1049" t="s">
        <v>714</v>
      </c>
      <c r="L117" s="1049" t="s">
        <v>696</v>
      </c>
      <c r="M117" s="169" t="s">
        <v>696</v>
      </c>
      <c r="N117" s="169" t="s">
        <v>696</v>
      </c>
      <c r="O117" s="169" t="s">
        <v>696</v>
      </c>
      <c r="P117" s="169" t="s">
        <v>696</v>
      </c>
      <c r="Q117" s="169" t="s">
        <v>696</v>
      </c>
      <c r="R117" s="169" t="s">
        <v>696</v>
      </c>
      <c r="S117" s="169" t="s">
        <v>696</v>
      </c>
      <c r="T117" s="169" t="s">
        <v>696</v>
      </c>
      <c r="U117" s="169" t="s">
        <v>696</v>
      </c>
      <c r="V117" s="169" t="s">
        <v>696</v>
      </c>
      <c r="W117" s="169" t="s">
        <v>696</v>
      </c>
      <c r="X117" s="169" t="s">
        <v>696</v>
      </c>
      <c r="Y117" s="169" t="s">
        <v>696</v>
      </c>
      <c r="Z117" s="169" t="s">
        <v>696</v>
      </c>
      <c r="AA117" s="169" t="s">
        <v>696</v>
      </c>
      <c r="AB117" s="169" t="s">
        <v>696</v>
      </c>
      <c r="AC117" s="169" t="s">
        <v>696</v>
      </c>
      <c r="AD117" s="169" t="s">
        <v>696</v>
      </c>
      <c r="AE117" s="169" t="s">
        <v>696</v>
      </c>
      <c r="AF117" s="169" t="s">
        <v>696</v>
      </c>
      <c r="AG117" s="169" t="s">
        <v>696</v>
      </c>
      <c r="AH117" s="169" t="s">
        <v>696</v>
      </c>
      <c r="AI117" s="169" t="s">
        <v>696</v>
      </c>
      <c r="AJ117" s="169" t="s">
        <v>696</v>
      </c>
      <c r="AK117" s="169" t="s">
        <v>696</v>
      </c>
      <c r="AL117" s="169" t="s">
        <v>696</v>
      </c>
      <c r="AM117" s="169" t="s">
        <v>696</v>
      </c>
      <c r="AN117" s="169" t="s">
        <v>696</v>
      </c>
      <c r="AO117" s="169" t="s">
        <v>696</v>
      </c>
      <c r="AP117" s="169" t="s">
        <v>696</v>
      </c>
      <c r="AQ117" s="169" t="s">
        <v>696</v>
      </c>
      <c r="AR117" s="169" t="s">
        <v>696</v>
      </c>
      <c r="AS117" s="169" t="s">
        <v>696</v>
      </c>
      <c r="AT117" s="169" t="s">
        <v>696</v>
      </c>
      <c r="AU117" s="169" t="s">
        <v>696</v>
      </c>
      <c r="AV117" s="169" t="s">
        <v>696</v>
      </c>
      <c r="AW117" s="169" t="s">
        <v>696</v>
      </c>
      <c r="AX117" s="169" t="s">
        <v>696</v>
      </c>
      <c r="AY117" s="169" t="s">
        <v>696</v>
      </c>
      <c r="AZ117" s="169" t="s">
        <v>696</v>
      </c>
      <c r="BA117" s="169" t="s">
        <v>696</v>
      </c>
      <c r="BB117" s="169" t="s">
        <v>696</v>
      </c>
      <c r="BC117" s="169" t="s">
        <v>696</v>
      </c>
      <c r="BD117" s="169" t="s">
        <v>696</v>
      </c>
      <c r="BE117" s="169" t="s">
        <v>696</v>
      </c>
      <c r="BF117" s="169" t="s">
        <v>696</v>
      </c>
      <c r="BG117" s="169" t="s">
        <v>696</v>
      </c>
      <c r="BH117" s="169" t="s">
        <v>696</v>
      </c>
      <c r="BI117" s="169" t="s">
        <v>696</v>
      </c>
      <c r="BJ117" s="169" t="s">
        <v>696</v>
      </c>
      <c r="BK117" s="169" t="s">
        <v>696</v>
      </c>
      <c r="BL117" s="169" t="s">
        <v>696</v>
      </c>
      <c r="BM117" s="169" t="s">
        <v>696</v>
      </c>
      <c r="BN117" s="169" t="s">
        <v>696</v>
      </c>
      <c r="BO117" s="169" t="s">
        <v>696</v>
      </c>
      <c r="BP117" s="169" t="s">
        <v>696</v>
      </c>
      <c r="BQ117" s="169" t="s">
        <v>696</v>
      </c>
      <c r="BR117" s="169" t="s">
        <v>696</v>
      </c>
      <c r="BS117" s="169" t="s">
        <v>696</v>
      </c>
      <c r="BT117" s="169" t="s">
        <v>696</v>
      </c>
      <c r="BU117" s="169" t="s">
        <v>696</v>
      </c>
      <c r="BV117" s="169" t="s">
        <v>696</v>
      </c>
      <c r="BW117" s="169" t="s">
        <v>696</v>
      </c>
      <c r="BX117" s="169" t="s">
        <v>696</v>
      </c>
      <c r="BY117" s="169" t="s">
        <v>696</v>
      </c>
      <c r="BZ117" s="169" t="s">
        <v>696</v>
      </c>
      <c r="CA117" s="169" t="s">
        <v>696</v>
      </c>
      <c r="CB117" s="169" t="s">
        <v>696</v>
      </c>
      <c r="CC117" s="169" t="s">
        <v>696</v>
      </c>
      <c r="CD117" s="169" t="s">
        <v>696</v>
      </c>
    </row>
    <row x14ac:dyDescent="0.25" r="118" customHeight="1" ht="18.75">
      <c r="A118" s="1"/>
      <c r="B118" s="1050">
        <v>3</v>
      </c>
      <c r="C118" s="1049" t="s">
        <v>1038</v>
      </c>
      <c r="D118" s="1049" t="s">
        <v>1112</v>
      </c>
      <c r="E118" s="1049" t="s">
        <v>1019</v>
      </c>
      <c r="F118" s="1049" t="s">
        <v>1113</v>
      </c>
      <c r="G118" s="1049" t="s">
        <v>747</v>
      </c>
      <c r="H118" s="1049" t="s">
        <v>1114</v>
      </c>
      <c r="I118" s="1049" t="s">
        <v>1092</v>
      </c>
      <c r="J118" s="1049" t="s">
        <v>891</v>
      </c>
      <c r="K118" s="1049" t="s">
        <v>919</v>
      </c>
      <c r="L118" s="1049" t="s">
        <v>1115</v>
      </c>
      <c r="M118" s="169" t="s">
        <v>1115</v>
      </c>
      <c r="N118" s="169" t="s">
        <v>1115</v>
      </c>
      <c r="O118" s="169" t="s">
        <v>1115</v>
      </c>
      <c r="P118" s="169" t="s">
        <v>1115</v>
      </c>
      <c r="Q118" s="169" t="s">
        <v>1115</v>
      </c>
      <c r="R118" s="169" t="s">
        <v>1115</v>
      </c>
      <c r="S118" s="169" t="s">
        <v>1115</v>
      </c>
      <c r="T118" s="169" t="s">
        <v>1115</v>
      </c>
      <c r="U118" s="169" t="s">
        <v>1115</v>
      </c>
      <c r="V118" s="169" t="s">
        <v>1115</v>
      </c>
      <c r="W118" s="169" t="s">
        <v>1115</v>
      </c>
      <c r="X118" s="169" t="s">
        <v>1115</v>
      </c>
      <c r="Y118" s="169" t="s">
        <v>1115</v>
      </c>
      <c r="Z118" s="169" t="s">
        <v>1115</v>
      </c>
      <c r="AA118" s="169" t="s">
        <v>1115</v>
      </c>
      <c r="AB118" s="169" t="s">
        <v>1115</v>
      </c>
      <c r="AC118" s="169" t="s">
        <v>1115</v>
      </c>
      <c r="AD118" s="169" t="s">
        <v>1115</v>
      </c>
      <c r="AE118" s="169" t="s">
        <v>1115</v>
      </c>
      <c r="AF118" s="169" t="s">
        <v>1115</v>
      </c>
      <c r="AG118" s="169" t="s">
        <v>1115</v>
      </c>
      <c r="AH118" s="169" t="s">
        <v>1115</v>
      </c>
      <c r="AI118" s="169" t="s">
        <v>1115</v>
      </c>
      <c r="AJ118" s="169" t="s">
        <v>1115</v>
      </c>
      <c r="AK118" s="169" t="s">
        <v>1115</v>
      </c>
      <c r="AL118" s="169" t="s">
        <v>1115</v>
      </c>
      <c r="AM118" s="169" t="s">
        <v>1115</v>
      </c>
      <c r="AN118" s="169" t="s">
        <v>1115</v>
      </c>
      <c r="AO118" s="169" t="s">
        <v>1115</v>
      </c>
      <c r="AP118" s="169" t="s">
        <v>1115</v>
      </c>
      <c r="AQ118" s="169" t="s">
        <v>1115</v>
      </c>
      <c r="AR118" s="169" t="s">
        <v>1115</v>
      </c>
      <c r="AS118" s="169" t="s">
        <v>1115</v>
      </c>
      <c r="AT118" s="169" t="s">
        <v>1115</v>
      </c>
      <c r="AU118" s="169" t="s">
        <v>1115</v>
      </c>
      <c r="AV118" s="169" t="s">
        <v>1115</v>
      </c>
      <c r="AW118" s="169" t="s">
        <v>1115</v>
      </c>
      <c r="AX118" s="169" t="s">
        <v>1115</v>
      </c>
      <c r="AY118" s="169" t="s">
        <v>1115</v>
      </c>
      <c r="AZ118" s="169" t="s">
        <v>1115</v>
      </c>
      <c r="BA118" s="169" t="s">
        <v>1115</v>
      </c>
      <c r="BB118" s="169" t="s">
        <v>1115</v>
      </c>
      <c r="BC118" s="169" t="s">
        <v>1115</v>
      </c>
      <c r="BD118" s="169" t="s">
        <v>1115</v>
      </c>
      <c r="BE118" s="169" t="s">
        <v>1115</v>
      </c>
      <c r="BF118" s="169" t="s">
        <v>1115</v>
      </c>
      <c r="BG118" s="169" t="s">
        <v>1115</v>
      </c>
      <c r="BH118" s="169" t="s">
        <v>1115</v>
      </c>
      <c r="BI118" s="169" t="s">
        <v>1115</v>
      </c>
      <c r="BJ118" s="169" t="s">
        <v>1115</v>
      </c>
      <c r="BK118" s="169" t="s">
        <v>1115</v>
      </c>
      <c r="BL118" s="169" t="s">
        <v>1115</v>
      </c>
      <c r="BM118" s="169" t="s">
        <v>1115</v>
      </c>
      <c r="BN118" s="169" t="s">
        <v>1115</v>
      </c>
      <c r="BO118" s="169" t="s">
        <v>1115</v>
      </c>
      <c r="BP118" s="169" t="s">
        <v>1115</v>
      </c>
      <c r="BQ118" s="169" t="s">
        <v>1115</v>
      </c>
      <c r="BR118" s="169" t="s">
        <v>1115</v>
      </c>
      <c r="BS118" s="169" t="s">
        <v>1115</v>
      </c>
      <c r="BT118" s="169" t="s">
        <v>1115</v>
      </c>
      <c r="BU118" s="169" t="s">
        <v>1115</v>
      </c>
      <c r="BV118" s="169" t="s">
        <v>1115</v>
      </c>
      <c r="BW118" s="169" t="s">
        <v>1115</v>
      </c>
      <c r="BX118" s="169" t="s">
        <v>1115</v>
      </c>
      <c r="BY118" s="169" t="s">
        <v>1115</v>
      </c>
      <c r="BZ118" s="169" t="s">
        <v>1115</v>
      </c>
      <c r="CA118" s="169" t="s">
        <v>1115</v>
      </c>
      <c r="CB118" s="169" t="s">
        <v>1115</v>
      </c>
      <c r="CC118" s="169" t="s">
        <v>1115</v>
      </c>
      <c r="CD118" s="169" t="s">
        <v>1115</v>
      </c>
    </row>
    <row x14ac:dyDescent="0.25" r="119" customHeight="1" ht="18.75">
      <c r="A119" s="1"/>
      <c r="B119" s="1050">
        <v>2</v>
      </c>
      <c r="C119" s="1049" t="s">
        <v>1116</v>
      </c>
      <c r="D119" s="1049" t="s">
        <v>1117</v>
      </c>
      <c r="E119" s="1049" t="s">
        <v>1024</v>
      </c>
      <c r="F119" s="1049" t="s">
        <v>1025</v>
      </c>
      <c r="G119" s="1049" t="s">
        <v>780</v>
      </c>
      <c r="H119" s="1049" t="s">
        <v>1118</v>
      </c>
      <c r="I119" s="1049" t="s">
        <v>1016</v>
      </c>
      <c r="J119" s="1049" t="s">
        <v>732</v>
      </c>
      <c r="K119" s="1049" t="s">
        <v>926</v>
      </c>
      <c r="L119" s="1049" t="s">
        <v>783</v>
      </c>
      <c r="M119" s="169" t="s">
        <v>783</v>
      </c>
      <c r="N119" s="169" t="s">
        <v>783</v>
      </c>
      <c r="O119" s="169" t="s">
        <v>783</v>
      </c>
      <c r="P119" s="169" t="s">
        <v>783</v>
      </c>
      <c r="Q119" s="169" t="s">
        <v>783</v>
      </c>
      <c r="R119" s="169" t="s">
        <v>783</v>
      </c>
      <c r="S119" s="169" t="s">
        <v>783</v>
      </c>
      <c r="T119" s="169" t="s">
        <v>783</v>
      </c>
      <c r="U119" s="169" t="s">
        <v>783</v>
      </c>
      <c r="V119" s="169" t="s">
        <v>783</v>
      </c>
      <c r="W119" s="169" t="s">
        <v>783</v>
      </c>
      <c r="X119" s="169" t="s">
        <v>783</v>
      </c>
      <c r="Y119" s="169" t="s">
        <v>783</v>
      </c>
      <c r="Z119" s="169" t="s">
        <v>783</v>
      </c>
      <c r="AA119" s="169" t="s">
        <v>783</v>
      </c>
      <c r="AB119" s="169" t="s">
        <v>783</v>
      </c>
      <c r="AC119" s="169" t="s">
        <v>783</v>
      </c>
      <c r="AD119" s="169" t="s">
        <v>783</v>
      </c>
      <c r="AE119" s="169" t="s">
        <v>783</v>
      </c>
      <c r="AF119" s="169" t="s">
        <v>783</v>
      </c>
      <c r="AG119" s="169" t="s">
        <v>783</v>
      </c>
      <c r="AH119" s="169" t="s">
        <v>783</v>
      </c>
      <c r="AI119" s="169" t="s">
        <v>783</v>
      </c>
      <c r="AJ119" s="169" t="s">
        <v>783</v>
      </c>
      <c r="AK119" s="169" t="s">
        <v>783</v>
      </c>
      <c r="AL119" s="169" t="s">
        <v>783</v>
      </c>
      <c r="AM119" s="169" t="s">
        <v>783</v>
      </c>
      <c r="AN119" s="169" t="s">
        <v>783</v>
      </c>
      <c r="AO119" s="169" t="s">
        <v>783</v>
      </c>
      <c r="AP119" s="169" t="s">
        <v>783</v>
      </c>
      <c r="AQ119" s="169" t="s">
        <v>783</v>
      </c>
      <c r="AR119" s="169" t="s">
        <v>783</v>
      </c>
      <c r="AS119" s="169" t="s">
        <v>783</v>
      </c>
      <c r="AT119" s="169" t="s">
        <v>783</v>
      </c>
      <c r="AU119" s="169" t="s">
        <v>783</v>
      </c>
      <c r="AV119" s="169" t="s">
        <v>783</v>
      </c>
      <c r="AW119" s="169" t="s">
        <v>783</v>
      </c>
      <c r="AX119" s="169" t="s">
        <v>783</v>
      </c>
      <c r="AY119" s="169" t="s">
        <v>783</v>
      </c>
      <c r="AZ119" s="169" t="s">
        <v>783</v>
      </c>
      <c r="BA119" s="169" t="s">
        <v>783</v>
      </c>
      <c r="BB119" s="169" t="s">
        <v>783</v>
      </c>
      <c r="BC119" s="169" t="s">
        <v>783</v>
      </c>
      <c r="BD119" s="169" t="s">
        <v>783</v>
      </c>
      <c r="BE119" s="169" t="s">
        <v>783</v>
      </c>
      <c r="BF119" s="169" t="s">
        <v>783</v>
      </c>
      <c r="BG119" s="169" t="s">
        <v>783</v>
      </c>
      <c r="BH119" s="169" t="s">
        <v>783</v>
      </c>
      <c r="BI119" s="169" t="s">
        <v>783</v>
      </c>
      <c r="BJ119" s="169" t="s">
        <v>783</v>
      </c>
      <c r="BK119" s="169" t="s">
        <v>783</v>
      </c>
      <c r="BL119" s="169" t="s">
        <v>783</v>
      </c>
      <c r="BM119" s="169" t="s">
        <v>783</v>
      </c>
      <c r="BN119" s="169" t="s">
        <v>783</v>
      </c>
      <c r="BO119" s="169" t="s">
        <v>783</v>
      </c>
      <c r="BP119" s="169" t="s">
        <v>783</v>
      </c>
      <c r="BQ119" s="169" t="s">
        <v>783</v>
      </c>
      <c r="BR119" s="169" t="s">
        <v>783</v>
      </c>
      <c r="BS119" s="169" t="s">
        <v>783</v>
      </c>
      <c r="BT119" s="169" t="s">
        <v>783</v>
      </c>
      <c r="BU119" s="169" t="s">
        <v>783</v>
      </c>
      <c r="BV119" s="169" t="s">
        <v>783</v>
      </c>
      <c r="BW119" s="169" t="s">
        <v>783</v>
      </c>
      <c r="BX119" s="169" t="s">
        <v>783</v>
      </c>
      <c r="BY119" s="169" t="s">
        <v>783</v>
      </c>
      <c r="BZ119" s="169" t="s">
        <v>783</v>
      </c>
      <c r="CA119" s="169" t="s">
        <v>783</v>
      </c>
      <c r="CB119" s="169" t="s">
        <v>783</v>
      </c>
      <c r="CC119" s="169" t="s">
        <v>783</v>
      </c>
      <c r="CD119" s="169" t="s">
        <v>783</v>
      </c>
    </row>
    <row x14ac:dyDescent="0.25" r="120" customHeight="1" ht="18.75">
      <c r="A120" s="1"/>
      <c r="B120" s="1050">
        <v>1</v>
      </c>
      <c r="C120" s="1049" t="s">
        <v>1119</v>
      </c>
      <c r="D120" s="1049" t="s">
        <v>1120</v>
      </c>
      <c r="E120" s="1049" t="s">
        <v>1121</v>
      </c>
      <c r="F120" s="1049" t="s">
        <v>1122</v>
      </c>
      <c r="G120" s="1049" t="s">
        <v>1123</v>
      </c>
      <c r="H120" s="1049" t="s">
        <v>1124</v>
      </c>
      <c r="I120" s="1049" t="s">
        <v>1034</v>
      </c>
      <c r="J120" s="1049" t="s">
        <v>704</v>
      </c>
      <c r="K120" s="1049" t="s">
        <v>722</v>
      </c>
      <c r="L120" s="1049" t="s">
        <v>869</v>
      </c>
      <c r="M120" s="169" t="s">
        <v>869</v>
      </c>
      <c r="N120" s="169" t="s">
        <v>869</v>
      </c>
      <c r="O120" s="169" t="s">
        <v>869</v>
      </c>
      <c r="P120" s="169" t="s">
        <v>869</v>
      </c>
      <c r="Q120" s="169" t="s">
        <v>869</v>
      </c>
      <c r="R120" s="169" t="s">
        <v>869</v>
      </c>
      <c r="S120" s="169" t="s">
        <v>869</v>
      </c>
      <c r="T120" s="169" t="s">
        <v>869</v>
      </c>
      <c r="U120" s="169" t="s">
        <v>869</v>
      </c>
      <c r="V120" s="169" t="s">
        <v>869</v>
      </c>
      <c r="W120" s="169" t="s">
        <v>869</v>
      </c>
      <c r="X120" s="169" t="s">
        <v>869</v>
      </c>
      <c r="Y120" s="169" t="s">
        <v>869</v>
      </c>
      <c r="Z120" s="169" t="s">
        <v>869</v>
      </c>
      <c r="AA120" s="169" t="s">
        <v>869</v>
      </c>
      <c r="AB120" s="169" t="s">
        <v>869</v>
      </c>
      <c r="AC120" s="169" t="s">
        <v>869</v>
      </c>
      <c r="AD120" s="169" t="s">
        <v>869</v>
      </c>
      <c r="AE120" s="169" t="s">
        <v>869</v>
      </c>
      <c r="AF120" s="169" t="s">
        <v>869</v>
      </c>
      <c r="AG120" s="169" t="s">
        <v>869</v>
      </c>
      <c r="AH120" s="169" t="s">
        <v>869</v>
      </c>
      <c r="AI120" s="169" t="s">
        <v>869</v>
      </c>
      <c r="AJ120" s="169" t="s">
        <v>869</v>
      </c>
      <c r="AK120" s="169" t="s">
        <v>869</v>
      </c>
      <c r="AL120" s="169" t="s">
        <v>869</v>
      </c>
      <c r="AM120" s="169" t="s">
        <v>869</v>
      </c>
      <c r="AN120" s="169" t="s">
        <v>869</v>
      </c>
      <c r="AO120" s="169" t="s">
        <v>869</v>
      </c>
      <c r="AP120" s="169" t="s">
        <v>869</v>
      </c>
      <c r="AQ120" s="169" t="s">
        <v>869</v>
      </c>
      <c r="AR120" s="169" t="s">
        <v>869</v>
      </c>
      <c r="AS120" s="169" t="s">
        <v>869</v>
      </c>
      <c r="AT120" s="169" t="s">
        <v>869</v>
      </c>
      <c r="AU120" s="169" t="s">
        <v>869</v>
      </c>
      <c r="AV120" s="169" t="s">
        <v>869</v>
      </c>
      <c r="AW120" s="169" t="s">
        <v>869</v>
      </c>
      <c r="AX120" s="169" t="s">
        <v>869</v>
      </c>
      <c r="AY120" s="169" t="s">
        <v>869</v>
      </c>
      <c r="AZ120" s="169" t="s">
        <v>869</v>
      </c>
      <c r="BA120" s="169" t="s">
        <v>869</v>
      </c>
      <c r="BB120" s="169" t="s">
        <v>869</v>
      </c>
      <c r="BC120" s="169" t="s">
        <v>869</v>
      </c>
      <c r="BD120" s="169" t="s">
        <v>869</v>
      </c>
      <c r="BE120" s="169" t="s">
        <v>869</v>
      </c>
      <c r="BF120" s="169" t="s">
        <v>869</v>
      </c>
      <c r="BG120" s="169" t="s">
        <v>869</v>
      </c>
      <c r="BH120" s="169" t="s">
        <v>869</v>
      </c>
      <c r="BI120" s="169" t="s">
        <v>869</v>
      </c>
      <c r="BJ120" s="169" t="s">
        <v>869</v>
      </c>
      <c r="BK120" s="169" t="s">
        <v>869</v>
      </c>
      <c r="BL120" s="169" t="s">
        <v>869</v>
      </c>
      <c r="BM120" s="169" t="s">
        <v>869</v>
      </c>
      <c r="BN120" s="169" t="s">
        <v>869</v>
      </c>
      <c r="BO120" s="169" t="s">
        <v>869</v>
      </c>
      <c r="BP120" s="169" t="s">
        <v>869</v>
      </c>
      <c r="BQ120" s="169" t="s">
        <v>869</v>
      </c>
      <c r="BR120" s="169" t="s">
        <v>869</v>
      </c>
      <c r="BS120" s="169" t="s">
        <v>869</v>
      </c>
      <c r="BT120" s="169" t="s">
        <v>869</v>
      </c>
      <c r="BU120" s="169" t="s">
        <v>869</v>
      </c>
      <c r="BV120" s="169" t="s">
        <v>869</v>
      </c>
      <c r="BW120" s="169" t="s">
        <v>869</v>
      </c>
      <c r="BX120" s="169" t="s">
        <v>869</v>
      </c>
      <c r="BY120" s="169" t="s">
        <v>869</v>
      </c>
      <c r="BZ120" s="169" t="s">
        <v>869</v>
      </c>
      <c r="CA120" s="169" t="s">
        <v>869</v>
      </c>
      <c r="CB120" s="169" t="s">
        <v>869</v>
      </c>
      <c r="CC120" s="169" t="s">
        <v>869</v>
      </c>
      <c r="CD120" s="169" t="s">
        <v>869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Y39"/>
  <sheetViews>
    <sheetView workbookViewId="0"/>
  </sheetViews>
  <sheetFormatPr defaultRowHeight="15" x14ac:dyDescent="0.25"/>
  <cols>
    <col min="1" max="1" style="163" width="13.576428571428572" customWidth="1" bestFit="1"/>
    <col min="2" max="2" style="163" width="13.576428571428572" customWidth="1" bestFit="1"/>
    <col min="3" max="3" style="352" width="13.576428571428572" customWidth="1" bestFit="1"/>
    <col min="4" max="4" style="353" width="13.576428571428572" customWidth="1" bestFit="1"/>
    <col min="5" max="5" style="352" width="13.576428571428572" customWidth="1" bestFit="1"/>
    <col min="6" max="6" style="353" width="13.576428571428572" customWidth="1" bestFit="1"/>
    <col min="7" max="7" style="353" width="8.719285714285713" customWidth="1" bestFit="1"/>
    <col min="8" max="8" style="352" width="12.290714285714287" customWidth="1" bestFit="1"/>
    <col min="9" max="9" style="163" width="13.576428571428572" customWidth="1" bestFit="1"/>
    <col min="10" max="10" style="163" width="13.576428571428572" customWidth="1" bestFit="1"/>
    <col min="11" max="11" style="163" width="13.576428571428572" customWidth="1" bestFit="1"/>
    <col min="12" max="12" style="167" width="26.290714285714284" customWidth="1" bestFit="1"/>
    <col min="13" max="13" style="167" width="11.290714285714287" customWidth="1" bestFit="1"/>
    <col min="14" max="14" style="167" width="11.719285714285713" customWidth="1" bestFit="1"/>
    <col min="15" max="15" style="167" width="10.719285714285713" customWidth="1" bestFit="1"/>
    <col min="16" max="16" style="164" width="10.719285714285713" customWidth="1" bestFit="1"/>
    <col min="17" max="17" style="164" width="10.719285714285713" customWidth="1" bestFit="1"/>
    <col min="18" max="18" style="164" width="10.719285714285713" customWidth="1" bestFit="1"/>
    <col min="19" max="19" style="163" width="28.290714285714284" customWidth="1" bestFit="1"/>
    <col min="20" max="20" style="164" width="13.719285714285713" customWidth="1" bestFit="1"/>
    <col min="21" max="21" style="353" width="10.719285714285713" customWidth="1" bestFit="1"/>
    <col min="22" max="22" style="353" width="17.719285714285714" customWidth="1" bestFit="1"/>
    <col min="23" max="23" style="167" width="11.290714285714287" customWidth="1" bestFit="1"/>
    <col min="24" max="24" style="353" width="10.719285714285713" customWidth="1" bestFit="1"/>
    <col min="25" max="25" style="163" width="13.576428571428572" customWidth="1" bestFit="1"/>
  </cols>
  <sheetData>
    <row x14ac:dyDescent="0.25" r="1" customHeight="1" ht="18.75">
      <c r="A1" s="1"/>
      <c r="B1" s="1"/>
      <c r="C1" s="320"/>
      <c r="D1" s="321"/>
      <c r="E1" s="320"/>
      <c r="F1" s="321"/>
      <c r="G1" s="321"/>
      <c r="H1" s="320"/>
      <c r="I1" s="1"/>
      <c r="J1" s="1"/>
      <c r="K1" s="1"/>
      <c r="L1" s="1027" t="s">
        <v>566</v>
      </c>
      <c r="M1" s="544">
        <f>TODAY()</f>
        <v>25569.041666666668</v>
      </c>
      <c r="N1" s="7"/>
      <c r="O1" s="555"/>
      <c r="P1" s="170"/>
      <c r="Q1" s="170"/>
      <c r="R1" s="170"/>
      <c r="S1" s="1"/>
      <c r="T1" s="170"/>
      <c r="U1" s="321"/>
      <c r="V1" s="321"/>
      <c r="W1" s="7"/>
      <c r="X1" s="321"/>
      <c r="Y1" s="1"/>
    </row>
    <row x14ac:dyDescent="0.25" r="2" customHeight="1" ht="18.75">
      <c r="A2" s="1"/>
      <c r="B2" s="1"/>
      <c r="C2" s="320"/>
      <c r="D2" s="321"/>
      <c r="E2" s="320"/>
      <c r="F2" s="321"/>
      <c r="G2" s="321"/>
      <c r="H2" s="320"/>
      <c r="I2" s="1"/>
      <c r="J2" s="1"/>
      <c r="K2" s="1"/>
      <c r="L2" s="1027" t="s">
        <v>567</v>
      </c>
      <c r="M2" s="544">
        <f>'Simulador - Datos personales'!E7</f>
        <v>25569.041666666668</v>
      </c>
      <c r="N2" s="7"/>
      <c r="O2" s="555"/>
      <c r="P2" s="170"/>
      <c r="Q2" s="170"/>
      <c r="R2" s="170"/>
      <c r="S2" s="1"/>
      <c r="T2" s="170"/>
      <c r="U2" s="321"/>
      <c r="V2" s="321"/>
      <c r="W2" s="7"/>
      <c r="X2" s="321"/>
      <c r="Y2" s="1"/>
    </row>
    <row x14ac:dyDescent="0.25" r="3" customHeight="1" ht="18.75">
      <c r="A3" s="1"/>
      <c r="B3" s="1"/>
      <c r="C3" s="320"/>
      <c r="D3" s="321"/>
      <c r="E3" s="320"/>
      <c r="F3" s="321"/>
      <c r="G3" s="321"/>
      <c r="H3" s="320"/>
      <c r="I3" s="1"/>
      <c r="J3" s="1"/>
      <c r="K3" s="1"/>
      <c r="L3" s="1027" t="s">
        <v>568</v>
      </c>
      <c r="M3" s="1028">
        <f>'Simulador - Datos personales'!E18+'Simulador - Datos personales'!E19/12</f>
      </c>
      <c r="N3" s="7"/>
      <c r="O3" s="7"/>
      <c r="P3" s="170"/>
      <c r="Q3" s="170"/>
      <c r="R3" s="170"/>
      <c r="S3" s="1"/>
      <c r="T3" s="170"/>
      <c r="U3" s="321"/>
      <c r="V3" s="321"/>
      <c r="W3" s="7"/>
      <c r="X3" s="321"/>
      <c r="Y3" s="1"/>
    </row>
    <row x14ac:dyDescent="0.25" r="4" customHeight="1" ht="18.75">
      <c r="A4" s="1"/>
      <c r="B4" s="1"/>
      <c r="C4" s="320"/>
      <c r="D4" s="321"/>
      <c r="E4" s="320"/>
      <c r="F4" s="321"/>
      <c r="G4" s="321"/>
      <c r="H4" s="320"/>
      <c r="I4" s="1"/>
      <c r="J4" s="1"/>
      <c r="K4" s="1"/>
      <c r="L4" s="1027" t="s">
        <v>569</v>
      </c>
      <c r="M4" s="333">
        <f>MAX((DATE(YEAR(M2)+65,MONTH(M2),DAY(M2))-M1)/365.25,0)</f>
      </c>
      <c r="N4" s="333">
        <f>MAX((T7-M1)/365.25,0)</f>
      </c>
      <c r="O4" s="7"/>
      <c r="P4" s="170"/>
      <c r="Q4" s="170"/>
      <c r="R4" s="170"/>
      <c r="S4" s="1"/>
      <c r="T4" s="170"/>
      <c r="U4" s="321"/>
      <c r="V4" s="555"/>
      <c r="W4" s="7"/>
      <c r="X4" s="321"/>
      <c r="Y4" s="1"/>
    </row>
    <row x14ac:dyDescent="0.25" r="5" customHeight="1" ht="18.75">
      <c r="A5" s="1"/>
      <c r="B5" s="1"/>
      <c r="C5" s="320"/>
      <c r="D5" s="321"/>
      <c r="E5" s="320"/>
      <c r="F5" s="321"/>
      <c r="G5" s="321"/>
      <c r="H5" s="320"/>
      <c r="I5" s="1"/>
      <c r="J5" s="1"/>
      <c r="K5" s="1"/>
      <c r="L5" s="7"/>
      <c r="M5" s="7"/>
      <c r="N5" s="7" t="s">
        <v>570</v>
      </c>
      <c r="O5" s="7"/>
      <c r="P5" s="170"/>
      <c r="Q5" s="170"/>
      <c r="R5" s="170"/>
      <c r="S5" s="1"/>
      <c r="T5" s="170"/>
      <c r="U5" s="321"/>
      <c r="V5" s="321"/>
      <c r="W5" s="7"/>
      <c r="X5" s="321"/>
      <c r="Y5" s="1"/>
    </row>
    <row x14ac:dyDescent="0.25" r="6" customHeight="1" ht="18.75">
      <c r="A6" s="1"/>
      <c r="B6" s="1"/>
      <c r="C6" s="320"/>
      <c r="D6" s="321"/>
      <c r="E6" s="320"/>
      <c r="F6" s="321"/>
      <c r="G6" s="321"/>
      <c r="H6" s="320"/>
      <c r="I6" s="1"/>
      <c r="J6" s="1"/>
      <c r="K6" s="1"/>
      <c r="L6" s="7"/>
      <c r="M6" s="555">
        <f>IF(P12&gt;=L12,M12,IF(YEAR(M12)=YEAR(N12),N12,IF(P13&gt;=L13,M13,IF(YEAR(M13)=YEAR(N13),N13,IF(P14&gt;=L14,M14,N14)))))</f>
        <v>25569.041666666668</v>
      </c>
      <c r="N6" s="723">
        <f>IF(P12&gt;=L12,M12,IF(YEAR(M12)=YEAR(N12),N12,IF(AND(P13&gt;=L13,N13=M13),M13,IF(YEAR(M13)=YEAR(N13),N13,IF(AND(P14&gt;=L14,M14=N14),M14,N14)))))</f>
        <v>25569.041666666668</v>
      </c>
      <c r="O6" s="7"/>
      <c r="P6" s="170" t="s">
        <v>571</v>
      </c>
      <c r="Q6" s="170"/>
      <c r="R6" s="170"/>
      <c r="S6" s="1"/>
      <c r="T6" s="170"/>
      <c r="U6" s="321"/>
      <c r="V6" s="321"/>
      <c r="W6" s="7"/>
      <c r="X6" s="321"/>
      <c r="Y6" s="1"/>
    </row>
    <row x14ac:dyDescent="0.25" r="7" customHeight="1" ht="18.75">
      <c r="A7" s="1"/>
      <c r="B7" s="1"/>
      <c r="C7" s="1029" t="s">
        <v>391</v>
      </c>
      <c r="D7" s="1030" t="s">
        <v>394</v>
      </c>
      <c r="E7" s="1029" t="s">
        <v>393</v>
      </c>
      <c r="F7" s="1030" t="s">
        <v>395</v>
      </c>
      <c r="G7" s="1030" t="s">
        <v>572</v>
      </c>
      <c r="H7" s="1029" t="s">
        <v>573</v>
      </c>
      <c r="I7" s="1"/>
      <c r="J7" s="1"/>
      <c r="K7" s="1"/>
      <c r="L7" s="1027" t="s">
        <v>52</v>
      </c>
      <c r="M7" s="544">
        <f>U12</f>
        <v>25569.041666666668</v>
      </c>
      <c r="N7" s="1031">
        <f>M7</f>
        <v>25569.041666666668</v>
      </c>
      <c r="O7" s="1032">
        <f>MAX(INT((P7-M7)/365.25),0)</f>
      </c>
      <c r="P7" s="1033">
        <f>IF(M7&lt;M1,M1,M7)</f>
        <v>25569.041666666668</v>
      </c>
      <c r="Q7" s="1032">
        <f>MAX(IF(AND(M7&lt;M1,O7='Simulador - 1º Pilar'!E99),(MONTH(M1)-MONTH(M7)),0),0)</f>
      </c>
      <c r="R7" s="170"/>
      <c r="S7" s="1034" t="s">
        <v>574</v>
      </c>
      <c r="T7" s="544">
        <f>DATE(YEAR(M7)-2,MONTH(M7),DAY(M7))</f>
        <v>25569.041666666668</v>
      </c>
      <c r="U7" s="544">
        <f>DATE(YEAR(M1)-'Simulador - Datos personales'!E18+35,MONTH(M1)-'Simulador - Datos personales'!$E$19,DAY(M1))</f>
        <v>25569.041666666668</v>
      </c>
      <c r="V7" s="1035">
        <f>IF(IF(IF(U7&lt;T7,T7,U7)&lt;M1,M1,IF(U7&lt;T7,T7,U7))&gt;N7,N7,IF(U7&lt;T7,T7,U7))</f>
        <v>25569.041666666668</v>
      </c>
      <c r="W7" s="7"/>
      <c r="X7" s="321"/>
      <c r="Y7" s="1"/>
    </row>
    <row x14ac:dyDescent="0.25" r="8" customHeight="1" ht="18.75">
      <c r="A8" s="1"/>
      <c r="B8" s="1"/>
      <c r="C8" s="331">
        <v>1996</v>
      </c>
      <c r="D8" s="331">
        <v>0</v>
      </c>
      <c r="E8" s="331">
        <v>65</v>
      </c>
      <c r="F8" s="331">
        <f>E8</f>
      </c>
      <c r="G8" s="331">
        <v>0</v>
      </c>
      <c r="H8" s="331">
        <v>0</v>
      </c>
      <c r="I8" s="1"/>
      <c r="J8" s="1"/>
      <c r="K8" s="1"/>
      <c r="L8" s="1027" t="s">
        <v>338</v>
      </c>
      <c r="M8" s="333">
        <f>_xlfn.IFNA(VLOOKUP(M7,$M$12:$O$14,3,0),VLOOKUP(M7,$N$12:$O$14,2,0))</f>
      </c>
      <c r="N8" s="7"/>
      <c r="O8" s="1036" t="s">
        <v>575</v>
      </c>
      <c r="P8" s="170"/>
      <c r="Q8" s="343" t="s">
        <v>398</v>
      </c>
      <c r="R8" s="170"/>
      <c r="S8" s="1034" t="s">
        <v>338</v>
      </c>
      <c r="T8" s="350"/>
      <c r="U8" s="350"/>
      <c r="V8" s="1037">
        <f>(V7-M2)/365.25</f>
      </c>
      <c r="W8" s="7"/>
      <c r="X8" s="321"/>
      <c r="Y8" s="1"/>
    </row>
    <row x14ac:dyDescent="0.25" r="9" customHeight="1" ht="18.75">
      <c r="A9" s="1"/>
      <c r="B9" s="1"/>
      <c r="C9" s="331">
        <v>1997</v>
      </c>
      <c r="D9" s="331">
        <v>0</v>
      </c>
      <c r="E9" s="331">
        <v>65</v>
      </c>
      <c r="F9" s="331">
        <f>E9</f>
      </c>
      <c r="G9" s="331">
        <v>0</v>
      </c>
      <c r="H9" s="331">
        <v>0</v>
      </c>
      <c r="I9" s="1"/>
      <c r="J9" s="1"/>
      <c r="K9" s="1"/>
      <c r="L9" s="1027" t="s">
        <v>576</v>
      </c>
      <c r="M9" s="333">
        <f>_xlfn.IFNA(VLOOKUP(M7,$M$12:$P$14,4,0),VLOOKUP(M7,$N$12:$P$14,3,0))</f>
      </c>
      <c r="N9" s="7"/>
      <c r="O9" s="7"/>
      <c r="P9" s="555"/>
      <c r="Q9" s="170"/>
      <c r="R9" s="170"/>
      <c r="S9" s="1034" t="s">
        <v>576</v>
      </c>
      <c r="T9" s="333">
        <f>(T7-$M$1)/365.25+$M$3</f>
      </c>
      <c r="U9" s="333">
        <f>(U7-$M$1)/365.25+$M$3</f>
      </c>
      <c r="V9" s="1037">
        <f>(V7-$M$1)/365.25+$M$3</f>
      </c>
      <c r="W9" s="7"/>
      <c r="X9" s="321"/>
      <c r="Y9" s="1"/>
    </row>
    <row x14ac:dyDescent="0.25" r="10" customHeight="1" ht="18.75">
      <c r="A10" s="1"/>
      <c r="B10" s="1"/>
      <c r="C10" s="331">
        <v>1998</v>
      </c>
      <c r="D10" s="331">
        <v>0</v>
      </c>
      <c r="E10" s="331">
        <v>65</v>
      </c>
      <c r="F10" s="331">
        <f>E10</f>
      </c>
      <c r="G10" s="331">
        <v>0</v>
      </c>
      <c r="H10" s="331">
        <v>0</v>
      </c>
      <c r="I10" s="1"/>
      <c r="J10" s="1"/>
      <c r="K10" s="1"/>
      <c r="L10" s="7"/>
      <c r="M10" s="7"/>
      <c r="N10" s="7"/>
      <c r="O10" s="7"/>
      <c r="P10" s="170"/>
      <c r="Q10" s="1038">
        <f>IF(Q12&gt;=L12,M12,IF(YEAR(M12)=YEAR(N12),N12,IF(AND(Q13&gt;=L13,N13=M13),M13,IF(YEAR(M13)=YEAR(N13),N13,IF(AND(Q14&gt;=L14,M14=N14),M14,N14)))))</f>
        <v>25569.041666666668</v>
      </c>
      <c r="R10" s="170"/>
      <c r="S10" s="1"/>
      <c r="T10" s="170"/>
      <c r="U10" s="321"/>
      <c r="V10" s="321"/>
      <c r="W10" s="7"/>
      <c r="X10" s="321"/>
      <c r="Y10" s="1"/>
    </row>
    <row x14ac:dyDescent="0.25" r="11" customHeight="1" ht="18.75">
      <c r="A11" s="1"/>
      <c r="B11" s="1"/>
      <c r="C11" s="331">
        <v>1999</v>
      </c>
      <c r="D11" s="331">
        <v>0</v>
      </c>
      <c r="E11" s="331">
        <v>65</v>
      </c>
      <c r="F11" s="331">
        <f>E11</f>
      </c>
      <c r="G11" s="331">
        <v>0</v>
      </c>
      <c r="H11" s="331">
        <v>0</v>
      </c>
      <c r="I11" s="1"/>
      <c r="J11" s="1"/>
      <c r="K11" s="1"/>
      <c r="L11" s="1027" t="s">
        <v>444</v>
      </c>
      <c r="M11" s="1039" t="s">
        <v>577</v>
      </c>
      <c r="N11" s="1039"/>
      <c r="O11" s="1039"/>
      <c r="P11" s="1040"/>
      <c r="Q11" s="1041" t="s">
        <v>578</v>
      </c>
      <c r="R11" s="544">
        <f>DATE(YEAR(M1)-'Simulador - Datos personales'!E18,MONTH('Fecha Jubilación'!M1)-'Simulador - Datos personales'!E19,DAY('Fecha Jubilación'!M1))</f>
        <v>25569.041666666668</v>
      </c>
      <c r="S11" s="1"/>
      <c r="T11" s="170"/>
      <c r="U11" s="321"/>
      <c r="V11" s="321"/>
      <c r="W11" s="7"/>
      <c r="X11" s="321"/>
      <c r="Y11" s="1"/>
    </row>
    <row x14ac:dyDescent="0.25" r="12" customHeight="1" ht="18.75">
      <c r="A12" s="1"/>
      <c r="B12" s="1"/>
      <c r="C12" s="331">
        <v>2000</v>
      </c>
      <c r="D12" s="331">
        <v>0</v>
      </c>
      <c r="E12" s="331">
        <v>65</v>
      </c>
      <c r="F12" s="331">
        <f>E12</f>
      </c>
      <c r="G12" s="331">
        <v>0</v>
      </c>
      <c r="H12" s="331">
        <v>0</v>
      </c>
      <c r="I12" s="1"/>
      <c r="J12" s="1"/>
      <c r="K12" s="1"/>
      <c r="L12" s="343">
        <f>IF(YEAR(M12)&gt;2027,38.5,VLOOKUP(YEAR(M12),$C$8:$D$39,2,0))</f>
      </c>
      <c r="M12" s="1036">
        <f>DATE(YEAR(M2)+65,MONTH(M2),DAY(M2))</f>
        <v>25569.041666666668</v>
      </c>
      <c r="N12" s="1036">
        <f>DATE(YEAR($M$2)+65,MONTH($M$2)+IF(YEAR(M12)&gt;2027,(VLOOKUP(2027,$C$8:$H$39,6,0)),(VLOOKUP(YEAR(M12),$C$8:$H$39,6,0))),DAY($M$2))</f>
        <v>25569.041666666668</v>
      </c>
      <c r="O12" s="343">
        <f>65+IF(YEAR(M12)&gt;2027,VLOOKUP(2027,$C$8:$H$39,6,0),VLOOKUP(YEAR(M12),$C$8:$H$39,6,0))/12</f>
      </c>
      <c r="P12" s="343">
        <f>M4+M3</f>
      </c>
      <c r="Q12" s="343">
        <f>M3-($M$1-M12)/365.25</f>
      </c>
      <c r="R12" s="343">
        <f>(M12-$R$11)/365.25</f>
      </c>
      <c r="S12" s="1"/>
      <c r="T12" s="1042" t="s">
        <v>579</v>
      </c>
      <c r="U12" s="544">
        <f>_xlfn.IFNA(IF(U13&gt;M12,MIN(IF(M1&gt;M12,Q10,N6),U13),M12),IF(M1&gt;M12,Q10,N6))</f>
        <v>25569.041666666668</v>
      </c>
      <c r="V12" s="321"/>
      <c r="W12" s="217"/>
      <c r="X12" s="217"/>
      <c r="Y12" s="217"/>
    </row>
    <row x14ac:dyDescent="0.25" r="13" customHeight="1" ht="18.75">
      <c r="A13" s="1"/>
      <c r="B13" s="1"/>
      <c r="C13" s="331">
        <v>2001</v>
      </c>
      <c r="D13" s="331">
        <v>0</v>
      </c>
      <c r="E13" s="331">
        <v>65</v>
      </c>
      <c r="F13" s="331">
        <f>E13</f>
      </c>
      <c r="G13" s="331">
        <v>0</v>
      </c>
      <c r="H13" s="331">
        <v>0</v>
      </c>
      <c r="I13" s="1"/>
      <c r="J13" s="1"/>
      <c r="K13" s="1"/>
      <c r="L13" s="343">
        <f>IF(YEAR(M13)&gt;2027,38.5,VLOOKUP(YEAR(M13),$C$8:$D$39,2,0))</f>
      </c>
      <c r="M13" s="1036">
        <f>N12</f>
        <v>25569.041666666668</v>
      </c>
      <c r="N13" s="1036">
        <f>DATE(YEAR($M$2)+65,MONTH($M$2)+IF(YEAR(M13)&gt;2027,(VLOOKUP(2027,$C$8:$H$39,6,0)),(VLOOKUP(YEAR(M13),$C$8:$H$39,6,0))),DAY($M$2))</f>
        <v>25569.041666666668</v>
      </c>
      <c r="O13" s="343">
        <f>65+IF(YEAR(M13)&gt;2027,VLOOKUP(2027,$C$8:$H$39,6,0),VLOOKUP(YEAR(M13),$C$8:$H$39,6,0))/12</f>
      </c>
      <c r="P13" s="343">
        <f>M4+M3+O13-65</f>
      </c>
      <c r="Q13" s="343">
        <f>Q12+O13-65</f>
      </c>
      <c r="R13" s="343">
        <f>(M13-$R$11)/365.25</f>
      </c>
      <c r="S13" s="217"/>
      <c r="T13" s="1043" t="s">
        <v>580</v>
      </c>
      <c r="U13" s="350">
        <f>VLOOKUP("Si",$T$16:$W$30,4,0)</f>
      </c>
      <c r="V13" s="321"/>
      <c r="W13" s="217"/>
      <c r="X13" s="217"/>
      <c r="Y13" s="217"/>
    </row>
    <row x14ac:dyDescent="0.25" r="14" customHeight="1" ht="18.75">
      <c r="A14" s="1"/>
      <c r="B14" s="1"/>
      <c r="C14" s="331">
        <v>2002</v>
      </c>
      <c r="D14" s="331">
        <v>0</v>
      </c>
      <c r="E14" s="331">
        <v>65</v>
      </c>
      <c r="F14" s="331">
        <f>E14</f>
      </c>
      <c r="G14" s="331">
        <v>0</v>
      </c>
      <c r="H14" s="331">
        <v>0</v>
      </c>
      <c r="I14" s="1"/>
      <c r="J14" s="1"/>
      <c r="K14" s="1"/>
      <c r="L14" s="343">
        <f>IF(YEAR(M14)&gt;2027,38.5,VLOOKUP(YEAR(M14),$C$8:$D$39,2,0))</f>
      </c>
      <c r="M14" s="1036">
        <f>N13</f>
        <v>25569.041666666668</v>
      </c>
      <c r="N14" s="1036">
        <f>DATE(YEAR($M$2)+65,MONTH($M$2)+IF(YEAR(M14)&gt;2027,(VLOOKUP(2027,$C$8:$H$39,6,0)),(VLOOKUP(YEAR(M14),$C$8:$H$39,6,0))),DAY($M$2))</f>
        <v>25569.041666666668</v>
      </c>
      <c r="O14" s="343">
        <f>65+IF(YEAR(M14)&gt;2027,VLOOKUP(2027,$C$8:$H$39,6,0),VLOOKUP(YEAR(M14),$C$8:$H$39,6,0))/12</f>
      </c>
      <c r="P14" s="343">
        <f>M3+M4+O14-65</f>
      </c>
      <c r="Q14" s="343">
        <f>Q13+O14-O13</f>
      </c>
      <c r="R14" s="343">
        <f>(M14-$R$11)/365.25</f>
      </c>
      <c r="S14" s="217"/>
      <c r="T14" s="170"/>
      <c r="U14" s="321"/>
      <c r="V14" s="321"/>
      <c r="W14" s="217"/>
      <c r="X14" s="217"/>
      <c r="Y14" s="217"/>
    </row>
    <row x14ac:dyDescent="0.25" r="15" customHeight="1" ht="18.75">
      <c r="A15" s="1"/>
      <c r="B15" s="1"/>
      <c r="C15" s="331">
        <v>2003</v>
      </c>
      <c r="D15" s="331">
        <v>0</v>
      </c>
      <c r="E15" s="331">
        <v>65</v>
      </c>
      <c r="F15" s="331">
        <f>E15</f>
      </c>
      <c r="G15" s="331">
        <v>0</v>
      </c>
      <c r="H15" s="331">
        <v>0</v>
      </c>
      <c r="I15" s="1"/>
      <c r="J15" s="1"/>
      <c r="K15" s="1"/>
      <c r="L15" s="7"/>
      <c r="M15" s="7"/>
      <c r="N15" s="7"/>
      <c r="O15" s="7"/>
      <c r="P15" s="170"/>
      <c r="Q15" s="170"/>
      <c r="R15" s="170"/>
      <c r="S15" s="1"/>
      <c r="T15" s="1044" t="s">
        <v>581</v>
      </c>
      <c r="U15" s="1043" t="s">
        <v>582</v>
      </c>
      <c r="V15" s="1043" t="s">
        <v>576</v>
      </c>
      <c r="W15" s="1045" t="s">
        <v>299</v>
      </c>
      <c r="X15" s="321"/>
      <c r="Y15" s="1"/>
    </row>
    <row x14ac:dyDescent="0.25" r="16" customHeight="1" ht="18.75">
      <c r="A16" s="1"/>
      <c r="B16" s="1"/>
      <c r="C16" s="331">
        <v>2004</v>
      </c>
      <c r="D16" s="331">
        <v>0</v>
      </c>
      <c r="E16" s="331">
        <v>65</v>
      </c>
      <c r="F16" s="331">
        <f>E16</f>
      </c>
      <c r="G16" s="331">
        <v>0</v>
      </c>
      <c r="H16" s="331">
        <v>0</v>
      </c>
      <c r="I16" s="1"/>
      <c r="J16" s="1"/>
      <c r="K16" s="1"/>
      <c r="L16" s="7"/>
      <c r="M16" s="7"/>
      <c r="N16" s="7"/>
      <c r="O16" s="7"/>
      <c r="P16" s="217"/>
      <c r="Q16" s="217"/>
      <c r="R16" s="217"/>
      <c r="S16" s="1"/>
      <c r="T16" s="350">
        <f>IF(YEAR(W16)=U16,"Si","No")</f>
      </c>
      <c r="U16" s="333">
        <f>YEAR($M$12)</f>
      </c>
      <c r="V16" s="333">
        <f>IF(U16&gt;2027,38.5,VLOOKUP(U16,$C$8:$D$39,2,0))</f>
      </c>
      <c r="W16" s="544">
        <f>DATE(YEAR($M$1)+INT(V16)-'Simulador - Datos personales'!$E$18,MONTH($M$1)+(V16-INT(V16))*12-'Simulador - Datos personales'!$E$19,DAY($M$1))</f>
        <v>25569.041666666668</v>
      </c>
      <c r="X16" s="217">
        <f>(W16-$R$11)/365.25</f>
      </c>
      <c r="Y16" s="1"/>
    </row>
    <row x14ac:dyDescent="0.25" r="17" customHeight="1" ht="18.75">
      <c r="A17" s="1"/>
      <c r="B17" s="1"/>
      <c r="C17" s="331">
        <v>2005</v>
      </c>
      <c r="D17" s="331">
        <v>0</v>
      </c>
      <c r="E17" s="331">
        <v>65</v>
      </c>
      <c r="F17" s="331">
        <f>E17</f>
      </c>
      <c r="G17" s="331">
        <v>0</v>
      </c>
      <c r="H17" s="331">
        <v>0</v>
      </c>
      <c r="I17" s="1"/>
      <c r="J17" s="1"/>
      <c r="K17" s="1"/>
      <c r="L17" s="1027" t="s">
        <v>583</v>
      </c>
      <c r="M17" s="544">
        <f>MAX(N17,M1)</f>
        <v>25569.041666666668</v>
      </c>
      <c r="N17" s="544">
        <f>DATE(YEAR(N7)+L18,MONTH('Fecha Jubilación'!N7),DAY('Fecha Jubilación'!N7))</f>
        <v>25569.041666666668</v>
      </c>
      <c r="O17" s="7"/>
      <c r="P17" s="217"/>
      <c r="Q17" s="217"/>
      <c r="R17" s="217"/>
      <c r="S17" s="1"/>
      <c r="T17" s="350">
        <f>IF(YEAR(W17)=U17,"Si","No")</f>
      </c>
      <c r="U17" s="333">
        <f>YEAR($M$12)+1</f>
      </c>
      <c r="V17" s="333">
        <f>IF(U17&gt;2027,38.5,VLOOKUP(U17,$C$8:$D$39,2,0))</f>
      </c>
      <c r="W17" s="544">
        <f>DATE(YEAR($M$1)+INT(V17)-'Simulador - Datos personales'!$E$18,MONTH($M$1)+(V17-INT(V17))*12-'Simulador - Datos personales'!$E$19,DAY($M$1))</f>
        <v>25569.041666666668</v>
      </c>
      <c r="X17" s="217">
        <f>(W17-$R$11)/365.25</f>
      </c>
      <c r="Y17" s="1"/>
    </row>
    <row x14ac:dyDescent="0.25" r="18" customHeight="1" ht="18.75">
      <c r="A18" s="1"/>
      <c r="B18" s="1"/>
      <c r="C18" s="331">
        <v>2006</v>
      </c>
      <c r="D18" s="331">
        <v>0</v>
      </c>
      <c r="E18" s="331">
        <v>65</v>
      </c>
      <c r="F18" s="331">
        <f>E18</f>
      </c>
      <c r="G18" s="331">
        <v>0</v>
      </c>
      <c r="H18" s="331">
        <v>0</v>
      </c>
      <c r="I18" s="1"/>
      <c r="J18" s="1"/>
      <c r="K18" s="1"/>
      <c r="L18" s="332">
        <f>'Simulador - 1º Pilar'!E99</f>
      </c>
      <c r="M18" s="7"/>
      <c r="N18" s="7"/>
      <c r="O18" s="7"/>
      <c r="P18" s="170"/>
      <c r="Q18" s="170"/>
      <c r="R18" s="170"/>
      <c r="S18" s="1"/>
      <c r="T18" s="350">
        <f>IF(YEAR(W18)=U18,"Si","No")</f>
      </c>
      <c r="U18" s="333">
        <f>U17+1</f>
      </c>
      <c r="V18" s="333">
        <f>IF(U18&gt;2027,38.5,VLOOKUP(U18,$C$8:$D$39,2,0))</f>
      </c>
      <c r="W18" s="544">
        <f>DATE(YEAR($M$1)+INT(V18)-'Simulador - Datos personales'!$E$18,MONTH($M$1)+(V18-INT(V18))*12-'Simulador - Datos personales'!$E$19,DAY($M$1))</f>
        <v>25569.041666666668</v>
      </c>
      <c r="X18" s="217">
        <f>(W18-$R$11)/365.25</f>
      </c>
      <c r="Y18" s="1"/>
    </row>
    <row x14ac:dyDescent="0.25" r="19" customHeight="1" ht="18.75">
      <c r="A19" s="1"/>
      <c r="B19" s="1"/>
      <c r="C19" s="331">
        <v>2007</v>
      </c>
      <c r="D19" s="331">
        <v>0</v>
      </c>
      <c r="E19" s="331">
        <v>65</v>
      </c>
      <c r="F19" s="331">
        <f>E19</f>
      </c>
      <c r="G19" s="331">
        <v>0</v>
      </c>
      <c r="H19" s="331">
        <v>0</v>
      </c>
      <c r="I19" s="1"/>
      <c r="J19" s="1"/>
      <c r="K19" s="1"/>
      <c r="L19" s="7"/>
      <c r="M19" s="7"/>
      <c r="N19" s="7"/>
      <c r="O19" s="7"/>
      <c r="P19" s="170"/>
      <c r="Q19" s="170"/>
      <c r="R19" s="170"/>
      <c r="S19" s="1"/>
      <c r="T19" s="350">
        <f>IF(YEAR(W19)=U19,"Si","No")</f>
      </c>
      <c r="U19" s="333">
        <f>U18+1</f>
      </c>
      <c r="V19" s="333">
        <f>IF(U19&gt;2027,38.5,VLOOKUP(U19,$C$8:$D$39,2,0))</f>
      </c>
      <c r="W19" s="544">
        <f>DATE(YEAR($M$1)+INT(V19)-'Simulador - Datos personales'!$E$18,MONTH($M$1)+(V19-INT(V19))*12-'Simulador - Datos personales'!$E$19,DAY($M$1))</f>
        <v>25569.041666666668</v>
      </c>
      <c r="X19" s="217">
        <f>(W19-$R$11)/365.25</f>
      </c>
      <c r="Y19" s="1"/>
    </row>
    <row x14ac:dyDescent="0.25" r="20" customHeight="1" ht="18.75">
      <c r="A20" s="1"/>
      <c r="B20" s="1"/>
      <c r="C20" s="331">
        <v>2008</v>
      </c>
      <c r="D20" s="331">
        <v>0</v>
      </c>
      <c r="E20" s="331">
        <v>65</v>
      </c>
      <c r="F20" s="331">
        <f>E20</f>
      </c>
      <c r="G20" s="331">
        <v>0</v>
      </c>
      <c r="H20" s="331">
        <v>0</v>
      </c>
      <c r="I20" s="1"/>
      <c r="J20" s="1"/>
      <c r="K20" s="1"/>
      <c r="L20" s="1027" t="s">
        <v>584</v>
      </c>
      <c r="M20" s="1046">
        <f>DATE(YEAR(V7),MONTH(V7),DAY(V7))</f>
        <v>25569.041666666668</v>
      </c>
      <c r="N20" s="7"/>
      <c r="O20" s="7"/>
      <c r="P20" s="170"/>
      <c r="Q20" s="170"/>
      <c r="R20" s="170"/>
      <c r="S20" s="1"/>
      <c r="T20" s="350">
        <f>IF(YEAR(W20)=U20,"Si","No")</f>
      </c>
      <c r="U20" s="333">
        <f>U19+1</f>
      </c>
      <c r="V20" s="333">
        <f>IF(U20&gt;2027,38.5,VLOOKUP(U20,$C$8:$D$39,2,0))</f>
      </c>
      <c r="W20" s="544">
        <f>DATE(YEAR($M$1)+INT(V20)-'Simulador - Datos personales'!$E$18,MONTH($M$1)+(V20-INT(V20))*12-'Simulador - Datos personales'!$E$19,DAY($M$1))</f>
        <v>25569.041666666668</v>
      </c>
      <c r="X20" s="217">
        <f>(W20-$R$11)/365.25</f>
      </c>
      <c r="Y20" s="1"/>
    </row>
    <row x14ac:dyDescent="0.25" r="21" customHeight="1" ht="18.75">
      <c r="A21" s="1"/>
      <c r="B21" s="1"/>
      <c r="C21" s="331">
        <v>2009</v>
      </c>
      <c r="D21" s="331">
        <v>0</v>
      </c>
      <c r="E21" s="331">
        <v>65</v>
      </c>
      <c r="F21" s="331">
        <f>E21</f>
      </c>
      <c r="G21" s="331">
        <v>0</v>
      </c>
      <c r="H21" s="331">
        <v>0</v>
      </c>
      <c r="I21" s="1"/>
      <c r="J21" s="1"/>
      <c r="K21" s="339" t="s">
        <v>585</v>
      </c>
      <c r="L21" s="1036">
        <f>'Simulador - 1º Pilar'!G16</f>
        <v>25569.041666666668</v>
      </c>
      <c r="M21" s="7"/>
      <c r="N21" s="7"/>
      <c r="O21" s="544">
        <f>'Simulador - 1º Pilar'!G5</f>
        <v>25569.041666666668</v>
      </c>
      <c r="P21" s="170"/>
      <c r="Q21" s="170"/>
      <c r="R21" s="170"/>
      <c r="S21" s="1"/>
      <c r="T21" s="350">
        <f>IF(YEAR(W21)=U21,"Si","No")</f>
      </c>
      <c r="U21" s="333">
        <f>U20+1</f>
      </c>
      <c r="V21" s="333">
        <f>IF(U21&gt;2027,38.5,VLOOKUP(U21,$C$8:$D$39,2,0))</f>
      </c>
      <c r="W21" s="544">
        <f>DATE(YEAR($M$1)+INT(V21)-'Simulador - Datos personales'!$E$18,MONTH($M$1)+(V21-INT(V21))*12-'Simulador - Datos personales'!$E$19,DAY($M$1))</f>
        <v>25569.041666666668</v>
      </c>
      <c r="X21" s="217">
        <f>(W21-$R$11)/365.25</f>
      </c>
      <c r="Y21" s="1"/>
    </row>
    <row x14ac:dyDescent="0.25" r="22" customHeight="1" ht="18.75">
      <c r="A22" s="1"/>
      <c r="B22" s="1"/>
      <c r="C22" s="331">
        <v>2010</v>
      </c>
      <c r="D22" s="331">
        <v>0</v>
      </c>
      <c r="E22" s="331">
        <v>65</v>
      </c>
      <c r="F22" s="331">
        <f>E22</f>
      </c>
      <c r="G22" s="331">
        <v>0</v>
      </c>
      <c r="H22" s="331">
        <v>0</v>
      </c>
      <c r="I22" s="1"/>
      <c r="J22" s="1"/>
      <c r="K22" s="339" t="s">
        <v>586</v>
      </c>
      <c r="L22" s="342">
        <f>_xlfn.DAYS(M20,L21)</f>
      </c>
      <c r="M22" s="7"/>
      <c r="N22" s="7"/>
      <c r="O22" s="967">
        <f>'Simulador - 1º Pilar'!E5</f>
        <v>25569.041666666668</v>
      </c>
      <c r="P22" s="170"/>
      <c r="Q22" s="170"/>
      <c r="R22" s="170"/>
      <c r="S22" s="1"/>
      <c r="T22" s="350">
        <f>IF(YEAR(W22)=U22,"Si","No")</f>
      </c>
      <c r="U22" s="333">
        <f>U21+1</f>
      </c>
      <c r="V22" s="333">
        <f>IF(U22&gt;2027,38.5,VLOOKUP(U22,$C$8:$D$39,2,0))</f>
      </c>
      <c r="W22" s="544">
        <f>DATE(YEAR($M$1)+INT(V22)-'Simulador - Datos personales'!$E$18,MONTH($M$1)+(V22-INT(V22))*12-'Simulador - Datos personales'!$E$19,DAY($M$1))</f>
        <v>25569.041666666668</v>
      </c>
      <c r="X22" s="217">
        <f>(W22-$R$11)/365.25</f>
      </c>
      <c r="Y22" s="1"/>
    </row>
    <row x14ac:dyDescent="0.25" r="23" customHeight="1" ht="18.75">
      <c r="A23" s="1"/>
      <c r="B23" s="1"/>
      <c r="C23" s="331">
        <v>2011</v>
      </c>
      <c r="D23" s="331">
        <v>0</v>
      </c>
      <c r="E23" s="331">
        <v>65</v>
      </c>
      <c r="F23" s="331">
        <f>E23</f>
      </c>
      <c r="G23" s="331">
        <v>0</v>
      </c>
      <c r="H23" s="331">
        <v>0</v>
      </c>
      <c r="I23" s="1"/>
      <c r="J23" s="1"/>
      <c r="K23" s="339" t="s">
        <v>587</v>
      </c>
      <c r="L23" s="1036">
        <f>M20+L22</f>
        <v>25569.041666666668</v>
      </c>
      <c r="M23" s="7"/>
      <c r="N23" s="7"/>
      <c r="O23" s="544">
        <f>'Simulador - 1º Pilar'!G10</f>
      </c>
      <c r="P23" s="350"/>
      <c r="Q23" s="170"/>
      <c r="R23" s="170"/>
      <c r="S23" s="1"/>
      <c r="T23" s="350">
        <f>IF(YEAR(W23)=U23,"Si","No")</f>
      </c>
      <c r="U23" s="333">
        <f>U22+1</f>
      </c>
      <c r="V23" s="333">
        <f>IF(U23&gt;2027,38.5,VLOOKUP(U23,$C$8:$D$39,2,0))</f>
      </c>
      <c r="W23" s="544">
        <f>DATE(YEAR($M$1)+INT(V23)-'Simulador - Datos personales'!$E$18,MONTH($M$1)+(V23-INT(V23))*12-'Simulador - Datos personales'!$E$19,DAY($M$1))</f>
        <v>25569.041666666668</v>
      </c>
      <c r="X23" s="217">
        <f>(W23-$R$11)/365.25</f>
      </c>
      <c r="Y23" s="1"/>
    </row>
    <row x14ac:dyDescent="0.25" r="24" customHeight="1" ht="18.75">
      <c r="A24" s="1"/>
      <c r="B24" s="1"/>
      <c r="C24" s="331">
        <v>2012</v>
      </c>
      <c r="D24" s="331">
        <v>0</v>
      </c>
      <c r="E24" s="331">
        <v>65</v>
      </c>
      <c r="F24" s="331">
        <f>E24</f>
      </c>
      <c r="G24" s="331">
        <v>0</v>
      </c>
      <c r="H24" s="331">
        <v>0</v>
      </c>
      <c r="I24" s="1"/>
      <c r="J24" s="1"/>
      <c r="K24" s="1"/>
      <c r="L24" s="1047">
        <f>+IF($O$23="Jubilación anticipada",DATE(YEAR($O$22)-13,MONTH($O$22),DAY($O$22)),IF($O$23="Jubilación ordinaria",DATE(YEAR($O$21)-13,MONTH($O$21),DAY($O$21)),""))</f>
        <v>25569.041666666668</v>
      </c>
      <c r="M24" s="7"/>
      <c r="N24" s="7"/>
      <c r="O24" s="7"/>
      <c r="P24" s="170"/>
      <c r="Q24" s="170"/>
      <c r="R24" s="170"/>
      <c r="S24" s="1"/>
      <c r="T24" s="350">
        <f>IF(YEAR(W24)=U24,"Si","No")</f>
      </c>
      <c r="U24" s="333">
        <f>U23+1</f>
      </c>
      <c r="V24" s="333">
        <f>IF(U24&gt;2027,38.5,VLOOKUP(U24,$C$8:$D$39,2,0))</f>
      </c>
      <c r="W24" s="544">
        <f>DATE(YEAR($M$1)+INT(V24)-'Simulador - Datos personales'!$E$18,MONTH($M$1)+(V24-INT(V24))*12-'Simulador - Datos personales'!$E$19,DAY($M$1))</f>
        <v>25569.041666666668</v>
      </c>
      <c r="X24" s="217">
        <f>(W24-$R$11)/365.25</f>
      </c>
      <c r="Y24" s="1"/>
    </row>
    <row x14ac:dyDescent="0.25" r="25" customHeight="1" ht="18.75">
      <c r="A25" s="1"/>
      <c r="B25" s="1"/>
      <c r="C25" s="331">
        <v>2013</v>
      </c>
      <c r="D25" s="217">
        <f>D26-0.25</f>
      </c>
      <c r="E25" s="331">
        <v>65</v>
      </c>
      <c r="F25" s="217">
        <f>F26-1/12</f>
      </c>
      <c r="G25" s="217">
        <f>F25-E25</f>
      </c>
      <c r="H25" s="217">
        <v>2.000000000000398</v>
      </c>
      <c r="I25" s="1"/>
      <c r="J25" s="1"/>
      <c r="K25" s="1"/>
      <c r="L25" s="7"/>
      <c r="M25" s="7"/>
      <c r="N25" s="7"/>
      <c r="O25" s="7"/>
      <c r="P25" s="170"/>
      <c r="Q25" s="170"/>
      <c r="R25" s="170"/>
      <c r="S25" s="1"/>
      <c r="T25" s="350">
        <f>IF(YEAR(W25)=U25,"Si","No")</f>
      </c>
      <c r="U25" s="333">
        <f>U24+1</f>
      </c>
      <c r="V25" s="333">
        <f>IF(U25&gt;2027,38.5,VLOOKUP(U25,$C$8:$D$39,2,0))</f>
      </c>
      <c r="W25" s="544">
        <f>DATE(YEAR($M$1)+INT(V25)-'Simulador - Datos personales'!$E$18,MONTH($M$1)+(V25-INT(V25))*12-'Simulador - Datos personales'!$E$19,DAY($M$1))</f>
        <v>25569.041666666668</v>
      </c>
      <c r="X25" s="217">
        <f>(W25-$R$11)/365.25</f>
      </c>
      <c r="Y25" s="1"/>
    </row>
    <row x14ac:dyDescent="0.25" r="26" customHeight="1" ht="18.75">
      <c r="A26" s="1"/>
      <c r="B26" s="1"/>
      <c r="C26" s="331">
        <v>2014</v>
      </c>
      <c r="D26" s="217">
        <f>D27-0.25</f>
      </c>
      <c r="E26" s="331">
        <v>65</v>
      </c>
      <c r="F26" s="217">
        <f>F27-1/12</f>
      </c>
      <c r="G26" s="217">
        <f>F26-E26</f>
      </c>
      <c r="H26" s="217">
        <v>3.000000000000341</v>
      </c>
      <c r="I26" s="1"/>
      <c r="J26" s="1"/>
      <c r="K26" s="1"/>
      <c r="L26" s="7"/>
      <c r="M26" s="7"/>
      <c r="N26" s="7"/>
      <c r="O26" s="7"/>
      <c r="P26" s="170"/>
      <c r="Q26" s="170"/>
      <c r="R26" s="170"/>
      <c r="S26" s="1"/>
      <c r="T26" s="350">
        <f>IF(YEAR(W26)=U26,"Si","No")</f>
      </c>
      <c r="U26" s="333">
        <f>U25+1</f>
      </c>
      <c r="V26" s="333">
        <f>IF(U26&gt;2027,38.5,VLOOKUP(U26,$C$8:$D$39,2,0))</f>
      </c>
      <c r="W26" s="544">
        <f>DATE(YEAR($M$1)+INT(V26)-'Simulador - Datos personales'!$E$18,MONTH($M$1)+(V26-INT(V26))*12-'Simulador - Datos personales'!$E$19,DAY($M$1))</f>
        <v>25569.041666666668</v>
      </c>
      <c r="X26" s="217">
        <f>(W26-$R$11)/365.25</f>
      </c>
      <c r="Y26" s="1"/>
    </row>
    <row x14ac:dyDescent="0.25" r="27" customHeight="1" ht="18.75">
      <c r="A27" s="1"/>
      <c r="B27" s="1"/>
      <c r="C27" s="331">
        <v>2015</v>
      </c>
      <c r="D27" s="217">
        <f>D28-0.25</f>
      </c>
      <c r="E27" s="331">
        <v>65</v>
      </c>
      <c r="F27" s="217">
        <f>F28-1/12</f>
      </c>
      <c r="G27" s="217">
        <f>F27-E27</f>
      </c>
      <c r="H27" s="217">
        <v>4.000000000000284</v>
      </c>
      <c r="I27" s="1"/>
      <c r="J27" s="1"/>
      <c r="K27" s="1"/>
      <c r="L27" s="7"/>
      <c r="M27" s="7"/>
      <c r="N27" s="7"/>
      <c r="O27" s="7"/>
      <c r="P27" s="170"/>
      <c r="Q27" s="170"/>
      <c r="R27" s="170"/>
      <c r="S27" s="1"/>
      <c r="T27" s="350">
        <f>IF(YEAR(W27)=U27,"Si","No")</f>
      </c>
      <c r="U27" s="333">
        <f>U26+1</f>
      </c>
      <c r="V27" s="333">
        <f>IF(U27&gt;2027,38.5,VLOOKUP(U27,$C$8:$D$39,2,0))</f>
      </c>
      <c r="W27" s="544">
        <f>DATE(YEAR($M$1)+INT(V27)-'Simulador - Datos personales'!$E$18,MONTH($M$1)+(V27-INT(V27))*12-'Simulador - Datos personales'!$E$19,DAY($M$1))</f>
        <v>25569.041666666668</v>
      </c>
      <c r="X27" s="217">
        <f>(W27-$R$11)/365.25</f>
      </c>
      <c r="Y27" s="1"/>
    </row>
    <row x14ac:dyDescent="0.25" r="28" customHeight="1" ht="18.75">
      <c r="A28" s="1"/>
      <c r="B28" s="1"/>
      <c r="C28" s="331">
        <v>2016</v>
      </c>
      <c r="D28" s="331">
        <f>D29-0.25</f>
      </c>
      <c r="E28" s="331">
        <v>65</v>
      </c>
      <c r="F28" s="217">
        <f>F29-1/12</f>
      </c>
      <c r="G28" s="217">
        <f>F28-E28</f>
      </c>
      <c r="H28" s="217">
        <v>5.000000000000227</v>
      </c>
      <c r="I28" s="1"/>
      <c r="J28" s="1"/>
      <c r="K28" s="1"/>
      <c r="L28" s="7"/>
      <c r="M28" s="7"/>
      <c r="N28" s="7"/>
      <c r="O28" s="7"/>
      <c r="P28" s="170"/>
      <c r="Q28" s="170"/>
      <c r="R28" s="170"/>
      <c r="S28" s="1"/>
      <c r="T28" s="350">
        <f>IF(YEAR(W28)=U28,"Si","No")</f>
      </c>
      <c r="U28" s="333">
        <f>U27+1</f>
      </c>
      <c r="V28" s="333">
        <f>IF(U28&gt;2027,38.5,VLOOKUP(U28,$C$8:$D$39,2,0))</f>
      </c>
      <c r="W28" s="544">
        <f>DATE(YEAR($M$1)+INT(V28)-'Simulador - Datos personales'!$E$18,MONTH($M$1)+(V28-INT(V28))*12-'Simulador - Datos personales'!$E$19,DAY($M$1))</f>
        <v>25569.041666666668</v>
      </c>
      <c r="X28" s="217">
        <f>(W28-$R$11)/365.25</f>
      </c>
      <c r="Y28" s="1"/>
    </row>
    <row x14ac:dyDescent="0.25" r="29" customHeight="1" ht="18.75">
      <c r="A29" s="1"/>
      <c r="B29" s="1"/>
      <c r="C29" s="331">
        <v>2017</v>
      </c>
      <c r="D29" s="217">
        <f>D30-0.25</f>
      </c>
      <c r="E29" s="331">
        <v>65</v>
      </c>
      <c r="F29" s="217">
        <f>F30-1/12</f>
      </c>
      <c r="G29" s="217">
        <f>F29-E29</f>
      </c>
      <c r="H29" s="217">
        <v>6.0000000000001705</v>
      </c>
      <c r="I29" s="1"/>
      <c r="J29" s="1"/>
      <c r="K29" s="1"/>
      <c r="L29" s="7"/>
      <c r="M29" s="7"/>
      <c r="N29" s="7"/>
      <c r="O29" s="7"/>
      <c r="P29" s="170"/>
      <c r="Q29" s="170"/>
      <c r="R29" s="170"/>
      <c r="S29" s="1"/>
      <c r="T29" s="350">
        <f>IF(YEAR(W29)=U29,"Si","No")</f>
      </c>
      <c r="U29" s="333">
        <f>U28+1</f>
      </c>
      <c r="V29" s="333">
        <f>IF(U29&gt;2027,38.5,VLOOKUP(U29,$C$8:$D$39,2,0))</f>
      </c>
      <c r="W29" s="544">
        <f>DATE(YEAR($M$1)+INT(V29)-'Simulador - Datos personales'!$E$18,MONTH($M$1)+(V29-INT(V29))*12-'Simulador - Datos personales'!$E$19,DAY($M$1))</f>
        <v>25569.041666666668</v>
      </c>
      <c r="X29" s="217">
        <f>(W29-$R$11)/365.25</f>
      </c>
      <c r="Y29" s="1"/>
    </row>
    <row x14ac:dyDescent="0.25" r="30" customHeight="1" ht="18.75">
      <c r="A30" s="1"/>
      <c r="B30" s="1"/>
      <c r="C30" s="331">
        <v>2018</v>
      </c>
      <c r="D30" s="217">
        <f>D31-0.25</f>
      </c>
      <c r="E30" s="331">
        <v>65</v>
      </c>
      <c r="F30" s="217">
        <f>F31-1/12</f>
      </c>
      <c r="G30" s="217">
        <f>F30-E30</f>
      </c>
      <c r="H30" s="217">
        <v>7.000000000000114</v>
      </c>
      <c r="I30" s="1"/>
      <c r="J30" s="1"/>
      <c r="K30" s="1"/>
      <c r="L30" s="7"/>
      <c r="M30" s="7"/>
      <c r="N30" s="7"/>
      <c r="O30" s="7"/>
      <c r="P30" s="170"/>
      <c r="Q30" s="170"/>
      <c r="R30" s="170"/>
      <c r="S30" s="1"/>
      <c r="T30" s="350">
        <f>IF(YEAR(W30)=U30,"Si","No")</f>
      </c>
      <c r="U30" s="333">
        <f>U29+1</f>
      </c>
      <c r="V30" s="333">
        <f>IF(U30&gt;2027,38.5,VLOOKUP(U30,$C$8:$D$39,2,0))</f>
      </c>
      <c r="W30" s="544">
        <f>DATE(YEAR($M$1)+INT(V30)-'Simulador - Datos personales'!$E$18,MONTH($M$1)+(V30-INT(V30))*12-'Simulador - Datos personales'!$E$19,DAY($M$1))</f>
        <v>25569.041666666668</v>
      </c>
      <c r="X30" s="217">
        <f>(W30-$R$11)/365.25</f>
      </c>
      <c r="Y30" s="1"/>
    </row>
    <row x14ac:dyDescent="0.25" r="31" customHeight="1" ht="18.75">
      <c r="A31" s="1"/>
      <c r="B31" s="1"/>
      <c r="C31" s="331">
        <v>2019</v>
      </c>
      <c r="D31" s="217">
        <v>36.75</v>
      </c>
      <c r="E31" s="331">
        <v>65</v>
      </c>
      <c r="F31" s="217">
        <f>E31+G31</f>
      </c>
      <c r="G31" s="217">
        <f>8/12</f>
      </c>
      <c r="H31" s="331">
        <v>8</v>
      </c>
      <c r="I31" s="1"/>
      <c r="J31" s="1"/>
      <c r="K31" s="1"/>
      <c r="L31" s="7"/>
      <c r="M31" s="7"/>
      <c r="N31" s="7"/>
      <c r="O31" s="7"/>
      <c r="P31" s="170"/>
      <c r="Q31" s="170"/>
      <c r="R31" s="170"/>
      <c r="S31" s="1"/>
      <c r="T31" s="350">
        <f>IF(YEAR(W31)=U31,"Si","No")</f>
      </c>
      <c r="U31" s="333">
        <f>U30+1</f>
      </c>
      <c r="V31" s="333">
        <f>IF(U31&gt;2027,38.5,VLOOKUP(U31,$C$8:$D$39,2,0))</f>
      </c>
      <c r="W31" s="544">
        <f>DATE(YEAR($M$1)+INT(V31)-'Simulador - Datos personales'!$E$18,MONTH($M$1)+(V31-INT(V31))*12-'Simulador - Datos personales'!$E$19,DAY($M$1))</f>
        <v>25569.041666666668</v>
      </c>
      <c r="X31" s="217">
        <f>(W31-$R$11)/365.25</f>
      </c>
      <c r="Y31" s="1"/>
    </row>
    <row x14ac:dyDescent="0.25" r="32" customHeight="1" ht="18.75">
      <c r="A32" s="1"/>
      <c r="B32" s="1"/>
      <c r="C32" s="331">
        <v>2020</v>
      </c>
      <c r="D32" s="331">
        <v>37</v>
      </c>
      <c r="E32" s="331">
        <v>65</v>
      </c>
      <c r="F32" s="217">
        <f>E32+G32</f>
      </c>
      <c r="G32" s="217">
        <f>10/12</f>
      </c>
      <c r="H32" s="331">
        <v>10</v>
      </c>
      <c r="I32" s="1"/>
      <c r="J32" s="1"/>
      <c r="K32" s="1"/>
      <c r="L32" s="7"/>
      <c r="M32" s="7"/>
      <c r="N32" s="7"/>
      <c r="O32" s="7"/>
      <c r="P32" s="170"/>
      <c r="Q32" s="170"/>
      <c r="R32" s="170"/>
      <c r="S32" s="1"/>
      <c r="T32" s="350">
        <f>IF(YEAR(W32)=U32,"Si","No")</f>
      </c>
      <c r="U32" s="333">
        <f>U31+1</f>
      </c>
      <c r="V32" s="333">
        <f>IF(U32&gt;2027,38.5,VLOOKUP(U32,$C$8:$D$39,2,0))</f>
      </c>
      <c r="W32" s="544">
        <f>DATE(YEAR($M$1)+INT(V32)-'Simulador - Datos personales'!$E$18,MONTH($M$1)+(V32-INT(V32))*12-'Simulador - Datos personales'!$E$19,DAY($M$1))</f>
        <v>25569.041666666668</v>
      </c>
      <c r="X32" s="217">
        <f>(W32-$R$11)/365.25</f>
      </c>
      <c r="Y32" s="1"/>
    </row>
    <row x14ac:dyDescent="0.25" r="33" customHeight="1" ht="18.75">
      <c r="A33" s="1"/>
      <c r="B33" s="1"/>
      <c r="C33" s="331">
        <v>2021</v>
      </c>
      <c r="D33" s="217">
        <v>37.25</v>
      </c>
      <c r="E33" s="331">
        <v>65</v>
      </c>
      <c r="F33" s="217">
        <f>E33+G33</f>
      </c>
      <c r="G33" s="217">
        <v>1</v>
      </c>
      <c r="H33" s="331">
        <v>12</v>
      </c>
      <c r="I33" s="1"/>
      <c r="J33" s="1"/>
      <c r="K33" s="1"/>
      <c r="L33" s="7"/>
      <c r="M33" s="7"/>
      <c r="N33" s="7"/>
      <c r="O33" s="7"/>
      <c r="P33" s="170"/>
      <c r="Q33" s="170"/>
      <c r="R33" s="170"/>
      <c r="S33" s="1"/>
      <c r="T33" s="350">
        <f>IF(YEAR(W33)=U33,"Si","No")</f>
      </c>
      <c r="U33" s="333">
        <f>U32+1</f>
      </c>
      <c r="V33" s="333">
        <f>IF(U33&gt;2027,38.5,VLOOKUP(U33,$C$8:$D$39,2,0))</f>
      </c>
      <c r="W33" s="544">
        <f>DATE(YEAR($M$1)+INT(V33)-'Simulador - Datos personales'!$E$18,MONTH($M$1)+(V33-INT(V33))*12-'Simulador - Datos personales'!$E$19,DAY($M$1))</f>
        <v>25569.041666666668</v>
      </c>
      <c r="X33" s="217">
        <f>(W33-$R$11)/365.25</f>
      </c>
      <c r="Y33" s="1"/>
    </row>
    <row x14ac:dyDescent="0.25" r="34" customHeight="1" ht="18.75">
      <c r="A34" s="1"/>
      <c r="B34" s="1"/>
      <c r="C34" s="331">
        <v>2022</v>
      </c>
      <c r="D34" s="217">
        <v>37.5</v>
      </c>
      <c r="E34" s="331">
        <v>65</v>
      </c>
      <c r="F34" s="217">
        <f>E34+G34</f>
      </c>
      <c r="G34" s="217">
        <f>1+2/12</f>
      </c>
      <c r="H34" s="331">
        <v>14</v>
      </c>
      <c r="I34" s="1"/>
      <c r="J34" s="1"/>
      <c r="K34" s="1"/>
      <c r="L34" s="7"/>
      <c r="M34" s="7"/>
      <c r="N34" s="7"/>
      <c r="O34" s="7"/>
      <c r="P34" s="170"/>
      <c r="Q34" s="170"/>
      <c r="R34" s="170"/>
      <c r="S34" s="1"/>
      <c r="T34" s="350">
        <f>IF(YEAR(W34)=U34,"Si","No")</f>
      </c>
      <c r="U34" s="333">
        <f>U33+1</f>
      </c>
      <c r="V34" s="333">
        <f>IF(U34&gt;2027,38.5,VLOOKUP(U34,$C$8:$D$39,2,0))</f>
      </c>
      <c r="W34" s="544">
        <f>DATE(YEAR($M$1)+INT(V34)-'Simulador - Datos personales'!$E$18,MONTH($M$1)+(V34-INT(V34))*12-'Simulador - Datos personales'!$E$19,DAY($M$1))</f>
        <v>25569.041666666668</v>
      </c>
      <c r="X34" s="217">
        <f>(W34-$R$11)/365.25</f>
      </c>
      <c r="Y34" s="1"/>
    </row>
    <row x14ac:dyDescent="0.25" r="35" customHeight="1" ht="18.75">
      <c r="A35" s="1"/>
      <c r="B35" s="1"/>
      <c r="C35" s="331">
        <v>2023</v>
      </c>
      <c r="D35" s="217">
        <v>37.75</v>
      </c>
      <c r="E35" s="331">
        <v>65</v>
      </c>
      <c r="F35" s="217">
        <f>E35+G35</f>
      </c>
      <c r="G35" s="217">
        <f>1+4/12</f>
      </c>
      <c r="H35" s="331">
        <v>16</v>
      </c>
      <c r="I35" s="1"/>
      <c r="J35" s="1"/>
      <c r="K35" s="1"/>
      <c r="L35" s="7"/>
      <c r="M35" s="7"/>
      <c r="N35" s="7"/>
      <c r="O35" s="7"/>
      <c r="P35" s="170"/>
      <c r="Q35" s="170"/>
      <c r="R35" s="170"/>
      <c r="S35" s="1"/>
      <c r="T35" s="350">
        <f>IF(YEAR(W35)=U35,"Si","No")</f>
      </c>
      <c r="U35" s="333">
        <f>U34+1</f>
      </c>
      <c r="V35" s="333">
        <f>IF(U35&gt;2027,38.5,VLOOKUP(U35,$C$8:$D$39,2,0))</f>
      </c>
      <c r="W35" s="544">
        <f>DATE(YEAR($M$1)+INT(V35)-'Simulador - Datos personales'!$E$18,MONTH($M$1)+(V35-INT(V35))*12-'Simulador - Datos personales'!$E$19,DAY($M$1))</f>
        <v>25569.041666666668</v>
      </c>
      <c r="X35" s="217">
        <f>(W35-$R$11)/365.25</f>
      </c>
      <c r="Y35" s="1"/>
    </row>
    <row x14ac:dyDescent="0.25" r="36" customHeight="1" ht="18.75">
      <c r="A36" s="1"/>
      <c r="B36" s="1"/>
      <c r="C36" s="331">
        <v>2024</v>
      </c>
      <c r="D36" s="331">
        <v>38</v>
      </c>
      <c r="E36" s="331">
        <v>65</v>
      </c>
      <c r="F36" s="217">
        <f>E36+G36</f>
      </c>
      <c r="G36" s="217">
        <f>1+0.5</f>
      </c>
      <c r="H36" s="331">
        <v>18</v>
      </c>
      <c r="I36" s="1"/>
      <c r="J36" s="1"/>
      <c r="K36" s="1"/>
      <c r="L36" s="7"/>
      <c r="M36" s="7"/>
      <c r="N36" s="7"/>
      <c r="O36" s="7"/>
      <c r="P36" s="170"/>
      <c r="Q36" s="170"/>
      <c r="R36" s="170"/>
      <c r="S36" s="1"/>
      <c r="T36" s="350">
        <f>IF(YEAR(W36)=U36,"Si","No")</f>
      </c>
      <c r="U36" s="333">
        <f>U35+1</f>
      </c>
      <c r="V36" s="333">
        <f>IF(U36&gt;2027,38.5,VLOOKUP(U36,$C$8:$D$39,2,0))</f>
      </c>
      <c r="W36" s="544">
        <f>DATE(YEAR($M$1)+INT(V36)-'Simulador - Datos personales'!$E$18,MONTH($M$1)+(V36-INT(V36))*12-'Simulador - Datos personales'!$E$19,DAY($M$1))</f>
        <v>25569.041666666668</v>
      </c>
      <c r="X36" s="217">
        <f>(W36-$R$11)/365.25</f>
      </c>
      <c r="Y36" s="1"/>
    </row>
    <row x14ac:dyDescent="0.25" r="37" customHeight="1" ht="18.75">
      <c r="A37" s="1"/>
      <c r="B37" s="1"/>
      <c r="C37" s="331">
        <v>2025</v>
      </c>
      <c r="D37" s="217">
        <v>38.25</v>
      </c>
      <c r="E37" s="331">
        <v>65</v>
      </c>
      <c r="F37" s="217">
        <f>E37+G37</f>
      </c>
      <c r="G37" s="217">
        <f>1+8/12</f>
      </c>
      <c r="H37" s="331">
        <v>20</v>
      </c>
      <c r="I37" s="1"/>
      <c r="J37" s="1"/>
      <c r="K37" s="1"/>
      <c r="L37" s="7"/>
      <c r="M37" s="7"/>
      <c r="N37" s="7"/>
      <c r="O37" s="7"/>
      <c r="P37" s="170"/>
      <c r="Q37" s="170"/>
      <c r="R37" s="170"/>
      <c r="S37" s="1"/>
      <c r="T37" s="350">
        <f>IF(YEAR(W37)=U37,"Si","No")</f>
      </c>
      <c r="U37" s="333">
        <f>U36+1</f>
      </c>
      <c r="V37" s="333">
        <f>IF(U37&gt;2027,38.5,VLOOKUP(U37,$C$8:$D$39,2,0))</f>
      </c>
      <c r="W37" s="544">
        <f>DATE(YEAR($M$1)+INT(V37)-'Simulador - Datos personales'!$E$18,MONTH($M$1)+(V37-INT(V37))*12-'Simulador - Datos personales'!$E$19,DAY($M$1))</f>
        <v>25569.041666666668</v>
      </c>
      <c r="X37" s="217">
        <f>(W37-$R$11)/365.25</f>
      </c>
      <c r="Y37" s="1"/>
    </row>
    <row x14ac:dyDescent="0.25" r="38" customHeight="1" ht="18.75">
      <c r="A38" s="1"/>
      <c r="B38" s="1"/>
      <c r="C38" s="331">
        <v>2026</v>
      </c>
      <c r="D38" s="217">
        <v>38.25</v>
      </c>
      <c r="E38" s="331">
        <v>65</v>
      </c>
      <c r="F38" s="217">
        <f>E38+G38</f>
      </c>
      <c r="G38" s="217">
        <f>1+10/12</f>
      </c>
      <c r="H38" s="331">
        <v>22</v>
      </c>
      <c r="I38" s="1"/>
      <c r="J38" s="1"/>
      <c r="K38" s="1"/>
      <c r="L38" s="7"/>
      <c r="M38" s="7"/>
      <c r="N38" s="7"/>
      <c r="O38" s="7"/>
      <c r="P38" s="170"/>
      <c r="Q38" s="170"/>
      <c r="R38" s="170"/>
      <c r="S38" s="1"/>
      <c r="T38" s="350">
        <f>IF(YEAR(W38)=U38,"Si","No")</f>
      </c>
      <c r="U38" s="333">
        <f>U37+1</f>
      </c>
      <c r="V38" s="333">
        <f>IF(U38&gt;2027,38.5,VLOOKUP(U38,$C$8:$D$39,2,0))</f>
      </c>
      <c r="W38" s="544">
        <f>DATE(YEAR($M$1)+INT(V38)-'Simulador - Datos personales'!$E$18,MONTH($M$1)+(V38-INT(V38))*12-'Simulador - Datos personales'!$E$19,DAY($M$1))</f>
        <v>25569.041666666668</v>
      </c>
      <c r="X38" s="217">
        <f>(W38-$R$11)/365.25</f>
      </c>
      <c r="Y38" s="1"/>
    </row>
    <row x14ac:dyDescent="0.25" r="39" customHeight="1" ht="18.75">
      <c r="A39" s="1"/>
      <c r="B39" s="1"/>
      <c r="C39" s="331">
        <v>2027</v>
      </c>
      <c r="D39" s="217">
        <v>38.5</v>
      </c>
      <c r="E39" s="331">
        <v>65</v>
      </c>
      <c r="F39" s="217">
        <f>E39+G39</f>
      </c>
      <c r="G39" s="217">
        <v>2</v>
      </c>
      <c r="H39" s="331">
        <v>24</v>
      </c>
      <c r="I39" s="1"/>
      <c r="J39" s="1"/>
      <c r="K39" s="1"/>
      <c r="L39" s="7"/>
      <c r="M39" s="7"/>
      <c r="N39" s="7"/>
      <c r="O39" s="7"/>
      <c r="P39" s="170"/>
      <c r="Q39" s="170"/>
      <c r="R39" s="170"/>
      <c r="S39" s="1"/>
      <c r="T39" s="350">
        <f>IF(YEAR(W39)=U39,"Si","No")</f>
      </c>
      <c r="U39" s="333">
        <f>U38+1</f>
      </c>
      <c r="V39" s="333">
        <f>IF(U39&gt;2027,38.5,VLOOKUP(U39,$C$8:$D$39,2,0))</f>
      </c>
      <c r="W39" s="544">
        <f>DATE(YEAR($M$1)+INT(V39)-'Simulador - Datos personales'!$E$18,MONTH($M$1)+(V39-INT(V39))*12-'Simulador - Datos personales'!$E$19,DAY($M$1))</f>
        <v>25569.041666666668</v>
      </c>
      <c r="X39" s="217">
        <f>(W39-$R$11)/365.25</f>
      </c>
      <c r="Y39" s="1"/>
    </row>
  </sheetData>
  <mergeCells count="1">
    <mergeCell ref="M11:P1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M305"/>
  <sheetViews>
    <sheetView workbookViewId="0"/>
  </sheetViews>
  <sheetFormatPr defaultRowHeight="15" x14ac:dyDescent="0.25"/>
  <cols>
    <col min="1" max="1" style="163" width="32.005" customWidth="1" bestFit="1"/>
    <col min="2" max="2" style="164" width="13.005" customWidth="1" bestFit="1"/>
    <col min="3" max="3" style="165" width="10.719285714285713" customWidth="1" bestFit="1"/>
    <col min="4" max="4" style="164" width="22.576428571428572" customWidth="1" bestFit="1"/>
    <col min="5" max="5" style="165" width="16.005" customWidth="1" bestFit="1"/>
    <col min="6" max="6" style="165" width="10.719285714285713" customWidth="1" bestFit="1"/>
    <col min="7" max="7" style="164" width="13.576428571428572" customWidth="1" bestFit="1"/>
    <col min="8" max="8" style="164" width="32.71928571428572" customWidth="1" bestFit="1"/>
    <col min="9" max="9" style="165" width="16.290714285714284" customWidth="1" bestFit="1"/>
    <col min="10" max="10" style="163" width="13.576428571428572" customWidth="1" bestFit="1"/>
    <col min="11" max="11" style="165" width="10.290714285714287" customWidth="1" bestFit="1"/>
    <col min="12" max="12" style="165" width="13.576428571428572" customWidth="1" bestFit="1"/>
    <col min="13" max="13" style="165" width="10.576428571428572" customWidth="1" bestFit="1"/>
    <col min="14" max="14" style="163" width="13.576428571428572" customWidth="1" bestFit="1"/>
    <col min="15" max="15" style="352" width="13.576428571428572" customWidth="1" bestFit="1"/>
    <col min="16" max="16" style="352" width="13.576428571428572" customWidth="1" bestFit="1"/>
    <col min="17" max="17" style="352" width="13.576428571428572" customWidth="1" bestFit="1"/>
    <col min="18" max="18" style="165" width="13.576428571428572" customWidth="1" bestFit="1"/>
    <col min="19" max="19" style="353" width="10.290714285714287" customWidth="1" bestFit="1"/>
    <col min="20" max="20" style="353" width="11.290714285714287" customWidth="1" bestFit="1"/>
    <col min="21" max="21" style="353" width="12.719285714285713" customWidth="1" bestFit="1"/>
    <col min="22" max="22" style="353" width="11.576428571428572" customWidth="1" bestFit="1"/>
    <col min="23" max="23" style="164" width="15.719285714285713" customWidth="1" bestFit="1"/>
    <col min="24" max="24" style="352" width="12.576428571428572" customWidth="1" bestFit="1"/>
    <col min="25" max="25" style="352" width="13.576428571428572" customWidth="1" bestFit="1"/>
    <col min="26" max="26" style="165" width="24.290714285714284" customWidth="1" bestFit="1"/>
    <col min="27" max="27" style="165" width="26.290714285714284" customWidth="1" bestFit="1"/>
    <col min="28" max="28" style="165" width="18.290714285714284" customWidth="1" bestFit="1"/>
    <col min="29" max="29" style="165" width="13.576428571428572" customWidth="1" bestFit="1"/>
    <col min="30" max="30" style="352" width="17.290714285714284" customWidth="1" bestFit="1"/>
    <col min="31" max="31" style="165" width="13.576428571428572" customWidth="1" bestFit="1"/>
    <col min="32" max="32" style="164" width="13.576428571428572" customWidth="1" bestFit="1"/>
    <col min="33" max="33" style="165" width="13.576428571428572" customWidth="1" bestFit="1"/>
    <col min="34" max="34" style="164" width="15.005" customWidth="1" bestFit="1"/>
    <col min="35" max="35" style="164" width="13.576428571428572" customWidth="1" bestFit="1"/>
    <col min="36" max="36" style="163" width="13.576428571428572" customWidth="1" bestFit="1"/>
    <col min="37" max="37" style="163" width="13.576428571428572" customWidth="1" bestFit="1"/>
    <col min="38" max="38" style="164" width="16.719285714285714" customWidth="1" bestFit="1"/>
    <col min="39" max="39" style="164" width="16.005" customWidth="1" bestFit="1"/>
  </cols>
  <sheetData>
    <row x14ac:dyDescent="0.25" r="1" customHeight="1" ht="18.75">
      <c r="A1" s="1"/>
      <c r="B1" s="170"/>
      <c r="C1" s="169"/>
      <c r="D1" s="170"/>
      <c r="E1" s="217"/>
      <c r="F1" s="169"/>
      <c r="G1" s="170"/>
      <c r="H1" s="170"/>
      <c r="I1" s="169"/>
      <c r="J1" s="1"/>
      <c r="K1" s="169"/>
      <c r="L1" s="169"/>
      <c r="M1" s="169"/>
      <c r="N1" s="1"/>
      <c r="O1" s="320"/>
      <c r="P1" s="320"/>
      <c r="Q1" s="320"/>
      <c r="R1" s="169"/>
      <c r="S1" s="321"/>
      <c r="T1" s="321"/>
      <c r="U1" s="321"/>
      <c r="V1" s="321"/>
      <c r="W1" s="276"/>
      <c r="X1" s="320"/>
      <c r="Y1" s="320"/>
      <c r="Z1" s="169"/>
      <c r="AA1" s="169"/>
      <c r="AB1" s="169"/>
      <c r="AC1" s="169"/>
      <c r="AD1" s="320"/>
      <c r="AE1" s="169"/>
      <c r="AF1" s="170"/>
      <c r="AG1" s="169"/>
      <c r="AH1" s="170"/>
      <c r="AI1" s="170"/>
      <c r="AJ1" s="1"/>
      <c r="AK1" s="1"/>
      <c r="AL1" s="170" t="s">
        <v>390</v>
      </c>
      <c r="AM1" s="170"/>
    </row>
    <row x14ac:dyDescent="0.25" r="2" customHeight="1" ht="36.75">
      <c r="A2" s="1"/>
      <c r="B2" s="555">
        <f>+TODAY()</f>
        <v>25569.041666666668</v>
      </c>
      <c r="C2" s="169"/>
      <c r="D2" s="170"/>
      <c r="E2" s="169"/>
      <c r="F2" s="169"/>
      <c r="G2" s="170"/>
      <c r="H2" s="170"/>
      <c r="I2" s="169"/>
      <c r="J2" s="1"/>
      <c r="K2" s="169"/>
      <c r="L2" s="169"/>
      <c r="M2" s="217">
        <f>SUM(M4:M268)</f>
      </c>
      <c r="N2" s="1"/>
      <c r="O2" s="947">
        <f>IF(Q4=12,YEAR(B7)-1+IF('Simulador - 1º Pilar'!G10="Jubilación prolongada",'Simulador - 1º Pilar'!E99,0),YEAR(B7)+IF('Simulador - 1º Pilar'!G10="Jubilación prolongada",'Simulador - 1º Pilar'!E99,0))</f>
      </c>
      <c r="P2" s="947">
        <f>IF(MONTH(B7)=1,12,IF(DAY(B7)&gt;=1,MONTH(B7)-1,MONTH(B7)))</f>
      </c>
      <c r="Q2" s="332">
        <f>IF(MONTH(B7)+IF(AND('Simulador - 1º Pilar'!G10="Jubilación prolongada",'Fecha Jubilación'!M1&gt;'Fecha Jubilación'!M7),'Fecha Jubilación'!Q7,0)=1,12,IF(DAY(B7)&gt;=1,MONTH(B7)-1+IF(AND('Simulador - 1º Pilar'!G10="Jubilación prolongada",'Fecha Jubilación'!M1&gt;'Fecha Jubilación'!M7),'Fecha Jubilación'!Q7,0),MONTH(B7)+IF(AND('Simulador - 1º Pilar'!G10="Jubilación prolongada",'Fecha Jubilación'!M1&gt;'Fecha Jubilación'!M7),'Fecha Jubilación'!Q7,0)))</f>
      </c>
      <c r="R2" s="331">
        <f>SUM(R4:R268)</f>
      </c>
      <c r="S2" s="342">
        <f>SUM(S4:S305)</f>
      </c>
      <c r="T2" s="948">
        <f>SUM(T4:T305)</f>
      </c>
      <c r="U2" s="342">
        <f>SUM(U4:U305)</f>
      </c>
      <c r="V2" s="342">
        <f>SUM(V4:V305)</f>
      </c>
      <c r="W2" s="342">
        <f>SUM(W4:W305)</f>
      </c>
      <c r="X2" s="320"/>
      <c r="Y2" s="320"/>
      <c r="Z2" s="949" t="s">
        <v>391</v>
      </c>
      <c r="AA2" s="949" t="s">
        <v>392</v>
      </c>
      <c r="AB2" s="949" t="s">
        <v>393</v>
      </c>
      <c r="AC2" s="169"/>
      <c r="AD2" s="320"/>
      <c r="AE2" s="950" t="s">
        <v>391</v>
      </c>
      <c r="AF2" s="951" t="s">
        <v>394</v>
      </c>
      <c r="AG2" s="950" t="s">
        <v>393</v>
      </c>
      <c r="AH2" s="951" t="s">
        <v>395</v>
      </c>
      <c r="AI2" s="170"/>
      <c r="AJ2" s="1"/>
      <c r="AK2" s="1"/>
      <c r="AL2" s="170" t="s">
        <v>396</v>
      </c>
      <c r="AM2" s="170"/>
    </row>
    <row x14ac:dyDescent="0.25" r="3" customHeight="1" ht="18.75">
      <c r="A3" s="549" t="s">
        <v>397</v>
      </c>
      <c r="B3" s="547"/>
      <c r="C3" s="169"/>
      <c r="D3" s="170"/>
      <c r="E3" s="169"/>
      <c r="F3" s="169"/>
      <c r="G3" s="170"/>
      <c r="H3" s="170"/>
      <c r="I3" s="169"/>
      <c r="J3" s="1"/>
      <c r="K3" s="169"/>
      <c r="L3" s="952" t="s">
        <v>398</v>
      </c>
      <c r="M3" s="952" t="s">
        <v>399</v>
      </c>
      <c r="N3" s="193"/>
      <c r="O3" s="953" t="s">
        <v>391</v>
      </c>
      <c r="P3" s="954" t="s">
        <v>400</v>
      </c>
      <c r="Q3" s="955" t="s">
        <v>401</v>
      </c>
      <c r="R3" s="169"/>
      <c r="S3" s="956" t="s">
        <v>402</v>
      </c>
      <c r="T3" s="957" t="s">
        <v>403</v>
      </c>
      <c r="U3" s="957" t="s">
        <v>404</v>
      </c>
      <c r="V3" s="957" t="s">
        <v>405</v>
      </c>
      <c r="W3" s="957" t="s">
        <v>406</v>
      </c>
      <c r="X3" s="958" t="s">
        <v>407</v>
      </c>
      <c r="Y3" s="320"/>
      <c r="Z3" s="169" t="s">
        <v>391</v>
      </c>
      <c r="AA3" s="169" t="s">
        <v>392</v>
      </c>
      <c r="AB3" s="169" t="s">
        <v>393</v>
      </c>
      <c r="AC3" s="169"/>
      <c r="AD3" s="555">
        <f>DATE(YEAR(B6)+65,MONTH(B6)+8,DAY(B6))</f>
        <v>25569.041666666668</v>
      </c>
      <c r="AE3" s="331">
        <v>2013</v>
      </c>
      <c r="AF3" s="217">
        <f>AF4-0.25</f>
      </c>
      <c r="AG3" s="331">
        <v>65</v>
      </c>
      <c r="AH3" s="217">
        <f>AH4-1/12</f>
      </c>
      <c r="AI3" s="217">
        <f>AH3-AG3</f>
      </c>
      <c r="AJ3" s="1"/>
      <c r="AK3" s="1"/>
      <c r="AL3" s="170" t="s">
        <v>408</v>
      </c>
      <c r="AM3" s="170"/>
    </row>
    <row x14ac:dyDescent="0.25" r="4" customHeight="1" ht="18.75">
      <c r="A4" s="959" t="s">
        <v>409</v>
      </c>
      <c r="B4" s="544">
        <f>+DATE(YEAR($B$2)-'Simulador - Datos personales'!$E$18,MONTH($B$2)-'Simulador - Datos personales'!$E$19,DAY($B$2))</f>
        <v>25569.041666666668</v>
      </c>
      <c r="C4" s="169"/>
      <c r="D4" s="170"/>
      <c r="E4" s="169"/>
      <c r="F4" s="169"/>
      <c r="G4" s="170"/>
      <c r="H4" s="960" t="s">
        <v>410</v>
      </c>
      <c r="I4" s="961"/>
      <c r="J4" s="1"/>
      <c r="K4" s="962">
        <f>180+184</f>
      </c>
      <c r="L4" s="332">
        <v>1</v>
      </c>
      <c r="M4" s="333">
        <f>IF(L4&lt;=$C$22,$B$22,IF(L4&lt;=$C$23+$C$22,$B$23,0))</f>
      </c>
      <c r="N4" s="193"/>
      <c r="O4" s="332">
        <f>IF(Q4=12,YEAR(B7)-1+IF('Simulador - 1º Pilar'!G10="Jubilación prolongada",'Simulador - 1º Pilar'!E99,0),YEAR(B7)+IF('Simulador - 1º Pilar'!G10="Jubilación prolongada",'Simulador - 1º Pilar'!E99,0))+IF(AND('Simulador - 1º Pilar'!G10="Jubilación prolongada",'Fecha Jubilación'!M1&gt;'Fecha Jubilación'!M7,Q2&lt;P2),1,0)</f>
      </c>
      <c r="P4" s="332">
        <v>1</v>
      </c>
      <c r="Q4" s="963">
        <f>IF(MONTH(B7)+IF(AND('Simulador - 1º Pilar'!G10="Jubilación prolongada",'Fecha Jubilación'!M1&gt;'Fecha Jubilación'!M7),'Fecha Jubilación'!Q7,0)=1,12,IF(DAY(B7)&gt;=1,MONTH(B7)-1+IF(AND('Simulador - 1º Pilar'!G10="Jubilación prolongada",'Fecha Jubilación'!M1&gt;'Fecha Jubilación'!M7),'Fecha Jubilación'!Q7,0),MONTH(B7)+IF(AND('Simulador - 1º Pilar'!G10="Jubilación prolongada",'Fecha Jubilación'!M1&gt;'Fecha Jubilación'!M7),'Fecha Jubilación'!Q7,0)))</f>
      </c>
      <c r="R4" s="169"/>
      <c r="S4" s="333">
        <f>HLOOKUP(O4,'Datos SS'!$B$4:$CZZ$16,(Q4+1),0)</f>
      </c>
      <c r="T4" s="333">
        <f>IF(O4=YEAR($B$5),($B$9/12),IF(O4&gt;MIN(YEAR($B$7),YEAR($B$5)),($B$9/12)*(1+HLOOKUP(O4,'Datos SS'!$B$31:$CZZ$32,2,0))^(O4-YEAR($B$5)),$B$9/12/(1+HLOOKUP(O4,'Datos SS'!$B$31:$CZZ$32,2,0))))</f>
      </c>
      <c r="U4" s="333">
        <f>IF(O4=2018,IF(Q4&lt;8,HLOOKUP(O4,'Datos SS'!$B$25:$BZZ$27,3,0)/12,HLOOKUP(O4,'Datos SS'!$B$25:$BZZ$26,2,0)/12),HLOOKUP(O4,'Datos SS'!$B$25:$BZZ$26,2,0)/12)</f>
      </c>
      <c r="V4" s="964">
        <f>MAX(X4,MIN(T4,U4))</f>
      </c>
      <c r="W4" s="333">
        <f>IF($E$19="NO",IF(P4&lt;=180,IF(P4&lt;25,V4,V4*$S$28/S4),0),IF(P4&gt;$B$15,0,IF(P4&lt;25,V4,V4*$S$28/S4)))</f>
      </c>
      <c r="X4" s="721">
        <f>HLOOKUP(O4,'Datos SS'!$K$37:$EP$38,2,0)</f>
      </c>
      <c r="Y4" s="217">
        <f>MAX(D40,0)</f>
      </c>
      <c r="Z4" s="331">
        <v>2013</v>
      </c>
      <c r="AA4" s="169" t="s">
        <v>411</v>
      </c>
      <c r="AB4" s="169" t="s">
        <v>412</v>
      </c>
      <c r="AC4" s="965">
        <v>2364.810479731508</v>
      </c>
      <c r="AD4" s="331">
        <f>+AC4-W4</f>
      </c>
      <c r="AE4" s="331">
        <v>2014</v>
      </c>
      <c r="AF4" s="217">
        <f>AF5-0.25</f>
      </c>
      <c r="AG4" s="331">
        <v>65</v>
      </c>
      <c r="AH4" s="217">
        <f>AH5-1/12</f>
      </c>
      <c r="AI4" s="217">
        <f>AH4-AG4</f>
      </c>
      <c r="AJ4" s="1"/>
      <c r="AK4" s="1"/>
      <c r="AL4" s="170" t="s">
        <v>413</v>
      </c>
      <c r="AM4" s="170"/>
    </row>
    <row x14ac:dyDescent="0.25" r="5" customHeight="1" ht="18.75">
      <c r="A5" s="966" t="s">
        <v>299</v>
      </c>
      <c r="B5" s="544">
        <f>TODAY()</f>
        <v>25569.041666666668</v>
      </c>
      <c r="C5" s="169"/>
      <c r="D5" s="170"/>
      <c r="E5" s="555"/>
      <c r="F5" s="169"/>
      <c r="G5" s="170"/>
      <c r="H5" s="350" t="s">
        <v>414</v>
      </c>
      <c r="I5" s="333">
        <f>B21</f>
      </c>
      <c r="J5" s="217"/>
      <c r="K5" s="169"/>
      <c r="L5" s="332">
        <v>2</v>
      </c>
      <c r="M5" s="333">
        <f>IF(L5&lt;=$C$22,$B$22,IF(L5&lt;=$C$23+$C$22,$B$23,0))</f>
      </c>
      <c r="N5" s="193"/>
      <c r="O5" s="332">
        <f>IF(Q5=12,O4-1,O4)</f>
      </c>
      <c r="P5" s="332">
        <v>2</v>
      </c>
      <c r="Q5" s="332">
        <f>IF(Q4=1,12,Q4-1)</f>
      </c>
      <c r="R5" s="169"/>
      <c r="S5" s="333">
        <f>HLOOKUP(O5,'Datos SS'!$B$4:$CZZ$16,(Q5+1),0)</f>
      </c>
      <c r="T5" s="333">
        <f>IF(O5=YEAR($B$5),($B$9/12),IF(O5&gt;MIN(YEAR($B$7),YEAR($B$5)),($B$9/12)*(1+HLOOKUP(O5,'Datos SS'!$B$31:$CZZ$32,2,0))^(O5-YEAR($B$5)),$B$9/12/(1+HLOOKUP(O5,'Datos SS'!$B$31:$CZZ$32,2,0))))</f>
      </c>
      <c r="U5" s="333">
        <f>IF(O5=2018,IF(Q5&lt;8,HLOOKUP(O5,'Datos SS'!$B$25:$BZZ$27,3,0)/12,HLOOKUP(O5,'Datos SS'!$B$25:$BZZ$26,2,0)/12),HLOOKUP(O5,'Datos SS'!$B$25:$BZZ$26,2,0)/12)</f>
      </c>
      <c r="V5" s="964">
        <f>MAX(X5,MIN(T5,U5))</f>
      </c>
      <c r="W5" s="333">
        <f>IF($E$19="NO",IF(P5&lt;=180,IF(P5&lt;25,V5,V5*$S$28/S5),0),IF(P5&gt;$B$15,0,IF(P5&lt;25,V5,V5*$S$28/S5)))</f>
      </c>
      <c r="X5" s="721">
        <f>HLOOKUP(O5,'Datos SS'!$K$37:$EP$38,2,0)</f>
      </c>
      <c r="Y5" s="331">
        <f>MAX(INT(Y4)-1,0)</f>
      </c>
      <c r="Z5" s="169"/>
      <c r="AA5" s="169" t="s">
        <v>415</v>
      </c>
      <c r="AB5" s="169" t="s">
        <v>416</v>
      </c>
      <c r="AC5" s="965">
        <v>2364.810479731508</v>
      </c>
      <c r="AD5" s="331">
        <f>+AC5-W5</f>
      </c>
      <c r="AE5" s="331">
        <v>2015</v>
      </c>
      <c r="AF5" s="217">
        <f>AF6-0.25</f>
      </c>
      <c r="AG5" s="331">
        <v>65</v>
      </c>
      <c r="AH5" s="217">
        <f>AH6-1/12</f>
      </c>
      <c r="AI5" s="217">
        <f>AH5-AG5</f>
      </c>
      <c r="AJ5" s="1"/>
      <c r="AK5" s="1"/>
      <c r="AL5" s="170" t="s">
        <v>417</v>
      </c>
      <c r="AM5" s="170"/>
    </row>
    <row x14ac:dyDescent="0.25" r="6" customHeight="1" ht="18.75">
      <c r="A6" s="966" t="s">
        <v>418</v>
      </c>
      <c r="B6" s="967">
        <f>'Simulador - Datos personales'!E7</f>
        <v>25569.041666666668</v>
      </c>
      <c r="C6" s="333"/>
      <c r="D6" s="170" t="s">
        <v>419</v>
      </c>
      <c r="E6" s="169"/>
      <c r="F6" s="169"/>
      <c r="G6" s="170"/>
      <c r="H6" s="350" t="s">
        <v>420</v>
      </c>
      <c r="I6" s="347">
        <f>B26</f>
      </c>
      <c r="J6" s="1"/>
      <c r="K6" s="169"/>
      <c r="L6" s="332">
        <v>3</v>
      </c>
      <c r="M6" s="333">
        <f>IF(L6&lt;=$C$22,$B$22,IF(L6&lt;=$C$23+$C$22,$B$23,0))</f>
      </c>
      <c r="N6" s="193"/>
      <c r="O6" s="332">
        <f>IF(Q6=12,O5-1,O5)</f>
      </c>
      <c r="P6" s="332">
        <v>3</v>
      </c>
      <c r="Q6" s="332">
        <f>IF(Q5=1,12,Q5-1)</f>
      </c>
      <c r="R6" s="169"/>
      <c r="S6" s="333">
        <f>HLOOKUP(O6,'Datos SS'!$B$4:$CZZ$16,(Q6+1),0)</f>
      </c>
      <c r="T6" s="333">
        <f>IF(O6=YEAR($B$5),($B$9/12),IF(O6&gt;MIN(YEAR($B$7),YEAR($B$5)),($B$9/12)*(1+HLOOKUP(O6,'Datos SS'!$B$31:$CZZ$32,2,0))^(O6-YEAR($B$5)),$B$9/12/(1+HLOOKUP(O6,'Datos SS'!$B$31:$CZZ$32,2,0))))</f>
      </c>
      <c r="U6" s="333">
        <f>IF(O6=2018,IF(Q6&lt;8,HLOOKUP(O6,'Datos SS'!$B$25:$BZZ$27,3,0)/12,HLOOKUP(O6,'Datos SS'!$B$25:$BZZ$26,2,0)/12),HLOOKUP(O6,'Datos SS'!$B$25:$BZZ$26,2,0)/12)</f>
      </c>
      <c r="V6" s="964">
        <f>MAX(X6,MIN(T6,U6))</f>
      </c>
      <c r="W6" s="333">
        <f>IF($E$19="NO",IF(P6&lt;=180,IF(P6&lt;25,V6,V6*$S$28/S6),0),IF(P6&gt;$B$15,0,IF(P6&lt;25,V6,V6*$S$28/S6)))</f>
      </c>
      <c r="X6" s="721">
        <f>HLOOKUP(O6,'Datos SS'!$K$37:$EP$38,2,0)</f>
      </c>
      <c r="Y6" s="331">
        <f>MAX(INT(Y5)-1,0)</f>
      </c>
      <c r="Z6" s="331">
        <v>2014</v>
      </c>
      <c r="AA6" s="169" t="s">
        <v>421</v>
      </c>
      <c r="AB6" s="169" t="s">
        <v>412</v>
      </c>
      <c r="AC6" s="965">
        <v>2364.810479731508</v>
      </c>
      <c r="AD6" s="331">
        <f>+AC6-W6</f>
      </c>
      <c r="AE6" s="331">
        <v>2016</v>
      </c>
      <c r="AF6" s="331">
        <f>AF7-0.25</f>
      </c>
      <c r="AG6" s="331">
        <v>65</v>
      </c>
      <c r="AH6" s="217">
        <f>AH7-1/12</f>
      </c>
      <c r="AI6" s="217">
        <f>AH6-AG6</f>
      </c>
      <c r="AJ6" s="1"/>
      <c r="AK6" s="1"/>
      <c r="AL6" s="170" t="s">
        <v>422</v>
      </c>
      <c r="AM6" s="170"/>
    </row>
    <row x14ac:dyDescent="0.25" r="7" customHeight="1" ht="18.75">
      <c r="A7" s="966" t="s">
        <v>423</v>
      </c>
      <c r="B7" s="544">
        <f>IF('Simulador - 1º Pilar'!G10="Jubilación prolongada",'Simulador - 1º Pilar'!G5,'Simulador - 1º Pilar'!G20)</f>
        <v>25569.041666666668</v>
      </c>
      <c r="C7" s="333">
        <f>+(B7-B4)/365.25</f>
      </c>
      <c r="D7" s="968">
        <f>('Simulador - 1º Pilar'!G5-PJSS!B7)/365.25</f>
      </c>
      <c r="E7" s="968">
        <f>+D7*12</f>
      </c>
      <c r="F7" s="968">
        <f>+D7*4</f>
      </c>
      <c r="G7" s="170"/>
      <c r="H7" s="969" t="s">
        <v>424</v>
      </c>
      <c r="I7" s="970">
        <f>B25</f>
      </c>
      <c r="J7" s="1"/>
      <c r="K7" s="169"/>
      <c r="L7" s="332">
        <v>4</v>
      </c>
      <c r="M7" s="333">
        <f>IF(L7&lt;=$C$22,$B$22,IF(L7&lt;=$C$23+$C$22,$B$23,0))</f>
      </c>
      <c r="N7" s="193"/>
      <c r="O7" s="332">
        <f>IF(Q7=12,O6-1,O6)</f>
      </c>
      <c r="P7" s="332">
        <v>4</v>
      </c>
      <c r="Q7" s="332">
        <f>IF(Q6=1,12,Q6-1)</f>
      </c>
      <c r="R7" s="169"/>
      <c r="S7" s="333">
        <f>HLOOKUP(O7,'Datos SS'!$B$4:$CZZ$16,(Q7+1),0)</f>
      </c>
      <c r="T7" s="333">
        <f>IF(O7=YEAR($B$5),($B$9/12),IF(O7&gt;MIN(YEAR($B$7),YEAR($B$5)),($B$9/12)*(1+HLOOKUP(O7,'Datos SS'!$B$31:$CZZ$32,2,0))^(O7-YEAR($B$5)),$B$9/12/(1+HLOOKUP(O7,'Datos SS'!$B$31:$CZZ$32,2,0))))</f>
      </c>
      <c r="U7" s="333">
        <f>IF(O7=2018,IF(Q7&lt;8,HLOOKUP(O7,'Datos SS'!$B$25:$BZZ$27,3,0)/12,HLOOKUP(O7,'Datos SS'!$B$25:$BZZ$26,2,0)/12),HLOOKUP(O7,'Datos SS'!$B$25:$BZZ$26,2,0)/12)</f>
      </c>
      <c r="V7" s="964">
        <f>MAX(X7,MIN(T7,U7))</f>
      </c>
      <c r="W7" s="333">
        <f>IF($E$19="NO",IF(P7&lt;=180,IF(P7&lt;25,V7,V7*$S$28/S7),0),IF(P7&gt;$B$15,0,IF(P7&lt;25,V7,V7*$S$28/S7)))</f>
      </c>
      <c r="X7" s="721">
        <f>HLOOKUP(O7,'Datos SS'!$K$37:$EP$38,2,0)</f>
      </c>
      <c r="Y7" s="331">
        <f>MAX(INT(Y6)-1,0)</f>
      </c>
      <c r="Z7" s="169"/>
      <c r="AA7" s="169" t="s">
        <v>425</v>
      </c>
      <c r="AB7" s="169" t="s">
        <v>426</v>
      </c>
      <c r="AC7" s="965">
        <v>2364.810479731508</v>
      </c>
      <c r="AD7" s="331">
        <f>+AC7-W7</f>
      </c>
      <c r="AE7" s="331">
        <v>2017</v>
      </c>
      <c r="AF7" s="217">
        <f>AF8-0.25</f>
      </c>
      <c r="AG7" s="331">
        <v>65</v>
      </c>
      <c r="AH7" s="217">
        <f>AH8-1/12</f>
      </c>
      <c r="AI7" s="217">
        <f>AH7-AG7</f>
      </c>
      <c r="AJ7" s="1"/>
      <c r="AK7" s="1"/>
      <c r="AL7" s="170"/>
      <c r="AM7" s="170"/>
    </row>
    <row x14ac:dyDescent="0.25" r="8" customHeight="1" ht="18.75">
      <c r="A8" s="971" t="s">
        <v>427</v>
      </c>
      <c r="B8" s="972">
        <f>ROUND((IF('Simulador - 1º Pilar'!E99="Si",'Simulador - 1º Pilar'!G16,B7)-B5)/365.25,2)+'Simulador - Datos personales'!$F$20</f>
      </c>
      <c r="C8" s="973">
        <f>ROUND((MAX(TODAY(),B7)-B5)/365.25,2)+'Simulador - Datos personales'!$F$20+IF('Simulador - 1º Pilar'!G10="Jubilación prolongada",'Simulador - 1º Pilar'!E99,0)</f>
      </c>
      <c r="D8" s="217">
        <f>+MAX(0,C8-15)*IF(B8&gt;15,0,1)</f>
      </c>
      <c r="E8" s="974">
        <f>1-(E7-INT(E7))</f>
      </c>
      <c r="F8" s="169"/>
      <c r="G8" s="170"/>
      <c r="H8" s="350" t="s">
        <v>428</v>
      </c>
      <c r="I8" s="333">
        <f>IF(B25&gt;0,MIN(B30,B33),MIN(B30,B29))</f>
      </c>
      <c r="J8" s="596" t="s">
        <v>429</v>
      </c>
      <c r="K8" s="169"/>
      <c r="L8" s="332">
        <v>5</v>
      </c>
      <c r="M8" s="333">
        <f>IF(L8&lt;=$C$22,$B$22,IF(L8&lt;=$C$23+$C$22,$B$23,0))</f>
      </c>
      <c r="N8" s="193"/>
      <c r="O8" s="332">
        <f>IF(Q8=12,O7-1,O7)</f>
      </c>
      <c r="P8" s="332">
        <v>5</v>
      </c>
      <c r="Q8" s="332">
        <f>IF(Q7=1,12,Q7-1)</f>
      </c>
      <c r="R8" s="169"/>
      <c r="S8" s="333">
        <f>HLOOKUP(O8,'Datos SS'!$B$4:$CZZ$16,(Q8+1),0)</f>
      </c>
      <c r="T8" s="333">
        <f>IF(O8=YEAR($B$5),($B$9/12),IF(O8&gt;MIN(YEAR($B$7),YEAR($B$5)),($B$9/12)*(1+HLOOKUP(O8,'Datos SS'!$B$31:$CZZ$32,2,0))^(O8-YEAR($B$5)),$B$9/12/(1+HLOOKUP(O8,'Datos SS'!$B$31:$CZZ$32,2,0))))</f>
      </c>
      <c r="U8" s="333">
        <f>IF(O8=2018,IF(Q8&lt;8,HLOOKUP(O8,'Datos SS'!$B$25:$BZZ$27,3,0)/12,HLOOKUP(O8,'Datos SS'!$B$25:$BZZ$26,2,0)/12),HLOOKUP(O8,'Datos SS'!$B$25:$BZZ$26,2,0)/12)</f>
      </c>
      <c r="V8" s="964">
        <f>MAX(X8,MIN(T8,U8))</f>
      </c>
      <c r="W8" s="333">
        <f>IF($E$19="NO",IF(P8&lt;=180,IF(P8&lt;25,V8,V8*$S$28/S8),0),IF(P8&gt;$B$15,0,IF(P8&lt;25,V8,V8*$S$28/S8)))</f>
      </c>
      <c r="X8" s="721">
        <f>HLOOKUP(O8,'Datos SS'!$K$37:$EP$38,2,0)</f>
      </c>
      <c r="Y8" s="331">
        <f>MAX(INT(Y7)-1,0)</f>
      </c>
      <c r="Z8" s="331">
        <v>2015</v>
      </c>
      <c r="AA8" s="169" t="s">
        <v>430</v>
      </c>
      <c r="AB8" s="169" t="s">
        <v>412</v>
      </c>
      <c r="AC8" s="965">
        <v>2364.810479731508</v>
      </c>
      <c r="AD8" s="331">
        <f>+AC8-W8</f>
      </c>
      <c r="AE8" s="331">
        <v>2018</v>
      </c>
      <c r="AF8" s="217">
        <f>AF9-0.25</f>
      </c>
      <c r="AG8" s="331">
        <v>65</v>
      </c>
      <c r="AH8" s="217">
        <f>AH9-1/12</f>
      </c>
      <c r="AI8" s="217">
        <f>AH8-AG8</f>
      </c>
      <c r="AJ8" s="1"/>
      <c r="AK8" s="1"/>
      <c r="AL8" s="975" t="s">
        <v>394</v>
      </c>
      <c r="AM8" s="975" t="s">
        <v>393</v>
      </c>
    </row>
    <row x14ac:dyDescent="0.25" r="9" customHeight="1" ht="18.75">
      <c r="A9" s="959" t="s">
        <v>199</v>
      </c>
      <c r="B9" s="332">
        <f>'Simulador - Datos personales'!E13</f>
      </c>
      <c r="C9" s="169"/>
      <c r="D9" s="170"/>
      <c r="E9" s="968">
        <f>+IF(E8&lt;=0.04,INT(E7)+1,INT(E7))</f>
      </c>
      <c r="F9" s="169"/>
      <c r="G9" s="976">
        <f>I9-I8</f>
      </c>
      <c r="H9" s="566" t="s">
        <v>431</v>
      </c>
      <c r="I9" s="977">
        <f>IF('Simulador - 1º Pilar'!$G$10="Jubilación ordinaria",B55,IF('Simulador - 1º Pilar'!$G$10="Jubilación anticipada",B56,IF(AND('Simulador - 1º Pilar'!$G$10="Jubilación prolongada",'Simulador - 1º Pilar'!H94="Complemento vitalicio"),PJSS!B57,PJSS!B58)))</f>
      </c>
      <c r="J9" s="1"/>
      <c r="K9" s="169"/>
      <c r="L9" s="332">
        <v>6</v>
      </c>
      <c r="M9" s="333">
        <f>IF(L9&lt;=$C$22,$B$22,IF(L9&lt;=$C$23+$C$22,$B$23,0))</f>
      </c>
      <c r="N9" s="193"/>
      <c r="O9" s="332">
        <f>IF(Q9=12,O8-1,O8)</f>
      </c>
      <c r="P9" s="332">
        <v>6</v>
      </c>
      <c r="Q9" s="332">
        <f>IF(Q8=1,12,Q8-1)</f>
      </c>
      <c r="R9" s="169"/>
      <c r="S9" s="333">
        <f>HLOOKUP(O9,'Datos SS'!$B$4:$CZZ$16,(Q9+1),0)</f>
      </c>
      <c r="T9" s="333">
        <f>IF(O9=YEAR($B$5),($B$9/12),IF(O9&gt;MIN(YEAR($B$7),YEAR($B$5)),($B$9/12)*(1+HLOOKUP(O9,'Datos SS'!$B$31:$CZZ$32,2,0))^(O9-YEAR($B$5)),$B$9/12/(1+HLOOKUP(O9,'Datos SS'!$B$31:$CZZ$32,2,0))))</f>
      </c>
      <c r="U9" s="333">
        <f>IF(O9=2018,IF(Q9&lt;8,HLOOKUP(O9,'Datos SS'!$B$25:$BZZ$27,3,0)/12,HLOOKUP(O9,'Datos SS'!$B$25:$BZZ$26,2,0)/12),HLOOKUP(O9,'Datos SS'!$B$25:$BZZ$26,2,0)/12)</f>
      </c>
      <c r="V9" s="964">
        <f>MAX(X9,MIN(T9,U9))</f>
      </c>
      <c r="W9" s="333">
        <f>IF($E$19="NO",IF(P9&lt;=180,IF(P9&lt;25,V9,V9*$S$28/S9),0),IF(P9&gt;$B$15,0,IF(P9&lt;25,V9,V9*$S$28/S9)))</f>
      </c>
      <c r="X9" s="721">
        <f>HLOOKUP(O9,'Datos SS'!$K$37:$EP$38,2,0)</f>
      </c>
      <c r="Y9" s="331">
        <f>MAX(INT(Y8)-1,0)</f>
      </c>
      <c r="Z9" s="169"/>
      <c r="AA9" s="169" t="s">
        <v>432</v>
      </c>
      <c r="AB9" s="169" t="s">
        <v>433</v>
      </c>
      <c r="AC9" s="965">
        <v>2364.810479731508</v>
      </c>
      <c r="AD9" s="331">
        <f>+AC9-W9</f>
      </c>
      <c r="AE9" s="331">
        <v>2019</v>
      </c>
      <c r="AF9" s="217">
        <v>36.75</v>
      </c>
      <c r="AG9" s="331">
        <v>65</v>
      </c>
      <c r="AH9" s="217">
        <f>AG9+AI9</f>
      </c>
      <c r="AI9" s="217">
        <f>8/12</f>
      </c>
      <c r="AJ9" s="1"/>
      <c r="AK9" s="1"/>
      <c r="AL9" s="331">
        <v>35</v>
      </c>
      <c r="AM9" s="170" t="s">
        <v>434</v>
      </c>
    </row>
    <row x14ac:dyDescent="0.25" r="10" customHeight="1" ht="18.75">
      <c r="A10" s="959" t="s">
        <v>435</v>
      </c>
      <c r="B10" s="978">
        <f>ROUND((B7-B6)/365.25,2)</f>
      </c>
      <c r="C10" s="169"/>
      <c r="D10" s="170"/>
      <c r="E10" s="331">
        <f>+E9/3</f>
      </c>
      <c r="F10" s="169"/>
      <c r="G10" s="979">
        <f>I10-I9</f>
      </c>
      <c r="H10" s="566" t="s">
        <v>436</v>
      </c>
      <c r="I10" s="333">
        <f>+I9+B32</f>
      </c>
      <c r="J10" s="596"/>
      <c r="K10" s="169"/>
      <c r="L10" s="332">
        <v>7</v>
      </c>
      <c r="M10" s="333">
        <f>IF(L10&lt;=$C$22,$B$22,IF(L10&lt;=$C$23+$C$22,$B$23,0))</f>
      </c>
      <c r="N10" s="193"/>
      <c r="O10" s="332">
        <f>IF(Q10=12,O9-1,O9)</f>
      </c>
      <c r="P10" s="332">
        <v>7</v>
      </c>
      <c r="Q10" s="332">
        <f>IF(Q9=1,12,Q9-1)</f>
      </c>
      <c r="R10" s="169"/>
      <c r="S10" s="333">
        <f>HLOOKUP(O10,'Datos SS'!$B$4:$CZZ$16,(Q10+1),0)</f>
      </c>
      <c r="T10" s="333">
        <f>IF(O10=YEAR($B$5),($B$9/12),IF(O10&gt;MIN(YEAR($B$7),YEAR($B$5)),($B$9/12)*(1+HLOOKUP(O10,'Datos SS'!$B$31:$CZZ$32,2,0))^(O10-YEAR($B$5)),$B$9/12/(1+HLOOKUP(O10,'Datos SS'!$B$31:$CZZ$32,2,0))))</f>
      </c>
      <c r="U10" s="333">
        <f>IF(O10=2018,IF(Q10&lt;8,HLOOKUP(O10,'Datos SS'!$B$25:$BZZ$27,3,0)/12,HLOOKUP(O10,'Datos SS'!$B$25:$BZZ$26,2,0)/12),HLOOKUP(O10,'Datos SS'!$B$25:$BZZ$26,2,0)/12)</f>
      </c>
      <c r="V10" s="964">
        <f>MAX(X10,MIN(T10,U10))</f>
      </c>
      <c r="W10" s="333">
        <f>IF($E$19="NO",IF(P10&lt;=180,IF(P10&lt;25,V10,V10*$S$28/S10),0),IF(P10&gt;$B$15,0,IF(P10&lt;25,V10,V10*$S$28/S10)))</f>
      </c>
      <c r="X10" s="721">
        <f>HLOOKUP(O10,'Datos SS'!$K$37:$EP$38,2,0)</f>
      </c>
      <c r="Y10" s="331">
        <f>MAX(INT(Y9)-1,0)</f>
      </c>
      <c r="Z10" s="331">
        <v>2016</v>
      </c>
      <c r="AA10" s="169" t="s">
        <v>437</v>
      </c>
      <c r="AB10" s="169" t="s">
        <v>412</v>
      </c>
      <c r="AC10" s="965">
        <v>2364.810479731508</v>
      </c>
      <c r="AD10" s="331">
        <f>+AC10-W10</f>
      </c>
      <c r="AE10" s="331">
        <v>2020</v>
      </c>
      <c r="AF10" s="331">
        <v>37</v>
      </c>
      <c r="AG10" s="331">
        <v>65</v>
      </c>
      <c r="AH10" s="217">
        <f>AG10+AI10</f>
      </c>
      <c r="AI10" s="217">
        <f>10/12</f>
      </c>
      <c r="AJ10" s="1"/>
      <c r="AK10" s="1"/>
      <c r="AL10" s="217">
        <v>38.5</v>
      </c>
      <c r="AM10" s="217">
        <v>0.02</v>
      </c>
    </row>
    <row x14ac:dyDescent="0.25" r="11" customHeight="1" ht="18.75">
      <c r="A11" s="959" t="s">
        <v>438</v>
      </c>
      <c r="B11" s="333">
        <f>'Simulador - Datos personales'!F9</f>
      </c>
      <c r="C11" s="169"/>
      <c r="D11" s="217">
        <f>+B8*12</f>
      </c>
      <c r="E11" s="169"/>
      <c r="F11" s="169"/>
      <c r="G11" s="170"/>
      <c r="H11" s="350" t="s">
        <v>439</v>
      </c>
      <c r="I11" s="333">
        <f>0.52*I5</f>
      </c>
      <c r="J11" s="1"/>
      <c r="K11" s="169"/>
      <c r="L11" s="332">
        <v>8</v>
      </c>
      <c r="M11" s="333">
        <f>IF(L11&lt;=$C$22,$B$22,IF(L11&lt;=$C$23+$C$22,$B$23,0))</f>
      </c>
      <c r="N11" s="193"/>
      <c r="O11" s="332">
        <f>IF(Q11=12,O10-1,O10)</f>
      </c>
      <c r="P11" s="332">
        <v>8</v>
      </c>
      <c r="Q11" s="332">
        <f>IF(Q10=1,12,Q10-1)</f>
      </c>
      <c r="R11" s="169"/>
      <c r="S11" s="333">
        <f>HLOOKUP(O11,'Datos SS'!$B$4:$CZZ$16,(Q11+1),0)</f>
      </c>
      <c r="T11" s="333">
        <f>IF(O11=YEAR($B$5),($B$9/12),IF(O11&gt;MIN(YEAR($B$7),YEAR($B$5)),($B$9/12)*(1+HLOOKUP(O11,'Datos SS'!$B$31:$CZZ$32,2,0))^(O11-YEAR($B$5)),$B$9/12/(1+HLOOKUP(O11,'Datos SS'!$B$31:$CZZ$32,2,0))))</f>
      </c>
      <c r="U11" s="333">
        <f>IF(O11=2018,IF(Q11&lt;8,HLOOKUP(O11,'Datos SS'!$B$25:$BZZ$27,3,0)/12,HLOOKUP(O11,'Datos SS'!$B$25:$BZZ$26,2,0)/12),HLOOKUP(O11,'Datos SS'!$B$25:$BZZ$26,2,0)/12)</f>
      </c>
      <c r="V11" s="964">
        <f>MAX(X11,MIN(T11,U11))</f>
      </c>
      <c r="W11" s="333">
        <f>IF($E$19="NO",IF(P11&lt;=180,IF(P11&lt;25,V11,V11*$S$28/S11),0),IF(P11&gt;$B$15,0,IF(P11&lt;25,V11,V11*$S$28/S11)))</f>
      </c>
      <c r="X11" s="721">
        <f>HLOOKUP(O11,'Datos SS'!$K$37:$EP$38,2,0)</f>
      </c>
      <c r="Y11" s="331">
        <f>MAX(INT(Y10)-1,0)</f>
      </c>
      <c r="Z11" s="169"/>
      <c r="AA11" s="169" t="s">
        <v>440</v>
      </c>
      <c r="AB11" s="169" t="s">
        <v>441</v>
      </c>
      <c r="AC11" s="965">
        <v>2364.810479731508</v>
      </c>
      <c r="AD11" s="331">
        <f>+AC11-W11</f>
      </c>
      <c r="AE11" s="331">
        <v>2021</v>
      </c>
      <c r="AF11" s="217">
        <v>37.25</v>
      </c>
      <c r="AG11" s="331">
        <v>65</v>
      </c>
      <c r="AH11" s="217">
        <f>AG11+AI11</f>
      </c>
      <c r="AI11" s="217">
        <v>1</v>
      </c>
      <c r="AJ11" s="1"/>
      <c r="AK11" s="1"/>
      <c r="AL11" s="217">
        <v>41.5</v>
      </c>
      <c r="AM11" s="217">
        <v>0.01875</v>
      </c>
    </row>
    <row x14ac:dyDescent="0.25" r="12" customHeight="1" ht="18.75">
      <c r="A12" s="959" t="s">
        <v>442</v>
      </c>
      <c r="B12" s="332">
        <f>'Simulador - Datos personales'!E11</f>
      </c>
      <c r="C12" s="169"/>
      <c r="D12" s="170"/>
      <c r="E12" s="169"/>
      <c r="F12" s="169"/>
      <c r="G12" s="170"/>
      <c r="H12" s="170"/>
      <c r="I12" s="217"/>
      <c r="J12" s="1"/>
      <c r="K12" s="169"/>
      <c r="L12" s="332">
        <v>9</v>
      </c>
      <c r="M12" s="333">
        <f>IF(L12&lt;=$C$22,$B$22,IF(L12&lt;=$C$23+$C$22,$B$23,0))</f>
      </c>
      <c r="N12" s="1"/>
      <c r="O12" s="332">
        <f>IF(Q12=12,O11-1,O11)</f>
      </c>
      <c r="P12" s="332">
        <v>9</v>
      </c>
      <c r="Q12" s="332">
        <f>IF(Q11=1,12,Q11-1)</f>
      </c>
      <c r="R12" s="169"/>
      <c r="S12" s="333">
        <f>HLOOKUP(O12,'Datos SS'!$B$4:$CZZ$16,(Q12+1),0)</f>
      </c>
      <c r="T12" s="333">
        <f>IF(O12=YEAR($B$5),($B$9/12),IF(O12&gt;MIN(YEAR($B$7),YEAR($B$5)),($B$9/12)*(1+HLOOKUP(O12,'Datos SS'!$B$31:$CZZ$32,2,0))^(O12-YEAR($B$5)),$B$9/12/(1+HLOOKUP(O12,'Datos SS'!$B$31:$CZZ$32,2,0))))</f>
      </c>
      <c r="U12" s="333">
        <f>IF(O12=2018,IF(Q12&lt;8,HLOOKUP(O12,'Datos SS'!$B$25:$BZZ$27,3,0)/12,HLOOKUP(O12,'Datos SS'!$B$25:$BZZ$26,2,0)/12),HLOOKUP(O12,'Datos SS'!$B$25:$BZZ$26,2,0)/12)</f>
      </c>
      <c r="V12" s="964">
        <f>MAX(X12,MIN(T12,U12))</f>
      </c>
      <c r="W12" s="333">
        <f>IF($E$19="NO",IF(P12&lt;=180,IF(P12&lt;25,V12,V12*$S$28/S12),0),IF(P12&gt;$B$15,0,IF(P12&lt;25,V12,V12*$S$28/S12)))</f>
      </c>
      <c r="X12" s="721">
        <f>HLOOKUP(O12,'Datos SS'!$K$37:$EP$38,2,0)</f>
      </c>
      <c r="Y12" s="331">
        <f>MAX(INT(Y11)-1,0)</f>
      </c>
      <c r="Z12" s="331">
        <v>2017</v>
      </c>
      <c r="AA12" s="169" t="s">
        <v>443</v>
      </c>
      <c r="AB12" s="169" t="s">
        <v>412</v>
      </c>
      <c r="AC12" s="965">
        <v>2364.810479731508</v>
      </c>
      <c r="AD12" s="331">
        <f>+AC12-W12</f>
      </c>
      <c r="AE12" s="331">
        <v>2022</v>
      </c>
      <c r="AF12" s="217">
        <v>37.5</v>
      </c>
      <c r="AG12" s="331">
        <v>65</v>
      </c>
      <c r="AH12" s="217">
        <f>AG12+AI12</f>
      </c>
      <c r="AI12" s="217">
        <f>1+2/12</f>
      </c>
      <c r="AJ12" s="1"/>
      <c r="AK12" s="1"/>
      <c r="AL12" s="217">
        <v>44.5</v>
      </c>
      <c r="AM12" s="217">
        <v>0.0175</v>
      </c>
    </row>
    <row x14ac:dyDescent="0.25" r="13" customHeight="1" ht="18.75">
      <c r="A13" s="980" t="s">
        <v>444</v>
      </c>
      <c r="B13" s="333">
        <f>IF(YEAR(B7)&gt;2027,38.5,VLOOKUP(YEAR(B7),$AE$3:$AH$17,2,0))</f>
      </c>
      <c r="C13" s="169"/>
      <c r="D13" s="170"/>
      <c r="E13" s="169"/>
      <c r="F13" s="169"/>
      <c r="G13" s="170"/>
      <c r="H13" s="170"/>
      <c r="I13" s="169"/>
      <c r="J13" s="1"/>
      <c r="K13" s="169"/>
      <c r="L13" s="332">
        <v>10</v>
      </c>
      <c r="M13" s="333">
        <f>IF(L13&lt;=$C$22,$B$22,IF(L13&lt;=$C$23+$C$22,$B$23,0))</f>
      </c>
      <c r="N13" s="1"/>
      <c r="O13" s="332">
        <f>IF(Q13=12,O12-1,O12)</f>
      </c>
      <c r="P13" s="332">
        <v>10</v>
      </c>
      <c r="Q13" s="332">
        <f>IF(Q12=1,12,Q12-1)</f>
      </c>
      <c r="R13" s="169"/>
      <c r="S13" s="333">
        <f>HLOOKUP(O13,'Datos SS'!$B$4:$CZZ$16,(Q13+1),0)</f>
      </c>
      <c r="T13" s="333">
        <f>IF(O13=YEAR($B$5),($B$9/12),IF(O13&gt;MIN(YEAR($B$7),YEAR($B$5)),($B$9/12)*(1+HLOOKUP(O13,'Datos SS'!$B$31:$CZZ$32,2,0))^(O13-YEAR($B$5)),$B$9/12/(1+HLOOKUP(O13,'Datos SS'!$B$31:$CZZ$32,2,0))))</f>
      </c>
      <c r="U13" s="333">
        <f>IF(O13=2018,IF(Q13&lt;8,HLOOKUP(O13,'Datos SS'!$B$25:$BZZ$27,3,0)/12,HLOOKUP(O13,'Datos SS'!$B$25:$BZZ$26,2,0)/12),HLOOKUP(O13,'Datos SS'!$B$25:$BZZ$26,2,0)/12)</f>
      </c>
      <c r="V13" s="964">
        <f>MAX(X13,MIN(T13,U13))</f>
      </c>
      <c r="W13" s="333">
        <f>IF($E$19="NO",IF(P13&lt;=180,IF(P13&lt;25,V13,V13*$S$28/S13),0),IF(P13&gt;$B$15,0,IF(P13&lt;25,V13,V13*$S$28/S13)))</f>
      </c>
      <c r="X13" s="721">
        <f>HLOOKUP(O13,'Datos SS'!$K$37:$EP$38,2,0)</f>
      </c>
      <c r="Y13" s="331">
        <f>MAX(INT(Y12)-1,0)</f>
      </c>
      <c r="Z13" s="169"/>
      <c r="AA13" s="169" t="s">
        <v>445</v>
      </c>
      <c r="AB13" s="169" t="s">
        <v>446</v>
      </c>
      <c r="AC13" s="965">
        <v>2318.441646795596</v>
      </c>
      <c r="AD13" s="331">
        <f>+AC13-W13</f>
      </c>
      <c r="AE13" s="331">
        <v>2023</v>
      </c>
      <c r="AF13" s="217">
        <v>37.75</v>
      </c>
      <c r="AG13" s="331">
        <v>65</v>
      </c>
      <c r="AH13" s="217">
        <f>AG13+AI13</f>
      </c>
      <c r="AI13" s="217">
        <f>1+4/12</f>
      </c>
      <c r="AJ13" s="1"/>
      <c r="AK13" s="1"/>
      <c r="AL13" s="217">
        <v>44.5</v>
      </c>
      <c r="AM13" s="217">
        <v>0.01625</v>
      </c>
    </row>
    <row x14ac:dyDescent="0.25" r="14" customHeight="1" ht="18.75">
      <c r="A14" s="980" t="s">
        <v>447</v>
      </c>
      <c r="B14" s="978">
        <f>ROUND('Simulador - 1º Pilar'!D45,2)</f>
      </c>
      <c r="C14" s="169"/>
      <c r="D14" s="170"/>
      <c r="E14" s="169"/>
      <c r="F14" s="169"/>
      <c r="G14" s="170"/>
      <c r="H14" s="217"/>
      <c r="I14" s="217"/>
      <c r="J14" s="1"/>
      <c r="K14" s="169"/>
      <c r="L14" s="332">
        <v>11</v>
      </c>
      <c r="M14" s="333">
        <f>IF(L14&lt;=$C$22,$B$22,IF(L14&lt;=$C$23+$C$22,$B$23,0))</f>
      </c>
      <c r="N14" s="1"/>
      <c r="O14" s="332">
        <f>IF(Q14=12,O13-1,O13)</f>
      </c>
      <c r="P14" s="332">
        <v>11</v>
      </c>
      <c r="Q14" s="332">
        <f>IF(Q13=1,12,Q13-1)</f>
      </c>
      <c r="R14" s="169"/>
      <c r="S14" s="333">
        <f>HLOOKUP(O14,'Datos SS'!$B$4:$CZZ$16,(Q14+1),0)</f>
      </c>
      <c r="T14" s="333">
        <f>IF(O14=YEAR($B$5),($B$9/12),IF(O14&gt;MIN(YEAR($B$7),YEAR($B$5)),($B$9/12)*(1+HLOOKUP(O14,'Datos SS'!$B$31:$CZZ$32,2,0))^(O14-YEAR($B$5)),$B$9/12/(1+HLOOKUP(O14,'Datos SS'!$B$31:$CZZ$32,2,0))))</f>
      </c>
      <c r="U14" s="333">
        <f>IF(O14=2018,IF(Q14&lt;8,HLOOKUP(O14,'Datos SS'!$B$25:$BZZ$27,3,0)/12,HLOOKUP(O14,'Datos SS'!$B$25:$BZZ$26,2,0)/12),HLOOKUP(O14,'Datos SS'!$B$25:$BZZ$26,2,0)/12)</f>
      </c>
      <c r="V14" s="964">
        <f>MAX(X14,MIN(T14,U14))</f>
      </c>
      <c r="W14" s="333">
        <f>IF($E$19="NO",IF(P14&lt;=180,IF(P14&lt;25,V14,V14*$S$28/S14),0),IF(P14&gt;$B$15,0,IF(P14&lt;25,V14,V14*$S$28/S14)))</f>
      </c>
      <c r="X14" s="721">
        <f>HLOOKUP(O14,'Datos SS'!$K$37:$EP$38,2,0)</f>
      </c>
      <c r="Y14" s="331">
        <f>MAX(INT(Y13)-1,0)</f>
      </c>
      <c r="Z14" s="331">
        <v>2018</v>
      </c>
      <c r="AA14" s="169" t="s">
        <v>448</v>
      </c>
      <c r="AB14" s="169" t="s">
        <v>412</v>
      </c>
      <c r="AC14" s="965">
        <v>2318.441646795596</v>
      </c>
      <c r="AD14" s="331">
        <f>+AC14-W14</f>
      </c>
      <c r="AE14" s="331">
        <v>2024</v>
      </c>
      <c r="AF14" s="331">
        <v>38</v>
      </c>
      <c r="AG14" s="331">
        <v>65</v>
      </c>
      <c r="AH14" s="217">
        <f>AG14+AI14</f>
      </c>
      <c r="AI14" s="217">
        <f>1+0.5</f>
      </c>
      <c r="AJ14" s="1"/>
      <c r="AK14" s="1"/>
      <c r="AL14" s="170"/>
      <c r="AM14" s="170"/>
    </row>
    <row x14ac:dyDescent="0.25" r="15" customHeight="1" ht="15.75">
      <c r="A15" s="980" t="s">
        <v>449</v>
      </c>
      <c r="B15" s="332">
        <f>IF(AND(YEAR(B7)&lt;2023,YEAR(B7)&gt;=2013),VLOOKUP(YEAR(B7),$Z$49:$AB$58,2,0),IF(YEAR(B7)&gt;=2023,300,192))</f>
      </c>
      <c r="C15" s="169"/>
      <c r="D15" s="170"/>
      <c r="E15" s="169"/>
      <c r="F15" s="169"/>
      <c r="G15" s="217"/>
      <c r="H15" s="170"/>
      <c r="I15" s="169"/>
      <c r="J15" s="1"/>
      <c r="K15" s="169"/>
      <c r="L15" s="332">
        <v>12</v>
      </c>
      <c r="M15" s="333">
        <f>IF(L15&lt;=$C$22,$B$22,IF(L15&lt;=$C$23+$C$22,$B$23,0))</f>
      </c>
      <c r="N15" s="1"/>
      <c r="O15" s="332">
        <f>IF(Q15=12,O14-1,O14)</f>
      </c>
      <c r="P15" s="332">
        <v>12</v>
      </c>
      <c r="Q15" s="332">
        <f>IF(Q14=1,12,Q14-1)</f>
      </c>
      <c r="R15" s="169"/>
      <c r="S15" s="333">
        <f>HLOOKUP(O15,'Datos SS'!$B$4:$CZZ$16,(Q15+1),0)</f>
      </c>
      <c r="T15" s="333">
        <f>IF(O15=YEAR($B$5),($B$9/12),IF(O15&gt;MIN(YEAR($B$7),YEAR($B$5)),($B$9/12)*(1+HLOOKUP(O15,'Datos SS'!$B$31:$CZZ$32,2,0))^(O15-YEAR($B$5)),$B$9/12/(1+HLOOKUP(O15,'Datos SS'!$B$31:$CZZ$32,2,0))))</f>
      </c>
      <c r="U15" s="333">
        <f>IF(O15=2018,IF(Q15&lt;8,HLOOKUP(O15,'Datos SS'!$B$25:$BZZ$27,3,0)/12,HLOOKUP(O15,'Datos SS'!$B$25:$BZZ$26,2,0)/12),HLOOKUP(O15,'Datos SS'!$B$25:$BZZ$26,2,0)/12)</f>
      </c>
      <c r="V15" s="964">
        <f>MAX(X15,MIN(T15,U15))</f>
      </c>
      <c r="W15" s="333">
        <f>IF($E$19="NO",IF(P15&lt;=180,IF(P15&lt;25,V15,V15*$S$28/S15),0),IF(P15&gt;$B$15,0,IF(P15&lt;25,V15,V15*$S$28/S15)))</f>
      </c>
      <c r="X15" s="721">
        <f>HLOOKUP(O15,'Datos SS'!$K$37:$EP$38,2,0)</f>
      </c>
      <c r="Y15" s="331">
        <f>MAX(INT(Y14)-1,0)</f>
      </c>
      <c r="Z15" s="169"/>
      <c r="AA15" s="169" t="s">
        <v>450</v>
      </c>
      <c r="AB15" s="169" t="s">
        <v>451</v>
      </c>
      <c r="AC15" s="965">
        <v>2318.441646795596</v>
      </c>
      <c r="AD15" s="331">
        <f>+AC15-W15</f>
      </c>
      <c r="AE15" s="331">
        <v>2025</v>
      </c>
      <c r="AF15" s="217">
        <v>38.25</v>
      </c>
      <c r="AG15" s="331">
        <v>65</v>
      </c>
      <c r="AH15" s="217">
        <f>AG15+AI15</f>
      </c>
      <c r="AI15" s="217">
        <f>1+8/12</f>
      </c>
      <c r="AJ15" s="1"/>
      <c r="AK15" s="1"/>
      <c r="AL15" s="170" t="s">
        <v>452</v>
      </c>
      <c r="AM15" s="170"/>
    </row>
    <row x14ac:dyDescent="0.25" r="16" customHeight="1" ht="18.75">
      <c r="A16" s="980" t="s">
        <v>453</v>
      </c>
      <c r="B16" s="332">
        <f>IF(AND(YEAR(B7)&lt;2023,YEAR(B7)&gt;=2013),VLOOKUP(YEAR(B7),$Z$49:$AB$58,3,0),IF(YEAR(B7)&gt;=2023,350,224))</f>
      </c>
      <c r="C16" s="169"/>
      <c r="D16" s="170"/>
      <c r="E16" s="169"/>
      <c r="F16" s="169"/>
      <c r="G16" s="170"/>
      <c r="H16" s="170"/>
      <c r="I16" s="169"/>
      <c r="J16" s="1"/>
      <c r="K16" s="169"/>
      <c r="L16" s="332">
        <v>13</v>
      </c>
      <c r="M16" s="333">
        <f>IF(L16&lt;=$C$22,$B$22,IF(L16&lt;=$C$23+$C$22,$B$23,0))</f>
      </c>
      <c r="N16" s="1"/>
      <c r="O16" s="332">
        <f>IF(Q16=12,O15-1,O15)</f>
      </c>
      <c r="P16" s="332">
        <v>13</v>
      </c>
      <c r="Q16" s="332">
        <f>IF(Q15=1,12,Q15-1)</f>
      </c>
      <c r="R16" s="169"/>
      <c r="S16" s="333">
        <f>HLOOKUP(O16,'Datos SS'!$B$4:$CZZ$16,(Q16+1),0)</f>
      </c>
      <c r="T16" s="728">
        <f>IF(O16=YEAR($B$5),($B$9/12),IF(O16&gt;MIN(YEAR($B$7),YEAR($B$5)),($B$9/12)*(1+HLOOKUP(O16,'Datos SS'!$B$31:$CZZ$32,2,0))^(O16-YEAR($B$5)),T4/(1+HLOOKUP(O16,'Datos SS'!$B$31:$CZZ$32,2,0))))</f>
      </c>
      <c r="U16" s="333">
        <f>IF(O16=2018,IF(Q16&lt;8,HLOOKUP(O16,'Datos SS'!$B$25:$BZZ$27,3,0)/12,HLOOKUP(O16,'Datos SS'!$B$25:$BZZ$26,2,0)/12),HLOOKUP(O16,'Datos SS'!$B$25:$BZZ$26,2,0)/12)</f>
      </c>
      <c r="V16" s="964">
        <f>MAX(X16,MIN(T16,U16))</f>
      </c>
      <c r="W16" s="333">
        <f>IF($E$19="NO",IF(P16&lt;=180,IF(P16&lt;25,V16,V16*$S$28/S16),0),IF(P16&gt;$B$15,0,IF(P16&lt;25,V16,V16*$S$28/S16)))</f>
      </c>
      <c r="X16" s="721">
        <f>HLOOKUP(O16,'Datos SS'!$K$37:$EP$38,2,0)</f>
      </c>
      <c r="Y16" s="331">
        <f>MAX(INT(Y15)-1,0)</f>
      </c>
      <c r="Z16" s="331">
        <v>2019</v>
      </c>
      <c r="AA16" s="169" t="s">
        <v>454</v>
      </c>
      <c r="AB16" s="169" t="s">
        <v>412</v>
      </c>
      <c r="AC16" s="965">
        <v>2318.441646795596</v>
      </c>
      <c r="AD16" s="331">
        <f>+AC16-W16</f>
      </c>
      <c r="AE16" s="331">
        <v>2026</v>
      </c>
      <c r="AF16" s="217">
        <v>38.25</v>
      </c>
      <c r="AG16" s="331">
        <v>65</v>
      </c>
      <c r="AH16" s="217">
        <f>AG16+AI16</f>
      </c>
      <c r="AI16" s="217">
        <f>1+10/12</f>
      </c>
      <c r="AJ16" s="1"/>
      <c r="AK16" s="1"/>
      <c r="AL16" s="170" t="s">
        <v>455</v>
      </c>
      <c r="AM16" s="170"/>
    </row>
    <row x14ac:dyDescent="0.25" r="17" customHeight="1" ht="18.75">
      <c r="A17" s="980" t="s">
        <v>456</v>
      </c>
      <c r="B17" s="333">
        <f>IF(D8&gt;0,(C8-15)*12,(B8-15)*12)</f>
      </c>
      <c r="C17" s="169"/>
      <c r="D17" s="170"/>
      <c r="E17" s="169"/>
      <c r="F17" s="169"/>
      <c r="G17" s="170"/>
      <c r="H17" s="170"/>
      <c r="I17" s="169"/>
      <c r="J17" s="1"/>
      <c r="K17" s="169"/>
      <c r="L17" s="332">
        <v>14</v>
      </c>
      <c r="M17" s="333">
        <f>IF(L17&lt;=$C$22,$B$22,IF(L17&lt;=$C$23+$C$22,$B$23,0))</f>
      </c>
      <c r="N17" s="1"/>
      <c r="O17" s="332">
        <f>IF(Q17=12,O16-1,O16)</f>
      </c>
      <c r="P17" s="332">
        <v>14</v>
      </c>
      <c r="Q17" s="332">
        <f>IF(Q16=1,12,Q16-1)</f>
      </c>
      <c r="R17" s="169"/>
      <c r="S17" s="333">
        <f>HLOOKUP(O17,'Datos SS'!$B$4:$CZZ$16,(Q17+1),0)</f>
      </c>
      <c r="T17" s="333">
        <f>IF(O17=YEAR($B$5),($B$9/12),IF(O17&gt;MIN(YEAR($B$7),YEAR($B$5)),($B$9/12)*(1+HLOOKUP(O17,'Datos SS'!$B$31:$CZZ$32,2,0))^(O17-YEAR($B$5)),T5/(1+HLOOKUP(O17,'Datos SS'!$B$31:$CZZ$32,2,0))))</f>
      </c>
      <c r="U17" s="333">
        <f>IF(O17=2018,IF(Q17&lt;8,HLOOKUP(O17,'Datos SS'!$B$25:$BZZ$27,3,0)/12,HLOOKUP(O17,'Datos SS'!$B$25:$BZZ$26,2,0)/12),HLOOKUP(O17,'Datos SS'!$B$25:$BZZ$26,2,0)/12)</f>
      </c>
      <c r="V17" s="964">
        <f>MAX(X17,MIN(T17,U17))</f>
      </c>
      <c r="W17" s="333">
        <f>IF($E$19="NO",IF(P17&lt;=180,IF(P17&lt;25,V17,V17*$S$28/S17),0),IF(P17&gt;$B$15,0,IF(P17&lt;25,V17,V17*$S$28/S17)))</f>
      </c>
      <c r="X17" s="721">
        <f>HLOOKUP(O17,'Datos SS'!$K$37:$EP$38,2,0)</f>
      </c>
      <c r="Y17" s="331">
        <f>MAX(INT(Y16)-1,0)</f>
      </c>
      <c r="Z17" s="169"/>
      <c r="AA17" s="169" t="s">
        <v>457</v>
      </c>
      <c r="AB17" s="169" t="s">
        <v>458</v>
      </c>
      <c r="AC17" s="965">
        <v>2318.441646795596</v>
      </c>
      <c r="AD17" s="331">
        <f>+AC17-W17</f>
      </c>
      <c r="AE17" s="331">
        <v>2027</v>
      </c>
      <c r="AF17" s="217">
        <v>38.5</v>
      </c>
      <c r="AG17" s="331">
        <v>65</v>
      </c>
      <c r="AH17" s="217">
        <f>AG17+AI17</f>
      </c>
      <c r="AI17" s="217">
        <v>2</v>
      </c>
      <c r="AJ17" s="1"/>
      <c r="AK17" s="1"/>
      <c r="AL17" s="170"/>
      <c r="AM17" s="170"/>
    </row>
    <row x14ac:dyDescent="0.25" r="18" customHeight="1" ht="18.75">
      <c r="A18" s="966" t="s">
        <v>459</v>
      </c>
      <c r="B18" s="544">
        <f>+'Simulador - 1º Pilar'!G20</f>
        <v>25569.041666666668</v>
      </c>
      <c r="C18" s="169"/>
      <c r="D18" s="170"/>
      <c r="E18" s="169"/>
      <c r="F18" s="169"/>
      <c r="G18" s="170"/>
      <c r="H18" s="170"/>
      <c r="I18" s="169"/>
      <c r="J18" s="1"/>
      <c r="K18" s="169"/>
      <c r="L18" s="332">
        <v>15</v>
      </c>
      <c r="M18" s="333">
        <f>IF(L18&lt;=$C$22,$B$22,IF(L18&lt;=$C$23+$C$22,$B$23,0))</f>
      </c>
      <c r="N18" s="1"/>
      <c r="O18" s="332">
        <f>IF(Q18=12,O17-1,O17)</f>
      </c>
      <c r="P18" s="332">
        <v>15</v>
      </c>
      <c r="Q18" s="332">
        <f>IF(Q17=1,12,Q17-1)</f>
      </c>
      <c r="R18" s="169"/>
      <c r="S18" s="333">
        <f>HLOOKUP(O18,'Datos SS'!$B$4:$CZZ$16,(Q18+1),0)</f>
      </c>
      <c r="T18" s="333">
        <f>IF(O18=YEAR($B$5),($B$9/12),IF(O18&gt;MIN(YEAR($B$7),YEAR($B$5)),($B$9/12)*(1+HLOOKUP(O18,'Datos SS'!$B$31:$CZZ$32,2,0))^(O18-YEAR($B$5)),T6/(1+HLOOKUP(O18,'Datos SS'!$B$31:$CZZ$32,2,0))))</f>
      </c>
      <c r="U18" s="333">
        <f>IF(O18=2018,IF(Q18&lt;8,HLOOKUP(O18,'Datos SS'!$B$25:$BZZ$27,3,0)/12,HLOOKUP(O18,'Datos SS'!$B$25:$BZZ$26,2,0)/12),HLOOKUP(O18,'Datos SS'!$B$25:$BZZ$26,2,0)/12)</f>
      </c>
      <c r="V18" s="964">
        <f>MAX(X18,MIN(T18,U18))</f>
      </c>
      <c r="W18" s="333">
        <f>IF($E$19="NO",IF(P18&lt;=180,IF(P18&lt;25,V18,V18*$S$28/S18),0),IF(P18&gt;$B$15,0,IF(P18&lt;25,V18,V18*$S$28/S18)))</f>
      </c>
      <c r="X18" s="721">
        <f>HLOOKUP(O18,'Datos SS'!$K$37:$EP$38,2,0)</f>
      </c>
      <c r="Y18" s="331">
        <f>MAX(INT(Y17)-1,0)</f>
      </c>
      <c r="Z18" s="331">
        <v>2020</v>
      </c>
      <c r="AA18" s="169" t="s">
        <v>460</v>
      </c>
      <c r="AB18" s="169" t="s">
        <v>412</v>
      </c>
      <c r="AC18" s="965">
        <v>2318.441646795596</v>
      </c>
      <c r="AD18" s="331">
        <f>+AC18-W18</f>
      </c>
      <c r="AE18" s="169"/>
      <c r="AF18" s="170"/>
      <c r="AG18" s="169"/>
      <c r="AH18" s="170"/>
      <c r="AI18" s="217"/>
      <c r="AJ18" s="1"/>
      <c r="AK18" s="1"/>
      <c r="AL18" s="170"/>
      <c r="AM18" s="170"/>
    </row>
    <row x14ac:dyDescent="0.25" r="19" customHeight="1" ht="18.75">
      <c r="A19" s="549" t="s">
        <v>461</v>
      </c>
      <c r="B19" s="547"/>
      <c r="C19" s="169"/>
      <c r="D19" s="170"/>
      <c r="E19" s="169"/>
      <c r="F19" s="169"/>
      <c r="G19" s="170"/>
      <c r="H19" s="170"/>
      <c r="I19" s="169"/>
      <c r="J19" s="1"/>
      <c r="K19" s="981">
        <f>180+16</f>
      </c>
      <c r="L19" s="332">
        <v>16</v>
      </c>
      <c r="M19" s="333">
        <f>IF(L19&lt;=$C$22,$B$22,IF(L19&lt;=$C$23+$C$22,$B$23,0))</f>
      </c>
      <c r="N19" s="1"/>
      <c r="O19" s="332">
        <f>IF(Q19=12,O18-1,O18)</f>
      </c>
      <c r="P19" s="332">
        <v>16</v>
      </c>
      <c r="Q19" s="332">
        <f>IF(Q18=1,12,Q18-1)</f>
      </c>
      <c r="R19" s="169"/>
      <c r="S19" s="333">
        <f>HLOOKUP(O19,'Datos SS'!$B$4:$CZZ$16,(Q19+1),0)</f>
      </c>
      <c r="T19" s="333">
        <f>IF(O19=YEAR($B$5),($B$9/12),IF(O19&gt;MIN(YEAR($B$7),YEAR($B$5)),($B$9/12)*(1+HLOOKUP(O19,'Datos SS'!$B$31:$CZZ$32,2,0))^(O19-YEAR($B$5)),T7/(1+HLOOKUP(O19,'Datos SS'!$B$31:$CZZ$32,2,0))))</f>
      </c>
      <c r="U19" s="333">
        <f>IF(O19=2018,IF(Q19&lt;8,HLOOKUP(O19,'Datos SS'!$B$25:$BZZ$27,3,0)/12,HLOOKUP(O19,'Datos SS'!$B$25:$BZZ$26,2,0)/12),HLOOKUP(O19,'Datos SS'!$B$25:$BZZ$26,2,0)/12)</f>
      </c>
      <c r="V19" s="964">
        <f>MAX(X19,MIN(T19,U19))</f>
      </c>
      <c r="W19" s="333">
        <f>IF($E$19="NO",IF(P19&lt;=180,IF(P19&lt;25,V19,V19*$S$28/S19),0),IF(P19&gt;$B$15,0,IF(P19&lt;25,V19,V19*$S$28/S19)))</f>
      </c>
      <c r="X19" s="721">
        <f>HLOOKUP(O19,'Datos SS'!$K$37:$EP$38,2,0)</f>
      </c>
      <c r="Y19" s="331">
        <f>MAX(INT(Y18)-1,0)</f>
      </c>
      <c r="Z19" s="169"/>
      <c r="AA19" s="169" t="s">
        <v>462</v>
      </c>
      <c r="AB19" s="169" t="s">
        <v>463</v>
      </c>
      <c r="AC19" s="965">
        <v>2318.441646795596</v>
      </c>
      <c r="AD19" s="331">
        <f>+AC19-W19</f>
      </c>
      <c r="AE19" s="169"/>
      <c r="AF19" s="170"/>
      <c r="AG19" s="169"/>
      <c r="AH19" s="170"/>
      <c r="AI19" s="170"/>
      <c r="AJ19" s="1"/>
      <c r="AK19" s="1"/>
      <c r="AL19" s="170"/>
      <c r="AM19" s="170"/>
    </row>
    <row x14ac:dyDescent="0.25" r="20" customHeight="1" ht="18.75">
      <c r="A20" s="982" t="s">
        <v>464</v>
      </c>
      <c r="B20" s="983">
        <f>SUM(W4:W304)</f>
      </c>
      <c r="C20" s="169"/>
      <c r="D20" s="170"/>
      <c r="E20" s="729"/>
      <c r="F20" s="169"/>
      <c r="G20" s="170"/>
      <c r="H20" s="170"/>
      <c r="I20" s="169"/>
      <c r="J20" s="1"/>
      <c r="K20" s="169"/>
      <c r="L20" s="332">
        <v>17</v>
      </c>
      <c r="M20" s="333">
        <f>IF(L20&lt;=$C$22,$B$22,IF(L20&lt;=$C$23+$C$22,$B$23,0))</f>
      </c>
      <c r="N20" s="1"/>
      <c r="O20" s="332">
        <f>IF(Q20=12,O19-1,O19)</f>
      </c>
      <c r="P20" s="332">
        <v>17</v>
      </c>
      <c r="Q20" s="332">
        <f>IF(Q19=1,12,Q19-1)</f>
      </c>
      <c r="R20" s="169"/>
      <c r="S20" s="333">
        <f>HLOOKUP(O20,'Datos SS'!$B$4:$CZZ$16,(Q20+1),0)</f>
      </c>
      <c r="T20" s="333">
        <f>IF(O20=YEAR($B$5),($B$9/12),IF(O20&gt;MIN(YEAR($B$7),YEAR($B$5)),($B$9/12)*(1+HLOOKUP(O20,'Datos SS'!$B$31:$CZZ$32,2,0))^(O20-YEAR($B$5)),T8/(1+HLOOKUP(O20,'Datos SS'!$B$31:$CZZ$32,2,0))))</f>
      </c>
      <c r="U20" s="333">
        <f>IF(O20=2018,IF(Q20&lt;8,HLOOKUP(O20,'Datos SS'!$B$25:$BZZ$27,3,0)/12,HLOOKUP(O20,'Datos SS'!$B$25:$BZZ$26,2,0)/12),HLOOKUP(O20,'Datos SS'!$B$25:$BZZ$26,2,0)/12)</f>
      </c>
      <c r="V20" s="964">
        <f>MAX(X20,MIN(T20,U20))</f>
      </c>
      <c r="W20" s="333">
        <f>IF($E$19="NO",IF(P20&lt;=180,IF(P20&lt;25,V20,V20*$S$28/S20),0),IF(P20&gt;$B$15,0,IF(P20&lt;25,V20,V20*$S$28/S20)))</f>
      </c>
      <c r="X20" s="721">
        <f>HLOOKUP(O20,'Datos SS'!$K$37:$EP$38,2,0)</f>
      </c>
      <c r="Y20" s="331">
        <f>MAX(INT(Y19)-1,0)</f>
      </c>
      <c r="Z20" s="331">
        <v>2021</v>
      </c>
      <c r="AA20" s="169" t="s">
        <v>465</v>
      </c>
      <c r="AB20" s="169" t="s">
        <v>412</v>
      </c>
      <c r="AC20" s="965">
        <v>2318.441646795596</v>
      </c>
      <c r="AD20" s="331">
        <f>+AC20-W20</f>
      </c>
      <c r="AE20" s="169"/>
      <c r="AF20" s="170"/>
      <c r="AG20" s="169"/>
      <c r="AH20" s="170"/>
      <c r="AI20" s="170"/>
      <c r="AJ20" s="1"/>
      <c r="AK20" s="1"/>
      <c r="AL20" s="984" t="s">
        <v>466</v>
      </c>
      <c r="AM20" s="170"/>
    </row>
    <row x14ac:dyDescent="0.25" r="21" customHeight="1" ht="18.75">
      <c r="A21" s="985" t="s">
        <v>467</v>
      </c>
      <c r="B21" s="986">
        <f>B20*1/B16</f>
      </c>
      <c r="C21" s="333">
        <f>B21*14</f>
      </c>
      <c r="D21" s="170"/>
      <c r="E21" s="729"/>
      <c r="F21" s="169"/>
      <c r="G21" s="170"/>
      <c r="H21" s="170"/>
      <c r="I21" s="169"/>
      <c r="J21" s="1"/>
      <c r="K21" s="169"/>
      <c r="L21" s="332">
        <v>18</v>
      </c>
      <c r="M21" s="333">
        <f>IF(L21&lt;=$C$22,$B$22,IF(L21&lt;=$C$23+$C$22,$B$23,0))</f>
      </c>
      <c r="N21" s="1"/>
      <c r="O21" s="332">
        <f>IF(Q21=12,O20-1,O20)</f>
      </c>
      <c r="P21" s="332">
        <v>18</v>
      </c>
      <c r="Q21" s="332">
        <f>IF(Q20=1,12,Q20-1)</f>
      </c>
      <c r="R21" s="169"/>
      <c r="S21" s="333">
        <f>HLOOKUP(O21,'Datos SS'!$B$4:$CZZ$16,(Q21+1),0)</f>
      </c>
      <c r="T21" s="333">
        <f>IF(O21=YEAR($B$5),($B$9/12),IF(O21&gt;MIN(YEAR($B$7),YEAR($B$5)),($B$9/12)*(1+HLOOKUP(O21,'Datos SS'!$B$31:$CZZ$32,2,0))^(O21-YEAR($B$5)),T9/(1+HLOOKUP(O21,'Datos SS'!$B$31:$CZZ$32,2,0))))</f>
      </c>
      <c r="U21" s="333">
        <f>IF(O21=2018,IF(Q21&lt;8,HLOOKUP(O21,'Datos SS'!$B$25:$BZZ$27,3,0)/12,HLOOKUP(O21,'Datos SS'!$B$25:$BZZ$26,2,0)/12),HLOOKUP(O21,'Datos SS'!$B$25:$BZZ$26,2,0)/12)</f>
      </c>
      <c r="V21" s="964">
        <f>MAX(X21,MIN(T21,U21))</f>
      </c>
      <c r="W21" s="333">
        <f>IF($E$19="NO",IF(P21&lt;=180,IF(P21&lt;25,V21,V21*$S$28/S21),0),IF(P21&gt;$B$15,0,IF(P21&lt;25,V21,V21*$S$28/S21)))</f>
      </c>
      <c r="X21" s="721">
        <f>HLOOKUP(O21,'Datos SS'!$K$37:$EP$38,2,0)</f>
      </c>
      <c r="Y21" s="331">
        <f>MAX(INT(Y20)-1,0)</f>
      </c>
      <c r="Z21" s="169"/>
      <c r="AA21" s="169" t="s">
        <v>468</v>
      </c>
      <c r="AB21" s="169" t="s">
        <v>469</v>
      </c>
      <c r="AC21" s="965">
        <v>2318.441646795596</v>
      </c>
      <c r="AD21" s="331">
        <f>+AC21-W21</f>
      </c>
      <c r="AE21" s="169"/>
      <c r="AF21" s="170"/>
      <c r="AG21" s="169"/>
      <c r="AH21" s="170"/>
      <c r="AI21" s="170"/>
      <c r="AJ21" s="1"/>
      <c r="AK21" s="1"/>
      <c r="AL21" s="170" t="s">
        <v>470</v>
      </c>
      <c r="AM21" s="170"/>
    </row>
    <row x14ac:dyDescent="0.25" r="22" customHeight="1" ht="18.75">
      <c r="A22" s="985" t="s">
        <v>471</v>
      </c>
      <c r="B22" s="987">
        <f>IF(YEAR(B18)&lt;=2019,VLOOKUP(2019,$E$27:$H$30,3,0),IF(YEAR(B18)&lt;=2022,VLOOKUP(2022,$E$27:$H$30,3,0),IF(YEAR(B18)&lt;=2026,VLOOKUP(2026,$E$27:$H$30,3,0),IF(YEAR(B18)&gt;2026,VLOOKUP(2027,$E$27:$H$30,3,0)))))</f>
      </c>
      <c r="C22" s="333">
        <f>MIN(B17,IF(YEAR(B18)&lt;=2019,VLOOKUP(2019,$E$27:$H$30,2,0),IF(YEAR(B18)&lt;=2022,VLOOKUP(2022,$E$27:$H$30,2,0),IF(YEAR(B18)&lt;=2026,VLOOKUP(2026,$E$27:$H$30,2,0),IF(YEAR(B18)&gt;2026,VLOOKUP(2027,$E$27:$H$30,2,0))))))</f>
      </c>
      <c r="D22" s="170"/>
      <c r="E22" s="169"/>
      <c r="F22" s="169"/>
      <c r="G22" s="170"/>
      <c r="H22" s="170"/>
      <c r="I22" s="169"/>
      <c r="J22" s="1"/>
      <c r="K22" s="169"/>
      <c r="L22" s="332">
        <v>19</v>
      </c>
      <c r="M22" s="333">
        <f>IF(L22&lt;=$C$22,$B$22,IF(L22&lt;=$C$23+$C$22,$B$23,0))</f>
      </c>
      <c r="N22" s="1"/>
      <c r="O22" s="332">
        <f>IF(Q22=12,O21-1,O21)</f>
      </c>
      <c r="P22" s="332">
        <v>19</v>
      </c>
      <c r="Q22" s="332">
        <f>IF(Q21=1,12,Q21-1)</f>
      </c>
      <c r="R22" s="169"/>
      <c r="S22" s="333">
        <f>HLOOKUP(O22,'Datos SS'!$B$4:$CZZ$16,(Q22+1),0)</f>
      </c>
      <c r="T22" s="333">
        <f>IF(O22=YEAR($B$5),($B$9/12),IF(O22&gt;MIN(YEAR($B$7),YEAR($B$5)),($B$9/12)*(1+HLOOKUP(O22,'Datos SS'!$B$31:$CZZ$32,2,0))^(O22-YEAR($B$5)),T10/(1+HLOOKUP(O22,'Datos SS'!$B$31:$CZZ$32,2,0))))</f>
      </c>
      <c r="U22" s="333">
        <f>IF(O22=2018,IF(Q22&lt;8,HLOOKUP(O22,'Datos SS'!$B$25:$BZZ$27,3,0)/12,HLOOKUP(O22,'Datos SS'!$B$25:$BZZ$26,2,0)/12),HLOOKUP(O22,'Datos SS'!$B$25:$BZZ$26,2,0)/12)</f>
      </c>
      <c r="V22" s="964">
        <f>MAX(X22,MIN(T22,U22))</f>
      </c>
      <c r="W22" s="333">
        <f>IF($E$19="NO",IF(P22&lt;=180,IF(P22&lt;25,V22,V22*$S$28/S22),0),IF(P22&gt;$B$15,0,IF(P22&lt;25,V22,V22*$S$28/S22)))</f>
      </c>
      <c r="X22" s="721">
        <f>HLOOKUP(O22,'Datos SS'!$K$37:$EP$38,2,0)</f>
      </c>
      <c r="Y22" s="331">
        <f>MAX(INT(Y21)-1,0)</f>
      </c>
      <c r="Z22" s="331">
        <v>2022</v>
      </c>
      <c r="AA22" s="169" t="s">
        <v>472</v>
      </c>
      <c r="AB22" s="169" t="s">
        <v>412</v>
      </c>
      <c r="AC22" s="965">
        <v>2318.441646795596</v>
      </c>
      <c r="AD22" s="331">
        <f>+AC22-W22</f>
      </c>
      <c r="AE22" s="169"/>
      <c r="AF22" s="170"/>
      <c r="AG22" s="169"/>
      <c r="AH22" s="170"/>
      <c r="AI22" s="170"/>
      <c r="AJ22" s="1"/>
      <c r="AK22" s="1"/>
      <c r="AL22" s="170" t="s">
        <v>473</v>
      </c>
      <c r="AM22" s="170"/>
    </row>
    <row x14ac:dyDescent="0.25" r="23" customHeight="1" ht="18.75">
      <c r="A23" s="985" t="s">
        <v>474</v>
      </c>
      <c r="B23" s="987">
        <f>IF(YEAR(B18)&lt;=2019,VLOOKUP(2019,$E$27:$H$30,4,0),IF(YEAR(B18)&lt;=2022,VLOOKUP(2022,$E$27:$H$30,4,0),IF(YEAR(B18)&lt;=2026,VLOOKUP(2026,$E$27:$H$30,4,0),IF(YEAR(B18)&gt;2026,VLOOKUP(2027,$E$27:$H$30,4,0)))))</f>
      </c>
      <c r="C23" s="332">
        <f>MIN(B17-C22,IF(YEAR(B18)&lt;=2019,VLOOKUP(2019,$E$27:$I$30,5,0),IF(YEAR(B18)&lt;=2022,VLOOKUP(2022,$E$27:$I$30,5,0),IF(YEAR(B18)&lt;=2026,VLOOKUP(2026,$E$27:$I$30,5,0),IF(YEAR(B18)&gt;2026,VLOOKUP(2027,$E$27:$I$30,5,0))))))</f>
      </c>
      <c r="D23" s="170"/>
      <c r="E23" s="169"/>
      <c r="F23" s="169"/>
      <c r="G23" s="170"/>
      <c r="H23" s="170"/>
      <c r="I23" s="169"/>
      <c r="J23" s="1"/>
      <c r="K23" s="169"/>
      <c r="L23" s="332">
        <v>20</v>
      </c>
      <c r="M23" s="333">
        <f>IF(L23&lt;=$C$22,$B$22,IF(L23&lt;=$C$23+$C$22,$B$23,0))</f>
      </c>
      <c r="N23" s="1"/>
      <c r="O23" s="332">
        <f>IF(Q23=12,O22-1,O22)</f>
      </c>
      <c r="P23" s="332">
        <v>20</v>
      </c>
      <c r="Q23" s="332">
        <f>IF(Q22=1,12,Q22-1)</f>
      </c>
      <c r="R23" s="169"/>
      <c r="S23" s="333">
        <f>HLOOKUP(O23,'Datos SS'!$B$4:$CZZ$16,(Q23+1),0)</f>
      </c>
      <c r="T23" s="333">
        <f>IF(O23=YEAR($B$5),($B$9/12),IF(O23&gt;MIN(YEAR($B$7),YEAR($B$5)),($B$9/12)*(1+HLOOKUP(O23,'Datos SS'!$B$31:$CZZ$32,2,0))^(O23-YEAR($B$5)),T11/(1+HLOOKUP(O23,'Datos SS'!$B$31:$CZZ$32,2,0))))</f>
      </c>
      <c r="U23" s="333">
        <f>IF(O23=2018,IF(Q23&lt;8,HLOOKUP(O23,'Datos SS'!$B$25:$BZZ$27,3,0)/12,HLOOKUP(O23,'Datos SS'!$B$25:$BZZ$26,2,0)/12),HLOOKUP(O23,'Datos SS'!$B$25:$BZZ$26,2,0)/12)</f>
      </c>
      <c r="V23" s="964">
        <f>MAX(X23,MIN(T23,U23))</f>
      </c>
      <c r="W23" s="333">
        <f>IF($E$19="NO",IF(P23&lt;=180,IF(P23&lt;25,V23,V23*$S$28/S23),0),IF(P23&gt;$B$15,0,IF(P23&lt;25,V23,V23*$S$28/S23)))</f>
      </c>
      <c r="X23" s="721">
        <f>HLOOKUP(O23,'Datos SS'!$K$37:$EP$38,2,0)</f>
      </c>
      <c r="Y23" s="331">
        <f>MAX(INT(Y22)-1,0)</f>
      </c>
      <c r="Z23" s="169"/>
      <c r="AA23" s="169" t="s">
        <v>475</v>
      </c>
      <c r="AB23" s="169" t="s">
        <v>476</v>
      </c>
      <c r="AC23" s="965">
        <v>2318.441646795596</v>
      </c>
      <c r="AD23" s="331">
        <f>+AC23-W23</f>
      </c>
      <c r="AE23" s="169"/>
      <c r="AF23" s="170"/>
      <c r="AG23" s="169"/>
      <c r="AH23" s="170"/>
      <c r="AI23" s="170"/>
      <c r="AJ23" s="1"/>
      <c r="AK23" s="1"/>
      <c r="AL23" s="170" t="s">
        <v>477</v>
      </c>
      <c r="AM23" s="170"/>
    </row>
    <row x14ac:dyDescent="0.25" r="24" customHeight="1" ht="18.75">
      <c r="A24" s="1"/>
      <c r="B24" s="330"/>
      <c r="C24" s="169"/>
      <c r="D24" s="170"/>
      <c r="E24" s="169"/>
      <c r="F24" s="169"/>
      <c r="G24" s="170"/>
      <c r="H24" s="170"/>
      <c r="I24" s="169"/>
      <c r="J24" s="1"/>
      <c r="K24" s="169"/>
      <c r="L24" s="332">
        <v>21</v>
      </c>
      <c r="M24" s="333">
        <f>IF(L24&lt;=$C$22,$B$22,IF(L24&lt;=$C$23+$C$22,$B$23,0))</f>
      </c>
      <c r="N24" s="1"/>
      <c r="O24" s="332">
        <f>IF(Q24=12,O23-1,O23)</f>
      </c>
      <c r="P24" s="332">
        <v>21</v>
      </c>
      <c r="Q24" s="332">
        <f>IF(Q23=1,12,Q23-1)</f>
      </c>
      <c r="R24" s="169"/>
      <c r="S24" s="333">
        <f>HLOOKUP(O24,'Datos SS'!$B$4:$CZZ$16,(Q24+1),0)</f>
      </c>
      <c r="T24" s="333">
        <f>IF(O24=YEAR($B$5),($B$9/12),IF(O24&gt;MIN(YEAR($B$7),YEAR($B$5)),($B$9/12)*(1+HLOOKUP(O24,'Datos SS'!$B$31:$CZZ$32,2,0))^(O24-YEAR($B$5)),T12/(1+HLOOKUP(O24,'Datos SS'!$B$31:$CZZ$32,2,0))))</f>
      </c>
      <c r="U24" s="333">
        <f>IF(O24=2018,IF(Q24&lt;8,HLOOKUP(O24,'Datos SS'!$B$25:$BZZ$27,3,0)/12,HLOOKUP(O24,'Datos SS'!$B$25:$BZZ$26,2,0)/12),HLOOKUP(O24,'Datos SS'!$B$25:$BZZ$26,2,0)/12)</f>
      </c>
      <c r="V24" s="964">
        <f>MAX(X24,MIN(T24,U24))</f>
      </c>
      <c r="W24" s="333">
        <f>IF($E$19="NO",IF(P24&lt;=180,IF(P24&lt;25,V24,V24*$S$28/S24),0),IF(P24&gt;$B$15,0,IF(P24&lt;25,V24,V24*$S$28/S24)))</f>
      </c>
      <c r="X24" s="721">
        <f>HLOOKUP(O24,'Datos SS'!$K$37:$EP$38,2,0)</f>
      </c>
      <c r="Y24" s="331">
        <f>MAX(INT(Y23)-1,0)</f>
      </c>
      <c r="Z24" s="331">
        <v>2023</v>
      </c>
      <c r="AA24" s="169" t="s">
        <v>478</v>
      </c>
      <c r="AB24" s="169" t="s">
        <v>412</v>
      </c>
      <c r="AC24" s="965">
        <v>2318.441646795596</v>
      </c>
      <c r="AD24" s="331">
        <f>+AC24-W24</f>
      </c>
      <c r="AE24" s="169"/>
      <c r="AF24" s="170"/>
      <c r="AG24" s="169"/>
      <c r="AH24" s="170"/>
      <c r="AI24" s="170"/>
      <c r="AJ24" s="1"/>
      <c r="AK24" s="1"/>
      <c r="AL24" s="170" t="s">
        <v>479</v>
      </c>
      <c r="AM24" s="170"/>
    </row>
    <row x14ac:dyDescent="0.25" r="25" customHeight="1" ht="18.75">
      <c r="A25" s="988" t="s">
        <v>480</v>
      </c>
      <c r="B25" s="989">
        <f>IF('Simulador - 1º Pilar'!$G$10="Jubilación anticipada",IF(B10&lt;B14,IF(B8&lt;35,100%,IF(AND(35&lt;=B8,B8&lt;38.5),0.02*D7*4,IF(AND(38.5&lt;=B8,B8&lt;41.5),0.01875*(D7*4),IF(AND(41.5&lt;=B8,B8&lt;44.5),0.0175*(D7*4),IF(B8&gt;=44.5,0.01625*(D7*4)))))),0),0)</f>
      </c>
      <c r="C25" s="990">
        <f>IF(B10&lt;B14,IF(B8&lt;35,"La jubilación anticipada no es posible",IF(AND(35&lt;=B8,B8&lt;38.5),0.02,IF(AND(38.5&lt;=B8,B8&lt;41.5),0.01875,IF(AND(41.5&lt;=B8,B8&lt;44.5),0.0175,IF(B8&gt;=44.5,0.01625))))),0)</f>
      </c>
      <c r="D25" s="646" t="s">
        <v>481</v>
      </c>
      <c r="E25" s="169"/>
      <c r="F25" s="991"/>
      <c r="G25" s="170"/>
      <c r="H25" s="170"/>
      <c r="I25" s="169"/>
      <c r="J25" s="1"/>
      <c r="K25" s="169"/>
      <c r="L25" s="332">
        <v>22</v>
      </c>
      <c r="M25" s="333">
        <f>IF(L25&lt;=$C$22,$B$22,IF(L25&lt;=$C$23+$C$22,$B$23,0))</f>
      </c>
      <c r="N25" s="1"/>
      <c r="O25" s="332">
        <f>IF(Q25=12,O24-1,O24)</f>
      </c>
      <c r="P25" s="332">
        <v>22</v>
      </c>
      <c r="Q25" s="332">
        <f>IF(Q24=1,12,Q24-1)</f>
      </c>
      <c r="R25" s="169"/>
      <c r="S25" s="333">
        <f>HLOOKUP(O25,'Datos SS'!$B$4:$CZZ$16,(Q25+1),0)</f>
      </c>
      <c r="T25" s="333">
        <f>IF(O25=YEAR($B$5),($B$9/12),IF(O25&gt;MIN(YEAR($B$7),YEAR($B$5)),($B$9/12)*(1+HLOOKUP(O25,'Datos SS'!$B$31:$CZZ$32,2,0))^(O25-YEAR($B$5)),T13/(1+HLOOKUP(O25,'Datos SS'!$B$31:$CZZ$32,2,0))))</f>
      </c>
      <c r="U25" s="333">
        <f>IF(O25=2018,IF(Q25&lt;8,HLOOKUP(O25,'Datos SS'!$B$25:$BZZ$27,3,0)/12,HLOOKUP(O25,'Datos SS'!$B$25:$BZZ$26,2,0)/12),HLOOKUP(O25,'Datos SS'!$B$25:$BZZ$26,2,0)/12)</f>
      </c>
      <c r="V25" s="964">
        <f>MAX(X25,MIN(T25,U25))</f>
      </c>
      <c r="W25" s="333">
        <f>IF($E$19="NO",IF(P25&lt;=180,IF(P25&lt;25,V25,V25*$S$28/S25),0),IF(P25&gt;$B$15,0,IF(P25&lt;25,V25,V25*$S$28/S25)))</f>
      </c>
      <c r="X25" s="721">
        <f>HLOOKUP(O25,'Datos SS'!$K$37:$EP$38,2,0)</f>
      </c>
      <c r="Y25" s="331">
        <f>MAX(INT(Y24)-1,0)</f>
      </c>
      <c r="Z25" s="169"/>
      <c r="AA25" s="169" t="s">
        <v>482</v>
      </c>
      <c r="AB25" s="169" t="s">
        <v>483</v>
      </c>
      <c r="AC25" s="965">
        <v>2272.9820066623492</v>
      </c>
      <c r="AD25" s="331">
        <f>+AC25-W25</f>
      </c>
      <c r="AE25" s="169"/>
      <c r="AF25" s="170"/>
      <c r="AG25" s="169"/>
      <c r="AH25" s="170"/>
      <c r="AI25" s="170"/>
      <c r="AJ25" s="1"/>
      <c r="AK25" s="1"/>
      <c r="AL25" s="170"/>
      <c r="AM25" s="170"/>
    </row>
    <row x14ac:dyDescent="0.25" r="26" customHeight="1" ht="18.75">
      <c r="A26" s="985" t="s">
        <v>484</v>
      </c>
      <c r="B26" s="987">
        <f>0.5+SUM(M4:M402)</f>
      </c>
      <c r="C26" s="992">
        <f>B26+B35</f>
      </c>
      <c r="D26" s="170"/>
      <c r="E26" s="993" t="s">
        <v>485</v>
      </c>
      <c r="F26" s="993"/>
      <c r="G26" s="994"/>
      <c r="H26" s="994"/>
      <c r="I26" s="993"/>
      <c r="J26" s="1"/>
      <c r="K26" s="169"/>
      <c r="L26" s="332">
        <v>23</v>
      </c>
      <c r="M26" s="333">
        <f>IF(L26&lt;=$C$22,$B$22,IF(L26&lt;=$C$23+$C$22,$B$23,0))</f>
      </c>
      <c r="N26" s="1"/>
      <c r="O26" s="332">
        <f>IF(Q26=12,O25-1,O25)</f>
      </c>
      <c r="P26" s="332">
        <v>23</v>
      </c>
      <c r="Q26" s="332">
        <f>IF(Q25=1,12,Q25-1)</f>
      </c>
      <c r="R26" s="169"/>
      <c r="S26" s="333">
        <f>HLOOKUP(O26,'Datos SS'!$B$4:$CZZ$16,(Q26+1),0)</f>
      </c>
      <c r="T26" s="333">
        <f>IF(O26=YEAR($B$5),($B$9/12),IF(O26&gt;MIN(YEAR($B$7),YEAR($B$5)),($B$9/12)*(1+HLOOKUP(O26,'Datos SS'!$B$31:$CZZ$32,2,0))^(O26-YEAR($B$5)),T14/(1+HLOOKUP(O26,'Datos SS'!$B$31:$CZZ$32,2,0))))</f>
      </c>
      <c r="U26" s="333">
        <f>IF(O26=2018,IF(Q26&lt;8,HLOOKUP(O26,'Datos SS'!$B$25:$BZZ$27,3,0)/12,HLOOKUP(O26,'Datos SS'!$B$25:$BZZ$26,2,0)/12),HLOOKUP(O26,'Datos SS'!$B$25:$BZZ$26,2,0)/12)</f>
      </c>
      <c r="V26" s="964">
        <f>MAX(X26,MIN(T26,U26))</f>
      </c>
      <c r="W26" s="333">
        <f>IF($E$19="NO",IF(P26&lt;=180,IF(P26&lt;25,V26,V26*$S$28/S26),0),IF(P26&gt;$B$15,0,IF(P26&lt;25,V26,V26*$S$28/S26)))</f>
      </c>
      <c r="X26" s="721">
        <f>HLOOKUP(O26,'Datos SS'!$K$37:$EP$38,2,0)</f>
      </c>
      <c r="Y26" s="331">
        <f>MAX(INT(Y25)-1,0)</f>
      </c>
      <c r="Z26" s="331">
        <v>2024</v>
      </c>
      <c r="AA26" s="169" t="s">
        <v>486</v>
      </c>
      <c r="AB26" s="169" t="s">
        <v>412</v>
      </c>
      <c r="AC26" s="965">
        <v>2272.9820066623492</v>
      </c>
      <c r="AD26" s="331">
        <f>+AC26-W26</f>
      </c>
      <c r="AE26" s="169"/>
      <c r="AF26" s="170"/>
      <c r="AG26" s="169"/>
      <c r="AH26" s="170"/>
      <c r="AI26" s="170"/>
      <c r="AJ26" s="1"/>
      <c r="AK26" s="1"/>
      <c r="AL26" s="170"/>
      <c r="AM26" s="170"/>
    </row>
    <row x14ac:dyDescent="0.25" r="27" customHeight="1" ht="18.75">
      <c r="A27" s="1"/>
      <c r="B27" s="170"/>
      <c r="C27" s="169"/>
      <c r="D27" s="170"/>
      <c r="E27" s="332">
        <v>2019</v>
      </c>
      <c r="F27" s="332">
        <v>163</v>
      </c>
      <c r="G27" s="333">
        <v>0.0021</v>
      </c>
      <c r="H27" s="333">
        <v>0.0019</v>
      </c>
      <c r="I27" s="332">
        <v>83</v>
      </c>
      <c r="J27" s="1"/>
      <c r="K27" s="169"/>
      <c r="L27" s="332">
        <v>24</v>
      </c>
      <c r="M27" s="333">
        <f>IF(L27&lt;=$C$22,$B$22,IF(L27&lt;=$C$23+$C$22,$B$23,0))</f>
      </c>
      <c r="N27" s="1"/>
      <c r="O27" s="332">
        <f>IF(Q27=12,O26-1,O26)</f>
      </c>
      <c r="P27" s="332">
        <v>24</v>
      </c>
      <c r="Q27" s="332">
        <f>IF(Q26=1,12,Q26-1)</f>
      </c>
      <c r="R27" s="169"/>
      <c r="S27" s="333">
        <f>HLOOKUP(O27,'Datos SS'!$B$4:$CZZ$16,(Q27+1),0)</f>
      </c>
      <c r="T27" s="333">
        <f>IF(O27=YEAR($B$5),($B$9/12),IF(O27&gt;MIN(YEAR($B$7),YEAR($B$5)),($B$9/12)*(1+HLOOKUP(O27,'Datos SS'!$B$31:$CZZ$32,2,0))^(O27-YEAR($B$5)),T15/(1+HLOOKUP(O27,'Datos SS'!$B$31:$CZZ$32,2,0))))</f>
      </c>
      <c r="U27" s="333">
        <f>IF(O27=2018,IF(Q27&lt;8,HLOOKUP(O27,'Datos SS'!$B$25:$BZZ$27,3,0)/12,HLOOKUP(O27,'Datos SS'!$B$25:$BZZ$26,2,0)/12),HLOOKUP(O27,'Datos SS'!$B$25:$BZZ$26,2,0)/12)</f>
      </c>
      <c r="V27" s="964">
        <f>MAX(X27,MIN(T27,U27))</f>
      </c>
      <c r="W27" s="333">
        <f>IF($E$19="NO",IF(P27&lt;=180,IF(P27&lt;25,V27,V27*$S$28/S27),0),IF(P27&gt;$B$15,0,IF(P27&lt;25,V27,V27*$S$28/S27)))</f>
      </c>
      <c r="X27" s="721">
        <f>HLOOKUP(O27,'Datos SS'!$K$37:$EP$38,2,0)</f>
      </c>
      <c r="Y27" s="331">
        <f>MAX(INT(Y26)-1,0)</f>
      </c>
      <c r="Z27" s="169"/>
      <c r="AA27" s="169" t="s">
        <v>487</v>
      </c>
      <c r="AB27" s="169" t="s">
        <v>488</v>
      </c>
      <c r="AC27" s="965">
        <v>2272.9820066623492</v>
      </c>
      <c r="AD27" s="331">
        <f>+AC27-W27</f>
      </c>
      <c r="AE27" s="169"/>
      <c r="AF27" s="170"/>
      <c r="AG27" s="169"/>
      <c r="AH27" s="170"/>
      <c r="AI27" s="170"/>
      <c r="AJ27" s="1"/>
      <c r="AK27" s="1"/>
      <c r="AL27" s="984" t="s">
        <v>489</v>
      </c>
      <c r="AM27" s="170"/>
    </row>
    <row x14ac:dyDescent="0.25" r="28" customHeight="1" ht="18.75">
      <c r="A28" s="995" t="s">
        <v>490</v>
      </c>
      <c r="B28" s="333">
        <f>B21*(B26)*(1-B25)</f>
      </c>
      <c r="C28" s="964">
        <f>C26*B21</f>
      </c>
      <c r="D28" s="170"/>
      <c r="E28" s="332">
        <v>2022</v>
      </c>
      <c r="F28" s="332">
        <v>106</v>
      </c>
      <c r="G28" s="333">
        <v>0.0021</v>
      </c>
      <c r="H28" s="333">
        <v>0.0019</v>
      </c>
      <c r="I28" s="332">
        <v>146</v>
      </c>
      <c r="J28" s="1"/>
      <c r="K28" s="169"/>
      <c r="L28" s="332">
        <v>25</v>
      </c>
      <c r="M28" s="333">
        <f>IF(L28&lt;=$C$22,$B$22,IF(L28&lt;=$C$23+$C$22,$B$23,0))</f>
      </c>
      <c r="N28" s="1"/>
      <c r="O28" s="332">
        <f>IF(Q28=12,O27-1,O27)</f>
      </c>
      <c r="P28" s="332">
        <v>25</v>
      </c>
      <c r="Q28" s="332">
        <f>IF(Q27=1,12,Q27-1)</f>
      </c>
      <c r="R28" s="169"/>
      <c r="S28" s="333">
        <f>HLOOKUP(O28,'Datos SS'!$B$4:$CZZ$16,(Q28+1),0)</f>
      </c>
      <c r="T28" s="333">
        <f>IF(O28=YEAR($B$5),($B$9/12),IF(O28&gt;MIN(YEAR($B$7),YEAR($B$5)),($B$9/12)*(1+HLOOKUP(O28,'Datos SS'!$B$31:$CZZ$32,2,0))^(O28-YEAR($B$5)),T16/(1+HLOOKUP(O28,'Datos SS'!$B$31:$CZZ$32,2,0))))</f>
      </c>
      <c r="U28" s="333">
        <f>IF(O28=2018,IF(Q28&lt;8,HLOOKUP(O28,'Datos SS'!$B$25:$BZZ$27,3,0)/12,HLOOKUP(O28,'Datos SS'!$B$25:$BZZ$26,2,0)/12),HLOOKUP(O28,'Datos SS'!$B$25:$BZZ$26,2,0)/12)</f>
      </c>
      <c r="V28" s="964">
        <f>MAX(X28,MIN(T28,U28))</f>
      </c>
      <c r="W28" s="333">
        <f>IF($E$19="NO",IF(P28&lt;=180,IF(P28&lt;25,V28,V28*$S$28/S28),0),IF(P28&gt;$B$15,0,IF(P28&lt;25,V28,V28*$S$28/S28)))</f>
      </c>
      <c r="X28" s="721">
        <f>HLOOKUP(O28,'Datos SS'!$K$37:$EP$38,2,0)</f>
      </c>
      <c r="Y28" s="331">
        <f>MAX(INT(Y27)-1,0)</f>
      </c>
      <c r="Z28" s="331">
        <v>2025</v>
      </c>
      <c r="AA28" s="169" t="s">
        <v>491</v>
      </c>
      <c r="AB28" s="169" t="s">
        <v>412</v>
      </c>
      <c r="AC28" s="965">
        <v>2272.9820066623492</v>
      </c>
      <c r="AD28" s="331">
        <f>+AC28-W28</f>
      </c>
      <c r="AE28" s="169"/>
      <c r="AF28" s="170"/>
      <c r="AG28" s="169"/>
      <c r="AH28" s="170"/>
      <c r="AI28" s="170"/>
      <c r="AJ28" s="1"/>
      <c r="AK28" s="1"/>
      <c r="AL28" s="170" t="s">
        <v>492</v>
      </c>
      <c r="AM28" s="170"/>
    </row>
    <row x14ac:dyDescent="0.25" r="29" customHeight="1" ht="18.75">
      <c r="A29" s="996" t="s">
        <v>493</v>
      </c>
      <c r="B29" s="997">
        <f>IF(B25&gt;0,(HLOOKUP(YEAR(B7),'Datos SS'!B20:BZO21,2,0)/14)*(1+(B10-B14)*4*0.005),(HLOOKUP(YEAR(B7)+IF('Simulador - 1º Pilar'!G10="Jubilación prolongada",'Simulador - 1º Pilar'!E99,0),'Datos SS'!B20:BZO21,2,0)/14))</f>
      </c>
      <c r="C29" s="217"/>
      <c r="D29" s="170"/>
      <c r="E29" s="332">
        <v>2026</v>
      </c>
      <c r="F29" s="332">
        <v>49</v>
      </c>
      <c r="G29" s="333">
        <v>0.0021</v>
      </c>
      <c r="H29" s="333">
        <v>0.0019</v>
      </c>
      <c r="I29" s="332">
        <v>209</v>
      </c>
      <c r="J29" s="1"/>
      <c r="K29" s="169"/>
      <c r="L29" s="332">
        <v>26</v>
      </c>
      <c r="M29" s="333">
        <f>IF(L29&lt;=$C$22,$B$22,IF(L29&lt;=$C$23+$C$22,$B$23,0))</f>
      </c>
      <c r="N29" s="1"/>
      <c r="O29" s="332">
        <f>IF(Q29=12,O28-1,O28)</f>
      </c>
      <c r="P29" s="332">
        <v>26</v>
      </c>
      <c r="Q29" s="332">
        <f>IF(Q28=1,12,Q28-1)</f>
      </c>
      <c r="R29" s="169"/>
      <c r="S29" s="333">
        <f>HLOOKUP(O29,'Datos SS'!$B$4:$CZZ$16,(Q29+1),0)</f>
      </c>
      <c r="T29" s="333">
        <f>IF(O29=YEAR($B$5),($B$9/12),IF(O29&gt;MIN(YEAR($B$7),YEAR($B$5)),($B$9/12)*(1+HLOOKUP(O29,'Datos SS'!$B$31:$CZZ$32,2,0))^(O29-YEAR($B$5)),T17/(1+HLOOKUP(O29,'Datos SS'!$B$31:$CZZ$32,2,0))))</f>
      </c>
      <c r="U29" s="333">
        <f>IF(O29=2018,IF(Q29&lt;8,HLOOKUP(O29,'Datos SS'!$B$25:$BZZ$27,3,0)/12,HLOOKUP(O29,'Datos SS'!$B$25:$BZZ$26,2,0)/12),HLOOKUP(O29,'Datos SS'!$B$25:$BZZ$26,2,0)/12)</f>
      </c>
      <c r="V29" s="964">
        <f>MAX(X29,MIN(T29,U29))</f>
      </c>
      <c r="W29" s="333">
        <f>IF($E$19="NO",IF(P29&lt;=180,IF(P29&lt;25,V29,V29*$S$28/S29),0),IF(P29&gt;$B$15,0,IF(P29&lt;25,V29,V29*$S$28/S29)))</f>
      </c>
      <c r="X29" s="721">
        <f>HLOOKUP(O29,'Datos SS'!$K$37:$EP$38,2,0)</f>
      </c>
      <c r="Y29" s="331">
        <f>MAX(INT(Y28)-1,0)</f>
      </c>
      <c r="Z29" s="169"/>
      <c r="AA29" s="169" t="s">
        <v>494</v>
      </c>
      <c r="AB29" s="169" t="s">
        <v>495</v>
      </c>
      <c r="AC29" s="965">
        <v>2274.867531870099</v>
      </c>
      <c r="AD29" s="331">
        <f>+AC29-W29</f>
      </c>
      <c r="AE29" s="169"/>
      <c r="AF29" s="170"/>
      <c r="AG29" s="169"/>
      <c r="AH29" s="170"/>
      <c r="AI29" s="170"/>
      <c r="AJ29" s="1"/>
      <c r="AK29" s="1"/>
      <c r="AL29" s="170" t="s">
        <v>496</v>
      </c>
      <c r="AM29" s="170"/>
    </row>
    <row x14ac:dyDescent="0.25" r="30" customHeight="1" ht="18.75">
      <c r="A30" s="998" t="s">
        <v>497</v>
      </c>
      <c r="B30" s="999">
        <f>IF($B$31*B28&lt;$B$29,$B$31*B28,$B$29)</f>
      </c>
      <c r="C30" s="1000">
        <f>IF($B$31*C28&lt;$B$29,$B$31*C28,$B$29)</f>
      </c>
      <c r="D30" s="170"/>
      <c r="E30" s="332">
        <v>2027</v>
      </c>
      <c r="F30" s="332">
        <v>248</v>
      </c>
      <c r="G30" s="333">
        <v>0.0019</v>
      </c>
      <c r="H30" s="333">
        <v>0.0018</v>
      </c>
      <c r="I30" s="332">
        <v>16</v>
      </c>
      <c r="J30" s="1"/>
      <c r="K30" s="169"/>
      <c r="L30" s="332">
        <v>27</v>
      </c>
      <c r="M30" s="333">
        <f>IF(L30&lt;=$C$22,$B$22,IF(L30&lt;=$C$23+$C$22,$B$23,0))</f>
      </c>
      <c r="N30" s="1"/>
      <c r="O30" s="332">
        <f>IF(Q30=12,O29-1,O29)</f>
      </c>
      <c r="P30" s="332">
        <v>27</v>
      </c>
      <c r="Q30" s="332">
        <f>IF(Q29=1,12,Q29-1)</f>
      </c>
      <c r="R30" s="169"/>
      <c r="S30" s="333">
        <f>HLOOKUP(O30,'Datos SS'!$B$4:$CZZ$16,(Q30+1),0)</f>
      </c>
      <c r="T30" s="333">
        <f>IF(O30=YEAR($B$5),($B$9/12),IF(O30&gt;MIN(YEAR($B$7),YEAR($B$5)),($B$9/12)*(1+HLOOKUP(O30,'Datos SS'!$B$31:$CZZ$32,2,0))^(O30-YEAR($B$5)),T18/(1+HLOOKUP(O30,'Datos SS'!$B$31:$CZZ$32,2,0))))</f>
      </c>
      <c r="U30" s="333">
        <f>IF(O30=2018,IF(Q30&lt;8,HLOOKUP(O30,'Datos SS'!$B$25:$BZZ$27,3,0)/12,HLOOKUP(O30,'Datos SS'!$B$25:$BZZ$26,2,0)/12),HLOOKUP(O30,'Datos SS'!$B$25:$BZZ$26,2,0)/12)</f>
      </c>
      <c r="V30" s="964">
        <f>MAX(X30,MIN(T30,U30))</f>
      </c>
      <c r="W30" s="333">
        <f>IF($E$19="NO",IF(P30&lt;=180,IF(P30&lt;25,V30,V30*$S$28/S30),0),IF(P30&gt;$B$15,0,IF(P30&lt;25,V30,V30*$S$28/S30)))</f>
      </c>
      <c r="X30" s="721">
        <f>HLOOKUP(O30,'Datos SS'!$K$37:$EP$38,2,0)</f>
      </c>
      <c r="Y30" s="331">
        <f>MAX(INT(Y29)-1,0)</f>
      </c>
      <c r="Z30" s="331">
        <v>2026</v>
      </c>
      <c r="AA30" s="169" t="s">
        <v>491</v>
      </c>
      <c r="AB30" s="169" t="s">
        <v>412</v>
      </c>
      <c r="AC30" s="965">
        <v>2276.7546211928734</v>
      </c>
      <c r="AD30" s="331">
        <f>+AC30-W30</f>
      </c>
      <c r="AE30" s="169"/>
      <c r="AF30" s="170"/>
      <c r="AG30" s="169"/>
      <c r="AH30" s="170"/>
      <c r="AI30" s="170"/>
      <c r="AJ30" s="1"/>
      <c r="AK30" s="1"/>
      <c r="AL30" s="170" t="s">
        <v>498</v>
      </c>
      <c r="AM30" s="170"/>
    </row>
    <row x14ac:dyDescent="0.25" r="31" customHeight="1" ht="18.75">
      <c r="A31" s="339" t="s">
        <v>499</v>
      </c>
      <c r="B31" s="968">
        <v>1</v>
      </c>
      <c r="C31" s="1001"/>
      <c r="D31" s="170"/>
      <c r="E31" s="169"/>
      <c r="F31" s="169"/>
      <c r="G31" s="170"/>
      <c r="H31" s="170"/>
      <c r="I31" s="169"/>
      <c r="J31" s="1"/>
      <c r="K31" s="169"/>
      <c r="L31" s="332">
        <v>28</v>
      </c>
      <c r="M31" s="333">
        <f>IF(L31&lt;=$C$22,$B$22,IF(L31&lt;=$C$23+$C$22,$B$23,0))</f>
      </c>
      <c r="N31" s="1"/>
      <c r="O31" s="332">
        <f>IF(Q31=12,O30-1,O30)</f>
      </c>
      <c r="P31" s="332">
        <v>28</v>
      </c>
      <c r="Q31" s="332">
        <f>IF(Q30=1,12,Q30-1)</f>
      </c>
      <c r="R31" s="169"/>
      <c r="S31" s="333">
        <f>HLOOKUP(O31,'Datos SS'!$B$4:$CZZ$16,(Q31+1),0)</f>
      </c>
      <c r="T31" s="333">
        <f>IF(O31=YEAR($B$5),($B$9/12),IF(O31&gt;MIN(YEAR($B$7),YEAR($B$5)),($B$9/12)*(1+HLOOKUP(O31,'Datos SS'!$B$31:$CZZ$32,2,0))^(O31-YEAR($B$5)),T19/(1+HLOOKUP(O31,'Datos SS'!$B$31:$CZZ$32,2,0))))</f>
      </c>
      <c r="U31" s="333">
        <f>IF(O31=2018,IF(Q31&lt;8,HLOOKUP(O31,'Datos SS'!$B$25:$BZZ$27,3,0)/12,HLOOKUP(O31,'Datos SS'!$B$25:$BZZ$26,2,0)/12),HLOOKUP(O31,'Datos SS'!$B$25:$BZZ$26,2,0)/12)</f>
      </c>
      <c r="V31" s="964">
        <f>MAX(X31,MIN(T31,U31))</f>
      </c>
      <c r="W31" s="333">
        <f>IF($E$19="NO",IF(P31&lt;=180,IF(P31&lt;25,V31,V31*$S$28/S31),0),IF(P31&gt;$B$15,0,IF(P31&lt;25,V31,V31*$S$28/S31)))</f>
      </c>
      <c r="X31" s="721">
        <f>HLOOKUP(O31,'Datos SS'!$K$37:$EP$38,2,0)</f>
      </c>
      <c r="Y31" s="331">
        <f>MAX(INT(Y30)-1,0)</f>
      </c>
      <c r="Z31" s="169"/>
      <c r="AA31" s="169" t="s">
        <v>494</v>
      </c>
      <c r="AB31" s="169" t="s">
        <v>500</v>
      </c>
      <c r="AC31" s="965">
        <v>2278.6432759281665</v>
      </c>
      <c r="AD31" s="331">
        <f>+AC31-W31</f>
      </c>
      <c r="AE31" s="169"/>
      <c r="AF31" s="170"/>
      <c r="AG31" s="169"/>
      <c r="AH31" s="170"/>
      <c r="AI31" s="170"/>
      <c r="AJ31" s="1"/>
      <c r="AK31" s="1"/>
      <c r="AL31" s="170" t="s">
        <v>501</v>
      </c>
      <c r="AM31" s="170"/>
    </row>
    <row x14ac:dyDescent="0.25" r="32" customHeight="1" ht="18.75">
      <c r="A32" s="339" t="s">
        <v>502</v>
      </c>
      <c r="B32" s="968">
        <f>+IF(B11="Mujer",MIN(B12,4)*28,0)*(1+Hipótesis!$E$11)^(YEAR(PJSS!$B$39)-YEAR(Hipótesis!$E$5))</f>
      </c>
      <c r="C32" s="644"/>
      <c r="D32" s="170"/>
      <c r="E32" s="169"/>
      <c r="F32" s="169"/>
      <c r="G32" s="170"/>
      <c r="H32" s="170"/>
      <c r="I32" s="169"/>
      <c r="J32" s="1"/>
      <c r="K32" s="169"/>
      <c r="L32" s="332">
        <v>29</v>
      </c>
      <c r="M32" s="333">
        <f>IF(L32&lt;=$C$22,$B$22,IF(L32&lt;=$C$23+$C$22,$B$23,0))</f>
      </c>
      <c r="N32" s="1"/>
      <c r="O32" s="332">
        <f>IF(Q32=12,O31-1,O31)</f>
      </c>
      <c r="P32" s="332">
        <v>29</v>
      </c>
      <c r="Q32" s="332">
        <f>IF(Q31=1,12,Q31-1)</f>
      </c>
      <c r="R32" s="169"/>
      <c r="S32" s="333">
        <f>HLOOKUP(O32,'Datos SS'!$B$4:$CZZ$16,(Q32+1),0)</f>
      </c>
      <c r="T32" s="333">
        <f>IF(O32=YEAR($B$5),($B$9/12),IF(O32&gt;MIN(YEAR($B$7),YEAR($B$5)),($B$9/12)*(1+HLOOKUP(O32,'Datos SS'!$B$31:$CZZ$32,2,0))^(O32-YEAR($B$5)),T20/(1+HLOOKUP(O32,'Datos SS'!$B$31:$CZZ$32,2,0))))</f>
      </c>
      <c r="U32" s="333">
        <f>IF(O32=2018,IF(Q32&lt;8,HLOOKUP(O32,'Datos SS'!$B$25:$BZZ$27,3,0)/12,HLOOKUP(O32,'Datos SS'!$B$25:$BZZ$26,2,0)/12),HLOOKUP(O32,'Datos SS'!$B$25:$BZZ$26,2,0)/12)</f>
      </c>
      <c r="V32" s="964">
        <f>MAX(X32,MIN(T32,U32))</f>
      </c>
      <c r="W32" s="333">
        <f>IF($E$19="NO",IF(P32&lt;=180,IF(P32&lt;25,V32,V32*$S$28/S32),0),IF(P32&gt;$B$15,0,IF(P32&lt;25,V32,V32*$S$28/S32)))</f>
      </c>
      <c r="X32" s="721">
        <f>HLOOKUP(O32,'Datos SS'!$K$37:$EP$38,2,0)</f>
      </c>
      <c r="Y32" s="331">
        <f>MAX(INT(Y31)-1,0)</f>
      </c>
      <c r="Z32" s="169" t="s">
        <v>503</v>
      </c>
      <c r="AA32" s="169" t="s">
        <v>504</v>
      </c>
      <c r="AB32" s="169" t="s">
        <v>412</v>
      </c>
      <c r="AC32" s="965">
        <v>2280.5334973745476</v>
      </c>
      <c r="AD32" s="331">
        <f>+AC32-W32</f>
      </c>
      <c r="AE32" s="169"/>
      <c r="AF32" s="170"/>
      <c r="AG32" s="169"/>
      <c r="AH32" s="170"/>
      <c r="AI32" s="170"/>
      <c r="AJ32" s="1"/>
      <c r="AK32" s="1"/>
      <c r="AL32" s="170" t="s">
        <v>505</v>
      </c>
      <c r="AM32" s="170"/>
    </row>
    <row x14ac:dyDescent="0.25" r="33" customHeight="1" ht="18.75">
      <c r="A33" s="1002" t="s">
        <v>506</v>
      </c>
      <c r="B33" s="333">
        <f>IF(B25&gt;0,(HLOOKUP(YEAR(B7),'Datos SS'!B20:BZO21,2,0)/14)*(1+(B10-B14)*4*0.005),(HLOOKUP(YEAR(B7),'Datos SS'!B20:BZO21,2,0)/14))</f>
      </c>
      <c r="C33" s="332">
        <f>IF(B10&lt;B14,IF(B14-B10&lt;0.25,1,IF(AND(0.25&lt;B14-B10,B14-B10&lt;=0.5),2,IF(AND(0.5&lt;B14-B10,B14-B10&lt;=0.75),3,IF(AND(0.75&lt;B14-B10,B14-B10&lt;=1),4,IF(AND(1&lt;B14-B10,B14-B10&lt;=1.25),5,IF(AND(1.25&lt;B14-B10,B14-B10&lt;=1.5),6,IF(AND(1.5&lt;B14-B10,B14-B10&lt;=1.75),7,IF(AND(1.75&lt;B14-B10,B14-B10&lt;=2),8,0)))))))),0)</f>
      </c>
      <c r="D33" s="170"/>
      <c r="E33" s="169"/>
      <c r="F33" s="169"/>
      <c r="G33" s="170"/>
      <c r="H33" s="170"/>
      <c r="I33" s="169"/>
      <c r="J33" s="1"/>
      <c r="K33" s="169"/>
      <c r="L33" s="332">
        <v>30</v>
      </c>
      <c r="M33" s="333">
        <f>IF(L33&lt;=$C$22,$B$22,IF(L33&lt;=$C$23+$C$22,$B$23,0))</f>
      </c>
      <c r="N33" s="1"/>
      <c r="O33" s="332">
        <f>IF(Q33=12,O32-1,O32)</f>
      </c>
      <c r="P33" s="332">
        <v>30</v>
      </c>
      <c r="Q33" s="332">
        <f>IF(Q32=1,12,Q32-1)</f>
      </c>
      <c r="R33" s="169"/>
      <c r="S33" s="333">
        <f>HLOOKUP(O33,'Datos SS'!$B$4:$CZZ$16,(Q33+1),0)</f>
      </c>
      <c r="T33" s="333">
        <f>IF(O33=YEAR($B$5),($B$9/12),IF(O33&gt;MIN(YEAR($B$7),YEAR($B$5)),($B$9/12)*(1+HLOOKUP(O33,'Datos SS'!$B$31:$CZZ$32,2,0))^(O33-YEAR($B$5)),T21/(1+HLOOKUP(O33,'Datos SS'!$B$31:$CZZ$32,2,0))))</f>
      </c>
      <c r="U33" s="333">
        <f>IF(O33=2018,IF(Q33&lt;8,HLOOKUP(O33,'Datos SS'!$B$25:$BZZ$27,3,0)/12,HLOOKUP(O33,'Datos SS'!$B$25:$BZZ$26,2,0)/12),HLOOKUP(O33,'Datos SS'!$B$25:$BZZ$26,2,0)/12)</f>
      </c>
      <c r="V33" s="964">
        <f>MAX(X33,MIN(T33,U33))</f>
      </c>
      <c r="W33" s="333">
        <f>IF($E$19="NO",IF(P33&lt;=180,IF(P33&lt;25,V33,V33*$S$28/S33),0),IF(P33&gt;$B$15,0,IF(P33&lt;25,V33,V33*$S$28/S33)))</f>
      </c>
      <c r="X33" s="721">
        <f>HLOOKUP(O33,'Datos SS'!$K$37:$EP$38,2,0)</f>
      </c>
      <c r="Y33" s="331">
        <f>MAX(INT(Y32)-1,0)</f>
      </c>
      <c r="Z33" s="169"/>
      <c r="AA33" s="169" t="s">
        <v>507</v>
      </c>
      <c r="AB33" s="169" t="s">
        <v>508</v>
      </c>
      <c r="AC33" s="965">
        <v>2282.425286831663</v>
      </c>
      <c r="AD33" s="331">
        <f>+AC33-W33</f>
      </c>
      <c r="AE33" s="169"/>
      <c r="AF33" s="170"/>
      <c r="AG33" s="169"/>
      <c r="AH33" s="170"/>
      <c r="AI33" s="170"/>
      <c r="AJ33" s="1"/>
      <c r="AK33" s="1"/>
      <c r="AL33" s="170" t="s">
        <v>509</v>
      </c>
      <c r="AM33" s="170"/>
    </row>
    <row x14ac:dyDescent="0.25" r="34" customHeight="1" ht="18.75">
      <c r="A34" s="1"/>
      <c r="B34" s="170"/>
      <c r="C34" s="169"/>
      <c r="D34" s="170"/>
      <c r="E34" s="169"/>
      <c r="F34" s="169"/>
      <c r="G34" s="170"/>
      <c r="H34" s="170"/>
      <c r="I34" s="169"/>
      <c r="J34" s="1"/>
      <c r="K34" s="169"/>
      <c r="L34" s="332">
        <v>31</v>
      </c>
      <c r="M34" s="333">
        <f>IF(L34&lt;=$C$22,$B$22,IF(L34&lt;=$C$23+$C$22,$B$23,0))</f>
      </c>
      <c r="N34" s="1"/>
      <c r="O34" s="332">
        <f>IF(Q34=12,O33-1,O33)</f>
      </c>
      <c r="P34" s="332">
        <v>31</v>
      </c>
      <c r="Q34" s="332">
        <f>IF(Q33=1,12,Q33-1)</f>
      </c>
      <c r="R34" s="169"/>
      <c r="S34" s="333">
        <f>HLOOKUP(O34,'Datos SS'!$B$4:$CZZ$16,(Q34+1),0)</f>
      </c>
      <c r="T34" s="333">
        <f>IF(O34=YEAR($B$5),($B$9/12),IF(O34&gt;MIN(YEAR($B$7),YEAR($B$5)),($B$9/12)*(1+HLOOKUP(O34,'Datos SS'!$B$31:$CZZ$32,2,0))^(O34-YEAR($B$5)),T22/(1+HLOOKUP(O34,'Datos SS'!$B$31:$CZZ$32,2,0))))</f>
      </c>
      <c r="U34" s="333">
        <f>IF(O34=2018,IF(Q34&lt;8,HLOOKUP(O34,'Datos SS'!$B$25:$BZZ$27,3,0)/12,HLOOKUP(O34,'Datos SS'!$B$25:$BZZ$26,2,0)/12),HLOOKUP(O34,'Datos SS'!$B$25:$BZZ$26,2,0)/12)</f>
      </c>
      <c r="V34" s="964">
        <f>MAX(X34,MIN(T34,U34))</f>
      </c>
      <c r="W34" s="333">
        <f>IF($E$19="NO",IF(P34&lt;=180,IF(P34&lt;25,V34,V34*$S$28/S34),0),IF(P34&gt;$B$15,0,IF(P34&lt;25,V34,V34*$S$28/S34)))</f>
      </c>
      <c r="X34" s="721">
        <f>HLOOKUP(O34,'Datos SS'!$K$37:$EP$38,2,0)</f>
      </c>
      <c r="Y34" s="331">
        <f>MAX(INT(Y33)-1,0)</f>
      </c>
      <c r="Z34" s="169"/>
      <c r="AA34" s="169"/>
      <c r="AB34" s="169"/>
      <c r="AC34" s="965">
        <v>2284.3186456002372</v>
      </c>
      <c r="AD34" s="331">
        <f>+AC34-W34</f>
      </c>
      <c r="AE34" s="169"/>
      <c r="AF34" s="170"/>
      <c r="AG34" s="169"/>
      <c r="AH34" s="170"/>
      <c r="AI34" s="170"/>
      <c r="AJ34" s="1"/>
      <c r="AK34" s="1"/>
      <c r="AL34" s="170" t="s">
        <v>510</v>
      </c>
      <c r="AM34" s="170"/>
    </row>
    <row x14ac:dyDescent="0.25" r="35" customHeight="1" ht="18.75">
      <c r="A35" s="1003" t="s">
        <v>511</v>
      </c>
      <c r="B35" s="1004">
        <f>IF(D8&gt;0,ROUNDDOWN(D8,0)*0.04,IF('Simulador - 1º Pilar'!G10="Jubilación prolongada",'Simulador - 1º Pilar'!$E$99*0.04,0))*IF(B8&lt;15,0,1)</f>
      </c>
      <c r="C35" s="1005">
        <f>ROUNDUP(B35-(C30/B30-1),2)</f>
      </c>
      <c r="D35" s="170"/>
      <c r="E35" s="169"/>
      <c r="F35" s="169"/>
      <c r="G35" s="170"/>
      <c r="H35" s="170"/>
      <c r="I35" s="169"/>
      <c r="J35" s="1"/>
      <c r="K35" s="169"/>
      <c r="L35" s="332">
        <v>32</v>
      </c>
      <c r="M35" s="333">
        <f>IF(L35&lt;=$C$22,$B$22,IF(L35&lt;=$C$23+$C$22,$B$23,0))</f>
      </c>
      <c r="N35" s="1"/>
      <c r="O35" s="332">
        <f>IF(Q35=12,O34-1,O34)</f>
      </c>
      <c r="P35" s="332">
        <v>32</v>
      </c>
      <c r="Q35" s="332">
        <f>IF(Q34=1,12,Q34-1)</f>
      </c>
      <c r="R35" s="169"/>
      <c r="S35" s="333">
        <f>HLOOKUP(O35,'Datos SS'!$B$4:$CZZ$16,(Q35+1),0)</f>
      </c>
      <c r="T35" s="333">
        <f>IF(O35=YEAR($B$5),($B$9/12),IF(O35&gt;MIN(YEAR($B$7),YEAR($B$5)),($B$9/12)*(1+HLOOKUP(O35,'Datos SS'!$B$31:$CZZ$32,2,0))^(O35-YEAR($B$5)),T23/(1+HLOOKUP(O35,'Datos SS'!$B$31:$CZZ$32,2,0))))</f>
      </c>
      <c r="U35" s="333">
        <f>IF(O35=2018,IF(Q35&lt;8,HLOOKUP(O35,'Datos SS'!$B$25:$BZZ$27,3,0)/12,HLOOKUP(O35,'Datos SS'!$B$25:$BZZ$26,2,0)/12),HLOOKUP(O35,'Datos SS'!$B$25:$BZZ$26,2,0)/12)</f>
      </c>
      <c r="V35" s="964">
        <f>MAX(X35,MIN(T35,U35))</f>
      </c>
      <c r="W35" s="333">
        <f>IF($E$19="NO",IF(P35&lt;=180,IF(P35&lt;25,V35,V35*$S$28/S35),0),IF(P35&gt;$B$15,0,IF(P35&lt;25,V35,V35*$S$28/S35)))</f>
      </c>
      <c r="X35" s="721">
        <f>HLOOKUP(O35,'Datos SS'!$K$37:$EP$38,2,0)</f>
      </c>
      <c r="Y35" s="331">
        <f>MAX(INT(Y34)-1,0)</f>
      </c>
      <c r="Z35" s="949" t="s">
        <v>391</v>
      </c>
      <c r="AA35" s="949" t="s">
        <v>512</v>
      </c>
      <c r="AB35" s="949" t="s">
        <v>513</v>
      </c>
      <c r="AC35" s="965">
        <v>2286.2135749820745</v>
      </c>
      <c r="AD35" s="331">
        <f>+AC35-W35</f>
      </c>
      <c r="AE35" s="169"/>
      <c r="AF35" s="170"/>
      <c r="AG35" s="169"/>
      <c r="AH35" s="170"/>
      <c r="AI35" s="170"/>
      <c r="AJ35" s="1"/>
      <c r="AK35" s="1"/>
      <c r="AL35" s="170" t="s">
        <v>514</v>
      </c>
      <c r="AM35" s="170"/>
    </row>
    <row x14ac:dyDescent="0.25" r="36" customHeight="1" ht="18.75">
      <c r="A36" s="1"/>
      <c r="B36" s="170"/>
      <c r="C36" s="169"/>
      <c r="D36" s="170"/>
      <c r="E36" s="169"/>
      <c r="F36" s="169"/>
      <c r="G36" s="170"/>
      <c r="H36" s="170"/>
      <c r="I36" s="169"/>
      <c r="J36" s="1"/>
      <c r="K36" s="169"/>
      <c r="L36" s="332">
        <v>33</v>
      </c>
      <c r="M36" s="333">
        <f>IF(L36&lt;=$C$22,$B$22,IF(L36&lt;=$C$23+$C$22,$B$23,0))</f>
      </c>
      <c r="N36" s="1"/>
      <c r="O36" s="332">
        <f>IF(Q36=12,O35-1,O35)</f>
      </c>
      <c r="P36" s="332">
        <v>33</v>
      </c>
      <c r="Q36" s="332">
        <f>IF(Q35=1,12,Q35-1)</f>
      </c>
      <c r="R36" s="169"/>
      <c r="S36" s="333">
        <f>HLOOKUP(O36,'Datos SS'!$B$4:$CZZ$16,(Q36+1),0)</f>
      </c>
      <c r="T36" s="333">
        <f>IF(O36=YEAR($B$5),($B$9/12),IF(O36&gt;MIN(YEAR($B$7),YEAR($B$5)),($B$9/12)*(1+HLOOKUP(O36,'Datos SS'!$B$31:$CZZ$32,2,0))^(O36-YEAR($B$5)),T24/(1+HLOOKUP(O36,'Datos SS'!$B$31:$CZZ$32,2,0))))</f>
      </c>
      <c r="U36" s="333">
        <f>IF(O36=2018,IF(Q36&lt;8,HLOOKUP(O36,'Datos SS'!$B$25:$BZZ$27,3,0)/12,HLOOKUP(O36,'Datos SS'!$B$25:$BZZ$26,2,0)/12),HLOOKUP(O36,'Datos SS'!$B$25:$BZZ$26,2,0)/12)</f>
      </c>
      <c r="V36" s="964">
        <f>MAX(X36,MIN(T36,U36))</f>
      </c>
      <c r="W36" s="333">
        <f>IF($E$19="NO",IF(P36&lt;=180,IF(P36&lt;25,V36,V36*$S$28/S36),0),IF(P36&gt;$B$15,0,IF(P36&lt;25,V36,V36*$S$28/S36)))</f>
      </c>
      <c r="X36" s="721">
        <f>HLOOKUP(O36,'Datos SS'!$K$37:$EP$38,2,0)</f>
      </c>
      <c r="Y36" s="331">
        <f>MAX(INT(Y35)-1,0)</f>
      </c>
      <c r="Z36" s="1006">
        <v>2013</v>
      </c>
      <c r="AA36" s="1006" t="s">
        <v>515</v>
      </c>
      <c r="AB36" s="1006">
        <v>16</v>
      </c>
      <c r="AC36" s="965">
        <v>2288.110076280058</v>
      </c>
      <c r="AD36" s="331">
        <f>+AC36-W36</f>
      </c>
      <c r="AE36" s="169"/>
      <c r="AF36" s="170"/>
      <c r="AG36" s="169"/>
      <c r="AH36" s="170"/>
      <c r="AI36" s="170"/>
      <c r="AJ36" s="1"/>
      <c r="AK36" s="1"/>
      <c r="AL36" s="170"/>
      <c r="AM36" s="170"/>
    </row>
    <row x14ac:dyDescent="0.25" r="37" customHeight="1" ht="18.75">
      <c r="A37" s="1"/>
      <c r="B37" s="170"/>
      <c r="C37" s="169"/>
      <c r="D37" s="170"/>
      <c r="E37" s="169"/>
      <c r="F37" s="169"/>
      <c r="G37" s="170"/>
      <c r="H37" s="170"/>
      <c r="I37" s="169"/>
      <c r="J37" s="1"/>
      <c r="K37" s="169"/>
      <c r="L37" s="332">
        <v>34</v>
      </c>
      <c r="M37" s="333">
        <f>IF(L37&lt;=$C$22,$B$22,IF(L37&lt;=$C$23+$C$22,$B$23,0))</f>
      </c>
      <c r="N37" s="1"/>
      <c r="O37" s="332">
        <f>IF(Q37=12,O36-1,O36)</f>
      </c>
      <c r="P37" s="332">
        <v>34</v>
      </c>
      <c r="Q37" s="332">
        <f>IF(Q36=1,12,Q36-1)</f>
      </c>
      <c r="R37" s="169"/>
      <c r="S37" s="333">
        <f>HLOOKUP(O37,'Datos SS'!$B$4:$CZZ$16,(Q37+1),0)</f>
      </c>
      <c r="T37" s="333">
        <f>IF(O37=YEAR($B$5),($B$9/12),IF(O37&gt;MIN(YEAR($B$7),YEAR($B$5)),($B$9/12)*(1+HLOOKUP(O37,'Datos SS'!$B$31:$CZZ$32,2,0))^(O37-YEAR($B$5)),T25/(1+HLOOKUP(O37,'Datos SS'!$B$31:$CZZ$32,2,0))))</f>
      </c>
      <c r="U37" s="333">
        <f>IF(O37=2018,IF(Q37&lt;8,HLOOKUP(O37,'Datos SS'!$B$25:$BZZ$27,3,0)/12,HLOOKUP(O37,'Datos SS'!$B$25:$BZZ$26,2,0)/12),HLOOKUP(O37,'Datos SS'!$B$25:$BZZ$26,2,0)/12)</f>
      </c>
      <c r="V37" s="964">
        <f>MAX(X37,MIN(T37,U37))</f>
      </c>
      <c r="W37" s="333">
        <f>IF($E$19="NO",IF(P37&lt;=180,IF(P37&lt;25,V37,V37*$S$28/S37),0),IF(P37&gt;$B$15,0,IF(P37&lt;25,V37,V37*$S$28/S37)))</f>
      </c>
      <c r="X37" s="721">
        <f>HLOOKUP(O37,'Datos SS'!$K$37:$EP$38,2,0)</f>
      </c>
      <c r="Y37" s="331">
        <f>MAX(INT(Y36)-1,0)</f>
      </c>
      <c r="Z37" s="1006">
        <v>2014</v>
      </c>
      <c r="AA37" s="1006" t="s">
        <v>516</v>
      </c>
      <c r="AB37" s="1006">
        <v>17</v>
      </c>
      <c r="AC37" s="965">
        <v>2245.106030194266</v>
      </c>
      <c r="AD37" s="331">
        <f>+AC37-W37</f>
      </c>
      <c r="AE37" s="169"/>
      <c r="AF37" s="170"/>
      <c r="AG37" s="169"/>
      <c r="AH37" s="170"/>
      <c r="AI37" s="170"/>
      <c r="AJ37" s="1"/>
      <c r="AK37" s="1"/>
      <c r="AL37" s="170" t="s">
        <v>517</v>
      </c>
      <c r="AM37" s="170"/>
    </row>
    <row x14ac:dyDescent="0.25" r="38" customHeight="1" ht="18.75">
      <c r="A38" s="1003" t="s">
        <v>518</v>
      </c>
      <c r="B38" s="1007">
        <f>IF('Simulador - 1º Pilar'!G16&lt;'Simulador - 1º Pilar'!E107,'Simulador - 1º Pilar'!E107,'Simulador - 1º Pilar'!G16)</f>
        <v>25569.041666666668</v>
      </c>
      <c r="C38" s="340" t="s">
        <v>519</v>
      </c>
      <c r="D38" s="350" t="s">
        <v>520</v>
      </c>
      <c r="E38" s="644" t="s">
        <v>521</v>
      </c>
      <c r="F38" s="169"/>
      <c r="G38" s="170"/>
      <c r="H38" s="170"/>
      <c r="I38" s="169"/>
      <c r="J38" s="1"/>
      <c r="K38" s="169"/>
      <c r="L38" s="332">
        <v>35</v>
      </c>
      <c r="M38" s="333">
        <f>IF(L38&lt;=$C$22,$B$22,IF(L38&lt;=$C$23+$C$22,$B$23,0))</f>
      </c>
      <c r="N38" s="1"/>
      <c r="O38" s="332">
        <f>IF(Q38=12,O37-1,O37)</f>
      </c>
      <c r="P38" s="332">
        <v>35</v>
      </c>
      <c r="Q38" s="332">
        <f>IF(Q37=1,12,Q37-1)</f>
      </c>
      <c r="R38" s="169"/>
      <c r="S38" s="333">
        <f>HLOOKUP(O38,'Datos SS'!$B$4:$CZZ$16,(Q38+1),0)</f>
      </c>
      <c r="T38" s="333">
        <f>IF(O38=YEAR($B$5),($B$9/12),IF(O38&gt;MIN(YEAR($B$7),YEAR($B$5)),($B$9/12)*(1+HLOOKUP(O38,'Datos SS'!$B$31:$CZZ$32,2,0))^(O38-YEAR($B$5)),T26/(1+HLOOKUP(O38,'Datos SS'!$B$31:$CZZ$32,2,0))))</f>
      </c>
      <c r="U38" s="333">
        <f>IF(O38=2018,IF(Q38&lt;8,HLOOKUP(O38,'Datos SS'!$B$25:$BZZ$27,3,0)/12,HLOOKUP(O38,'Datos SS'!$B$25:$BZZ$26,2,0)/12),HLOOKUP(O38,'Datos SS'!$B$25:$BZZ$26,2,0)/12)</f>
      </c>
      <c r="V38" s="964">
        <f>MAX(X38,MIN(T38,U38))</f>
      </c>
      <c r="W38" s="333">
        <f>IF($E$19="NO",IF(P38&lt;=180,IF(P38&lt;25,V38,V38*$S$28/S38),0),IF(P38&gt;$B$15,0,IF(P38&lt;25,V38,V38*$S$28/S38)))</f>
      </c>
      <c r="X38" s="721">
        <f>HLOOKUP(O38,'Datos SS'!$K$37:$EP$38,2,0)</f>
      </c>
      <c r="Y38" s="331">
        <f>MAX(INT(Y37)-1,0)</f>
      </c>
      <c r="Z38" s="1006">
        <v>2015</v>
      </c>
      <c r="AA38" s="1006" t="s">
        <v>522</v>
      </c>
      <c r="AB38" s="1006">
        <v>18</v>
      </c>
      <c r="AC38" s="965">
        <v>2246.9684312170607</v>
      </c>
      <c r="AD38" s="331">
        <f>+AC38-W38</f>
      </c>
      <c r="AE38" s="169"/>
      <c r="AF38" s="170"/>
      <c r="AG38" s="169"/>
      <c r="AH38" s="170"/>
      <c r="AI38" s="170"/>
      <c r="AJ38" s="1"/>
      <c r="AK38" s="1"/>
      <c r="AL38" s="170" t="s">
        <v>523</v>
      </c>
      <c r="AM38" s="170"/>
    </row>
    <row x14ac:dyDescent="0.25" r="39" customHeight="1" ht="18.75">
      <c r="A39" s="1003" t="s">
        <v>524</v>
      </c>
      <c r="B39" s="770">
        <f>'Simulador - 1º Pilar'!G20</f>
        <v>25569.041666666668</v>
      </c>
      <c r="C39" s="1008">
        <f>MAX(ROUND((B38-B5)/365.25,2),0)+'Simulador - Datos personales'!$F$20</f>
      </c>
      <c r="D39" s="964">
        <f>MAX(ROUND((B39-B38)/365.25,2),0)</f>
      </c>
      <c r="E39" s="169"/>
      <c r="F39" s="169"/>
      <c r="G39" s="170"/>
      <c r="H39" s="170"/>
      <c r="I39" s="169"/>
      <c r="J39" s="1"/>
      <c r="K39" s="169"/>
      <c r="L39" s="332">
        <v>36</v>
      </c>
      <c r="M39" s="333">
        <f>IF(L39&lt;=$C$22,$B$22,IF(L39&lt;=$C$23+$C$22,$B$23,0))</f>
      </c>
      <c r="N39" s="1"/>
      <c r="O39" s="332">
        <f>IF(Q39=12,O38-1,O38)</f>
      </c>
      <c r="P39" s="332">
        <v>36</v>
      </c>
      <c r="Q39" s="332">
        <f>IF(Q38=1,12,Q38-1)</f>
      </c>
      <c r="R39" s="169"/>
      <c r="S39" s="333">
        <f>HLOOKUP(O39,'Datos SS'!$B$4:$CZZ$16,(Q39+1),0)</f>
      </c>
      <c r="T39" s="333">
        <f>IF(O39=YEAR($B$5),($B$9/12),IF(O39&gt;MIN(YEAR($B$7),YEAR($B$5)),($B$9/12)*(1+HLOOKUP(O39,'Datos SS'!$B$31:$CZZ$32,2,0))^(O39-YEAR($B$5)),T27/(1+HLOOKUP(O39,'Datos SS'!$B$31:$CZZ$32,2,0))))</f>
      </c>
      <c r="U39" s="333">
        <f>IF(O39=2018,IF(Q39&lt;8,HLOOKUP(O39,'Datos SS'!$B$25:$BZZ$27,3,0)/12,HLOOKUP(O39,'Datos SS'!$B$25:$BZZ$26,2,0)/12),HLOOKUP(O39,'Datos SS'!$B$25:$BZZ$26,2,0)/12)</f>
      </c>
      <c r="V39" s="964">
        <f>MAX(X39,MIN(T39,U39))</f>
      </c>
      <c r="W39" s="333">
        <f>IF($E$19="NO",IF(P39&lt;=180,IF(P39&lt;25,V39,V39*$S$28/S39),0),IF(P39&gt;$B$15,0,IF(P39&lt;25,V39,V39*$S$28/S39)))</f>
      </c>
      <c r="X39" s="721">
        <f>HLOOKUP(O39,'Datos SS'!$K$37:$EP$38,2,0)</f>
      </c>
      <c r="Y39" s="331">
        <f>MAX(INT(Y38)-1,0)</f>
      </c>
      <c r="Z39" s="1006">
        <v>2016</v>
      </c>
      <c r="AA39" s="1006" t="s">
        <v>525</v>
      </c>
      <c r="AB39" s="1006">
        <v>19</v>
      </c>
      <c r="AC39" s="965">
        <v>2248.8323771724877</v>
      </c>
      <c r="AD39" s="331">
        <f>+AC39-W39</f>
      </c>
      <c r="AE39" s="169"/>
      <c r="AF39" s="170"/>
      <c r="AG39" s="169"/>
      <c r="AH39" s="170"/>
      <c r="AI39" s="170"/>
      <c r="AJ39" s="1"/>
      <c r="AK39" s="1"/>
      <c r="AL39" s="170" t="s">
        <v>526</v>
      </c>
      <c r="AM39" s="170"/>
    </row>
    <row x14ac:dyDescent="0.25" r="40" customHeight="1" ht="18.75">
      <c r="A40" s="1"/>
      <c r="B40" s="170"/>
      <c r="C40" s="169"/>
      <c r="D40" s="964">
        <f>D39*12</f>
      </c>
      <c r="E40" s="169"/>
      <c r="F40" s="169"/>
      <c r="G40" s="170"/>
      <c r="H40" s="170"/>
      <c r="I40" s="169"/>
      <c r="J40" s="1"/>
      <c r="K40" s="169"/>
      <c r="L40" s="332">
        <v>37</v>
      </c>
      <c r="M40" s="333">
        <f>IF(L40&lt;=$C$22,$B$22,IF(L40&lt;=$C$23+$C$22,$B$23,0))</f>
      </c>
      <c r="N40" s="1"/>
      <c r="O40" s="332">
        <f>IF(Q40=12,O39-1,O39)</f>
      </c>
      <c r="P40" s="332">
        <v>37</v>
      </c>
      <c r="Q40" s="332">
        <f>IF(Q39=1,12,Q39-1)</f>
      </c>
      <c r="R40" s="169"/>
      <c r="S40" s="333">
        <f>HLOOKUP(O40,'Datos SS'!$B$4:$CZZ$16,(Q40+1),0)</f>
      </c>
      <c r="T40" s="333">
        <f>IF(O40=YEAR($B$5),($B$9/12),IF(O40&gt;MIN(YEAR($B$7),YEAR($B$5)),($B$9/12)*(1+HLOOKUP(O40,'Datos SS'!$B$31:$CZZ$32,2,0))^(O40-YEAR($B$5)),T28/(1+HLOOKUP(O40,'Datos SS'!$B$31:$CZZ$32,2,0))))</f>
      </c>
      <c r="U40" s="333">
        <f>IF(O40=2018,IF(Q40&lt;8,HLOOKUP(O40,'Datos SS'!$B$25:$BZZ$27,3,0)/12,HLOOKUP(O40,'Datos SS'!$B$25:$BZZ$26,2,0)/12),HLOOKUP(O40,'Datos SS'!$B$25:$BZZ$26,2,0)/12)</f>
      </c>
      <c r="V40" s="964">
        <f>MAX(X40,MIN(T40,U40))</f>
      </c>
      <c r="W40" s="333">
        <f>IF($E$19="NO",IF(P40&lt;=180,IF(P40&lt;25,V40,V40*$S$28/S40),0),IF(P40&gt;$B$15,0,IF(P40&lt;25,V40,V40*$S$28/S40)))</f>
      </c>
      <c r="X40" s="721">
        <f>HLOOKUP(O40,'Datos SS'!$K$37:$EP$38,2,0)</f>
      </c>
      <c r="Y40" s="331">
        <f>MAX(INT(Y39)-1,0)</f>
      </c>
      <c r="Z40" s="1006">
        <v>2017</v>
      </c>
      <c r="AA40" s="1006" t="s">
        <v>527</v>
      </c>
      <c r="AB40" s="1006">
        <v>20</v>
      </c>
      <c r="AC40" s="965">
        <v>2250.6978693421283</v>
      </c>
      <c r="AD40" s="331">
        <f>+AC40-W40</f>
      </c>
      <c r="AE40" s="169"/>
      <c r="AF40" s="170"/>
      <c r="AG40" s="169"/>
      <c r="AH40" s="170"/>
      <c r="AI40" s="170"/>
      <c r="AJ40" s="1"/>
      <c r="AK40" s="1"/>
      <c r="AL40" s="170" t="s">
        <v>528</v>
      </c>
      <c r="AM40" s="170"/>
    </row>
    <row x14ac:dyDescent="0.25" r="41" customHeight="1" ht="18.75">
      <c r="A41" s="1"/>
      <c r="B41" s="555"/>
      <c r="C41" s="169"/>
      <c r="D41" s="170"/>
      <c r="E41" s="169"/>
      <c r="F41" s="169"/>
      <c r="G41" s="170"/>
      <c r="H41" s="170"/>
      <c r="I41" s="169"/>
      <c r="J41" s="1"/>
      <c r="K41" s="169"/>
      <c r="L41" s="332">
        <v>38</v>
      </c>
      <c r="M41" s="333">
        <f>IF(L41&lt;=$C$22,$B$22,IF(L41&lt;=$C$23+$C$22,$B$23,0))</f>
      </c>
      <c r="N41" s="1"/>
      <c r="O41" s="332">
        <f>IF(Q41=12,O40-1,O40)</f>
      </c>
      <c r="P41" s="332">
        <v>38</v>
      </c>
      <c r="Q41" s="332">
        <f>IF(Q40=1,12,Q40-1)</f>
      </c>
      <c r="R41" s="169"/>
      <c r="S41" s="333">
        <f>HLOOKUP(O41,'Datos SS'!$B$4:$CZZ$16,(Q41+1),0)</f>
      </c>
      <c r="T41" s="333">
        <f>IF(O41=YEAR($B$5),($B$9/12),IF(O41&gt;MIN(YEAR($B$7),YEAR($B$5)),($B$9/12)*(1+HLOOKUP(O41,'Datos SS'!$B$31:$CZZ$32,2,0))^(O41-YEAR($B$5)),T29/(1+HLOOKUP(O41,'Datos SS'!$B$31:$CZZ$32,2,0))))</f>
      </c>
      <c r="U41" s="333">
        <f>IF(O41=2018,IF(Q41&lt;8,HLOOKUP(O41,'Datos SS'!$B$25:$BZZ$27,3,0)/12,HLOOKUP(O41,'Datos SS'!$B$25:$BZZ$26,2,0)/12),HLOOKUP(O41,'Datos SS'!$B$25:$BZZ$26,2,0)/12)</f>
      </c>
      <c r="V41" s="964">
        <f>MAX(X41,MIN(T41,U41))</f>
      </c>
      <c r="W41" s="333">
        <f>IF($E$19="NO",IF(P41&lt;=180,IF(P41&lt;25,V41,V41*$S$28/S41),0),IF(P41&gt;$B$15,0,IF(P41&lt;25,V41,V41*$S$28/S41)))</f>
      </c>
      <c r="X41" s="721">
        <f>HLOOKUP(O41,'Datos SS'!$K$37:$EP$38,2,0)</f>
      </c>
      <c r="Y41" s="331">
        <f>MAX(INT(Y40)-1,0)</f>
      </c>
      <c r="Z41" s="1006">
        <v>2018</v>
      </c>
      <c r="AA41" s="1006" t="s">
        <v>529</v>
      </c>
      <c r="AB41" s="1006">
        <v>21</v>
      </c>
      <c r="AC41" s="965">
        <v>2252.564909008625</v>
      </c>
      <c r="AD41" s="331">
        <f>+AC41-W41</f>
      </c>
      <c r="AE41" s="169"/>
      <c r="AF41" s="170"/>
      <c r="AG41" s="169"/>
      <c r="AH41" s="170"/>
      <c r="AI41" s="170"/>
      <c r="AJ41" s="1"/>
      <c r="AK41" s="1"/>
      <c r="AL41" s="170" t="s">
        <v>530</v>
      </c>
      <c r="AM41" s="170"/>
    </row>
    <row x14ac:dyDescent="0.25" r="42" customHeight="1" ht="18.75">
      <c r="A42" s="1"/>
      <c r="B42" s="170"/>
      <c r="C42" s="169"/>
      <c r="D42" s="170"/>
      <c r="E42" s="169"/>
      <c r="F42" s="169"/>
      <c r="G42" s="170"/>
      <c r="H42" s="170"/>
      <c r="I42" s="169"/>
      <c r="J42" s="1"/>
      <c r="K42" s="169"/>
      <c r="L42" s="332">
        <v>39</v>
      </c>
      <c r="M42" s="333">
        <f>IF(L42&lt;=$C$22,$B$22,IF(L42&lt;=$C$23+$C$22,$B$23,0))</f>
      </c>
      <c r="N42" s="1"/>
      <c r="O42" s="332">
        <f>IF(Q42=12,O41-1,O41)</f>
      </c>
      <c r="P42" s="332">
        <v>39</v>
      </c>
      <c r="Q42" s="332">
        <f>IF(Q41=1,12,Q41-1)</f>
      </c>
      <c r="R42" s="169"/>
      <c r="S42" s="333">
        <f>HLOOKUP(O42,'Datos SS'!$B$4:$CZZ$16,(Q42+1),0)</f>
      </c>
      <c r="T42" s="333">
        <f>IF(O42=YEAR($B$5),($B$9/12),IF(O42&gt;MIN(YEAR($B$7),YEAR($B$5)),($B$9/12)*(1+HLOOKUP(O42,'Datos SS'!$B$31:$CZZ$32,2,0))^(O42-YEAR($B$5)),T30/(1+HLOOKUP(O42,'Datos SS'!$B$31:$CZZ$32,2,0))))</f>
      </c>
      <c r="U42" s="333">
        <f>IF(O42=2018,IF(Q42&lt;8,HLOOKUP(O42,'Datos SS'!$B$25:$BZZ$27,3,0)/12,HLOOKUP(O42,'Datos SS'!$B$25:$BZZ$26,2,0)/12),HLOOKUP(O42,'Datos SS'!$B$25:$BZZ$26,2,0)/12)</f>
      </c>
      <c r="V42" s="964">
        <f>MAX(X42,MIN(T42,U42))</f>
      </c>
      <c r="W42" s="333">
        <f>IF($E$19="NO",IF(P42&lt;=180,IF(P42&lt;25,V42,V42*$S$28/S42),0),IF(P42&gt;$B$15,0,IF(P42&lt;25,V42,V42*$S$28/S42)))</f>
      </c>
      <c r="X42" s="721">
        <f>HLOOKUP(O42,'Datos SS'!$K$37:$EP$38,2,0)</f>
      </c>
      <c r="Y42" s="331">
        <f>MAX(INT(Y41)-1,0)</f>
      </c>
      <c r="Z42" s="1006">
        <v>2019</v>
      </c>
      <c r="AA42" s="1006" t="s">
        <v>531</v>
      </c>
      <c r="AB42" s="1006">
        <v>22</v>
      </c>
      <c r="AC42" s="965">
        <v>2254.4334974556864</v>
      </c>
      <c r="AD42" s="331">
        <f>+AC42-W42</f>
      </c>
      <c r="AE42" s="169"/>
      <c r="AF42" s="170"/>
      <c r="AG42" s="169"/>
      <c r="AH42" s="170"/>
      <c r="AI42" s="170"/>
      <c r="AJ42" s="1"/>
      <c r="AK42" s="1"/>
      <c r="AL42" s="170" t="s">
        <v>532</v>
      </c>
      <c r="AM42" s="170"/>
    </row>
    <row x14ac:dyDescent="0.25" r="43" customHeight="1" ht="18.75">
      <c r="A43" s="1009" t="s">
        <v>533</v>
      </c>
      <c r="B43" s="1010"/>
      <c r="C43" s="169"/>
      <c r="D43" s="170"/>
      <c r="E43" s="169"/>
      <c r="F43" s="169"/>
      <c r="G43" s="170"/>
      <c r="H43" s="170"/>
      <c r="I43" s="169"/>
      <c r="J43" s="1"/>
      <c r="K43" s="169"/>
      <c r="L43" s="332">
        <v>40</v>
      </c>
      <c r="M43" s="333">
        <f>IF(L43&lt;=$C$22,$B$22,IF(L43&lt;=$C$23+$C$22,$B$23,0))</f>
      </c>
      <c r="N43" s="1"/>
      <c r="O43" s="332">
        <f>IF(Q43=12,O42-1,O42)</f>
      </c>
      <c r="P43" s="332">
        <v>40</v>
      </c>
      <c r="Q43" s="332">
        <f>IF(Q42=1,12,Q42-1)</f>
      </c>
      <c r="R43" s="169"/>
      <c r="S43" s="333">
        <f>HLOOKUP(O43,'Datos SS'!$B$4:$CZZ$16,(Q43+1),0)</f>
      </c>
      <c r="T43" s="333">
        <f>IF(O43=YEAR($B$5),($B$9/12),IF(O43&gt;MIN(YEAR($B$7),YEAR($B$5)),($B$9/12)*(1+HLOOKUP(O43,'Datos SS'!$B$31:$CZZ$32,2,0))^(O43-YEAR($B$5)),T31/(1+HLOOKUP(O43,'Datos SS'!$B$31:$CZZ$32,2,0))))</f>
      </c>
      <c r="U43" s="333">
        <f>IF(O43=2018,IF(Q43&lt;8,HLOOKUP(O43,'Datos SS'!$B$25:$BZZ$27,3,0)/12,HLOOKUP(O43,'Datos SS'!$B$25:$BZZ$26,2,0)/12),HLOOKUP(O43,'Datos SS'!$B$25:$BZZ$26,2,0)/12)</f>
      </c>
      <c r="V43" s="964">
        <f>MAX(X43,MIN(T43,U43))</f>
      </c>
      <c r="W43" s="333">
        <f>IF($E$19="NO",IF(P43&lt;=180,IF(P43&lt;25,V43,V43*$S$28/S43),0),IF(P43&gt;$B$15,0,IF(P43&lt;25,V43,V43*$S$28/S43)))</f>
      </c>
      <c r="X43" s="721">
        <f>HLOOKUP(O43,'Datos SS'!$K$37:$EP$38,2,0)</f>
      </c>
      <c r="Y43" s="331">
        <f>MAX(INT(Y42)-1,0)</f>
      </c>
      <c r="Z43" s="1006">
        <v>2020</v>
      </c>
      <c r="AA43" s="1006" t="s">
        <v>534</v>
      </c>
      <c r="AB43" s="1006">
        <v>23</v>
      </c>
      <c r="AC43" s="965">
        <v>2256.3036359680846</v>
      </c>
      <c r="AD43" s="331">
        <f>+AC43-W43</f>
      </c>
      <c r="AE43" s="169"/>
      <c r="AF43" s="170"/>
      <c r="AG43" s="169"/>
      <c r="AH43" s="170"/>
      <c r="AI43" s="170"/>
      <c r="AJ43" s="1"/>
      <c r="AK43" s="1"/>
      <c r="AL43" s="170"/>
      <c r="AM43" s="170"/>
    </row>
    <row x14ac:dyDescent="0.25" r="44" customHeight="1" ht="18.75">
      <c r="A44" s="1011" t="s">
        <v>397</v>
      </c>
      <c r="B44" s="335" t="s">
        <v>535</v>
      </c>
      <c r="C44" s="169"/>
      <c r="D44" s="170"/>
      <c r="E44" s="169"/>
      <c r="F44" s="169"/>
      <c r="G44" s="170"/>
      <c r="H44" s="170"/>
      <c r="I44" s="169"/>
      <c r="J44" s="1"/>
      <c r="K44" s="169"/>
      <c r="L44" s="332">
        <v>41</v>
      </c>
      <c r="M44" s="333">
        <f>IF(L44&lt;=$C$22,$B$22,IF(L44&lt;=$C$23+$C$22,$B$23,0))</f>
      </c>
      <c r="N44" s="1"/>
      <c r="O44" s="332">
        <f>IF(Q44=12,O43-1,O43)</f>
      </c>
      <c r="P44" s="332">
        <v>41</v>
      </c>
      <c r="Q44" s="332">
        <f>IF(Q43=1,12,Q43-1)</f>
      </c>
      <c r="R44" s="169"/>
      <c r="S44" s="333">
        <f>HLOOKUP(O44,'Datos SS'!$B$4:$CZZ$16,(Q44+1),0)</f>
      </c>
      <c r="T44" s="333">
        <f>IF(O44=YEAR($B$5),($B$9/12),IF(O44&gt;MIN(YEAR($B$7),YEAR($B$5)),($B$9/12)*(1+HLOOKUP(O44,'Datos SS'!$B$31:$CZZ$32,2,0))^(O44-YEAR($B$5)),T32/(1+HLOOKUP(O44,'Datos SS'!$B$31:$CZZ$32,2,0))))</f>
      </c>
      <c r="U44" s="333">
        <f>IF(O44=2018,IF(Q44&lt;8,HLOOKUP(O44,'Datos SS'!$B$25:$BZZ$27,3,0)/12,HLOOKUP(O44,'Datos SS'!$B$25:$BZZ$26,2,0)/12),HLOOKUP(O44,'Datos SS'!$B$25:$BZZ$26,2,0)/12)</f>
      </c>
      <c r="V44" s="964">
        <f>MAX(X44,MIN(T44,U44))</f>
      </c>
      <c r="W44" s="333">
        <f>IF($E$19="NO",IF(P44&lt;=180,IF(P44&lt;25,V44,V44*$S$28/S44),0),IF(P44&gt;$B$15,0,IF(P44&lt;25,V44,V44*$S$28/S44)))</f>
      </c>
      <c r="X44" s="721">
        <f>HLOOKUP(O44,'Datos SS'!$K$37:$EP$38,2,0)</f>
      </c>
      <c r="Y44" s="331">
        <f>MAX(INT(Y43)-1,0)</f>
      </c>
      <c r="Z44" s="1006">
        <v>2021</v>
      </c>
      <c r="AA44" s="1006" t="s">
        <v>536</v>
      </c>
      <c r="AB44" s="1006">
        <v>24</v>
      </c>
      <c r="AC44" s="965">
        <v>2258.175325831658</v>
      </c>
      <c r="AD44" s="331">
        <f>+AC44-W44</f>
      </c>
      <c r="AE44" s="169"/>
      <c r="AF44" s="170"/>
      <c r="AG44" s="169"/>
      <c r="AH44" s="170"/>
      <c r="AI44" s="170"/>
      <c r="AJ44" s="1"/>
      <c r="AK44" s="1"/>
      <c r="AL44" s="170"/>
      <c r="AM44" s="170"/>
    </row>
    <row x14ac:dyDescent="0.25" r="45" customHeight="1" ht="18.75">
      <c r="A45" s="1012" t="s">
        <v>537</v>
      </c>
      <c r="B45" s="335">
        <f>+HLOOKUP(YEAR('Simulador - 1º Pilar'!G20),'Datos SS'!$B$20:$DM$21,2,0)/14</f>
      </c>
      <c r="C45" s="169"/>
      <c r="D45" s="170"/>
      <c r="E45" s="169"/>
      <c r="F45" s="169"/>
      <c r="G45" s="170"/>
      <c r="H45" s="170"/>
      <c r="I45" s="169"/>
      <c r="J45" s="1"/>
      <c r="K45" s="169"/>
      <c r="L45" s="332">
        <v>42</v>
      </c>
      <c r="M45" s="333">
        <f>IF(L45&lt;=$C$22,$B$22,IF(L45&lt;=$C$23+$C$22,$B$23,0))</f>
      </c>
      <c r="N45" s="1"/>
      <c r="O45" s="332">
        <f>IF(Q45=12,O44-1,O44)</f>
      </c>
      <c r="P45" s="332">
        <v>42</v>
      </c>
      <c r="Q45" s="332">
        <f>IF(Q44=1,12,Q44-1)</f>
      </c>
      <c r="R45" s="169"/>
      <c r="S45" s="333">
        <f>HLOOKUP(O45,'Datos SS'!$B$4:$CZZ$16,(Q45+1),0)</f>
      </c>
      <c r="T45" s="333">
        <f>IF(O45=YEAR($B$5),($B$9/12),IF(O45&gt;MIN(YEAR($B$7),YEAR($B$5)),($B$9/12)*(1+HLOOKUP(O45,'Datos SS'!$B$31:$CZZ$32,2,0))^(O45-YEAR($B$5)),T33/(1+HLOOKUP(O45,'Datos SS'!$B$31:$CZZ$32,2,0))))</f>
      </c>
      <c r="U45" s="333">
        <f>IF(O45=2018,IF(Q45&lt;8,HLOOKUP(O45,'Datos SS'!$B$25:$BZZ$27,3,0)/12,HLOOKUP(O45,'Datos SS'!$B$25:$BZZ$26,2,0)/12),HLOOKUP(O45,'Datos SS'!$B$25:$BZZ$26,2,0)/12)</f>
      </c>
      <c r="V45" s="964">
        <f>MAX(X45,MIN(T45,U45))</f>
      </c>
      <c r="W45" s="333">
        <f>IF($E$19="NO",IF(P45&lt;=180,IF(P45&lt;25,V45,V45*$S$28/S45),0),IF(P45&gt;$B$15,0,IF(P45&lt;25,V45,V45*$S$28/S45)))</f>
      </c>
      <c r="X45" s="721">
        <f>HLOOKUP(O45,'Datos SS'!$K$37:$EP$38,2,0)</f>
      </c>
      <c r="Y45" s="331">
        <f>MAX(INT(Y44)-1,0)</f>
      </c>
      <c r="Z45" s="1013">
        <v>2022</v>
      </c>
      <c r="AA45" s="1013" t="s">
        <v>538</v>
      </c>
      <c r="AB45" s="1013">
        <v>25</v>
      </c>
      <c r="AC45" s="965">
        <v>2260.0485683333113</v>
      </c>
      <c r="AD45" s="331">
        <f>+AC45-W45</f>
      </c>
      <c r="AE45" s="169"/>
      <c r="AF45" s="170"/>
      <c r="AG45" s="169"/>
      <c r="AH45" s="170"/>
      <c r="AI45" s="170"/>
      <c r="AJ45" s="1"/>
      <c r="AK45" s="1"/>
      <c r="AL45" s="170"/>
      <c r="AM45" s="170"/>
    </row>
    <row x14ac:dyDescent="0.25" r="46" customHeight="1" ht="18.75">
      <c r="A46" s="1012" t="s">
        <v>467</v>
      </c>
      <c r="B46" s="335">
        <f>+B21</f>
      </c>
      <c r="C46" s="169"/>
      <c r="D46" s="170"/>
      <c r="E46" s="169"/>
      <c r="F46" s="169"/>
      <c r="G46" s="170"/>
      <c r="H46" s="170"/>
      <c r="I46" s="169"/>
      <c r="J46" s="1"/>
      <c r="K46" s="169"/>
      <c r="L46" s="332">
        <v>43</v>
      </c>
      <c r="M46" s="333">
        <f>IF(L46&lt;=$C$22,$B$22,IF(L46&lt;=$C$23+$C$22,$B$23,0))</f>
      </c>
      <c r="N46" s="1"/>
      <c r="O46" s="332">
        <f>IF(Q46=12,O45-1,O45)</f>
      </c>
      <c r="P46" s="332">
        <v>43</v>
      </c>
      <c r="Q46" s="332">
        <f>IF(Q45=1,12,Q45-1)</f>
      </c>
      <c r="R46" s="169"/>
      <c r="S46" s="333">
        <f>HLOOKUP(O46,'Datos SS'!$B$4:$CZZ$16,(Q46+1),0)</f>
      </c>
      <c r="T46" s="333">
        <f>IF(O46=YEAR($B$5),($B$9/12),IF(O46&gt;MIN(YEAR($B$7),YEAR($B$5)),($B$9/12)*(1+HLOOKUP(O46,'Datos SS'!$B$31:$CZZ$32,2,0))^(O46-YEAR($B$5)),T34/(1+HLOOKUP(O46,'Datos SS'!$B$31:$CZZ$32,2,0))))</f>
      </c>
      <c r="U46" s="333">
        <f>IF(O46=2018,IF(Q46&lt;8,HLOOKUP(O46,'Datos SS'!$B$25:$BZZ$27,3,0)/12,HLOOKUP(O46,'Datos SS'!$B$25:$BZZ$26,2,0)/12),HLOOKUP(O46,'Datos SS'!$B$25:$BZZ$26,2,0)/12)</f>
      </c>
      <c r="V46" s="964">
        <f>MAX(X46,MIN(T46,U46))</f>
      </c>
      <c r="W46" s="333">
        <f>IF($E$19="NO",IF(P46&lt;=180,IF(P46&lt;25,V46,V46*$S$28/S46),0),IF(P46&gt;$B$15,0,IF(P46&lt;25,V46,V46*$S$28/S46)))</f>
      </c>
      <c r="X46" s="721">
        <f>HLOOKUP(O46,'Datos SS'!$K$37:$EP$38,2,0)</f>
      </c>
      <c r="Y46" s="331">
        <f>MAX(INT(Y45)-1,0)</f>
      </c>
      <c r="Z46" s="169"/>
      <c r="AA46" s="169"/>
      <c r="AB46" s="169"/>
      <c r="AC46" s="965">
        <v>2261.9233647610176</v>
      </c>
      <c r="AD46" s="331">
        <f>+AC46-W46</f>
      </c>
      <c r="AE46" s="169"/>
      <c r="AF46" s="170"/>
      <c r="AG46" s="169"/>
      <c r="AH46" s="170"/>
      <c r="AI46" s="170"/>
      <c r="AJ46" s="1"/>
      <c r="AK46" s="1"/>
      <c r="AL46" s="170"/>
      <c r="AM46" s="170"/>
    </row>
    <row x14ac:dyDescent="0.25" r="47" customHeight="1" ht="18.75">
      <c r="A47" s="1012" t="s">
        <v>539</v>
      </c>
      <c r="B47" s="335">
        <f>+MIN(B46,B45)</f>
      </c>
      <c r="C47" s="169"/>
      <c r="D47" s="170"/>
      <c r="E47" s="169"/>
      <c r="F47" s="169"/>
      <c r="G47" s="170"/>
      <c r="H47" s="170"/>
      <c r="I47" s="169"/>
      <c r="J47" s="1"/>
      <c r="K47" s="169"/>
      <c r="L47" s="340"/>
      <c r="M47" s="340"/>
      <c r="N47" s="1"/>
      <c r="O47" s="340"/>
      <c r="P47" s="340"/>
      <c r="Q47" s="340"/>
      <c r="R47" s="169"/>
      <c r="S47" s="333"/>
      <c r="T47" s="333"/>
      <c r="U47" s="333"/>
      <c r="V47" s="964"/>
      <c r="W47" s="333"/>
      <c r="X47" s="729"/>
      <c r="Y47" s="320"/>
      <c r="Z47" s="169"/>
      <c r="AA47" s="169"/>
      <c r="AB47" s="169"/>
      <c r="AC47" s="965"/>
      <c r="AD47" s="331"/>
      <c r="AE47" s="169"/>
      <c r="AF47" s="170"/>
      <c r="AG47" s="169"/>
      <c r="AH47" s="170"/>
      <c r="AI47" s="170"/>
      <c r="AJ47" s="1"/>
      <c r="AK47" s="1"/>
      <c r="AL47" s="170"/>
      <c r="AM47" s="170"/>
    </row>
    <row x14ac:dyDescent="0.25" r="48" customHeight="1" ht="18.75">
      <c r="A48" s="1012" t="s">
        <v>484</v>
      </c>
      <c r="B48" s="1014">
        <f>+B26</f>
      </c>
      <c r="C48" s="169"/>
      <c r="D48" s="170"/>
      <c r="E48" s="169"/>
      <c r="F48" s="169"/>
      <c r="G48" s="170"/>
      <c r="H48" s="170"/>
      <c r="I48" s="169"/>
      <c r="J48" s="1"/>
      <c r="K48" s="169"/>
      <c r="L48" s="332">
        <v>44</v>
      </c>
      <c r="M48" s="333">
        <f>IF(L48&lt;=$C$22,$B$22,IF(L48&lt;=$C$23+$C$22,$B$23,0))</f>
      </c>
      <c r="N48" s="1"/>
      <c r="O48" s="332">
        <f>IF(Q48=12,O46-1,O46)</f>
      </c>
      <c r="P48" s="332">
        <v>44</v>
      </c>
      <c r="Q48" s="332">
        <f>IF(Q46=1,12,Q46-1)</f>
      </c>
      <c r="R48" s="169"/>
      <c r="S48" s="333">
        <f>HLOOKUP(O48,'Datos SS'!$B$4:$CZZ$16,(Q48+1),0)</f>
      </c>
      <c r="T48" s="333">
        <f>IF(O48=YEAR($B$5),($B$9/12),IF(O48&gt;MIN(YEAR($B$7),YEAR($B$5)),($B$9/12)*(1+HLOOKUP(O48,'Datos SS'!$B$31:$CZZ$32,2,0))^(O48-YEAR($B$5)),T35/(1+HLOOKUP(O48,'Datos SS'!$B$31:$CZZ$32,2,0))))</f>
      </c>
      <c r="U48" s="333">
        <f>IF(O48=2018,IF(Q48&lt;8,HLOOKUP(O48,'Datos SS'!$B$25:$BZZ$27,3,0)/12,HLOOKUP(O48,'Datos SS'!$B$25:$BZZ$26,2,0)/12),HLOOKUP(O48,'Datos SS'!$B$25:$BZZ$26,2,0)/12)</f>
      </c>
      <c r="V48" s="964">
        <f>MAX(X48,MIN(T48,U48))</f>
      </c>
      <c r="W48" s="333">
        <f>IF($E$19="NO",IF(P48&lt;=180,IF(P48&lt;25,V48,V48*$S$28/S48),0),IF(P48&gt;$B$15,0,IF(P48&lt;25,V48,V48*$S$28/S48)))</f>
      </c>
      <c r="X48" s="721">
        <f>HLOOKUP(O48,'Datos SS'!$K$37:$EP$38,2,0)</f>
      </c>
      <c r="Y48" s="331">
        <f>MAX(INT(Y46)-1,0)</f>
      </c>
      <c r="Z48" s="1015" t="s">
        <v>391</v>
      </c>
      <c r="AA48" s="1016" t="s">
        <v>512</v>
      </c>
      <c r="AB48" s="1017"/>
      <c r="AC48" s="965">
        <v>2263.799716403817</v>
      </c>
      <c r="AD48" s="331">
        <f>+AC48-W48</f>
      </c>
      <c r="AE48" s="169"/>
      <c r="AF48" s="170"/>
      <c r="AG48" s="169"/>
      <c r="AH48" s="170"/>
      <c r="AI48" s="170"/>
      <c r="AJ48" s="1"/>
      <c r="AK48" s="1"/>
      <c r="AL48" s="170"/>
      <c r="AM48" s="170"/>
    </row>
    <row x14ac:dyDescent="0.25" r="49" customHeight="1" ht="18.75">
      <c r="A49" s="1012" t="s">
        <v>540</v>
      </c>
      <c r="B49" s="1014">
        <f>+B35</f>
      </c>
      <c r="C49" s="169"/>
      <c r="D49" s="170"/>
      <c r="E49" s="169"/>
      <c r="F49" s="169"/>
      <c r="G49" s="170"/>
      <c r="H49" s="170"/>
      <c r="I49" s="169"/>
      <c r="J49" s="1"/>
      <c r="K49" s="169"/>
      <c r="L49" s="332">
        <v>45</v>
      </c>
      <c r="M49" s="333">
        <f>IF(L49&lt;=$C$22,$B$22,IF(L49&lt;=$C$23+$C$22,$B$23,0))</f>
      </c>
      <c r="N49" s="1"/>
      <c r="O49" s="332">
        <f>IF(Q49=12,O48-1,O48)</f>
      </c>
      <c r="P49" s="332">
        <v>45</v>
      </c>
      <c r="Q49" s="332">
        <f>IF(Q48=1,12,Q48-1)</f>
      </c>
      <c r="R49" s="169"/>
      <c r="S49" s="333">
        <f>HLOOKUP(O49,'Datos SS'!$B$4:$CZZ$16,(Q49+1),0)</f>
      </c>
      <c r="T49" s="333">
        <f>IF(O49=YEAR($B$5),($B$9/12),IF(O49&gt;MIN(YEAR($B$7),YEAR($B$5)),($B$9/12)*(1+HLOOKUP(O49,'Datos SS'!$B$31:$CZZ$32,2,0))^(O49-YEAR($B$5)),T36/(1+HLOOKUP(O49,'Datos SS'!$B$31:$CZZ$32,2,0))))</f>
      </c>
      <c r="U49" s="333">
        <f>IF(O49=2018,IF(Q49&lt;8,HLOOKUP(O49,'Datos SS'!$B$25:$BZZ$27,3,0)/12,HLOOKUP(O49,'Datos SS'!$B$25:$BZZ$26,2,0)/12),HLOOKUP(O49,'Datos SS'!$B$25:$BZZ$26,2,0)/12)</f>
      </c>
      <c r="V49" s="964">
        <f>MAX(X49,MIN(T49,U49))</f>
      </c>
      <c r="W49" s="333">
        <f>IF($E$19="NO",IF(P49&lt;=180,IF(P49&lt;25,V49,V49*$S$28/S49),0),IF(P49&gt;$B$15,0,IF(P49&lt;25,V49,V49*$S$28/S49)))</f>
      </c>
      <c r="X49" s="721">
        <f>HLOOKUP(O49,'Datos SS'!$K$37:$EP$38,2,0)</f>
      </c>
      <c r="Y49" s="331">
        <f>MAX(INT(Y48)-1,0)</f>
      </c>
      <c r="Z49" s="1018">
        <v>2013</v>
      </c>
      <c r="AA49" s="332">
        <f>LEFT(AA36,3)</f>
      </c>
      <c r="AB49" s="332">
        <f>RIGHT(AA36,3)</f>
      </c>
      <c r="AC49" s="965">
        <v>2265.6776245518204</v>
      </c>
      <c r="AD49" s="331">
        <f>+AC49-W49</f>
      </c>
      <c r="AE49" s="169"/>
      <c r="AF49" s="170"/>
      <c r="AG49" s="169"/>
      <c r="AH49" s="170"/>
      <c r="AI49" s="170"/>
      <c r="AJ49" s="1"/>
      <c r="AK49" s="1"/>
      <c r="AL49" s="170"/>
      <c r="AM49" s="170"/>
    </row>
    <row x14ac:dyDescent="0.25" r="50" customHeight="1" ht="18.75">
      <c r="A50" s="1012" t="s">
        <v>541</v>
      </c>
      <c r="B50" s="1019">
        <f>+_xlfn.IFNA(IF(B8&lt;38.5,VLOOKUP(INT(E9),'Coef Reductores Anticipada'!$B$11:$D$34,3,0),IF(B8&lt;41.5,VLOOKUP(INT(E9),'Coef Reductores Anticipada'!$F$11:$H$34,3,0),IF(B8&lt;44.5,VLOOKUP(INT(E9),'Coef Reductores Anticipada'!$J$11:$L$34,3,0),VLOOKUP(INT(E9),'Coef Reductores Anticipada'!$N$11:$P$34,3,0)))),0)</f>
      </c>
      <c r="C50" s="169"/>
      <c r="D50" s="170"/>
      <c r="E50" s="169"/>
      <c r="F50" s="169"/>
      <c r="G50" s="170"/>
      <c r="H50" s="170"/>
      <c r="I50" s="169"/>
      <c r="J50" s="1"/>
      <c r="K50" s="169"/>
      <c r="L50" s="332">
        <v>46</v>
      </c>
      <c r="M50" s="333">
        <f>IF(L50&lt;=$C$22,$B$22,IF(L50&lt;=$C$23+$C$22,$B$23,0))</f>
      </c>
      <c r="N50" s="1"/>
      <c r="O50" s="332">
        <f>IF(Q50=12,O49-1,O49)</f>
      </c>
      <c r="P50" s="332">
        <v>46</v>
      </c>
      <c r="Q50" s="332">
        <f>IF(Q49=1,12,Q49-1)</f>
      </c>
      <c r="R50" s="169"/>
      <c r="S50" s="333">
        <f>HLOOKUP(O50,'Datos SS'!$B$4:$CZZ$16,(Q50+1),0)</f>
      </c>
      <c r="T50" s="333">
        <f>IF(O50=YEAR($B$5),($B$9/12),IF(O50&gt;MIN(YEAR($B$7),YEAR($B$5)),($B$9/12)*(1+HLOOKUP(O50,'Datos SS'!$B$31:$CZZ$32,2,0))^(O50-YEAR($B$5)),T37/(1+HLOOKUP(O50,'Datos SS'!$B$31:$CZZ$32,2,0))))</f>
      </c>
      <c r="U50" s="333">
        <f>IF(O50=2018,IF(Q50&lt;8,HLOOKUP(O50,'Datos SS'!$B$25:$BZZ$27,3,0)/12,HLOOKUP(O50,'Datos SS'!$B$25:$BZZ$26,2,0)/12),HLOOKUP(O50,'Datos SS'!$B$25:$BZZ$26,2,0)/12)</f>
      </c>
      <c r="V50" s="964">
        <f>MAX(X50,MIN(T50,U50))</f>
      </c>
      <c r="W50" s="333">
        <f>IF($E$19="NO",IF(P50&lt;=180,IF(P50&lt;25,V50,V50*$S$28/S50),0),IF(P50&gt;$B$15,0,IF(P50&lt;25,V50,V50*$S$28/S50)))</f>
      </c>
      <c r="X50" s="721">
        <f>HLOOKUP(O50,'Datos SS'!$K$37:$EP$38,2,0)</f>
      </c>
      <c r="Y50" s="331">
        <f>MAX(INT(Y49)-1,0)</f>
      </c>
      <c r="Z50" s="1018">
        <v>2014</v>
      </c>
      <c r="AA50" s="332">
        <f>LEFT(AA37,3)</f>
      </c>
      <c r="AB50" s="332">
        <f>RIGHT(AA37,3)</f>
      </c>
      <c r="AC50" s="965">
        <v>2223.095186760988</v>
      </c>
      <c r="AD50" s="331">
        <f>+AC50-W50</f>
      </c>
      <c r="AE50" s="169"/>
      <c r="AF50" s="170"/>
      <c r="AG50" s="169"/>
      <c r="AH50" s="170"/>
      <c r="AI50" s="170"/>
      <c r="AJ50" s="1"/>
      <c r="AK50" s="1"/>
      <c r="AL50" s="170"/>
      <c r="AM50" s="170"/>
    </row>
    <row x14ac:dyDescent="0.25" r="51" customHeight="1" ht="18.75">
      <c r="A51" s="1012" t="s">
        <v>542</v>
      </c>
      <c r="B51" s="335">
        <f>+B46*B48*(1-B50)</f>
      </c>
      <c r="C51" s="169"/>
      <c r="D51" s="170"/>
      <c r="E51" s="169"/>
      <c r="F51" s="169"/>
      <c r="G51" s="170"/>
      <c r="H51" s="170"/>
      <c r="I51" s="169"/>
      <c r="J51" s="1"/>
      <c r="K51" s="169"/>
      <c r="L51" s="332">
        <v>47</v>
      </c>
      <c r="M51" s="333">
        <f>IF(L51&lt;=$C$22,$B$22,IF(L51&lt;=$C$23+$C$22,$B$23,0))</f>
      </c>
      <c r="N51" s="1"/>
      <c r="O51" s="332">
        <f>IF(Q51=12,O50-1,O50)</f>
      </c>
      <c r="P51" s="332">
        <v>47</v>
      </c>
      <c r="Q51" s="332">
        <f>IF(Q50=1,12,Q50-1)</f>
      </c>
      <c r="R51" s="169"/>
      <c r="S51" s="333">
        <f>HLOOKUP(O51,'Datos SS'!$B$4:$CZZ$16,(Q51+1),0)</f>
      </c>
      <c r="T51" s="333">
        <f>IF(O51=YEAR($B$5),($B$9/12),IF(O51&gt;MIN(YEAR($B$7),YEAR($B$5)),($B$9/12)*(1+HLOOKUP(O51,'Datos SS'!$B$31:$CZZ$32,2,0))^(O51-YEAR($B$5)),T38/(1+HLOOKUP(O51,'Datos SS'!$B$31:$CZZ$32,2,0))))</f>
      </c>
      <c r="U51" s="333">
        <f>IF(O51=2018,IF(Q51&lt;8,HLOOKUP(O51,'Datos SS'!$B$25:$BZZ$27,3,0)/12,HLOOKUP(O51,'Datos SS'!$B$25:$BZZ$26,2,0)/12),HLOOKUP(O51,'Datos SS'!$B$25:$BZZ$26,2,0)/12)</f>
      </c>
      <c r="V51" s="964">
        <f>MAX(X51,MIN(T51,U51))</f>
      </c>
      <c r="W51" s="333">
        <f>IF($E$19="NO",IF(P51&lt;=180,IF(P51&lt;25,V51,V51*$S$28/S51),0),IF(P51&gt;$B$15,0,IF(P51&lt;25,V51,V51*$S$28/S51)))</f>
      </c>
      <c r="X51" s="721">
        <f>HLOOKUP(O51,'Datos SS'!$K$37:$EP$38,2,0)</f>
      </c>
      <c r="Y51" s="331">
        <f>MAX(INT(Y50)-1,0)</f>
      </c>
      <c r="Z51" s="1018">
        <v>2015</v>
      </c>
      <c r="AA51" s="332">
        <f>LEFT(AA38,3)</f>
      </c>
      <c r="AB51" s="332">
        <f>RIGHT(AA38,3)</f>
      </c>
      <c r="AC51" s="965">
        <v>2224.9393289502254</v>
      </c>
      <c r="AD51" s="331">
        <f>+AC51-W51</f>
      </c>
      <c r="AE51" s="169"/>
      <c r="AF51" s="170"/>
      <c r="AG51" s="169"/>
      <c r="AH51" s="170"/>
      <c r="AI51" s="170"/>
      <c r="AJ51" s="1"/>
      <c r="AK51" s="1"/>
      <c r="AL51" s="170"/>
      <c r="AM51" s="170"/>
    </row>
    <row x14ac:dyDescent="0.25" r="52" customHeight="1" ht="18.75">
      <c r="A52" s="1012" t="s">
        <v>543</v>
      </c>
      <c r="B52" s="1019">
        <f>+_xlfn.IFNA(IF(B8&lt;38.5,VLOOKUP(INT(E9),'periodo transitorio coef REDUCT'!$B$9:$CD$33,MATCH(YEAR(B7),'periodo transitorio coef REDUCT'!$B$9:$CD$9,0),0),IF(B8&lt;41.5,VLOOKUP(INT(E9),'periodo transitorio coef REDUCT'!$B$38:$CD$62,MATCH(YEAR(B7),'periodo transitorio coef REDUCT'!$B$38:$CD$38,0),0),IF(B8&lt;44.5,VLOOKUP(INT(E9),'periodo transitorio coef REDUCT'!$B$67:$CD$91,MATCH(YEAR(B7),'periodo transitorio coef REDUCT'!$B$67:$CD$67,0),0),VLOOKUP(INT(E9),'periodo transitorio coef REDUCT'!$B$96:$CD$120,MATCH(YEAR(B7),'periodo transitorio coef REDUCT'!$B$96:$CD$96,0),0)))),0)</f>
      </c>
      <c r="C52" s="169"/>
      <c r="D52" s="170"/>
      <c r="E52" s="169"/>
      <c r="F52" s="169"/>
      <c r="G52" s="170"/>
      <c r="H52" s="170"/>
      <c r="I52" s="169"/>
      <c r="J52" s="1"/>
      <c r="K52" s="169"/>
      <c r="L52" s="332">
        <v>48</v>
      </c>
      <c r="M52" s="333">
        <f>IF(L52&lt;=$C$22,$B$22,IF(L52&lt;=$C$23+$C$22,$B$23,0))</f>
      </c>
      <c r="N52" s="1"/>
      <c r="O52" s="332">
        <f>IF(Q52=12,O51-1,O51)</f>
      </c>
      <c r="P52" s="332">
        <v>48</v>
      </c>
      <c r="Q52" s="332">
        <f>IF(Q51=1,12,Q51-1)</f>
      </c>
      <c r="R52" s="169"/>
      <c r="S52" s="333">
        <f>HLOOKUP(O52,'Datos SS'!$B$4:$CZZ$16,(Q52+1),0)</f>
      </c>
      <c r="T52" s="333">
        <f>IF(O52=YEAR($B$5),($B$9/12),IF(O52&gt;MIN(YEAR($B$7),YEAR($B$5)),($B$9/12)*(1+HLOOKUP(O52,'Datos SS'!$B$31:$CZZ$32,2,0))^(O52-YEAR($B$5)),T39/(1+HLOOKUP(O52,'Datos SS'!$B$31:$CZZ$32,2,0))))</f>
      </c>
      <c r="U52" s="333">
        <f>IF(O52=2018,IF(Q52&lt;8,HLOOKUP(O52,'Datos SS'!$B$25:$BZZ$27,3,0)/12,HLOOKUP(O52,'Datos SS'!$B$25:$BZZ$26,2,0)/12),HLOOKUP(O52,'Datos SS'!$B$25:$BZZ$26,2,0)/12)</f>
      </c>
      <c r="V52" s="964">
        <f>MAX(X52,MIN(T52,U52))</f>
      </c>
      <c r="W52" s="333">
        <f>IF($E$19="NO",IF(P52&lt;=180,IF(P52&lt;25,V52,V52*$S$28/S52),0),IF(P52&gt;$B$15,0,IF(P52&lt;25,V52,V52*$S$28/S52)))</f>
      </c>
      <c r="X52" s="721">
        <f>HLOOKUP(O52,'Datos SS'!$K$37:$EP$38,2,0)</f>
      </c>
      <c r="Y52" s="331">
        <f>MAX(INT(Y51)-1,0)</f>
      </c>
      <c r="Z52" s="1018">
        <v>2016</v>
      </c>
      <c r="AA52" s="332">
        <f>LEFT(AA39,3)</f>
      </c>
      <c r="AB52" s="332">
        <f>RIGHT(AA39,3)</f>
      </c>
      <c r="AC52" s="965">
        <v>2226.785000925697</v>
      </c>
      <c r="AD52" s="331">
        <f>+AC52-W52</f>
      </c>
      <c r="AE52" s="169"/>
      <c r="AF52" s="170"/>
      <c r="AG52" s="169"/>
      <c r="AH52" s="170"/>
      <c r="AI52" s="170"/>
      <c r="AJ52" s="1"/>
      <c r="AK52" s="1"/>
      <c r="AL52" s="170"/>
      <c r="AM52" s="170"/>
    </row>
    <row x14ac:dyDescent="0.25" r="53" customHeight="1" ht="18.75">
      <c r="A53" s="1012" t="s">
        <v>544</v>
      </c>
      <c r="B53" s="1019">
        <f>+IF(B47=B46,B50,IF(AND(B47=B45,B52&gt;0),B52,0.5%*F7))</f>
      </c>
      <c r="C53" s="169"/>
      <c r="D53" s="170"/>
      <c r="E53" s="169"/>
      <c r="F53" s="169"/>
      <c r="G53" s="170"/>
      <c r="H53" s="170"/>
      <c r="I53" s="169"/>
      <c r="J53" s="1"/>
      <c r="K53" s="169"/>
      <c r="L53" s="332">
        <v>49</v>
      </c>
      <c r="M53" s="333">
        <f>IF(L53&lt;=$C$22,$B$22,IF(L53&lt;=$C$23+$C$22,$B$23,0))</f>
      </c>
      <c r="N53" s="1"/>
      <c r="O53" s="332">
        <f>IF(Q53=12,O52-1,O52)</f>
      </c>
      <c r="P53" s="332">
        <v>49</v>
      </c>
      <c r="Q53" s="332">
        <f>IF(Q52=1,12,Q52-1)</f>
      </c>
      <c r="R53" s="169"/>
      <c r="S53" s="333">
        <f>HLOOKUP(O53,'Datos SS'!$B$4:$CZZ$16,(Q53+1),0)</f>
      </c>
      <c r="T53" s="333">
        <f>IF(O53=YEAR($B$5),($B$9/12),IF(O53&gt;MIN(YEAR($B$7),YEAR($B$5)),($B$9/12)*(1+HLOOKUP(O53,'Datos SS'!$B$31:$CZZ$32,2,0))^(O53-YEAR($B$5)),T40/(1+HLOOKUP(O53,'Datos SS'!$B$31:$CZZ$32,2,0))))</f>
      </c>
      <c r="U53" s="333">
        <f>IF(O53=2018,IF(Q53&lt;8,HLOOKUP(O53,'Datos SS'!$B$25:$BZZ$27,3,0)/12,HLOOKUP(O53,'Datos SS'!$B$25:$BZZ$26,2,0)/12),HLOOKUP(O53,'Datos SS'!$B$25:$BZZ$26,2,0)/12)</f>
      </c>
      <c r="V53" s="964">
        <f>MAX(X53,MIN(T53,U53))</f>
      </c>
      <c r="W53" s="333">
        <f>IF($E$19="NO",IF(P53&lt;=180,IF(P53&lt;25,V53,V53*$S$28/S53),0),IF(P53&gt;$B$15,0,IF(P53&lt;25,V53,V53*$S$28/S53)))</f>
      </c>
      <c r="X53" s="721">
        <f>HLOOKUP(O53,'Datos SS'!$K$37:$EP$38,2,0)</f>
      </c>
      <c r="Y53" s="331">
        <f>MAX(INT(Y52)-1,0)</f>
      </c>
      <c r="Z53" s="1018">
        <v>2017</v>
      </c>
      <c r="AA53" s="332">
        <f>LEFT(AA40,3)</f>
      </c>
      <c r="AB53" s="332">
        <f>RIGHT(AA40,3)</f>
      </c>
      <c r="AC53" s="965">
        <v>2228.6322039564193</v>
      </c>
      <c r="AD53" s="331">
        <f>+AC53-W53</f>
      </c>
      <c r="AE53" s="169"/>
      <c r="AF53" s="170"/>
      <c r="AG53" s="169"/>
      <c r="AH53" s="170"/>
      <c r="AI53" s="170"/>
      <c r="AJ53" s="1"/>
      <c r="AK53" s="1"/>
      <c r="AL53" s="170"/>
      <c r="AM53" s="170"/>
    </row>
    <row x14ac:dyDescent="0.25" r="54" customHeight="1" ht="18.75">
      <c r="A54" s="1011" t="s">
        <v>320</v>
      </c>
      <c r="B54" s="335" t="s">
        <v>535</v>
      </c>
      <c r="C54" s="169"/>
      <c r="D54" s="170"/>
      <c r="E54" s="169"/>
      <c r="F54" s="169"/>
      <c r="G54" s="170"/>
      <c r="H54" s="170"/>
      <c r="I54" s="169"/>
      <c r="J54" s="1"/>
      <c r="K54" s="169"/>
      <c r="L54" s="332">
        <v>50</v>
      </c>
      <c r="M54" s="333">
        <f>IF(L54&lt;=$C$22,$B$22,IF(L54&lt;=$C$23+$C$22,$B$23,0))</f>
      </c>
      <c r="N54" s="1"/>
      <c r="O54" s="332">
        <f>IF(Q54=12,O53-1,O53)</f>
      </c>
      <c r="P54" s="332">
        <v>50</v>
      </c>
      <c r="Q54" s="332">
        <f>IF(Q53=1,12,Q53-1)</f>
      </c>
      <c r="R54" s="169"/>
      <c r="S54" s="333">
        <f>HLOOKUP(O54,'Datos SS'!$B$4:$CZZ$16,(Q54+1),0)</f>
      </c>
      <c r="T54" s="333">
        <f>IF(O54=YEAR($B$5),($B$9/12),IF(O54&gt;MIN(YEAR($B$7),YEAR($B$5)),($B$9/12)*(1+HLOOKUP(O54,'Datos SS'!$B$31:$CZZ$32,2,0))^(O54-YEAR($B$5)),T41/(1+HLOOKUP(O54,'Datos SS'!$B$31:$CZZ$32,2,0))))</f>
      </c>
      <c r="U54" s="333">
        <f>IF(O54=2018,IF(Q54&lt;8,HLOOKUP(O54,'Datos SS'!$B$25:$BZZ$27,3,0)/12,HLOOKUP(O54,'Datos SS'!$B$25:$BZZ$26,2,0)/12),HLOOKUP(O54,'Datos SS'!$B$25:$BZZ$26,2,0)/12)</f>
      </c>
      <c r="V54" s="964">
        <f>MAX(X54,MIN(T54,U54))</f>
      </c>
      <c r="W54" s="333">
        <f>IF($E$19="NO",IF(P54&lt;=180,IF(P54&lt;25,V54,V54*$S$28/S54),0),IF(P54&gt;$B$15,0,IF(P54&lt;25,V54,V54*$S$28/S54)))</f>
      </c>
      <c r="X54" s="721">
        <f>HLOOKUP(O54,'Datos SS'!$K$37:$EP$38,2,0)</f>
      </c>
      <c r="Y54" s="331">
        <f>MAX(INT(Y53)-1,0)</f>
      </c>
      <c r="Z54" s="1018">
        <v>2018</v>
      </c>
      <c r="AA54" s="332">
        <f>LEFT(AA41,3)</f>
      </c>
      <c r="AB54" s="332">
        <f>RIGHT(AA41,3)</f>
      </c>
      <c r="AC54" s="965">
        <v>2230.4809393124606</v>
      </c>
      <c r="AD54" s="331">
        <f>+AC54-W54</f>
      </c>
      <c r="AE54" s="169"/>
      <c r="AF54" s="170"/>
      <c r="AG54" s="169"/>
      <c r="AH54" s="170"/>
      <c r="AI54" s="170"/>
      <c r="AJ54" s="1"/>
      <c r="AK54" s="1"/>
      <c r="AL54" s="170"/>
      <c r="AM54" s="170"/>
    </row>
    <row x14ac:dyDescent="0.25" r="55" customHeight="1" ht="18.75">
      <c r="A55" s="1020" t="s">
        <v>545</v>
      </c>
      <c r="B55" s="1021">
        <f>+MIN(B46*B48,B45)</f>
      </c>
      <c r="C55" s="169"/>
      <c r="D55" s="170"/>
      <c r="E55" s="169"/>
      <c r="F55" s="169"/>
      <c r="G55" s="170"/>
      <c r="H55" s="170"/>
      <c r="I55" s="169"/>
      <c r="J55" s="1"/>
      <c r="K55" s="169"/>
      <c r="L55" s="332">
        <v>51</v>
      </c>
      <c r="M55" s="333">
        <f>IF(L55&lt;=$C$22,$B$22,IF(L55&lt;=$C$23+$C$22,$B$23,0))</f>
      </c>
      <c r="N55" s="1"/>
      <c r="O55" s="332">
        <f>IF(Q55=12,O54-1,O54)</f>
      </c>
      <c r="P55" s="332">
        <v>51</v>
      </c>
      <c r="Q55" s="332">
        <f>IF(Q54=1,12,Q54-1)</f>
      </c>
      <c r="R55" s="169"/>
      <c r="S55" s="333">
        <f>HLOOKUP(O55,'Datos SS'!$B$4:$CZZ$16,(Q55+1),0)</f>
      </c>
      <c r="T55" s="333">
        <f>IF(O55=YEAR($B$5),($B$9/12),IF(O55&gt;MIN(YEAR($B$7),YEAR($B$5)),($B$9/12)*(1+HLOOKUP(O55,'Datos SS'!$B$31:$CZZ$32,2,0))^(O55-YEAR($B$5)),T42/(1+HLOOKUP(O55,'Datos SS'!$B$31:$CZZ$32,2,0))))</f>
      </c>
      <c r="U55" s="333">
        <f>IF(O55=2018,IF(Q55&lt;8,HLOOKUP(O55,'Datos SS'!$B$25:$BZZ$27,3,0)/12,HLOOKUP(O55,'Datos SS'!$B$25:$BZZ$26,2,0)/12),HLOOKUP(O55,'Datos SS'!$B$25:$BZZ$26,2,0)/12)</f>
      </c>
      <c r="V55" s="964">
        <f>MAX(X55,MIN(T55,U55))</f>
      </c>
      <c r="W55" s="333">
        <f>IF($E$19="NO",IF(P55&lt;=180,IF(P55&lt;25,V55,V55*$S$28/S55),0),IF(P55&gt;$B$15,0,IF(P55&lt;25,V55,V55*$S$28/S55)))</f>
      </c>
      <c r="X55" s="721">
        <f>HLOOKUP(O55,'Datos SS'!$K$37:$EP$38,2,0)</f>
      </c>
      <c r="Y55" s="331">
        <f>MAX(INT(Y54)-1,0)</f>
      </c>
      <c r="Z55" s="1018">
        <v>2019</v>
      </c>
      <c r="AA55" s="332">
        <v>264</v>
      </c>
      <c r="AB55" s="332">
        <v>308</v>
      </c>
      <c r="AC55" s="965">
        <v>2232.3312082649427</v>
      </c>
      <c r="AD55" s="331">
        <f>+AC55-W55</f>
      </c>
      <c r="AE55" s="169"/>
      <c r="AF55" s="170"/>
      <c r="AG55" s="169"/>
      <c r="AH55" s="170"/>
      <c r="AI55" s="170"/>
      <c r="AJ55" s="1"/>
      <c r="AK55" s="1"/>
      <c r="AL55" s="170"/>
      <c r="AM55" s="170"/>
    </row>
    <row x14ac:dyDescent="0.25" r="56" customHeight="1" ht="18.75">
      <c r="A56" s="1020" t="s">
        <v>546</v>
      </c>
      <c r="B56" s="1021">
        <f>+IF(B47=B46,B46*B48*(1-B50),IF(AND(B47=B45,B52&gt;0),B47*(1-B52),IF(AND(B52=0,B51&gt;B45*(1-(0.5%*F7))),B45*(1-(0.5%*F7)),B51)))</f>
      </c>
      <c r="C56" s="169"/>
      <c r="D56" s="170"/>
      <c r="E56" s="169"/>
      <c r="F56" s="169"/>
      <c r="G56" s="170"/>
      <c r="H56" s="170"/>
      <c r="I56" s="169"/>
      <c r="J56" s="1"/>
      <c r="K56" s="169"/>
      <c r="L56" s="332">
        <v>52</v>
      </c>
      <c r="M56" s="333">
        <f>IF(L56&lt;=$C$22,$B$22,IF(L56&lt;=$C$23+$C$22,$B$23,0))</f>
      </c>
      <c r="N56" s="1"/>
      <c r="O56" s="332">
        <f>IF(Q56=12,O55-1,O55)</f>
      </c>
      <c r="P56" s="332">
        <v>52</v>
      </c>
      <c r="Q56" s="332">
        <f>IF(Q55=1,12,Q55-1)</f>
      </c>
      <c r="R56" s="169"/>
      <c r="S56" s="333">
        <f>HLOOKUP(O56,'Datos SS'!$B$4:$CZZ$16,(Q56+1),0)</f>
      </c>
      <c r="T56" s="333">
        <f>IF(O56=YEAR($B$5),($B$9/12),IF(O56&gt;MIN(YEAR($B$7),YEAR($B$5)),($B$9/12)*(1+HLOOKUP(O56,'Datos SS'!$B$31:$CZZ$32,2,0))^(O56-YEAR($B$5)),T43/(1+HLOOKUP(O56,'Datos SS'!$B$31:$CZZ$32,2,0))))</f>
      </c>
      <c r="U56" s="333">
        <f>IF(O56=2018,IF(Q56&lt;8,HLOOKUP(O56,'Datos SS'!$B$25:$BZZ$27,3,0)/12,HLOOKUP(O56,'Datos SS'!$B$25:$BZZ$26,2,0)/12),HLOOKUP(O56,'Datos SS'!$B$25:$BZZ$26,2,0)/12)</f>
      </c>
      <c r="V56" s="964">
        <f>MAX(X56,MIN(T56,U56))</f>
      </c>
      <c r="W56" s="333">
        <f>IF($E$19="NO",IF(P56&lt;=180,IF(P56&lt;25,V56,V56*$S$28/S56),0),IF(P56&gt;$B$15,0,IF(P56&lt;25,V56,V56*$S$28/S56)))</f>
      </c>
      <c r="X56" s="721">
        <f>HLOOKUP(O56,'Datos SS'!$K$37:$EP$38,2,0)</f>
      </c>
      <c r="Y56" s="331">
        <f>MAX(INT(Y55)-1,0)</f>
      </c>
      <c r="Z56" s="1018">
        <v>2020</v>
      </c>
      <c r="AA56" s="332">
        <v>276</v>
      </c>
      <c r="AB56" s="332">
        <v>322</v>
      </c>
      <c r="AC56" s="965">
        <v>2234.183012086043</v>
      </c>
      <c r="AD56" s="331">
        <f>+AC56-W56</f>
      </c>
      <c r="AE56" s="169"/>
      <c r="AF56" s="170"/>
      <c r="AG56" s="169"/>
      <c r="AH56" s="170"/>
      <c r="AI56" s="170"/>
      <c r="AJ56" s="1"/>
      <c r="AK56" s="1"/>
      <c r="AL56" s="170"/>
      <c r="AM56" s="170"/>
    </row>
    <row x14ac:dyDescent="0.25" r="57" customHeight="1" ht="18.75">
      <c r="A57" s="1020" t="s">
        <v>547</v>
      </c>
      <c r="B57" s="1021">
        <f>+IF(B8&lt;15,B55,B71)</f>
      </c>
      <c r="C57" s="169"/>
      <c r="D57" s="170"/>
      <c r="E57" s="169"/>
      <c r="F57" s="169"/>
      <c r="G57" s="170"/>
      <c r="H57" s="170"/>
      <c r="I57" s="169"/>
      <c r="J57" s="1"/>
      <c r="K57" s="169"/>
      <c r="L57" s="332">
        <v>53</v>
      </c>
      <c r="M57" s="333">
        <f>IF(L57&lt;=$C$22,$B$22,IF(L57&lt;=$C$23+$C$22,$B$23,0))</f>
      </c>
      <c r="N57" s="1"/>
      <c r="O57" s="332">
        <f>IF(Q57=12,O56-1,O56)</f>
      </c>
      <c r="P57" s="332">
        <v>53</v>
      </c>
      <c r="Q57" s="332">
        <f>IF(Q56=1,12,Q56-1)</f>
      </c>
      <c r="R57" s="169"/>
      <c r="S57" s="333">
        <f>HLOOKUP(O57,'Datos SS'!$B$4:$CZZ$16,(Q57+1),0)</f>
      </c>
      <c r="T57" s="333">
        <f>IF(O57=YEAR($B$5),($B$9/12),IF(O57&gt;MIN(YEAR($B$7),YEAR($B$5)),($B$9/12)*(1+HLOOKUP(O57,'Datos SS'!$B$31:$CZZ$32,2,0))^(O57-YEAR($B$5)),T44/(1+HLOOKUP(O57,'Datos SS'!$B$31:$CZZ$32,2,0))))</f>
      </c>
      <c r="U57" s="333">
        <f>IF(O57=2018,IF(Q57&lt;8,HLOOKUP(O57,'Datos SS'!$B$25:$BZZ$27,3,0)/12,HLOOKUP(O57,'Datos SS'!$B$25:$BZZ$26,2,0)/12),HLOOKUP(O57,'Datos SS'!$B$25:$BZZ$26,2,0)/12)</f>
      </c>
      <c r="V57" s="964">
        <f>MAX(X57,MIN(T57,U57))</f>
      </c>
      <c r="W57" s="333">
        <f>IF($E$19="NO",IF(P57&lt;=180,IF(P57&lt;25,V57,V57*$S$28/S57),0),IF(P57&gt;$B$15,0,IF(P57&lt;25,V57,V57*$S$28/S57)))</f>
      </c>
      <c r="X57" s="721">
        <f>HLOOKUP(O57,'Datos SS'!$K$37:$EP$38,2,0)</f>
      </c>
      <c r="Y57" s="331">
        <f>MAX(INT(Y56)-1,0)</f>
      </c>
      <c r="Z57" s="1018">
        <v>2021</v>
      </c>
      <c r="AA57" s="332">
        <v>288</v>
      </c>
      <c r="AB57" s="332">
        <v>336</v>
      </c>
      <c r="AC57" s="965">
        <v>2236.036352048993</v>
      </c>
      <c r="AD57" s="331">
        <f>+AC57-W57</f>
      </c>
      <c r="AE57" s="169"/>
      <c r="AF57" s="170"/>
      <c r="AG57" s="169"/>
      <c r="AH57" s="170"/>
      <c r="AI57" s="170"/>
      <c r="AJ57" s="1"/>
      <c r="AK57" s="1"/>
      <c r="AL57" s="170"/>
      <c r="AM57" s="170"/>
    </row>
    <row x14ac:dyDescent="0.25" r="58" customHeight="1" ht="18.75">
      <c r="A58" s="1020" t="s">
        <v>548</v>
      </c>
      <c r="B58" s="1021">
        <f>+B55</f>
      </c>
      <c r="C58" s="169"/>
      <c r="D58" s="170"/>
      <c r="E58" s="169"/>
      <c r="F58" s="169"/>
      <c r="G58" s="170"/>
      <c r="H58" s="170"/>
      <c r="I58" s="169"/>
      <c r="J58" s="1"/>
      <c r="K58" s="169"/>
      <c r="L58" s="332">
        <v>54</v>
      </c>
      <c r="M58" s="333">
        <f>IF(L58&lt;=$C$22,$B$22,IF(L58&lt;=$C$23+$C$22,$B$23,0))</f>
      </c>
      <c r="N58" s="1"/>
      <c r="O58" s="332">
        <f>IF(Q58=12,O57-1,O57)</f>
      </c>
      <c r="P58" s="332">
        <v>54</v>
      </c>
      <c r="Q58" s="332">
        <f>IF(Q57=1,12,Q57-1)</f>
      </c>
      <c r="R58" s="169"/>
      <c r="S58" s="333">
        <f>HLOOKUP(O58,'Datos SS'!$B$4:$CZZ$16,(Q58+1),0)</f>
      </c>
      <c r="T58" s="333">
        <f>IF(O58=YEAR($B$5),($B$9/12),IF(O58&gt;MIN(YEAR($B$7),YEAR($B$5)),($B$9/12)*(1+HLOOKUP(O58,'Datos SS'!$B$31:$CZZ$32,2,0))^(O58-YEAR($B$5)),T45/(1+HLOOKUP(O58,'Datos SS'!$B$31:$CZZ$32,2,0))))</f>
      </c>
      <c r="U58" s="333">
        <f>IF(O58=2018,IF(Q58&lt;8,HLOOKUP(O58,'Datos SS'!$B$25:$BZZ$27,3,0)/12,HLOOKUP(O58,'Datos SS'!$B$25:$BZZ$26,2,0)/12),HLOOKUP(O58,'Datos SS'!$B$25:$BZZ$26,2,0)/12)</f>
      </c>
      <c r="V58" s="964">
        <f>MAX(X58,MIN(T58,U58))</f>
      </c>
      <c r="W58" s="333">
        <f>IF($E$19="NO",IF(P58&lt;=180,IF(P58&lt;25,V58,V58*$S$28/S58),0),IF(P58&gt;$B$15,0,IF(P58&lt;25,V58,V58*$S$28/S58)))</f>
      </c>
      <c r="X58" s="721">
        <f>HLOOKUP(O58,'Datos SS'!$K$37:$EP$38,2,0)</f>
      </c>
      <c r="Y58" s="331">
        <f>MAX(INT(Y57)-1,0)</f>
      </c>
      <c r="Z58" s="1018">
        <v>2022</v>
      </c>
      <c r="AA58" s="332">
        <v>300</v>
      </c>
      <c r="AB58" s="332">
        <v>350</v>
      </c>
      <c r="AC58" s="965">
        <v>2237.8912294280813</v>
      </c>
      <c r="AD58" s="331">
        <f>+AC58-W58</f>
      </c>
      <c r="AE58" s="169"/>
      <c r="AF58" s="170"/>
      <c r="AG58" s="169"/>
      <c r="AH58" s="170"/>
      <c r="AI58" s="170"/>
      <c r="AJ58" s="1"/>
      <c r="AK58" s="1"/>
      <c r="AL58" s="170"/>
      <c r="AM58" s="170"/>
    </row>
    <row x14ac:dyDescent="0.25" r="59" customHeight="1" ht="18.75">
      <c r="A59" s="1"/>
      <c r="B59" s="170"/>
      <c r="C59" s="169"/>
      <c r="D59" s="170"/>
      <c r="E59" s="169"/>
      <c r="F59" s="169"/>
      <c r="G59" s="170"/>
      <c r="H59" s="170"/>
      <c r="I59" s="169"/>
      <c r="J59" s="1"/>
      <c r="K59" s="169"/>
      <c r="L59" s="332">
        <v>55</v>
      </c>
      <c r="M59" s="333">
        <f>IF(L59&lt;=$C$22,$B$22,IF(L59&lt;=$C$23+$C$22,$B$23,0))</f>
      </c>
      <c r="N59" s="1"/>
      <c r="O59" s="332">
        <f>IF(Q59=12,O58-1,O58)</f>
      </c>
      <c r="P59" s="332">
        <v>55</v>
      </c>
      <c r="Q59" s="332">
        <f>IF(Q58=1,12,Q58-1)</f>
      </c>
      <c r="R59" s="169"/>
      <c r="S59" s="333">
        <f>HLOOKUP(O59,'Datos SS'!$B$4:$CZZ$16,(Q59+1),0)</f>
      </c>
      <c r="T59" s="333">
        <f>IF(O59=YEAR($B$5),($B$9/12),IF(O59&gt;MIN(YEAR($B$7),YEAR($B$5)),($B$9/12)*(1+HLOOKUP(O59,'Datos SS'!$B$31:$CZZ$32,2,0))^(O59-YEAR($B$5)),T46/(1+HLOOKUP(O59,'Datos SS'!$B$31:$CZZ$32,2,0))))</f>
      </c>
      <c r="U59" s="333">
        <f>IF(O59=2018,IF(Q59&lt;8,HLOOKUP(O59,'Datos SS'!$B$25:$BZZ$27,3,0)/12,HLOOKUP(O59,'Datos SS'!$B$25:$BZZ$26,2,0)/12),HLOOKUP(O59,'Datos SS'!$B$25:$BZZ$26,2,0)/12)</f>
      </c>
      <c r="V59" s="964">
        <f>MAX(X59,MIN(T59,U59))</f>
      </c>
      <c r="W59" s="333">
        <f>IF($E$19="NO",IF(P59&lt;=180,IF(P59&lt;25,V59,V59*$S$28/S59),0),IF(P59&gt;$B$15,0,IF(P59&lt;25,V59,V59*$S$28/S59)))</f>
      </c>
      <c r="X59" s="721">
        <f>HLOOKUP(O59,'Datos SS'!$K$37:$EP$38,2,0)</f>
      </c>
      <c r="Y59" s="331">
        <f>MAX(INT(Y58)-1,0)</f>
      </c>
      <c r="Z59" s="169"/>
      <c r="AA59" s="169"/>
      <c r="AB59" s="169"/>
      <c r="AC59" s="965">
        <v>2239.7476454986527</v>
      </c>
      <c r="AD59" s="331">
        <f>+AC59-W59</f>
      </c>
      <c r="AE59" s="169"/>
      <c r="AF59" s="170"/>
      <c r="AG59" s="169"/>
      <c r="AH59" s="170"/>
      <c r="AI59" s="170"/>
      <c r="AJ59" s="1"/>
      <c r="AK59" s="1"/>
      <c r="AL59" s="170"/>
      <c r="AM59" s="170"/>
    </row>
    <row x14ac:dyDescent="0.25" r="60" customHeight="1" ht="18.75">
      <c r="A60" s="1009" t="s">
        <v>549</v>
      </c>
      <c r="B60" s="1010"/>
      <c r="C60" s="169"/>
      <c r="D60" s="170"/>
      <c r="E60" s="169"/>
      <c r="F60" s="169"/>
      <c r="G60" s="170"/>
      <c r="H60" s="170"/>
      <c r="I60" s="169"/>
      <c r="J60" s="1"/>
      <c r="K60" s="169"/>
      <c r="L60" s="332">
        <v>56</v>
      </c>
      <c r="M60" s="333">
        <f>IF(L60&lt;=$C$22,$B$22,IF(L60&lt;=$C$23+$C$22,$B$23,0))</f>
      </c>
      <c r="N60" s="1"/>
      <c r="O60" s="332">
        <f>IF(Q60=12,O59-1,O59)</f>
      </c>
      <c r="P60" s="332">
        <v>56</v>
      </c>
      <c r="Q60" s="332">
        <f>IF(Q59=1,12,Q59-1)</f>
      </c>
      <c r="R60" s="169"/>
      <c r="S60" s="333">
        <f>HLOOKUP(O60,'Datos SS'!$B$4:$CZZ$16,(Q60+1),0)</f>
      </c>
      <c r="T60" s="333">
        <f>IF(O60=YEAR($B$5),($B$9/12),IF(O60&gt;MIN(YEAR($B$7),YEAR($B$5)),($B$9/12)*(1+HLOOKUP(O60,'Datos SS'!$B$31:$CZZ$32,2,0))^(O60-YEAR($B$5)),T48/(1+HLOOKUP(O60,'Datos SS'!$B$31:$CZZ$32,2,0))))</f>
      </c>
      <c r="U60" s="333">
        <f>IF(O60=2018,IF(Q60&lt;8,HLOOKUP(O60,'Datos SS'!$B$25:$BZZ$27,3,0)/12,HLOOKUP(O60,'Datos SS'!$B$25:$BZZ$26,2,0)/12),HLOOKUP(O60,'Datos SS'!$B$25:$BZZ$26,2,0)/12)</f>
      </c>
      <c r="V60" s="964">
        <f>MAX(X60,MIN(T60,U60))</f>
      </c>
      <c r="W60" s="333">
        <f>IF($E$19="NO",IF(P60&lt;=180,IF(P60&lt;25,V60,V60*$S$28/S60),0),IF(P60&gt;$B$15,0,IF(P60&lt;25,V60,V60*$S$28/S60)))</f>
      </c>
      <c r="X60" s="721">
        <f>HLOOKUP(O60,'Datos SS'!$K$37:$EP$38,2,0)</f>
      </c>
      <c r="Y60" s="331">
        <f>MAX(INT(Y59)-1,0)</f>
      </c>
      <c r="Z60" s="169"/>
      <c r="AA60" s="169"/>
      <c r="AB60" s="169"/>
      <c r="AC60" s="965">
        <v>2241.605601537111</v>
      </c>
      <c r="AD60" s="331">
        <f>+AC60-W60</f>
      </c>
      <c r="AE60" s="169"/>
      <c r="AF60" s="170"/>
      <c r="AG60" s="169"/>
      <c r="AH60" s="170"/>
      <c r="AI60" s="170"/>
      <c r="AJ60" s="1"/>
      <c r="AK60" s="1"/>
      <c r="AL60" s="170"/>
      <c r="AM60" s="170"/>
    </row>
    <row x14ac:dyDescent="0.25" r="61" customHeight="1" ht="18.75">
      <c r="A61" s="1012" t="s">
        <v>550</v>
      </c>
      <c r="B61" s="1014">
        <f>+B35</f>
      </c>
      <c r="C61" s="169"/>
      <c r="D61" s="170"/>
      <c r="E61" s="169"/>
      <c r="F61" s="169"/>
      <c r="G61" s="170"/>
      <c r="H61" s="170"/>
      <c r="I61" s="169"/>
      <c r="J61" s="1"/>
      <c r="K61" s="169"/>
      <c r="L61" s="332">
        <v>57</v>
      </c>
      <c r="M61" s="333">
        <f>IF(L61&lt;=$C$22,$B$22,IF(L61&lt;=$C$23+$C$22,$B$23,0))</f>
      </c>
      <c r="N61" s="1"/>
      <c r="O61" s="332">
        <f>IF(Q61=12,O60-1,O60)</f>
      </c>
      <c r="P61" s="332">
        <v>57</v>
      </c>
      <c r="Q61" s="332">
        <f>IF(Q60=1,12,Q60-1)</f>
      </c>
      <c r="R61" s="169"/>
      <c r="S61" s="333">
        <f>HLOOKUP(O61,'Datos SS'!$B$4:$CZZ$16,(Q61+1),0)</f>
      </c>
      <c r="T61" s="333">
        <f>IF(O61=YEAR($B$5),($B$9/12),IF(O61&gt;MIN(YEAR($B$7),YEAR($B$5)),($B$9/12)*(1+HLOOKUP(O61,'Datos SS'!$B$31:$CZZ$32,2,0))^(O61-YEAR($B$5)),T49/(1+HLOOKUP(O61,'Datos SS'!$B$31:$CZZ$32,2,0))))</f>
      </c>
      <c r="U61" s="333">
        <f>IF(O61=2018,IF(Q61&lt;8,HLOOKUP(O61,'Datos SS'!$B$25:$BZZ$27,3,0)/12,HLOOKUP(O61,'Datos SS'!$B$25:$BZZ$26,2,0)/12),HLOOKUP(O61,'Datos SS'!$B$25:$BZZ$26,2,0)/12)</f>
      </c>
      <c r="V61" s="964">
        <f>MAX(X61,MIN(T61,U61))</f>
      </c>
      <c r="W61" s="333">
        <f>IF($E$19="NO",IF(P61&lt;=180,IF(P61&lt;25,V61,V61*$S$28/S61),0),IF(P61&gt;$B$15,0,IF(P61&lt;25,V61,V61*$S$28/S61)))</f>
      </c>
      <c r="X61" s="721">
        <f>HLOOKUP(O61,'Datos SS'!$K$37:$EP$38,2,0)</f>
      </c>
      <c r="Y61" s="331">
        <f>MAX(INT(Y60)-1,0)</f>
      </c>
      <c r="Z61" s="169"/>
      <c r="AA61" s="169"/>
      <c r="AB61" s="169"/>
      <c r="AC61" s="965">
        <v>2243.465098820918</v>
      </c>
      <c r="AD61" s="331">
        <f>+AC61-W61</f>
      </c>
      <c r="AE61" s="169"/>
      <c r="AF61" s="170"/>
      <c r="AG61" s="169"/>
      <c r="AH61" s="170"/>
      <c r="AI61" s="170"/>
      <c r="AJ61" s="1"/>
      <c r="AK61" s="1"/>
      <c r="AL61" s="170"/>
      <c r="AM61" s="170"/>
    </row>
    <row x14ac:dyDescent="0.25" r="62" customHeight="1" ht="18.75">
      <c r="A62" s="1012" t="s">
        <v>551</v>
      </c>
      <c r="B62" s="335">
        <f>+B46*B48</f>
      </c>
      <c r="C62" s="217"/>
      <c r="D62" s="170"/>
      <c r="E62" s="169"/>
      <c r="F62" s="330"/>
      <c r="G62" s="170"/>
      <c r="H62" s="170"/>
      <c r="I62" s="169"/>
      <c r="J62" s="1"/>
      <c r="K62" s="169"/>
      <c r="L62" s="332">
        <v>58</v>
      </c>
      <c r="M62" s="332">
        <f>IF(L62&lt;=$C$22,$B$22,IF(L62&lt;=$C$23+$C$22,$B$23,0))</f>
      </c>
      <c r="N62" s="1"/>
      <c r="O62" s="332">
        <f>IF(Q62=12,O61-1,O61)</f>
      </c>
      <c r="P62" s="332">
        <v>58</v>
      </c>
      <c r="Q62" s="332">
        <f>IF(Q61=1,12,Q61-1)</f>
      </c>
      <c r="R62" s="169"/>
      <c r="S62" s="333">
        <f>HLOOKUP(O62,'Datos SS'!$B$4:$CZZ$16,(Q62+1),0)</f>
      </c>
      <c r="T62" s="333">
        <f>IF(O62=YEAR($B$5),($B$9/12),IF(O62&gt;MIN(YEAR($B$7),YEAR($B$5)),($B$9/12)*(1+HLOOKUP(O62,'Datos SS'!$B$31:$CZZ$32,2,0))^(O62-YEAR($B$5)),T50/(1+HLOOKUP(O62,'Datos SS'!$B$31:$CZZ$32,2,0))))</f>
      </c>
      <c r="U62" s="333">
        <f>IF(O62=2018,IF(Q62&lt;8,HLOOKUP(O62,'Datos SS'!$B$25:$BZZ$27,3,0)/12,HLOOKUP(O62,'Datos SS'!$B$25:$BZZ$26,2,0)/12),HLOOKUP(O62,'Datos SS'!$B$25:$BZZ$26,2,0)/12)</f>
      </c>
      <c r="V62" s="964">
        <f>MAX(X62,MIN(T62,U62))</f>
      </c>
      <c r="W62" s="333">
        <f>IF($E$19="NO",IF(P62&lt;=180,IF(P62&lt;25,V62,V62*$S$28/S62),0),IF(P62&gt;$B$15,0,IF(P62&lt;25,V62,V62*$S$28/S62)))</f>
      </c>
      <c r="X62" s="721">
        <f>HLOOKUP(O62,'Datos SS'!$K$37:$EP$38,2,0)</f>
      </c>
      <c r="Y62" s="331">
        <f>MAX(INT(Y61)-1,0)</f>
      </c>
      <c r="Z62" s="169"/>
      <c r="AA62" s="169"/>
      <c r="AB62" s="169"/>
      <c r="AC62" s="965">
        <v>2201.3001359103873</v>
      </c>
      <c r="AD62" s="331">
        <f>+AC62-W62</f>
      </c>
      <c r="AE62" s="169"/>
      <c r="AF62" s="170"/>
      <c r="AG62" s="169"/>
      <c r="AH62" s="170"/>
      <c r="AI62" s="170"/>
      <c r="AJ62" s="1"/>
      <c r="AK62" s="1"/>
      <c r="AL62" s="170"/>
      <c r="AM62" s="170"/>
    </row>
    <row x14ac:dyDescent="0.25" r="63" customHeight="1" ht="18.75">
      <c r="A63" s="1012" t="s">
        <v>552</v>
      </c>
      <c r="B63" s="335">
        <f>+B46*(B48+B49)</f>
      </c>
      <c r="C63" s="217"/>
      <c r="D63" s="170"/>
      <c r="E63" s="169"/>
      <c r="F63" s="330"/>
      <c r="G63" s="170"/>
      <c r="H63" s="170"/>
      <c r="I63" s="169"/>
      <c r="J63" s="1"/>
      <c r="K63" s="169"/>
      <c r="L63" s="332">
        <v>59</v>
      </c>
      <c r="M63" s="332">
        <f>IF(L63&lt;=$C$22,$B$22,IF(L63&lt;=$C$23+$C$22,$B$23,0))</f>
      </c>
      <c r="N63" s="1"/>
      <c r="O63" s="332">
        <f>IF(Q63=12,O62-1,O62)</f>
      </c>
      <c r="P63" s="332">
        <v>59</v>
      </c>
      <c r="Q63" s="332">
        <f>IF(Q62=1,12,Q62-1)</f>
      </c>
      <c r="R63" s="169"/>
      <c r="S63" s="333">
        <f>HLOOKUP(O63,'Datos SS'!$B$4:$CZZ$16,(Q63+1),0)</f>
      </c>
      <c r="T63" s="333">
        <f>IF(O63=YEAR($B$5),($B$9/12),IF(O63&gt;MIN(YEAR($B$7),YEAR($B$5)),($B$9/12)*(1+HLOOKUP(O63,'Datos SS'!$B$31:$CZZ$32,2,0))^(O63-YEAR($B$5)),T51/(1+HLOOKUP(O63,'Datos SS'!$B$31:$CZZ$32,2,0))))</f>
      </c>
      <c r="U63" s="333">
        <f>IF(O63=2018,IF(Q63&lt;8,HLOOKUP(O63,'Datos SS'!$B$25:$BZZ$27,3,0)/12,HLOOKUP(O63,'Datos SS'!$B$25:$BZZ$26,2,0)/12),HLOOKUP(O63,'Datos SS'!$B$25:$BZZ$26,2,0)/12)</f>
      </c>
      <c r="V63" s="964">
        <f>MAX(X63,MIN(T63,U63))</f>
      </c>
      <c r="W63" s="333">
        <f>IF($E$19="NO",IF(P63&lt;=180,IF(P63&lt;25,V63,V63*$S$28/S63),0),IF(P63&gt;$B$15,0,IF(P63&lt;25,V63,V63*$S$28/S63)))</f>
      </c>
      <c r="X63" s="721">
        <f>HLOOKUP(O63,'Datos SS'!$K$37:$EP$38,2,0)</f>
      </c>
      <c r="Y63" s="331">
        <f>MAX(INT(Y62)-1,0)</f>
      </c>
      <c r="Z63" s="169"/>
      <c r="AA63" s="169"/>
      <c r="AB63" s="169"/>
      <c r="AC63" s="965">
        <v>2203.1261982742403</v>
      </c>
      <c r="AD63" s="331">
        <f>+AC63-W63</f>
      </c>
      <c r="AE63" s="169"/>
      <c r="AF63" s="170"/>
      <c r="AG63" s="169"/>
      <c r="AH63" s="170"/>
      <c r="AI63" s="170"/>
      <c r="AJ63" s="1"/>
      <c r="AK63" s="1"/>
      <c r="AL63" s="170"/>
      <c r="AM63" s="170"/>
    </row>
    <row x14ac:dyDescent="0.25" r="64" customHeight="1" ht="18.75">
      <c r="A64" s="1012" t="s">
        <v>553</v>
      </c>
      <c r="B64" s="1014">
        <f>+MAX(MIN((B45-B62)/B46,B61),0)</f>
      </c>
      <c r="C64" s="330"/>
      <c r="D64" s="330">
        <f>+B64+B48</f>
      </c>
      <c r="E64" s="217">
        <f>+D64*B46</f>
      </c>
      <c r="F64" s="351"/>
      <c r="G64" s="170"/>
      <c r="H64" s="170"/>
      <c r="I64" s="169"/>
      <c r="J64" s="1"/>
      <c r="K64" s="169"/>
      <c r="L64" s="332">
        <v>60</v>
      </c>
      <c r="M64" s="332">
        <f>IF(L64&lt;=$C$22,$B$22,IF(L64&lt;=$C$23+$C$22,$B$23,0))</f>
      </c>
      <c r="N64" s="1"/>
      <c r="O64" s="332">
        <f>IF(Q64=12,O63-1,O63)</f>
      </c>
      <c r="P64" s="332">
        <v>60</v>
      </c>
      <c r="Q64" s="332">
        <f>IF(Q63=1,12,Q63-1)</f>
      </c>
      <c r="R64" s="169"/>
      <c r="S64" s="333">
        <f>HLOOKUP(O64,'Datos SS'!$B$4:$CZZ$16,(Q64+1),0)</f>
      </c>
      <c r="T64" s="333">
        <f>IF(O64=YEAR($B$5),($B$9/12),IF(O64&gt;MIN(YEAR($B$7),YEAR($B$5)),($B$9/12)*(1+HLOOKUP(O64,'Datos SS'!$B$31:$CZZ$32,2,0))^(O64-YEAR($B$5)),T52/(1+HLOOKUP(O64,'Datos SS'!$B$31:$CZZ$32,2,0))))</f>
      </c>
      <c r="U64" s="333">
        <f>IF(O64=2018,IF(Q64&lt;8,HLOOKUP(O64,'Datos SS'!$B$25:$BZZ$27,3,0)/12,HLOOKUP(O64,'Datos SS'!$B$25:$BZZ$26,2,0)/12),HLOOKUP(O64,'Datos SS'!$B$25:$BZZ$26,2,0)/12)</f>
      </c>
      <c r="V64" s="964">
        <f>MAX(X64,MIN(T64,U64))</f>
      </c>
      <c r="W64" s="333">
        <f>IF($E$19="NO",IF(P64&lt;=180,IF(P64&lt;25,V64,V64*$S$28/S64),0),IF(P64&gt;$B$15,0,IF(P64&lt;25,V64,V64*$S$28/S64)))</f>
      </c>
      <c r="X64" s="721">
        <f>HLOOKUP(O64,'Datos SS'!$K$37:$EP$38,2,0)</f>
      </c>
      <c r="Y64" s="331">
        <f>MAX(INT(Y63)-1,0)</f>
      </c>
      <c r="Z64" s="169"/>
      <c r="AA64" s="169"/>
      <c r="AB64" s="169"/>
      <c r="AC64" s="965">
        <v>2204.953775426424</v>
      </c>
      <c r="AD64" s="331">
        <f>+AC64-W64</f>
      </c>
      <c r="AE64" s="169"/>
      <c r="AF64" s="170"/>
      <c r="AG64" s="169"/>
      <c r="AH64" s="170"/>
      <c r="AI64" s="170"/>
      <c r="AJ64" s="1"/>
      <c r="AK64" s="1"/>
      <c r="AL64" s="170"/>
      <c r="AM64" s="170"/>
    </row>
    <row x14ac:dyDescent="0.25" r="65" customHeight="1" ht="18.75">
      <c r="A65" s="1012" t="s">
        <v>554</v>
      </c>
      <c r="B65" s="335">
        <f>+B64*B46</f>
      </c>
      <c r="C65" s="169"/>
      <c r="D65" s="217"/>
      <c r="E65" s="169"/>
      <c r="F65" s="217"/>
      <c r="G65" s="170"/>
      <c r="H65" s="170"/>
      <c r="I65" s="169"/>
      <c r="J65" s="1"/>
      <c r="K65" s="169"/>
      <c r="L65" s="332">
        <v>61</v>
      </c>
      <c r="M65" s="332">
        <f>IF(L65&lt;=$C$22,$B$22,IF(L65&lt;=$C$23+$C$22,$B$23,0))</f>
      </c>
      <c r="N65" s="1"/>
      <c r="O65" s="332">
        <f>IF(Q65=12,O64-1,O64)</f>
      </c>
      <c r="P65" s="332">
        <v>61</v>
      </c>
      <c r="Q65" s="332">
        <f>IF(Q64=1,12,Q64-1)</f>
      </c>
      <c r="R65" s="169"/>
      <c r="S65" s="333">
        <f>HLOOKUP(O65,'Datos SS'!$B$4:$CZZ$16,(Q65+1),0)</f>
      </c>
      <c r="T65" s="333">
        <f>IF(O65=YEAR($B$5),($B$9/12),IF(O65&gt;MIN(YEAR($B$7),YEAR($B$5)),($B$9/12)*(1+HLOOKUP(O65,'Datos SS'!$B$31:$CZZ$32,2,0))^(O65-YEAR($B$5)),T53/(1+HLOOKUP(O65,'Datos SS'!$B$31:$CZZ$32,2,0))))</f>
      </c>
      <c r="U65" s="333">
        <f>IF(O65=2018,IF(Q65&lt;8,HLOOKUP(O65,'Datos SS'!$B$25:$BZZ$27,3,0)/12,HLOOKUP(O65,'Datos SS'!$B$25:$BZZ$26,2,0)/12),HLOOKUP(O65,'Datos SS'!$B$25:$BZZ$26,2,0)/12)</f>
      </c>
      <c r="V65" s="964">
        <f>MAX(X65,MIN(T65,U65))</f>
      </c>
      <c r="W65" s="333">
        <f>IF($E$19="NO",IF(P65&lt;=180,IF(P65&lt;25,V65,V65*$S$28/S65),0),IF(P65&gt;$B$15,0,IF(P65&lt;25,V65,V65*$S$28/S65)))</f>
      </c>
      <c r="X65" s="721">
        <f>HLOOKUP(O65,'Datos SS'!$K$37:$EP$38,2,0)</f>
      </c>
      <c r="Y65" s="331">
        <f>MAX(INT(Y64)-1,0)</f>
      </c>
      <c r="Z65" s="169"/>
      <c r="AA65" s="169"/>
      <c r="AB65" s="169"/>
      <c r="AC65" s="965">
        <v>2206.782868623511</v>
      </c>
      <c r="AD65" s="331">
        <f>+AC65-W65</f>
      </c>
      <c r="AE65" s="169"/>
      <c r="AF65" s="170"/>
      <c r="AG65" s="169"/>
      <c r="AH65" s="170"/>
      <c r="AI65" s="170"/>
      <c r="AJ65" s="1"/>
      <c r="AK65" s="1"/>
      <c r="AL65" s="170"/>
      <c r="AM65" s="170"/>
    </row>
    <row x14ac:dyDescent="0.25" r="66" customHeight="1" ht="18.75">
      <c r="A66" s="1012" t="s">
        <v>555</v>
      </c>
      <c r="B66" s="1014">
        <f>+ROUNDUP(B61-B64,2)</f>
      </c>
      <c r="C66" s="330"/>
      <c r="D66" s="330">
        <f>+B61-B64</f>
      </c>
      <c r="E66" s="331">
        <f>+B66*B45</f>
      </c>
      <c r="F66" s="330"/>
      <c r="G66" s="170"/>
      <c r="H66" s="170"/>
      <c r="I66" s="169"/>
      <c r="J66" s="1"/>
      <c r="K66" s="169"/>
      <c r="L66" s="332">
        <v>62</v>
      </c>
      <c r="M66" s="332">
        <f>IF(L66&lt;=$C$22,$B$22,IF(L66&lt;=$C$23+$C$22,$B$23,0))</f>
      </c>
      <c r="N66" s="1"/>
      <c r="O66" s="332">
        <f>IF(Q66=12,O65-1,O65)</f>
      </c>
      <c r="P66" s="332">
        <v>62</v>
      </c>
      <c r="Q66" s="332">
        <f>IF(Q65=1,12,Q65-1)</f>
      </c>
      <c r="R66" s="169"/>
      <c r="S66" s="333">
        <f>HLOOKUP(O66,'Datos SS'!$B$4:$CZZ$16,(Q66+1),0)</f>
      </c>
      <c r="T66" s="333">
        <f>IF(O66=YEAR($B$5),($B$9/12),IF(O66&gt;MIN(YEAR($B$7),YEAR($B$5)),($B$9/12)*(1+HLOOKUP(O66,'Datos SS'!$B$31:$CZZ$32,2,0))^(O66-YEAR($B$5)),T54/(1+HLOOKUP(O66,'Datos SS'!$B$31:$CZZ$32,2,0))))</f>
      </c>
      <c r="U66" s="333">
        <f>IF(O66=2018,IF(Q66&lt;8,HLOOKUP(O66,'Datos SS'!$B$25:$BZZ$27,3,0)/12,HLOOKUP(O66,'Datos SS'!$B$25:$BZZ$26,2,0)/12),HLOOKUP(O66,'Datos SS'!$B$25:$BZZ$26,2,0)/12)</f>
      </c>
      <c r="V66" s="964">
        <f>MAX(X66,MIN(T66,U66))</f>
      </c>
      <c r="W66" s="333">
        <f>IF($E$19="NO",IF(P66&lt;=180,IF(P66&lt;25,V66,V66*$S$28/S66),0),IF(P66&gt;$B$15,0,IF(P66&lt;25,V66,V66*$S$28/S66)))</f>
      </c>
      <c r="X66" s="721">
        <f>HLOOKUP(O66,'Datos SS'!$K$37:$EP$38,2,0)</f>
      </c>
      <c r="Y66" s="331">
        <f>MAX(INT(Y65)-1,0)</f>
      </c>
      <c r="Z66" s="169"/>
      <c r="AA66" s="169"/>
      <c r="AB66" s="169"/>
      <c r="AC66" s="965">
        <v>2208.6134791231207</v>
      </c>
      <c r="AD66" s="331">
        <f>+AC66-W66</f>
      </c>
      <c r="AE66" s="169"/>
      <c r="AF66" s="170"/>
      <c r="AG66" s="169"/>
      <c r="AH66" s="170"/>
      <c r="AI66" s="170"/>
      <c r="AJ66" s="1"/>
      <c r="AK66" s="1"/>
      <c r="AL66" s="170"/>
      <c r="AM66" s="170"/>
    </row>
    <row x14ac:dyDescent="0.25" r="67" customHeight="1" ht="18.75">
      <c r="A67" s="1012" t="s">
        <v>556</v>
      </c>
      <c r="B67" s="335">
        <f>+B66*B45</f>
      </c>
      <c r="C67" s="169"/>
      <c r="D67" s="170"/>
      <c r="E67" s="169"/>
      <c r="F67" s="169"/>
      <c r="G67" s="170"/>
      <c r="H67" s="170"/>
      <c r="I67" s="169"/>
      <c r="J67" s="1"/>
      <c r="K67" s="169"/>
      <c r="L67" s="332">
        <v>63</v>
      </c>
      <c r="M67" s="332">
        <f>IF(L67&lt;=$C$22,$B$22,IF(L67&lt;=$C$23+$C$22,$B$23,0))</f>
      </c>
      <c r="N67" s="1"/>
      <c r="O67" s="332">
        <f>IF(Q67=12,O66-1,O66)</f>
      </c>
      <c r="P67" s="332">
        <v>63</v>
      </c>
      <c r="Q67" s="332">
        <f>IF(Q66=1,12,Q66-1)</f>
      </c>
      <c r="R67" s="169"/>
      <c r="S67" s="333">
        <f>HLOOKUP(O67,'Datos SS'!$B$4:$CZZ$16,(Q67+1),0)</f>
      </c>
      <c r="T67" s="333">
        <f>IF(O67=YEAR($B$5),($B$9/12),IF(O67&gt;MIN(YEAR($B$7),YEAR($B$5)),($B$9/12)*(1+HLOOKUP(O67,'Datos SS'!$B$31:$CZZ$32,2,0))^(O67-YEAR($B$5)),T55/(1+HLOOKUP(O67,'Datos SS'!$B$31:$CZZ$32,2,0))))</f>
      </c>
      <c r="U67" s="333">
        <f>IF(O67=2018,IF(Q67&lt;8,HLOOKUP(O67,'Datos SS'!$B$25:$BZZ$27,3,0)/12,HLOOKUP(O67,'Datos SS'!$B$25:$BZZ$26,2,0)/12),HLOOKUP(O67,'Datos SS'!$B$25:$BZZ$26,2,0)/12)</f>
      </c>
      <c r="V67" s="964">
        <f>MAX(X67,MIN(T67,U67))</f>
      </c>
      <c r="W67" s="333">
        <f>IF($E$19="NO",IF(P67&lt;=180,IF(P67&lt;25,V67,V67*$S$28/S67),0),IF(P67&gt;$B$15,0,IF(P67&lt;25,V67,V67*$S$28/S67)))</f>
      </c>
      <c r="X67" s="721">
        <f>HLOOKUP(O67,'Datos SS'!$K$37:$EP$38,2,0)</f>
      </c>
      <c r="Y67" s="331">
        <f>MAX(INT(Y66)-1,0)</f>
      </c>
      <c r="Z67" s="169"/>
      <c r="AA67" s="169"/>
      <c r="AB67" s="169"/>
      <c r="AC67" s="965">
        <v>2210.445608183912</v>
      </c>
      <c r="AD67" s="331">
        <f>+AC67-W67</f>
      </c>
      <c r="AE67" s="169"/>
      <c r="AF67" s="170"/>
      <c r="AG67" s="169"/>
      <c r="AH67" s="170"/>
      <c r="AI67" s="170"/>
      <c r="AJ67" s="1"/>
      <c r="AK67" s="1"/>
      <c r="AL67" s="170"/>
      <c r="AM67" s="170"/>
    </row>
    <row x14ac:dyDescent="0.25" r="68" customHeight="1" ht="18.75">
      <c r="A68" s="1012" t="s">
        <v>557</v>
      </c>
      <c r="B68" s="335">
        <f>+B67+B65</f>
      </c>
      <c r="C68" s="169"/>
      <c r="D68" s="170"/>
      <c r="E68" s="169"/>
      <c r="F68" s="169"/>
      <c r="G68" s="170"/>
      <c r="H68" s="170"/>
      <c r="I68" s="169"/>
      <c r="J68" s="1"/>
      <c r="K68" s="169"/>
      <c r="L68" s="332">
        <v>64</v>
      </c>
      <c r="M68" s="332">
        <f>IF(L68&lt;=$C$22,$B$22,IF(L68&lt;=$C$23+$C$22,$B$23,0))</f>
      </c>
      <c r="N68" s="1"/>
      <c r="O68" s="332">
        <f>IF(Q68=12,O67-1,O67)</f>
      </c>
      <c r="P68" s="332">
        <v>64</v>
      </c>
      <c r="Q68" s="332">
        <f>IF(Q67=1,12,Q67-1)</f>
      </c>
      <c r="R68" s="169"/>
      <c r="S68" s="333">
        <f>HLOOKUP(O68,'Datos SS'!$B$4:$CZZ$16,(Q68+1),0)</f>
      </c>
      <c r="T68" s="333">
        <f>IF(O68=YEAR($B$5),($B$9/12),IF(O68&gt;MIN(YEAR($B$7),YEAR($B$5)),($B$9/12)*(1+HLOOKUP(O68,'Datos SS'!$B$31:$CZZ$32,2,0))^(O68-YEAR($B$5)),T56/(1+HLOOKUP(O68,'Datos SS'!$B$31:$CZZ$32,2,0))))</f>
      </c>
      <c r="U68" s="333">
        <f>IF(O68=2018,IF(Q68&lt;8,HLOOKUP(O68,'Datos SS'!$B$25:$BZZ$27,3,0)/12,HLOOKUP(O68,'Datos SS'!$B$25:$BZZ$26,2,0)/12),HLOOKUP(O68,'Datos SS'!$B$25:$BZZ$26,2,0)/12)</f>
      </c>
      <c r="V68" s="964">
        <f>MAX(X68,MIN(T68,U68))</f>
      </c>
      <c r="W68" s="333">
        <f>IF($E$19="NO",IF(P68&lt;=180,IF(P68&lt;25,V68,V68*$S$28/S68),0),IF(P68&gt;$B$15,0,IF(P68&lt;25,V68,V68*$S$28/S68)))</f>
      </c>
      <c r="X68" s="721">
        <f>HLOOKUP(O68,'Datos SS'!$K$37:$EP$38,2,0)</f>
      </c>
      <c r="Y68" s="331">
        <f>MAX(INT(Y67)-1,0)</f>
      </c>
      <c r="Z68" s="169"/>
      <c r="AA68" s="169"/>
      <c r="AB68" s="169"/>
      <c r="AC68" s="965">
        <v>2212.2792570655897</v>
      </c>
      <c r="AD68" s="331">
        <f>+AC68-W68</f>
      </c>
      <c r="AE68" s="169"/>
      <c r="AF68" s="170"/>
      <c r="AG68" s="169"/>
      <c r="AH68" s="170"/>
      <c r="AI68" s="170"/>
      <c r="AJ68" s="1"/>
      <c r="AK68" s="1"/>
      <c r="AL68" s="170"/>
      <c r="AM68" s="170"/>
    </row>
    <row x14ac:dyDescent="0.25" r="69" customHeight="1" ht="18.75">
      <c r="A69" s="1022" t="s">
        <v>558</v>
      </c>
      <c r="B69" s="1023">
        <f>+MIN(B65+B62,B45)+B67</f>
      </c>
      <c r="C69" s="169"/>
      <c r="D69" s="217">
        <f>+B46*(B48+B64)+B45*B66</f>
      </c>
      <c r="E69" s="169"/>
      <c r="F69" s="169"/>
      <c r="G69" s="170"/>
      <c r="H69" s="170"/>
      <c r="I69" s="169"/>
      <c r="J69" s="1"/>
      <c r="K69" s="169"/>
      <c r="L69" s="332">
        <v>65</v>
      </c>
      <c r="M69" s="332">
        <f>IF(L69&lt;=$C$22,$B$22,IF(L69&lt;=$C$23+$C$22,$B$23,0))</f>
      </c>
      <c r="N69" s="1"/>
      <c r="O69" s="332">
        <f>IF(Q69=12,O68-1,O68)</f>
      </c>
      <c r="P69" s="332">
        <v>65</v>
      </c>
      <c r="Q69" s="332">
        <f>IF(Q68=1,12,Q68-1)</f>
      </c>
      <c r="R69" s="169"/>
      <c r="S69" s="333">
        <f>HLOOKUP(O69,'Datos SS'!$B$4:$CZZ$16,(Q69+1),0)</f>
      </c>
      <c r="T69" s="333">
        <f>IF(O69=YEAR($B$5),($B$9/12),IF(O69&gt;MIN(YEAR($B$7),YEAR($B$5)),($B$9/12)*(1+HLOOKUP(O69,'Datos SS'!$B$31:$CZZ$32,2,0))^(O69-YEAR($B$5)),T57/(1+HLOOKUP(O69,'Datos SS'!$B$31:$CZZ$32,2,0))))</f>
      </c>
      <c r="U69" s="333">
        <f>IF(O69=2018,IF(Q69&lt;8,HLOOKUP(O69,'Datos SS'!$B$25:$BZZ$27,3,0)/12,HLOOKUP(O69,'Datos SS'!$B$25:$BZZ$26,2,0)/12),HLOOKUP(O69,'Datos SS'!$B$25:$BZZ$26,2,0)/12)</f>
      </c>
      <c r="V69" s="964">
        <f>MAX(X69,MIN(T69,U69))</f>
      </c>
      <c r="W69" s="333">
        <f>IF($E$19="NO",IF(P69&lt;=180,IF(P69&lt;25,V69,V69*$S$28/S69),0),IF(P69&gt;$B$15,0,IF(P69&lt;25,V69,V69*$S$28/S69)))</f>
      </c>
      <c r="X69" s="721">
        <f>HLOOKUP(O69,'Datos SS'!$K$37:$EP$38,2,0)</f>
      </c>
      <c r="Y69" s="331">
        <f>MAX(INT(Y68)-1,0)</f>
      </c>
      <c r="Z69" s="169"/>
      <c r="AA69" s="169"/>
      <c r="AB69" s="169"/>
      <c r="AC69" s="965">
        <v>2214.1144270289033</v>
      </c>
      <c r="AD69" s="331">
        <f>+AC69-W69</f>
      </c>
      <c r="AE69" s="169"/>
      <c r="AF69" s="170"/>
      <c r="AG69" s="169"/>
      <c r="AH69" s="170"/>
      <c r="AI69" s="170"/>
      <c r="AJ69" s="1"/>
      <c r="AK69" s="1"/>
      <c r="AL69" s="170"/>
      <c r="AM69" s="170"/>
    </row>
    <row x14ac:dyDescent="0.25" r="70" customHeight="1" ht="18.75">
      <c r="A70" s="1012" t="s">
        <v>559</v>
      </c>
      <c r="B70" s="335">
        <f>+HLOOKUP(YEAR('Simulador - 1º Pilar'!G20),'Datos SS'!$B$25:$DM$26,2,0)/14</f>
      </c>
      <c r="C70" s="169"/>
      <c r="D70" s="170"/>
      <c r="E70" s="169"/>
      <c r="F70" s="169"/>
      <c r="G70" s="170"/>
      <c r="H70" s="170"/>
      <c r="I70" s="169"/>
      <c r="J70" s="1"/>
      <c r="K70" s="169"/>
      <c r="L70" s="332">
        <v>66</v>
      </c>
      <c r="M70" s="332">
        <f>IF(L70&lt;=$C$22,$B$22,IF(L70&lt;=$C$23+$C$22,$B$23,0))</f>
      </c>
      <c r="N70" s="1"/>
      <c r="O70" s="332">
        <f>IF(Q70=12,O69-1,O69)</f>
      </c>
      <c r="P70" s="332">
        <v>66</v>
      </c>
      <c r="Q70" s="332">
        <f>IF(Q69=1,12,Q69-1)</f>
      </c>
      <c r="R70" s="169"/>
      <c r="S70" s="333">
        <f>HLOOKUP(O70,'Datos SS'!$B$4:$CZZ$16,(Q70+1),0)</f>
      </c>
      <c r="T70" s="333">
        <f>IF(O70=YEAR($B$5),($B$9/12),IF(O70&gt;MIN(YEAR($B$7),YEAR($B$5)),($B$9/12)*(1+HLOOKUP(O70,'Datos SS'!$B$31:$CZZ$32,2,0))^(O70-YEAR($B$5)),T58/(1+HLOOKUP(O70,'Datos SS'!$B$31:$CZZ$32,2,0))))</f>
      </c>
      <c r="U70" s="333">
        <f>IF(O70=2018,IF(Q70&lt;8,HLOOKUP(O70,'Datos SS'!$B$25:$BZZ$27,3,0)/12,HLOOKUP(O70,'Datos SS'!$B$25:$BZZ$26,2,0)/12),HLOOKUP(O70,'Datos SS'!$B$25:$BZZ$26,2,0)/12)</f>
      </c>
      <c r="V70" s="964">
        <f>MAX(X70,MIN(T70,U70))</f>
      </c>
      <c r="W70" s="333">
        <f>IF($E$19="NO",IF(P70&lt;=180,IF(P70&lt;25,V70,V70*$S$28/S70),0),IF(P70&gt;$B$15,0,IF(P70&lt;25,V70,V70*$S$28/S70)))</f>
      </c>
      <c r="X70" s="721">
        <f>HLOOKUP(O70,'Datos SS'!$K$37:$EP$38,2,0)</f>
      </c>
      <c r="Y70" s="331">
        <f>MAX(INT(Y69)-1,0)</f>
      </c>
      <c r="Z70" s="169"/>
      <c r="AA70" s="169"/>
      <c r="AB70" s="169"/>
      <c r="AC70" s="965">
        <v>2215.9511193356475</v>
      </c>
      <c r="AD70" s="331">
        <f>+AC70-W70</f>
      </c>
      <c r="AE70" s="169"/>
      <c r="AF70" s="170"/>
      <c r="AG70" s="169"/>
      <c r="AH70" s="170"/>
      <c r="AI70" s="170"/>
      <c r="AJ70" s="1"/>
      <c r="AK70" s="1"/>
      <c r="AL70" s="170"/>
      <c r="AM70" s="170"/>
    </row>
    <row x14ac:dyDescent="0.25" r="71" customHeight="1" ht="18.75">
      <c r="A71" s="1012" t="s">
        <v>560</v>
      </c>
      <c r="B71" s="1021">
        <f>+MIN(B69,B70)</f>
      </c>
      <c r="C71" s="1024"/>
      <c r="D71" s="1024"/>
      <c r="E71" s="169"/>
      <c r="F71" s="169"/>
      <c r="G71" s="170"/>
      <c r="H71" s="170"/>
      <c r="I71" s="169"/>
      <c r="J71" s="1"/>
      <c r="K71" s="169"/>
      <c r="L71" s="332">
        <v>67</v>
      </c>
      <c r="M71" s="332">
        <f>IF(L71&lt;=$C$22,$B$22,IF(L71&lt;=$C$23+$C$22,$B$23,0))</f>
      </c>
      <c r="N71" s="1"/>
      <c r="O71" s="332">
        <f>IF(Q71=12,O70-1,O70)</f>
      </c>
      <c r="P71" s="332">
        <v>67</v>
      </c>
      <c r="Q71" s="332">
        <f>IF(Q70=1,12,Q70-1)</f>
      </c>
      <c r="R71" s="169"/>
      <c r="S71" s="333">
        <f>HLOOKUP(O71,'Datos SS'!$B$4:$CZZ$16,(Q71+1),0)</f>
      </c>
      <c r="T71" s="333">
        <f>IF(O71=YEAR($B$5),($B$9/12),IF(O71&gt;MIN(YEAR($B$7),YEAR($B$5)),($B$9/12)*(1+HLOOKUP(O71,'Datos SS'!$B$31:$CZZ$32,2,0))^(O71-YEAR($B$5)),T59/(1+HLOOKUP(O71,'Datos SS'!$B$31:$CZZ$32,2,0))))</f>
      </c>
      <c r="U71" s="333">
        <f>IF(O71=2018,IF(Q71&lt;8,HLOOKUP(O71,'Datos SS'!$B$25:$BZZ$27,3,0)/12,HLOOKUP(O71,'Datos SS'!$B$25:$BZZ$26,2,0)/12),HLOOKUP(O71,'Datos SS'!$B$25:$BZZ$26,2,0)/12)</f>
      </c>
      <c r="V71" s="964">
        <f>MAX(X71,MIN(T71,U71))</f>
      </c>
      <c r="W71" s="333">
        <f>IF($E$19="NO",IF(P71&lt;=180,IF(P71&lt;25,V71,V71*$S$28/S71),0),IF(P71&gt;$B$15,0,IF(P71&lt;25,V71,V71*$S$28/S71)))</f>
      </c>
      <c r="X71" s="721">
        <f>HLOOKUP(O71,'Datos SS'!$K$37:$EP$38,2,0)</f>
      </c>
      <c r="Y71" s="331">
        <f>MAX(INT(Y70)-1,0)</f>
      </c>
      <c r="Z71" s="169"/>
      <c r="AA71" s="169"/>
      <c r="AB71" s="169"/>
      <c r="AC71" s="965">
        <v>2217.7893352486644</v>
      </c>
      <c r="AD71" s="331">
        <f>+AC71-W71</f>
      </c>
      <c r="AE71" s="169"/>
      <c r="AF71" s="170"/>
      <c r="AG71" s="169"/>
      <c r="AH71" s="170"/>
      <c r="AI71" s="170"/>
      <c r="AJ71" s="1"/>
      <c r="AK71" s="1"/>
      <c r="AL71" s="170"/>
      <c r="AM71" s="170"/>
    </row>
    <row x14ac:dyDescent="0.25" r="72" customHeight="1" ht="18.75">
      <c r="A72" s="1"/>
      <c r="B72" s="170"/>
      <c r="C72" s="169"/>
      <c r="D72" s="170"/>
      <c r="E72" s="169"/>
      <c r="F72" s="169"/>
      <c r="G72" s="170"/>
      <c r="H72" s="170"/>
      <c r="I72" s="169"/>
      <c r="J72" s="1"/>
      <c r="K72" s="169"/>
      <c r="L72" s="332">
        <v>68</v>
      </c>
      <c r="M72" s="332">
        <f>IF(L72&lt;=$C$22,$B$22,IF(L72&lt;=$C$23+$C$22,$B$23,0))</f>
      </c>
      <c r="N72" s="1"/>
      <c r="O72" s="332">
        <f>IF(Q72=12,O71-1,O71)</f>
      </c>
      <c r="P72" s="332">
        <v>68</v>
      </c>
      <c r="Q72" s="332">
        <f>IF(Q71=1,12,Q71-1)</f>
      </c>
      <c r="R72" s="169"/>
      <c r="S72" s="333">
        <f>HLOOKUP(O72,'Datos SS'!$B$4:$CZZ$16,(Q72+1),0)</f>
      </c>
      <c r="T72" s="333">
        <f>IF(O72=YEAR($B$5),($B$9/12),IF(O72&gt;MIN(YEAR($B$7),YEAR($B$5)),($B$9/12)*(1+HLOOKUP(O72,'Datos SS'!$B$31:$CZZ$32,2,0))^(O72-YEAR($B$5)),T60/(1+HLOOKUP(O72,'Datos SS'!$B$31:$CZZ$32,2,0))))</f>
      </c>
      <c r="U72" s="333">
        <f>IF(O72=2018,IF(Q72&lt;8,HLOOKUP(O72,'Datos SS'!$B$25:$BZZ$27,3,0)/12,HLOOKUP(O72,'Datos SS'!$B$25:$BZZ$26,2,0)/12),HLOOKUP(O72,'Datos SS'!$B$25:$BZZ$26,2,0)/12)</f>
      </c>
      <c r="V72" s="964">
        <f>MAX(X72,MIN(T72,U72))</f>
      </c>
      <c r="W72" s="333">
        <f>IF($E$19="NO",IF(P72&lt;=180,IF(P72&lt;25,V72,V72*$S$28/S72),0),IF(P72&gt;$B$15,0,IF(P72&lt;25,V72,V72*$S$28/S72)))</f>
      </c>
      <c r="X72" s="721">
        <f>HLOOKUP(O72,'Datos SS'!$K$37:$EP$38,2,0)</f>
      </c>
      <c r="Y72" s="331">
        <f>MAX(INT(Y71)-1,0)</f>
      </c>
      <c r="Z72" s="169"/>
      <c r="AA72" s="169"/>
      <c r="AB72" s="169"/>
      <c r="AC72" s="965">
        <v>2219.629076031844</v>
      </c>
      <c r="AD72" s="331">
        <f>+AC72-W72</f>
      </c>
      <c r="AE72" s="169"/>
      <c r="AF72" s="170"/>
      <c r="AG72" s="169"/>
      <c r="AH72" s="170"/>
      <c r="AI72" s="170"/>
      <c r="AJ72" s="1"/>
      <c r="AK72" s="1"/>
      <c r="AL72" s="170"/>
      <c r="AM72" s="170"/>
    </row>
    <row x14ac:dyDescent="0.25" r="73" customHeight="1" ht="18.75">
      <c r="A73" s="1"/>
      <c r="B73" s="170"/>
      <c r="C73" s="169"/>
      <c r="D73" s="170"/>
      <c r="E73" s="169"/>
      <c r="F73" s="169"/>
      <c r="G73" s="170"/>
      <c r="H73" s="170"/>
      <c r="I73" s="169"/>
      <c r="J73" s="1"/>
      <c r="K73" s="169"/>
      <c r="L73" s="332">
        <v>69</v>
      </c>
      <c r="M73" s="332">
        <f>IF(L73&lt;=$C$22,$B$22,IF(L73&lt;=$C$23+$C$22,$B$23,0))</f>
      </c>
      <c r="N73" s="1"/>
      <c r="O73" s="332">
        <f>IF(Q73=12,O72-1,O72)</f>
      </c>
      <c r="P73" s="332">
        <v>69</v>
      </c>
      <c r="Q73" s="332">
        <f>IF(Q72=1,12,Q72-1)</f>
      </c>
      <c r="R73" s="169"/>
      <c r="S73" s="333">
        <f>HLOOKUP(O73,'Datos SS'!$B$4:$CZZ$16,(Q73+1),0)</f>
      </c>
      <c r="T73" s="333">
        <f>IF(O73=YEAR($B$5),($B$9/12),IF(O73&gt;MIN(YEAR($B$7),YEAR($B$5)),($B$9/12)*(1+HLOOKUP(O73,'Datos SS'!$B$31:$CZZ$32,2,0))^(O73-YEAR($B$5)),T61/(1+HLOOKUP(O73,'Datos SS'!$B$31:$CZZ$32,2,0))))</f>
      </c>
      <c r="U73" s="333">
        <f>IF(O73=2018,IF(Q73&lt;8,HLOOKUP(O73,'Datos SS'!$B$25:$BZZ$27,3,0)/12,HLOOKUP(O73,'Datos SS'!$B$25:$BZZ$26,2,0)/12),HLOOKUP(O73,'Datos SS'!$B$25:$BZZ$26,2,0)/12)</f>
      </c>
      <c r="V73" s="964">
        <f>MAX(X73,MIN(T73,U73))</f>
      </c>
      <c r="W73" s="333">
        <f>IF($E$19="NO",IF(P73&lt;=180,IF(P73&lt;25,V73,V73*$S$28/S73),0),IF(P73&gt;$B$15,0,IF(P73&lt;25,V73,V73*$S$28/S73)))</f>
      </c>
      <c r="X73" s="721">
        <f>HLOOKUP(O73,'Datos SS'!$K$37:$EP$38,2,0)</f>
      </c>
      <c r="Y73" s="331">
        <f>MAX(INT(Y72)-1,0)</f>
      </c>
      <c r="Z73" s="169"/>
      <c r="AA73" s="169"/>
      <c r="AB73" s="169"/>
      <c r="AC73" s="965">
        <v>2221.4703429501233</v>
      </c>
      <c r="AD73" s="331">
        <f>+AC73-W73</f>
      </c>
      <c r="AE73" s="169"/>
      <c r="AF73" s="170"/>
      <c r="AG73" s="169"/>
      <c r="AH73" s="170"/>
      <c r="AI73" s="170"/>
      <c r="AJ73" s="1"/>
      <c r="AK73" s="1"/>
      <c r="AL73" s="170"/>
      <c r="AM73" s="170"/>
    </row>
    <row x14ac:dyDescent="0.25" r="74" customHeight="1" ht="18.75">
      <c r="A74" s="1009" t="s">
        <v>561</v>
      </c>
      <c r="B74" s="1010"/>
      <c r="C74" s="169"/>
      <c r="D74" s="170"/>
      <c r="E74" s="169"/>
      <c r="F74" s="169"/>
      <c r="G74" s="170"/>
      <c r="H74" s="170"/>
      <c r="I74" s="169"/>
      <c r="J74" s="1"/>
      <c r="K74" s="169"/>
      <c r="L74" s="332">
        <v>70</v>
      </c>
      <c r="M74" s="332">
        <f>IF(L74&lt;=$C$22,$B$22,IF(L74&lt;=$C$23+$C$22,$B$23,0))</f>
      </c>
      <c r="N74" s="1"/>
      <c r="O74" s="332">
        <f>IF(Q74=12,O73-1,O73)</f>
      </c>
      <c r="P74" s="332">
        <v>70</v>
      </c>
      <c r="Q74" s="332">
        <f>IF(Q73=1,12,Q73-1)</f>
      </c>
      <c r="R74" s="169"/>
      <c r="S74" s="333">
        <f>HLOOKUP(O74,'Datos SS'!$B$4:$CZZ$16,(Q74+1),0)</f>
      </c>
      <c r="T74" s="333">
        <f>IF(O74=YEAR($B$5),($B$9/12),IF(O74&gt;MIN(YEAR($B$7),YEAR($B$5)),($B$9/12)*(1+HLOOKUP(O74,'Datos SS'!$B$31:$CZZ$32,2,0))^(O74-YEAR($B$5)),T62/(1+HLOOKUP(O74,'Datos SS'!$B$31:$CZZ$32,2,0))))</f>
      </c>
      <c r="U74" s="333">
        <f>IF(O74=2018,IF(Q74&lt;8,HLOOKUP(O74,'Datos SS'!$B$25:$BZZ$27,3,0)/12,HLOOKUP(O74,'Datos SS'!$B$25:$BZZ$26,2,0)/12),HLOOKUP(O74,'Datos SS'!$B$25:$BZZ$26,2,0)/12)</f>
      </c>
      <c r="V74" s="964">
        <f>MAX(X74,MIN(T74,U74))</f>
      </c>
      <c r="W74" s="333">
        <f>IF($E$19="NO",IF(P74&lt;=180,IF(P74&lt;25,V74,V74*$S$28/S74),0),IF(P74&gt;$B$15,0,IF(P74&lt;25,V74,V74*$S$28/S74)))</f>
      </c>
      <c r="X74" s="721">
        <f>HLOOKUP(O74,'Datos SS'!$K$37:$EP$38,2,0)</f>
      </c>
      <c r="Y74" s="331">
        <f>MAX(INT(Y73)-1,0)</f>
      </c>
      <c r="Z74" s="169"/>
      <c r="AA74" s="169"/>
      <c r="AB74" s="169"/>
      <c r="AC74" s="965">
        <v>2179.7187620289114</v>
      </c>
      <c r="AD74" s="331">
        <f>+AC74-W74</f>
      </c>
      <c r="AE74" s="169"/>
      <c r="AF74" s="170"/>
      <c r="AG74" s="169"/>
      <c r="AH74" s="170"/>
      <c r="AI74" s="170"/>
      <c r="AJ74" s="1"/>
      <c r="AK74" s="1"/>
      <c r="AL74" s="170"/>
      <c r="AM74" s="170"/>
    </row>
    <row x14ac:dyDescent="0.25" r="75" customHeight="1" ht="18.75">
      <c r="A75" s="1012" t="s">
        <v>562</v>
      </c>
      <c r="B75" s="335">
        <f>+C7</f>
      </c>
      <c r="C75" s="169"/>
      <c r="D75" s="170"/>
      <c r="E75" s="169"/>
      <c r="F75" s="169"/>
      <c r="G75" s="170"/>
      <c r="H75" s="170"/>
      <c r="I75" s="169"/>
      <c r="J75" s="1"/>
      <c r="K75" s="169"/>
      <c r="L75" s="332">
        <v>71</v>
      </c>
      <c r="M75" s="332">
        <f>IF(L75&lt;=$C$22,$B$22,IF(L75&lt;=$C$23+$C$22,$B$23,0))</f>
      </c>
      <c r="N75" s="1"/>
      <c r="O75" s="332">
        <f>IF(Q75=12,O74-1,O74)</f>
      </c>
      <c r="P75" s="332">
        <v>71</v>
      </c>
      <c r="Q75" s="332">
        <f>IF(Q74=1,12,Q74-1)</f>
      </c>
      <c r="R75" s="169"/>
      <c r="S75" s="333">
        <f>HLOOKUP(O75,'Datos SS'!$B$4:$CZZ$16,(Q75+1),0)</f>
      </c>
      <c r="T75" s="333">
        <f>IF(O75=YEAR($B$5),($B$9/12),IF(O75&gt;MIN(YEAR($B$7),YEAR($B$5)),($B$9/12)*(1+HLOOKUP(O75,'Datos SS'!$B$31:$CZZ$32,2,0))^(O75-YEAR($B$5)),T63/(1+HLOOKUP(O75,'Datos SS'!$B$31:$CZZ$32,2,0))))</f>
      </c>
      <c r="U75" s="333">
        <f>IF(O75=2018,IF(Q75&lt;8,HLOOKUP(O75,'Datos SS'!$B$25:$BZZ$27,3,0)/12,HLOOKUP(O75,'Datos SS'!$B$25:$BZZ$26,2,0)/12),HLOOKUP(O75,'Datos SS'!$B$25:$BZZ$26,2,0)/12)</f>
      </c>
      <c r="V75" s="964">
        <f>MAX(X75,MIN(T75,U75))</f>
      </c>
      <c r="W75" s="333">
        <f>IF($E$19="NO",IF(P75&lt;=180,IF(P75&lt;25,V75,V75*$S$28/S75),0),IF(P75&gt;$B$15,0,IF(P75&lt;25,V75,V75*$S$28/S75)))</f>
      </c>
      <c r="X75" s="721">
        <f>HLOOKUP(O75,'Datos SS'!$K$37:$EP$38,2,0)</f>
      </c>
      <c r="Y75" s="331">
        <f>MAX(INT(Y74)-1,0)</f>
      </c>
      <c r="Z75" s="169"/>
      <c r="AA75" s="169"/>
      <c r="AB75" s="169"/>
      <c r="AC75" s="965">
        <v>2181.52692182057</v>
      </c>
      <c r="AD75" s="331">
        <f>+AC75-W75</f>
      </c>
      <c r="AE75" s="169"/>
      <c r="AF75" s="170"/>
      <c r="AG75" s="169"/>
      <c r="AH75" s="170"/>
      <c r="AI75" s="170"/>
      <c r="AJ75" s="1"/>
      <c r="AK75" s="1"/>
      <c r="AL75" s="170"/>
      <c r="AM75" s="170"/>
    </row>
    <row x14ac:dyDescent="0.25" r="76" customHeight="1" ht="18.75">
      <c r="A76" s="1012" t="s">
        <v>563</v>
      </c>
      <c r="B76" s="335">
        <f>+MIN(B45,B46*B48)*14</f>
      </c>
      <c r="C76" s="169"/>
      <c r="D76" s="170"/>
      <c r="E76" s="169"/>
      <c r="F76" s="169"/>
      <c r="G76" s="170"/>
      <c r="H76" s="170"/>
      <c r="I76" s="169"/>
      <c r="J76" s="1"/>
      <c r="K76" s="169"/>
      <c r="L76" s="332">
        <v>72</v>
      </c>
      <c r="M76" s="332">
        <f>IF(L76&lt;=$C$22,$B$22,IF(L76&lt;=$C$23+$C$22,$B$23,0))</f>
      </c>
      <c r="N76" s="1"/>
      <c r="O76" s="332">
        <f>IF(Q76=12,O75-1,O75)</f>
      </c>
      <c r="P76" s="332">
        <v>72</v>
      </c>
      <c r="Q76" s="332">
        <f>IF(Q75=1,12,Q75-1)</f>
      </c>
      <c r="R76" s="169"/>
      <c r="S76" s="333">
        <f>HLOOKUP(O76,'Datos SS'!$B$4:$CZZ$16,(Q76+1),0)</f>
      </c>
      <c r="T76" s="333">
        <f>IF(O76=YEAR($B$5),($B$9/12),IF(O76&gt;MIN(YEAR($B$7),YEAR($B$5)),($B$9/12)*(1+HLOOKUP(O76,'Datos SS'!$B$31:$CZZ$32,2,0))^(O76-YEAR($B$5)),T64/(1+HLOOKUP(O76,'Datos SS'!$B$31:$CZZ$32,2,0))))</f>
      </c>
      <c r="U76" s="333">
        <f>IF(O76=2018,IF(Q76&lt;8,HLOOKUP(O76,'Datos SS'!$B$25:$BZZ$27,3,0)/12,HLOOKUP(O76,'Datos SS'!$B$25:$BZZ$26,2,0)/12),HLOOKUP(O76,'Datos SS'!$B$25:$BZZ$26,2,0)/12)</f>
      </c>
      <c r="V76" s="964">
        <f>MAX(X76,MIN(T76,U76))</f>
      </c>
      <c r="W76" s="333">
        <f>IF($E$19="NO",IF(P76&lt;=180,IF(P76&lt;25,V76,V76*$S$28/S76),0),IF(P76&gt;$B$15,0,IF(P76&lt;25,V76,V76*$S$28/S76)))</f>
      </c>
      <c r="X76" s="721">
        <f>HLOOKUP(O76,'Datos SS'!$K$37:$EP$38,2,0)</f>
      </c>
      <c r="Y76" s="331">
        <f>MAX(INT(Y75)-1,0)</f>
      </c>
      <c r="Z76" s="169"/>
      <c r="AA76" s="169"/>
      <c r="AB76" s="169"/>
      <c r="AC76" s="965">
        <v>2183.3365815496923</v>
      </c>
      <c r="AD76" s="331">
        <f>+AC76-W76</f>
      </c>
      <c r="AE76" s="169"/>
      <c r="AF76" s="170"/>
      <c r="AG76" s="169"/>
      <c r="AH76" s="170"/>
      <c r="AI76" s="170"/>
      <c r="AJ76" s="1"/>
      <c r="AK76" s="1"/>
      <c r="AL76" s="170"/>
      <c r="AM76" s="170"/>
    </row>
    <row x14ac:dyDescent="0.25" r="77" customHeight="1" ht="18.75">
      <c r="A77" s="1012" t="s">
        <v>564</v>
      </c>
      <c r="B77" s="335">
        <f>+IF(B75&lt;44.5,800*(B76/500)^(1/1.65),880*(B76/500)^(1/1.65))</f>
      </c>
      <c r="C77" s="169"/>
      <c r="D77" s="170"/>
      <c r="E77" s="169"/>
      <c r="F77" s="169"/>
      <c r="G77" s="170"/>
      <c r="H77" s="170"/>
      <c r="I77" s="169"/>
      <c r="J77" s="1"/>
      <c r="K77" s="169"/>
      <c r="L77" s="332">
        <v>73</v>
      </c>
      <c r="M77" s="332">
        <f>IF(L77&lt;=$C$22,$B$22,IF(L77&lt;=$C$23+$C$22,$B$23,0))</f>
      </c>
      <c r="N77" s="1"/>
      <c r="O77" s="332">
        <f>IF(Q77=12,O76-1,O76)</f>
      </c>
      <c r="P77" s="332">
        <v>73</v>
      </c>
      <c r="Q77" s="332">
        <f>IF(Q76=1,12,Q76-1)</f>
      </c>
      <c r="R77" s="169"/>
      <c r="S77" s="333">
        <f>HLOOKUP(O77,'Datos SS'!$B$4:$CZZ$16,(Q77+1),0)</f>
      </c>
      <c r="T77" s="333">
        <f>IF(O77=YEAR($B$5),($B$9/12),IF(O77&gt;MIN(YEAR($B$7),YEAR($B$5)),($B$9/12)*(1+HLOOKUP(O77,'Datos SS'!$B$31:$CZZ$32,2,0))^(O77-YEAR($B$5)),T65/(1+HLOOKUP(O77,'Datos SS'!$B$31:$CZZ$32,2,0))))</f>
      </c>
      <c r="U77" s="333">
        <f>IF(O77=2018,IF(Q77&lt;8,HLOOKUP(O77,'Datos SS'!$B$25:$BZZ$27,3,0)/12,HLOOKUP(O77,'Datos SS'!$B$25:$BZZ$26,2,0)/12),HLOOKUP(O77,'Datos SS'!$B$25:$BZZ$26,2,0)/12)</f>
      </c>
      <c r="V77" s="964">
        <f>MAX(X77,MIN(T77,U77))</f>
      </c>
      <c r="W77" s="333">
        <f>IF($E$19="NO",IF(P77&lt;=180,IF(P77&lt;25,V77,V77*$S$28/S77),0),IF(P77&gt;$B$15,0,IF(P77&lt;25,V77,V77*$S$28/S77)))</f>
      </c>
      <c r="X77" s="721">
        <f>HLOOKUP(O77,'Datos SS'!$K$37:$EP$38,2,0)</f>
      </c>
      <c r="Y77" s="331">
        <f>MAX(INT(Y76)-1,0)</f>
      </c>
      <c r="Z77" s="169"/>
      <c r="AA77" s="169"/>
      <c r="AB77" s="169"/>
      <c r="AC77" s="965">
        <v>2185.147742460534</v>
      </c>
      <c r="AD77" s="331">
        <f>+AC77-W77</f>
      </c>
      <c r="AE77" s="169"/>
      <c r="AF77" s="170"/>
      <c r="AG77" s="169"/>
      <c r="AH77" s="170"/>
      <c r="AI77" s="170"/>
      <c r="AJ77" s="1"/>
      <c r="AK77" s="1"/>
      <c r="AL77" s="170"/>
      <c r="AM77" s="170"/>
    </row>
    <row x14ac:dyDescent="0.25" r="78" customHeight="1" ht="18.75">
      <c r="A78" s="1012" t="s">
        <v>565</v>
      </c>
      <c r="B78" s="1021">
        <f>+B77*'Simulador - 1º Pilar'!$H$93</f>
      </c>
      <c r="C78" s="169"/>
      <c r="D78" s="170"/>
      <c r="E78" s="169"/>
      <c r="F78" s="169"/>
      <c r="G78" s="170"/>
      <c r="H78" s="170"/>
      <c r="I78" s="169"/>
      <c r="J78" s="1"/>
      <c r="K78" s="169"/>
      <c r="L78" s="332">
        <v>74</v>
      </c>
      <c r="M78" s="332">
        <f>IF(L78&lt;=$C$22,$B$22,IF(L78&lt;=$C$23+$C$22,$B$23,0))</f>
      </c>
      <c r="N78" s="1"/>
      <c r="O78" s="332">
        <f>IF(Q78=12,O77-1,O77)</f>
      </c>
      <c r="P78" s="332">
        <v>74</v>
      </c>
      <c r="Q78" s="332">
        <f>IF(Q77=1,12,Q77-1)</f>
      </c>
      <c r="R78" s="169"/>
      <c r="S78" s="333">
        <f>HLOOKUP(O78,'Datos SS'!$B$4:$CZZ$16,(Q78+1),0)</f>
      </c>
      <c r="T78" s="333">
        <f>IF(O78=YEAR($B$5),($B$9/12),IF(O78&gt;MIN(YEAR($B$7),YEAR($B$5)),($B$9/12)*(1+HLOOKUP(O78,'Datos SS'!$B$31:$CZZ$32,2,0))^(O78-YEAR($B$5)),T66/(1+HLOOKUP(O78,'Datos SS'!$B$31:$CZZ$32,2,0))))</f>
      </c>
      <c r="U78" s="333">
        <f>IF(O78=2018,IF(Q78&lt;8,HLOOKUP(O78,'Datos SS'!$B$25:$BZZ$27,3,0)/12,HLOOKUP(O78,'Datos SS'!$B$25:$BZZ$26,2,0)/12),HLOOKUP(O78,'Datos SS'!$B$25:$BZZ$26,2,0)/12)</f>
      </c>
      <c r="V78" s="964">
        <f>MAX(X78,MIN(T78,U78))</f>
      </c>
      <c r="W78" s="333">
        <f>IF($E$19="NO",IF(P78&lt;=180,IF(P78&lt;25,V78,V78*$S$28/S78),0),IF(P78&gt;$B$15,0,IF(P78&lt;25,V78,V78*$S$28/S78)))</f>
      </c>
      <c r="X78" s="721">
        <f>HLOOKUP(O78,'Datos SS'!$K$37:$EP$38,2,0)</f>
      </c>
      <c r="Y78" s="331">
        <f>MAX(INT(Y77)-1,0)</f>
      </c>
      <c r="Z78" s="169"/>
      <c r="AA78" s="169"/>
      <c r="AB78" s="169"/>
      <c r="AC78" s="965">
        <v>2186.9604057983825</v>
      </c>
      <c r="AD78" s="331">
        <f>+AC78-W78</f>
      </c>
      <c r="AE78" s="169"/>
      <c r="AF78" s="170"/>
      <c r="AG78" s="169"/>
      <c r="AH78" s="170"/>
      <c r="AI78" s="170"/>
      <c r="AJ78" s="1"/>
      <c r="AK78" s="1"/>
      <c r="AL78" s="170"/>
      <c r="AM78" s="170"/>
    </row>
    <row x14ac:dyDescent="0.25" r="79" customHeight="1" ht="18.75">
      <c r="A79" s="1"/>
      <c r="B79" s="170"/>
      <c r="C79" s="169"/>
      <c r="D79" s="170"/>
      <c r="E79" s="169"/>
      <c r="F79" s="169"/>
      <c r="G79" s="170"/>
      <c r="H79" s="170"/>
      <c r="I79" s="169"/>
      <c r="J79" s="1"/>
      <c r="K79" s="169"/>
      <c r="L79" s="332">
        <v>75</v>
      </c>
      <c r="M79" s="332">
        <f>IF(L79&lt;=$C$22,$B$22,IF(L79&lt;=$C$23+$C$22,$B$23,0))</f>
      </c>
      <c r="N79" s="1"/>
      <c r="O79" s="332">
        <f>IF(Q79=12,O78-1,O78)</f>
      </c>
      <c r="P79" s="332">
        <v>75</v>
      </c>
      <c r="Q79" s="332">
        <f>IF(Q78=1,12,Q78-1)</f>
      </c>
      <c r="R79" s="169"/>
      <c r="S79" s="333">
        <f>HLOOKUP(O79,'Datos SS'!$B$4:$CZZ$16,(Q79+1),0)</f>
      </c>
      <c r="T79" s="333">
        <f>IF(O79=YEAR($B$5),($B$9/12),IF(O79&gt;MIN(YEAR($B$7),YEAR($B$5)),($B$9/12)*(1+HLOOKUP(O79,'Datos SS'!$B$31:$CZZ$32,2,0))^(O79-YEAR($B$5)),T67/(1+HLOOKUP(O79,'Datos SS'!$B$31:$CZZ$32,2,0))))</f>
      </c>
      <c r="U79" s="333">
        <f>IF(O79=2018,IF(Q79&lt;8,HLOOKUP(O79,'Datos SS'!$B$25:$BZZ$27,3,0)/12,HLOOKUP(O79,'Datos SS'!$B$25:$BZZ$26,2,0)/12),HLOOKUP(O79,'Datos SS'!$B$25:$BZZ$26,2,0)/12)</f>
      </c>
      <c r="V79" s="964">
        <f>MAX(X79,MIN(T79,U79))</f>
      </c>
      <c r="W79" s="333">
        <f>IF($E$19="NO",IF(P79&lt;=180,IF(P79&lt;25,V79,V79*$S$28/S79),0),IF(P79&gt;$B$15,0,IF(P79&lt;25,V79,V79*$S$28/S79)))</f>
      </c>
      <c r="X79" s="721">
        <f>HLOOKUP(O79,'Datos SS'!$K$37:$EP$38,2,0)</f>
      </c>
      <c r="Y79" s="331">
        <f>MAX(INT(Y78)-1,0)</f>
      </c>
      <c r="Z79" s="169"/>
      <c r="AA79" s="169"/>
      <c r="AB79" s="169"/>
      <c r="AC79" s="965">
        <v>2188.7745728095583</v>
      </c>
      <c r="AD79" s="331">
        <f>+AC79-W79</f>
      </c>
      <c r="AE79" s="169"/>
      <c r="AF79" s="170"/>
      <c r="AG79" s="169"/>
      <c r="AH79" s="170"/>
      <c r="AI79" s="170"/>
      <c r="AJ79" s="1"/>
      <c r="AK79" s="1"/>
      <c r="AL79" s="170"/>
      <c r="AM79" s="170"/>
    </row>
    <row x14ac:dyDescent="0.25" r="80" customHeight="1" ht="18.75">
      <c r="A80" s="1"/>
      <c r="B80" s="170"/>
      <c r="C80" s="169"/>
      <c r="D80" s="170"/>
      <c r="E80" s="169"/>
      <c r="F80" s="169"/>
      <c r="G80" s="170"/>
      <c r="H80" s="170"/>
      <c r="I80" s="169"/>
      <c r="J80" s="1"/>
      <c r="K80" s="169"/>
      <c r="L80" s="332">
        <v>76</v>
      </c>
      <c r="M80" s="332">
        <f>IF(L80&lt;=$C$22,$B$22,IF(L80&lt;=$C$23+$C$22,$B$23,0))</f>
      </c>
      <c r="N80" s="1"/>
      <c r="O80" s="332">
        <f>IF(Q80=12,O79-1,O79)</f>
      </c>
      <c r="P80" s="332">
        <v>76</v>
      </c>
      <c r="Q80" s="332">
        <f>IF(Q79=1,12,Q79-1)</f>
      </c>
      <c r="R80" s="169"/>
      <c r="S80" s="333">
        <f>HLOOKUP(O80,'Datos SS'!$B$4:$CZZ$16,(Q80+1),0)</f>
      </c>
      <c r="T80" s="333">
        <f>IF(O80=YEAR($B$5),($B$9/12),IF(O80&gt;MIN(YEAR($B$7),YEAR($B$5)),($B$9/12)*(1+HLOOKUP(O80,'Datos SS'!$B$31:$CZZ$32,2,0))^(O80-YEAR($B$5)),T68/(1+HLOOKUP(O80,'Datos SS'!$B$31:$CZZ$32,2,0))))</f>
      </c>
      <c r="U80" s="333">
        <f>IF(O80=2018,IF(Q80&lt;8,HLOOKUP(O80,'Datos SS'!$B$25:$BZZ$27,3,0)/12,HLOOKUP(O80,'Datos SS'!$B$25:$BZZ$26,2,0)/12),HLOOKUP(O80,'Datos SS'!$B$25:$BZZ$26,2,0)/12)</f>
      </c>
      <c r="V80" s="964">
        <f>MAX(X80,MIN(T80,U80))</f>
      </c>
      <c r="W80" s="333">
        <f>IF($E$19="NO",IF(P80&lt;=180,IF(P80&lt;25,V80,V80*$S$28/S80),0),IF(P80&gt;$B$15,0,IF(P80&lt;25,V80,V80*$S$28/S80)))</f>
      </c>
      <c r="X80" s="721">
        <f>HLOOKUP(O80,'Datos SS'!$K$37:$EP$38,2,0)</f>
      </c>
      <c r="Y80" s="331">
        <f>MAX(INT(Y79)-1,0)</f>
      </c>
      <c r="Z80" s="169"/>
      <c r="AA80" s="169"/>
      <c r="AB80" s="169"/>
      <c r="AC80" s="965">
        <v>2190.5902447414155</v>
      </c>
      <c r="AD80" s="331">
        <f>+AC80-W80</f>
      </c>
      <c r="AE80" s="169"/>
      <c r="AF80" s="170"/>
      <c r="AG80" s="169"/>
      <c r="AH80" s="170"/>
      <c r="AI80" s="170"/>
      <c r="AJ80" s="1"/>
      <c r="AK80" s="1"/>
      <c r="AL80" s="170"/>
      <c r="AM80" s="170"/>
    </row>
    <row x14ac:dyDescent="0.25" r="81" customHeight="1" ht="18.75">
      <c r="A81" s="1"/>
      <c r="B81" s="170"/>
      <c r="C81" s="169"/>
      <c r="D81" s="170"/>
      <c r="E81" s="169"/>
      <c r="F81" s="169"/>
      <c r="G81" s="170"/>
      <c r="H81" s="170"/>
      <c r="I81" s="169"/>
      <c r="J81" s="1"/>
      <c r="K81" s="169"/>
      <c r="L81" s="332">
        <v>77</v>
      </c>
      <c r="M81" s="332">
        <f>IF(L81&lt;=$C$22,$B$22,IF(L81&lt;=$C$23+$C$22,$B$23,0))</f>
      </c>
      <c r="N81" s="1"/>
      <c r="O81" s="332">
        <f>IF(Q81=12,O80-1,O80)</f>
      </c>
      <c r="P81" s="332">
        <v>77</v>
      </c>
      <c r="Q81" s="332">
        <f>IF(Q80=1,12,Q80-1)</f>
      </c>
      <c r="R81" s="169"/>
      <c r="S81" s="333">
        <f>HLOOKUP(O81,'Datos SS'!$B$4:$CZZ$16,(Q81+1),0)</f>
      </c>
      <c r="T81" s="333">
        <f>IF(O81=YEAR($B$5),($B$9/12),IF(O81&gt;MIN(YEAR($B$7),YEAR($B$5)),($B$9/12)*(1+HLOOKUP(O81,'Datos SS'!$B$31:$CZZ$32,2,0))^(O81-YEAR($B$5)),T69/(1+HLOOKUP(O81,'Datos SS'!$B$31:$CZZ$32,2,0))))</f>
      </c>
      <c r="U81" s="333">
        <f>IF(O81=2018,IF(Q81&lt;8,HLOOKUP(O81,'Datos SS'!$B$25:$BZZ$27,3,0)/12,HLOOKUP(O81,'Datos SS'!$B$25:$BZZ$26,2,0)/12),HLOOKUP(O81,'Datos SS'!$B$25:$BZZ$26,2,0)/12)</f>
      </c>
      <c r="V81" s="964">
        <f>MAX(X81,MIN(T81,U81))</f>
      </c>
      <c r="W81" s="333">
        <f>IF($E$19="NO",IF(P81&lt;=180,IF(P81&lt;25,V81,V81*$S$28/S81),0),IF(P81&gt;$B$15,0,IF(P81&lt;25,V81,V81*$S$28/S81)))</f>
      </c>
      <c r="X81" s="721">
        <f>HLOOKUP(O81,'Datos SS'!$K$37:$EP$38,2,0)</f>
      </c>
      <c r="Y81" s="331">
        <f>MAX(INT(Y80)-1,0)</f>
      </c>
      <c r="Z81" s="169"/>
      <c r="AA81" s="169"/>
      <c r="AB81" s="169"/>
      <c r="AC81" s="965">
        <v>2192.4074228423433</v>
      </c>
      <c r="AD81" s="331">
        <f>+AC81-W81</f>
      </c>
      <c r="AE81" s="169"/>
      <c r="AF81" s="170"/>
      <c r="AG81" s="169"/>
      <c r="AH81" s="170"/>
      <c r="AI81" s="170"/>
      <c r="AJ81" s="1"/>
      <c r="AK81" s="1"/>
      <c r="AL81" s="170"/>
      <c r="AM81" s="170"/>
    </row>
    <row x14ac:dyDescent="0.25" r="82" customHeight="1" ht="18.75">
      <c r="A82" s="1"/>
      <c r="B82" s="170"/>
      <c r="C82" s="169"/>
      <c r="D82" s="170"/>
      <c r="E82" s="169"/>
      <c r="F82" s="169"/>
      <c r="G82" s="170"/>
      <c r="H82" s="170"/>
      <c r="I82" s="169"/>
      <c r="J82" s="1"/>
      <c r="K82" s="169"/>
      <c r="L82" s="332">
        <v>78</v>
      </c>
      <c r="M82" s="332">
        <f>IF(L82&lt;=$C$22,$B$22,IF(L82&lt;=$C$23+$C$22,$B$23,0))</f>
      </c>
      <c r="N82" s="1"/>
      <c r="O82" s="332">
        <f>IF(Q82=12,O81-1,O81)</f>
      </c>
      <c r="P82" s="332">
        <v>78</v>
      </c>
      <c r="Q82" s="332">
        <f>IF(Q81=1,12,Q81-1)</f>
      </c>
      <c r="R82" s="169"/>
      <c r="S82" s="333">
        <f>HLOOKUP(O82,'Datos SS'!$B$4:$CZZ$16,(Q82+1),0)</f>
      </c>
      <c r="T82" s="333">
        <f>IF(O82=YEAR($B$5),($B$9/12),IF(O82&gt;MIN(YEAR($B$7),YEAR($B$5)),($B$9/12)*(1+HLOOKUP(O82,'Datos SS'!$B$31:$CZZ$32,2,0))^(O82-YEAR($B$5)),T70/(1+HLOOKUP(O82,'Datos SS'!$B$31:$CZZ$32,2,0))))</f>
      </c>
      <c r="U82" s="333">
        <f>IF(O82=2018,IF(Q82&lt;8,HLOOKUP(O82,'Datos SS'!$B$25:$BZZ$27,3,0)/12,HLOOKUP(O82,'Datos SS'!$B$25:$BZZ$26,2,0)/12),HLOOKUP(O82,'Datos SS'!$B$25:$BZZ$26,2,0)/12)</f>
      </c>
      <c r="V82" s="964">
        <f>MAX(X82,MIN(T82,U82))</f>
      </c>
      <c r="W82" s="333">
        <f>IF($E$19="NO",IF(P82&lt;=180,IF(P82&lt;25,V82,V82*$S$28/S82),0),IF(P82&gt;$B$15,0,IF(P82&lt;25,V82,V82*$S$28/S82)))</f>
      </c>
      <c r="X82" s="721">
        <f>HLOOKUP(O82,'Datos SS'!$K$37:$EP$38,2,0)</f>
      </c>
      <c r="Y82" s="331">
        <f>MAX(INT(Y81)-1,0)</f>
      </c>
      <c r="Z82" s="169"/>
      <c r="AA82" s="169"/>
      <c r="AB82" s="169"/>
      <c r="AC82" s="965">
        <v>2194.226108361767</v>
      </c>
      <c r="AD82" s="331">
        <f>+AC82-W82</f>
      </c>
      <c r="AE82" s="169"/>
      <c r="AF82" s="170"/>
      <c r="AG82" s="169"/>
      <c r="AH82" s="170"/>
      <c r="AI82" s="170"/>
      <c r="AJ82" s="1"/>
      <c r="AK82" s="1"/>
      <c r="AL82" s="170"/>
      <c r="AM82" s="170"/>
    </row>
    <row x14ac:dyDescent="0.25" r="83" customHeight="1" ht="18.75">
      <c r="A83" s="1"/>
      <c r="B83" s="170"/>
      <c r="C83" s="169"/>
      <c r="D83" s="170"/>
      <c r="E83" s="169"/>
      <c r="F83" s="169"/>
      <c r="G83" s="170"/>
      <c r="H83" s="170"/>
      <c r="I83" s="169"/>
      <c r="J83" s="1"/>
      <c r="K83" s="169"/>
      <c r="L83" s="332">
        <v>79</v>
      </c>
      <c r="M83" s="332">
        <f>IF(L83&lt;=$C$22,$B$22,IF(L83&lt;=$C$23+$C$22,$B$23,0))</f>
      </c>
      <c r="N83" s="1"/>
      <c r="O83" s="332">
        <f>IF(Q83=12,O82-1,O82)</f>
      </c>
      <c r="P83" s="332">
        <v>79</v>
      </c>
      <c r="Q83" s="332">
        <f>IF(Q82=1,12,Q82-1)</f>
      </c>
      <c r="R83" s="169"/>
      <c r="S83" s="333">
        <f>HLOOKUP(O83,'Datos SS'!$B$4:$CZZ$16,(Q83+1),0)</f>
      </c>
      <c r="T83" s="333">
        <f>IF(O83=YEAR($B$5),($B$9/12),IF(O83&gt;MIN(YEAR($B$7),YEAR($B$5)),($B$9/12)*(1+HLOOKUP(O83,'Datos SS'!$B$31:$CZZ$32,2,0))^(O83-YEAR($B$5)),T71/(1+HLOOKUP(O83,'Datos SS'!$B$31:$CZZ$32,2,0))))</f>
      </c>
      <c r="U83" s="333">
        <f>IF(O83=2018,IF(Q83&lt;8,HLOOKUP(O83,'Datos SS'!$B$25:$BZZ$27,3,0)/12,HLOOKUP(O83,'Datos SS'!$B$25:$BZZ$26,2,0)/12),HLOOKUP(O83,'Datos SS'!$B$25:$BZZ$26,2,0)/12)</f>
      </c>
      <c r="V83" s="964">
        <f>MAX(X83,MIN(T83,U83))</f>
      </c>
      <c r="W83" s="333">
        <f>IF($E$19="NO",IF(P83&lt;=180,IF(P83&lt;25,V83,V83*$S$28/S83),0),IF(P83&gt;$B$15,0,IF(P83&lt;25,V83,V83*$S$28/S83)))</f>
      </c>
      <c r="X83" s="721">
        <f>HLOOKUP(O83,'Datos SS'!$K$37:$EP$38,2,0)</f>
      </c>
      <c r="Y83" s="331">
        <f>MAX(INT(Y82)-1,0)</f>
      </c>
      <c r="Z83" s="169"/>
      <c r="AA83" s="169"/>
      <c r="AB83" s="169"/>
      <c r="AC83" s="965">
        <v>2196.0463025501463</v>
      </c>
      <c r="AD83" s="331">
        <f>+AC83-W83</f>
      </c>
      <c r="AE83" s="169"/>
      <c r="AF83" s="170"/>
      <c r="AG83" s="169"/>
      <c r="AH83" s="170"/>
      <c r="AI83" s="170"/>
      <c r="AJ83" s="1"/>
      <c r="AK83" s="1"/>
      <c r="AL83" s="170"/>
      <c r="AM83" s="170"/>
    </row>
    <row x14ac:dyDescent="0.25" r="84" customHeight="1" ht="18.75">
      <c r="A84" s="1"/>
      <c r="B84" s="170"/>
      <c r="C84" s="169"/>
      <c r="D84" s="170"/>
      <c r="E84" s="169"/>
      <c r="F84" s="169"/>
      <c r="G84" s="170"/>
      <c r="H84" s="170"/>
      <c r="I84" s="169"/>
      <c r="J84" s="1"/>
      <c r="K84" s="169"/>
      <c r="L84" s="332">
        <v>80</v>
      </c>
      <c r="M84" s="332">
        <f>IF(L84&lt;=$C$22,$B$22,IF(L84&lt;=$C$23+$C$22,$B$23,0))</f>
      </c>
      <c r="N84" s="1"/>
      <c r="O84" s="332">
        <f>IF(Q84=12,O83-1,O83)</f>
      </c>
      <c r="P84" s="332">
        <v>80</v>
      </c>
      <c r="Q84" s="332">
        <f>IF(Q83=1,12,Q83-1)</f>
      </c>
      <c r="R84" s="169"/>
      <c r="S84" s="333">
        <f>HLOOKUP(O84,'Datos SS'!$B$4:$CZZ$16,(Q84+1),0)</f>
      </c>
      <c r="T84" s="333">
        <f>IF(O84=YEAR($B$5),($B$9/12),IF(O84&gt;MIN(YEAR($B$7),YEAR($B$5)),($B$9/12)*(1+HLOOKUP(O84,'Datos SS'!$B$31:$CZZ$32,2,0))^(O84-YEAR($B$5)),T72/(1+HLOOKUP(O84,'Datos SS'!$B$31:$CZZ$32,2,0))))</f>
      </c>
      <c r="U84" s="333">
        <f>IF(O84=2018,IF(Q84&lt;8,HLOOKUP(O84,'Datos SS'!$B$25:$BZZ$27,3,0)/12,HLOOKUP(O84,'Datos SS'!$B$25:$BZZ$26,2,0)/12),HLOOKUP(O84,'Datos SS'!$B$25:$BZZ$26,2,0)/12)</f>
      </c>
      <c r="V84" s="964">
        <f>MAX(X84,MIN(T84,U84))</f>
      </c>
      <c r="W84" s="333">
        <f>IF($E$19="NO",IF(P84&lt;=180,IF(P84&lt;25,V84,V84*$S$28/S84),0),IF(P84&gt;$B$15,0,IF(P84&lt;25,V84,V84*$S$28/S84)))</f>
      </c>
      <c r="X84" s="721">
        <f>HLOOKUP(O84,'Datos SS'!$K$37:$EP$38,2,0)</f>
      </c>
      <c r="Y84" s="331">
        <f>MAX(INT(Y83)-1,0)</f>
      </c>
      <c r="Z84" s="169"/>
      <c r="AA84" s="169"/>
      <c r="AB84" s="169"/>
      <c r="AC84" s="965">
        <v>2197.8680066589804</v>
      </c>
      <c r="AD84" s="331">
        <f>+AC84-W84</f>
      </c>
      <c r="AE84" s="169"/>
      <c r="AF84" s="170"/>
      <c r="AG84" s="169"/>
      <c r="AH84" s="170"/>
      <c r="AI84" s="170"/>
      <c r="AJ84" s="1"/>
      <c r="AK84" s="1"/>
      <c r="AL84" s="170"/>
      <c r="AM84" s="170"/>
    </row>
    <row x14ac:dyDescent="0.25" r="85" customHeight="1" ht="18.75">
      <c r="A85" s="1"/>
      <c r="B85" s="170"/>
      <c r="C85" s="169"/>
      <c r="D85" s="170"/>
      <c r="E85" s="169"/>
      <c r="F85" s="169"/>
      <c r="G85" s="170"/>
      <c r="H85" s="170"/>
      <c r="I85" s="169"/>
      <c r="J85" s="1"/>
      <c r="K85" s="169"/>
      <c r="L85" s="332">
        <v>81</v>
      </c>
      <c r="M85" s="332">
        <f>IF(L85&lt;=$C$22,$B$22,IF(L85&lt;=$C$23+$C$22,$B$23,0))</f>
      </c>
      <c r="N85" s="1"/>
      <c r="O85" s="332">
        <f>IF(Q85=12,O84-1,O84)</f>
      </c>
      <c r="P85" s="332">
        <v>81</v>
      </c>
      <c r="Q85" s="332">
        <f>IF(Q84=1,12,Q84-1)</f>
      </c>
      <c r="R85" s="169"/>
      <c r="S85" s="333">
        <f>HLOOKUP(O85,'Datos SS'!$B$4:$CZZ$16,(Q85+1),0)</f>
      </c>
      <c r="T85" s="333">
        <f>IF(O85=YEAR($B$5),($B$9/12),IF(O85&gt;MIN(YEAR($B$7),YEAR($B$5)),($B$9/12)*(1+HLOOKUP(O85,'Datos SS'!$B$31:$CZZ$32,2,0))^(O85-YEAR($B$5)),T73/(1+HLOOKUP(O85,'Datos SS'!$B$31:$CZZ$32,2,0))))</f>
      </c>
      <c r="U85" s="333">
        <f>IF(O85=2018,IF(Q85&lt;8,HLOOKUP(O85,'Datos SS'!$B$25:$BZZ$27,3,0)/12,HLOOKUP(O85,'Datos SS'!$B$25:$BZZ$26,2,0)/12),HLOOKUP(O85,'Datos SS'!$B$25:$BZZ$26,2,0)/12)</f>
      </c>
      <c r="V85" s="964">
        <f>MAX(X85,MIN(T85,U85))</f>
      </c>
      <c r="W85" s="333">
        <f>IF($E$19="NO",IF(P85&lt;=180,IF(P85&lt;25,V85,V85*$S$28/S85),0),IF(P85&gt;$B$15,0,IF(P85&lt;25,V85,V85*$S$28/S85)))</f>
      </c>
      <c r="X85" s="721">
        <f>HLOOKUP(O85,'Datos SS'!$K$37:$EP$38,2,0)</f>
      </c>
      <c r="Y85" s="331">
        <f>MAX(INT(Y84)-1,0)</f>
      </c>
      <c r="Z85" s="169"/>
      <c r="AA85" s="169"/>
      <c r="AB85" s="169"/>
      <c r="AC85" s="965">
        <v>2199.691221940806</v>
      </c>
      <c r="AD85" s="331">
        <f>+AC85-W85</f>
      </c>
      <c r="AE85" s="169"/>
      <c r="AF85" s="170"/>
      <c r="AG85" s="169"/>
      <c r="AH85" s="170"/>
      <c r="AI85" s="170"/>
      <c r="AJ85" s="1"/>
      <c r="AK85" s="1"/>
      <c r="AL85" s="170"/>
      <c r="AM85" s="170"/>
    </row>
    <row x14ac:dyDescent="0.25" r="86" customHeight="1" ht="18.75">
      <c r="A86" s="1"/>
      <c r="B86" s="170"/>
      <c r="C86" s="169"/>
      <c r="D86" s="170"/>
      <c r="E86" s="169"/>
      <c r="F86" s="169"/>
      <c r="G86" s="170"/>
      <c r="H86" s="170"/>
      <c r="I86" s="169"/>
      <c r="J86" s="1"/>
      <c r="K86" s="169"/>
      <c r="L86" s="332">
        <v>82</v>
      </c>
      <c r="M86" s="332">
        <f>IF(L86&lt;=$C$22,$B$22,IF(L86&lt;=$C$23+$C$22,$B$23,0))</f>
      </c>
      <c r="N86" s="1"/>
      <c r="O86" s="332">
        <f>IF(Q86=12,O85-1,O85)</f>
      </c>
      <c r="P86" s="332">
        <v>82</v>
      </c>
      <c r="Q86" s="332">
        <f>IF(Q85=1,12,Q85-1)</f>
      </c>
      <c r="R86" s="169"/>
      <c r="S86" s="333">
        <f>HLOOKUP(O86,'Datos SS'!$B$4:$CZZ$16,(Q86+1),0)</f>
      </c>
      <c r="T86" s="333">
        <f>IF(O86=YEAR($B$5),($B$9/12),IF(O86&gt;MIN(YEAR($B$7),YEAR($B$5)),($B$9/12)*(1+HLOOKUP(O86,'Datos SS'!$B$31:$CZZ$32,2,0))^(O86-YEAR($B$5)),T74/(1+HLOOKUP(O86,'Datos SS'!$B$31:$CZZ$32,2,0))))</f>
      </c>
      <c r="U86" s="333">
        <f>IF(O86=2018,IF(Q86&lt;8,HLOOKUP(O86,'Datos SS'!$B$25:$BZZ$27,3,0)/12,HLOOKUP(O86,'Datos SS'!$B$25:$BZZ$26,2,0)/12),HLOOKUP(O86,'Datos SS'!$B$25:$BZZ$26,2,0)/12)</f>
      </c>
      <c r="V86" s="964">
        <f>MAX(X86,MIN(T86,U86))</f>
      </c>
      <c r="W86" s="333">
        <f>IF($E$19="NO",IF(P86&lt;=180,IF(P86&lt;25,V86,V86*$S$28/S86),0),IF(P86&gt;$B$15,0,IF(P86&lt;25,V86,V86*$S$28/S86)))</f>
      </c>
      <c r="X86" s="721">
        <f>HLOOKUP(O86,'Datos SS'!$K$37:$EP$38,2,0)</f>
      </c>
      <c r="Y86" s="331">
        <f>MAX(INT(Y85)-1,0)</f>
      </c>
      <c r="Z86" s="169"/>
      <c r="AA86" s="169"/>
      <c r="AB86" s="169"/>
      <c r="AC86" s="965">
        <v>2158.348970244312</v>
      </c>
      <c r="AD86" s="331">
        <f>+AC86-W86</f>
      </c>
      <c r="AE86" s="169"/>
      <c r="AF86" s="170"/>
      <c r="AG86" s="169"/>
      <c r="AH86" s="170"/>
      <c r="AI86" s="170"/>
      <c r="AJ86" s="1"/>
      <c r="AK86" s="1"/>
      <c r="AL86" s="170"/>
      <c r="AM86" s="170"/>
    </row>
    <row x14ac:dyDescent="0.25" r="87" customHeight="1" ht="18.75">
      <c r="A87" s="1"/>
      <c r="B87" s="170"/>
      <c r="C87" s="169"/>
      <c r="D87" s="170"/>
      <c r="E87" s="169"/>
      <c r="F87" s="169"/>
      <c r="G87" s="170"/>
      <c r="H87" s="170"/>
      <c r="I87" s="169"/>
      <c r="J87" s="1"/>
      <c r="K87" s="169"/>
      <c r="L87" s="332">
        <v>83</v>
      </c>
      <c r="M87" s="332">
        <f>IF(L87&lt;=$C$22,$B$22,IF(L87&lt;=$C$23+$C$22,$B$23,0))</f>
      </c>
      <c r="N87" s="1"/>
      <c r="O87" s="332">
        <f>IF(Q87=12,O86-1,O86)</f>
      </c>
      <c r="P87" s="332">
        <v>83</v>
      </c>
      <c r="Q87" s="332">
        <f>IF(Q86=1,12,Q86-1)</f>
      </c>
      <c r="R87" s="169"/>
      <c r="S87" s="333">
        <f>HLOOKUP(O87,'Datos SS'!$B$4:$CZZ$16,(Q87+1),0)</f>
      </c>
      <c r="T87" s="333">
        <f>IF(O87=YEAR($B$5),($B$9/12),IF(O87&gt;MIN(YEAR($B$7),YEAR($B$5)),($B$9/12)*(1+HLOOKUP(O87,'Datos SS'!$B$31:$CZZ$32,2,0))^(O87-YEAR($B$5)),T75/(1+HLOOKUP(O87,'Datos SS'!$B$31:$CZZ$32,2,0))))</f>
      </c>
      <c r="U87" s="333">
        <f>IF(O87=2018,IF(Q87&lt;8,HLOOKUP(O87,'Datos SS'!$B$25:$BZZ$27,3,0)/12,HLOOKUP(O87,'Datos SS'!$B$25:$BZZ$26,2,0)/12),HLOOKUP(O87,'Datos SS'!$B$25:$BZZ$26,2,0)/12)</f>
      </c>
      <c r="V87" s="964">
        <f>MAX(X87,MIN(T87,U87))</f>
      </c>
      <c r="W87" s="333">
        <f>IF($E$19="NO",IF(P87&lt;=180,IF(P87&lt;25,V87,V87*$S$28/S87),0),IF(P87&gt;$B$15,0,IF(P87&lt;25,V87,V87*$S$28/S87)))</f>
      </c>
      <c r="X87" s="721">
        <f>HLOOKUP(O87,'Datos SS'!$K$37:$EP$38,2,0)</f>
      </c>
      <c r="Y87" s="331">
        <f>MAX(INT(Y86)-1,0)</f>
      </c>
      <c r="Z87" s="169"/>
      <c r="AA87" s="169"/>
      <c r="AB87" s="169"/>
      <c r="AC87" s="965">
        <v>2160.1394029791895</v>
      </c>
      <c r="AD87" s="331">
        <f>+AC87-W87</f>
      </c>
      <c r="AE87" s="169"/>
      <c r="AF87" s="170"/>
      <c r="AG87" s="169"/>
      <c r="AH87" s="170"/>
      <c r="AI87" s="170"/>
      <c r="AJ87" s="1"/>
      <c r="AK87" s="1"/>
      <c r="AL87" s="170"/>
      <c r="AM87" s="170"/>
    </row>
    <row x14ac:dyDescent="0.25" r="88" customHeight="1" ht="18.75">
      <c r="A88" s="1"/>
      <c r="B88" s="170"/>
      <c r="C88" s="169"/>
      <c r="D88" s="170"/>
      <c r="E88" s="169"/>
      <c r="F88" s="169"/>
      <c r="G88" s="170"/>
      <c r="H88" s="170"/>
      <c r="I88" s="169"/>
      <c r="J88" s="1"/>
      <c r="K88" s="169"/>
      <c r="L88" s="332">
        <v>84</v>
      </c>
      <c r="M88" s="332">
        <f>IF(L88&lt;=$C$22,$B$22,IF(L88&lt;=$C$23+$C$22,$B$23,0))</f>
      </c>
      <c r="N88" s="1"/>
      <c r="O88" s="332">
        <f>IF(Q88=12,O87-1,O87)</f>
      </c>
      <c r="P88" s="332">
        <v>84</v>
      </c>
      <c r="Q88" s="332">
        <f>IF(Q87=1,12,Q87-1)</f>
      </c>
      <c r="R88" s="169"/>
      <c r="S88" s="333">
        <f>HLOOKUP(O88,'Datos SS'!$B$4:$CZZ$16,(Q88+1),0)</f>
      </c>
      <c r="T88" s="333">
        <f>IF(O88=YEAR($B$5),($B$9/12),IF(O88&gt;MIN(YEAR($B$7),YEAR($B$5)),($B$9/12)*(1+HLOOKUP(O88,'Datos SS'!$B$31:$CZZ$32,2,0))^(O88-YEAR($B$5)),T76/(1+HLOOKUP(O88,'Datos SS'!$B$31:$CZZ$32,2,0))))</f>
      </c>
      <c r="U88" s="333">
        <f>IF(O88=2018,IF(Q88&lt;8,HLOOKUP(O88,'Datos SS'!$B$25:$BZZ$27,3,0)/12,HLOOKUP(O88,'Datos SS'!$B$25:$BZZ$26,2,0)/12),HLOOKUP(O88,'Datos SS'!$B$25:$BZZ$26,2,0)/12)</f>
      </c>
      <c r="V88" s="964">
        <f>MAX(X88,MIN(T88,U88))</f>
      </c>
      <c r="W88" s="333">
        <f>IF($E$19="NO",IF(P88&lt;=180,IF(P88&lt;25,V88,V88*$S$28/S88),0),IF(P88&gt;$B$15,0,IF(P88&lt;25,V88,V88*$S$28/S88)))</f>
      </c>
      <c r="X88" s="721">
        <f>HLOOKUP(O88,'Datos SS'!$K$37:$EP$38,2,0)</f>
      </c>
      <c r="Y88" s="331">
        <f>MAX(INT(Y87)-1,0)</f>
      </c>
      <c r="Z88" s="169"/>
      <c r="AA88" s="169"/>
      <c r="AB88" s="169"/>
      <c r="AC88" s="965">
        <v>2161.9313209462616</v>
      </c>
      <c r="AD88" s="331">
        <f>+AC88-W88</f>
      </c>
      <c r="AE88" s="169"/>
      <c r="AF88" s="170"/>
      <c r="AG88" s="169"/>
      <c r="AH88" s="170"/>
      <c r="AI88" s="170"/>
      <c r="AJ88" s="1"/>
      <c r="AK88" s="1"/>
      <c r="AL88" s="170"/>
      <c r="AM88" s="170"/>
    </row>
    <row x14ac:dyDescent="0.25" r="89" customHeight="1" ht="18.75">
      <c r="A89" s="1"/>
      <c r="B89" s="170"/>
      <c r="C89" s="169"/>
      <c r="D89" s="170"/>
      <c r="E89" s="169"/>
      <c r="F89" s="169"/>
      <c r="G89" s="170"/>
      <c r="H89" s="170"/>
      <c r="I89" s="169"/>
      <c r="J89" s="1"/>
      <c r="K89" s="169"/>
      <c r="L89" s="332">
        <v>85</v>
      </c>
      <c r="M89" s="332">
        <f>IF(L89&lt;=$C$22,$B$22,IF(L89&lt;=$C$23+$C$22,$B$23,0))</f>
      </c>
      <c r="N89" s="1"/>
      <c r="O89" s="332">
        <f>IF(Q89=12,O88-1,O88)</f>
      </c>
      <c r="P89" s="332">
        <v>85</v>
      </c>
      <c r="Q89" s="332">
        <f>IF(Q88=1,12,Q88-1)</f>
      </c>
      <c r="R89" s="169"/>
      <c r="S89" s="333">
        <f>HLOOKUP(O89,'Datos SS'!$B$4:$CZZ$16,(Q89+1),0)</f>
      </c>
      <c r="T89" s="333">
        <f>IF(O89=YEAR($B$5),($B$9/12),IF(O89&gt;MIN(YEAR($B$7),YEAR($B$5)),($B$9/12)*(1+HLOOKUP(O89,'Datos SS'!$B$31:$CZZ$32,2,0))^(O89-YEAR($B$5)),T77/(1+HLOOKUP(O89,'Datos SS'!$B$31:$CZZ$32,2,0))))</f>
      </c>
      <c r="U89" s="333">
        <f>IF(O89=2018,IF(Q89&lt;8,HLOOKUP(O89,'Datos SS'!$B$25:$BZZ$27,3,0)/12,HLOOKUP(O89,'Datos SS'!$B$25:$BZZ$26,2,0)/12),HLOOKUP(O89,'Datos SS'!$B$25:$BZZ$26,2,0)/12)</f>
      </c>
      <c r="V89" s="964">
        <f>MAX(X89,MIN(T89,U89))</f>
      </c>
      <c r="W89" s="333">
        <f>IF($E$19="NO",IF(P89&lt;=180,IF(P89&lt;25,V89,V89*$S$28/S89),0),IF(P89&gt;$B$15,0,IF(P89&lt;25,V89,V89*$S$28/S89)))</f>
      </c>
      <c r="X89" s="721">
        <f>HLOOKUP(O89,'Datos SS'!$K$37:$EP$38,2,0)</f>
      </c>
      <c r="Y89" s="331">
        <f>MAX(INT(Y88)-1,0)</f>
      </c>
      <c r="Z89" s="169"/>
      <c r="AA89" s="169"/>
      <c r="AB89" s="169"/>
      <c r="AC89" s="965">
        <v>2163.7247253775854</v>
      </c>
      <c r="AD89" s="331">
        <f>+AC89-W89</f>
      </c>
      <c r="AE89" s="169"/>
      <c r="AF89" s="170"/>
      <c r="AG89" s="169"/>
      <c r="AH89" s="170"/>
      <c r="AI89" s="170"/>
      <c r="AJ89" s="1"/>
      <c r="AK89" s="1"/>
      <c r="AL89" s="170"/>
      <c r="AM89" s="170"/>
    </row>
    <row x14ac:dyDescent="0.25" r="90" customHeight="1" ht="18.75">
      <c r="A90" s="1"/>
      <c r="B90" s="170"/>
      <c r="C90" s="169"/>
      <c r="D90" s="170"/>
      <c r="E90" s="169"/>
      <c r="F90" s="169"/>
      <c r="G90" s="170"/>
      <c r="H90" s="170"/>
      <c r="I90" s="169"/>
      <c r="J90" s="1"/>
      <c r="K90" s="169"/>
      <c r="L90" s="332">
        <v>86</v>
      </c>
      <c r="M90" s="332">
        <f>IF(L90&lt;=$C$22,$B$22,IF(L90&lt;=$C$23+$C$22,$B$23,0))</f>
      </c>
      <c r="N90" s="1"/>
      <c r="O90" s="332">
        <f>IF(Q90=12,O89-1,O89)</f>
      </c>
      <c r="P90" s="332">
        <v>86</v>
      </c>
      <c r="Q90" s="332">
        <f>IF(Q89=1,12,Q89-1)</f>
      </c>
      <c r="R90" s="169"/>
      <c r="S90" s="333">
        <f>HLOOKUP(O90,'Datos SS'!$B$4:$CZZ$16,(Q90+1),0)</f>
      </c>
      <c r="T90" s="333">
        <f>IF(O90=YEAR($B$5),($B$9/12),IF(O90&gt;MIN(YEAR($B$7),YEAR($B$5)),($B$9/12)*(1+HLOOKUP(O90,'Datos SS'!$B$31:$CZZ$32,2,0))^(O90-YEAR($B$5)),T78/(1+HLOOKUP(O90,'Datos SS'!$B$31:$CZZ$32,2,0))))</f>
      </c>
      <c r="U90" s="333">
        <f>IF(O90=2018,IF(Q90&lt;8,HLOOKUP(O90,'Datos SS'!$B$25:$BZZ$27,3,0)/12,HLOOKUP(O90,'Datos SS'!$B$25:$BZZ$26,2,0)/12),HLOOKUP(O90,'Datos SS'!$B$25:$BZZ$26,2,0)/12)</f>
      </c>
      <c r="V90" s="964">
        <f>MAX(X90,MIN(T90,U90))</f>
      </c>
      <c r="W90" s="333">
        <f>IF($E$19="NO",IF(P90&lt;=180,IF(P90&lt;25,V90,V90*$S$28/S90),0),IF(P90&gt;$B$15,0,IF(P90&lt;25,V90,V90*$S$28/S90)))</f>
      </c>
      <c r="X90" s="721">
        <f>HLOOKUP(O90,'Datos SS'!$K$37:$EP$38,2,0)</f>
      </c>
      <c r="Y90" s="331">
        <f>MAX(INT(Y89)-1,0)</f>
      </c>
      <c r="Z90" s="169"/>
      <c r="AA90" s="169"/>
      <c r="AB90" s="169"/>
      <c r="AC90" s="965">
        <v>2165.5196175062397</v>
      </c>
      <c r="AD90" s="331">
        <f>+AC90-W90</f>
      </c>
      <c r="AE90" s="169"/>
      <c r="AF90" s="170"/>
      <c r="AG90" s="169"/>
      <c r="AH90" s="170"/>
      <c r="AI90" s="170"/>
      <c r="AJ90" s="1"/>
      <c r="AK90" s="1"/>
      <c r="AL90" s="170"/>
      <c r="AM90" s="170"/>
    </row>
    <row x14ac:dyDescent="0.25" r="91" customHeight="1" ht="18.75">
      <c r="A91" s="1"/>
      <c r="B91" s="170"/>
      <c r="C91" s="169"/>
      <c r="D91" s="170"/>
      <c r="E91" s="169"/>
      <c r="F91" s="169"/>
      <c r="G91" s="170"/>
      <c r="H91" s="170"/>
      <c r="I91" s="169"/>
      <c r="J91" s="1"/>
      <c r="K91" s="169"/>
      <c r="L91" s="332">
        <v>87</v>
      </c>
      <c r="M91" s="332">
        <f>IF(L91&lt;=$C$22,$B$22,IF(L91&lt;=$C$23+$C$22,$B$23,0))</f>
      </c>
      <c r="N91" s="1"/>
      <c r="O91" s="332">
        <f>IF(Q91=12,O90-1,O90)</f>
      </c>
      <c r="P91" s="332">
        <v>87</v>
      </c>
      <c r="Q91" s="332">
        <f>IF(Q90=1,12,Q90-1)</f>
      </c>
      <c r="R91" s="169"/>
      <c r="S91" s="333">
        <f>HLOOKUP(O91,'Datos SS'!$B$4:$CZZ$16,(Q91+1),0)</f>
      </c>
      <c r="T91" s="333">
        <f>IF(O91=YEAR($B$5),($B$9/12),IF(O91&gt;MIN(YEAR($B$7),YEAR($B$5)),($B$9/12)*(1+HLOOKUP(O91,'Datos SS'!$B$31:$CZZ$32,2,0))^(O91-YEAR($B$5)),T79/(1+HLOOKUP(O91,'Datos SS'!$B$31:$CZZ$32,2,0))))</f>
      </c>
      <c r="U91" s="333">
        <f>IF(O91=2018,IF(Q91&lt;8,HLOOKUP(O91,'Datos SS'!$B$25:$BZZ$27,3,0)/12,HLOOKUP(O91,'Datos SS'!$B$25:$BZZ$26,2,0)/12),HLOOKUP(O91,'Datos SS'!$B$25:$BZZ$26,2,0)/12)</f>
      </c>
      <c r="V91" s="964">
        <f>MAX(X91,MIN(T91,U91))</f>
      </c>
      <c r="W91" s="333">
        <f>IF($E$19="NO",IF(P91&lt;=180,IF(P91&lt;25,V91,V91*$S$28/S91),0),IF(P91&gt;$B$15,0,IF(P91&lt;25,V91,V91*$S$28/S91)))</f>
      </c>
      <c r="X91" s="721">
        <f>HLOOKUP(O91,'Datos SS'!$K$37:$EP$38,2,0)</f>
      </c>
      <c r="Y91" s="331">
        <f>MAX(INT(Y90)-1,0)</f>
      </c>
      <c r="Z91" s="169"/>
      <c r="AA91" s="169"/>
      <c r="AB91" s="169"/>
      <c r="AC91" s="965">
        <v>2167.315998566325</v>
      </c>
      <c r="AD91" s="331">
        <f>+AC91-W91</f>
      </c>
      <c r="AE91" s="169"/>
      <c r="AF91" s="170"/>
      <c r="AG91" s="169"/>
      <c r="AH91" s="170"/>
      <c r="AI91" s="170"/>
      <c r="AJ91" s="1"/>
      <c r="AK91" s="1"/>
      <c r="AL91" s="170"/>
      <c r="AM91" s="170"/>
    </row>
    <row x14ac:dyDescent="0.25" r="92" customHeight="1" ht="18.75">
      <c r="A92" s="1"/>
      <c r="B92" s="170"/>
      <c r="C92" s="169"/>
      <c r="D92" s="170"/>
      <c r="E92" s="169"/>
      <c r="F92" s="169"/>
      <c r="G92" s="170"/>
      <c r="H92" s="170"/>
      <c r="I92" s="169"/>
      <c r="J92" s="1"/>
      <c r="K92" s="169"/>
      <c r="L92" s="332">
        <v>88</v>
      </c>
      <c r="M92" s="332">
        <f>IF(L92&lt;=$C$22,$B$22,IF(L92&lt;=$C$23+$C$22,$B$23,0))</f>
      </c>
      <c r="N92" s="1"/>
      <c r="O92" s="332">
        <f>IF(Q92=12,O91-1,O91)</f>
      </c>
      <c r="P92" s="332">
        <v>88</v>
      </c>
      <c r="Q92" s="332">
        <f>IF(Q91=1,12,Q91-1)</f>
      </c>
      <c r="R92" s="169"/>
      <c r="S92" s="333">
        <f>HLOOKUP(O92,'Datos SS'!$B$4:$CZZ$16,(Q92+1),0)</f>
      </c>
      <c r="T92" s="333">
        <f>IF(O92=YEAR($B$5),($B$9/12),IF(O92&gt;MIN(YEAR($B$7),YEAR($B$5)),($B$9/12)*(1+HLOOKUP(O92,'Datos SS'!$B$31:$CZZ$32,2,0))^(O92-YEAR($B$5)),T80/(1+HLOOKUP(O92,'Datos SS'!$B$31:$CZZ$32,2,0))))</f>
      </c>
      <c r="U92" s="333">
        <f>IF(O92=2018,IF(Q92&lt;8,HLOOKUP(O92,'Datos SS'!$B$25:$BZZ$27,3,0)/12,HLOOKUP(O92,'Datos SS'!$B$25:$BZZ$26,2,0)/12),HLOOKUP(O92,'Datos SS'!$B$25:$BZZ$26,2,0)/12)</f>
      </c>
      <c r="V92" s="964">
        <f>MAX(X92,MIN(T92,U92))</f>
      </c>
      <c r="W92" s="333">
        <f>IF($E$19="NO",IF(P92&lt;=180,IF(P92&lt;25,V92,V92*$S$28/S92),0),IF(P92&gt;$B$15,0,IF(P92&lt;25,V92,V92*$S$28/S92)))</f>
      </c>
      <c r="X92" s="721">
        <f>HLOOKUP(O92,'Datos SS'!$K$37:$EP$38,2,0)</f>
      </c>
      <c r="Y92" s="331">
        <f>MAX(INT(Y91)-1,0)</f>
      </c>
      <c r="Z92" s="169"/>
      <c r="AA92" s="169"/>
      <c r="AB92" s="169"/>
      <c r="AC92" s="965">
        <v>2169.113869792968</v>
      </c>
      <c r="AD92" s="331">
        <f>+AC92-W92</f>
      </c>
      <c r="AE92" s="169"/>
      <c r="AF92" s="170"/>
      <c r="AG92" s="169"/>
      <c r="AH92" s="170"/>
      <c r="AI92" s="170"/>
      <c r="AJ92" s="1"/>
      <c r="AK92" s="1"/>
      <c r="AL92" s="170"/>
      <c r="AM92" s="170"/>
    </row>
    <row x14ac:dyDescent="0.25" r="93" customHeight="1" ht="18.75">
      <c r="A93" s="1"/>
      <c r="B93" s="170"/>
      <c r="C93" s="169"/>
      <c r="D93" s="170"/>
      <c r="E93" s="169"/>
      <c r="F93" s="169"/>
      <c r="G93" s="170"/>
      <c r="H93" s="170"/>
      <c r="I93" s="169"/>
      <c r="J93" s="1"/>
      <c r="K93" s="169"/>
      <c r="L93" s="332">
        <v>89</v>
      </c>
      <c r="M93" s="332">
        <f>IF(L93&lt;=$C$22,$B$22,IF(L93&lt;=$C$23+$C$22,$B$23,0))</f>
      </c>
      <c r="N93" s="1"/>
      <c r="O93" s="332">
        <f>IF(Q93=12,O92-1,O92)</f>
      </c>
      <c r="P93" s="332">
        <v>89</v>
      </c>
      <c r="Q93" s="332">
        <f>IF(Q92=1,12,Q92-1)</f>
      </c>
      <c r="R93" s="169"/>
      <c r="S93" s="333">
        <f>HLOOKUP(O93,'Datos SS'!$B$4:$CZZ$16,(Q93+1),0)</f>
      </c>
      <c r="T93" s="333">
        <f>IF(O93=YEAR($B$5),($B$9/12),IF(O93&gt;MIN(YEAR($B$7),YEAR($B$5)),($B$9/12)*(1+HLOOKUP(O93,'Datos SS'!$B$31:$CZZ$32,2,0))^(O93-YEAR($B$5)),T81/(1+HLOOKUP(O93,'Datos SS'!$B$31:$CZZ$32,2,0))))</f>
      </c>
      <c r="U93" s="333">
        <f>IF(O93=2018,IF(Q93&lt;8,HLOOKUP(O93,'Datos SS'!$B$25:$BZZ$27,3,0)/12,HLOOKUP(O93,'Datos SS'!$B$25:$BZZ$26,2,0)/12),HLOOKUP(O93,'Datos SS'!$B$25:$BZZ$26,2,0)/12)</f>
      </c>
      <c r="V93" s="964">
        <f>MAX(X93,MIN(T93,U93))</f>
      </c>
      <c r="W93" s="333">
        <f>IF($E$19="NO",IF(P93&lt;=180,IF(P93&lt;25,V93,V93*$S$28/S93),0),IF(P93&gt;$B$15,0,IF(P93&lt;25,V93,V93*$S$28/S93)))</f>
      </c>
      <c r="X93" s="721">
        <f>HLOOKUP(O93,'Datos SS'!$K$37:$EP$38,2,0)</f>
      </c>
      <c r="Y93" s="331">
        <f>MAX(INT(Y92)-1,0)</f>
      </c>
      <c r="Z93" s="169"/>
      <c r="AA93" s="169"/>
      <c r="AB93" s="169"/>
      <c r="AC93" s="965">
        <v>2170.9132324223187</v>
      </c>
      <c r="AD93" s="331">
        <f>+AC93-W93</f>
      </c>
      <c r="AE93" s="169"/>
      <c r="AF93" s="170"/>
      <c r="AG93" s="169"/>
      <c r="AH93" s="170"/>
      <c r="AI93" s="170"/>
      <c r="AJ93" s="1"/>
      <c r="AK93" s="1"/>
      <c r="AL93" s="170"/>
      <c r="AM93" s="170"/>
    </row>
    <row x14ac:dyDescent="0.25" r="94" customHeight="1" ht="18.75">
      <c r="A94" s="1"/>
      <c r="B94" s="170"/>
      <c r="C94" s="169"/>
      <c r="D94" s="170"/>
      <c r="E94" s="169"/>
      <c r="F94" s="169"/>
      <c r="G94" s="170"/>
      <c r="H94" s="170"/>
      <c r="I94" s="169"/>
      <c r="J94" s="1"/>
      <c r="K94" s="169"/>
      <c r="L94" s="332">
        <v>90</v>
      </c>
      <c r="M94" s="332">
        <f>IF(L94&lt;=$C$22,$B$22,IF(L94&lt;=$C$23+$C$22,$B$23,0))</f>
      </c>
      <c r="N94" s="1"/>
      <c r="O94" s="332">
        <f>IF(Q94=12,O93-1,O93)</f>
      </c>
      <c r="P94" s="332">
        <v>90</v>
      </c>
      <c r="Q94" s="332">
        <f>IF(Q93=1,12,Q93-1)</f>
      </c>
      <c r="R94" s="169"/>
      <c r="S94" s="333">
        <f>HLOOKUP(O94,'Datos SS'!$B$4:$CZZ$16,(Q94+1),0)</f>
      </c>
      <c r="T94" s="333">
        <f>IF(O94=YEAR($B$5),($B$9/12),IF(O94&gt;MIN(YEAR($B$7),YEAR($B$5)),($B$9/12)*(1+HLOOKUP(O94,'Datos SS'!$B$31:$CZZ$32,2,0))^(O94-YEAR($B$5)),T82/(1+HLOOKUP(O94,'Datos SS'!$B$31:$CZZ$32,2,0))))</f>
      </c>
      <c r="U94" s="333">
        <f>IF(O94=2018,IF(Q94&lt;8,HLOOKUP(O94,'Datos SS'!$B$25:$BZZ$27,3,0)/12,HLOOKUP(O94,'Datos SS'!$B$25:$BZZ$26,2,0)/12),HLOOKUP(O94,'Datos SS'!$B$25:$BZZ$26,2,0)/12)</f>
      </c>
      <c r="V94" s="964">
        <f>MAX(X94,MIN(T94,U94))</f>
      </c>
      <c r="W94" s="333">
        <f>IF($E$19="NO",IF(P94&lt;=180,IF(P94&lt;25,V94,V94*$S$28/S94),0),IF(P94&gt;$B$15,0,IF(P94&lt;25,V94,V94*$S$28/S94)))</f>
      </c>
      <c r="X94" s="721">
        <f>HLOOKUP(O94,'Datos SS'!$K$37:$EP$38,2,0)</f>
      </c>
      <c r="Y94" s="331">
        <f>MAX(INT(Y93)-1,0)</f>
      </c>
      <c r="Z94" s="169"/>
      <c r="AA94" s="169"/>
      <c r="AB94" s="169"/>
      <c r="AC94" s="965">
        <v>2172.7140876915514</v>
      </c>
      <c r="AD94" s="331">
        <f>+AC94-W94</f>
      </c>
      <c r="AE94" s="169"/>
      <c r="AF94" s="170"/>
      <c r="AG94" s="169"/>
      <c r="AH94" s="170"/>
      <c r="AI94" s="170"/>
      <c r="AJ94" s="1"/>
      <c r="AK94" s="1"/>
      <c r="AL94" s="170"/>
      <c r="AM94" s="170"/>
    </row>
    <row x14ac:dyDescent="0.25" r="95" customHeight="1" ht="18.75">
      <c r="A95" s="1"/>
      <c r="B95" s="170"/>
      <c r="C95" s="169"/>
      <c r="D95" s="170"/>
      <c r="E95" s="169"/>
      <c r="F95" s="169"/>
      <c r="G95" s="170"/>
      <c r="H95" s="170"/>
      <c r="I95" s="169"/>
      <c r="J95" s="1"/>
      <c r="K95" s="169"/>
      <c r="L95" s="332">
        <v>91</v>
      </c>
      <c r="M95" s="332">
        <f>IF(L95&lt;=$C$22,$B$22,IF(L95&lt;=$C$23+$C$22,$B$23,0))</f>
      </c>
      <c r="N95" s="1"/>
      <c r="O95" s="332">
        <f>IF(Q95=12,O94-1,O94)</f>
      </c>
      <c r="P95" s="332">
        <v>91</v>
      </c>
      <c r="Q95" s="332">
        <f>IF(Q94=1,12,Q94-1)</f>
      </c>
      <c r="R95" s="169"/>
      <c r="S95" s="333">
        <f>HLOOKUP(O95,'Datos SS'!$B$4:$CZZ$16,(Q95+1),0)</f>
      </c>
      <c r="T95" s="333">
        <f>IF(O95=YEAR($B$5),($B$9/12),IF(O95&gt;MIN(YEAR($B$7),YEAR($B$5)),($B$9/12)*(1+HLOOKUP(O95,'Datos SS'!$B$31:$CZZ$32,2,0))^(O95-YEAR($B$5)),T83/(1+HLOOKUP(O95,'Datos SS'!$B$31:$CZZ$32,2,0))))</f>
      </c>
      <c r="U95" s="333">
        <f>IF(O95=2018,IF(Q95&lt;8,HLOOKUP(O95,'Datos SS'!$B$25:$BZZ$27,3,0)/12,HLOOKUP(O95,'Datos SS'!$B$25:$BZZ$26,2,0)/12),HLOOKUP(O95,'Datos SS'!$B$25:$BZZ$26,2,0)/12)</f>
      </c>
      <c r="V95" s="964">
        <f>MAX(X95,MIN(T95,U95))</f>
      </c>
      <c r="W95" s="333">
        <f>IF($E$19="NO",IF(P95&lt;=180,IF(P95&lt;25,V95,V95*$S$28/S95),0),IF(P95&gt;$B$15,0,IF(P95&lt;25,V95,V95*$S$28/S95)))</f>
      </c>
      <c r="X95" s="721">
        <f>HLOOKUP(O95,'Datos SS'!$K$37:$EP$38,2,0)</f>
      </c>
      <c r="Y95" s="331">
        <f>MAX(INT(Y94)-1,0)</f>
      </c>
      <c r="Z95" s="169"/>
      <c r="AA95" s="169"/>
      <c r="AB95" s="169"/>
      <c r="AC95" s="965">
        <v>2174.5164368388682</v>
      </c>
      <c r="AD95" s="331">
        <f>+AC95-W95</f>
      </c>
      <c r="AE95" s="169"/>
      <c r="AF95" s="170"/>
      <c r="AG95" s="169"/>
      <c r="AH95" s="170"/>
      <c r="AI95" s="170"/>
      <c r="AJ95" s="1"/>
      <c r="AK95" s="1"/>
      <c r="AL95" s="170"/>
      <c r="AM95" s="170"/>
    </row>
    <row x14ac:dyDescent="0.25" r="96" customHeight="1" ht="18.75">
      <c r="A96" s="1"/>
      <c r="B96" s="170"/>
      <c r="C96" s="169"/>
      <c r="D96" s="170"/>
      <c r="E96" s="169"/>
      <c r="F96" s="169"/>
      <c r="G96" s="170"/>
      <c r="H96" s="170"/>
      <c r="I96" s="169"/>
      <c r="J96" s="1"/>
      <c r="K96" s="169"/>
      <c r="L96" s="332">
        <v>92</v>
      </c>
      <c r="M96" s="332">
        <f>IF(L96&lt;=$C$22,$B$22,IF(L96&lt;=$C$23+$C$22,$B$23,0))</f>
      </c>
      <c r="N96" s="1"/>
      <c r="O96" s="332">
        <f>IF(Q96=12,O95-1,O95)</f>
      </c>
      <c r="P96" s="332">
        <v>92</v>
      </c>
      <c r="Q96" s="332">
        <f>IF(Q95=1,12,Q95-1)</f>
      </c>
      <c r="R96" s="169"/>
      <c r="S96" s="333">
        <f>HLOOKUP(O96,'Datos SS'!$B$4:$CZZ$16,(Q96+1),0)</f>
      </c>
      <c r="T96" s="333">
        <f>IF(O96=YEAR($B$5),($B$9/12),IF(O96&gt;MIN(YEAR($B$7),YEAR($B$5)),($B$9/12)*(1+HLOOKUP(O96,'Datos SS'!$B$31:$CZZ$32,2,0))^(O96-YEAR($B$5)),T84/(1+HLOOKUP(O96,'Datos SS'!$B$31:$CZZ$32,2,0))))</f>
      </c>
      <c r="U96" s="333">
        <f>IF(O96=2018,IF(Q96&lt;8,HLOOKUP(O96,'Datos SS'!$B$25:$BZZ$27,3,0)/12,HLOOKUP(O96,'Datos SS'!$B$25:$BZZ$26,2,0)/12),HLOOKUP(O96,'Datos SS'!$B$25:$BZZ$26,2,0)/12)</f>
      </c>
      <c r="V96" s="964">
        <f>MAX(X96,MIN(T96,U96))</f>
      </c>
      <c r="W96" s="333">
        <f>IF($E$19="NO",IF(P96&lt;=180,IF(P96&lt;25,V96,V96*$S$28/S96),0),IF(P96&gt;$B$15,0,IF(P96&lt;25,V96,V96*$S$28/S96)))</f>
      </c>
      <c r="X96" s="721">
        <f>HLOOKUP(O96,'Datos SS'!$K$37:$EP$38,2,0)</f>
      </c>
      <c r="Y96" s="331">
        <f>MAX(INT(Y95)-1,0)</f>
      </c>
      <c r="Z96" s="169"/>
      <c r="AA96" s="169"/>
      <c r="AB96" s="169"/>
      <c r="AC96" s="965">
        <v>2176.3202811034985</v>
      </c>
      <c r="AD96" s="331">
        <f>+AC96-W96</f>
      </c>
      <c r="AE96" s="169"/>
      <c r="AF96" s="170"/>
      <c r="AG96" s="169"/>
      <c r="AH96" s="170"/>
      <c r="AI96" s="170"/>
      <c r="AJ96" s="1"/>
      <c r="AK96" s="1"/>
      <c r="AL96" s="170"/>
      <c r="AM96" s="170"/>
    </row>
    <row x14ac:dyDescent="0.25" r="97" customHeight="1" ht="18.75">
      <c r="A97" s="1"/>
      <c r="B97" s="170"/>
      <c r="C97" s="169"/>
      <c r="D97" s="170"/>
      <c r="E97" s="169"/>
      <c r="F97" s="169"/>
      <c r="G97" s="170"/>
      <c r="H97" s="170"/>
      <c r="I97" s="169"/>
      <c r="J97" s="1"/>
      <c r="K97" s="169"/>
      <c r="L97" s="332">
        <v>93</v>
      </c>
      <c r="M97" s="332">
        <f>IF(L97&lt;=$C$22,$B$22,IF(L97&lt;=$C$23+$C$22,$B$23,0))</f>
      </c>
      <c r="N97" s="1"/>
      <c r="O97" s="332">
        <f>IF(Q97=12,O96-1,O96)</f>
      </c>
      <c r="P97" s="332">
        <v>93</v>
      </c>
      <c r="Q97" s="332">
        <f>IF(Q96=1,12,Q96-1)</f>
      </c>
      <c r="R97" s="169"/>
      <c r="S97" s="333">
        <f>HLOOKUP(O97,'Datos SS'!$B$4:$CZZ$16,(Q97+1),0)</f>
      </c>
      <c r="T97" s="333">
        <f>IF(O97=YEAR($B$5),($B$9/12),IF(O97&gt;MIN(YEAR($B$7),YEAR($B$5)),($B$9/12)*(1+HLOOKUP(O97,'Datos SS'!$B$31:$CZZ$32,2,0))^(O97-YEAR($B$5)),T85/(1+HLOOKUP(O97,'Datos SS'!$B$31:$CZZ$32,2,0))))</f>
      </c>
      <c r="U97" s="333">
        <f>IF(O97=2018,IF(Q97&lt;8,HLOOKUP(O97,'Datos SS'!$B$25:$BZZ$27,3,0)/12,HLOOKUP(O97,'Datos SS'!$B$25:$BZZ$26,2,0)/12),HLOOKUP(O97,'Datos SS'!$B$25:$BZZ$26,2,0)/12)</f>
      </c>
      <c r="V97" s="964">
        <f>MAX(X97,MIN(T97,U97))</f>
      </c>
      <c r="W97" s="333">
        <f>IF($E$19="NO",IF(P97&lt;=180,IF(P97&lt;25,V97,V97*$S$28/S97),0),IF(P97&gt;$B$15,0,IF(P97&lt;25,V97,V97*$S$28/S97)))</f>
      </c>
      <c r="X97" s="721">
        <f>HLOOKUP(O97,'Datos SS'!$K$37:$EP$38,2,0)</f>
      </c>
      <c r="Y97" s="331">
        <f>MAX(INT(Y96)-1,0)</f>
      </c>
      <c r="Z97" s="169"/>
      <c r="AA97" s="169"/>
      <c r="AB97" s="169"/>
      <c r="AC97" s="965">
        <v>2178.1256217256982</v>
      </c>
      <c r="AD97" s="331">
        <f>+AC97-W97</f>
      </c>
      <c r="AE97" s="169"/>
      <c r="AF97" s="170"/>
      <c r="AG97" s="169"/>
      <c r="AH97" s="170"/>
      <c r="AI97" s="170"/>
      <c r="AJ97" s="1"/>
      <c r="AK97" s="1"/>
      <c r="AL97" s="170"/>
      <c r="AM97" s="170"/>
    </row>
    <row x14ac:dyDescent="0.25" r="98" customHeight="1" ht="18.75">
      <c r="A98" s="1"/>
      <c r="B98" s="170"/>
      <c r="C98" s="169"/>
      <c r="D98" s="170"/>
      <c r="E98" s="169"/>
      <c r="F98" s="169"/>
      <c r="G98" s="170"/>
      <c r="H98" s="170"/>
      <c r="I98" s="169"/>
      <c r="J98" s="1"/>
      <c r="K98" s="169"/>
      <c r="L98" s="332">
        <v>94</v>
      </c>
      <c r="M98" s="332">
        <f>IF(L98&lt;=$C$22,$B$22,IF(L98&lt;=$C$23+$C$22,$B$23,0))</f>
      </c>
      <c r="N98" s="1"/>
      <c r="O98" s="332">
        <f>IF(Q98=12,O97-1,O97)</f>
      </c>
      <c r="P98" s="332">
        <v>94</v>
      </c>
      <c r="Q98" s="332">
        <f>IF(Q97=1,12,Q97-1)</f>
      </c>
      <c r="R98" s="169"/>
      <c r="S98" s="333">
        <f>HLOOKUP(O98,'Datos SS'!$B$4:$CZZ$16,(Q98+1),0)</f>
      </c>
      <c r="T98" s="333">
        <f>IF(O98=YEAR($B$5),($B$9/12),IF(O98&gt;MIN(YEAR($B$7),YEAR($B$5)),($B$9/12)*(1+HLOOKUP(O98,'Datos SS'!$B$31:$CZZ$32,2,0))^(O98-YEAR($B$5)),T86/(1+HLOOKUP(O98,'Datos SS'!$B$31:$CZZ$32,2,0))))</f>
      </c>
      <c r="U98" s="333">
        <f>IF(O98=2018,IF(Q98&lt;8,HLOOKUP(O98,'Datos SS'!$B$25:$BZZ$27,3,0)/12,HLOOKUP(O98,'Datos SS'!$B$25:$BZZ$26,2,0)/12),HLOOKUP(O98,'Datos SS'!$B$25:$BZZ$26,2,0)/12)</f>
      </c>
      <c r="V98" s="964">
        <f>MAX(X98,MIN(T98,U98))</f>
      </c>
      <c r="W98" s="333">
        <f>IF($E$19="NO",IF(P98&lt;=180,IF(P98&lt;25,V98,V98*$S$28/S98),0),IF(P98&gt;$B$15,0,IF(P98&lt;25,V98,V98*$S$28/S98)))</f>
      </c>
      <c r="X98" s="721">
        <f>HLOOKUP(O98,'Datos SS'!$K$37:$EP$38,2,0)</f>
      </c>
      <c r="Y98" s="331">
        <f>MAX(INT(Y97)-1,0)</f>
      </c>
      <c r="Z98" s="169"/>
      <c r="AA98" s="169"/>
      <c r="AB98" s="169"/>
      <c r="AC98" s="965">
        <v>2137.1886862223073</v>
      </c>
      <c r="AD98" s="331">
        <f>+AC98-W98</f>
      </c>
      <c r="AE98" s="169"/>
      <c r="AF98" s="170"/>
      <c r="AG98" s="169"/>
      <c r="AH98" s="170"/>
      <c r="AI98" s="170"/>
      <c r="AJ98" s="1"/>
      <c r="AK98" s="1"/>
      <c r="AL98" s="170"/>
      <c r="AM98" s="170"/>
    </row>
    <row x14ac:dyDescent="0.25" r="99" customHeight="1" ht="18.75">
      <c r="A99" s="1"/>
      <c r="B99" s="170"/>
      <c r="C99" s="169"/>
      <c r="D99" s="170"/>
      <c r="E99" s="169"/>
      <c r="F99" s="169"/>
      <c r="G99" s="170"/>
      <c r="H99" s="170"/>
      <c r="I99" s="169"/>
      <c r="J99" s="1"/>
      <c r="K99" s="169"/>
      <c r="L99" s="332">
        <v>95</v>
      </c>
      <c r="M99" s="332">
        <f>IF(L99&lt;=$C$22,$B$22,IF(L99&lt;=$C$23+$C$22,$B$23,0))</f>
      </c>
      <c r="N99" s="1"/>
      <c r="O99" s="332">
        <f>IF(Q99=12,O98-1,O98)</f>
      </c>
      <c r="P99" s="332">
        <v>95</v>
      </c>
      <c r="Q99" s="332">
        <f>IF(Q98=1,12,Q98-1)</f>
      </c>
      <c r="R99" s="169"/>
      <c r="S99" s="333">
        <f>HLOOKUP(O99,'Datos SS'!$B$4:$CZZ$16,(Q99+1),0)</f>
      </c>
      <c r="T99" s="333">
        <f>IF(O99=YEAR($B$5),($B$9/12),IF(O99&gt;MIN(YEAR($B$7),YEAR($B$5)),($B$9/12)*(1+HLOOKUP(O99,'Datos SS'!$B$31:$CZZ$32,2,0))^(O99-YEAR($B$5)),T87/(1+HLOOKUP(O99,'Datos SS'!$B$31:$CZZ$32,2,0))))</f>
      </c>
      <c r="U99" s="333">
        <f>IF(O99=2018,IF(Q99&lt;8,HLOOKUP(O99,'Datos SS'!$B$25:$BZZ$27,3,0)/12,HLOOKUP(O99,'Datos SS'!$B$25:$BZZ$26,2,0)/12),HLOOKUP(O99,'Datos SS'!$B$25:$BZZ$26,2,0)/12)</f>
      </c>
      <c r="V99" s="964">
        <f>MAX(X99,MIN(T99,U99))</f>
      </c>
      <c r="W99" s="333">
        <f>IF($E$19="NO",IF(P99&lt;=180,IF(P99&lt;25,V99,V99*$S$28/S99),0),IF(P99&gt;$B$15,0,IF(P99&lt;25,V99,V99*$S$28/S99)))</f>
      </c>
      <c r="X99" s="721">
        <f>HLOOKUP(O99,'Datos SS'!$K$37:$EP$38,2,0)</f>
      </c>
      <c r="Y99" s="331">
        <f>MAX(INT(Y98)-1,0)</f>
      </c>
      <c r="Z99" s="169"/>
      <c r="AA99" s="169"/>
      <c r="AB99" s="169"/>
      <c r="AC99" s="965">
        <v>2138.961565695078</v>
      </c>
      <c r="AD99" s="331">
        <f>+AC99-W99</f>
      </c>
      <c r="AE99" s="169"/>
      <c r="AF99" s="170"/>
      <c r="AG99" s="169"/>
      <c r="AH99" s="170"/>
      <c r="AI99" s="170"/>
      <c r="AJ99" s="1"/>
      <c r="AK99" s="1"/>
      <c r="AL99" s="170"/>
      <c r="AM99" s="170"/>
    </row>
    <row x14ac:dyDescent="0.25" r="100" customHeight="1" ht="18.75">
      <c r="A100" s="1"/>
      <c r="B100" s="170"/>
      <c r="C100" s="169"/>
      <c r="D100" s="170"/>
      <c r="E100" s="169"/>
      <c r="F100" s="169"/>
      <c r="G100" s="170"/>
      <c r="H100" s="170"/>
      <c r="I100" s="169"/>
      <c r="J100" s="1"/>
      <c r="K100" s="169"/>
      <c r="L100" s="332">
        <v>96</v>
      </c>
      <c r="M100" s="332">
        <f>IF(L100&lt;=$C$22,$B$22,IF(L100&lt;=$C$23+$C$22,$B$23,0))</f>
      </c>
      <c r="N100" s="1"/>
      <c r="O100" s="332">
        <f>IF(Q100=12,O99-1,O99)</f>
      </c>
      <c r="P100" s="332">
        <v>96</v>
      </c>
      <c r="Q100" s="332">
        <f>IF(Q99=1,12,Q99-1)</f>
      </c>
      <c r="R100" s="169"/>
      <c r="S100" s="333">
        <f>HLOOKUP(O100,'Datos SS'!$B$4:$CZZ$16,(Q100+1),0)</f>
      </c>
      <c r="T100" s="333">
        <f>IF(O100=YEAR($B$5),($B$9/12),IF(O100&gt;MIN(YEAR($B$7),YEAR($B$5)),($B$9/12)*(1+HLOOKUP(O100,'Datos SS'!$B$31:$CZZ$32,2,0))^(O100-YEAR($B$5)),T88/(1+HLOOKUP(O100,'Datos SS'!$B$31:$CZZ$32,2,0))))</f>
      </c>
      <c r="U100" s="333">
        <f>IF(O100=2018,IF(Q100&lt;8,HLOOKUP(O100,'Datos SS'!$B$25:$BZZ$27,3,0)/12,HLOOKUP(O100,'Datos SS'!$B$25:$BZZ$26,2,0)/12),HLOOKUP(O100,'Datos SS'!$B$25:$BZZ$26,2,0)/12)</f>
      </c>
      <c r="V100" s="964">
        <f>MAX(X100,MIN(T100,U100))</f>
      </c>
      <c r="W100" s="333">
        <f>IF($E$19="NO",IF(P100&lt;=180,IF(P100&lt;25,V100,V100*$S$28/S100),0),IF(P100&gt;$B$15,0,IF(P100&lt;25,V100,V100*$S$28/S100)))</f>
      </c>
      <c r="X100" s="721">
        <f>HLOOKUP(O100,'Datos SS'!$K$37:$EP$38,2,0)</f>
      </c>
      <c r="Y100" s="331">
        <f>MAX(INT(Y99)-1,0)</f>
      </c>
      <c r="Z100" s="169"/>
      <c r="AA100" s="169"/>
      <c r="AB100" s="169"/>
      <c r="AC100" s="965">
        <v>2140.7359158389436</v>
      </c>
      <c r="AD100" s="331">
        <f>+AC100-W100</f>
      </c>
      <c r="AE100" s="169"/>
      <c r="AF100" s="170"/>
      <c r="AG100" s="169"/>
      <c r="AH100" s="170"/>
      <c r="AI100" s="170"/>
      <c r="AJ100" s="1"/>
      <c r="AK100" s="1"/>
      <c r="AL100" s="170"/>
      <c r="AM100" s="170"/>
    </row>
    <row x14ac:dyDescent="0.25" r="101" customHeight="1" ht="18.75">
      <c r="A101" s="1"/>
      <c r="B101" s="170"/>
      <c r="C101" s="169"/>
      <c r="D101" s="170"/>
      <c r="E101" s="169"/>
      <c r="F101" s="169"/>
      <c r="G101" s="170"/>
      <c r="H101" s="170"/>
      <c r="I101" s="169"/>
      <c r="J101" s="1"/>
      <c r="K101" s="169"/>
      <c r="L101" s="332">
        <v>97</v>
      </c>
      <c r="M101" s="332">
        <f>IF(L101&lt;=$C$22,$B$22,IF(L101&lt;=$C$23+$C$22,$B$23,0))</f>
      </c>
      <c r="N101" s="1"/>
      <c r="O101" s="332">
        <f>IF(Q101=12,O100-1,O100)</f>
      </c>
      <c r="P101" s="332">
        <v>97</v>
      </c>
      <c r="Q101" s="332">
        <f>IF(Q100=1,12,Q100-1)</f>
      </c>
      <c r="R101" s="169"/>
      <c r="S101" s="333">
        <f>HLOOKUP(O101,'Datos SS'!$B$4:$CZZ$16,(Q101+1),0)</f>
      </c>
      <c r="T101" s="333">
        <f>IF(O101=YEAR($B$5),($B$9/12),IF(O101&gt;MIN(YEAR($B$7),YEAR($B$5)),($B$9/12)*(1+HLOOKUP(O101,'Datos SS'!$B$31:$CZZ$32,2,0))^(O101-YEAR($B$5)),T89/(1+HLOOKUP(O101,'Datos SS'!$B$31:$CZZ$32,2,0))))</f>
      </c>
      <c r="U101" s="333">
        <f>IF(O101=2018,IF(Q101&lt;8,HLOOKUP(O101,'Datos SS'!$B$25:$BZZ$27,3,0)/12,HLOOKUP(O101,'Datos SS'!$B$25:$BZZ$26,2,0)/12),HLOOKUP(O101,'Datos SS'!$B$25:$BZZ$26,2,0)/12)</f>
      </c>
      <c r="V101" s="964">
        <f>MAX(X101,MIN(T101,U101))</f>
      </c>
      <c r="W101" s="333">
        <f>IF($E$19="NO",IF(P101&lt;=180,IF(P101&lt;25,V101,V101*$S$28/S101),0),IF(P101&gt;$B$15,0,IF(P101&lt;25,V101,V101*$S$28/S101)))</f>
      </c>
      <c r="X101" s="721">
        <f>HLOOKUP(O101,'Datos SS'!$K$37:$EP$38,2,0)</f>
      </c>
      <c r="Y101" s="331">
        <f>MAX(INT(Y100)-1,0)</f>
      </c>
      <c r="Z101" s="169"/>
      <c r="AA101" s="169"/>
      <c r="AB101" s="169"/>
      <c r="AC101" s="965">
        <v>2142.511737873882</v>
      </c>
      <c r="AD101" s="331">
        <f>+AC101-W101</f>
      </c>
      <c r="AE101" s="169"/>
      <c r="AF101" s="170"/>
      <c r="AG101" s="169"/>
      <c r="AH101" s="170"/>
      <c r="AI101" s="170"/>
      <c r="AJ101" s="1"/>
      <c r="AK101" s="1"/>
      <c r="AL101" s="170"/>
      <c r="AM101" s="170"/>
    </row>
    <row x14ac:dyDescent="0.25" r="102" customHeight="1" ht="18.75">
      <c r="A102" s="1"/>
      <c r="B102" s="170"/>
      <c r="C102" s="169"/>
      <c r="D102" s="170"/>
      <c r="E102" s="169"/>
      <c r="F102" s="169"/>
      <c r="G102" s="170"/>
      <c r="H102" s="170"/>
      <c r="I102" s="169"/>
      <c r="J102" s="1"/>
      <c r="K102" s="169"/>
      <c r="L102" s="332">
        <v>98</v>
      </c>
      <c r="M102" s="332">
        <f>IF(L102&lt;=$C$22,$B$22,IF(L102&lt;=$C$23+$C$22,$B$23,0))</f>
      </c>
      <c r="N102" s="1"/>
      <c r="O102" s="332">
        <f>IF(Q102=12,O101-1,O101)</f>
      </c>
      <c r="P102" s="332">
        <v>98</v>
      </c>
      <c r="Q102" s="332">
        <f>IF(Q101=1,12,Q101-1)</f>
      </c>
      <c r="R102" s="169"/>
      <c r="S102" s="333">
        <f>HLOOKUP(O102,'Datos SS'!$B$4:$CZZ$16,(Q102+1),0)</f>
      </c>
      <c r="T102" s="333">
        <f>IF(O102=YEAR($B$5),($B$9/12),IF(O102&gt;MIN(YEAR($B$7),YEAR($B$5)),($B$9/12)*(1+HLOOKUP(O102,'Datos SS'!$B$31:$CZZ$32,2,0))^(O102-YEAR($B$5)),T90/(1+HLOOKUP(O102,'Datos SS'!$B$31:$CZZ$32,2,0))))</f>
      </c>
      <c r="U102" s="333">
        <f>IF(O102=2018,IF(Q102&lt;8,HLOOKUP(O102,'Datos SS'!$B$25:$BZZ$27,3,0)/12,HLOOKUP(O102,'Datos SS'!$B$25:$BZZ$26,2,0)/12),HLOOKUP(O102,'Datos SS'!$B$25:$BZZ$26,2,0)/12)</f>
      </c>
      <c r="V102" s="964">
        <f>MAX(X102,MIN(T102,U102))</f>
      </c>
      <c r="W102" s="333">
        <f>IF($E$19="NO",IF(P102&lt;=180,IF(P102&lt;25,V102,V102*$S$28/S102),0),IF(P102&gt;$B$15,0,IF(P102&lt;25,V102,V102*$S$28/S102)))</f>
      </c>
      <c r="X102" s="721">
        <f>HLOOKUP(O102,'Datos SS'!$K$37:$EP$38,2,0)</f>
      </c>
      <c r="Y102" s="331">
        <f>MAX(INT(Y101)-1,0)</f>
      </c>
      <c r="Z102" s="169"/>
      <c r="AA102" s="169"/>
      <c r="AB102" s="169"/>
      <c r="AC102" s="965">
        <v>2144.289033020882</v>
      </c>
      <c r="AD102" s="331">
        <f>+AC102-W102</f>
      </c>
      <c r="AE102" s="169"/>
      <c r="AF102" s="170"/>
      <c r="AG102" s="169"/>
      <c r="AH102" s="170"/>
      <c r="AI102" s="170"/>
      <c r="AJ102" s="1"/>
      <c r="AK102" s="1"/>
      <c r="AL102" s="170"/>
      <c r="AM102" s="170"/>
    </row>
    <row x14ac:dyDescent="0.25" r="103" customHeight="1" ht="18.75">
      <c r="A103" s="1"/>
      <c r="B103" s="170"/>
      <c r="C103" s="169"/>
      <c r="D103" s="170"/>
      <c r="E103" s="169"/>
      <c r="F103" s="169"/>
      <c r="G103" s="170"/>
      <c r="H103" s="170"/>
      <c r="I103" s="169"/>
      <c r="J103" s="1"/>
      <c r="K103" s="169"/>
      <c r="L103" s="332">
        <v>99</v>
      </c>
      <c r="M103" s="332">
        <f>IF(L103&lt;=$C$22,$B$22,IF(L103&lt;=$C$23+$C$22,$B$23,0))</f>
      </c>
      <c r="N103" s="1"/>
      <c r="O103" s="332">
        <f>IF(Q103=12,O102-1,O102)</f>
      </c>
      <c r="P103" s="332">
        <v>99</v>
      </c>
      <c r="Q103" s="332">
        <f>IF(Q102=1,12,Q102-1)</f>
      </c>
      <c r="R103" s="169"/>
      <c r="S103" s="333">
        <f>HLOOKUP(O103,'Datos SS'!$B$4:$CZZ$16,(Q103+1),0)</f>
      </c>
      <c r="T103" s="333">
        <f>IF(O103=YEAR($B$5),($B$9/12),IF(O103&gt;MIN(YEAR($B$7),YEAR($B$5)),($B$9/12)*(1+HLOOKUP(O103,'Datos SS'!$B$31:$CZZ$32,2,0))^(O103-YEAR($B$5)),T91/(1+HLOOKUP(O103,'Datos SS'!$B$31:$CZZ$32,2,0))))</f>
      </c>
      <c r="U103" s="333">
        <f>IF(O103=2018,IF(Q103&lt;8,HLOOKUP(O103,'Datos SS'!$B$25:$BZZ$27,3,0)/12,HLOOKUP(O103,'Datos SS'!$B$25:$BZZ$26,2,0)/12),HLOOKUP(O103,'Datos SS'!$B$25:$BZZ$26,2,0)/12)</f>
      </c>
      <c r="V103" s="964">
        <f>MAX(X103,MIN(T103,U103))</f>
      </c>
      <c r="W103" s="333">
        <f>IF($E$19="NO",IF(P103&lt;=180,IF(P103&lt;25,V103,V103*$S$28/S103),0),IF(P103&gt;$B$15,0,IF(P103&lt;25,V103,V103*$S$28/S103)))</f>
      </c>
      <c r="X103" s="721">
        <f>HLOOKUP(O103,'Datos SS'!$K$37:$EP$38,2,0)</f>
      </c>
      <c r="Y103" s="331">
        <f>MAX(INT(Y102)-1,0)</f>
      </c>
      <c r="Z103" s="169"/>
      <c r="AA103" s="169"/>
      <c r="AB103" s="169"/>
      <c r="AC103" s="965">
        <v>2146.0678025019474</v>
      </c>
      <c r="AD103" s="331">
        <f>+AC103-W103</f>
      </c>
      <c r="AE103" s="169"/>
      <c r="AF103" s="170"/>
      <c r="AG103" s="169"/>
      <c r="AH103" s="170"/>
      <c r="AI103" s="170"/>
      <c r="AJ103" s="1"/>
      <c r="AK103" s="1"/>
      <c r="AL103" s="170"/>
      <c r="AM103" s="170"/>
    </row>
    <row x14ac:dyDescent="0.25" r="104" customHeight="1" ht="18.75">
      <c r="A104" s="1"/>
      <c r="B104" s="170"/>
      <c r="C104" s="169"/>
      <c r="D104" s="170"/>
      <c r="E104" s="169"/>
      <c r="F104" s="169"/>
      <c r="G104" s="170"/>
      <c r="H104" s="170"/>
      <c r="I104" s="169"/>
      <c r="J104" s="1"/>
      <c r="K104" s="169"/>
      <c r="L104" s="332">
        <v>100</v>
      </c>
      <c r="M104" s="332">
        <f>IF(L104&lt;=$C$22,$B$22,IF(L104&lt;=$C$23+$C$22,$B$23,0))</f>
      </c>
      <c r="N104" s="1"/>
      <c r="O104" s="332">
        <f>IF(Q104=12,O103-1,O103)</f>
      </c>
      <c r="P104" s="332">
        <v>100</v>
      </c>
      <c r="Q104" s="332">
        <f>IF(Q103=1,12,Q103-1)</f>
      </c>
      <c r="R104" s="169"/>
      <c r="S104" s="333">
        <f>HLOOKUP(O104,'Datos SS'!$B$4:$CZZ$16,(Q104+1),0)</f>
      </c>
      <c r="T104" s="333">
        <f>IF(O104=YEAR($B$5),($B$9/12),IF(O104&gt;MIN(YEAR($B$7),YEAR($B$5)),($B$9/12)*(1+HLOOKUP(O104,'Datos SS'!$B$31:$CZZ$32,2,0))^(O104-YEAR($B$5)),T92/(1+HLOOKUP(O104,'Datos SS'!$B$31:$CZZ$32,2,0))))</f>
      </c>
      <c r="U104" s="333">
        <f>IF(O104=2018,IF(Q104&lt;8,HLOOKUP(O104,'Datos SS'!$B$25:$BZZ$27,3,0)/12,HLOOKUP(O104,'Datos SS'!$B$25:$BZZ$26,2,0)/12),HLOOKUP(O104,'Datos SS'!$B$25:$BZZ$26,2,0)/12)</f>
      </c>
      <c r="V104" s="964">
        <f>MAX(X104,MIN(T104,U104))</f>
      </c>
      <c r="W104" s="333">
        <f>IF($E$19="NO",IF(P104&lt;=180,IF(P104&lt;25,V104,V104*$S$28/S104),0),IF(P104&gt;$B$15,0,IF(P104&lt;25,V104,V104*$S$28/S104)))</f>
      </c>
      <c r="X104" s="721">
        <f>HLOOKUP(O104,'Datos SS'!$K$37:$EP$38,2,0)</f>
      </c>
      <c r="Y104" s="331">
        <f>MAX(INT(Y103)-1,0)</f>
      </c>
      <c r="Z104" s="169"/>
      <c r="AA104" s="169"/>
      <c r="AB104" s="169"/>
      <c r="AC104" s="965">
        <v>2147.848047540094</v>
      </c>
      <c r="AD104" s="331">
        <f>+AC104-W104</f>
      </c>
      <c r="AE104" s="169"/>
      <c r="AF104" s="170"/>
      <c r="AG104" s="169"/>
      <c r="AH104" s="170"/>
      <c r="AI104" s="170"/>
      <c r="AJ104" s="1"/>
      <c r="AK104" s="1"/>
      <c r="AL104" s="170"/>
      <c r="AM104" s="170"/>
    </row>
    <row x14ac:dyDescent="0.25" r="105" customHeight="1" ht="18.75">
      <c r="A105" s="1"/>
      <c r="B105" s="170"/>
      <c r="C105" s="169"/>
      <c r="D105" s="170"/>
      <c r="E105" s="169"/>
      <c r="F105" s="169"/>
      <c r="G105" s="170"/>
      <c r="H105" s="170"/>
      <c r="I105" s="169"/>
      <c r="J105" s="1"/>
      <c r="K105" s="169"/>
      <c r="L105" s="332">
        <v>101</v>
      </c>
      <c r="M105" s="332">
        <f>IF(L105&lt;=$C$22,$B$22,IF(L105&lt;=$C$23+$C$22,$B$23,0))</f>
      </c>
      <c r="N105" s="1"/>
      <c r="O105" s="332">
        <f>IF(Q105=12,O104-1,O104)</f>
      </c>
      <c r="P105" s="332">
        <v>101</v>
      </c>
      <c r="Q105" s="332">
        <f>IF(Q104=1,12,Q104-1)</f>
      </c>
      <c r="R105" s="169"/>
      <c r="S105" s="333">
        <f>HLOOKUP(O105,'Datos SS'!$B$4:$CZZ$16,(Q105+1),0)</f>
      </c>
      <c r="T105" s="333">
        <f>IF(O105=YEAR($B$5),($B$9/12),IF(O105&gt;MIN(YEAR($B$7),YEAR($B$5)),($B$9/12)*(1+HLOOKUP(O105,'Datos SS'!$B$31:$CZZ$32,2,0))^(O105-YEAR($B$5)),T93/(1+HLOOKUP(O105,'Datos SS'!$B$31:$CZZ$32,2,0))))</f>
      </c>
      <c r="U105" s="333">
        <f>IF(O105=2018,IF(Q105&lt;8,HLOOKUP(O105,'Datos SS'!$B$25:$BZZ$27,3,0)/12,HLOOKUP(O105,'Datos SS'!$B$25:$BZZ$26,2,0)/12),HLOOKUP(O105,'Datos SS'!$B$25:$BZZ$26,2,0)/12)</f>
      </c>
      <c r="V105" s="964">
        <f>MAX(X105,MIN(T105,U105))</f>
      </c>
      <c r="W105" s="333">
        <f>IF($E$19="NO",IF(P105&lt;=180,IF(P105&lt;25,V105,V105*$S$28/S105),0),IF(P105&gt;$B$15,0,IF(P105&lt;25,V105,V105*$S$28/S105)))</f>
      </c>
      <c r="X105" s="721">
        <f>HLOOKUP(O105,'Datos SS'!$K$37:$EP$38,2,0)</f>
      </c>
      <c r="Y105" s="331">
        <f>MAX(INT(Y104)-1,0)</f>
      </c>
      <c r="Z105" s="169"/>
      <c r="AA105" s="169"/>
      <c r="AB105" s="169"/>
      <c r="AC105" s="965">
        <v>2149.6297693593524</v>
      </c>
      <c r="AD105" s="331">
        <f>+AC105-W105</f>
      </c>
      <c r="AE105" s="169"/>
      <c r="AF105" s="170"/>
      <c r="AG105" s="169"/>
      <c r="AH105" s="170"/>
      <c r="AI105" s="170"/>
      <c r="AJ105" s="1"/>
      <c r="AK105" s="1"/>
      <c r="AL105" s="170"/>
      <c r="AM105" s="170"/>
    </row>
    <row x14ac:dyDescent="0.25" r="106" customHeight="1" ht="18.75">
      <c r="A106" s="1"/>
      <c r="B106" s="170"/>
      <c r="C106" s="169"/>
      <c r="D106" s="170"/>
      <c r="E106" s="169"/>
      <c r="F106" s="169"/>
      <c r="G106" s="170"/>
      <c r="H106" s="170"/>
      <c r="I106" s="169"/>
      <c r="J106" s="1"/>
      <c r="K106" s="169"/>
      <c r="L106" s="332">
        <v>102</v>
      </c>
      <c r="M106" s="332">
        <f>IF(L106&lt;=$C$22,$B$22,IF(L106&lt;=$C$23+$C$22,$B$23,0))</f>
      </c>
      <c r="N106" s="1"/>
      <c r="O106" s="332">
        <f>IF(Q106=12,O105-1,O105)</f>
      </c>
      <c r="P106" s="332">
        <v>102</v>
      </c>
      <c r="Q106" s="332">
        <f>IF(Q105=1,12,Q105-1)</f>
      </c>
      <c r="R106" s="169"/>
      <c r="S106" s="333">
        <f>HLOOKUP(O106,'Datos SS'!$B$4:$CZZ$16,(Q106+1),0)</f>
      </c>
      <c r="T106" s="333">
        <f>IF(O106=YEAR($B$5),($B$9/12),IF(O106&gt;MIN(YEAR($B$7),YEAR($B$5)),($B$9/12)*(1+HLOOKUP(O106,'Datos SS'!$B$31:$CZZ$32,2,0))^(O106-YEAR($B$5)),T94/(1+HLOOKUP(O106,'Datos SS'!$B$31:$CZZ$32,2,0))))</f>
      </c>
      <c r="U106" s="333">
        <f>IF(O106=2018,IF(Q106&lt;8,HLOOKUP(O106,'Datos SS'!$B$25:$BZZ$27,3,0)/12,HLOOKUP(O106,'Datos SS'!$B$25:$BZZ$26,2,0)/12),HLOOKUP(O106,'Datos SS'!$B$25:$BZZ$26,2,0)/12)</f>
      </c>
      <c r="V106" s="964">
        <f>MAX(X106,MIN(T106,U106))</f>
      </c>
      <c r="W106" s="333">
        <f>IF($E$19="NO",IF(P106&lt;=180,IF(P106&lt;25,V106,V106*$S$28/S106),0),IF(P106&gt;$B$15,0,IF(P106&lt;25,V106,V106*$S$28/S106)))</f>
      </c>
      <c r="X106" s="721">
        <f>HLOOKUP(O106,'Datos SS'!$K$37:$EP$38,2,0)</f>
      </c>
      <c r="Y106" s="331">
        <f>MAX(INT(Y105)-1,0)</f>
      </c>
      <c r="Z106" s="169"/>
      <c r="AA106" s="169"/>
      <c r="AB106" s="169"/>
      <c r="AC106" s="965">
        <v>2151.4129691847693</v>
      </c>
      <c r="AD106" s="331">
        <f>+AC106-W106</f>
      </c>
      <c r="AE106" s="169"/>
      <c r="AF106" s="170"/>
      <c r="AG106" s="169"/>
      <c r="AH106" s="170"/>
      <c r="AI106" s="170"/>
      <c r="AJ106" s="1"/>
      <c r="AK106" s="1"/>
      <c r="AL106" s="170"/>
      <c r="AM106" s="170"/>
    </row>
    <row x14ac:dyDescent="0.25" r="107" customHeight="1" ht="18.75">
      <c r="A107" s="1"/>
      <c r="B107" s="170"/>
      <c r="C107" s="169"/>
      <c r="D107" s="170"/>
      <c r="E107" s="169"/>
      <c r="F107" s="169"/>
      <c r="G107" s="170"/>
      <c r="H107" s="170"/>
      <c r="I107" s="169"/>
      <c r="J107" s="1"/>
      <c r="K107" s="169"/>
      <c r="L107" s="332">
        <v>103</v>
      </c>
      <c r="M107" s="332">
        <f>IF(L107&lt;=$C$22,$B$22,IF(L107&lt;=$C$23+$C$22,$B$23,0))</f>
      </c>
      <c r="N107" s="1"/>
      <c r="O107" s="332">
        <f>IF(Q107=12,O106-1,O106)</f>
      </c>
      <c r="P107" s="332">
        <v>103</v>
      </c>
      <c r="Q107" s="332">
        <f>IF(Q106=1,12,Q106-1)</f>
      </c>
      <c r="R107" s="169"/>
      <c r="S107" s="333">
        <f>HLOOKUP(O107,'Datos SS'!$B$4:$CZZ$16,(Q107+1),0)</f>
      </c>
      <c r="T107" s="333">
        <f>IF(O107=YEAR($B$5),($B$9/12),IF(O107&gt;MIN(YEAR($B$7),YEAR($B$5)),($B$9/12)*(1+HLOOKUP(O107,'Datos SS'!$B$31:$CZZ$32,2,0))^(O107-YEAR($B$5)),T95/(1+HLOOKUP(O107,'Datos SS'!$B$31:$CZZ$32,2,0))))</f>
      </c>
      <c r="U107" s="333">
        <f>IF(O107=2018,IF(Q107&lt;8,HLOOKUP(O107,'Datos SS'!$B$25:$BZZ$27,3,0)/12,HLOOKUP(O107,'Datos SS'!$B$25:$BZZ$26,2,0)/12),HLOOKUP(O107,'Datos SS'!$B$25:$BZZ$26,2,0)/12)</f>
      </c>
      <c r="V107" s="964">
        <f>MAX(X107,MIN(T107,U107))</f>
      </c>
      <c r="W107" s="333">
        <f>IF($E$19="NO",IF(P107&lt;=180,IF(P107&lt;25,V107,V107*$S$28/S107),0),IF(P107&gt;$B$15,0,IF(P107&lt;25,V107,V107*$S$28/S107)))</f>
      </c>
      <c r="X107" s="721">
        <f>HLOOKUP(O107,'Datos SS'!$K$37:$EP$38,2,0)</f>
      </c>
      <c r="Y107" s="331">
        <f>MAX(INT(Y106)-1,0)</f>
      </c>
      <c r="Z107" s="169"/>
      <c r="AA107" s="169"/>
      <c r="AB107" s="169"/>
      <c r="AC107" s="965">
        <v>2153.1976482424066</v>
      </c>
      <c r="AD107" s="331">
        <f>+AC107-W107</f>
      </c>
      <c r="AE107" s="169"/>
      <c r="AF107" s="170"/>
      <c r="AG107" s="169"/>
      <c r="AH107" s="170"/>
      <c r="AI107" s="170"/>
      <c r="AJ107" s="1"/>
      <c r="AK107" s="1"/>
      <c r="AL107" s="170"/>
      <c r="AM107" s="170"/>
    </row>
    <row x14ac:dyDescent="0.25" r="108" customHeight="1" ht="18.75">
      <c r="A108" s="1"/>
      <c r="B108" s="170"/>
      <c r="C108" s="169"/>
      <c r="D108" s="170"/>
      <c r="E108" s="169"/>
      <c r="F108" s="169"/>
      <c r="G108" s="170"/>
      <c r="H108" s="170"/>
      <c r="I108" s="169"/>
      <c r="J108" s="1"/>
      <c r="K108" s="169"/>
      <c r="L108" s="332">
        <v>104</v>
      </c>
      <c r="M108" s="332">
        <f>IF(L108&lt;=$C$22,$B$22,IF(L108&lt;=$C$23+$C$22,$B$23,0))</f>
      </c>
      <c r="N108" s="1"/>
      <c r="O108" s="332">
        <f>IF(Q108=12,O107-1,O107)</f>
      </c>
      <c r="P108" s="332">
        <v>104</v>
      </c>
      <c r="Q108" s="332">
        <f>IF(Q107=1,12,Q107-1)</f>
      </c>
      <c r="R108" s="169"/>
      <c r="S108" s="333">
        <f>HLOOKUP(O108,'Datos SS'!$B$4:$CZZ$16,(Q108+1),0)</f>
      </c>
      <c r="T108" s="333">
        <f>IF(O108=YEAR($B$5),($B$9/12),IF(O108&gt;MIN(YEAR($B$7),YEAR($B$5)),($B$9/12)*(1+HLOOKUP(O108,'Datos SS'!$B$31:$CZZ$32,2,0))^(O108-YEAR($B$5)),T96/(1+HLOOKUP(O108,'Datos SS'!$B$31:$CZZ$32,2,0))))</f>
      </c>
      <c r="U108" s="333">
        <f>IF(O108=2018,IF(Q108&lt;8,HLOOKUP(O108,'Datos SS'!$B$25:$BZZ$27,3,0)/12,HLOOKUP(O108,'Datos SS'!$B$25:$BZZ$26,2,0)/12),HLOOKUP(O108,'Datos SS'!$B$25:$BZZ$26,2,0)/12)</f>
      </c>
      <c r="V108" s="964">
        <f>MAX(X108,MIN(T108,U108))</f>
      </c>
      <c r="W108" s="333">
        <f>IF($E$19="NO",IF(P108&lt;=180,IF(P108&lt;25,V108,V108*$S$28/S108),0),IF(P108&gt;$B$15,0,IF(P108&lt;25,V108,V108*$S$28/S108)))</f>
      </c>
      <c r="X108" s="721">
        <f>HLOOKUP(O108,'Datos SS'!$K$37:$EP$38,2,0)</f>
      </c>
      <c r="Y108" s="331">
        <f>MAX(INT(Y107)-1,0)</f>
      </c>
      <c r="Z108" s="169"/>
      <c r="AA108" s="169"/>
      <c r="AB108" s="169"/>
      <c r="AC108" s="965">
        <v>2154.983807759344</v>
      </c>
      <c r="AD108" s="331">
        <f>+AC108-W108</f>
      </c>
      <c r="AE108" s="169"/>
      <c r="AF108" s="170"/>
      <c r="AG108" s="169"/>
      <c r="AH108" s="170"/>
      <c r="AI108" s="170"/>
      <c r="AJ108" s="1"/>
      <c r="AK108" s="1"/>
      <c r="AL108" s="170"/>
      <c r="AM108" s="170"/>
    </row>
    <row x14ac:dyDescent="0.25" r="109" customHeight="1" ht="18.75">
      <c r="A109" s="1"/>
      <c r="B109" s="170"/>
      <c r="C109" s="169"/>
      <c r="D109" s="170"/>
      <c r="E109" s="169"/>
      <c r="F109" s="169"/>
      <c r="G109" s="170"/>
      <c r="H109" s="170"/>
      <c r="I109" s="169"/>
      <c r="J109" s="1"/>
      <c r="K109" s="169"/>
      <c r="L109" s="332">
        <v>105</v>
      </c>
      <c r="M109" s="332">
        <f>IF(L109&lt;=$C$22,$B$22,IF(L109&lt;=$C$23+$C$22,$B$23,0))</f>
      </c>
      <c r="N109" s="1"/>
      <c r="O109" s="332">
        <f>IF(Q109=12,O108-1,O108)</f>
      </c>
      <c r="P109" s="332">
        <v>105</v>
      </c>
      <c r="Q109" s="332">
        <f>IF(Q108=1,12,Q108-1)</f>
      </c>
      <c r="R109" s="169"/>
      <c r="S109" s="333">
        <f>HLOOKUP(O109,'Datos SS'!$B$4:$CZZ$16,(Q109+1),0)</f>
      </c>
      <c r="T109" s="333">
        <f>IF(O109=YEAR($B$5),($B$9/12),IF(O109&gt;MIN(YEAR($B$7),YEAR($B$5)),($B$9/12)*(1+HLOOKUP(O109,'Datos SS'!$B$31:$CZZ$32,2,0))^(O109-YEAR($B$5)),T97/(1+HLOOKUP(O109,'Datos SS'!$B$31:$CZZ$32,2,0))))</f>
      </c>
      <c r="U109" s="333">
        <f>IF(O109=2018,IF(Q109&lt;8,HLOOKUP(O109,'Datos SS'!$B$25:$BZZ$27,3,0)/12,HLOOKUP(O109,'Datos SS'!$B$25:$BZZ$26,2,0)/12),HLOOKUP(O109,'Datos SS'!$B$25:$BZZ$26,2,0)/12)</f>
      </c>
      <c r="V109" s="964">
        <f>MAX(X109,MIN(T109,U109))</f>
      </c>
      <c r="W109" s="333">
        <f>IF($E$19="NO",IF(P109&lt;=180,IF(P109&lt;25,V109,V109*$S$28/S109),0),IF(P109&gt;$B$15,0,IF(P109&lt;25,V109,V109*$S$28/S109)))</f>
      </c>
      <c r="X109" s="721">
        <f>HLOOKUP(O109,'Datos SS'!$K$37:$EP$38,2,0)</f>
      </c>
      <c r="Y109" s="331">
        <f>MAX(INT(Y108)-1,0)</f>
      </c>
      <c r="Z109" s="169"/>
      <c r="AA109" s="169"/>
      <c r="AB109" s="169"/>
      <c r="AC109" s="965">
        <v>2156.771448963679</v>
      </c>
      <c r="AD109" s="331">
        <f>+AC109-W109</f>
      </c>
      <c r="AE109" s="169"/>
      <c r="AF109" s="170"/>
      <c r="AG109" s="169"/>
      <c r="AH109" s="170"/>
      <c r="AI109" s="170"/>
      <c r="AJ109" s="1"/>
      <c r="AK109" s="1"/>
      <c r="AL109" s="170"/>
      <c r="AM109" s="170"/>
    </row>
    <row x14ac:dyDescent="0.25" r="110" customHeight="1" ht="18.75">
      <c r="A110" s="1"/>
      <c r="B110" s="170"/>
      <c r="C110" s="169"/>
      <c r="D110" s="170"/>
      <c r="E110" s="169"/>
      <c r="F110" s="169"/>
      <c r="G110" s="170"/>
      <c r="H110" s="170"/>
      <c r="I110" s="169"/>
      <c r="J110" s="1"/>
      <c r="K110" s="169"/>
      <c r="L110" s="332">
        <v>106</v>
      </c>
      <c r="M110" s="332">
        <f>IF(L110&lt;=$C$22,$B$22,IF(L110&lt;=$C$23+$C$22,$B$23,0))</f>
      </c>
      <c r="N110" s="1"/>
      <c r="O110" s="332">
        <f>IF(Q110=12,O109-1,O109)</f>
      </c>
      <c r="P110" s="332">
        <v>106</v>
      </c>
      <c r="Q110" s="332">
        <f>IF(Q109=1,12,Q109-1)</f>
      </c>
      <c r="R110" s="169"/>
      <c r="S110" s="333">
        <f>HLOOKUP(O110,'Datos SS'!$B$4:$CZZ$16,(Q110+1),0)</f>
      </c>
      <c r="T110" s="333">
        <f>IF(O110=YEAR($B$5),($B$9/12),IF(O110&gt;MIN(YEAR($B$7),YEAR($B$5)),($B$9/12)*(1+HLOOKUP(O110,'Datos SS'!$B$31:$CZZ$32,2,0))^(O110-YEAR($B$5)),T98/(1+HLOOKUP(O110,'Datos SS'!$B$31:$CZZ$32,2,0))))</f>
      </c>
      <c r="U110" s="333">
        <f>IF(O110=2018,IF(Q110&lt;8,HLOOKUP(O110,'Datos SS'!$B$25:$BZZ$27,3,0)/12,HLOOKUP(O110,'Datos SS'!$B$25:$BZZ$26,2,0)/12),HLOOKUP(O110,'Datos SS'!$B$25:$BZZ$26,2,0)/12)</f>
      </c>
      <c r="V110" s="964">
        <f>MAX(X110,MIN(T110,U110))</f>
      </c>
      <c r="W110" s="333">
        <f>IF($E$19="NO",IF(P110&lt;=180,IF(P110&lt;25,V110,V110*$S$28/S110),0),IF(P110&gt;$B$15,0,IF(P110&lt;25,V110,V110*$S$28/S110)))</f>
      </c>
      <c r="X110" s="721">
        <f>HLOOKUP(O110,'Datos SS'!$K$37:$EP$38,2,0)</f>
      </c>
      <c r="Y110" s="331">
        <f>MAX(INT(Y109)-1,0)</f>
      </c>
      <c r="Z110" s="169"/>
      <c r="AA110" s="169"/>
      <c r="AB110" s="169"/>
      <c r="AC110" s="965">
        <v>2116.235855965224</v>
      </c>
      <c r="AD110" s="331">
        <f>+AC110-W110</f>
      </c>
      <c r="AE110" s="169"/>
      <c r="AF110" s="170"/>
      <c r="AG110" s="169"/>
      <c r="AH110" s="170"/>
      <c r="AI110" s="170"/>
      <c r="AJ110" s="1"/>
      <c r="AK110" s="1"/>
      <c r="AL110" s="170"/>
      <c r="AM110" s="170"/>
    </row>
    <row x14ac:dyDescent="0.25" r="111" customHeight="1" ht="18.75">
      <c r="A111" s="1"/>
      <c r="B111" s="170"/>
      <c r="C111" s="169"/>
      <c r="D111" s="170"/>
      <c r="E111" s="169"/>
      <c r="F111" s="169"/>
      <c r="G111" s="170"/>
      <c r="H111" s="170"/>
      <c r="I111" s="169"/>
      <c r="J111" s="1"/>
      <c r="K111" s="331">
        <f>180+106</f>
      </c>
      <c r="L111" s="332">
        <v>107</v>
      </c>
      <c r="M111" s="332">
        <f>IF(L111&lt;=$C$22,$B$22,IF(L111&lt;=$C$23+$C$22,$B$23,0))</f>
      </c>
      <c r="N111" s="1"/>
      <c r="O111" s="332">
        <f>IF(Q111=12,O110-1,O110)</f>
      </c>
      <c r="P111" s="332">
        <v>107</v>
      </c>
      <c r="Q111" s="332">
        <f>IF(Q110=1,12,Q110-1)</f>
      </c>
      <c r="R111" s="169"/>
      <c r="S111" s="333">
        <f>HLOOKUP(O111,'Datos SS'!$B$4:$CZZ$16,(Q111+1),0)</f>
      </c>
      <c r="T111" s="333">
        <f>IF(O111=YEAR($B$5),($B$9/12),IF(O111&gt;MIN(YEAR($B$7),YEAR($B$5)),($B$9/12)*(1+HLOOKUP(O111,'Datos SS'!$B$31:$CZZ$32,2,0))^(O111-YEAR($B$5)),T99/(1+HLOOKUP(O111,'Datos SS'!$B$31:$CZZ$32,2,0))))</f>
      </c>
      <c r="U111" s="333">
        <f>IF(O111=2018,IF(Q111&lt;8,HLOOKUP(O111,'Datos SS'!$B$25:$BZZ$27,3,0)/12,HLOOKUP(O111,'Datos SS'!$B$25:$BZZ$26,2,0)/12),HLOOKUP(O111,'Datos SS'!$B$25:$BZZ$26,2,0)/12)</f>
      </c>
      <c r="V111" s="964">
        <f>MAX(X111,MIN(T111,U111))</f>
      </c>
      <c r="W111" s="333">
        <f>IF($E$19="NO",IF(P111&lt;=180,IF(P111&lt;25,V111,V111*$S$28/S111),0),IF(P111&gt;$B$15,0,IF(P111&lt;25,V111,V111*$S$28/S111)))</f>
      </c>
      <c r="X111" s="721">
        <f>HLOOKUP(O111,'Datos SS'!$K$37:$EP$38,2,0)</f>
      </c>
      <c r="Y111" s="331">
        <f>MAX(INT(Y110)-1,0)</f>
      </c>
      <c r="Z111" s="169"/>
      <c r="AA111" s="169"/>
      <c r="AB111" s="169"/>
      <c r="AC111" s="965">
        <v>2117.9913542666927</v>
      </c>
      <c r="AD111" s="331">
        <f>+AC111-W111</f>
      </c>
      <c r="AE111" s="169"/>
      <c r="AF111" s="170"/>
      <c r="AG111" s="169"/>
      <c r="AH111" s="170"/>
      <c r="AI111" s="170"/>
      <c r="AJ111" s="1"/>
      <c r="AK111" s="1"/>
      <c r="AL111" s="170"/>
      <c r="AM111" s="170"/>
    </row>
    <row x14ac:dyDescent="0.25" r="112" customHeight="1" ht="18.75">
      <c r="A112" s="1"/>
      <c r="B112" s="170"/>
      <c r="C112" s="169"/>
      <c r="D112" s="170"/>
      <c r="E112" s="169"/>
      <c r="F112" s="169"/>
      <c r="G112" s="170"/>
      <c r="H112" s="170"/>
      <c r="I112" s="169"/>
      <c r="J112" s="1"/>
      <c r="K112" s="169"/>
      <c r="L112" s="332">
        <v>108</v>
      </c>
      <c r="M112" s="332">
        <f>IF(L112&lt;=$C$22,$B$22,IF(L112&lt;=$C$23+$C$22,$B$23,0))</f>
      </c>
      <c r="N112" s="1"/>
      <c r="O112" s="332">
        <f>IF(Q112=12,O111-1,O111)</f>
      </c>
      <c r="P112" s="332">
        <v>108</v>
      </c>
      <c r="Q112" s="332">
        <f>IF(Q111=1,12,Q111-1)</f>
      </c>
      <c r="R112" s="169"/>
      <c r="S112" s="333">
        <f>HLOOKUP(O112,'Datos SS'!$B$4:$CZZ$16,(Q112+1),0)</f>
      </c>
      <c r="T112" s="333">
        <f>IF(O112=YEAR($B$5),($B$9/12),IF(O112&gt;MIN(YEAR($B$7),YEAR($B$5)),($B$9/12)*(1+HLOOKUP(O112,'Datos SS'!$B$31:$CZZ$32,2,0))^(O112-YEAR($B$5)),T100/(1+HLOOKUP(O112,'Datos SS'!$B$31:$CZZ$32,2,0))))</f>
      </c>
      <c r="U112" s="333">
        <f>IF(O112=2018,IF(Q112&lt;8,HLOOKUP(O112,'Datos SS'!$B$25:$BZZ$27,3,0)/12,HLOOKUP(O112,'Datos SS'!$B$25:$BZZ$26,2,0)/12),HLOOKUP(O112,'Datos SS'!$B$25:$BZZ$26,2,0)/12)</f>
      </c>
      <c r="V112" s="964">
        <f>MAX(X112,MIN(T112,U112))</f>
      </c>
      <c r="W112" s="333">
        <f>IF($E$19="NO",IF(P112&lt;=180,IF(P112&lt;25,V112,V112*$S$28/S112),0),IF(P112&gt;$B$15,0,IF(P112&lt;25,V112,V112*$S$28/S112)))</f>
      </c>
      <c r="X112" s="721">
        <f>HLOOKUP(O112,'Datos SS'!$K$37:$EP$38,2,0)</f>
      </c>
      <c r="Y112" s="331">
        <f>MAX(INT(Y111)-1,0)</f>
      </c>
      <c r="Z112" s="169"/>
      <c r="AA112" s="169"/>
      <c r="AB112" s="169"/>
      <c r="AC112" s="965">
        <v>2119.7483088209124</v>
      </c>
      <c r="AD112" s="331">
        <f>+AC112-W112</f>
      </c>
      <c r="AE112" s="169"/>
      <c r="AF112" s="170"/>
      <c r="AG112" s="169"/>
      <c r="AH112" s="170"/>
      <c r="AI112" s="170"/>
      <c r="AJ112" s="1"/>
      <c r="AK112" s="1"/>
      <c r="AL112" s="170"/>
      <c r="AM112" s="170"/>
    </row>
    <row x14ac:dyDescent="0.25" r="113" customHeight="1" ht="18.75">
      <c r="A113" s="1"/>
      <c r="B113" s="170"/>
      <c r="C113" s="169"/>
      <c r="D113" s="170"/>
      <c r="E113" s="169"/>
      <c r="F113" s="169"/>
      <c r="G113" s="170"/>
      <c r="H113" s="170"/>
      <c r="I113" s="169"/>
      <c r="J113" s="1"/>
      <c r="K113" s="169"/>
      <c r="L113" s="332">
        <v>109</v>
      </c>
      <c r="M113" s="332">
        <f>IF(L113&lt;=$C$22,$B$22,IF(L113&lt;=$C$23+$C$22,$B$23,0))</f>
      </c>
      <c r="N113" s="1"/>
      <c r="O113" s="332">
        <f>IF(Q113=12,O112-1,O112)</f>
      </c>
      <c r="P113" s="332">
        <v>109</v>
      </c>
      <c r="Q113" s="332">
        <f>IF(Q112=1,12,Q112-1)</f>
      </c>
      <c r="R113" s="169"/>
      <c r="S113" s="333">
        <f>HLOOKUP(O113,'Datos SS'!$B$4:$CZZ$16,(Q113+1),0)</f>
      </c>
      <c r="T113" s="333">
        <f>IF(O113=YEAR($B$5),($B$9/12),IF(O113&gt;MIN(YEAR($B$7),YEAR($B$5)),($B$9/12)*(1+HLOOKUP(O113,'Datos SS'!$B$31:$CZZ$32,2,0))^(O113-YEAR($B$5)),T101/(1+HLOOKUP(O113,'Datos SS'!$B$31:$CZZ$32,2,0))))</f>
      </c>
      <c r="U113" s="333">
        <f>IF(O113=2018,IF(Q113&lt;8,HLOOKUP(O113,'Datos SS'!$B$25:$BZZ$27,3,0)/12,HLOOKUP(O113,'Datos SS'!$B$25:$BZZ$26,2,0)/12),HLOOKUP(O113,'Datos SS'!$B$25:$BZZ$26,2,0)/12)</f>
      </c>
      <c r="V113" s="964">
        <f>MAX(X113,MIN(T113,U113))</f>
      </c>
      <c r="W113" s="333">
        <f>IF($E$19="NO",IF(P113&lt;=180,IF(P113&lt;25,V113,V113*$S$28/S113),0),IF(P113&gt;$B$15,0,IF(P113&lt;25,V113,V113*$S$28/S113)))</f>
      </c>
      <c r="X113" s="721">
        <f>HLOOKUP(O113,'Datos SS'!$K$37:$EP$38,2,0)</f>
      </c>
      <c r="Y113" s="331">
        <f>MAX(INT(Y112)-1,0)</f>
      </c>
      <c r="Z113" s="169"/>
      <c r="AA113" s="169"/>
      <c r="AB113" s="169"/>
      <c r="AC113" s="965">
        <v>2121.5067208359005</v>
      </c>
      <c r="AD113" s="331">
        <f>+AC113-W113</f>
      </c>
      <c r="AE113" s="169"/>
      <c r="AF113" s="170"/>
      <c r="AG113" s="169"/>
      <c r="AH113" s="170"/>
      <c r="AI113" s="170"/>
      <c r="AJ113" s="1"/>
      <c r="AK113" s="1"/>
      <c r="AL113" s="170"/>
      <c r="AM113" s="170"/>
    </row>
    <row x14ac:dyDescent="0.25" r="114" customHeight="1" ht="18.75">
      <c r="A114" s="1"/>
      <c r="B114" s="170"/>
      <c r="C114" s="169"/>
      <c r="D114" s="170"/>
      <c r="E114" s="169"/>
      <c r="F114" s="169"/>
      <c r="G114" s="170"/>
      <c r="H114" s="170"/>
      <c r="I114" s="169"/>
      <c r="J114" s="1"/>
      <c r="K114" s="169"/>
      <c r="L114" s="332">
        <v>110</v>
      </c>
      <c r="M114" s="332">
        <f>IF(L114&lt;=$C$22,$B$22,IF(L114&lt;=$C$23+$C$22,$B$23,0))</f>
      </c>
      <c r="N114" s="1"/>
      <c r="O114" s="332">
        <f>IF(Q114=12,O113-1,O113)</f>
      </c>
      <c r="P114" s="332">
        <v>110</v>
      </c>
      <c r="Q114" s="332">
        <f>IF(Q113=1,12,Q113-1)</f>
      </c>
      <c r="R114" s="169"/>
      <c r="S114" s="333">
        <f>HLOOKUP(O114,'Datos SS'!$B$4:$CZZ$16,(Q114+1),0)</f>
      </c>
      <c r="T114" s="333">
        <f>IF(O114=YEAR($B$5),($B$9/12),IF(O114&gt;MIN(YEAR($B$7),YEAR($B$5)),($B$9/12)*(1+HLOOKUP(O114,'Datos SS'!$B$31:$CZZ$32,2,0))^(O114-YEAR($B$5)),T102/(1+HLOOKUP(O114,'Datos SS'!$B$31:$CZZ$32,2,0))))</f>
      </c>
      <c r="U114" s="333">
        <f>IF(O114=2018,IF(Q114&lt;8,HLOOKUP(O114,'Datos SS'!$B$25:$BZZ$27,3,0)/12,HLOOKUP(O114,'Datos SS'!$B$25:$BZZ$26,2,0)/12),HLOOKUP(O114,'Datos SS'!$B$25:$BZZ$26,2,0)/12)</f>
      </c>
      <c r="V114" s="964">
        <f>MAX(X114,MIN(T114,U114))</f>
      </c>
      <c r="W114" s="333">
        <f>IF($E$19="NO",IF(P114&lt;=180,IF(P114&lt;25,V114,V114*$S$28/S114),0),IF(P114&gt;$B$15,0,IF(P114&lt;25,V114,V114*$S$28/S114)))</f>
      </c>
      <c r="X114" s="721">
        <f>HLOOKUP(O114,'Datos SS'!$K$37:$EP$38,2,0)</f>
      </c>
      <c r="Y114" s="331">
        <f>MAX(INT(Y113)-1,0)</f>
      </c>
      <c r="Z114" s="169"/>
      <c r="AA114" s="169"/>
      <c r="AB114" s="169"/>
      <c r="AC114" s="965">
        <v>2123.2665915206753</v>
      </c>
      <c r="AD114" s="331">
        <f>+AC114-W114</f>
      </c>
      <c r="AE114" s="169"/>
      <c r="AF114" s="170"/>
      <c r="AG114" s="169"/>
      <c r="AH114" s="170"/>
      <c r="AI114" s="170"/>
      <c r="AJ114" s="1"/>
      <c r="AK114" s="1"/>
      <c r="AL114" s="170"/>
      <c r="AM114" s="170"/>
    </row>
    <row x14ac:dyDescent="0.25" r="115" customHeight="1" ht="18.75">
      <c r="A115" s="1"/>
      <c r="B115" s="170"/>
      <c r="C115" s="169"/>
      <c r="D115" s="170"/>
      <c r="E115" s="169"/>
      <c r="F115" s="169"/>
      <c r="G115" s="170"/>
      <c r="H115" s="170"/>
      <c r="I115" s="169"/>
      <c r="J115" s="1"/>
      <c r="K115" s="169"/>
      <c r="L115" s="332">
        <v>111</v>
      </c>
      <c r="M115" s="332">
        <f>IF(L115&lt;=$C$22,$B$22,IF(L115&lt;=$C$23+$C$22,$B$23,0))</f>
      </c>
      <c r="N115" s="1"/>
      <c r="O115" s="332">
        <f>IF(Q115=12,O114-1,O114)</f>
      </c>
      <c r="P115" s="332">
        <v>111</v>
      </c>
      <c r="Q115" s="332">
        <f>IF(Q114=1,12,Q114-1)</f>
      </c>
      <c r="R115" s="169"/>
      <c r="S115" s="333">
        <f>HLOOKUP(O115,'Datos SS'!$B$4:$CZZ$16,(Q115+1),0)</f>
      </c>
      <c r="T115" s="333">
        <f>IF(O115=YEAR($B$5),($B$9/12),IF(O115&gt;MIN(YEAR($B$7),YEAR($B$5)),($B$9/12)*(1+HLOOKUP(O115,'Datos SS'!$B$31:$CZZ$32,2,0))^(O115-YEAR($B$5)),T103/(1+HLOOKUP(O115,'Datos SS'!$B$31:$CZZ$32,2,0))))</f>
      </c>
      <c r="U115" s="333">
        <f>IF(O115=2018,IF(Q115&lt;8,HLOOKUP(O115,'Datos SS'!$B$25:$BZZ$27,3,0)/12,HLOOKUP(O115,'Datos SS'!$B$25:$BZZ$26,2,0)/12),HLOOKUP(O115,'Datos SS'!$B$25:$BZZ$26,2,0)/12)</f>
      </c>
      <c r="V115" s="964">
        <f>MAX(X115,MIN(T115,U115))</f>
      </c>
      <c r="W115" s="333">
        <f>IF($E$19="NO",IF(P115&lt;=180,IF(P115&lt;25,V115,V115*$S$28/S115),0),IF(P115&gt;$B$15,0,IF(P115&lt;25,V115,V115*$S$28/S115)))</f>
      </c>
      <c r="X115" s="721">
        <f>HLOOKUP(O115,'Datos SS'!$K$37:$EP$38,2,0)</f>
      </c>
      <c r="Y115" s="331">
        <f>MAX(INT(Y114)-1,0)</f>
      </c>
      <c r="Z115" s="169"/>
      <c r="AA115" s="169"/>
      <c r="AB115" s="169"/>
      <c r="AC115" s="965">
        <v>2125.02792208526</v>
      </c>
      <c r="AD115" s="331">
        <f>+AC115-W115</f>
      </c>
      <c r="AE115" s="169"/>
      <c r="AF115" s="170"/>
      <c r="AG115" s="169"/>
      <c r="AH115" s="170"/>
      <c r="AI115" s="170"/>
      <c r="AJ115" s="1"/>
      <c r="AK115" s="1"/>
      <c r="AL115" s="170"/>
      <c r="AM115" s="170"/>
    </row>
    <row x14ac:dyDescent="0.25" r="116" customHeight="1" ht="18.75">
      <c r="A116" s="1"/>
      <c r="B116" s="170"/>
      <c r="C116" s="169"/>
      <c r="D116" s="170"/>
      <c r="E116" s="169"/>
      <c r="F116" s="169"/>
      <c r="G116" s="170"/>
      <c r="H116" s="170"/>
      <c r="I116" s="169"/>
      <c r="J116" s="1"/>
      <c r="K116" s="169"/>
      <c r="L116" s="332">
        <v>112</v>
      </c>
      <c r="M116" s="332">
        <f>IF(L116&lt;=$C$22,$B$22,IF(L116&lt;=$C$23+$C$22,$B$23,0))</f>
      </c>
      <c r="N116" s="1"/>
      <c r="O116" s="332">
        <f>IF(Q116=12,O115-1,O115)</f>
      </c>
      <c r="P116" s="332">
        <v>112</v>
      </c>
      <c r="Q116" s="332">
        <f>IF(Q115=1,12,Q115-1)</f>
      </c>
      <c r="R116" s="169"/>
      <c r="S116" s="333">
        <f>HLOOKUP(O116,'Datos SS'!$B$4:$CZZ$16,(Q116+1),0)</f>
      </c>
      <c r="T116" s="333">
        <f>IF(O116=YEAR($B$5),($B$9/12),IF(O116&gt;MIN(YEAR($B$7),YEAR($B$5)),($B$9/12)*(1+HLOOKUP(O116,'Datos SS'!$B$31:$CZZ$32,2,0))^(O116-YEAR($B$5)),T104/(1+HLOOKUP(O116,'Datos SS'!$B$31:$CZZ$32,2,0))))</f>
      </c>
      <c r="U116" s="333">
        <f>IF(O116=2018,IF(Q116&lt;8,HLOOKUP(O116,'Datos SS'!$B$25:$BZZ$27,3,0)/12,HLOOKUP(O116,'Datos SS'!$B$25:$BZZ$26,2,0)/12),HLOOKUP(O116,'Datos SS'!$B$25:$BZZ$26,2,0)/12)</f>
      </c>
      <c r="V116" s="964">
        <f>MAX(X116,MIN(T116,U116))</f>
      </c>
      <c r="W116" s="333">
        <f>IF($E$19="NO",IF(P116&lt;=180,IF(P116&lt;25,V116,V116*$S$28/S116),0),IF(P116&gt;$B$15,0,IF(P116&lt;25,V116,V116*$S$28/S116)))</f>
      </c>
      <c r="X116" s="721">
        <f>HLOOKUP(O116,'Datos SS'!$K$37:$EP$38,2,0)</f>
      </c>
      <c r="Y116" s="331">
        <f>MAX(INT(Y115)-1,0)</f>
      </c>
      <c r="Z116" s="169"/>
      <c r="AA116" s="169"/>
      <c r="AB116" s="169"/>
      <c r="AC116" s="965">
        <v>2126.790713740679</v>
      </c>
      <c r="AD116" s="331">
        <f>+AC116-W116</f>
      </c>
      <c r="AE116" s="169"/>
      <c r="AF116" s="170"/>
      <c r="AG116" s="169"/>
      <c r="AH116" s="170"/>
      <c r="AI116" s="170"/>
      <c r="AJ116" s="1"/>
      <c r="AK116" s="1"/>
      <c r="AL116" s="170"/>
      <c r="AM116" s="170"/>
    </row>
    <row x14ac:dyDescent="0.25" r="117" customHeight="1" ht="18.75">
      <c r="A117" s="1"/>
      <c r="B117" s="170"/>
      <c r="C117" s="169"/>
      <c r="D117" s="170"/>
      <c r="E117" s="169"/>
      <c r="F117" s="169"/>
      <c r="G117" s="170"/>
      <c r="H117" s="170"/>
      <c r="I117" s="169"/>
      <c r="J117" s="1"/>
      <c r="K117" s="169"/>
      <c r="L117" s="332">
        <v>113</v>
      </c>
      <c r="M117" s="332">
        <f>IF(L117&lt;=$C$22,$B$22,IF(L117&lt;=$C$23+$C$22,$B$23,0))</f>
      </c>
      <c r="N117" s="1"/>
      <c r="O117" s="332">
        <f>IF(Q117=12,O116-1,O116)</f>
      </c>
      <c r="P117" s="332">
        <v>113</v>
      </c>
      <c r="Q117" s="332">
        <f>IF(Q116=1,12,Q116-1)</f>
      </c>
      <c r="R117" s="169"/>
      <c r="S117" s="333">
        <f>HLOOKUP(O117,'Datos SS'!$B$4:$CZZ$16,(Q117+1),0)</f>
      </c>
      <c r="T117" s="333">
        <f>IF(O117=YEAR($B$5),($B$9/12),IF(O117&gt;MIN(YEAR($B$7),YEAR($B$5)),($B$9/12)*(1+HLOOKUP(O117,'Datos SS'!$B$31:$CZZ$32,2,0))^(O117-YEAR($B$5)),T105/(1+HLOOKUP(O117,'Datos SS'!$B$31:$CZZ$32,2,0))))</f>
      </c>
      <c r="U117" s="333">
        <f>IF(O117=2018,IF(Q117&lt;8,HLOOKUP(O117,'Datos SS'!$B$25:$BZZ$27,3,0)/12,HLOOKUP(O117,'Datos SS'!$B$25:$BZZ$26,2,0)/12),HLOOKUP(O117,'Datos SS'!$B$25:$BZZ$26,2,0)/12)</f>
      </c>
      <c r="V117" s="964">
        <f>MAX(X117,MIN(T117,U117))</f>
      </c>
      <c r="W117" s="333">
        <f>IF($E$19="NO",IF(P117&lt;=180,IF(P117&lt;25,V117,V117*$S$28/S117),0),IF(P117&gt;$B$15,0,IF(P117&lt;25,V117,V117*$S$28/S117)))</f>
      </c>
      <c r="X117" s="721">
        <f>HLOOKUP(O117,'Datos SS'!$K$37:$EP$38,2,0)</f>
      </c>
      <c r="Y117" s="331">
        <f>MAX(INT(Y116)-1,0)</f>
      </c>
      <c r="Z117" s="169"/>
      <c r="AA117" s="169"/>
      <c r="AB117" s="169"/>
      <c r="AC117" s="965">
        <v>2128.5549676989644</v>
      </c>
      <c r="AD117" s="331">
        <f>+AC117-W117</f>
      </c>
      <c r="AE117" s="169"/>
      <c r="AF117" s="170"/>
      <c r="AG117" s="169"/>
      <c r="AH117" s="170"/>
      <c r="AI117" s="170"/>
      <c r="AJ117" s="1"/>
      <c r="AK117" s="1"/>
      <c r="AL117" s="170"/>
      <c r="AM117" s="170"/>
    </row>
    <row x14ac:dyDescent="0.25" r="118" customHeight="1" ht="18.75">
      <c r="A118" s="1"/>
      <c r="B118" s="170"/>
      <c r="C118" s="169"/>
      <c r="D118" s="170"/>
      <c r="E118" s="169"/>
      <c r="F118" s="169"/>
      <c r="G118" s="170"/>
      <c r="H118" s="170"/>
      <c r="I118" s="169"/>
      <c r="J118" s="1"/>
      <c r="K118" s="169"/>
      <c r="L118" s="332">
        <v>114</v>
      </c>
      <c r="M118" s="332">
        <f>IF(L118&lt;=$C$22,$B$22,IF(L118&lt;=$C$23+$C$22,$B$23,0))</f>
      </c>
      <c r="N118" s="1"/>
      <c r="O118" s="332">
        <f>IF(Q118=12,O117-1,O117)</f>
      </c>
      <c r="P118" s="332">
        <v>114</v>
      </c>
      <c r="Q118" s="332">
        <f>IF(Q117=1,12,Q117-1)</f>
      </c>
      <c r="R118" s="169"/>
      <c r="S118" s="333">
        <f>HLOOKUP(O118,'Datos SS'!$B$4:$CZZ$16,(Q118+1),0)</f>
      </c>
      <c r="T118" s="333">
        <f>IF(O118=YEAR($B$5),($B$9/12),IF(O118&gt;MIN(YEAR($B$7),YEAR($B$5)),($B$9/12)*(1+HLOOKUP(O118,'Datos SS'!$B$31:$CZZ$32,2,0))^(O118-YEAR($B$5)),T106/(1+HLOOKUP(O118,'Datos SS'!$B$31:$CZZ$32,2,0))))</f>
      </c>
      <c r="U118" s="333">
        <f>IF(O118=2018,IF(Q118&lt;8,HLOOKUP(O118,'Datos SS'!$B$25:$BZZ$27,3,0)/12,HLOOKUP(O118,'Datos SS'!$B$25:$BZZ$26,2,0)/12),HLOOKUP(O118,'Datos SS'!$B$25:$BZZ$26,2,0)/12)</f>
      </c>
      <c r="V118" s="964">
        <f>MAX(X118,MIN(T118,U118))</f>
      </c>
      <c r="W118" s="333">
        <f>IF($E$19="NO",IF(P118&lt;=180,IF(P118&lt;25,V118,V118*$S$28/S118),0),IF(P118&gt;$B$15,0,IF(P118&lt;25,V118,V118*$S$28/S118)))</f>
      </c>
      <c r="X118" s="721">
        <f>HLOOKUP(O118,'Datos SS'!$K$37:$EP$38,2,0)</f>
      </c>
      <c r="Y118" s="331">
        <f>MAX(INT(Y117)-1,0)</f>
      </c>
      <c r="Z118" s="169"/>
      <c r="AA118" s="169"/>
      <c r="AB118" s="169"/>
      <c r="AC118" s="965">
        <v>2130.320685173152</v>
      </c>
      <c r="AD118" s="331">
        <f>+AC118-W118</f>
      </c>
      <c r="AE118" s="169"/>
      <c r="AF118" s="170"/>
      <c r="AG118" s="169"/>
      <c r="AH118" s="170"/>
      <c r="AI118" s="170"/>
      <c r="AJ118" s="1"/>
      <c r="AK118" s="1"/>
      <c r="AL118" s="170"/>
      <c r="AM118" s="170"/>
    </row>
    <row x14ac:dyDescent="0.25" r="119" customHeight="1" ht="18.75">
      <c r="A119" s="1"/>
      <c r="B119" s="170"/>
      <c r="C119" s="169"/>
      <c r="D119" s="170"/>
      <c r="E119" s="169"/>
      <c r="F119" s="169"/>
      <c r="G119" s="170"/>
      <c r="H119" s="170"/>
      <c r="I119" s="169"/>
      <c r="J119" s="1"/>
      <c r="K119" s="169"/>
      <c r="L119" s="332">
        <v>115</v>
      </c>
      <c r="M119" s="332">
        <f>IF(L119&lt;=$C$22,$B$22,IF(L119&lt;=$C$23+$C$22,$B$23,0))</f>
      </c>
      <c r="N119" s="1"/>
      <c r="O119" s="332">
        <f>IF(Q119=12,O118-1,O118)</f>
      </c>
      <c r="P119" s="332">
        <v>115</v>
      </c>
      <c r="Q119" s="332">
        <f>IF(Q118=1,12,Q118-1)</f>
      </c>
      <c r="R119" s="169"/>
      <c r="S119" s="333">
        <f>HLOOKUP(O119,'Datos SS'!$B$4:$CZZ$16,(Q119+1),0)</f>
      </c>
      <c r="T119" s="333">
        <f>IF(O119=YEAR($B$5),($B$9/12),IF(O119&gt;MIN(YEAR($B$7),YEAR($B$5)),($B$9/12)*(1+HLOOKUP(O119,'Datos SS'!$B$31:$CZZ$32,2,0))^(O119-YEAR($B$5)),T107/(1+HLOOKUP(O119,'Datos SS'!$B$31:$CZZ$32,2,0))))</f>
      </c>
      <c r="U119" s="333">
        <f>IF(O119=2018,IF(Q119&lt;8,HLOOKUP(O119,'Datos SS'!$B$25:$BZZ$27,3,0)/12,HLOOKUP(O119,'Datos SS'!$B$25:$BZZ$26,2,0)/12),HLOOKUP(O119,'Datos SS'!$B$25:$BZZ$26,2,0)/12)</f>
      </c>
      <c r="V119" s="964">
        <f>MAX(X119,MIN(T119,U119))</f>
      </c>
      <c r="W119" s="333">
        <f>IF($E$19="NO",IF(P119&lt;=180,IF(P119&lt;25,V119,V119*$S$28/S119),0),IF(P119&gt;$B$15,0,IF(P119&lt;25,V119,V119*$S$28/S119)))</f>
      </c>
      <c r="X119" s="721">
        <f>HLOOKUP(O119,'Datos SS'!$K$37:$EP$38,2,0)</f>
      </c>
      <c r="Y119" s="331">
        <f>MAX(INT(Y118)-1,0)</f>
      </c>
      <c r="Z119" s="169"/>
      <c r="AA119" s="169"/>
      <c r="AB119" s="169"/>
      <c r="AC119" s="965">
        <v>2132.087867377283</v>
      </c>
      <c r="AD119" s="331">
        <f>+AC119-W119</f>
      </c>
      <c r="AE119" s="169"/>
      <c r="AF119" s="170"/>
      <c r="AG119" s="169"/>
      <c r="AH119" s="170"/>
      <c r="AI119" s="170"/>
      <c r="AJ119" s="1"/>
      <c r="AK119" s="1"/>
      <c r="AL119" s="170"/>
      <c r="AM119" s="170"/>
    </row>
    <row x14ac:dyDescent="0.25" r="120" customHeight="1" ht="18.75">
      <c r="A120" s="1"/>
      <c r="B120" s="170"/>
      <c r="C120" s="169"/>
      <c r="D120" s="170"/>
      <c r="E120" s="169"/>
      <c r="F120" s="169"/>
      <c r="G120" s="170"/>
      <c r="H120" s="170"/>
      <c r="I120" s="169"/>
      <c r="J120" s="1"/>
      <c r="K120" s="169"/>
      <c r="L120" s="332">
        <v>116</v>
      </c>
      <c r="M120" s="332">
        <f>IF(L120&lt;=$C$22,$B$22,IF(L120&lt;=$C$23+$C$22,$B$23,0))</f>
      </c>
      <c r="N120" s="1"/>
      <c r="O120" s="332">
        <f>IF(Q120=12,O119-1,O119)</f>
      </c>
      <c r="P120" s="332">
        <v>116</v>
      </c>
      <c r="Q120" s="332">
        <f>IF(Q119=1,12,Q119-1)</f>
      </c>
      <c r="R120" s="169"/>
      <c r="S120" s="333">
        <f>HLOOKUP(O120,'Datos SS'!$B$4:$CZZ$16,(Q120+1),0)</f>
      </c>
      <c r="T120" s="333">
        <f>IF(O120=YEAR($B$5),($B$9/12),IF(O120&gt;MIN(YEAR($B$7),YEAR($B$5)),($B$9/12)*(1+HLOOKUP(O120,'Datos SS'!$B$31:$CZZ$32,2,0))^(O120-YEAR($B$5)),T108/(1+HLOOKUP(O120,'Datos SS'!$B$31:$CZZ$32,2,0))))</f>
      </c>
      <c r="U120" s="333">
        <f>IF(O120=2018,IF(Q120&lt;8,HLOOKUP(O120,'Datos SS'!$B$25:$BZZ$27,3,0)/12,HLOOKUP(O120,'Datos SS'!$B$25:$BZZ$26,2,0)/12),HLOOKUP(O120,'Datos SS'!$B$25:$BZZ$26,2,0)/12)</f>
      </c>
      <c r="V120" s="964">
        <f>MAX(X120,MIN(T120,U120))</f>
      </c>
      <c r="W120" s="333">
        <f>IF($E$19="NO",IF(P120&lt;=180,IF(P120&lt;25,V120,V120*$S$28/S120),0),IF(P120&gt;$B$15,0,IF(P120&lt;25,V120,V120*$S$28/S120)))</f>
      </c>
      <c r="X120" s="721">
        <f>HLOOKUP(O120,'Datos SS'!$K$37:$EP$38,2,0)</f>
      </c>
      <c r="Y120" s="331">
        <f>MAX(INT(Y119)-1,0)</f>
      </c>
      <c r="Z120" s="169"/>
      <c r="AA120" s="169"/>
      <c r="AB120" s="169"/>
      <c r="AC120" s="965">
        <v>2133.8565155264077</v>
      </c>
      <c r="AD120" s="331">
        <f>+AC120-W120</f>
      </c>
      <c r="AE120" s="169"/>
      <c r="AF120" s="170"/>
      <c r="AG120" s="169"/>
      <c r="AH120" s="170"/>
      <c r="AI120" s="170"/>
      <c r="AJ120" s="1"/>
      <c r="AK120" s="1"/>
      <c r="AL120" s="170"/>
      <c r="AM120" s="170"/>
    </row>
    <row x14ac:dyDescent="0.25" r="121" customHeight="1" ht="18.75">
      <c r="A121" s="1"/>
      <c r="B121" s="170"/>
      <c r="C121" s="169"/>
      <c r="D121" s="170"/>
      <c r="E121" s="169"/>
      <c r="F121" s="169"/>
      <c r="G121" s="170"/>
      <c r="H121" s="170"/>
      <c r="I121" s="169"/>
      <c r="J121" s="1"/>
      <c r="K121" s="169"/>
      <c r="L121" s="332">
        <v>117</v>
      </c>
      <c r="M121" s="332">
        <f>IF(L121&lt;=$C$22,$B$22,IF(L121&lt;=$C$23+$C$22,$B$23,0))</f>
      </c>
      <c r="N121" s="1"/>
      <c r="O121" s="332">
        <f>IF(Q121=12,O120-1,O120)</f>
      </c>
      <c r="P121" s="332">
        <v>117</v>
      </c>
      <c r="Q121" s="332">
        <f>IF(Q120=1,12,Q120-1)</f>
      </c>
      <c r="R121" s="169"/>
      <c r="S121" s="333">
        <f>HLOOKUP(O121,'Datos SS'!$B$4:$CZZ$16,(Q121+1),0)</f>
      </c>
      <c r="T121" s="333">
        <f>IF(O121=YEAR($B$5),($B$9/12),IF(O121&gt;MIN(YEAR($B$7),YEAR($B$5)),($B$9/12)*(1+HLOOKUP(O121,'Datos SS'!$B$31:$CZZ$32,2,0))^(O121-YEAR($B$5)),T109/(1+HLOOKUP(O121,'Datos SS'!$B$31:$CZZ$32,2,0))))</f>
      </c>
      <c r="U121" s="333">
        <f>IF(O121=2018,IF(Q121&lt;8,HLOOKUP(O121,'Datos SS'!$B$25:$BZZ$27,3,0)/12,HLOOKUP(O121,'Datos SS'!$B$25:$BZZ$26,2,0)/12),HLOOKUP(O121,'Datos SS'!$B$25:$BZZ$26,2,0)/12)</f>
      </c>
      <c r="V121" s="964">
        <f>MAX(X121,MIN(T121,U121))</f>
      </c>
      <c r="W121" s="333">
        <f>IF($E$19="NO",IF(P121&lt;=180,IF(P121&lt;25,V121,V121*$S$28/S121),0),IF(P121&gt;$B$15,0,IF(P121&lt;25,V121,V121*$S$28/S121)))</f>
      </c>
      <c r="X121" s="721">
        <f>HLOOKUP(O121,'Datos SS'!$K$37:$EP$38,2,0)</f>
      </c>
      <c r="Y121" s="331">
        <f>MAX(INT(Y120)-1,0)</f>
      </c>
      <c r="Z121" s="169"/>
      <c r="AA121" s="169"/>
      <c r="AB121" s="169"/>
      <c r="AC121" s="965">
        <v>2135.6266308365825</v>
      </c>
      <c r="AD121" s="331">
        <f>+AC121-W121</f>
      </c>
      <c r="AE121" s="169"/>
      <c r="AF121" s="170"/>
      <c r="AG121" s="169"/>
      <c r="AH121" s="170"/>
      <c r="AI121" s="170"/>
      <c r="AJ121" s="1"/>
      <c r="AK121" s="1"/>
      <c r="AL121" s="170"/>
      <c r="AM121" s="170"/>
    </row>
    <row x14ac:dyDescent="0.25" r="122" customHeight="1" ht="18.75">
      <c r="A122" s="1"/>
      <c r="B122" s="170"/>
      <c r="C122" s="169"/>
      <c r="D122" s="170"/>
      <c r="E122" s="169"/>
      <c r="F122" s="169"/>
      <c r="G122" s="170"/>
      <c r="H122" s="170"/>
      <c r="I122" s="169"/>
      <c r="J122" s="1"/>
      <c r="K122" s="169"/>
      <c r="L122" s="332">
        <v>118</v>
      </c>
      <c r="M122" s="332">
        <f>IF(L122&lt;=$C$22,$B$22,IF(L122&lt;=$C$23+$C$22,$B$23,0))</f>
      </c>
      <c r="N122" s="1"/>
      <c r="O122" s="332">
        <f>IF(Q122=12,O121-1,O121)</f>
      </c>
      <c r="P122" s="332">
        <v>118</v>
      </c>
      <c r="Q122" s="332">
        <f>IF(Q121=1,12,Q121-1)</f>
      </c>
      <c r="R122" s="169"/>
      <c r="S122" s="333">
        <f>HLOOKUP(O122,'Datos SS'!$B$4:$CZZ$16,(Q122+1),0)</f>
      </c>
      <c r="T122" s="333">
        <f>IF(O122=YEAR($B$5),($B$9/12),IF(O122&gt;MIN(YEAR($B$7),YEAR($B$5)),($B$9/12)*(1+HLOOKUP(O122,'Datos SS'!$B$31:$CZZ$32,2,0))^(O122-YEAR($B$5)),T110/(1+HLOOKUP(O122,'Datos SS'!$B$31:$CZZ$32,2,0))))</f>
      </c>
      <c r="U122" s="333">
        <f>IF(O122=2018,IF(Q122&lt;8,HLOOKUP(O122,'Datos SS'!$B$25:$BZZ$27,3,0)/12,HLOOKUP(O122,'Datos SS'!$B$25:$BZZ$26,2,0)/12),HLOOKUP(O122,'Datos SS'!$B$25:$BZZ$26,2,0)/12)</f>
      </c>
      <c r="V122" s="964">
        <f>MAX(X122,MIN(T122,U122))</f>
      </c>
      <c r="W122" s="333">
        <f>IF($E$19="NO",IF(P122&lt;=180,IF(P122&lt;25,V122,V122*$S$28/S122),0),IF(P122&gt;$B$15,0,IF(P122&lt;25,V122,V122*$S$28/S122)))</f>
      </c>
      <c r="X122" s="721">
        <f>HLOOKUP(O122,'Datos SS'!$K$37:$EP$38,2,0)</f>
      </c>
      <c r="Y122" s="331">
        <f>MAX(INT(Y121)-1,0)</f>
      </c>
      <c r="Z122" s="169"/>
      <c r="AA122" s="169"/>
      <c r="AB122" s="169"/>
      <c r="AC122" s="965">
        <v>2095.4884456126215</v>
      </c>
      <c r="AD122" s="331">
        <f>+AC122-W122</f>
      </c>
      <c r="AE122" s="169"/>
      <c r="AF122" s="170"/>
      <c r="AG122" s="169"/>
      <c r="AH122" s="170"/>
      <c r="AI122" s="170"/>
      <c r="AJ122" s="1"/>
      <c r="AK122" s="1"/>
      <c r="AL122" s="170"/>
      <c r="AM122" s="170"/>
    </row>
    <row x14ac:dyDescent="0.25" r="123" customHeight="1" ht="18.75">
      <c r="A123" s="1"/>
      <c r="B123" s="170"/>
      <c r="C123" s="169"/>
      <c r="D123" s="170"/>
      <c r="E123" s="169"/>
      <c r="F123" s="169"/>
      <c r="G123" s="170"/>
      <c r="H123" s="170"/>
      <c r="I123" s="169"/>
      <c r="J123" s="1"/>
      <c r="K123" s="169"/>
      <c r="L123" s="332">
        <v>119</v>
      </c>
      <c r="M123" s="332">
        <f>IF(L123&lt;=$C$22,$B$22,IF(L123&lt;=$C$23+$C$22,$B$23,0))</f>
      </c>
      <c r="N123" s="1"/>
      <c r="O123" s="332">
        <f>IF(Q123=12,O122-1,O122)</f>
      </c>
      <c r="P123" s="332">
        <v>119</v>
      </c>
      <c r="Q123" s="332">
        <f>IF(Q122=1,12,Q122-1)</f>
      </c>
      <c r="R123" s="169"/>
      <c r="S123" s="333">
        <f>HLOOKUP(O123,'Datos SS'!$B$4:$CZZ$16,(Q123+1),0)</f>
      </c>
      <c r="T123" s="333">
        <f>IF(O123=YEAR($B$5),($B$9/12),IF(O123&gt;MIN(YEAR($B$7),YEAR($B$5)),($B$9/12)*(1+HLOOKUP(O123,'Datos SS'!$B$31:$CZZ$32,2,0))^(O123-YEAR($B$5)),T111/(1+HLOOKUP(O123,'Datos SS'!$B$31:$CZZ$32,2,0))))</f>
      </c>
      <c r="U123" s="333">
        <f>IF(O123=2018,IF(Q123&lt;8,HLOOKUP(O123,'Datos SS'!$B$25:$BZZ$27,3,0)/12,HLOOKUP(O123,'Datos SS'!$B$25:$BZZ$26,2,0)/12),HLOOKUP(O123,'Datos SS'!$B$25:$BZZ$26,2,0)/12)</f>
      </c>
      <c r="V123" s="964">
        <f>MAX(X123,MIN(T123,U123))</f>
      </c>
      <c r="W123" s="333">
        <f>IF($E$19="NO",IF(P123&lt;=180,IF(P123&lt;25,V123,V123*$S$28/S123),0),IF(P123&gt;$B$15,0,IF(P123&lt;25,V123,V123*$S$28/S123)))</f>
      </c>
      <c r="X123" s="721">
        <f>HLOOKUP(O123,'Datos SS'!$K$37:$EP$38,2,0)</f>
      </c>
      <c r="Y123" s="331">
        <f>MAX(INT(Y122)-1,0)</f>
      </c>
      <c r="Z123" s="169"/>
      <c r="AA123" s="169"/>
      <c r="AB123" s="169"/>
      <c r="AC123" s="965">
        <v>2097.226733146429</v>
      </c>
      <c r="AD123" s="331">
        <f>+AC123-W123</f>
      </c>
      <c r="AE123" s="169"/>
      <c r="AF123" s="170"/>
      <c r="AG123" s="169"/>
      <c r="AH123" s="170"/>
      <c r="AI123" s="170"/>
      <c r="AJ123" s="1"/>
      <c r="AK123" s="1"/>
      <c r="AL123" s="170"/>
      <c r="AM123" s="170"/>
    </row>
    <row x14ac:dyDescent="0.25" r="124" customHeight="1" ht="18.75">
      <c r="A124" s="1"/>
      <c r="B124" s="170"/>
      <c r="C124" s="169"/>
      <c r="D124" s="170"/>
      <c r="E124" s="169"/>
      <c r="F124" s="169"/>
      <c r="G124" s="170"/>
      <c r="H124" s="170"/>
      <c r="I124" s="169"/>
      <c r="J124" s="1"/>
      <c r="K124" s="169"/>
      <c r="L124" s="332">
        <v>120</v>
      </c>
      <c r="M124" s="332">
        <f>IF(L124&lt;=$C$22,$B$22,IF(L124&lt;=$C$23+$C$22,$B$23,0))</f>
      </c>
      <c r="N124" s="1"/>
      <c r="O124" s="332">
        <f>IF(Q124=12,O123-1,O123)</f>
      </c>
      <c r="P124" s="332">
        <v>120</v>
      </c>
      <c r="Q124" s="332">
        <f>IF(Q123=1,12,Q123-1)</f>
      </c>
      <c r="R124" s="169"/>
      <c r="S124" s="333">
        <f>HLOOKUP(O124,'Datos SS'!$B$4:$CZZ$16,(Q124+1),0)</f>
      </c>
      <c r="T124" s="333">
        <f>IF(O124=YEAR($B$5),($B$9/12),IF(O124&gt;MIN(YEAR($B$7),YEAR($B$5)),($B$9/12)*(1+HLOOKUP(O124,'Datos SS'!$B$31:$CZZ$32,2,0))^(O124-YEAR($B$5)),T112/(1+HLOOKUP(O124,'Datos SS'!$B$31:$CZZ$32,2,0))))</f>
      </c>
      <c r="U124" s="333">
        <f>IF(O124=2018,IF(Q124&lt;8,HLOOKUP(O124,'Datos SS'!$B$25:$BZZ$27,3,0)/12,HLOOKUP(O124,'Datos SS'!$B$25:$BZZ$26,2,0)/12),HLOOKUP(O124,'Datos SS'!$B$25:$BZZ$26,2,0)/12)</f>
      </c>
      <c r="V124" s="964">
        <f>MAX(X124,MIN(T124,U124))</f>
      </c>
      <c r="W124" s="333">
        <f>IF($E$19="NO",IF(P124&lt;=180,IF(P124&lt;25,V124,V124*$S$28/S124),0),IF(P124&gt;$B$15,0,IF(P124&lt;25,V124,V124*$S$28/S124)))</f>
      </c>
      <c r="X124" s="721">
        <f>HLOOKUP(O124,'Datos SS'!$K$37:$EP$38,2,0)</f>
      </c>
      <c r="Y124" s="331">
        <f>MAX(INT(Y123)-1,0)</f>
      </c>
      <c r="Z124" s="169"/>
      <c r="AA124" s="169"/>
      <c r="AB124" s="169"/>
      <c r="AC124" s="965">
        <v>2098.9664626559997</v>
      </c>
      <c r="AD124" s="331">
        <f>+AC124-W124</f>
      </c>
      <c r="AE124" s="169"/>
      <c r="AF124" s="170"/>
      <c r="AG124" s="169"/>
      <c r="AH124" s="170"/>
      <c r="AI124" s="170"/>
      <c r="AJ124" s="1"/>
      <c r="AK124" s="1"/>
      <c r="AL124" s="170"/>
      <c r="AM124" s="170"/>
    </row>
    <row x14ac:dyDescent="0.25" r="125" customHeight="1" ht="18.75">
      <c r="A125" s="1"/>
      <c r="B125" s="170"/>
      <c r="C125" s="169"/>
      <c r="D125" s="170"/>
      <c r="E125" s="169"/>
      <c r="F125" s="169"/>
      <c r="G125" s="170"/>
      <c r="H125" s="170"/>
      <c r="I125" s="169"/>
      <c r="J125" s="1"/>
      <c r="K125" s="169"/>
      <c r="L125" s="332">
        <v>121</v>
      </c>
      <c r="M125" s="332">
        <f>IF(L125&lt;=$C$22,$B$22,IF(L125&lt;=$C$23+$C$22,$B$23,0))</f>
      </c>
      <c r="N125" s="1"/>
      <c r="O125" s="332">
        <f>IF(Q125=12,O124-1,O124)</f>
      </c>
      <c r="P125" s="332">
        <v>121</v>
      </c>
      <c r="Q125" s="332">
        <f>IF(Q124=1,12,Q124-1)</f>
      </c>
      <c r="R125" s="169"/>
      <c r="S125" s="333">
        <f>HLOOKUP(O125,'Datos SS'!$B$4:$CZZ$16,(Q125+1),0)</f>
      </c>
      <c r="T125" s="333">
        <f>IF(O125=YEAR($B$5),($B$9/12),IF(O125&gt;MIN(YEAR($B$7),YEAR($B$5)),($B$9/12)*(1+HLOOKUP(O125,'Datos SS'!$B$31:$CZZ$32,2,0))^(O125-YEAR($B$5)),T113/(1+HLOOKUP(O125,'Datos SS'!$B$31:$CZZ$32,2,0))))</f>
      </c>
      <c r="U125" s="333">
        <f>IF(O125=2018,IF(Q125&lt;8,HLOOKUP(O125,'Datos SS'!$B$25:$BZZ$27,3,0)/12,HLOOKUP(O125,'Datos SS'!$B$25:$BZZ$26,2,0)/12),HLOOKUP(O125,'Datos SS'!$B$25:$BZZ$26,2,0)/12)</f>
      </c>
      <c r="V125" s="964">
        <f>MAX(X125,MIN(T125,U125))</f>
      </c>
      <c r="W125" s="333">
        <f>IF($E$19="NO",IF(P125&lt;=180,IF(P125&lt;25,V125,V125*$S$28/S125),0),IF(P125&gt;$B$15,0,IF(P125&lt;25,V125,V125*$S$28/S125)))</f>
      </c>
      <c r="X125" s="721">
        <f>HLOOKUP(O125,'Datos SS'!$K$37:$EP$38,2,0)</f>
      </c>
      <c r="Y125" s="331">
        <f>MAX(INT(Y124)-1,0)</f>
      </c>
      <c r="Z125" s="169"/>
      <c r="AA125" s="169"/>
      <c r="AB125" s="169"/>
      <c r="AC125" s="965">
        <v>2100.7076353375073</v>
      </c>
      <c r="AD125" s="331">
        <f>+AC125-W125</f>
      </c>
      <c r="AE125" s="169"/>
      <c r="AF125" s="170"/>
      <c r="AG125" s="169"/>
      <c r="AH125" s="170"/>
      <c r="AI125" s="170"/>
      <c r="AJ125" s="1"/>
      <c r="AK125" s="1"/>
      <c r="AL125" s="170"/>
      <c r="AM125" s="170"/>
    </row>
    <row x14ac:dyDescent="0.25" r="126" customHeight="1" ht="18.75">
      <c r="A126" s="1"/>
      <c r="B126" s="170"/>
      <c r="C126" s="169"/>
      <c r="D126" s="170"/>
      <c r="E126" s="169"/>
      <c r="F126" s="169"/>
      <c r="G126" s="170"/>
      <c r="H126" s="170"/>
      <c r="I126" s="169"/>
      <c r="J126" s="1"/>
      <c r="K126" s="169"/>
      <c r="L126" s="332">
        <v>122</v>
      </c>
      <c r="M126" s="332">
        <f>IF(L126&lt;=$C$22,$B$22,IF(L126&lt;=$C$23+$C$22,$B$23,0))</f>
      </c>
      <c r="N126" s="1"/>
      <c r="O126" s="332">
        <f>IF(Q126=12,O125-1,O125)</f>
      </c>
      <c r="P126" s="332">
        <v>122</v>
      </c>
      <c r="Q126" s="332">
        <f>IF(Q125=1,12,Q125-1)</f>
      </c>
      <c r="R126" s="169"/>
      <c r="S126" s="333">
        <f>HLOOKUP(O126,'Datos SS'!$B$4:$CZZ$16,(Q126+1),0)</f>
      </c>
      <c r="T126" s="333">
        <f>IF(O126=YEAR($B$5),($B$9/12),IF(O126&gt;MIN(YEAR($B$7),YEAR($B$5)),($B$9/12)*(1+HLOOKUP(O126,'Datos SS'!$B$31:$CZZ$32,2,0))^(O126-YEAR($B$5)),T114/(1+HLOOKUP(O126,'Datos SS'!$B$31:$CZZ$32,2,0))))</f>
      </c>
      <c r="U126" s="333">
        <f>IF(O126=2018,IF(Q126&lt;8,HLOOKUP(O126,'Datos SS'!$B$25:$BZZ$27,3,0)/12,HLOOKUP(O126,'Datos SS'!$B$25:$BZZ$26,2,0)/12),HLOOKUP(O126,'Datos SS'!$B$25:$BZZ$26,2,0)/12)</f>
      </c>
      <c r="V126" s="964">
        <f>MAX(X126,MIN(T126,U126))</f>
      </c>
      <c r="W126" s="333">
        <f>IF($E$19="NO",IF(P126&lt;=180,IF(P126&lt;25,V126,V126*$S$28/S126),0),IF(P126&gt;$B$15,0,IF(P126&lt;25,V126,V126*$S$28/S126)))</f>
      </c>
      <c r="X126" s="721">
        <f>HLOOKUP(O126,'Datos SS'!$K$37:$EP$38,2,0)</f>
      </c>
      <c r="Y126" s="331">
        <f>MAX(INT(Y125)-1,0)</f>
      </c>
      <c r="Z126" s="169"/>
      <c r="AA126" s="169"/>
      <c r="AB126" s="169"/>
      <c r="AC126" s="965">
        <v>2102.4502523881174</v>
      </c>
      <c r="AD126" s="331">
        <f>+AC126-W126</f>
      </c>
      <c r="AE126" s="169"/>
      <c r="AF126" s="170"/>
      <c r="AG126" s="169"/>
      <c r="AH126" s="170"/>
      <c r="AI126" s="170"/>
      <c r="AJ126" s="1"/>
      <c r="AK126" s="1"/>
      <c r="AL126" s="170"/>
      <c r="AM126" s="170"/>
    </row>
    <row x14ac:dyDescent="0.25" r="127" customHeight="1" ht="18.75">
      <c r="A127" s="1"/>
      <c r="B127" s="170"/>
      <c r="C127" s="169"/>
      <c r="D127" s="170"/>
      <c r="E127" s="169"/>
      <c r="F127" s="169"/>
      <c r="G127" s="170"/>
      <c r="H127" s="170"/>
      <c r="I127" s="169"/>
      <c r="J127" s="1"/>
      <c r="K127" s="169"/>
      <c r="L127" s="332">
        <v>123</v>
      </c>
      <c r="M127" s="332">
        <f>IF(L127&lt;=$C$22,$B$22,IF(L127&lt;=$C$23+$C$22,$B$23,0))</f>
      </c>
      <c r="N127" s="1"/>
      <c r="O127" s="332">
        <f>IF(Q127=12,O126-1,O126)</f>
      </c>
      <c r="P127" s="332">
        <v>123</v>
      </c>
      <c r="Q127" s="332">
        <f>IF(Q126=1,12,Q126-1)</f>
      </c>
      <c r="R127" s="169"/>
      <c r="S127" s="333">
        <f>HLOOKUP(O127,'Datos SS'!$B$4:$CZZ$16,(Q127+1),0)</f>
      </c>
      <c r="T127" s="333">
        <f>IF(O127=YEAR($B$5),($B$9/12),IF(O127&gt;MIN(YEAR($B$7),YEAR($B$5)),($B$9/12)*(1+HLOOKUP(O127,'Datos SS'!$B$31:$CZZ$32,2,0))^(O127-YEAR($B$5)),T115/(1+HLOOKUP(O127,'Datos SS'!$B$31:$CZZ$32,2,0))))</f>
      </c>
      <c r="U127" s="333">
        <f>IF(O127=2018,IF(Q127&lt;8,HLOOKUP(O127,'Datos SS'!$B$25:$BZZ$27,3,0)/12,HLOOKUP(O127,'Datos SS'!$B$25:$BZZ$26,2,0)/12),HLOOKUP(O127,'Datos SS'!$B$25:$BZZ$26,2,0)/12)</f>
      </c>
      <c r="V127" s="964">
        <f>MAX(X127,MIN(T127,U127))</f>
      </c>
      <c r="W127" s="333">
        <f>IF($E$19="NO",IF(P127&lt;=180,IF(P127&lt;25,V127,V127*$S$28/S127),0),IF(P127&gt;$B$15,0,IF(P127&lt;25,V127,V127*$S$28/S127)))</f>
      </c>
      <c r="X127" s="721">
        <f>HLOOKUP(O127,'Datos SS'!$K$37:$EP$38,2,0)</f>
      </c>
      <c r="Y127" s="331">
        <f>MAX(INT(Y126)-1,0)</f>
      </c>
      <c r="Z127" s="169"/>
      <c r="AA127" s="169"/>
      <c r="AB127" s="169"/>
      <c r="AC127" s="965">
        <v>2104.19431500599</v>
      </c>
      <c r="AD127" s="331">
        <f>+AC127-W127</f>
      </c>
      <c r="AE127" s="169"/>
      <c r="AF127" s="170"/>
      <c r="AG127" s="169"/>
      <c r="AH127" s="170"/>
      <c r="AI127" s="170"/>
      <c r="AJ127" s="1"/>
      <c r="AK127" s="1"/>
      <c r="AL127" s="170"/>
      <c r="AM127" s="170"/>
    </row>
    <row x14ac:dyDescent="0.25" r="128" customHeight="1" ht="18.75">
      <c r="A128" s="1"/>
      <c r="B128" s="170"/>
      <c r="C128" s="169"/>
      <c r="D128" s="170"/>
      <c r="E128" s="169"/>
      <c r="F128" s="169"/>
      <c r="G128" s="170"/>
      <c r="H128" s="170"/>
      <c r="I128" s="169"/>
      <c r="J128" s="1"/>
      <c r="K128" s="169"/>
      <c r="L128" s="332">
        <v>124</v>
      </c>
      <c r="M128" s="332">
        <f>IF(L128&lt;=$C$22,$B$22,IF(L128&lt;=$C$23+$C$22,$B$23,0))</f>
      </c>
      <c r="N128" s="1"/>
      <c r="O128" s="332">
        <f>IF(Q128=12,O127-1,O127)</f>
      </c>
      <c r="P128" s="332">
        <v>124</v>
      </c>
      <c r="Q128" s="332">
        <f>IF(Q127=1,12,Q127-1)</f>
      </c>
      <c r="R128" s="169"/>
      <c r="S128" s="333">
        <f>HLOOKUP(O128,'Datos SS'!$B$4:$CZZ$16,(Q128+1),0)</f>
      </c>
      <c r="T128" s="333">
        <f>IF(O128=YEAR($B$5),($B$9/12),IF(O128&gt;MIN(YEAR($B$7),YEAR($B$5)),($B$9/12)*(1+HLOOKUP(O128,'Datos SS'!$B$31:$CZZ$32,2,0))^(O128-YEAR($B$5)),T116/(1+HLOOKUP(O128,'Datos SS'!$B$31:$CZZ$32,2,0))))</f>
      </c>
      <c r="U128" s="333">
        <f>IF(O128=2018,IF(Q128&lt;8,HLOOKUP(O128,'Datos SS'!$B$25:$BZZ$27,3,0)/12,HLOOKUP(O128,'Datos SS'!$B$25:$BZZ$26,2,0)/12),HLOOKUP(O128,'Datos SS'!$B$25:$BZZ$26,2,0)/12)</f>
      </c>
      <c r="V128" s="964">
        <f>MAX(X128,MIN(T128,U128))</f>
      </c>
      <c r="W128" s="333">
        <f>IF($E$19="NO",IF(P128&lt;=180,IF(P128&lt;25,V128,V128*$S$28/S128),0),IF(P128&gt;$B$15,0,IF(P128&lt;25,V128,V128*$S$28/S128)))</f>
      </c>
      <c r="X128" s="721">
        <f>HLOOKUP(O128,'Datos SS'!$K$37:$EP$38,2,0)</f>
      </c>
      <c r="Y128" s="331">
        <f>MAX(INT(Y127)-1,0)</f>
      </c>
      <c r="Z128" s="169"/>
      <c r="AA128" s="169"/>
      <c r="AB128" s="169"/>
      <c r="AC128" s="965">
        <v>2105.939824390278</v>
      </c>
      <c r="AD128" s="331">
        <f>+AC128-W128</f>
      </c>
      <c r="AE128" s="169"/>
      <c r="AF128" s="170"/>
      <c r="AG128" s="169"/>
      <c r="AH128" s="170"/>
      <c r="AI128" s="170"/>
      <c r="AJ128" s="1"/>
      <c r="AK128" s="1"/>
      <c r="AL128" s="170"/>
      <c r="AM128" s="170"/>
    </row>
    <row x14ac:dyDescent="0.25" r="129" customHeight="1" ht="18.75">
      <c r="A129" s="1"/>
      <c r="B129" s="170"/>
      <c r="C129" s="169"/>
      <c r="D129" s="170"/>
      <c r="E129" s="169"/>
      <c r="F129" s="169"/>
      <c r="G129" s="170"/>
      <c r="H129" s="170"/>
      <c r="I129" s="169"/>
      <c r="J129" s="1"/>
      <c r="K129" s="169"/>
      <c r="L129" s="332">
        <v>125</v>
      </c>
      <c r="M129" s="332">
        <f>IF(L129&lt;=$C$22,$B$22,IF(L129&lt;=$C$23+$C$22,$B$23,0))</f>
      </c>
      <c r="N129" s="1"/>
      <c r="O129" s="332">
        <f>IF(Q129=12,O128-1,O128)</f>
      </c>
      <c r="P129" s="332">
        <v>125</v>
      </c>
      <c r="Q129" s="332">
        <f>IF(Q128=1,12,Q128-1)</f>
      </c>
      <c r="R129" s="169"/>
      <c r="S129" s="333">
        <f>HLOOKUP(O129,'Datos SS'!$B$4:$CZZ$16,(Q129+1),0)</f>
      </c>
      <c r="T129" s="333">
        <f>IF(O129=YEAR($B$5),($B$9/12),IF(O129&gt;MIN(YEAR($B$7),YEAR($B$5)),($B$9/12)*(1+HLOOKUP(O129,'Datos SS'!$B$31:$CZZ$32,2,0))^(O129-YEAR($B$5)),T117/(1+HLOOKUP(O129,'Datos SS'!$B$31:$CZZ$32,2,0))))</f>
      </c>
      <c r="U129" s="333">
        <f>IF(O129=2018,IF(Q129&lt;8,HLOOKUP(O129,'Datos SS'!$B$25:$BZZ$27,3,0)/12,HLOOKUP(O129,'Datos SS'!$B$25:$BZZ$26,2,0)/12),HLOOKUP(O129,'Datos SS'!$B$25:$BZZ$26,2,0)/12)</f>
      </c>
      <c r="V129" s="964">
        <f>MAX(X129,MIN(T129,U129))</f>
      </c>
      <c r="W129" s="333">
        <f>IF($E$19="NO",IF(P129&lt;=180,IF(P129&lt;25,V129,V129*$S$28/S129),0),IF(P129&gt;$B$15,0,IF(P129&lt;25,V129,V129*$S$28/S129)))</f>
      </c>
      <c r="X129" s="721">
        <f>HLOOKUP(O129,'Datos SS'!$K$37:$EP$38,2,0)</f>
      </c>
      <c r="Y129" s="331">
        <f>MAX(INT(Y128)-1,0)</f>
      </c>
      <c r="Z129" s="169"/>
      <c r="AA129" s="169"/>
      <c r="AB129" s="169"/>
      <c r="AC129" s="965">
        <v>2107.686781741129</v>
      </c>
      <c r="AD129" s="331">
        <f>+AC129-W129</f>
      </c>
      <c r="AE129" s="169"/>
      <c r="AF129" s="170"/>
      <c r="AG129" s="169"/>
      <c r="AH129" s="170"/>
      <c r="AI129" s="170"/>
      <c r="AJ129" s="1"/>
      <c r="AK129" s="1"/>
      <c r="AL129" s="170"/>
      <c r="AM129" s="170"/>
    </row>
    <row x14ac:dyDescent="0.25" r="130" customHeight="1" ht="18.75">
      <c r="A130" s="1"/>
      <c r="B130" s="170"/>
      <c r="C130" s="169"/>
      <c r="D130" s="170"/>
      <c r="E130" s="169"/>
      <c r="F130" s="169"/>
      <c r="G130" s="170"/>
      <c r="H130" s="170"/>
      <c r="I130" s="169"/>
      <c r="J130" s="1"/>
      <c r="K130" s="169"/>
      <c r="L130" s="332">
        <v>126</v>
      </c>
      <c r="M130" s="332">
        <f>IF(L130&lt;=$C$22,$B$22,IF(L130&lt;=$C$23+$C$22,$B$23,0))</f>
      </c>
      <c r="N130" s="1"/>
      <c r="O130" s="332">
        <f>IF(Q130=12,O129-1,O129)</f>
      </c>
      <c r="P130" s="332">
        <v>126</v>
      </c>
      <c r="Q130" s="332">
        <f>IF(Q129=1,12,Q129-1)</f>
      </c>
      <c r="R130" s="169"/>
      <c r="S130" s="333">
        <f>HLOOKUP(O130,'Datos SS'!$B$4:$CZZ$16,(Q130+1),0)</f>
      </c>
      <c r="T130" s="333">
        <f>IF(O130=YEAR($B$5),($B$9/12),IF(O130&gt;MIN(YEAR($B$7),YEAR($B$5)),($B$9/12)*(1+HLOOKUP(O130,'Datos SS'!$B$31:$CZZ$32,2,0))^(O130-YEAR($B$5)),T118/(1+HLOOKUP(O130,'Datos SS'!$B$31:$CZZ$32,2,0))))</f>
      </c>
      <c r="U130" s="333">
        <f>IF(O130=2018,IF(Q130&lt;8,HLOOKUP(O130,'Datos SS'!$B$25:$BZZ$27,3,0)/12,HLOOKUP(O130,'Datos SS'!$B$25:$BZZ$26,2,0)/12),HLOOKUP(O130,'Datos SS'!$B$25:$BZZ$26,2,0)/12)</f>
      </c>
      <c r="V130" s="964">
        <f>MAX(X130,MIN(T130,U130))</f>
      </c>
      <c r="W130" s="333">
        <f>IF($E$19="NO",IF(P130&lt;=180,IF(P130&lt;25,V130,V130*$S$28/S130),0),IF(P130&gt;$B$15,0,IF(P130&lt;25,V130,V130*$S$28/S130)))</f>
      </c>
      <c r="X130" s="721">
        <f>HLOOKUP(O130,'Datos SS'!$K$37:$EP$38,2,0)</f>
      </c>
      <c r="Y130" s="331">
        <f>MAX(INT(Y129)-1,0)</f>
      </c>
      <c r="Z130" s="169"/>
      <c r="AA130" s="169"/>
      <c r="AB130" s="169"/>
      <c r="AC130" s="965">
        <v>2109.435188259687</v>
      </c>
      <c r="AD130" s="331">
        <f>+AC130-W130</f>
      </c>
      <c r="AE130" s="169"/>
      <c r="AF130" s="170"/>
      <c r="AG130" s="169"/>
      <c r="AH130" s="170"/>
      <c r="AI130" s="170"/>
      <c r="AJ130" s="1"/>
      <c r="AK130" s="1"/>
      <c r="AL130" s="170"/>
      <c r="AM130" s="170"/>
    </row>
    <row x14ac:dyDescent="0.25" r="131" customHeight="1" ht="18.75">
      <c r="A131" s="1"/>
      <c r="B131" s="170"/>
      <c r="C131" s="169"/>
      <c r="D131" s="170"/>
      <c r="E131" s="169"/>
      <c r="F131" s="169"/>
      <c r="G131" s="170"/>
      <c r="H131" s="170"/>
      <c r="I131" s="169"/>
      <c r="J131" s="1"/>
      <c r="K131" s="169"/>
      <c r="L131" s="332">
        <v>127</v>
      </c>
      <c r="M131" s="332">
        <f>IF(L131&lt;=$C$22,$B$22,IF(L131&lt;=$C$23+$C$22,$B$23,0))</f>
      </c>
      <c r="N131" s="1"/>
      <c r="O131" s="332">
        <f>IF(Q131=12,O130-1,O130)</f>
      </c>
      <c r="P131" s="332">
        <v>127</v>
      </c>
      <c r="Q131" s="332">
        <f>IF(Q130=1,12,Q130-1)</f>
      </c>
      <c r="R131" s="169"/>
      <c r="S131" s="333">
        <f>HLOOKUP(O131,'Datos SS'!$B$4:$CZZ$16,(Q131+1),0)</f>
      </c>
      <c r="T131" s="333">
        <f>IF(O131=YEAR($B$5),($B$9/12),IF(O131&gt;MIN(YEAR($B$7),YEAR($B$5)),($B$9/12)*(1+HLOOKUP(O131,'Datos SS'!$B$31:$CZZ$32,2,0))^(O131-YEAR($B$5)),T119/(1+HLOOKUP(O131,'Datos SS'!$B$31:$CZZ$32,2,0))))</f>
      </c>
      <c r="U131" s="333">
        <f>IF(O131=2018,IF(Q131&lt;8,HLOOKUP(O131,'Datos SS'!$B$25:$BZZ$27,3,0)/12,HLOOKUP(O131,'Datos SS'!$B$25:$BZZ$26,2,0)/12),HLOOKUP(O131,'Datos SS'!$B$25:$BZZ$26,2,0)/12)</f>
      </c>
      <c r="V131" s="964">
        <f>MAX(X131,MIN(T131,U131))</f>
      </c>
      <c r="W131" s="333">
        <f>IF($E$19="NO",IF(P131&lt;=180,IF(P131&lt;25,V131,V131*$S$28/S131),0),IF(P131&gt;$B$15,0,IF(P131&lt;25,V131,V131*$S$28/S131)))</f>
      </c>
      <c r="X131" s="721">
        <f>HLOOKUP(O131,'Datos SS'!$K$37:$EP$38,2,0)</f>
      </c>
      <c r="Y131" s="331">
        <f>MAX(INT(Y130)-1,0)</f>
      </c>
      <c r="Z131" s="169"/>
      <c r="AA131" s="169"/>
      <c r="AB131" s="169"/>
      <c r="AC131" s="965">
        <v>2111.185045148091</v>
      </c>
      <c r="AD131" s="331">
        <f>+AC131-W131</f>
      </c>
      <c r="AE131" s="169"/>
      <c r="AF131" s="170"/>
      <c r="AG131" s="169"/>
      <c r="AH131" s="170"/>
      <c r="AI131" s="170"/>
      <c r="AJ131" s="1"/>
      <c r="AK131" s="1"/>
      <c r="AL131" s="170"/>
      <c r="AM131" s="170"/>
    </row>
    <row x14ac:dyDescent="0.25" r="132" customHeight="1" ht="18.75">
      <c r="A132" s="1"/>
      <c r="B132" s="170"/>
      <c r="C132" s="169"/>
      <c r="D132" s="170"/>
      <c r="E132" s="169"/>
      <c r="F132" s="169"/>
      <c r="G132" s="170"/>
      <c r="H132" s="170"/>
      <c r="I132" s="169"/>
      <c r="J132" s="1"/>
      <c r="K132" s="169"/>
      <c r="L132" s="332">
        <v>128</v>
      </c>
      <c r="M132" s="332">
        <f>IF(L132&lt;=$C$22,$B$22,IF(L132&lt;=$C$23+$C$22,$B$23,0))</f>
      </c>
      <c r="N132" s="1"/>
      <c r="O132" s="332">
        <f>IF(Q132=12,O131-1,O131)</f>
      </c>
      <c r="P132" s="332">
        <v>128</v>
      </c>
      <c r="Q132" s="332">
        <f>IF(Q131=1,12,Q131-1)</f>
      </c>
      <c r="R132" s="169"/>
      <c r="S132" s="333">
        <f>HLOOKUP(O132,'Datos SS'!$B$4:$CZZ$16,(Q132+1),0)</f>
      </c>
      <c r="T132" s="333">
        <f>IF(O132=YEAR($B$5),($B$9/12),IF(O132&gt;MIN(YEAR($B$7),YEAR($B$5)),($B$9/12)*(1+HLOOKUP(O132,'Datos SS'!$B$31:$CZZ$32,2,0))^(O132-YEAR($B$5)),T120/(1+HLOOKUP(O132,'Datos SS'!$B$31:$CZZ$32,2,0))))</f>
      </c>
      <c r="U132" s="333">
        <f>IF(O132=2018,IF(Q132&lt;8,HLOOKUP(O132,'Datos SS'!$B$25:$BZZ$27,3,0)/12,HLOOKUP(O132,'Datos SS'!$B$25:$BZZ$26,2,0)/12),HLOOKUP(O132,'Datos SS'!$B$25:$BZZ$26,2,0)/12)</f>
      </c>
      <c r="V132" s="964">
        <f>MAX(X132,MIN(T132,U132))</f>
      </c>
      <c r="W132" s="333">
        <f>IF($E$19="NO",IF(P132&lt;=180,IF(P132&lt;25,V132,V132*$S$28/S132),0),IF(P132&gt;$B$15,0,IF(P132&lt;25,V132,V132*$S$28/S132)))</f>
      </c>
      <c r="X132" s="721">
        <f>HLOOKUP(O132,'Datos SS'!$K$37:$EP$38,2,0)</f>
      </c>
      <c r="Y132" s="331">
        <f>MAX(INT(Y131)-1,0)</f>
      </c>
      <c r="Z132" s="169"/>
      <c r="AA132" s="169"/>
      <c r="AB132" s="169"/>
      <c r="AC132" s="965">
        <v>2112.9363536094793</v>
      </c>
      <c r="AD132" s="331">
        <f>+AC132-W132</f>
      </c>
      <c r="AE132" s="169"/>
      <c r="AF132" s="170"/>
      <c r="AG132" s="169"/>
      <c r="AH132" s="170"/>
      <c r="AI132" s="170"/>
      <c r="AJ132" s="1"/>
      <c r="AK132" s="1"/>
      <c r="AL132" s="170"/>
      <c r="AM132" s="170"/>
    </row>
    <row x14ac:dyDescent="0.25" r="133" customHeight="1" ht="18.75">
      <c r="A133" s="1"/>
      <c r="B133" s="170"/>
      <c r="C133" s="169"/>
      <c r="D133" s="170"/>
      <c r="E133" s="169"/>
      <c r="F133" s="169"/>
      <c r="G133" s="170"/>
      <c r="H133" s="170"/>
      <c r="I133" s="169"/>
      <c r="J133" s="1"/>
      <c r="K133" s="169"/>
      <c r="L133" s="332">
        <v>129</v>
      </c>
      <c r="M133" s="332">
        <f>IF(L133&lt;=$C$22,$B$22,IF(L133&lt;=$C$23+$C$22,$B$23,0))</f>
      </c>
      <c r="N133" s="1"/>
      <c r="O133" s="332">
        <f>IF(Q133=12,O132-1,O132)</f>
      </c>
      <c r="P133" s="332">
        <v>129</v>
      </c>
      <c r="Q133" s="332">
        <f>IF(Q132=1,12,Q132-1)</f>
      </c>
      <c r="R133" s="169"/>
      <c r="S133" s="333">
        <f>HLOOKUP(O133,'Datos SS'!$B$4:$CZZ$16,(Q133+1),0)</f>
      </c>
      <c r="T133" s="333">
        <f>IF(O133=YEAR($B$5),($B$9/12),IF(O133&gt;MIN(YEAR($B$7),YEAR($B$5)),($B$9/12)*(1+HLOOKUP(O133,'Datos SS'!$B$31:$CZZ$32,2,0))^(O133-YEAR($B$5)),T121/(1+HLOOKUP(O133,'Datos SS'!$B$31:$CZZ$32,2,0))))</f>
      </c>
      <c r="U133" s="333">
        <f>IF(O133=2018,IF(Q133&lt;8,HLOOKUP(O133,'Datos SS'!$B$25:$BZZ$27,3,0)/12,HLOOKUP(O133,'Datos SS'!$B$25:$BZZ$26,2,0)/12),HLOOKUP(O133,'Datos SS'!$B$25:$BZZ$26,2,0)/12)</f>
      </c>
      <c r="V133" s="964">
        <f>MAX(X133,MIN(T133,U133))</f>
      </c>
      <c r="W133" s="333">
        <f>IF($E$19="NO",IF(P133&lt;=180,IF(P133&lt;25,V133,V133*$S$28/S133),0),IF(P133&gt;$B$15,0,IF(P133&lt;25,V133,V133*$S$28/S133)))</f>
      </c>
      <c r="X133" s="721">
        <f>HLOOKUP(O133,'Datos SS'!$K$37:$EP$38,2,0)</f>
      </c>
      <c r="Y133" s="331">
        <f>MAX(INT(Y132)-1,0)</f>
      </c>
      <c r="Z133" s="169"/>
      <c r="AA133" s="169"/>
      <c r="AB133" s="169"/>
      <c r="AC133" s="965">
        <v>2114.689114847986</v>
      </c>
      <c r="AD133" s="331">
        <f>+AC133-W133</f>
      </c>
      <c r="AE133" s="169"/>
      <c r="AF133" s="170"/>
      <c r="AG133" s="169"/>
      <c r="AH133" s="170"/>
      <c r="AI133" s="170"/>
      <c r="AJ133" s="1"/>
      <c r="AK133" s="1"/>
      <c r="AL133" s="170"/>
      <c r="AM133" s="170"/>
    </row>
    <row x14ac:dyDescent="0.25" r="134" customHeight="1" ht="18.75">
      <c r="A134" s="1"/>
      <c r="B134" s="170"/>
      <c r="C134" s="169"/>
      <c r="D134" s="170"/>
      <c r="E134" s="169"/>
      <c r="F134" s="169"/>
      <c r="G134" s="170"/>
      <c r="H134" s="170"/>
      <c r="I134" s="169"/>
      <c r="J134" s="1"/>
      <c r="K134" s="169"/>
      <c r="L134" s="332">
        <v>130</v>
      </c>
      <c r="M134" s="332">
        <f>IF(L134&lt;=$C$22,$B$22,IF(L134&lt;=$C$23+$C$22,$B$23,0))</f>
      </c>
      <c r="N134" s="1"/>
      <c r="O134" s="332">
        <f>IF(Q134=12,O133-1,O133)</f>
      </c>
      <c r="P134" s="332">
        <v>130</v>
      </c>
      <c r="Q134" s="332">
        <f>IF(Q133=1,12,Q133-1)</f>
      </c>
      <c r="R134" s="169"/>
      <c r="S134" s="333">
        <f>HLOOKUP(O134,'Datos SS'!$B$4:$CZZ$16,(Q134+1),0)</f>
      </c>
      <c r="T134" s="333">
        <f>IF(O134=YEAR($B$5),($B$9/12),IF(O134&gt;MIN(YEAR($B$7),YEAR($B$5)),($B$9/12)*(1+HLOOKUP(O134,'Datos SS'!$B$31:$CZZ$32,2,0))^(O134-YEAR($B$5)),T122/(1+HLOOKUP(O134,'Datos SS'!$B$31:$CZZ$32,2,0))))</f>
      </c>
      <c r="U134" s="333">
        <f>IF(O134=2018,IF(Q134&lt;8,HLOOKUP(O134,'Datos SS'!$B$25:$BZZ$27,3,0)/12,HLOOKUP(O134,'Datos SS'!$B$25:$BZZ$26,2,0)/12),HLOOKUP(O134,'Datos SS'!$B$25:$BZZ$26,2,0)/12)</f>
      </c>
      <c r="V134" s="964">
        <f>MAX(X134,MIN(T134,U134))</f>
      </c>
      <c r="W134" s="333">
        <f>IF($E$19="NO",IF(P134&lt;=180,IF(P134&lt;25,V134,V134*$S$28/S134),0),IF(P134&gt;$B$15,0,IF(P134&lt;25,V134,V134*$S$28/S134)))</f>
      </c>
      <c r="X134" s="721">
        <f>HLOOKUP(O134,'Datos SS'!$K$37:$EP$38,2,0)</f>
      </c>
      <c r="Y134" s="331">
        <f>MAX(INT(Y133)-1,0)</f>
      </c>
      <c r="Z134" s="169"/>
      <c r="AA134" s="169"/>
      <c r="AB134" s="169"/>
      <c r="AC134" s="965">
        <v>2077.5879352974785</v>
      </c>
      <c r="AD134" s="331">
        <f>+AC134-W134</f>
      </c>
      <c r="AE134" s="169"/>
      <c r="AF134" s="170"/>
      <c r="AG134" s="169"/>
      <c r="AH134" s="170"/>
      <c r="AI134" s="170"/>
      <c r="AJ134" s="1"/>
      <c r="AK134" s="1"/>
      <c r="AL134" s="170"/>
      <c r="AM134" s="170"/>
    </row>
    <row x14ac:dyDescent="0.25" r="135" customHeight="1" ht="18.75">
      <c r="A135" s="1"/>
      <c r="B135" s="170"/>
      <c r="C135" s="169"/>
      <c r="D135" s="170"/>
      <c r="E135" s="169"/>
      <c r="F135" s="169"/>
      <c r="G135" s="170"/>
      <c r="H135" s="170"/>
      <c r="I135" s="169"/>
      <c r="J135" s="1"/>
      <c r="K135" s="169"/>
      <c r="L135" s="332">
        <v>131</v>
      </c>
      <c r="M135" s="332">
        <f>IF(L135&lt;=$C$22,$B$22,IF(L135&lt;=$C$23+$C$22,$B$23,0))</f>
      </c>
      <c r="N135" s="1"/>
      <c r="O135" s="332">
        <f>IF(Q135=12,O134-1,O134)</f>
      </c>
      <c r="P135" s="332">
        <v>131</v>
      </c>
      <c r="Q135" s="332">
        <f>IF(Q134=1,12,Q134-1)</f>
      </c>
      <c r="R135" s="169"/>
      <c r="S135" s="333">
        <f>HLOOKUP(O135,'Datos SS'!$B$4:$CZZ$16,(Q135+1),0)</f>
      </c>
      <c r="T135" s="333">
        <f>IF(O135=YEAR($B$5),($B$9/12),IF(O135&gt;MIN(YEAR($B$7),YEAR($B$5)),($B$9/12)*(1+HLOOKUP(O135,'Datos SS'!$B$31:$CZZ$32,2,0))^(O135-YEAR($B$5)),T123/(1+HLOOKUP(O135,'Datos SS'!$B$31:$CZZ$32,2,0))))</f>
      </c>
      <c r="U135" s="333">
        <f>IF(O135=2018,IF(Q135&lt;8,HLOOKUP(O135,'Datos SS'!$B$25:$BZZ$27,3,0)/12,HLOOKUP(O135,'Datos SS'!$B$25:$BZZ$26,2,0)/12),HLOOKUP(O135,'Datos SS'!$B$25:$BZZ$26,2,0)/12)</f>
      </c>
      <c r="V135" s="964">
        <f>MAX(X135,MIN(T135,U135))</f>
      </c>
      <c r="W135" s="333">
        <f>IF($E$19="NO",IF(P135&lt;=180,IF(P135&lt;25,V135,V135*$S$28/S135),0),IF(P135&gt;$B$15,0,IF(P135&lt;25,V135,V135*$S$28/S135)))</f>
      </c>
      <c r="X135" s="721">
        <f>HLOOKUP(O135,'Datos SS'!$K$37:$EP$38,2,0)</f>
      </c>
      <c r="Y135" s="331">
        <f>MAX(INT(Y134)-1,0)</f>
      </c>
      <c r="Z135" s="169"/>
      <c r="AA135" s="169"/>
      <c r="AB135" s="169"/>
      <c r="AC135" s="965">
        <v>2079.3113736757136</v>
      </c>
      <c r="AD135" s="331">
        <f>+AC135-W135</f>
      </c>
      <c r="AE135" s="169"/>
      <c r="AF135" s="170"/>
      <c r="AG135" s="169"/>
      <c r="AH135" s="170"/>
      <c r="AI135" s="170"/>
      <c r="AJ135" s="1"/>
      <c r="AK135" s="1"/>
      <c r="AL135" s="170"/>
      <c r="AM135" s="170"/>
    </row>
    <row x14ac:dyDescent="0.25" r="136" customHeight="1" ht="18.75">
      <c r="A136" s="1"/>
      <c r="B136" s="170"/>
      <c r="C136" s="169"/>
      <c r="D136" s="170"/>
      <c r="E136" s="169"/>
      <c r="F136" s="169"/>
      <c r="G136" s="170"/>
      <c r="H136" s="170"/>
      <c r="I136" s="169"/>
      <c r="J136" s="1"/>
      <c r="K136" s="169"/>
      <c r="L136" s="332">
        <v>132</v>
      </c>
      <c r="M136" s="332">
        <f>IF(L136&lt;=$C$22,$B$22,IF(L136&lt;=$C$23+$C$22,$B$23,0))</f>
      </c>
      <c r="N136" s="1"/>
      <c r="O136" s="332">
        <f>IF(Q136=12,O135-1,O135)</f>
      </c>
      <c r="P136" s="332">
        <v>132</v>
      </c>
      <c r="Q136" s="332">
        <f>IF(Q135=1,12,Q135-1)</f>
      </c>
      <c r="R136" s="169"/>
      <c r="S136" s="333">
        <f>HLOOKUP(O136,'Datos SS'!$B$4:$CZZ$16,(Q136+1),0)</f>
      </c>
      <c r="T136" s="333">
        <f>IF(O136=YEAR($B$5),($B$9/12),IF(O136&gt;MIN(YEAR($B$7),YEAR($B$5)),($B$9/12)*(1+HLOOKUP(O136,'Datos SS'!$B$31:$CZZ$32,2,0))^(O136-YEAR($B$5)),T124/(1+HLOOKUP(O136,'Datos SS'!$B$31:$CZZ$32,2,0))))</f>
      </c>
      <c r="U136" s="333">
        <f>IF(O136=2018,IF(Q136&lt;8,HLOOKUP(O136,'Datos SS'!$B$25:$BZZ$27,3,0)/12,HLOOKUP(O136,'Datos SS'!$B$25:$BZZ$26,2,0)/12),HLOOKUP(O136,'Datos SS'!$B$25:$BZZ$26,2,0)/12)</f>
      </c>
      <c r="V136" s="964">
        <f>MAX(X136,MIN(T136,U136))</f>
      </c>
      <c r="W136" s="333">
        <f>IF($E$19="NO",IF(P136&lt;=180,IF(P136&lt;25,V136,V136*$S$28/S136),0),IF(P136&gt;$B$15,0,IF(P136&lt;25,V136,V136*$S$28/S136)))</f>
      </c>
      <c r="X136" s="721">
        <f>HLOOKUP(O136,'Datos SS'!$K$37:$EP$38,2,0)</f>
      </c>
      <c r="Y136" s="331">
        <f>MAX(INT(Y135)-1,0)</f>
      </c>
      <c r="Z136" s="169"/>
      <c r="AA136" s="169"/>
      <c r="AB136" s="169"/>
      <c r="AC136" s="965">
        <v>2081.036241711771</v>
      </c>
      <c r="AD136" s="331">
        <f>+AC136-W136</f>
      </c>
      <c r="AE136" s="169"/>
      <c r="AF136" s="170"/>
      <c r="AG136" s="169"/>
      <c r="AH136" s="170"/>
      <c r="AI136" s="170"/>
      <c r="AJ136" s="1"/>
      <c r="AK136" s="1"/>
      <c r="AL136" s="170"/>
      <c r="AM136" s="170"/>
    </row>
    <row x14ac:dyDescent="0.25" r="137" customHeight="1" ht="18.75">
      <c r="A137" s="1"/>
      <c r="B137" s="170"/>
      <c r="C137" s="169"/>
      <c r="D137" s="170"/>
      <c r="E137" s="169"/>
      <c r="F137" s="169"/>
      <c r="G137" s="170"/>
      <c r="H137" s="170"/>
      <c r="I137" s="169"/>
      <c r="J137" s="1"/>
      <c r="K137" s="169"/>
      <c r="L137" s="332">
        <v>133</v>
      </c>
      <c r="M137" s="332">
        <f>IF(L137&lt;=$C$22,$B$22,IF(L137&lt;=$C$23+$C$22,$B$23,0))</f>
      </c>
      <c r="N137" s="1"/>
      <c r="O137" s="332">
        <f>IF(Q137=12,O136-1,O136)</f>
      </c>
      <c r="P137" s="332">
        <v>133</v>
      </c>
      <c r="Q137" s="332">
        <f>IF(Q136=1,12,Q136-1)</f>
      </c>
      <c r="R137" s="169"/>
      <c r="S137" s="333">
        <f>HLOOKUP(O137,'Datos SS'!$B$4:$CZZ$16,(Q137+1),0)</f>
      </c>
      <c r="T137" s="333">
        <f>IF(O137=YEAR($B$5),($B$9/12),IF(O137&gt;MIN(YEAR($B$7),YEAR($B$5)),($B$9/12)*(1+HLOOKUP(O137,'Datos SS'!$B$31:$CZZ$32,2,0))^(O137-YEAR($B$5)),T125/(1+HLOOKUP(O137,'Datos SS'!$B$31:$CZZ$32,2,0))))</f>
      </c>
      <c r="U137" s="333">
        <f>IF(O137=2018,IF(Q137&lt;8,HLOOKUP(O137,'Datos SS'!$B$25:$BZZ$27,3,0)/12,HLOOKUP(O137,'Datos SS'!$B$25:$BZZ$26,2,0)/12),HLOOKUP(O137,'Datos SS'!$B$25:$BZZ$26,2,0)/12)</f>
      </c>
      <c r="V137" s="964">
        <f>MAX(X137,MIN(T137,U137))</f>
      </c>
      <c r="W137" s="333">
        <f>IF($E$19="NO",IF(P137&lt;=180,IF(P137&lt;25,V137,V137*$S$28/S137),0),IF(P137&gt;$B$15,0,IF(P137&lt;25,V137,V137*$S$28/S137)))</f>
      </c>
      <c r="X137" s="721">
        <f>HLOOKUP(O137,'Datos SS'!$K$37:$EP$38,2,0)</f>
      </c>
      <c r="Y137" s="331">
        <f>MAX(INT(Y136)-1,0)</f>
      </c>
      <c r="Z137" s="169"/>
      <c r="AA137" s="169"/>
      <c r="AB137" s="169"/>
      <c r="AC137" s="965">
        <v>2082.7625405916065</v>
      </c>
      <c r="AD137" s="331">
        <f>+AC137-W137</f>
      </c>
      <c r="AE137" s="169"/>
      <c r="AF137" s="170"/>
      <c r="AG137" s="169"/>
      <c r="AH137" s="170"/>
      <c r="AI137" s="170"/>
      <c r="AJ137" s="1"/>
      <c r="AK137" s="1"/>
      <c r="AL137" s="170"/>
      <c r="AM137" s="170"/>
    </row>
    <row x14ac:dyDescent="0.25" r="138" customHeight="1" ht="18.75">
      <c r="A138" s="1"/>
      <c r="B138" s="170"/>
      <c r="C138" s="169"/>
      <c r="D138" s="170"/>
      <c r="E138" s="169"/>
      <c r="F138" s="169"/>
      <c r="G138" s="170"/>
      <c r="H138" s="170"/>
      <c r="I138" s="169"/>
      <c r="J138" s="1"/>
      <c r="K138" s="169"/>
      <c r="L138" s="332">
        <v>134</v>
      </c>
      <c r="M138" s="332">
        <f>IF(L138&lt;=$C$22,$B$22,IF(L138&lt;=$C$23+$C$22,$B$23,0))</f>
      </c>
      <c r="N138" s="1"/>
      <c r="O138" s="332">
        <f>IF(Q138=12,O137-1,O137)</f>
      </c>
      <c r="P138" s="332">
        <v>134</v>
      </c>
      <c r="Q138" s="332">
        <f>IF(Q137=1,12,Q137-1)</f>
      </c>
      <c r="R138" s="169"/>
      <c r="S138" s="333">
        <f>HLOOKUP(O138,'Datos SS'!$B$4:$CZZ$16,(Q138+1),0)</f>
      </c>
      <c r="T138" s="333">
        <f>IF(O138=YEAR($B$5),($B$9/12),IF(O138&gt;MIN(YEAR($B$7),YEAR($B$5)),($B$9/12)*(1+HLOOKUP(O138,'Datos SS'!$B$31:$CZZ$32,2,0))^(O138-YEAR($B$5)),T126/(1+HLOOKUP(O138,'Datos SS'!$B$31:$CZZ$32,2,0))))</f>
      </c>
      <c r="U138" s="333">
        <f>IF(O138=2018,IF(Q138&lt;8,HLOOKUP(O138,'Datos SS'!$B$25:$BZZ$27,3,0)/12,HLOOKUP(O138,'Datos SS'!$B$25:$BZZ$26,2,0)/12),HLOOKUP(O138,'Datos SS'!$B$25:$BZZ$26,2,0)/12)</f>
      </c>
      <c r="V138" s="964">
        <f>MAX(X138,MIN(T138,U138))</f>
      </c>
      <c r="W138" s="333">
        <f>IF($E$19="NO",IF(P138&lt;=180,IF(P138&lt;25,V138,V138*$S$28/S138),0),IF(P138&gt;$B$15,0,IF(P138&lt;25,V138,V138*$S$28/S138)))</f>
      </c>
      <c r="X138" s="721">
        <f>HLOOKUP(O138,'Datos SS'!$K$37:$EP$38,2,0)</f>
      </c>
      <c r="Y138" s="331">
        <f>MAX(INT(Y137)-1,0)</f>
      </c>
      <c r="Z138" s="169"/>
      <c r="AA138" s="169"/>
      <c r="AB138" s="169"/>
      <c r="AC138" s="965">
        <v>2084.4902715021594</v>
      </c>
      <c r="AD138" s="331">
        <f>+AC138-W138</f>
      </c>
      <c r="AE138" s="169"/>
      <c r="AF138" s="170"/>
      <c r="AG138" s="169"/>
      <c r="AH138" s="170"/>
      <c r="AI138" s="170"/>
      <c r="AJ138" s="1"/>
      <c r="AK138" s="1"/>
      <c r="AL138" s="170"/>
      <c r="AM138" s="170"/>
    </row>
    <row x14ac:dyDescent="0.25" r="139" customHeight="1" ht="18.75">
      <c r="A139" s="1"/>
      <c r="B139" s="170"/>
      <c r="C139" s="169"/>
      <c r="D139" s="170"/>
      <c r="E139" s="169"/>
      <c r="F139" s="169"/>
      <c r="G139" s="170"/>
      <c r="H139" s="170"/>
      <c r="I139" s="169"/>
      <c r="J139" s="1"/>
      <c r="K139" s="169"/>
      <c r="L139" s="332">
        <v>135</v>
      </c>
      <c r="M139" s="332">
        <f>IF(L139&lt;=$C$22,$B$22,IF(L139&lt;=$C$23+$C$22,$B$23,0))</f>
      </c>
      <c r="N139" s="1"/>
      <c r="O139" s="332">
        <f>IF(Q139=12,O138-1,O138)</f>
      </c>
      <c r="P139" s="332">
        <v>135</v>
      </c>
      <c r="Q139" s="332">
        <f>IF(Q138=1,12,Q138-1)</f>
      </c>
      <c r="R139" s="169"/>
      <c r="S139" s="333">
        <f>HLOOKUP(O139,'Datos SS'!$B$4:$CZZ$16,(Q139+1),0)</f>
      </c>
      <c r="T139" s="333">
        <f>IF(O139=YEAR($B$5),($B$9/12),IF(O139&gt;MIN(YEAR($B$7),YEAR($B$5)),($B$9/12)*(1+HLOOKUP(O139,'Datos SS'!$B$31:$CZZ$32,2,0))^(O139-YEAR($B$5)),T127/(1+HLOOKUP(O139,'Datos SS'!$B$31:$CZZ$32,2,0))))</f>
      </c>
      <c r="U139" s="333">
        <f>IF(O139=2018,IF(Q139&lt;8,HLOOKUP(O139,'Datos SS'!$B$25:$BZZ$27,3,0)/12,HLOOKUP(O139,'Datos SS'!$B$25:$BZZ$26,2,0)/12),HLOOKUP(O139,'Datos SS'!$B$25:$BZZ$26,2,0)/12)</f>
      </c>
      <c r="V139" s="964">
        <f>MAX(X139,MIN(T139,U139))</f>
      </c>
      <c r="W139" s="333">
        <f>IF($E$19="NO",IF(P139&lt;=180,IF(P139&lt;25,V139,V139*$S$28/S139),0),IF(P139&gt;$B$15,0,IF(P139&lt;25,V139,V139*$S$28/S139)))</f>
      </c>
      <c r="X139" s="721">
        <f>HLOOKUP(O139,'Datos SS'!$K$37:$EP$38,2,0)</f>
      </c>
      <c r="Y139" s="331">
        <f>MAX(INT(Y138)-1,0)</f>
      </c>
      <c r="Z139" s="169"/>
      <c r="AA139" s="169"/>
      <c r="AB139" s="169"/>
      <c r="AC139" s="965">
        <v>2086.219435631354</v>
      </c>
      <c r="AD139" s="331">
        <f>+AC139-W139</f>
      </c>
      <c r="AE139" s="169"/>
      <c r="AF139" s="170"/>
      <c r="AG139" s="169"/>
      <c r="AH139" s="170"/>
      <c r="AI139" s="170"/>
      <c r="AJ139" s="1"/>
      <c r="AK139" s="1"/>
      <c r="AL139" s="170"/>
      <c r="AM139" s="170"/>
    </row>
    <row x14ac:dyDescent="0.25" r="140" customHeight="1" ht="18.75">
      <c r="A140" s="1"/>
      <c r="B140" s="170"/>
      <c r="C140" s="169"/>
      <c r="D140" s="170"/>
      <c r="E140" s="169"/>
      <c r="F140" s="169"/>
      <c r="G140" s="170"/>
      <c r="H140" s="170"/>
      <c r="I140" s="169"/>
      <c r="J140" s="1"/>
      <c r="K140" s="169"/>
      <c r="L140" s="332">
        <v>136</v>
      </c>
      <c r="M140" s="332">
        <f>IF(L140&lt;=$C$22,$B$22,IF(L140&lt;=$C$23+$C$22,$B$23,0))</f>
      </c>
      <c r="N140" s="1"/>
      <c r="O140" s="332">
        <f>IF(Q140=12,O139-1,O139)</f>
      </c>
      <c r="P140" s="332">
        <v>136</v>
      </c>
      <c r="Q140" s="332">
        <f>IF(Q139=1,12,Q139-1)</f>
      </c>
      <c r="R140" s="169"/>
      <c r="S140" s="333">
        <f>HLOOKUP(O140,'Datos SS'!$B$4:$CZZ$16,(Q140+1),0)</f>
      </c>
      <c r="T140" s="333">
        <f>IF(O140=YEAR($B$5),($B$9/12),IF(O140&gt;MIN(YEAR($B$7),YEAR($B$5)),($B$9/12)*(1+HLOOKUP(O140,'Datos SS'!$B$31:$CZZ$32,2,0))^(O140-YEAR($B$5)),T128/(1+HLOOKUP(O140,'Datos SS'!$B$31:$CZZ$32,2,0))))</f>
      </c>
      <c r="U140" s="333">
        <f>IF(O140=2018,IF(Q140&lt;8,HLOOKUP(O140,'Datos SS'!$B$25:$BZZ$27,3,0)/12,HLOOKUP(O140,'Datos SS'!$B$25:$BZZ$26,2,0)/12),HLOOKUP(O140,'Datos SS'!$B$25:$BZZ$26,2,0)/12)</f>
      </c>
      <c r="V140" s="964">
        <f>MAX(X140,MIN(T140,U140))</f>
      </c>
      <c r="W140" s="333">
        <f>IF($E$19="NO",IF(P140&lt;=180,IF(P140&lt;25,V140,V140*$S$28/S140),0),IF(P140&gt;$B$15,0,IF(P140&lt;25,V140,V140*$S$28/S140)))</f>
      </c>
      <c r="X140" s="721">
        <f>HLOOKUP(O140,'Datos SS'!$K$37:$EP$38,2,0)</f>
      </c>
      <c r="Y140" s="331">
        <f>MAX(INT(Y139)-1,0)</f>
      </c>
      <c r="Z140" s="169"/>
      <c r="AA140" s="169"/>
      <c r="AB140" s="169"/>
      <c r="AC140" s="965">
        <v>2087.9500341681</v>
      </c>
      <c r="AD140" s="331">
        <f>+AC140-W140</f>
      </c>
      <c r="AE140" s="169"/>
      <c r="AF140" s="170"/>
      <c r="AG140" s="169"/>
      <c r="AH140" s="170"/>
      <c r="AI140" s="170"/>
      <c r="AJ140" s="1"/>
      <c r="AK140" s="1"/>
      <c r="AL140" s="170"/>
      <c r="AM140" s="170"/>
    </row>
    <row x14ac:dyDescent="0.25" r="141" customHeight="1" ht="18.75">
      <c r="A141" s="1"/>
      <c r="B141" s="170"/>
      <c r="C141" s="169"/>
      <c r="D141" s="170"/>
      <c r="E141" s="169"/>
      <c r="F141" s="169"/>
      <c r="G141" s="170"/>
      <c r="H141" s="170"/>
      <c r="I141" s="169"/>
      <c r="J141" s="1"/>
      <c r="K141" s="169"/>
      <c r="L141" s="332">
        <v>137</v>
      </c>
      <c r="M141" s="332">
        <f>IF(L141&lt;=$C$22,$B$22,IF(L141&lt;=$C$23+$C$22,$B$23,0))</f>
      </c>
      <c r="N141" s="1"/>
      <c r="O141" s="332">
        <f>IF(Q141=12,O140-1,O140)</f>
      </c>
      <c r="P141" s="332">
        <v>137</v>
      </c>
      <c r="Q141" s="332">
        <f>IF(Q140=1,12,Q140-1)</f>
      </c>
      <c r="R141" s="169"/>
      <c r="S141" s="333">
        <f>HLOOKUP(O141,'Datos SS'!$B$4:$CZZ$16,(Q141+1),0)</f>
      </c>
      <c r="T141" s="333">
        <f>IF(O141=YEAR($B$5),($B$9/12),IF(O141&gt;MIN(YEAR($B$7),YEAR($B$5)),($B$9/12)*(1+HLOOKUP(O141,'Datos SS'!$B$31:$CZZ$32,2,0))^(O141-YEAR($B$5)),T129/(1+HLOOKUP(O141,'Datos SS'!$B$31:$CZZ$32,2,0))))</f>
      </c>
      <c r="U141" s="333">
        <f>IF(O141=2018,IF(Q141&lt;8,HLOOKUP(O141,'Datos SS'!$B$25:$BZZ$27,3,0)/12,HLOOKUP(O141,'Datos SS'!$B$25:$BZZ$26,2,0)/12),HLOOKUP(O141,'Datos SS'!$B$25:$BZZ$26,2,0)/12)</f>
      </c>
      <c r="V141" s="964">
        <f>MAX(X141,MIN(T141,U141))</f>
      </c>
      <c r="W141" s="333">
        <f>IF($E$19="NO",IF(P141&lt;=180,IF(P141&lt;25,V141,V141*$S$28/S141),0),IF(P141&gt;$B$15,0,IF(P141&lt;25,V141,V141*$S$28/S141)))</f>
      </c>
      <c r="X141" s="721">
        <f>HLOOKUP(O141,'Datos SS'!$K$37:$EP$38,2,0)</f>
      </c>
      <c r="Y141" s="331">
        <f>MAX(INT(Y140)-1,0)</f>
      </c>
      <c r="Z141" s="169"/>
      <c r="AA141" s="169"/>
      <c r="AB141" s="169"/>
      <c r="AC141" s="965">
        <v>2089.682068302293</v>
      </c>
      <c r="AD141" s="331">
        <f>+AC141-W141</f>
      </c>
      <c r="AE141" s="169"/>
      <c r="AF141" s="170"/>
      <c r="AG141" s="169"/>
      <c r="AH141" s="170"/>
      <c r="AI141" s="170"/>
      <c r="AJ141" s="1"/>
      <c r="AK141" s="1"/>
      <c r="AL141" s="170"/>
      <c r="AM141" s="170"/>
    </row>
    <row x14ac:dyDescent="0.25" r="142" customHeight="1" ht="18.75">
      <c r="A142" s="1"/>
      <c r="B142" s="170"/>
      <c r="C142" s="169"/>
      <c r="D142" s="170"/>
      <c r="E142" s="169"/>
      <c r="F142" s="169"/>
      <c r="G142" s="170"/>
      <c r="H142" s="170"/>
      <c r="I142" s="169"/>
      <c r="J142" s="1"/>
      <c r="K142" s="169"/>
      <c r="L142" s="332">
        <v>138</v>
      </c>
      <c r="M142" s="332">
        <f>IF(L142&lt;=$C$22,$B$22,IF(L142&lt;=$C$23+$C$22,$B$23,0))</f>
      </c>
      <c r="N142" s="1"/>
      <c r="O142" s="332">
        <f>IF(Q142=12,O141-1,O141)</f>
      </c>
      <c r="P142" s="332">
        <v>138</v>
      </c>
      <c r="Q142" s="332">
        <f>IF(Q141=1,12,Q141-1)</f>
      </c>
      <c r="R142" s="169"/>
      <c r="S142" s="333">
        <f>HLOOKUP(O142,'Datos SS'!$B$4:$CZZ$16,(Q142+1),0)</f>
      </c>
      <c r="T142" s="333">
        <f>IF(O142=YEAR($B$5),($B$9/12),IF(O142&gt;MIN(YEAR($B$7),YEAR($B$5)),($B$9/12)*(1+HLOOKUP(O142,'Datos SS'!$B$31:$CZZ$32,2,0))^(O142-YEAR($B$5)),T130/(1+HLOOKUP(O142,'Datos SS'!$B$31:$CZZ$32,2,0))))</f>
      </c>
      <c r="U142" s="333">
        <f>IF(O142=2018,IF(Q142&lt;8,HLOOKUP(O142,'Datos SS'!$B$25:$BZZ$27,3,0)/12,HLOOKUP(O142,'Datos SS'!$B$25:$BZZ$26,2,0)/12),HLOOKUP(O142,'Datos SS'!$B$25:$BZZ$26,2,0)/12)</f>
      </c>
      <c r="V142" s="964">
        <f>MAX(X142,MIN(T142,U142))</f>
      </c>
      <c r="W142" s="333">
        <f>IF($E$19="NO",IF(P142&lt;=180,IF(P142&lt;25,V142,V142*$S$28/S142),0),IF(P142&gt;$B$15,0,IF(P142&lt;25,V142,V142*$S$28/S142)))</f>
      </c>
      <c r="X142" s="721">
        <f>HLOOKUP(O142,'Datos SS'!$K$37:$EP$38,2,0)</f>
      </c>
      <c r="Y142" s="331">
        <f>MAX(INT(Y141)-1,0)</f>
      </c>
      <c r="Z142" s="169"/>
      <c r="AA142" s="169"/>
      <c r="AB142" s="169"/>
      <c r="AC142" s="965">
        <v>2091.415539224815</v>
      </c>
      <c r="AD142" s="331">
        <f>+AC142-W142</f>
      </c>
      <c r="AE142" s="169"/>
      <c r="AF142" s="170"/>
      <c r="AG142" s="169"/>
      <c r="AH142" s="170"/>
      <c r="AI142" s="170"/>
      <c r="AJ142" s="1"/>
      <c r="AK142" s="1"/>
      <c r="AL142" s="170"/>
      <c r="AM142" s="170"/>
    </row>
    <row x14ac:dyDescent="0.25" r="143" customHeight="1" ht="18.75">
      <c r="A143" s="1"/>
      <c r="B143" s="170"/>
      <c r="C143" s="169"/>
      <c r="D143" s="170"/>
      <c r="E143" s="169"/>
      <c r="F143" s="169"/>
      <c r="G143" s="170"/>
      <c r="H143" s="170"/>
      <c r="I143" s="169"/>
      <c r="J143" s="1"/>
      <c r="K143" s="169"/>
      <c r="L143" s="332">
        <v>139</v>
      </c>
      <c r="M143" s="332">
        <f>IF(L143&lt;=$C$22,$B$22,IF(L143&lt;=$C$23+$C$22,$B$23,0))</f>
      </c>
      <c r="N143" s="1"/>
      <c r="O143" s="332">
        <f>IF(Q143=12,O142-1,O142)</f>
      </c>
      <c r="P143" s="332">
        <v>139</v>
      </c>
      <c r="Q143" s="332">
        <f>IF(Q142=1,12,Q142-1)</f>
      </c>
      <c r="R143" s="169"/>
      <c r="S143" s="333">
        <f>HLOOKUP(O143,'Datos SS'!$B$4:$CZZ$16,(Q143+1),0)</f>
      </c>
      <c r="T143" s="333">
        <f>IF(O143=YEAR($B$5),($B$9/12),IF(O143&gt;MIN(YEAR($B$7),YEAR($B$5)),($B$9/12)*(1+HLOOKUP(O143,'Datos SS'!$B$31:$CZZ$32,2,0))^(O143-YEAR($B$5)),T131/(1+HLOOKUP(O143,'Datos SS'!$B$31:$CZZ$32,2,0))))</f>
      </c>
      <c r="U143" s="333">
        <f>IF(O143=2018,IF(Q143&lt;8,HLOOKUP(O143,'Datos SS'!$B$25:$BZZ$27,3,0)/12,HLOOKUP(O143,'Datos SS'!$B$25:$BZZ$26,2,0)/12),HLOOKUP(O143,'Datos SS'!$B$25:$BZZ$26,2,0)/12)</f>
      </c>
      <c r="V143" s="964">
        <f>MAX(X143,MIN(T143,U143))</f>
      </c>
      <c r="W143" s="333">
        <f>IF($E$19="NO",IF(P143&lt;=180,IF(P143&lt;25,V143,V143*$S$28/S143),0),IF(P143&gt;$B$15,0,IF(P143&lt;25,V143,V143*$S$28/S143)))</f>
      </c>
      <c r="X143" s="721">
        <f>HLOOKUP(O143,'Datos SS'!$K$37:$EP$38,2,0)</f>
      </c>
      <c r="Y143" s="331">
        <f>MAX(INT(Y142)-1,0)</f>
      </c>
      <c r="Z143" s="169"/>
      <c r="AA143" s="169"/>
      <c r="AB143" s="169"/>
      <c r="AC143" s="965">
        <v>2093.150448127538</v>
      </c>
      <c r="AD143" s="331">
        <f>+AC143-W143</f>
      </c>
      <c r="AE143" s="169"/>
      <c r="AF143" s="170"/>
      <c r="AG143" s="169"/>
      <c r="AH143" s="170"/>
      <c r="AI143" s="170"/>
      <c r="AJ143" s="1"/>
      <c r="AK143" s="1"/>
      <c r="AL143" s="170"/>
      <c r="AM143" s="170"/>
    </row>
    <row x14ac:dyDescent="0.25" r="144" customHeight="1" ht="18.75">
      <c r="A144" s="1"/>
      <c r="B144" s="170"/>
      <c r="C144" s="169"/>
      <c r="D144" s="170"/>
      <c r="E144" s="169"/>
      <c r="F144" s="169"/>
      <c r="G144" s="170"/>
      <c r="H144" s="170"/>
      <c r="I144" s="169"/>
      <c r="J144" s="1"/>
      <c r="K144" s="169"/>
      <c r="L144" s="332">
        <v>140</v>
      </c>
      <c r="M144" s="332">
        <f>IF(L144&lt;=$C$22,$B$22,IF(L144&lt;=$C$23+$C$22,$B$23,0))</f>
      </c>
      <c r="N144" s="1"/>
      <c r="O144" s="332">
        <f>IF(Q144=12,O143-1,O143)</f>
      </c>
      <c r="P144" s="332">
        <v>140</v>
      </c>
      <c r="Q144" s="332">
        <f>IF(Q143=1,12,Q143-1)</f>
      </c>
      <c r="R144" s="169"/>
      <c r="S144" s="333">
        <f>HLOOKUP(O144,'Datos SS'!$B$4:$CZZ$16,(Q144+1),0)</f>
      </c>
      <c r="T144" s="333">
        <f>IF(O144=YEAR($B$5),($B$9/12),IF(O144&gt;MIN(YEAR($B$7),YEAR($B$5)),($B$9/12)*(1+HLOOKUP(O144,'Datos SS'!$B$31:$CZZ$32,2,0))^(O144-YEAR($B$5)),T132/(1+HLOOKUP(O144,'Datos SS'!$B$31:$CZZ$32,2,0))))</f>
      </c>
      <c r="U144" s="333">
        <f>IF(O144=2018,IF(Q144&lt;8,HLOOKUP(O144,'Datos SS'!$B$25:$BZZ$27,3,0)/12,HLOOKUP(O144,'Datos SS'!$B$25:$BZZ$26,2,0)/12),HLOOKUP(O144,'Datos SS'!$B$25:$BZZ$26,2,0)/12)</f>
      </c>
      <c r="V144" s="964">
        <f>MAX(X144,MIN(T144,U144))</f>
      </c>
      <c r="W144" s="333">
        <f>IF($E$19="NO",IF(P144&lt;=180,IF(P144&lt;25,V144,V144*$S$28/S144),0),IF(P144&gt;$B$15,0,IF(P144&lt;25,V144,V144*$S$28/S144)))</f>
      </c>
      <c r="X144" s="721">
        <f>HLOOKUP(O144,'Datos SS'!$K$37:$EP$38,2,0)</f>
      </c>
      <c r="Y144" s="331">
        <f>MAX(INT(Y143)-1,0)</f>
      </c>
      <c r="Z144" s="169"/>
      <c r="AA144" s="169"/>
      <c r="AB144" s="169"/>
      <c r="AC144" s="965">
        <v>2094.88679620332</v>
      </c>
      <c r="AD144" s="331">
        <f>+AC144-W144</f>
      </c>
      <c r="AE144" s="169"/>
      <c r="AF144" s="170"/>
      <c r="AG144" s="169"/>
      <c r="AH144" s="170"/>
      <c r="AI144" s="170"/>
      <c r="AJ144" s="1"/>
      <c r="AK144" s="1"/>
      <c r="AL144" s="170"/>
      <c r="AM144" s="170"/>
    </row>
    <row x14ac:dyDescent="0.25" r="145" customHeight="1" ht="18.75">
      <c r="A145" s="1"/>
      <c r="B145" s="170"/>
      <c r="C145" s="169"/>
      <c r="D145" s="170"/>
      <c r="E145" s="169"/>
      <c r="F145" s="169"/>
      <c r="G145" s="170"/>
      <c r="H145" s="170"/>
      <c r="I145" s="169"/>
      <c r="J145" s="1"/>
      <c r="K145" s="169"/>
      <c r="L145" s="332">
        <v>141</v>
      </c>
      <c r="M145" s="332">
        <f>IF(L145&lt;=$C$22,$B$22,IF(L145&lt;=$C$23+$C$22,$B$23,0))</f>
      </c>
      <c r="N145" s="1"/>
      <c r="O145" s="332">
        <f>IF(Q145=12,O144-1,O144)</f>
      </c>
      <c r="P145" s="332">
        <v>141</v>
      </c>
      <c r="Q145" s="332">
        <f>IF(Q144=1,12,Q144-1)</f>
      </c>
      <c r="R145" s="169"/>
      <c r="S145" s="333">
        <f>HLOOKUP(O145,'Datos SS'!$B$4:$CZZ$16,(Q145+1),0)</f>
      </c>
      <c r="T145" s="333">
        <f>IF(O145=YEAR($B$5),($B$9/12),IF(O145&gt;MIN(YEAR($B$7),YEAR($B$5)),($B$9/12)*(1+HLOOKUP(O145,'Datos SS'!$B$31:$CZZ$32,2,0))^(O145-YEAR($B$5)),T133/(1+HLOOKUP(O145,'Datos SS'!$B$31:$CZZ$32,2,0))))</f>
      </c>
      <c r="U145" s="333">
        <f>IF(O145=2018,IF(Q145&lt;8,HLOOKUP(O145,'Datos SS'!$B$25:$BZZ$27,3,0)/12,HLOOKUP(O145,'Datos SS'!$B$25:$BZZ$26,2,0)/12),HLOOKUP(O145,'Datos SS'!$B$25:$BZZ$26,2,0)/12)</f>
      </c>
      <c r="V145" s="964">
        <f>MAX(X145,MIN(T145,U145))</f>
      </c>
      <c r="W145" s="333">
        <f>IF($E$19="NO",IF(P145&lt;=180,IF(P145&lt;25,V145,V145*$S$28/S145),0),IF(P145&gt;$B$15,0,IF(P145&lt;25,V145,V145*$S$28/S145)))</f>
      </c>
      <c r="X145" s="721">
        <f>HLOOKUP(O145,'Datos SS'!$K$37:$EP$38,2,0)</f>
      </c>
      <c r="Y145" s="331">
        <f>MAX(INT(Y144)-1,0)</f>
      </c>
      <c r="Z145" s="169"/>
      <c r="AA145" s="169"/>
      <c r="AB145" s="169"/>
      <c r="AC145" s="965">
        <v>2096.6245846460115</v>
      </c>
      <c r="AD145" s="331">
        <f>+AC145-W145</f>
      </c>
      <c r="AE145" s="169"/>
      <c r="AF145" s="170"/>
      <c r="AG145" s="169"/>
      <c r="AH145" s="170"/>
      <c r="AI145" s="170"/>
      <c r="AJ145" s="1"/>
      <c r="AK145" s="1"/>
      <c r="AL145" s="170"/>
      <c r="AM145" s="170"/>
    </row>
    <row x14ac:dyDescent="0.25" r="146" customHeight="1" ht="18.75">
      <c r="A146" s="1"/>
      <c r="B146" s="170"/>
      <c r="C146" s="169"/>
      <c r="D146" s="170"/>
      <c r="E146" s="169"/>
      <c r="F146" s="169"/>
      <c r="G146" s="170"/>
      <c r="H146" s="170"/>
      <c r="I146" s="169"/>
      <c r="J146" s="1"/>
      <c r="K146" s="169"/>
      <c r="L146" s="332">
        <v>142</v>
      </c>
      <c r="M146" s="332">
        <f>IF(L146&lt;=$C$22,$B$22,IF(L146&lt;=$C$23+$C$22,$B$23,0))</f>
      </c>
      <c r="N146" s="1"/>
      <c r="O146" s="332">
        <f>IF(Q146=12,O145-1,O145)</f>
      </c>
      <c r="P146" s="332">
        <v>142</v>
      </c>
      <c r="Q146" s="332">
        <f>IF(Q145=1,12,Q145-1)</f>
      </c>
      <c r="R146" s="169"/>
      <c r="S146" s="333">
        <f>HLOOKUP(O146,'Datos SS'!$B$4:$CZZ$16,(Q146+1),0)</f>
      </c>
      <c r="T146" s="333">
        <f>IF(O146=YEAR($B$5),($B$9/12),IF(O146&gt;MIN(YEAR($B$7),YEAR($B$5)),($B$9/12)*(1+HLOOKUP(O146,'Datos SS'!$B$31:$CZZ$32,2,0))^(O146-YEAR($B$5)),T134/(1+HLOOKUP(O146,'Datos SS'!$B$31:$CZZ$32,2,0))))</f>
      </c>
      <c r="U146" s="333">
        <f>IF(O146=2018,IF(Q146&lt;8,HLOOKUP(O146,'Datos SS'!$B$25:$BZZ$27,3,0)/12,HLOOKUP(O146,'Datos SS'!$B$25:$BZZ$26,2,0)/12),HLOOKUP(O146,'Datos SS'!$B$25:$BZZ$26,2,0)/12)</f>
      </c>
      <c r="V146" s="964">
        <f>MAX(X146,MIN(T146,U146))</f>
      </c>
      <c r="W146" s="333">
        <f>IF($E$19="NO",IF(P146&lt;=180,IF(P146&lt;25,V146,V146*$S$28/S146),0),IF(P146&gt;$B$15,0,IF(P146&lt;25,V146,V146*$S$28/S146)))</f>
      </c>
      <c r="X146" s="721">
        <f>HLOOKUP(O146,'Datos SS'!$K$37:$EP$38,2,0)</f>
      </c>
      <c r="Y146" s="331">
        <f>MAX(INT(Y145)-1,0)</f>
      </c>
      <c r="Z146" s="169"/>
      <c r="AA146" s="169"/>
      <c r="AB146" s="169"/>
      <c r="AC146" s="965">
        <v>2067.353511970887</v>
      </c>
      <c r="AD146" s="331">
        <f>+AC146-W146</f>
      </c>
      <c r="AE146" s="169"/>
      <c r="AF146" s="170"/>
      <c r="AG146" s="169"/>
      <c r="AH146" s="170"/>
      <c r="AI146" s="170"/>
      <c r="AJ146" s="1"/>
      <c r="AK146" s="1"/>
      <c r="AL146" s="170"/>
      <c r="AM146" s="170"/>
    </row>
    <row x14ac:dyDescent="0.25" r="147" customHeight="1" ht="18.75">
      <c r="A147" s="1"/>
      <c r="B147" s="170"/>
      <c r="C147" s="169"/>
      <c r="D147" s="170"/>
      <c r="E147" s="169"/>
      <c r="F147" s="169"/>
      <c r="G147" s="170"/>
      <c r="H147" s="170"/>
      <c r="I147" s="169"/>
      <c r="J147" s="1"/>
      <c r="K147" s="169"/>
      <c r="L147" s="332">
        <v>143</v>
      </c>
      <c r="M147" s="332">
        <f>IF(L147&lt;=$C$22,$B$22,IF(L147&lt;=$C$23+$C$22,$B$23,0))</f>
      </c>
      <c r="N147" s="1"/>
      <c r="O147" s="332">
        <f>IF(Q147=12,O146-1,O146)</f>
      </c>
      <c r="P147" s="332">
        <v>143</v>
      </c>
      <c r="Q147" s="332">
        <f>IF(Q146=1,12,Q146-1)</f>
      </c>
      <c r="R147" s="169"/>
      <c r="S147" s="333">
        <f>HLOOKUP(O147,'Datos SS'!$B$4:$CZZ$16,(Q147+1),0)</f>
      </c>
      <c r="T147" s="333">
        <f>IF(O147=YEAR($B$5),($B$9/12),IF(O147&gt;MIN(YEAR($B$7),YEAR($B$5)),($B$9/12)*(1+HLOOKUP(O147,'Datos SS'!$B$31:$CZZ$32,2,0))^(O147-YEAR($B$5)),T135/(1+HLOOKUP(O147,'Datos SS'!$B$31:$CZZ$32,2,0))))</f>
      </c>
      <c r="U147" s="333">
        <f>IF(O147=2018,IF(Q147&lt;8,HLOOKUP(O147,'Datos SS'!$B$25:$BZZ$27,3,0)/12,HLOOKUP(O147,'Datos SS'!$B$25:$BZZ$26,2,0)/12),HLOOKUP(O147,'Datos SS'!$B$25:$BZZ$26,2,0)/12)</f>
      </c>
      <c r="V147" s="964">
        <f>MAX(X147,MIN(T147,U147))</f>
      </c>
      <c r="W147" s="333">
        <f>IF($E$19="NO",IF(P147&lt;=180,IF(P147&lt;25,V147,V147*$S$28/S147),0),IF(P147&gt;$B$15,0,IF(P147&lt;25,V147,V147*$S$28/S147)))</f>
      </c>
      <c r="X147" s="721">
        <f>HLOOKUP(O147,'Datos SS'!$K$37:$EP$38,2,0)</f>
      </c>
      <c r="Y147" s="331">
        <f>MAX(INT(Y146)-1,0)</f>
      </c>
      <c r="Z147" s="169"/>
      <c r="AA147" s="169"/>
      <c r="AB147" s="169"/>
      <c r="AC147" s="965">
        <v>2069.0684605048946</v>
      </c>
      <c r="AD147" s="331">
        <f>+AC147-W147</f>
      </c>
      <c r="AE147" s="169"/>
      <c r="AF147" s="170"/>
      <c r="AG147" s="169"/>
      <c r="AH147" s="170"/>
      <c r="AI147" s="170"/>
      <c r="AJ147" s="1"/>
      <c r="AK147" s="1"/>
      <c r="AL147" s="170"/>
      <c r="AM147" s="170"/>
    </row>
    <row x14ac:dyDescent="0.25" r="148" customHeight="1" ht="18.75">
      <c r="A148" s="1"/>
      <c r="B148" s="170"/>
      <c r="C148" s="169"/>
      <c r="D148" s="170"/>
      <c r="E148" s="169"/>
      <c r="F148" s="169"/>
      <c r="G148" s="170"/>
      <c r="H148" s="170"/>
      <c r="I148" s="169"/>
      <c r="J148" s="1"/>
      <c r="K148" s="169"/>
      <c r="L148" s="332">
        <v>144</v>
      </c>
      <c r="M148" s="332">
        <f>IF(L148&lt;=$C$22,$B$22,IF(L148&lt;=$C$23+$C$22,$B$23,0))</f>
      </c>
      <c r="N148" s="1"/>
      <c r="O148" s="332">
        <f>IF(Q148=12,O147-1,O147)</f>
      </c>
      <c r="P148" s="332">
        <v>144</v>
      </c>
      <c r="Q148" s="332">
        <f>IF(Q147=1,12,Q147-1)</f>
      </c>
      <c r="R148" s="169"/>
      <c r="S148" s="333">
        <f>HLOOKUP(O148,'Datos SS'!$B$4:$CZZ$16,(Q148+1),0)</f>
      </c>
      <c r="T148" s="333">
        <f>IF(O148=YEAR($B$5),($B$9/12),IF(O148&gt;MIN(YEAR($B$7),YEAR($B$5)),($B$9/12)*(1+HLOOKUP(O148,'Datos SS'!$B$31:$CZZ$32,2,0))^(O148-YEAR($B$5)),T136/(1+HLOOKUP(O148,'Datos SS'!$B$31:$CZZ$32,2,0))))</f>
      </c>
      <c r="U148" s="333">
        <f>IF(O148=2018,IF(Q148&lt;8,HLOOKUP(O148,'Datos SS'!$B$25:$BZZ$27,3,0)/12,HLOOKUP(O148,'Datos SS'!$B$25:$BZZ$26,2,0)/12),HLOOKUP(O148,'Datos SS'!$B$25:$BZZ$26,2,0)/12)</f>
      </c>
      <c r="V148" s="964">
        <f>MAX(X148,MIN(T148,U148))</f>
      </c>
      <c r="W148" s="333">
        <f>IF($E$19="NO",IF(P148&lt;=180,IF(P148&lt;25,V148,V148*$S$28/S148),0),IF(P148&gt;$B$15,0,IF(P148&lt;25,V148,V148*$S$28/S148)))</f>
      </c>
      <c r="X148" s="721">
        <f>HLOOKUP(O148,'Datos SS'!$K$37:$EP$38,2,0)</f>
      </c>
      <c r="Y148" s="331">
        <f>MAX(INT(Y147)-1,0)</f>
      </c>
      <c r="Z148" s="169"/>
      <c r="AA148" s="169"/>
      <c r="AB148" s="169"/>
      <c r="AC148" s="965">
        <v>2070.784831654075</v>
      </c>
      <c r="AD148" s="331">
        <f>+AC148-W148</f>
      </c>
      <c r="AE148" s="169"/>
      <c r="AF148" s="170"/>
      <c r="AG148" s="169"/>
      <c r="AH148" s="170"/>
      <c r="AI148" s="170"/>
      <c r="AJ148" s="1"/>
      <c r="AK148" s="1"/>
      <c r="AL148" s="170"/>
      <c r="AM148" s="170"/>
    </row>
    <row x14ac:dyDescent="0.25" r="149" customHeight="1" ht="18.75">
      <c r="A149" s="1"/>
      <c r="B149" s="170"/>
      <c r="C149" s="169"/>
      <c r="D149" s="170"/>
      <c r="E149" s="169"/>
      <c r="F149" s="169"/>
      <c r="G149" s="170"/>
      <c r="H149" s="170"/>
      <c r="I149" s="169"/>
      <c r="J149" s="1"/>
      <c r="K149" s="169"/>
      <c r="L149" s="332">
        <v>145</v>
      </c>
      <c r="M149" s="332">
        <f>IF(L149&lt;=$C$22,$B$22,IF(L149&lt;=$C$23+$C$22,$B$23,0))</f>
      </c>
      <c r="N149" s="1"/>
      <c r="O149" s="332">
        <f>IF(Q149=12,O148-1,O148)</f>
      </c>
      <c r="P149" s="332">
        <v>145</v>
      </c>
      <c r="Q149" s="332">
        <f>IF(Q148=1,12,Q148-1)</f>
      </c>
      <c r="R149" s="169"/>
      <c r="S149" s="333">
        <f>HLOOKUP(O149,'Datos SS'!$B$4:$CZZ$16,(Q149+1),0)</f>
      </c>
      <c r="T149" s="333">
        <f>IF(O149=YEAR($B$5),($B$9/12),IF(O149&gt;MIN(YEAR($B$7),YEAR($B$5)),($B$9/12)*(1+HLOOKUP(O149,'Datos SS'!$B$31:$CZZ$32,2,0))^(O149-YEAR($B$5)),T137/(1+HLOOKUP(O149,'Datos SS'!$B$31:$CZZ$32,2,0))))</f>
      </c>
      <c r="U149" s="333">
        <f>IF(O149=2018,IF(Q149&lt;8,HLOOKUP(O149,'Datos SS'!$B$25:$BZZ$27,3,0)/12,HLOOKUP(O149,'Datos SS'!$B$25:$BZZ$26,2,0)/12),HLOOKUP(O149,'Datos SS'!$B$25:$BZZ$26,2,0)/12)</f>
      </c>
      <c r="V149" s="964">
        <f>MAX(X149,MIN(T149,U149))</f>
      </c>
      <c r="W149" s="333">
        <f>IF($E$19="NO",IF(P149&lt;=180,IF(P149&lt;25,V149,V149*$S$28/S149),0),IF(P149&gt;$B$15,0,IF(P149&lt;25,V149,V149*$S$28/S149)))</f>
      </c>
      <c r="X149" s="721">
        <f>HLOOKUP(O149,'Datos SS'!$K$37:$EP$38,2,0)</f>
      </c>
      <c r="Y149" s="331">
        <f>MAX(INT(Y148)-1,0)</f>
      </c>
      <c r="Z149" s="169"/>
      <c r="AA149" s="169"/>
      <c r="AB149" s="169"/>
      <c r="AC149" s="965">
        <v>2072.5026265985416</v>
      </c>
      <c r="AD149" s="331">
        <f>+AC149-W149</f>
      </c>
      <c r="AE149" s="169"/>
      <c r="AF149" s="170"/>
      <c r="AG149" s="169"/>
      <c r="AH149" s="170"/>
      <c r="AI149" s="170"/>
      <c r="AJ149" s="1"/>
      <c r="AK149" s="1"/>
      <c r="AL149" s="170"/>
      <c r="AM149" s="170"/>
    </row>
    <row x14ac:dyDescent="0.25" r="150" customHeight="1" ht="18.75">
      <c r="A150" s="1"/>
      <c r="B150" s="170"/>
      <c r="C150" s="169"/>
      <c r="D150" s="170"/>
      <c r="E150" s="169"/>
      <c r="F150" s="169"/>
      <c r="G150" s="170"/>
      <c r="H150" s="170"/>
      <c r="I150" s="169"/>
      <c r="J150" s="1"/>
      <c r="K150" s="169"/>
      <c r="L150" s="332">
        <v>146</v>
      </c>
      <c r="M150" s="332">
        <f>IF(L150&lt;=$C$22,$B$22,IF(L150&lt;=$C$23+$C$22,$B$23,0))</f>
      </c>
      <c r="N150" s="1"/>
      <c r="O150" s="332">
        <f>IF(Q150=12,O149-1,O149)</f>
      </c>
      <c r="P150" s="332">
        <v>146</v>
      </c>
      <c r="Q150" s="332">
        <f>IF(Q149=1,12,Q149-1)</f>
      </c>
      <c r="R150" s="169"/>
      <c r="S150" s="333">
        <f>HLOOKUP(O150,'Datos SS'!$B$4:$CZZ$16,(Q150+1),0)</f>
      </c>
      <c r="T150" s="333">
        <f>IF(O150=YEAR($B$5),($B$9/12),IF(O150&gt;MIN(YEAR($B$7),YEAR($B$5)),($B$9/12)*(1+HLOOKUP(O150,'Datos SS'!$B$31:$CZZ$32,2,0))^(O150-YEAR($B$5)),T138/(1+HLOOKUP(O150,'Datos SS'!$B$31:$CZZ$32,2,0))))</f>
      </c>
      <c r="U150" s="333">
        <f>IF(O150=2018,IF(Q150&lt;8,HLOOKUP(O150,'Datos SS'!$B$25:$BZZ$27,3,0)/12,HLOOKUP(O150,'Datos SS'!$B$25:$BZZ$26,2,0)/12),HLOOKUP(O150,'Datos SS'!$B$25:$BZZ$26,2,0)/12)</f>
      </c>
      <c r="V150" s="964">
        <f>MAX(X150,MIN(T150,U150))</f>
      </c>
      <c r="W150" s="333">
        <f>IF($E$19="NO",IF(P150&lt;=180,IF(P150&lt;25,V150,V150*$S$28/S150),0),IF(P150&gt;$B$15,0,IF(P150&lt;25,V150,V150*$S$28/S150)))</f>
      </c>
      <c r="X150" s="721">
        <f>HLOOKUP(O150,'Datos SS'!$K$37:$EP$38,2,0)</f>
      </c>
      <c r="Y150" s="331">
        <f>MAX(INT(Y149)-1,0)</f>
      </c>
      <c r="Z150" s="169"/>
      <c r="AA150" s="169"/>
      <c r="AB150" s="169"/>
      <c r="AC150" s="965">
        <v>2074.221846519388</v>
      </c>
      <c r="AD150" s="331">
        <f>+AC150-W150</f>
      </c>
      <c r="AE150" s="169"/>
      <c r="AF150" s="170"/>
      <c r="AG150" s="169"/>
      <c r="AH150" s="170"/>
      <c r="AI150" s="170"/>
      <c r="AJ150" s="1"/>
      <c r="AK150" s="1"/>
      <c r="AL150" s="170"/>
      <c r="AM150" s="170"/>
    </row>
    <row x14ac:dyDescent="0.25" r="151" customHeight="1" ht="18.75">
      <c r="A151" s="1"/>
      <c r="B151" s="170"/>
      <c r="C151" s="169"/>
      <c r="D151" s="170"/>
      <c r="E151" s="169"/>
      <c r="F151" s="169"/>
      <c r="G151" s="170"/>
      <c r="H151" s="170"/>
      <c r="I151" s="169"/>
      <c r="J151" s="1"/>
      <c r="K151" s="169"/>
      <c r="L151" s="332">
        <v>147</v>
      </c>
      <c r="M151" s="332">
        <f>IF(L151&lt;=$C$22,$B$22,IF(L151&lt;=$C$23+$C$22,$B$23,0))</f>
      </c>
      <c r="N151" s="1"/>
      <c r="O151" s="332">
        <f>IF(Q151=12,O150-1,O150)</f>
      </c>
      <c r="P151" s="332">
        <v>147</v>
      </c>
      <c r="Q151" s="332">
        <f>IF(Q150=1,12,Q150-1)</f>
      </c>
      <c r="R151" s="169"/>
      <c r="S151" s="333">
        <f>HLOOKUP(O151,'Datos SS'!$B$4:$CZZ$16,(Q151+1),0)</f>
      </c>
      <c r="T151" s="333">
        <f>IF(O151=YEAR($B$5),($B$9/12),IF(O151&gt;MIN(YEAR($B$7),YEAR($B$5)),($B$9/12)*(1+HLOOKUP(O151,'Datos SS'!$B$31:$CZZ$32,2,0))^(O151-YEAR($B$5)),T139/(1+HLOOKUP(O151,'Datos SS'!$B$31:$CZZ$32,2,0))))</f>
      </c>
      <c r="U151" s="333">
        <f>IF(O151=2018,IF(Q151&lt;8,HLOOKUP(O151,'Datos SS'!$B$25:$BZZ$27,3,0)/12,HLOOKUP(O151,'Datos SS'!$B$25:$BZZ$26,2,0)/12),HLOOKUP(O151,'Datos SS'!$B$25:$BZZ$26,2,0)/12)</f>
      </c>
      <c r="V151" s="964">
        <f>MAX(X151,MIN(T151,U151))</f>
      </c>
      <c r="W151" s="333">
        <f>IF($E$19="NO",IF(P151&lt;=180,IF(P151&lt;25,V151,V151*$S$28/S151),0),IF(P151&gt;$B$15,0,IF(P151&lt;25,V151,V151*$S$28/S151)))</f>
      </c>
      <c r="X151" s="721">
        <f>HLOOKUP(O151,'Datos SS'!$K$37:$EP$38,2,0)</f>
      </c>
      <c r="Y151" s="331">
        <f>MAX(INT(Y150)-1,0)</f>
      </c>
      <c r="Z151" s="169"/>
      <c r="AA151" s="169"/>
      <c r="AB151" s="169"/>
      <c r="AC151" s="965">
        <v>2075.9424925986855</v>
      </c>
      <c r="AD151" s="331">
        <f>+AC151-W151</f>
      </c>
      <c r="AE151" s="169"/>
      <c r="AF151" s="170"/>
      <c r="AG151" s="169"/>
      <c r="AH151" s="170"/>
      <c r="AI151" s="170"/>
      <c r="AJ151" s="1"/>
      <c r="AK151" s="1"/>
      <c r="AL151" s="170"/>
      <c r="AM151" s="170"/>
    </row>
    <row x14ac:dyDescent="0.25" r="152" customHeight="1" ht="18.75">
      <c r="A152" s="1"/>
      <c r="B152" s="170"/>
      <c r="C152" s="169"/>
      <c r="D152" s="170"/>
      <c r="E152" s="169"/>
      <c r="F152" s="169"/>
      <c r="G152" s="170"/>
      <c r="H152" s="170"/>
      <c r="I152" s="169"/>
      <c r="J152" s="1"/>
      <c r="K152" s="169"/>
      <c r="L152" s="332">
        <v>148</v>
      </c>
      <c r="M152" s="332">
        <f>IF(L152&lt;=$C$22,$B$22,IF(L152&lt;=$C$23+$C$22,$B$23,0))</f>
      </c>
      <c r="N152" s="1"/>
      <c r="O152" s="332">
        <f>IF(Q152=12,O151-1,O151)</f>
      </c>
      <c r="P152" s="332">
        <v>148</v>
      </c>
      <c r="Q152" s="332">
        <f>IF(Q151=1,12,Q151-1)</f>
      </c>
      <c r="R152" s="169"/>
      <c r="S152" s="333">
        <f>HLOOKUP(O152,'Datos SS'!$B$4:$CZZ$16,(Q152+1),0)</f>
      </c>
      <c r="T152" s="333">
        <f>IF(O152=YEAR($B$5),($B$9/12),IF(O152&gt;MIN(YEAR($B$7),YEAR($B$5)),($B$9/12)*(1+HLOOKUP(O152,'Datos SS'!$B$31:$CZZ$32,2,0))^(O152-YEAR($B$5)),T140/(1+HLOOKUP(O152,'Datos SS'!$B$31:$CZZ$32,2,0))))</f>
      </c>
      <c r="U152" s="333">
        <f>IF(O152=2018,IF(Q152&lt;8,HLOOKUP(O152,'Datos SS'!$B$25:$BZZ$27,3,0)/12,HLOOKUP(O152,'Datos SS'!$B$25:$BZZ$26,2,0)/12),HLOOKUP(O152,'Datos SS'!$B$25:$BZZ$26,2,0)/12)</f>
      </c>
      <c r="V152" s="964">
        <f>MAX(X152,MIN(T152,U152))</f>
      </c>
      <c r="W152" s="333">
        <f>IF($E$19="NO",IF(P152&lt;=180,IF(P152&lt;25,V152,V152*$S$28/S152),0),IF(P152&gt;$B$15,0,IF(P152&lt;25,V152,V152*$S$28/S152)))</f>
      </c>
      <c r="X152" s="721">
        <f>HLOOKUP(O152,'Datos SS'!$K$37:$EP$38,2,0)</f>
      </c>
      <c r="Y152" s="331">
        <f>MAX(INT(Y151)-1,0)</f>
      </c>
      <c r="Z152" s="169"/>
      <c r="AA152" s="169"/>
      <c r="AB152" s="169"/>
      <c r="AC152" s="965">
        <v>2077.6645660194868</v>
      </c>
      <c r="AD152" s="331">
        <f>+AC152-W152</f>
      </c>
      <c r="AE152" s="169"/>
      <c r="AF152" s="170"/>
      <c r="AG152" s="169"/>
      <c r="AH152" s="170"/>
      <c r="AI152" s="170"/>
      <c r="AJ152" s="1"/>
      <c r="AK152" s="1"/>
      <c r="AL152" s="170"/>
      <c r="AM152" s="170"/>
    </row>
    <row x14ac:dyDescent="0.25" r="153" customHeight="1" ht="18.75">
      <c r="A153" s="1"/>
      <c r="B153" s="170"/>
      <c r="C153" s="169"/>
      <c r="D153" s="170"/>
      <c r="E153" s="169"/>
      <c r="F153" s="169"/>
      <c r="G153" s="170"/>
      <c r="H153" s="170"/>
      <c r="I153" s="169"/>
      <c r="J153" s="1"/>
      <c r="K153" s="169"/>
      <c r="L153" s="332">
        <v>149</v>
      </c>
      <c r="M153" s="332">
        <f>IF(L153&lt;=$C$22,$B$22,IF(L153&lt;=$C$23+$C$22,$B$23,0))</f>
      </c>
      <c r="N153" s="1"/>
      <c r="O153" s="332">
        <f>IF(Q153=12,O152-1,O152)</f>
      </c>
      <c r="P153" s="332">
        <v>149</v>
      </c>
      <c r="Q153" s="332">
        <f>IF(Q152=1,12,Q152-1)</f>
      </c>
      <c r="R153" s="169"/>
      <c r="S153" s="333">
        <f>HLOOKUP(O153,'Datos SS'!$B$4:$CZZ$16,(Q153+1),0)</f>
      </c>
      <c r="T153" s="333">
        <f>IF(O153=YEAR($B$5),($B$9/12),IF(O153&gt;MIN(YEAR($B$7),YEAR($B$5)),($B$9/12)*(1+HLOOKUP(O153,'Datos SS'!$B$31:$CZZ$32,2,0))^(O153-YEAR($B$5)),T141/(1+HLOOKUP(O153,'Datos SS'!$B$31:$CZZ$32,2,0))))</f>
      </c>
      <c r="U153" s="333">
        <f>IF(O153=2018,IF(Q153&lt;8,HLOOKUP(O153,'Datos SS'!$B$25:$BZZ$27,3,0)/12,HLOOKUP(O153,'Datos SS'!$B$25:$BZZ$26,2,0)/12),HLOOKUP(O153,'Datos SS'!$B$25:$BZZ$26,2,0)/12)</f>
      </c>
      <c r="V153" s="964">
        <f>MAX(X153,MIN(T153,U153))</f>
      </c>
      <c r="W153" s="333">
        <f>IF($E$19="NO",IF(P153&lt;=180,IF(P153&lt;25,V153,V153*$S$28/S153),0),IF(P153&gt;$B$15,0,IF(P153&lt;25,V153,V153*$S$28/S153)))</f>
      </c>
      <c r="X153" s="721">
        <f>HLOOKUP(O153,'Datos SS'!$K$37:$EP$38,2,0)</f>
      </c>
      <c r="Y153" s="331">
        <f>MAX(INT(Y152)-1,0)</f>
      </c>
      <c r="Z153" s="169"/>
      <c r="AA153" s="169"/>
      <c r="AB153" s="169"/>
      <c r="AC153" s="965">
        <v>2079.3880679658264</v>
      </c>
      <c r="AD153" s="331">
        <f>+AC153-W153</f>
      </c>
      <c r="AE153" s="169"/>
      <c r="AF153" s="170"/>
      <c r="AG153" s="169"/>
      <c r="AH153" s="170"/>
      <c r="AI153" s="170"/>
      <c r="AJ153" s="1"/>
      <c r="AK153" s="1"/>
      <c r="AL153" s="170"/>
      <c r="AM153" s="170"/>
    </row>
    <row x14ac:dyDescent="0.25" r="154" customHeight="1" ht="18.75">
      <c r="A154" s="1"/>
      <c r="B154" s="170"/>
      <c r="C154" s="169"/>
      <c r="D154" s="170"/>
      <c r="E154" s="169"/>
      <c r="F154" s="169"/>
      <c r="G154" s="170"/>
      <c r="H154" s="170"/>
      <c r="I154" s="169"/>
      <c r="J154" s="1"/>
      <c r="K154" s="169"/>
      <c r="L154" s="332">
        <v>150</v>
      </c>
      <c r="M154" s="332">
        <f>IF(L154&lt;=$C$22,$B$22,IF(L154&lt;=$C$23+$C$22,$B$23,0))</f>
      </c>
      <c r="N154" s="1"/>
      <c r="O154" s="332">
        <f>IF(Q154=12,O153-1,O153)</f>
      </c>
      <c r="P154" s="332">
        <v>150</v>
      </c>
      <c r="Q154" s="332">
        <f>IF(Q153=1,12,Q153-1)</f>
      </c>
      <c r="R154" s="169"/>
      <c r="S154" s="333">
        <f>HLOOKUP(O154,'Datos SS'!$B$4:$CZZ$16,(Q154+1),0)</f>
      </c>
      <c r="T154" s="333">
        <f>IF(O154=YEAR($B$5),($B$9/12),IF(O154&gt;MIN(YEAR($B$7),YEAR($B$5)),($B$9/12)*(1+HLOOKUP(O154,'Datos SS'!$B$31:$CZZ$32,2,0))^(O154-YEAR($B$5)),T142/(1+HLOOKUP(O154,'Datos SS'!$B$31:$CZZ$32,2,0))))</f>
      </c>
      <c r="U154" s="333">
        <f>IF(O154=2018,IF(Q154&lt;8,HLOOKUP(O154,'Datos SS'!$B$25:$BZZ$27,3,0)/12,HLOOKUP(O154,'Datos SS'!$B$25:$BZZ$26,2,0)/12),HLOOKUP(O154,'Datos SS'!$B$25:$BZZ$26,2,0)/12)</f>
      </c>
      <c r="V154" s="964">
        <f>MAX(X154,MIN(T154,U154))</f>
      </c>
      <c r="W154" s="333">
        <f>IF($E$19="NO",IF(P154&lt;=180,IF(P154&lt;25,V154,V154*$S$28/S154),0),IF(P154&gt;$B$15,0,IF(P154&lt;25,V154,V154*$S$28/S154)))</f>
      </c>
      <c r="X154" s="721">
        <f>HLOOKUP(O154,'Datos SS'!$K$37:$EP$38,2,0)</f>
      </c>
      <c r="Y154" s="331">
        <f>MAX(INT(Y153)-1,0)</f>
      </c>
      <c r="Z154" s="169"/>
      <c r="AA154" s="169"/>
      <c r="AB154" s="169"/>
      <c r="AC154" s="965">
        <v>2081.1129996227205</v>
      </c>
      <c r="AD154" s="331">
        <f>+AC154-W154</f>
      </c>
      <c r="AE154" s="169"/>
      <c r="AF154" s="170"/>
      <c r="AG154" s="169"/>
      <c r="AH154" s="170"/>
      <c r="AI154" s="170"/>
      <c r="AJ154" s="1"/>
      <c r="AK154" s="1"/>
      <c r="AL154" s="170"/>
      <c r="AM154" s="170"/>
    </row>
    <row x14ac:dyDescent="0.25" r="155" customHeight="1" ht="18.75">
      <c r="A155" s="1"/>
      <c r="B155" s="170"/>
      <c r="C155" s="169"/>
      <c r="D155" s="170"/>
      <c r="E155" s="169"/>
      <c r="F155" s="169"/>
      <c r="G155" s="170"/>
      <c r="H155" s="170"/>
      <c r="I155" s="169"/>
      <c r="J155" s="1"/>
      <c r="K155" s="169"/>
      <c r="L155" s="332">
        <v>151</v>
      </c>
      <c r="M155" s="332">
        <f>IF(L155&lt;=$C$22,$B$22,IF(L155&lt;=$C$23+$C$22,$B$23,0))</f>
      </c>
      <c r="N155" s="1"/>
      <c r="O155" s="332">
        <f>IF(Q155=12,O154-1,O154)</f>
      </c>
      <c r="P155" s="332">
        <v>151</v>
      </c>
      <c r="Q155" s="332">
        <f>IF(Q154=1,12,Q154-1)</f>
      </c>
      <c r="R155" s="169"/>
      <c r="S155" s="333">
        <f>HLOOKUP(O155,'Datos SS'!$B$4:$CZZ$16,(Q155+1),0)</f>
      </c>
      <c r="T155" s="333">
        <f>IF(O155=YEAR($B$5),($B$9/12),IF(O155&gt;MIN(YEAR($B$7),YEAR($B$5)),($B$9/12)*(1+HLOOKUP(O155,'Datos SS'!$B$31:$CZZ$32,2,0))^(O155-YEAR($B$5)),T143/(1+HLOOKUP(O155,'Datos SS'!$B$31:$CZZ$32,2,0))))</f>
      </c>
      <c r="U155" s="333">
        <f>IF(O155=2018,IF(Q155&lt;8,HLOOKUP(O155,'Datos SS'!$B$25:$BZZ$27,3,0)/12,HLOOKUP(O155,'Datos SS'!$B$25:$BZZ$26,2,0)/12),HLOOKUP(O155,'Datos SS'!$B$25:$BZZ$26,2,0)/12)</f>
      </c>
      <c r="V155" s="964">
        <f>MAX(X155,MIN(T155,U155))</f>
      </c>
      <c r="W155" s="333">
        <f>IF($E$19="NO",IF(P155&lt;=180,IF(P155&lt;25,V155,V155*$S$28/S155),0),IF(P155&gt;$B$15,0,IF(P155&lt;25,V155,V155*$S$28/S155)))</f>
      </c>
      <c r="X155" s="721">
        <f>HLOOKUP(O155,'Datos SS'!$K$37:$EP$38,2,0)</f>
      </c>
      <c r="Y155" s="331">
        <f>MAX(INT(Y154)-1,0)</f>
      </c>
      <c r="Z155" s="169"/>
      <c r="AA155" s="169"/>
      <c r="AB155" s="169"/>
      <c r="AC155" s="965">
        <v>2082.839362176169</v>
      </c>
      <c r="AD155" s="331">
        <f>+AC155-W155</f>
      </c>
      <c r="AE155" s="169"/>
      <c r="AF155" s="170"/>
      <c r="AG155" s="169"/>
      <c r="AH155" s="170"/>
      <c r="AI155" s="170"/>
      <c r="AJ155" s="1"/>
      <c r="AK155" s="1"/>
      <c r="AL155" s="170"/>
      <c r="AM155" s="170"/>
    </row>
    <row x14ac:dyDescent="0.25" r="156" customHeight="1" ht="18.75">
      <c r="A156" s="1"/>
      <c r="B156" s="170"/>
      <c r="C156" s="169"/>
      <c r="D156" s="170"/>
      <c r="E156" s="169"/>
      <c r="F156" s="169"/>
      <c r="G156" s="170"/>
      <c r="H156" s="170"/>
      <c r="I156" s="169"/>
      <c r="J156" s="1"/>
      <c r="K156" s="169"/>
      <c r="L156" s="332">
        <v>152</v>
      </c>
      <c r="M156" s="332">
        <f>IF(L156&lt;=$C$22,$B$22,IF(L156&lt;=$C$23+$C$22,$B$23,0))</f>
      </c>
      <c r="N156" s="1"/>
      <c r="O156" s="332">
        <f>IF(Q156=12,O155-1,O155)</f>
      </c>
      <c r="P156" s="332">
        <v>152</v>
      </c>
      <c r="Q156" s="332">
        <f>IF(Q155=1,12,Q155-1)</f>
      </c>
      <c r="R156" s="169"/>
      <c r="S156" s="333">
        <f>HLOOKUP(O156,'Datos SS'!$B$4:$CZZ$16,(Q156+1),0)</f>
      </c>
      <c r="T156" s="333">
        <f>IF(O156=YEAR($B$5),($B$9/12),IF(O156&gt;MIN(YEAR($B$7),YEAR($B$5)),($B$9/12)*(1+HLOOKUP(O156,'Datos SS'!$B$31:$CZZ$32,2,0))^(O156-YEAR($B$5)),T144/(1+HLOOKUP(O156,'Datos SS'!$B$31:$CZZ$32,2,0))))</f>
      </c>
      <c r="U156" s="333">
        <f>IF(O156=2018,IF(Q156&lt;8,HLOOKUP(O156,'Datos SS'!$B$25:$BZZ$27,3,0)/12,HLOOKUP(O156,'Datos SS'!$B$25:$BZZ$26,2,0)/12),HLOOKUP(O156,'Datos SS'!$B$25:$BZZ$26,2,0)/12)</f>
      </c>
      <c r="V156" s="964">
        <f>MAX(X156,MIN(T156,U156))</f>
      </c>
      <c r="W156" s="333">
        <f>IF($E$19="NO",IF(P156&lt;=180,IF(P156&lt;25,V156,V156*$S$28/S156),0),IF(P156&gt;$B$15,0,IF(P156&lt;25,V156,V156*$S$28/S156)))</f>
      </c>
      <c r="X156" s="721">
        <f>HLOOKUP(O156,'Datos SS'!$K$37:$EP$38,2,0)</f>
      </c>
      <c r="Y156" s="331">
        <f>MAX(INT(Y155)-1,0)</f>
      </c>
      <c r="Z156" s="169"/>
      <c r="AA156" s="169"/>
      <c r="AB156" s="169"/>
      <c r="AC156" s="965">
        <v>2084.5671568131543</v>
      </c>
      <c r="AD156" s="331">
        <f>+AC156-W156</f>
      </c>
      <c r="AE156" s="169"/>
      <c r="AF156" s="170"/>
      <c r="AG156" s="169"/>
      <c r="AH156" s="170"/>
      <c r="AI156" s="170"/>
      <c r="AJ156" s="1"/>
      <c r="AK156" s="1"/>
      <c r="AL156" s="170"/>
      <c r="AM156" s="170"/>
    </row>
    <row x14ac:dyDescent="0.25" r="157" customHeight="1" ht="18.75">
      <c r="A157" s="1"/>
      <c r="B157" s="170"/>
      <c r="C157" s="169"/>
      <c r="D157" s="170"/>
      <c r="E157" s="169"/>
      <c r="F157" s="169"/>
      <c r="G157" s="170"/>
      <c r="H157" s="170"/>
      <c r="I157" s="169"/>
      <c r="J157" s="1"/>
      <c r="K157" s="169"/>
      <c r="L157" s="332">
        <v>153</v>
      </c>
      <c r="M157" s="332">
        <f>IF(L157&lt;=$C$22,$B$22,IF(L157&lt;=$C$23+$C$22,$B$23,0))</f>
      </c>
      <c r="N157" s="1"/>
      <c r="O157" s="332">
        <f>IF(Q157=12,O156-1,O156)</f>
      </c>
      <c r="P157" s="332">
        <v>153</v>
      </c>
      <c r="Q157" s="332">
        <f>IF(Q156=1,12,Q156-1)</f>
      </c>
      <c r="R157" s="169"/>
      <c r="S157" s="333">
        <f>HLOOKUP(O157,'Datos SS'!$B$4:$CZZ$16,(Q157+1),0)</f>
      </c>
      <c r="T157" s="333">
        <f>IF(O157=YEAR($B$5),($B$9/12),IF(O157&gt;MIN(YEAR($B$7),YEAR($B$5)),($B$9/12)*(1+HLOOKUP(O157,'Datos SS'!$B$31:$CZZ$32,2,0))^(O157-YEAR($B$5)),T145/(1+HLOOKUP(O157,'Datos SS'!$B$31:$CZZ$32,2,0))))</f>
      </c>
      <c r="U157" s="333">
        <f>IF(O157=2018,IF(Q157&lt;8,HLOOKUP(O157,'Datos SS'!$B$25:$BZZ$27,3,0)/12,HLOOKUP(O157,'Datos SS'!$B$25:$BZZ$26,2,0)/12),HLOOKUP(O157,'Datos SS'!$B$25:$BZZ$26,2,0)/12)</f>
      </c>
      <c r="V157" s="964">
        <f>MAX(X157,MIN(T157,U157))</f>
      </c>
      <c r="W157" s="333">
        <f>IF($E$19="NO",IF(P157&lt;=180,IF(P157&lt;25,V157,V157*$S$28/S157),0),IF(P157&gt;$B$15,0,IF(P157&lt;25,V157,V157*$S$28/S157)))</f>
      </c>
      <c r="X157" s="721">
        <f>HLOOKUP(O157,'Datos SS'!$K$37:$EP$38,2,0)</f>
      </c>
      <c r="Y157" s="331">
        <f>MAX(INT(Y156)-1,0)</f>
      </c>
      <c r="Z157" s="169"/>
      <c r="AA157" s="169"/>
      <c r="AB157" s="169"/>
      <c r="AC157" s="965">
        <v>2086.2963847216447</v>
      </c>
      <c r="AD157" s="331">
        <f>+AC157-W157</f>
      </c>
      <c r="AE157" s="169"/>
      <c r="AF157" s="170"/>
      <c r="AG157" s="169"/>
      <c r="AH157" s="170"/>
      <c r="AI157" s="170"/>
      <c r="AJ157" s="1"/>
      <c r="AK157" s="1"/>
      <c r="AL157" s="170"/>
      <c r="AM157" s="170"/>
    </row>
    <row x14ac:dyDescent="0.25" r="158" customHeight="1" ht="18.75">
      <c r="A158" s="1"/>
      <c r="B158" s="170"/>
      <c r="C158" s="169"/>
      <c r="D158" s="170"/>
      <c r="E158" s="169"/>
      <c r="F158" s="169"/>
      <c r="G158" s="170"/>
      <c r="H158" s="170"/>
      <c r="I158" s="169"/>
      <c r="J158" s="1"/>
      <c r="K158" s="169"/>
      <c r="L158" s="332">
        <v>154</v>
      </c>
      <c r="M158" s="332">
        <f>IF(L158&lt;=$C$22,$B$22,IF(L158&lt;=$C$23+$C$22,$B$23,0))</f>
      </c>
      <c r="N158" s="1"/>
      <c r="O158" s="332">
        <f>IF(Q158=12,O157-1,O157)</f>
      </c>
      <c r="P158" s="332">
        <v>154</v>
      </c>
      <c r="Q158" s="332">
        <f>IF(Q157=1,12,Q157-1)</f>
      </c>
      <c r="R158" s="169"/>
      <c r="S158" s="333">
        <f>HLOOKUP(O158,'Datos SS'!$B$4:$CZZ$16,(Q158+1),0)</f>
      </c>
      <c r="T158" s="333">
        <f>IF(O158=YEAR($B$5),($B$9/12),IF(O158&gt;MIN(YEAR($B$7),YEAR($B$5)),($B$9/12)*(1+HLOOKUP(O158,'Datos SS'!$B$31:$CZZ$32,2,0))^(O158-YEAR($B$5)),T146/(1+HLOOKUP(O158,'Datos SS'!$B$31:$CZZ$32,2,0))))</f>
      </c>
      <c r="U158" s="333">
        <f>IF(O158=2018,IF(Q158&lt;8,HLOOKUP(O158,'Datos SS'!$B$25:$BZZ$27,3,0)/12,HLOOKUP(O158,'Datos SS'!$B$25:$BZZ$26,2,0)/12),HLOOKUP(O158,'Datos SS'!$B$25:$BZZ$26,2,0)/12)</f>
      </c>
      <c r="V158" s="964">
        <f>MAX(X158,MIN(T158,U158))</f>
      </c>
      <c r="W158" s="333">
        <f>IF($E$19="NO",IF(P158&lt;=180,IF(P158&lt;25,V158,V158*$S$28/S158),0),IF(P158&gt;$B$15,0,IF(P158&lt;25,V158,V158*$S$28/S158)))</f>
      </c>
      <c r="X158" s="721">
        <f>HLOOKUP(O158,'Datos SS'!$K$37:$EP$38,2,0)</f>
      </c>
      <c r="Y158" s="331">
        <f>MAX(INT(Y157)-1,0)</f>
      </c>
      <c r="Z158" s="169"/>
      <c r="AA158" s="169"/>
      <c r="AB158" s="169"/>
      <c r="AC158" s="965">
        <v>2057.169504522753</v>
      </c>
      <c r="AD158" s="331">
        <f>+AC158-W158</f>
      </c>
      <c r="AE158" s="169"/>
      <c r="AF158" s="170"/>
      <c r="AG158" s="169"/>
      <c r="AH158" s="170"/>
      <c r="AI158" s="170"/>
      <c r="AJ158" s="1"/>
      <c r="AK158" s="1"/>
      <c r="AL158" s="170"/>
      <c r="AM158" s="170"/>
    </row>
    <row x14ac:dyDescent="0.25" r="159" customHeight="1" ht="18.75">
      <c r="A159" s="1"/>
      <c r="B159" s="170"/>
      <c r="C159" s="169"/>
      <c r="D159" s="170"/>
      <c r="E159" s="169"/>
      <c r="F159" s="169"/>
      <c r="G159" s="170"/>
      <c r="H159" s="170"/>
      <c r="I159" s="169"/>
      <c r="J159" s="1"/>
      <c r="K159" s="169"/>
      <c r="L159" s="332">
        <v>155</v>
      </c>
      <c r="M159" s="332">
        <f>IF(L159&lt;=$C$22,$B$22,IF(L159&lt;=$C$23+$C$22,$B$23,0))</f>
      </c>
      <c r="N159" s="1"/>
      <c r="O159" s="332">
        <f>IF(Q159=12,O158-1,O158)</f>
      </c>
      <c r="P159" s="332">
        <v>155</v>
      </c>
      <c r="Q159" s="332">
        <f>IF(Q158=1,12,Q158-1)</f>
      </c>
      <c r="R159" s="169"/>
      <c r="S159" s="333">
        <f>HLOOKUP(O159,'Datos SS'!$B$4:$CZZ$16,(Q159+1),0)</f>
      </c>
      <c r="T159" s="333">
        <f>IF(O159=YEAR($B$5),($B$9/12),IF(O159&gt;MIN(YEAR($B$7),YEAR($B$5)),($B$9/12)*(1+HLOOKUP(O159,'Datos SS'!$B$31:$CZZ$32,2,0))^(O159-YEAR($B$5)),T147/(1+HLOOKUP(O159,'Datos SS'!$B$31:$CZZ$32,2,0))))</f>
      </c>
      <c r="U159" s="333">
        <f>IF(O159=2018,IF(Q159&lt;8,HLOOKUP(O159,'Datos SS'!$B$25:$BZZ$27,3,0)/12,HLOOKUP(O159,'Datos SS'!$B$25:$BZZ$26,2,0)/12),HLOOKUP(O159,'Datos SS'!$B$25:$BZZ$26,2,0)/12)</f>
      </c>
      <c r="V159" s="964">
        <f>MAX(X159,MIN(T159,U159))</f>
      </c>
      <c r="W159" s="333">
        <f>IF($E$19="NO",IF(P159&lt;=180,IF(P159&lt;25,V159,V159*$S$28/S159),0),IF(P159&gt;$B$15,0,IF(P159&lt;25,V159,V159*$S$28/S159)))</f>
      </c>
      <c r="X159" s="721">
        <f>HLOOKUP(O159,'Datos SS'!$K$37:$EP$38,2,0)</f>
      </c>
      <c r="Y159" s="331">
        <f>MAX(INT(Y158)-1,0)</f>
      </c>
      <c r="Z159" s="169"/>
      <c r="AA159" s="169"/>
      <c r="AB159" s="169"/>
      <c r="AC159" s="965">
        <v>2058.876005034425</v>
      </c>
      <c r="AD159" s="331">
        <f>+AC159-W159</f>
      </c>
      <c r="AE159" s="169"/>
      <c r="AF159" s="170"/>
      <c r="AG159" s="169"/>
      <c r="AH159" s="170"/>
      <c r="AI159" s="170"/>
      <c r="AJ159" s="1"/>
      <c r="AK159" s="1"/>
      <c r="AL159" s="170"/>
      <c r="AM159" s="170"/>
    </row>
    <row x14ac:dyDescent="0.25" r="160" customHeight="1" ht="18.75">
      <c r="A160" s="1"/>
      <c r="B160" s="170"/>
      <c r="C160" s="169"/>
      <c r="D160" s="170"/>
      <c r="E160" s="169"/>
      <c r="F160" s="169"/>
      <c r="G160" s="170"/>
      <c r="H160" s="170"/>
      <c r="I160" s="169"/>
      <c r="J160" s="1"/>
      <c r="K160" s="169"/>
      <c r="L160" s="332">
        <v>156</v>
      </c>
      <c r="M160" s="332">
        <f>IF(L160&lt;=$C$22,$B$22,IF(L160&lt;=$C$23+$C$22,$B$23,0))</f>
      </c>
      <c r="N160" s="1"/>
      <c r="O160" s="332">
        <f>IF(Q160=12,O159-1,O159)</f>
      </c>
      <c r="P160" s="332">
        <v>156</v>
      </c>
      <c r="Q160" s="332">
        <f>IF(Q159=1,12,Q159-1)</f>
      </c>
      <c r="R160" s="169"/>
      <c r="S160" s="333">
        <f>HLOOKUP(O160,'Datos SS'!$B$4:$CZZ$16,(Q160+1),0)</f>
      </c>
      <c r="T160" s="333">
        <f>IF(O160=YEAR($B$5),($B$9/12),IF(O160&gt;MIN(YEAR($B$7),YEAR($B$5)),($B$9/12)*(1+HLOOKUP(O160,'Datos SS'!$B$31:$CZZ$32,2,0))^(O160-YEAR($B$5)),T148/(1+HLOOKUP(O160,'Datos SS'!$B$31:$CZZ$32,2,0))))</f>
      </c>
      <c r="U160" s="333">
        <f>IF(O160=2018,IF(Q160&lt;8,HLOOKUP(O160,'Datos SS'!$B$25:$BZZ$27,3,0)/12,HLOOKUP(O160,'Datos SS'!$B$25:$BZZ$26,2,0)/12),HLOOKUP(O160,'Datos SS'!$B$25:$BZZ$26,2,0)/12)</f>
      </c>
      <c r="V160" s="964">
        <f>MAX(X160,MIN(T160,U160))</f>
      </c>
      <c r="W160" s="333">
        <f>IF($E$19="NO",IF(P160&lt;=180,IF(P160&lt;25,V160,V160*$S$28/S160),0),IF(P160&gt;$B$15,0,IF(P160&lt;25,V160,V160*$S$28/S160)))</f>
      </c>
      <c r="X160" s="721">
        <f>HLOOKUP(O160,'Datos SS'!$K$37:$EP$38,2,0)</f>
      </c>
      <c r="Y160" s="331">
        <f>MAX(INT(Y159)-1,0)</f>
      </c>
      <c r="Z160" s="169"/>
      <c r="AA160" s="169"/>
      <c r="AB160" s="169"/>
      <c r="AC160" s="965">
        <v>2060.583921153314</v>
      </c>
      <c r="AD160" s="331">
        <f>+AC160-W160</f>
      </c>
      <c r="AE160" s="169"/>
      <c r="AF160" s="170"/>
      <c r="AG160" s="169"/>
      <c r="AH160" s="170"/>
      <c r="AI160" s="170"/>
      <c r="AJ160" s="1"/>
      <c r="AK160" s="1"/>
      <c r="AL160" s="170"/>
      <c r="AM160" s="170"/>
    </row>
    <row x14ac:dyDescent="0.25" r="161" customHeight="1" ht="18.75">
      <c r="A161" s="1"/>
      <c r="B161" s="170"/>
      <c r="C161" s="169"/>
      <c r="D161" s="170"/>
      <c r="E161" s="169"/>
      <c r="F161" s="169"/>
      <c r="G161" s="170"/>
      <c r="H161" s="170"/>
      <c r="I161" s="169"/>
      <c r="J161" s="1"/>
      <c r="K161" s="169"/>
      <c r="L161" s="332">
        <v>157</v>
      </c>
      <c r="M161" s="332">
        <f>IF(L161&lt;=$C$22,$B$22,IF(L161&lt;=$C$23+$C$22,$B$23,0))</f>
      </c>
      <c r="N161" s="1"/>
      <c r="O161" s="332">
        <f>IF(Q161=12,O160-1,O160)</f>
      </c>
      <c r="P161" s="332">
        <v>157</v>
      </c>
      <c r="Q161" s="332">
        <f>IF(Q160=1,12,Q160-1)</f>
      </c>
      <c r="R161" s="169"/>
      <c r="S161" s="333">
        <f>HLOOKUP(O161,'Datos SS'!$B$4:$CZZ$16,(Q161+1),0)</f>
      </c>
      <c r="T161" s="333">
        <f>IF(O161=YEAR($B$5),($B$9/12),IF(O161&gt;MIN(YEAR($B$7),YEAR($B$5)),($B$9/12)*(1+HLOOKUP(O161,'Datos SS'!$B$31:$CZZ$32,2,0))^(O161-YEAR($B$5)),T149/(1+HLOOKUP(O161,'Datos SS'!$B$31:$CZZ$32,2,0))))</f>
      </c>
      <c r="U161" s="333">
        <f>IF(O161=2018,IF(Q161&lt;8,HLOOKUP(O161,'Datos SS'!$B$25:$BZZ$27,3,0)/12,HLOOKUP(O161,'Datos SS'!$B$25:$BZZ$26,2,0)/12),HLOOKUP(O161,'Datos SS'!$B$25:$BZZ$26,2,0)/12)</f>
      </c>
      <c r="V161" s="964">
        <f>MAX(X161,MIN(T161,U161))</f>
      </c>
      <c r="W161" s="333">
        <f>IF($E$19="NO",IF(P161&lt;=180,IF(P161&lt;25,V161,V161*$S$28/S161),0),IF(P161&gt;$B$15,0,IF(P161&lt;25,V161,V161*$S$28/S161)))</f>
      </c>
      <c r="X161" s="721">
        <f>HLOOKUP(O161,'Datos SS'!$K$37:$EP$38,2,0)</f>
      </c>
      <c r="Y161" s="331">
        <f>MAX(INT(Y160)-1,0)</f>
      </c>
      <c r="Z161" s="169"/>
      <c r="AA161" s="169"/>
      <c r="AB161" s="169"/>
      <c r="AC161" s="965">
        <v>2062.2932540537195</v>
      </c>
      <c r="AD161" s="331">
        <f>+AC161-W161</f>
      </c>
      <c r="AE161" s="169"/>
      <c r="AF161" s="170"/>
      <c r="AG161" s="169"/>
      <c r="AH161" s="170"/>
      <c r="AI161" s="170"/>
      <c r="AJ161" s="1"/>
      <c r="AK161" s="1"/>
      <c r="AL161" s="170"/>
      <c r="AM161" s="170"/>
    </row>
    <row x14ac:dyDescent="0.25" r="162" customHeight="1" ht="18.75">
      <c r="A162" s="1"/>
      <c r="B162" s="170"/>
      <c r="C162" s="169"/>
      <c r="D162" s="170"/>
      <c r="E162" s="169"/>
      <c r="F162" s="169"/>
      <c r="G162" s="170"/>
      <c r="H162" s="170"/>
      <c r="I162" s="169"/>
      <c r="J162" s="1"/>
      <c r="K162" s="169"/>
      <c r="L162" s="332">
        <v>158</v>
      </c>
      <c r="M162" s="332">
        <f>IF(L162&lt;=$C$22,$B$22,IF(L162&lt;=$C$23+$C$22,$B$23,0))</f>
      </c>
      <c r="N162" s="1"/>
      <c r="O162" s="332">
        <f>IF(Q162=12,O161-1,O161)</f>
      </c>
      <c r="P162" s="332">
        <v>158</v>
      </c>
      <c r="Q162" s="332">
        <f>IF(Q161=1,12,Q161-1)</f>
      </c>
      <c r="R162" s="169"/>
      <c r="S162" s="333">
        <f>HLOOKUP(O162,'Datos SS'!$B$4:$CZZ$16,(Q162+1),0)</f>
      </c>
      <c r="T162" s="333">
        <f>IF(O162=YEAR($B$5),($B$9/12),IF(O162&gt;MIN(YEAR($B$7),YEAR($B$5)),($B$9/12)*(1+HLOOKUP(O162,'Datos SS'!$B$31:$CZZ$32,2,0))^(O162-YEAR($B$5)),T150/(1+HLOOKUP(O162,'Datos SS'!$B$31:$CZZ$32,2,0))))</f>
      </c>
      <c r="U162" s="333">
        <f>IF(O162=2018,IF(Q162&lt;8,HLOOKUP(O162,'Datos SS'!$B$25:$BZZ$27,3,0)/12,HLOOKUP(O162,'Datos SS'!$B$25:$BZZ$26,2,0)/12),HLOOKUP(O162,'Datos SS'!$B$25:$BZZ$26,2,0)/12)</f>
      </c>
      <c r="V162" s="964">
        <f>MAX(X162,MIN(T162,U162))</f>
      </c>
      <c r="W162" s="333">
        <f>IF($E$19="NO",IF(P162&lt;=180,IF(P162&lt;25,V162,V162*$S$28/S162),0),IF(P162&gt;$B$15,0,IF(P162&lt;25,V162,V162*$S$28/S162)))</f>
      </c>
      <c r="X162" s="721">
        <f>HLOOKUP(O162,'Datos SS'!$K$37:$EP$38,2,0)</f>
      </c>
      <c r="Y162" s="331">
        <f>MAX(INT(Y161)-1,0)</f>
      </c>
      <c r="Z162" s="169"/>
      <c r="AA162" s="169"/>
      <c r="AB162" s="169"/>
      <c r="AC162" s="965">
        <v>2064.0040049109157</v>
      </c>
      <c r="AD162" s="331">
        <f>+AC162-W162</f>
      </c>
      <c r="AE162" s="169"/>
      <c r="AF162" s="170"/>
      <c r="AG162" s="169"/>
      <c r="AH162" s="170"/>
      <c r="AI162" s="170"/>
      <c r="AJ162" s="1"/>
      <c r="AK162" s="1"/>
      <c r="AL162" s="170"/>
      <c r="AM162" s="170"/>
    </row>
    <row x14ac:dyDescent="0.25" r="163" customHeight="1" ht="18.75">
      <c r="A163" s="1"/>
      <c r="B163" s="170"/>
      <c r="C163" s="169"/>
      <c r="D163" s="170"/>
      <c r="E163" s="169"/>
      <c r="F163" s="169"/>
      <c r="G163" s="170"/>
      <c r="H163" s="170"/>
      <c r="I163" s="169"/>
      <c r="J163" s="1"/>
      <c r="K163" s="169"/>
      <c r="L163" s="332">
        <v>159</v>
      </c>
      <c r="M163" s="332">
        <f>IF(L163&lt;=$C$22,$B$22,IF(L163&lt;=$C$23+$C$22,$B$23,0))</f>
      </c>
      <c r="N163" s="1"/>
      <c r="O163" s="332">
        <f>IF(Q163=12,O162-1,O162)</f>
      </c>
      <c r="P163" s="332">
        <v>159</v>
      </c>
      <c r="Q163" s="332">
        <f>IF(Q162=1,12,Q162-1)</f>
      </c>
      <c r="R163" s="169"/>
      <c r="S163" s="333">
        <f>HLOOKUP(O163,'Datos SS'!$B$4:$CZZ$16,(Q163+1),0)</f>
      </c>
      <c r="T163" s="333">
        <f>IF(O163=YEAR($B$5),($B$9/12),IF(O163&gt;MIN(YEAR($B$7),YEAR($B$5)),($B$9/12)*(1+HLOOKUP(O163,'Datos SS'!$B$31:$CZZ$32,2,0))^(O163-YEAR($B$5)),T151/(1+HLOOKUP(O163,'Datos SS'!$B$31:$CZZ$32,2,0))))</f>
      </c>
      <c r="U163" s="333">
        <f>IF(O163=2018,IF(Q163&lt;8,HLOOKUP(O163,'Datos SS'!$B$25:$BZZ$27,3,0)/12,HLOOKUP(O163,'Datos SS'!$B$25:$BZZ$26,2,0)/12),HLOOKUP(O163,'Datos SS'!$B$25:$BZZ$26,2,0)/12)</f>
      </c>
      <c r="V163" s="964">
        <f>MAX(X163,MIN(T163,U163))</f>
      </c>
      <c r="W163" s="333">
        <f>IF($E$19="NO",IF(P163&lt;=180,IF(P163&lt;25,V163,V163*$S$28/S163),0),IF(P163&gt;$B$15,0,IF(P163&lt;25,V163,V163*$S$28/S163)))</f>
      </c>
      <c r="X163" s="721">
        <f>HLOOKUP(O163,'Datos SS'!$K$37:$EP$38,2,0)</f>
      </c>
      <c r="Y163" s="331">
        <f>MAX(INT(Y162)-1,0)</f>
      </c>
      <c r="Z163" s="169"/>
      <c r="AA163" s="169"/>
      <c r="AB163" s="169"/>
      <c r="AC163" s="965">
        <v>2065.7161749011525</v>
      </c>
      <c r="AD163" s="331">
        <f>+AC163-W163</f>
      </c>
      <c r="AE163" s="169"/>
      <c r="AF163" s="170"/>
      <c r="AG163" s="169"/>
      <c r="AH163" s="170"/>
      <c r="AI163" s="170"/>
      <c r="AJ163" s="1"/>
      <c r="AK163" s="1"/>
      <c r="AL163" s="170"/>
      <c r="AM163" s="170"/>
    </row>
    <row x14ac:dyDescent="0.25" r="164" customHeight="1" ht="18.75">
      <c r="A164" s="1"/>
      <c r="B164" s="170"/>
      <c r="C164" s="169"/>
      <c r="D164" s="170"/>
      <c r="E164" s="169"/>
      <c r="F164" s="169"/>
      <c r="G164" s="170"/>
      <c r="H164" s="170"/>
      <c r="I164" s="169"/>
      <c r="J164" s="1"/>
      <c r="K164" s="169"/>
      <c r="L164" s="332">
        <v>160</v>
      </c>
      <c r="M164" s="332">
        <f>IF(L164&lt;=$C$22,$B$22,IF(L164&lt;=$C$23+$C$22,$B$23,0))</f>
      </c>
      <c r="N164" s="1"/>
      <c r="O164" s="332">
        <f>IF(Q164=12,O163-1,O163)</f>
      </c>
      <c r="P164" s="332">
        <v>160</v>
      </c>
      <c r="Q164" s="332">
        <f>IF(Q163=1,12,Q163-1)</f>
      </c>
      <c r="R164" s="169"/>
      <c r="S164" s="333">
        <f>HLOOKUP(O164,'Datos SS'!$B$4:$CZZ$16,(Q164+1),0)</f>
      </c>
      <c r="T164" s="333">
        <f>IF(O164=YEAR($B$5),($B$9/12),IF(O164&gt;MIN(YEAR($B$7),YEAR($B$5)),($B$9/12)*(1+HLOOKUP(O164,'Datos SS'!$B$31:$CZZ$32,2,0))^(O164-YEAR($B$5)),T152/(1+HLOOKUP(O164,'Datos SS'!$B$31:$CZZ$32,2,0))))</f>
      </c>
      <c r="U164" s="333">
        <f>IF(O164=2018,IF(Q164&lt;8,HLOOKUP(O164,'Datos SS'!$B$25:$BZZ$27,3,0)/12,HLOOKUP(O164,'Datos SS'!$B$25:$BZZ$26,2,0)/12),HLOOKUP(O164,'Datos SS'!$B$25:$BZZ$26,2,0)/12)</f>
      </c>
      <c r="V164" s="964">
        <f>MAX(X164,MIN(T164,U164))</f>
      </c>
      <c r="W164" s="333">
        <f>IF($E$19="NO",IF(P164&lt;=180,IF(P164&lt;25,V164,V164*$S$28/S164),0),IF(P164&gt;$B$15,0,IF(P164&lt;25,V164,V164*$S$28/S164)))</f>
      </c>
      <c r="X164" s="721">
        <f>HLOOKUP(O164,'Datos SS'!$K$37:$EP$38,2,0)</f>
      </c>
      <c r="Y164" s="331">
        <f>MAX(INT(Y163)-1,0)</f>
      </c>
      <c r="Z164" s="169"/>
      <c r="AA164" s="169"/>
      <c r="AB164" s="169"/>
      <c r="AC164" s="965">
        <v>2067.4297652016544</v>
      </c>
      <c r="AD164" s="331">
        <f>+AC164-W164</f>
      </c>
      <c r="AE164" s="169"/>
      <c r="AF164" s="170"/>
      <c r="AG164" s="169"/>
      <c r="AH164" s="170"/>
      <c r="AI164" s="170"/>
      <c r="AJ164" s="1"/>
      <c r="AK164" s="1"/>
      <c r="AL164" s="170"/>
      <c r="AM164" s="170"/>
    </row>
    <row x14ac:dyDescent="0.25" r="165" customHeight="1" ht="18.75">
      <c r="A165" s="1"/>
      <c r="B165" s="170"/>
      <c r="C165" s="169"/>
      <c r="D165" s="170"/>
      <c r="E165" s="169"/>
      <c r="F165" s="169"/>
      <c r="G165" s="170"/>
      <c r="H165" s="170"/>
      <c r="I165" s="169"/>
      <c r="J165" s="1"/>
      <c r="K165" s="169"/>
      <c r="L165" s="332">
        <v>161</v>
      </c>
      <c r="M165" s="332">
        <f>IF(L165&lt;=$C$22,$B$22,IF(L165&lt;=$C$23+$C$22,$B$23,0))</f>
      </c>
      <c r="N165" s="1"/>
      <c r="O165" s="332">
        <f>IF(Q165=12,O164-1,O164)</f>
      </c>
      <c r="P165" s="332">
        <v>161</v>
      </c>
      <c r="Q165" s="332">
        <f>IF(Q164=1,12,Q164-1)</f>
      </c>
      <c r="R165" s="169"/>
      <c r="S165" s="333">
        <f>HLOOKUP(O165,'Datos SS'!$B$4:$CZZ$16,(Q165+1),0)</f>
      </c>
      <c r="T165" s="333">
        <f>IF(O165=YEAR($B$5),($B$9/12),IF(O165&gt;MIN(YEAR($B$7),YEAR($B$5)),($B$9/12)*(1+HLOOKUP(O165,'Datos SS'!$B$31:$CZZ$32,2,0))^(O165-YEAR($B$5)),T153/(1+HLOOKUP(O165,'Datos SS'!$B$31:$CZZ$32,2,0))))</f>
      </c>
      <c r="U165" s="333">
        <f>IF(O165=2018,IF(Q165&lt;8,HLOOKUP(O165,'Datos SS'!$B$25:$BZZ$27,3,0)/12,HLOOKUP(O165,'Datos SS'!$B$25:$BZZ$26,2,0)/12),HLOOKUP(O165,'Datos SS'!$B$25:$BZZ$26,2,0)/12)</f>
      </c>
      <c r="V165" s="964">
        <f>MAX(X165,MIN(T165,U165))</f>
      </c>
      <c r="W165" s="333">
        <f>IF($E$19="NO",IF(P165&lt;=180,IF(P165&lt;25,V165,V165*$S$28/S165),0),IF(P165&gt;$B$15,0,IF(P165&lt;25,V165,V165*$S$28/S165)))</f>
      </c>
      <c r="X165" s="721">
        <f>HLOOKUP(O165,'Datos SS'!$K$37:$EP$38,2,0)</f>
      </c>
      <c r="Y165" s="331">
        <f>MAX(INT(Y164)-1,0)</f>
      </c>
      <c r="Z165" s="169"/>
      <c r="AA165" s="169"/>
      <c r="AB165" s="169"/>
      <c r="AC165" s="965">
        <v>2069.1447769906226</v>
      </c>
      <c r="AD165" s="331">
        <f>+AC165-W165</f>
      </c>
      <c r="AE165" s="169"/>
      <c r="AF165" s="170"/>
      <c r="AG165" s="169"/>
      <c r="AH165" s="170"/>
      <c r="AI165" s="170"/>
      <c r="AJ165" s="1"/>
      <c r="AK165" s="1"/>
      <c r="AL165" s="170"/>
      <c r="AM165" s="170"/>
    </row>
    <row x14ac:dyDescent="0.25" r="166" customHeight="1" ht="18.75">
      <c r="A166" s="1"/>
      <c r="B166" s="170"/>
      <c r="C166" s="169"/>
      <c r="D166" s="170"/>
      <c r="E166" s="169"/>
      <c r="F166" s="169"/>
      <c r="G166" s="170"/>
      <c r="H166" s="170"/>
      <c r="I166" s="169"/>
      <c r="J166" s="1"/>
      <c r="K166" s="169"/>
      <c r="L166" s="332">
        <v>162</v>
      </c>
      <c r="M166" s="332">
        <f>IF(L166&lt;=$C$22,$B$22,IF(L166&lt;=$C$23+$C$22,$B$23,0))</f>
      </c>
      <c r="N166" s="1"/>
      <c r="O166" s="332">
        <f>IF(Q166=12,O165-1,O165)</f>
      </c>
      <c r="P166" s="332">
        <v>162</v>
      </c>
      <c r="Q166" s="332">
        <f>IF(Q165=1,12,Q165-1)</f>
      </c>
      <c r="R166" s="169"/>
      <c r="S166" s="333">
        <f>HLOOKUP(O166,'Datos SS'!$B$4:$CZZ$16,(Q166+1),0)</f>
      </c>
      <c r="T166" s="333">
        <f>IF(O166=YEAR($B$5),($B$9/12),IF(O166&gt;MIN(YEAR($B$7),YEAR($B$5)),($B$9/12)*(1+HLOOKUP(O166,'Datos SS'!$B$31:$CZZ$32,2,0))^(O166-YEAR($B$5)),T154/(1+HLOOKUP(O166,'Datos SS'!$B$31:$CZZ$32,2,0))))</f>
      </c>
      <c r="U166" s="333">
        <f>IF(O166=2018,IF(Q166&lt;8,HLOOKUP(O166,'Datos SS'!$B$25:$BZZ$27,3,0)/12,HLOOKUP(O166,'Datos SS'!$B$25:$BZZ$26,2,0)/12),HLOOKUP(O166,'Datos SS'!$B$25:$BZZ$26,2,0)/12)</f>
      </c>
      <c r="V166" s="964">
        <f>MAX(X166,MIN(T166,U166))</f>
      </c>
      <c r="W166" s="333">
        <f>IF($E$19="NO",IF(P166&lt;=180,IF(P166&lt;25,V166,V166*$S$28/S166),0),IF(P166&gt;$B$15,0,IF(P166&lt;25,V166,V166*$S$28/S166)))</f>
      </c>
      <c r="X166" s="721">
        <f>HLOOKUP(O166,'Datos SS'!$K$37:$EP$38,2,0)</f>
      </c>
      <c r="Y166" s="331">
        <f>MAX(INT(Y165)-1,0)</f>
      </c>
      <c r="Z166" s="169"/>
      <c r="AA166" s="169"/>
      <c r="AB166" s="169"/>
      <c r="AC166" s="965">
        <v>2070.8612114472367</v>
      </c>
      <c r="AD166" s="331">
        <f>+AC166-W166</f>
      </c>
      <c r="AE166" s="169"/>
      <c r="AF166" s="170"/>
      <c r="AG166" s="169"/>
      <c r="AH166" s="170"/>
      <c r="AI166" s="170"/>
      <c r="AJ166" s="1"/>
      <c r="AK166" s="1"/>
      <c r="AL166" s="170"/>
      <c r="AM166" s="170"/>
    </row>
    <row x14ac:dyDescent="0.25" r="167" customHeight="1" ht="18.75">
      <c r="A167" s="1"/>
      <c r="B167" s="170"/>
      <c r="C167" s="169"/>
      <c r="D167" s="170"/>
      <c r="E167" s="169"/>
      <c r="F167" s="169"/>
      <c r="G167" s="170"/>
      <c r="H167" s="170"/>
      <c r="I167" s="169"/>
      <c r="J167" s="1"/>
      <c r="K167" s="169"/>
      <c r="L167" s="332">
        <v>163</v>
      </c>
      <c r="M167" s="332">
        <f>IF(L167&lt;=$C$22,$B$22,IF(L167&lt;=$C$23+$C$22,$B$23,0))</f>
      </c>
      <c r="N167" s="1"/>
      <c r="O167" s="332">
        <f>IF(Q167=12,O166-1,O166)</f>
      </c>
      <c r="P167" s="332">
        <v>163</v>
      </c>
      <c r="Q167" s="332">
        <f>IF(Q166=1,12,Q166-1)</f>
      </c>
      <c r="R167" s="169"/>
      <c r="S167" s="333">
        <f>HLOOKUP(O167,'Datos SS'!$B$4:$CZZ$16,(Q167+1),0)</f>
      </c>
      <c r="T167" s="333">
        <f>IF(O167=YEAR($B$5),($B$9/12),IF(O167&gt;MIN(YEAR($B$7),YEAR($B$5)),($B$9/12)*(1+HLOOKUP(O167,'Datos SS'!$B$31:$CZZ$32,2,0))^(O167-YEAR($B$5)),T155/(1+HLOOKUP(O167,'Datos SS'!$B$31:$CZZ$32,2,0))))</f>
      </c>
      <c r="U167" s="333">
        <f>IF(O167=2018,IF(Q167&lt;8,HLOOKUP(O167,'Datos SS'!$B$25:$BZZ$27,3,0)/12,HLOOKUP(O167,'Datos SS'!$B$25:$BZZ$26,2,0)/12),HLOOKUP(O167,'Datos SS'!$B$25:$BZZ$26,2,0)/12)</f>
      </c>
      <c r="V167" s="964">
        <f>MAX(X167,MIN(T167,U167))</f>
      </c>
      <c r="W167" s="333">
        <f>IF($E$19="NO",IF(P167&lt;=180,IF(P167&lt;25,V167,V167*$S$28/S167),0),IF(P167&gt;$B$15,0,IF(P167&lt;25,V167,V167*$S$28/S167)))</f>
      </c>
      <c r="X167" s="721">
        <f>HLOOKUP(O167,'Datos SS'!$K$37:$EP$38,2,0)</f>
      </c>
      <c r="Y167" s="331">
        <f>MAX(INT(Y166)-1,0)</f>
      </c>
      <c r="Z167" s="169"/>
      <c r="AA167" s="169"/>
      <c r="AB167" s="169"/>
      <c r="AC167" s="965">
        <v>2072.579069751653</v>
      </c>
      <c r="AD167" s="331">
        <f>+AC167-W167</f>
      </c>
      <c r="AE167" s="169"/>
      <c r="AF167" s="170"/>
      <c r="AG167" s="169"/>
      <c r="AH167" s="170"/>
      <c r="AI167" s="170"/>
      <c r="AJ167" s="1"/>
      <c r="AK167" s="1"/>
      <c r="AL167" s="170"/>
      <c r="AM167" s="170"/>
    </row>
    <row x14ac:dyDescent="0.25" r="168" customHeight="1" ht="18.75">
      <c r="A168" s="1"/>
      <c r="B168" s="170"/>
      <c r="C168" s="169"/>
      <c r="D168" s="170"/>
      <c r="E168" s="169"/>
      <c r="F168" s="169"/>
      <c r="G168" s="170"/>
      <c r="H168" s="170"/>
      <c r="I168" s="169"/>
      <c r="J168" s="1"/>
      <c r="K168" s="169"/>
      <c r="L168" s="332">
        <v>164</v>
      </c>
      <c r="M168" s="332">
        <f>IF(L168&lt;=$C$22,$B$22,IF(L168&lt;=$C$23+$C$22,$B$23,0))</f>
      </c>
      <c r="N168" s="1"/>
      <c r="O168" s="332">
        <f>IF(Q168=12,O167-1,O167)</f>
      </c>
      <c r="P168" s="332">
        <v>164</v>
      </c>
      <c r="Q168" s="332">
        <f>IF(Q167=1,12,Q167-1)</f>
      </c>
      <c r="R168" s="169"/>
      <c r="S168" s="333">
        <f>HLOOKUP(O168,'Datos SS'!$B$4:$CZZ$16,(Q168+1),0)</f>
      </c>
      <c r="T168" s="333">
        <f>IF(O168=YEAR($B$5),($B$9/12),IF(O168&gt;MIN(YEAR($B$7),YEAR($B$5)),($B$9/12)*(1+HLOOKUP(O168,'Datos SS'!$B$31:$CZZ$32,2,0))^(O168-YEAR($B$5)),T156/(1+HLOOKUP(O168,'Datos SS'!$B$31:$CZZ$32,2,0))))</f>
      </c>
      <c r="U168" s="333">
        <f>IF(O168=2018,IF(Q168&lt;8,HLOOKUP(O168,'Datos SS'!$B$25:$BZZ$27,3,0)/12,HLOOKUP(O168,'Datos SS'!$B$25:$BZZ$26,2,0)/12),HLOOKUP(O168,'Datos SS'!$B$25:$BZZ$26,2,0)/12)</f>
      </c>
      <c r="V168" s="964">
        <f>MAX(X168,MIN(T168,U168))</f>
      </c>
      <c r="W168" s="333">
        <f>IF($E$19="NO",IF(P168&lt;=180,IF(P168&lt;25,V168,V168*$S$28/S168),0),IF(P168&gt;$B$15,0,IF(P168&lt;25,V168,V168*$S$28/S168)))</f>
      </c>
      <c r="X168" s="721">
        <f>HLOOKUP(O168,'Datos SS'!$K$37:$EP$38,2,0)</f>
      </c>
      <c r="Y168" s="331">
        <f>MAX(INT(Y167)-1,0)</f>
      </c>
      <c r="Z168" s="169"/>
      <c r="AA168" s="169"/>
      <c r="AB168" s="169"/>
      <c r="AC168" s="965">
        <v>2074.2983530850083</v>
      </c>
      <c r="AD168" s="331">
        <f>+AC168-W168</f>
      </c>
      <c r="AE168" s="169"/>
      <c r="AF168" s="170"/>
      <c r="AG168" s="169"/>
      <c r="AH168" s="170"/>
      <c r="AI168" s="170"/>
      <c r="AJ168" s="1"/>
      <c r="AK168" s="1"/>
      <c r="AL168" s="170"/>
      <c r="AM168" s="170"/>
    </row>
    <row x14ac:dyDescent="0.25" r="169" customHeight="1" ht="18.75">
      <c r="A169" s="1"/>
      <c r="B169" s="170"/>
      <c r="C169" s="169"/>
      <c r="D169" s="170"/>
      <c r="E169" s="169"/>
      <c r="F169" s="169"/>
      <c r="G169" s="170"/>
      <c r="H169" s="170"/>
      <c r="I169" s="169"/>
      <c r="J169" s="1"/>
      <c r="K169" s="169"/>
      <c r="L169" s="332">
        <v>165</v>
      </c>
      <c r="M169" s="332">
        <f>IF(L169&lt;=$C$22,$B$22,IF(L169&lt;=$C$23+$C$22,$B$23,0))</f>
      </c>
      <c r="N169" s="1"/>
      <c r="O169" s="332">
        <f>IF(Q169=12,O168-1,O168)</f>
      </c>
      <c r="P169" s="332">
        <v>165</v>
      </c>
      <c r="Q169" s="332">
        <f>IF(Q168=1,12,Q168-1)</f>
      </c>
      <c r="R169" s="169"/>
      <c r="S169" s="333">
        <f>HLOOKUP(O169,'Datos SS'!$B$4:$CZZ$16,(Q169+1),0)</f>
      </c>
      <c r="T169" s="333">
        <f>IF(O169=YEAR($B$5),($B$9/12),IF(O169&gt;MIN(YEAR($B$7),YEAR($B$5)),($B$9/12)*(1+HLOOKUP(O169,'Datos SS'!$B$31:$CZZ$32,2,0))^(O169-YEAR($B$5)),T157/(1+HLOOKUP(O169,'Datos SS'!$B$31:$CZZ$32,2,0))))</f>
      </c>
      <c r="U169" s="333">
        <f>IF(O169=2018,IF(Q169&lt;8,HLOOKUP(O169,'Datos SS'!$B$25:$BZZ$27,3,0)/12,HLOOKUP(O169,'Datos SS'!$B$25:$BZZ$26,2,0)/12),HLOOKUP(O169,'Datos SS'!$B$25:$BZZ$26,2,0)/12)</f>
      </c>
      <c r="V169" s="964">
        <f>MAX(X169,MIN(T169,U169))</f>
      </c>
      <c r="W169" s="333">
        <f>IF($E$19="NO",IF(P169&lt;=180,IF(P169&lt;25,V169,V169*$S$28/S169),0),IF(P169&gt;$B$15,0,IF(P169&lt;25,V169,V169*$S$28/S169)))</f>
      </c>
      <c r="X169" s="721">
        <f>HLOOKUP(O169,'Datos SS'!$K$37:$EP$38,2,0)</f>
      </c>
      <c r="Y169" s="331">
        <f>MAX(INT(Y168)-1,0)</f>
      </c>
      <c r="Z169" s="169"/>
      <c r="AA169" s="169"/>
      <c r="AB169" s="169"/>
      <c r="AC169" s="965">
        <v>2076.019062629418</v>
      </c>
      <c r="AD169" s="331">
        <f>+AC169-W169</f>
      </c>
      <c r="AE169" s="169"/>
      <c r="AF169" s="170"/>
      <c r="AG169" s="169"/>
      <c r="AH169" s="170"/>
      <c r="AI169" s="170"/>
      <c r="AJ169" s="1"/>
      <c r="AK169" s="1"/>
      <c r="AL169" s="170"/>
      <c r="AM169" s="170"/>
    </row>
    <row x14ac:dyDescent="0.25" r="170" customHeight="1" ht="18.75">
      <c r="A170" s="1"/>
      <c r="B170" s="170"/>
      <c r="C170" s="169"/>
      <c r="D170" s="170"/>
      <c r="E170" s="169"/>
      <c r="F170" s="169"/>
      <c r="G170" s="170"/>
      <c r="H170" s="170"/>
      <c r="I170" s="169"/>
      <c r="J170" s="1"/>
      <c r="K170" s="169"/>
      <c r="L170" s="332">
        <v>166</v>
      </c>
      <c r="M170" s="332">
        <f>IF(L170&lt;=$C$22,$B$22,IF(L170&lt;=$C$23+$C$22,$B$23,0))</f>
      </c>
      <c r="N170" s="1"/>
      <c r="O170" s="332">
        <f>IF(Q170=12,O169-1,O169)</f>
      </c>
      <c r="P170" s="332">
        <v>166</v>
      </c>
      <c r="Q170" s="332">
        <f>IF(Q169=1,12,Q169-1)</f>
      </c>
      <c r="R170" s="169"/>
      <c r="S170" s="333">
        <f>HLOOKUP(O170,'Datos SS'!$B$4:$CZZ$16,(Q170+1),0)</f>
      </c>
      <c r="T170" s="333">
        <f>IF(O170=YEAR($B$5),($B$9/12),IF(O170&gt;MIN(YEAR($B$7),YEAR($B$5)),($B$9/12)*(1+HLOOKUP(O170,'Datos SS'!$B$31:$CZZ$32,2,0))^(O170-YEAR($B$5)),T158/(1+HLOOKUP(O170,'Datos SS'!$B$31:$CZZ$32,2,0))))</f>
      </c>
      <c r="U170" s="333">
        <f>IF(O170=2018,IF(Q170&lt;8,HLOOKUP(O170,'Datos SS'!$B$25:$BZZ$27,3,0)/12,HLOOKUP(O170,'Datos SS'!$B$25:$BZZ$26,2,0)/12),HLOOKUP(O170,'Datos SS'!$B$25:$BZZ$26,2,0)/12)</f>
      </c>
      <c r="V170" s="964">
        <f>MAX(X170,MIN(T170,U170))</f>
      </c>
      <c r="W170" s="333">
        <f>IF($E$19="NO",IF(P170&lt;=180,IF(P170&lt;25,V170,V170*$S$28/S170),0),IF(P170&gt;$B$15,0,IF(P170&lt;25,V170,V170*$S$28/S170)))</f>
      </c>
      <c r="X170" s="721">
        <f>HLOOKUP(O170,'Datos SS'!$K$37:$EP$38,2,0)</f>
      </c>
      <c r="Y170" s="331">
        <f>MAX(INT(Y169)-1,0)</f>
      </c>
      <c r="Z170" s="169"/>
      <c r="AA170" s="169"/>
      <c r="AB170" s="169"/>
      <c r="AC170" s="965">
        <v>2047.0356645989934</v>
      </c>
      <c r="AD170" s="331">
        <f>+AC170-W170</f>
      </c>
      <c r="AE170" s="169"/>
      <c r="AF170" s="170"/>
      <c r="AG170" s="169"/>
      <c r="AH170" s="170"/>
      <c r="AI170" s="170"/>
      <c r="AJ170" s="1"/>
      <c r="AK170" s="1"/>
      <c r="AL170" s="170"/>
      <c r="AM170" s="170"/>
    </row>
    <row x14ac:dyDescent="0.25" r="171" customHeight="1" ht="18.75">
      <c r="A171" s="1"/>
      <c r="B171" s="170"/>
      <c r="C171" s="169"/>
      <c r="D171" s="170"/>
      <c r="E171" s="169"/>
      <c r="F171" s="169"/>
      <c r="G171" s="170"/>
      <c r="H171" s="170"/>
      <c r="I171" s="169"/>
      <c r="J171" s="1"/>
      <c r="K171" s="169"/>
      <c r="L171" s="332">
        <v>167</v>
      </c>
      <c r="M171" s="332">
        <f>IF(L171&lt;=$C$22,$B$22,IF(L171&lt;=$C$23+$C$22,$B$23,0))</f>
      </c>
      <c r="N171" s="1"/>
      <c r="O171" s="332">
        <f>IF(Q171=12,O170-1,O170)</f>
      </c>
      <c r="P171" s="332">
        <v>167</v>
      </c>
      <c r="Q171" s="332">
        <f>IF(Q170=1,12,Q170-1)</f>
      </c>
      <c r="R171" s="169"/>
      <c r="S171" s="333">
        <f>HLOOKUP(O171,'Datos SS'!$B$4:$CZZ$16,(Q171+1),0)</f>
      </c>
      <c r="T171" s="333">
        <f>IF(O171=YEAR($B$5),($B$9/12),IF(O171&gt;MIN(YEAR($B$7),YEAR($B$5)),($B$9/12)*(1+HLOOKUP(O171,'Datos SS'!$B$31:$CZZ$32,2,0))^(O171-YEAR($B$5)),T159/(1+HLOOKUP(O171,'Datos SS'!$B$31:$CZZ$32,2,0))))</f>
      </c>
      <c r="U171" s="333">
        <f>IF(O171=2018,IF(Q171&lt;8,HLOOKUP(O171,'Datos SS'!$B$25:$BZZ$27,3,0)/12,HLOOKUP(O171,'Datos SS'!$B$25:$BZZ$26,2,0)/12),HLOOKUP(O171,'Datos SS'!$B$25:$BZZ$26,2,0)/12)</f>
      </c>
      <c r="V171" s="964">
        <f>MAX(X171,MIN(T171,U171))</f>
      </c>
      <c r="W171" s="333">
        <f>IF($E$19="NO",IF(P171&lt;=180,IF(P171&lt;25,V171,V171*$S$28/S171),0),IF(P171&gt;$B$15,0,IF(P171&lt;25,V171,V171*$S$28/S171)))</f>
      </c>
      <c r="X171" s="721">
        <f>HLOOKUP(O171,'Datos SS'!$K$37:$EP$38,2,0)</f>
      </c>
      <c r="Y171" s="331">
        <f>MAX(INT(Y170)-1,0)</f>
      </c>
      <c r="Z171" s="169"/>
      <c r="AA171" s="169"/>
      <c r="AB171" s="169"/>
      <c r="AC171" s="965">
        <v>2048.7337587042043</v>
      </c>
      <c r="AD171" s="331">
        <f>+AC171-W171</f>
      </c>
      <c r="AE171" s="169"/>
      <c r="AF171" s="170"/>
      <c r="AG171" s="169"/>
      <c r="AH171" s="170"/>
      <c r="AI171" s="170"/>
      <c r="AJ171" s="1"/>
      <c r="AK171" s="1"/>
      <c r="AL171" s="170"/>
      <c r="AM171" s="170"/>
    </row>
    <row x14ac:dyDescent="0.25" r="172" customHeight="1" ht="18.75">
      <c r="A172" s="1"/>
      <c r="B172" s="170"/>
      <c r="C172" s="169"/>
      <c r="D172" s="170"/>
      <c r="E172" s="169"/>
      <c r="F172" s="169"/>
      <c r="G172" s="170"/>
      <c r="H172" s="170"/>
      <c r="I172" s="169"/>
      <c r="J172" s="1"/>
      <c r="K172" s="169"/>
      <c r="L172" s="332">
        <v>168</v>
      </c>
      <c r="M172" s="332">
        <f>IF(L172&lt;=$C$22,$B$22,IF(L172&lt;=$C$23+$C$22,$B$23,0))</f>
      </c>
      <c r="N172" s="1"/>
      <c r="O172" s="332">
        <f>IF(Q172=12,O171-1,O171)</f>
      </c>
      <c r="P172" s="332">
        <v>168</v>
      </c>
      <c r="Q172" s="332">
        <f>IF(Q171=1,12,Q171-1)</f>
      </c>
      <c r="R172" s="169"/>
      <c r="S172" s="333">
        <f>HLOOKUP(O172,'Datos SS'!$B$4:$CZZ$16,(Q172+1),0)</f>
      </c>
      <c r="T172" s="333">
        <f>IF(O172=YEAR($B$5),($B$9/12),IF(O172&gt;MIN(YEAR($B$7),YEAR($B$5)),($B$9/12)*(1+HLOOKUP(O172,'Datos SS'!$B$31:$CZZ$32,2,0))^(O172-YEAR($B$5)),T160/(1+HLOOKUP(O172,'Datos SS'!$B$31:$CZZ$32,2,0))))</f>
      </c>
      <c r="U172" s="333">
        <f>IF(O172=2018,IF(Q172&lt;8,HLOOKUP(O172,'Datos SS'!$B$25:$BZZ$27,3,0)/12,HLOOKUP(O172,'Datos SS'!$B$25:$BZZ$26,2,0)/12),HLOOKUP(O172,'Datos SS'!$B$25:$BZZ$26,2,0)/12)</f>
      </c>
      <c r="V172" s="964">
        <f>MAX(X172,MIN(T172,U172))</f>
      </c>
      <c r="W172" s="333">
        <f>IF($E$19="NO",IF(P172&lt;=180,IF(P172&lt;25,V172,V172*$S$28/S172),0),IF(P172&gt;$B$15,0,IF(P172&lt;25,V172,V172*$S$28/S172)))</f>
      </c>
      <c r="X172" s="721">
        <f>HLOOKUP(O172,'Datos SS'!$K$37:$EP$38,2,0)</f>
      </c>
      <c r="Y172" s="331">
        <f>MAX(INT(Y171)-1,0)</f>
      </c>
      <c r="Z172" s="169"/>
      <c r="AA172" s="169"/>
      <c r="AB172" s="169"/>
      <c r="AC172" s="965">
        <v>2050.433261443197</v>
      </c>
      <c r="AD172" s="331">
        <f>+AC172-W172</f>
      </c>
      <c r="AE172" s="169"/>
      <c r="AF172" s="170"/>
      <c r="AG172" s="169"/>
      <c r="AH172" s="170"/>
      <c r="AI172" s="170"/>
      <c r="AJ172" s="1"/>
      <c r="AK172" s="1"/>
      <c r="AL172" s="170"/>
      <c r="AM172" s="170"/>
    </row>
    <row x14ac:dyDescent="0.25" r="173" customHeight="1" ht="18.75">
      <c r="A173" s="1"/>
      <c r="B173" s="170"/>
      <c r="C173" s="169"/>
      <c r="D173" s="170"/>
      <c r="E173" s="169"/>
      <c r="F173" s="169"/>
      <c r="G173" s="170"/>
      <c r="H173" s="170"/>
      <c r="I173" s="169"/>
      <c r="J173" s="1"/>
      <c r="K173" s="169"/>
      <c r="L173" s="332">
        <v>169</v>
      </c>
      <c r="M173" s="332">
        <f>IF(L173&lt;=$C$22,$B$22,IF(L173&lt;=$C$23+$C$22,$B$23,0))</f>
      </c>
      <c r="N173" s="1"/>
      <c r="O173" s="332">
        <f>IF(Q173=12,O172-1,O172)</f>
      </c>
      <c r="P173" s="332">
        <v>169</v>
      </c>
      <c r="Q173" s="332">
        <f>IF(Q172=1,12,Q172-1)</f>
      </c>
      <c r="R173" s="169"/>
      <c r="S173" s="333">
        <f>HLOOKUP(O173,'Datos SS'!$B$4:$CZZ$16,(Q173+1),0)</f>
      </c>
      <c r="T173" s="333">
        <f>IF(O173=YEAR($B$5),($B$9/12),IF(O173&gt;MIN(YEAR($B$7),YEAR($B$5)),($B$9/12)*(1+HLOOKUP(O173,'Datos SS'!$B$31:$CZZ$32,2,0))^(O173-YEAR($B$5)),T161/(1+HLOOKUP(O173,'Datos SS'!$B$31:$CZZ$32,2,0))))</f>
      </c>
      <c r="U173" s="333">
        <f>IF(O173=2018,IF(Q173&lt;8,HLOOKUP(O173,'Datos SS'!$B$25:$BZZ$27,3,0)/12,HLOOKUP(O173,'Datos SS'!$B$25:$BZZ$26,2,0)/12),HLOOKUP(O173,'Datos SS'!$B$25:$BZZ$26,2,0)/12)</f>
      </c>
      <c r="V173" s="964">
        <f>MAX(X173,MIN(T173,U173))</f>
      </c>
      <c r="W173" s="333">
        <f>IF($E$19="NO",IF(P173&lt;=180,IF(P173&lt;25,V173,V173*$S$28/S173),0),IF(P173&gt;$B$15,0,IF(P173&lt;25,V173,V173*$S$28/S173)))</f>
      </c>
      <c r="X173" s="721">
        <f>HLOOKUP(O173,'Datos SS'!$K$37:$EP$38,2,0)</f>
      </c>
      <c r="Y173" s="331">
        <f>MAX(INT(Y172)-1,0)</f>
      </c>
      <c r="Z173" s="169"/>
      <c r="AA173" s="169"/>
      <c r="AB173" s="169"/>
      <c r="AC173" s="965">
        <v>2052.1341739844875</v>
      </c>
      <c r="AD173" s="331">
        <f>+AC173-W173</f>
      </c>
      <c r="AE173" s="169"/>
      <c r="AF173" s="170"/>
      <c r="AG173" s="169"/>
      <c r="AH173" s="170"/>
      <c r="AI173" s="170"/>
      <c r="AJ173" s="1"/>
      <c r="AK173" s="1"/>
      <c r="AL173" s="170"/>
      <c r="AM173" s="170"/>
    </row>
    <row x14ac:dyDescent="0.25" r="174" customHeight="1" ht="18.75">
      <c r="A174" s="1"/>
      <c r="B174" s="170"/>
      <c r="C174" s="169"/>
      <c r="D174" s="170"/>
      <c r="E174" s="169"/>
      <c r="F174" s="169"/>
      <c r="G174" s="170"/>
      <c r="H174" s="170"/>
      <c r="I174" s="169"/>
      <c r="J174" s="1"/>
      <c r="K174" s="169"/>
      <c r="L174" s="332">
        <v>170</v>
      </c>
      <c r="M174" s="332">
        <f>IF(L174&lt;=$C$22,$B$22,IF(L174&lt;=$C$23+$C$22,$B$23,0))</f>
      </c>
      <c r="N174" s="1"/>
      <c r="O174" s="332">
        <f>IF(Q174=12,O173-1,O173)</f>
      </c>
      <c r="P174" s="332">
        <v>170</v>
      </c>
      <c r="Q174" s="332">
        <f>IF(Q173=1,12,Q173-1)</f>
      </c>
      <c r="R174" s="169"/>
      <c r="S174" s="333">
        <f>HLOOKUP(O174,'Datos SS'!$B$4:$CZZ$16,(Q174+1),0)</f>
      </c>
      <c r="T174" s="333">
        <f>IF(O174=YEAR($B$5),($B$9/12),IF(O174&gt;MIN(YEAR($B$7),YEAR($B$5)),($B$9/12)*(1+HLOOKUP(O174,'Datos SS'!$B$31:$CZZ$32,2,0))^(O174-YEAR($B$5)),T162/(1+HLOOKUP(O174,'Datos SS'!$B$31:$CZZ$32,2,0))))</f>
      </c>
      <c r="U174" s="333">
        <f>IF(O174=2018,IF(Q174&lt;8,HLOOKUP(O174,'Datos SS'!$B$25:$BZZ$27,3,0)/12,HLOOKUP(O174,'Datos SS'!$B$25:$BZZ$26,2,0)/12),HLOOKUP(O174,'Datos SS'!$B$25:$BZZ$26,2,0)/12)</f>
      </c>
      <c r="V174" s="964">
        <f>MAX(X174,MIN(T174,U174))</f>
      </c>
      <c r="W174" s="333">
        <f>IF($E$19="NO",IF(P174&lt;=180,IF(P174&lt;25,V174,V174*$S$28/S174),0),IF(P174&gt;$B$15,0,IF(P174&lt;25,V174,V174*$S$28/S174)))</f>
      </c>
      <c r="X174" s="721">
        <f>HLOOKUP(O174,'Datos SS'!$K$37:$EP$38,2,0)</f>
      </c>
      <c r="Y174" s="331">
        <f>MAX(INT(Y173)-1,0)</f>
      </c>
      <c r="Z174" s="169"/>
      <c r="AA174" s="169"/>
      <c r="AB174" s="169"/>
      <c r="AC174" s="965">
        <v>2053.8364974975593</v>
      </c>
      <c r="AD174" s="331">
        <f>+AC174-W174</f>
      </c>
      <c r="AE174" s="169"/>
      <c r="AF174" s="170"/>
      <c r="AG174" s="169"/>
      <c r="AH174" s="170"/>
      <c r="AI174" s="170"/>
      <c r="AJ174" s="1"/>
      <c r="AK174" s="1"/>
      <c r="AL174" s="170"/>
      <c r="AM174" s="170"/>
    </row>
    <row x14ac:dyDescent="0.25" r="175" customHeight="1" ht="18.75">
      <c r="A175" s="1"/>
      <c r="B175" s="170"/>
      <c r="C175" s="169"/>
      <c r="D175" s="170"/>
      <c r="E175" s="169"/>
      <c r="F175" s="169"/>
      <c r="G175" s="170"/>
      <c r="H175" s="170"/>
      <c r="I175" s="169"/>
      <c r="J175" s="1"/>
      <c r="K175" s="169"/>
      <c r="L175" s="332">
        <v>171</v>
      </c>
      <c r="M175" s="332">
        <f>IF(L175&lt;=$C$22,$B$22,IF(L175&lt;=$C$23+$C$22,$B$23,0))</f>
      </c>
      <c r="N175" s="1"/>
      <c r="O175" s="332">
        <f>IF(Q175=12,O174-1,O174)</f>
      </c>
      <c r="P175" s="332">
        <v>171</v>
      </c>
      <c r="Q175" s="332">
        <f>IF(Q174=1,12,Q174-1)</f>
      </c>
      <c r="R175" s="169"/>
      <c r="S175" s="333">
        <f>HLOOKUP(O175,'Datos SS'!$B$4:$CZZ$16,(Q175+1),0)</f>
      </c>
      <c r="T175" s="333">
        <f>IF(O175=YEAR($B$5),($B$9/12),IF(O175&gt;MIN(YEAR($B$7),YEAR($B$5)),($B$9/12)*(1+HLOOKUP(O175,'Datos SS'!$B$31:$CZZ$32,2,0))^(O175-YEAR($B$5)),T163/(1+HLOOKUP(O175,'Datos SS'!$B$31:$CZZ$32,2,0))))</f>
      </c>
      <c r="U175" s="333">
        <f>IF(O175=2018,IF(Q175&lt;8,HLOOKUP(O175,'Datos SS'!$B$25:$BZZ$27,3,0)/12,HLOOKUP(O175,'Datos SS'!$B$25:$BZZ$26,2,0)/12),HLOOKUP(O175,'Datos SS'!$B$25:$BZZ$26,2,0)/12)</f>
      </c>
      <c r="V175" s="964">
        <f>MAX(X175,MIN(T175,U175))</f>
      </c>
      <c r="W175" s="333">
        <f>IF($E$19="NO",IF(P175&lt;=180,IF(P175&lt;25,V175,V175*$S$28/S175),0),IF(P175&gt;$B$15,0,IF(P175&lt;25,V175,V175*$S$28/S175)))</f>
      </c>
      <c r="X175" s="721">
        <f>HLOOKUP(O175,'Datos SS'!$K$37:$EP$38,2,0)</f>
      </c>
      <c r="Y175" s="331">
        <f>MAX(INT(Y174)-1,0)</f>
      </c>
      <c r="Z175" s="169"/>
      <c r="AA175" s="169"/>
      <c r="AB175" s="169"/>
      <c r="AC175" s="965">
        <v>2055.540233152869</v>
      </c>
      <c r="AD175" s="331">
        <f>+AC175-W175</f>
      </c>
      <c r="AE175" s="169"/>
      <c r="AF175" s="170"/>
      <c r="AG175" s="169"/>
      <c r="AH175" s="170"/>
      <c r="AI175" s="170"/>
      <c r="AJ175" s="1"/>
      <c r="AK175" s="1"/>
      <c r="AL175" s="170"/>
      <c r="AM175" s="170"/>
    </row>
    <row x14ac:dyDescent="0.25" r="176" customHeight="1" ht="18.75">
      <c r="A176" s="1"/>
      <c r="B176" s="170"/>
      <c r="C176" s="169"/>
      <c r="D176" s="170"/>
      <c r="E176" s="169"/>
      <c r="F176" s="169"/>
      <c r="G176" s="170"/>
      <c r="H176" s="170"/>
      <c r="I176" s="169"/>
      <c r="J176" s="1"/>
      <c r="K176" s="169"/>
      <c r="L176" s="332">
        <v>172</v>
      </c>
      <c r="M176" s="332">
        <f>IF(L176&lt;=$C$22,$B$22,IF(L176&lt;=$C$23+$C$22,$B$23,0))</f>
      </c>
      <c r="N176" s="1"/>
      <c r="O176" s="332">
        <f>IF(Q176=12,O175-1,O175)</f>
      </c>
      <c r="P176" s="332">
        <v>172</v>
      </c>
      <c r="Q176" s="332">
        <f>IF(Q175=1,12,Q175-1)</f>
      </c>
      <c r="R176" s="169"/>
      <c r="S176" s="333">
        <f>HLOOKUP(O176,'Datos SS'!$B$4:$CZZ$16,(Q176+1),0)</f>
      </c>
      <c r="T176" s="333">
        <f>IF(O176=YEAR($B$5),($B$9/12),IF(O176&gt;MIN(YEAR($B$7),YEAR($B$5)),($B$9/12)*(1+HLOOKUP(O176,'Datos SS'!$B$31:$CZZ$32,2,0))^(O176-YEAR($B$5)),T164/(1+HLOOKUP(O176,'Datos SS'!$B$31:$CZZ$32,2,0))))</f>
      </c>
      <c r="U176" s="333">
        <f>IF(O176=2018,IF(Q176&lt;8,HLOOKUP(O176,'Datos SS'!$B$25:$BZZ$27,3,0)/12,HLOOKUP(O176,'Datos SS'!$B$25:$BZZ$26,2,0)/12),HLOOKUP(O176,'Datos SS'!$B$25:$BZZ$26,2,0)/12)</f>
      </c>
      <c r="V176" s="964">
        <f>MAX(X176,MIN(T176,U176))</f>
      </c>
      <c r="W176" s="333">
        <f>IF($E$19="NO",IF(P176&lt;=180,IF(P176&lt;25,V176,V176*$S$28/S176),0),IF(P176&gt;$B$15,0,IF(P176&lt;25,V176,V176*$S$28/S176)))</f>
      </c>
      <c r="X176" s="721">
        <f>HLOOKUP(O176,'Datos SS'!$K$37:$EP$38,2,0)</f>
      </c>
      <c r="Y176" s="331">
        <f>MAX(INT(Y175)-1,0)</f>
      </c>
      <c r="Z176" s="169"/>
      <c r="AA176" s="169"/>
      <c r="AB176" s="169"/>
      <c r="AC176" s="965">
        <v>2057.245382121841</v>
      </c>
      <c r="AD176" s="331">
        <f>+AC176-W176</f>
      </c>
      <c r="AE176" s="169"/>
      <c r="AF176" s="170"/>
      <c r="AG176" s="169"/>
      <c r="AH176" s="170"/>
      <c r="AI176" s="170"/>
      <c r="AJ176" s="1"/>
      <c r="AK176" s="1"/>
      <c r="AL176" s="170"/>
      <c r="AM176" s="170"/>
    </row>
    <row x14ac:dyDescent="0.25" r="177" customHeight="1" ht="18.75">
      <c r="A177" s="1"/>
      <c r="B177" s="170"/>
      <c r="C177" s="169"/>
      <c r="D177" s="170"/>
      <c r="E177" s="169"/>
      <c r="F177" s="169"/>
      <c r="G177" s="170"/>
      <c r="H177" s="170"/>
      <c r="I177" s="169"/>
      <c r="J177" s="1"/>
      <c r="K177" s="169"/>
      <c r="L177" s="332">
        <v>173</v>
      </c>
      <c r="M177" s="332">
        <f>IF(L177&lt;=$C$22,$B$22,IF(L177&lt;=$C$23+$C$22,$B$23,0))</f>
      </c>
      <c r="N177" s="1"/>
      <c r="O177" s="332">
        <f>IF(Q177=12,O176-1,O176)</f>
      </c>
      <c r="P177" s="332">
        <v>173</v>
      </c>
      <c r="Q177" s="332">
        <f>IF(Q176=1,12,Q176-1)</f>
      </c>
      <c r="R177" s="169"/>
      <c r="S177" s="333">
        <f>HLOOKUP(O177,'Datos SS'!$B$4:$CZZ$16,(Q177+1),0)</f>
      </c>
      <c r="T177" s="333">
        <f>IF(O177=YEAR($B$5),($B$9/12),IF(O177&gt;MIN(YEAR($B$7),YEAR($B$5)),($B$9/12)*(1+HLOOKUP(O177,'Datos SS'!$B$31:$CZZ$32,2,0))^(O177-YEAR($B$5)),T165/(1+HLOOKUP(O177,'Datos SS'!$B$31:$CZZ$32,2,0))))</f>
      </c>
      <c r="U177" s="333">
        <f>IF(O177=2018,IF(Q177&lt;8,HLOOKUP(O177,'Datos SS'!$B$25:$BZZ$27,3,0)/12,HLOOKUP(O177,'Datos SS'!$B$25:$BZZ$26,2,0)/12),HLOOKUP(O177,'Datos SS'!$B$25:$BZZ$26,2,0)/12)</f>
      </c>
      <c r="V177" s="964">
        <f>MAX(X177,MIN(T177,U177))</f>
      </c>
      <c r="W177" s="333">
        <f>IF($E$19="NO",IF(P177&lt;=180,IF(P177&lt;25,V177,V177*$S$28/S177),0),IF(P177&gt;$B$15,0,IF(P177&lt;25,V177,V177*$S$28/S177)))</f>
      </c>
      <c r="X177" s="721">
        <f>HLOOKUP(O177,'Datos SS'!$K$37:$EP$38,2,0)</f>
      </c>
      <c r="Y177" s="331">
        <f>MAX(INT(Y176)-1,0)</f>
      </c>
      <c r="Z177" s="169"/>
      <c r="AA177" s="169"/>
      <c r="AB177" s="169"/>
      <c r="AC177" s="965">
        <v>2058.951945576874</v>
      </c>
      <c r="AD177" s="331">
        <f>+AC177-W177</f>
      </c>
      <c r="AE177" s="169"/>
      <c r="AF177" s="170"/>
      <c r="AG177" s="169"/>
      <c r="AH177" s="170"/>
      <c r="AI177" s="170"/>
      <c r="AJ177" s="1"/>
      <c r="AK177" s="1"/>
      <c r="AL177" s="170"/>
      <c r="AM177" s="170"/>
    </row>
    <row x14ac:dyDescent="0.25" r="178" customHeight="1" ht="18.75">
      <c r="A178" s="1"/>
      <c r="B178" s="170"/>
      <c r="C178" s="169"/>
      <c r="D178" s="170"/>
      <c r="E178" s="169"/>
      <c r="F178" s="169"/>
      <c r="G178" s="170"/>
      <c r="H178" s="170"/>
      <c r="I178" s="169"/>
      <c r="J178" s="1"/>
      <c r="K178" s="169"/>
      <c r="L178" s="332">
        <v>174</v>
      </c>
      <c r="M178" s="332">
        <f>IF(L178&lt;=$C$22,$B$22,IF(L178&lt;=$C$23+$C$22,$B$23,0))</f>
      </c>
      <c r="N178" s="1"/>
      <c r="O178" s="332">
        <f>IF(Q178=12,O177-1,O177)</f>
      </c>
      <c r="P178" s="332">
        <v>174</v>
      </c>
      <c r="Q178" s="332">
        <f>IF(Q177=1,12,Q177-1)</f>
      </c>
      <c r="R178" s="169"/>
      <c r="S178" s="333">
        <f>HLOOKUP(O178,'Datos SS'!$B$4:$CZZ$16,(Q178+1),0)</f>
      </c>
      <c r="T178" s="333">
        <f>IF(O178=YEAR($B$5),($B$9/12),IF(O178&gt;MIN(YEAR($B$7),YEAR($B$5)),($B$9/12)*(1+HLOOKUP(O178,'Datos SS'!$B$31:$CZZ$32,2,0))^(O178-YEAR($B$5)),T166/(1+HLOOKUP(O178,'Datos SS'!$B$31:$CZZ$32,2,0))))</f>
      </c>
      <c r="U178" s="333">
        <f>IF(O178=2018,IF(Q178&lt;8,HLOOKUP(O178,'Datos SS'!$B$25:$BZZ$27,3,0)/12,HLOOKUP(O178,'Datos SS'!$B$25:$BZZ$26,2,0)/12),HLOOKUP(O178,'Datos SS'!$B$25:$BZZ$26,2,0)/12)</f>
      </c>
      <c r="V178" s="964">
        <f>MAX(X178,MIN(T178,U178))</f>
      </c>
      <c r="W178" s="333">
        <f>IF($E$19="NO",IF(P178&lt;=180,IF(P178&lt;25,V178,V178*$S$28/S178),0),IF(P178&gt;$B$15,0,IF(P178&lt;25,V178,V178*$S$28/S178)))</f>
      </c>
      <c r="X178" s="721">
        <f>HLOOKUP(O178,'Datos SS'!$K$37:$EP$38,2,0)</f>
      </c>
      <c r="Y178" s="331">
        <f>MAX(INT(Y177)-1,0)</f>
      </c>
      <c r="Z178" s="169"/>
      <c r="AA178" s="169"/>
      <c r="AB178" s="169"/>
      <c r="AC178" s="965">
        <v>2060.659924691337</v>
      </c>
      <c r="AD178" s="331">
        <f>+AC178-W178</f>
      </c>
      <c r="AE178" s="169"/>
      <c r="AF178" s="170"/>
      <c r="AG178" s="169"/>
      <c r="AH178" s="170"/>
      <c r="AI178" s="170"/>
      <c r="AJ178" s="1"/>
      <c r="AK178" s="1"/>
      <c r="AL178" s="170"/>
      <c r="AM178" s="170"/>
    </row>
    <row x14ac:dyDescent="0.25" r="179" customHeight="1" ht="18.75">
      <c r="A179" s="1"/>
      <c r="B179" s="170"/>
      <c r="C179" s="169"/>
      <c r="D179" s="170"/>
      <c r="E179" s="169"/>
      <c r="F179" s="169"/>
      <c r="G179" s="170"/>
      <c r="H179" s="170"/>
      <c r="I179" s="169"/>
      <c r="J179" s="1"/>
      <c r="K179" s="169"/>
      <c r="L179" s="332">
        <v>175</v>
      </c>
      <c r="M179" s="332">
        <f>IF(L179&lt;=$C$22,$B$22,IF(L179&lt;=$C$23+$C$22,$B$23,0))</f>
      </c>
      <c r="N179" s="1"/>
      <c r="O179" s="332">
        <f>IF(Q179=12,O178-1,O178)</f>
      </c>
      <c r="P179" s="332">
        <v>175</v>
      </c>
      <c r="Q179" s="332">
        <f>IF(Q178=1,12,Q178-1)</f>
      </c>
      <c r="R179" s="169"/>
      <c r="S179" s="333">
        <f>HLOOKUP(O179,'Datos SS'!$B$4:$CZZ$16,(Q179+1),0)</f>
      </c>
      <c r="T179" s="333">
        <f>IF(O179=YEAR($B$5),($B$9/12),IF(O179&gt;MIN(YEAR($B$7),YEAR($B$5)),($B$9/12)*(1+HLOOKUP(O179,'Datos SS'!$B$31:$CZZ$32,2,0))^(O179-YEAR($B$5)),T167/(1+HLOOKUP(O179,'Datos SS'!$B$31:$CZZ$32,2,0))))</f>
      </c>
      <c r="U179" s="333">
        <f>IF(O179=2018,IF(Q179&lt;8,HLOOKUP(O179,'Datos SS'!$B$25:$BZZ$27,3,0)/12,HLOOKUP(O179,'Datos SS'!$B$25:$BZZ$26,2,0)/12),HLOOKUP(O179,'Datos SS'!$B$25:$BZZ$26,2,0)/12)</f>
      </c>
      <c r="V179" s="964">
        <f>MAX(X179,MIN(T179,U179))</f>
      </c>
      <c r="W179" s="333">
        <f>IF($E$19="NO",IF(P179&lt;=180,IF(P179&lt;25,V179,V179*$S$28/S179),0),IF(P179&gt;$B$15,0,IF(P179&lt;25,V179,V179*$S$28/S179)))</f>
      </c>
      <c r="X179" s="721">
        <f>HLOOKUP(O179,'Datos SS'!$K$37:$EP$38,2,0)</f>
      </c>
      <c r="Y179" s="331">
        <f>MAX(INT(Y178)-1,0)</f>
      </c>
      <c r="Z179" s="169"/>
      <c r="AA179" s="169"/>
      <c r="AB179" s="169"/>
      <c r="AC179" s="965">
        <v>2062.369320639574</v>
      </c>
      <c r="AD179" s="331">
        <f>+AC179-W179</f>
      </c>
      <c r="AE179" s="169"/>
      <c r="AF179" s="170"/>
      <c r="AG179" s="169"/>
      <c r="AH179" s="170"/>
      <c r="AI179" s="170"/>
      <c r="AJ179" s="1"/>
      <c r="AK179" s="1"/>
      <c r="AL179" s="170"/>
      <c r="AM179" s="170"/>
    </row>
    <row x14ac:dyDescent="0.25" r="180" customHeight="1" ht="18.75">
      <c r="A180" s="1"/>
      <c r="B180" s="170"/>
      <c r="C180" s="169"/>
      <c r="D180" s="170"/>
      <c r="E180" s="169"/>
      <c r="F180" s="169"/>
      <c r="G180" s="170"/>
      <c r="H180" s="170"/>
      <c r="I180" s="169"/>
      <c r="J180" s="1"/>
      <c r="K180" s="169"/>
      <c r="L180" s="332">
        <v>176</v>
      </c>
      <c r="M180" s="332">
        <f>IF(L180&lt;=$C$22,$B$22,IF(L180&lt;=$C$23+$C$22,$B$23,0))</f>
      </c>
      <c r="N180" s="1"/>
      <c r="O180" s="332">
        <f>IF(Q180=12,O179-1,O179)</f>
      </c>
      <c r="P180" s="332">
        <v>176</v>
      </c>
      <c r="Q180" s="332">
        <f>IF(Q179=1,12,Q179-1)</f>
      </c>
      <c r="R180" s="169"/>
      <c r="S180" s="333">
        <f>HLOOKUP(O180,'Datos SS'!$B$4:$CZZ$16,(Q180+1),0)</f>
      </c>
      <c r="T180" s="333">
        <f>IF(O180=YEAR($B$5),($B$9/12),IF(O180&gt;MIN(YEAR($B$7),YEAR($B$5)),($B$9/12)*(1+HLOOKUP(O180,'Datos SS'!$B$31:$CZZ$32,2,0))^(O180-YEAR($B$5)),T168/(1+HLOOKUP(O180,'Datos SS'!$B$31:$CZZ$32,2,0))))</f>
      </c>
      <c r="U180" s="333">
        <f>IF(O180=2018,IF(Q180&lt;8,HLOOKUP(O180,'Datos SS'!$B$25:$BZZ$27,3,0)/12,HLOOKUP(O180,'Datos SS'!$B$25:$BZZ$26,2,0)/12),HLOOKUP(O180,'Datos SS'!$B$25:$BZZ$26,2,0)/12)</f>
      </c>
      <c r="V180" s="964">
        <f>MAX(X180,MIN(T180,U180))</f>
      </c>
      <c r="W180" s="333">
        <f>IF($E$19="NO",IF(P180&lt;=180,IF(P180&lt;25,V180,V180*$S$28/S180),0),IF(P180&gt;$B$15,0,IF(P180&lt;25,V180,V180*$S$28/S180)))</f>
      </c>
      <c r="X180" s="721">
        <f>HLOOKUP(O180,'Datos SS'!$K$37:$EP$38,2,0)</f>
      </c>
      <c r="Y180" s="331">
        <f>MAX(INT(Y179)-1,0)</f>
      </c>
      <c r="Z180" s="169"/>
      <c r="AA180" s="169"/>
      <c r="AB180" s="169"/>
      <c r="AC180" s="965">
        <v>2064.0801345969026</v>
      </c>
      <c r="AD180" s="331">
        <f>+AC180-W180</f>
      </c>
      <c r="AE180" s="169"/>
      <c r="AF180" s="170"/>
      <c r="AG180" s="169"/>
      <c r="AH180" s="170"/>
      <c r="AI180" s="170"/>
      <c r="AJ180" s="1"/>
      <c r="AK180" s="1"/>
      <c r="AL180" s="170"/>
      <c r="AM180" s="170"/>
    </row>
    <row x14ac:dyDescent="0.25" r="181" customHeight="1" ht="18.75">
      <c r="A181" s="1"/>
      <c r="B181" s="170"/>
      <c r="C181" s="169"/>
      <c r="D181" s="170"/>
      <c r="E181" s="169"/>
      <c r="F181" s="169"/>
      <c r="G181" s="170"/>
      <c r="H181" s="170"/>
      <c r="I181" s="169"/>
      <c r="J181" s="1"/>
      <c r="K181" s="169"/>
      <c r="L181" s="332">
        <v>177</v>
      </c>
      <c r="M181" s="332">
        <f>IF(L181&lt;=$C$22,$B$22,IF(L181&lt;=$C$23+$C$22,$B$23,0))</f>
      </c>
      <c r="N181" s="1"/>
      <c r="O181" s="332">
        <f>IF(Q181=12,O180-1,O180)</f>
      </c>
      <c r="P181" s="332">
        <v>177</v>
      </c>
      <c r="Q181" s="332">
        <f>IF(Q180=1,12,Q180-1)</f>
      </c>
      <c r="R181" s="169"/>
      <c r="S181" s="333">
        <f>HLOOKUP(O181,'Datos SS'!$B$4:$CZZ$16,(Q181+1),0)</f>
      </c>
      <c r="T181" s="333">
        <f>IF(O181=YEAR($B$5),($B$9/12),IF(O181&gt;MIN(YEAR($B$7),YEAR($B$5)),($B$9/12)*(1+HLOOKUP(O181,'Datos SS'!$B$31:$CZZ$32,2,0))^(O181-YEAR($B$5)),T169/(1+HLOOKUP(O181,'Datos SS'!$B$31:$CZZ$32,2,0))))</f>
      </c>
      <c r="U181" s="333">
        <f>IF(O181=2018,IF(Q181&lt;8,HLOOKUP(O181,'Datos SS'!$B$25:$BZZ$27,3,0)/12,HLOOKUP(O181,'Datos SS'!$B$25:$BZZ$26,2,0)/12),HLOOKUP(O181,'Datos SS'!$B$25:$BZZ$26,2,0)/12)</f>
      </c>
      <c r="V181" s="964">
        <f>MAX(X181,MIN(T181,U181))</f>
      </c>
      <c r="W181" s="333">
        <f>IF($E$19="NO",IF(P181&lt;=180,IF(P181&lt;25,V181,V181*$S$28/S181),0),IF(P181&gt;$B$15,0,IF(P181&lt;25,V181,V181*$S$28/S181)))</f>
      </c>
      <c r="X181" s="721">
        <f>HLOOKUP(O181,'Datos SS'!$K$37:$EP$38,2,0)</f>
      </c>
      <c r="Y181" s="331">
        <f>MAX(INT(Y180)-1,0)</f>
      </c>
      <c r="Z181" s="169"/>
      <c r="AA181" s="169"/>
      <c r="AB181" s="169"/>
      <c r="AC181" s="965">
        <v>2065.7923677396157</v>
      </c>
      <c r="AD181" s="331">
        <f>+AC181-W181</f>
      </c>
      <c r="AE181" s="169"/>
      <c r="AF181" s="170"/>
      <c r="AG181" s="169"/>
      <c r="AH181" s="170"/>
      <c r="AI181" s="170"/>
      <c r="AJ181" s="1"/>
      <c r="AK181" s="1"/>
      <c r="AL181" s="170"/>
      <c r="AM181" s="170"/>
    </row>
    <row x14ac:dyDescent="0.25" r="182" customHeight="1" ht="18.75">
      <c r="A182" s="1"/>
      <c r="B182" s="170"/>
      <c r="C182" s="169"/>
      <c r="D182" s="170"/>
      <c r="E182" s="169"/>
      <c r="F182" s="169"/>
      <c r="G182" s="170"/>
      <c r="H182" s="170"/>
      <c r="I182" s="169"/>
      <c r="J182" s="1"/>
      <c r="K182" s="169"/>
      <c r="L182" s="332">
        <v>178</v>
      </c>
      <c r="M182" s="332">
        <f>IF(L182&lt;=$C$22,$B$22,IF(L182&lt;=$C$23+$C$22,$B$23,0))</f>
      </c>
      <c r="N182" s="1"/>
      <c r="O182" s="332">
        <f>IF(Q182=12,O181-1,O181)</f>
      </c>
      <c r="P182" s="332">
        <v>178</v>
      </c>
      <c r="Q182" s="332">
        <f>IF(Q181=1,12,Q181-1)</f>
      </c>
      <c r="R182" s="169"/>
      <c r="S182" s="333">
        <f>HLOOKUP(O182,'Datos SS'!$B$4:$CZZ$16,(Q182+1),0)</f>
      </c>
      <c r="T182" s="333">
        <f>IF(O182=YEAR($B$5),($B$9/12),IF(O182&gt;MIN(YEAR($B$7),YEAR($B$5)),($B$9/12)*(1+HLOOKUP(O182,'Datos SS'!$B$31:$CZZ$32,2,0))^(O182-YEAR($B$5)),T170/(1+HLOOKUP(O182,'Datos SS'!$B$31:$CZZ$32,2,0))))</f>
      </c>
      <c r="U182" s="333">
        <f>IF(O182=2018,IF(Q182&lt;8,HLOOKUP(O182,'Datos SS'!$B$25:$BZZ$27,3,0)/12,HLOOKUP(O182,'Datos SS'!$B$25:$BZZ$26,2,0)/12),HLOOKUP(O182,'Datos SS'!$B$25:$BZZ$26,2,0)/12)</f>
      </c>
      <c r="V182" s="964">
        <f>MAX(X182,MIN(T182,U182))</f>
      </c>
      <c r="W182" s="333">
        <f>IF($E$19="NO",IF(P182&lt;=180,IF(P182&lt;25,V182,V182*$S$28/S182),0),IF(P182&gt;$B$15,0,IF(P182&lt;25,V182,V182*$S$28/S182)))</f>
      </c>
      <c r="X182" s="721">
        <f>HLOOKUP(O182,'Datos SS'!$K$37:$EP$38,2,0)</f>
      </c>
      <c r="Y182" s="331">
        <f>MAX(INT(Y181)-1,0)</f>
      </c>
      <c r="Z182" s="169"/>
      <c r="AA182" s="169"/>
      <c r="AB182" s="169"/>
      <c r="AC182" s="965">
        <v>2036.9517450689473</v>
      </c>
      <c r="AD182" s="331">
        <f>+AC182-W182</f>
      </c>
      <c r="AE182" s="169"/>
      <c r="AF182" s="170"/>
      <c r="AG182" s="169"/>
      <c r="AH182" s="170"/>
      <c r="AI182" s="170"/>
      <c r="AJ182" s="1"/>
      <c r="AK182" s="1"/>
      <c r="AL182" s="170"/>
      <c r="AM182" s="170"/>
    </row>
    <row x14ac:dyDescent="0.25" r="183" customHeight="1" ht="18.75">
      <c r="A183" s="1"/>
      <c r="B183" s="170"/>
      <c r="C183" s="169"/>
      <c r="D183" s="170"/>
      <c r="E183" s="169"/>
      <c r="F183" s="169"/>
      <c r="G183" s="170"/>
      <c r="H183" s="170"/>
      <c r="I183" s="169"/>
      <c r="J183" s="1"/>
      <c r="K183" s="169"/>
      <c r="L183" s="332">
        <v>179</v>
      </c>
      <c r="M183" s="332">
        <f>IF(L183&lt;=$C$22,$B$22,IF(L183&lt;=$C$23+$C$22,$B$23,0))</f>
      </c>
      <c r="N183" s="1"/>
      <c r="O183" s="332">
        <f>IF(Q183=12,O182-1,O182)</f>
      </c>
      <c r="P183" s="332">
        <v>179</v>
      </c>
      <c r="Q183" s="332">
        <f>IF(Q182=1,12,Q182-1)</f>
      </c>
      <c r="R183" s="169"/>
      <c r="S183" s="333">
        <f>HLOOKUP(O183,'Datos SS'!$B$4:$CZZ$16,(Q183+1),0)</f>
      </c>
      <c r="T183" s="333">
        <f>IF(O183=YEAR($B$5),($B$9/12),IF(O183&gt;MIN(YEAR($B$7),YEAR($B$5)),($B$9/12)*(1+HLOOKUP(O183,'Datos SS'!$B$31:$CZZ$32,2,0))^(O183-YEAR($B$5)),T171/(1+HLOOKUP(O183,'Datos SS'!$B$31:$CZZ$32,2,0))))</f>
      </c>
      <c r="U183" s="333">
        <f>IF(O183=2018,IF(Q183&lt;8,HLOOKUP(O183,'Datos SS'!$B$25:$BZZ$27,3,0)/12,HLOOKUP(O183,'Datos SS'!$B$25:$BZZ$26,2,0)/12),HLOOKUP(O183,'Datos SS'!$B$25:$BZZ$26,2,0)/12)</f>
      </c>
      <c r="V183" s="964">
        <f>MAX(X183,MIN(T183,U183))</f>
      </c>
      <c r="W183" s="333">
        <f>IF($E$19="NO",IF(P183&lt;=180,IF(P183&lt;25,V183,V183*$S$28/S183),0),IF(P183&gt;$B$15,0,IF(P183&lt;25,V183,V183*$S$28/S183)))</f>
      </c>
      <c r="X183" s="721">
        <f>HLOOKUP(O183,'Datos SS'!$K$37:$EP$38,2,0)</f>
      </c>
      <c r="Y183" s="331">
        <f>MAX(INT(Y182)-1,0)</f>
      </c>
      <c r="Z183" s="169"/>
      <c r="AA183" s="169"/>
      <c r="AB183" s="169"/>
      <c r="AC183" s="965">
        <v>2038.6414741785659</v>
      </c>
      <c r="AD183" s="331">
        <f>+AC183-W183</f>
      </c>
      <c r="AE183" s="169"/>
      <c r="AF183" s="170"/>
      <c r="AG183" s="169"/>
      <c r="AH183" s="170"/>
      <c r="AI183" s="170"/>
      <c r="AJ183" s="1"/>
      <c r="AK183" s="1"/>
      <c r="AL183" s="170"/>
      <c r="AM183" s="170"/>
    </row>
    <row x14ac:dyDescent="0.25" r="184" customHeight="1" ht="18.75">
      <c r="A184" s="1"/>
      <c r="B184" s="170"/>
      <c r="C184" s="169"/>
      <c r="D184" s="170"/>
      <c r="E184" s="169"/>
      <c r="F184" s="169"/>
      <c r="G184" s="170"/>
      <c r="H184" s="170"/>
      <c r="I184" s="169"/>
      <c r="J184" s="1"/>
      <c r="K184" s="169"/>
      <c r="L184" s="332">
        <v>180</v>
      </c>
      <c r="M184" s="332">
        <f>IF(L184&lt;=$C$22,$B$22,IF(L184&lt;=$C$23+$C$22,$B$23,0))</f>
      </c>
      <c r="N184" s="1"/>
      <c r="O184" s="332">
        <f>IF(Q184=12,O183-1,O183)</f>
      </c>
      <c r="P184" s="332">
        <v>180</v>
      </c>
      <c r="Q184" s="332">
        <f>IF(Q183=1,12,Q183-1)</f>
      </c>
      <c r="R184" s="169"/>
      <c r="S184" s="333">
        <f>HLOOKUP(O184,'Datos SS'!$B$4:$CZZ$16,(Q184+1),0)</f>
      </c>
      <c r="T184" s="333">
        <f>IF(O184=YEAR($B$5),($B$9/12),IF(O184&gt;MIN(YEAR($B$7),YEAR($B$5)),($B$9/12)*(1+HLOOKUP(O184,'Datos SS'!$B$31:$CZZ$32,2,0))^(O184-YEAR($B$5)),T172/(1+HLOOKUP(O184,'Datos SS'!$B$31:$CZZ$32,2,0))))</f>
      </c>
      <c r="U184" s="333">
        <f>IF(O184=2018,IF(Q184&lt;8,HLOOKUP(O184,'Datos SS'!$B$25:$BZZ$27,3,0)/12,HLOOKUP(O184,'Datos SS'!$B$25:$BZZ$26,2,0)/12),HLOOKUP(O184,'Datos SS'!$B$25:$BZZ$26,2,0)/12)</f>
      </c>
      <c r="V184" s="964">
        <f>MAX(X184,MIN(T184,U184))</f>
      </c>
      <c r="W184" s="333">
        <f>IF($E$19="NO",IF(P184&lt;=180,IF(P184&lt;25,V184,V184*$S$28/S184),0),IF(P184&gt;$B$15,0,IF(P184&lt;25,V184,V184*$S$28/S184)))</f>
      </c>
      <c r="X184" s="721">
        <f>HLOOKUP(O184,'Datos SS'!$K$37:$EP$38,2,0)</f>
      </c>
      <c r="Y184" s="331">
        <f>MAX(INT(Y183)-1,0)</f>
      </c>
      <c r="Z184" s="169"/>
      <c r="AA184" s="169"/>
      <c r="AB184" s="169"/>
      <c r="AC184" s="965">
        <v>2040.332604982884</v>
      </c>
      <c r="AD184" s="331">
        <f>+AC184-W184</f>
      </c>
      <c r="AE184" s="169"/>
      <c r="AF184" s="170"/>
      <c r="AG184" s="169"/>
      <c r="AH184" s="170"/>
      <c r="AI184" s="170"/>
      <c r="AJ184" s="1"/>
      <c r="AK184" s="1"/>
      <c r="AL184" s="170"/>
      <c r="AM184" s="170"/>
    </row>
    <row x14ac:dyDescent="0.25" r="185" customHeight="1" ht="18.75">
      <c r="A185" s="1"/>
      <c r="B185" s="170"/>
      <c r="C185" s="169"/>
      <c r="D185" s="170"/>
      <c r="E185" s="169"/>
      <c r="F185" s="169"/>
      <c r="G185" s="170"/>
      <c r="H185" s="170"/>
      <c r="I185" s="169"/>
      <c r="J185" s="1"/>
      <c r="K185" s="169"/>
      <c r="L185" s="332">
        <v>181</v>
      </c>
      <c r="M185" s="332">
        <f>IF(L185&lt;=$C$22,$B$22,IF(L185&lt;=$C$23+$C$22,$B$23,0))</f>
      </c>
      <c r="N185" s="1"/>
      <c r="O185" s="332">
        <f>IF(Q185=12,O184-1,O184)</f>
      </c>
      <c r="P185" s="332">
        <v>181</v>
      </c>
      <c r="Q185" s="332">
        <f>IF(Q184=1,12,Q184-1)</f>
      </c>
      <c r="R185" s="169"/>
      <c r="S185" s="333">
        <f>HLOOKUP(O185,'Datos SS'!$B$4:$CZZ$16,(Q185+1),0)</f>
      </c>
      <c r="T185" s="333">
        <f>IF(O185=YEAR($B$5),($B$9/12),IF(O185&gt;MIN(YEAR($B$7),YEAR($B$5)),($B$9/12)*(1+HLOOKUP(O185,'Datos SS'!$B$31:$CZZ$32,2,0))^(O185-YEAR($B$5)),T173/(1+HLOOKUP(O185,'Datos SS'!$B$31:$CZZ$32,2,0))))</f>
      </c>
      <c r="U185" s="333">
        <f>IF(O185=2018,IF(Q185&lt;8,HLOOKUP(O185,'Datos SS'!$B$25:$BZZ$27,3,0)/12,HLOOKUP(O185,'Datos SS'!$B$25:$BZZ$26,2,0)/12),HLOOKUP(O185,'Datos SS'!$B$25:$BZZ$26,2,0)/12)</f>
      </c>
      <c r="V185" s="964">
        <f>MAX(X185,MIN(T185,U185))</f>
      </c>
      <c r="W185" s="333">
        <f>IF($E$19="NO",IF(P185&lt;=180,IF(P185&lt;25,V185,V185*$S$28/S185),0),IF(P185&gt;$B$15,0,IF(P185&lt;25,V185,V185*$S$28/S185)))</f>
      </c>
      <c r="X185" s="721">
        <f>HLOOKUP(O185,'Datos SS'!$K$37:$EP$38,2,0)</f>
      </c>
      <c r="Y185" s="331">
        <f>MAX(INT(Y184)-1,0)</f>
      </c>
      <c r="Z185" s="169"/>
      <c r="AA185" s="169"/>
      <c r="AB185" s="169"/>
      <c r="AC185" s="965">
        <v>2042.0251386446603</v>
      </c>
      <c r="AD185" s="331">
        <f>+AC185-W185</f>
      </c>
      <c r="AE185" s="169"/>
      <c r="AF185" s="170"/>
      <c r="AG185" s="169"/>
      <c r="AH185" s="170"/>
      <c r="AI185" s="170"/>
      <c r="AJ185" s="1"/>
      <c r="AK185" s="1"/>
      <c r="AL185" s="170"/>
      <c r="AM185" s="170"/>
    </row>
    <row x14ac:dyDescent="0.25" r="186" customHeight="1" ht="18.75">
      <c r="A186" s="1"/>
      <c r="B186" s="170"/>
      <c r="C186" s="169"/>
      <c r="D186" s="170"/>
      <c r="E186" s="169"/>
      <c r="F186" s="169"/>
      <c r="G186" s="170"/>
      <c r="H186" s="170"/>
      <c r="I186" s="169"/>
      <c r="J186" s="1"/>
      <c r="K186" s="169"/>
      <c r="L186" s="332">
        <v>182</v>
      </c>
      <c r="M186" s="332">
        <f>IF(L186&lt;=$C$22,$B$22,IF(L186&lt;=$C$23+$C$22,$B$23,0))</f>
      </c>
      <c r="N186" s="1"/>
      <c r="O186" s="332">
        <f>IF(Q186=12,O185-1,O185)</f>
      </c>
      <c r="P186" s="332">
        <v>182</v>
      </c>
      <c r="Q186" s="332">
        <f>IF(Q185=1,12,Q185-1)</f>
      </c>
      <c r="R186" s="169"/>
      <c r="S186" s="333">
        <f>HLOOKUP(O186,'Datos SS'!$B$4:$CZZ$16,(Q186+1),0)</f>
      </c>
      <c r="T186" s="333">
        <f>IF(O186=YEAR($B$5),($B$9/12),IF(O186&gt;MIN(YEAR($B$7),YEAR($B$5)),($B$9/12)*(1+HLOOKUP(O186,'Datos SS'!$B$31:$CZZ$32,2,0))^(O186-YEAR($B$5)),T174/(1+HLOOKUP(O186,'Datos SS'!$B$31:$CZZ$32,2,0))))</f>
      </c>
      <c r="U186" s="333">
        <f>IF(O186=2018,IF(Q186&lt;8,HLOOKUP(O186,'Datos SS'!$B$25:$BZZ$27,3,0)/12,HLOOKUP(O186,'Datos SS'!$B$25:$BZZ$26,2,0)/12),HLOOKUP(O186,'Datos SS'!$B$25:$BZZ$26,2,0)/12)</f>
      </c>
      <c r="V186" s="964">
        <f>MAX(X186,MIN(T186,U186))</f>
      </c>
      <c r="W186" s="333">
        <f>IF($E$19="NO",IF(P186&lt;=180,IF(P186&lt;25,V186,V186*$S$28/S186),0),IF(P186&gt;$B$15,0,IF(P186&lt;25,V186,V186*$S$28/S186)))</f>
      </c>
      <c r="X186" s="721">
        <f>HLOOKUP(O186,'Datos SS'!$K$37:$EP$38,2,0)</f>
      </c>
      <c r="Y186" s="331">
        <f>MAX(INT(Y185)-1,0)</f>
      </c>
      <c r="Z186" s="169"/>
      <c r="AA186" s="169"/>
      <c r="AB186" s="169"/>
      <c r="AC186" s="965">
        <v>2043.7190763276192</v>
      </c>
      <c r="AD186" s="331">
        <f>+AC186-W186</f>
      </c>
      <c r="AE186" s="169"/>
      <c r="AF186" s="170"/>
      <c r="AG186" s="169"/>
      <c r="AH186" s="170"/>
      <c r="AI186" s="170"/>
      <c r="AJ186" s="1"/>
      <c r="AK186" s="1"/>
      <c r="AL186" s="170"/>
      <c r="AM186" s="170"/>
    </row>
    <row x14ac:dyDescent="0.25" r="187" customHeight="1" ht="18.75">
      <c r="A187" s="1"/>
      <c r="B187" s="170"/>
      <c r="C187" s="169"/>
      <c r="D187" s="170"/>
      <c r="E187" s="169"/>
      <c r="F187" s="169"/>
      <c r="G187" s="170"/>
      <c r="H187" s="170"/>
      <c r="I187" s="169"/>
      <c r="J187" s="1"/>
      <c r="K187" s="169"/>
      <c r="L187" s="332">
        <v>183</v>
      </c>
      <c r="M187" s="332">
        <f>IF(L187&lt;=$C$22,$B$22,IF(L187&lt;=$C$23+$C$22,$B$23,0))</f>
      </c>
      <c r="N187" s="1"/>
      <c r="O187" s="332">
        <f>IF(Q187=12,O186-1,O186)</f>
      </c>
      <c r="P187" s="332">
        <v>183</v>
      </c>
      <c r="Q187" s="332">
        <f>IF(Q186=1,12,Q186-1)</f>
      </c>
      <c r="R187" s="169"/>
      <c r="S187" s="333">
        <f>HLOOKUP(O187,'Datos SS'!$B$4:$CZZ$16,(Q187+1),0)</f>
      </c>
      <c r="T187" s="333">
        <f>IF(O187=YEAR($B$5),($B$9/12),IF(O187&gt;MIN(YEAR($B$7),YEAR($B$5)),($B$9/12)*(1+HLOOKUP(O187,'Datos SS'!$B$31:$CZZ$32,2,0))^(O187-YEAR($B$5)),T175/(1+HLOOKUP(O187,'Datos SS'!$B$31:$CZZ$32,2,0))))</f>
      </c>
      <c r="U187" s="333">
        <f>IF(O187=2018,IF(Q187&lt;8,HLOOKUP(O187,'Datos SS'!$B$25:$BZZ$27,3,0)/12,HLOOKUP(O187,'Datos SS'!$B$25:$BZZ$26,2,0)/12),HLOOKUP(O187,'Datos SS'!$B$25:$BZZ$26,2,0)/12)</f>
      </c>
      <c r="V187" s="964">
        <f>MAX(X187,MIN(T187,U187))</f>
      </c>
      <c r="W187" s="333">
        <f>IF($E$19="NO",IF(P187&lt;=180,IF(P187&lt;25,V187,V187*$S$28/S187),0),IF(P187&gt;$B$15,0,IF(P187&lt;25,V187,V187*$S$28/S187)))</f>
      </c>
      <c r="X187" s="721">
        <f>HLOOKUP(O187,'Datos SS'!$K$37:$EP$38,2,0)</f>
      </c>
      <c r="Y187" s="331">
        <f>MAX(INT(Y186)-1,0)</f>
      </c>
      <c r="Z187" s="169"/>
      <c r="AA187" s="169"/>
      <c r="AB187" s="169"/>
      <c r="AC187" s="965">
        <v>2045.414419196449</v>
      </c>
      <c r="AD187" s="331">
        <f>+AC187-W187</f>
      </c>
      <c r="AE187" s="169"/>
      <c r="AF187" s="170"/>
      <c r="AG187" s="169"/>
      <c r="AH187" s="170"/>
      <c r="AI187" s="170"/>
      <c r="AJ187" s="1"/>
      <c r="AK187" s="1"/>
      <c r="AL187" s="170"/>
      <c r="AM187" s="170"/>
    </row>
    <row x14ac:dyDescent="0.25" r="188" customHeight="1" ht="18.75">
      <c r="A188" s="1"/>
      <c r="B188" s="170"/>
      <c r="C188" s="169"/>
      <c r="D188" s="170"/>
      <c r="E188" s="169"/>
      <c r="F188" s="169"/>
      <c r="G188" s="170"/>
      <c r="H188" s="170"/>
      <c r="I188" s="169"/>
      <c r="J188" s="1"/>
      <c r="K188" s="169"/>
      <c r="L188" s="332">
        <v>184</v>
      </c>
      <c r="M188" s="332">
        <f>IF(L188&lt;=$C$22,$B$22,IF(L188&lt;=$C$23+$C$22,$B$23,0))</f>
      </c>
      <c r="N188" s="1"/>
      <c r="O188" s="332">
        <f>IF(Q188=12,O187-1,O187)</f>
      </c>
      <c r="P188" s="332">
        <v>184</v>
      </c>
      <c r="Q188" s="332">
        <f>IF(Q187=1,12,Q187-1)</f>
      </c>
      <c r="R188" s="169"/>
      <c r="S188" s="333">
        <f>HLOOKUP(O188,'Datos SS'!$B$4:$CZZ$16,(Q188+1),0)</f>
      </c>
      <c r="T188" s="333">
        <f>IF(O188=YEAR($B$5),($B$9/12),IF(O188&gt;MIN(YEAR($B$7),YEAR($B$5)),($B$9/12)*(1+HLOOKUP(O188,'Datos SS'!$B$31:$CZZ$32,2,0))^(O188-YEAR($B$5)),T176/(1+HLOOKUP(O188,'Datos SS'!$B$31:$CZZ$32,2,0))))</f>
      </c>
      <c r="U188" s="333">
        <f>IF(O188=2018,IF(Q188&lt;8,HLOOKUP(O188,'Datos SS'!$B$25:$BZZ$27,3,0)/12,HLOOKUP(O188,'Datos SS'!$B$25:$BZZ$26,2,0)/12),HLOOKUP(O188,'Datos SS'!$B$25:$BZZ$26,2,0)/12)</f>
      </c>
      <c r="V188" s="964">
        <f>MAX(X188,MIN(T188,U188))</f>
      </c>
      <c r="W188" s="333">
        <f>IF($E$19="NO",IF(P188&lt;=180,IF(P188&lt;25,V188,V188*$S$28/S188),0),IF(P188&gt;$B$15,0,IF(P188&lt;25,V188,V188*$S$28/S188)))</f>
      </c>
      <c r="X188" s="721">
        <f>HLOOKUP(O188,'Datos SS'!$K$37:$EP$38,2,0)</f>
      </c>
      <c r="Y188" s="331">
        <f>MAX(INT(Y187)-1,0)</f>
      </c>
      <c r="Z188" s="169"/>
      <c r="AA188" s="169"/>
      <c r="AB188" s="169"/>
      <c r="AC188" s="965">
        <v>2047.1111684168056</v>
      </c>
      <c r="AD188" s="331">
        <f>+AC188-W188</f>
      </c>
      <c r="AE188" s="169"/>
      <c r="AF188" s="170"/>
      <c r="AG188" s="169"/>
      <c r="AH188" s="170"/>
      <c r="AI188" s="170"/>
      <c r="AJ188" s="1"/>
      <c r="AK188" s="1"/>
      <c r="AL188" s="170"/>
      <c r="AM188" s="170"/>
    </row>
    <row x14ac:dyDescent="0.25" r="189" customHeight="1" ht="18.75">
      <c r="A189" s="1"/>
      <c r="B189" s="170"/>
      <c r="C189" s="169"/>
      <c r="D189" s="170"/>
      <c r="E189" s="169"/>
      <c r="F189" s="169"/>
      <c r="G189" s="170"/>
      <c r="H189" s="170"/>
      <c r="I189" s="169"/>
      <c r="J189" s="1"/>
      <c r="K189" s="169"/>
      <c r="L189" s="332">
        <v>185</v>
      </c>
      <c r="M189" s="332">
        <f>IF(L189&lt;=$C$22,$B$22,IF(L189&lt;=$C$23+$C$22,$B$23,0))</f>
      </c>
      <c r="N189" s="1"/>
      <c r="O189" s="332">
        <f>IF(Q189=12,O188-1,O188)</f>
      </c>
      <c r="P189" s="332">
        <v>185</v>
      </c>
      <c r="Q189" s="332">
        <f>IF(Q188=1,12,Q188-1)</f>
      </c>
      <c r="R189" s="169"/>
      <c r="S189" s="333">
        <f>HLOOKUP(O189,'Datos SS'!$B$4:$CZZ$16,(Q189+1),0)</f>
      </c>
      <c r="T189" s="333">
        <f>IF(O189=YEAR($B$5),($B$9/12),IF(O189&gt;MIN(YEAR($B$7),YEAR($B$5)),($B$9/12)*(1+HLOOKUP(O189,'Datos SS'!$B$31:$CZZ$32,2,0))^(O189-YEAR($B$5)),T177/(1+HLOOKUP(O189,'Datos SS'!$B$31:$CZZ$32,2,0))))</f>
      </c>
      <c r="U189" s="333">
        <f>IF(O189=2018,IF(Q189&lt;8,HLOOKUP(O189,'Datos SS'!$B$25:$BZZ$27,3,0)/12,HLOOKUP(O189,'Datos SS'!$B$25:$BZZ$26,2,0)/12),HLOOKUP(O189,'Datos SS'!$B$25:$BZZ$26,2,0)/12)</f>
      </c>
      <c r="V189" s="964">
        <f>MAX(X189,MIN(T189,U189))</f>
      </c>
      <c r="W189" s="333">
        <f>IF($E$19="NO",IF(P189&lt;=180,IF(P189&lt;25,V189,V189*$S$28/S189),0),IF(P189&gt;$B$15,0,IF(P189&lt;25,V189,V189*$S$28/S189)))</f>
      </c>
      <c r="X189" s="721">
        <f>HLOOKUP(O189,'Datos SS'!$K$37:$EP$38,2,0)</f>
      </c>
      <c r="Y189" s="331">
        <f>MAX(INT(Y188)-1,0)</f>
      </c>
      <c r="Z189" s="169"/>
      <c r="AA189" s="169"/>
      <c r="AB189" s="169"/>
      <c r="AC189" s="965">
        <v>2048.809325155311</v>
      </c>
      <c r="AD189" s="331">
        <f>+AC189-W189</f>
      </c>
      <c r="AE189" s="169"/>
      <c r="AF189" s="170"/>
      <c r="AG189" s="169"/>
      <c r="AH189" s="170"/>
      <c r="AI189" s="170"/>
      <c r="AJ189" s="1"/>
      <c r="AK189" s="1"/>
      <c r="AL189" s="170"/>
      <c r="AM189" s="170"/>
    </row>
    <row x14ac:dyDescent="0.25" r="190" customHeight="1" ht="18.75">
      <c r="A190" s="1"/>
      <c r="B190" s="170"/>
      <c r="C190" s="169"/>
      <c r="D190" s="170"/>
      <c r="E190" s="169"/>
      <c r="F190" s="169"/>
      <c r="G190" s="170"/>
      <c r="H190" s="170"/>
      <c r="I190" s="169"/>
      <c r="J190" s="1"/>
      <c r="K190" s="169"/>
      <c r="L190" s="332">
        <v>186</v>
      </c>
      <c r="M190" s="332">
        <f>IF(L190&lt;=$C$22,$B$22,IF(L190&lt;=$C$23+$C$22,$B$23,0))</f>
      </c>
      <c r="N190" s="1"/>
      <c r="O190" s="332">
        <f>IF(Q190=12,O189-1,O189)</f>
      </c>
      <c r="P190" s="332">
        <v>186</v>
      </c>
      <c r="Q190" s="332">
        <f>IF(Q189=1,12,Q189-1)</f>
      </c>
      <c r="R190" s="169"/>
      <c r="S190" s="333">
        <f>HLOOKUP(O190,'Datos SS'!$B$4:$CZZ$16,(Q190+1),0)</f>
      </c>
      <c r="T190" s="333">
        <f>IF(O190=YEAR($B$5),($B$9/12),IF(O190&gt;MIN(YEAR($B$7),YEAR($B$5)),($B$9/12)*(1+HLOOKUP(O190,'Datos SS'!$B$31:$CZZ$32,2,0))^(O190-YEAR($B$5)),T178/(1+HLOOKUP(O190,'Datos SS'!$B$31:$CZZ$32,2,0))))</f>
      </c>
      <c r="U190" s="333">
        <f>IF(O190=2018,IF(Q190&lt;8,HLOOKUP(O190,'Datos SS'!$B$25:$BZZ$27,3,0)/12,HLOOKUP(O190,'Datos SS'!$B$25:$BZZ$26,2,0)/12),HLOOKUP(O190,'Datos SS'!$B$25:$BZZ$26,2,0)/12)</f>
      </c>
      <c r="V190" s="964">
        <f>MAX(X190,MIN(T190,U190))</f>
      </c>
      <c r="W190" s="333">
        <f>IF($E$19="NO",IF(P190&lt;=180,IF(P190&lt;25,V190,V190*$S$28/S190),0),IF(P190&gt;$B$15,0,IF(P190&lt;25,V190,V190*$S$28/S190)))</f>
      </c>
      <c r="X190" s="721">
        <f>HLOOKUP(O190,'Datos SS'!$K$37:$EP$38,2,0)</f>
      </c>
      <c r="Y190" s="331">
        <f>MAX(INT(Y189)-1,0)</f>
      </c>
      <c r="Z190" s="169"/>
      <c r="AA190" s="169"/>
      <c r="AB190" s="169"/>
      <c r="AC190" s="965">
        <v>2050.508890579555</v>
      </c>
      <c r="AD190" s="331">
        <f>+AC190-W190</f>
      </c>
      <c r="AE190" s="169"/>
      <c r="AF190" s="170"/>
      <c r="AG190" s="169"/>
      <c r="AH190" s="170"/>
      <c r="AI190" s="170"/>
      <c r="AJ190" s="1"/>
      <c r="AK190" s="1"/>
      <c r="AL190" s="170"/>
      <c r="AM190" s="170"/>
    </row>
    <row x14ac:dyDescent="0.25" r="191" customHeight="1" ht="18.75">
      <c r="A191" s="1"/>
      <c r="B191" s="170"/>
      <c r="C191" s="169"/>
      <c r="D191" s="170"/>
      <c r="E191" s="169"/>
      <c r="F191" s="169"/>
      <c r="G191" s="170"/>
      <c r="H191" s="170"/>
      <c r="I191" s="169"/>
      <c r="J191" s="1"/>
      <c r="K191" s="169"/>
      <c r="L191" s="332">
        <v>187</v>
      </c>
      <c r="M191" s="332">
        <f>IF(L191&lt;=$C$22,$B$22,IF(L191&lt;=$C$23+$C$22,$B$23,0))</f>
      </c>
      <c r="N191" s="1"/>
      <c r="O191" s="332">
        <f>IF(Q191=12,O190-1,O190)</f>
      </c>
      <c r="P191" s="332">
        <v>187</v>
      </c>
      <c r="Q191" s="332">
        <f>IF(Q190=1,12,Q190-1)</f>
      </c>
      <c r="R191" s="169"/>
      <c r="S191" s="333">
        <f>HLOOKUP(O191,'Datos SS'!$B$4:$CZZ$16,(Q191+1),0)</f>
      </c>
      <c r="T191" s="333">
        <f>IF(O191=YEAR($B$5),($B$9/12),IF(O191&gt;MIN(YEAR($B$7),YEAR($B$5)),($B$9/12)*(1+HLOOKUP(O191,'Datos SS'!$B$31:$CZZ$32,2,0))^(O191-YEAR($B$5)),T179/(1+HLOOKUP(O191,'Datos SS'!$B$31:$CZZ$32,2,0))))</f>
      </c>
      <c r="U191" s="333">
        <f>IF(O191=2018,IF(Q191&lt;8,HLOOKUP(O191,'Datos SS'!$B$25:$BZZ$27,3,0)/12,HLOOKUP(O191,'Datos SS'!$B$25:$BZZ$26,2,0)/12),HLOOKUP(O191,'Datos SS'!$B$25:$BZZ$26,2,0)/12)</f>
      </c>
      <c r="V191" s="964">
        <f>MAX(X191,MIN(T191,U191))</f>
      </c>
      <c r="W191" s="333">
        <f>IF($E$19="NO",IF(P191&lt;=180,IF(P191&lt;25,V191,V191*$S$28/S191),0),IF(P191&gt;$B$15,0,IF(P191&lt;25,V191,V191*$S$28/S191)))</f>
      </c>
      <c r="X191" s="721">
        <f>HLOOKUP(O191,'Datos SS'!$K$37:$EP$38,2,0)</f>
      </c>
      <c r="Y191" s="331">
        <f>MAX(INT(Y190)-1,0)</f>
      </c>
      <c r="Z191" s="169"/>
      <c r="AA191" s="169"/>
      <c r="AB191" s="169"/>
      <c r="AC191" s="965">
        <v>2052.2098658580962</v>
      </c>
      <c r="AD191" s="331">
        <f>+AC191-W191</f>
      </c>
      <c r="AE191" s="169"/>
      <c r="AF191" s="170"/>
      <c r="AG191" s="169"/>
      <c r="AH191" s="170"/>
      <c r="AI191" s="170"/>
      <c r="AJ191" s="1"/>
      <c r="AK191" s="1"/>
      <c r="AL191" s="170"/>
      <c r="AM191" s="170"/>
    </row>
    <row x14ac:dyDescent="0.25" r="192" customHeight="1" ht="18.75">
      <c r="A192" s="1"/>
      <c r="B192" s="170"/>
      <c r="C192" s="169"/>
      <c r="D192" s="170"/>
      <c r="E192" s="169"/>
      <c r="F192" s="169"/>
      <c r="G192" s="170"/>
      <c r="H192" s="170"/>
      <c r="I192" s="169"/>
      <c r="J192" s="1"/>
      <c r="K192" s="169"/>
      <c r="L192" s="332">
        <v>188</v>
      </c>
      <c r="M192" s="332">
        <f>IF(L192&lt;=$C$22,$B$22,IF(L192&lt;=$C$23+$C$22,$B$23,0))</f>
      </c>
      <c r="N192" s="1"/>
      <c r="O192" s="332">
        <f>IF(Q192=12,O191-1,O191)</f>
      </c>
      <c r="P192" s="332">
        <v>188</v>
      </c>
      <c r="Q192" s="332">
        <f>IF(Q191=1,12,Q191-1)</f>
      </c>
      <c r="R192" s="169"/>
      <c r="S192" s="333">
        <f>HLOOKUP(O192,'Datos SS'!$B$4:$CZZ$16,(Q192+1),0)</f>
      </c>
      <c r="T192" s="333">
        <f>IF(O192=YEAR($B$5),($B$9/12),IF(O192&gt;MIN(YEAR($B$7),YEAR($B$5)),($B$9/12)*(1+HLOOKUP(O192,'Datos SS'!$B$31:$CZZ$32,2,0))^(O192-YEAR($B$5)),T180/(1+HLOOKUP(O192,'Datos SS'!$B$31:$CZZ$32,2,0))))</f>
      </c>
      <c r="U192" s="333">
        <f>IF(O192=2018,IF(Q192&lt;8,HLOOKUP(O192,'Datos SS'!$B$25:$BZZ$27,3,0)/12,HLOOKUP(O192,'Datos SS'!$B$25:$BZZ$26,2,0)/12),HLOOKUP(O192,'Datos SS'!$B$25:$BZZ$26,2,0)/12)</f>
      </c>
      <c r="V192" s="964">
        <f>MAX(X192,MIN(T192,U192))</f>
      </c>
      <c r="W192" s="333">
        <f>IF($E$19="NO",IF(P192&lt;=180,IF(P192&lt;25,V192,V192*$S$28/S192),0),IF(P192&gt;$B$15,0,IF(P192&lt;25,V192,V192*$S$28/S192)))</f>
      </c>
      <c r="X192" s="721">
        <f>HLOOKUP(O192,'Datos SS'!$K$37:$EP$38,2,0)</f>
      </c>
      <c r="Y192" s="331">
        <f>MAX(INT(Y191)-1,0)</f>
      </c>
      <c r="Z192" s="169"/>
      <c r="AA192" s="169"/>
      <c r="AB192" s="169"/>
      <c r="AC192" s="965">
        <v>2053.9122521604627</v>
      </c>
      <c r="AD192" s="331">
        <f>+AC192-W192</f>
      </c>
      <c r="AE192" s="169"/>
      <c r="AF192" s="170"/>
      <c r="AG192" s="169"/>
      <c r="AH192" s="170"/>
      <c r="AI192" s="170"/>
      <c r="AJ192" s="1"/>
      <c r="AK192" s="1"/>
      <c r="AL192" s="170"/>
      <c r="AM192" s="170"/>
    </row>
    <row x14ac:dyDescent="0.25" r="193" customHeight="1" ht="18.75">
      <c r="A193" s="1"/>
      <c r="B193" s="170"/>
      <c r="C193" s="169"/>
      <c r="D193" s="170"/>
      <c r="E193" s="169"/>
      <c r="F193" s="169"/>
      <c r="G193" s="170"/>
      <c r="H193" s="170"/>
      <c r="I193" s="169"/>
      <c r="J193" s="1"/>
      <c r="K193" s="169"/>
      <c r="L193" s="332">
        <v>189</v>
      </c>
      <c r="M193" s="332">
        <f>IF(L193&lt;=$C$22,$B$22,IF(L193&lt;=$C$23+$C$22,$B$23,0))</f>
      </c>
      <c r="N193" s="1"/>
      <c r="O193" s="332">
        <f>IF(Q193=12,O192-1,O192)</f>
      </c>
      <c r="P193" s="332">
        <v>189</v>
      </c>
      <c r="Q193" s="332">
        <f>IF(Q192=1,12,Q192-1)</f>
      </c>
      <c r="R193" s="169"/>
      <c r="S193" s="333">
        <f>HLOOKUP(O193,'Datos SS'!$B$4:$CZZ$16,(Q193+1),0)</f>
      </c>
      <c r="T193" s="333">
        <f>IF(O193=YEAR($B$5),($B$9/12),IF(O193&gt;MIN(YEAR($B$7),YEAR($B$5)),($B$9/12)*(1+HLOOKUP(O193,'Datos SS'!$B$31:$CZZ$32,2,0))^(O193-YEAR($B$5)),T181/(1+HLOOKUP(O193,'Datos SS'!$B$31:$CZZ$32,2,0))))</f>
      </c>
      <c r="U193" s="333">
        <f>IF(O193=2018,IF(Q193&lt;8,HLOOKUP(O193,'Datos SS'!$B$25:$BZZ$27,3,0)/12,HLOOKUP(O193,'Datos SS'!$B$25:$BZZ$26,2,0)/12),HLOOKUP(O193,'Datos SS'!$B$25:$BZZ$26,2,0)/12)</f>
      </c>
      <c r="V193" s="964">
        <f>MAX(X193,MIN(T193,U193))</f>
      </c>
      <c r="W193" s="333">
        <f>IF($E$19="NO",IF(P193&lt;=180,IF(P193&lt;25,V193,V193*$S$28/S193),0),IF(P193&gt;$B$15,0,IF(P193&lt;25,V193,V193*$S$28/S193)))</f>
      </c>
      <c r="X193" s="721">
        <f>HLOOKUP(O193,'Datos SS'!$K$37:$EP$38,2,0)</f>
      </c>
      <c r="Y193" s="331">
        <f>MAX(INT(Y192)-1,0)</f>
      </c>
      <c r="Z193" s="169"/>
      <c r="AA193" s="169"/>
      <c r="AB193" s="169"/>
      <c r="AC193" s="965">
        <v>2055.6160506571523</v>
      </c>
      <c r="AD193" s="331">
        <f>+AC193-W193</f>
      </c>
      <c r="AE193" s="169"/>
      <c r="AF193" s="170"/>
      <c r="AG193" s="169"/>
      <c r="AH193" s="170"/>
      <c r="AI193" s="170"/>
      <c r="AJ193" s="1"/>
      <c r="AK193" s="1"/>
      <c r="AL193" s="170"/>
      <c r="AM193" s="170"/>
    </row>
    <row x14ac:dyDescent="0.25" r="194" customHeight="1" ht="18.75">
      <c r="A194" s="1"/>
      <c r="B194" s="170"/>
      <c r="C194" s="169"/>
      <c r="D194" s="170"/>
      <c r="E194" s="169"/>
      <c r="F194" s="169"/>
      <c r="G194" s="170"/>
      <c r="H194" s="170"/>
      <c r="I194" s="169"/>
      <c r="J194" s="1"/>
      <c r="K194" s="169"/>
      <c r="L194" s="332">
        <v>190</v>
      </c>
      <c r="M194" s="332">
        <f>IF(L194&lt;=$C$22,$B$22,IF(L194&lt;=$C$23+$C$22,$B$23,0))</f>
      </c>
      <c r="N194" s="1"/>
      <c r="O194" s="332">
        <f>IF(Q194=12,O193-1,O193)</f>
      </c>
      <c r="P194" s="332">
        <v>190</v>
      </c>
      <c r="Q194" s="332">
        <f>IF(Q193=1,12,Q193-1)</f>
      </c>
      <c r="R194" s="169"/>
      <c r="S194" s="333">
        <f>HLOOKUP(O194,'Datos SS'!$B$4:$CZZ$16,(Q194+1),0)</f>
      </c>
      <c r="T194" s="333">
        <f>IF(O194=YEAR($B$5),($B$9/12),IF(O194&gt;MIN(YEAR($B$7),YEAR($B$5)),($B$9/12)*(1+HLOOKUP(O194,'Datos SS'!$B$31:$CZZ$32,2,0))^(O194-YEAR($B$5)),T182/(1+HLOOKUP(O194,'Datos SS'!$B$31:$CZZ$32,2,0))))</f>
      </c>
      <c r="U194" s="333">
        <f>IF(O194=2018,IF(Q194&lt;8,HLOOKUP(O194,'Datos SS'!$B$25:$BZZ$27,3,0)/12,HLOOKUP(O194,'Datos SS'!$B$25:$BZZ$26,2,0)/12),HLOOKUP(O194,'Datos SS'!$B$25:$BZZ$26,2,0)/12)</f>
      </c>
      <c r="V194" s="964">
        <f>MAX(X194,MIN(T194,U194))</f>
      </c>
      <c r="W194" s="333">
        <f>IF($E$19="NO",IF(P194&lt;=180,IF(P194&lt;25,V194,V194*$S$28/S194),0),IF(P194&gt;$B$15,0,IF(P194&lt;25,V194,V194*$S$28/S194)))</f>
      </c>
      <c r="X194" s="721">
        <f>HLOOKUP(O194,'Datos SS'!$K$37:$EP$38,2,0)</f>
      </c>
      <c r="Y194" s="331">
        <f>MAX(INT(Y193)-1,0)</f>
      </c>
      <c r="Z194" s="169"/>
      <c r="AA194" s="169"/>
      <c r="AB194" s="169"/>
      <c r="AC194" s="965">
        <v>2026.917500019344</v>
      </c>
      <c r="AD194" s="331">
        <f>+AC194-W194</f>
      </c>
      <c r="AE194" s="169"/>
      <c r="AF194" s="170"/>
      <c r="AG194" s="169"/>
      <c r="AH194" s="170"/>
      <c r="AI194" s="170"/>
      <c r="AJ194" s="1"/>
      <c r="AK194" s="1"/>
      <c r="AL194" s="170"/>
      <c r="AM194" s="170"/>
    </row>
    <row x14ac:dyDescent="0.25" r="195" customHeight="1" ht="18.75">
      <c r="A195" s="1"/>
      <c r="B195" s="170"/>
      <c r="C195" s="169"/>
      <c r="D195" s="170"/>
      <c r="E195" s="169"/>
      <c r="F195" s="169"/>
      <c r="G195" s="170"/>
      <c r="H195" s="170"/>
      <c r="I195" s="169"/>
      <c r="J195" s="1"/>
      <c r="K195" s="169"/>
      <c r="L195" s="332">
        <v>191</v>
      </c>
      <c r="M195" s="332">
        <f>IF(L195&lt;=$C$22,$B$22,IF(L195&lt;=$C$23+$C$22,$B$23,0))</f>
      </c>
      <c r="N195" s="1"/>
      <c r="O195" s="332">
        <f>IF(Q195=12,O194-1,O194)</f>
      </c>
      <c r="P195" s="332">
        <v>191</v>
      </c>
      <c r="Q195" s="332">
        <f>IF(Q194=1,12,Q194-1)</f>
      </c>
      <c r="R195" s="169"/>
      <c r="S195" s="333">
        <f>HLOOKUP(O195,'Datos SS'!$B$4:$CZZ$16,(Q195+1),0)</f>
      </c>
      <c r="T195" s="333">
        <f>IF(O195=YEAR($B$5),($B$9/12),IF(O195&gt;MIN(YEAR($B$7),YEAR($B$5)),($B$9/12)*(1+HLOOKUP(O195,'Datos SS'!$B$31:$CZZ$32,2,0))^(O195-YEAR($B$5)),T183/(1+HLOOKUP(O195,'Datos SS'!$B$31:$CZZ$32,2,0))))</f>
      </c>
      <c r="U195" s="333">
        <f>IF(O195=2018,IF(Q195&lt;8,HLOOKUP(O195,'Datos SS'!$B$25:$BZZ$27,3,0)/12,HLOOKUP(O195,'Datos SS'!$B$25:$BZZ$26,2,0)/12),HLOOKUP(O195,'Datos SS'!$B$25:$BZZ$26,2,0)/12)</f>
      </c>
      <c r="V195" s="964">
        <f>MAX(X195,MIN(T195,U195))</f>
      </c>
      <c r="W195" s="333">
        <f>IF($E$19="NO",IF(P195&lt;=180,IF(P195&lt;25,V195,V195*$S$28/S195),0),IF(P195&gt;$B$15,0,IF(P195&lt;25,V195,V195*$S$28/S195)))</f>
      </c>
      <c r="X195" s="721">
        <f>HLOOKUP(O195,'Datos SS'!$K$37:$EP$38,2,0)</f>
      </c>
      <c r="Y195" s="331">
        <f>MAX(INT(Y194)-1,0)</f>
      </c>
      <c r="Z195" s="169"/>
      <c r="AA195" s="169"/>
      <c r="AB195" s="169"/>
      <c r="AC195" s="965">
        <v>2028.5989053402454</v>
      </c>
      <c r="AD195" s="331">
        <f>+AC195-W195</f>
      </c>
      <c r="AE195" s="169"/>
      <c r="AF195" s="170"/>
      <c r="AG195" s="169"/>
      <c r="AH195" s="170"/>
      <c r="AI195" s="170"/>
      <c r="AJ195" s="1"/>
      <c r="AK195" s="1"/>
      <c r="AL195" s="170"/>
      <c r="AM195" s="170"/>
    </row>
    <row x14ac:dyDescent="0.25" r="196" customHeight="1" ht="18.75">
      <c r="A196" s="1"/>
      <c r="B196" s="170"/>
      <c r="C196" s="169"/>
      <c r="D196" s="170"/>
      <c r="E196" s="169"/>
      <c r="F196" s="169"/>
      <c r="G196" s="170"/>
      <c r="H196" s="170"/>
      <c r="I196" s="169"/>
      <c r="J196" s="1"/>
      <c r="K196" s="169"/>
      <c r="L196" s="332">
        <v>192</v>
      </c>
      <c r="M196" s="332">
        <f>IF(L196&lt;=$C$22,$B$22,IF(L196&lt;=$C$23+$C$22,$B$23,0))</f>
      </c>
      <c r="N196" s="1"/>
      <c r="O196" s="332">
        <f>IF(Q196=12,O195-1,O195)</f>
      </c>
      <c r="P196" s="332">
        <v>192</v>
      </c>
      <c r="Q196" s="332">
        <f>IF(Q195=1,12,Q195-1)</f>
      </c>
      <c r="R196" s="169"/>
      <c r="S196" s="333">
        <f>HLOOKUP(O196,'Datos SS'!$B$4:$CZZ$16,(Q196+1),0)</f>
      </c>
      <c r="T196" s="333">
        <f>IF(O196=YEAR($B$5),($B$9/12),IF(O196&gt;MIN(YEAR($B$7),YEAR($B$5)),($B$9/12)*(1+HLOOKUP(O196,'Datos SS'!$B$31:$CZZ$32,2,0))^(O196-YEAR($B$5)),T184/(1+HLOOKUP(O196,'Datos SS'!$B$31:$CZZ$32,2,0))))</f>
      </c>
      <c r="U196" s="333">
        <f>IF(O196=2018,IF(Q196&lt;8,HLOOKUP(O196,'Datos SS'!$B$25:$BZZ$27,3,0)/12,HLOOKUP(O196,'Datos SS'!$B$25:$BZZ$26,2,0)/12),HLOOKUP(O196,'Datos SS'!$B$25:$BZZ$26,2,0)/12)</f>
      </c>
      <c r="V196" s="964">
        <f>MAX(X196,MIN(T196,U196))</f>
      </c>
      <c r="W196" s="333">
        <f>IF($E$19="NO",IF(P196&lt;=180,IF(P196&lt;25,V196,V196*$S$28/S196),0),IF(P196&gt;$B$15,0,IF(P196&lt;25,V196,V196*$S$28/S196)))</f>
      </c>
      <c r="X196" s="721">
        <f>HLOOKUP(O196,'Datos SS'!$K$37:$EP$38,2,0)</f>
      </c>
      <c r="Y196" s="331">
        <f>MAX(INT(Y195)-1,0)</f>
      </c>
      <c r="Z196" s="169"/>
      <c r="AA196" s="169"/>
      <c r="AB196" s="169"/>
      <c r="AC196" s="965">
        <v>2030.2817054509462</v>
      </c>
      <c r="AD196" s="331">
        <f>+AC196-W196</f>
      </c>
      <c r="AE196" s="169"/>
      <c r="AF196" s="170"/>
      <c r="AG196" s="169"/>
      <c r="AH196" s="170"/>
      <c r="AI196" s="170"/>
      <c r="AJ196" s="1"/>
      <c r="AK196" s="1"/>
      <c r="AL196" s="170"/>
      <c r="AM196" s="170"/>
    </row>
    <row x14ac:dyDescent="0.25" r="197" customHeight="1" ht="18.75">
      <c r="A197" s="1"/>
      <c r="B197" s="170"/>
      <c r="C197" s="169"/>
      <c r="D197" s="170"/>
      <c r="E197" s="169"/>
      <c r="F197" s="169"/>
      <c r="G197" s="170"/>
      <c r="H197" s="170"/>
      <c r="I197" s="169"/>
      <c r="J197" s="1"/>
      <c r="K197" s="169"/>
      <c r="L197" s="332">
        <v>193</v>
      </c>
      <c r="M197" s="332">
        <f>IF(L197&lt;=$C$22,$B$22,IF(L197&lt;=$C$23+$C$22,$B$23,0))</f>
      </c>
      <c r="N197" s="1"/>
      <c r="O197" s="332">
        <f>IF(Q197=12,O196-1,O196)</f>
      </c>
      <c r="P197" s="332">
        <v>193</v>
      </c>
      <c r="Q197" s="332">
        <f>IF(Q196=1,12,Q196-1)</f>
      </c>
      <c r="R197" s="169"/>
      <c r="S197" s="333">
        <f>HLOOKUP(O197,'Datos SS'!$B$4:$CZZ$16,(Q197+1),0)</f>
      </c>
      <c r="T197" s="333">
        <f>IF(O197=YEAR($B$5),($B$9/12),IF(O197&gt;MIN(YEAR($B$7),YEAR($B$5)),($B$9/12)*(1+HLOOKUP(O197,'Datos SS'!$B$31:$CZZ$32,2,0))^(O197-YEAR($B$5)),T185/(1+HLOOKUP(O197,'Datos SS'!$B$31:$CZZ$32,2,0))))</f>
      </c>
      <c r="U197" s="333">
        <f>IF(O197=2018,IF(Q197&lt;8,HLOOKUP(O197,'Datos SS'!$B$25:$BZZ$27,3,0)/12,HLOOKUP(O197,'Datos SS'!$B$25:$BZZ$26,2,0)/12),HLOOKUP(O197,'Datos SS'!$B$25:$BZZ$26,2,0)/12)</f>
      </c>
      <c r="V197" s="964">
        <f>MAX(X197,MIN(T197,U197))</f>
      </c>
      <c r="W197" s="333">
        <f>IF($E$19="NO",IF(P197&lt;=180,IF(P197&lt;25,V197,V197*$S$28/S197),0),IF(P197&gt;$B$15,0,IF(P197&lt;25,V197,V197*$S$28/S197)))</f>
      </c>
      <c r="X197" s="721">
        <f>HLOOKUP(O197,'Datos SS'!$K$37:$EP$38,2,0)</f>
      </c>
      <c r="Y197" s="331">
        <f>MAX(INT(Y196)-1,0)</f>
      </c>
      <c r="Z197" s="169"/>
      <c r="AA197" s="169"/>
      <c r="AB197" s="169"/>
      <c r="AC197" s="965">
        <v>2031.9659015084774</v>
      </c>
      <c r="AD197" s="331">
        <f>+AC197-W197</f>
      </c>
      <c r="AE197" s="169"/>
      <c r="AF197" s="170"/>
      <c r="AG197" s="169"/>
      <c r="AH197" s="170"/>
      <c r="AI197" s="170"/>
      <c r="AJ197" s="1"/>
      <c r="AK197" s="1"/>
      <c r="AL197" s="170"/>
      <c r="AM197" s="170"/>
    </row>
    <row x14ac:dyDescent="0.25" r="198" customHeight="1" ht="18.75">
      <c r="A198" s="1"/>
      <c r="B198" s="170"/>
      <c r="C198" s="169"/>
      <c r="D198" s="170"/>
      <c r="E198" s="169"/>
      <c r="F198" s="169"/>
      <c r="G198" s="170"/>
      <c r="H198" s="170"/>
      <c r="I198" s="169"/>
      <c r="J198" s="1"/>
      <c r="K198" s="169"/>
      <c r="L198" s="332">
        <v>194</v>
      </c>
      <c r="M198" s="332">
        <f>IF(L198&lt;=$C$22,$B$22,IF(L198&lt;=$C$23+$C$22,$B$23,0))</f>
      </c>
      <c r="N198" s="1"/>
      <c r="O198" s="332">
        <f>IF(Q198=12,O197-1,O197)</f>
      </c>
      <c r="P198" s="332">
        <v>194</v>
      </c>
      <c r="Q198" s="332">
        <f>IF(Q197=1,12,Q197-1)</f>
      </c>
      <c r="R198" s="169"/>
      <c r="S198" s="333">
        <f>HLOOKUP(O198,'Datos SS'!$B$4:$CZZ$16,(Q198+1),0)</f>
      </c>
      <c r="T198" s="333">
        <f>IF(O198=YEAR($B$5),($B$9/12),IF(O198&gt;MIN(YEAR($B$7),YEAR($B$5)),($B$9/12)*(1+HLOOKUP(O198,'Datos SS'!$B$31:$CZZ$32,2,0))^(O198-YEAR($B$5)),T186/(1+HLOOKUP(O198,'Datos SS'!$B$31:$CZZ$32,2,0))))</f>
      </c>
      <c r="U198" s="333">
        <f>IF(O198=2018,IF(Q198&lt;8,HLOOKUP(O198,'Datos SS'!$B$25:$BZZ$27,3,0)/12,HLOOKUP(O198,'Datos SS'!$B$25:$BZZ$26,2,0)/12),HLOOKUP(O198,'Datos SS'!$B$25:$BZZ$26,2,0)/12)</f>
      </c>
      <c r="V198" s="964">
        <f>MAX(X198,MIN(T198,U198))</f>
      </c>
      <c r="W198" s="333">
        <f>IF($E$19="NO",IF(P198&lt;=180,IF(P198&lt;25,V198,V198*$S$28/S198),0),IF(P198&gt;$B$15,0,IF(P198&lt;25,V198,V198*$S$28/S198)))</f>
      </c>
      <c r="X198" s="721">
        <f>HLOOKUP(O198,'Datos SS'!$K$37:$EP$38,2,0)</f>
      </c>
      <c r="Y198" s="331">
        <f>MAX(INT(Y197)-1,0)</f>
      </c>
      <c r="Z198" s="169"/>
      <c r="AA198" s="169"/>
      <c r="AB198" s="169"/>
      <c r="AC198" s="965">
        <v>2033.6514946708305</v>
      </c>
      <c r="AD198" s="331">
        <f>+AC198-W198</f>
      </c>
      <c r="AE198" s="169"/>
      <c r="AF198" s="170"/>
      <c r="AG198" s="169"/>
      <c r="AH198" s="170"/>
      <c r="AI198" s="170"/>
      <c r="AJ198" s="1"/>
      <c r="AK198" s="1"/>
      <c r="AL198" s="170"/>
      <c r="AM198" s="170"/>
    </row>
    <row x14ac:dyDescent="0.25" r="199" customHeight="1" ht="18.75">
      <c r="A199" s="1"/>
      <c r="B199" s="170"/>
      <c r="C199" s="169"/>
      <c r="D199" s="170"/>
      <c r="E199" s="169"/>
      <c r="F199" s="169"/>
      <c r="G199" s="170"/>
      <c r="H199" s="170"/>
      <c r="I199" s="169"/>
      <c r="J199" s="1"/>
      <c r="K199" s="169"/>
      <c r="L199" s="332">
        <v>195</v>
      </c>
      <c r="M199" s="332">
        <f>IF(L199&lt;=$C$22,$B$22,IF(L199&lt;=$C$23+$C$22,$B$23,0))</f>
      </c>
      <c r="N199" s="1"/>
      <c r="O199" s="332">
        <f>IF(Q199=12,O198-1,O198)</f>
      </c>
      <c r="P199" s="332">
        <v>195</v>
      </c>
      <c r="Q199" s="332">
        <f>IF(Q198=1,12,Q198-1)</f>
      </c>
      <c r="R199" s="169"/>
      <c r="S199" s="333">
        <f>HLOOKUP(O199,'Datos SS'!$B$4:$CZZ$16,(Q199+1),0)</f>
      </c>
      <c r="T199" s="333">
        <f>IF(O199=YEAR($B$5),($B$9/12),IF(O199&gt;MIN(YEAR($B$7),YEAR($B$5)),($B$9/12)*(1+HLOOKUP(O199,'Datos SS'!$B$31:$CZZ$32,2,0))^(O199-YEAR($B$5)),T187/(1+HLOOKUP(O199,'Datos SS'!$B$31:$CZZ$32,2,0))))</f>
      </c>
      <c r="U199" s="333">
        <f>IF(O199=2018,IF(Q199&lt;8,HLOOKUP(O199,'Datos SS'!$B$25:$BZZ$27,3,0)/12,HLOOKUP(O199,'Datos SS'!$B$25:$BZZ$26,2,0)/12),HLOOKUP(O199,'Datos SS'!$B$25:$BZZ$26,2,0)/12)</f>
      </c>
      <c r="V199" s="964">
        <f>MAX(X199,MIN(T199,U199))</f>
      </c>
      <c r="W199" s="333">
        <f>IF($E$19="NO",IF(P199&lt;=180,IF(P199&lt;25,V199,V199*$S$28/S199),0),IF(P199&gt;$B$15,0,IF(P199&lt;25,V199,V199*$S$28/S199)))</f>
      </c>
      <c r="X199" s="721">
        <f>HLOOKUP(O199,'Datos SS'!$K$37:$EP$38,2,0)</f>
      </c>
      <c r="Y199" s="331">
        <f>MAX(INT(Y198)-1,0)</f>
      </c>
      <c r="Z199" s="169"/>
      <c r="AA199" s="169"/>
      <c r="AB199" s="169"/>
      <c r="AC199" s="965">
        <v>2035.338486096957</v>
      </c>
      <c r="AD199" s="331">
        <f>+AC199-W199</f>
      </c>
      <c r="AE199" s="169"/>
      <c r="AF199" s="170"/>
      <c r="AG199" s="169"/>
      <c r="AH199" s="170"/>
      <c r="AI199" s="170"/>
      <c r="AJ199" s="1"/>
      <c r="AK199" s="1"/>
      <c r="AL199" s="170"/>
      <c r="AM199" s="170"/>
    </row>
    <row x14ac:dyDescent="0.25" r="200" customHeight="1" ht="18.75">
      <c r="A200" s="1"/>
      <c r="B200" s="170"/>
      <c r="C200" s="169"/>
      <c r="D200" s="170"/>
      <c r="E200" s="169"/>
      <c r="F200" s="169"/>
      <c r="G200" s="170"/>
      <c r="H200" s="170"/>
      <c r="I200" s="169"/>
      <c r="J200" s="1"/>
      <c r="K200" s="169"/>
      <c r="L200" s="332">
        <v>196</v>
      </c>
      <c r="M200" s="332">
        <f>IF(L200&lt;=$C$22,$B$22,IF(L200&lt;=$C$23+$C$22,$B$23,0))</f>
      </c>
      <c r="N200" s="1"/>
      <c r="O200" s="332">
        <f>IF(Q200=12,O199-1,O199)</f>
      </c>
      <c r="P200" s="332">
        <v>196</v>
      </c>
      <c r="Q200" s="332">
        <f>IF(Q199=1,12,Q199-1)</f>
      </c>
      <c r="R200" s="169"/>
      <c r="S200" s="333">
        <f>HLOOKUP(O200,'Datos SS'!$B$4:$CZZ$16,(Q200+1),0)</f>
      </c>
      <c r="T200" s="333">
        <f>IF(O200=YEAR($B$5),($B$9/12),IF(O200&gt;MIN(YEAR($B$7),YEAR($B$5)),($B$9/12)*(1+HLOOKUP(O200,'Datos SS'!$B$31:$CZZ$32,2,0))^(O200-YEAR($B$5)),T188/(1+HLOOKUP(O200,'Datos SS'!$B$31:$CZZ$32,2,0))))</f>
      </c>
      <c r="U200" s="333">
        <f>IF(O200=2018,IF(Q200&lt;8,HLOOKUP(O200,'Datos SS'!$B$25:$BZZ$27,3,0)/12,HLOOKUP(O200,'Datos SS'!$B$25:$BZZ$26,2,0)/12),HLOOKUP(O200,'Datos SS'!$B$25:$BZZ$26,2,0)/12)</f>
      </c>
      <c r="V200" s="964">
        <f>MAX(X200,MIN(T200,U200))</f>
      </c>
      <c r="W200" s="333">
        <f>IF($E$19="NO",IF(P200&lt;=180,IF(P200&lt;25,V200,V200*$S$28/S200),0),IF(P200&gt;$B$15,0,IF(P200&lt;25,V200,V200*$S$28/S200)))</f>
      </c>
      <c r="X200" s="721">
        <f>HLOOKUP(O200,'Datos SS'!$K$37:$EP$38,2,0)</f>
      </c>
      <c r="Y200" s="331">
        <f>MAX(INT(Y199)-1,0)</f>
      </c>
      <c r="Z200" s="169"/>
      <c r="AA200" s="169"/>
      <c r="AB200" s="169"/>
      <c r="AC200" s="965">
        <v>2037.02687694677</v>
      </c>
      <c r="AD200" s="331">
        <f>+AC200-W200</f>
      </c>
      <c r="AE200" s="169"/>
      <c r="AF200" s="170"/>
      <c r="AG200" s="169"/>
      <c r="AH200" s="170"/>
      <c r="AI200" s="170"/>
      <c r="AJ200" s="1"/>
      <c r="AK200" s="1"/>
      <c r="AL200" s="170"/>
      <c r="AM200" s="170"/>
    </row>
    <row x14ac:dyDescent="0.25" r="201" customHeight="1" ht="18.75">
      <c r="A201" s="1"/>
      <c r="B201" s="170"/>
      <c r="C201" s="169"/>
      <c r="D201" s="170"/>
      <c r="E201" s="169"/>
      <c r="F201" s="169"/>
      <c r="G201" s="170"/>
      <c r="H201" s="170"/>
      <c r="I201" s="169"/>
      <c r="J201" s="1"/>
      <c r="K201" s="169"/>
      <c r="L201" s="332">
        <v>197</v>
      </c>
      <c r="M201" s="332">
        <f>IF(L201&lt;=$C$22,$B$22,IF(L201&lt;=$C$23+$C$22,$B$23,0))</f>
      </c>
      <c r="N201" s="1"/>
      <c r="O201" s="332">
        <f>IF(Q201=12,O200-1,O200)</f>
      </c>
      <c r="P201" s="332">
        <v>197</v>
      </c>
      <c r="Q201" s="332">
        <f>IF(Q200=1,12,Q200-1)</f>
      </c>
      <c r="R201" s="169"/>
      <c r="S201" s="333">
        <f>HLOOKUP(O201,'Datos SS'!$B$4:$CZZ$16,(Q201+1),0)</f>
      </c>
      <c r="T201" s="333">
        <f>IF(O201=YEAR($B$5),($B$9/12),IF(O201&gt;MIN(YEAR($B$7),YEAR($B$5)),($B$9/12)*(1+HLOOKUP(O201,'Datos SS'!$B$31:$CZZ$32,2,0))^(O201-YEAR($B$5)),T189/(1+HLOOKUP(O201,'Datos SS'!$B$31:$CZZ$32,2,0))))</f>
      </c>
      <c r="U201" s="333">
        <f>IF(O201=2018,IF(Q201&lt;8,HLOOKUP(O201,'Datos SS'!$B$25:$BZZ$27,3,0)/12,HLOOKUP(O201,'Datos SS'!$B$25:$BZZ$26,2,0)/12),HLOOKUP(O201,'Datos SS'!$B$25:$BZZ$26,2,0)/12)</f>
      </c>
      <c r="V201" s="964">
        <f>MAX(X201,MIN(T201,U201))</f>
      </c>
      <c r="W201" s="333">
        <f>IF($E$19="NO",IF(P201&lt;=180,IF(P201&lt;25,V201,V201*$S$28/S201),0),IF(P201&gt;$B$15,0,IF(P201&lt;25,V201,V201*$S$28/S201)))</f>
      </c>
      <c r="X201" s="721">
        <f>HLOOKUP(O201,'Datos SS'!$K$37:$EP$38,2,0)</f>
      </c>
      <c r="Y201" s="331">
        <f>MAX(INT(Y200)-1,0)</f>
      </c>
      <c r="Z201" s="169"/>
      <c r="AA201" s="169"/>
      <c r="AB201" s="169"/>
      <c r="AC201" s="965">
        <v>2038.7166683811447</v>
      </c>
      <c r="AD201" s="331">
        <f>+AC201-W201</f>
      </c>
      <c r="AE201" s="169"/>
      <c r="AF201" s="170"/>
      <c r="AG201" s="169"/>
      <c r="AH201" s="170"/>
      <c r="AI201" s="170"/>
      <c r="AJ201" s="1"/>
      <c r="AK201" s="1"/>
      <c r="AL201" s="170"/>
      <c r="AM201" s="170"/>
    </row>
    <row x14ac:dyDescent="0.25" r="202" customHeight="1" ht="18.75">
      <c r="A202" s="1"/>
      <c r="B202" s="170"/>
      <c r="C202" s="169"/>
      <c r="D202" s="170"/>
      <c r="E202" s="169"/>
      <c r="F202" s="169"/>
      <c r="G202" s="170"/>
      <c r="H202" s="170"/>
      <c r="I202" s="169"/>
      <c r="J202" s="1"/>
      <c r="K202" s="169"/>
      <c r="L202" s="332">
        <v>198</v>
      </c>
      <c r="M202" s="332">
        <f>IF(L202&lt;=$C$22,$B$22,IF(L202&lt;=$C$23+$C$22,$B$23,0))</f>
      </c>
      <c r="N202" s="1"/>
      <c r="O202" s="332">
        <f>IF(Q202=12,O201-1,O201)</f>
      </c>
      <c r="P202" s="332">
        <v>198</v>
      </c>
      <c r="Q202" s="332">
        <f>IF(Q201=1,12,Q201-1)</f>
      </c>
      <c r="R202" s="169"/>
      <c r="S202" s="333">
        <f>HLOOKUP(O202,'Datos SS'!$B$4:$CZZ$16,(Q202+1),0)</f>
      </c>
      <c r="T202" s="333">
        <f>IF(O202=YEAR($B$5),($B$9/12),IF(O202&gt;MIN(YEAR($B$7),YEAR($B$5)),($B$9/12)*(1+HLOOKUP(O202,'Datos SS'!$B$31:$CZZ$32,2,0))^(O202-YEAR($B$5)),T190/(1+HLOOKUP(O202,'Datos SS'!$B$31:$CZZ$32,2,0))))</f>
      </c>
      <c r="U202" s="333">
        <f>IF(O202=2018,IF(Q202&lt;8,HLOOKUP(O202,'Datos SS'!$B$25:$BZZ$27,3,0)/12,HLOOKUP(O202,'Datos SS'!$B$25:$BZZ$26,2,0)/12),HLOOKUP(O202,'Datos SS'!$B$25:$BZZ$26,2,0)/12)</f>
      </c>
      <c r="V202" s="964">
        <f>MAX(X202,MIN(T202,U202))</f>
      </c>
      <c r="W202" s="333">
        <f>IF($E$19="NO",IF(P202&lt;=180,IF(P202&lt;25,V202,V202*$S$28/S202),0),IF(P202&gt;$B$15,0,IF(P202&lt;25,V202,V202*$S$28/S202)))</f>
      </c>
      <c r="X202" s="721">
        <f>HLOOKUP(O202,'Datos SS'!$K$37:$EP$38,2,0)</f>
      </c>
      <c r="Y202" s="331">
        <f>MAX(INT(Y201)-1,0)</f>
      </c>
      <c r="Z202" s="169"/>
      <c r="AA202" s="169"/>
      <c r="AB202" s="169"/>
      <c r="AC202" s="965">
        <v>2040.4078615619196</v>
      </c>
      <c r="AD202" s="331">
        <f>+AC202-W202</f>
      </c>
      <c r="AE202" s="169"/>
      <c r="AF202" s="170"/>
      <c r="AG202" s="169"/>
      <c r="AH202" s="170"/>
      <c r="AI202" s="170"/>
      <c r="AJ202" s="1"/>
      <c r="AK202" s="1"/>
      <c r="AL202" s="170"/>
      <c r="AM202" s="170"/>
    </row>
    <row x14ac:dyDescent="0.25" r="203" customHeight="1" ht="18.75">
      <c r="A203" s="1"/>
      <c r="B203" s="170"/>
      <c r="C203" s="169"/>
      <c r="D203" s="170"/>
      <c r="E203" s="169"/>
      <c r="F203" s="169"/>
      <c r="G203" s="170"/>
      <c r="H203" s="170"/>
      <c r="I203" s="169"/>
      <c r="J203" s="1"/>
      <c r="K203" s="169"/>
      <c r="L203" s="332">
        <v>199</v>
      </c>
      <c r="M203" s="332">
        <f>IF(L203&lt;=$C$22,$B$22,IF(L203&lt;=$C$23+$C$22,$B$23,0))</f>
      </c>
      <c r="N203" s="1"/>
      <c r="O203" s="332">
        <f>IF(Q203=12,O202-1,O202)</f>
      </c>
      <c r="P203" s="332">
        <v>199</v>
      </c>
      <c r="Q203" s="332">
        <f>IF(Q202=1,12,Q202-1)</f>
      </c>
      <c r="R203" s="169"/>
      <c r="S203" s="333">
        <f>HLOOKUP(O203,'Datos SS'!$B$4:$CZZ$16,(Q203+1),0)</f>
      </c>
      <c r="T203" s="333">
        <f>IF(O203=YEAR($B$5),($B$9/12),IF(O203&gt;MIN(YEAR($B$7),YEAR($B$5)),($B$9/12)*(1+HLOOKUP(O203,'Datos SS'!$B$31:$CZZ$32,2,0))^(O203-YEAR($B$5)),T191/(1+HLOOKUP(O203,'Datos SS'!$B$31:$CZZ$32,2,0))))</f>
      </c>
      <c r="U203" s="333">
        <f>IF(O203=2018,IF(Q203&lt;8,HLOOKUP(O203,'Datos SS'!$B$25:$BZZ$27,3,0)/12,HLOOKUP(O203,'Datos SS'!$B$25:$BZZ$26,2,0)/12),HLOOKUP(O203,'Datos SS'!$B$25:$BZZ$26,2,0)/12)</f>
      </c>
      <c r="V203" s="964">
        <f>MAX(X203,MIN(T203,U203))</f>
      </c>
      <c r="W203" s="333">
        <f>IF($E$19="NO",IF(P203&lt;=180,IF(P203&lt;25,V203,V203*$S$28/S203),0),IF(P203&gt;$B$15,0,IF(P203&lt;25,V203,V203*$S$28/S203)))</f>
      </c>
      <c r="X203" s="721">
        <f>HLOOKUP(O203,'Datos SS'!$K$37:$EP$38,2,0)</f>
      </c>
      <c r="Y203" s="331">
        <f>MAX(INT(Y202)-1,0)</f>
      </c>
      <c r="Z203" s="169"/>
      <c r="AA203" s="169"/>
      <c r="AB203" s="169"/>
      <c r="AC203" s="965">
        <v>2042.1004576518967</v>
      </c>
      <c r="AD203" s="331">
        <f>+AC203-W203</f>
      </c>
      <c r="AE203" s="169"/>
      <c r="AF203" s="170"/>
      <c r="AG203" s="169"/>
      <c r="AH203" s="170"/>
      <c r="AI203" s="170"/>
      <c r="AJ203" s="1"/>
      <c r="AK203" s="1"/>
      <c r="AL203" s="170"/>
      <c r="AM203" s="170"/>
    </row>
    <row x14ac:dyDescent="0.25" r="204" customHeight="1" ht="18.75">
      <c r="A204" s="1"/>
      <c r="B204" s="170"/>
      <c r="C204" s="169"/>
      <c r="D204" s="170"/>
      <c r="E204" s="169"/>
      <c r="F204" s="169"/>
      <c r="G204" s="170"/>
      <c r="H204" s="170"/>
      <c r="I204" s="169"/>
      <c r="J204" s="1"/>
      <c r="K204" s="169"/>
      <c r="L204" s="332">
        <v>200</v>
      </c>
      <c r="M204" s="332">
        <f>IF(L204&lt;=$C$22,$B$22,IF(L204&lt;=$C$23+$C$22,$B$23,0))</f>
      </c>
      <c r="N204" s="1"/>
      <c r="O204" s="332">
        <f>IF(Q204=12,O203-1,O203)</f>
      </c>
      <c r="P204" s="332">
        <v>200</v>
      </c>
      <c r="Q204" s="332">
        <f>IF(Q203=1,12,Q203-1)</f>
      </c>
      <c r="R204" s="169"/>
      <c r="S204" s="333">
        <f>HLOOKUP(O204,'Datos SS'!$B$4:$CZZ$16,(Q204+1),0)</f>
      </c>
      <c r="T204" s="333">
        <f>IF(O204=YEAR($B$5),($B$9/12),IF(O204&gt;MIN(YEAR($B$7),YEAR($B$5)),($B$9/12)*(1+HLOOKUP(O204,'Datos SS'!$B$31:$CZZ$32,2,0))^(O204-YEAR($B$5)),T192/(1+HLOOKUP(O204,'Datos SS'!$B$31:$CZZ$32,2,0))))</f>
      </c>
      <c r="U204" s="333">
        <f>IF(O204=2018,IF(Q204&lt;8,HLOOKUP(O204,'Datos SS'!$B$25:$BZZ$27,3,0)/12,HLOOKUP(O204,'Datos SS'!$B$25:$BZZ$26,2,0)/12),HLOOKUP(O204,'Datos SS'!$B$25:$BZZ$26,2,0)/12)</f>
      </c>
      <c r="V204" s="964">
        <f>MAX(X204,MIN(T204,U204))</f>
      </c>
      <c r="W204" s="333">
        <f>IF($E$19="NO",IF(P204&lt;=180,IF(P204&lt;25,V204,V204*$S$28/S204),0),IF(P204&gt;$B$15,0,IF(P204&lt;25,V204,V204*$S$28/S204)))</f>
      </c>
      <c r="X204" s="721">
        <f>HLOOKUP(O204,'Datos SS'!$K$37:$EP$38,2,0)</f>
      </c>
      <c r="Y204" s="331">
        <f>MAX(INT(Y203)-1,0)</f>
      </c>
      <c r="Z204" s="169"/>
      <c r="AA204" s="169"/>
      <c r="AB204" s="169"/>
      <c r="AC204" s="965">
        <v>2043.7944578148429</v>
      </c>
      <c r="AD204" s="331">
        <f>+AC204-W204</f>
      </c>
      <c r="AE204" s="169"/>
      <c r="AF204" s="170"/>
      <c r="AG204" s="169"/>
      <c r="AH204" s="170"/>
      <c r="AI204" s="170"/>
      <c r="AJ204" s="1"/>
      <c r="AK204" s="1"/>
      <c r="AL204" s="170"/>
      <c r="AM204" s="170"/>
    </row>
    <row x14ac:dyDescent="0.25" r="205" customHeight="1" ht="18.75">
      <c r="A205" s="1"/>
      <c r="B205" s="170"/>
      <c r="C205" s="169"/>
      <c r="D205" s="170"/>
      <c r="E205" s="169"/>
      <c r="F205" s="169"/>
      <c r="G205" s="170"/>
      <c r="H205" s="170"/>
      <c r="I205" s="169"/>
      <c r="J205" s="1"/>
      <c r="K205" s="169"/>
      <c r="L205" s="332">
        <v>201</v>
      </c>
      <c r="M205" s="332">
        <f>IF(L205&lt;=$C$22,$B$22,IF(L205&lt;=$C$23+$C$22,$B$23,0))</f>
      </c>
      <c r="N205" s="1"/>
      <c r="O205" s="332">
        <f>IF(Q205=12,O204-1,O204)</f>
      </c>
      <c r="P205" s="332">
        <v>201</v>
      </c>
      <c r="Q205" s="332">
        <f>IF(Q204=1,12,Q204-1)</f>
      </c>
      <c r="R205" s="169"/>
      <c r="S205" s="333">
        <f>HLOOKUP(O205,'Datos SS'!$B$4:$CZZ$16,(Q205+1),0)</f>
      </c>
      <c r="T205" s="333">
        <f>IF(O205=YEAR($B$5),($B$9/12),IF(O205&gt;MIN(YEAR($B$7),YEAR($B$5)),($B$9/12)*(1+HLOOKUP(O205,'Datos SS'!$B$31:$CZZ$32,2,0))^(O205-YEAR($B$5)),T193/(1+HLOOKUP(O205,'Datos SS'!$B$31:$CZZ$32,2,0))))</f>
      </c>
      <c r="U205" s="333">
        <f>IF(O205=2018,IF(Q205&lt;8,HLOOKUP(O205,'Datos SS'!$B$25:$BZZ$27,3,0)/12,HLOOKUP(O205,'Datos SS'!$B$25:$BZZ$26,2,0)/12),HLOOKUP(O205,'Datos SS'!$B$25:$BZZ$26,2,0)/12)</f>
      </c>
      <c r="V205" s="964">
        <f>MAX(X205,MIN(T205,U205))</f>
      </c>
      <c r="W205" s="333">
        <f>IF($E$19="NO",IF(P205&lt;=180,IF(P205&lt;25,V205,V205*$S$28/S205),0),IF(P205&gt;$B$15,0,IF(P205&lt;25,V205,V205*$S$28/S205)))</f>
      </c>
      <c r="X205" s="721">
        <f>HLOOKUP(O205,'Datos SS'!$K$37:$EP$38,2,0)</f>
      </c>
      <c r="Y205" s="331">
        <f>MAX(INT(Y204)-1,0)</f>
      </c>
      <c r="Z205" s="169"/>
      <c r="AA205" s="169"/>
      <c r="AB205" s="169"/>
      <c r="AC205" s="965">
        <v>2045.4898632154895</v>
      </c>
      <c r="AD205" s="331">
        <f>+AC205-W205</f>
      </c>
      <c r="AE205" s="169"/>
      <c r="AF205" s="170"/>
      <c r="AG205" s="169"/>
      <c r="AH205" s="170"/>
      <c r="AI205" s="170"/>
      <c r="AJ205" s="1"/>
      <c r="AK205" s="1"/>
      <c r="AL205" s="170"/>
      <c r="AM205" s="170"/>
    </row>
    <row x14ac:dyDescent="0.25" r="206" customHeight="1" ht="18.75">
      <c r="A206" s="1"/>
      <c r="B206" s="170"/>
      <c r="C206" s="169"/>
      <c r="D206" s="170"/>
      <c r="E206" s="169"/>
      <c r="F206" s="169"/>
      <c r="G206" s="170"/>
      <c r="H206" s="170"/>
      <c r="I206" s="169"/>
      <c r="J206" s="1"/>
      <c r="K206" s="169"/>
      <c r="L206" s="332">
        <v>202</v>
      </c>
      <c r="M206" s="332">
        <f>IF(L206&lt;=$C$22,$B$22,IF(L206&lt;=$C$23+$C$22,$B$23,0))</f>
      </c>
      <c r="N206" s="1"/>
      <c r="O206" s="332">
        <f>IF(Q206=12,O205-1,O205)</f>
      </c>
      <c r="P206" s="332">
        <v>202</v>
      </c>
      <c r="Q206" s="332">
        <f>IF(Q205=1,12,Q205-1)</f>
      </c>
      <c r="R206" s="169"/>
      <c r="S206" s="333">
        <f>HLOOKUP(O206,'Datos SS'!$B$4:$CZZ$16,(Q206+1),0)</f>
      </c>
      <c r="T206" s="333">
        <f>IF(O206=YEAR($B$5),($B$9/12),IF(O206&gt;MIN(YEAR($B$7),YEAR($B$5)),($B$9/12)*(1+HLOOKUP(O206,'Datos SS'!$B$31:$CZZ$32,2,0))^(O206-YEAR($B$5)),T194/(1+HLOOKUP(O206,'Datos SS'!$B$31:$CZZ$32,2,0))))</f>
      </c>
      <c r="U206" s="333">
        <f>IF(O206=2018,IF(Q206&lt;8,HLOOKUP(O206,'Datos SS'!$B$25:$BZZ$27,3,0)/12,HLOOKUP(O206,'Datos SS'!$B$25:$BZZ$26,2,0)/12),HLOOKUP(O206,'Datos SS'!$B$25:$BZZ$26,2,0)/12)</f>
      </c>
      <c r="V206" s="964">
        <f>MAX(X206,MIN(T206,U206))</f>
      </c>
      <c r="W206" s="333">
        <f>IF($E$19="NO",IF(P206&lt;=180,IF(P206&lt;25,V206,V206*$S$28/S206),0),IF(P206&gt;$B$15,0,IF(P206&lt;25,V206,V206*$S$28/S206)))</f>
      </c>
      <c r="X206" s="721">
        <f>HLOOKUP(O206,'Datos SS'!$K$37:$EP$38,2,0)</f>
      </c>
      <c r="Y206" s="331">
        <f>MAX(INT(Y205)-1,0)</f>
      </c>
      <c r="Z206" s="169"/>
      <c r="AA206" s="169"/>
      <c r="AB206" s="169"/>
      <c r="AC206" s="965">
        <v>2016.9326847483114</v>
      </c>
      <c r="AD206" s="331">
        <f>+AC206-W206</f>
      </c>
      <c r="AE206" s="169"/>
      <c r="AF206" s="170"/>
      <c r="AG206" s="169"/>
      <c r="AH206" s="170"/>
      <c r="AI206" s="170"/>
      <c r="AJ206" s="1"/>
      <c r="AK206" s="1"/>
      <c r="AL206" s="170"/>
      <c r="AM206" s="170"/>
    </row>
    <row x14ac:dyDescent="0.25" r="207" customHeight="1" ht="18.75">
      <c r="A207" s="1"/>
      <c r="B207" s="170"/>
      <c r="C207" s="169"/>
      <c r="D207" s="170"/>
      <c r="E207" s="169"/>
      <c r="F207" s="169"/>
      <c r="G207" s="170"/>
      <c r="H207" s="170"/>
      <c r="I207" s="169"/>
      <c r="J207" s="1"/>
      <c r="K207" s="169"/>
      <c r="L207" s="332">
        <v>203</v>
      </c>
      <c r="M207" s="332">
        <f>IF(L207&lt;=$C$22,$B$22,IF(L207&lt;=$C$23+$C$22,$B$23,0))</f>
      </c>
      <c r="N207" s="1"/>
      <c r="O207" s="332">
        <f>IF(Q207=12,O206-1,O206)</f>
      </c>
      <c r="P207" s="332">
        <v>203</v>
      </c>
      <c r="Q207" s="332">
        <f>IF(Q206=1,12,Q206-1)</f>
      </c>
      <c r="R207" s="169"/>
      <c r="S207" s="333">
        <f>HLOOKUP(O207,'Datos SS'!$B$4:$CZZ$16,(Q207+1),0)</f>
      </c>
      <c r="T207" s="333">
        <f>IF(O207=YEAR($B$5),($B$9/12),IF(O207&gt;MIN(YEAR($B$7),YEAR($B$5)),($B$9/12)*(1+HLOOKUP(O207,'Datos SS'!$B$31:$CZZ$32,2,0))^(O207-YEAR($B$5)),T195/(1+HLOOKUP(O207,'Datos SS'!$B$31:$CZZ$32,2,0))))</f>
      </c>
      <c r="U207" s="333">
        <f>IF(O207=2018,IF(Q207&lt;8,HLOOKUP(O207,'Datos SS'!$B$25:$BZZ$27,3,0)/12,HLOOKUP(O207,'Datos SS'!$B$25:$BZZ$26,2,0)/12),HLOOKUP(O207,'Datos SS'!$B$25:$BZZ$26,2,0)/12)</f>
      </c>
      <c r="V207" s="964">
        <f>MAX(X207,MIN(T207,U207))</f>
      </c>
      <c r="W207" s="333">
        <f>IF($E$19="NO",IF(P207&lt;=180,IF(P207&lt;25,V207,V207*$S$28/S207),0),IF(P207&gt;$B$15,0,IF(P207&lt;25,V207,V207*$S$28/S207)))</f>
      </c>
      <c r="X207" s="721">
        <f>HLOOKUP(O207,'Datos SS'!$K$37:$EP$38,2,0)</f>
      </c>
      <c r="Y207" s="331">
        <f>MAX(INT(Y206)-1,0)</f>
      </c>
      <c r="Z207" s="169"/>
      <c r="AA207" s="169"/>
      <c r="AB207" s="169"/>
      <c r="AC207" s="965">
        <v>2018.6058072843807</v>
      </c>
      <c r="AD207" s="331">
        <f>+AC207-W207</f>
      </c>
      <c r="AE207" s="169"/>
      <c r="AF207" s="170"/>
      <c r="AG207" s="169"/>
      <c r="AH207" s="170"/>
      <c r="AI207" s="170"/>
      <c r="AJ207" s="1"/>
      <c r="AK207" s="1"/>
      <c r="AL207" s="170"/>
      <c r="AM207" s="170"/>
    </row>
    <row x14ac:dyDescent="0.25" r="208" customHeight="1" ht="18.75">
      <c r="A208" s="1"/>
      <c r="B208" s="170"/>
      <c r="C208" s="169"/>
      <c r="D208" s="170"/>
      <c r="E208" s="169"/>
      <c r="F208" s="169"/>
      <c r="G208" s="170"/>
      <c r="H208" s="170"/>
      <c r="I208" s="169"/>
      <c r="J208" s="1"/>
      <c r="K208" s="169"/>
      <c r="L208" s="332">
        <v>204</v>
      </c>
      <c r="M208" s="332">
        <f>IF(L208&lt;=$C$22,$B$22,IF(L208&lt;=$C$23+$C$22,$B$23,0))</f>
      </c>
      <c r="N208" s="1"/>
      <c r="O208" s="332">
        <f>IF(Q208=12,O207-1,O207)</f>
      </c>
      <c r="P208" s="332">
        <v>204</v>
      </c>
      <c r="Q208" s="332">
        <f>IF(Q207=1,12,Q207-1)</f>
      </c>
      <c r="R208" s="169"/>
      <c r="S208" s="333">
        <f>HLOOKUP(O208,'Datos SS'!$B$4:$CZZ$16,(Q208+1),0)</f>
      </c>
      <c r="T208" s="333">
        <f>IF(O208=YEAR($B$5),($B$9/12),IF(O208&gt;MIN(YEAR($B$7),YEAR($B$5)),($B$9/12)*(1+HLOOKUP(O208,'Datos SS'!$B$31:$CZZ$32,2,0))^(O208-YEAR($B$5)),T196/(1+HLOOKUP(O208,'Datos SS'!$B$31:$CZZ$32,2,0))))</f>
      </c>
      <c r="U208" s="333">
        <f>IF(O208=2018,IF(Q208&lt;8,HLOOKUP(O208,'Datos SS'!$B$25:$BZZ$27,3,0)/12,HLOOKUP(O208,'Datos SS'!$B$25:$BZZ$26,2,0)/12),HLOOKUP(O208,'Datos SS'!$B$25:$BZZ$26,2,0)/12)</f>
      </c>
      <c r="V208" s="964">
        <f>MAX(X208,MIN(T208,U208))</f>
      </c>
      <c r="W208" s="333">
        <f>IF($E$19="NO",IF(P208&lt;=180,IF(P208&lt;25,V208,V208*$S$28/S208),0),IF(P208&gt;$B$15,0,IF(P208&lt;25,V208,V208*$S$28/S208)))</f>
      </c>
      <c r="X208" s="721">
        <f>HLOOKUP(O208,'Datos SS'!$K$37:$EP$38,2,0)</f>
      </c>
      <c r="Y208" s="331">
        <f>MAX(INT(Y207)-1,0)</f>
      </c>
      <c r="Z208" s="169"/>
      <c r="AA208" s="169"/>
      <c r="AB208" s="169"/>
      <c r="AC208" s="965">
        <v>2020.2803177393637</v>
      </c>
      <c r="AD208" s="331">
        <f>+AC208-W208</f>
      </c>
      <c r="AE208" s="169"/>
      <c r="AF208" s="170"/>
      <c r="AG208" s="169"/>
      <c r="AH208" s="170"/>
      <c r="AI208" s="170"/>
      <c r="AJ208" s="1"/>
      <c r="AK208" s="1"/>
      <c r="AL208" s="170"/>
      <c r="AM208" s="170"/>
    </row>
    <row x14ac:dyDescent="0.25" r="209" customHeight="1" ht="18.75">
      <c r="A209" s="1"/>
      <c r="B209" s="170"/>
      <c r="C209" s="169"/>
      <c r="D209" s="170"/>
      <c r="E209" s="169"/>
      <c r="F209" s="169"/>
      <c r="G209" s="170"/>
      <c r="H209" s="170"/>
      <c r="I209" s="169"/>
      <c r="J209" s="1"/>
      <c r="K209" s="169"/>
      <c r="L209" s="332">
        <v>205</v>
      </c>
      <c r="M209" s="332">
        <f>IF(L209&lt;=$C$22,$B$22,IF(L209&lt;=$C$23+$C$22,$B$23,0))</f>
      </c>
      <c r="N209" s="1"/>
      <c r="O209" s="332">
        <f>IF(Q209=12,O208-1,O208)</f>
      </c>
      <c r="P209" s="332">
        <v>205</v>
      </c>
      <c r="Q209" s="332">
        <f>IF(Q208=1,12,Q208-1)</f>
      </c>
      <c r="R209" s="169"/>
      <c r="S209" s="333">
        <f>HLOOKUP(O209,'Datos SS'!$B$4:$CZZ$16,(Q209+1),0)</f>
      </c>
      <c r="T209" s="333">
        <f>IF(O209=YEAR($B$5),($B$9/12),IF(O209&gt;MIN(YEAR($B$7),YEAR($B$5)),($B$9/12)*(1+HLOOKUP(O209,'Datos SS'!$B$31:$CZZ$32,2,0))^(O209-YEAR($B$5)),T197/(1+HLOOKUP(O209,'Datos SS'!$B$31:$CZZ$32,2,0))))</f>
      </c>
      <c r="U209" s="333">
        <f>IF(O209=2018,IF(Q209&lt;8,HLOOKUP(O209,'Datos SS'!$B$25:$BZZ$27,3,0)/12,HLOOKUP(O209,'Datos SS'!$B$25:$BZZ$26,2,0)/12),HLOOKUP(O209,'Datos SS'!$B$25:$BZZ$26,2,0)/12)</f>
      </c>
      <c r="V209" s="964">
        <f>MAX(X209,MIN(T209,U209))</f>
      </c>
      <c r="W209" s="333">
        <f>IF($E$19="NO",IF(P209&lt;=180,IF(P209&lt;25,V209,V209*$S$28/S209),0),IF(P209&gt;$B$15,0,IF(P209&lt;25,V209,V209*$S$28/S209)))</f>
      </c>
      <c r="X209" s="721">
        <f>HLOOKUP(O209,'Datos SS'!$K$37:$EP$38,2,0)</f>
      </c>
      <c r="Y209" s="331">
        <f>MAX(INT(Y208)-1,0)</f>
      </c>
      <c r="Z209" s="169"/>
      <c r="AA209" s="169"/>
      <c r="AB209" s="169"/>
      <c r="AC209" s="965">
        <v>2021.956217264592</v>
      </c>
      <c r="AD209" s="331">
        <f>+AC209-W209</f>
      </c>
      <c r="AE209" s="169"/>
      <c r="AF209" s="170"/>
      <c r="AG209" s="169"/>
      <c r="AH209" s="170"/>
      <c r="AI209" s="170"/>
      <c r="AJ209" s="1"/>
      <c r="AK209" s="1"/>
      <c r="AL209" s="170"/>
      <c r="AM209" s="170"/>
    </row>
    <row x14ac:dyDescent="0.25" r="210" customHeight="1" ht="18.75">
      <c r="A210" s="1"/>
      <c r="B210" s="170"/>
      <c r="C210" s="169"/>
      <c r="D210" s="170"/>
      <c r="E210" s="169"/>
      <c r="F210" s="169"/>
      <c r="G210" s="170"/>
      <c r="H210" s="170"/>
      <c r="I210" s="169"/>
      <c r="J210" s="1"/>
      <c r="K210" s="169"/>
      <c r="L210" s="332">
        <v>206</v>
      </c>
      <c r="M210" s="332">
        <f>IF(L210&lt;=$C$22,$B$22,IF(L210&lt;=$C$23+$C$22,$B$23,0))</f>
      </c>
      <c r="N210" s="1"/>
      <c r="O210" s="332">
        <f>IF(Q210=12,O209-1,O209)</f>
      </c>
      <c r="P210" s="332">
        <v>206</v>
      </c>
      <c r="Q210" s="332">
        <f>IF(Q209=1,12,Q209-1)</f>
      </c>
      <c r="R210" s="169"/>
      <c r="S210" s="333">
        <f>HLOOKUP(O210,'Datos SS'!$B$4:$CZZ$16,(Q210+1),0)</f>
      </c>
      <c r="T210" s="333">
        <f>IF(O210=YEAR($B$5),($B$9/12),IF(O210&gt;MIN(YEAR($B$7),YEAR($B$5)),($B$9/12)*(1+HLOOKUP(O210,'Datos SS'!$B$31:$CZZ$32,2,0))^(O210-YEAR($B$5)),T198/(1+HLOOKUP(O210,'Datos SS'!$B$31:$CZZ$32,2,0))))</f>
      </c>
      <c r="U210" s="333">
        <f>IF(O210=2018,IF(Q210&lt;8,HLOOKUP(O210,'Datos SS'!$B$25:$BZZ$27,3,0)/12,HLOOKUP(O210,'Datos SS'!$B$25:$BZZ$26,2,0)/12),HLOOKUP(O210,'Datos SS'!$B$25:$BZZ$26,2,0)/12)</f>
      </c>
      <c r="V210" s="964">
        <f>MAX(X210,MIN(T210,U210))</f>
      </c>
      <c r="W210" s="333">
        <f>IF($E$19="NO",IF(P210&lt;=180,IF(P210&lt;25,V210,V210*$S$28/S210),0),IF(P210&gt;$B$15,0,IF(P210&lt;25,V210,V210*$S$28/S210)))</f>
      </c>
      <c r="X210" s="721">
        <f>HLOOKUP(O210,'Datos SS'!$K$37:$EP$38,2,0)</f>
      </c>
      <c r="Y210" s="331">
        <f>MAX(INT(Y209)-1,0)</f>
      </c>
      <c r="Z210" s="169"/>
      <c r="AA210" s="169"/>
      <c r="AB210" s="169"/>
      <c r="AC210" s="965">
        <v>2023.633507012352</v>
      </c>
      <c r="AD210" s="331">
        <f>+AC210-W210</f>
      </c>
      <c r="AE210" s="169"/>
      <c r="AF210" s="170"/>
      <c r="AG210" s="169"/>
      <c r="AH210" s="170"/>
      <c r="AI210" s="170"/>
      <c r="AJ210" s="1"/>
      <c r="AK210" s="1"/>
      <c r="AL210" s="170"/>
      <c r="AM210" s="170"/>
    </row>
    <row x14ac:dyDescent="0.25" r="211" customHeight="1" ht="18.75">
      <c r="A211" s="1"/>
      <c r="B211" s="170"/>
      <c r="C211" s="169"/>
      <c r="D211" s="170"/>
      <c r="E211" s="169"/>
      <c r="F211" s="169"/>
      <c r="G211" s="170"/>
      <c r="H211" s="170"/>
      <c r="I211" s="169"/>
      <c r="J211" s="1"/>
      <c r="K211" s="169"/>
      <c r="L211" s="332">
        <v>207</v>
      </c>
      <c r="M211" s="332">
        <f>IF(L211&lt;=$C$22,$B$22,IF(L211&lt;=$C$23+$C$22,$B$23,0))</f>
      </c>
      <c r="N211" s="1"/>
      <c r="O211" s="332">
        <f>IF(Q211=12,O210-1,O210)</f>
      </c>
      <c r="P211" s="332">
        <v>207</v>
      </c>
      <c r="Q211" s="332">
        <f>IF(Q210=1,12,Q210-1)</f>
      </c>
      <c r="R211" s="169"/>
      <c r="S211" s="333">
        <f>HLOOKUP(O211,'Datos SS'!$B$4:$CZZ$16,(Q211+1),0)</f>
      </c>
      <c r="T211" s="333">
        <f>IF(O211=YEAR($B$5),($B$9/12),IF(O211&gt;MIN(YEAR($B$7),YEAR($B$5)),($B$9/12)*(1+HLOOKUP(O211,'Datos SS'!$B$31:$CZZ$32,2,0))^(O211-YEAR($B$5)),T199/(1+HLOOKUP(O211,'Datos SS'!$B$31:$CZZ$32,2,0))))</f>
      </c>
      <c r="U211" s="333">
        <f>IF(O211=2018,IF(Q211&lt;8,HLOOKUP(O211,'Datos SS'!$B$25:$BZZ$27,3,0)/12,HLOOKUP(O211,'Datos SS'!$B$25:$BZZ$26,2,0)/12),HLOOKUP(O211,'Datos SS'!$B$25:$BZZ$26,2,0)/12)</f>
      </c>
      <c r="V211" s="964">
        <f>MAX(X211,MIN(T211,U211))</f>
      </c>
      <c r="W211" s="333">
        <f>IF($E$19="NO",IF(P211&lt;=180,IF(P211&lt;25,V211,V211*$S$28/S211),0),IF(P211&gt;$B$15,0,IF(P211&lt;25,V211,V211*$S$28/S211)))</f>
      </c>
      <c r="X211" s="721">
        <f>HLOOKUP(O211,'Datos SS'!$K$37:$EP$38,2,0)</f>
      </c>
      <c r="Y211" s="331">
        <f>MAX(INT(Y210)-1,0)</f>
      </c>
      <c r="Z211" s="169"/>
      <c r="AA211" s="169"/>
      <c r="AB211" s="169"/>
      <c r="AC211" s="965">
        <v>2025.3121881358868</v>
      </c>
      <c r="AD211" s="331">
        <f>+AC211-W211</f>
      </c>
      <c r="AE211" s="169"/>
      <c r="AF211" s="170"/>
      <c r="AG211" s="169"/>
      <c r="AH211" s="170"/>
      <c r="AI211" s="170"/>
      <c r="AJ211" s="1"/>
      <c r="AK211" s="1"/>
      <c r="AL211" s="170"/>
      <c r="AM211" s="170"/>
    </row>
    <row x14ac:dyDescent="0.25" r="212" customHeight="1" ht="18.75">
      <c r="A212" s="1"/>
      <c r="B212" s="170"/>
      <c r="C212" s="169"/>
      <c r="D212" s="170"/>
      <c r="E212" s="169"/>
      <c r="F212" s="169"/>
      <c r="G212" s="170"/>
      <c r="H212" s="170"/>
      <c r="I212" s="169"/>
      <c r="J212" s="1"/>
      <c r="K212" s="169"/>
      <c r="L212" s="332">
        <v>208</v>
      </c>
      <c r="M212" s="332">
        <f>IF(L212&lt;=$C$22,$B$22,IF(L212&lt;=$C$23+$C$22,$B$23,0))</f>
      </c>
      <c r="N212" s="1"/>
      <c r="O212" s="332">
        <f>IF(Q212=12,O211-1,O211)</f>
      </c>
      <c r="P212" s="332">
        <v>208</v>
      </c>
      <c r="Q212" s="332">
        <f>IF(Q211=1,12,Q211-1)</f>
      </c>
      <c r="R212" s="169"/>
      <c r="S212" s="333">
        <f>HLOOKUP(O212,'Datos SS'!$B$4:$CZZ$16,(Q212+1),0)</f>
      </c>
      <c r="T212" s="333">
        <f>IF(O212=YEAR($B$5),($B$9/12),IF(O212&gt;MIN(YEAR($B$7),YEAR($B$5)),($B$9/12)*(1+HLOOKUP(O212,'Datos SS'!$B$31:$CZZ$32,2,0))^(O212-YEAR($B$5)),T200/(1+HLOOKUP(O212,'Datos SS'!$B$31:$CZZ$32,2,0))))</f>
      </c>
      <c r="U212" s="333">
        <f>IF(O212=2018,IF(Q212&lt;8,HLOOKUP(O212,'Datos SS'!$B$25:$BZZ$27,3,0)/12,HLOOKUP(O212,'Datos SS'!$B$25:$BZZ$26,2,0)/12),HLOOKUP(O212,'Datos SS'!$B$25:$BZZ$26,2,0)/12)</f>
      </c>
      <c r="V212" s="964">
        <f>MAX(X212,MIN(T212,U212))</f>
      </c>
      <c r="W212" s="333">
        <f>IF($E$19="NO",IF(P212&lt;=180,IF(P212&lt;25,V212,V212*$S$28/S212),0),IF(P212&gt;$B$15,0,IF(P212&lt;25,V212,V212*$S$28/S212)))</f>
      </c>
      <c r="X212" s="721">
        <f>HLOOKUP(O212,'Datos SS'!$K$37:$EP$38,2,0)</f>
      </c>
      <c r="Y212" s="331">
        <f>MAX(INT(Y211)-1,0)</f>
      </c>
      <c r="Z212" s="169"/>
      <c r="AA212" s="169"/>
      <c r="AB212" s="169"/>
      <c r="AC212" s="965">
        <v>2026.9922617893956</v>
      </c>
      <c r="AD212" s="331">
        <f>+AC212-W212</f>
      </c>
      <c r="AE212" s="169"/>
      <c r="AF212" s="170"/>
      <c r="AG212" s="169"/>
      <c r="AH212" s="170"/>
      <c r="AI212" s="170"/>
      <c r="AJ212" s="1"/>
      <c r="AK212" s="1"/>
      <c r="AL212" s="170"/>
      <c r="AM212" s="170"/>
    </row>
    <row x14ac:dyDescent="0.25" r="213" customHeight="1" ht="18.75">
      <c r="A213" s="1"/>
      <c r="B213" s="170"/>
      <c r="C213" s="169"/>
      <c r="D213" s="170"/>
      <c r="E213" s="169"/>
      <c r="F213" s="169"/>
      <c r="G213" s="170"/>
      <c r="H213" s="170"/>
      <c r="I213" s="169"/>
      <c r="J213" s="1"/>
      <c r="K213" s="169"/>
      <c r="L213" s="332">
        <v>209</v>
      </c>
      <c r="M213" s="332">
        <f>IF(L213&lt;=$C$22,$B$22,IF(L213&lt;=$C$23+$C$22,$B$23,0))</f>
      </c>
      <c r="N213" s="1"/>
      <c r="O213" s="332">
        <f>IF(Q213=12,O212-1,O212)</f>
      </c>
      <c r="P213" s="332">
        <v>209</v>
      </c>
      <c r="Q213" s="332">
        <f>IF(Q212=1,12,Q212-1)</f>
      </c>
      <c r="R213" s="169"/>
      <c r="S213" s="333">
        <f>HLOOKUP(O213,'Datos SS'!$B$4:$CZZ$16,(Q213+1),0)</f>
      </c>
      <c r="T213" s="333">
        <f>IF(O213=YEAR($B$5),($B$9/12),IF(O213&gt;MIN(YEAR($B$7),YEAR($B$5)),($B$9/12)*(1+HLOOKUP(O213,'Datos SS'!$B$31:$CZZ$32,2,0))^(O213-YEAR($B$5)),T201/(1+HLOOKUP(O213,'Datos SS'!$B$31:$CZZ$32,2,0))))</f>
      </c>
      <c r="U213" s="333">
        <f>IF(O213=2018,IF(Q213&lt;8,HLOOKUP(O213,'Datos SS'!$B$25:$BZZ$27,3,0)/12,HLOOKUP(O213,'Datos SS'!$B$25:$BZZ$26,2,0)/12),HLOOKUP(O213,'Datos SS'!$B$25:$BZZ$26,2,0)/12)</f>
      </c>
      <c r="V213" s="964">
        <f>MAX(X213,MIN(T213,U213))</f>
      </c>
      <c r="W213" s="333">
        <f>IF($E$19="NO",IF(P213&lt;=180,IF(P213&lt;25,V213,V213*$S$28/S213),0),IF(P213&gt;$B$15,0,IF(P213&lt;25,V213,V213*$S$28/S213)))</f>
      </c>
      <c r="X213" s="721">
        <f>HLOOKUP(O213,'Datos SS'!$K$37:$EP$38,2,0)</f>
      </c>
      <c r="Y213" s="331">
        <f>MAX(INT(Y212)-1,0)</f>
      </c>
      <c r="Z213" s="169"/>
      <c r="AA213" s="169"/>
      <c r="AB213" s="169"/>
      <c r="AC213" s="965">
        <v>2028.6737291280344</v>
      </c>
      <c r="AD213" s="331">
        <f>+AC213-W213</f>
      </c>
      <c r="AE213" s="169"/>
      <c r="AF213" s="170"/>
      <c r="AG213" s="169"/>
      <c r="AH213" s="170"/>
      <c r="AI213" s="170"/>
      <c r="AJ213" s="1"/>
      <c r="AK213" s="1"/>
      <c r="AL213" s="170"/>
      <c r="AM213" s="170"/>
    </row>
    <row x14ac:dyDescent="0.25" r="214" customHeight="1" ht="18.75">
      <c r="A214" s="1"/>
      <c r="B214" s="170"/>
      <c r="C214" s="169"/>
      <c r="D214" s="170"/>
      <c r="E214" s="169"/>
      <c r="F214" s="169"/>
      <c r="G214" s="170"/>
      <c r="H214" s="170"/>
      <c r="I214" s="169"/>
      <c r="J214" s="1"/>
      <c r="K214" s="169"/>
      <c r="L214" s="332">
        <v>210</v>
      </c>
      <c r="M214" s="332">
        <f>IF(L214&lt;=$C$22,$B$22,IF(L214&lt;=$C$23+$C$22,$B$23,0))</f>
      </c>
      <c r="N214" s="1"/>
      <c r="O214" s="332">
        <f>IF(Q214=12,O213-1,O213)</f>
      </c>
      <c r="P214" s="332">
        <v>210</v>
      </c>
      <c r="Q214" s="332">
        <f>IF(Q213=1,12,Q213-1)</f>
      </c>
      <c r="R214" s="169"/>
      <c r="S214" s="333">
        <f>HLOOKUP(O214,'Datos SS'!$B$4:$CZZ$16,(Q214+1),0)</f>
      </c>
      <c r="T214" s="333">
        <f>IF(O214=YEAR($B$5),($B$9/12),IF(O214&gt;MIN(YEAR($B$7),YEAR($B$5)),($B$9/12)*(1+HLOOKUP(O214,'Datos SS'!$B$31:$CZZ$32,2,0))^(O214-YEAR($B$5)),T202/(1+HLOOKUP(O214,'Datos SS'!$B$31:$CZZ$32,2,0))))</f>
      </c>
      <c r="U214" s="333">
        <f>IF(O214=2018,IF(Q214&lt;8,HLOOKUP(O214,'Datos SS'!$B$25:$BZZ$27,3,0)/12,HLOOKUP(O214,'Datos SS'!$B$25:$BZZ$26,2,0)/12),HLOOKUP(O214,'Datos SS'!$B$25:$BZZ$26,2,0)/12)</f>
      </c>
      <c r="V214" s="964">
        <f>MAX(X214,MIN(T214,U214))</f>
      </c>
      <c r="W214" s="333">
        <f>IF($E$19="NO",IF(P214&lt;=180,IF(P214&lt;25,V214,V214*$S$28/S214),0),IF(P214&gt;$B$15,0,IF(P214&lt;25,V214,V214*$S$28/S214)))</f>
      </c>
      <c r="X214" s="721">
        <f>HLOOKUP(O214,'Datos SS'!$K$37:$EP$38,2,0)</f>
      </c>
      <c r="Y214" s="331">
        <f>MAX(INT(Y213)-1,0)</f>
      </c>
      <c r="Z214" s="169"/>
      <c r="AA214" s="169"/>
      <c r="AB214" s="169"/>
      <c r="AC214" s="965">
        <v>2030.356591307919</v>
      </c>
      <c r="AD214" s="331">
        <f>+AC214-W214</f>
      </c>
      <c r="AE214" s="169"/>
      <c r="AF214" s="170"/>
      <c r="AG214" s="169"/>
      <c r="AH214" s="170"/>
      <c r="AI214" s="170"/>
      <c r="AJ214" s="1"/>
      <c r="AK214" s="1"/>
      <c r="AL214" s="170"/>
      <c r="AM214" s="170"/>
    </row>
    <row x14ac:dyDescent="0.25" r="215" customHeight="1" ht="18.75">
      <c r="A215" s="1"/>
      <c r="B215" s="170"/>
      <c r="C215" s="169"/>
      <c r="D215" s="170"/>
      <c r="E215" s="169"/>
      <c r="F215" s="169"/>
      <c r="G215" s="170"/>
      <c r="H215" s="170"/>
      <c r="I215" s="169"/>
      <c r="J215" s="1"/>
      <c r="K215" s="169"/>
      <c r="L215" s="332">
        <v>211</v>
      </c>
      <c r="M215" s="332">
        <f>IF(L215&lt;=$C$22,$B$22,IF(L215&lt;=$C$23+$C$22,$B$23,0))</f>
      </c>
      <c r="N215" s="1"/>
      <c r="O215" s="332">
        <f>IF(Q215=12,O214-1,O214)</f>
      </c>
      <c r="P215" s="332">
        <v>211</v>
      </c>
      <c r="Q215" s="332">
        <f>IF(Q214=1,12,Q214-1)</f>
      </c>
      <c r="R215" s="169"/>
      <c r="S215" s="333">
        <f>HLOOKUP(O215,'Datos SS'!$B$4:$CZZ$16,(Q215+1),0)</f>
      </c>
      <c r="T215" s="333">
        <f>IF(O215=YEAR($B$5),($B$9/12),IF(O215&gt;MIN(YEAR($B$7),YEAR($B$5)),($B$9/12)*(1+HLOOKUP(O215,'Datos SS'!$B$31:$CZZ$32,2,0))^(O215-YEAR($B$5)),T203/(1+HLOOKUP(O215,'Datos SS'!$B$31:$CZZ$32,2,0))))</f>
      </c>
      <c r="U215" s="333">
        <f>IF(O215=2018,IF(Q215&lt;8,HLOOKUP(O215,'Datos SS'!$B$25:$BZZ$27,3,0)/12,HLOOKUP(O215,'Datos SS'!$B$25:$BZZ$26,2,0)/12),HLOOKUP(O215,'Datos SS'!$B$25:$BZZ$26,2,0)/12)</f>
      </c>
      <c r="V215" s="964">
        <f>MAX(X215,MIN(T215,U215))</f>
      </c>
      <c r="W215" s="333">
        <f>IF($E$19="NO",IF(P215&lt;=180,IF(P215&lt;25,V215,V215*$S$28/S215),0),IF(P215&gt;$B$15,0,IF(P215&lt;25,V215,V215*$S$28/S215)))</f>
      </c>
      <c r="X215" s="721">
        <f>HLOOKUP(O215,'Datos SS'!$K$37:$EP$38,2,0)</f>
      </c>
      <c r="Y215" s="331">
        <f>MAX(INT(Y214)-1,0)</f>
      </c>
      <c r="Z215" s="169"/>
      <c r="AA215" s="169"/>
      <c r="AB215" s="169"/>
      <c r="AC215" s="965">
        <v>2032.0408494861229</v>
      </c>
      <c r="AD215" s="331">
        <f>+AC215-W215</f>
      </c>
      <c r="AE215" s="169"/>
      <c r="AF215" s="170"/>
      <c r="AG215" s="169"/>
      <c r="AH215" s="170"/>
      <c r="AI215" s="170"/>
      <c r="AJ215" s="1"/>
      <c r="AK215" s="1"/>
      <c r="AL215" s="170"/>
      <c r="AM215" s="170"/>
    </row>
    <row x14ac:dyDescent="0.25" r="216" customHeight="1" ht="18.75">
      <c r="A216" s="1"/>
      <c r="B216" s="170"/>
      <c r="C216" s="169"/>
      <c r="D216" s="170"/>
      <c r="E216" s="169"/>
      <c r="F216" s="169"/>
      <c r="G216" s="170"/>
      <c r="H216" s="170"/>
      <c r="I216" s="169"/>
      <c r="J216" s="1"/>
      <c r="K216" s="169"/>
      <c r="L216" s="332">
        <v>212</v>
      </c>
      <c r="M216" s="332">
        <f>IF(L216&lt;=$C$22,$B$22,IF(L216&lt;=$C$23+$C$22,$B$23,0))</f>
      </c>
      <c r="N216" s="1"/>
      <c r="O216" s="332">
        <f>IF(Q216=12,O215-1,O215)</f>
      </c>
      <c r="P216" s="332">
        <v>212</v>
      </c>
      <c r="Q216" s="332">
        <f>IF(Q215=1,12,Q215-1)</f>
      </c>
      <c r="R216" s="169"/>
      <c r="S216" s="333">
        <f>HLOOKUP(O216,'Datos SS'!$B$4:$CZZ$16,(Q216+1),0)</f>
      </c>
      <c r="T216" s="333">
        <f>IF(O216=YEAR($B$5),($B$9/12),IF(O216&gt;MIN(YEAR($B$7),YEAR($B$5)),($B$9/12)*(1+HLOOKUP(O216,'Datos SS'!$B$31:$CZZ$32,2,0))^(O216-YEAR($B$5)),T204/(1+HLOOKUP(O216,'Datos SS'!$B$31:$CZZ$32,2,0))))</f>
      </c>
      <c r="U216" s="333">
        <f>IF(O216=2018,IF(Q216&lt;8,HLOOKUP(O216,'Datos SS'!$B$25:$BZZ$27,3,0)/12,HLOOKUP(O216,'Datos SS'!$B$25:$BZZ$26,2,0)/12),HLOOKUP(O216,'Datos SS'!$B$25:$BZZ$26,2,0)/12)</f>
      </c>
      <c r="V216" s="964">
        <f>MAX(X216,MIN(T216,U216))</f>
      </c>
      <c r="W216" s="333">
        <f>IF($E$19="NO",IF(P216&lt;=180,IF(P216&lt;25,V216,V216*$S$28/S216),0),IF(P216&gt;$B$15,0,IF(P216&lt;25,V216,V216*$S$28/S216)))</f>
      </c>
      <c r="X216" s="721">
        <f>HLOOKUP(O216,'Datos SS'!$K$37:$EP$38,2,0)</f>
      </c>
      <c r="Y216" s="331">
        <f>MAX(INT(Y215)-1,0)</f>
      </c>
      <c r="Z216" s="169"/>
      <c r="AA216" s="169"/>
      <c r="AB216" s="169"/>
      <c r="AC216" s="965">
        <v>2033.72650482068</v>
      </c>
      <c r="AD216" s="331">
        <f>+AC216-W216</f>
      </c>
      <c r="AE216" s="169"/>
      <c r="AF216" s="170"/>
      <c r="AG216" s="169"/>
      <c r="AH216" s="170"/>
      <c r="AI216" s="170"/>
      <c r="AJ216" s="1"/>
      <c r="AK216" s="1"/>
      <c r="AL216" s="170"/>
      <c r="AM216" s="170"/>
    </row>
    <row x14ac:dyDescent="0.25" r="217" customHeight="1" ht="18.75">
      <c r="A217" s="1"/>
      <c r="B217" s="170"/>
      <c r="C217" s="169"/>
      <c r="D217" s="170"/>
      <c r="E217" s="169"/>
      <c r="F217" s="169"/>
      <c r="G217" s="170"/>
      <c r="H217" s="170"/>
      <c r="I217" s="169"/>
      <c r="J217" s="1"/>
      <c r="K217" s="169"/>
      <c r="L217" s="332">
        <v>213</v>
      </c>
      <c r="M217" s="332">
        <f>IF(L217&lt;=$C$22,$B$22,IF(L217&lt;=$C$23+$C$22,$B$23,0))</f>
      </c>
      <c r="N217" s="1"/>
      <c r="O217" s="332">
        <f>IF(Q217=12,O216-1,O216)</f>
      </c>
      <c r="P217" s="332">
        <v>213</v>
      </c>
      <c r="Q217" s="332">
        <f>IF(Q216=1,12,Q216-1)</f>
      </c>
      <c r="R217" s="169"/>
      <c r="S217" s="333">
        <f>HLOOKUP(O217,'Datos SS'!$B$4:$CZZ$16,(Q217+1),0)</f>
      </c>
      <c r="T217" s="333">
        <f>IF(O217=YEAR($B$5),($B$9/12),IF(O217&gt;MIN(YEAR($B$7),YEAR($B$5)),($B$9/12)*(1+HLOOKUP(O217,'Datos SS'!$B$31:$CZZ$32,2,0))^(O217-YEAR($B$5)),T205/(1+HLOOKUP(O217,'Datos SS'!$B$31:$CZZ$32,2,0))))</f>
      </c>
      <c r="U217" s="333">
        <f>IF(O217=2018,IF(Q217&lt;8,HLOOKUP(O217,'Datos SS'!$B$25:$BZZ$27,3,0)/12,HLOOKUP(O217,'Datos SS'!$B$25:$BZZ$26,2,0)/12),HLOOKUP(O217,'Datos SS'!$B$25:$BZZ$26,2,0)/12)</f>
      </c>
      <c r="V217" s="964">
        <f>MAX(X217,MIN(T217,U217))</f>
      </c>
      <c r="W217" s="333">
        <f>IF($E$19="NO",IF(P217&lt;=180,IF(P217&lt;25,V217,V217*$S$28/S217),0),IF(P217&gt;$B$15,0,IF(P217&lt;25,V217,V217*$S$28/S217)))</f>
      </c>
      <c r="X217" s="721">
        <f>HLOOKUP(O217,'Datos SS'!$K$37:$EP$38,2,0)</f>
      </c>
      <c r="Y217" s="331">
        <f>MAX(INT(Y216)-1,0)</f>
      </c>
      <c r="Z217" s="169"/>
      <c r="AA217" s="169"/>
      <c r="AB217" s="169"/>
      <c r="AC217" s="965">
        <v>2035.413558470585</v>
      </c>
      <c r="AD217" s="331">
        <f>+AC217-W217</f>
      </c>
      <c r="AE217" s="169"/>
      <c r="AF217" s="170"/>
      <c r="AG217" s="169"/>
      <c r="AH217" s="170"/>
      <c r="AI217" s="170"/>
      <c r="AJ217" s="1"/>
      <c r="AK217" s="1"/>
      <c r="AL217" s="170"/>
      <c r="AM217" s="170"/>
    </row>
    <row x14ac:dyDescent="0.25" r="218" customHeight="1" ht="18.75">
      <c r="A218" s="1"/>
      <c r="B218" s="170"/>
      <c r="C218" s="169"/>
      <c r="D218" s="170"/>
      <c r="E218" s="169"/>
      <c r="F218" s="169"/>
      <c r="G218" s="170"/>
      <c r="H218" s="170"/>
      <c r="I218" s="169"/>
      <c r="J218" s="1"/>
      <c r="K218" s="169"/>
      <c r="L218" s="332">
        <v>214</v>
      </c>
      <c r="M218" s="332">
        <f>IF(L218&lt;=$C$22,$B$22,IF(L218&lt;=$C$23+$C$22,$B$23,0))</f>
      </c>
      <c r="N218" s="1"/>
      <c r="O218" s="332">
        <f>IF(Q218=12,O217-1,O217)</f>
      </c>
      <c r="P218" s="332">
        <v>214</v>
      </c>
      <c r="Q218" s="332">
        <f>IF(Q217=1,12,Q217-1)</f>
      </c>
      <c r="R218" s="169"/>
      <c r="S218" s="333">
        <f>HLOOKUP(O218,'Datos SS'!$B$4:$CZZ$16,(Q218+1),0)</f>
      </c>
      <c r="T218" s="333">
        <f>IF(O218=YEAR($B$5),($B$9/12),IF(O218&gt;MIN(YEAR($B$7),YEAR($B$5)),($B$9/12)*(1+HLOOKUP(O218,'Datos SS'!$B$31:$CZZ$32,2,0))^(O218-YEAR($B$5)),T206/(1+HLOOKUP(O218,'Datos SS'!$B$31:$CZZ$32,2,0))))</f>
      </c>
      <c r="U218" s="333">
        <f>IF(O218=2018,IF(Q218&lt;8,HLOOKUP(O218,'Datos SS'!$B$25:$BZZ$27,3,0)/12,HLOOKUP(O218,'Datos SS'!$B$25:$BZZ$26,2,0)/12),HLOOKUP(O218,'Datos SS'!$B$25:$BZZ$26,2,0)/12)</f>
      </c>
      <c r="V218" s="964">
        <f>MAX(X218,MIN(T218,U218))</f>
      </c>
      <c r="W218" s="333">
        <f>IF($E$19="NO",IF(P218&lt;=180,IF(P218&lt;25,V218,V218*$S$28/S218),0),IF(P218&gt;$B$15,0,IF(P218&lt;25,V218,V218*$S$28/S218)))</f>
      </c>
      <c r="X218" s="721">
        <f>HLOOKUP(O218,'Datos SS'!$K$37:$EP$38,2,0)</f>
      </c>
      <c r="Y218" s="331">
        <f>MAX(INT(Y217)-1,0)</f>
      </c>
      <c r="Z218" s="169"/>
      <c r="AA218" s="169"/>
      <c r="AB218" s="169"/>
      <c r="AC218" s="965">
        <v>2006.9970557594024</v>
      </c>
      <c r="AD218" s="331">
        <f>+AC218-W218</f>
      </c>
      <c r="AE218" s="169"/>
      <c r="AF218" s="170"/>
      <c r="AG218" s="169"/>
      <c r="AH218" s="170"/>
      <c r="AI218" s="170"/>
      <c r="AJ218" s="1"/>
      <c r="AK218" s="1"/>
      <c r="AL218" s="170"/>
      <c r="AM218" s="170"/>
    </row>
    <row x14ac:dyDescent="0.25" r="219" customHeight="1" ht="18.75">
      <c r="A219" s="1"/>
      <c r="B219" s="170"/>
      <c r="C219" s="169"/>
      <c r="D219" s="170"/>
      <c r="E219" s="169"/>
      <c r="F219" s="169"/>
      <c r="G219" s="170"/>
      <c r="H219" s="170"/>
      <c r="I219" s="169"/>
      <c r="J219" s="1"/>
      <c r="K219" s="169"/>
      <c r="L219" s="332">
        <v>215</v>
      </c>
      <c r="M219" s="332">
        <f>IF(L219&lt;=$C$22,$B$22,IF(L219&lt;=$C$23+$C$22,$B$23,0))</f>
      </c>
      <c r="N219" s="1"/>
      <c r="O219" s="332">
        <f>IF(Q219=12,O218-1,O218)</f>
      </c>
      <c r="P219" s="332">
        <v>215</v>
      </c>
      <c r="Q219" s="332">
        <f>IF(Q218=1,12,Q218-1)</f>
      </c>
      <c r="R219" s="169"/>
      <c r="S219" s="333">
        <f>HLOOKUP(O219,'Datos SS'!$B$4:$CZZ$16,(Q219+1),0)</f>
      </c>
      <c r="T219" s="333">
        <f>IF(O219=YEAR($B$5),($B$9/12),IF(O219&gt;MIN(YEAR($B$7),YEAR($B$5)),($B$9/12)*(1+HLOOKUP(O219,'Datos SS'!$B$31:$CZZ$32,2,0))^(O219-YEAR($B$5)),T207/(1+HLOOKUP(O219,'Datos SS'!$B$31:$CZZ$32,2,0))))</f>
      </c>
      <c r="U219" s="333">
        <f>IF(O219=2018,IF(Q219&lt;8,HLOOKUP(O219,'Datos SS'!$B$25:$BZZ$27,3,0)/12,HLOOKUP(O219,'Datos SS'!$B$25:$BZZ$26,2,0)/12),HLOOKUP(O219,'Datos SS'!$B$25:$BZZ$26,2,0)/12)</f>
      </c>
      <c r="V219" s="964">
        <f>MAX(X219,MIN(T219,U219))</f>
      </c>
      <c r="W219" s="333">
        <f>IF($E$19="NO",IF(P219&lt;=180,IF(P219&lt;25,V219,V219*$S$28/S219),0),IF(P219&gt;$B$15,0,IF(P219&lt;25,V219,V219*$S$28/S219)))</f>
      </c>
      <c r="X219" s="721">
        <f>HLOOKUP(O219,'Datos SS'!$K$37:$EP$38,2,0)</f>
      </c>
      <c r="Y219" s="331">
        <f>MAX(INT(Y218)-1,0)</f>
      </c>
      <c r="Z219" s="169"/>
      <c r="AA219" s="169"/>
      <c r="AB219" s="169"/>
      <c r="AC219" s="965">
        <v>2008.6619363125353</v>
      </c>
      <c r="AD219" s="331">
        <f>+AC219-W219</f>
      </c>
      <c r="AE219" s="169"/>
      <c r="AF219" s="170"/>
      <c r="AG219" s="169"/>
      <c r="AH219" s="170"/>
      <c r="AI219" s="170"/>
      <c r="AJ219" s="1"/>
      <c r="AK219" s="1"/>
      <c r="AL219" s="170"/>
      <c r="AM219" s="170"/>
    </row>
    <row x14ac:dyDescent="0.25" r="220" customHeight="1" ht="18.75">
      <c r="A220" s="1"/>
      <c r="B220" s="170"/>
      <c r="C220" s="169"/>
      <c r="D220" s="170"/>
      <c r="E220" s="169"/>
      <c r="F220" s="169"/>
      <c r="G220" s="170"/>
      <c r="H220" s="170"/>
      <c r="I220" s="169"/>
      <c r="J220" s="1"/>
      <c r="K220" s="169"/>
      <c r="L220" s="332">
        <v>216</v>
      </c>
      <c r="M220" s="332">
        <f>IF(L220&lt;=$C$22,$B$22,IF(L220&lt;=$C$23+$C$22,$B$23,0))</f>
      </c>
      <c r="N220" s="1"/>
      <c r="O220" s="332">
        <f>IF(Q220=12,O219-1,O219)</f>
      </c>
      <c r="P220" s="332">
        <v>216</v>
      </c>
      <c r="Q220" s="332">
        <f>IF(Q219=1,12,Q219-1)</f>
      </c>
      <c r="R220" s="169"/>
      <c r="S220" s="333">
        <f>HLOOKUP(O220,'Datos SS'!$B$4:$CZZ$16,(Q220+1),0)</f>
      </c>
      <c r="T220" s="333">
        <f>IF(O220=YEAR($B$5),($B$9/12),IF(O220&gt;MIN(YEAR($B$7),YEAR($B$5)),($B$9/12)*(1+HLOOKUP(O220,'Datos SS'!$B$31:$CZZ$32,2,0))^(O220-YEAR($B$5)),T208/(1+HLOOKUP(O220,'Datos SS'!$B$31:$CZZ$32,2,0))))</f>
      </c>
      <c r="U220" s="333">
        <f>IF(O220=2018,IF(Q220&lt;8,HLOOKUP(O220,'Datos SS'!$B$25:$BZZ$27,3,0)/12,HLOOKUP(O220,'Datos SS'!$B$25:$BZZ$26,2,0)/12),HLOOKUP(O220,'Datos SS'!$B$25:$BZZ$26,2,0)/12)</f>
      </c>
      <c r="V220" s="964">
        <f>MAX(X220,MIN(T220,U220))</f>
      </c>
      <c r="W220" s="333">
        <f>IF($E$19="NO",IF(P220&lt;=180,IF(P220&lt;25,V220,V220*$S$28/S220),0),IF(P220&gt;$B$15,0,IF(P220&lt;25,V220,V220*$S$28/S220)))</f>
      </c>
      <c r="X220" s="721">
        <f>HLOOKUP(O220,'Datos SS'!$K$37:$EP$38,2,0)</f>
      </c>
      <c r="Y220" s="331">
        <f>MAX(INT(Y219)-1,0)</f>
      </c>
      <c r="Z220" s="169"/>
      <c r="AA220" s="169"/>
      <c r="AB220" s="169"/>
      <c r="AC220" s="965">
        <v>2010.328197947543</v>
      </c>
      <c r="AD220" s="331">
        <f>+AC220-W220</f>
      </c>
      <c r="AE220" s="169"/>
      <c r="AF220" s="170"/>
      <c r="AG220" s="169"/>
      <c r="AH220" s="170"/>
      <c r="AI220" s="170"/>
      <c r="AJ220" s="1"/>
      <c r="AK220" s="1"/>
      <c r="AL220" s="170"/>
      <c r="AM220" s="170"/>
    </row>
    <row x14ac:dyDescent="0.25" r="221" customHeight="1" ht="18.75">
      <c r="A221" s="1"/>
      <c r="B221" s="170"/>
      <c r="C221" s="169"/>
      <c r="D221" s="170"/>
      <c r="E221" s="169"/>
      <c r="F221" s="169"/>
      <c r="G221" s="170"/>
      <c r="H221" s="170"/>
      <c r="I221" s="169"/>
      <c r="J221" s="1"/>
      <c r="K221" s="169"/>
      <c r="L221" s="332">
        <v>217</v>
      </c>
      <c r="M221" s="332">
        <f>IF(L221&lt;=$C$22,$B$22,IF(L221&lt;=$C$23+$C$22,$B$23,0))</f>
      </c>
      <c r="N221" s="1"/>
      <c r="O221" s="332">
        <f>IF(Q221=12,O220-1,O220)</f>
      </c>
      <c r="P221" s="332">
        <v>217</v>
      </c>
      <c r="Q221" s="332">
        <f>IF(Q220=1,12,Q220-1)</f>
      </c>
      <c r="R221" s="169"/>
      <c r="S221" s="333">
        <f>HLOOKUP(O221,'Datos SS'!$B$4:$CZZ$16,(Q221+1),0)</f>
      </c>
      <c r="T221" s="333">
        <f>IF(O221=YEAR($B$5),($B$9/12),IF(O221&gt;MIN(YEAR($B$7),YEAR($B$5)),($B$9/12)*(1+HLOOKUP(O221,'Datos SS'!$B$31:$CZZ$32,2,0))^(O221-YEAR($B$5)),T209/(1+HLOOKUP(O221,'Datos SS'!$B$31:$CZZ$32,2,0))))</f>
      </c>
      <c r="U221" s="333">
        <f>IF(O221=2018,IF(Q221&lt;8,HLOOKUP(O221,'Datos SS'!$B$25:$BZZ$27,3,0)/12,HLOOKUP(O221,'Datos SS'!$B$25:$BZZ$26,2,0)/12),HLOOKUP(O221,'Datos SS'!$B$25:$BZZ$26,2,0)/12)</f>
      </c>
      <c r="V221" s="964">
        <f>MAX(X221,MIN(T221,U221))</f>
      </c>
      <c r="W221" s="333">
        <f>IF($E$19="NO",IF(P221&lt;=180,IF(P221&lt;25,V221,V221*$S$28/S221),0),IF(P221&gt;$B$15,0,IF(P221&lt;25,V221,V221*$S$28/S221)))</f>
      </c>
      <c r="X221" s="721">
        <f>HLOOKUP(O221,'Datos SS'!$K$37:$EP$38,2,0)</f>
      </c>
      <c r="Y221" s="331">
        <f>MAX(INT(Y220)-1,0)</f>
      </c>
      <c r="Z221" s="169"/>
      <c r="AA221" s="169"/>
      <c r="AB221" s="169"/>
      <c r="AC221" s="965">
        <v>2011.995841810085</v>
      </c>
      <c r="AD221" s="331">
        <f>+AC221-W221</f>
      </c>
      <c r="AE221" s="169"/>
      <c r="AF221" s="170"/>
      <c r="AG221" s="169"/>
      <c r="AH221" s="170"/>
      <c r="AI221" s="170"/>
      <c r="AJ221" s="1"/>
      <c r="AK221" s="1"/>
      <c r="AL221" s="170"/>
      <c r="AM221" s="170"/>
    </row>
    <row x14ac:dyDescent="0.25" r="222" customHeight="1" ht="18.75">
      <c r="A222" s="1"/>
      <c r="B222" s="170"/>
      <c r="C222" s="169"/>
      <c r="D222" s="170"/>
      <c r="E222" s="169"/>
      <c r="F222" s="169"/>
      <c r="G222" s="170"/>
      <c r="H222" s="170"/>
      <c r="I222" s="169"/>
      <c r="J222" s="1"/>
      <c r="K222" s="169"/>
      <c r="L222" s="332">
        <v>218</v>
      </c>
      <c r="M222" s="332">
        <f>IF(L222&lt;=$C$22,$B$22,IF(L222&lt;=$C$23+$C$22,$B$23,0))</f>
      </c>
      <c r="N222" s="1"/>
      <c r="O222" s="332">
        <f>IF(Q222=12,O221-1,O221)</f>
      </c>
      <c r="P222" s="332">
        <v>218</v>
      </c>
      <c r="Q222" s="332">
        <f>IF(Q221=1,12,Q221-1)</f>
      </c>
      <c r="R222" s="169"/>
      <c r="S222" s="333">
        <f>HLOOKUP(O222,'Datos SS'!$B$4:$CZZ$16,(Q222+1),0)</f>
      </c>
      <c r="T222" s="333">
        <f>IF(O222=YEAR($B$5),($B$9/12),IF(O222&gt;MIN(YEAR($B$7),YEAR($B$5)),($B$9/12)*(1+HLOOKUP(O222,'Datos SS'!$B$31:$CZZ$32,2,0))^(O222-YEAR($B$5)),T210/(1+HLOOKUP(O222,'Datos SS'!$B$31:$CZZ$32,2,0))))</f>
      </c>
      <c r="U222" s="333">
        <f>IF(O222=2018,IF(Q222&lt;8,HLOOKUP(O222,'Datos SS'!$B$25:$BZZ$27,3,0)/12,HLOOKUP(O222,'Datos SS'!$B$25:$BZZ$26,2,0)/12),HLOOKUP(O222,'Datos SS'!$B$25:$BZZ$26,2,0)/12)</f>
      </c>
      <c r="V222" s="964">
        <f>MAX(X222,MIN(T222,U222))</f>
      </c>
      <c r="W222" s="333">
        <f>IF($E$19="NO",IF(P222&lt;=180,IF(P222&lt;25,V222,V222*$S$28/S222),0),IF(P222&gt;$B$15,0,IF(P222&lt;25,V222,V222*$S$28/S222)))</f>
      </c>
      <c r="X222" s="721">
        <f>HLOOKUP(O222,'Datos SS'!$K$37:$EP$38,2,0)</f>
      </c>
      <c r="Y222" s="331">
        <f>MAX(INT(Y221)-1,0)</f>
      </c>
      <c r="Z222" s="169"/>
      <c r="AA222" s="169"/>
      <c r="AB222" s="169"/>
      <c r="AC222" s="965">
        <v>2013.6648690467728</v>
      </c>
      <c r="AD222" s="331">
        <f>+AC222-W222</f>
      </c>
      <c r="AE222" s="169"/>
      <c r="AF222" s="170"/>
      <c r="AG222" s="169"/>
      <c r="AH222" s="170"/>
      <c r="AI222" s="170"/>
      <c r="AJ222" s="1"/>
      <c r="AK222" s="1"/>
      <c r="AL222" s="170"/>
      <c r="AM222" s="170"/>
    </row>
    <row x14ac:dyDescent="0.25" r="223" customHeight="1" ht="18.75">
      <c r="A223" s="1"/>
      <c r="B223" s="170"/>
      <c r="C223" s="169"/>
      <c r="D223" s="170"/>
      <c r="E223" s="169"/>
      <c r="F223" s="169"/>
      <c r="G223" s="170"/>
      <c r="H223" s="170"/>
      <c r="I223" s="169"/>
      <c r="J223" s="1"/>
      <c r="K223" s="169"/>
      <c r="L223" s="332">
        <v>219</v>
      </c>
      <c r="M223" s="332">
        <f>IF(L223&lt;=$C$22,$B$22,IF(L223&lt;=$C$23+$C$22,$B$23,0))</f>
      </c>
      <c r="N223" s="1"/>
      <c r="O223" s="332">
        <f>IF(Q223=12,O222-1,O222)</f>
      </c>
      <c r="P223" s="332">
        <v>219</v>
      </c>
      <c r="Q223" s="332">
        <f>IF(Q222=1,12,Q222-1)</f>
      </c>
      <c r="R223" s="169"/>
      <c r="S223" s="333">
        <f>HLOOKUP(O223,'Datos SS'!$B$4:$CZZ$16,(Q223+1),0)</f>
      </c>
      <c r="T223" s="333">
        <f>IF(O223=YEAR($B$5),($B$9/12),IF(O223&gt;MIN(YEAR($B$7),YEAR($B$5)),($B$9/12)*(1+HLOOKUP(O223,'Datos SS'!$B$31:$CZZ$32,2,0))^(O223-YEAR($B$5)),T211/(1+HLOOKUP(O223,'Datos SS'!$B$31:$CZZ$32,2,0))))</f>
      </c>
      <c r="U223" s="333">
        <f>IF(O223=2018,IF(Q223&lt;8,HLOOKUP(O223,'Datos SS'!$B$25:$BZZ$27,3,0)/12,HLOOKUP(O223,'Datos SS'!$B$25:$BZZ$26,2,0)/12),HLOOKUP(O223,'Datos SS'!$B$25:$BZZ$26,2,0)/12)</f>
      </c>
      <c r="V223" s="964">
        <f>MAX(X223,MIN(T223,U223))</f>
      </c>
      <c r="W223" s="333">
        <f>IF($E$19="NO",IF(P223&lt;=180,IF(P223&lt;25,V223,V223*$S$28/S223),0),IF(P223&gt;$B$15,0,IF(P223&lt;25,V223,V223*$S$28/S223)))</f>
      </c>
      <c r="X223" s="721">
        <f>HLOOKUP(O223,'Datos SS'!$K$37:$EP$38,2,0)</f>
      </c>
      <c r="Y223" s="331">
        <f>MAX(INT(Y222)-1,0)</f>
      </c>
      <c r="Z223" s="169"/>
      <c r="AA223" s="169"/>
      <c r="AB223" s="169"/>
      <c r="AC223" s="965">
        <v>2015.3352808051668</v>
      </c>
      <c r="AD223" s="331">
        <f>+AC223-W223</f>
      </c>
      <c r="AE223" s="169"/>
      <c r="AF223" s="170"/>
      <c r="AG223" s="169"/>
      <c r="AH223" s="170"/>
      <c r="AI223" s="170"/>
      <c r="AJ223" s="1"/>
      <c r="AK223" s="1"/>
      <c r="AL223" s="170"/>
      <c r="AM223" s="170"/>
    </row>
    <row x14ac:dyDescent="0.25" r="224" customHeight="1" ht="18.75">
      <c r="A224" s="1"/>
      <c r="B224" s="170"/>
      <c r="C224" s="169"/>
      <c r="D224" s="170"/>
      <c r="E224" s="169"/>
      <c r="F224" s="169"/>
      <c r="G224" s="170"/>
      <c r="H224" s="170"/>
      <c r="I224" s="169"/>
      <c r="J224" s="1"/>
      <c r="K224" s="169"/>
      <c r="L224" s="332">
        <v>220</v>
      </c>
      <c r="M224" s="332">
        <f>IF(L224&lt;=$C$22,$B$22,IF(L224&lt;=$C$23+$C$22,$B$23,0))</f>
      </c>
      <c r="N224" s="1"/>
      <c r="O224" s="332">
        <f>IF(Q224=12,O223-1,O223)</f>
      </c>
      <c r="P224" s="332">
        <v>220</v>
      </c>
      <c r="Q224" s="332">
        <f>IF(Q223=1,12,Q223-1)</f>
      </c>
      <c r="R224" s="169"/>
      <c r="S224" s="333">
        <f>HLOOKUP(O224,'Datos SS'!$B$4:$CZZ$16,(Q224+1),0)</f>
      </c>
      <c r="T224" s="333">
        <f>IF(O224=YEAR($B$5),($B$9/12),IF(O224&gt;MIN(YEAR($B$7),YEAR($B$5)),($B$9/12)*(1+HLOOKUP(O224,'Datos SS'!$B$31:$CZZ$32,2,0))^(O224-YEAR($B$5)),T212/(1+HLOOKUP(O224,'Datos SS'!$B$31:$CZZ$32,2,0))))</f>
      </c>
      <c r="U224" s="333">
        <f>IF(O224=2018,IF(Q224&lt;8,HLOOKUP(O224,'Datos SS'!$B$25:$BZZ$27,3,0)/12,HLOOKUP(O224,'Datos SS'!$B$25:$BZZ$26,2,0)/12),HLOOKUP(O224,'Datos SS'!$B$25:$BZZ$26,2,0)/12)</f>
      </c>
      <c r="V224" s="964">
        <f>MAX(X224,MIN(T224,U224))</f>
      </c>
      <c r="W224" s="333">
        <f>IF($E$19="NO",IF(P224&lt;=180,IF(P224&lt;25,V224,V224*$S$28/S224),0),IF(P224&gt;$B$15,0,IF(P224&lt;25,V224,V224*$S$28/S224)))</f>
      </c>
      <c r="X224" s="721">
        <f>HLOOKUP(O224,'Datos SS'!$K$37:$EP$38,2,0)</f>
      </c>
      <c r="Y224" s="331">
        <f>MAX(INT(Y223)-1,0)</f>
      </c>
      <c r="Z224" s="169"/>
      <c r="AA224" s="169"/>
      <c r="AB224" s="169"/>
      <c r="AC224" s="965">
        <v>2017.007078233781</v>
      </c>
      <c r="AD224" s="331">
        <f>+AC224-W224</f>
      </c>
      <c r="AE224" s="169"/>
      <c r="AF224" s="170"/>
      <c r="AG224" s="169"/>
      <c r="AH224" s="170"/>
      <c r="AI224" s="170"/>
      <c r="AJ224" s="1"/>
      <c r="AK224" s="1"/>
      <c r="AL224" s="170"/>
      <c r="AM224" s="170"/>
    </row>
    <row x14ac:dyDescent="0.25" r="225" customHeight="1" ht="18.75">
      <c r="A225" s="1"/>
      <c r="B225" s="170"/>
      <c r="C225" s="169"/>
      <c r="D225" s="170"/>
      <c r="E225" s="169"/>
      <c r="F225" s="169"/>
      <c r="G225" s="170"/>
      <c r="H225" s="170"/>
      <c r="I225" s="169"/>
      <c r="J225" s="1"/>
      <c r="K225" s="169"/>
      <c r="L225" s="332">
        <v>221</v>
      </c>
      <c r="M225" s="332">
        <f>IF(L225&lt;=$C$22,$B$22,IF(L225&lt;=$C$23+$C$22,$B$23,0))</f>
      </c>
      <c r="N225" s="1"/>
      <c r="O225" s="332">
        <f>IF(Q225=12,O224-1,O224)</f>
      </c>
      <c r="P225" s="332">
        <v>221</v>
      </c>
      <c r="Q225" s="332">
        <f>IF(Q224=1,12,Q224-1)</f>
      </c>
      <c r="R225" s="169"/>
      <c r="S225" s="333">
        <f>HLOOKUP(O225,'Datos SS'!$B$4:$CZZ$16,(Q225+1),0)</f>
      </c>
      <c r="T225" s="333">
        <f>IF(O225=YEAR($B$5),($B$9/12),IF(O225&gt;MIN(YEAR($B$7),YEAR($B$5)),($B$9/12)*(1+HLOOKUP(O225,'Datos SS'!$B$31:$CZZ$32,2,0))^(O225-YEAR($B$5)),T213/(1+HLOOKUP(O225,'Datos SS'!$B$31:$CZZ$32,2,0))))</f>
      </c>
      <c r="U225" s="333">
        <f>IF(O225=2018,IF(Q225&lt;8,HLOOKUP(O225,'Datos SS'!$B$25:$BZZ$27,3,0)/12,HLOOKUP(O225,'Datos SS'!$B$25:$BZZ$26,2,0)/12),HLOOKUP(O225,'Datos SS'!$B$25:$BZZ$26,2,0)/12)</f>
      </c>
      <c r="V225" s="964">
        <f>MAX(X225,MIN(T225,U225))</f>
      </c>
      <c r="W225" s="333">
        <f>IF($E$19="NO",IF(P225&lt;=180,IF(P225&lt;25,V225,V225*$S$28/S225),0),IF(P225&gt;$B$15,0,IF(P225&lt;25,V225,V225*$S$28/S225)))</f>
      </c>
      <c r="X225" s="721">
        <f>HLOOKUP(O225,'Datos SS'!$K$37:$EP$38,2,0)</f>
      </c>
      <c r="Y225" s="331">
        <f>MAX(INT(Y224)-1,0)</f>
      </c>
      <c r="Z225" s="169"/>
      <c r="AA225" s="169"/>
      <c r="AB225" s="169"/>
      <c r="AC225" s="965">
        <v>2018.6802624820818</v>
      </c>
      <c r="AD225" s="331">
        <f>+AC225-W225</f>
      </c>
      <c r="AE225" s="169"/>
      <c r="AF225" s="170"/>
      <c r="AG225" s="169"/>
      <c r="AH225" s="170"/>
      <c r="AI225" s="170"/>
      <c r="AJ225" s="1"/>
      <c r="AK225" s="1"/>
      <c r="AL225" s="170"/>
      <c r="AM225" s="170"/>
    </row>
    <row x14ac:dyDescent="0.25" r="226" customHeight="1" ht="18.75">
      <c r="A226" s="1"/>
      <c r="B226" s="170"/>
      <c r="C226" s="169"/>
      <c r="D226" s="170"/>
      <c r="E226" s="169"/>
      <c r="F226" s="169"/>
      <c r="G226" s="170"/>
      <c r="H226" s="170"/>
      <c r="I226" s="169"/>
      <c r="J226" s="1"/>
      <c r="K226" s="169"/>
      <c r="L226" s="332">
        <v>222</v>
      </c>
      <c r="M226" s="332">
        <f>IF(L226&lt;=$C$22,$B$22,IF(L226&lt;=$C$23+$C$22,$B$23,0))</f>
      </c>
      <c r="N226" s="1"/>
      <c r="O226" s="332">
        <f>IF(Q226=12,O225-1,O225)</f>
      </c>
      <c r="P226" s="332">
        <v>222</v>
      </c>
      <c r="Q226" s="332">
        <f>IF(Q225=1,12,Q225-1)</f>
      </c>
      <c r="R226" s="169"/>
      <c r="S226" s="333">
        <f>HLOOKUP(O226,'Datos SS'!$B$4:$CZZ$16,(Q226+1),0)</f>
      </c>
      <c r="T226" s="333">
        <f>IF(O226=YEAR($B$5),($B$9/12),IF(O226&gt;MIN(YEAR($B$7),YEAR($B$5)),($B$9/12)*(1+HLOOKUP(O226,'Datos SS'!$B$31:$CZZ$32,2,0))^(O226-YEAR($B$5)),T214/(1+HLOOKUP(O226,'Datos SS'!$B$31:$CZZ$32,2,0))))</f>
      </c>
      <c r="U226" s="333">
        <f>IF(O226=2018,IF(Q226&lt;8,HLOOKUP(O226,'Datos SS'!$B$25:$BZZ$27,3,0)/12,HLOOKUP(O226,'Datos SS'!$B$25:$BZZ$26,2,0)/12),HLOOKUP(O226,'Datos SS'!$B$25:$BZZ$26,2,0)/12)</f>
      </c>
      <c r="V226" s="964">
        <f>MAX(X226,MIN(T226,U226))</f>
      </c>
      <c r="W226" s="333">
        <f>IF($E$19="NO",IF(P226&lt;=180,IF(P226&lt;25,V226,V226*$S$28/S226),0),IF(P226&gt;$B$15,0,IF(P226&lt;25,V226,V226*$S$28/S226)))</f>
      </c>
      <c r="X226" s="721">
        <f>HLOOKUP(O226,'Datos SS'!$K$37:$EP$38,2,0)</f>
      </c>
      <c r="Y226" s="331">
        <f>MAX(INT(Y225)-1,0)</f>
      </c>
      <c r="Z226" s="169"/>
      <c r="AA226" s="169"/>
      <c r="AB226" s="169"/>
      <c r="AC226" s="965">
        <v>2020.3548347004887</v>
      </c>
      <c r="AD226" s="331">
        <f>+AC226-W226</f>
      </c>
      <c r="AE226" s="169"/>
      <c r="AF226" s="170"/>
      <c r="AG226" s="169"/>
      <c r="AH226" s="170"/>
      <c r="AI226" s="170"/>
      <c r="AJ226" s="1"/>
      <c r="AK226" s="1"/>
      <c r="AL226" s="170"/>
      <c r="AM226" s="170"/>
    </row>
    <row x14ac:dyDescent="0.25" r="227" customHeight="1" ht="18.75">
      <c r="A227" s="1"/>
      <c r="B227" s="170"/>
      <c r="C227" s="169"/>
      <c r="D227" s="170"/>
      <c r="E227" s="169"/>
      <c r="F227" s="169"/>
      <c r="G227" s="170"/>
      <c r="H227" s="170"/>
      <c r="I227" s="169"/>
      <c r="J227" s="1"/>
      <c r="K227" s="169"/>
      <c r="L227" s="332">
        <v>223</v>
      </c>
      <c r="M227" s="332">
        <f>IF(L227&lt;=$C$22,$B$22,IF(L227&lt;=$C$23+$C$22,$B$23,0))</f>
      </c>
      <c r="N227" s="1"/>
      <c r="O227" s="332">
        <f>IF(Q227=12,O226-1,O226)</f>
      </c>
      <c r="P227" s="332">
        <v>223</v>
      </c>
      <c r="Q227" s="332">
        <f>IF(Q226=1,12,Q226-1)</f>
      </c>
      <c r="R227" s="169"/>
      <c r="S227" s="333">
        <f>HLOOKUP(O227,'Datos SS'!$B$4:$CZZ$16,(Q227+1),0)</f>
      </c>
      <c r="T227" s="333">
        <f>IF(O227=YEAR($B$5),($B$9/12),IF(O227&gt;MIN(YEAR($B$7),YEAR($B$5)),($B$9/12)*(1+HLOOKUP(O227,'Datos SS'!$B$31:$CZZ$32,2,0))^(O227-YEAR($B$5)),T215/(1+HLOOKUP(O227,'Datos SS'!$B$31:$CZZ$32,2,0))))</f>
      </c>
      <c r="U227" s="333">
        <f>IF(O227=2018,IF(Q227&lt;8,HLOOKUP(O227,'Datos SS'!$B$25:$BZZ$27,3,0)/12,HLOOKUP(O227,'Datos SS'!$B$25:$BZZ$26,2,0)/12),HLOOKUP(O227,'Datos SS'!$B$25:$BZZ$26,2,0)/12)</f>
      </c>
      <c r="V227" s="964">
        <f>MAX(X227,MIN(T227,U227))</f>
      </c>
      <c r="W227" s="333">
        <f>IF($E$19="NO",IF(P227&lt;=180,IF(P227&lt;25,V227,V227*$S$28/S227),0),IF(P227&gt;$B$15,0,IF(P227&lt;25,V227,V227*$S$28/S227)))</f>
      </c>
      <c r="X227" s="721">
        <f>HLOOKUP(O227,'Datos SS'!$K$37:$EP$38,2,0)</f>
      </c>
      <c r="Y227" s="331">
        <f>MAX(INT(Y226)-1,0)</f>
      </c>
      <c r="Z227" s="169"/>
      <c r="AA227" s="169"/>
      <c r="AB227" s="169"/>
      <c r="AC227" s="965">
        <v>2022.0307960403763</v>
      </c>
      <c r="AD227" s="331">
        <f>+AC227-W227</f>
      </c>
      <c r="AE227" s="169"/>
      <c r="AF227" s="170"/>
      <c r="AG227" s="169"/>
      <c r="AH227" s="170"/>
      <c r="AI227" s="170"/>
      <c r="AJ227" s="1"/>
      <c r="AK227" s="1"/>
      <c r="AL227" s="170"/>
      <c r="AM227" s="170"/>
    </row>
    <row x14ac:dyDescent="0.25" r="228" customHeight="1" ht="18.75">
      <c r="A228" s="1"/>
      <c r="B228" s="170"/>
      <c r="C228" s="169"/>
      <c r="D228" s="170"/>
      <c r="E228" s="169"/>
      <c r="F228" s="169"/>
      <c r="G228" s="170"/>
      <c r="H228" s="170"/>
      <c r="I228" s="169"/>
      <c r="J228" s="1"/>
      <c r="K228" s="169"/>
      <c r="L228" s="332">
        <v>224</v>
      </c>
      <c r="M228" s="332">
        <f>IF(L228&lt;=$C$22,$B$22,IF(L228&lt;=$C$23+$C$22,$B$23,0))</f>
      </c>
      <c r="N228" s="1"/>
      <c r="O228" s="332">
        <f>IF(Q228=12,O227-1,O227)</f>
      </c>
      <c r="P228" s="332">
        <v>224</v>
      </c>
      <c r="Q228" s="332">
        <f>IF(Q227=1,12,Q227-1)</f>
      </c>
      <c r="R228" s="169"/>
      <c r="S228" s="333">
        <f>HLOOKUP(O228,'Datos SS'!$B$4:$CZZ$16,(Q228+1),0)</f>
      </c>
      <c r="T228" s="333">
        <f>IF(O228=YEAR($B$5),($B$9/12),IF(O228&gt;MIN(YEAR($B$7),YEAR($B$5)),($B$9/12)*(1+HLOOKUP(O228,'Datos SS'!$B$31:$CZZ$32,2,0))^(O228-YEAR($B$5)),T216/(1+HLOOKUP(O228,'Datos SS'!$B$31:$CZZ$32,2,0))))</f>
      </c>
      <c r="U228" s="333">
        <f>IF(O228=2018,IF(Q228&lt;8,HLOOKUP(O228,'Datos SS'!$B$25:$BZZ$27,3,0)/12,HLOOKUP(O228,'Datos SS'!$B$25:$BZZ$26,2,0)/12),HLOOKUP(O228,'Datos SS'!$B$25:$BZZ$26,2,0)/12)</f>
      </c>
      <c r="V228" s="964">
        <f>MAX(X228,MIN(T228,U228))</f>
      </c>
      <c r="W228" s="333">
        <f>IF($E$19="NO",IF(P228&lt;=180,IF(P228&lt;25,V228,V228*$S$28/S228),0),IF(P228&gt;$B$15,0,IF(P228&lt;25,V228,V228*$S$28/S228)))</f>
      </c>
      <c r="X228" s="721">
        <f>HLOOKUP(O228,'Datos SS'!$K$37:$EP$38,2,0)</f>
      </c>
      <c r="Y228" s="331">
        <f>MAX(INT(Y227)-1,0)</f>
      </c>
      <c r="Z228" s="169"/>
      <c r="AA228" s="169"/>
      <c r="AB228" s="169"/>
      <c r="AC228" s="965">
        <v>2023.7081476540734</v>
      </c>
      <c r="AD228" s="331">
        <f>+AC228-W228</f>
      </c>
      <c r="AE228" s="169"/>
      <c r="AF228" s="170"/>
      <c r="AG228" s="169"/>
      <c r="AH228" s="170"/>
      <c r="AI228" s="170"/>
      <c r="AJ228" s="1"/>
      <c r="AK228" s="1"/>
      <c r="AL228" s="170"/>
      <c r="AM228" s="170"/>
    </row>
    <row x14ac:dyDescent="0.25" r="229" customHeight="1" ht="18.75">
      <c r="A229" s="1"/>
      <c r="B229" s="170"/>
      <c r="C229" s="169"/>
      <c r="D229" s="170"/>
      <c r="E229" s="169"/>
      <c r="F229" s="169"/>
      <c r="G229" s="170"/>
      <c r="H229" s="170"/>
      <c r="I229" s="169"/>
      <c r="J229" s="1"/>
      <c r="K229" s="169"/>
      <c r="L229" s="332">
        <v>225</v>
      </c>
      <c r="M229" s="332">
        <f>IF(L229&lt;=$C$22,$B$22,IF(L229&lt;=$C$23+$C$22,$B$23,0))</f>
      </c>
      <c r="N229" s="1"/>
      <c r="O229" s="332">
        <f>IF(Q229=12,O228-1,O228)</f>
      </c>
      <c r="P229" s="332">
        <v>225</v>
      </c>
      <c r="Q229" s="332">
        <f>IF(Q228=1,12,Q228-1)</f>
      </c>
      <c r="R229" s="169"/>
      <c r="S229" s="333">
        <f>HLOOKUP(O229,'Datos SS'!$B$4:$CZZ$16,(Q229+1),0)</f>
      </c>
      <c r="T229" s="333">
        <f>IF(O229=YEAR($B$5),($B$9/12),IF(O229&gt;MIN(YEAR($B$7),YEAR($B$5)),($B$9/12)*(1+HLOOKUP(O229,'Datos SS'!$B$31:$CZZ$32,2,0))^(O229-YEAR($B$5)),T217/(1+HLOOKUP(O229,'Datos SS'!$B$31:$CZZ$32,2,0))))</f>
      </c>
      <c r="U229" s="333">
        <f>IF(O229=2018,IF(Q229&lt;8,HLOOKUP(O229,'Datos SS'!$B$25:$BZZ$27,3,0)/12,HLOOKUP(O229,'Datos SS'!$B$25:$BZZ$26,2,0)/12),HLOOKUP(O229,'Datos SS'!$B$25:$BZZ$26,2,0)/12)</f>
      </c>
      <c r="V229" s="964">
        <f>MAX(X229,MIN(T229,U229))</f>
      </c>
      <c r="W229" s="333">
        <f>IF($E$19="NO",IF(P229&lt;=180,IF(P229&lt;25,V229,V229*$S$28/S229),0),IF(P229&gt;$B$15,0,IF(P229&lt;25,V229,V229*$S$28/S229)))</f>
      </c>
      <c r="X229" s="721">
        <f>HLOOKUP(O229,'Datos SS'!$K$37:$EP$38,2,0)</f>
      </c>
      <c r="Y229" s="331">
        <f>MAX(INT(Y228)-1,0)</f>
      </c>
      <c r="Z229" s="169"/>
      <c r="AA229" s="169"/>
      <c r="AB229" s="169"/>
      <c r="AC229" s="965">
        <v>2025.3868906948653</v>
      </c>
      <c r="AD229" s="331">
        <f>+AC229-W229</f>
      </c>
      <c r="AE229" s="169"/>
      <c r="AF229" s="170"/>
      <c r="AG229" s="169"/>
      <c r="AH229" s="170"/>
      <c r="AI229" s="170"/>
      <c r="AJ229" s="1"/>
      <c r="AK229" s="1"/>
      <c r="AL229" s="170"/>
      <c r="AM229" s="170"/>
    </row>
    <row x14ac:dyDescent="0.25" r="230" customHeight="1" ht="18.75">
      <c r="A230" s="1"/>
      <c r="B230" s="170"/>
      <c r="C230" s="169"/>
      <c r="D230" s="170"/>
      <c r="E230" s="169"/>
      <c r="F230" s="169"/>
      <c r="G230" s="170"/>
      <c r="H230" s="170"/>
      <c r="I230" s="169"/>
      <c r="J230" s="1"/>
      <c r="K230" s="169"/>
      <c r="L230" s="332">
        <v>226</v>
      </c>
      <c r="M230" s="332">
        <f>IF(L230&lt;=$C$22,$B$22,IF(L230&lt;=$C$23+$C$22,$B$23,0))</f>
      </c>
      <c r="N230" s="1"/>
      <c r="O230" s="332">
        <f>IF(Q230=12,O229-1,O229)</f>
      </c>
      <c r="P230" s="332">
        <v>226</v>
      </c>
      <c r="Q230" s="332">
        <f>IF(Q229=1,12,Q229-1)</f>
      </c>
      <c r="R230" s="169"/>
      <c r="S230" s="333">
        <f>HLOOKUP(O230,'Datos SS'!$B$4:$CZZ$16,(Q230+1),0)</f>
      </c>
      <c r="T230" s="333">
        <f>IF(O230=YEAR($B$5),($B$9/12),IF(O230&gt;MIN(YEAR($B$7),YEAR($B$5)),($B$9/12)*(1+HLOOKUP(O230,'Datos SS'!$B$31:$CZZ$32,2,0))^(O230-YEAR($B$5)),T218/(1+HLOOKUP(O230,'Datos SS'!$B$31:$CZZ$32,2,0))))</f>
      </c>
      <c r="U230" s="333">
        <f>IF(O230=2018,IF(Q230&lt;8,HLOOKUP(O230,'Datos SS'!$B$25:$BZZ$27,3,0)/12,HLOOKUP(O230,'Datos SS'!$B$25:$BZZ$26,2,0)/12),HLOOKUP(O230,'Datos SS'!$B$25:$BZZ$26,2,0)/12)</f>
      </c>
      <c r="V230" s="964">
        <f>MAX(X230,MIN(T230,U230))</f>
      </c>
      <c r="W230" s="333">
        <f>IF($E$19="NO",IF(P230&lt;=180,IF(P230&lt;25,V230,V230*$S$28/S230),0),IF(P230&gt;$B$15,0,IF(P230&lt;25,V230,V230*$S$28/S230)))</f>
      </c>
      <c r="X230" s="721">
        <f>HLOOKUP(O230,'Datos SS'!$K$37:$EP$38,2,0)</f>
      </c>
      <c r="Y230" s="331">
        <f>MAX(INT(Y229)-1,0)</f>
      </c>
      <c r="Z230" s="169"/>
      <c r="AA230" s="169"/>
      <c r="AB230" s="169"/>
      <c r="AC230" s="965">
        <v>1997.110370755659</v>
      </c>
      <c r="AD230" s="331">
        <f>+AC230-W230</f>
      </c>
      <c r="AE230" s="169"/>
      <c r="AF230" s="170"/>
      <c r="AG230" s="169"/>
      <c r="AH230" s="170"/>
      <c r="AI230" s="170"/>
      <c r="AJ230" s="1"/>
      <c r="AK230" s="1"/>
      <c r="AL230" s="170"/>
      <c r="AM230" s="170"/>
    </row>
    <row x14ac:dyDescent="0.25" r="231" customHeight="1" ht="18.75">
      <c r="A231" s="1"/>
      <c r="B231" s="170"/>
      <c r="C231" s="169"/>
      <c r="D231" s="170"/>
      <c r="E231" s="169"/>
      <c r="F231" s="169"/>
      <c r="G231" s="170"/>
      <c r="H231" s="170"/>
      <c r="I231" s="169"/>
      <c r="J231" s="1"/>
      <c r="K231" s="169"/>
      <c r="L231" s="332">
        <v>227</v>
      </c>
      <c r="M231" s="332">
        <f>IF(L231&lt;=$C$22,$B$22,IF(L231&lt;=$C$23+$C$22,$B$23,0))</f>
      </c>
      <c r="N231" s="1"/>
      <c r="O231" s="332">
        <f>IF(Q231=12,O230-1,O230)</f>
      </c>
      <c r="P231" s="332">
        <v>227</v>
      </c>
      <c r="Q231" s="332">
        <f>IF(Q230=1,12,Q230-1)</f>
      </c>
      <c r="R231" s="169"/>
      <c r="S231" s="333">
        <f>HLOOKUP(O231,'Datos SS'!$B$4:$CZZ$16,(Q231+1),0)</f>
      </c>
      <c r="T231" s="333">
        <f>IF(O231=YEAR($B$5),($B$9/12),IF(O231&gt;MIN(YEAR($B$7),YEAR($B$5)),($B$9/12)*(1+HLOOKUP(O231,'Datos SS'!$B$31:$CZZ$32,2,0))^(O231-YEAR($B$5)),T219/(1+HLOOKUP(O231,'Datos SS'!$B$31:$CZZ$32,2,0))))</f>
      </c>
      <c r="U231" s="333">
        <f>IF(O231=2018,IF(Q231&lt;8,HLOOKUP(O231,'Datos SS'!$B$25:$BZZ$27,3,0)/12,HLOOKUP(O231,'Datos SS'!$B$25:$BZZ$26,2,0)/12),HLOOKUP(O231,'Datos SS'!$B$25:$BZZ$26,2,0)/12)</f>
      </c>
      <c r="V231" s="964">
        <f>MAX(X231,MIN(T231,U231))</f>
      </c>
      <c r="W231" s="333">
        <f>IF($E$19="NO",IF(P231&lt;=180,IF(P231&lt;25,V231,V231*$S$28/S231),0),IF(P231&gt;$B$15,0,IF(P231&lt;25,V231,V231*$S$28/S231)))</f>
      </c>
      <c r="X231" s="721">
        <f>HLOOKUP(O231,'Datos SS'!$K$37:$EP$38,2,0)</f>
      </c>
      <c r="Y231" s="331">
        <f>MAX(INT(Y230)-1,0)</f>
      </c>
      <c r="Z231" s="169"/>
      <c r="AA231" s="169"/>
      <c r="AB231" s="169"/>
      <c r="AC231" s="965">
        <v>1998.767049926757</v>
      </c>
      <c r="AD231" s="331">
        <f>+AC231-W231</f>
      </c>
      <c r="AE231" s="169"/>
      <c r="AF231" s="170"/>
      <c r="AG231" s="169"/>
      <c r="AH231" s="170"/>
      <c r="AI231" s="170"/>
      <c r="AJ231" s="1"/>
      <c r="AK231" s="1"/>
      <c r="AL231" s="170"/>
      <c r="AM231" s="170"/>
    </row>
    <row x14ac:dyDescent="0.25" r="232" customHeight="1" ht="18.75">
      <c r="A232" s="1"/>
      <c r="B232" s="170"/>
      <c r="C232" s="169"/>
      <c r="D232" s="170"/>
      <c r="E232" s="169"/>
      <c r="F232" s="169"/>
      <c r="G232" s="170"/>
      <c r="H232" s="170"/>
      <c r="I232" s="169"/>
      <c r="J232" s="1"/>
      <c r="K232" s="169"/>
      <c r="L232" s="332">
        <v>228</v>
      </c>
      <c r="M232" s="332">
        <f>IF(L232&lt;=$C$22,$B$22,IF(L232&lt;=$C$23+$C$22,$B$23,0))</f>
      </c>
      <c r="N232" s="1"/>
      <c r="O232" s="332">
        <f>IF(Q232=12,O231-1,O231)</f>
      </c>
      <c r="P232" s="332">
        <v>228</v>
      </c>
      <c r="Q232" s="332">
        <f>IF(Q231=1,12,Q231-1)</f>
      </c>
      <c r="R232" s="169"/>
      <c r="S232" s="333">
        <f>HLOOKUP(O232,'Datos SS'!$B$4:$CZZ$16,(Q232+1),0)</f>
      </c>
      <c r="T232" s="333">
        <f>IF(O232=YEAR($B$5),($B$9/12),IF(O232&gt;MIN(YEAR($B$7),YEAR($B$5)),($B$9/12)*(1+HLOOKUP(O232,'Datos SS'!$B$31:$CZZ$32,2,0))^(O232-YEAR($B$5)),T220/(1+HLOOKUP(O232,'Datos SS'!$B$31:$CZZ$32,2,0))))</f>
      </c>
      <c r="U232" s="333">
        <f>IF(O232=2018,IF(Q232&lt;8,HLOOKUP(O232,'Datos SS'!$B$25:$BZZ$27,3,0)/12,HLOOKUP(O232,'Datos SS'!$B$25:$BZZ$26,2,0)/12),HLOOKUP(O232,'Datos SS'!$B$25:$BZZ$26,2,0)/12)</f>
      </c>
      <c r="V232" s="964">
        <f>MAX(X232,MIN(T232,U232))</f>
      </c>
      <c r="W232" s="333">
        <f>IF($E$19="NO",IF(P232&lt;=180,IF(P232&lt;25,V232,V232*$S$28/S232),0),IF(P232&gt;$B$15,0,IF(P232&lt;25,V232,V232*$S$28/S232)))</f>
      </c>
      <c r="X232" s="721">
        <f>HLOOKUP(O232,'Datos SS'!$K$37:$EP$38,2,0)</f>
      </c>
      <c r="Y232" s="331">
        <f>MAX(INT(Y231)-1,0)</f>
      </c>
      <c r="Z232" s="169"/>
      <c r="AA232" s="169"/>
      <c r="AB232" s="169"/>
      <c r="AC232" s="965">
        <v>2000.4251033763703</v>
      </c>
      <c r="AD232" s="331">
        <f>+AC232-W232</f>
      </c>
      <c r="AE232" s="169"/>
      <c r="AF232" s="170"/>
      <c r="AG232" s="169"/>
      <c r="AH232" s="170"/>
      <c r="AI232" s="170"/>
      <c r="AJ232" s="1"/>
      <c r="AK232" s="1"/>
      <c r="AL232" s="170"/>
      <c r="AM232" s="170"/>
    </row>
    <row x14ac:dyDescent="0.25" r="233" customHeight="1" ht="18.75">
      <c r="A233" s="1"/>
      <c r="B233" s="170"/>
      <c r="C233" s="169"/>
      <c r="D233" s="170"/>
      <c r="E233" s="169"/>
      <c r="F233" s="169"/>
      <c r="G233" s="170"/>
      <c r="H233" s="170"/>
      <c r="I233" s="169"/>
      <c r="J233" s="1"/>
      <c r="K233" s="169"/>
      <c r="L233" s="332">
        <v>229</v>
      </c>
      <c r="M233" s="332">
        <f>IF(L233&lt;=$C$22,$B$22,IF(L233&lt;=$C$23+$C$22,$B$23,0))</f>
      </c>
      <c r="N233" s="1"/>
      <c r="O233" s="332">
        <f>IF(Q233=12,O232-1,O232)</f>
      </c>
      <c r="P233" s="332">
        <v>229</v>
      </c>
      <c r="Q233" s="332">
        <f>IF(Q232=1,12,Q232-1)</f>
      </c>
      <c r="R233" s="169"/>
      <c r="S233" s="333">
        <f>HLOOKUP(O233,'Datos SS'!$B$4:$CZZ$16,(Q233+1),0)</f>
      </c>
      <c r="T233" s="333">
        <f>IF(O233=YEAR($B$5),($B$9/12),IF(O233&gt;MIN(YEAR($B$7),YEAR($B$5)),($B$9/12)*(1+HLOOKUP(O233,'Datos SS'!$B$31:$CZZ$32,2,0))^(O233-YEAR($B$5)),T221/(1+HLOOKUP(O233,'Datos SS'!$B$31:$CZZ$32,2,0))))</f>
      </c>
      <c r="U233" s="333">
        <f>IF(O233=2018,IF(Q233&lt;8,HLOOKUP(O233,'Datos SS'!$B$25:$BZZ$27,3,0)/12,HLOOKUP(O233,'Datos SS'!$B$25:$BZZ$26,2,0)/12),HLOOKUP(O233,'Datos SS'!$B$25:$BZZ$26,2,0)/12)</f>
      </c>
      <c r="V233" s="964">
        <f>MAX(X233,MIN(T233,U233))</f>
      </c>
      <c r="W233" s="333">
        <f>IF($E$19="NO",IF(P233&lt;=180,IF(P233&lt;25,V233,V233*$S$28/S233),0),IF(P233&gt;$B$15,0,IF(P233&lt;25,V233,V233*$S$28/S233)))</f>
      </c>
      <c r="X233" s="721">
        <f>HLOOKUP(O233,'Datos SS'!$K$37:$EP$38,2,0)</f>
      </c>
      <c r="Y233" s="331">
        <f>MAX(INT(Y232)-1,0)</f>
      </c>
      <c r="Z233" s="169"/>
      <c r="AA233" s="169"/>
      <c r="AB233" s="169"/>
      <c r="AC233" s="965">
        <v>2002.084532244516</v>
      </c>
      <c r="AD233" s="331">
        <f>+AC233-W233</f>
      </c>
      <c r="AE233" s="169"/>
      <c r="AF233" s="170"/>
      <c r="AG233" s="169"/>
      <c r="AH233" s="170"/>
      <c r="AI233" s="170"/>
      <c r="AJ233" s="1"/>
      <c r="AK233" s="1"/>
      <c r="AL233" s="170"/>
      <c r="AM233" s="170"/>
    </row>
    <row x14ac:dyDescent="0.25" r="234" customHeight="1" ht="18.75">
      <c r="A234" s="1"/>
      <c r="B234" s="170"/>
      <c r="C234" s="169"/>
      <c r="D234" s="170"/>
      <c r="E234" s="169"/>
      <c r="F234" s="169"/>
      <c r="G234" s="170"/>
      <c r="H234" s="170"/>
      <c r="I234" s="169"/>
      <c r="J234" s="1"/>
      <c r="K234" s="169"/>
      <c r="L234" s="332">
        <v>230</v>
      </c>
      <c r="M234" s="332">
        <f>IF(L234&lt;=$C$22,$B$22,IF(L234&lt;=$C$23+$C$22,$B$23,0))</f>
      </c>
      <c r="N234" s="1"/>
      <c r="O234" s="332">
        <f>IF(Q234=12,O233-1,O233)</f>
      </c>
      <c r="P234" s="332">
        <v>230</v>
      </c>
      <c r="Q234" s="332">
        <f>IF(Q233=1,12,Q233-1)</f>
      </c>
      <c r="R234" s="169"/>
      <c r="S234" s="333">
        <f>HLOOKUP(O234,'Datos SS'!$B$4:$CZZ$16,(Q234+1),0)</f>
      </c>
      <c r="T234" s="333">
        <f>IF(O234=YEAR($B$5),($B$9/12),IF(O234&gt;MIN(YEAR($B$7),YEAR($B$5)),($B$9/12)*(1+HLOOKUP(O234,'Datos SS'!$B$31:$CZZ$32,2,0))^(O234-YEAR($B$5)),T222/(1+HLOOKUP(O234,'Datos SS'!$B$31:$CZZ$32,2,0))))</f>
      </c>
      <c r="U234" s="333">
        <f>IF(O234=2018,IF(Q234&lt;8,HLOOKUP(O234,'Datos SS'!$B$25:$BZZ$27,3,0)/12,HLOOKUP(O234,'Datos SS'!$B$25:$BZZ$26,2,0)/12),HLOOKUP(O234,'Datos SS'!$B$25:$BZZ$26,2,0)/12)</f>
      </c>
      <c r="V234" s="964">
        <f>MAX(X234,MIN(T234,U234))</f>
      </c>
      <c r="W234" s="333">
        <f>IF($E$19="NO",IF(P234&lt;=180,IF(P234&lt;25,V234,V234*$S$28/S234),0),IF(P234&gt;$B$15,0,IF(P234&lt;25,V234,V234*$S$28/S234)))</f>
      </c>
      <c r="X234" s="721">
        <f>HLOOKUP(O234,'Datos SS'!$K$37:$EP$38,2,0)</f>
      </c>
      <c r="Y234" s="331">
        <f>MAX(INT(Y233)-1,0)</f>
      </c>
      <c r="Z234" s="169"/>
      <c r="AA234" s="169"/>
      <c r="AB234" s="169"/>
      <c r="AC234" s="965">
        <v>2003.7453376721555</v>
      </c>
      <c r="AD234" s="331">
        <f>+AC234-W234</f>
      </c>
      <c r="AE234" s="169"/>
      <c r="AF234" s="170"/>
      <c r="AG234" s="169"/>
      <c r="AH234" s="170"/>
      <c r="AI234" s="170"/>
      <c r="AJ234" s="1"/>
      <c r="AK234" s="1"/>
      <c r="AL234" s="170"/>
      <c r="AM234" s="170"/>
    </row>
    <row x14ac:dyDescent="0.25" r="235" customHeight="1" ht="18.75">
      <c r="A235" s="1"/>
      <c r="B235" s="170"/>
      <c r="C235" s="169"/>
      <c r="D235" s="170"/>
      <c r="E235" s="169"/>
      <c r="F235" s="169"/>
      <c r="G235" s="170"/>
      <c r="H235" s="170"/>
      <c r="I235" s="169"/>
      <c r="J235" s="1"/>
      <c r="K235" s="169"/>
      <c r="L235" s="332">
        <v>231</v>
      </c>
      <c r="M235" s="332">
        <f>IF(L235&lt;=$C$22,$B$22,IF(L235&lt;=$C$23+$C$22,$B$23,0))</f>
      </c>
      <c r="N235" s="1"/>
      <c r="O235" s="332">
        <f>IF(Q235=12,O234-1,O234)</f>
      </c>
      <c r="P235" s="332">
        <v>231</v>
      </c>
      <c r="Q235" s="332">
        <f>IF(Q234=1,12,Q234-1)</f>
      </c>
      <c r="R235" s="169"/>
      <c r="S235" s="333">
        <f>HLOOKUP(O235,'Datos SS'!$B$4:$CZZ$16,(Q235+1),0)</f>
      </c>
      <c r="T235" s="333">
        <f>IF(O235=YEAR($B$5),($B$9/12),IF(O235&gt;MIN(YEAR($B$7),YEAR($B$5)),($B$9/12)*(1+HLOOKUP(O235,'Datos SS'!$B$31:$CZZ$32,2,0))^(O235-YEAR($B$5)),T223/(1+HLOOKUP(O235,'Datos SS'!$B$31:$CZZ$32,2,0))))</f>
      </c>
      <c r="U235" s="333">
        <f>IF(O235=2018,IF(Q235&lt;8,HLOOKUP(O235,'Datos SS'!$B$25:$BZZ$27,3,0)/12,HLOOKUP(O235,'Datos SS'!$B$25:$BZZ$26,2,0)/12),HLOOKUP(O235,'Datos SS'!$B$25:$BZZ$26,2,0)/12)</f>
      </c>
      <c r="V235" s="964">
        <f>MAX(X235,MIN(T235,U235))</f>
      </c>
      <c r="W235" s="333">
        <f>IF($E$19="NO",IF(P235&lt;=180,IF(P235&lt;25,V235,V235*$S$28/S235),0),IF(P235&gt;$B$15,0,IF(P235&lt;25,V235,V235*$S$28/S235)))</f>
      </c>
      <c r="X235" s="721">
        <f>HLOOKUP(O235,'Datos SS'!$K$37:$EP$38,2,0)</f>
      </c>
      <c r="Y235" s="331">
        <f>MAX(INT(Y234)-1,0)</f>
      </c>
      <c r="Z235" s="169"/>
      <c r="AA235" s="169"/>
      <c r="AB235" s="169"/>
      <c r="AC235" s="965">
        <v>2005.4075208011982</v>
      </c>
      <c r="AD235" s="331">
        <f>+AC235-W235</f>
      </c>
      <c r="AE235" s="169"/>
      <c r="AF235" s="170"/>
      <c r="AG235" s="169"/>
      <c r="AH235" s="170"/>
      <c r="AI235" s="170"/>
      <c r="AJ235" s="1"/>
      <c r="AK235" s="1"/>
      <c r="AL235" s="170"/>
      <c r="AM235" s="170"/>
    </row>
    <row x14ac:dyDescent="0.25" r="236" customHeight="1" ht="18.75">
      <c r="A236" s="1"/>
      <c r="B236" s="170"/>
      <c r="C236" s="169"/>
      <c r="D236" s="170"/>
      <c r="E236" s="169"/>
      <c r="F236" s="169"/>
      <c r="G236" s="170"/>
      <c r="H236" s="170"/>
      <c r="I236" s="169"/>
      <c r="J236" s="1"/>
      <c r="K236" s="169"/>
      <c r="L236" s="332">
        <v>232</v>
      </c>
      <c r="M236" s="332">
        <f>IF(L236&lt;=$C$22,$B$22,IF(L236&lt;=$C$23+$C$22,$B$23,0))</f>
      </c>
      <c r="N236" s="1"/>
      <c r="O236" s="332">
        <f>IF(Q236=12,O235-1,O235)</f>
      </c>
      <c r="P236" s="332">
        <v>232</v>
      </c>
      <c r="Q236" s="332">
        <f>IF(Q235=1,12,Q235-1)</f>
      </c>
      <c r="R236" s="169"/>
      <c r="S236" s="333">
        <f>HLOOKUP(O236,'Datos SS'!$B$4:$CZZ$16,(Q236+1),0)</f>
      </c>
      <c r="T236" s="333">
        <f>IF(O236=YEAR($B$5),($B$9/12),IF(O236&gt;MIN(YEAR($B$7),YEAR($B$5)),($B$9/12)*(1+HLOOKUP(O236,'Datos SS'!$B$31:$CZZ$32,2,0))^(O236-YEAR($B$5)),T224/(1+HLOOKUP(O236,'Datos SS'!$B$31:$CZZ$32,2,0))))</f>
      </c>
      <c r="U236" s="333">
        <f>IF(O236=2018,IF(Q236&lt;8,HLOOKUP(O236,'Datos SS'!$B$25:$BZZ$27,3,0)/12,HLOOKUP(O236,'Datos SS'!$B$25:$BZZ$26,2,0)/12),HLOOKUP(O236,'Datos SS'!$B$25:$BZZ$26,2,0)/12)</f>
      </c>
      <c r="V236" s="964">
        <f>MAX(X236,MIN(T236,U236))</f>
      </c>
      <c r="W236" s="333">
        <f>IF($E$19="NO",IF(P236&lt;=180,IF(P236&lt;25,V236,V236*$S$28/S236),0),IF(P236&gt;$B$15,0,IF(P236&lt;25,V236,V236*$S$28/S236)))</f>
      </c>
      <c r="X236" s="721">
        <f>HLOOKUP(O236,'Datos SS'!$K$37:$EP$38,2,0)</f>
      </c>
      <c r="Y236" s="331">
        <f>MAX(INT(Y235)-1,0)</f>
      </c>
      <c r="Z236" s="169"/>
      <c r="AA236" s="169"/>
      <c r="AB236" s="169"/>
      <c r="AC236" s="965">
        <v>2007.0710827744992</v>
      </c>
      <c r="AD236" s="331">
        <f>+AC236-W236</f>
      </c>
      <c r="AE236" s="169"/>
      <c r="AF236" s="170"/>
      <c r="AG236" s="169"/>
      <c r="AH236" s="170"/>
      <c r="AI236" s="170"/>
      <c r="AJ236" s="1"/>
      <c r="AK236" s="1"/>
      <c r="AL236" s="170"/>
      <c r="AM236" s="170"/>
    </row>
    <row x14ac:dyDescent="0.25" r="237" customHeight="1" ht="18.75">
      <c r="A237" s="1"/>
      <c r="B237" s="170"/>
      <c r="C237" s="169"/>
      <c r="D237" s="170"/>
      <c r="E237" s="169"/>
      <c r="F237" s="169"/>
      <c r="G237" s="170"/>
      <c r="H237" s="170"/>
      <c r="I237" s="169"/>
      <c r="J237" s="1"/>
      <c r="K237" s="169"/>
      <c r="L237" s="332">
        <v>233</v>
      </c>
      <c r="M237" s="332">
        <f>IF(L237&lt;=$C$22,$B$22,IF(L237&lt;=$C$23+$C$22,$B$23,0))</f>
      </c>
      <c r="N237" s="1"/>
      <c r="O237" s="332">
        <f>IF(Q237=12,O236-1,O236)</f>
      </c>
      <c r="P237" s="332">
        <v>233</v>
      </c>
      <c r="Q237" s="332">
        <f>IF(Q236=1,12,Q236-1)</f>
      </c>
      <c r="R237" s="169"/>
      <c r="S237" s="333">
        <f>HLOOKUP(O237,'Datos SS'!$B$4:$CZZ$16,(Q237+1),0)</f>
      </c>
      <c r="T237" s="333">
        <f>IF(O237=YEAR($B$5),($B$9/12),IF(O237&gt;MIN(YEAR($B$7),YEAR($B$5)),($B$9/12)*(1+HLOOKUP(O237,'Datos SS'!$B$31:$CZZ$32,2,0))^(O237-YEAR($B$5)),T225/(1+HLOOKUP(O237,'Datos SS'!$B$31:$CZZ$32,2,0))))</f>
      </c>
      <c r="U237" s="333">
        <f>IF(O237=2018,IF(Q237&lt;8,HLOOKUP(O237,'Datos SS'!$B$25:$BZZ$27,3,0)/12,HLOOKUP(O237,'Datos SS'!$B$25:$BZZ$26,2,0)/12),HLOOKUP(O237,'Datos SS'!$B$25:$BZZ$26,2,0)/12)</f>
      </c>
      <c r="V237" s="964">
        <f>MAX(X237,MIN(T237,U237))</f>
      </c>
      <c r="W237" s="333">
        <f>IF($E$19="NO",IF(P237&lt;=180,IF(P237&lt;25,V237,V237*$S$28/S237),0),IF(P237&gt;$B$15,0,IF(P237&lt;25,V237,V237*$S$28/S237)))</f>
      </c>
      <c r="X237" s="721">
        <f>HLOOKUP(O237,'Datos SS'!$K$37:$EP$38,2,0)</f>
      </c>
      <c r="Y237" s="331">
        <f>MAX(INT(Y236)-1,0)</f>
      </c>
      <c r="Z237" s="169"/>
      <c r="AA237" s="169"/>
      <c r="AB237" s="169"/>
      <c r="AC237" s="965">
        <v>2008.7360247358627</v>
      </c>
      <c r="AD237" s="331">
        <f>+AC237-W237</f>
      </c>
      <c r="AE237" s="169"/>
      <c r="AF237" s="170"/>
      <c r="AG237" s="169"/>
      <c r="AH237" s="170"/>
      <c r="AI237" s="170"/>
      <c r="AJ237" s="1"/>
      <c r="AK237" s="1"/>
      <c r="AL237" s="170"/>
      <c r="AM237" s="170"/>
    </row>
    <row x14ac:dyDescent="0.25" r="238" customHeight="1" ht="18.75">
      <c r="A238" s="1"/>
      <c r="B238" s="170"/>
      <c r="C238" s="169"/>
      <c r="D238" s="170"/>
      <c r="E238" s="169"/>
      <c r="F238" s="169"/>
      <c r="G238" s="170"/>
      <c r="H238" s="170"/>
      <c r="I238" s="169"/>
      <c r="J238" s="1"/>
      <c r="K238" s="169"/>
      <c r="L238" s="332">
        <v>234</v>
      </c>
      <c r="M238" s="332">
        <f>IF(L238&lt;=$C$22,$B$22,IF(L238&lt;=$C$23+$C$22,$B$23,0))</f>
      </c>
      <c r="N238" s="1"/>
      <c r="O238" s="332">
        <f>IF(Q238=12,O237-1,O237)</f>
      </c>
      <c r="P238" s="332">
        <v>234</v>
      </c>
      <c r="Q238" s="332">
        <f>IF(Q237=1,12,Q237-1)</f>
      </c>
      <c r="R238" s="169"/>
      <c r="S238" s="333">
        <f>HLOOKUP(O238,'Datos SS'!$B$4:$CZZ$16,(Q238+1),0)</f>
      </c>
      <c r="T238" s="333">
        <f>IF(O238=YEAR($B$5),($B$9/12),IF(O238&gt;MIN(YEAR($B$7),YEAR($B$5)),($B$9/12)*(1+HLOOKUP(O238,'Datos SS'!$B$31:$CZZ$32,2,0))^(O238-YEAR($B$5)),T226/(1+HLOOKUP(O238,'Datos SS'!$B$31:$CZZ$32,2,0))))</f>
      </c>
      <c r="U238" s="333">
        <f>IF(O238=2018,IF(Q238&lt;8,HLOOKUP(O238,'Datos SS'!$B$25:$BZZ$27,3,0)/12,HLOOKUP(O238,'Datos SS'!$B$25:$BZZ$26,2,0)/12),HLOOKUP(O238,'Datos SS'!$B$25:$BZZ$26,2,0)/12)</f>
      </c>
      <c r="V238" s="964">
        <f>MAX(X238,MIN(T238,U238))</f>
      </c>
      <c r="W238" s="333">
        <f>IF($E$19="NO",IF(P238&lt;=180,IF(P238&lt;25,V238,V238*$S$28/S238),0),IF(P238&gt;$B$15,0,IF(P238&lt;25,V238,V238*$S$28/S238)))</f>
      </c>
      <c r="X238" s="721">
        <f>HLOOKUP(O238,'Datos SS'!$K$37:$EP$38,2,0)</f>
      </c>
      <c r="Y238" s="331">
        <f>MAX(INT(Y237)-1,0)</f>
      </c>
      <c r="Z238" s="169"/>
      <c r="AA238" s="169"/>
      <c r="AB238" s="169"/>
      <c r="AC238" s="965">
        <v>2010.4023478300412</v>
      </c>
      <c r="AD238" s="331">
        <f>+AC238-W238</f>
      </c>
      <c r="AE238" s="169"/>
      <c r="AF238" s="170"/>
      <c r="AG238" s="169"/>
      <c r="AH238" s="170"/>
      <c r="AI238" s="170"/>
      <c r="AJ238" s="1"/>
      <c r="AK238" s="1"/>
      <c r="AL238" s="170"/>
      <c r="AM238" s="170"/>
    </row>
    <row x14ac:dyDescent="0.25" r="239" customHeight="1" ht="18.75">
      <c r="A239" s="1"/>
      <c r="B239" s="170"/>
      <c r="C239" s="169"/>
      <c r="D239" s="170"/>
      <c r="E239" s="169"/>
      <c r="F239" s="169"/>
      <c r="G239" s="170"/>
      <c r="H239" s="170"/>
      <c r="I239" s="169"/>
      <c r="J239" s="1"/>
      <c r="K239" s="169"/>
      <c r="L239" s="332">
        <v>235</v>
      </c>
      <c r="M239" s="332">
        <f>IF(L239&lt;=$C$22,$B$22,IF(L239&lt;=$C$23+$C$22,$B$23,0))</f>
      </c>
      <c r="N239" s="1"/>
      <c r="O239" s="332">
        <f>IF(Q239=12,O238-1,O238)</f>
      </c>
      <c r="P239" s="332">
        <v>235</v>
      </c>
      <c r="Q239" s="332">
        <f>IF(Q238=1,12,Q238-1)</f>
      </c>
      <c r="R239" s="169"/>
      <c r="S239" s="333">
        <f>HLOOKUP(O239,'Datos SS'!$B$4:$CZZ$16,(Q239+1),0)</f>
      </c>
      <c r="T239" s="333">
        <f>IF(O239=YEAR($B$5),($B$9/12),IF(O239&gt;MIN(YEAR($B$7),YEAR($B$5)),($B$9/12)*(1+HLOOKUP(O239,'Datos SS'!$B$31:$CZZ$32,2,0))^(O239-YEAR($B$5)),T227/(1+HLOOKUP(O239,'Datos SS'!$B$31:$CZZ$32,2,0))))</f>
      </c>
      <c r="U239" s="333">
        <f>IF(O239=2018,IF(Q239&lt;8,HLOOKUP(O239,'Datos SS'!$B$25:$BZZ$27,3,0)/12,HLOOKUP(O239,'Datos SS'!$B$25:$BZZ$26,2,0)/12),HLOOKUP(O239,'Datos SS'!$B$25:$BZZ$26,2,0)/12)</f>
      </c>
      <c r="V239" s="964">
        <f>MAX(X239,MIN(T239,U239))</f>
      </c>
      <c r="W239" s="333">
        <f>IF($E$19="NO",IF(P239&lt;=180,IF(P239&lt;25,V239,V239*$S$28/S239),0),IF(P239&gt;$B$15,0,IF(P239&lt;25,V239,V239*$S$28/S239)))</f>
      </c>
      <c r="X239" s="721">
        <f>HLOOKUP(O239,'Datos SS'!$K$37:$EP$38,2,0)</f>
      </c>
      <c r="Y239" s="331">
        <f>MAX(INT(Y238)-1,0)</f>
      </c>
      <c r="Z239" s="169"/>
      <c r="AA239" s="169"/>
      <c r="AB239" s="169"/>
      <c r="AC239" s="965">
        <v>2012.0700532027372</v>
      </c>
      <c r="AD239" s="331">
        <f>+AC239-W239</f>
      </c>
      <c r="AE239" s="169"/>
      <c r="AF239" s="170"/>
      <c r="AG239" s="169"/>
      <c r="AH239" s="170"/>
      <c r="AI239" s="170"/>
      <c r="AJ239" s="1"/>
      <c r="AK239" s="1"/>
      <c r="AL239" s="170"/>
      <c r="AM239" s="170"/>
    </row>
    <row x14ac:dyDescent="0.25" r="240" customHeight="1" ht="18.75">
      <c r="A240" s="1"/>
      <c r="B240" s="170"/>
      <c r="C240" s="169"/>
      <c r="D240" s="170"/>
      <c r="E240" s="169"/>
      <c r="F240" s="169"/>
      <c r="G240" s="170"/>
      <c r="H240" s="170"/>
      <c r="I240" s="169"/>
      <c r="J240" s="1"/>
      <c r="K240" s="169"/>
      <c r="L240" s="332">
        <v>236</v>
      </c>
      <c r="M240" s="332">
        <f>IF(L240&lt;=$C$22,$B$22,IF(L240&lt;=$C$23+$C$22,$B$23,0))</f>
      </c>
      <c r="N240" s="1"/>
      <c r="O240" s="332">
        <f>IF(Q240=12,O239-1,O239)</f>
      </c>
      <c r="P240" s="332">
        <v>236</v>
      </c>
      <c r="Q240" s="332">
        <f>IF(Q239=1,12,Q239-1)</f>
      </c>
      <c r="R240" s="169"/>
      <c r="S240" s="333">
        <f>HLOOKUP(O240,'Datos SS'!$B$4:$CZZ$16,(Q240+1),0)</f>
      </c>
      <c r="T240" s="333">
        <f>IF(O240=YEAR($B$5),($B$9/12),IF(O240&gt;MIN(YEAR($B$7),YEAR($B$5)),($B$9/12)*(1+HLOOKUP(O240,'Datos SS'!$B$31:$CZZ$32,2,0))^(O240-YEAR($B$5)),T228/(1+HLOOKUP(O240,'Datos SS'!$B$31:$CZZ$32,2,0))))</f>
      </c>
      <c r="U240" s="333">
        <f>IF(O240=2018,IF(Q240&lt;8,HLOOKUP(O240,'Datos SS'!$B$25:$BZZ$27,3,0)/12,HLOOKUP(O240,'Datos SS'!$B$25:$BZZ$26,2,0)/12),HLOOKUP(O240,'Datos SS'!$B$25:$BZZ$26,2,0)/12)</f>
      </c>
      <c r="V240" s="964">
        <f>MAX(X240,MIN(T240,U240))</f>
      </c>
      <c r="W240" s="333">
        <f>IF($E$19="NO",IF(P240&lt;=180,IF(P240&lt;25,V240,V240*$S$28/S240),0),IF(P240&gt;$B$15,0,IF(P240&lt;25,V240,V240*$S$28/S240)))</f>
      </c>
      <c r="X240" s="721">
        <f>HLOOKUP(O240,'Datos SS'!$K$37:$EP$38,2,0)</f>
      </c>
      <c r="Y240" s="331">
        <f>MAX(INT(Y239)-1,0)</f>
      </c>
      <c r="Z240" s="169"/>
      <c r="AA240" s="169"/>
      <c r="AB240" s="169"/>
      <c r="AC240" s="965">
        <v>2013.7391420006036</v>
      </c>
      <c r="AD240" s="331">
        <f>+AC240-W240</f>
      </c>
      <c r="AE240" s="169"/>
      <c r="AF240" s="170"/>
      <c r="AG240" s="169"/>
      <c r="AH240" s="170"/>
      <c r="AI240" s="170"/>
      <c r="AJ240" s="1"/>
      <c r="AK240" s="1"/>
      <c r="AL240" s="170"/>
      <c r="AM240" s="170"/>
    </row>
    <row x14ac:dyDescent="0.25" r="241" customHeight="1" ht="18.75">
      <c r="A241" s="1"/>
      <c r="B241" s="170"/>
      <c r="C241" s="169"/>
      <c r="D241" s="170"/>
      <c r="E241" s="169"/>
      <c r="F241" s="169"/>
      <c r="G241" s="170"/>
      <c r="H241" s="170"/>
      <c r="I241" s="169"/>
      <c r="J241" s="1"/>
      <c r="K241" s="169"/>
      <c r="L241" s="332">
        <v>237</v>
      </c>
      <c r="M241" s="332">
        <f>IF(L241&lt;=$C$22,$B$22,IF(L241&lt;=$C$23+$C$22,$B$23,0))</f>
      </c>
      <c r="N241" s="1"/>
      <c r="O241" s="332">
        <f>IF(Q241=12,O240-1,O240)</f>
      </c>
      <c r="P241" s="332">
        <v>237</v>
      </c>
      <c r="Q241" s="332">
        <f>IF(Q240=1,12,Q240-1)</f>
      </c>
      <c r="R241" s="169"/>
      <c r="S241" s="333">
        <f>HLOOKUP(O241,'Datos SS'!$B$4:$CZZ$16,(Q241+1),0)</f>
      </c>
      <c r="T241" s="333">
        <f>IF(O241=YEAR($B$5),($B$9/12),IF(O241&gt;MIN(YEAR($B$7),YEAR($B$5)),($B$9/12)*(1+HLOOKUP(O241,'Datos SS'!$B$31:$CZZ$32,2,0))^(O241-YEAR($B$5)),T229/(1+HLOOKUP(O241,'Datos SS'!$B$31:$CZZ$32,2,0))))</f>
      </c>
      <c r="U241" s="333">
        <f>IF(O241=2018,IF(Q241&lt;8,HLOOKUP(O241,'Datos SS'!$B$25:$BZZ$27,3,0)/12,HLOOKUP(O241,'Datos SS'!$B$25:$BZZ$26,2,0)/12),HLOOKUP(O241,'Datos SS'!$B$25:$BZZ$26,2,0)/12)</f>
      </c>
      <c r="V241" s="964">
        <f>MAX(X241,MIN(T241,U241))</f>
      </c>
      <c r="W241" s="333">
        <f>IF($E$19="NO",IF(P241&lt;=180,IF(P241&lt;25,V241,V241*$S$28/S241),0),IF(P241&gt;$B$15,0,IF(P241&lt;25,V241,V241*$S$28/S241)))</f>
      </c>
      <c r="X241" s="721">
        <f>HLOOKUP(O241,'Datos SS'!$K$37:$EP$38,2,0)</f>
      </c>
      <c r="Y241" s="331">
        <f>MAX(INT(Y240)-1,0)</f>
      </c>
      <c r="Z241" s="169"/>
      <c r="AA241" s="169"/>
      <c r="AB241" s="169"/>
      <c r="AC241" s="965">
        <v>2015.4096153712437</v>
      </c>
      <c r="AD241" s="331">
        <f>+AC241-W241</f>
      </c>
      <c r="AE241" s="169"/>
      <c r="AF241" s="170"/>
      <c r="AG241" s="169"/>
      <c r="AH241" s="170"/>
      <c r="AI241" s="170"/>
      <c r="AJ241" s="1"/>
      <c r="AK241" s="1"/>
      <c r="AL241" s="170"/>
      <c r="AM241" s="170"/>
    </row>
    <row x14ac:dyDescent="0.25" r="242" customHeight="1" ht="18.75">
      <c r="A242" s="1"/>
      <c r="B242" s="170"/>
      <c r="C242" s="169"/>
      <c r="D242" s="170"/>
      <c r="E242" s="169"/>
      <c r="F242" s="169"/>
      <c r="G242" s="170"/>
      <c r="H242" s="170"/>
      <c r="I242" s="169"/>
      <c r="J242" s="1"/>
      <c r="K242" s="169"/>
      <c r="L242" s="332">
        <v>238</v>
      </c>
      <c r="M242" s="332">
        <f>IF(L242&lt;=$C$22,$B$22,IF(L242&lt;=$C$23+$C$22,$B$23,0))</f>
      </c>
      <c r="N242" s="1"/>
      <c r="O242" s="332">
        <f>IF(Q242=12,O241-1,O241)</f>
      </c>
      <c r="P242" s="332">
        <v>238</v>
      </c>
      <c r="Q242" s="332">
        <f>IF(Q241=1,12,Q241-1)</f>
      </c>
      <c r="R242" s="169"/>
      <c r="S242" s="333">
        <f>HLOOKUP(O242,'Datos SS'!$B$4:$CZZ$16,(Q242+1),0)</f>
      </c>
      <c r="T242" s="333">
        <f>IF(O242=YEAR($B$5),($B$9/12),IF(O242&gt;MIN(YEAR($B$7),YEAR($B$5)),($B$9/12)*(1+HLOOKUP(O242,'Datos SS'!$B$31:$CZZ$32,2,0))^(O242-YEAR($B$5)),T230/(1+HLOOKUP(O242,'Datos SS'!$B$31:$CZZ$32,2,0))))</f>
      </c>
      <c r="U242" s="333">
        <f>IF(O242=2018,IF(Q242&lt;8,HLOOKUP(O242,'Datos SS'!$B$25:$BZZ$27,3,0)/12,HLOOKUP(O242,'Datos SS'!$B$25:$BZZ$26,2,0)/12),HLOOKUP(O242,'Datos SS'!$B$25:$BZZ$26,2,0)/12)</f>
      </c>
      <c r="V242" s="964">
        <f>MAX(X242,MIN(T242,U242))</f>
      </c>
      <c r="W242" s="333">
        <f>IF($E$19="NO",IF(P242&lt;=180,IF(P242&lt;25,V242,V242*$S$28/S242),0),IF(P242&gt;$B$15,0,IF(P242&lt;25,V242,V242*$S$28/S242)))</f>
      </c>
      <c r="X242" s="721">
        <f>HLOOKUP(O242,'Datos SS'!$K$37:$EP$38,2,0)</f>
      </c>
      <c r="Y242" s="331">
        <f>MAX(INT(Y241)-1,0)</f>
      </c>
      <c r="Z242" s="169"/>
      <c r="AA242" s="169"/>
      <c r="AB242" s="169"/>
      <c r="AC242" s="965">
        <v>1987.2723886337087</v>
      </c>
      <c r="AD242" s="331">
        <f>+AC242-W242</f>
      </c>
      <c r="AE242" s="169"/>
      <c r="AF242" s="170"/>
      <c r="AG242" s="169"/>
      <c r="AH242" s="170"/>
      <c r="AI242" s="170"/>
      <c r="AJ242" s="1"/>
      <c r="AK242" s="1"/>
      <c r="AL242" s="170"/>
      <c r="AM242" s="170"/>
    </row>
    <row x14ac:dyDescent="0.25" r="243" customHeight="1" ht="18.75">
      <c r="A243" s="1"/>
      <c r="B243" s="170"/>
      <c r="C243" s="169"/>
      <c r="D243" s="170"/>
      <c r="E243" s="169"/>
      <c r="F243" s="169"/>
      <c r="G243" s="170"/>
      <c r="H243" s="170"/>
      <c r="I243" s="169"/>
      <c r="J243" s="1"/>
      <c r="K243" s="169"/>
      <c r="L243" s="332">
        <v>239</v>
      </c>
      <c r="M243" s="332">
        <f>IF(L243&lt;=$C$22,$B$22,IF(L243&lt;=$C$23+$C$22,$B$23,0))</f>
      </c>
      <c r="N243" s="1"/>
      <c r="O243" s="332">
        <f>IF(Q243=12,O242-1,O242)</f>
      </c>
      <c r="P243" s="332">
        <v>239</v>
      </c>
      <c r="Q243" s="332">
        <f>IF(Q242=1,12,Q242-1)</f>
      </c>
      <c r="R243" s="169"/>
      <c r="S243" s="333">
        <f>HLOOKUP(O243,'Datos SS'!$B$4:$CZZ$16,(Q243+1),0)</f>
      </c>
      <c r="T243" s="333">
        <f>IF(O243=YEAR($B$5),($B$9/12),IF(O243&gt;MIN(YEAR($B$7),YEAR($B$5)),($B$9/12)*(1+HLOOKUP(O243,'Datos SS'!$B$31:$CZZ$32,2,0))^(O243-YEAR($B$5)),T231/(1+HLOOKUP(O243,'Datos SS'!$B$31:$CZZ$32,2,0))))</f>
      </c>
      <c r="U243" s="333">
        <f>IF(O243=2018,IF(Q243&lt;8,HLOOKUP(O243,'Datos SS'!$B$25:$BZZ$27,3,0)/12,HLOOKUP(O243,'Datos SS'!$B$25:$BZZ$26,2,0)/12),HLOOKUP(O243,'Datos SS'!$B$25:$BZZ$26,2,0)/12)</f>
      </c>
      <c r="V243" s="964">
        <f>MAX(X243,MIN(T243,U243))</f>
      </c>
      <c r="W243" s="333">
        <f>IF($E$19="NO",IF(P243&lt;=180,IF(P243&lt;25,V243,V243*$S$28/S243),0),IF(P243&gt;$B$15,0,IF(P243&lt;25,V243,V243*$S$28/S243)))</f>
      </c>
      <c r="X243" s="721">
        <f>HLOOKUP(O243,'Datos SS'!$K$37:$EP$38,2,0)</f>
      </c>
      <c r="Y243" s="331">
        <f>MAX(INT(Y242)-1,0)</f>
      </c>
      <c r="Z243" s="169"/>
      <c r="AA243" s="169"/>
      <c r="AB243" s="169"/>
      <c r="AC243" s="965">
        <v>1988.920906823668</v>
      </c>
      <c r="AD243" s="331">
        <f>+AC243-W243</f>
      </c>
      <c r="AE243" s="169"/>
      <c r="AF243" s="170"/>
      <c r="AG243" s="169"/>
      <c r="AH243" s="170"/>
      <c r="AI243" s="170"/>
      <c r="AJ243" s="1"/>
      <c r="AK243" s="1"/>
      <c r="AL243" s="170"/>
      <c r="AM243" s="170"/>
    </row>
    <row x14ac:dyDescent="0.25" r="244" customHeight="1" ht="18.75">
      <c r="A244" s="1"/>
      <c r="B244" s="170"/>
      <c r="C244" s="169"/>
      <c r="D244" s="170"/>
      <c r="E244" s="169"/>
      <c r="F244" s="169"/>
      <c r="G244" s="170"/>
      <c r="H244" s="170"/>
      <c r="I244" s="169"/>
      <c r="J244" s="1"/>
      <c r="K244" s="169"/>
      <c r="L244" s="332">
        <v>240</v>
      </c>
      <c r="M244" s="332">
        <f>IF(L244&lt;=$C$22,$B$22,IF(L244&lt;=$C$23+$C$22,$B$23,0))</f>
      </c>
      <c r="N244" s="1"/>
      <c r="O244" s="332">
        <f>IF(Q244=12,O243-1,O243)</f>
      </c>
      <c r="P244" s="332">
        <v>240</v>
      </c>
      <c r="Q244" s="332">
        <f>IF(Q243=1,12,Q243-1)</f>
      </c>
      <c r="R244" s="169"/>
      <c r="S244" s="333">
        <f>HLOOKUP(O244,'Datos SS'!$B$4:$CZZ$16,(Q244+1),0)</f>
      </c>
      <c r="T244" s="333">
        <f>IF(O244=YEAR($B$5),($B$9/12),IF(O244&gt;MIN(YEAR($B$7),YEAR($B$5)),($B$9/12)*(1+HLOOKUP(O244,'Datos SS'!$B$31:$CZZ$32,2,0))^(O244-YEAR($B$5)),T232/(1+HLOOKUP(O244,'Datos SS'!$B$31:$CZZ$32,2,0))))</f>
      </c>
      <c r="U244" s="333">
        <f>IF(O244=2018,IF(Q244&lt;8,HLOOKUP(O244,'Datos SS'!$B$25:$BZZ$27,3,0)/12,HLOOKUP(O244,'Datos SS'!$B$25:$BZZ$26,2,0)/12),HLOOKUP(O244,'Datos SS'!$B$25:$BZZ$26,2,0)/12)</f>
      </c>
      <c r="V244" s="964">
        <f>MAX(X244,MIN(T244,U244))</f>
      </c>
      <c r="W244" s="333">
        <f>IF($E$19="NO",IF(P244&lt;=180,IF(P244&lt;25,V244,V244*$S$28/S244),0),IF(P244&gt;$B$15,0,IF(P244&lt;25,V244,V244*$S$28/S244)))</f>
      </c>
      <c r="X244" s="721">
        <f>HLOOKUP(O244,'Datos SS'!$K$37:$EP$38,2,0)</f>
      </c>
      <c r="Y244" s="331">
        <f>MAX(INT(Y243)-1,0)</f>
      </c>
      <c r="Z244" s="169"/>
      <c r="AA244" s="169"/>
      <c r="AB244" s="169"/>
      <c r="AC244" s="965">
        <v>1990.5707925222982</v>
      </c>
      <c r="AD244" s="331">
        <f>+AC244-W244</f>
      </c>
      <c r="AE244" s="169"/>
      <c r="AF244" s="170"/>
      <c r="AG244" s="169"/>
      <c r="AH244" s="170"/>
      <c r="AI244" s="170"/>
      <c r="AJ244" s="1"/>
      <c r="AK244" s="1"/>
      <c r="AL244" s="170"/>
      <c r="AM244" s="170"/>
    </row>
    <row x14ac:dyDescent="0.25" r="245" customHeight="1" ht="18.75">
      <c r="A245" s="1"/>
      <c r="B245" s="170"/>
      <c r="C245" s="169"/>
      <c r="D245" s="170"/>
      <c r="E245" s="169"/>
      <c r="F245" s="169"/>
      <c r="G245" s="170"/>
      <c r="H245" s="170"/>
      <c r="I245" s="169"/>
      <c r="J245" s="1"/>
      <c r="K245" s="169"/>
      <c r="L245" s="332">
        <v>241</v>
      </c>
      <c r="M245" s="332">
        <f>IF(L245&lt;=$C$22,$B$22,IF(L245&lt;=$C$23+$C$22,$B$23,0))</f>
      </c>
      <c r="N245" s="1"/>
      <c r="O245" s="332">
        <f>IF(Q245=12,O244-1,O244)</f>
      </c>
      <c r="P245" s="332">
        <v>241</v>
      </c>
      <c r="Q245" s="332">
        <f>IF(Q244=1,12,Q244-1)</f>
      </c>
      <c r="R245" s="169"/>
      <c r="S245" s="333">
        <f>HLOOKUP(O245,'Datos SS'!$B$4:$CZZ$16,(Q245+1),0)</f>
      </c>
      <c r="T245" s="333">
        <f>IF(O245=YEAR($B$5),($B$9/12),IF(O245&gt;MIN(YEAR($B$7),YEAR($B$5)),($B$9/12)*(1+HLOOKUP(O245,'Datos SS'!$B$31:$CZZ$32,2,0))^(O245-YEAR($B$5)),T233/(1+HLOOKUP(O245,'Datos SS'!$B$31:$CZZ$32,2,0))))</f>
      </c>
      <c r="U245" s="333">
        <f>IF(O245=2018,IF(Q245&lt;8,HLOOKUP(O245,'Datos SS'!$B$25:$BZZ$27,3,0)/12,HLOOKUP(O245,'Datos SS'!$B$25:$BZZ$26,2,0)/12),HLOOKUP(O245,'Datos SS'!$B$25:$BZZ$26,2,0)/12)</f>
      </c>
      <c r="V245" s="964">
        <f>MAX(X245,MIN(T245,U245))</f>
      </c>
      <c r="W245" s="333">
        <f>IF($E$19="NO",IF(P245&lt;=180,IF(P245&lt;25,V245,V245*$S$28/S245),0),IF(P245&gt;$B$15,0,IF(P245&lt;25,V245,V245*$S$28/S245)))</f>
      </c>
      <c r="X245" s="721">
        <f>HLOOKUP(O245,'Datos SS'!$K$37:$EP$38,2,0)</f>
      </c>
      <c r="Y245" s="331">
        <f>MAX(INT(Y244)-1,0)</f>
      </c>
      <c r="Z245" s="169"/>
      <c r="AA245" s="169"/>
      <c r="AB245" s="169"/>
      <c r="AC245" s="965">
        <v>1992.2220468639998</v>
      </c>
      <c r="AD245" s="331">
        <f>+AC245-W245</f>
      </c>
      <c r="AE245" s="169"/>
      <c r="AF245" s="170"/>
      <c r="AG245" s="169"/>
      <c r="AH245" s="170"/>
      <c r="AI245" s="170"/>
      <c r="AJ245" s="1"/>
      <c r="AK245" s="1"/>
      <c r="AL245" s="170"/>
      <c r="AM245" s="170"/>
    </row>
    <row x14ac:dyDescent="0.25" r="246" customHeight="1" ht="18.75">
      <c r="A246" s="1"/>
      <c r="B246" s="170"/>
      <c r="C246" s="169"/>
      <c r="D246" s="170"/>
      <c r="E246" s="169"/>
      <c r="F246" s="169"/>
      <c r="G246" s="170"/>
      <c r="H246" s="170"/>
      <c r="I246" s="169"/>
      <c r="J246" s="1"/>
      <c r="K246" s="169"/>
      <c r="L246" s="332">
        <v>242</v>
      </c>
      <c r="M246" s="332">
        <f>IF(L246&lt;=$C$22,$B$22,IF(L246&lt;=$C$23+$C$22,$B$23,0))</f>
      </c>
      <c r="N246" s="1"/>
      <c r="O246" s="332">
        <f>IF(Q246=12,O245-1,O245)</f>
      </c>
      <c r="P246" s="332">
        <v>242</v>
      </c>
      <c r="Q246" s="332">
        <f>IF(Q245=1,12,Q245-1)</f>
      </c>
      <c r="R246" s="169"/>
      <c r="S246" s="333">
        <f>HLOOKUP(O246,'Datos SS'!$B$4:$CZZ$16,(Q246+1),0)</f>
      </c>
      <c r="T246" s="333">
        <f>IF(O246=YEAR($B$5),($B$9/12),IF(O246&gt;MIN(YEAR($B$7),YEAR($B$5)),($B$9/12)*(1+HLOOKUP(O246,'Datos SS'!$B$31:$CZZ$32,2,0))^(O246-YEAR($B$5)),T234/(1+HLOOKUP(O246,'Datos SS'!$B$31:$CZZ$32,2,0))))</f>
      </c>
      <c r="U246" s="333">
        <f>IF(O246=2018,IF(Q246&lt;8,HLOOKUP(O246,'Datos SS'!$B$25:$BZZ$27,3,0)/12,HLOOKUP(O246,'Datos SS'!$B$25:$BZZ$26,2,0)/12),HLOOKUP(O246,'Datos SS'!$B$25:$BZZ$26,2,0)/12)</f>
      </c>
      <c r="V246" s="964">
        <f>MAX(X246,MIN(T246,U246))</f>
      </c>
      <c r="W246" s="333">
        <f>IF($E$19="NO",IF(P246&lt;=180,IF(P246&lt;25,V246,V246*$S$28/S246),0),IF(P246&gt;$B$15,0,IF(P246&lt;25,V246,V246*$S$28/S246)))</f>
      </c>
      <c r="X246" s="721">
        <f>HLOOKUP(O246,'Datos SS'!$K$37:$EP$38,2,0)</f>
      </c>
      <c r="Y246" s="331">
        <f>MAX(INT(Y245)-1,0)</f>
      </c>
      <c r="Z246" s="169"/>
      <c r="AA246" s="169"/>
      <c r="AB246" s="169"/>
      <c r="AC246" s="965">
        <v>1993.874670984114</v>
      </c>
      <c r="AD246" s="331">
        <f>+AC246-W246</f>
      </c>
      <c r="AE246" s="169"/>
      <c r="AF246" s="170"/>
      <c r="AG246" s="169"/>
      <c r="AH246" s="170"/>
      <c r="AI246" s="170"/>
      <c r="AJ246" s="1"/>
      <c r="AK246" s="1"/>
      <c r="AL246" s="170"/>
      <c r="AM246" s="170"/>
    </row>
    <row x14ac:dyDescent="0.25" r="247" customHeight="1" ht="18.75">
      <c r="A247" s="1"/>
      <c r="B247" s="170"/>
      <c r="C247" s="169"/>
      <c r="D247" s="170"/>
      <c r="E247" s="169"/>
      <c r="F247" s="169"/>
      <c r="G247" s="170"/>
      <c r="H247" s="170"/>
      <c r="I247" s="169"/>
      <c r="J247" s="1"/>
      <c r="K247" s="169"/>
      <c r="L247" s="332">
        <v>243</v>
      </c>
      <c r="M247" s="332">
        <f>IF(L247&lt;=$C$22,$B$22,IF(L247&lt;=$C$23+$C$22,$B$23,0))</f>
      </c>
      <c r="N247" s="1"/>
      <c r="O247" s="332">
        <f>IF(Q247=12,O246-1,O246)</f>
      </c>
      <c r="P247" s="332">
        <v>243</v>
      </c>
      <c r="Q247" s="332">
        <f>IF(Q246=1,12,Q246-1)</f>
      </c>
      <c r="R247" s="169"/>
      <c r="S247" s="333">
        <f>HLOOKUP(O247,'Datos SS'!$B$4:$CZZ$16,(Q247+1),0)</f>
      </c>
      <c r="T247" s="333">
        <f>IF(O247=YEAR($B$5),($B$9/12),IF(O247&gt;MIN(YEAR($B$7),YEAR($B$5)),($B$9/12)*(1+HLOOKUP(O247,'Datos SS'!$B$31:$CZZ$32,2,0))^(O247-YEAR($B$5)),T235/(1+HLOOKUP(O247,'Datos SS'!$B$31:$CZZ$32,2,0))))</f>
      </c>
      <c r="U247" s="333">
        <f>IF(O247=2018,IF(Q247&lt;8,HLOOKUP(O247,'Datos SS'!$B$25:$BZZ$27,3,0)/12,HLOOKUP(O247,'Datos SS'!$B$25:$BZZ$26,2,0)/12),HLOOKUP(O247,'Datos SS'!$B$25:$BZZ$26,2,0)/12)</f>
      </c>
      <c r="V247" s="964">
        <f>MAX(X247,MIN(T247,U247))</f>
      </c>
      <c r="W247" s="333">
        <f>IF($E$19="NO",IF(P247&lt;=180,IF(P247&lt;25,V247,V247*$S$28/S247),0),IF(P247&gt;$B$15,0,IF(P247&lt;25,V247,V247*$S$28/S247)))</f>
      </c>
      <c r="X247" s="721">
        <f>HLOOKUP(O247,'Datos SS'!$K$37:$EP$38,2,0)</f>
      </c>
      <c r="Y247" s="331">
        <f>MAX(INT(Y246)-1,0)</f>
      </c>
      <c r="Z247" s="169"/>
      <c r="AA247" s="169"/>
      <c r="AB247" s="169"/>
      <c r="AC247" s="965">
        <v>1995.5286660189247</v>
      </c>
      <c r="AD247" s="331">
        <f>+AC247-W247</f>
      </c>
      <c r="AE247" s="169"/>
      <c r="AF247" s="170"/>
      <c r="AG247" s="169"/>
      <c r="AH247" s="170"/>
      <c r="AI247" s="170"/>
      <c r="AJ247" s="1"/>
      <c r="AK247" s="1"/>
      <c r="AL247" s="170"/>
      <c r="AM247" s="170"/>
    </row>
    <row x14ac:dyDescent="0.25" r="248" customHeight="1" ht="18.75">
      <c r="A248" s="1"/>
      <c r="B248" s="170"/>
      <c r="C248" s="169"/>
      <c r="D248" s="170"/>
      <c r="E248" s="169"/>
      <c r="F248" s="169"/>
      <c r="G248" s="170"/>
      <c r="H248" s="170"/>
      <c r="I248" s="169"/>
      <c r="J248" s="1"/>
      <c r="K248" s="169"/>
      <c r="L248" s="332">
        <v>244</v>
      </c>
      <c r="M248" s="332">
        <f>IF(L248&lt;=$C$22,$B$22,IF(L248&lt;=$C$23+$C$22,$B$23,0))</f>
      </c>
      <c r="N248" s="1"/>
      <c r="O248" s="332">
        <f>IF(Q248=12,O247-1,O247)</f>
      </c>
      <c r="P248" s="332">
        <v>244</v>
      </c>
      <c r="Q248" s="332">
        <f>IF(Q247=1,12,Q247-1)</f>
      </c>
      <c r="R248" s="169"/>
      <c r="S248" s="333">
        <f>HLOOKUP(O248,'Datos SS'!$B$4:$CZZ$16,(Q248+1),0)</f>
      </c>
      <c r="T248" s="333">
        <f>IF(O248=YEAR($B$5),($B$9/12),IF(O248&gt;MIN(YEAR($B$7),YEAR($B$5)),($B$9/12)*(1+HLOOKUP(O248,'Datos SS'!$B$31:$CZZ$32,2,0))^(O248-YEAR($B$5)),T236/(1+HLOOKUP(O248,'Datos SS'!$B$31:$CZZ$32,2,0))))</f>
      </c>
      <c r="U248" s="333">
        <f>IF(O248=2018,IF(Q248&lt;8,HLOOKUP(O248,'Datos SS'!$B$25:$BZZ$27,3,0)/12,HLOOKUP(O248,'Datos SS'!$B$25:$BZZ$26,2,0)/12),HLOOKUP(O248,'Datos SS'!$B$25:$BZZ$26,2,0)/12)</f>
      </c>
      <c r="V248" s="964">
        <f>MAX(X248,MIN(T248,U248))</f>
      </c>
      <c r="W248" s="333">
        <f>IF($E$19="NO",IF(P248&lt;=180,IF(P248&lt;25,V248,V248*$S$28/S248),0),IF(P248&gt;$B$15,0,IF(P248&lt;25,V248,V248*$S$28/S248)))</f>
      </c>
      <c r="X248" s="721">
        <f>HLOOKUP(O248,'Datos SS'!$K$37:$EP$38,2,0)</f>
      </c>
      <c r="Y248" s="331">
        <f>MAX(INT(Y247)-1,0)</f>
      </c>
      <c r="Z248" s="169"/>
      <c r="AA248" s="169"/>
      <c r="AB248" s="169"/>
      <c r="AC248" s="965">
        <v>1997.1840331056576</v>
      </c>
      <c r="AD248" s="331">
        <f>+AC248-W248</f>
      </c>
      <c r="AE248" s="169"/>
      <c r="AF248" s="170"/>
      <c r="AG248" s="169"/>
      <c r="AH248" s="170"/>
      <c r="AI248" s="170"/>
      <c r="AJ248" s="1"/>
      <c r="AK248" s="1"/>
      <c r="AL248" s="170"/>
      <c r="AM248" s="170"/>
    </row>
    <row x14ac:dyDescent="0.25" r="249" customHeight="1" ht="18.75">
      <c r="A249" s="1"/>
      <c r="B249" s="170"/>
      <c r="C249" s="169"/>
      <c r="D249" s="170"/>
      <c r="E249" s="169"/>
      <c r="F249" s="169"/>
      <c r="G249" s="170"/>
      <c r="H249" s="170"/>
      <c r="I249" s="169"/>
      <c r="J249" s="1"/>
      <c r="K249" s="169"/>
      <c r="L249" s="332">
        <v>245</v>
      </c>
      <c r="M249" s="332">
        <f>IF(L249&lt;=$C$22,$B$22,IF(L249&lt;=$C$23+$C$22,$B$23,0))</f>
      </c>
      <c r="N249" s="1"/>
      <c r="O249" s="332">
        <f>IF(Q249=12,O248-1,O248)</f>
      </c>
      <c r="P249" s="332">
        <v>245</v>
      </c>
      <c r="Q249" s="332">
        <f>IF(Q248=1,12,Q248-1)</f>
      </c>
      <c r="R249" s="169"/>
      <c r="S249" s="333">
        <f>HLOOKUP(O249,'Datos SS'!$B$4:$CZZ$16,(Q249+1),0)</f>
      </c>
      <c r="T249" s="333">
        <f>IF(O249=YEAR($B$5),($B$9/12),IF(O249&gt;MIN(YEAR($B$7),YEAR($B$5)),($B$9/12)*(1+HLOOKUP(O249,'Datos SS'!$B$31:$CZZ$32,2,0))^(O249-YEAR($B$5)),T237/(1+HLOOKUP(O249,'Datos SS'!$B$31:$CZZ$32,2,0))))</f>
      </c>
      <c r="U249" s="333">
        <f>IF(O249=2018,IF(Q249&lt;8,HLOOKUP(O249,'Datos SS'!$B$25:$BZZ$27,3,0)/12,HLOOKUP(O249,'Datos SS'!$B$25:$BZZ$26,2,0)/12),HLOOKUP(O249,'Datos SS'!$B$25:$BZZ$26,2,0)/12)</f>
      </c>
      <c r="V249" s="964">
        <f>MAX(X249,MIN(T249,U249))</f>
      </c>
      <c r="W249" s="333">
        <f>IF($E$19="NO",IF(P249&lt;=180,IF(P249&lt;25,V249,V249*$S$28/S249),0),IF(P249&gt;$B$15,0,IF(P249&lt;25,V249,V249*$S$28/S249)))</f>
      </c>
      <c r="X249" s="721">
        <f>HLOOKUP(O249,'Datos SS'!$K$37:$EP$38,2,0)</f>
      </c>
      <c r="Y249" s="331">
        <f>MAX(INT(Y248)-1,0)</f>
      </c>
      <c r="Z249" s="169"/>
      <c r="AA249" s="169"/>
      <c r="AB249" s="169"/>
      <c r="AC249" s="965">
        <v>1998.8407733824824</v>
      </c>
      <c r="AD249" s="331">
        <f>+AC249-W249</f>
      </c>
      <c r="AE249" s="169"/>
      <c r="AF249" s="170"/>
      <c r="AG249" s="169"/>
      <c r="AH249" s="170"/>
      <c r="AI249" s="170"/>
      <c r="AJ249" s="1"/>
      <c r="AK249" s="1"/>
      <c r="AL249" s="170"/>
      <c r="AM249" s="170"/>
    </row>
    <row x14ac:dyDescent="0.25" r="250" customHeight="1" ht="18.75">
      <c r="A250" s="1"/>
      <c r="B250" s="170"/>
      <c r="C250" s="169"/>
      <c r="D250" s="170"/>
      <c r="E250" s="169"/>
      <c r="F250" s="169"/>
      <c r="G250" s="170"/>
      <c r="H250" s="170"/>
      <c r="I250" s="169"/>
      <c r="J250" s="1"/>
      <c r="K250" s="169"/>
      <c r="L250" s="332">
        <v>246</v>
      </c>
      <c r="M250" s="332">
        <f>IF(L250&lt;=$C$22,$B$22,IF(L250&lt;=$C$23+$C$22,$B$23,0))</f>
      </c>
      <c r="N250" s="1"/>
      <c r="O250" s="332">
        <f>IF(Q250=12,O249-1,O249)</f>
      </c>
      <c r="P250" s="332">
        <v>246</v>
      </c>
      <c r="Q250" s="332">
        <f>IF(Q249=1,12,Q249-1)</f>
      </c>
      <c r="R250" s="169"/>
      <c r="S250" s="333">
        <f>HLOOKUP(O250,'Datos SS'!$B$4:$CZZ$16,(Q250+1),0)</f>
      </c>
      <c r="T250" s="333">
        <f>IF(O250=YEAR($B$5),($B$9/12),IF(O250&gt;MIN(YEAR($B$7),YEAR($B$5)),($B$9/12)*(1+HLOOKUP(O250,'Datos SS'!$B$31:$CZZ$32,2,0))^(O250-YEAR($B$5)),T238/(1+HLOOKUP(O250,'Datos SS'!$B$31:$CZZ$32,2,0))))</f>
      </c>
      <c r="U250" s="333">
        <f>IF(O250=2018,IF(Q250&lt;8,HLOOKUP(O250,'Datos SS'!$B$25:$BZZ$27,3,0)/12,HLOOKUP(O250,'Datos SS'!$B$25:$BZZ$26,2,0)/12),HLOOKUP(O250,'Datos SS'!$B$25:$BZZ$26,2,0)/12)</f>
      </c>
      <c r="V250" s="964">
        <f>MAX(X250,MIN(T250,U250))</f>
      </c>
      <c r="W250" s="333">
        <f>IF($E$19="NO",IF(P250&lt;=180,IF(P250&lt;25,V250,V250*$S$28/S250),0),IF(P250&gt;$B$15,0,IF(P250&lt;25,V250,V250*$S$28/S250)))</f>
      </c>
      <c r="X250" s="721">
        <f>HLOOKUP(O250,'Datos SS'!$K$37:$EP$38,2,0)</f>
      </c>
      <c r="Y250" s="331">
        <f>MAX(INT(Y249)-1,0)</f>
      </c>
      <c r="Z250" s="169"/>
      <c r="AA250" s="169"/>
      <c r="AB250" s="169"/>
      <c r="AC250" s="965">
        <v>2000.4988879885125</v>
      </c>
      <c r="AD250" s="331">
        <f>+AC250-W250</f>
      </c>
      <c r="AE250" s="169"/>
      <c r="AF250" s="170"/>
      <c r="AG250" s="169"/>
      <c r="AH250" s="170"/>
      <c r="AI250" s="170"/>
      <c r="AJ250" s="1"/>
      <c r="AK250" s="1"/>
      <c r="AL250" s="170"/>
      <c r="AM250" s="170"/>
    </row>
    <row x14ac:dyDescent="0.25" r="251" customHeight="1" ht="18.75">
      <c r="A251" s="1"/>
      <c r="B251" s="170"/>
      <c r="C251" s="169"/>
      <c r="D251" s="170"/>
      <c r="E251" s="169"/>
      <c r="F251" s="169"/>
      <c r="G251" s="170"/>
      <c r="H251" s="170"/>
      <c r="I251" s="169"/>
      <c r="J251" s="1"/>
      <c r="K251" s="169"/>
      <c r="L251" s="332">
        <v>247</v>
      </c>
      <c r="M251" s="332">
        <f>IF(L251&lt;=$C$22,$B$22,IF(L251&lt;=$C$23+$C$22,$B$23,0))</f>
      </c>
      <c r="N251" s="1"/>
      <c r="O251" s="332">
        <f>IF(Q251=12,O250-1,O250)</f>
      </c>
      <c r="P251" s="332">
        <v>247</v>
      </c>
      <c r="Q251" s="332">
        <f>IF(Q250=1,12,Q250-1)</f>
      </c>
      <c r="R251" s="169"/>
      <c r="S251" s="333">
        <f>HLOOKUP(O251,'Datos SS'!$B$4:$CZZ$16,(Q251+1),0)</f>
      </c>
      <c r="T251" s="333">
        <f>IF(O251=YEAR($B$5),($B$9/12),IF(O251&gt;MIN(YEAR($B$7),YEAR($B$5)),($B$9/12)*(1+HLOOKUP(O251,'Datos SS'!$B$31:$CZZ$32,2,0))^(O251-YEAR($B$5)),T239/(1+HLOOKUP(O251,'Datos SS'!$B$31:$CZZ$32,2,0))))</f>
      </c>
      <c r="U251" s="333">
        <f>IF(O251=2018,IF(Q251&lt;8,HLOOKUP(O251,'Datos SS'!$B$25:$BZZ$27,3,0)/12,HLOOKUP(O251,'Datos SS'!$B$25:$BZZ$26,2,0)/12),HLOOKUP(O251,'Datos SS'!$B$25:$BZZ$26,2,0)/12)</f>
      </c>
      <c r="V251" s="964">
        <f>MAX(X251,MIN(T251,U251))</f>
      </c>
      <c r="W251" s="333">
        <f>IF($E$19="NO",IF(P251&lt;=180,IF(P251&lt;25,V251,V251*$S$28/S251),0),IF(P251&gt;$B$15,0,IF(P251&lt;25,V251,V251*$S$28/S251)))</f>
      </c>
      <c r="X251" s="721">
        <f>HLOOKUP(O251,'Datos SS'!$K$37:$EP$38,2,0)</f>
      </c>
      <c r="Y251" s="331">
        <f>MAX(INT(Y250)-1,0)</f>
      </c>
      <c r="Z251" s="169"/>
      <c r="AA251" s="169"/>
      <c r="AB251" s="169"/>
      <c r="AC251" s="965">
        <v>2002.158378063806</v>
      </c>
      <c r="AD251" s="331">
        <f>+AC251-W251</f>
      </c>
      <c r="AE251" s="169"/>
      <c r="AF251" s="170"/>
      <c r="AG251" s="169"/>
      <c r="AH251" s="170"/>
      <c r="AI251" s="170"/>
      <c r="AJ251" s="1"/>
      <c r="AK251" s="1"/>
      <c r="AL251" s="170"/>
      <c r="AM251" s="170"/>
    </row>
    <row x14ac:dyDescent="0.25" r="252" customHeight="1" ht="18.75">
      <c r="A252" s="1"/>
      <c r="B252" s="170"/>
      <c r="C252" s="169"/>
      <c r="D252" s="170"/>
      <c r="E252" s="169"/>
      <c r="F252" s="169"/>
      <c r="G252" s="170"/>
      <c r="H252" s="170"/>
      <c r="I252" s="169"/>
      <c r="J252" s="1"/>
      <c r="K252" s="169"/>
      <c r="L252" s="332">
        <v>248</v>
      </c>
      <c r="M252" s="332">
        <f>IF(L252&lt;=$C$22,$B$22,IF(L252&lt;=$C$23+$C$22,$B$23,0))</f>
      </c>
      <c r="N252" s="1"/>
      <c r="O252" s="332">
        <f>IF(Q252=12,O251-1,O251)</f>
      </c>
      <c r="P252" s="332">
        <v>248</v>
      </c>
      <c r="Q252" s="332">
        <f>IF(Q251=1,12,Q251-1)</f>
      </c>
      <c r="R252" s="169"/>
      <c r="S252" s="333">
        <f>HLOOKUP(O252,'Datos SS'!$B$4:$CZZ$16,(Q252+1),0)</f>
      </c>
      <c r="T252" s="333">
        <f>IF(O252=YEAR($B$5),($B$9/12),IF(O252&gt;MIN(YEAR($B$7),YEAR($B$5)),($B$9/12)*(1+HLOOKUP(O252,'Datos SS'!$B$31:$CZZ$32,2,0))^(O252-YEAR($B$5)),T240/(1+HLOOKUP(O252,'Datos SS'!$B$31:$CZZ$32,2,0))))</f>
      </c>
      <c r="U252" s="333">
        <f>IF(O252=2018,IF(Q252&lt;8,HLOOKUP(O252,'Datos SS'!$B$25:$BZZ$27,3,0)/12,HLOOKUP(O252,'Datos SS'!$B$25:$BZZ$26,2,0)/12),HLOOKUP(O252,'Datos SS'!$B$25:$BZZ$26,2,0)/12)</f>
      </c>
      <c r="V252" s="964">
        <f>MAX(X252,MIN(T252,U252))</f>
      </c>
      <c r="W252" s="333">
        <f>IF($E$19="NO",IF(P252&lt;=180,IF(P252&lt;25,V252,V252*$S$28/S252),0),IF(P252&gt;$B$15,0,IF(P252&lt;25,V252,V252*$S$28/S252)))</f>
      </c>
      <c r="X252" s="721">
        <f>HLOOKUP(O252,'Datos SS'!$K$37:$EP$38,2,0)</f>
      </c>
      <c r="Y252" s="331">
        <f>MAX(INT(Y251)-1,0)</f>
      </c>
      <c r="Z252" s="169"/>
      <c r="AA252" s="169"/>
      <c r="AB252" s="169"/>
      <c r="AC252" s="965">
        <v>2003.8192447493673</v>
      </c>
      <c r="AD252" s="331">
        <f>+AC252-W252</f>
      </c>
      <c r="AE252" s="169"/>
      <c r="AF252" s="170"/>
      <c r="AG252" s="169"/>
      <c r="AH252" s="170"/>
      <c r="AI252" s="170"/>
      <c r="AJ252" s="1"/>
      <c r="AK252" s="1"/>
      <c r="AL252" s="170"/>
      <c r="AM252" s="170"/>
    </row>
    <row x14ac:dyDescent="0.25" r="253" customHeight="1" ht="18.75">
      <c r="A253" s="1"/>
      <c r="B253" s="170"/>
      <c r="C253" s="169"/>
      <c r="D253" s="170"/>
      <c r="E253" s="169"/>
      <c r="F253" s="169"/>
      <c r="G253" s="170"/>
      <c r="H253" s="170"/>
      <c r="I253" s="169"/>
      <c r="J253" s="1"/>
      <c r="K253" s="169"/>
      <c r="L253" s="332">
        <v>249</v>
      </c>
      <c r="M253" s="332">
        <f>IF(L253&lt;=$C$22,$B$22,IF(L253&lt;=$C$23+$C$22,$B$23,0))</f>
      </c>
      <c r="N253" s="1"/>
      <c r="O253" s="332">
        <f>IF(Q253=12,O252-1,O252)</f>
      </c>
      <c r="P253" s="332">
        <v>249</v>
      </c>
      <c r="Q253" s="332">
        <f>IF(Q252=1,12,Q252-1)</f>
      </c>
      <c r="R253" s="169"/>
      <c r="S253" s="333">
        <f>HLOOKUP(O253,'Datos SS'!$B$4:$CZZ$16,(Q253+1),0)</f>
      </c>
      <c r="T253" s="333">
        <f>IF(O253=YEAR($B$5),($B$9/12),IF(O253&gt;MIN(YEAR($B$7),YEAR($B$5)),($B$9/12)*(1+HLOOKUP(O253,'Datos SS'!$B$31:$CZZ$32,2,0))^(O253-YEAR($B$5)),T241/(1+HLOOKUP(O253,'Datos SS'!$B$31:$CZZ$32,2,0))))</f>
      </c>
      <c r="U253" s="333">
        <f>IF(O253=2018,IF(Q253&lt;8,HLOOKUP(O253,'Datos SS'!$B$25:$BZZ$27,3,0)/12,HLOOKUP(O253,'Datos SS'!$B$25:$BZZ$26,2,0)/12),HLOOKUP(O253,'Datos SS'!$B$25:$BZZ$26,2,0)/12)</f>
      </c>
      <c r="V253" s="964">
        <f>MAX(X253,MIN(T253,U253))</f>
      </c>
      <c r="W253" s="333">
        <f>IF($E$19="NO",IF(P253&lt;=180,IF(P253&lt;25,V253,V253*$S$28/S253),0),IF(P253&gt;$B$15,0,IF(P253&lt;25,V253,V253*$S$28/S253)))</f>
      </c>
      <c r="X253" s="721">
        <f>HLOOKUP(O253,'Datos SS'!$K$37:$EP$38,2,0)</f>
      </c>
      <c r="Y253" s="331">
        <f>MAX(INT(Y252)-1,0)</f>
      </c>
      <c r="Z253" s="169"/>
      <c r="AA253" s="169"/>
      <c r="AB253" s="169"/>
      <c r="AC253" s="965">
        <v>2005.4814891871472</v>
      </c>
      <c r="AD253" s="331">
        <f>+AC253-W253</f>
      </c>
      <c r="AE253" s="169"/>
      <c r="AF253" s="170"/>
      <c r="AG253" s="169"/>
      <c r="AH253" s="170"/>
      <c r="AI253" s="170"/>
      <c r="AJ253" s="1"/>
      <c r="AK253" s="1"/>
      <c r="AL253" s="170"/>
      <c r="AM253" s="170"/>
    </row>
    <row x14ac:dyDescent="0.25" r="254" customHeight="1" ht="18.75">
      <c r="A254" s="1"/>
      <c r="B254" s="170"/>
      <c r="C254" s="169"/>
      <c r="D254" s="170"/>
      <c r="E254" s="169"/>
      <c r="F254" s="169"/>
      <c r="G254" s="170"/>
      <c r="H254" s="170"/>
      <c r="I254" s="169"/>
      <c r="J254" s="1"/>
      <c r="K254" s="169"/>
      <c r="L254" s="332">
        <v>250</v>
      </c>
      <c r="M254" s="332">
        <f>IF(L254&lt;=$C$22,$B$22,IF(L254&lt;=$C$23+$C$22,$B$23,0))</f>
      </c>
      <c r="N254" s="1"/>
      <c r="O254" s="332">
        <f>IF(Q254=12,O253-1,O253)</f>
      </c>
      <c r="P254" s="332">
        <v>250</v>
      </c>
      <c r="Q254" s="332">
        <f>IF(Q253=1,12,Q253-1)</f>
      </c>
      <c r="R254" s="169"/>
      <c r="S254" s="333">
        <f>HLOOKUP(O254,'Datos SS'!$B$4:$CZZ$16,(Q254+1),0)</f>
      </c>
      <c r="T254" s="333">
        <f>IF(O254=YEAR($B$5),($B$9/12),IF(O254&gt;MIN(YEAR($B$7),YEAR($B$5)),($B$9/12)*(1+HLOOKUP(O254,'Datos SS'!$B$31:$CZZ$32,2,0))^(O254-YEAR($B$5)),T242/(1+HLOOKUP(O254,'Datos SS'!$B$31:$CZZ$32,2,0))))</f>
      </c>
      <c r="U254" s="333">
        <f>IF(O254=2018,IF(Q254&lt;8,HLOOKUP(O254,'Datos SS'!$B$25:$BZZ$27,3,0)/12,HLOOKUP(O254,'Datos SS'!$B$25:$BZZ$26,2,0)/12),HLOOKUP(O254,'Datos SS'!$B$25:$BZZ$26,2,0)/12)</f>
      </c>
      <c r="V254" s="964">
        <f>MAX(X254,MIN(T254,U254))</f>
      </c>
      <c r="W254" s="333">
        <f>IF($E$19="NO",IF(P254&lt;=180,IF(P254&lt;25,V254,V254*$S$28/S254),0),IF(P254&gt;$B$15,0,IF(P254&lt;25,V254,V254*$S$28/S254)))</f>
      </c>
      <c r="X254" s="721">
        <f>HLOOKUP(O254,'Datos SS'!$K$37:$EP$38,2,0)</f>
      </c>
      <c r="Y254" s="331">
        <f>MAX(INT(Y253)-1,0)</f>
      </c>
      <c r="Z254" s="169"/>
      <c r="AA254" s="169"/>
      <c r="AB254" s="169"/>
      <c r="AC254" s="965">
        <v>1977.4828694778755</v>
      </c>
      <c r="AD254" s="331">
        <f>+AC254-W254</f>
      </c>
      <c r="AE254" s="169"/>
      <c r="AF254" s="170"/>
      <c r="AG254" s="169"/>
      <c r="AH254" s="170"/>
      <c r="AI254" s="170"/>
      <c r="AJ254" s="1"/>
      <c r="AK254" s="1"/>
      <c r="AL254" s="170"/>
      <c r="AM254" s="170"/>
    </row>
    <row x14ac:dyDescent="0.25" r="255" customHeight="1" ht="18.75">
      <c r="A255" s="1"/>
      <c r="B255" s="170"/>
      <c r="C255" s="169"/>
      <c r="D255" s="170"/>
      <c r="E255" s="169"/>
      <c r="F255" s="169"/>
      <c r="G255" s="170"/>
      <c r="H255" s="170"/>
      <c r="I255" s="169"/>
      <c r="J255" s="1"/>
      <c r="K255" s="169"/>
      <c r="L255" s="332">
        <v>251</v>
      </c>
      <c r="M255" s="332">
        <f>IF(L255&lt;=$C$22,$B$22,IF(L255&lt;=$C$23+$C$22,$B$23,0))</f>
      </c>
      <c r="N255" s="1"/>
      <c r="O255" s="332">
        <f>IF(Q255=12,O254-1,O254)</f>
      </c>
      <c r="P255" s="332">
        <v>251</v>
      </c>
      <c r="Q255" s="332">
        <f>IF(Q254=1,12,Q254-1)</f>
      </c>
      <c r="R255" s="169"/>
      <c r="S255" s="333">
        <f>HLOOKUP(O255,'Datos SS'!$B$4:$CZZ$16,(Q255+1),0)</f>
      </c>
      <c r="T255" s="333">
        <f>IF(O255=YEAR($B$5),($B$9/12),IF(O255&gt;MIN(YEAR($B$7),YEAR($B$5)),($B$9/12)*(1+HLOOKUP(O255,'Datos SS'!$B$31:$CZZ$32,2,0))^(O255-YEAR($B$5)),T243/(1+HLOOKUP(O255,'Datos SS'!$B$31:$CZZ$32,2,0))))</f>
      </c>
      <c r="U255" s="333">
        <f>IF(O255=2018,IF(Q255&lt;8,HLOOKUP(O255,'Datos SS'!$B$25:$BZZ$27,3,0)/12,HLOOKUP(O255,'Datos SS'!$B$25:$BZZ$26,2,0)/12),HLOOKUP(O255,'Datos SS'!$B$25:$BZZ$26,2,0)/12)</f>
      </c>
      <c r="V255" s="964">
        <f>MAX(X255,MIN(T255,U255))</f>
      </c>
      <c r="W255" s="333">
        <f>IF($E$19="NO",IF(P255&lt;=180,IF(P255&lt;25,V255,V255*$S$28/S255),0),IF(P255&gt;$B$15,0,IF(P255&lt;25,V255,V255*$S$28/S255)))</f>
      </c>
      <c r="X255" s="721">
        <f>HLOOKUP(O255,'Datos SS'!$K$37:$EP$38,2,0)</f>
      </c>
      <c r="Y255" s="331">
        <f>MAX(INT(Y254)-1,0)</f>
      </c>
      <c r="Z255" s="169"/>
      <c r="AA255" s="169"/>
      <c r="AB255" s="169"/>
      <c r="AC255" s="965">
        <v>1979.1232668885739</v>
      </c>
      <c r="AD255" s="331">
        <f>+AC255-W255</f>
      </c>
      <c r="AE255" s="169"/>
      <c r="AF255" s="170"/>
      <c r="AG255" s="169"/>
      <c r="AH255" s="170"/>
      <c r="AI255" s="170"/>
      <c r="AJ255" s="1"/>
      <c r="AK255" s="1"/>
      <c r="AL255" s="170"/>
      <c r="AM255" s="170"/>
    </row>
    <row x14ac:dyDescent="0.25" r="256" customHeight="1" ht="18.75">
      <c r="A256" s="1"/>
      <c r="B256" s="170"/>
      <c r="C256" s="169"/>
      <c r="D256" s="170"/>
      <c r="E256" s="169"/>
      <c r="F256" s="169"/>
      <c r="G256" s="170"/>
      <c r="H256" s="170"/>
      <c r="I256" s="169"/>
      <c r="J256" s="1"/>
      <c r="K256" s="169"/>
      <c r="L256" s="332">
        <v>252</v>
      </c>
      <c r="M256" s="332">
        <f>IF(L256&lt;=$C$22,$B$22,IF(L256&lt;=$C$23+$C$22,$B$23,0))</f>
      </c>
      <c r="N256" s="1"/>
      <c r="O256" s="332">
        <f>IF(Q256=12,O255-1,O255)</f>
      </c>
      <c r="P256" s="332">
        <v>252</v>
      </c>
      <c r="Q256" s="332">
        <f>IF(Q255=1,12,Q255-1)</f>
      </c>
      <c r="R256" s="169"/>
      <c r="S256" s="333">
        <f>HLOOKUP(O256,'Datos SS'!$B$4:$CZZ$16,(Q256+1),0)</f>
      </c>
      <c r="T256" s="333">
        <f>IF(O256=YEAR($B$5),($B$9/12),IF(O256&gt;MIN(YEAR($B$7),YEAR($B$5)),($B$9/12)*(1+HLOOKUP(O256,'Datos SS'!$B$31:$CZZ$32,2,0))^(O256-YEAR($B$5)),T244/(1+HLOOKUP(O256,'Datos SS'!$B$31:$CZZ$32,2,0))))</f>
      </c>
      <c r="U256" s="333">
        <f>IF(O256=2018,IF(Q256&lt;8,HLOOKUP(O256,'Datos SS'!$B$25:$BZZ$27,3,0)/12,HLOOKUP(O256,'Datos SS'!$B$25:$BZZ$26,2,0)/12),HLOOKUP(O256,'Datos SS'!$B$25:$BZZ$26,2,0)/12)</f>
      </c>
      <c r="V256" s="964">
        <f>MAX(X256,MIN(T256,U256))</f>
      </c>
      <c r="W256" s="333">
        <f>IF($E$19="NO",IF(P256&lt;=180,IF(P256&lt;25,V256,V256*$S$28/S256),0),IF(P256&gt;$B$15,0,IF(P256&lt;25,V256,V256*$S$28/S256)))</f>
      </c>
      <c r="X256" s="721">
        <f>HLOOKUP(O256,'Datos SS'!$K$37:$EP$38,2,0)</f>
      </c>
      <c r="Y256" s="331">
        <f>MAX(INT(Y255)-1,0)</f>
      </c>
      <c r="Z256" s="169"/>
      <c r="AA256" s="169"/>
      <c r="AB256" s="169"/>
      <c r="AC256" s="965">
        <v>1980.7650250714473</v>
      </c>
      <c r="AD256" s="331">
        <f>+AC256-W256</f>
      </c>
      <c r="AE256" s="169"/>
      <c r="AF256" s="170"/>
      <c r="AG256" s="169"/>
      <c r="AH256" s="170"/>
      <c r="AI256" s="170"/>
      <c r="AJ256" s="1"/>
      <c r="AK256" s="1"/>
      <c r="AL256" s="170"/>
      <c r="AM256" s="170"/>
    </row>
    <row x14ac:dyDescent="0.25" r="257" customHeight="1" ht="18.75">
      <c r="A257" s="1"/>
      <c r="B257" s="170"/>
      <c r="C257" s="169"/>
      <c r="D257" s="170"/>
      <c r="E257" s="169"/>
      <c r="F257" s="169"/>
      <c r="G257" s="170"/>
      <c r="H257" s="170"/>
      <c r="I257" s="169"/>
      <c r="J257" s="1"/>
      <c r="K257" s="169"/>
      <c r="L257" s="332">
        <v>253</v>
      </c>
      <c r="M257" s="332">
        <f>IF(L257&lt;=$C$22,$B$22,IF(L257&lt;=$C$23+$C$22,$B$23,0))</f>
      </c>
      <c r="N257" s="1"/>
      <c r="O257" s="332">
        <f>IF(Q257=12,O256-1,O256)</f>
      </c>
      <c r="P257" s="332">
        <v>253</v>
      </c>
      <c r="Q257" s="332">
        <f>IF(Q256=1,12,Q256-1)</f>
      </c>
      <c r="R257" s="169"/>
      <c r="S257" s="333">
        <f>HLOOKUP(O257,'Datos SS'!$B$4:$CZZ$16,(Q257+1),0)</f>
      </c>
      <c r="T257" s="333">
        <f>IF(O257=YEAR($B$5),($B$9/12),IF(O257&gt;MIN(YEAR($B$7),YEAR($B$5)),($B$9/12)*(1+HLOOKUP(O257,'Datos SS'!$B$31:$CZZ$32,2,0))^(O257-YEAR($B$5)),T245/(1+HLOOKUP(O257,'Datos SS'!$B$31:$CZZ$32,2,0))))</f>
      </c>
      <c r="U257" s="333">
        <f>IF(O257=2018,IF(Q257&lt;8,HLOOKUP(O257,'Datos SS'!$B$25:$BZZ$27,3,0)/12,HLOOKUP(O257,'Datos SS'!$B$25:$BZZ$26,2,0)/12),HLOOKUP(O257,'Datos SS'!$B$25:$BZZ$26,2,0)/12)</f>
      </c>
      <c r="V257" s="964">
        <f>MAX(X257,MIN(T257,U257))</f>
      </c>
      <c r="W257" s="333">
        <f>IF($E$19="NO",IF(P257&lt;=180,IF(P257&lt;25,V257,V257*$S$28/S257),0),IF(P257&gt;$B$15,0,IF(P257&lt;25,V257,V257*$S$28/S257)))</f>
      </c>
      <c r="X257" s="721">
        <f>HLOOKUP(O257,'Datos SS'!$K$37:$EP$38,2,0)</f>
      </c>
      <c r="Y257" s="331">
        <f>MAX(INT(Y256)-1,0)</f>
      </c>
      <c r="Z257" s="169"/>
      <c r="AA257" s="169"/>
      <c r="AB257" s="169"/>
      <c r="AC257" s="965">
        <v>1982.4081451553077</v>
      </c>
      <c r="AD257" s="331">
        <f>+AC257-W257</f>
      </c>
      <c r="AE257" s="169"/>
      <c r="AF257" s="170"/>
      <c r="AG257" s="169"/>
      <c r="AH257" s="170"/>
      <c r="AI257" s="170"/>
      <c r="AJ257" s="1"/>
      <c r="AK257" s="1"/>
      <c r="AL257" s="170"/>
      <c r="AM257" s="170"/>
    </row>
    <row x14ac:dyDescent="0.25" r="258" customHeight="1" ht="18.75">
      <c r="A258" s="1"/>
      <c r="B258" s="170"/>
      <c r="C258" s="169"/>
      <c r="D258" s="170"/>
      <c r="E258" s="169"/>
      <c r="F258" s="169"/>
      <c r="G258" s="170"/>
      <c r="H258" s="170"/>
      <c r="I258" s="169"/>
      <c r="J258" s="1"/>
      <c r="K258" s="169"/>
      <c r="L258" s="332">
        <v>254</v>
      </c>
      <c r="M258" s="332">
        <f>IF(L258&lt;=$C$22,$B$22,IF(L258&lt;=$C$23+$C$22,$B$23,0))</f>
      </c>
      <c r="N258" s="1"/>
      <c r="O258" s="332">
        <f>IF(Q258=12,O257-1,O257)</f>
      </c>
      <c r="P258" s="332">
        <v>254</v>
      </c>
      <c r="Q258" s="332">
        <f>IF(Q257=1,12,Q257-1)</f>
      </c>
      <c r="R258" s="169"/>
      <c r="S258" s="333">
        <f>HLOOKUP(O258,'Datos SS'!$B$4:$CZZ$16,(Q258+1),0)</f>
      </c>
      <c r="T258" s="333">
        <f>IF(O258=YEAR($B$5),($B$9/12),IF(O258&gt;MIN(YEAR($B$7),YEAR($B$5)),($B$9/12)*(1+HLOOKUP(O258,'Datos SS'!$B$31:$CZZ$32,2,0))^(O258-YEAR($B$5)),T246/(1+HLOOKUP(O258,'Datos SS'!$B$31:$CZZ$32,2,0))))</f>
      </c>
      <c r="U258" s="333">
        <f>IF(O258=2018,IF(Q258&lt;8,HLOOKUP(O258,'Datos SS'!$B$25:$BZZ$27,3,0)/12,HLOOKUP(O258,'Datos SS'!$B$25:$BZZ$26,2,0)/12),HLOOKUP(O258,'Datos SS'!$B$25:$BZZ$26,2,0)/12)</f>
      </c>
      <c r="V258" s="964">
        <f>MAX(X258,MIN(T258,U258))</f>
      </c>
      <c r="W258" s="333">
        <f>IF($E$19="NO",IF(P258&lt;=180,IF(P258&lt;25,V258,V258*$S$28/S258),0),IF(P258&gt;$B$15,0,IF(P258&lt;25,V258,V258*$S$28/S258)))</f>
      </c>
      <c r="X258" s="721">
        <f>HLOOKUP(O258,'Datos SS'!$K$37:$EP$38,2,0)</f>
      </c>
      <c r="Y258" s="331">
        <f>MAX(INT(Y257)-1,0)</f>
      </c>
      <c r="Z258" s="169"/>
      <c r="AA258" s="169"/>
      <c r="AB258" s="169"/>
      <c r="AC258" s="965">
        <v>1984.052628269904</v>
      </c>
      <c r="AD258" s="331">
        <f>+AC258-W258</f>
      </c>
      <c r="AE258" s="169"/>
      <c r="AF258" s="170"/>
      <c r="AG258" s="169"/>
      <c r="AH258" s="170"/>
      <c r="AI258" s="170"/>
      <c r="AJ258" s="1"/>
      <c r="AK258" s="1"/>
      <c r="AL258" s="170"/>
      <c r="AM258" s="170"/>
    </row>
    <row x14ac:dyDescent="0.25" r="259" customHeight="1" ht="18.75">
      <c r="A259" s="1"/>
      <c r="B259" s="170"/>
      <c r="C259" s="169"/>
      <c r="D259" s="170"/>
      <c r="E259" s="169"/>
      <c r="F259" s="169"/>
      <c r="G259" s="170"/>
      <c r="H259" s="170"/>
      <c r="I259" s="169"/>
      <c r="J259" s="1"/>
      <c r="K259" s="169"/>
      <c r="L259" s="332">
        <v>255</v>
      </c>
      <c r="M259" s="332">
        <f>IF(L259&lt;=$C$22,$B$22,IF(L259&lt;=$C$23+$C$22,$B$23,0))</f>
      </c>
      <c r="N259" s="1"/>
      <c r="O259" s="332">
        <f>IF(Q259=12,O258-1,O258)</f>
      </c>
      <c r="P259" s="332">
        <v>255</v>
      </c>
      <c r="Q259" s="332">
        <f>IF(Q258=1,12,Q258-1)</f>
      </c>
      <c r="R259" s="169"/>
      <c r="S259" s="333">
        <f>HLOOKUP(O259,'Datos SS'!$B$4:$CZZ$16,(Q259+1),0)</f>
      </c>
      <c r="T259" s="333">
        <f>IF(O259=YEAR($B$5),($B$9/12),IF(O259&gt;MIN(YEAR($B$7),YEAR($B$5)),($B$9/12)*(1+HLOOKUP(O259,'Datos SS'!$B$31:$CZZ$32,2,0))^(O259-YEAR($B$5)),T247/(1+HLOOKUP(O259,'Datos SS'!$B$31:$CZZ$32,2,0))))</f>
      </c>
      <c r="U259" s="333">
        <f>IF(O259=2018,IF(Q259&lt;8,HLOOKUP(O259,'Datos SS'!$B$25:$BZZ$27,3,0)/12,HLOOKUP(O259,'Datos SS'!$B$25:$BZZ$26,2,0)/12),HLOOKUP(O259,'Datos SS'!$B$25:$BZZ$26,2,0)/12)</f>
      </c>
      <c r="V259" s="964">
        <f>MAX(X259,MIN(T259,U259))</f>
      </c>
      <c r="W259" s="333">
        <f>IF($E$19="NO",IF(P259&lt;=180,IF(P259&lt;25,V259,V259*$S$28/S259),0),IF(P259&gt;$B$15,0,IF(P259&lt;25,V259,V259*$S$28/S259)))</f>
      </c>
      <c r="X259" s="721">
        <f>HLOOKUP(O259,'Datos SS'!$K$37:$EP$38,2,0)</f>
      </c>
      <c r="Y259" s="331">
        <f>MAX(INT(Y258)-1,0)</f>
      </c>
      <c r="Z259" s="169"/>
      <c r="AA259" s="169"/>
      <c r="AB259" s="169"/>
      <c r="AC259" s="965">
        <v>1985.6984755459227</v>
      </c>
      <c r="AD259" s="331">
        <f>+AC259-W259</f>
      </c>
      <c r="AE259" s="169"/>
      <c r="AF259" s="170"/>
      <c r="AG259" s="169"/>
      <c r="AH259" s="170"/>
      <c r="AI259" s="170"/>
      <c r="AJ259" s="1"/>
      <c r="AK259" s="1"/>
      <c r="AL259" s="170"/>
      <c r="AM259" s="170"/>
    </row>
    <row x14ac:dyDescent="0.25" r="260" customHeight="1" ht="18.75">
      <c r="A260" s="1"/>
      <c r="B260" s="170"/>
      <c r="C260" s="169"/>
      <c r="D260" s="170"/>
      <c r="E260" s="169"/>
      <c r="F260" s="169"/>
      <c r="G260" s="170"/>
      <c r="H260" s="170"/>
      <c r="I260" s="169"/>
      <c r="J260" s="1"/>
      <c r="K260" s="169"/>
      <c r="L260" s="332">
        <v>256</v>
      </c>
      <c r="M260" s="332">
        <f>IF(L260&lt;=$C$22,$B$22,IF(L260&lt;=$C$23+$C$22,$B$23,0))</f>
      </c>
      <c r="N260" s="1"/>
      <c r="O260" s="332">
        <f>IF(Q260=12,O259-1,O259)</f>
      </c>
      <c r="P260" s="332">
        <v>256</v>
      </c>
      <c r="Q260" s="332">
        <f>IF(Q259=1,12,Q259-1)</f>
      </c>
      <c r="R260" s="169"/>
      <c r="S260" s="333">
        <f>HLOOKUP(O260,'Datos SS'!$B$4:$CZZ$16,(Q260+1),0)</f>
      </c>
      <c r="T260" s="333">
        <f>IF(O260=YEAR($B$5),($B$9/12),IF(O260&gt;MIN(YEAR($B$7),YEAR($B$5)),($B$9/12)*(1+HLOOKUP(O260,'Datos SS'!$B$31:$CZZ$32,2,0))^(O260-YEAR($B$5)),T248/(1+HLOOKUP(O260,'Datos SS'!$B$31:$CZZ$32,2,0))))</f>
      </c>
      <c r="U260" s="333">
        <f>IF(O260=2018,IF(Q260&lt;8,HLOOKUP(O260,'Datos SS'!$B$25:$BZZ$27,3,0)/12,HLOOKUP(O260,'Datos SS'!$B$25:$BZZ$26,2,0)/12),HLOOKUP(O260,'Datos SS'!$B$25:$BZZ$26,2,0)/12)</f>
      </c>
      <c r="V260" s="964">
        <f>MAX(X260,MIN(T260,U260))</f>
      </c>
      <c r="W260" s="333">
        <f>IF($E$19="NO",IF(P260&lt;=180,IF(P260&lt;25,V260,V260*$S$28/S260),0),IF(P260&gt;$B$15,0,IF(P260&lt;25,V260,V260*$S$28/S260)))</f>
      </c>
      <c r="X260" s="721">
        <f>HLOOKUP(O260,'Datos SS'!$K$37:$EP$38,2,0)</f>
      </c>
      <c r="Y260" s="331">
        <f>MAX(INT(Y259)-1,0)</f>
      </c>
      <c r="Z260" s="169"/>
      <c r="AA260" s="169"/>
      <c r="AB260" s="169"/>
      <c r="AC260" s="965">
        <v>1987.345688114987</v>
      </c>
      <c r="AD260" s="331">
        <f>+AC260-W260</f>
      </c>
      <c r="AE260" s="169"/>
      <c r="AF260" s="170"/>
      <c r="AG260" s="169"/>
      <c r="AH260" s="170"/>
      <c r="AI260" s="170"/>
      <c r="AJ260" s="1"/>
      <c r="AK260" s="1"/>
      <c r="AL260" s="170"/>
      <c r="AM260" s="170"/>
    </row>
    <row x14ac:dyDescent="0.25" r="261" customHeight="1" ht="18.75">
      <c r="A261" s="1"/>
      <c r="B261" s="170"/>
      <c r="C261" s="169"/>
      <c r="D261" s="170"/>
      <c r="E261" s="169"/>
      <c r="F261" s="169"/>
      <c r="G261" s="170"/>
      <c r="H261" s="170"/>
      <c r="I261" s="169"/>
      <c r="J261" s="1"/>
      <c r="K261" s="169"/>
      <c r="L261" s="332">
        <v>257</v>
      </c>
      <c r="M261" s="332">
        <f>IF(L261&lt;=$C$22,$B$22,IF(L261&lt;=$C$23+$C$22,$B$23,0))</f>
      </c>
      <c r="N261" s="1"/>
      <c r="O261" s="332">
        <f>IF(Q261=12,O260-1,O260)</f>
      </c>
      <c r="P261" s="332">
        <v>257</v>
      </c>
      <c r="Q261" s="332">
        <f>IF(Q260=1,12,Q260-1)</f>
      </c>
      <c r="R261" s="169"/>
      <c r="S261" s="333">
        <f>HLOOKUP(O261,'Datos SS'!$B$4:$CZZ$16,(Q261+1),0)</f>
      </c>
      <c r="T261" s="333">
        <f>IF(O261=YEAR($B$5),($B$9/12),IF(O261&gt;MIN(YEAR($B$7),YEAR($B$5)),($B$9/12)*(1+HLOOKUP(O261,'Datos SS'!$B$31:$CZZ$32,2,0))^(O261-YEAR($B$5)),T249/(1+HLOOKUP(O261,'Datos SS'!$B$31:$CZZ$32,2,0))))</f>
      </c>
      <c r="U261" s="333">
        <f>IF(O261=2018,IF(Q261&lt;8,HLOOKUP(O261,'Datos SS'!$B$25:$BZZ$27,3,0)/12,HLOOKUP(O261,'Datos SS'!$B$25:$BZZ$26,2,0)/12),HLOOKUP(O261,'Datos SS'!$B$25:$BZZ$26,2,0)/12)</f>
      </c>
      <c r="V261" s="964">
        <f>MAX(X261,MIN(T261,U261))</f>
      </c>
      <c r="W261" s="333">
        <f>IF($E$19="NO",IF(P261&lt;=180,IF(P261&lt;25,V261,V261*$S$28/S261),0),IF(P261&gt;$B$15,0,IF(P261&lt;25,V261,V261*$S$28/S261)))</f>
      </c>
      <c r="X261" s="721">
        <f>HLOOKUP(O261,'Datos SS'!$K$37:$EP$38,2,0)</f>
      </c>
      <c r="Y261" s="331">
        <f>MAX(INT(Y260)-1,0)</f>
      </c>
      <c r="Z261" s="169"/>
      <c r="AA261" s="169"/>
      <c r="AB261" s="169"/>
      <c r="AC261" s="965">
        <v>1988.9942671096599</v>
      </c>
      <c r="AD261" s="331">
        <f>+AC261-W261</f>
      </c>
      <c r="AE261" s="169"/>
      <c r="AF261" s="170"/>
      <c r="AG261" s="169"/>
      <c r="AH261" s="170"/>
      <c r="AI261" s="170"/>
      <c r="AJ261" s="1"/>
      <c r="AK261" s="1"/>
      <c r="AL261" s="170"/>
      <c r="AM261" s="170"/>
    </row>
    <row x14ac:dyDescent="0.25" r="262" customHeight="1" ht="18.75">
      <c r="A262" s="1"/>
      <c r="B262" s="170"/>
      <c r="C262" s="169"/>
      <c r="D262" s="170"/>
      <c r="E262" s="169"/>
      <c r="F262" s="169"/>
      <c r="G262" s="170"/>
      <c r="H262" s="170"/>
      <c r="I262" s="169"/>
      <c r="J262" s="1"/>
      <c r="K262" s="169"/>
      <c r="L262" s="332">
        <v>258</v>
      </c>
      <c r="M262" s="332">
        <f>IF(L262&lt;=$C$22,$B$22,IF(L262&lt;=$C$23+$C$22,$B$23,0))</f>
      </c>
      <c r="N262" s="1"/>
      <c r="O262" s="332">
        <f>IF(Q262=12,O261-1,O261)</f>
      </c>
      <c r="P262" s="332">
        <v>258</v>
      </c>
      <c r="Q262" s="332">
        <f>IF(Q261=1,12,Q261-1)</f>
      </c>
      <c r="R262" s="169"/>
      <c r="S262" s="333">
        <f>HLOOKUP(O262,'Datos SS'!$B$4:$CZZ$16,(Q262+1),0)</f>
      </c>
      <c r="T262" s="333">
        <f>IF(O262=YEAR($B$5),($B$9/12),IF(O262&gt;MIN(YEAR($B$7),YEAR($B$5)),($B$9/12)*(1+HLOOKUP(O262,'Datos SS'!$B$31:$CZZ$32,2,0))^(O262-YEAR($B$5)),T250/(1+HLOOKUP(O262,'Datos SS'!$B$31:$CZZ$32,2,0))))</f>
      </c>
      <c r="U262" s="333">
        <f>IF(O262=2018,IF(Q262&lt;8,HLOOKUP(O262,'Datos SS'!$B$25:$BZZ$27,3,0)/12,HLOOKUP(O262,'Datos SS'!$B$25:$BZZ$26,2,0)/12),HLOOKUP(O262,'Datos SS'!$B$25:$BZZ$26,2,0)/12)</f>
      </c>
      <c r="V262" s="964">
        <f>MAX(X262,MIN(T262,U262))</f>
      </c>
      <c r="W262" s="333">
        <f>IF($E$19="NO",IF(P262&lt;=180,IF(P262&lt;25,V262,V262*$S$28/S262),0),IF(P262&gt;$B$15,0,IF(P262&lt;25,V262,V262*$S$28/S262)))</f>
      </c>
      <c r="X262" s="721">
        <f>HLOOKUP(O262,'Datos SS'!$K$37:$EP$38,2,0)</f>
      </c>
      <c r="Y262" s="331">
        <f>MAX(INT(Y261)-1,0)</f>
      </c>
      <c r="Z262" s="169"/>
      <c r="AA262" s="169"/>
      <c r="AB262" s="169"/>
      <c r="AC262" s="965">
        <v>1990.6442136634432</v>
      </c>
      <c r="AD262" s="331">
        <f>+AC262-W262</f>
      </c>
      <c r="AE262" s="169"/>
      <c r="AF262" s="170"/>
      <c r="AG262" s="169"/>
      <c r="AH262" s="170"/>
      <c r="AI262" s="170"/>
      <c r="AJ262" s="1"/>
      <c r="AK262" s="1"/>
      <c r="AL262" s="170"/>
      <c r="AM262" s="170"/>
    </row>
    <row x14ac:dyDescent="0.25" r="263" customHeight="1" ht="18.75">
      <c r="A263" s="1"/>
      <c r="B263" s="170"/>
      <c r="C263" s="169"/>
      <c r="D263" s="170"/>
      <c r="E263" s="169"/>
      <c r="F263" s="169"/>
      <c r="G263" s="170"/>
      <c r="H263" s="170"/>
      <c r="I263" s="169"/>
      <c r="J263" s="1"/>
      <c r="K263" s="169"/>
      <c r="L263" s="332">
        <v>259</v>
      </c>
      <c r="M263" s="332">
        <f>IF(L263&lt;=$C$22,$B$22,IF(L263&lt;=$C$23+$C$22,$B$23,0))</f>
      </c>
      <c r="N263" s="1"/>
      <c r="O263" s="332">
        <f>IF(Q263=12,O262-1,O262)</f>
      </c>
      <c r="P263" s="332">
        <v>259</v>
      </c>
      <c r="Q263" s="332">
        <f>IF(Q262=1,12,Q262-1)</f>
      </c>
      <c r="R263" s="169"/>
      <c r="S263" s="333">
        <f>HLOOKUP(O263,'Datos SS'!$B$4:$CZZ$16,(Q263+1),0)</f>
      </c>
      <c r="T263" s="333">
        <f>IF(O263=YEAR($B$5),($B$9/12),IF(O263&gt;MIN(YEAR($B$7),YEAR($B$5)),($B$9/12)*(1+HLOOKUP(O263,'Datos SS'!$B$31:$CZZ$32,2,0))^(O263-YEAR($B$5)),T251/(1+HLOOKUP(O263,'Datos SS'!$B$31:$CZZ$32,2,0))))</f>
      </c>
      <c r="U263" s="333">
        <f>IF(O263=2018,IF(Q263&lt;8,HLOOKUP(O263,'Datos SS'!$B$25:$BZZ$27,3,0)/12,HLOOKUP(O263,'Datos SS'!$B$25:$BZZ$26,2,0)/12),HLOOKUP(O263,'Datos SS'!$B$25:$BZZ$26,2,0)/12)</f>
      </c>
      <c r="V263" s="964">
        <f>MAX(X263,MIN(T263,U263))</f>
      </c>
      <c r="W263" s="333">
        <f>IF($E$19="NO",IF(P263&lt;=180,IF(P263&lt;25,V263,V263*$S$28/S263),0),IF(P263&gt;$B$15,0,IF(P263&lt;25,V263,V263*$S$28/S263)))</f>
      </c>
      <c r="X263" s="721">
        <f>HLOOKUP(O263,'Datos SS'!$K$37:$EP$38,2,0)</f>
      </c>
      <c r="Y263" s="331">
        <f>MAX(INT(Y262)-1,0)</f>
      </c>
      <c r="Z263" s="169"/>
      <c r="AA263" s="169"/>
      <c r="AB263" s="169"/>
      <c r="AC263" s="965">
        <v>1992.2955289107797</v>
      </c>
      <c r="AD263" s="331">
        <f>+AC263-W263</f>
      </c>
      <c r="AE263" s="169"/>
      <c r="AF263" s="170"/>
      <c r="AG263" s="169"/>
      <c r="AH263" s="170"/>
      <c r="AI263" s="170"/>
      <c r="AJ263" s="1"/>
      <c r="AK263" s="1"/>
      <c r="AL263" s="170"/>
      <c r="AM263" s="170"/>
    </row>
    <row x14ac:dyDescent="0.25" r="264" customHeight="1" ht="18.75">
      <c r="A264" s="1"/>
      <c r="B264" s="170"/>
      <c r="C264" s="169"/>
      <c r="D264" s="170"/>
      <c r="E264" s="169"/>
      <c r="F264" s="169"/>
      <c r="G264" s="170"/>
      <c r="H264" s="170"/>
      <c r="I264" s="169"/>
      <c r="J264" s="1"/>
      <c r="K264" s="169"/>
      <c r="L264" s="332">
        <v>260</v>
      </c>
      <c r="M264" s="332">
        <f>IF(L264&lt;=$C$22,$B$22,IF(L264&lt;=$C$23+$C$22,$B$23,0))</f>
      </c>
      <c r="N264" s="1"/>
      <c r="O264" s="332">
        <f>IF(Q264=12,O263-1,O263)</f>
      </c>
      <c r="P264" s="332">
        <v>260</v>
      </c>
      <c r="Q264" s="332">
        <f>IF(Q263=1,12,Q263-1)</f>
      </c>
      <c r="R264" s="169"/>
      <c r="S264" s="333">
        <f>HLOOKUP(O264,'Datos SS'!$B$4:$CZZ$16,(Q264+1),0)</f>
      </c>
      <c r="T264" s="333">
        <f>IF(O264=YEAR($B$5),($B$9/12),IF(O264&gt;MIN(YEAR($B$7),YEAR($B$5)),($B$9/12)*(1+HLOOKUP(O264,'Datos SS'!$B$31:$CZZ$32,2,0))^(O264-YEAR($B$5)),T252/(1+HLOOKUP(O264,'Datos SS'!$B$31:$CZZ$32,2,0))))</f>
      </c>
      <c r="U264" s="333">
        <f>IF(O264=2018,IF(Q264&lt;8,HLOOKUP(O264,'Datos SS'!$B$25:$BZZ$27,3,0)/12,HLOOKUP(O264,'Datos SS'!$B$25:$BZZ$26,2,0)/12),HLOOKUP(O264,'Datos SS'!$B$25:$BZZ$26,2,0)/12)</f>
      </c>
      <c r="V264" s="964">
        <f>MAX(X264,MIN(T264,U264))</f>
      </c>
      <c r="W264" s="333">
        <f>IF($E$19="NO",IF(P264&lt;=180,IF(P264&lt;25,V264,V264*$S$28/S264),0),IF(P264&gt;$B$15,0,IF(P264&lt;25,V264,V264*$S$28/S264)))</f>
      </c>
      <c r="X264" s="721">
        <f>HLOOKUP(O264,'Datos SS'!$K$37:$EP$38,2,0)</f>
      </c>
      <c r="Y264" s="331">
        <f>MAX(INT(Y263)-1,0)</f>
      </c>
      <c r="Z264" s="169"/>
      <c r="AA264" s="169"/>
      <c r="AB264" s="169"/>
      <c r="AC264" s="965">
        <v>1993.9482139870527</v>
      </c>
      <c r="AD264" s="331">
        <f>+AC264-W264</f>
      </c>
      <c r="AE264" s="169"/>
      <c r="AF264" s="170"/>
      <c r="AG264" s="169"/>
      <c r="AH264" s="170"/>
      <c r="AI264" s="170"/>
      <c r="AJ264" s="1"/>
      <c r="AK264" s="1"/>
      <c r="AL264" s="170"/>
      <c r="AM264" s="170"/>
    </row>
    <row x14ac:dyDescent="0.25" r="265" customHeight="1" ht="18.75">
      <c r="A265" s="1"/>
      <c r="B265" s="170"/>
      <c r="C265" s="169"/>
      <c r="D265" s="170"/>
      <c r="E265" s="169"/>
      <c r="F265" s="169"/>
      <c r="G265" s="170"/>
      <c r="H265" s="170"/>
      <c r="I265" s="169"/>
      <c r="J265" s="1"/>
      <c r="K265" s="169"/>
      <c r="L265" s="332">
        <v>261</v>
      </c>
      <c r="M265" s="332">
        <f>IF(L265&lt;=$C$22,$B$22,IF(L265&lt;=$C$23+$C$22,$B$23,0))</f>
      </c>
      <c r="N265" s="1"/>
      <c r="O265" s="332">
        <f>IF(Q265=12,O264-1,O264)</f>
      </c>
      <c r="P265" s="332">
        <v>261</v>
      </c>
      <c r="Q265" s="332">
        <f>IF(Q264=1,12,Q264-1)</f>
      </c>
      <c r="R265" s="169"/>
      <c r="S265" s="333">
        <f>HLOOKUP(O265,'Datos SS'!$B$4:$CZZ$16,(Q265+1),0)</f>
      </c>
      <c r="T265" s="333">
        <f>IF(O265=YEAR($B$5),($B$9/12),IF(O265&gt;MIN(YEAR($B$7),YEAR($B$5)),($B$9/12)*(1+HLOOKUP(O265,'Datos SS'!$B$31:$CZZ$32,2,0))^(O265-YEAR($B$5)),T253/(1+HLOOKUP(O265,'Datos SS'!$B$31:$CZZ$32,2,0))))</f>
      </c>
      <c r="U265" s="333">
        <f>IF(O265=2018,IF(Q265&lt;8,HLOOKUP(O265,'Datos SS'!$B$25:$BZZ$27,3,0)/12,HLOOKUP(O265,'Datos SS'!$B$25:$BZZ$26,2,0)/12),HLOOKUP(O265,'Datos SS'!$B$25:$BZZ$26,2,0)/12)</f>
      </c>
      <c r="V265" s="964">
        <f>MAX(X265,MIN(T265,U265))</f>
      </c>
      <c r="W265" s="333">
        <f>IF($E$19="NO",IF(P265&lt;=180,IF(P265&lt;25,V265,V265*$S$28/S265),0),IF(P265&gt;$B$15,0,IF(P265&lt;25,V265,V265*$S$28/S265)))</f>
      </c>
      <c r="X265" s="721">
        <f>HLOOKUP(O265,'Datos SS'!$K$37:$EP$38,2,0)</f>
      </c>
      <c r="Y265" s="331">
        <f>MAX(INT(Y264)-1,0)</f>
      </c>
      <c r="Z265" s="169"/>
      <c r="AA265" s="169"/>
      <c r="AB265" s="169"/>
      <c r="AC265" s="965">
        <v>1995.6022700285873</v>
      </c>
      <c r="AD265" s="331">
        <f>+AC265-W265</f>
      </c>
      <c r="AE265" s="169"/>
      <c r="AF265" s="170"/>
      <c r="AG265" s="169"/>
      <c r="AH265" s="170"/>
      <c r="AI265" s="170"/>
      <c r="AJ265" s="1"/>
      <c r="AK265" s="1"/>
      <c r="AL265" s="170"/>
      <c r="AM265" s="170"/>
    </row>
    <row x14ac:dyDescent="0.25" r="266" customHeight="1" ht="18.75">
      <c r="A266" s="1"/>
      <c r="B266" s="170"/>
      <c r="C266" s="169"/>
      <c r="D266" s="170"/>
      <c r="E266" s="169"/>
      <c r="F266" s="169"/>
      <c r="G266" s="170"/>
      <c r="H266" s="170"/>
      <c r="I266" s="169"/>
      <c r="J266" s="1"/>
      <c r="K266" s="169"/>
      <c r="L266" s="332">
        <v>262</v>
      </c>
      <c r="M266" s="332">
        <f>IF(L266&lt;=$C$22,$B$22,IF(L266&lt;=$C$23+$C$22,$B$23,0))</f>
      </c>
      <c r="N266" s="1"/>
      <c r="O266" s="332">
        <f>IF(Q266=12,O265-1,O265)</f>
      </c>
      <c r="P266" s="332">
        <v>262</v>
      </c>
      <c r="Q266" s="332">
        <f>IF(Q265=1,12,Q265-1)</f>
      </c>
      <c r="R266" s="169"/>
      <c r="S266" s="333">
        <f>HLOOKUP(O266,'Datos SS'!$B$4:$CZZ$16,(Q266+1),0)</f>
      </c>
      <c r="T266" s="333">
        <f>IF(O266=YEAR($B$5),($B$9/12),IF(O266&gt;MIN(YEAR($B$7),YEAR($B$5)),($B$9/12)*(1+HLOOKUP(O266,'Datos SS'!$B$31:$CZZ$32,2,0))^(O266-YEAR($B$5)),T254/(1+HLOOKUP(O266,'Datos SS'!$B$31:$CZZ$32,2,0))))</f>
      </c>
      <c r="U266" s="333">
        <f>IF(O266=2018,IF(Q266&lt;8,HLOOKUP(O266,'Datos SS'!$B$25:$BZZ$27,3,0)/12,HLOOKUP(O266,'Datos SS'!$B$25:$BZZ$26,2,0)/12),HLOOKUP(O266,'Datos SS'!$B$25:$BZZ$26,2,0)/12)</f>
      </c>
      <c r="V266" s="964">
        <f>MAX(X266,MIN(T266,U266))</f>
      </c>
      <c r="W266" s="333">
        <f>IF($E$19="NO",IF(P266&lt;=180,IF(P266&lt;25,V266,V266*$S$28/S266),0),IF(P266&gt;$B$15,0,IF(P266&lt;25,V266,V266*$S$28/S266)))</f>
      </c>
      <c r="X266" s="721">
        <f>HLOOKUP(O266,'Datos SS'!$K$37:$EP$38,2,0)</f>
      </c>
      <c r="Y266" s="331">
        <f>MAX(INT(Y265)-1,0)</f>
      </c>
      <c r="Z266" s="169"/>
      <c r="AA266" s="169"/>
      <c r="AB266" s="169"/>
      <c r="AC266" s="965">
        <v>1967.7415745543371</v>
      </c>
      <c r="AD266" s="331">
        <f>+AC266-W266</f>
      </c>
      <c r="AE266" s="169"/>
      <c r="AF266" s="170"/>
      <c r="AG266" s="169"/>
      <c r="AH266" s="170"/>
      <c r="AI266" s="170"/>
      <c r="AJ266" s="1"/>
      <c r="AK266" s="1"/>
      <c r="AL266" s="170"/>
      <c r="AM266" s="170"/>
    </row>
    <row x14ac:dyDescent="0.25" r="267" customHeight="1" ht="18.75">
      <c r="A267" s="1"/>
      <c r="B267" s="170"/>
      <c r="C267" s="169"/>
      <c r="D267" s="170"/>
      <c r="E267" s="169"/>
      <c r="F267" s="169"/>
      <c r="G267" s="170"/>
      <c r="H267" s="170"/>
      <c r="I267" s="169"/>
      <c r="J267" s="1"/>
      <c r="K267" s="169"/>
      <c r="L267" s="332">
        <v>263</v>
      </c>
      <c r="M267" s="332">
        <f>IF(L267&lt;=$C$22,$B$22,IF(L267&lt;=$C$23+$C$22,$B$23,0))</f>
      </c>
      <c r="N267" s="1"/>
      <c r="O267" s="332">
        <f>IF(Q267=12,O266-1,O266)</f>
      </c>
      <c r="P267" s="332">
        <v>263</v>
      </c>
      <c r="Q267" s="332">
        <f>IF(Q266=1,12,Q266-1)</f>
      </c>
      <c r="R267" s="169"/>
      <c r="S267" s="333">
        <f>HLOOKUP(O267,'Datos SS'!$B$4:$CZZ$16,(Q267+1),0)</f>
      </c>
      <c r="T267" s="333">
        <f>IF(O267=YEAR($B$5),($B$9/12),IF(O267&gt;MIN(YEAR($B$7),YEAR($B$5)),($B$9/12)*(1+HLOOKUP(O267,'Datos SS'!$B$31:$CZZ$32,2,0))^(O267-YEAR($B$5)),T255/(1+HLOOKUP(O267,'Datos SS'!$B$31:$CZZ$32,2,0))))</f>
      </c>
      <c r="U267" s="333">
        <f>IF(O267=2018,IF(Q267&lt;8,HLOOKUP(O267,'Datos SS'!$B$25:$BZZ$27,3,0)/12,HLOOKUP(O267,'Datos SS'!$B$25:$BZZ$26,2,0)/12),HLOOKUP(O267,'Datos SS'!$B$25:$BZZ$26,2,0)/12)</f>
      </c>
      <c r="V267" s="964">
        <f>MAX(X267,MIN(T267,U267))</f>
      </c>
      <c r="W267" s="333">
        <f>IF($E$19="NO",IF(P267&lt;=180,IF(P267&lt;25,V267,V267*$S$28/S267),0),IF(P267&gt;$B$15,0,IF(P267&lt;25,V267,V267*$S$28/S267)))</f>
      </c>
      <c r="X267" s="721">
        <f>HLOOKUP(O267,'Datos SS'!$K$37:$EP$38,2,0)</f>
      </c>
      <c r="Y267" s="331">
        <f>MAX(INT(Y266)-1,0)</f>
      </c>
      <c r="Z267" s="169"/>
      <c r="AA267" s="169"/>
      <c r="AB267" s="169"/>
      <c r="AC267" s="965">
        <v>1969.3738911896135</v>
      </c>
      <c r="AD267" s="331">
        <f>+AC267-W267</f>
      </c>
      <c r="AE267" s="169"/>
      <c r="AF267" s="170"/>
      <c r="AG267" s="169"/>
      <c r="AH267" s="170"/>
      <c r="AI267" s="170"/>
      <c r="AJ267" s="1"/>
      <c r="AK267" s="1"/>
      <c r="AL267" s="170"/>
      <c r="AM267" s="170"/>
    </row>
    <row x14ac:dyDescent="0.25" r="268" customHeight="1" ht="18.75">
      <c r="A268" s="1"/>
      <c r="B268" s="170"/>
      <c r="C268" s="169"/>
      <c r="D268" s="170"/>
      <c r="E268" s="169"/>
      <c r="F268" s="169"/>
      <c r="G268" s="170"/>
      <c r="H268" s="170"/>
      <c r="I268" s="169"/>
      <c r="J268" s="1"/>
      <c r="K268" s="169"/>
      <c r="L268" s="332">
        <v>264</v>
      </c>
      <c r="M268" s="332">
        <f>IF(L268&lt;=$C$22,$B$22,IF(L268&lt;=$C$23+$C$22,$B$23,0))</f>
      </c>
      <c r="N268" s="1"/>
      <c r="O268" s="332">
        <f>IF(Q268=12,O267-1,O267)</f>
      </c>
      <c r="P268" s="332">
        <v>264</v>
      </c>
      <c r="Q268" s="332">
        <f>IF(Q267=1,12,Q267-1)</f>
      </c>
      <c r="R268" s="169"/>
      <c r="S268" s="333">
        <f>HLOOKUP(O268,'Datos SS'!$B$4:$CZZ$16,(Q268+1),0)</f>
      </c>
      <c r="T268" s="333">
        <f>IF(O268=YEAR($B$5),($B$9/12),IF(O268&gt;MIN(YEAR($B$7),YEAR($B$5)),($B$9/12)*(1+HLOOKUP(O268,'Datos SS'!$B$31:$CZZ$32,2,0))^(O268-YEAR($B$5)),T256/(1+HLOOKUP(O268,'Datos SS'!$B$31:$CZZ$32,2,0))))</f>
      </c>
      <c r="U268" s="333">
        <f>IF(O268=2018,IF(Q268&lt;8,HLOOKUP(O268,'Datos SS'!$B$25:$BZZ$27,3,0)/12,HLOOKUP(O268,'Datos SS'!$B$25:$BZZ$26,2,0)/12),HLOOKUP(O268,'Datos SS'!$B$25:$BZZ$26,2,0)/12)</f>
      </c>
      <c r="V268" s="964">
        <f>MAX(X268,MIN(T268,U268))</f>
      </c>
      <c r="W268" s="333">
        <f>IF($E$19="NO",IF(P268&lt;=180,IF(P268&lt;25,V268,V268*$S$28/S268),0),IF(P268&gt;$B$15,0,IF(P268&lt;25,V268,V268*$S$28/S268)))</f>
      </c>
      <c r="X268" s="721">
        <f>HLOOKUP(O268,'Datos SS'!$K$37:$EP$38,2,0)</f>
      </c>
      <c r="Y268" s="331">
        <f>MAX(INT(Y267)-1,0)</f>
      </c>
      <c r="Z268" s="169"/>
      <c r="AA268" s="169"/>
      <c r="AB268" s="169"/>
      <c r="AC268" s="965">
        <v>1971.0075618937533</v>
      </c>
      <c r="AD268" s="331">
        <f>+AC268-W268</f>
      </c>
      <c r="AE268" s="169"/>
      <c r="AF268" s="170"/>
      <c r="AG268" s="169"/>
      <c r="AH268" s="170"/>
      <c r="AI268" s="170"/>
      <c r="AJ268" s="1"/>
      <c r="AK268" s="1"/>
      <c r="AL268" s="170"/>
      <c r="AM268" s="170"/>
    </row>
    <row x14ac:dyDescent="0.25" r="269" customHeight="1" ht="18.75">
      <c r="A269" s="1"/>
      <c r="B269" s="170"/>
      <c r="C269" s="169"/>
      <c r="D269" s="170"/>
      <c r="E269" s="169"/>
      <c r="F269" s="169"/>
      <c r="G269" s="170"/>
      <c r="H269" s="170"/>
      <c r="I269" s="169"/>
      <c r="J269" s="1"/>
      <c r="K269" s="169"/>
      <c r="L269" s="169"/>
      <c r="M269" s="169"/>
      <c r="N269" s="1"/>
      <c r="O269" s="332">
        <f>IF(Q269=12,O268-1,O268)</f>
      </c>
      <c r="P269" s="332">
        <v>265</v>
      </c>
      <c r="Q269" s="332">
        <f>IF(Q268=1,12,Q268-1)</f>
      </c>
      <c r="R269" s="169"/>
      <c r="S269" s="333">
        <f>HLOOKUP(O269,'Datos SS'!$B$4:$CZZ$16,(Q269+1),0)</f>
      </c>
      <c r="T269" s="333">
        <f>IF(O269=YEAR($B$5),($B$9/12),IF(O269&gt;MIN(YEAR($B$7),YEAR($B$5)),($B$9/12)*(1+HLOOKUP(O269,'Datos SS'!$B$31:$CZZ$32,2,0))^(O269-YEAR($B$5)),T257/(1+HLOOKUP(O269,'Datos SS'!$B$31:$CZZ$32,2,0))))</f>
      </c>
      <c r="U269" s="333">
        <f>IF(O269=2018,IF(Q269&lt;8,HLOOKUP(O269,'Datos SS'!$B$25:$BZZ$27,3,0)/12,HLOOKUP(O269,'Datos SS'!$B$25:$BZZ$26,2,0)/12),HLOOKUP(O269,'Datos SS'!$B$25:$BZZ$26,2,0)/12)</f>
      </c>
      <c r="V269" s="964">
        <f>MAX(X269,MIN(T269,U269))</f>
      </c>
      <c r="W269" s="333">
        <f>IF($E$19="NO",IF(P269&lt;=180,IF(P269&lt;25,V269,V269*$S$28/S269),0),IF(P269&gt;$B$15,0,IF(P269&lt;25,V269,V269*$S$28/S269)))</f>
      </c>
      <c r="X269" s="721">
        <f>HLOOKUP(O269,'Datos SS'!$K$37:$EP$38,2,0)</f>
      </c>
      <c r="Y269" s="331">
        <f>MAX(INT(Y268)-1,0)</f>
      </c>
      <c r="Z269" s="169"/>
      <c r="AA269" s="169"/>
      <c r="AB269" s="169"/>
      <c r="AC269" s="965">
        <v>1972.6425877900087</v>
      </c>
      <c r="AD269" s="331">
        <f>+AC269-W269</f>
      </c>
      <c r="AE269" s="169"/>
      <c r="AF269" s="170"/>
      <c r="AG269" s="169"/>
      <c r="AH269" s="170"/>
      <c r="AI269" s="170"/>
      <c r="AJ269" s="1"/>
      <c r="AK269" s="1"/>
      <c r="AL269" s="170"/>
      <c r="AM269" s="170"/>
    </row>
    <row x14ac:dyDescent="0.25" r="270" customHeight="1" ht="18.75">
      <c r="A270" s="1"/>
      <c r="B270" s="170"/>
      <c r="C270" s="169"/>
      <c r="D270" s="170"/>
      <c r="E270" s="169"/>
      <c r="F270" s="169"/>
      <c r="G270" s="170"/>
      <c r="H270" s="170"/>
      <c r="I270" s="169"/>
      <c r="J270" s="1"/>
      <c r="K270" s="169"/>
      <c r="L270" s="169"/>
      <c r="M270" s="169"/>
      <c r="N270" s="1"/>
      <c r="O270" s="332">
        <f>IF(Q270=12,O269-1,O269)</f>
      </c>
      <c r="P270" s="332">
        <v>266</v>
      </c>
      <c r="Q270" s="332">
        <f>IF(Q269=1,12,Q269-1)</f>
      </c>
      <c r="R270" s="169"/>
      <c r="S270" s="333">
        <f>HLOOKUP(O270,'Datos SS'!$B$4:$CZZ$16,(Q270+1),0)</f>
      </c>
      <c r="T270" s="333">
        <f>IF(O270=YEAR($B$5),($B$9/12),IF(O270&gt;MIN(YEAR($B$7),YEAR($B$5)),($B$9/12)*(1+HLOOKUP(O270,'Datos SS'!$B$31:$CZZ$32,2,0))^(O270-YEAR($B$5)),T258/(1+HLOOKUP(O270,'Datos SS'!$B$31:$CZZ$32,2,0))))</f>
      </c>
      <c r="U270" s="333">
        <f>IF(O270=2018,IF(Q270&lt;8,HLOOKUP(O270,'Datos SS'!$B$25:$BZZ$27,3,0)/12,HLOOKUP(O270,'Datos SS'!$B$25:$BZZ$26,2,0)/12),HLOOKUP(O270,'Datos SS'!$B$25:$BZZ$26,2,0)/12)</f>
      </c>
      <c r="V270" s="964">
        <f>MAX(X270,MIN(T270,U270))</f>
      </c>
      <c r="W270" s="333">
        <f>IF($E$19="NO",IF(P270&lt;=180,IF(P270&lt;25,V270,V270*$S$28/S270),0),IF(P270&gt;$B$15,0,IF(P270&lt;25,V270,V270*$S$28/S270)))</f>
      </c>
      <c r="X270" s="721">
        <f>HLOOKUP(O270,'Datos SS'!$K$37:$EP$38,2,0)</f>
      </c>
      <c r="Y270" s="331">
        <f>MAX(INT(Y269)-1,0)</f>
      </c>
      <c r="Z270" s="169"/>
      <c r="AA270" s="169"/>
      <c r="AB270" s="169"/>
      <c r="AC270" s="965">
        <v>1974.278970002563</v>
      </c>
      <c r="AD270" s="331">
        <f>+AC270-W270</f>
      </c>
      <c r="AE270" s="169"/>
      <c r="AF270" s="170"/>
      <c r="AG270" s="169"/>
      <c r="AH270" s="170"/>
      <c r="AI270" s="170"/>
      <c r="AJ270" s="1"/>
      <c r="AK270" s="1"/>
      <c r="AL270" s="170"/>
      <c r="AM270" s="170"/>
    </row>
    <row x14ac:dyDescent="0.25" r="271" customHeight="1" ht="18.75">
      <c r="A271" s="1"/>
      <c r="B271" s="170"/>
      <c r="C271" s="169"/>
      <c r="D271" s="170"/>
      <c r="E271" s="169"/>
      <c r="F271" s="169"/>
      <c r="G271" s="170"/>
      <c r="H271" s="170"/>
      <c r="I271" s="169"/>
      <c r="J271" s="1"/>
      <c r="K271" s="169"/>
      <c r="L271" s="169"/>
      <c r="M271" s="169"/>
      <c r="N271" s="1"/>
      <c r="O271" s="332">
        <f>IF(Q271=12,O270-1,O270)</f>
      </c>
      <c r="P271" s="332">
        <v>267</v>
      </c>
      <c r="Q271" s="332">
        <f>IF(Q270=1,12,Q270-1)</f>
      </c>
      <c r="R271" s="169"/>
      <c r="S271" s="333">
        <f>HLOOKUP(O271,'Datos SS'!$B$4:$CZZ$16,(Q271+1),0)</f>
      </c>
      <c r="T271" s="333">
        <f>IF(O271=YEAR($B$5),($B$9/12),IF(O271&gt;MIN(YEAR($B$7),YEAR($B$5)),($B$9/12)*(1+HLOOKUP(O271,'Datos SS'!$B$31:$CZZ$32,2,0))^(O271-YEAR($B$5)),T259/(1+HLOOKUP(O271,'Datos SS'!$B$31:$CZZ$32,2,0))))</f>
      </c>
      <c r="U271" s="333">
        <f>IF(O271=2018,IF(Q271&lt;8,HLOOKUP(O271,'Datos SS'!$B$25:$BZZ$27,3,0)/12,HLOOKUP(O271,'Datos SS'!$B$25:$BZZ$26,2,0)/12),HLOOKUP(O271,'Datos SS'!$B$25:$BZZ$26,2,0)/12)</f>
      </c>
      <c r="V271" s="964">
        <f>MAX(X271,MIN(T271,U271))</f>
      </c>
      <c r="W271" s="333">
        <f>IF($E$19="NO",IF(P271&lt;=180,IF(P271&lt;25,V271,V271*$S$28/S271),0),IF(P271&gt;$B$15,0,IF(P271&lt;25,V271,V271*$S$28/S271)))</f>
      </c>
      <c r="X271" s="721">
        <f>HLOOKUP(O271,'Datos SS'!$K$37:$EP$38,2,0)</f>
      </c>
      <c r="Y271" s="331">
        <f>MAX(INT(Y270)-1,0)</f>
      </c>
      <c r="Z271" s="169"/>
      <c r="AA271" s="169"/>
      <c r="AB271" s="169"/>
      <c r="AC271" s="965">
        <v>1975.9167096565322</v>
      </c>
      <c r="AD271" s="331">
        <f>+AC271-W271</f>
      </c>
      <c r="AE271" s="169"/>
      <c r="AF271" s="170"/>
      <c r="AG271" s="169"/>
      <c r="AH271" s="170"/>
      <c r="AI271" s="170"/>
      <c r="AJ271" s="1"/>
      <c r="AK271" s="1"/>
      <c r="AL271" s="170"/>
      <c r="AM271" s="170"/>
    </row>
    <row x14ac:dyDescent="0.25" r="272" customHeight="1" ht="18.75">
      <c r="A272" s="1"/>
      <c r="B272" s="170"/>
      <c r="C272" s="169"/>
      <c r="D272" s="170"/>
      <c r="E272" s="169"/>
      <c r="F272" s="169"/>
      <c r="G272" s="170"/>
      <c r="H272" s="170"/>
      <c r="I272" s="169"/>
      <c r="J272" s="1"/>
      <c r="K272" s="169"/>
      <c r="L272" s="169"/>
      <c r="M272" s="169"/>
      <c r="N272" s="1"/>
      <c r="O272" s="332">
        <f>IF(Q272=12,O271-1,O271)</f>
      </c>
      <c r="P272" s="332">
        <v>268</v>
      </c>
      <c r="Q272" s="332">
        <f>IF(Q271=1,12,Q271-1)</f>
      </c>
      <c r="R272" s="169"/>
      <c r="S272" s="333">
        <f>HLOOKUP(O272,'Datos SS'!$B$4:$CZZ$16,(Q272+1),0)</f>
      </c>
      <c r="T272" s="333">
        <f>IF(O272=YEAR($B$5),($B$9/12),IF(O272&gt;MIN(YEAR($B$7),YEAR($B$5)),($B$9/12)*(1+HLOOKUP(O272,'Datos SS'!$B$31:$CZZ$32,2,0))^(O272-YEAR($B$5)),T260/(1+HLOOKUP(O272,'Datos SS'!$B$31:$CZZ$32,2,0))))</f>
      </c>
      <c r="U272" s="333">
        <f>IF(O272=2018,IF(Q272&lt;8,HLOOKUP(O272,'Datos SS'!$B$25:$BZZ$27,3,0)/12,HLOOKUP(O272,'Datos SS'!$B$25:$BZZ$26,2,0)/12),HLOOKUP(O272,'Datos SS'!$B$25:$BZZ$26,2,0)/12)</f>
      </c>
      <c r="V272" s="964">
        <f>MAX(X272,MIN(T272,U272))</f>
      </c>
      <c r="W272" s="333">
        <f>IF($E$19="NO",IF(P272&lt;=180,IF(P272&lt;25,V272,V272*$S$28/S272),0),IF(P272&gt;$B$15,0,IF(P272&lt;25,V272,V272*$S$28/S272)))</f>
      </c>
      <c r="X272" s="721">
        <f>HLOOKUP(O272,'Datos SS'!$K$37:$EP$38,2,0)</f>
      </c>
      <c r="Y272" s="331">
        <f>MAX(INT(Y271)-1,0)</f>
      </c>
      <c r="Z272" s="169"/>
      <c r="AA272" s="169"/>
      <c r="AB272" s="169"/>
      <c r="AC272" s="965">
        <v>1977.555807877966</v>
      </c>
      <c r="AD272" s="331">
        <f>+AC272-W272</f>
      </c>
      <c r="AE272" s="169"/>
      <c r="AF272" s="170"/>
      <c r="AG272" s="169"/>
      <c r="AH272" s="170"/>
      <c r="AI272" s="170"/>
      <c r="AJ272" s="1"/>
      <c r="AK272" s="1"/>
      <c r="AL272" s="170"/>
      <c r="AM272" s="170"/>
    </row>
    <row x14ac:dyDescent="0.25" r="273" customHeight="1" ht="18.75">
      <c r="A273" s="1"/>
      <c r="B273" s="170"/>
      <c r="C273" s="169"/>
      <c r="D273" s="170"/>
      <c r="E273" s="169"/>
      <c r="F273" s="169"/>
      <c r="G273" s="170"/>
      <c r="H273" s="170"/>
      <c r="I273" s="169"/>
      <c r="J273" s="1"/>
      <c r="K273" s="169"/>
      <c r="L273" s="169"/>
      <c r="M273" s="169"/>
      <c r="N273" s="1"/>
      <c r="O273" s="332">
        <f>IF(Q273=12,O272-1,O272)</f>
      </c>
      <c r="P273" s="332">
        <v>269</v>
      </c>
      <c r="Q273" s="332">
        <f>IF(Q272=1,12,Q272-1)</f>
      </c>
      <c r="R273" s="169"/>
      <c r="S273" s="333">
        <f>HLOOKUP(O273,'Datos SS'!$B$4:$CZZ$16,(Q273+1),0)</f>
      </c>
      <c r="T273" s="333">
        <f>IF(O273=YEAR($B$5),($B$9/12),IF(O273&gt;MIN(YEAR($B$7),YEAR($B$5)),($B$9/12)*(1+HLOOKUP(O273,'Datos SS'!$B$31:$CZZ$32,2,0))^(O273-YEAR($B$5)),T261/(1+HLOOKUP(O273,'Datos SS'!$B$31:$CZZ$32,2,0))))</f>
      </c>
      <c r="U273" s="333">
        <f>IF(O273=2018,IF(Q273&lt;8,HLOOKUP(O273,'Datos SS'!$B$25:$BZZ$27,3,0)/12,HLOOKUP(O273,'Datos SS'!$B$25:$BZZ$26,2,0)/12),HLOOKUP(O273,'Datos SS'!$B$25:$BZZ$26,2,0)/12)</f>
      </c>
      <c r="V273" s="964">
        <f>MAX(X273,MIN(T273,U273))</f>
      </c>
      <c r="W273" s="333">
        <f>IF($E$19="NO",IF(P273&lt;=180,IF(P273&lt;25,V273,V273*$S$28/S273),0),IF(P273&gt;$B$15,0,IF(P273&lt;25,V273,V273*$S$28/S273)))</f>
      </c>
      <c r="X273" s="721">
        <f>HLOOKUP(O273,'Datos SS'!$K$37:$EP$38,2,0)</f>
      </c>
      <c r="Y273" s="331">
        <f>MAX(INT(Y272)-1,0)</f>
      </c>
      <c r="Z273" s="169"/>
      <c r="AA273" s="169"/>
      <c r="AB273" s="169"/>
      <c r="AC273" s="965">
        <v>1979.1962657938475</v>
      </c>
      <c r="AD273" s="331">
        <f>+AC273-W273</f>
      </c>
      <c r="AE273" s="169"/>
      <c r="AF273" s="170"/>
      <c r="AG273" s="169"/>
      <c r="AH273" s="170"/>
      <c r="AI273" s="170"/>
      <c r="AJ273" s="1"/>
      <c r="AK273" s="1"/>
      <c r="AL273" s="170"/>
      <c r="AM273" s="170"/>
    </row>
    <row x14ac:dyDescent="0.25" r="274" customHeight="1" ht="18.75">
      <c r="A274" s="1"/>
      <c r="B274" s="170"/>
      <c r="C274" s="169"/>
      <c r="D274" s="170"/>
      <c r="E274" s="169"/>
      <c r="F274" s="169"/>
      <c r="G274" s="170"/>
      <c r="H274" s="170"/>
      <c r="I274" s="169"/>
      <c r="J274" s="1"/>
      <c r="K274" s="169"/>
      <c r="L274" s="169"/>
      <c r="M274" s="169"/>
      <c r="N274" s="1"/>
      <c r="O274" s="332">
        <f>IF(Q274=12,O273-1,O273)</f>
      </c>
      <c r="P274" s="332">
        <v>270</v>
      </c>
      <c r="Q274" s="332">
        <f>IF(Q273=1,12,Q273-1)</f>
      </c>
      <c r="R274" s="169"/>
      <c r="S274" s="333">
        <f>HLOOKUP(O274,'Datos SS'!$B$4:$CZZ$16,(Q274+1),0)</f>
      </c>
      <c r="T274" s="333">
        <f>IF(O274=YEAR($B$5),($B$9/12),IF(O274&gt;MIN(YEAR($B$7),YEAR($B$5)),($B$9/12)*(1+HLOOKUP(O274,'Datos SS'!$B$31:$CZZ$32,2,0))^(O274-YEAR($B$5)),T262/(1+HLOOKUP(O274,'Datos SS'!$B$31:$CZZ$32,2,0))))</f>
      </c>
      <c r="U274" s="333">
        <f>IF(O274=2018,IF(Q274&lt;8,HLOOKUP(O274,'Datos SS'!$B$25:$BZZ$27,3,0)/12,HLOOKUP(O274,'Datos SS'!$B$25:$BZZ$26,2,0)/12),HLOOKUP(O274,'Datos SS'!$B$25:$BZZ$26,2,0)/12)</f>
      </c>
      <c r="V274" s="964">
        <f>MAX(X274,MIN(T274,U274))</f>
      </c>
      <c r="W274" s="333">
        <f>IF($E$19="NO",IF(P274&lt;=180,IF(P274&lt;25,V274,V274*$S$28/S274),0),IF(P274&gt;$B$15,0,IF(P274&lt;25,V274,V274*$S$28/S274)))</f>
      </c>
      <c r="X274" s="721">
        <f>HLOOKUP(O274,'Datos SS'!$K$37:$EP$38,2,0)</f>
      </c>
      <c r="Y274" s="331">
        <f>MAX(INT(Y273)-1,0)</f>
      </c>
      <c r="Z274" s="169"/>
      <c r="AA274" s="169"/>
      <c r="AB274" s="169"/>
      <c r="AC274" s="965">
        <v>1980.838084532095</v>
      </c>
      <c r="AD274" s="331">
        <f>+AC274-W274</f>
      </c>
      <c r="AE274" s="169"/>
      <c r="AF274" s="170"/>
      <c r="AG274" s="169"/>
      <c r="AH274" s="170"/>
      <c r="AI274" s="170"/>
      <c r="AJ274" s="1"/>
      <c r="AK274" s="1"/>
      <c r="AL274" s="170"/>
      <c r="AM274" s="170"/>
    </row>
    <row x14ac:dyDescent="0.25" r="275" customHeight="1" ht="18.75">
      <c r="A275" s="1"/>
      <c r="B275" s="170"/>
      <c r="C275" s="169"/>
      <c r="D275" s="170"/>
      <c r="E275" s="169"/>
      <c r="F275" s="169"/>
      <c r="G275" s="170"/>
      <c r="H275" s="170"/>
      <c r="I275" s="169"/>
      <c r="J275" s="1"/>
      <c r="K275" s="169"/>
      <c r="L275" s="169"/>
      <c r="M275" s="169"/>
      <c r="N275" s="1"/>
      <c r="O275" s="332">
        <f>IF(Q275=12,O274-1,O274)</f>
      </c>
      <c r="P275" s="332">
        <v>271</v>
      </c>
      <c r="Q275" s="332">
        <f>IF(Q274=1,12,Q274-1)</f>
      </c>
      <c r="R275" s="169"/>
      <c r="S275" s="333">
        <f>HLOOKUP(O275,'Datos SS'!$B$4:$CZZ$16,(Q275+1),0)</f>
      </c>
      <c r="T275" s="333">
        <f>IF(O275=YEAR($B$5),($B$9/12),IF(O275&gt;MIN(YEAR($B$7),YEAR($B$5)),($B$9/12)*(1+HLOOKUP(O275,'Datos SS'!$B$31:$CZZ$32,2,0))^(O275-YEAR($B$5)),T263/(1+HLOOKUP(O275,'Datos SS'!$B$31:$CZZ$32,2,0))))</f>
      </c>
      <c r="U275" s="333">
        <f>IF(O275=2018,IF(Q275&lt;8,HLOOKUP(O275,'Datos SS'!$B$25:$BZZ$27,3,0)/12,HLOOKUP(O275,'Datos SS'!$B$25:$BZZ$26,2,0)/12),HLOOKUP(O275,'Datos SS'!$B$25:$BZZ$26,2,0)/12)</f>
      </c>
      <c r="V275" s="964">
        <f>MAX(X275,MIN(T275,U275))</f>
      </c>
      <c r="W275" s="333">
        <f>IF($E$19="NO",IF(P275&lt;=180,IF(P275&lt;25,V275,V275*$S$28/S275),0),IF(P275&gt;$B$15,0,IF(P275&lt;25,V275,V275*$S$28/S275)))</f>
      </c>
      <c r="X275" s="1025">
        <f>HLOOKUP(O275,'Datos SS'!$K$37:$EP$38,2,0)</f>
      </c>
      <c r="Y275" s="331">
        <f>MAX(INT(Y274)-1,0)</f>
      </c>
      <c r="Z275" s="169"/>
      <c r="AA275" s="169"/>
      <c r="AB275" s="169"/>
      <c r="AC275" s="965">
        <v>1982.4812652215628</v>
      </c>
      <c r="AD275" s="331">
        <f>+AC275-W275</f>
      </c>
      <c r="AE275" s="169"/>
      <c r="AF275" s="170"/>
      <c r="AG275" s="169"/>
      <c r="AH275" s="170"/>
      <c r="AI275" s="170"/>
      <c r="AJ275" s="1"/>
      <c r="AK275" s="1"/>
      <c r="AL275" s="170"/>
      <c r="AM275" s="170"/>
    </row>
    <row x14ac:dyDescent="0.25" r="276" customHeight="1" ht="18.75">
      <c r="A276" s="1"/>
      <c r="B276" s="170"/>
      <c r="C276" s="169"/>
      <c r="D276" s="170"/>
      <c r="E276" s="169"/>
      <c r="F276" s="169"/>
      <c r="G276" s="170"/>
      <c r="H276" s="170"/>
      <c r="I276" s="169"/>
      <c r="J276" s="1"/>
      <c r="K276" s="169"/>
      <c r="L276" s="169"/>
      <c r="M276" s="169"/>
      <c r="N276" s="1"/>
      <c r="O276" s="332">
        <f>IF(Q276=12,O275-1,O275)</f>
      </c>
      <c r="P276" s="332">
        <v>272</v>
      </c>
      <c r="Q276" s="332">
        <f>IF(Q275=1,12,Q275-1)</f>
      </c>
      <c r="R276" s="169"/>
      <c r="S276" s="333">
        <f>HLOOKUP(O276,'Datos SS'!$B$4:$CZZ$16,(Q276+1),0)</f>
      </c>
      <c r="T276" s="333">
        <f>IF(O276=YEAR($B$5),($B$9/12),IF(O276&gt;MIN(YEAR($B$7),YEAR($B$5)),($B$9/12)*(1+HLOOKUP(O276,'Datos SS'!$B$31:$CZZ$32,2,0))^(O276-YEAR($B$5)),T264/(1+HLOOKUP(O276,'Datos SS'!$B$31:$CZZ$32,2,0))))</f>
      </c>
      <c r="U276" s="333">
        <f>IF(O276=2018,IF(Q276&lt;8,HLOOKUP(O276,'Datos SS'!$B$25:$BZZ$27,3,0)/12,HLOOKUP(O276,'Datos SS'!$B$25:$BZZ$26,2,0)/12),HLOOKUP(O276,'Datos SS'!$B$25:$BZZ$26,2,0)/12)</f>
      </c>
      <c r="V276" s="964">
        <f>MAX(X276,MIN(T276,U276))</f>
      </c>
      <c r="W276" s="333">
        <f>IF($E$19="NO",IF(P276&lt;=180,IF(P276&lt;25,V276,V276*$S$28/S276),0),IF(P276&gt;$B$15,0,IF(P276&lt;25,V276,V276*$S$28/S276)))</f>
      </c>
      <c r="X276" s="1025">
        <f>HLOOKUP(O276,'Datos SS'!$K$37:$EP$38,2,0)</f>
      </c>
      <c r="Y276" s="331">
        <f>MAX(INT(Y275)-1,0)</f>
      </c>
      <c r="Z276" s="169"/>
      <c r="AA276" s="169"/>
      <c r="AB276" s="169"/>
      <c r="AC276" s="965">
        <v>1984.1258089920414</v>
      </c>
      <c r="AD276" s="331">
        <f>+AC276-W276</f>
      </c>
      <c r="AE276" s="169"/>
      <c r="AF276" s="170"/>
      <c r="AG276" s="169"/>
      <c r="AH276" s="170"/>
      <c r="AI276" s="170"/>
      <c r="AJ276" s="1"/>
      <c r="AK276" s="1"/>
      <c r="AL276" s="170"/>
      <c r="AM276" s="170"/>
    </row>
    <row x14ac:dyDescent="0.25" r="277" customHeight="1" ht="18.75">
      <c r="A277" s="1"/>
      <c r="B277" s="170"/>
      <c r="C277" s="169"/>
      <c r="D277" s="170"/>
      <c r="E277" s="169"/>
      <c r="F277" s="169"/>
      <c r="G277" s="170"/>
      <c r="H277" s="170"/>
      <c r="I277" s="169"/>
      <c r="J277" s="1"/>
      <c r="K277" s="169"/>
      <c r="L277" s="169"/>
      <c r="M277" s="169"/>
      <c r="N277" s="1"/>
      <c r="O277" s="332">
        <f>IF(Q277=12,O276-1,O276)</f>
      </c>
      <c r="P277" s="332">
        <v>273</v>
      </c>
      <c r="Q277" s="332">
        <f>IF(Q276=1,12,Q276-1)</f>
      </c>
      <c r="R277" s="169"/>
      <c r="S277" s="333">
        <f>HLOOKUP(O277,'Datos SS'!$B$4:$CZZ$16,(Q277+1),0)</f>
      </c>
      <c r="T277" s="333">
        <f>IF(O277=YEAR($B$5),($B$9/12),IF(O277&gt;MIN(YEAR($B$7),YEAR($B$5)),($B$9/12)*(1+HLOOKUP(O277,'Datos SS'!$B$31:$CZZ$32,2,0))^(O277-YEAR($B$5)),T265/(1+HLOOKUP(O277,'Datos SS'!$B$31:$CZZ$32,2,0))))</f>
      </c>
      <c r="U277" s="333">
        <f>IF(O277=2018,IF(Q277&lt;8,HLOOKUP(O277,'Datos SS'!$B$25:$BZZ$27,3,0)/12,HLOOKUP(O277,'Datos SS'!$B$25:$BZZ$26,2,0)/12),HLOOKUP(O277,'Datos SS'!$B$25:$BZZ$26,2,0)/12)</f>
      </c>
      <c r="V277" s="964">
        <f>MAX(X277,MIN(T277,U277))</f>
      </c>
      <c r="W277" s="333">
        <f>IF($E$19="NO",IF(P277&lt;=180,IF(P277&lt;25,V277,V277*$S$28/S277),0),IF(P277&gt;$B$15,0,IF(P277&lt;25,V277,V277*$S$28/S277)))</f>
      </c>
      <c r="X277" s="1025">
        <f>HLOOKUP(O277,'Datos SS'!$K$37:$EP$38,2,0)</f>
      </c>
      <c r="Y277" s="331">
        <f>MAX(INT(Y276)-1,0)</f>
      </c>
      <c r="Z277" s="169"/>
      <c r="AA277" s="169"/>
      <c r="AB277" s="169"/>
      <c r="AC277" s="965">
        <v>1985.7717169742582</v>
      </c>
      <c r="AD277" s="331">
        <f>+AC277-W277</f>
      </c>
      <c r="AE277" s="169"/>
      <c r="AF277" s="170"/>
      <c r="AG277" s="169"/>
      <c r="AH277" s="170"/>
      <c r="AI277" s="170"/>
      <c r="AJ277" s="1"/>
      <c r="AK277" s="1"/>
      <c r="AL277" s="170"/>
      <c r="AM277" s="170"/>
    </row>
    <row x14ac:dyDescent="0.25" r="278" customHeight="1" ht="18.75">
      <c r="A278" s="1"/>
      <c r="B278" s="170"/>
      <c r="C278" s="169"/>
      <c r="D278" s="170"/>
      <c r="E278" s="169"/>
      <c r="F278" s="169"/>
      <c r="G278" s="170"/>
      <c r="H278" s="170"/>
      <c r="I278" s="169"/>
      <c r="J278" s="1"/>
      <c r="K278" s="169"/>
      <c r="L278" s="169"/>
      <c r="M278" s="169"/>
      <c r="N278" s="1"/>
      <c r="O278" s="332">
        <f>IF(Q278=12,O277-1,O277)</f>
      </c>
      <c r="P278" s="332">
        <v>274</v>
      </c>
      <c r="Q278" s="332">
        <f>IF(Q277=1,12,Q277-1)</f>
      </c>
      <c r="R278" s="169"/>
      <c r="S278" s="333">
        <f>HLOOKUP(O278,'Datos SS'!$B$4:$CZZ$16,(Q278+1),0)</f>
      </c>
      <c r="T278" s="333">
        <f>IF(O278=YEAR($B$5),($B$9/12),IF(O278&gt;MIN(YEAR($B$7),YEAR($B$5)),($B$9/12)*(1+HLOOKUP(O278,'Datos SS'!$B$31:$CZZ$32,2,0))^(O278-YEAR($B$5)),T266/(1+HLOOKUP(O278,'Datos SS'!$B$31:$CZZ$32,2,0))))</f>
      </c>
      <c r="U278" s="333">
        <f>IF(O278=2018,IF(Q278&lt;8,HLOOKUP(O278,'Datos SS'!$B$25:$BZZ$27,3,0)/12,HLOOKUP(O278,'Datos SS'!$B$25:$BZZ$26,2,0)/12),HLOOKUP(O278,'Datos SS'!$B$25:$BZZ$26,2,0)/12)</f>
      </c>
      <c r="V278" s="964">
        <f>MAX(X278,MIN(T278,U278))</f>
      </c>
      <c r="W278" s="333">
        <f>IF($E$19="NO",IF(P278&lt;=180,IF(P278&lt;25,V278,V278*$S$28/S278),0),IF(P278&gt;$B$15,0,IF(P278&lt;25,V278,V278*$S$28/S278)))</f>
      </c>
      <c r="X278" s="1025">
        <f>HLOOKUP(O278,'Datos SS'!$K$37:$EP$38,2,0)</f>
      </c>
      <c r="Y278" s="331">
        <f>MAX(INT(Y277)-1,0)</f>
      </c>
      <c r="Z278" s="169"/>
      <c r="AA278" s="169"/>
      <c r="AB278" s="169"/>
      <c r="AC278" s="965">
        <v>1958.0482663052999</v>
      </c>
      <c r="AD278" s="331">
        <f>+AC278-W278</f>
      </c>
      <c r="AE278" s="169"/>
      <c r="AF278" s="170"/>
      <c r="AG278" s="169"/>
      <c r="AH278" s="170"/>
      <c r="AI278" s="170"/>
      <c r="AJ278" s="1"/>
      <c r="AK278" s="1"/>
      <c r="AL278" s="170"/>
      <c r="AM278" s="170"/>
    </row>
    <row x14ac:dyDescent="0.25" r="279" customHeight="1" ht="18.75">
      <c r="A279" s="1"/>
      <c r="B279" s="170"/>
      <c r="C279" s="169"/>
      <c r="D279" s="170"/>
      <c r="E279" s="169"/>
      <c r="F279" s="169"/>
      <c r="G279" s="170"/>
      <c r="H279" s="170"/>
      <c r="I279" s="169"/>
      <c r="J279" s="1"/>
      <c r="K279" s="169"/>
      <c r="L279" s="169"/>
      <c r="M279" s="169"/>
      <c r="N279" s="1"/>
      <c r="O279" s="332">
        <f>IF(Q279=12,O278-1,O278)</f>
      </c>
      <c r="P279" s="332">
        <v>275</v>
      </c>
      <c r="Q279" s="332">
        <f>IF(Q278=1,12,Q278-1)</f>
      </c>
      <c r="R279" s="169"/>
      <c r="S279" s="333">
        <f>HLOOKUP(O279,'Datos SS'!$B$4:$CZZ$16,(Q279+1),0)</f>
      </c>
      <c r="T279" s="333">
        <f>IF(O279=YEAR($B$5),($B$9/12),IF(O279&gt;MIN(YEAR($B$7),YEAR($B$5)),($B$9/12)*(1+HLOOKUP(O279,'Datos SS'!$B$31:$CZZ$32,2,0))^(O279-YEAR($B$5)),T267/(1+HLOOKUP(O279,'Datos SS'!$B$31:$CZZ$32,2,0))))</f>
      </c>
      <c r="U279" s="333">
        <f>IF(O279=2018,IF(Q279&lt;8,HLOOKUP(O279,'Datos SS'!$B$25:$BZZ$27,3,0)/12,HLOOKUP(O279,'Datos SS'!$B$25:$BZZ$26,2,0)/12),HLOOKUP(O279,'Datos SS'!$B$25:$BZZ$26,2,0)/12)</f>
      </c>
      <c r="V279" s="964">
        <f>MAX(X279,MIN(T279,U279))</f>
      </c>
      <c r="W279" s="333">
        <f>IF($E$19="NO",IF(P279&lt;=180,IF(P279&lt;25,V279,V279*$S$28/S279),0),IF(P279&gt;$B$15,0,IF(P279&lt;25,V279,V279*$S$28/S279)))</f>
      </c>
      <c r="X279" s="1025">
        <f>HLOOKUP(O279,'Datos SS'!$K$37:$EP$38,2,0)</f>
      </c>
      <c r="Y279" s="331">
        <f>MAX(INT(Y278)-1,0)</f>
      </c>
      <c r="Z279" s="169"/>
      <c r="AA279" s="169"/>
      <c r="AB279" s="169"/>
      <c r="AC279" s="965">
        <v>1959.6725419719296</v>
      </c>
      <c r="AD279" s="331">
        <f>+AC279-W279</f>
      </c>
      <c r="AE279" s="169"/>
      <c r="AF279" s="170"/>
      <c r="AG279" s="169"/>
      <c r="AH279" s="170"/>
      <c r="AI279" s="170"/>
      <c r="AJ279" s="1"/>
      <c r="AK279" s="1"/>
      <c r="AL279" s="170"/>
      <c r="AM279" s="170"/>
    </row>
    <row x14ac:dyDescent="0.25" r="280" customHeight="1" ht="18.75">
      <c r="A280" s="1"/>
      <c r="B280" s="170"/>
      <c r="C280" s="169"/>
      <c r="D280" s="170"/>
      <c r="E280" s="169"/>
      <c r="F280" s="169"/>
      <c r="G280" s="170"/>
      <c r="H280" s="170"/>
      <c r="I280" s="169"/>
      <c r="J280" s="1"/>
      <c r="K280" s="169"/>
      <c r="L280" s="169"/>
      <c r="M280" s="169"/>
      <c r="N280" s="1"/>
      <c r="O280" s="332">
        <f>IF(Q280=12,O279-1,O279)</f>
      </c>
      <c r="P280" s="332">
        <v>276</v>
      </c>
      <c r="Q280" s="332">
        <f>IF(Q279=1,12,Q279-1)</f>
      </c>
      <c r="R280" s="169"/>
      <c r="S280" s="333">
        <f>HLOOKUP(O280,'Datos SS'!$B$4:$CZZ$16,(Q280+1),0)</f>
      </c>
      <c r="T280" s="333">
        <f>IF(O280=YEAR($B$5),($B$9/12),IF(O280&gt;MIN(YEAR($B$7),YEAR($B$5)),($B$9/12)*(1+HLOOKUP(O280,'Datos SS'!$B$31:$CZZ$32,2,0))^(O280-YEAR($B$5)),T268/(1+HLOOKUP(O280,'Datos SS'!$B$31:$CZZ$32,2,0))))</f>
      </c>
      <c r="U280" s="333">
        <f>IF(O280=2018,IF(Q280&lt;8,HLOOKUP(O280,'Datos SS'!$B$25:$BZZ$27,3,0)/12,HLOOKUP(O280,'Datos SS'!$B$25:$BZZ$26,2,0)/12),HLOOKUP(O280,'Datos SS'!$B$25:$BZZ$26,2,0)/12)</f>
      </c>
      <c r="V280" s="964">
        <f>MAX(X280,MIN(T280,U280))</f>
      </c>
      <c r="W280" s="333">
        <f>IF($E$19="NO",IF(P280&lt;=180,IF(P280&lt;25,V280,V280*$S$28/S280),0),IF(P280&gt;$B$15,0,IF(P280&lt;25,V280,V280*$S$28/S280)))</f>
      </c>
      <c r="X280" s="1025">
        <f>HLOOKUP(O280,'Datos SS'!$K$37:$EP$38,2,0)</f>
      </c>
      <c r="Y280" s="331">
        <f>MAX(INT(Y279)-1,0)</f>
      </c>
      <c r="Z280" s="169"/>
      <c r="AA280" s="169"/>
      <c r="AB280" s="169"/>
      <c r="AC280" s="965">
        <v>1961.2981650371328</v>
      </c>
      <c r="AD280" s="331">
        <f>+AC280-W280</f>
      </c>
      <c r="AE280" s="169"/>
      <c r="AF280" s="170"/>
      <c r="AG280" s="169"/>
      <c r="AH280" s="170"/>
      <c r="AI280" s="170"/>
      <c r="AJ280" s="1"/>
      <c r="AK280" s="1"/>
      <c r="AL280" s="170"/>
      <c r="AM280" s="170"/>
    </row>
    <row x14ac:dyDescent="0.25" r="281" customHeight="1" ht="18.75">
      <c r="A281" s="1"/>
      <c r="B281" s="170"/>
      <c r="C281" s="169"/>
      <c r="D281" s="170"/>
      <c r="E281" s="169"/>
      <c r="F281" s="169"/>
      <c r="G281" s="170"/>
      <c r="H281" s="170"/>
      <c r="I281" s="169"/>
      <c r="J281" s="1"/>
      <c r="K281" s="169"/>
      <c r="L281" s="169"/>
      <c r="M281" s="169"/>
      <c r="N281" s="1"/>
      <c r="O281" s="332">
        <f>IF(Q281=12,O280-1,O280)</f>
      </c>
      <c r="P281" s="332">
        <v>277</v>
      </c>
      <c r="Q281" s="332">
        <f>IF(Q280=1,12,Q280-1)</f>
      </c>
      <c r="R281" s="169"/>
      <c r="S281" s="333">
        <f>HLOOKUP(O281,'Datos SS'!$B$4:$CZZ$16,(Q281+1),0)</f>
      </c>
      <c r="T281" s="333">
        <f>IF(O281=YEAR($B$5),($B$9/12),IF(O281&gt;MIN(YEAR($B$7),YEAR($B$5)),($B$9/12)*(1+HLOOKUP(O281,'Datos SS'!$B$31:$CZZ$32,2,0))^(O281-YEAR($B$5)),T269/(1+HLOOKUP(O281,'Datos SS'!$B$31:$CZZ$32,2,0))))</f>
      </c>
      <c r="U281" s="333">
        <f>IF(O281=2018,IF(Q281&lt;8,HLOOKUP(O281,'Datos SS'!$B$25:$BZZ$27,3,0)/12,HLOOKUP(O281,'Datos SS'!$B$25:$BZZ$26,2,0)/12),HLOOKUP(O281,'Datos SS'!$B$25:$BZZ$26,2,0)/12)</f>
      </c>
      <c r="V281" s="964">
        <f>MAX(X281,MIN(T281,U281))</f>
      </c>
      <c r="W281" s="333">
        <f>IF($E$19="NO",IF(P281&lt;=180,IF(P281&lt;25,V281,V281*$S$28/S281),0),IF(P281&gt;$B$15,0,IF(P281&lt;25,V281,V281*$S$28/S281)))</f>
      </c>
      <c r="X281" s="1025">
        <f>HLOOKUP(O281,'Datos SS'!$K$37:$EP$38,2,0)</f>
      </c>
      <c r="Y281" s="331">
        <f>MAX(INT(Y280)-1,0)</f>
      </c>
      <c r="Z281" s="169"/>
      <c r="AA281" s="169"/>
      <c r="AB281" s="169"/>
      <c r="AC281" s="965">
        <v>1962.9251366186281</v>
      </c>
      <c r="AD281" s="331">
        <f>+AC281-W281</f>
      </c>
      <c r="AE281" s="169"/>
      <c r="AF281" s="170"/>
      <c r="AG281" s="169"/>
      <c r="AH281" s="170"/>
      <c r="AI281" s="170"/>
      <c r="AJ281" s="1"/>
      <c r="AK281" s="1"/>
      <c r="AL281" s="170"/>
      <c r="AM281" s="170"/>
    </row>
    <row x14ac:dyDescent="0.25" r="282" customHeight="1" ht="18.75">
      <c r="A282" s="1"/>
      <c r="B282" s="170"/>
      <c r="C282" s="169"/>
      <c r="D282" s="170"/>
      <c r="E282" s="169"/>
      <c r="F282" s="169"/>
      <c r="G282" s="170"/>
      <c r="H282" s="170"/>
      <c r="I282" s="169"/>
      <c r="J282" s="1"/>
      <c r="K282" s="169"/>
      <c r="L282" s="169"/>
      <c r="M282" s="169"/>
      <c r="N282" s="1"/>
      <c r="O282" s="332">
        <f>IF(Q282=12,O281-1,O281)</f>
      </c>
      <c r="P282" s="332">
        <v>278</v>
      </c>
      <c r="Q282" s="332">
        <f>IF(Q281=1,12,Q281-1)</f>
      </c>
      <c r="R282" s="169"/>
      <c r="S282" s="333">
        <f>HLOOKUP(O282,'Datos SS'!$B$4:$CZZ$16,(Q282+1),0)</f>
      </c>
      <c r="T282" s="333">
        <f>IF(O282=YEAR($B$5),($B$9/12),IF(O282&gt;MIN(YEAR($B$7),YEAR($B$5)),($B$9/12)*(1+HLOOKUP(O282,'Datos SS'!$B$31:$CZZ$32,2,0))^(O282-YEAR($B$5)),T270/(1+HLOOKUP(O282,'Datos SS'!$B$31:$CZZ$32,2,0))))</f>
      </c>
      <c r="U282" s="333">
        <f>IF(O282=2018,IF(Q282&lt;8,HLOOKUP(O282,'Datos SS'!$B$25:$BZZ$27,3,0)/12,HLOOKUP(O282,'Datos SS'!$B$25:$BZZ$26,2,0)/12),HLOOKUP(O282,'Datos SS'!$B$25:$BZZ$26,2,0)/12)</f>
      </c>
      <c r="V282" s="964">
        <f>MAX(X282,MIN(T282,U282))</f>
      </c>
      <c r="W282" s="333">
        <f>IF($E$19="NO",IF(P282&lt;=180,IF(P282&lt;25,V282,V282*$S$28/S282),0),IF(P282&gt;$B$15,0,IF(P282&lt;25,V282,V282*$S$28/S282)))</f>
      </c>
      <c r="X282" s="1025">
        <f>HLOOKUP(O282,'Datos SS'!$K$37:$EP$38,2,0)</f>
      </c>
      <c r="Y282" s="331">
        <f>MAX(INT(Y281)-1,0)</f>
      </c>
      <c r="Z282" s="169"/>
      <c r="AA282" s="169"/>
      <c r="AB282" s="169"/>
      <c r="AC282" s="965">
        <v>1964.5534578350616</v>
      </c>
      <c r="AD282" s="331">
        <f>+AC282-W282</f>
      </c>
      <c r="AE282" s="169"/>
      <c r="AF282" s="170"/>
      <c r="AG282" s="169"/>
      <c r="AH282" s="170"/>
      <c r="AI282" s="170"/>
      <c r="AJ282" s="1"/>
      <c r="AK282" s="1"/>
      <c r="AL282" s="170"/>
      <c r="AM282" s="170"/>
    </row>
    <row x14ac:dyDescent="0.25" r="283" customHeight="1" ht="18.75">
      <c r="A283" s="1"/>
      <c r="B283" s="170"/>
      <c r="C283" s="169"/>
      <c r="D283" s="170"/>
      <c r="E283" s="169"/>
      <c r="F283" s="169"/>
      <c r="G283" s="170"/>
      <c r="H283" s="170"/>
      <c r="I283" s="169"/>
      <c r="J283" s="1"/>
      <c r="K283" s="169"/>
      <c r="L283" s="169"/>
      <c r="M283" s="169"/>
      <c r="N283" s="1"/>
      <c r="O283" s="332">
        <f>IF(Q283=12,O282-1,O282)</f>
      </c>
      <c r="P283" s="332">
        <v>279</v>
      </c>
      <c r="Q283" s="332">
        <f>IF(Q282=1,12,Q282-1)</f>
      </c>
      <c r="R283" s="169"/>
      <c r="S283" s="333">
        <f>HLOOKUP(O283,'Datos SS'!$B$4:$CZZ$16,(Q283+1),0)</f>
      </c>
      <c r="T283" s="333">
        <f>IF(O283=YEAR($B$5),($B$9/12),IF(O283&gt;MIN(YEAR($B$7),YEAR($B$5)),($B$9/12)*(1+HLOOKUP(O283,'Datos SS'!$B$31:$CZZ$32,2,0))^(O283-YEAR($B$5)),T271/(1+HLOOKUP(O283,'Datos SS'!$B$31:$CZZ$32,2,0))))</f>
      </c>
      <c r="U283" s="333">
        <f>IF(O283=2018,IF(Q283&lt;8,HLOOKUP(O283,'Datos SS'!$B$25:$BZZ$27,3,0)/12,HLOOKUP(O283,'Datos SS'!$B$25:$BZZ$26,2,0)/12),HLOOKUP(O283,'Datos SS'!$B$25:$BZZ$26,2,0)/12)</f>
      </c>
      <c r="V283" s="964">
        <f>MAX(X283,MIN(T283,U283))</f>
      </c>
      <c r="W283" s="333">
        <f>IF($E$19="NO",IF(P283&lt;=180,IF(P283&lt;25,V283,V283*$S$28/S283),0),IF(P283&gt;$B$15,0,IF(P283&lt;25,V283,V283*$S$28/S283)))</f>
      </c>
      <c r="X283" s="1025">
        <f>HLOOKUP(O283,'Datos SS'!$K$37:$EP$38,2,0)</f>
      </c>
      <c r="Y283" s="331">
        <f>MAX(INT(Y282)-1,0)</f>
      </c>
      <c r="Z283" s="169"/>
      <c r="AA283" s="169"/>
      <c r="AB283" s="169"/>
      <c r="AC283" s="1026">
        <v>1966.1831298060063</v>
      </c>
      <c r="AD283" s="331">
        <f>+AC283-W283</f>
      </c>
      <c r="AE283" s="169"/>
      <c r="AF283" s="170"/>
      <c r="AG283" s="169"/>
      <c r="AH283" s="170"/>
      <c r="AI283" s="170"/>
      <c r="AJ283" s="1"/>
      <c r="AK283" s="1"/>
      <c r="AL283" s="170"/>
      <c r="AM283" s="170"/>
    </row>
    <row x14ac:dyDescent="0.25" r="284" customHeight="1" ht="18.75">
      <c r="A284" s="1"/>
      <c r="B284" s="170"/>
      <c r="C284" s="169"/>
      <c r="D284" s="170"/>
      <c r="E284" s="169"/>
      <c r="F284" s="169"/>
      <c r="G284" s="170"/>
      <c r="H284" s="170"/>
      <c r="I284" s="169"/>
      <c r="J284" s="1"/>
      <c r="K284" s="169"/>
      <c r="L284" s="169"/>
      <c r="M284" s="169"/>
      <c r="N284" s="1"/>
      <c r="O284" s="332">
        <f>IF(Q284=12,O283-1,O283)</f>
      </c>
      <c r="P284" s="332">
        <v>280</v>
      </c>
      <c r="Q284" s="332">
        <f>IF(Q283=1,12,Q283-1)</f>
      </c>
      <c r="R284" s="169"/>
      <c r="S284" s="333">
        <f>HLOOKUP(O284,'Datos SS'!$B$4:$CZZ$16,(Q284+1),0)</f>
      </c>
      <c r="T284" s="333">
        <f>IF(O284=YEAR($B$5),($B$9/12),IF(O284&gt;MIN(YEAR($B$7),YEAR($B$5)),($B$9/12)*(1+HLOOKUP(O284,'Datos SS'!$B$31:$CZZ$32,2,0))^(O284-YEAR($B$5)),T272/(1+HLOOKUP(O284,'Datos SS'!$B$31:$CZZ$32,2,0))))</f>
      </c>
      <c r="U284" s="333">
        <f>IF(O284=2018,IF(Q284&lt;8,HLOOKUP(O284,'Datos SS'!$B$25:$BZZ$27,3,0)/12,HLOOKUP(O284,'Datos SS'!$B$25:$BZZ$26,2,0)/12),HLOOKUP(O284,'Datos SS'!$B$25:$BZZ$26,2,0)/12)</f>
      </c>
      <c r="V284" s="964">
        <f>MAX(X284,MIN(T284,U284))</f>
      </c>
      <c r="W284" s="333">
        <f>IF($E$19="NO",IF(P284&lt;=180,IF(P284&lt;25,V284,V284*$S$28/S284),0),IF(P284&gt;$B$15,0,IF(P284&lt;25,V284,V284*$S$28/S284)))</f>
      </c>
      <c r="X284" s="1025">
        <f>HLOOKUP(O284,'Datos SS'!$K$37:$EP$38,2,0)</f>
      </c>
      <c r="Y284" s="331">
        <f>MAX(INT(Y283)-1,0)</f>
      </c>
      <c r="Z284" s="169"/>
      <c r="AA284" s="169"/>
      <c r="AB284" s="169"/>
      <c r="AC284" s="965">
        <v>1967.8141536519647</v>
      </c>
      <c r="AD284" s="331">
        <f>+AC284-W284</f>
      </c>
      <c r="AE284" s="169"/>
      <c r="AF284" s="170"/>
      <c r="AG284" s="169"/>
      <c r="AH284" s="170"/>
      <c r="AI284" s="170"/>
      <c r="AJ284" s="1"/>
      <c r="AK284" s="1"/>
      <c r="AL284" s="170"/>
      <c r="AM284" s="170"/>
    </row>
    <row x14ac:dyDescent="0.25" r="285" customHeight="1" ht="18.75">
      <c r="A285" s="1"/>
      <c r="B285" s="170"/>
      <c r="C285" s="169"/>
      <c r="D285" s="170"/>
      <c r="E285" s="169"/>
      <c r="F285" s="169"/>
      <c r="G285" s="170"/>
      <c r="H285" s="170"/>
      <c r="I285" s="169"/>
      <c r="J285" s="1"/>
      <c r="K285" s="169"/>
      <c r="L285" s="169"/>
      <c r="M285" s="169"/>
      <c r="N285" s="1"/>
      <c r="O285" s="332">
        <f>IF(Q285=12,O284-1,O284)</f>
      </c>
      <c r="P285" s="332">
        <v>281</v>
      </c>
      <c r="Q285" s="332">
        <f>IF(Q284=1,12,Q284-1)</f>
      </c>
      <c r="R285" s="169"/>
      <c r="S285" s="333">
        <f>HLOOKUP(O285,'Datos SS'!$B$4:$CZZ$16,(Q285+1),0)</f>
      </c>
      <c r="T285" s="333">
        <f>IF(O285=YEAR($B$5),($B$9/12),IF(O285&gt;MIN(YEAR($B$7),YEAR($B$5)),($B$9/12)*(1+HLOOKUP(O285,'Datos SS'!$B$31:$CZZ$32,2,0))^(O285-YEAR($B$5)),T273/(1+HLOOKUP(O285,'Datos SS'!$B$31:$CZZ$32,2,0))))</f>
      </c>
      <c r="U285" s="333">
        <f>IF(O285=2018,IF(Q285&lt;8,HLOOKUP(O285,'Datos SS'!$B$25:$BZZ$27,3,0)/12,HLOOKUP(O285,'Datos SS'!$B$25:$BZZ$26,2,0)/12),HLOOKUP(O285,'Datos SS'!$B$25:$BZZ$26,2,0)/12)</f>
      </c>
      <c r="V285" s="964">
        <f>MAX(X285,MIN(T285,U285))</f>
      </c>
      <c r="W285" s="333">
        <f>IF($E$19="NO",IF(P285&lt;=180,IF(P285&lt;25,V285,V285*$S$28/S285),0),IF(P285&gt;$B$15,0,IF(P285&lt;25,V285,V285*$S$28/S285)))</f>
      </c>
      <c r="X285" s="1025">
        <f>HLOOKUP(O285,'Datos SS'!$K$37:$EP$38,2,0)</f>
      </c>
      <c r="Y285" s="331">
        <f>MAX(INT(Y284)-1,0)</f>
      </c>
      <c r="Z285" s="169"/>
      <c r="AA285" s="169"/>
      <c r="AB285" s="169"/>
      <c r="AC285" s="965">
        <v>1969.4465304943687</v>
      </c>
      <c r="AD285" s="331">
        <f>+AC285-W285</f>
      </c>
      <c r="AE285" s="169"/>
      <c r="AF285" s="170"/>
      <c r="AG285" s="169"/>
      <c r="AH285" s="170"/>
      <c r="AI285" s="170"/>
      <c r="AJ285" s="1"/>
      <c r="AK285" s="1"/>
      <c r="AL285" s="170"/>
      <c r="AM285" s="170"/>
    </row>
    <row x14ac:dyDescent="0.25" r="286" customHeight="1" ht="18.75">
      <c r="A286" s="1"/>
      <c r="B286" s="170"/>
      <c r="C286" s="169"/>
      <c r="D286" s="170"/>
      <c r="E286" s="169"/>
      <c r="F286" s="169"/>
      <c r="G286" s="170"/>
      <c r="H286" s="170"/>
      <c r="I286" s="169"/>
      <c r="J286" s="1"/>
      <c r="K286" s="169"/>
      <c r="L286" s="169"/>
      <c r="M286" s="169"/>
      <c r="N286" s="1"/>
      <c r="O286" s="332">
        <f>IF(Q286=12,O285-1,O285)</f>
      </c>
      <c r="P286" s="332">
        <v>282</v>
      </c>
      <c r="Q286" s="332">
        <f>IF(Q285=1,12,Q285-1)</f>
      </c>
      <c r="R286" s="169"/>
      <c r="S286" s="333">
        <f>HLOOKUP(O286,'Datos SS'!$B$4:$CZZ$16,(Q286+1),0)</f>
      </c>
      <c r="T286" s="333">
        <f>IF(O286=YEAR($B$5),($B$9/12),IF(O286&gt;MIN(YEAR($B$7),YEAR($B$5)),($B$9/12)*(1+HLOOKUP(O286,'Datos SS'!$B$31:$CZZ$32,2,0))^(O286-YEAR($B$5)),T274/(1+HLOOKUP(O286,'Datos SS'!$B$31:$CZZ$32,2,0))))</f>
      </c>
      <c r="U286" s="333">
        <f>IF(O286=2018,IF(Q286&lt;8,HLOOKUP(O286,'Datos SS'!$B$25:$BZZ$27,3,0)/12,HLOOKUP(O286,'Datos SS'!$B$25:$BZZ$26,2,0)/12),HLOOKUP(O286,'Datos SS'!$B$25:$BZZ$26,2,0)/12)</f>
      </c>
      <c r="V286" s="964">
        <f>MAX(X286,MIN(T286,U286))</f>
      </c>
      <c r="W286" s="333">
        <f>IF($E$19="NO",IF(P286&lt;=180,IF(P286&lt;25,V286,V286*$S$28/S286),0),IF(P286&gt;$B$15,0,IF(P286&lt;25,V286,V286*$S$28/S286)))</f>
      </c>
      <c r="X286" s="1025">
        <f>HLOOKUP(O286,'Datos SS'!$K$37:$EP$38,2,0)</f>
      </c>
      <c r="Y286" s="331">
        <f>MAX(INT(Y285)-1,0)</f>
      </c>
      <c r="Z286" s="169"/>
      <c r="AA286" s="169"/>
      <c r="AB286" s="169"/>
      <c r="AC286" s="965">
        <v>1971.0802614555807</v>
      </c>
      <c r="AD286" s="331">
        <f>+AC286-W286</f>
      </c>
      <c r="AE286" s="169"/>
      <c r="AF286" s="170"/>
      <c r="AG286" s="169"/>
      <c r="AH286" s="170"/>
      <c r="AI286" s="170"/>
      <c r="AJ286" s="1"/>
      <c r="AK286" s="1"/>
      <c r="AL286" s="170"/>
      <c r="AM286" s="170"/>
    </row>
    <row x14ac:dyDescent="0.25" r="287" customHeight="1" ht="18.75">
      <c r="A287" s="1"/>
      <c r="B287" s="170"/>
      <c r="C287" s="169"/>
      <c r="D287" s="170"/>
      <c r="E287" s="169"/>
      <c r="F287" s="169"/>
      <c r="G287" s="170"/>
      <c r="H287" s="170"/>
      <c r="I287" s="169"/>
      <c r="J287" s="1"/>
      <c r="K287" s="169"/>
      <c r="L287" s="169"/>
      <c r="M287" s="169"/>
      <c r="N287" s="1"/>
      <c r="O287" s="332">
        <f>IF(Q287=12,O286-1,O286)</f>
      </c>
      <c r="P287" s="332">
        <v>283</v>
      </c>
      <c r="Q287" s="332">
        <f>IF(Q286=1,12,Q286-1)</f>
      </c>
      <c r="R287" s="169"/>
      <c r="S287" s="333">
        <f>HLOOKUP(O287,'Datos SS'!$B$4:$CZZ$16,(Q287+1),0)</f>
      </c>
      <c r="T287" s="333">
        <f>IF(O287=YEAR($B$5),($B$9/12),IF(O287&gt;MIN(YEAR($B$7),YEAR($B$5)),($B$9/12)*(1+HLOOKUP(O287,'Datos SS'!$B$31:$CZZ$32,2,0))^(O287-YEAR($B$5)),T275/(1+HLOOKUP(O287,'Datos SS'!$B$31:$CZZ$32,2,0))))</f>
      </c>
      <c r="U287" s="333">
        <f>IF(O287=2018,IF(Q287&lt;8,HLOOKUP(O287,'Datos SS'!$B$25:$BZZ$27,3,0)/12,HLOOKUP(O287,'Datos SS'!$B$25:$BZZ$26,2,0)/12),HLOOKUP(O287,'Datos SS'!$B$25:$BZZ$26,2,0)/12)</f>
      </c>
      <c r="V287" s="964">
        <f>MAX(X287,MIN(T287,U287))</f>
      </c>
      <c r="W287" s="333">
        <f>IF($E$19="NO",IF(P287&lt;=180,IF(P287&lt;25,V287,V287*$S$28/S287),0),IF(P287&gt;$B$15,0,IF(P287&lt;25,V287,V287*$S$28/S287)))</f>
      </c>
      <c r="X287" s="1025">
        <f>HLOOKUP(O287,'Datos SS'!$K$37:$EP$38,2,0)</f>
      </c>
      <c r="Y287" s="331">
        <f>MAX(INT(Y286)-1,0)</f>
      </c>
      <c r="Z287" s="169"/>
      <c r="AA287" s="169"/>
      <c r="AB287" s="169"/>
      <c r="AC287" s="965">
        <v>1972.7153476588933</v>
      </c>
      <c r="AD287" s="331">
        <f>+AC287-W287</f>
      </c>
      <c r="AE287" s="169"/>
      <c r="AF287" s="170"/>
      <c r="AG287" s="169"/>
      <c r="AH287" s="170"/>
      <c r="AI287" s="170"/>
      <c r="AJ287" s="1"/>
      <c r="AK287" s="1"/>
      <c r="AL287" s="170"/>
      <c r="AM287" s="170"/>
    </row>
    <row x14ac:dyDescent="0.25" r="288" customHeight="1" ht="18.75">
      <c r="A288" s="1"/>
      <c r="B288" s="170"/>
      <c r="C288" s="169"/>
      <c r="D288" s="170"/>
      <c r="E288" s="169"/>
      <c r="F288" s="169"/>
      <c r="G288" s="170"/>
      <c r="H288" s="170"/>
      <c r="I288" s="169"/>
      <c r="J288" s="1"/>
      <c r="K288" s="169"/>
      <c r="L288" s="169"/>
      <c r="M288" s="169"/>
      <c r="N288" s="1"/>
      <c r="O288" s="332">
        <f>IF(Q288=12,O287-1,O287)</f>
      </c>
      <c r="P288" s="332">
        <v>284</v>
      </c>
      <c r="Q288" s="332">
        <f>IF(Q287=1,12,Q287-1)</f>
      </c>
      <c r="R288" s="169"/>
      <c r="S288" s="333">
        <f>HLOOKUP(O288,'Datos SS'!$B$4:$CZZ$16,(Q288+1),0)</f>
      </c>
      <c r="T288" s="333">
        <f>IF(O288=YEAR($B$5),($B$9/12),IF(O288&gt;MIN(YEAR($B$7),YEAR($B$5)),($B$9/12)*(1+HLOOKUP(O288,'Datos SS'!$B$31:$CZZ$32,2,0))^(O288-YEAR($B$5)),T276/(1+HLOOKUP(O288,'Datos SS'!$B$31:$CZZ$32,2,0))))</f>
      </c>
      <c r="U288" s="333">
        <f>IF(O288=2018,IF(Q288&lt;8,HLOOKUP(O288,'Datos SS'!$B$25:$BZZ$27,3,0)/12,HLOOKUP(O288,'Datos SS'!$B$25:$BZZ$26,2,0)/12),HLOOKUP(O288,'Datos SS'!$B$25:$BZZ$26,2,0)/12)</f>
      </c>
      <c r="V288" s="964">
        <f>MAX(X288,MIN(T288,U288))</f>
      </c>
      <c r="W288" s="333">
        <f>IF($E$19="NO",IF(P288&lt;=180,IF(P288&lt;25,V288,V288*$S$28/S288),0),IF(P288&gt;$B$15,0,IF(P288&lt;25,V288,V288*$S$28/S288)))</f>
      </c>
      <c r="X288" s="1025">
        <f>HLOOKUP(O288,'Datos SS'!$K$37:$EP$38,2,0)</f>
      </c>
      <c r="Y288" s="331">
        <f>MAX(INT(Y287)-1,0)</f>
      </c>
      <c r="Z288" s="169"/>
      <c r="AA288" s="169"/>
      <c r="AB288" s="169"/>
      <c r="AC288" s="965">
        <v>1974.351790228532</v>
      </c>
      <c r="AD288" s="331">
        <f>+AC288-W288</f>
      </c>
      <c r="AE288" s="169"/>
      <c r="AF288" s="170"/>
      <c r="AG288" s="169"/>
      <c r="AH288" s="170"/>
      <c r="AI288" s="170"/>
      <c r="AJ288" s="1"/>
      <c r="AK288" s="1"/>
      <c r="AL288" s="170"/>
      <c r="AM288" s="170"/>
    </row>
    <row x14ac:dyDescent="0.25" r="289" customHeight="1" ht="18.75">
      <c r="A289" s="1"/>
      <c r="B289" s="170"/>
      <c r="C289" s="169"/>
      <c r="D289" s="170"/>
      <c r="E289" s="169"/>
      <c r="F289" s="169"/>
      <c r="G289" s="170"/>
      <c r="H289" s="170"/>
      <c r="I289" s="169"/>
      <c r="J289" s="1"/>
      <c r="K289" s="169"/>
      <c r="L289" s="169"/>
      <c r="M289" s="169"/>
      <c r="N289" s="1"/>
      <c r="O289" s="332">
        <f>IF(Q289=12,O288-1,O288)</f>
      </c>
      <c r="P289" s="332">
        <v>285</v>
      </c>
      <c r="Q289" s="332">
        <f>IF(Q288=1,12,Q288-1)</f>
      </c>
      <c r="R289" s="169"/>
      <c r="S289" s="333">
        <f>HLOOKUP(O289,'Datos SS'!$B$4:$CZZ$16,(Q289+1),0)</f>
      </c>
      <c r="T289" s="333">
        <f>IF(O289=YEAR($B$5),($B$9/12),IF(O289&gt;MIN(YEAR($B$7),YEAR($B$5)),($B$9/12)*(1+HLOOKUP(O289,'Datos SS'!$B$31:$CZZ$32,2,0))^(O289-YEAR($B$5)),T277/(1+HLOOKUP(O289,'Datos SS'!$B$31:$CZZ$32,2,0))))</f>
      </c>
      <c r="U289" s="333">
        <f>IF(O289=2018,IF(Q289&lt;8,HLOOKUP(O289,'Datos SS'!$B$25:$BZZ$27,3,0)/12,HLOOKUP(O289,'Datos SS'!$B$25:$BZZ$26,2,0)/12),HLOOKUP(O289,'Datos SS'!$B$25:$BZZ$26,2,0)/12)</f>
      </c>
      <c r="V289" s="964">
        <f>MAX(X289,MIN(T289,U289))</f>
      </c>
      <c r="W289" s="333">
        <f>IF($E$19="NO",IF(P289&lt;=180,IF(P289&lt;25,V289,V289*$S$28/S289),0),IF(P289&gt;$B$15,0,IF(P289&lt;25,V289,V289*$S$28/S289)))</f>
      </c>
      <c r="X289" s="1025">
        <f>HLOOKUP(O289,'Datos SS'!$K$37:$EP$38,2,0)</f>
      </c>
      <c r="Y289" s="331">
        <f>MAX(INT(Y288)-1,0)</f>
      </c>
      <c r="Z289" s="169"/>
      <c r="AA289" s="169"/>
      <c r="AB289" s="169"/>
      <c r="AC289" s="965">
        <v>1975.9895902896542</v>
      </c>
      <c r="AD289" s="331">
        <f>+AC289-W289</f>
      </c>
      <c r="AE289" s="169"/>
      <c r="AF289" s="170"/>
      <c r="AG289" s="169"/>
      <c r="AH289" s="170"/>
      <c r="AI289" s="170"/>
      <c r="AJ289" s="1"/>
      <c r="AK289" s="1"/>
      <c r="AL289" s="170"/>
      <c r="AM289" s="170"/>
    </row>
    <row x14ac:dyDescent="0.25" r="290" customHeight="1" ht="18.75">
      <c r="A290" s="1"/>
      <c r="B290" s="170"/>
      <c r="C290" s="169"/>
      <c r="D290" s="170"/>
      <c r="E290" s="169"/>
      <c r="F290" s="169"/>
      <c r="G290" s="170"/>
      <c r="H290" s="170"/>
      <c r="I290" s="169"/>
      <c r="J290" s="1"/>
      <c r="K290" s="169"/>
      <c r="L290" s="169"/>
      <c r="M290" s="169"/>
      <c r="N290" s="1"/>
      <c r="O290" s="332">
        <f>IF(Q290=12,O289-1,O289)</f>
      </c>
      <c r="P290" s="332">
        <v>286</v>
      </c>
      <c r="Q290" s="332">
        <f>IF(Q289=1,12,Q289-1)</f>
      </c>
      <c r="R290" s="169"/>
      <c r="S290" s="333">
        <f>HLOOKUP(O290,'Datos SS'!$B$4:$CZZ$16,(Q290+1),0)</f>
      </c>
      <c r="T290" s="333">
        <f>IF(O290=YEAR($B$5),($B$9/12),IF(O290&gt;MIN(YEAR($B$7),YEAR($B$5)),($B$9/12)*(1+HLOOKUP(O290,'Datos SS'!$B$31:$CZZ$32,2,0))^(O290-YEAR($B$5)),T278/(1+HLOOKUP(O290,'Datos SS'!$B$31:$CZZ$32,2,0))))</f>
      </c>
      <c r="U290" s="333">
        <f>IF(O290=2018,IF(Q290&lt;8,HLOOKUP(O290,'Datos SS'!$B$25:$BZZ$27,3,0)/12,HLOOKUP(O290,'Datos SS'!$B$25:$BZZ$26,2,0)/12),HLOOKUP(O290,'Datos SS'!$B$25:$BZZ$26,2,0)/12)</f>
      </c>
      <c r="V290" s="964">
        <f>MAX(X290,MIN(T290,U290))</f>
      </c>
      <c r="W290" s="333">
        <f>IF($E$19="NO",IF(P290&lt;=180,IF(P290&lt;25,V290,V290*$S$28/S290),0),IF(P290&gt;$B$15,0,IF(P290&lt;25,V290,V290*$S$28/S290)))</f>
      </c>
      <c r="X290" s="1025">
        <f>HLOOKUP(O290,'Datos SS'!$K$37:$EP$38,2,0)</f>
      </c>
      <c r="Y290" s="331">
        <f>MAX(INT(Y289)-1,0)</f>
      </c>
      <c r="Z290" s="169"/>
      <c r="AA290" s="169"/>
      <c r="AB290" s="169"/>
      <c r="AC290" s="965">
        <v>1948.4027083432027</v>
      </c>
      <c r="AD290" s="331">
        <f>+AC290-W290</f>
      </c>
      <c r="AE290" s="169"/>
      <c r="AF290" s="170"/>
      <c r="AG290" s="169"/>
      <c r="AH290" s="170"/>
      <c r="AI290" s="170"/>
      <c r="AJ290" s="1"/>
      <c r="AK290" s="1"/>
      <c r="AL290" s="170"/>
      <c r="AM290" s="170"/>
    </row>
    <row x14ac:dyDescent="0.25" r="291" customHeight="1" ht="18.75">
      <c r="A291" s="1"/>
      <c r="B291" s="170"/>
      <c r="C291" s="169"/>
      <c r="D291" s="170"/>
      <c r="E291" s="169"/>
      <c r="F291" s="169"/>
      <c r="G291" s="170"/>
      <c r="H291" s="170"/>
      <c r="I291" s="169"/>
      <c r="J291" s="1"/>
      <c r="K291" s="169"/>
      <c r="L291" s="169"/>
      <c r="M291" s="169"/>
      <c r="N291" s="1"/>
      <c r="O291" s="332">
        <f>IF(Q291=12,O290-1,O290)</f>
      </c>
      <c r="P291" s="332">
        <v>287</v>
      </c>
      <c r="Q291" s="332">
        <f>IF(Q290=1,12,Q290-1)</f>
      </c>
      <c r="R291" s="169"/>
      <c r="S291" s="333">
        <f>HLOOKUP(O291,'Datos SS'!$B$4:$CZZ$16,(Q291+1),0)</f>
      </c>
      <c r="T291" s="333">
        <f>IF(O291=YEAR($B$5),($B$9/12),IF(O291&gt;MIN(YEAR($B$7),YEAR($B$5)),($B$9/12)*(1+HLOOKUP(O291,'Datos SS'!$B$31:$CZZ$32,2,0))^(O291-YEAR($B$5)),T279/(1+HLOOKUP(O291,'Datos SS'!$B$31:$CZZ$32,2,0))))</f>
      </c>
      <c r="U291" s="333">
        <f>IF(O291=2018,IF(Q291&lt;8,HLOOKUP(O291,'Datos SS'!$B$25:$BZZ$27,3,0)/12,HLOOKUP(O291,'Datos SS'!$B$25:$BZZ$26,2,0)/12),HLOOKUP(O291,'Datos SS'!$B$25:$BZZ$26,2,0)/12)</f>
      </c>
      <c r="V291" s="964">
        <f>MAX(X291,MIN(T291,U291))</f>
      </c>
      <c r="W291" s="333">
        <f>IF($E$19="NO",IF(P291&lt;=180,IF(P291&lt;25,V291,V291*$S$28/S291),0),IF(P291&gt;$B$15,0,IF(P291&lt;25,V291,V291*$S$28/S291)))</f>
      </c>
      <c r="X291" s="1025">
        <f>HLOOKUP(O291,'Datos SS'!$K$37:$EP$38,2,0)</f>
      </c>
      <c r="Y291" s="331">
        <f>MAX(INT(Y290)-1,0)</f>
      </c>
      <c r="Z291" s="169"/>
      <c r="AA291" s="169"/>
      <c r="AB291" s="169"/>
      <c r="AC291" s="965">
        <v>1950.0189826518688</v>
      </c>
      <c r="AD291" s="331">
        <f>+AC291-W291</f>
      </c>
      <c r="AE291" s="169"/>
      <c r="AF291" s="170"/>
      <c r="AG291" s="169"/>
      <c r="AH291" s="170"/>
      <c r="AI291" s="170"/>
      <c r="AJ291" s="1"/>
      <c r="AK291" s="1"/>
      <c r="AL291" s="170"/>
      <c r="AM291" s="170"/>
    </row>
    <row x14ac:dyDescent="0.25" r="292" customHeight="1" ht="18.75">
      <c r="A292" s="1"/>
      <c r="B292" s="170"/>
      <c r="C292" s="169"/>
      <c r="D292" s="170"/>
      <c r="E292" s="169"/>
      <c r="F292" s="169"/>
      <c r="G292" s="170"/>
      <c r="H292" s="170"/>
      <c r="I292" s="169"/>
      <c r="J292" s="1"/>
      <c r="K292" s="169"/>
      <c r="L292" s="169"/>
      <c r="M292" s="169"/>
      <c r="N292" s="1"/>
      <c r="O292" s="332">
        <f>IF(Q292=12,O291-1,O291)</f>
      </c>
      <c r="P292" s="332">
        <v>288</v>
      </c>
      <c r="Q292" s="332">
        <f>IF(Q291=1,12,Q291-1)</f>
      </c>
      <c r="R292" s="169"/>
      <c r="S292" s="333">
        <f>HLOOKUP(O292,'Datos SS'!$B$4:$CZZ$16,(Q292+1),0)</f>
      </c>
      <c r="T292" s="333">
        <f>IF(O292=YEAR($B$5),($B$9/12),IF(O292&gt;MIN(YEAR($B$7),YEAR($B$5)),($B$9/12)*(1+HLOOKUP(O292,'Datos SS'!$B$31:$CZZ$32,2,0))^(O292-YEAR($B$5)),T280/(1+HLOOKUP(O292,'Datos SS'!$B$31:$CZZ$32,2,0))))</f>
      </c>
      <c r="U292" s="333">
        <f>IF(O292=2018,IF(Q292&lt;8,HLOOKUP(O292,'Datos SS'!$B$25:$BZZ$27,3,0)/12,HLOOKUP(O292,'Datos SS'!$B$25:$BZZ$26,2,0)/12),HLOOKUP(O292,'Datos SS'!$B$25:$BZZ$26,2,0)/12)</f>
      </c>
      <c r="V292" s="964">
        <f>MAX(X292,MIN(T292,U292))</f>
      </c>
      <c r="W292" s="333">
        <f>IF($E$19="NO",IF(P292&lt;=180,IF(P292&lt;25,V292,V292*$S$28/S292),0),IF(P292&gt;$B$15,0,IF(P292&lt;25,V292,V292*$S$28/S292)))</f>
      </c>
      <c r="X292" s="1025">
        <f>HLOOKUP(O292,'Datos SS'!$K$37:$EP$38,2,0)</f>
      </c>
      <c r="Y292" s="331">
        <f>MAX(INT(Y291)-1,0)</f>
      </c>
      <c r="Z292" s="169"/>
      <c r="AA292" s="169"/>
      <c r="AB292" s="169"/>
      <c r="AC292" s="965">
        <v>1951.6365977216772</v>
      </c>
      <c r="AD292" s="331">
        <f>+AC292-W292</f>
      </c>
      <c r="AE292" s="169"/>
      <c r="AF292" s="170"/>
      <c r="AG292" s="169"/>
      <c r="AH292" s="170"/>
      <c r="AI292" s="170"/>
      <c r="AJ292" s="1"/>
      <c r="AK292" s="1"/>
      <c r="AL292" s="170"/>
      <c r="AM292" s="170"/>
    </row>
    <row x14ac:dyDescent="0.25" r="293" customHeight="1" ht="18.75">
      <c r="A293" s="1"/>
      <c r="B293" s="170"/>
      <c r="C293" s="169"/>
      <c r="D293" s="170"/>
      <c r="E293" s="169"/>
      <c r="F293" s="169"/>
      <c r="G293" s="170"/>
      <c r="H293" s="170"/>
      <c r="I293" s="169"/>
      <c r="J293" s="1"/>
      <c r="K293" s="169"/>
      <c r="L293" s="169"/>
      <c r="M293" s="169"/>
      <c r="N293" s="1"/>
      <c r="O293" s="332">
        <f>IF(Q293=12,O292-1,O292)</f>
      </c>
      <c r="P293" s="332">
        <v>289</v>
      </c>
      <c r="Q293" s="332">
        <f>IF(Q292=1,12,Q292-1)</f>
      </c>
      <c r="R293" s="169"/>
      <c r="S293" s="333">
        <f>HLOOKUP(O293,'Datos SS'!$B$4:$CZZ$16,(Q293+1),0)</f>
      </c>
      <c r="T293" s="333">
        <f>IF(O293=YEAR($B$5),($B$9/12),IF(O293&gt;MIN(YEAR($B$7),YEAR($B$5)),($B$9/12)*(1+HLOOKUP(O293,'Datos SS'!$B$31:$CZZ$32,2,0))^(O293-YEAR($B$5)),T281/(1+HLOOKUP(O293,'Datos SS'!$B$31:$CZZ$32,2,0))))</f>
      </c>
      <c r="U293" s="333">
        <f>IF(O293=2018,IF(Q293&lt;8,HLOOKUP(O293,'Datos SS'!$B$25:$BZZ$27,3,0)/12,HLOOKUP(O293,'Datos SS'!$B$25:$BZZ$26,2,0)/12),HLOOKUP(O293,'Datos SS'!$B$25:$BZZ$26,2,0)/12)</f>
      </c>
      <c r="V293" s="964">
        <f>MAX(X293,MIN(T293,U293))</f>
      </c>
      <c r="W293" s="333">
        <f>IF($E$19="NO",IF(P293&lt;=180,IF(P293&lt;25,V293,V293*$S$28/S293),0),IF(P293&gt;$B$15,0,IF(P293&lt;25,V293,V293*$S$28/S293)))</f>
      </c>
      <c r="X293" s="1025">
        <f>HLOOKUP(O293,'Datos SS'!$K$37:$EP$38,2,0)</f>
      </c>
      <c r="Y293" s="331">
        <f>MAX(INT(Y292)-1,0)</f>
      </c>
      <c r="Z293" s="169"/>
      <c r="AA293" s="169"/>
      <c r="AB293" s="169"/>
      <c r="AC293" s="965">
        <v>1953.25555466484</v>
      </c>
      <c r="AD293" s="331">
        <f>+AC293-W293</f>
      </c>
      <c r="AE293" s="169"/>
      <c r="AF293" s="170"/>
      <c r="AG293" s="169"/>
      <c r="AH293" s="170"/>
      <c r="AI293" s="170"/>
      <c r="AJ293" s="1"/>
      <c r="AK293" s="1"/>
      <c r="AL293" s="170"/>
      <c r="AM293" s="170"/>
    </row>
    <row x14ac:dyDescent="0.25" r="294" customHeight="1" ht="18.75">
      <c r="A294" s="1"/>
      <c r="B294" s="170"/>
      <c r="C294" s="169"/>
      <c r="D294" s="170"/>
      <c r="E294" s="169"/>
      <c r="F294" s="169"/>
      <c r="G294" s="170"/>
      <c r="H294" s="170"/>
      <c r="I294" s="169"/>
      <c r="J294" s="1"/>
      <c r="K294" s="169"/>
      <c r="L294" s="169"/>
      <c r="M294" s="169"/>
      <c r="N294" s="1"/>
      <c r="O294" s="332">
        <f>IF(Q294=12,O293-1,O293)</f>
      </c>
      <c r="P294" s="332">
        <v>290</v>
      </c>
      <c r="Q294" s="332">
        <f>IF(Q293=1,12,Q293-1)</f>
      </c>
      <c r="R294" s="169"/>
      <c r="S294" s="333">
        <f>HLOOKUP(O294,'Datos SS'!$B$4:$CZZ$16,(Q294+1),0)</f>
      </c>
      <c r="T294" s="333">
        <f>IF(O294=YEAR($B$5),($B$9/12),IF(O294&gt;MIN(YEAR($B$7),YEAR($B$5)),($B$9/12)*(1+HLOOKUP(O294,'Datos SS'!$B$31:$CZZ$32,2,0))^(O294-YEAR($B$5)),T282/(1+HLOOKUP(O294,'Datos SS'!$B$31:$CZZ$32,2,0))))</f>
      </c>
      <c r="U294" s="333">
        <f>IF(O294=2018,IF(Q294&lt;8,HLOOKUP(O294,'Datos SS'!$B$25:$BZZ$27,3,0)/12,HLOOKUP(O294,'Datos SS'!$B$25:$BZZ$26,2,0)/12),HLOOKUP(O294,'Datos SS'!$B$25:$BZZ$26,2,0)/12)</f>
      </c>
      <c r="V294" s="964">
        <f>MAX(X294,MIN(T294,U294))</f>
      </c>
      <c r="W294" s="333">
        <f>IF($E$19="NO",IF(P294&lt;=180,IF(P294&lt;25,V294,V294*$S$28/S294),0),IF(P294&gt;$B$15,0,IF(P294&lt;25,V294,V294*$S$28/S294)))</f>
      </c>
      <c r="X294" s="1025">
        <f>HLOOKUP(O294,'Datos SS'!$K$37:$EP$38,2,0)</f>
      </c>
      <c r="Y294" s="331">
        <f>MAX(INT(Y293)-1,0)</f>
      </c>
      <c r="Z294" s="169"/>
      <c r="AA294" s="169"/>
      <c r="AB294" s="169"/>
      <c r="AC294" s="965">
        <v>1954.875854594493</v>
      </c>
      <c r="AD294" s="331">
        <f>+AC294-W294</f>
      </c>
      <c r="AE294" s="169"/>
      <c r="AF294" s="170"/>
      <c r="AG294" s="169"/>
      <c r="AH294" s="170"/>
      <c r="AI294" s="170"/>
      <c r="AJ294" s="1"/>
      <c r="AK294" s="1"/>
      <c r="AL294" s="170"/>
      <c r="AM294" s="170"/>
    </row>
    <row x14ac:dyDescent="0.25" r="295" customHeight="1" ht="18.75">
      <c r="A295" s="1"/>
      <c r="B295" s="170"/>
      <c r="C295" s="169"/>
      <c r="D295" s="170"/>
      <c r="E295" s="169"/>
      <c r="F295" s="169"/>
      <c r="G295" s="170"/>
      <c r="H295" s="170"/>
      <c r="I295" s="169"/>
      <c r="J295" s="1"/>
      <c r="K295" s="169"/>
      <c r="L295" s="169"/>
      <c r="M295" s="169"/>
      <c r="N295" s="1"/>
      <c r="O295" s="332">
        <f>IF(Q295=12,O294-1,O294)</f>
      </c>
      <c r="P295" s="332">
        <v>291</v>
      </c>
      <c r="Q295" s="332">
        <f>IF(Q294=1,12,Q294-1)</f>
      </c>
      <c r="R295" s="169"/>
      <c r="S295" s="333">
        <f>HLOOKUP(O295,'Datos SS'!$B$4:$CZZ$16,(Q295+1),0)</f>
      </c>
      <c r="T295" s="333">
        <f>IF(O295=YEAR($B$5),($B$9/12),IF(O295&gt;MIN(YEAR($B$7),YEAR($B$5)),($B$9/12)*(1+HLOOKUP(O295,'Datos SS'!$B$31:$CZZ$32,2,0))^(O295-YEAR($B$5)),T283/(1+HLOOKUP(O295,'Datos SS'!$B$31:$CZZ$32,2,0))))</f>
      </c>
      <c r="U295" s="333">
        <f>IF(O295=2018,IF(Q295&lt;8,HLOOKUP(O295,'Datos SS'!$B$25:$BZZ$27,3,0)/12,HLOOKUP(O295,'Datos SS'!$B$25:$BZZ$26,2,0)/12),HLOOKUP(O295,'Datos SS'!$B$25:$BZZ$26,2,0)/12)</f>
      </c>
      <c r="V295" s="964">
        <f>MAX(X295,MIN(T295,U295))</f>
      </c>
      <c r="W295" s="333">
        <f>IF($E$19="NO",IF(P295&lt;=180,IF(P295&lt;25,V295,V295*$S$28/S295),0),IF(P295&gt;$B$15,0,IF(P295&lt;25,V295,V295*$S$28/S295)))</f>
      </c>
      <c r="X295" s="1025">
        <f>HLOOKUP(O295,'Datos SS'!$K$37:$EP$38,2,0)</f>
      </c>
      <c r="Y295" s="331">
        <f>MAX(INT(Y294)-1,0)</f>
      </c>
      <c r="Z295" s="169"/>
      <c r="AA295" s="169"/>
      <c r="AB295" s="169"/>
      <c r="AC295" s="965">
        <v>1956.4974986246941</v>
      </c>
      <c r="AD295" s="331">
        <f>+AC295-W295</f>
      </c>
      <c r="AE295" s="169"/>
      <c r="AF295" s="170"/>
      <c r="AG295" s="169"/>
      <c r="AH295" s="170"/>
      <c r="AI295" s="170"/>
      <c r="AJ295" s="1"/>
      <c r="AK295" s="1"/>
      <c r="AL295" s="170"/>
      <c r="AM295" s="170"/>
    </row>
    <row x14ac:dyDescent="0.25" r="296" customHeight="1" ht="18.75">
      <c r="A296" s="1"/>
      <c r="B296" s="170"/>
      <c r="C296" s="169"/>
      <c r="D296" s="170"/>
      <c r="E296" s="169"/>
      <c r="F296" s="169"/>
      <c r="G296" s="170"/>
      <c r="H296" s="170"/>
      <c r="I296" s="169"/>
      <c r="J296" s="1"/>
      <c r="K296" s="169"/>
      <c r="L296" s="169"/>
      <c r="M296" s="169"/>
      <c r="N296" s="1"/>
      <c r="O296" s="332">
        <f>IF(Q296=12,O295-1,O295)</f>
      </c>
      <c r="P296" s="332">
        <v>292</v>
      </c>
      <c r="Q296" s="332">
        <f>IF(Q295=1,12,Q295-1)</f>
      </c>
      <c r="R296" s="169"/>
      <c r="S296" s="333">
        <f>HLOOKUP(O296,'Datos SS'!$B$4:$CZZ$16,(Q296+1),0)</f>
      </c>
      <c r="T296" s="333">
        <f>IF(O296=YEAR($B$5),($B$9/12),IF(O296&gt;MIN(YEAR($B$7),YEAR($B$5)),($B$9/12)*(1+HLOOKUP(O296,'Datos SS'!$B$31:$CZZ$32,2,0))^(O296-YEAR($B$5)),T284/(1+HLOOKUP(O296,'Datos SS'!$B$31:$CZZ$32,2,0))))</f>
      </c>
      <c r="U296" s="333">
        <f>IF(O296=2018,IF(Q296&lt;8,HLOOKUP(O296,'Datos SS'!$B$25:$BZZ$27,3,0)/12,HLOOKUP(O296,'Datos SS'!$B$25:$BZZ$26,2,0)/12),HLOOKUP(O296,'Datos SS'!$B$25:$BZZ$26,2,0)/12)</f>
      </c>
      <c r="V296" s="964">
        <f>MAX(X296,MIN(T296,U296))</f>
      </c>
      <c r="W296" s="333">
        <f>IF($E$19="NO",IF(P296&lt;=180,IF(P296&lt;25,V296,V296*$S$28/S296),0),IF(P296&gt;$B$15,0,IF(P296&lt;25,V296,V296*$S$28/S296)))</f>
      </c>
      <c r="X296" s="1025">
        <f>HLOOKUP(O296,'Datos SS'!$K$37:$EP$38,2,0)</f>
      </c>
      <c r="Y296" s="331">
        <f>MAX(INT(Y295)-1,0)</f>
      </c>
      <c r="Z296" s="169"/>
      <c r="AA296" s="169"/>
      <c r="AB296" s="169"/>
      <c r="AC296" s="965">
        <v>1958.1204878704261</v>
      </c>
      <c r="AD296" s="331">
        <f>+AC296-W296</f>
      </c>
      <c r="AE296" s="169"/>
      <c r="AF296" s="170"/>
      <c r="AG296" s="169"/>
      <c r="AH296" s="170"/>
      <c r="AI296" s="170"/>
      <c r="AJ296" s="1"/>
      <c r="AK296" s="1"/>
      <c r="AL296" s="170"/>
      <c r="AM296" s="170"/>
    </row>
    <row x14ac:dyDescent="0.25" r="297" customHeight="1" ht="18.75">
      <c r="A297" s="1"/>
      <c r="B297" s="170"/>
      <c r="C297" s="169"/>
      <c r="D297" s="170"/>
      <c r="E297" s="169"/>
      <c r="F297" s="169"/>
      <c r="G297" s="170"/>
      <c r="H297" s="170"/>
      <c r="I297" s="169"/>
      <c r="J297" s="1"/>
      <c r="K297" s="169"/>
      <c r="L297" s="169"/>
      <c r="M297" s="169"/>
      <c r="N297" s="1"/>
      <c r="O297" s="332">
        <f>IF(Q297=12,O296-1,O296)</f>
      </c>
      <c r="P297" s="332">
        <v>293</v>
      </c>
      <c r="Q297" s="332">
        <f>IF(Q296=1,12,Q296-1)</f>
      </c>
      <c r="R297" s="169"/>
      <c r="S297" s="333">
        <f>HLOOKUP(O297,'Datos SS'!$B$4:$CZZ$16,(Q297+1),0)</f>
      </c>
      <c r="T297" s="333">
        <f>IF(O297=YEAR($B$5),($B$9/12),IF(O297&gt;MIN(YEAR($B$7),YEAR($B$5)),($B$9/12)*(1+HLOOKUP(O297,'Datos SS'!$B$31:$CZZ$32,2,0))^(O297-YEAR($B$5)),T285/(1+HLOOKUP(O297,'Datos SS'!$B$31:$CZZ$32,2,0))))</f>
      </c>
      <c r="U297" s="333">
        <f>IF(O297=2018,IF(Q297&lt;8,HLOOKUP(O297,'Datos SS'!$B$25:$BZZ$27,3,0)/12,HLOOKUP(O297,'Datos SS'!$B$25:$BZZ$26,2,0)/12),HLOOKUP(O297,'Datos SS'!$B$25:$BZZ$26,2,0)/12)</f>
      </c>
      <c r="V297" s="964">
        <f>MAX(X297,MIN(T297,U297))</f>
      </c>
      <c r="W297" s="333">
        <f>IF($E$19="NO",IF(P297&lt;=180,IF(P297&lt;25,V297,V297*$S$28/S297),0),IF(P297&gt;$B$15,0,IF(P297&lt;25,V297,V297*$S$28/S297)))</f>
      </c>
      <c r="X297" s="1025">
        <f>HLOOKUP(O297,'Datos SS'!$K$37:$EP$38,2,0)</f>
      </c>
      <c r="Y297" s="331">
        <f>MAX(INT(Y296)-1,0)</f>
      </c>
      <c r="Z297" s="169"/>
      <c r="AA297" s="169"/>
      <c r="AB297" s="169"/>
      <c r="AC297" s="965">
        <v>1959.7448234475967</v>
      </c>
      <c r="AD297" s="331">
        <f>+AC297-W297</f>
      </c>
      <c r="AE297" s="169"/>
      <c r="AF297" s="170"/>
      <c r="AG297" s="169"/>
      <c r="AH297" s="170"/>
      <c r="AI297" s="170"/>
      <c r="AJ297" s="1"/>
      <c r="AK297" s="1"/>
      <c r="AL297" s="170"/>
      <c r="AM297" s="170"/>
    </row>
    <row x14ac:dyDescent="0.25" r="298" customHeight="1" ht="18.75">
      <c r="A298" s="1"/>
      <c r="B298" s="170"/>
      <c r="C298" s="169"/>
      <c r="D298" s="170"/>
      <c r="E298" s="169"/>
      <c r="F298" s="169"/>
      <c r="G298" s="170"/>
      <c r="H298" s="170"/>
      <c r="I298" s="169"/>
      <c r="J298" s="1"/>
      <c r="K298" s="169"/>
      <c r="L298" s="169"/>
      <c r="M298" s="169"/>
      <c r="N298" s="1"/>
      <c r="O298" s="332">
        <f>IF(Q298=12,O297-1,O297)</f>
      </c>
      <c r="P298" s="332">
        <v>294</v>
      </c>
      <c r="Q298" s="332">
        <f>IF(Q297=1,12,Q297-1)</f>
      </c>
      <c r="R298" s="169"/>
      <c r="S298" s="333">
        <f>HLOOKUP(O298,'Datos SS'!$B$4:$CZZ$16,(Q298+1),0)</f>
      </c>
      <c r="T298" s="333">
        <f>IF(O298=YEAR($B$5),($B$9/12),IF(O298&gt;MIN(YEAR($B$7),YEAR($B$5)),($B$9/12)*(1+HLOOKUP(O298,'Datos SS'!$B$31:$CZZ$32,2,0))^(O298-YEAR($B$5)),T286/(1+HLOOKUP(O298,'Datos SS'!$B$31:$CZZ$32,2,0))))</f>
      </c>
      <c r="U298" s="333">
        <f>IF(O298=2018,IF(Q298&lt;8,HLOOKUP(O298,'Datos SS'!$B$25:$BZZ$27,3,0)/12,HLOOKUP(O298,'Datos SS'!$B$25:$BZZ$26,2,0)/12),HLOOKUP(O298,'Datos SS'!$B$25:$BZZ$26,2,0)/12)</f>
      </c>
      <c r="V298" s="964">
        <f>MAX(X298,MIN(T298,U298))</f>
      </c>
      <c r="W298" s="333">
        <f>IF($E$19="NO",IF(P298&lt;=180,IF(P298&lt;25,V298,V298*$S$28/S298),0),IF(P298&gt;$B$15,0,IF(P298&lt;25,V298,V298*$S$28/S298)))</f>
      </c>
      <c r="X298" s="1025">
        <f>HLOOKUP(O298,'Datos SS'!$K$37:$EP$38,2,0)</f>
      </c>
      <c r="Y298" s="331">
        <f>MAX(INT(Y297)-1,0)</f>
      </c>
      <c r="Z298" s="169"/>
      <c r="AA298" s="169"/>
      <c r="AB298" s="169"/>
      <c r="AC298" s="965">
        <v>1961.3705064730393</v>
      </c>
      <c r="AD298" s="331">
        <f>+AC298-W298</f>
      </c>
      <c r="AE298" s="169"/>
      <c r="AF298" s="170"/>
      <c r="AG298" s="169"/>
      <c r="AH298" s="170"/>
      <c r="AI298" s="170"/>
      <c r="AJ298" s="1"/>
      <c r="AK298" s="1"/>
      <c r="AL298" s="170"/>
      <c r="AM298" s="170"/>
    </row>
    <row x14ac:dyDescent="0.25" r="299" customHeight="1" ht="18.75">
      <c r="A299" s="1"/>
      <c r="B299" s="170"/>
      <c r="C299" s="169"/>
      <c r="D299" s="170"/>
      <c r="E299" s="169"/>
      <c r="F299" s="169"/>
      <c r="G299" s="170"/>
      <c r="H299" s="170"/>
      <c r="I299" s="169"/>
      <c r="J299" s="1"/>
      <c r="K299" s="169"/>
      <c r="L299" s="169"/>
      <c r="M299" s="169"/>
      <c r="N299" s="1"/>
      <c r="O299" s="332">
        <f>IF(Q299=12,O298-1,O298)</f>
      </c>
      <c r="P299" s="332">
        <v>295</v>
      </c>
      <c r="Q299" s="332">
        <f>IF(Q298=1,12,Q298-1)</f>
      </c>
      <c r="R299" s="169"/>
      <c r="S299" s="333">
        <f>HLOOKUP(O299,'Datos SS'!$B$4:$CZZ$16,(Q299+1),0)</f>
      </c>
      <c r="T299" s="333">
        <f>IF(O299=YEAR($B$5),($B$9/12),IF(O299&gt;MIN(YEAR($B$7),YEAR($B$5)),($B$9/12)*(1+HLOOKUP(O299,'Datos SS'!$B$31:$CZZ$32,2,0))^(O299-YEAR($B$5)),T287/(1+HLOOKUP(O299,'Datos SS'!$B$31:$CZZ$32,2,0))))</f>
      </c>
      <c r="U299" s="333">
        <f>IF(O299=2018,IF(Q299&lt;8,HLOOKUP(O299,'Datos SS'!$B$25:$BZZ$27,3,0)/12,HLOOKUP(O299,'Datos SS'!$B$25:$BZZ$26,2,0)/12),HLOOKUP(O299,'Datos SS'!$B$25:$BZZ$26,2,0)/12)</f>
      </c>
      <c r="V299" s="964">
        <f>MAX(X299,MIN(T299,U299))</f>
      </c>
      <c r="W299" s="333">
        <f>IF($E$19="NO",IF(P299&lt;=180,IF(P299&lt;25,V299,V299*$S$28/S299),0),IF(P299&gt;$B$15,0,IF(P299&lt;25,V299,V299*$S$28/S299)))</f>
      </c>
      <c r="X299" s="1025">
        <f>HLOOKUP(O299,'Datos SS'!$K$37:$EP$38,2,0)</f>
      </c>
      <c r="Y299" s="331">
        <f>MAX(INT(Y298)-1,0)</f>
      </c>
      <c r="Z299" s="169"/>
      <c r="AA299" s="169"/>
      <c r="AB299" s="169"/>
      <c r="AC299" s="965">
        <v>1962.9975380645133</v>
      </c>
      <c r="AD299" s="331">
        <f>+AC299-W299</f>
      </c>
      <c r="AE299" s="169"/>
      <c r="AF299" s="170"/>
      <c r="AG299" s="169"/>
      <c r="AH299" s="170"/>
      <c r="AI299" s="170"/>
      <c r="AJ299" s="1"/>
      <c r="AK299" s="1"/>
      <c r="AL299" s="170"/>
      <c r="AM299" s="170"/>
    </row>
    <row x14ac:dyDescent="0.25" r="300" customHeight="1" ht="18.75">
      <c r="A300" s="1"/>
      <c r="B300" s="170"/>
      <c r="C300" s="169"/>
      <c r="D300" s="170"/>
      <c r="E300" s="169"/>
      <c r="F300" s="169"/>
      <c r="G300" s="170"/>
      <c r="H300" s="170"/>
      <c r="I300" s="169"/>
      <c r="J300" s="1"/>
      <c r="K300" s="169"/>
      <c r="L300" s="169"/>
      <c r="M300" s="169"/>
      <c r="N300" s="1"/>
      <c r="O300" s="332">
        <f>IF(Q300=12,O299-1,O299)</f>
      </c>
      <c r="P300" s="332">
        <v>296</v>
      </c>
      <c r="Q300" s="332">
        <f>IF(Q299=1,12,Q299-1)</f>
      </c>
      <c r="R300" s="169"/>
      <c r="S300" s="333">
        <f>HLOOKUP(O300,'Datos SS'!$B$4:$CZZ$16,(Q300+1),0)</f>
      </c>
      <c r="T300" s="333">
        <f>IF(O300=YEAR($B$5),($B$9/12),IF(O300&gt;MIN(YEAR($B$7),YEAR($B$5)),($B$9/12)*(1+HLOOKUP(O300,'Datos SS'!$B$31:$CZZ$32,2,0))^(O300-YEAR($B$5)),T288/(1+HLOOKUP(O300,'Datos SS'!$B$31:$CZZ$32,2,0))))</f>
      </c>
      <c r="U300" s="333">
        <f>IF(O300=2018,IF(Q300&lt;8,HLOOKUP(O300,'Datos SS'!$B$25:$BZZ$27,3,0)/12,HLOOKUP(O300,'Datos SS'!$B$25:$BZZ$26,2,0)/12),HLOOKUP(O300,'Datos SS'!$B$25:$BZZ$26,2,0)/12)</f>
      </c>
      <c r="V300" s="964">
        <f>MAX(X300,MIN(T300,U300))</f>
      </c>
      <c r="W300" s="333">
        <f>IF($E$19="NO",IF(P300&lt;=180,IF(P300&lt;25,V300,V300*$S$28/S300),0),IF(P300&gt;$B$15,0,IF(P300&lt;25,V300,V300*$S$28/S300)))</f>
      </c>
      <c r="X300" s="1025">
        <f>HLOOKUP(O300,'Datos SS'!$K$37:$EP$38,2,0)</f>
      </c>
      <c r="Y300" s="331">
        <f>MAX(INT(Y299)-1,0)</f>
      </c>
      <c r="Z300" s="169"/>
      <c r="AA300" s="169"/>
      <c r="AB300" s="169"/>
      <c r="AC300" s="965">
        <v>1964.6259193407052</v>
      </c>
      <c r="AD300" s="331">
        <f>+AC300-W300</f>
      </c>
      <c r="AE300" s="169"/>
      <c r="AF300" s="170"/>
      <c r="AG300" s="169"/>
      <c r="AH300" s="170"/>
      <c r="AI300" s="170"/>
      <c r="AJ300" s="1"/>
      <c r="AK300" s="1"/>
      <c r="AL300" s="170"/>
      <c r="AM300" s="170"/>
    </row>
    <row x14ac:dyDescent="0.25" r="301" customHeight="1" ht="18.75">
      <c r="A301" s="1"/>
      <c r="B301" s="170"/>
      <c r="C301" s="169"/>
      <c r="D301" s="170"/>
      <c r="E301" s="169"/>
      <c r="F301" s="169"/>
      <c r="G301" s="170"/>
      <c r="H301" s="170"/>
      <c r="I301" s="169"/>
      <c r="J301" s="1"/>
      <c r="K301" s="169"/>
      <c r="L301" s="169"/>
      <c r="M301" s="169"/>
      <c r="N301" s="1"/>
      <c r="O301" s="332">
        <f>IF(Q301=12,O300-1,O300)</f>
      </c>
      <c r="P301" s="332">
        <v>297</v>
      </c>
      <c r="Q301" s="332">
        <f>IF(Q300=1,12,Q300-1)</f>
      </c>
      <c r="R301" s="169"/>
      <c r="S301" s="333">
        <f>HLOOKUP(O301,'Datos SS'!$B$4:$CZZ$16,(Q301+1),0)</f>
      </c>
      <c r="T301" s="333">
        <f>IF(O301=YEAR($B$5),($B$9/12),IF(O301&gt;MIN(YEAR($B$7),YEAR($B$5)),($B$9/12)*(1+HLOOKUP(O301,'Datos SS'!$B$31:$CZZ$32,2,0))^(O301-YEAR($B$5)),T289/(1+HLOOKUP(O301,'Datos SS'!$B$31:$CZZ$32,2,0))))</f>
      </c>
      <c r="U301" s="333">
        <f>IF(O301=2018,IF(Q301&lt;8,HLOOKUP(O301,'Datos SS'!$B$25:$BZZ$27,3,0)/12,HLOOKUP(O301,'Datos SS'!$B$25:$BZZ$26,2,0)/12),HLOOKUP(O301,'Datos SS'!$B$25:$BZZ$26,2,0)/12)</f>
      </c>
      <c r="V301" s="964">
        <f>MAX(X301,MIN(T301,U301))</f>
      </c>
      <c r="W301" s="333">
        <f>IF($E$19="NO",IF(P301&lt;=180,IF(P301&lt;25,V301,V301*$S$28/S301),0),IF(P301&gt;$B$15,0,IF(P301&lt;25,V301,V301*$S$28/S301)))</f>
      </c>
      <c r="X301" s="1025">
        <f>HLOOKUP(O301,'Datos SS'!$K$37:$EP$38,2,0)</f>
      </c>
      <c r="Y301" s="331">
        <f>MAX(INT(Y300)-1,0)</f>
      </c>
      <c r="Z301" s="169"/>
      <c r="AA301" s="169"/>
      <c r="AB301" s="169"/>
      <c r="AC301" s="965">
        <v>1966.2556514212308</v>
      </c>
      <c r="AD301" s="331">
        <f>+AC301-W301</f>
      </c>
      <c r="AE301" s="169"/>
      <c r="AF301" s="170"/>
      <c r="AG301" s="169"/>
      <c r="AH301" s="170"/>
      <c r="AI301" s="170"/>
      <c r="AJ301" s="1"/>
      <c r="AK301" s="1"/>
      <c r="AL301" s="170"/>
      <c r="AM301" s="170"/>
    </row>
    <row x14ac:dyDescent="0.25" r="302" customHeight="1" ht="18.75">
      <c r="A302" s="1"/>
      <c r="B302" s="170"/>
      <c r="C302" s="169"/>
      <c r="D302" s="170"/>
      <c r="E302" s="169"/>
      <c r="F302" s="169"/>
      <c r="G302" s="170"/>
      <c r="H302" s="170"/>
      <c r="I302" s="169"/>
      <c r="J302" s="1"/>
      <c r="K302" s="169"/>
      <c r="L302" s="169"/>
      <c r="M302" s="169"/>
      <c r="N302" s="1"/>
      <c r="O302" s="332">
        <f>IF(Q302=12,O301-1,O301)</f>
      </c>
      <c r="P302" s="332">
        <v>298</v>
      </c>
      <c r="Q302" s="332">
        <f>IF(Q301=1,12,Q301-1)</f>
      </c>
      <c r="R302" s="169"/>
      <c r="S302" s="333">
        <f>HLOOKUP(O302,'Datos SS'!$B$4:$CZZ$16,(Q302+1),0)</f>
      </c>
      <c r="T302" s="333">
        <f>IF(O302=YEAR($B$5),($B$9/12),IF(O302&gt;MIN(YEAR($B$7),YEAR($B$5)),($B$9/12)*(1+HLOOKUP(O302,'Datos SS'!$B$31:$CZZ$32,2,0))^(O302-YEAR($B$5)),T290/(1+HLOOKUP(O302,'Datos SS'!$B$31:$CZZ$32,2,0))))</f>
      </c>
      <c r="U302" s="333">
        <f>IF(O302=2018,IF(Q302&lt;8,HLOOKUP(O302,'Datos SS'!$B$25:$BZZ$27,3,0)/12,HLOOKUP(O302,'Datos SS'!$B$25:$BZZ$26,2,0)/12),HLOOKUP(O302,'Datos SS'!$B$25:$BZZ$26,2,0)/12)</f>
      </c>
      <c r="V302" s="964">
        <f>MAX(X302,MIN(T302,U302))</f>
      </c>
      <c r="W302" s="333">
        <f>IF($E$19="NO",IF(P302&lt;=180,IF(P302&lt;25,V302,V302*$S$28/S302),0),IF(P302&gt;$B$15,0,IF(P302&lt;25,V302,V302*$S$28/S302)))</f>
      </c>
      <c r="X302" s="1025">
        <f>HLOOKUP(O302,'Datos SS'!$K$37:$EP$38,2,0)</f>
      </c>
      <c r="Y302" s="331">
        <f>MAX(INT(Y301)-1,0)</f>
      </c>
      <c r="Z302" s="169"/>
      <c r="AA302" s="169"/>
      <c r="AB302" s="169"/>
      <c r="AC302" s="965">
        <v>1938.804665444959</v>
      </c>
      <c r="AD302" s="331">
        <f>+AC302-W302</f>
      </c>
      <c r="AE302" s="169"/>
      <c r="AF302" s="170"/>
      <c r="AG302" s="169"/>
      <c r="AH302" s="170"/>
      <c r="AI302" s="170"/>
      <c r="AJ302" s="1"/>
      <c r="AK302" s="1"/>
      <c r="AL302" s="170"/>
      <c r="AM302" s="170"/>
    </row>
    <row x14ac:dyDescent="0.25" r="303" customHeight="1" ht="18.75">
      <c r="A303" s="1"/>
      <c r="B303" s="170"/>
      <c r="C303" s="169"/>
      <c r="D303" s="170"/>
      <c r="E303" s="169"/>
      <c r="F303" s="169"/>
      <c r="G303" s="170"/>
      <c r="H303" s="170"/>
      <c r="I303" s="169"/>
      <c r="J303" s="1"/>
      <c r="K303" s="169"/>
      <c r="L303" s="169"/>
      <c r="M303" s="169"/>
      <c r="N303" s="1"/>
      <c r="O303" s="332">
        <f>IF(Q303=12,O302-1,O302)</f>
      </c>
      <c r="P303" s="332">
        <v>299</v>
      </c>
      <c r="Q303" s="332">
        <f>IF(Q302=1,12,Q302-1)</f>
      </c>
      <c r="R303" s="169"/>
      <c r="S303" s="333">
        <f>HLOOKUP(O303,'Datos SS'!$B$4:$CZZ$16,(Q303+1),0)</f>
      </c>
      <c r="T303" s="333">
        <f>IF(O303=YEAR($B$5),($B$9/12),IF(O303&gt;MIN(YEAR($B$7),YEAR($B$5)),($B$9/12)*(1+HLOOKUP(O303,'Datos SS'!$B$31:$CZZ$32,2,0))^(O303-YEAR($B$5)),T291/(1+HLOOKUP(O303,'Datos SS'!$B$31:$CZZ$32,2,0))))</f>
      </c>
      <c r="U303" s="333">
        <f>IF(O303=2018,IF(Q303&lt;8,HLOOKUP(O303,'Datos SS'!$B$25:$BZZ$27,3,0)/12,HLOOKUP(O303,'Datos SS'!$B$25:$BZZ$26,2,0)/12),HLOOKUP(O303,'Datos SS'!$B$25:$BZZ$26,2,0)/12)</f>
      </c>
      <c r="V303" s="964">
        <f>MAX(X303,MIN(T303,U303))</f>
      </c>
      <c r="W303" s="333">
        <f>IF($E$19="NO",IF(P303&lt;=180,IF(P303&lt;25,V303,V303*$S$28/S303),0),IF(P303&gt;$B$15,0,IF(P303&lt;25,V303,V303*$S$28/S303)))</f>
      </c>
      <c r="X303" s="1025">
        <f>HLOOKUP(O303,'Datos SS'!$K$37:$EP$38,2,0)</f>
      </c>
      <c r="Y303" s="331">
        <f>MAX(INT(Y302)-1,0)</f>
      </c>
      <c r="Z303" s="169"/>
      <c r="AA303" s="169"/>
      <c r="AB303" s="169"/>
      <c r="AC303" s="965">
        <v>1940.4129778112178</v>
      </c>
      <c r="AD303" s="331">
        <f>+AC303-W303</f>
      </c>
      <c r="AE303" s="169"/>
      <c r="AF303" s="170"/>
      <c r="AG303" s="169"/>
      <c r="AH303" s="170"/>
      <c r="AI303" s="170"/>
      <c r="AJ303" s="1"/>
      <c r="AK303" s="1"/>
      <c r="AL303" s="170"/>
      <c r="AM303" s="170"/>
    </row>
    <row x14ac:dyDescent="0.25" r="304" customHeight="1" ht="18.75">
      <c r="A304" s="1"/>
      <c r="B304" s="170"/>
      <c r="C304" s="169"/>
      <c r="D304" s="170"/>
      <c r="E304" s="169"/>
      <c r="F304" s="169"/>
      <c r="G304" s="170"/>
      <c r="H304" s="170"/>
      <c r="I304" s="169"/>
      <c r="J304" s="1"/>
      <c r="K304" s="169"/>
      <c r="L304" s="169"/>
      <c r="M304" s="169"/>
      <c r="N304" s="1"/>
      <c r="O304" s="332">
        <f>IF(Q304=12,O303-1,O303)</f>
      </c>
      <c r="P304" s="332">
        <v>300</v>
      </c>
      <c r="Q304" s="332">
        <f>IF(Q303=1,12,Q303-1)</f>
      </c>
      <c r="R304" s="169"/>
      <c r="S304" s="333">
        <f>HLOOKUP(O304,'Datos SS'!$B$4:$CZZ$16,(Q304+1),0)</f>
      </c>
      <c r="T304" s="333">
        <f>IF(O304=YEAR($B$5),($B$9/12),IF(O304&gt;MIN(YEAR($B$7),YEAR($B$5)),($B$9/12)*(1+HLOOKUP(O304,'Datos SS'!$B$31:$CZZ$32,2,0))^(O304-YEAR($B$5)),T292/(1+HLOOKUP(O304,'Datos SS'!$B$31:$CZZ$32,2,0))))</f>
      </c>
      <c r="U304" s="333">
        <f>IF(O304=2018,IF(Q304&lt;8,HLOOKUP(O304,'Datos SS'!$B$25:$BZZ$27,3,0)/12,HLOOKUP(O304,'Datos SS'!$B$25:$BZZ$26,2,0)/12),HLOOKUP(O304,'Datos SS'!$B$25:$BZZ$26,2,0)/12)</f>
      </c>
      <c r="V304" s="964">
        <f>MAX(X304,MIN(T304,U304))</f>
      </c>
      <c r="W304" s="333">
        <f>IF($E$19="NO",IF(P304&lt;=180,IF(P304&lt;25,V304,V304*$S$28/S304),0),IF(P304&gt;$B$15,0,IF(P304&lt;25,V304,V304*$S$28/S304)))</f>
      </c>
      <c r="X304" s="1025">
        <f>HLOOKUP(O304,'Datos SS'!$K$37:$EP$38,2,0)</f>
      </c>
      <c r="Y304" s="331">
        <f>MAX(INT(Y303)-1,0)</f>
      </c>
      <c r="Z304" s="169"/>
      <c r="AA304" s="169"/>
      <c r="AB304" s="169"/>
      <c r="AC304" s="965">
        <v>1942.0226243338843</v>
      </c>
      <c r="AD304" s="331">
        <f>+AC304-W304</f>
      </c>
      <c r="AE304" s="169"/>
      <c r="AF304" s="170"/>
      <c r="AG304" s="169"/>
      <c r="AH304" s="170"/>
      <c r="AI304" s="170"/>
      <c r="AJ304" s="1"/>
      <c r="AK304" s="1"/>
      <c r="AL304" s="170"/>
      <c r="AM304" s="170"/>
    </row>
    <row x14ac:dyDescent="0.25" r="305" customHeight="1" ht="18.75">
      <c r="A305" s="1"/>
      <c r="B305" s="170"/>
      <c r="C305" s="169"/>
      <c r="D305" s="170"/>
      <c r="E305" s="169"/>
      <c r="F305" s="169"/>
      <c r="G305" s="170"/>
      <c r="H305" s="170"/>
      <c r="I305" s="169"/>
      <c r="J305" s="1"/>
      <c r="K305" s="169"/>
      <c r="L305" s="169"/>
      <c r="M305" s="169"/>
      <c r="N305" s="1"/>
      <c r="O305" s="332">
        <f>IF(Q305=12,O304-1,O304)</f>
      </c>
      <c r="P305" s="332">
        <v>301</v>
      </c>
      <c r="Q305" s="332">
        <f>IF(Q304=1,12,Q304-1)</f>
      </c>
      <c r="R305" s="169"/>
      <c r="S305" s="333">
        <f>HLOOKUP(O305,'Datos SS'!$B$4:$CZZ$16,(Q305+1),0)</f>
      </c>
      <c r="T305" s="333">
        <f>IF(O305=YEAR($B$5),($B$9/12),IF(O305&gt;MIN(YEAR($B$7),YEAR($B$5)),($B$9/12)*(1+HLOOKUP(O305,'Datos SS'!$B$31:$CZZ$32,2,0))^(O305-YEAR($B$5)),T293/(1+HLOOKUP(O305,'Datos SS'!$B$31:$CZZ$32,2,0))))</f>
      </c>
      <c r="U305" s="333">
        <f>IF(O305=2018,IF(Q305&lt;8,HLOOKUP(O305,'Datos SS'!$B$25:$BZZ$27,3,0)/12,HLOOKUP(O305,'Datos SS'!$B$25:$BZZ$26,2,0)/12),HLOOKUP(O305,'Datos SS'!$B$25:$BZZ$26,2,0)/12)</f>
      </c>
      <c r="V305" s="964">
        <f>MAX(X305,MIN(T305,U305))</f>
      </c>
      <c r="W305" s="170"/>
      <c r="X305" s="1025">
        <f>HLOOKUP(O305,'Datos SS'!$K$37:$EP$38,2,0)</f>
      </c>
      <c r="Y305" s="331">
        <f>MAX(INT(Y304)-1,0)</f>
      </c>
      <c r="Z305" s="169"/>
      <c r="AA305" s="169"/>
      <c r="AB305" s="169"/>
      <c r="AC305" s="169"/>
      <c r="AD305" s="331">
        <f>+AC305-W305</f>
      </c>
      <c r="AE305" s="169"/>
      <c r="AF305" s="170"/>
      <c r="AG305" s="169"/>
      <c r="AH305" s="170"/>
      <c r="AI305" s="170"/>
      <c r="AJ305" s="1"/>
      <c r="AK305" s="1"/>
      <c r="AL305" s="170"/>
      <c r="AM305" s="170"/>
    </row>
  </sheetData>
  <mergeCells count="8">
    <mergeCell ref="A3:B3"/>
    <mergeCell ref="H4:I4"/>
    <mergeCell ref="A19:B19"/>
    <mergeCell ref="E26:I26"/>
    <mergeCell ref="A43:B43"/>
    <mergeCell ref="AA48:AB48"/>
    <mergeCell ref="A60:B60"/>
    <mergeCell ref="A74:B7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Z226"/>
  <sheetViews>
    <sheetView workbookViewId="0"/>
  </sheetViews>
  <sheetFormatPr defaultRowHeight="15" x14ac:dyDescent="0.25"/>
  <cols>
    <col min="1" max="1" style="163" width="13.576428571428572" customWidth="1" bestFit="1" hidden="1"/>
    <col min="2" max="2" style="165" width="2.5764285714285715" customWidth="1" bestFit="1"/>
    <col min="3" max="3" style="163" width="0.7192857142857143" customWidth="1" bestFit="1"/>
    <col min="4" max="4" style="165" width="36.57642857142857" customWidth="1" bestFit="1"/>
    <col min="5" max="5" style="167" width="25.719285714285714" customWidth="1" bestFit="1"/>
    <col min="6" max="6" style="166" width="24.719285714285714" customWidth="1" bestFit="1"/>
    <col min="7" max="7" style="166" width="21.719285714285714" customWidth="1" bestFit="1"/>
    <col min="8" max="8" style="164" width="30.719285714285714" customWidth="1" bestFit="1"/>
    <col min="9" max="9" style="163" width="35.005" customWidth="1" bestFit="1"/>
    <col min="10" max="10" style="163" width="10.290714285714287" customWidth="1" bestFit="1"/>
    <col min="11" max="11" style="163" width="4.433571428571429" customWidth="1" bestFit="1"/>
    <col min="12" max="12" style="163" width="9.290714285714287" customWidth="1" bestFit="1"/>
    <col min="13" max="13" style="163" width="9.290714285714287" customWidth="1" bestFit="1"/>
    <col min="14" max="14" style="163" width="9.290714285714287" customWidth="1" bestFit="1"/>
    <col min="15" max="15" style="163" width="9.290714285714287" customWidth="1" bestFit="1"/>
    <col min="16" max="16" style="163" width="13.719285714285713" customWidth="1" bestFit="1"/>
    <col min="17" max="17" style="163" width="5.2907142857142855" customWidth="1" bestFit="1"/>
    <col min="18" max="18" style="163" width="9.576428571428572" customWidth="1" bestFit="1"/>
    <col min="19" max="19" style="163" width="13.719285714285713" customWidth="1" bestFit="1"/>
    <col min="20" max="20" style="163" width="10.576428571428572" customWidth="1" bestFit="1"/>
    <col min="21" max="21" style="163" width="12.005" customWidth="1" bestFit="1"/>
    <col min="22" max="22" style="163" width="9.290714285714287" customWidth="1" bestFit="1"/>
    <col min="23" max="23" style="163" width="10.576428571428572" customWidth="1" bestFit="1"/>
    <col min="24" max="24" style="163" width="9.290714285714287" customWidth="1" bestFit="1"/>
    <col min="25" max="25" style="163" width="12.005" customWidth="1" bestFit="1"/>
    <col min="26" max="26" style="163" width="12.005" customWidth="1" bestFit="1"/>
    <col min="27" max="27" style="163" width="9.290714285714287" customWidth="1" bestFit="1"/>
    <col min="28" max="28" style="163" width="9.290714285714287" customWidth="1" bestFit="1"/>
    <col min="29" max="29" style="163" width="9.290714285714287" customWidth="1" bestFit="1"/>
    <col min="30" max="30" style="163" width="12.005" customWidth="1" bestFit="1"/>
    <col min="31" max="31" style="163" width="9.290714285714287" customWidth="1" bestFit="1"/>
    <col min="32" max="32" style="163" width="9.290714285714287" customWidth="1" bestFit="1"/>
    <col min="33" max="33" style="163" width="9.290714285714287" customWidth="1" bestFit="1"/>
    <col min="34" max="34" style="163" width="9.290714285714287" customWidth="1" bestFit="1"/>
    <col min="35" max="35" style="163" width="9.290714285714287" customWidth="1" bestFit="1"/>
    <col min="36" max="36" style="163" width="9.290714285714287" customWidth="1" bestFit="1"/>
    <col min="37" max="37" style="163" width="9.290714285714287" customWidth="1" bestFit="1"/>
    <col min="38" max="38" style="163" width="9.290714285714287" customWidth="1" bestFit="1"/>
    <col min="39" max="39" style="163" width="9.290714285714287" customWidth="1" bestFit="1"/>
    <col min="40" max="40" style="163" width="9.290714285714287" customWidth="1" bestFit="1"/>
    <col min="41" max="41" style="163" width="9.290714285714287" customWidth="1" bestFit="1"/>
    <col min="42" max="42" style="163" width="9.290714285714287" customWidth="1" bestFit="1"/>
    <col min="43" max="43" style="163" width="9.290714285714287" customWidth="1" bestFit="1"/>
    <col min="44" max="44" style="163" width="9.290714285714287" customWidth="1" bestFit="1"/>
    <col min="45" max="45" style="163" width="9.290714285714287" customWidth="1" bestFit="1"/>
    <col min="46" max="46" style="163" width="9.290714285714287" customWidth="1" bestFit="1"/>
    <col min="47" max="47" style="163" width="9.290714285714287" customWidth="1" bestFit="1"/>
    <col min="48" max="48" style="163" width="9.290714285714287" customWidth="1" bestFit="1"/>
    <col min="49" max="49" style="163" width="9.290714285714287" customWidth="1" bestFit="1"/>
    <col min="50" max="50" style="163" width="9.290714285714287" customWidth="1" bestFit="1"/>
    <col min="51" max="51" style="163" width="9.290714285714287" customWidth="1" bestFit="1"/>
    <col min="52" max="52" style="163" width="13.576428571428572" customWidth="1" bestFit="1"/>
    <col min="53" max="53" style="163" width="9.290714285714287" customWidth="1" bestFit="1"/>
    <col min="54" max="54" style="163" width="8.290714285714287" customWidth="1" bestFit="1"/>
    <col min="55" max="55" style="163" width="9.290714285714287" customWidth="1" bestFit="1"/>
    <col min="56" max="56" style="163" width="9.290714285714287" customWidth="1" bestFit="1"/>
    <col min="57" max="57" style="163" width="9.290714285714287" customWidth="1" bestFit="1"/>
    <col min="58" max="58" style="163" width="9.290714285714287" customWidth="1" bestFit="1"/>
    <col min="59" max="59" style="163" width="9.290714285714287" customWidth="1" bestFit="1"/>
    <col min="60" max="60" style="163" width="9.290714285714287" customWidth="1" bestFit="1"/>
    <col min="61" max="61" style="163" width="11.576428571428572" customWidth="1" bestFit="1"/>
    <col min="62" max="62" style="163" width="9.290714285714287" customWidth="1" bestFit="1"/>
    <col min="63" max="63" style="163" width="9.290714285714287" customWidth="1" bestFit="1"/>
    <col min="64" max="64" style="163" width="9.290714285714287" customWidth="1" bestFit="1"/>
    <col min="65" max="65" style="163" width="9.290714285714287" customWidth="1" bestFit="1"/>
    <col min="66" max="66" style="163" width="9.290714285714287" customWidth="1" bestFit="1"/>
    <col min="67" max="67" style="163" width="9.290714285714287" customWidth="1" bestFit="1"/>
    <col min="68" max="68" style="163" width="9.290714285714287" customWidth="1" bestFit="1"/>
    <col min="69" max="69" style="163" width="9.290714285714287" customWidth="1" bestFit="1"/>
    <col min="70" max="70" style="163" width="9.290714285714287" customWidth="1" bestFit="1"/>
    <col min="71" max="71" style="163" width="9.290714285714287" customWidth="1" bestFit="1"/>
    <col min="72" max="72" style="163" width="9.290714285714287" customWidth="1" bestFit="1"/>
    <col min="73" max="73" style="163" width="9.290714285714287" customWidth="1" bestFit="1"/>
    <col min="74" max="74" style="163" width="9.290714285714287" customWidth="1" bestFit="1"/>
    <col min="75" max="75" style="163" width="9.290714285714287" customWidth="1" bestFit="1"/>
    <col min="76" max="76" style="163" width="9.290714285714287" customWidth="1" bestFit="1"/>
    <col min="77" max="77" style="163" width="9.290714285714287" customWidth="1" bestFit="1"/>
    <col min="78" max="78" style="163" width="9.290714285714287" customWidth="1" bestFit="1"/>
    <col min="79" max="79" style="163" width="9.290714285714287" customWidth="1" bestFit="1"/>
    <col min="80" max="80" style="163" width="9.290714285714287" customWidth="1" bestFit="1"/>
    <col min="81" max="81" style="163" width="9.290714285714287" customWidth="1" bestFit="1"/>
    <col min="82" max="82" style="163" width="9.290714285714287" customWidth="1" bestFit="1"/>
    <col min="83" max="83" style="163" width="9.290714285714287" customWidth="1" bestFit="1"/>
    <col min="84" max="84" style="163" width="9.290714285714287" customWidth="1" bestFit="1"/>
    <col min="85" max="85" style="163" width="9.290714285714287" customWidth="1" bestFit="1"/>
    <col min="86" max="86" style="163" width="9.290714285714287" customWidth="1" bestFit="1"/>
    <col min="87" max="87" style="163" width="9.290714285714287" customWidth="1" bestFit="1"/>
    <col min="88" max="88" style="163" width="9.290714285714287" customWidth="1" bestFit="1"/>
    <col min="89" max="89" style="163" width="9.290714285714287" customWidth="1" bestFit="1"/>
    <col min="90" max="90" style="163" width="9.290714285714287" customWidth="1" bestFit="1"/>
    <col min="91" max="91" style="163" width="9.290714285714287" customWidth="1" bestFit="1"/>
    <col min="92" max="92" style="163" width="9.290714285714287" customWidth="1" bestFit="1"/>
    <col min="93" max="93" style="163" width="9.290714285714287" customWidth="1" bestFit="1"/>
    <col min="94" max="94" style="163" width="9.290714285714287" customWidth="1" bestFit="1"/>
    <col min="95" max="95" style="163" width="9.290714285714287" customWidth="1" bestFit="1"/>
    <col min="96" max="96" style="163" width="9.290714285714287" customWidth="1" bestFit="1"/>
    <col min="97" max="97" style="163" width="9.290714285714287" customWidth="1" bestFit="1"/>
    <col min="98" max="98" style="163" width="9.290714285714287" customWidth="1" bestFit="1"/>
    <col min="99" max="99" style="163" width="9.290714285714287" customWidth="1" bestFit="1"/>
    <col min="100" max="100" style="163" width="9.290714285714287" customWidth="1" bestFit="1"/>
    <col min="101" max="101" style="163" width="9.290714285714287" customWidth="1" bestFit="1"/>
    <col min="102" max="102" style="163" width="9.290714285714287" customWidth="1" bestFit="1"/>
    <col min="103" max="103" style="163" width="9.290714285714287" customWidth="1" bestFit="1"/>
    <col min="104" max="104" style="163" width="9.290714285714287" customWidth="1" bestFit="1"/>
  </cols>
  <sheetData>
    <row x14ac:dyDescent="0.25" r="1" customHeight="1" ht="18.75">
      <c r="A1" s="1"/>
      <c r="B1" s="169"/>
      <c r="C1" s="1"/>
      <c r="D1" s="169"/>
      <c r="E1" s="7"/>
      <c r="F1" s="168"/>
      <c r="G1" s="168"/>
      <c r="H1" s="170"/>
      <c r="I1" s="1"/>
      <c r="J1" s="1"/>
      <c r="K1" s="1"/>
      <c r="L1" s="1"/>
      <c r="M1" s="139"/>
      <c r="N1" s="244"/>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row>
    <row x14ac:dyDescent="0.25" r="2" customHeight="1" ht="36.6">
      <c r="A2" s="1"/>
      <c r="B2" s="169"/>
      <c r="C2" s="814" t="s">
        <v>345</v>
      </c>
      <c r="D2" s="815"/>
      <c r="E2" s="816"/>
      <c r="F2" s="817"/>
      <c r="G2" s="817"/>
      <c r="H2" s="818"/>
      <c r="I2" s="178"/>
      <c r="J2" s="1"/>
      <c r="K2" s="1"/>
      <c r="L2" s="1"/>
      <c r="M2" s="139"/>
      <c r="N2" s="244"/>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row>
    <row x14ac:dyDescent="0.25" r="3" customHeight="1" ht="25.5">
      <c r="A3" s="1"/>
      <c r="B3" s="169"/>
      <c r="C3" s="1"/>
      <c r="D3" s="819" t="s">
        <v>346</v>
      </c>
      <c r="E3" s="820"/>
      <c r="F3" s="821"/>
      <c r="G3" s="821"/>
      <c r="H3" s="822"/>
      <c r="I3" s="363"/>
      <c r="J3" s="1"/>
      <c r="K3" s="1"/>
      <c r="L3" s="1"/>
      <c r="M3" s="139"/>
      <c r="N3" s="244"/>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row>
    <row x14ac:dyDescent="0.25" r="4" customHeight="1" ht="16.5">
      <c r="A4" s="1"/>
      <c r="B4" s="169"/>
      <c r="C4" s="1"/>
      <c r="D4" s="823"/>
      <c r="E4" s="820"/>
      <c r="F4" s="821"/>
      <c r="G4" s="821"/>
      <c r="H4" s="822"/>
      <c r="I4" s="363"/>
      <c r="J4" s="1"/>
      <c r="K4" s="1"/>
      <c r="L4" s="1"/>
      <c r="M4" s="139"/>
      <c r="N4" s="244"/>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row>
    <row x14ac:dyDescent="0.25" r="5" customHeight="1" ht="17.65">
      <c r="A5" s="1"/>
      <c r="B5" s="169"/>
      <c r="C5" s="1"/>
      <c r="D5" s="824" t="s">
        <v>347</v>
      </c>
      <c r="E5" s="825">
        <f>+'Fecha Jubilación'!V7</f>
        <v>25569.041666666668</v>
      </c>
      <c r="F5" s="826" t="s">
        <v>348</v>
      </c>
      <c r="G5" s="827">
        <f>'Fecha Jubilación'!N7</f>
        <v>25569.041666666668</v>
      </c>
      <c r="H5" s="828"/>
      <c r="I5" s="363"/>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row>
    <row x14ac:dyDescent="0.25" r="6" customHeight="1" ht="19.15">
      <c r="A6" s="1"/>
      <c r="B6" s="169"/>
      <c r="C6" s="1"/>
      <c r="D6" s="169"/>
      <c r="E6" s="7"/>
      <c r="F6" s="168"/>
      <c r="G6" s="168"/>
      <c r="H6" s="170"/>
      <c r="I6" s="363"/>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row>
    <row x14ac:dyDescent="0.25" r="7" customHeight="1" ht="5.25">
      <c r="A7" s="1"/>
      <c r="B7" s="169"/>
      <c r="C7" s="1"/>
      <c r="D7" s="169"/>
      <c r="E7" s="7"/>
      <c r="F7" s="168"/>
      <c r="G7" s="168"/>
      <c r="H7" s="170"/>
      <c r="I7" s="1"/>
      <c r="J7" s="1"/>
      <c r="K7" s="1"/>
      <c r="L7" s="1"/>
      <c r="M7" s="1"/>
      <c r="N7" s="193"/>
      <c r="O7" s="193"/>
      <c r="P7" s="1"/>
      <c r="Q7" s="193"/>
      <c r="R7" s="193"/>
      <c r="S7" s="193"/>
      <c r="T7" s="193"/>
      <c r="U7" s="193"/>
      <c r="V7" s="193"/>
      <c r="W7" s="193"/>
      <c r="X7" s="193"/>
      <c r="Y7" s="193"/>
      <c r="Z7" s="193"/>
      <c r="AA7" s="193"/>
      <c r="AB7" s="193"/>
      <c r="AC7" s="193"/>
      <c r="AD7" s="193"/>
      <c r="AE7" s="193"/>
      <c r="AF7" s="193"/>
      <c r="AG7" s="193"/>
      <c r="AH7" s="193"/>
      <c r="AI7" s="193"/>
      <c r="AJ7" s="193"/>
      <c r="AK7" s="193"/>
      <c r="AL7" s="193"/>
      <c r="AM7" s="193"/>
      <c r="AN7" s="193"/>
      <c r="AO7" s="193"/>
      <c r="AP7" s="193"/>
      <c r="AQ7" s="193"/>
      <c r="AR7" s="193"/>
      <c r="AS7" s="193"/>
      <c r="AT7" s="193"/>
      <c r="AU7" s="193"/>
      <c r="AV7" s="193"/>
      <c r="AW7" s="193"/>
      <c r="AX7" s="193"/>
      <c r="AY7" s="193"/>
      <c r="AZ7" s="193"/>
      <c r="BA7" s="193"/>
      <c r="BB7" s="193"/>
      <c r="BC7" s="193"/>
      <c r="BD7" s="193"/>
      <c r="BE7" s="193"/>
      <c r="BF7" s="193"/>
      <c r="BG7" s="193"/>
      <c r="BH7" s="193"/>
      <c r="BI7" s="193"/>
      <c r="BJ7" s="193"/>
      <c r="BK7" s="193"/>
      <c r="BL7" s="193"/>
      <c r="BM7" s="193"/>
      <c r="BN7" s="193"/>
      <c r="BO7" s="193"/>
      <c r="BP7" s="193"/>
      <c r="BQ7" s="193"/>
      <c r="BR7" s="193"/>
      <c r="BS7" s="193"/>
      <c r="BT7" s="193"/>
      <c r="BU7" s="193"/>
      <c r="BV7" s="193"/>
      <c r="BW7" s="193"/>
      <c r="BX7" s="193"/>
      <c r="BY7" s="193"/>
      <c r="BZ7" s="193"/>
      <c r="CA7" s="193"/>
      <c r="CB7" s="193"/>
      <c r="CC7" s="193"/>
      <c r="CD7" s="193"/>
      <c r="CE7" s="193"/>
      <c r="CF7" s="193"/>
      <c r="CG7" s="193"/>
      <c r="CH7" s="193"/>
      <c r="CI7" s="193"/>
      <c r="CJ7" s="193"/>
      <c r="CK7" s="193"/>
      <c r="CL7" s="193"/>
      <c r="CM7" s="193"/>
      <c r="CN7" s="193"/>
      <c r="CO7" s="193"/>
      <c r="CP7" s="193"/>
      <c r="CQ7" s="193"/>
      <c r="CR7" s="193"/>
      <c r="CS7" s="193"/>
      <c r="CT7" s="193"/>
      <c r="CU7" s="193"/>
      <c r="CV7" s="193"/>
      <c r="CW7" s="193"/>
      <c r="CX7" s="193"/>
      <c r="CY7" s="193"/>
      <c r="CZ7" s="193"/>
    </row>
    <row x14ac:dyDescent="0.25" r="8" customHeight="1" ht="25.5">
      <c r="A8" s="1"/>
      <c r="B8" s="169"/>
      <c r="C8" s="1"/>
      <c r="D8" s="829" t="s">
        <v>349</v>
      </c>
      <c r="E8" s="830"/>
      <c r="F8" s="831"/>
      <c r="G8" s="831"/>
      <c r="H8" s="579"/>
      <c r="I8" s="363"/>
      <c r="J8" s="1"/>
      <c r="K8" s="1"/>
      <c r="L8" s="1"/>
      <c r="M8" s="1"/>
      <c r="N8" s="1"/>
      <c r="O8" s="1"/>
      <c r="P8" s="1"/>
      <c r="Q8" s="1"/>
      <c r="R8" s="1"/>
      <c r="S8" s="244"/>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row>
    <row x14ac:dyDescent="0.25" r="9" customHeight="1" ht="15">
      <c r="A9" s="1"/>
      <c r="B9" s="169"/>
      <c r="C9" s="1"/>
      <c r="D9" s="832"/>
      <c r="E9" s="833"/>
      <c r="F9" s="834"/>
      <c r="G9" s="835"/>
      <c r="H9" s="835"/>
      <c r="I9" s="363"/>
      <c r="J9" s="1"/>
      <c r="K9" s="1"/>
      <c r="L9" s="1"/>
      <c r="M9" s="1"/>
      <c r="N9" s="244"/>
      <c r="O9" s="244"/>
      <c r="P9" s="244"/>
      <c r="Q9" s="244"/>
      <c r="R9" s="244"/>
      <c r="S9" s="244"/>
      <c r="T9" s="244"/>
      <c r="U9" s="244"/>
      <c r="V9" s="244"/>
      <c r="W9" s="244"/>
      <c r="X9" s="244"/>
      <c r="Y9" s="244"/>
      <c r="Z9" s="244"/>
      <c r="AA9" s="244"/>
      <c r="AB9" s="244"/>
      <c r="AC9" s="244"/>
      <c r="AD9" s="244"/>
      <c r="AE9" s="244"/>
      <c r="AF9" s="244"/>
      <c r="AG9" s="244"/>
      <c r="AH9" s="244"/>
      <c r="AI9" s="244"/>
      <c r="AJ9" s="244"/>
      <c r="AK9" s="244"/>
      <c r="AL9" s="244"/>
      <c r="AM9" s="244"/>
      <c r="AN9" s="244"/>
      <c r="AO9" s="244"/>
      <c r="AP9" s="244"/>
      <c r="AQ9" s="244"/>
      <c r="AR9" s="244"/>
      <c r="AS9" s="244"/>
      <c r="AT9" s="244"/>
      <c r="AU9" s="244"/>
      <c r="AV9" s="244"/>
      <c r="AW9" s="244"/>
      <c r="AX9" s="244"/>
      <c r="AY9" s="244"/>
      <c r="AZ9" s="244"/>
      <c r="BA9" s="244"/>
      <c r="BB9" s="244"/>
      <c r="BC9" s="244"/>
      <c r="BD9" s="244"/>
      <c r="BE9" s="244"/>
      <c r="BF9" s="244"/>
      <c r="BG9" s="244"/>
      <c r="BH9" s="244"/>
      <c r="BI9" s="244"/>
      <c r="BJ9" s="244"/>
      <c r="BK9" s="244"/>
      <c r="BL9" s="244"/>
      <c r="BM9" s="244"/>
      <c r="BN9" s="244"/>
      <c r="BO9" s="244"/>
      <c r="BP9" s="244"/>
      <c r="BQ9" s="244"/>
      <c r="BR9" s="244"/>
      <c r="BS9" s="244"/>
      <c r="BT9" s="244"/>
      <c r="BU9" s="244"/>
      <c r="BV9" s="244"/>
      <c r="BW9" s="244"/>
      <c r="BX9" s="244"/>
      <c r="BY9" s="244"/>
      <c r="BZ9" s="244"/>
      <c r="CA9" s="244"/>
      <c r="CB9" s="244"/>
      <c r="CC9" s="244"/>
      <c r="CD9" s="244"/>
      <c r="CE9" s="244"/>
      <c r="CF9" s="244"/>
      <c r="CG9" s="244"/>
      <c r="CH9" s="244"/>
      <c r="CI9" s="244"/>
      <c r="CJ9" s="244"/>
      <c r="CK9" s="244"/>
      <c r="CL9" s="244"/>
      <c r="CM9" s="244"/>
      <c r="CN9" s="244"/>
      <c r="CO9" s="244"/>
      <c r="CP9" s="244"/>
      <c r="CQ9" s="244"/>
      <c r="CR9" s="244"/>
      <c r="CS9" s="244"/>
      <c r="CT9" s="244"/>
      <c r="CU9" s="244"/>
      <c r="CV9" s="244"/>
      <c r="CW9" s="244"/>
      <c r="CX9" s="244"/>
      <c r="CY9" s="244"/>
      <c r="CZ9" s="244"/>
    </row>
    <row x14ac:dyDescent="0.25" r="10" customHeight="1" ht="17.65">
      <c r="A10" s="1"/>
      <c r="B10" s="169"/>
      <c r="C10" s="372"/>
      <c r="D10" s="836" t="s">
        <v>350</v>
      </c>
      <c r="E10" s="837"/>
      <c r="F10" s="838"/>
      <c r="G10" s="839" t="s">
        <v>351</v>
      </c>
      <c r="H10" s="840"/>
      <c r="I10" s="363"/>
      <c r="J10" s="1"/>
      <c r="K10" s="1"/>
      <c r="L10" s="1"/>
      <c r="M10" s="1"/>
      <c r="N10" s="1"/>
      <c r="O10" s="1"/>
      <c r="P10" s="1"/>
      <c r="Q10" s="1"/>
      <c r="R10" s="1"/>
      <c r="S10" s="1"/>
      <c r="T10" s="1"/>
      <c r="U10" s="193"/>
      <c r="V10" s="1"/>
      <c r="W10" s="1"/>
      <c r="X10" s="1"/>
      <c r="Y10" s="1"/>
      <c r="Z10" s="1"/>
      <c r="AA10" s="1"/>
      <c r="AB10" s="1"/>
      <c r="AC10" s="1"/>
      <c r="AD10" s="484"/>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row>
    <row x14ac:dyDescent="0.25" r="11" customHeight="1" ht="13.15">
      <c r="A11" s="1"/>
      <c r="B11" s="169"/>
      <c r="C11" s="372"/>
      <c r="D11" s="841"/>
      <c r="E11" s="842"/>
      <c r="F11" s="843"/>
      <c r="G11" s="843"/>
      <c r="H11" s="844"/>
      <c r="I11" s="363"/>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row>
    <row x14ac:dyDescent="0.25" r="12" customHeight="1" ht="22.5">
      <c r="A12" s="1"/>
      <c r="B12" s="169"/>
      <c r="C12" s="372"/>
      <c r="D12" s="845">
        <f>+IF(G10="Jubilación anticipada"," ¿A qué edad le gustaría acceder a la jubilación de manera anticipada? ",IF(G10="Jubilación prolongada","¿Cuántos años prevee prolongar su acceso a la jubilación? ",""))</f>
      </c>
      <c r="E12" s="846"/>
      <c r="F12" s="847">
        <f>+IF(G10="Jubilación anticipada","Años:","")</f>
      </c>
      <c r="G12" s="848"/>
      <c r="H12" s="849">
        <v>63</v>
      </c>
      <c r="I12" s="363"/>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row>
    <row x14ac:dyDescent="0.25" r="13" customHeight="1" ht="17.65">
      <c r="A13" s="1"/>
      <c r="B13" s="169"/>
      <c r="C13" s="372"/>
      <c r="D13" s="836">
        <f>IF(G10="Jubilación anticipada"," Seleccione en los desplegables los años y los meses:","")</f>
      </c>
      <c r="E13" s="837"/>
      <c r="F13" s="847">
        <f>+IF(G10="Jubilación anticipada","Meses:","")</f>
      </c>
      <c r="G13" s="848"/>
      <c r="H13" s="849">
        <v>1</v>
      </c>
      <c r="I13" s="363"/>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row>
    <row x14ac:dyDescent="0.25" r="14" customHeight="1" ht="34.5">
      <c r="A14" s="1"/>
      <c r="B14" s="169"/>
      <c r="C14" s="1"/>
      <c r="D14" s="850"/>
      <c r="E14" s="851"/>
      <c r="F14" s="852"/>
      <c r="G14" s="235"/>
      <c r="H14" s="853">
        <f>+IF(AND(G5&lt;TODAY(),OR(G10="Jubilación anticipada",G10="Jubilación ordinaria")),"",IF(AND($E$101&gt;$D$46,$E$101&lt;$D$45),$E$101,IF($E$101&gt;$D$45,$D$45,$D$46)))</f>
      </c>
      <c r="I14" s="363"/>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row>
    <row x14ac:dyDescent="0.25" r="15" customHeight="1" ht="4.5">
      <c r="A15" s="1"/>
      <c r="B15" s="169"/>
      <c r="C15" s="1"/>
      <c r="D15" s="854"/>
      <c r="E15" s="855"/>
      <c r="F15" s="856"/>
      <c r="G15" s="356"/>
      <c r="H15" s="354"/>
      <c r="I15" s="363"/>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row>
    <row x14ac:dyDescent="0.25" r="16" customHeight="1" ht="18.75">
      <c r="A16" s="1"/>
      <c r="B16" s="169"/>
      <c r="C16" s="1"/>
      <c r="D16" s="857"/>
      <c r="E16" s="858"/>
      <c r="F16" s="859"/>
      <c r="G16" s="860"/>
      <c r="H16" s="861"/>
      <c r="I16" s="363"/>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row>
    <row x14ac:dyDescent="0.25" r="17" customHeight="1" ht="4.5">
      <c r="A17" s="1"/>
      <c r="B17" s="169"/>
      <c r="C17" s="1"/>
      <c r="D17" s="862"/>
      <c r="E17" s="863"/>
      <c r="F17" s="864"/>
      <c r="G17" s="861"/>
      <c r="H17" s="861"/>
      <c r="I17" s="363"/>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row>
    <row x14ac:dyDescent="0.25" r="18" customHeight="1" ht="25.5">
      <c r="A18" s="1"/>
      <c r="B18" s="169"/>
      <c r="C18" s="1"/>
      <c r="D18" s="829" t="s">
        <v>352</v>
      </c>
      <c r="E18" s="830"/>
      <c r="F18" s="831"/>
      <c r="G18" s="831"/>
      <c r="H18" s="579"/>
      <c r="I18" s="363"/>
      <c r="J18" s="1"/>
      <c r="K18" s="1"/>
      <c r="L18" s="1"/>
      <c r="M18" s="1"/>
      <c r="N18" s="1"/>
      <c r="O18" s="1"/>
      <c r="P18" s="1"/>
      <c r="Q18" s="1"/>
      <c r="R18" s="1"/>
      <c r="S18" s="1"/>
      <c r="T18" s="1"/>
      <c r="U18" s="1"/>
      <c r="V18" s="1"/>
      <c r="W18" s="1"/>
      <c r="X18" s="1"/>
      <c r="Y18" s="1"/>
      <c r="Z18" s="484"/>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row>
    <row x14ac:dyDescent="0.25" r="19" customHeight="1" ht="17.65">
      <c r="A19" s="1"/>
      <c r="B19" s="169"/>
      <c r="C19" s="1"/>
      <c r="D19" s="865">
        <f>+IF($G$10="Jubilación anticipada","Edad de jubilación anticipada",IF($G$10="Jubilación prolongada","Edad de jubilación prolongada","Edad de jubilación ordinaria"))</f>
      </c>
      <c r="E19" s="866"/>
      <c r="F19" s="867"/>
      <c r="G19" s="868">
        <f>IFERROR(ROUND((G20-'Simulador - Datos personales'!E7)/365.25,2),"-")</f>
      </c>
      <c r="H19" s="868"/>
      <c r="I19" s="363"/>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row>
    <row x14ac:dyDescent="0.25" r="20" customHeight="1" ht="17.65">
      <c r="A20" s="1"/>
      <c r="B20" s="169"/>
      <c r="C20" s="1"/>
      <c r="D20" s="865">
        <f>+IF($G$10="Jubilación anticipada","Fecha de jubilación anticipada",IF($G$10="Jubilación prolongada","Fecha de jubilación prolongada","Fecha de jubilación ordinaria"))</f>
      </c>
      <c r="E20" s="866"/>
      <c r="F20" s="867"/>
      <c r="G20" s="869">
        <f>IFERROR(IF($G$10="Jubilación anticipada",MAX(E102,E103),IF($G$10="Jubilación prolongada",'Fecha Jubilación'!M17,'Fecha Jubilación'!N7)),"-")</f>
        <v>25569.041666666668</v>
      </c>
      <c r="H20" s="869"/>
      <c r="I20" s="363"/>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row>
    <row x14ac:dyDescent="0.25" r="21" customHeight="1" ht="17.65">
      <c r="A21" s="1"/>
      <c r="B21" s="169"/>
      <c r="C21" s="1"/>
      <c r="D21" s="865">
        <f>+IF($G$10="Jubilación anticipada","Años cotizados en la fecha de jubilación anticipada",IF($G$10="Jubilación prolongada","Años cotizados en la fecha de jubilación prolongada","Años cotizados en la fecha de jubilación ordinaria"))</f>
      </c>
      <c r="E21" s="866"/>
      <c r="F21" s="867"/>
      <c r="G21" s="868">
        <f>IFERROR(IF(PJSS!C8&lt;0,"-",PJSS!C8),"-")</f>
      </c>
      <c r="H21" s="868"/>
      <c r="I21" s="363"/>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row>
    <row x14ac:dyDescent="0.25" r="22" customHeight="1" ht="17.65">
      <c r="A22" s="1"/>
      <c r="B22" s="169"/>
      <c r="C22" s="1"/>
      <c r="D22" s="865" t="s">
        <v>353</v>
      </c>
      <c r="E22" s="866"/>
      <c r="F22" s="867"/>
      <c r="G22" s="870">
        <f>IFERROR(+PJSS!I6*IF(G21&lt;15,0,1),"-")</f>
      </c>
      <c r="H22" s="870"/>
      <c r="I22" s="363"/>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row>
    <row x14ac:dyDescent="0.25" r="23" customHeight="1" ht="17.65">
      <c r="A23" s="1"/>
      <c r="B23" s="169"/>
      <c r="C23" s="1"/>
      <c r="D23" s="865">
        <f>IF(AND(G10="Jubilación prolongada",H94="Complemento vitalicio"),"Porcentaje adicional aplicado a la base reguladora en función de la edad de acceso",IF(AND(G10="Jubilación prolongada",H94="Pago único"),"Pago único a percibir por prolongar la vida laboral","Porcentaje de reducción aplicado a la pensión en función de la edad de acceso"))</f>
      </c>
      <c r="E23" s="866"/>
      <c r="F23" s="867"/>
      <c r="G23" s="870">
        <f>+IF(IF(D23="Porcentaje adicional aplicado a la base reguladora en función de la edad de acceso",PJSS!B49,PJSS!B53)&lt;0,0,IF(D23="Porcentaje adicional aplicado a la base reguladora en función de la edad de acceso",PJSS!B49,PJSS!B53))</f>
      </c>
      <c r="H23" s="870"/>
      <c r="I23" s="363"/>
      <c r="J23" s="1"/>
      <c r="K23" s="1"/>
      <c r="L23" s="1"/>
      <c r="M23" s="1"/>
      <c r="N23" s="1"/>
      <c r="O23" s="1"/>
      <c r="P23" s="1"/>
      <c r="Q23" s="1"/>
      <c r="R23" s="1"/>
      <c r="S23" s="315"/>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row>
    <row x14ac:dyDescent="0.25" r="24" customHeight="1" ht="21">
      <c r="A24" s="1"/>
      <c r="B24" s="169"/>
      <c r="C24" s="1"/>
      <c r="D24" s="865" t="s">
        <v>354</v>
      </c>
      <c r="E24" s="866"/>
      <c r="F24" s="871"/>
      <c r="G24" s="868">
        <f>+PJSS!B45</f>
      </c>
      <c r="H24" s="870"/>
      <c r="I24" s="363"/>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row>
    <row x14ac:dyDescent="0.25" r="25" customHeight="1" ht="25.5">
      <c r="A25" s="872"/>
      <c r="B25" s="169"/>
      <c r="C25" s="1"/>
      <c r="D25" s="829" t="s">
        <v>355</v>
      </c>
      <c r="E25" s="873"/>
      <c r="F25" s="874"/>
      <c r="G25" s="874"/>
      <c r="H25" s="875"/>
      <c r="I25" s="363"/>
      <c r="J25" s="1"/>
      <c r="K25" s="1"/>
      <c r="L25" s="1"/>
      <c r="M25" s="1"/>
      <c r="N25" s="1"/>
      <c r="O25" s="876"/>
      <c r="P25" s="1"/>
      <c r="Q25" s="1"/>
      <c r="R25" s="1"/>
      <c r="S25" s="1"/>
      <c r="T25" s="1"/>
      <c r="U25" s="484"/>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row>
    <row x14ac:dyDescent="0.25" r="26" customHeight="1" ht="17.65">
      <c r="A26" s="1"/>
      <c r="B26" s="169"/>
      <c r="C26" s="1"/>
      <c r="D26" s="832"/>
      <c r="E26" s="877"/>
      <c r="F26" s="878" t="s">
        <v>15</v>
      </c>
      <c r="G26" s="879" t="s">
        <v>16</v>
      </c>
      <c r="H26" s="880"/>
      <c r="I26" s="363"/>
      <c r="J26" s="1"/>
      <c r="K26" s="1"/>
      <c r="L26" s="1"/>
      <c r="M26" s="1"/>
      <c r="N26" s="1"/>
      <c r="O26" s="244"/>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row>
    <row x14ac:dyDescent="0.25" r="27" customHeight="1" ht="1.5">
      <c r="A27" s="1"/>
      <c r="B27" s="169"/>
      <c r="C27" s="1"/>
      <c r="D27" s="169"/>
      <c r="E27" s="7"/>
      <c r="F27" s="168"/>
      <c r="G27" s="881"/>
      <c r="H27" s="170"/>
      <c r="I27" s="1"/>
      <c r="J27" s="1"/>
      <c r="K27" s="1"/>
      <c r="L27" s="1"/>
      <c r="M27" s="1"/>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c r="AR27" s="193"/>
      <c r="AS27" s="193"/>
      <c r="AT27" s="193"/>
      <c r="AU27" s="193"/>
      <c r="AV27" s="193"/>
      <c r="AW27" s="193"/>
      <c r="AX27" s="193"/>
      <c r="AY27" s="193"/>
      <c r="AZ27" s="193"/>
      <c r="BA27" s="193"/>
      <c r="BB27" s="193"/>
      <c r="BC27" s="193"/>
      <c r="BD27" s="193"/>
      <c r="BE27" s="193"/>
      <c r="BF27" s="193"/>
      <c r="BG27" s="193"/>
      <c r="BH27" s="193"/>
      <c r="BI27" s="193"/>
      <c r="BJ27" s="193"/>
      <c r="BK27" s="193"/>
      <c r="BL27" s="193"/>
      <c r="BM27" s="193"/>
      <c r="BN27" s="193"/>
      <c r="BO27" s="193"/>
      <c r="BP27" s="193"/>
      <c r="BQ27" s="193"/>
      <c r="BR27" s="193"/>
      <c r="BS27" s="193"/>
      <c r="BT27" s="193"/>
      <c r="BU27" s="193"/>
      <c r="BV27" s="193"/>
      <c r="BW27" s="193"/>
      <c r="BX27" s="193"/>
      <c r="BY27" s="193"/>
      <c r="BZ27" s="193"/>
      <c r="CA27" s="193"/>
      <c r="CB27" s="193"/>
      <c r="CC27" s="193"/>
      <c r="CD27" s="193"/>
      <c r="CE27" s="193"/>
      <c r="CF27" s="193"/>
      <c r="CG27" s="193"/>
      <c r="CH27" s="193"/>
      <c r="CI27" s="193"/>
      <c r="CJ27" s="193"/>
      <c r="CK27" s="193"/>
      <c r="CL27" s="193"/>
      <c r="CM27" s="193"/>
      <c r="CN27" s="193"/>
      <c r="CO27" s="193"/>
      <c r="CP27" s="193"/>
      <c r="CQ27" s="193"/>
      <c r="CR27" s="193"/>
      <c r="CS27" s="193"/>
      <c r="CT27" s="193"/>
      <c r="CU27" s="193"/>
      <c r="CV27" s="193"/>
      <c r="CW27" s="193"/>
      <c r="CX27" s="193"/>
      <c r="CY27" s="193"/>
      <c r="CZ27" s="193"/>
    </row>
    <row x14ac:dyDescent="0.25" r="28" customHeight="1" ht="17.65">
      <c r="A28" s="1"/>
      <c r="B28" s="169"/>
      <c r="C28" s="882"/>
      <c r="D28" s="883" t="s">
        <v>356</v>
      </c>
      <c r="E28" s="884"/>
      <c r="F28" s="885">
        <f>IFERROR(IF($G$28="","",$G$28*14),"-")</f>
      </c>
      <c r="G28" s="886">
        <f>IFERROR(IF($D$89=0,IF(PJSS!$B$11="Hombre",PJSS!$I$9,PJSS!$I$10),""),"-")</f>
      </c>
      <c r="H28" s="887"/>
      <c r="I28" s="363"/>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row>
    <row x14ac:dyDescent="0.25" r="29" customHeight="1" ht="5.25">
      <c r="A29" s="1"/>
      <c r="B29" s="169"/>
      <c r="C29" s="139"/>
      <c r="D29" s="888"/>
      <c r="E29" s="884"/>
      <c r="F29" s="889"/>
      <c r="G29" s="889"/>
      <c r="H29" s="889"/>
      <c r="I29" s="363"/>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row>
    <row x14ac:dyDescent="0.25" r="30" customHeight="1" ht="13.15">
      <c r="A30" s="1"/>
      <c r="B30" s="169"/>
      <c r="C30" s="1"/>
      <c r="D30" s="169"/>
      <c r="E30" s="7"/>
      <c r="F30" s="168"/>
      <c r="G30" s="168"/>
      <c r="H30" s="170"/>
      <c r="I30" s="363"/>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row>
    <row x14ac:dyDescent="0.25" r="31" customHeight="1" ht="4.5">
      <c r="A31" s="1"/>
      <c r="B31" s="169"/>
      <c r="C31" s="1"/>
      <c r="D31" s="169"/>
      <c r="E31" s="7"/>
      <c r="F31" s="168"/>
      <c r="G31" s="168"/>
      <c r="H31" s="170"/>
      <c r="I31" s="363"/>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row>
    <row x14ac:dyDescent="0.25" r="32" customHeight="1" ht="20.65">
      <c r="A32" s="1"/>
      <c r="B32" s="169"/>
      <c r="C32" s="890"/>
      <c r="D32" s="891" t="s">
        <v>357</v>
      </c>
      <c r="E32" s="892"/>
      <c r="F32" s="69">
        <f>IFERROR(IF($D$89=0,$F$28/$G$50,""),"-")</f>
      </c>
      <c r="G32" s="69"/>
      <c r="H32" s="69"/>
      <c r="I32" s="363"/>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row>
    <row x14ac:dyDescent="0.25" r="33" customHeight="1" ht="16.5">
      <c r="A33" s="1"/>
      <c r="B33" s="169"/>
      <c r="C33" s="1"/>
      <c r="D33" s="893"/>
      <c r="E33" s="894"/>
      <c r="F33" s="895"/>
      <c r="G33" s="895"/>
      <c r="H33" s="895"/>
      <c r="I33" s="363"/>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row>
    <row x14ac:dyDescent="0.25" r="34" customHeight="1" ht="58.5">
      <c r="A34" s="1"/>
      <c r="B34" s="896"/>
      <c r="C34" s="193"/>
      <c r="D34" s="169"/>
      <c r="E34" s="7"/>
      <c r="F34" s="168"/>
      <c r="G34" s="168"/>
      <c r="H34" s="897"/>
      <c r="I34" s="193"/>
      <c r="J34" s="193"/>
      <c r="K34" s="193"/>
      <c r="L34" s="193"/>
      <c r="M34" s="193"/>
      <c r="N34" s="193"/>
      <c r="O34" s="193"/>
      <c r="P34" s="193"/>
      <c r="Q34" s="193"/>
      <c r="R34" s="193"/>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row>
    <row x14ac:dyDescent="0.25" r="35" customHeight="1" ht="13.5">
      <c r="A35" s="1"/>
      <c r="B35" s="896"/>
      <c r="C35" s="193"/>
      <c r="D35" s="169"/>
      <c r="E35" s="898"/>
      <c r="F35" s="899"/>
      <c r="G35" s="900"/>
      <c r="H35" s="901"/>
      <c r="I35" s="193"/>
      <c r="J35" s="193"/>
      <c r="K35" s="193"/>
      <c r="L35" s="193"/>
      <c r="M35" s="193"/>
      <c r="N35" s="193"/>
      <c r="O35" s="193"/>
      <c r="P35" s="193"/>
      <c r="Q35" s="193"/>
      <c r="R35" s="193"/>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row>
    <row x14ac:dyDescent="0.25" r="36" customHeight="1" ht="13.5">
      <c r="A36" s="1"/>
      <c r="B36" s="896"/>
      <c r="C36" s="193"/>
      <c r="D36" s="902"/>
      <c r="E36" s="903"/>
      <c r="F36" s="904"/>
      <c r="G36" s="904"/>
      <c r="H36" s="905"/>
      <c r="I36" s="193"/>
      <c r="J36" s="193"/>
      <c r="K36" s="193"/>
      <c r="L36" s="193"/>
      <c r="M36" s="193"/>
      <c r="N36" s="193"/>
      <c r="O36" s="193"/>
      <c r="P36" s="193"/>
      <c r="Q36" s="193"/>
      <c r="R36" s="193"/>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row>
    <row x14ac:dyDescent="0.25" r="37" customHeight="1" ht="13.5">
      <c r="A37" s="1"/>
      <c r="B37" s="896"/>
      <c r="C37" s="193"/>
      <c r="D37" s="906" t="s">
        <v>65</v>
      </c>
      <c r="E37" s="903"/>
      <c r="F37" s="904"/>
      <c r="G37" s="904"/>
      <c r="H37" s="905"/>
      <c r="I37" s="193"/>
      <c r="J37" s="193"/>
      <c r="K37" s="193"/>
      <c r="L37" s="193"/>
      <c r="M37" s="193"/>
      <c r="N37" s="193"/>
      <c r="O37" s="193"/>
      <c r="P37" s="193"/>
      <c r="Q37" s="193"/>
      <c r="R37" s="193"/>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row>
    <row x14ac:dyDescent="0.25" r="38" customHeight="1" ht="13.5">
      <c r="A38" s="1"/>
      <c r="B38" s="896"/>
      <c r="C38" s="193"/>
      <c r="D38" s="902"/>
      <c r="E38" s="903"/>
      <c r="F38" s="904"/>
      <c r="G38" s="904"/>
      <c r="H38" s="905"/>
      <c r="I38" s="193"/>
      <c r="J38" s="193"/>
      <c r="K38" s="193"/>
      <c r="L38" s="193"/>
      <c r="M38" s="193"/>
      <c r="N38" s="193"/>
      <c r="O38" s="193"/>
      <c r="P38" s="193"/>
      <c r="Q38" s="193"/>
      <c r="R38" s="193"/>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row>
    <row x14ac:dyDescent="0.25" r="39" customHeight="1" ht="13.5">
      <c r="A39" s="1"/>
      <c r="B39" s="896"/>
      <c r="C39" s="193"/>
      <c r="D39" s="902"/>
      <c r="E39" s="903"/>
      <c r="F39" s="904"/>
      <c r="G39" s="904"/>
      <c r="H39" s="905"/>
      <c r="I39" s="193"/>
      <c r="J39" s="193"/>
      <c r="K39" s="193"/>
      <c r="L39" s="193"/>
      <c r="M39" s="193"/>
      <c r="N39" s="193"/>
      <c r="O39" s="193"/>
      <c r="P39" s="193"/>
      <c r="Q39" s="193"/>
      <c r="R39" s="193"/>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row>
    <row x14ac:dyDescent="0.25" r="40" customHeight="1" ht="13.5">
      <c r="A40" s="1"/>
      <c r="B40" s="896"/>
      <c r="C40" s="193"/>
      <c r="D40" s="907" t="s">
        <v>358</v>
      </c>
      <c r="E40" s="908" t="s">
        <v>359</v>
      </c>
      <c r="F40" s="904"/>
      <c r="G40" s="904"/>
      <c r="H40" s="905"/>
      <c r="I40" s="193"/>
      <c r="J40" s="193"/>
      <c r="K40" s="193"/>
      <c r="L40" s="193"/>
      <c r="M40" s="193"/>
      <c r="N40" s="193"/>
      <c r="O40" s="193"/>
      <c r="P40" s="193"/>
      <c r="Q40" s="193"/>
      <c r="R40" s="193"/>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row>
    <row x14ac:dyDescent="0.25" r="41" customHeight="1" ht="13.5">
      <c r="A41" s="1"/>
      <c r="B41" s="896"/>
      <c r="C41" s="193"/>
      <c r="D41" s="909">
        <f>+IF(ROUND($G$21,2)&lt;15,"Es necesario haber cotizado un mínimo de 15 años para tener derecho al cobro de la pensión contributiva de la Seguridad Social."," ")</f>
      </c>
      <c r="E41" s="910"/>
      <c r="F41" s="911"/>
      <c r="G41" s="911"/>
      <c r="H41" s="905"/>
      <c r="I41" s="193"/>
      <c r="J41" s="193"/>
      <c r="K41" s="193"/>
      <c r="L41" s="193"/>
      <c r="M41" s="193"/>
      <c r="N41" s="193"/>
      <c r="O41" s="193"/>
      <c r="P41" s="193"/>
      <c r="Q41" s="193"/>
      <c r="R41" s="193"/>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row>
    <row x14ac:dyDescent="0.25" r="42" customHeight="1" ht="13.5">
      <c r="A42" s="1"/>
      <c r="B42" s="896"/>
      <c r="C42" s="193"/>
      <c r="D42" s="902"/>
      <c r="E42" s="903"/>
      <c r="F42" s="904"/>
      <c r="G42" s="904"/>
      <c r="H42" s="905"/>
      <c r="I42" s="193"/>
      <c r="J42" s="193"/>
      <c r="K42" s="193"/>
      <c r="L42" s="193"/>
      <c r="M42" s="193"/>
      <c r="N42" s="193"/>
      <c r="O42" s="193"/>
      <c r="P42" s="193"/>
      <c r="Q42" s="193"/>
      <c r="R42" s="193"/>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row>
    <row x14ac:dyDescent="0.25" r="43" customHeight="1" ht="13.5">
      <c r="A43" s="1"/>
      <c r="B43" s="896"/>
      <c r="C43" s="193"/>
      <c r="D43" s="902"/>
      <c r="E43" s="903"/>
      <c r="F43" s="904"/>
      <c r="G43" s="904"/>
      <c r="H43" s="905"/>
      <c r="I43" s="193"/>
      <c r="J43" s="193"/>
      <c r="K43" s="193"/>
      <c r="L43" s="193"/>
      <c r="M43" s="193"/>
      <c r="N43" s="193"/>
      <c r="O43" s="193"/>
      <c r="P43" s="193"/>
      <c r="Q43" s="193"/>
      <c r="R43" s="193"/>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row>
    <row x14ac:dyDescent="0.25" r="44" customHeight="1" ht="13.5">
      <c r="A44" s="1"/>
      <c r="B44" s="896"/>
      <c r="C44" s="193"/>
      <c r="D44" s="907" t="s">
        <v>360</v>
      </c>
      <c r="E44" s="903"/>
      <c r="F44" s="904"/>
      <c r="G44" s="904"/>
      <c r="H44" s="905"/>
      <c r="I44" s="193"/>
      <c r="J44" s="193"/>
      <c r="K44" s="193"/>
      <c r="L44" s="193"/>
      <c r="M44" s="193"/>
      <c r="N44" s="193"/>
      <c r="O44" s="193"/>
      <c r="P44" s="193"/>
      <c r="Q44" s="193"/>
      <c r="R44" s="193"/>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row>
    <row x14ac:dyDescent="0.25" r="45" customHeight="1" ht="13.5">
      <c r="A45" s="1"/>
      <c r="B45" s="896"/>
      <c r="C45" s="244" t="s">
        <v>361</v>
      </c>
      <c r="D45" s="912">
        <f>IF('Simulador - Datos personales'!$G$7=" ",($G$5-'Simulador - Datos personales'!$E$7)/365.25," ")</f>
      </c>
      <c r="E45" s="913" t="s">
        <v>362</v>
      </c>
      <c r="F45" s="904"/>
      <c r="G45" s="904"/>
      <c r="H45" s="905"/>
      <c r="I45" s="193"/>
      <c r="J45" s="193"/>
      <c r="K45" s="193"/>
      <c r="L45" s="193"/>
      <c r="M45" s="193"/>
      <c r="N45" s="193"/>
      <c r="O45" s="193"/>
      <c r="P45" s="193"/>
      <c r="Q45" s="193"/>
      <c r="R45" s="193"/>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row>
    <row x14ac:dyDescent="0.25" r="46" customHeight="1" ht="13.5">
      <c r="A46" s="1"/>
      <c r="B46" s="896"/>
      <c r="C46" s="244" t="s">
        <v>363</v>
      </c>
      <c r="D46" s="912">
        <f>ROUND(+'Fecha Jubilación'!V8,2)</f>
      </c>
      <c r="E46" s="913" t="s">
        <v>364</v>
      </c>
      <c r="F46" s="904"/>
      <c r="G46" s="904"/>
      <c r="H46" s="905"/>
      <c r="I46" s="193"/>
      <c r="J46" s="193"/>
      <c r="K46" s="193"/>
      <c r="L46" s="193"/>
      <c r="M46" s="193"/>
      <c r="N46" s="193"/>
      <c r="O46" s="193"/>
      <c r="P46" s="193"/>
      <c r="Q46" s="193"/>
      <c r="R46" s="193"/>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row>
    <row x14ac:dyDescent="0.25" r="47" customHeight="1" ht="18">
      <c r="A47" s="1"/>
      <c r="B47" s="896"/>
      <c r="C47" s="193"/>
      <c r="D47" s="906"/>
      <c r="E47" s="757"/>
      <c r="F47" s="805"/>
      <c r="G47" s="805"/>
      <c r="H47" s="803"/>
      <c r="I47" s="1"/>
      <c r="J47" s="193"/>
      <c r="K47" s="193"/>
      <c r="L47" s="193"/>
      <c r="M47" s="193"/>
      <c r="N47" s="193"/>
      <c r="O47" s="193"/>
      <c r="P47" s="193"/>
      <c r="Q47" s="193"/>
      <c r="R47" s="193"/>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row>
    <row x14ac:dyDescent="0.25" r="48" customHeight="1" ht="42.6">
      <c r="A48" s="1"/>
      <c r="B48" s="18"/>
      <c r="C48" s="914"/>
      <c r="D48" s="907" t="s">
        <v>365</v>
      </c>
      <c r="E48" s="7"/>
      <c r="F48" s="915"/>
      <c r="G48" s="916"/>
      <c r="H48" s="317"/>
      <c r="I48" s="316"/>
      <c r="J48" s="914"/>
      <c r="K48" s="914"/>
      <c r="L48" s="914"/>
      <c r="M48" s="914"/>
      <c r="N48" s="917"/>
      <c r="O48" s="917"/>
      <c r="P48" s="917"/>
      <c r="Q48" s="917"/>
      <c r="R48" s="917"/>
      <c r="S48" s="315"/>
      <c r="T48" s="315"/>
      <c r="U48" s="315"/>
      <c r="V48" s="315"/>
      <c r="W48" s="315"/>
      <c r="X48" s="315"/>
      <c r="Y48" s="315"/>
      <c r="Z48" s="315"/>
      <c r="AA48" s="315"/>
      <c r="AB48" s="315"/>
      <c r="AC48" s="315"/>
      <c r="AD48" s="315"/>
      <c r="AE48" s="315"/>
      <c r="AF48" s="315"/>
      <c r="AG48" s="315"/>
      <c r="AH48" s="315"/>
      <c r="AI48" s="315"/>
      <c r="AJ48" s="315"/>
      <c r="AK48" s="315"/>
      <c r="AL48" s="315"/>
      <c r="AM48" s="315"/>
      <c r="AN48" s="315"/>
      <c r="AO48" s="315"/>
      <c r="AP48" s="315"/>
      <c r="AQ48" s="315"/>
      <c r="AR48" s="315"/>
      <c r="AS48" s="315"/>
      <c r="AT48" s="315"/>
      <c r="AU48" s="315"/>
      <c r="AV48" s="315"/>
      <c r="AW48" s="315"/>
      <c r="AX48" s="315"/>
      <c r="AY48" s="315"/>
      <c r="AZ48" s="315"/>
      <c r="BA48" s="315"/>
      <c r="BB48" s="315"/>
      <c r="BC48" s="315"/>
      <c r="BD48" s="315"/>
      <c r="BE48" s="315"/>
      <c r="BF48" s="315"/>
      <c r="BG48" s="315"/>
      <c r="BH48" s="315"/>
      <c r="BI48" s="315"/>
      <c r="BJ48" s="315"/>
      <c r="BK48" s="315"/>
      <c r="BL48" s="315"/>
      <c r="BM48" s="315"/>
      <c r="BN48" s="315"/>
      <c r="BO48" s="315"/>
      <c r="BP48" s="315"/>
      <c r="BQ48" s="315"/>
      <c r="BR48" s="315"/>
      <c r="BS48" s="315"/>
      <c r="BT48" s="315"/>
      <c r="BU48" s="315"/>
      <c r="BV48" s="315"/>
      <c r="BW48" s="315"/>
      <c r="BX48" s="315"/>
      <c r="BY48" s="315"/>
      <c r="BZ48" s="315"/>
      <c r="CA48" s="315"/>
      <c r="CB48" s="315"/>
      <c r="CC48" s="315"/>
      <c r="CD48" s="315"/>
      <c r="CE48" s="315"/>
      <c r="CF48" s="315"/>
      <c r="CG48" s="315"/>
      <c r="CH48" s="315"/>
      <c r="CI48" s="315"/>
      <c r="CJ48" s="315"/>
      <c r="CK48" s="315"/>
      <c r="CL48" s="315"/>
      <c r="CM48" s="315"/>
      <c r="CN48" s="315"/>
      <c r="CO48" s="315"/>
      <c r="CP48" s="315"/>
      <c r="CQ48" s="315"/>
      <c r="CR48" s="315"/>
      <c r="CS48" s="315"/>
      <c r="CT48" s="315"/>
      <c r="CU48" s="315"/>
      <c r="CV48" s="315"/>
      <c r="CW48" s="315"/>
      <c r="CX48" s="315"/>
      <c r="CY48" s="315"/>
      <c r="CZ48" s="315"/>
    </row>
    <row x14ac:dyDescent="0.25" r="49" customHeight="1" ht="15">
      <c r="A49" s="1"/>
      <c r="B49" s="18"/>
      <c r="C49" s="914"/>
      <c r="D49" s="681" t="s">
        <v>366</v>
      </c>
      <c r="E49" s="918"/>
      <c r="F49" s="919"/>
      <c r="G49" s="682">
        <f>+G28</f>
      </c>
      <c r="H49" s="317"/>
      <c r="I49" s="917"/>
      <c r="J49" s="914"/>
      <c r="K49" s="914"/>
      <c r="L49" s="914"/>
      <c r="M49" s="914"/>
      <c r="N49" s="917"/>
      <c r="O49" s="917"/>
      <c r="P49" s="917"/>
      <c r="Q49" s="917"/>
      <c r="R49" s="917"/>
      <c r="S49" s="315"/>
      <c r="T49" s="315"/>
      <c r="U49" s="315"/>
      <c r="V49" s="315"/>
      <c r="W49" s="315"/>
      <c r="X49" s="315"/>
      <c r="Y49" s="315"/>
      <c r="Z49" s="315"/>
      <c r="AA49" s="315"/>
      <c r="AB49" s="315"/>
      <c r="AC49" s="315"/>
      <c r="AD49" s="315"/>
      <c r="AE49" s="315"/>
      <c r="AF49" s="315"/>
      <c r="AG49" s="315"/>
      <c r="AH49" s="315"/>
      <c r="AI49" s="315"/>
      <c r="AJ49" s="315"/>
      <c r="AK49" s="315"/>
      <c r="AL49" s="315"/>
      <c r="AM49" s="315"/>
      <c r="AN49" s="315"/>
      <c r="AO49" s="315"/>
      <c r="AP49" s="315"/>
      <c r="AQ49" s="315"/>
      <c r="AR49" s="315"/>
      <c r="AS49" s="315"/>
      <c r="AT49" s="315"/>
      <c r="AU49" s="315"/>
      <c r="AV49" s="315"/>
      <c r="AW49" s="315"/>
      <c r="AX49" s="315"/>
      <c r="AY49" s="315"/>
      <c r="AZ49" s="315"/>
      <c r="BA49" s="315"/>
      <c r="BB49" s="315"/>
      <c r="BC49" s="315"/>
      <c r="BD49" s="315"/>
      <c r="BE49" s="315"/>
      <c r="BF49" s="315"/>
      <c r="BG49" s="315"/>
      <c r="BH49" s="315"/>
      <c r="BI49" s="315"/>
      <c r="BJ49" s="315"/>
      <c r="BK49" s="315"/>
      <c r="BL49" s="315"/>
      <c r="BM49" s="315"/>
      <c r="BN49" s="315"/>
      <c r="BO49" s="315"/>
      <c r="BP49" s="315"/>
      <c r="BQ49" s="315"/>
      <c r="BR49" s="315"/>
      <c r="BS49" s="315"/>
      <c r="BT49" s="315"/>
      <c r="BU49" s="315"/>
      <c r="BV49" s="315"/>
      <c r="BW49" s="315"/>
      <c r="BX49" s="315"/>
      <c r="BY49" s="315"/>
      <c r="BZ49" s="315"/>
      <c r="CA49" s="315"/>
      <c r="CB49" s="315"/>
      <c r="CC49" s="315"/>
      <c r="CD49" s="315"/>
      <c r="CE49" s="315"/>
      <c r="CF49" s="315"/>
      <c r="CG49" s="315"/>
      <c r="CH49" s="315"/>
      <c r="CI49" s="315"/>
      <c r="CJ49" s="315"/>
      <c r="CK49" s="315"/>
      <c r="CL49" s="315"/>
      <c r="CM49" s="315"/>
      <c r="CN49" s="315"/>
      <c r="CO49" s="315"/>
      <c r="CP49" s="315"/>
      <c r="CQ49" s="315"/>
      <c r="CR49" s="315"/>
      <c r="CS49" s="315"/>
      <c r="CT49" s="315"/>
      <c r="CU49" s="315"/>
      <c r="CV49" s="315"/>
      <c r="CW49" s="315"/>
      <c r="CX49" s="315"/>
      <c r="CY49" s="315"/>
      <c r="CZ49" s="315"/>
    </row>
    <row x14ac:dyDescent="0.25" r="50" customHeight="1" ht="15">
      <c r="A50" s="1"/>
      <c r="B50" s="18"/>
      <c r="C50" s="914"/>
      <c r="D50" s="681" t="s">
        <v>139</v>
      </c>
      <c r="E50" s="7"/>
      <c r="F50" s="916"/>
      <c r="G50" s="682">
        <f>IFERROR(+'Aportaciones PPE'!B11*12,"-")</f>
      </c>
      <c r="H50" s="920"/>
      <c r="I50" s="921"/>
      <c r="J50" s="914"/>
      <c r="K50" s="914"/>
      <c r="L50" s="914"/>
      <c r="M50" s="914"/>
      <c r="N50" s="917"/>
      <c r="O50" s="917"/>
      <c r="P50" s="917"/>
      <c r="Q50" s="917"/>
      <c r="R50" s="917"/>
      <c r="S50" s="315"/>
      <c r="T50" s="315"/>
      <c r="U50" s="315"/>
      <c r="V50" s="315"/>
      <c r="W50" s="315"/>
      <c r="X50" s="315"/>
      <c r="Y50" s="315"/>
      <c r="Z50" s="315"/>
      <c r="AA50" s="315"/>
      <c r="AB50" s="315"/>
      <c r="AC50" s="315"/>
      <c r="AD50" s="315"/>
      <c r="AE50" s="315"/>
      <c r="AF50" s="315"/>
      <c r="AG50" s="315"/>
      <c r="AH50" s="315"/>
      <c r="AI50" s="315"/>
      <c r="AJ50" s="315"/>
      <c r="AK50" s="315"/>
      <c r="AL50" s="315"/>
      <c r="AM50" s="315"/>
      <c r="AN50" s="315"/>
      <c r="AO50" s="315"/>
      <c r="AP50" s="315"/>
      <c r="AQ50" s="315"/>
      <c r="AR50" s="315"/>
      <c r="AS50" s="315"/>
      <c r="AT50" s="315"/>
      <c r="AU50" s="315"/>
      <c r="AV50" s="315"/>
      <c r="AW50" s="315"/>
      <c r="AX50" s="315"/>
      <c r="AY50" s="315"/>
      <c r="AZ50" s="315"/>
      <c r="BA50" s="315"/>
      <c r="BB50" s="315"/>
      <c r="BC50" s="315"/>
      <c r="BD50" s="315"/>
      <c r="BE50" s="315"/>
      <c r="BF50" s="315"/>
      <c r="BG50" s="315"/>
      <c r="BH50" s="315"/>
      <c r="BI50" s="315"/>
      <c r="BJ50" s="315"/>
      <c r="BK50" s="315"/>
      <c r="BL50" s="315"/>
      <c r="BM50" s="315"/>
      <c r="BN50" s="315"/>
      <c r="BO50" s="315"/>
      <c r="BP50" s="315"/>
      <c r="BQ50" s="315"/>
      <c r="BR50" s="315"/>
      <c r="BS50" s="315"/>
      <c r="BT50" s="315"/>
      <c r="BU50" s="315"/>
      <c r="BV50" s="315"/>
      <c r="BW50" s="315"/>
      <c r="BX50" s="315"/>
      <c r="BY50" s="315"/>
      <c r="BZ50" s="315"/>
      <c r="CA50" s="315"/>
      <c r="CB50" s="315"/>
      <c r="CC50" s="315"/>
      <c r="CD50" s="315"/>
      <c r="CE50" s="315"/>
      <c r="CF50" s="315"/>
      <c r="CG50" s="315"/>
      <c r="CH50" s="315"/>
      <c r="CI50" s="315"/>
      <c r="CJ50" s="315"/>
      <c r="CK50" s="315"/>
      <c r="CL50" s="315"/>
      <c r="CM50" s="315"/>
      <c r="CN50" s="315"/>
      <c r="CO50" s="315"/>
      <c r="CP50" s="315"/>
      <c r="CQ50" s="315"/>
      <c r="CR50" s="315"/>
      <c r="CS50" s="315"/>
      <c r="CT50" s="315"/>
      <c r="CU50" s="315"/>
      <c r="CV50" s="315"/>
      <c r="CW50" s="315"/>
      <c r="CX50" s="315"/>
      <c r="CY50" s="315"/>
      <c r="CZ50" s="315"/>
    </row>
    <row x14ac:dyDescent="0.25" r="51" customHeight="1" ht="15">
      <c r="A51" s="1"/>
      <c r="B51" s="18"/>
      <c r="C51" s="914"/>
      <c r="D51" s="681" t="s">
        <v>17</v>
      </c>
      <c r="E51" s="7"/>
      <c r="F51" s="916"/>
      <c r="G51" s="672">
        <f>IFERROR(+F28/G50,"")</f>
      </c>
      <c r="H51" s="922"/>
      <c r="I51" s="921"/>
      <c r="J51" s="923"/>
      <c r="K51" s="914"/>
      <c r="L51" s="914"/>
      <c r="M51" s="914"/>
      <c r="N51" s="917"/>
      <c r="O51" s="917"/>
      <c r="P51" s="917"/>
      <c r="Q51" s="917"/>
      <c r="R51" s="917"/>
      <c r="S51" s="315"/>
      <c r="T51" s="315"/>
      <c r="U51" s="315"/>
      <c r="V51" s="315"/>
      <c r="W51" s="315"/>
      <c r="X51" s="315"/>
      <c r="Y51" s="315"/>
      <c r="Z51" s="315"/>
      <c r="AA51" s="315"/>
      <c r="AB51" s="315"/>
      <c r="AC51" s="315"/>
      <c r="AD51" s="315"/>
      <c r="AE51" s="315"/>
      <c r="AF51" s="315"/>
      <c r="AG51" s="315"/>
      <c r="AH51" s="315"/>
      <c r="AI51" s="315"/>
      <c r="AJ51" s="315"/>
      <c r="AK51" s="315"/>
      <c r="AL51" s="315"/>
      <c r="AM51" s="315"/>
      <c r="AN51" s="315"/>
      <c r="AO51" s="315"/>
      <c r="AP51" s="315"/>
      <c r="AQ51" s="315"/>
      <c r="AR51" s="315"/>
      <c r="AS51" s="315"/>
      <c r="AT51" s="315"/>
      <c r="AU51" s="315"/>
      <c r="AV51" s="315"/>
      <c r="AW51" s="315"/>
      <c r="AX51" s="315"/>
      <c r="AY51" s="315"/>
      <c r="AZ51" s="315"/>
      <c r="BA51" s="315"/>
      <c r="BB51" s="315"/>
      <c r="BC51" s="315"/>
      <c r="BD51" s="315"/>
      <c r="BE51" s="315"/>
      <c r="BF51" s="315"/>
      <c r="BG51" s="315"/>
      <c r="BH51" s="315"/>
      <c r="BI51" s="315"/>
      <c r="BJ51" s="315"/>
      <c r="BK51" s="315"/>
      <c r="BL51" s="315"/>
      <c r="BM51" s="315"/>
      <c r="BN51" s="315"/>
      <c r="BO51" s="315"/>
      <c r="BP51" s="315"/>
      <c r="BQ51" s="315"/>
      <c r="BR51" s="315"/>
      <c r="BS51" s="315"/>
      <c r="BT51" s="315"/>
      <c r="BU51" s="315"/>
      <c r="BV51" s="315"/>
      <c r="BW51" s="315"/>
      <c r="BX51" s="315"/>
      <c r="BY51" s="315"/>
      <c r="BZ51" s="315"/>
      <c r="CA51" s="315"/>
      <c r="CB51" s="315"/>
      <c r="CC51" s="315"/>
      <c r="CD51" s="315"/>
      <c r="CE51" s="315"/>
      <c r="CF51" s="315"/>
      <c r="CG51" s="315"/>
      <c r="CH51" s="315"/>
      <c r="CI51" s="315"/>
      <c r="CJ51" s="315"/>
      <c r="CK51" s="315"/>
      <c r="CL51" s="315"/>
      <c r="CM51" s="315"/>
      <c r="CN51" s="315"/>
      <c r="CO51" s="315"/>
      <c r="CP51" s="315"/>
      <c r="CQ51" s="315"/>
      <c r="CR51" s="315"/>
      <c r="CS51" s="315"/>
      <c r="CT51" s="315"/>
      <c r="CU51" s="315"/>
      <c r="CV51" s="315"/>
      <c r="CW51" s="315"/>
      <c r="CX51" s="315"/>
      <c r="CY51" s="315"/>
      <c r="CZ51" s="315"/>
    </row>
    <row x14ac:dyDescent="0.25" r="52" customHeight="1" ht="15">
      <c r="A52" s="1"/>
      <c r="B52" s="18"/>
      <c r="C52" s="914"/>
      <c r="D52" s="681" t="s">
        <v>367</v>
      </c>
      <c r="E52" s="7"/>
      <c r="F52" s="916"/>
      <c r="G52" s="672">
        <f>IFERROR(MAX(100%-G51,0),"")</f>
      </c>
      <c r="H52" s="922"/>
      <c r="I52" s="921"/>
      <c r="J52" s="917"/>
      <c r="K52" s="914"/>
      <c r="L52" s="914"/>
      <c r="M52" s="914"/>
      <c r="N52" s="917"/>
      <c r="O52" s="917"/>
      <c r="P52" s="917"/>
      <c r="Q52" s="917"/>
      <c r="R52" s="917"/>
      <c r="S52" s="315"/>
      <c r="T52" s="315"/>
      <c r="U52" s="315"/>
      <c r="V52" s="315"/>
      <c r="W52" s="315"/>
      <c r="X52" s="315"/>
      <c r="Y52" s="315"/>
      <c r="Z52" s="315"/>
      <c r="AA52" s="315"/>
      <c r="AB52" s="315"/>
      <c r="AC52" s="315"/>
      <c r="AD52" s="315"/>
      <c r="AE52" s="315"/>
      <c r="AF52" s="315"/>
      <c r="AG52" s="315"/>
      <c r="AH52" s="315"/>
      <c r="AI52" s="315"/>
      <c r="AJ52" s="315"/>
      <c r="AK52" s="315"/>
      <c r="AL52" s="315"/>
      <c r="AM52" s="315"/>
      <c r="AN52" s="315"/>
      <c r="AO52" s="315"/>
      <c r="AP52" s="315"/>
      <c r="AQ52" s="315"/>
      <c r="AR52" s="315"/>
      <c r="AS52" s="315"/>
      <c r="AT52" s="315"/>
      <c r="AU52" s="315"/>
      <c r="AV52" s="315"/>
      <c r="AW52" s="315"/>
      <c r="AX52" s="315"/>
      <c r="AY52" s="315"/>
      <c r="AZ52" s="315"/>
      <c r="BA52" s="315"/>
      <c r="BB52" s="315"/>
      <c r="BC52" s="315"/>
      <c r="BD52" s="315"/>
      <c r="BE52" s="315"/>
      <c r="BF52" s="315"/>
      <c r="BG52" s="315"/>
      <c r="BH52" s="315"/>
      <c r="BI52" s="315"/>
      <c r="BJ52" s="315"/>
      <c r="BK52" s="315"/>
      <c r="BL52" s="315"/>
      <c r="BM52" s="315"/>
      <c r="BN52" s="315"/>
      <c r="BO52" s="315"/>
      <c r="BP52" s="315"/>
      <c r="BQ52" s="315"/>
      <c r="BR52" s="315"/>
      <c r="BS52" s="315"/>
      <c r="BT52" s="315"/>
      <c r="BU52" s="315"/>
      <c r="BV52" s="315"/>
      <c r="BW52" s="315"/>
      <c r="BX52" s="315"/>
      <c r="BY52" s="315"/>
      <c r="BZ52" s="315"/>
      <c r="CA52" s="315"/>
      <c r="CB52" s="315"/>
      <c r="CC52" s="315"/>
      <c r="CD52" s="315"/>
      <c r="CE52" s="315"/>
      <c r="CF52" s="315"/>
      <c r="CG52" s="315"/>
      <c r="CH52" s="315"/>
      <c r="CI52" s="315"/>
      <c r="CJ52" s="315"/>
      <c r="CK52" s="315"/>
      <c r="CL52" s="315"/>
      <c r="CM52" s="315"/>
      <c r="CN52" s="315"/>
      <c r="CO52" s="315"/>
      <c r="CP52" s="315"/>
      <c r="CQ52" s="315"/>
      <c r="CR52" s="315"/>
      <c r="CS52" s="315"/>
      <c r="CT52" s="315"/>
      <c r="CU52" s="315"/>
      <c r="CV52" s="315"/>
      <c r="CW52" s="315"/>
      <c r="CX52" s="315"/>
      <c r="CY52" s="315"/>
      <c r="CZ52" s="315"/>
    </row>
    <row x14ac:dyDescent="0.25" r="53" customHeight="1" ht="15">
      <c r="A53" s="1"/>
      <c r="B53" s="18"/>
      <c r="C53" s="914"/>
      <c r="D53" s="169"/>
      <c r="E53" s="7"/>
      <c r="F53" s="916"/>
      <c r="G53" s="916"/>
      <c r="H53" s="317"/>
      <c r="I53" s="921"/>
      <c r="J53" s="914"/>
      <c r="K53" s="914"/>
      <c r="L53" s="914"/>
      <c r="M53" s="914"/>
      <c r="N53" s="917"/>
      <c r="O53" s="917"/>
      <c r="P53" s="917"/>
      <c r="Q53" s="917"/>
      <c r="R53" s="917"/>
      <c r="S53" s="315"/>
      <c r="T53" s="315"/>
      <c r="U53" s="315"/>
      <c r="V53" s="315"/>
      <c r="W53" s="315"/>
      <c r="X53" s="315"/>
      <c r="Y53" s="315"/>
      <c r="Z53" s="315"/>
      <c r="AA53" s="315"/>
      <c r="AB53" s="315"/>
      <c r="AC53" s="315"/>
      <c r="AD53" s="315"/>
      <c r="AE53" s="315"/>
      <c r="AF53" s="315"/>
      <c r="AG53" s="315"/>
      <c r="AH53" s="315"/>
      <c r="AI53" s="315"/>
      <c r="AJ53" s="315"/>
      <c r="AK53" s="315"/>
      <c r="AL53" s="315"/>
      <c r="AM53" s="315"/>
      <c r="AN53" s="315"/>
      <c r="AO53" s="315"/>
      <c r="AP53" s="315"/>
      <c r="AQ53" s="315"/>
      <c r="AR53" s="315"/>
      <c r="AS53" s="315"/>
      <c r="AT53" s="315"/>
      <c r="AU53" s="315"/>
      <c r="AV53" s="315"/>
      <c r="AW53" s="315"/>
      <c r="AX53" s="315"/>
      <c r="AY53" s="315"/>
      <c r="AZ53" s="315"/>
      <c r="BA53" s="315"/>
      <c r="BB53" s="315"/>
      <c r="BC53" s="315"/>
      <c r="BD53" s="315"/>
      <c r="BE53" s="315"/>
      <c r="BF53" s="315"/>
      <c r="BG53" s="315"/>
      <c r="BH53" s="315"/>
      <c r="BI53" s="315"/>
      <c r="BJ53" s="315"/>
      <c r="BK53" s="315"/>
      <c r="BL53" s="315"/>
      <c r="BM53" s="315"/>
      <c r="BN53" s="315"/>
      <c r="BO53" s="315"/>
      <c r="BP53" s="315"/>
      <c r="BQ53" s="315"/>
      <c r="BR53" s="315"/>
      <c r="BS53" s="315"/>
      <c r="BT53" s="315"/>
      <c r="BU53" s="315"/>
      <c r="BV53" s="315"/>
      <c r="BW53" s="315"/>
      <c r="BX53" s="315"/>
      <c r="BY53" s="315"/>
      <c r="BZ53" s="315"/>
      <c r="CA53" s="315"/>
      <c r="CB53" s="315"/>
      <c r="CC53" s="315"/>
      <c r="CD53" s="315"/>
      <c r="CE53" s="315"/>
      <c r="CF53" s="315"/>
      <c r="CG53" s="315"/>
      <c r="CH53" s="315"/>
      <c r="CI53" s="315"/>
      <c r="CJ53" s="315"/>
      <c r="CK53" s="315"/>
      <c r="CL53" s="315"/>
      <c r="CM53" s="315"/>
      <c r="CN53" s="315"/>
      <c r="CO53" s="315"/>
      <c r="CP53" s="315"/>
      <c r="CQ53" s="315"/>
      <c r="CR53" s="315"/>
      <c r="CS53" s="315"/>
      <c r="CT53" s="315"/>
      <c r="CU53" s="315"/>
      <c r="CV53" s="315"/>
      <c r="CW53" s="315"/>
      <c r="CX53" s="315"/>
      <c r="CY53" s="315"/>
      <c r="CZ53" s="315"/>
    </row>
    <row x14ac:dyDescent="0.25" r="54" customHeight="1" ht="15">
      <c r="A54" s="1"/>
      <c r="B54" s="18"/>
      <c r="C54" s="914"/>
      <c r="D54" s="169"/>
      <c r="E54" s="7"/>
      <c r="F54" s="916"/>
      <c r="G54" s="916"/>
      <c r="H54" s="317"/>
      <c r="I54" s="921"/>
      <c r="J54" s="914"/>
      <c r="K54" s="914"/>
      <c r="L54" s="914"/>
      <c r="M54" s="914"/>
      <c r="N54" s="917"/>
      <c r="O54" s="917"/>
      <c r="P54" s="917"/>
      <c r="Q54" s="917"/>
      <c r="R54" s="917"/>
      <c r="S54" s="315"/>
      <c r="T54" s="315"/>
      <c r="U54" s="315"/>
      <c r="V54" s="315"/>
      <c r="W54" s="315"/>
      <c r="X54" s="315"/>
      <c r="Y54" s="315"/>
      <c r="Z54" s="315"/>
      <c r="AA54" s="315"/>
      <c r="AB54" s="315"/>
      <c r="AC54" s="315"/>
      <c r="AD54" s="315"/>
      <c r="AE54" s="315"/>
      <c r="AF54" s="315"/>
      <c r="AG54" s="315"/>
      <c r="AH54" s="315"/>
      <c r="AI54" s="315"/>
      <c r="AJ54" s="315"/>
      <c r="AK54" s="315"/>
      <c r="AL54" s="315"/>
      <c r="AM54" s="315"/>
      <c r="AN54" s="315"/>
      <c r="AO54" s="315"/>
      <c r="AP54" s="315"/>
      <c r="AQ54" s="315"/>
      <c r="AR54" s="315"/>
      <c r="AS54" s="315"/>
      <c r="AT54" s="315"/>
      <c r="AU54" s="315"/>
      <c r="AV54" s="315"/>
      <c r="AW54" s="315"/>
      <c r="AX54" s="315"/>
      <c r="AY54" s="315"/>
      <c r="AZ54" s="315"/>
      <c r="BA54" s="315"/>
      <c r="BB54" s="315"/>
      <c r="BC54" s="315"/>
      <c r="BD54" s="315"/>
      <c r="BE54" s="315"/>
      <c r="BF54" s="315"/>
      <c r="BG54" s="315"/>
      <c r="BH54" s="315"/>
      <c r="BI54" s="315"/>
      <c r="BJ54" s="315"/>
      <c r="BK54" s="315"/>
      <c r="BL54" s="315"/>
      <c r="BM54" s="315"/>
      <c r="BN54" s="315"/>
      <c r="BO54" s="315"/>
      <c r="BP54" s="315"/>
      <c r="BQ54" s="315"/>
      <c r="BR54" s="315"/>
      <c r="BS54" s="315"/>
      <c r="BT54" s="315"/>
      <c r="BU54" s="315"/>
      <c r="BV54" s="315"/>
      <c r="BW54" s="315"/>
      <c r="BX54" s="315"/>
      <c r="BY54" s="315"/>
      <c r="BZ54" s="315"/>
      <c r="CA54" s="315"/>
      <c r="CB54" s="315"/>
      <c r="CC54" s="315"/>
      <c r="CD54" s="315"/>
      <c r="CE54" s="315"/>
      <c r="CF54" s="315"/>
      <c r="CG54" s="315"/>
      <c r="CH54" s="315"/>
      <c r="CI54" s="315"/>
      <c r="CJ54" s="315"/>
      <c r="CK54" s="315"/>
      <c r="CL54" s="315"/>
      <c r="CM54" s="315"/>
      <c r="CN54" s="315"/>
      <c r="CO54" s="315"/>
      <c r="CP54" s="315"/>
      <c r="CQ54" s="315"/>
      <c r="CR54" s="315"/>
      <c r="CS54" s="315"/>
      <c r="CT54" s="315"/>
      <c r="CU54" s="315"/>
      <c r="CV54" s="315"/>
      <c r="CW54" s="315"/>
      <c r="CX54" s="315"/>
      <c r="CY54" s="315"/>
      <c r="CZ54" s="315"/>
    </row>
    <row x14ac:dyDescent="0.25" r="55" customHeight="1" ht="15">
      <c r="A55" s="1"/>
      <c r="B55" s="18"/>
      <c r="C55" s="914"/>
      <c r="D55" s="907" t="s">
        <v>368</v>
      </c>
      <c r="E55" s="924"/>
      <c r="F55" s="925"/>
      <c r="G55" s="916"/>
      <c r="H55" s="317"/>
      <c r="I55" s="921"/>
      <c r="J55" s="914"/>
      <c r="K55" s="914"/>
      <c r="L55" s="914"/>
      <c r="M55" s="914"/>
      <c r="N55" s="917"/>
      <c r="O55" s="917"/>
      <c r="P55" s="917"/>
      <c r="Q55" s="917"/>
      <c r="R55" s="917"/>
      <c r="S55" s="315"/>
      <c r="T55" s="315"/>
      <c r="U55" s="315"/>
      <c r="V55" s="315"/>
      <c r="W55" s="315"/>
      <c r="X55" s="315"/>
      <c r="Y55" s="315"/>
      <c r="Z55" s="315"/>
      <c r="AA55" s="315"/>
      <c r="AB55" s="315"/>
      <c r="AC55" s="315"/>
      <c r="AD55" s="315"/>
      <c r="AE55" s="315"/>
      <c r="AF55" s="315"/>
      <c r="AG55" s="315"/>
      <c r="AH55" s="315"/>
      <c r="AI55" s="315"/>
      <c r="AJ55" s="315"/>
      <c r="AK55" s="315"/>
      <c r="AL55" s="315"/>
      <c r="AM55" s="315"/>
      <c r="AN55" s="315"/>
      <c r="AO55" s="315"/>
      <c r="AP55" s="315"/>
      <c r="AQ55" s="315"/>
      <c r="AR55" s="315"/>
      <c r="AS55" s="315"/>
      <c r="AT55" s="315"/>
      <c r="AU55" s="315"/>
      <c r="AV55" s="315"/>
      <c r="AW55" s="315"/>
      <c r="AX55" s="315"/>
      <c r="AY55" s="315"/>
      <c r="AZ55" s="315"/>
      <c r="BA55" s="315"/>
      <c r="BB55" s="315"/>
      <c r="BC55" s="315"/>
      <c r="BD55" s="315"/>
      <c r="BE55" s="315"/>
      <c r="BF55" s="315"/>
      <c r="BG55" s="315"/>
      <c r="BH55" s="315"/>
      <c r="BI55" s="315"/>
      <c r="BJ55" s="315"/>
      <c r="BK55" s="315"/>
      <c r="BL55" s="315"/>
      <c r="BM55" s="315"/>
      <c r="BN55" s="315"/>
      <c r="BO55" s="315"/>
      <c r="BP55" s="315"/>
      <c r="BQ55" s="315"/>
      <c r="BR55" s="315"/>
      <c r="BS55" s="315"/>
      <c r="BT55" s="315"/>
      <c r="BU55" s="315"/>
      <c r="BV55" s="315"/>
      <c r="BW55" s="315"/>
      <c r="BX55" s="315"/>
      <c r="BY55" s="315"/>
      <c r="BZ55" s="315"/>
      <c r="CA55" s="315"/>
      <c r="CB55" s="315"/>
      <c r="CC55" s="315"/>
      <c r="CD55" s="315"/>
      <c r="CE55" s="315"/>
      <c r="CF55" s="315"/>
      <c r="CG55" s="315"/>
      <c r="CH55" s="315"/>
      <c r="CI55" s="315"/>
      <c r="CJ55" s="315"/>
      <c r="CK55" s="315"/>
      <c r="CL55" s="315"/>
      <c r="CM55" s="315"/>
      <c r="CN55" s="315"/>
      <c r="CO55" s="315"/>
      <c r="CP55" s="315"/>
      <c r="CQ55" s="315"/>
      <c r="CR55" s="315"/>
      <c r="CS55" s="315"/>
      <c r="CT55" s="315"/>
      <c r="CU55" s="315"/>
      <c r="CV55" s="315"/>
      <c r="CW55" s="315"/>
      <c r="CX55" s="315"/>
      <c r="CY55" s="315"/>
      <c r="CZ55" s="315"/>
    </row>
    <row x14ac:dyDescent="0.25" r="56" customHeight="1" ht="15">
      <c r="A56" s="1"/>
      <c r="B56" s="18"/>
      <c r="C56" s="914"/>
      <c r="D56" s="681" t="s">
        <v>351</v>
      </c>
      <c r="E56" s="910"/>
      <c r="F56" s="916"/>
      <c r="G56" s="916"/>
      <c r="H56" s="317"/>
      <c r="I56" s="921"/>
      <c r="J56" s="2"/>
      <c r="K56" s="2"/>
      <c r="L56" s="2"/>
      <c r="M56" s="2"/>
      <c r="N56" s="917"/>
      <c r="O56" s="917"/>
      <c r="P56" s="917"/>
      <c r="Q56" s="917"/>
      <c r="R56" s="917"/>
      <c r="S56" s="315"/>
      <c r="T56" s="315"/>
      <c r="U56" s="315"/>
      <c r="V56" s="315"/>
      <c r="W56" s="315"/>
      <c r="X56" s="315"/>
      <c r="Y56" s="315"/>
      <c r="Z56" s="315"/>
      <c r="AA56" s="315"/>
      <c r="AB56" s="315"/>
      <c r="AC56" s="315"/>
      <c r="AD56" s="315"/>
      <c r="AE56" s="315"/>
      <c r="AF56" s="315"/>
      <c r="AG56" s="315"/>
      <c r="AH56" s="315"/>
      <c r="AI56" s="315"/>
      <c r="AJ56" s="315"/>
      <c r="AK56" s="315"/>
      <c r="AL56" s="315"/>
      <c r="AM56" s="315"/>
      <c r="AN56" s="315"/>
      <c r="AO56" s="315"/>
      <c r="AP56" s="315"/>
      <c r="AQ56" s="315"/>
      <c r="AR56" s="315"/>
      <c r="AS56" s="315"/>
      <c r="AT56" s="315"/>
      <c r="AU56" s="315"/>
      <c r="AV56" s="315"/>
      <c r="AW56" s="315"/>
      <c r="AX56" s="315"/>
      <c r="AY56" s="315"/>
      <c r="AZ56" s="315"/>
      <c r="BA56" s="315"/>
      <c r="BB56" s="315"/>
      <c r="BC56" s="315"/>
      <c r="BD56" s="315"/>
      <c r="BE56" s="315"/>
      <c r="BF56" s="315"/>
      <c r="BG56" s="315"/>
      <c r="BH56" s="315"/>
      <c r="BI56" s="315"/>
      <c r="BJ56" s="315"/>
      <c r="BK56" s="315"/>
      <c r="BL56" s="315"/>
      <c r="BM56" s="315"/>
      <c r="BN56" s="315"/>
      <c r="BO56" s="315"/>
      <c r="BP56" s="315"/>
      <c r="BQ56" s="315"/>
      <c r="BR56" s="315"/>
      <c r="BS56" s="315"/>
      <c r="BT56" s="315"/>
      <c r="BU56" s="315"/>
      <c r="BV56" s="315"/>
      <c r="BW56" s="315"/>
      <c r="BX56" s="315"/>
      <c r="BY56" s="315"/>
      <c r="BZ56" s="315"/>
      <c r="CA56" s="315"/>
      <c r="CB56" s="315"/>
      <c r="CC56" s="315"/>
      <c r="CD56" s="315"/>
      <c r="CE56" s="315"/>
      <c r="CF56" s="315"/>
      <c r="CG56" s="315"/>
      <c r="CH56" s="315"/>
      <c r="CI56" s="315"/>
      <c r="CJ56" s="315"/>
      <c r="CK56" s="315"/>
      <c r="CL56" s="315"/>
      <c r="CM56" s="315"/>
      <c r="CN56" s="315"/>
      <c r="CO56" s="315"/>
      <c r="CP56" s="315"/>
      <c r="CQ56" s="315"/>
      <c r="CR56" s="315"/>
      <c r="CS56" s="315"/>
      <c r="CT56" s="315"/>
      <c r="CU56" s="315"/>
      <c r="CV56" s="315"/>
      <c r="CW56" s="315"/>
      <c r="CX56" s="315"/>
      <c r="CY56" s="315"/>
      <c r="CZ56" s="315"/>
    </row>
    <row x14ac:dyDescent="0.25" r="57" customHeight="1" ht="15">
      <c r="A57" s="1"/>
      <c r="B57" s="18"/>
      <c r="C57" s="914"/>
      <c r="D57" s="681" t="s">
        <v>369</v>
      </c>
      <c r="E57" s="910"/>
      <c r="F57" s="911"/>
      <c r="G57" s="911"/>
      <c r="H57" s="206"/>
      <c r="I57" s="2"/>
      <c r="J57" s="2"/>
      <c r="K57" s="2"/>
      <c r="L57" s="2"/>
      <c r="M57" s="2"/>
      <c r="N57" s="917"/>
      <c r="O57" s="917"/>
      <c r="P57" s="917"/>
      <c r="Q57" s="917"/>
      <c r="R57" s="917"/>
      <c r="S57" s="315"/>
      <c r="T57" s="315"/>
      <c r="U57" s="315"/>
      <c r="V57" s="315"/>
      <c r="W57" s="315"/>
      <c r="X57" s="315"/>
      <c r="Y57" s="315"/>
      <c r="Z57" s="315"/>
      <c r="AA57" s="315"/>
      <c r="AB57" s="315"/>
      <c r="AC57" s="315"/>
      <c r="AD57" s="315"/>
      <c r="AE57" s="315"/>
      <c r="AF57" s="315"/>
      <c r="AG57" s="315"/>
      <c r="AH57" s="315"/>
      <c r="AI57" s="315"/>
      <c r="AJ57" s="315"/>
      <c r="AK57" s="315"/>
      <c r="AL57" s="315"/>
      <c r="AM57" s="315"/>
      <c r="AN57" s="315"/>
      <c r="AO57" s="315"/>
      <c r="AP57" s="315"/>
      <c r="AQ57" s="315"/>
      <c r="AR57" s="315"/>
      <c r="AS57" s="315"/>
      <c r="AT57" s="315"/>
      <c r="AU57" s="315"/>
      <c r="AV57" s="315"/>
      <c r="AW57" s="315"/>
      <c r="AX57" s="315"/>
      <c r="AY57" s="315"/>
      <c r="AZ57" s="315"/>
      <c r="BA57" s="315"/>
      <c r="BB57" s="315"/>
      <c r="BC57" s="315"/>
      <c r="BD57" s="315"/>
      <c r="BE57" s="315"/>
      <c r="BF57" s="315"/>
      <c r="BG57" s="315"/>
      <c r="BH57" s="315"/>
      <c r="BI57" s="315"/>
      <c r="BJ57" s="315"/>
      <c r="BK57" s="315"/>
      <c r="BL57" s="315"/>
      <c r="BM57" s="315"/>
      <c r="BN57" s="315"/>
      <c r="BO57" s="315"/>
      <c r="BP57" s="315"/>
      <c r="BQ57" s="315"/>
      <c r="BR57" s="315"/>
      <c r="BS57" s="315"/>
      <c r="BT57" s="315"/>
      <c r="BU57" s="315"/>
      <c r="BV57" s="315"/>
      <c r="BW57" s="315"/>
      <c r="BX57" s="315"/>
      <c r="BY57" s="315"/>
      <c r="BZ57" s="315"/>
      <c r="CA57" s="315"/>
      <c r="CB57" s="315"/>
      <c r="CC57" s="315"/>
      <c r="CD57" s="315"/>
      <c r="CE57" s="315"/>
      <c r="CF57" s="315"/>
      <c r="CG57" s="315"/>
      <c r="CH57" s="315"/>
      <c r="CI57" s="315"/>
      <c r="CJ57" s="315"/>
      <c r="CK57" s="315"/>
      <c r="CL57" s="315"/>
      <c r="CM57" s="315"/>
      <c r="CN57" s="315"/>
      <c r="CO57" s="315"/>
      <c r="CP57" s="315"/>
      <c r="CQ57" s="315"/>
      <c r="CR57" s="315"/>
      <c r="CS57" s="315"/>
      <c r="CT57" s="315"/>
      <c r="CU57" s="315"/>
      <c r="CV57" s="315"/>
      <c r="CW57" s="315"/>
      <c r="CX57" s="315"/>
      <c r="CY57" s="315"/>
      <c r="CZ57" s="315"/>
    </row>
    <row x14ac:dyDescent="0.25" r="58" customHeight="1" ht="15">
      <c r="A58" s="1"/>
      <c r="B58" s="18"/>
      <c r="C58" s="914"/>
      <c r="D58" s="681" t="s">
        <v>370</v>
      </c>
      <c r="E58" s="910"/>
      <c r="F58" s="911"/>
      <c r="G58" s="911"/>
      <c r="H58" s="206"/>
      <c r="I58" s="2"/>
      <c r="J58" s="2"/>
      <c r="K58" s="2"/>
      <c r="L58" s="2"/>
      <c r="M58" s="2"/>
      <c r="N58" s="917"/>
      <c r="O58" s="917"/>
      <c r="P58" s="917"/>
      <c r="Q58" s="917"/>
      <c r="R58" s="917"/>
      <c r="S58" s="315"/>
      <c r="T58" s="315"/>
      <c r="U58" s="315"/>
      <c r="V58" s="315"/>
      <c r="W58" s="315"/>
      <c r="X58" s="315"/>
      <c r="Y58" s="315"/>
      <c r="Z58" s="315"/>
      <c r="AA58" s="315"/>
      <c r="AB58" s="315"/>
      <c r="AC58" s="315"/>
      <c r="AD58" s="315"/>
      <c r="AE58" s="315"/>
      <c r="AF58" s="315"/>
      <c r="AG58" s="315"/>
      <c r="AH58" s="315"/>
      <c r="AI58" s="315"/>
      <c r="AJ58" s="315"/>
      <c r="AK58" s="315"/>
      <c r="AL58" s="315"/>
      <c r="AM58" s="315"/>
      <c r="AN58" s="315"/>
      <c r="AO58" s="315"/>
      <c r="AP58" s="315"/>
      <c r="AQ58" s="315"/>
      <c r="AR58" s="315"/>
      <c r="AS58" s="315"/>
      <c r="AT58" s="315"/>
      <c r="AU58" s="315"/>
      <c r="AV58" s="315"/>
      <c r="AW58" s="315"/>
      <c r="AX58" s="315"/>
      <c r="AY58" s="315"/>
      <c r="AZ58" s="315"/>
      <c r="BA58" s="315"/>
      <c r="BB58" s="315"/>
      <c r="BC58" s="315"/>
      <c r="BD58" s="315"/>
      <c r="BE58" s="315"/>
      <c r="BF58" s="315"/>
      <c r="BG58" s="315"/>
      <c r="BH58" s="315"/>
      <c r="BI58" s="315"/>
      <c r="BJ58" s="315"/>
      <c r="BK58" s="315"/>
      <c r="BL58" s="315"/>
      <c r="BM58" s="315"/>
      <c r="BN58" s="315"/>
      <c r="BO58" s="315"/>
      <c r="BP58" s="315"/>
      <c r="BQ58" s="315"/>
      <c r="BR58" s="315"/>
      <c r="BS58" s="315"/>
      <c r="BT58" s="315"/>
      <c r="BU58" s="315"/>
      <c r="BV58" s="315"/>
      <c r="BW58" s="315"/>
      <c r="BX58" s="315"/>
      <c r="BY58" s="315"/>
      <c r="BZ58" s="315"/>
      <c r="CA58" s="315"/>
      <c r="CB58" s="315"/>
      <c r="CC58" s="315"/>
      <c r="CD58" s="315"/>
      <c r="CE58" s="315"/>
      <c r="CF58" s="315"/>
      <c r="CG58" s="315"/>
      <c r="CH58" s="315"/>
      <c r="CI58" s="315"/>
      <c r="CJ58" s="315"/>
      <c r="CK58" s="315"/>
      <c r="CL58" s="315"/>
      <c r="CM58" s="315"/>
      <c r="CN58" s="315"/>
      <c r="CO58" s="315"/>
      <c r="CP58" s="315"/>
      <c r="CQ58" s="315"/>
      <c r="CR58" s="315"/>
      <c r="CS58" s="315"/>
      <c r="CT58" s="315"/>
      <c r="CU58" s="315"/>
      <c r="CV58" s="315"/>
      <c r="CW58" s="315"/>
      <c r="CX58" s="315"/>
      <c r="CY58" s="315"/>
      <c r="CZ58" s="315"/>
    </row>
    <row x14ac:dyDescent="0.25" r="59" customHeight="1" ht="15">
      <c r="A59" s="1"/>
      <c r="B59" s="18"/>
      <c r="C59" s="914"/>
      <c r="D59" s="926"/>
      <c r="E59" s="6"/>
      <c r="F59" s="5"/>
      <c r="G59" s="5"/>
      <c r="H59" s="3"/>
      <c r="I59" s="2"/>
      <c r="J59" s="2"/>
      <c r="K59" s="2"/>
      <c r="L59" s="2"/>
      <c r="M59" s="2"/>
      <c r="N59" s="917"/>
      <c r="O59" s="917"/>
      <c r="P59" s="917"/>
      <c r="Q59" s="917"/>
      <c r="R59" s="917"/>
      <c r="S59" s="315"/>
      <c r="T59" s="315"/>
      <c r="U59" s="315"/>
      <c r="V59" s="315"/>
      <c r="W59" s="315"/>
      <c r="X59" s="315"/>
      <c r="Y59" s="315"/>
      <c r="Z59" s="315"/>
      <c r="AA59" s="315"/>
      <c r="AB59" s="315"/>
      <c r="AC59" s="315"/>
      <c r="AD59" s="315"/>
      <c r="AE59" s="315"/>
      <c r="AF59" s="315"/>
      <c r="AG59" s="315"/>
      <c r="AH59" s="315"/>
      <c r="AI59" s="315"/>
      <c r="AJ59" s="315"/>
      <c r="AK59" s="315"/>
      <c r="AL59" s="315"/>
      <c r="AM59" s="315"/>
      <c r="AN59" s="315"/>
      <c r="AO59" s="315"/>
      <c r="AP59" s="315"/>
      <c r="AQ59" s="315"/>
      <c r="AR59" s="315"/>
      <c r="AS59" s="315"/>
      <c r="AT59" s="315"/>
      <c r="AU59" s="315"/>
      <c r="AV59" s="315"/>
      <c r="AW59" s="315"/>
      <c r="AX59" s="315"/>
      <c r="AY59" s="315"/>
      <c r="AZ59" s="315"/>
      <c r="BA59" s="315"/>
      <c r="BB59" s="315"/>
      <c r="BC59" s="315"/>
      <c r="BD59" s="315"/>
      <c r="BE59" s="315"/>
      <c r="BF59" s="315"/>
      <c r="BG59" s="315"/>
      <c r="BH59" s="315"/>
      <c r="BI59" s="315"/>
      <c r="BJ59" s="315"/>
      <c r="BK59" s="315"/>
      <c r="BL59" s="315"/>
      <c r="BM59" s="315"/>
      <c r="BN59" s="315"/>
      <c r="BO59" s="315"/>
      <c r="BP59" s="315"/>
      <c r="BQ59" s="315"/>
      <c r="BR59" s="315"/>
      <c r="BS59" s="315"/>
      <c r="BT59" s="315"/>
      <c r="BU59" s="315"/>
      <c r="BV59" s="315"/>
      <c r="BW59" s="315"/>
      <c r="BX59" s="315"/>
      <c r="BY59" s="315"/>
      <c r="BZ59" s="315"/>
      <c r="CA59" s="315"/>
      <c r="CB59" s="315"/>
      <c r="CC59" s="315"/>
      <c r="CD59" s="315"/>
      <c r="CE59" s="315"/>
      <c r="CF59" s="315"/>
      <c r="CG59" s="315"/>
      <c r="CH59" s="315"/>
      <c r="CI59" s="315"/>
      <c r="CJ59" s="315"/>
      <c r="CK59" s="315"/>
      <c r="CL59" s="315"/>
      <c r="CM59" s="315"/>
      <c r="CN59" s="315"/>
      <c r="CO59" s="315"/>
      <c r="CP59" s="315"/>
      <c r="CQ59" s="315"/>
      <c r="CR59" s="315"/>
      <c r="CS59" s="315"/>
      <c r="CT59" s="315"/>
      <c r="CU59" s="315"/>
      <c r="CV59" s="315"/>
      <c r="CW59" s="315"/>
      <c r="CX59" s="315"/>
      <c r="CY59" s="315"/>
      <c r="CZ59" s="315"/>
    </row>
    <row x14ac:dyDescent="0.25" r="60" customHeight="1" ht="15">
      <c r="A60" s="1"/>
      <c r="B60" s="18"/>
      <c r="C60" s="914"/>
      <c r="D60" s="907" t="s">
        <v>371</v>
      </c>
      <c r="E60" s="924"/>
      <c r="F60" s="5"/>
      <c r="G60" s="5"/>
      <c r="H60" s="3"/>
      <c r="I60" s="2"/>
      <c r="J60" s="2"/>
      <c r="K60" s="2"/>
      <c r="L60" s="2"/>
      <c r="M60" s="2"/>
      <c r="N60" s="917"/>
      <c r="O60" s="917"/>
      <c r="P60" s="917"/>
      <c r="Q60" s="917"/>
      <c r="R60" s="917"/>
      <c r="S60" s="315"/>
      <c r="T60" s="315"/>
      <c r="U60" s="315"/>
      <c r="V60" s="315"/>
      <c r="W60" s="315"/>
      <c r="X60" s="315"/>
      <c r="Y60" s="315"/>
      <c r="Z60" s="315"/>
      <c r="AA60" s="315"/>
      <c r="AB60" s="315"/>
      <c r="AC60" s="315"/>
      <c r="AD60" s="315"/>
      <c r="AE60" s="315"/>
      <c r="AF60" s="315"/>
      <c r="AG60" s="315"/>
      <c r="AH60" s="315"/>
      <c r="AI60" s="315"/>
      <c r="AJ60" s="315"/>
      <c r="AK60" s="315"/>
      <c r="AL60" s="315"/>
      <c r="AM60" s="315"/>
      <c r="AN60" s="315"/>
      <c r="AO60" s="315"/>
      <c r="AP60" s="315"/>
      <c r="AQ60" s="315"/>
      <c r="AR60" s="315"/>
      <c r="AS60" s="315"/>
      <c r="AT60" s="315"/>
      <c r="AU60" s="315"/>
      <c r="AV60" s="315"/>
      <c r="AW60" s="315"/>
      <c r="AX60" s="315"/>
      <c r="AY60" s="315"/>
      <c r="AZ60" s="315"/>
      <c r="BA60" s="315"/>
      <c r="BB60" s="315"/>
      <c r="BC60" s="315"/>
      <c r="BD60" s="315"/>
      <c r="BE60" s="315"/>
      <c r="BF60" s="315"/>
      <c r="BG60" s="315"/>
      <c r="BH60" s="315"/>
      <c r="BI60" s="315"/>
      <c r="BJ60" s="315"/>
      <c r="BK60" s="315"/>
      <c r="BL60" s="315"/>
      <c r="BM60" s="315"/>
      <c r="BN60" s="315"/>
      <c r="BO60" s="315"/>
      <c r="BP60" s="315"/>
      <c r="BQ60" s="315"/>
      <c r="BR60" s="315"/>
      <c r="BS60" s="315"/>
      <c r="BT60" s="315"/>
      <c r="BU60" s="315"/>
      <c r="BV60" s="315"/>
      <c r="BW60" s="315"/>
      <c r="BX60" s="315"/>
      <c r="BY60" s="315"/>
      <c r="BZ60" s="315"/>
      <c r="CA60" s="315"/>
      <c r="CB60" s="315"/>
      <c r="CC60" s="315"/>
      <c r="CD60" s="315"/>
      <c r="CE60" s="315"/>
      <c r="CF60" s="315"/>
      <c r="CG60" s="315"/>
      <c r="CH60" s="315"/>
      <c r="CI60" s="315"/>
      <c r="CJ60" s="315"/>
      <c r="CK60" s="315"/>
      <c r="CL60" s="315"/>
      <c r="CM60" s="315"/>
      <c r="CN60" s="315"/>
      <c r="CO60" s="315"/>
      <c r="CP60" s="315"/>
      <c r="CQ60" s="315"/>
      <c r="CR60" s="315"/>
      <c r="CS60" s="315"/>
      <c r="CT60" s="315"/>
      <c r="CU60" s="315"/>
      <c r="CV60" s="315"/>
      <c r="CW60" s="315"/>
      <c r="CX60" s="315"/>
      <c r="CY60" s="315"/>
      <c r="CZ60" s="315"/>
    </row>
    <row x14ac:dyDescent="0.25" r="61" customHeight="1" ht="15">
      <c r="A61" s="1"/>
      <c r="B61" s="18"/>
      <c r="C61" s="914"/>
      <c r="D61" s="927">
        <v>1</v>
      </c>
      <c r="E61" s="928"/>
      <c r="F61" s="911"/>
      <c r="G61" s="5"/>
      <c r="H61" s="3"/>
      <c r="I61" s="2"/>
      <c r="J61" s="2"/>
      <c r="K61" s="2"/>
      <c r="L61" s="2"/>
      <c r="M61" s="2"/>
      <c r="N61" s="917"/>
      <c r="O61" s="917"/>
      <c r="P61" s="917"/>
      <c r="Q61" s="917"/>
      <c r="R61" s="917"/>
      <c r="S61" s="315"/>
      <c r="T61" s="315"/>
      <c r="U61" s="315"/>
      <c r="V61" s="315"/>
      <c r="W61" s="315"/>
      <c r="X61" s="315"/>
      <c r="Y61" s="315"/>
      <c r="Z61" s="315"/>
      <c r="AA61" s="315"/>
      <c r="AB61" s="315"/>
      <c r="AC61" s="315"/>
      <c r="AD61" s="315"/>
      <c r="AE61" s="315"/>
      <c r="AF61" s="315"/>
      <c r="AG61" s="315"/>
      <c r="AH61" s="315"/>
      <c r="AI61" s="315"/>
      <c r="AJ61" s="315"/>
      <c r="AK61" s="315"/>
      <c r="AL61" s="315"/>
      <c r="AM61" s="315"/>
      <c r="AN61" s="315"/>
      <c r="AO61" s="315"/>
      <c r="AP61" s="315"/>
      <c r="AQ61" s="315"/>
      <c r="AR61" s="315"/>
      <c r="AS61" s="315"/>
      <c r="AT61" s="315"/>
      <c r="AU61" s="315"/>
      <c r="AV61" s="315"/>
      <c r="AW61" s="315"/>
      <c r="AX61" s="315"/>
      <c r="AY61" s="315"/>
      <c r="AZ61" s="315"/>
      <c r="BA61" s="315"/>
      <c r="BB61" s="315"/>
      <c r="BC61" s="315"/>
      <c r="BD61" s="315"/>
      <c r="BE61" s="315"/>
      <c r="BF61" s="315"/>
      <c r="BG61" s="315"/>
      <c r="BH61" s="315"/>
      <c r="BI61" s="315"/>
      <c r="BJ61" s="315"/>
      <c r="BK61" s="315"/>
      <c r="BL61" s="315"/>
      <c r="BM61" s="315"/>
      <c r="BN61" s="315"/>
      <c r="BO61" s="315"/>
      <c r="BP61" s="315"/>
      <c r="BQ61" s="315"/>
      <c r="BR61" s="315"/>
      <c r="BS61" s="315"/>
      <c r="BT61" s="315"/>
      <c r="BU61" s="315"/>
      <c r="BV61" s="315"/>
      <c r="BW61" s="315"/>
      <c r="BX61" s="315"/>
      <c r="BY61" s="315"/>
      <c r="BZ61" s="315"/>
      <c r="CA61" s="315"/>
      <c r="CB61" s="315"/>
      <c r="CC61" s="315"/>
      <c r="CD61" s="315"/>
      <c r="CE61" s="315"/>
      <c r="CF61" s="315"/>
      <c r="CG61" s="315"/>
      <c r="CH61" s="315"/>
      <c r="CI61" s="315"/>
      <c r="CJ61" s="315"/>
      <c r="CK61" s="315"/>
      <c r="CL61" s="315"/>
      <c r="CM61" s="315"/>
      <c r="CN61" s="315"/>
      <c r="CO61" s="315"/>
      <c r="CP61" s="315"/>
      <c r="CQ61" s="315"/>
      <c r="CR61" s="315"/>
      <c r="CS61" s="315"/>
      <c r="CT61" s="315"/>
      <c r="CU61" s="315"/>
      <c r="CV61" s="315"/>
      <c r="CW61" s="315"/>
      <c r="CX61" s="315"/>
      <c r="CY61" s="315"/>
      <c r="CZ61" s="315"/>
    </row>
    <row x14ac:dyDescent="0.25" r="62" customHeight="1" ht="15">
      <c r="A62" s="1"/>
      <c r="B62" s="929"/>
      <c r="C62" s="930"/>
      <c r="D62" s="927">
        <v>2</v>
      </c>
      <c r="E62" s="322">
        <v>63</v>
      </c>
      <c r="F62" s="356"/>
      <c r="G62" s="168"/>
      <c r="H62" s="170"/>
      <c r="I62" s="1"/>
      <c r="J62" s="1"/>
      <c r="K62" s="1"/>
      <c r="L62" s="1"/>
      <c r="M62" s="1"/>
      <c r="N62" s="193"/>
      <c r="O62" s="193"/>
      <c r="P62" s="193"/>
      <c r="Q62" s="193"/>
      <c r="R62" s="193"/>
      <c r="S62" s="244"/>
      <c r="T62" s="244"/>
      <c r="U62" s="244"/>
      <c r="V62" s="244"/>
      <c r="W62" s="244"/>
      <c r="X62" s="244"/>
      <c r="Y62" s="244"/>
      <c r="Z62" s="244"/>
      <c r="AA62" s="244"/>
      <c r="AB62" s="244"/>
      <c r="AC62" s="244"/>
      <c r="AD62" s="244"/>
      <c r="AE62" s="244"/>
      <c r="AF62" s="244"/>
      <c r="AG62" s="244"/>
      <c r="AH62" s="244"/>
      <c r="AI62" s="244"/>
      <c r="AJ62" s="244"/>
      <c r="AK62" s="244"/>
      <c r="AL62" s="244"/>
      <c r="AM62" s="244"/>
      <c r="AN62" s="244"/>
      <c r="AO62" s="244"/>
      <c r="AP62" s="244"/>
      <c r="AQ62" s="244"/>
      <c r="AR62" s="244"/>
      <c r="AS62" s="244"/>
      <c r="AT62" s="244"/>
      <c r="AU62" s="244"/>
      <c r="AV62" s="244"/>
      <c r="AW62" s="244"/>
      <c r="AX62" s="244"/>
      <c r="AY62" s="244"/>
      <c r="AZ62" s="244"/>
      <c r="BA62" s="244"/>
      <c r="BB62" s="244"/>
      <c r="BC62" s="244"/>
      <c r="BD62" s="244"/>
      <c r="BE62" s="244"/>
      <c r="BF62" s="244"/>
      <c r="BG62" s="244"/>
      <c r="BH62" s="244"/>
      <c r="BI62" s="244"/>
      <c r="BJ62" s="244"/>
      <c r="BK62" s="244"/>
      <c r="BL62" s="244"/>
      <c r="BM62" s="244"/>
      <c r="BN62" s="244"/>
      <c r="BO62" s="244"/>
      <c r="BP62" s="244"/>
      <c r="BQ62" s="244"/>
      <c r="BR62" s="244"/>
      <c r="BS62" s="244"/>
      <c r="BT62" s="244"/>
      <c r="BU62" s="244"/>
      <c r="BV62" s="244"/>
      <c r="BW62" s="244"/>
      <c r="BX62" s="244"/>
      <c r="BY62" s="244"/>
      <c r="BZ62" s="244"/>
      <c r="CA62" s="244"/>
      <c r="CB62" s="244"/>
      <c r="CC62" s="244"/>
      <c r="CD62" s="244"/>
      <c r="CE62" s="244"/>
      <c r="CF62" s="244"/>
      <c r="CG62" s="244"/>
      <c r="CH62" s="244"/>
      <c r="CI62" s="244"/>
      <c r="CJ62" s="244"/>
      <c r="CK62" s="244"/>
      <c r="CL62" s="244"/>
      <c r="CM62" s="244"/>
      <c r="CN62" s="244"/>
      <c r="CO62" s="244"/>
      <c r="CP62" s="244"/>
      <c r="CQ62" s="244"/>
      <c r="CR62" s="244"/>
      <c r="CS62" s="244"/>
      <c r="CT62" s="244"/>
      <c r="CU62" s="244"/>
      <c r="CV62" s="244"/>
      <c r="CW62" s="244"/>
      <c r="CX62" s="244"/>
      <c r="CY62" s="244"/>
      <c r="CZ62" s="244"/>
    </row>
    <row x14ac:dyDescent="0.25" r="63" customHeight="1" ht="15">
      <c r="A63" s="1"/>
      <c r="B63" s="929"/>
      <c r="C63" s="930"/>
      <c r="D63" s="927">
        <v>3</v>
      </c>
      <c r="E63" s="322">
        <v>64</v>
      </c>
      <c r="F63" s="356"/>
      <c r="G63" s="168"/>
      <c r="H63" s="170"/>
      <c r="I63" s="1"/>
      <c r="J63" s="1"/>
      <c r="K63" s="1"/>
      <c r="L63" s="1"/>
      <c r="M63" s="1"/>
      <c r="N63" s="193"/>
      <c r="O63" s="193"/>
      <c r="P63" s="193"/>
      <c r="Q63" s="193"/>
      <c r="R63" s="193"/>
      <c r="S63" s="244"/>
      <c r="T63" s="244"/>
      <c r="U63" s="244"/>
      <c r="V63" s="244"/>
      <c r="W63" s="244"/>
      <c r="X63" s="244"/>
      <c r="Y63" s="244"/>
      <c r="Z63" s="244"/>
      <c r="AA63" s="244"/>
      <c r="AB63" s="244"/>
      <c r="AC63" s="244"/>
      <c r="AD63" s="244"/>
      <c r="AE63" s="244"/>
      <c r="AF63" s="244"/>
      <c r="AG63" s="244"/>
      <c r="AH63" s="244"/>
      <c r="AI63" s="244"/>
      <c r="AJ63" s="244"/>
      <c r="AK63" s="244"/>
      <c r="AL63" s="244"/>
      <c r="AM63" s="244"/>
      <c r="AN63" s="244"/>
      <c r="AO63" s="244"/>
      <c r="AP63" s="244"/>
      <c r="AQ63" s="244"/>
      <c r="AR63" s="244"/>
      <c r="AS63" s="244"/>
      <c r="AT63" s="244"/>
      <c r="AU63" s="244"/>
      <c r="AV63" s="244"/>
      <c r="AW63" s="244"/>
      <c r="AX63" s="244"/>
      <c r="AY63" s="244"/>
      <c r="AZ63" s="244"/>
      <c r="BA63" s="244"/>
      <c r="BB63" s="244"/>
      <c r="BC63" s="244"/>
      <c r="BD63" s="244"/>
      <c r="BE63" s="244"/>
      <c r="BF63" s="244"/>
      <c r="BG63" s="244"/>
      <c r="BH63" s="244"/>
      <c r="BI63" s="244"/>
      <c r="BJ63" s="244"/>
      <c r="BK63" s="244"/>
      <c r="BL63" s="244"/>
      <c r="BM63" s="244"/>
      <c r="BN63" s="244"/>
      <c r="BO63" s="244"/>
      <c r="BP63" s="244"/>
      <c r="BQ63" s="244"/>
      <c r="BR63" s="244"/>
      <c r="BS63" s="244"/>
      <c r="BT63" s="244"/>
      <c r="BU63" s="244"/>
      <c r="BV63" s="244"/>
      <c r="BW63" s="244"/>
      <c r="BX63" s="244"/>
      <c r="BY63" s="244"/>
      <c r="BZ63" s="244"/>
      <c r="CA63" s="244"/>
      <c r="CB63" s="244"/>
      <c r="CC63" s="244"/>
      <c r="CD63" s="244"/>
      <c r="CE63" s="244"/>
      <c r="CF63" s="244"/>
      <c r="CG63" s="244"/>
      <c r="CH63" s="244"/>
      <c r="CI63" s="244"/>
      <c r="CJ63" s="244"/>
      <c r="CK63" s="244"/>
      <c r="CL63" s="244"/>
      <c r="CM63" s="244"/>
      <c r="CN63" s="244"/>
      <c r="CO63" s="244"/>
      <c r="CP63" s="244"/>
      <c r="CQ63" s="244"/>
      <c r="CR63" s="244"/>
      <c r="CS63" s="244"/>
      <c r="CT63" s="244"/>
      <c r="CU63" s="244"/>
      <c r="CV63" s="244"/>
      <c r="CW63" s="244"/>
      <c r="CX63" s="244"/>
      <c r="CY63" s="244"/>
      <c r="CZ63" s="244"/>
    </row>
    <row x14ac:dyDescent="0.25" r="64" customHeight="1" ht="15">
      <c r="A64" s="1"/>
      <c r="B64" s="929"/>
      <c r="C64" s="930"/>
      <c r="D64" s="927">
        <v>4</v>
      </c>
      <c r="E64" s="322">
        <v>65</v>
      </c>
      <c r="F64" s="168"/>
      <c r="G64" s="168"/>
      <c r="H64" s="170"/>
      <c r="I64" s="1"/>
      <c r="J64" s="1"/>
      <c r="K64" s="1"/>
      <c r="L64" s="1"/>
      <c r="M64" s="1"/>
      <c r="N64" s="193"/>
      <c r="O64" s="193"/>
      <c r="P64" s="193"/>
      <c r="Q64" s="193"/>
      <c r="R64" s="193"/>
      <c r="S64" s="244"/>
      <c r="T64" s="244"/>
      <c r="U64" s="244"/>
      <c r="V64" s="244"/>
      <c r="W64" s="244"/>
      <c r="X64" s="244"/>
      <c r="Y64" s="244"/>
      <c r="Z64" s="244"/>
      <c r="AA64" s="244"/>
      <c r="AB64" s="244"/>
      <c r="AC64" s="244"/>
      <c r="AD64" s="244"/>
      <c r="AE64" s="244"/>
      <c r="AF64" s="244"/>
      <c r="AG64" s="244"/>
      <c r="AH64" s="244"/>
      <c r="AI64" s="244"/>
      <c r="AJ64" s="244"/>
      <c r="AK64" s="244"/>
      <c r="AL64" s="244"/>
      <c r="AM64" s="244"/>
      <c r="AN64" s="244"/>
      <c r="AO64" s="244"/>
      <c r="AP64" s="244"/>
      <c r="AQ64" s="244"/>
      <c r="AR64" s="244"/>
      <c r="AS64" s="244"/>
      <c r="AT64" s="244"/>
      <c r="AU64" s="244"/>
      <c r="AV64" s="244"/>
      <c r="AW64" s="244"/>
      <c r="AX64" s="244"/>
      <c r="AY64" s="244"/>
      <c r="AZ64" s="244"/>
      <c r="BA64" s="244"/>
      <c r="BB64" s="244"/>
      <c r="BC64" s="244"/>
      <c r="BD64" s="244"/>
      <c r="BE64" s="244"/>
      <c r="BF64" s="244"/>
      <c r="BG64" s="244"/>
      <c r="BH64" s="244"/>
      <c r="BI64" s="244"/>
      <c r="BJ64" s="244"/>
      <c r="BK64" s="244"/>
      <c r="BL64" s="244"/>
      <c r="BM64" s="244"/>
      <c r="BN64" s="244"/>
      <c r="BO64" s="244"/>
      <c r="BP64" s="244"/>
      <c r="BQ64" s="244"/>
      <c r="BR64" s="244"/>
      <c r="BS64" s="244"/>
      <c r="BT64" s="244"/>
      <c r="BU64" s="244"/>
      <c r="BV64" s="244"/>
      <c r="BW64" s="244"/>
      <c r="BX64" s="244"/>
      <c r="BY64" s="244"/>
      <c r="BZ64" s="244"/>
      <c r="CA64" s="244"/>
      <c r="CB64" s="244"/>
      <c r="CC64" s="244"/>
      <c r="CD64" s="244"/>
      <c r="CE64" s="244"/>
      <c r="CF64" s="244"/>
      <c r="CG64" s="244"/>
      <c r="CH64" s="244"/>
      <c r="CI64" s="244"/>
      <c r="CJ64" s="244"/>
      <c r="CK64" s="244"/>
      <c r="CL64" s="244"/>
      <c r="CM64" s="244"/>
      <c r="CN64" s="244"/>
      <c r="CO64" s="244"/>
      <c r="CP64" s="244"/>
      <c r="CQ64" s="244"/>
      <c r="CR64" s="244"/>
      <c r="CS64" s="244"/>
      <c r="CT64" s="244"/>
      <c r="CU64" s="244"/>
      <c r="CV64" s="244"/>
      <c r="CW64" s="244"/>
      <c r="CX64" s="244"/>
      <c r="CY64" s="244"/>
      <c r="CZ64" s="244"/>
    </row>
    <row x14ac:dyDescent="0.25" r="65" customHeight="1" ht="15">
      <c r="A65" s="1"/>
      <c r="B65" s="929"/>
      <c r="C65" s="930"/>
      <c r="D65" s="927">
        <v>5</v>
      </c>
      <c r="E65" s="322">
        <v>66</v>
      </c>
      <c r="F65" s="168"/>
      <c r="G65" s="168"/>
      <c r="H65" s="170"/>
      <c r="I65" s="1"/>
      <c r="J65" s="1"/>
      <c r="K65" s="1"/>
      <c r="L65" s="1"/>
      <c r="M65" s="1"/>
      <c r="N65" s="193"/>
      <c r="O65" s="193"/>
      <c r="P65" s="193"/>
      <c r="Q65" s="193"/>
      <c r="R65" s="193"/>
      <c r="S65" s="244"/>
      <c r="T65" s="244"/>
      <c r="U65" s="244"/>
      <c r="V65" s="244"/>
      <c r="W65" s="244"/>
      <c r="X65" s="244"/>
      <c r="Y65" s="244"/>
      <c r="Z65" s="244"/>
      <c r="AA65" s="244"/>
      <c r="AB65" s="244"/>
      <c r="AC65" s="244"/>
      <c r="AD65" s="244"/>
      <c r="AE65" s="244"/>
      <c r="AF65" s="244"/>
      <c r="AG65" s="244"/>
      <c r="AH65" s="244"/>
      <c r="AI65" s="244"/>
      <c r="AJ65" s="244"/>
      <c r="AK65" s="244"/>
      <c r="AL65" s="244"/>
      <c r="AM65" s="244"/>
      <c r="AN65" s="244"/>
      <c r="AO65" s="244"/>
      <c r="AP65" s="244"/>
      <c r="AQ65" s="244"/>
      <c r="AR65" s="244"/>
      <c r="AS65" s="244"/>
      <c r="AT65" s="244"/>
      <c r="AU65" s="244"/>
      <c r="AV65" s="244"/>
      <c r="AW65" s="244"/>
      <c r="AX65" s="244"/>
      <c r="AY65" s="244"/>
      <c r="AZ65" s="244"/>
      <c r="BA65" s="244"/>
      <c r="BB65" s="244"/>
      <c r="BC65" s="244"/>
      <c r="BD65" s="244"/>
      <c r="BE65" s="244"/>
      <c r="BF65" s="244"/>
      <c r="BG65" s="244"/>
      <c r="BH65" s="244"/>
      <c r="BI65" s="244"/>
      <c r="BJ65" s="244"/>
      <c r="BK65" s="244"/>
      <c r="BL65" s="244"/>
      <c r="BM65" s="244"/>
      <c r="BN65" s="244"/>
      <c r="BO65" s="244"/>
      <c r="BP65" s="244"/>
      <c r="BQ65" s="244"/>
      <c r="BR65" s="244"/>
      <c r="BS65" s="244"/>
      <c r="BT65" s="244"/>
      <c r="BU65" s="244"/>
      <c r="BV65" s="244"/>
      <c r="BW65" s="244"/>
      <c r="BX65" s="244"/>
      <c r="BY65" s="244"/>
      <c r="BZ65" s="244"/>
      <c r="CA65" s="244"/>
      <c r="CB65" s="244"/>
      <c r="CC65" s="244"/>
      <c r="CD65" s="244"/>
      <c r="CE65" s="244"/>
      <c r="CF65" s="244"/>
      <c r="CG65" s="244"/>
      <c r="CH65" s="244"/>
      <c r="CI65" s="244"/>
      <c r="CJ65" s="244"/>
      <c r="CK65" s="244"/>
      <c r="CL65" s="244"/>
      <c r="CM65" s="244"/>
      <c r="CN65" s="244"/>
      <c r="CO65" s="244"/>
      <c r="CP65" s="244"/>
      <c r="CQ65" s="244"/>
      <c r="CR65" s="244"/>
      <c r="CS65" s="244"/>
      <c r="CT65" s="244"/>
      <c r="CU65" s="244"/>
      <c r="CV65" s="244"/>
      <c r="CW65" s="244"/>
      <c r="CX65" s="244"/>
      <c r="CY65" s="244"/>
      <c r="CZ65" s="244"/>
    </row>
    <row x14ac:dyDescent="0.25" r="66" customHeight="1" ht="15">
      <c r="A66" s="1"/>
      <c r="B66" s="929"/>
      <c r="C66" s="930"/>
      <c r="D66" s="927">
        <v>6</v>
      </c>
      <c r="E66" s="322">
        <v>67</v>
      </c>
      <c r="F66" s="168"/>
      <c r="G66" s="168"/>
      <c r="H66" s="170"/>
      <c r="I66" s="1"/>
      <c r="J66" s="1"/>
      <c r="K66" s="1"/>
      <c r="L66" s="1"/>
      <c r="M66" s="1"/>
      <c r="N66" s="193"/>
      <c r="O66" s="193"/>
      <c r="P66" s="193"/>
      <c r="Q66" s="193"/>
      <c r="R66" s="193"/>
      <c r="S66" s="244"/>
      <c r="T66" s="244"/>
      <c r="U66" s="244"/>
      <c r="V66" s="244"/>
      <c r="W66" s="244"/>
      <c r="X66" s="244"/>
      <c r="Y66" s="244"/>
      <c r="Z66" s="244"/>
      <c r="AA66" s="244"/>
      <c r="AB66" s="244"/>
      <c r="AC66" s="244"/>
      <c r="AD66" s="244"/>
      <c r="AE66" s="244"/>
      <c r="AF66" s="244"/>
      <c r="AG66" s="244"/>
      <c r="AH66" s="244"/>
      <c r="AI66" s="244"/>
      <c r="AJ66" s="244"/>
      <c r="AK66" s="244"/>
      <c r="AL66" s="244"/>
      <c r="AM66" s="244"/>
      <c r="AN66" s="244"/>
      <c r="AO66" s="244"/>
      <c r="AP66" s="244"/>
      <c r="AQ66" s="244"/>
      <c r="AR66" s="244"/>
      <c r="AS66" s="244"/>
      <c r="AT66" s="244"/>
      <c r="AU66" s="244"/>
      <c r="AV66" s="244"/>
      <c r="AW66" s="244"/>
      <c r="AX66" s="244"/>
      <c r="AY66" s="244"/>
      <c r="AZ66" s="244"/>
      <c r="BA66" s="244"/>
      <c r="BB66" s="244"/>
      <c r="BC66" s="244"/>
      <c r="BD66" s="244"/>
      <c r="BE66" s="244"/>
      <c r="BF66" s="244"/>
      <c r="BG66" s="244"/>
      <c r="BH66" s="244"/>
      <c r="BI66" s="244"/>
      <c r="BJ66" s="244"/>
      <c r="BK66" s="244"/>
      <c r="BL66" s="244"/>
      <c r="BM66" s="244"/>
      <c r="BN66" s="244"/>
      <c r="BO66" s="244"/>
      <c r="BP66" s="244"/>
      <c r="BQ66" s="244"/>
      <c r="BR66" s="244"/>
      <c r="BS66" s="244"/>
      <c r="BT66" s="244"/>
      <c r="BU66" s="244"/>
      <c r="BV66" s="244"/>
      <c r="BW66" s="244"/>
      <c r="BX66" s="244"/>
      <c r="BY66" s="244"/>
      <c r="BZ66" s="244"/>
      <c r="CA66" s="244"/>
      <c r="CB66" s="244"/>
      <c r="CC66" s="244"/>
      <c r="CD66" s="244"/>
      <c r="CE66" s="244"/>
      <c r="CF66" s="244"/>
      <c r="CG66" s="244"/>
      <c r="CH66" s="244"/>
      <c r="CI66" s="244"/>
      <c r="CJ66" s="244"/>
      <c r="CK66" s="244"/>
      <c r="CL66" s="244"/>
      <c r="CM66" s="244"/>
      <c r="CN66" s="244"/>
      <c r="CO66" s="244"/>
      <c r="CP66" s="244"/>
      <c r="CQ66" s="244"/>
      <c r="CR66" s="244"/>
      <c r="CS66" s="244"/>
      <c r="CT66" s="244"/>
      <c r="CU66" s="244"/>
      <c r="CV66" s="244"/>
      <c r="CW66" s="244"/>
      <c r="CX66" s="244"/>
      <c r="CY66" s="244"/>
      <c r="CZ66" s="244"/>
    </row>
    <row x14ac:dyDescent="0.25" r="67" customHeight="1" ht="15">
      <c r="A67" s="1"/>
      <c r="B67" s="929"/>
      <c r="C67" s="930"/>
      <c r="D67" s="927">
        <v>7</v>
      </c>
      <c r="E67" s="928"/>
      <c r="F67" s="168"/>
      <c r="G67" s="168"/>
      <c r="H67" s="170"/>
      <c r="I67" s="1"/>
      <c r="J67" s="1"/>
      <c r="K67" s="1"/>
      <c r="L67" s="1"/>
      <c r="M67" s="1"/>
      <c r="N67" s="193"/>
      <c r="O67" s="193"/>
      <c r="P67" s="193"/>
      <c r="Q67" s="193"/>
      <c r="R67" s="193"/>
      <c r="S67" s="244"/>
      <c r="T67" s="244"/>
      <c r="U67" s="244"/>
      <c r="V67" s="244"/>
      <c r="W67" s="244"/>
      <c r="X67" s="244"/>
      <c r="Y67" s="244"/>
      <c r="Z67" s="244"/>
      <c r="AA67" s="244"/>
      <c r="AB67" s="244"/>
      <c r="AC67" s="244"/>
      <c r="AD67" s="244"/>
      <c r="AE67" s="244"/>
      <c r="AF67" s="244"/>
      <c r="AG67" s="244"/>
      <c r="AH67" s="244"/>
      <c r="AI67" s="244"/>
      <c r="AJ67" s="244"/>
      <c r="AK67" s="244"/>
      <c r="AL67" s="244"/>
      <c r="AM67" s="244"/>
      <c r="AN67" s="244"/>
      <c r="AO67" s="244"/>
      <c r="AP67" s="244"/>
      <c r="AQ67" s="244"/>
      <c r="AR67" s="244"/>
      <c r="AS67" s="244"/>
      <c r="AT67" s="244"/>
      <c r="AU67" s="244"/>
      <c r="AV67" s="244"/>
      <c r="AW67" s="244"/>
      <c r="AX67" s="244"/>
      <c r="AY67" s="244"/>
      <c r="AZ67" s="244"/>
      <c r="BA67" s="244"/>
      <c r="BB67" s="244"/>
      <c r="BC67" s="244"/>
      <c r="BD67" s="244"/>
      <c r="BE67" s="244"/>
      <c r="BF67" s="244"/>
      <c r="BG67" s="244"/>
      <c r="BH67" s="244"/>
      <c r="BI67" s="244"/>
      <c r="BJ67" s="244"/>
      <c r="BK67" s="244"/>
      <c r="BL67" s="244"/>
      <c r="BM67" s="244"/>
      <c r="BN67" s="244"/>
      <c r="BO67" s="244"/>
      <c r="BP67" s="244"/>
      <c r="BQ67" s="244"/>
      <c r="BR67" s="244"/>
      <c r="BS67" s="244"/>
      <c r="BT67" s="244"/>
      <c r="BU67" s="244"/>
      <c r="BV67" s="244"/>
      <c r="BW67" s="244"/>
      <c r="BX67" s="244"/>
      <c r="BY67" s="244"/>
      <c r="BZ67" s="244"/>
      <c r="CA67" s="244"/>
      <c r="CB67" s="244"/>
      <c r="CC67" s="244"/>
      <c r="CD67" s="244"/>
      <c r="CE67" s="244"/>
      <c r="CF67" s="244"/>
      <c r="CG67" s="244"/>
      <c r="CH67" s="244"/>
      <c r="CI67" s="244"/>
      <c r="CJ67" s="244"/>
      <c r="CK67" s="244"/>
      <c r="CL67" s="244"/>
      <c r="CM67" s="244"/>
      <c r="CN67" s="244"/>
      <c r="CO67" s="244"/>
      <c r="CP67" s="244"/>
      <c r="CQ67" s="244"/>
      <c r="CR67" s="244"/>
      <c r="CS67" s="244"/>
      <c r="CT67" s="244"/>
      <c r="CU67" s="244"/>
      <c r="CV67" s="244"/>
      <c r="CW67" s="244"/>
      <c r="CX67" s="244"/>
      <c r="CY67" s="244"/>
      <c r="CZ67" s="244"/>
    </row>
    <row x14ac:dyDescent="0.25" r="68" customHeight="1" ht="15">
      <c r="A68" s="1"/>
      <c r="B68" s="929"/>
      <c r="C68" s="930"/>
      <c r="D68" s="927">
        <v>8</v>
      </c>
      <c r="E68" s="928"/>
      <c r="F68" s="168"/>
      <c r="G68" s="168"/>
      <c r="H68" s="170"/>
      <c r="I68" s="1"/>
      <c r="J68" s="1"/>
      <c r="K68" s="1"/>
      <c r="L68" s="1"/>
      <c r="M68" s="1"/>
      <c r="N68" s="193"/>
      <c r="O68" s="193"/>
      <c r="P68" s="193"/>
      <c r="Q68" s="193"/>
      <c r="R68" s="193"/>
      <c r="S68" s="244"/>
      <c r="T68" s="244"/>
      <c r="U68" s="244"/>
      <c r="V68" s="244"/>
      <c r="W68" s="244"/>
      <c r="X68" s="244"/>
      <c r="Y68" s="244"/>
      <c r="Z68" s="244"/>
      <c r="AA68" s="244"/>
      <c r="AB68" s="244"/>
      <c r="AC68" s="244"/>
      <c r="AD68" s="244"/>
      <c r="AE68" s="244"/>
      <c r="AF68" s="244"/>
      <c r="AG68" s="244"/>
      <c r="AH68" s="244"/>
      <c r="AI68" s="244"/>
      <c r="AJ68" s="244"/>
      <c r="AK68" s="244"/>
      <c r="AL68" s="244"/>
      <c r="AM68" s="244"/>
      <c r="AN68" s="244"/>
      <c r="AO68" s="244"/>
      <c r="AP68" s="244"/>
      <c r="AQ68" s="244"/>
      <c r="AR68" s="244"/>
      <c r="AS68" s="244"/>
      <c r="AT68" s="244"/>
      <c r="AU68" s="244"/>
      <c r="AV68" s="244"/>
      <c r="AW68" s="244"/>
      <c r="AX68" s="244"/>
      <c r="AY68" s="244"/>
      <c r="AZ68" s="244"/>
      <c r="BA68" s="244"/>
      <c r="BB68" s="244"/>
      <c r="BC68" s="244"/>
      <c r="BD68" s="244"/>
      <c r="BE68" s="244"/>
      <c r="BF68" s="244"/>
      <c r="BG68" s="244"/>
      <c r="BH68" s="244"/>
      <c r="BI68" s="244"/>
      <c r="BJ68" s="244"/>
      <c r="BK68" s="244"/>
      <c r="BL68" s="244"/>
      <c r="BM68" s="244"/>
      <c r="BN68" s="244"/>
      <c r="BO68" s="244"/>
      <c r="BP68" s="244"/>
      <c r="BQ68" s="244"/>
      <c r="BR68" s="244"/>
      <c r="BS68" s="244"/>
      <c r="BT68" s="244"/>
      <c r="BU68" s="244"/>
      <c r="BV68" s="244"/>
      <c r="BW68" s="244"/>
      <c r="BX68" s="244"/>
      <c r="BY68" s="244"/>
      <c r="BZ68" s="244"/>
      <c r="CA68" s="244"/>
      <c r="CB68" s="244"/>
      <c r="CC68" s="244"/>
      <c r="CD68" s="244"/>
      <c r="CE68" s="244"/>
      <c r="CF68" s="244"/>
      <c r="CG68" s="244"/>
      <c r="CH68" s="244"/>
      <c r="CI68" s="244"/>
      <c r="CJ68" s="244"/>
      <c r="CK68" s="244"/>
      <c r="CL68" s="244"/>
      <c r="CM68" s="244"/>
      <c r="CN68" s="244"/>
      <c r="CO68" s="244"/>
      <c r="CP68" s="244"/>
      <c r="CQ68" s="244"/>
      <c r="CR68" s="244"/>
      <c r="CS68" s="244"/>
      <c r="CT68" s="244"/>
      <c r="CU68" s="244"/>
      <c r="CV68" s="244"/>
      <c r="CW68" s="244"/>
      <c r="CX68" s="244"/>
      <c r="CY68" s="244"/>
      <c r="CZ68" s="244"/>
    </row>
    <row x14ac:dyDescent="0.25" r="69" customHeight="1" ht="15">
      <c r="A69" s="1"/>
      <c r="B69" s="929"/>
      <c r="C69" s="930"/>
      <c r="D69" s="927">
        <v>9</v>
      </c>
      <c r="E69" s="928"/>
      <c r="F69" s="168"/>
      <c r="G69" s="168"/>
      <c r="H69" s="170"/>
      <c r="I69" s="1"/>
      <c r="J69" s="1"/>
      <c r="K69" s="1"/>
      <c r="L69" s="1"/>
      <c r="M69" s="1"/>
      <c r="N69" s="193"/>
      <c r="O69" s="193"/>
      <c r="P69" s="193"/>
      <c r="Q69" s="193"/>
      <c r="R69" s="193"/>
      <c r="S69" s="244"/>
      <c r="T69" s="244"/>
      <c r="U69" s="244"/>
      <c r="V69" s="244"/>
      <c r="W69" s="244"/>
      <c r="X69" s="244"/>
      <c r="Y69" s="244"/>
      <c r="Z69" s="244"/>
      <c r="AA69" s="244"/>
      <c r="AB69" s="244"/>
      <c r="AC69" s="244"/>
      <c r="AD69" s="244"/>
      <c r="AE69" s="244"/>
      <c r="AF69" s="244"/>
      <c r="AG69" s="244"/>
      <c r="AH69" s="244"/>
      <c r="AI69" s="244"/>
      <c r="AJ69" s="244"/>
      <c r="AK69" s="244"/>
      <c r="AL69" s="244"/>
      <c r="AM69" s="244"/>
      <c r="AN69" s="244"/>
      <c r="AO69" s="244"/>
      <c r="AP69" s="244"/>
      <c r="AQ69" s="244"/>
      <c r="AR69" s="244"/>
      <c r="AS69" s="244"/>
      <c r="AT69" s="244"/>
      <c r="AU69" s="244"/>
      <c r="AV69" s="244"/>
      <c r="AW69" s="244"/>
      <c r="AX69" s="244"/>
      <c r="AY69" s="244"/>
      <c r="AZ69" s="244"/>
      <c r="BA69" s="244"/>
      <c r="BB69" s="244"/>
      <c r="BC69" s="244"/>
      <c r="BD69" s="244"/>
      <c r="BE69" s="244"/>
      <c r="BF69" s="244"/>
      <c r="BG69" s="244"/>
      <c r="BH69" s="244"/>
      <c r="BI69" s="244"/>
      <c r="BJ69" s="244"/>
      <c r="BK69" s="244"/>
      <c r="BL69" s="244"/>
      <c r="BM69" s="244"/>
      <c r="BN69" s="244"/>
      <c r="BO69" s="244"/>
      <c r="BP69" s="244"/>
      <c r="BQ69" s="244"/>
      <c r="BR69" s="244"/>
      <c r="BS69" s="244"/>
      <c r="BT69" s="244"/>
      <c r="BU69" s="244"/>
      <c r="BV69" s="244"/>
      <c r="BW69" s="244"/>
      <c r="BX69" s="244"/>
      <c r="BY69" s="244"/>
      <c r="BZ69" s="244"/>
      <c r="CA69" s="244"/>
      <c r="CB69" s="244"/>
      <c r="CC69" s="244"/>
      <c r="CD69" s="244"/>
      <c r="CE69" s="244"/>
      <c r="CF69" s="244"/>
      <c r="CG69" s="244"/>
      <c r="CH69" s="244"/>
      <c r="CI69" s="244"/>
      <c r="CJ69" s="244"/>
      <c r="CK69" s="244"/>
      <c r="CL69" s="244"/>
      <c r="CM69" s="244"/>
      <c r="CN69" s="244"/>
      <c r="CO69" s="244"/>
      <c r="CP69" s="244"/>
      <c r="CQ69" s="244"/>
      <c r="CR69" s="244"/>
      <c r="CS69" s="244"/>
      <c r="CT69" s="244"/>
      <c r="CU69" s="244"/>
      <c r="CV69" s="244"/>
      <c r="CW69" s="244"/>
      <c r="CX69" s="244"/>
      <c r="CY69" s="244"/>
      <c r="CZ69" s="244"/>
    </row>
    <row x14ac:dyDescent="0.25" r="70" customHeight="1" ht="15">
      <c r="A70" s="1"/>
      <c r="B70" s="929"/>
      <c r="C70" s="930"/>
      <c r="D70" s="927">
        <v>10</v>
      </c>
      <c r="E70" s="928"/>
      <c r="F70" s="168"/>
      <c r="G70" s="168"/>
      <c r="H70" s="170"/>
      <c r="I70" s="1"/>
      <c r="J70" s="1"/>
      <c r="K70" s="1"/>
      <c r="L70" s="1"/>
      <c r="M70" s="1"/>
      <c r="N70" s="193"/>
      <c r="O70" s="193"/>
      <c r="P70" s="193"/>
      <c r="Q70" s="193"/>
      <c r="R70" s="193"/>
      <c r="S70" s="244"/>
      <c r="T70" s="244"/>
      <c r="U70" s="244"/>
      <c r="V70" s="244"/>
      <c r="W70" s="244"/>
      <c r="X70" s="244"/>
      <c r="Y70" s="244"/>
      <c r="Z70" s="244"/>
      <c r="AA70" s="244"/>
      <c r="AB70" s="244"/>
      <c r="AC70" s="244"/>
      <c r="AD70" s="244"/>
      <c r="AE70" s="244"/>
      <c r="AF70" s="244"/>
      <c r="AG70" s="244"/>
      <c r="AH70" s="244"/>
      <c r="AI70" s="244"/>
      <c r="AJ70" s="244"/>
      <c r="AK70" s="244"/>
      <c r="AL70" s="244"/>
      <c r="AM70" s="244"/>
      <c r="AN70" s="244"/>
      <c r="AO70" s="244"/>
      <c r="AP70" s="244"/>
      <c r="AQ70" s="244"/>
      <c r="AR70" s="244"/>
      <c r="AS70" s="244"/>
      <c r="AT70" s="244"/>
      <c r="AU70" s="244"/>
      <c r="AV70" s="244"/>
      <c r="AW70" s="244"/>
      <c r="AX70" s="244"/>
      <c r="AY70" s="244"/>
      <c r="AZ70" s="244"/>
      <c r="BA70" s="244"/>
      <c r="BB70" s="244"/>
      <c r="BC70" s="244"/>
      <c r="BD70" s="244"/>
      <c r="BE70" s="244"/>
      <c r="BF70" s="244"/>
      <c r="BG70" s="244"/>
      <c r="BH70" s="244"/>
      <c r="BI70" s="244"/>
      <c r="BJ70" s="244"/>
      <c r="BK70" s="244"/>
      <c r="BL70" s="244"/>
      <c r="BM70" s="244"/>
      <c r="BN70" s="244"/>
      <c r="BO70" s="244"/>
      <c r="BP70" s="244"/>
      <c r="BQ70" s="244"/>
      <c r="BR70" s="244"/>
      <c r="BS70" s="244"/>
      <c r="BT70" s="244"/>
      <c r="BU70" s="244"/>
      <c r="BV70" s="244"/>
      <c r="BW70" s="244"/>
      <c r="BX70" s="244"/>
      <c r="BY70" s="244"/>
      <c r="BZ70" s="244"/>
      <c r="CA70" s="244"/>
      <c r="CB70" s="244"/>
      <c r="CC70" s="244"/>
      <c r="CD70" s="244"/>
      <c r="CE70" s="244"/>
      <c r="CF70" s="244"/>
      <c r="CG70" s="244"/>
      <c r="CH70" s="244"/>
      <c r="CI70" s="244"/>
      <c r="CJ70" s="244"/>
      <c r="CK70" s="244"/>
      <c r="CL70" s="244"/>
      <c r="CM70" s="244"/>
      <c r="CN70" s="244"/>
      <c r="CO70" s="244"/>
      <c r="CP70" s="244"/>
      <c r="CQ70" s="244"/>
      <c r="CR70" s="244"/>
      <c r="CS70" s="244"/>
      <c r="CT70" s="244"/>
      <c r="CU70" s="244"/>
      <c r="CV70" s="244"/>
      <c r="CW70" s="244"/>
      <c r="CX70" s="244"/>
      <c r="CY70" s="244"/>
      <c r="CZ70" s="244"/>
    </row>
    <row x14ac:dyDescent="0.25" r="71" customHeight="1" ht="15">
      <c r="A71" s="1"/>
      <c r="B71" s="929"/>
      <c r="C71" s="930"/>
      <c r="D71" s="927">
        <v>11</v>
      </c>
      <c r="E71" s="928"/>
      <c r="F71" s="168"/>
      <c r="G71" s="168"/>
      <c r="H71" s="170"/>
      <c r="I71" s="1"/>
      <c r="J71" s="1"/>
      <c r="K71" s="1"/>
      <c r="L71" s="1"/>
      <c r="M71" s="1"/>
      <c r="N71" s="193"/>
      <c r="O71" s="193"/>
      <c r="P71" s="193"/>
      <c r="Q71" s="193"/>
      <c r="R71" s="193"/>
      <c r="S71" s="244"/>
      <c r="T71" s="244"/>
      <c r="U71" s="244"/>
      <c r="V71" s="244"/>
      <c r="W71" s="244"/>
      <c r="X71" s="244"/>
      <c r="Y71" s="244"/>
      <c r="Z71" s="244"/>
      <c r="AA71" s="244"/>
      <c r="AB71" s="244"/>
      <c r="AC71" s="244"/>
      <c r="AD71" s="244"/>
      <c r="AE71" s="244"/>
      <c r="AF71" s="244"/>
      <c r="AG71" s="244"/>
      <c r="AH71" s="244"/>
      <c r="AI71" s="244"/>
      <c r="AJ71" s="244"/>
      <c r="AK71" s="244"/>
      <c r="AL71" s="244"/>
      <c r="AM71" s="244"/>
      <c r="AN71" s="244"/>
      <c r="AO71" s="244"/>
      <c r="AP71" s="244"/>
      <c r="AQ71" s="244"/>
      <c r="AR71" s="244"/>
      <c r="AS71" s="244"/>
      <c r="AT71" s="244"/>
      <c r="AU71" s="244"/>
      <c r="AV71" s="244"/>
      <c r="AW71" s="244"/>
      <c r="AX71" s="244"/>
      <c r="AY71" s="244"/>
      <c r="AZ71" s="244"/>
      <c r="BA71" s="244"/>
      <c r="BB71" s="244"/>
      <c r="BC71" s="244"/>
      <c r="BD71" s="244"/>
      <c r="BE71" s="244"/>
      <c r="BF71" s="244"/>
      <c r="BG71" s="244"/>
      <c r="BH71" s="244"/>
      <c r="BI71" s="244"/>
      <c r="BJ71" s="244"/>
      <c r="BK71" s="244"/>
      <c r="BL71" s="244"/>
      <c r="BM71" s="244"/>
      <c r="BN71" s="244"/>
      <c r="BO71" s="244"/>
      <c r="BP71" s="244"/>
      <c r="BQ71" s="244"/>
      <c r="BR71" s="244"/>
      <c r="BS71" s="244"/>
      <c r="BT71" s="244"/>
      <c r="BU71" s="244"/>
      <c r="BV71" s="244"/>
      <c r="BW71" s="244"/>
      <c r="BX71" s="244"/>
      <c r="BY71" s="244"/>
      <c r="BZ71" s="244"/>
      <c r="CA71" s="244"/>
      <c r="CB71" s="244"/>
      <c r="CC71" s="244"/>
      <c r="CD71" s="244"/>
      <c r="CE71" s="244"/>
      <c r="CF71" s="244"/>
      <c r="CG71" s="244"/>
      <c r="CH71" s="244"/>
      <c r="CI71" s="244"/>
      <c r="CJ71" s="244"/>
      <c r="CK71" s="244"/>
      <c r="CL71" s="244"/>
      <c r="CM71" s="244"/>
      <c r="CN71" s="244"/>
      <c r="CO71" s="244"/>
      <c r="CP71" s="244"/>
      <c r="CQ71" s="244"/>
      <c r="CR71" s="244"/>
      <c r="CS71" s="244"/>
      <c r="CT71" s="244"/>
      <c r="CU71" s="244"/>
      <c r="CV71" s="244"/>
      <c r="CW71" s="244"/>
      <c r="CX71" s="244"/>
      <c r="CY71" s="244"/>
      <c r="CZ71" s="244"/>
    </row>
    <row x14ac:dyDescent="0.25" r="72" customHeight="1" ht="15">
      <c r="A72" s="1"/>
      <c r="B72" s="929"/>
      <c r="C72" s="930"/>
      <c r="D72" s="927">
        <v>12</v>
      </c>
      <c r="E72" s="931"/>
      <c r="F72" s="168"/>
      <c r="G72" s="168"/>
      <c r="H72" s="170"/>
      <c r="I72" s="1"/>
      <c r="J72" s="1"/>
      <c r="K72" s="1"/>
      <c r="L72" s="1"/>
      <c r="M72" s="1"/>
      <c r="N72" s="193"/>
      <c r="O72" s="193"/>
      <c r="P72" s="193"/>
      <c r="Q72" s="193"/>
      <c r="R72" s="193"/>
      <c r="S72" s="244"/>
      <c r="T72" s="244"/>
      <c r="U72" s="244"/>
      <c r="V72" s="244"/>
      <c r="W72" s="244"/>
      <c r="X72" s="244"/>
      <c r="Y72" s="244"/>
      <c r="Z72" s="244"/>
      <c r="AA72" s="244"/>
      <c r="AB72" s="244"/>
      <c r="AC72" s="244"/>
      <c r="AD72" s="244"/>
      <c r="AE72" s="244"/>
      <c r="AF72" s="244"/>
      <c r="AG72" s="244"/>
      <c r="AH72" s="244"/>
      <c r="AI72" s="244"/>
      <c r="AJ72" s="244"/>
      <c r="AK72" s="244"/>
      <c r="AL72" s="244"/>
      <c r="AM72" s="244"/>
      <c r="AN72" s="244"/>
      <c r="AO72" s="244"/>
      <c r="AP72" s="244"/>
      <c r="AQ72" s="244"/>
      <c r="AR72" s="244"/>
      <c r="AS72" s="244"/>
      <c r="AT72" s="244"/>
      <c r="AU72" s="244"/>
      <c r="AV72" s="244"/>
      <c r="AW72" s="244"/>
      <c r="AX72" s="244"/>
      <c r="AY72" s="244"/>
      <c r="AZ72" s="244"/>
      <c r="BA72" s="244"/>
      <c r="BB72" s="244"/>
      <c r="BC72" s="244"/>
      <c r="BD72" s="244"/>
      <c r="BE72" s="244"/>
      <c r="BF72" s="244"/>
      <c r="BG72" s="244"/>
      <c r="BH72" s="244"/>
      <c r="BI72" s="244"/>
      <c r="BJ72" s="244"/>
      <c r="BK72" s="244"/>
      <c r="BL72" s="244"/>
      <c r="BM72" s="244"/>
      <c r="BN72" s="244"/>
      <c r="BO72" s="244"/>
      <c r="BP72" s="244"/>
      <c r="BQ72" s="244"/>
      <c r="BR72" s="244"/>
      <c r="BS72" s="244"/>
      <c r="BT72" s="244"/>
      <c r="BU72" s="244"/>
      <c r="BV72" s="244"/>
      <c r="BW72" s="244"/>
      <c r="BX72" s="244"/>
      <c r="BY72" s="244"/>
      <c r="BZ72" s="244"/>
      <c r="CA72" s="244"/>
      <c r="CB72" s="244"/>
      <c r="CC72" s="244"/>
      <c r="CD72" s="244"/>
      <c r="CE72" s="244"/>
      <c r="CF72" s="244"/>
      <c r="CG72" s="244"/>
      <c r="CH72" s="244"/>
      <c r="CI72" s="244"/>
      <c r="CJ72" s="244"/>
      <c r="CK72" s="244"/>
      <c r="CL72" s="244"/>
      <c r="CM72" s="244"/>
      <c r="CN72" s="244"/>
      <c r="CO72" s="244"/>
      <c r="CP72" s="244"/>
      <c r="CQ72" s="244"/>
      <c r="CR72" s="244"/>
      <c r="CS72" s="244"/>
      <c r="CT72" s="244"/>
      <c r="CU72" s="244"/>
      <c r="CV72" s="244"/>
      <c r="CW72" s="244"/>
      <c r="CX72" s="244"/>
      <c r="CY72" s="244"/>
      <c r="CZ72" s="244"/>
    </row>
    <row x14ac:dyDescent="0.25" r="73" customHeight="1" ht="15">
      <c r="A73" s="1"/>
      <c r="B73" s="929"/>
      <c r="C73" s="930"/>
      <c r="D73" s="927">
        <v>13</v>
      </c>
      <c r="E73" s="931"/>
      <c r="F73" s="168"/>
      <c r="G73" s="168"/>
      <c r="H73" s="170"/>
      <c r="I73" s="1"/>
      <c r="J73" s="1"/>
      <c r="K73" s="1"/>
      <c r="L73" s="1"/>
      <c r="M73" s="1"/>
      <c r="N73" s="193"/>
      <c r="O73" s="193"/>
      <c r="P73" s="193"/>
      <c r="Q73" s="193"/>
      <c r="R73" s="193"/>
      <c r="S73" s="244"/>
      <c r="T73" s="244"/>
      <c r="U73" s="244"/>
      <c r="V73" s="244"/>
      <c r="W73" s="244"/>
      <c r="X73" s="244"/>
      <c r="Y73" s="244"/>
      <c r="Z73" s="244"/>
      <c r="AA73" s="244"/>
      <c r="AB73" s="244"/>
      <c r="AC73" s="244"/>
      <c r="AD73" s="244"/>
      <c r="AE73" s="244"/>
      <c r="AF73" s="244"/>
      <c r="AG73" s="244"/>
      <c r="AH73" s="244"/>
      <c r="AI73" s="244"/>
      <c r="AJ73" s="244"/>
      <c r="AK73" s="244"/>
      <c r="AL73" s="244"/>
      <c r="AM73" s="244"/>
      <c r="AN73" s="244"/>
      <c r="AO73" s="244"/>
      <c r="AP73" s="244"/>
      <c r="AQ73" s="244"/>
      <c r="AR73" s="244"/>
      <c r="AS73" s="244"/>
      <c r="AT73" s="244"/>
      <c r="AU73" s="244"/>
      <c r="AV73" s="244"/>
      <c r="AW73" s="244"/>
      <c r="AX73" s="244"/>
      <c r="AY73" s="244"/>
      <c r="AZ73" s="244"/>
      <c r="BA73" s="244"/>
      <c r="BB73" s="244"/>
      <c r="BC73" s="244"/>
      <c r="BD73" s="244"/>
      <c r="BE73" s="244"/>
      <c r="BF73" s="244"/>
      <c r="BG73" s="244"/>
      <c r="BH73" s="244"/>
      <c r="BI73" s="244"/>
      <c r="BJ73" s="244"/>
      <c r="BK73" s="244"/>
      <c r="BL73" s="244"/>
      <c r="BM73" s="244"/>
      <c r="BN73" s="244"/>
      <c r="BO73" s="244"/>
      <c r="BP73" s="244"/>
      <c r="BQ73" s="244"/>
      <c r="BR73" s="244"/>
      <c r="BS73" s="244"/>
      <c r="BT73" s="244"/>
      <c r="BU73" s="244"/>
      <c r="BV73" s="244"/>
      <c r="BW73" s="244"/>
      <c r="BX73" s="244"/>
      <c r="BY73" s="244"/>
      <c r="BZ73" s="244"/>
      <c r="CA73" s="244"/>
      <c r="CB73" s="244"/>
      <c r="CC73" s="244"/>
      <c r="CD73" s="244"/>
      <c r="CE73" s="244"/>
      <c r="CF73" s="244"/>
      <c r="CG73" s="244"/>
      <c r="CH73" s="244"/>
      <c r="CI73" s="244"/>
      <c r="CJ73" s="244"/>
      <c r="CK73" s="244"/>
      <c r="CL73" s="244"/>
      <c r="CM73" s="244"/>
      <c r="CN73" s="244"/>
      <c r="CO73" s="244"/>
      <c r="CP73" s="244"/>
      <c r="CQ73" s="244"/>
      <c r="CR73" s="244"/>
      <c r="CS73" s="244"/>
      <c r="CT73" s="244"/>
      <c r="CU73" s="244"/>
      <c r="CV73" s="244"/>
      <c r="CW73" s="244"/>
      <c r="CX73" s="244"/>
      <c r="CY73" s="244"/>
      <c r="CZ73" s="244"/>
    </row>
    <row x14ac:dyDescent="0.25" r="74" customHeight="1" ht="15">
      <c r="A74" s="1"/>
      <c r="B74" s="929"/>
      <c r="C74" s="930"/>
      <c r="D74" s="927">
        <v>14</v>
      </c>
      <c r="E74" s="931"/>
      <c r="F74" s="168"/>
      <c r="G74" s="168"/>
      <c r="H74" s="170"/>
      <c r="I74" s="1"/>
      <c r="J74" s="1"/>
      <c r="K74" s="1"/>
      <c r="L74" s="1"/>
      <c r="M74" s="1"/>
      <c r="N74" s="193"/>
      <c r="O74" s="193"/>
      <c r="P74" s="193"/>
      <c r="Q74" s="193"/>
      <c r="R74" s="193"/>
      <c r="S74" s="244"/>
      <c r="T74" s="244"/>
      <c r="U74" s="244"/>
      <c r="V74" s="244"/>
      <c r="W74" s="244"/>
      <c r="X74" s="244"/>
      <c r="Y74" s="244"/>
      <c r="Z74" s="244"/>
      <c r="AA74" s="244"/>
      <c r="AB74" s="244"/>
      <c r="AC74" s="244"/>
      <c r="AD74" s="244"/>
      <c r="AE74" s="244"/>
      <c r="AF74" s="244"/>
      <c r="AG74" s="244"/>
      <c r="AH74" s="244"/>
      <c r="AI74" s="244"/>
      <c r="AJ74" s="244"/>
      <c r="AK74" s="244"/>
      <c r="AL74" s="244"/>
      <c r="AM74" s="244"/>
      <c r="AN74" s="244"/>
      <c r="AO74" s="244"/>
      <c r="AP74" s="244"/>
      <c r="AQ74" s="244"/>
      <c r="AR74" s="244"/>
      <c r="AS74" s="244"/>
      <c r="AT74" s="244"/>
      <c r="AU74" s="244"/>
      <c r="AV74" s="244"/>
      <c r="AW74" s="244"/>
      <c r="AX74" s="244"/>
      <c r="AY74" s="244"/>
      <c r="AZ74" s="244"/>
      <c r="BA74" s="244"/>
      <c r="BB74" s="244"/>
      <c r="BC74" s="244"/>
      <c r="BD74" s="244"/>
      <c r="BE74" s="244"/>
      <c r="BF74" s="244"/>
      <c r="BG74" s="244"/>
      <c r="BH74" s="244"/>
      <c r="BI74" s="244"/>
      <c r="BJ74" s="244"/>
      <c r="BK74" s="244"/>
      <c r="BL74" s="244"/>
      <c r="BM74" s="244"/>
      <c r="BN74" s="244"/>
      <c r="BO74" s="244"/>
      <c r="BP74" s="244"/>
      <c r="BQ74" s="244"/>
      <c r="BR74" s="244"/>
      <c r="BS74" s="244"/>
      <c r="BT74" s="244"/>
      <c r="BU74" s="244"/>
      <c r="BV74" s="244"/>
      <c r="BW74" s="244"/>
      <c r="BX74" s="244"/>
      <c r="BY74" s="244"/>
      <c r="BZ74" s="244"/>
      <c r="CA74" s="244"/>
      <c r="CB74" s="244"/>
      <c r="CC74" s="244"/>
      <c r="CD74" s="244"/>
      <c r="CE74" s="244"/>
      <c r="CF74" s="244"/>
      <c r="CG74" s="244"/>
      <c r="CH74" s="244"/>
      <c r="CI74" s="244"/>
      <c r="CJ74" s="244"/>
      <c r="CK74" s="244"/>
      <c r="CL74" s="244"/>
      <c r="CM74" s="244"/>
      <c r="CN74" s="244"/>
      <c r="CO74" s="244"/>
      <c r="CP74" s="244"/>
      <c r="CQ74" s="244"/>
      <c r="CR74" s="244"/>
      <c r="CS74" s="244"/>
      <c r="CT74" s="244"/>
      <c r="CU74" s="244"/>
      <c r="CV74" s="244"/>
      <c r="CW74" s="244"/>
      <c r="CX74" s="244"/>
      <c r="CY74" s="244"/>
      <c r="CZ74" s="244"/>
    </row>
    <row x14ac:dyDescent="0.25" r="75" customHeight="1" ht="15">
      <c r="A75" s="1"/>
      <c r="B75" s="929"/>
      <c r="C75" s="930"/>
      <c r="D75" s="927">
        <v>15</v>
      </c>
      <c r="E75" s="931"/>
      <c r="F75" s="168"/>
      <c r="G75" s="168"/>
      <c r="H75" s="170"/>
      <c r="I75" s="1"/>
      <c r="J75" s="1"/>
      <c r="K75" s="1"/>
      <c r="L75" s="1"/>
      <c r="M75" s="1"/>
      <c r="N75" s="193"/>
      <c r="O75" s="193"/>
      <c r="P75" s="193"/>
      <c r="Q75" s="193"/>
      <c r="R75" s="193"/>
      <c r="S75" s="244"/>
      <c r="T75" s="244"/>
      <c r="U75" s="244"/>
      <c r="V75" s="244"/>
      <c r="W75" s="244"/>
      <c r="X75" s="244"/>
      <c r="Y75" s="244"/>
      <c r="Z75" s="244"/>
      <c r="AA75" s="244"/>
      <c r="AB75" s="244"/>
      <c r="AC75" s="244"/>
      <c r="AD75" s="244"/>
      <c r="AE75" s="244"/>
      <c r="AF75" s="244"/>
      <c r="AG75" s="244"/>
      <c r="AH75" s="244"/>
      <c r="AI75" s="244"/>
      <c r="AJ75" s="244"/>
      <c r="AK75" s="244"/>
      <c r="AL75" s="244"/>
      <c r="AM75" s="244"/>
      <c r="AN75" s="244"/>
      <c r="AO75" s="244"/>
      <c r="AP75" s="244"/>
      <c r="AQ75" s="244"/>
      <c r="AR75" s="244"/>
      <c r="AS75" s="244"/>
      <c r="AT75" s="244"/>
      <c r="AU75" s="244"/>
      <c r="AV75" s="244"/>
      <c r="AW75" s="244"/>
      <c r="AX75" s="244"/>
      <c r="AY75" s="244"/>
      <c r="AZ75" s="244"/>
      <c r="BA75" s="244"/>
      <c r="BB75" s="244"/>
      <c r="BC75" s="244"/>
      <c r="BD75" s="244"/>
      <c r="BE75" s="244"/>
      <c r="BF75" s="244"/>
      <c r="BG75" s="244"/>
      <c r="BH75" s="244"/>
      <c r="BI75" s="244"/>
      <c r="BJ75" s="244"/>
      <c r="BK75" s="244"/>
      <c r="BL75" s="244"/>
      <c r="BM75" s="244"/>
      <c r="BN75" s="244"/>
      <c r="BO75" s="244"/>
      <c r="BP75" s="244"/>
      <c r="BQ75" s="244"/>
      <c r="BR75" s="244"/>
      <c r="BS75" s="244"/>
      <c r="BT75" s="244"/>
      <c r="BU75" s="244"/>
      <c r="BV75" s="244"/>
      <c r="BW75" s="244"/>
      <c r="BX75" s="244"/>
      <c r="BY75" s="244"/>
      <c r="BZ75" s="244"/>
      <c r="CA75" s="244"/>
      <c r="CB75" s="244"/>
      <c r="CC75" s="244"/>
      <c r="CD75" s="244"/>
      <c r="CE75" s="244"/>
      <c r="CF75" s="244"/>
      <c r="CG75" s="244"/>
      <c r="CH75" s="244"/>
      <c r="CI75" s="244"/>
      <c r="CJ75" s="244"/>
      <c r="CK75" s="244"/>
      <c r="CL75" s="244"/>
      <c r="CM75" s="244"/>
      <c r="CN75" s="244"/>
      <c r="CO75" s="244"/>
      <c r="CP75" s="244"/>
      <c r="CQ75" s="244"/>
      <c r="CR75" s="244"/>
      <c r="CS75" s="244"/>
      <c r="CT75" s="244"/>
      <c r="CU75" s="244"/>
      <c r="CV75" s="244"/>
      <c r="CW75" s="244"/>
      <c r="CX75" s="244"/>
      <c r="CY75" s="244"/>
      <c r="CZ75" s="244"/>
    </row>
    <row x14ac:dyDescent="0.25" r="76" customHeight="1" ht="15">
      <c r="A76" s="1"/>
      <c r="B76" s="169"/>
      <c r="C76" s="1"/>
      <c r="D76" s="927">
        <v>16</v>
      </c>
      <c r="E76" s="931"/>
      <c r="F76" s="168"/>
      <c r="G76" s="168"/>
      <c r="H76" s="354"/>
      <c r="I76" s="139"/>
      <c r="J76" s="139"/>
      <c r="K76" s="139"/>
      <c r="L76" s="139"/>
      <c r="M76" s="139"/>
      <c r="N76" s="244"/>
      <c r="O76" s="244"/>
      <c r="P76" s="244"/>
      <c r="Q76" s="244"/>
      <c r="R76" s="244"/>
      <c r="S76" s="244"/>
      <c r="T76" s="244"/>
      <c r="U76" s="244"/>
      <c r="V76" s="244"/>
      <c r="W76" s="244"/>
      <c r="X76" s="244"/>
      <c r="Y76" s="244"/>
      <c r="Z76" s="244"/>
      <c r="AA76" s="244"/>
      <c r="AB76" s="244"/>
      <c r="AC76" s="244"/>
      <c r="AD76" s="244"/>
      <c r="AE76" s="244"/>
      <c r="AF76" s="244"/>
      <c r="AG76" s="244"/>
      <c r="AH76" s="244"/>
      <c r="AI76" s="244"/>
      <c r="AJ76" s="244"/>
      <c r="AK76" s="244"/>
      <c r="AL76" s="244"/>
      <c r="AM76" s="244"/>
      <c r="AN76" s="244"/>
      <c r="AO76" s="244"/>
      <c r="AP76" s="244"/>
      <c r="AQ76" s="244"/>
      <c r="AR76" s="244"/>
      <c r="AS76" s="244"/>
      <c r="AT76" s="244"/>
      <c r="AU76" s="244"/>
      <c r="AV76" s="244"/>
      <c r="AW76" s="244"/>
      <c r="AX76" s="244"/>
      <c r="AY76" s="244"/>
      <c r="AZ76" s="244"/>
      <c r="BA76" s="244"/>
      <c r="BB76" s="244"/>
      <c r="BC76" s="244"/>
      <c r="BD76" s="244"/>
      <c r="BE76" s="244"/>
      <c r="BF76" s="244"/>
      <c r="BG76" s="244"/>
      <c r="BH76" s="244"/>
      <c r="BI76" s="244"/>
      <c r="BJ76" s="244"/>
      <c r="BK76" s="244"/>
      <c r="BL76" s="244"/>
      <c r="BM76" s="244"/>
      <c r="BN76" s="244"/>
      <c r="BO76" s="244"/>
      <c r="BP76" s="244"/>
      <c r="BQ76" s="244"/>
      <c r="BR76" s="244"/>
      <c r="BS76" s="244"/>
      <c r="BT76" s="244"/>
      <c r="BU76" s="244"/>
      <c r="BV76" s="244"/>
      <c r="BW76" s="244"/>
      <c r="BX76" s="244"/>
      <c r="BY76" s="244"/>
      <c r="BZ76" s="244"/>
      <c r="CA76" s="244"/>
      <c r="CB76" s="244"/>
      <c r="CC76" s="244"/>
      <c r="CD76" s="244"/>
      <c r="CE76" s="244"/>
      <c r="CF76" s="244"/>
      <c r="CG76" s="244"/>
      <c r="CH76" s="244"/>
      <c r="CI76" s="244"/>
      <c r="CJ76" s="244"/>
      <c r="CK76" s="244"/>
      <c r="CL76" s="244"/>
      <c r="CM76" s="244"/>
      <c r="CN76" s="244"/>
      <c r="CO76" s="244"/>
      <c r="CP76" s="244"/>
      <c r="CQ76" s="244"/>
      <c r="CR76" s="244"/>
      <c r="CS76" s="244"/>
      <c r="CT76" s="244"/>
      <c r="CU76" s="244"/>
      <c r="CV76" s="244"/>
      <c r="CW76" s="244"/>
      <c r="CX76" s="244"/>
      <c r="CY76" s="244"/>
      <c r="CZ76" s="244"/>
    </row>
    <row x14ac:dyDescent="0.25" r="77" customHeight="1" ht="15">
      <c r="A77" s="1"/>
      <c r="B77" s="169"/>
      <c r="C77" s="1"/>
      <c r="D77" s="927">
        <v>17</v>
      </c>
      <c r="E77" s="931"/>
      <c r="F77" s="168"/>
      <c r="G77" s="168"/>
      <c r="H77" s="354"/>
      <c r="I77" s="139"/>
      <c r="J77" s="139"/>
      <c r="K77" s="139"/>
      <c r="L77" s="139"/>
      <c r="M77" s="139"/>
      <c r="N77" s="244"/>
      <c r="O77" s="244"/>
      <c r="P77" s="244"/>
      <c r="Q77" s="244"/>
      <c r="R77" s="244"/>
      <c r="S77" s="244"/>
      <c r="T77" s="244"/>
      <c r="U77" s="244"/>
      <c r="V77" s="244"/>
      <c r="W77" s="244"/>
      <c r="X77" s="244"/>
      <c r="Y77" s="244"/>
      <c r="Z77" s="244"/>
      <c r="AA77" s="244"/>
      <c r="AB77" s="244"/>
      <c r="AC77" s="244"/>
      <c r="AD77" s="244"/>
      <c r="AE77" s="244"/>
      <c r="AF77" s="244"/>
      <c r="AG77" s="244"/>
      <c r="AH77" s="244"/>
      <c r="AI77" s="244"/>
      <c r="AJ77" s="244"/>
      <c r="AK77" s="244"/>
      <c r="AL77" s="244"/>
      <c r="AM77" s="244"/>
      <c r="AN77" s="244"/>
      <c r="AO77" s="244"/>
      <c r="AP77" s="244"/>
      <c r="AQ77" s="244"/>
      <c r="AR77" s="244"/>
      <c r="AS77" s="244"/>
      <c r="AT77" s="244"/>
      <c r="AU77" s="244"/>
      <c r="AV77" s="244"/>
      <c r="AW77" s="244"/>
      <c r="AX77" s="244"/>
      <c r="AY77" s="244"/>
      <c r="AZ77" s="244"/>
      <c r="BA77" s="244"/>
      <c r="BB77" s="244"/>
      <c r="BC77" s="244"/>
      <c r="BD77" s="244"/>
      <c r="BE77" s="244"/>
      <c r="BF77" s="244"/>
      <c r="BG77" s="244"/>
      <c r="BH77" s="244"/>
      <c r="BI77" s="244"/>
      <c r="BJ77" s="244"/>
      <c r="BK77" s="244"/>
      <c r="BL77" s="244"/>
      <c r="BM77" s="244"/>
      <c r="BN77" s="244"/>
      <c r="BO77" s="244"/>
      <c r="BP77" s="244"/>
      <c r="BQ77" s="244"/>
      <c r="BR77" s="244"/>
      <c r="BS77" s="244"/>
      <c r="BT77" s="244"/>
      <c r="BU77" s="244"/>
      <c r="BV77" s="244"/>
      <c r="BW77" s="244"/>
      <c r="BX77" s="244"/>
      <c r="BY77" s="244"/>
      <c r="BZ77" s="244"/>
      <c r="CA77" s="244"/>
      <c r="CB77" s="244"/>
      <c r="CC77" s="244"/>
      <c r="CD77" s="244"/>
      <c r="CE77" s="244"/>
      <c r="CF77" s="244"/>
      <c r="CG77" s="244"/>
      <c r="CH77" s="244"/>
      <c r="CI77" s="244"/>
      <c r="CJ77" s="244"/>
      <c r="CK77" s="244"/>
      <c r="CL77" s="244"/>
      <c r="CM77" s="244"/>
      <c r="CN77" s="244"/>
      <c r="CO77" s="244"/>
      <c r="CP77" s="244"/>
      <c r="CQ77" s="244"/>
      <c r="CR77" s="244"/>
      <c r="CS77" s="244"/>
      <c r="CT77" s="244"/>
      <c r="CU77" s="244"/>
      <c r="CV77" s="244"/>
      <c r="CW77" s="244"/>
      <c r="CX77" s="244"/>
      <c r="CY77" s="244"/>
      <c r="CZ77" s="244"/>
    </row>
    <row x14ac:dyDescent="0.25" r="78" customHeight="1" ht="15">
      <c r="A78" s="1"/>
      <c r="B78" s="169"/>
      <c r="C78" s="1"/>
      <c r="D78" s="927">
        <v>18</v>
      </c>
      <c r="E78" s="931"/>
      <c r="F78" s="168"/>
      <c r="G78" s="168"/>
      <c r="H78" s="354"/>
      <c r="I78" s="139"/>
      <c r="J78" s="139"/>
      <c r="K78" s="139"/>
      <c r="L78" s="139"/>
      <c r="M78" s="139"/>
      <c r="N78" s="244"/>
      <c r="O78" s="244"/>
      <c r="P78" s="244"/>
      <c r="Q78" s="244"/>
      <c r="R78" s="244"/>
      <c r="S78" s="244"/>
      <c r="T78" s="244"/>
      <c r="U78" s="244"/>
      <c r="V78" s="244"/>
      <c r="W78" s="244"/>
      <c r="X78" s="244"/>
      <c r="Y78" s="244"/>
      <c r="Z78" s="244"/>
      <c r="AA78" s="244"/>
      <c r="AB78" s="244"/>
      <c r="AC78" s="244"/>
      <c r="AD78" s="244"/>
      <c r="AE78" s="244"/>
      <c r="AF78" s="244"/>
      <c r="AG78" s="244"/>
      <c r="AH78" s="244"/>
      <c r="AI78" s="244"/>
      <c r="AJ78" s="244"/>
      <c r="AK78" s="244"/>
      <c r="AL78" s="244"/>
      <c r="AM78" s="244"/>
      <c r="AN78" s="244"/>
      <c r="AO78" s="244"/>
      <c r="AP78" s="244"/>
      <c r="AQ78" s="244"/>
      <c r="AR78" s="244"/>
      <c r="AS78" s="244"/>
      <c r="AT78" s="244"/>
      <c r="AU78" s="244"/>
      <c r="AV78" s="244"/>
      <c r="AW78" s="244"/>
      <c r="AX78" s="244"/>
      <c r="AY78" s="244"/>
      <c r="AZ78" s="244"/>
      <c r="BA78" s="244"/>
      <c r="BB78" s="244"/>
      <c r="BC78" s="244"/>
      <c r="BD78" s="244"/>
      <c r="BE78" s="244"/>
      <c r="BF78" s="244"/>
      <c r="BG78" s="244"/>
      <c r="BH78" s="244"/>
      <c r="BI78" s="244"/>
      <c r="BJ78" s="244"/>
      <c r="BK78" s="244"/>
      <c r="BL78" s="244"/>
      <c r="BM78" s="244"/>
      <c r="BN78" s="244"/>
      <c r="BO78" s="244"/>
      <c r="BP78" s="244"/>
      <c r="BQ78" s="244"/>
      <c r="BR78" s="244"/>
      <c r="BS78" s="244"/>
      <c r="BT78" s="244"/>
      <c r="BU78" s="244"/>
      <c r="BV78" s="244"/>
      <c r="BW78" s="244"/>
      <c r="BX78" s="244"/>
      <c r="BY78" s="244"/>
      <c r="BZ78" s="244"/>
      <c r="CA78" s="244"/>
      <c r="CB78" s="244"/>
      <c r="CC78" s="244"/>
      <c r="CD78" s="244"/>
      <c r="CE78" s="244"/>
      <c r="CF78" s="244"/>
      <c r="CG78" s="244"/>
      <c r="CH78" s="244"/>
      <c r="CI78" s="244"/>
      <c r="CJ78" s="244"/>
      <c r="CK78" s="244"/>
      <c r="CL78" s="244"/>
      <c r="CM78" s="244"/>
      <c r="CN78" s="244"/>
      <c r="CO78" s="244"/>
      <c r="CP78" s="244"/>
      <c r="CQ78" s="244"/>
      <c r="CR78" s="244"/>
      <c r="CS78" s="244"/>
      <c r="CT78" s="244"/>
      <c r="CU78" s="244"/>
      <c r="CV78" s="244"/>
      <c r="CW78" s="244"/>
      <c r="CX78" s="244"/>
      <c r="CY78" s="244"/>
      <c r="CZ78" s="244"/>
    </row>
    <row x14ac:dyDescent="0.25" r="79" customHeight="1" ht="15">
      <c r="A79" s="1"/>
      <c r="B79" s="169"/>
      <c r="C79" s="1"/>
      <c r="D79" s="927">
        <v>19</v>
      </c>
      <c r="E79" s="931"/>
      <c r="F79" s="168"/>
      <c r="G79" s="168"/>
      <c r="H79" s="354"/>
      <c r="I79" s="139"/>
      <c r="J79" s="139"/>
      <c r="K79" s="139"/>
      <c r="L79" s="139"/>
      <c r="M79" s="139"/>
      <c r="N79" s="244"/>
      <c r="O79" s="244"/>
      <c r="P79" s="244"/>
      <c r="Q79" s="244"/>
      <c r="R79" s="244"/>
      <c r="S79" s="244"/>
      <c r="T79" s="244"/>
      <c r="U79" s="244"/>
      <c r="V79" s="244"/>
      <c r="W79" s="244"/>
      <c r="X79" s="244"/>
      <c r="Y79" s="244"/>
      <c r="Z79" s="244"/>
      <c r="AA79" s="244"/>
      <c r="AB79" s="244"/>
      <c r="AC79" s="244"/>
      <c r="AD79" s="244"/>
      <c r="AE79" s="244"/>
      <c r="AF79" s="244"/>
      <c r="AG79" s="244"/>
      <c r="AH79" s="244"/>
      <c r="AI79" s="244"/>
      <c r="AJ79" s="244"/>
      <c r="AK79" s="244"/>
      <c r="AL79" s="244"/>
      <c r="AM79" s="244"/>
      <c r="AN79" s="244"/>
      <c r="AO79" s="244"/>
      <c r="AP79" s="244"/>
      <c r="AQ79" s="244"/>
      <c r="AR79" s="244"/>
      <c r="AS79" s="244"/>
      <c r="AT79" s="244"/>
      <c r="AU79" s="244"/>
      <c r="AV79" s="244"/>
      <c r="AW79" s="244"/>
      <c r="AX79" s="244"/>
      <c r="AY79" s="244"/>
      <c r="AZ79" s="244"/>
      <c r="BA79" s="244"/>
      <c r="BB79" s="244"/>
      <c r="BC79" s="244"/>
      <c r="BD79" s="244"/>
      <c r="BE79" s="244"/>
      <c r="BF79" s="244"/>
      <c r="BG79" s="244"/>
      <c r="BH79" s="244"/>
      <c r="BI79" s="244"/>
      <c r="BJ79" s="244"/>
      <c r="BK79" s="244"/>
      <c r="BL79" s="244"/>
      <c r="BM79" s="244"/>
      <c r="BN79" s="244"/>
      <c r="BO79" s="244"/>
      <c r="BP79" s="244"/>
      <c r="BQ79" s="244"/>
      <c r="BR79" s="244"/>
      <c r="BS79" s="244"/>
      <c r="BT79" s="244"/>
      <c r="BU79" s="244"/>
      <c r="BV79" s="244"/>
      <c r="BW79" s="244"/>
      <c r="BX79" s="244"/>
      <c r="BY79" s="244"/>
      <c r="BZ79" s="244"/>
      <c r="CA79" s="244"/>
      <c r="CB79" s="244"/>
      <c r="CC79" s="244"/>
      <c r="CD79" s="244"/>
      <c r="CE79" s="244"/>
      <c r="CF79" s="244"/>
      <c r="CG79" s="244"/>
      <c r="CH79" s="244"/>
      <c r="CI79" s="244"/>
      <c r="CJ79" s="244"/>
      <c r="CK79" s="244"/>
      <c r="CL79" s="244"/>
      <c r="CM79" s="244"/>
      <c r="CN79" s="244"/>
      <c r="CO79" s="244"/>
      <c r="CP79" s="244"/>
      <c r="CQ79" s="244"/>
      <c r="CR79" s="244"/>
      <c r="CS79" s="244"/>
      <c r="CT79" s="244"/>
      <c r="CU79" s="244"/>
      <c r="CV79" s="244"/>
      <c r="CW79" s="244"/>
      <c r="CX79" s="244"/>
      <c r="CY79" s="244"/>
      <c r="CZ79" s="244"/>
    </row>
    <row x14ac:dyDescent="0.25" r="80" customHeight="1" ht="15">
      <c r="A80" s="1"/>
      <c r="B80" s="169"/>
      <c r="C80" s="1"/>
      <c r="D80" s="927">
        <v>20</v>
      </c>
      <c r="E80" s="931"/>
      <c r="F80" s="168"/>
      <c r="G80" s="168"/>
      <c r="H80" s="354"/>
      <c r="I80" s="139"/>
      <c r="J80" s="139"/>
      <c r="K80" s="139"/>
      <c r="L80" s="139"/>
      <c r="M80" s="139"/>
      <c r="N80" s="244"/>
      <c r="O80" s="244"/>
      <c r="P80" s="244"/>
      <c r="Q80" s="244"/>
      <c r="R80" s="244"/>
      <c r="S80" s="244"/>
      <c r="T80" s="244"/>
      <c r="U80" s="244"/>
      <c r="V80" s="244"/>
      <c r="W80" s="244"/>
      <c r="X80" s="244"/>
      <c r="Y80" s="244"/>
      <c r="Z80" s="244"/>
      <c r="AA80" s="244"/>
      <c r="AB80" s="244"/>
      <c r="AC80" s="244"/>
      <c r="AD80" s="244"/>
      <c r="AE80" s="244"/>
      <c r="AF80" s="244"/>
      <c r="AG80" s="244"/>
      <c r="AH80" s="244"/>
      <c r="AI80" s="244"/>
      <c r="AJ80" s="244"/>
      <c r="AK80" s="244"/>
      <c r="AL80" s="244"/>
      <c r="AM80" s="244"/>
      <c r="AN80" s="244"/>
      <c r="AO80" s="244"/>
      <c r="AP80" s="244"/>
      <c r="AQ80" s="244"/>
      <c r="AR80" s="244"/>
      <c r="AS80" s="244"/>
      <c r="AT80" s="244"/>
      <c r="AU80" s="244"/>
      <c r="AV80" s="244"/>
      <c r="AW80" s="244"/>
      <c r="AX80" s="244"/>
      <c r="AY80" s="244"/>
      <c r="AZ80" s="244"/>
      <c r="BA80" s="244"/>
      <c r="BB80" s="244"/>
      <c r="BC80" s="244"/>
      <c r="BD80" s="244"/>
      <c r="BE80" s="244"/>
      <c r="BF80" s="244"/>
      <c r="BG80" s="244"/>
      <c r="BH80" s="244"/>
      <c r="BI80" s="244"/>
      <c r="BJ80" s="244"/>
      <c r="BK80" s="244"/>
      <c r="BL80" s="244"/>
      <c r="BM80" s="244"/>
      <c r="BN80" s="244"/>
      <c r="BO80" s="244"/>
      <c r="BP80" s="244"/>
      <c r="BQ80" s="244"/>
      <c r="BR80" s="244"/>
      <c r="BS80" s="244"/>
      <c r="BT80" s="244"/>
      <c r="BU80" s="244"/>
      <c r="BV80" s="244"/>
      <c r="BW80" s="244"/>
      <c r="BX80" s="244"/>
      <c r="BY80" s="244"/>
      <c r="BZ80" s="244"/>
      <c r="CA80" s="244"/>
      <c r="CB80" s="244"/>
      <c r="CC80" s="244"/>
      <c r="CD80" s="244"/>
      <c r="CE80" s="244"/>
      <c r="CF80" s="244"/>
      <c r="CG80" s="244"/>
      <c r="CH80" s="244"/>
      <c r="CI80" s="244"/>
      <c r="CJ80" s="244"/>
      <c r="CK80" s="244"/>
      <c r="CL80" s="244"/>
      <c r="CM80" s="244"/>
      <c r="CN80" s="244"/>
      <c r="CO80" s="244"/>
      <c r="CP80" s="244"/>
      <c r="CQ80" s="244"/>
      <c r="CR80" s="244"/>
      <c r="CS80" s="244"/>
      <c r="CT80" s="244"/>
      <c r="CU80" s="244"/>
      <c r="CV80" s="244"/>
      <c r="CW80" s="244"/>
      <c r="CX80" s="244"/>
      <c r="CY80" s="244"/>
      <c r="CZ80" s="244"/>
    </row>
    <row x14ac:dyDescent="0.25" r="81" customHeight="1" ht="15">
      <c r="A81" s="1"/>
      <c r="B81" s="169"/>
      <c r="C81" s="1"/>
      <c r="D81" s="927">
        <v>21</v>
      </c>
      <c r="E81" s="931">
        <f>IF(AND(G20&gt;TODAY(),D14=""),"No","Si")</f>
      </c>
      <c r="F81" s="168"/>
      <c r="G81" s="168"/>
      <c r="H81" s="354"/>
      <c r="I81" s="139"/>
      <c r="J81" s="139"/>
      <c r="K81" s="139"/>
      <c r="L81" s="139"/>
      <c r="M81" s="139"/>
      <c r="N81" s="244"/>
      <c r="O81" s="244"/>
      <c r="P81" s="244"/>
      <c r="Q81" s="244"/>
      <c r="R81" s="244"/>
      <c r="S81" s="244"/>
      <c r="T81" s="244"/>
      <c r="U81" s="244"/>
      <c r="V81" s="244"/>
      <c r="W81" s="244"/>
      <c r="X81" s="244"/>
      <c r="Y81" s="244"/>
      <c r="Z81" s="244"/>
      <c r="AA81" s="244"/>
      <c r="AB81" s="244"/>
      <c r="AC81" s="244"/>
      <c r="AD81" s="244"/>
      <c r="AE81" s="244"/>
      <c r="AF81" s="244"/>
      <c r="AG81" s="244"/>
      <c r="AH81" s="244"/>
      <c r="AI81" s="244"/>
      <c r="AJ81" s="244"/>
      <c r="AK81" s="244"/>
      <c r="AL81" s="244"/>
      <c r="AM81" s="244"/>
      <c r="AN81" s="244"/>
      <c r="AO81" s="244"/>
      <c r="AP81" s="244"/>
      <c r="AQ81" s="244"/>
      <c r="AR81" s="244"/>
      <c r="AS81" s="244"/>
      <c r="AT81" s="244"/>
      <c r="AU81" s="244"/>
      <c r="AV81" s="244"/>
      <c r="AW81" s="244"/>
      <c r="AX81" s="244"/>
      <c r="AY81" s="244"/>
      <c r="AZ81" s="244"/>
      <c r="BA81" s="244"/>
      <c r="BB81" s="244"/>
      <c r="BC81" s="244"/>
      <c r="BD81" s="244"/>
      <c r="BE81" s="244"/>
      <c r="BF81" s="244"/>
      <c r="BG81" s="244"/>
      <c r="BH81" s="244"/>
      <c r="BI81" s="244"/>
      <c r="BJ81" s="244"/>
      <c r="BK81" s="244"/>
      <c r="BL81" s="244"/>
      <c r="BM81" s="244"/>
      <c r="BN81" s="244"/>
      <c r="BO81" s="244"/>
      <c r="BP81" s="244"/>
      <c r="BQ81" s="244"/>
      <c r="BR81" s="244"/>
      <c r="BS81" s="244"/>
      <c r="BT81" s="244"/>
      <c r="BU81" s="244"/>
      <c r="BV81" s="244"/>
      <c r="BW81" s="244"/>
      <c r="BX81" s="244"/>
      <c r="BY81" s="244"/>
      <c r="BZ81" s="244"/>
      <c r="CA81" s="244"/>
      <c r="CB81" s="244"/>
      <c r="CC81" s="244"/>
      <c r="CD81" s="244"/>
      <c r="CE81" s="244"/>
      <c r="CF81" s="244"/>
      <c r="CG81" s="244"/>
      <c r="CH81" s="244"/>
      <c r="CI81" s="244"/>
      <c r="CJ81" s="244"/>
      <c r="CK81" s="244"/>
      <c r="CL81" s="244"/>
      <c r="CM81" s="244"/>
      <c r="CN81" s="244"/>
      <c r="CO81" s="244"/>
      <c r="CP81" s="244"/>
      <c r="CQ81" s="244"/>
      <c r="CR81" s="244"/>
      <c r="CS81" s="244"/>
      <c r="CT81" s="244"/>
      <c r="CU81" s="244"/>
      <c r="CV81" s="244"/>
      <c r="CW81" s="244"/>
      <c r="CX81" s="244"/>
      <c r="CY81" s="244"/>
      <c r="CZ81" s="244"/>
    </row>
    <row x14ac:dyDescent="0.25" r="82" customHeight="1" ht="15">
      <c r="A82" s="1"/>
      <c r="B82" s="169"/>
      <c r="C82" s="1"/>
      <c r="D82" s="590"/>
      <c r="E82" s="355"/>
      <c r="F82" s="168"/>
      <c r="G82" s="168"/>
      <c r="H82" s="354"/>
      <c r="I82" s="139"/>
      <c r="J82" s="139"/>
      <c r="K82" s="139"/>
      <c r="L82" s="139"/>
      <c r="M82" s="139"/>
      <c r="N82" s="244"/>
      <c r="O82" s="244"/>
      <c r="P82" s="244"/>
      <c r="Q82" s="244"/>
      <c r="R82" s="244"/>
      <c r="S82" s="244"/>
      <c r="T82" s="244"/>
      <c r="U82" s="244"/>
      <c r="V82" s="244"/>
      <c r="W82" s="244"/>
      <c r="X82" s="244"/>
      <c r="Y82" s="244"/>
      <c r="Z82" s="244"/>
      <c r="AA82" s="244"/>
      <c r="AB82" s="244"/>
      <c r="AC82" s="244"/>
      <c r="AD82" s="244"/>
      <c r="AE82" s="244"/>
      <c r="AF82" s="244"/>
      <c r="AG82" s="244"/>
      <c r="AH82" s="244"/>
      <c r="AI82" s="244"/>
      <c r="AJ82" s="244"/>
      <c r="AK82" s="244"/>
      <c r="AL82" s="244"/>
      <c r="AM82" s="244"/>
      <c r="AN82" s="244"/>
      <c r="AO82" s="244"/>
      <c r="AP82" s="244"/>
      <c r="AQ82" s="244"/>
      <c r="AR82" s="244"/>
      <c r="AS82" s="244"/>
      <c r="AT82" s="244"/>
      <c r="AU82" s="244"/>
      <c r="AV82" s="244"/>
      <c r="AW82" s="244"/>
      <c r="AX82" s="244"/>
      <c r="AY82" s="244"/>
      <c r="AZ82" s="244"/>
      <c r="BA82" s="244"/>
      <c r="BB82" s="244"/>
      <c r="BC82" s="244"/>
      <c r="BD82" s="244"/>
      <c r="BE82" s="244"/>
      <c r="BF82" s="244"/>
      <c r="BG82" s="244"/>
      <c r="BH82" s="244"/>
      <c r="BI82" s="244"/>
      <c r="BJ82" s="244"/>
      <c r="BK82" s="244"/>
      <c r="BL82" s="244"/>
      <c r="BM82" s="244"/>
      <c r="BN82" s="244"/>
      <c r="BO82" s="244"/>
      <c r="BP82" s="244"/>
      <c r="BQ82" s="244"/>
      <c r="BR82" s="244"/>
      <c r="BS82" s="244"/>
      <c r="BT82" s="244"/>
      <c r="BU82" s="244"/>
      <c r="BV82" s="244"/>
      <c r="BW82" s="244"/>
      <c r="BX82" s="244"/>
      <c r="BY82" s="244"/>
      <c r="BZ82" s="244"/>
      <c r="CA82" s="244"/>
      <c r="CB82" s="244"/>
      <c r="CC82" s="244"/>
      <c r="CD82" s="244"/>
      <c r="CE82" s="244"/>
      <c r="CF82" s="244"/>
      <c r="CG82" s="244"/>
      <c r="CH82" s="244"/>
      <c r="CI82" s="244"/>
      <c r="CJ82" s="244"/>
      <c r="CK82" s="244"/>
      <c r="CL82" s="244"/>
      <c r="CM82" s="244"/>
      <c r="CN82" s="244"/>
      <c r="CO82" s="244"/>
      <c r="CP82" s="244"/>
      <c r="CQ82" s="244"/>
      <c r="CR82" s="244"/>
      <c r="CS82" s="244"/>
      <c r="CT82" s="244"/>
      <c r="CU82" s="244"/>
      <c r="CV82" s="244"/>
      <c r="CW82" s="244"/>
      <c r="CX82" s="244"/>
      <c r="CY82" s="244"/>
      <c r="CZ82" s="244"/>
    </row>
    <row x14ac:dyDescent="0.25" r="83" customHeight="1" ht="15">
      <c r="A83" s="1"/>
      <c r="B83" s="169"/>
      <c r="C83" s="1"/>
      <c r="D83" s="907" t="s">
        <v>372</v>
      </c>
      <c r="E83" s="910"/>
      <c r="F83" s="168"/>
      <c r="G83" s="168"/>
      <c r="H83" s="354"/>
      <c r="I83" s="139"/>
      <c r="J83" s="139"/>
      <c r="K83" s="139"/>
      <c r="L83" s="139"/>
      <c r="M83" s="139"/>
      <c r="N83" s="244"/>
      <c r="O83" s="244"/>
      <c r="P83" s="244"/>
      <c r="Q83" s="244"/>
      <c r="R83" s="244"/>
      <c r="S83" s="244"/>
      <c r="T83" s="244"/>
      <c r="U83" s="244"/>
      <c r="V83" s="244"/>
      <c r="W83" s="244"/>
      <c r="X83" s="244"/>
      <c r="Y83" s="244"/>
      <c r="Z83" s="244"/>
      <c r="AA83" s="244"/>
      <c r="AB83" s="244"/>
      <c r="AC83" s="244"/>
      <c r="AD83" s="244"/>
      <c r="AE83" s="244"/>
      <c r="AF83" s="244"/>
      <c r="AG83" s="244"/>
      <c r="AH83" s="244"/>
      <c r="AI83" s="244"/>
      <c r="AJ83" s="244"/>
      <c r="AK83" s="244"/>
      <c r="AL83" s="244"/>
      <c r="AM83" s="244"/>
      <c r="AN83" s="244"/>
      <c r="AO83" s="244"/>
      <c r="AP83" s="244"/>
      <c r="AQ83" s="244"/>
      <c r="AR83" s="244"/>
      <c r="AS83" s="244"/>
      <c r="AT83" s="244"/>
      <c r="AU83" s="244"/>
      <c r="AV83" s="244"/>
      <c r="AW83" s="244"/>
      <c r="AX83" s="244"/>
      <c r="AY83" s="244"/>
      <c r="AZ83" s="244"/>
      <c r="BA83" s="244"/>
      <c r="BB83" s="244"/>
      <c r="BC83" s="244"/>
      <c r="BD83" s="244"/>
      <c r="BE83" s="244"/>
      <c r="BF83" s="244"/>
      <c r="BG83" s="244"/>
      <c r="BH83" s="244"/>
      <c r="BI83" s="244"/>
      <c r="BJ83" s="244"/>
      <c r="BK83" s="244"/>
      <c r="BL83" s="244"/>
      <c r="BM83" s="244"/>
      <c r="BN83" s="244"/>
      <c r="BO83" s="244"/>
      <c r="BP83" s="244"/>
      <c r="BQ83" s="244"/>
      <c r="BR83" s="244"/>
      <c r="BS83" s="244"/>
      <c r="BT83" s="244"/>
      <c r="BU83" s="244"/>
      <c r="BV83" s="244"/>
      <c r="BW83" s="244"/>
      <c r="BX83" s="244"/>
      <c r="BY83" s="244"/>
      <c r="BZ83" s="244"/>
      <c r="CA83" s="244"/>
      <c r="CB83" s="244"/>
      <c r="CC83" s="244"/>
      <c r="CD83" s="244"/>
      <c r="CE83" s="244"/>
      <c r="CF83" s="244"/>
      <c r="CG83" s="244"/>
      <c r="CH83" s="244"/>
      <c r="CI83" s="244"/>
      <c r="CJ83" s="244"/>
      <c r="CK83" s="244"/>
      <c r="CL83" s="244"/>
      <c r="CM83" s="244"/>
      <c r="CN83" s="244"/>
      <c r="CO83" s="244"/>
      <c r="CP83" s="244"/>
      <c r="CQ83" s="244"/>
      <c r="CR83" s="244"/>
      <c r="CS83" s="244"/>
      <c r="CT83" s="244"/>
      <c r="CU83" s="244"/>
      <c r="CV83" s="244"/>
      <c r="CW83" s="244"/>
      <c r="CX83" s="244"/>
      <c r="CY83" s="244"/>
      <c r="CZ83" s="244"/>
    </row>
    <row x14ac:dyDescent="0.25" r="84" customHeight="1" ht="15">
      <c r="A84" s="1"/>
      <c r="B84" s="932">
        <f>IF(D84="No",0,1)</f>
      </c>
      <c r="C84" s="1"/>
      <c r="D84" s="670">
        <f>IF(D14="","No","Si")</f>
      </c>
      <c r="E84" s="484"/>
      <c r="F84" s="666"/>
      <c r="G84" s="666"/>
      <c r="H84" s="933" t="s">
        <v>373</v>
      </c>
      <c r="I84" s="139"/>
      <c r="J84" s="139"/>
      <c r="K84" s="139"/>
      <c r="L84" s="139"/>
      <c r="M84" s="139"/>
      <c r="N84" s="244"/>
      <c r="O84" s="244"/>
      <c r="P84" s="244"/>
      <c r="Q84" s="244"/>
      <c r="R84" s="244"/>
      <c r="S84" s="244"/>
      <c r="T84" s="244"/>
      <c r="U84" s="244"/>
      <c r="V84" s="244"/>
      <c r="W84" s="244"/>
      <c r="X84" s="244"/>
      <c r="Y84" s="244"/>
      <c r="Z84" s="244"/>
      <c r="AA84" s="244"/>
      <c r="AB84" s="244"/>
      <c r="AC84" s="244"/>
      <c r="AD84" s="244"/>
      <c r="AE84" s="244"/>
      <c r="AF84" s="244"/>
      <c r="AG84" s="244"/>
      <c r="AH84" s="244"/>
      <c r="AI84" s="244"/>
      <c r="AJ84" s="244"/>
      <c r="AK84" s="244"/>
      <c r="AL84" s="244"/>
      <c r="AM84" s="244"/>
      <c r="AN84" s="244"/>
      <c r="AO84" s="244"/>
      <c r="AP84" s="244"/>
      <c r="AQ84" s="244"/>
      <c r="AR84" s="244"/>
      <c r="AS84" s="244"/>
      <c r="AT84" s="244"/>
      <c r="AU84" s="244"/>
      <c r="AV84" s="244"/>
      <c r="AW84" s="244"/>
      <c r="AX84" s="244"/>
      <c r="AY84" s="244"/>
      <c r="AZ84" s="244"/>
      <c r="BA84" s="244"/>
      <c r="BB84" s="244"/>
      <c r="BC84" s="244"/>
      <c r="BD84" s="244"/>
      <c r="BE84" s="244"/>
      <c r="BF84" s="244"/>
      <c r="BG84" s="244"/>
      <c r="BH84" s="244"/>
      <c r="BI84" s="244"/>
      <c r="BJ84" s="244"/>
      <c r="BK84" s="244"/>
      <c r="BL84" s="244"/>
      <c r="BM84" s="244"/>
      <c r="BN84" s="244"/>
      <c r="BO84" s="244"/>
      <c r="BP84" s="244"/>
      <c r="BQ84" s="244"/>
      <c r="BR84" s="244"/>
      <c r="BS84" s="244"/>
      <c r="BT84" s="244"/>
      <c r="BU84" s="244"/>
      <c r="BV84" s="244"/>
      <c r="BW84" s="244"/>
      <c r="BX84" s="244"/>
      <c r="BY84" s="244"/>
      <c r="BZ84" s="244"/>
      <c r="CA84" s="244"/>
      <c r="CB84" s="244"/>
      <c r="CC84" s="244"/>
      <c r="CD84" s="244"/>
      <c r="CE84" s="244"/>
      <c r="CF84" s="244"/>
      <c r="CG84" s="244"/>
      <c r="CH84" s="244"/>
      <c r="CI84" s="244"/>
      <c r="CJ84" s="244"/>
      <c r="CK84" s="244"/>
      <c r="CL84" s="244"/>
      <c r="CM84" s="244"/>
      <c r="CN84" s="244"/>
      <c r="CO84" s="244"/>
      <c r="CP84" s="244"/>
      <c r="CQ84" s="244"/>
      <c r="CR84" s="244"/>
      <c r="CS84" s="244"/>
      <c r="CT84" s="244"/>
      <c r="CU84" s="244"/>
      <c r="CV84" s="244"/>
      <c r="CW84" s="244"/>
      <c r="CX84" s="244"/>
      <c r="CY84" s="244"/>
      <c r="CZ84" s="244"/>
    </row>
    <row x14ac:dyDescent="0.25" r="85" customHeight="1" ht="15">
      <c r="A85" s="1"/>
      <c r="B85" s="932">
        <f>IF(D85="No",0,1)</f>
      </c>
      <c r="C85" s="244"/>
      <c r="D85" s="670">
        <f>+IF(AND(G5&lt;TODAY(),OR(G10="Jubilación ordinaria",G10="Jubilación anticipada"),D87="No"),"Si","No")</f>
      </c>
      <c r="E85" s="484"/>
      <c r="F85" s="666"/>
      <c r="G85" s="666"/>
      <c r="H85" s="933" t="s">
        <v>374</v>
      </c>
      <c r="I85" s="139"/>
      <c r="J85" s="139"/>
      <c r="K85" s="139"/>
      <c r="L85" s="139"/>
      <c r="M85" s="139"/>
      <c r="N85" s="244"/>
      <c r="O85" s="244"/>
      <c r="P85" s="244"/>
      <c r="Q85" s="244"/>
      <c r="R85" s="244"/>
      <c r="S85" s="244"/>
      <c r="T85" s="244"/>
      <c r="U85" s="244"/>
      <c r="V85" s="244"/>
      <c r="W85" s="244"/>
      <c r="X85" s="244"/>
      <c r="Y85" s="244"/>
      <c r="Z85" s="244"/>
      <c r="AA85" s="244"/>
      <c r="AB85" s="244"/>
      <c r="AC85" s="244"/>
      <c r="AD85" s="244"/>
      <c r="AE85" s="244"/>
      <c r="AF85" s="244"/>
      <c r="AG85" s="244"/>
      <c r="AH85" s="244"/>
      <c r="AI85" s="244"/>
      <c r="AJ85" s="244"/>
      <c r="AK85" s="244"/>
      <c r="AL85" s="244"/>
      <c r="AM85" s="244"/>
      <c r="AN85" s="244"/>
      <c r="AO85" s="244"/>
      <c r="AP85" s="244"/>
      <c r="AQ85" s="244"/>
      <c r="AR85" s="244"/>
      <c r="AS85" s="244"/>
      <c r="AT85" s="244"/>
      <c r="AU85" s="244"/>
      <c r="AV85" s="244"/>
      <c r="AW85" s="244"/>
      <c r="AX85" s="244"/>
      <c r="AY85" s="244"/>
      <c r="AZ85" s="244"/>
      <c r="BA85" s="244"/>
      <c r="BB85" s="244"/>
      <c r="BC85" s="244"/>
      <c r="BD85" s="244"/>
      <c r="BE85" s="244"/>
      <c r="BF85" s="244"/>
      <c r="BG85" s="244"/>
      <c r="BH85" s="244"/>
      <c r="BI85" s="244"/>
      <c r="BJ85" s="244"/>
      <c r="BK85" s="244"/>
      <c r="BL85" s="244"/>
      <c r="BM85" s="244"/>
      <c r="BN85" s="244"/>
      <c r="BO85" s="244"/>
      <c r="BP85" s="244"/>
      <c r="BQ85" s="244"/>
      <c r="BR85" s="244"/>
      <c r="BS85" s="244"/>
      <c r="BT85" s="244"/>
      <c r="BU85" s="244"/>
      <c r="BV85" s="244"/>
      <c r="BW85" s="244"/>
      <c r="BX85" s="244"/>
      <c r="BY85" s="244"/>
      <c r="BZ85" s="244"/>
      <c r="CA85" s="244"/>
      <c r="CB85" s="244"/>
      <c r="CC85" s="244"/>
      <c r="CD85" s="244"/>
      <c r="CE85" s="244"/>
      <c r="CF85" s="244"/>
      <c r="CG85" s="244"/>
      <c r="CH85" s="244"/>
      <c r="CI85" s="244"/>
      <c r="CJ85" s="244"/>
      <c r="CK85" s="244"/>
      <c r="CL85" s="244"/>
      <c r="CM85" s="244"/>
      <c r="CN85" s="244"/>
      <c r="CO85" s="244"/>
      <c r="CP85" s="244"/>
      <c r="CQ85" s="244"/>
      <c r="CR85" s="244"/>
      <c r="CS85" s="244"/>
      <c r="CT85" s="244"/>
      <c r="CU85" s="244"/>
      <c r="CV85" s="244"/>
      <c r="CW85" s="244"/>
      <c r="CX85" s="244"/>
      <c r="CY85" s="244"/>
      <c r="CZ85" s="244"/>
    </row>
    <row x14ac:dyDescent="0.25" r="86" customHeight="1" ht="15">
      <c r="A86" s="1"/>
      <c r="B86" s="932">
        <f>IF(D86="No",0,1)</f>
      </c>
      <c r="C86" s="244"/>
      <c r="D86" s="670">
        <f>IF(AND(G10="Jubilación anticipada",$G$21&lt;35,E5=G5,D85="No",D87="No"),"Si","No")</f>
      </c>
      <c r="E86" s="484"/>
      <c r="F86" s="666"/>
      <c r="G86" s="666"/>
      <c r="H86" s="933" t="s">
        <v>375</v>
      </c>
      <c r="I86" s="139"/>
      <c r="J86" s="139"/>
      <c r="K86" s="139"/>
      <c r="L86" s="139"/>
      <c r="M86" s="139"/>
      <c r="N86" s="244"/>
      <c r="O86" s="244"/>
      <c r="P86" s="244"/>
      <c r="Q86" s="244"/>
      <c r="R86" s="244"/>
      <c r="S86" s="244"/>
      <c r="T86" s="244"/>
      <c r="U86" s="244"/>
      <c r="V86" s="244"/>
      <c r="W86" s="244"/>
      <c r="X86" s="244"/>
      <c r="Y86" s="244"/>
      <c r="Z86" s="244"/>
      <c r="AA86" s="244"/>
      <c r="AB86" s="244"/>
      <c r="AC86" s="244"/>
      <c r="AD86" s="244"/>
      <c r="AE86" s="244"/>
      <c r="AF86" s="244"/>
      <c r="AG86" s="244"/>
      <c r="AH86" s="244"/>
      <c r="AI86" s="244"/>
      <c r="AJ86" s="244"/>
      <c r="AK86" s="244"/>
      <c r="AL86" s="244"/>
      <c r="AM86" s="244"/>
      <c r="AN86" s="244"/>
      <c r="AO86" s="244"/>
      <c r="AP86" s="244"/>
      <c r="AQ86" s="244"/>
      <c r="AR86" s="244"/>
      <c r="AS86" s="244"/>
      <c r="AT86" s="244"/>
      <c r="AU86" s="244"/>
      <c r="AV86" s="244"/>
      <c r="AW86" s="244"/>
      <c r="AX86" s="244"/>
      <c r="AY86" s="244"/>
      <c r="AZ86" s="244"/>
      <c r="BA86" s="244"/>
      <c r="BB86" s="244"/>
      <c r="BC86" s="244"/>
      <c r="BD86" s="244"/>
      <c r="BE86" s="244"/>
      <c r="BF86" s="244"/>
      <c r="BG86" s="244"/>
      <c r="BH86" s="244"/>
      <c r="BI86" s="244"/>
      <c r="BJ86" s="244"/>
      <c r="BK86" s="244"/>
      <c r="BL86" s="244"/>
      <c r="BM86" s="244"/>
      <c r="BN86" s="244"/>
      <c r="BO86" s="244"/>
      <c r="BP86" s="244"/>
      <c r="BQ86" s="244"/>
      <c r="BR86" s="244"/>
      <c r="BS86" s="244"/>
      <c r="BT86" s="244"/>
      <c r="BU86" s="244"/>
      <c r="BV86" s="244"/>
      <c r="BW86" s="244"/>
      <c r="BX86" s="244"/>
      <c r="BY86" s="244"/>
      <c r="BZ86" s="244"/>
      <c r="CA86" s="244"/>
      <c r="CB86" s="244"/>
      <c r="CC86" s="244"/>
      <c r="CD86" s="244"/>
      <c r="CE86" s="244"/>
      <c r="CF86" s="244"/>
      <c r="CG86" s="244"/>
      <c r="CH86" s="244"/>
      <c r="CI86" s="244"/>
      <c r="CJ86" s="244"/>
      <c r="CK86" s="244"/>
      <c r="CL86" s="244"/>
      <c r="CM86" s="244"/>
      <c r="CN86" s="244"/>
      <c r="CO86" s="244"/>
      <c r="CP86" s="244"/>
      <c r="CQ86" s="244"/>
      <c r="CR86" s="244"/>
      <c r="CS86" s="244"/>
      <c r="CT86" s="244"/>
      <c r="CU86" s="244"/>
      <c r="CV86" s="244"/>
      <c r="CW86" s="244"/>
      <c r="CX86" s="244"/>
      <c r="CY86" s="244"/>
      <c r="CZ86" s="244"/>
    </row>
    <row x14ac:dyDescent="0.25" r="87" customHeight="1" ht="15">
      <c r="A87" s="1"/>
      <c r="B87" s="932">
        <f>IF(D87="No",0,1)</f>
      </c>
      <c r="C87" s="244"/>
      <c r="D87" s="670">
        <f>+IF(G21&lt;15,"Si","No")</f>
      </c>
      <c r="E87" s="484"/>
      <c r="F87" s="666"/>
      <c r="G87" s="666"/>
      <c r="H87" s="933" t="s">
        <v>376</v>
      </c>
      <c r="I87" s="139"/>
      <c r="J87" s="139"/>
      <c r="K87" s="139"/>
      <c r="L87" s="139"/>
      <c r="M87" s="139"/>
      <c r="N87" s="244"/>
      <c r="O87" s="244"/>
      <c r="P87" s="244"/>
      <c r="Q87" s="244"/>
      <c r="R87" s="244"/>
      <c r="S87" s="244"/>
      <c r="T87" s="244"/>
      <c r="U87" s="244"/>
      <c r="V87" s="244"/>
      <c r="W87" s="244"/>
      <c r="X87" s="244"/>
      <c r="Y87" s="244"/>
      <c r="Z87" s="244"/>
      <c r="AA87" s="244"/>
      <c r="AB87" s="244"/>
      <c r="AC87" s="244"/>
      <c r="AD87" s="244"/>
      <c r="AE87" s="244"/>
      <c r="AF87" s="244"/>
      <c r="AG87" s="244"/>
      <c r="AH87" s="244"/>
      <c r="AI87" s="244"/>
      <c r="AJ87" s="244"/>
      <c r="AK87" s="244"/>
      <c r="AL87" s="244"/>
      <c r="AM87" s="244"/>
      <c r="AN87" s="244"/>
      <c r="AO87" s="244"/>
      <c r="AP87" s="244"/>
      <c r="AQ87" s="244"/>
      <c r="AR87" s="244"/>
      <c r="AS87" s="244"/>
      <c r="AT87" s="244"/>
      <c r="AU87" s="244"/>
      <c r="AV87" s="244"/>
      <c r="AW87" s="244"/>
      <c r="AX87" s="244"/>
      <c r="AY87" s="244"/>
      <c r="AZ87" s="244"/>
      <c r="BA87" s="244"/>
      <c r="BB87" s="244"/>
      <c r="BC87" s="244"/>
      <c r="BD87" s="244"/>
      <c r="BE87" s="244"/>
      <c r="BF87" s="244"/>
      <c r="BG87" s="244"/>
      <c r="BH87" s="244"/>
      <c r="BI87" s="244"/>
      <c r="BJ87" s="244"/>
      <c r="BK87" s="244"/>
      <c r="BL87" s="244"/>
      <c r="BM87" s="244"/>
      <c r="BN87" s="244"/>
      <c r="BO87" s="244"/>
      <c r="BP87" s="244"/>
      <c r="BQ87" s="244"/>
      <c r="BR87" s="244"/>
      <c r="BS87" s="244"/>
      <c r="BT87" s="244"/>
      <c r="BU87" s="244"/>
      <c r="BV87" s="244"/>
      <c r="BW87" s="244"/>
      <c r="BX87" s="244"/>
      <c r="BY87" s="244"/>
      <c r="BZ87" s="244"/>
      <c r="CA87" s="244"/>
      <c r="CB87" s="244"/>
      <c r="CC87" s="244"/>
      <c r="CD87" s="244"/>
      <c r="CE87" s="244"/>
      <c r="CF87" s="244"/>
      <c r="CG87" s="244"/>
      <c r="CH87" s="244"/>
      <c r="CI87" s="244"/>
      <c r="CJ87" s="244"/>
      <c r="CK87" s="244"/>
      <c r="CL87" s="244"/>
      <c r="CM87" s="244"/>
      <c r="CN87" s="244"/>
      <c r="CO87" s="244"/>
      <c r="CP87" s="244"/>
      <c r="CQ87" s="244"/>
      <c r="CR87" s="244"/>
      <c r="CS87" s="244"/>
      <c r="CT87" s="244"/>
      <c r="CU87" s="244"/>
      <c r="CV87" s="244"/>
      <c r="CW87" s="244"/>
      <c r="CX87" s="244"/>
      <c r="CY87" s="244"/>
      <c r="CZ87" s="244"/>
    </row>
    <row x14ac:dyDescent="0.25" r="88" customHeight="1" ht="15">
      <c r="A88" s="1"/>
      <c r="B88" s="932">
        <f>IF(D88="No",0,1)</f>
      </c>
      <c r="C88" s="1"/>
      <c r="D88" s="590">
        <f>+IF(D14="No es posible acceder a la jubilación anticipada en la edad indicada. La edad más temprana a la que es posible acceder es:","Si","No")</f>
      </c>
      <c r="E88" s="355"/>
      <c r="F88" s="356"/>
      <c r="G88" s="356"/>
      <c r="H88" s="933" t="s">
        <v>375</v>
      </c>
      <c r="I88" s="139"/>
      <c r="J88" s="139"/>
      <c r="K88" s="139"/>
      <c r="L88" s="139"/>
      <c r="M88" s="139"/>
      <c r="N88" s="244"/>
      <c r="O88" s="244"/>
      <c r="P88" s="244"/>
      <c r="Q88" s="244"/>
      <c r="R88" s="244"/>
      <c r="S88" s="244"/>
      <c r="T88" s="244"/>
      <c r="U88" s="244"/>
      <c r="V88" s="244"/>
      <c r="W88" s="244"/>
      <c r="X88" s="244"/>
      <c r="Y88" s="244"/>
      <c r="Z88" s="244"/>
      <c r="AA88" s="244"/>
      <c r="AB88" s="244"/>
      <c r="AC88" s="244"/>
      <c r="AD88" s="244"/>
      <c r="AE88" s="244"/>
      <c r="AF88" s="244"/>
      <c r="AG88" s="244"/>
      <c r="AH88" s="244"/>
      <c r="AI88" s="244"/>
      <c r="AJ88" s="244"/>
      <c r="AK88" s="244"/>
      <c r="AL88" s="244"/>
      <c r="AM88" s="244"/>
      <c r="AN88" s="244"/>
      <c r="AO88" s="244"/>
      <c r="AP88" s="244"/>
      <c r="AQ88" s="244"/>
      <c r="AR88" s="244"/>
      <c r="AS88" s="244"/>
      <c r="AT88" s="244"/>
      <c r="AU88" s="244"/>
      <c r="AV88" s="244"/>
      <c r="AW88" s="244"/>
      <c r="AX88" s="244"/>
      <c r="AY88" s="244"/>
      <c r="AZ88" s="244"/>
      <c r="BA88" s="244"/>
      <c r="BB88" s="244"/>
      <c r="BC88" s="244"/>
      <c r="BD88" s="244"/>
      <c r="BE88" s="244"/>
      <c r="BF88" s="244"/>
      <c r="BG88" s="244"/>
      <c r="BH88" s="244"/>
      <c r="BI88" s="244"/>
      <c r="BJ88" s="244"/>
      <c r="BK88" s="244"/>
      <c r="BL88" s="244"/>
      <c r="BM88" s="244"/>
      <c r="BN88" s="244"/>
      <c r="BO88" s="244"/>
      <c r="BP88" s="244"/>
      <c r="BQ88" s="244"/>
      <c r="BR88" s="244"/>
      <c r="BS88" s="244"/>
      <c r="BT88" s="244"/>
      <c r="BU88" s="244"/>
      <c r="BV88" s="244"/>
      <c r="BW88" s="244"/>
      <c r="BX88" s="244"/>
      <c r="BY88" s="244"/>
      <c r="BZ88" s="244"/>
      <c r="CA88" s="244"/>
      <c r="CB88" s="244"/>
      <c r="CC88" s="244"/>
      <c r="CD88" s="244"/>
      <c r="CE88" s="244"/>
      <c r="CF88" s="244"/>
      <c r="CG88" s="244"/>
      <c r="CH88" s="244"/>
      <c r="CI88" s="244"/>
      <c r="CJ88" s="244"/>
      <c r="CK88" s="244"/>
      <c r="CL88" s="244"/>
      <c r="CM88" s="244"/>
      <c r="CN88" s="244"/>
      <c r="CO88" s="244"/>
      <c r="CP88" s="244"/>
      <c r="CQ88" s="244"/>
      <c r="CR88" s="244"/>
      <c r="CS88" s="244"/>
      <c r="CT88" s="244"/>
      <c r="CU88" s="244"/>
      <c r="CV88" s="244"/>
      <c r="CW88" s="244"/>
      <c r="CX88" s="244"/>
      <c r="CY88" s="244"/>
      <c r="CZ88" s="244"/>
    </row>
    <row x14ac:dyDescent="0.25" r="89" customHeight="1" ht="15">
      <c r="A89" s="1"/>
      <c r="B89" s="934">
        <f>D89+B84</f>
      </c>
      <c r="C89" s="171"/>
      <c r="D89" s="935">
        <f>IF(AND(D87="No",D86="No",D85="No",D84="No",D88="No"),0,1)</f>
      </c>
      <c r="E89" s="355"/>
      <c r="F89" s="356"/>
      <c r="G89" s="356"/>
      <c r="H89" s="933" t="s">
        <v>377</v>
      </c>
      <c r="I89" s="139"/>
      <c r="J89" s="139"/>
      <c r="K89" s="139"/>
      <c r="L89" s="139"/>
      <c r="M89" s="139"/>
      <c r="N89" s="244"/>
      <c r="O89" s="244"/>
      <c r="P89" s="244"/>
      <c r="Q89" s="244"/>
      <c r="R89" s="244"/>
      <c r="S89" s="244"/>
      <c r="T89" s="244"/>
      <c r="U89" s="244"/>
      <c r="V89" s="244"/>
      <c r="W89" s="244"/>
      <c r="X89" s="244"/>
      <c r="Y89" s="244"/>
      <c r="Z89" s="244"/>
      <c r="AA89" s="244"/>
      <c r="AB89" s="244"/>
      <c r="AC89" s="244"/>
      <c r="AD89" s="244"/>
      <c r="AE89" s="244"/>
      <c r="AF89" s="244"/>
      <c r="AG89" s="244"/>
      <c r="AH89" s="244"/>
      <c r="AI89" s="244"/>
      <c r="AJ89" s="244"/>
      <c r="AK89" s="244"/>
      <c r="AL89" s="244"/>
      <c r="AM89" s="244"/>
      <c r="AN89" s="244"/>
      <c r="AO89" s="244"/>
      <c r="AP89" s="244"/>
      <c r="AQ89" s="244"/>
      <c r="AR89" s="244"/>
      <c r="AS89" s="244"/>
      <c r="AT89" s="244"/>
      <c r="AU89" s="244"/>
      <c r="AV89" s="244"/>
      <c r="AW89" s="244"/>
      <c r="AX89" s="244"/>
      <c r="AY89" s="244"/>
      <c r="AZ89" s="244"/>
      <c r="BA89" s="244"/>
      <c r="BB89" s="244"/>
      <c r="BC89" s="244"/>
      <c r="BD89" s="244"/>
      <c r="BE89" s="244"/>
      <c r="BF89" s="244"/>
      <c r="BG89" s="244"/>
      <c r="BH89" s="244"/>
      <c r="BI89" s="244"/>
      <c r="BJ89" s="244"/>
      <c r="BK89" s="244"/>
      <c r="BL89" s="244"/>
      <c r="BM89" s="244"/>
      <c r="BN89" s="244"/>
      <c r="BO89" s="244"/>
      <c r="BP89" s="244"/>
      <c r="BQ89" s="244"/>
      <c r="BR89" s="244"/>
      <c r="BS89" s="244"/>
      <c r="BT89" s="244"/>
      <c r="BU89" s="244"/>
      <c r="BV89" s="244"/>
      <c r="BW89" s="244"/>
      <c r="BX89" s="244"/>
      <c r="BY89" s="244"/>
      <c r="BZ89" s="244"/>
      <c r="CA89" s="244"/>
      <c r="CB89" s="244"/>
      <c r="CC89" s="244"/>
      <c r="CD89" s="244"/>
      <c r="CE89" s="244"/>
      <c r="CF89" s="244"/>
      <c r="CG89" s="244"/>
      <c r="CH89" s="244"/>
      <c r="CI89" s="244"/>
      <c r="CJ89" s="244"/>
      <c r="CK89" s="244"/>
      <c r="CL89" s="244"/>
      <c r="CM89" s="244"/>
      <c r="CN89" s="244"/>
      <c r="CO89" s="244"/>
      <c r="CP89" s="244"/>
      <c r="CQ89" s="244"/>
      <c r="CR89" s="244"/>
      <c r="CS89" s="244"/>
      <c r="CT89" s="244"/>
      <c r="CU89" s="244"/>
      <c r="CV89" s="244"/>
      <c r="CW89" s="244"/>
      <c r="CX89" s="244"/>
      <c r="CY89" s="244"/>
      <c r="CZ89" s="244"/>
    </row>
    <row x14ac:dyDescent="0.25" r="90" customHeight="1" ht="15">
      <c r="A90" s="1"/>
      <c r="B90" s="169"/>
      <c r="C90" s="1"/>
      <c r="D90" s="590"/>
      <c r="E90" s="355"/>
      <c r="F90" s="356"/>
      <c r="G90" s="356"/>
      <c r="H90" s="354"/>
      <c r="I90" s="139"/>
      <c r="J90" s="139"/>
      <c r="K90" s="139"/>
      <c r="L90" s="139"/>
      <c r="M90" s="139"/>
      <c r="N90" s="244"/>
      <c r="O90" s="244"/>
      <c r="P90" s="244"/>
      <c r="Q90" s="244"/>
      <c r="R90" s="244"/>
      <c r="S90" s="244"/>
      <c r="T90" s="244"/>
      <c r="U90" s="244"/>
      <c r="V90" s="244"/>
      <c r="W90" s="244"/>
      <c r="X90" s="244"/>
      <c r="Y90" s="244"/>
      <c r="Z90" s="244"/>
      <c r="AA90" s="244"/>
      <c r="AB90" s="244"/>
      <c r="AC90" s="244"/>
      <c r="AD90" s="244"/>
      <c r="AE90" s="244"/>
      <c r="AF90" s="244"/>
      <c r="AG90" s="244"/>
      <c r="AH90" s="244"/>
      <c r="AI90" s="244"/>
      <c r="AJ90" s="244"/>
      <c r="AK90" s="244"/>
      <c r="AL90" s="244"/>
      <c r="AM90" s="244"/>
      <c r="AN90" s="244"/>
      <c r="AO90" s="244"/>
      <c r="AP90" s="244"/>
      <c r="AQ90" s="244"/>
      <c r="AR90" s="244"/>
      <c r="AS90" s="244"/>
      <c r="AT90" s="244"/>
      <c r="AU90" s="244"/>
      <c r="AV90" s="244"/>
      <c r="AW90" s="244"/>
      <c r="AX90" s="244"/>
      <c r="AY90" s="244"/>
      <c r="AZ90" s="244"/>
      <c r="BA90" s="244"/>
      <c r="BB90" s="244"/>
      <c r="BC90" s="244"/>
      <c r="BD90" s="244"/>
      <c r="BE90" s="244"/>
      <c r="BF90" s="244"/>
      <c r="BG90" s="244"/>
      <c r="BH90" s="244"/>
      <c r="BI90" s="244"/>
      <c r="BJ90" s="244"/>
      <c r="BK90" s="244"/>
      <c r="BL90" s="244"/>
      <c r="BM90" s="244"/>
      <c r="BN90" s="244"/>
      <c r="BO90" s="244"/>
      <c r="BP90" s="244"/>
      <c r="BQ90" s="244"/>
      <c r="BR90" s="244"/>
      <c r="BS90" s="244"/>
      <c r="BT90" s="244"/>
      <c r="BU90" s="244"/>
      <c r="BV90" s="244"/>
      <c r="BW90" s="244"/>
      <c r="BX90" s="244"/>
      <c r="BY90" s="244"/>
      <c r="BZ90" s="244"/>
      <c r="CA90" s="244"/>
      <c r="CB90" s="244"/>
      <c r="CC90" s="244"/>
      <c r="CD90" s="244"/>
      <c r="CE90" s="244"/>
      <c r="CF90" s="244"/>
      <c r="CG90" s="244"/>
      <c r="CH90" s="244"/>
      <c r="CI90" s="244"/>
      <c r="CJ90" s="244"/>
      <c r="CK90" s="244"/>
      <c r="CL90" s="244"/>
      <c r="CM90" s="244"/>
      <c r="CN90" s="244"/>
      <c r="CO90" s="244"/>
      <c r="CP90" s="244"/>
      <c r="CQ90" s="244"/>
      <c r="CR90" s="244"/>
      <c r="CS90" s="244"/>
      <c r="CT90" s="244"/>
      <c r="CU90" s="244"/>
      <c r="CV90" s="244"/>
      <c r="CW90" s="244"/>
      <c r="CX90" s="244"/>
      <c r="CY90" s="244"/>
      <c r="CZ90" s="244"/>
    </row>
    <row x14ac:dyDescent="0.25" r="91" customHeight="1" ht="15">
      <c r="A91" s="1"/>
      <c r="B91" s="169"/>
      <c r="C91" s="1"/>
      <c r="D91" s="590"/>
      <c r="E91" s="355"/>
      <c r="F91" s="356"/>
      <c r="G91" s="356"/>
      <c r="H91" s="354"/>
      <c r="I91" s="139"/>
      <c r="J91" s="139"/>
      <c r="K91" s="139"/>
      <c r="L91" s="139"/>
      <c r="M91" s="139"/>
      <c r="N91" s="244"/>
      <c r="O91" s="244"/>
      <c r="P91" s="244"/>
      <c r="Q91" s="244"/>
      <c r="R91" s="244"/>
      <c r="S91" s="244"/>
      <c r="T91" s="244"/>
      <c r="U91" s="244"/>
      <c r="V91" s="244"/>
      <c r="W91" s="244"/>
      <c r="X91" s="244"/>
      <c r="Y91" s="244"/>
      <c r="Z91" s="244"/>
      <c r="AA91" s="244"/>
      <c r="AB91" s="244"/>
      <c r="AC91" s="244"/>
      <c r="AD91" s="244"/>
      <c r="AE91" s="244"/>
      <c r="AF91" s="244"/>
      <c r="AG91" s="244"/>
      <c r="AH91" s="244"/>
      <c r="AI91" s="244"/>
      <c r="AJ91" s="244"/>
      <c r="AK91" s="244"/>
      <c r="AL91" s="244"/>
      <c r="AM91" s="244"/>
      <c r="AN91" s="244"/>
      <c r="AO91" s="244"/>
      <c r="AP91" s="244"/>
      <c r="AQ91" s="244"/>
      <c r="AR91" s="244"/>
      <c r="AS91" s="244"/>
      <c r="AT91" s="244"/>
      <c r="AU91" s="244"/>
      <c r="AV91" s="244"/>
      <c r="AW91" s="244"/>
      <c r="AX91" s="244"/>
      <c r="AY91" s="244"/>
      <c r="AZ91" s="244"/>
      <c r="BA91" s="244"/>
      <c r="BB91" s="244"/>
      <c r="BC91" s="244"/>
      <c r="BD91" s="244"/>
      <c r="BE91" s="244"/>
      <c r="BF91" s="244"/>
      <c r="BG91" s="244"/>
      <c r="BH91" s="244"/>
      <c r="BI91" s="244"/>
      <c r="BJ91" s="244"/>
      <c r="BK91" s="244"/>
      <c r="BL91" s="244"/>
      <c r="BM91" s="244"/>
      <c r="BN91" s="244"/>
      <c r="BO91" s="244"/>
      <c r="BP91" s="244"/>
      <c r="BQ91" s="244"/>
      <c r="BR91" s="244"/>
      <c r="BS91" s="244"/>
      <c r="BT91" s="244"/>
      <c r="BU91" s="244"/>
      <c r="BV91" s="244"/>
      <c r="BW91" s="244"/>
      <c r="BX91" s="244"/>
      <c r="BY91" s="244"/>
      <c r="BZ91" s="244"/>
      <c r="CA91" s="244"/>
      <c r="CB91" s="244"/>
      <c r="CC91" s="244"/>
      <c r="CD91" s="244"/>
      <c r="CE91" s="244"/>
      <c r="CF91" s="244"/>
      <c r="CG91" s="244"/>
      <c r="CH91" s="244"/>
      <c r="CI91" s="244"/>
      <c r="CJ91" s="244"/>
      <c r="CK91" s="244"/>
      <c r="CL91" s="244"/>
      <c r="CM91" s="244"/>
      <c r="CN91" s="244"/>
      <c r="CO91" s="244"/>
      <c r="CP91" s="244"/>
      <c r="CQ91" s="244"/>
      <c r="CR91" s="244"/>
      <c r="CS91" s="244"/>
      <c r="CT91" s="244"/>
      <c r="CU91" s="244"/>
      <c r="CV91" s="244"/>
      <c r="CW91" s="244"/>
      <c r="CX91" s="244"/>
      <c r="CY91" s="244"/>
      <c r="CZ91" s="244"/>
    </row>
    <row x14ac:dyDescent="0.25" r="92" customHeight="1" ht="15">
      <c r="A92" s="1"/>
      <c r="B92" s="169"/>
      <c r="C92" s="1"/>
      <c r="D92" s="907" t="s">
        <v>378</v>
      </c>
      <c r="E92" s="355"/>
      <c r="F92" s="356"/>
      <c r="G92" s="356"/>
      <c r="H92" s="354"/>
      <c r="I92" s="139"/>
      <c r="J92" s="139"/>
      <c r="K92" s="139"/>
      <c r="L92" s="139"/>
      <c r="M92" s="139"/>
      <c r="N92" s="244"/>
      <c r="O92" s="244"/>
      <c r="P92" s="244"/>
      <c r="Q92" s="244"/>
      <c r="R92" s="244"/>
      <c r="S92" s="244"/>
      <c r="T92" s="244"/>
      <c r="U92" s="244"/>
      <c r="V92" s="244"/>
      <c r="W92" s="244"/>
      <c r="X92" s="244"/>
      <c r="Y92" s="244"/>
      <c r="Z92" s="244"/>
      <c r="AA92" s="244"/>
      <c r="AB92" s="244"/>
      <c r="AC92" s="244"/>
      <c r="AD92" s="244"/>
      <c r="AE92" s="244"/>
      <c r="AF92" s="244"/>
      <c r="AG92" s="244"/>
      <c r="AH92" s="244"/>
      <c r="AI92" s="244"/>
      <c r="AJ92" s="244"/>
      <c r="AK92" s="244"/>
      <c r="AL92" s="244"/>
      <c r="AM92" s="244"/>
      <c r="AN92" s="244"/>
      <c r="AO92" s="244"/>
      <c r="AP92" s="244"/>
      <c r="AQ92" s="244"/>
      <c r="AR92" s="244"/>
      <c r="AS92" s="244"/>
      <c r="AT92" s="244"/>
      <c r="AU92" s="244"/>
      <c r="AV92" s="244"/>
      <c r="AW92" s="244"/>
      <c r="AX92" s="244"/>
      <c r="AY92" s="244"/>
      <c r="AZ92" s="244"/>
      <c r="BA92" s="244"/>
      <c r="BB92" s="244"/>
      <c r="BC92" s="244"/>
      <c r="BD92" s="244"/>
      <c r="BE92" s="244"/>
      <c r="BF92" s="244"/>
      <c r="BG92" s="244"/>
      <c r="BH92" s="244"/>
      <c r="BI92" s="244"/>
      <c r="BJ92" s="244"/>
      <c r="BK92" s="244"/>
      <c r="BL92" s="244"/>
      <c r="BM92" s="244"/>
      <c r="BN92" s="244"/>
      <c r="BO92" s="244"/>
      <c r="BP92" s="244"/>
      <c r="BQ92" s="244"/>
      <c r="BR92" s="244"/>
      <c r="BS92" s="244"/>
      <c r="BT92" s="244"/>
      <c r="BU92" s="244"/>
      <c r="BV92" s="244"/>
      <c r="BW92" s="244"/>
      <c r="BX92" s="244"/>
      <c r="BY92" s="244"/>
      <c r="BZ92" s="244"/>
      <c r="CA92" s="244"/>
      <c r="CB92" s="244"/>
      <c r="CC92" s="244"/>
      <c r="CD92" s="244"/>
      <c r="CE92" s="244"/>
      <c r="CF92" s="244"/>
      <c r="CG92" s="244"/>
      <c r="CH92" s="244"/>
      <c r="CI92" s="244"/>
      <c r="CJ92" s="244"/>
      <c r="CK92" s="244"/>
      <c r="CL92" s="244"/>
      <c r="CM92" s="244"/>
      <c r="CN92" s="244"/>
      <c r="CO92" s="244"/>
      <c r="CP92" s="244"/>
      <c r="CQ92" s="244"/>
      <c r="CR92" s="244"/>
      <c r="CS92" s="244"/>
      <c r="CT92" s="244"/>
      <c r="CU92" s="244"/>
      <c r="CV92" s="244"/>
      <c r="CW92" s="244"/>
      <c r="CX92" s="244"/>
      <c r="CY92" s="244"/>
      <c r="CZ92" s="244"/>
    </row>
    <row x14ac:dyDescent="0.25" r="93" customHeight="1" ht="15">
      <c r="A93" s="1"/>
      <c r="B93" s="169"/>
      <c r="C93" s="936"/>
      <c r="D93" s="937">
        <f>+IF(G10="Jubilación anticipada"," ¿A qué edad le gustaría acceder a la jubilación de manera anticipada? ",IF(G10="Jubilación prolongada","¿Cuántos años prevee prolongar su acceso a la jubilación? ",""))</f>
      </c>
      <c r="E93" s="938"/>
      <c r="F93" s="939"/>
      <c r="G93" s="5"/>
      <c r="H93" s="940">
        <v>3</v>
      </c>
      <c r="I93" s="139"/>
      <c r="J93" s="139"/>
      <c r="K93" s="139"/>
      <c r="L93" s="139"/>
      <c r="M93" s="139"/>
      <c r="N93" s="244"/>
      <c r="O93" s="244"/>
      <c r="P93" s="244"/>
      <c r="Q93" s="244"/>
      <c r="R93" s="244"/>
      <c r="S93" s="244"/>
      <c r="T93" s="244"/>
      <c r="U93" s="244"/>
      <c r="V93" s="244"/>
      <c r="W93" s="244"/>
      <c r="X93" s="244"/>
      <c r="Y93" s="244"/>
      <c r="Z93" s="244"/>
      <c r="AA93" s="244"/>
      <c r="AB93" s="244"/>
      <c r="AC93" s="244"/>
      <c r="AD93" s="244"/>
      <c r="AE93" s="244"/>
      <c r="AF93" s="244"/>
      <c r="AG93" s="244"/>
      <c r="AH93" s="244"/>
      <c r="AI93" s="244"/>
      <c r="AJ93" s="244"/>
      <c r="AK93" s="244"/>
      <c r="AL93" s="244"/>
      <c r="AM93" s="244"/>
      <c r="AN93" s="244"/>
      <c r="AO93" s="244"/>
      <c r="AP93" s="244"/>
      <c r="AQ93" s="244"/>
      <c r="AR93" s="244"/>
      <c r="AS93" s="244"/>
      <c r="AT93" s="244"/>
      <c r="AU93" s="244"/>
      <c r="AV93" s="244"/>
      <c r="AW93" s="244"/>
      <c r="AX93" s="244"/>
      <c r="AY93" s="244"/>
      <c r="AZ93" s="244"/>
      <c r="BA93" s="244"/>
      <c r="BB93" s="244"/>
      <c r="BC93" s="244"/>
      <c r="BD93" s="244"/>
      <c r="BE93" s="244"/>
      <c r="BF93" s="244"/>
      <c r="BG93" s="244"/>
      <c r="BH93" s="244"/>
      <c r="BI93" s="244"/>
      <c r="BJ93" s="244"/>
      <c r="BK93" s="244"/>
      <c r="BL93" s="244"/>
      <c r="BM93" s="244"/>
      <c r="BN93" s="244"/>
      <c r="BO93" s="244"/>
      <c r="BP93" s="244"/>
      <c r="BQ93" s="244"/>
      <c r="BR93" s="244"/>
      <c r="BS93" s="244"/>
      <c r="BT93" s="244"/>
      <c r="BU93" s="244"/>
      <c r="BV93" s="244"/>
      <c r="BW93" s="244"/>
      <c r="BX93" s="244"/>
      <c r="BY93" s="244"/>
      <c r="BZ93" s="244"/>
      <c r="CA93" s="244"/>
      <c r="CB93" s="244"/>
      <c r="CC93" s="244"/>
      <c r="CD93" s="244"/>
      <c r="CE93" s="244"/>
      <c r="CF93" s="244"/>
      <c r="CG93" s="244"/>
      <c r="CH93" s="244"/>
      <c r="CI93" s="244"/>
      <c r="CJ93" s="244"/>
      <c r="CK93" s="244"/>
      <c r="CL93" s="244"/>
      <c r="CM93" s="244"/>
      <c r="CN93" s="244"/>
      <c r="CO93" s="244"/>
      <c r="CP93" s="244"/>
      <c r="CQ93" s="244"/>
      <c r="CR93" s="244"/>
      <c r="CS93" s="244"/>
      <c r="CT93" s="244"/>
      <c r="CU93" s="244"/>
      <c r="CV93" s="244"/>
      <c r="CW93" s="244"/>
      <c r="CX93" s="244"/>
      <c r="CY93" s="244"/>
      <c r="CZ93" s="244"/>
    </row>
    <row x14ac:dyDescent="0.25" r="94" customHeight="1" ht="15">
      <c r="A94" s="1"/>
      <c r="B94" s="169"/>
      <c r="C94" s="1"/>
      <c r="D94" s="937" t="s">
        <v>379</v>
      </c>
      <c r="E94" s="938"/>
      <c r="F94" s="939"/>
      <c r="G94" s="5"/>
      <c r="H94" s="941" t="s">
        <v>380</v>
      </c>
      <c r="I94" s="523" t="s">
        <v>380</v>
      </c>
      <c r="J94" s="139"/>
      <c r="K94" s="139"/>
      <c r="L94" s="139"/>
      <c r="M94" s="139"/>
      <c r="N94" s="244"/>
      <c r="O94" s="244"/>
      <c r="P94" s="244"/>
      <c r="Q94" s="244"/>
      <c r="R94" s="244"/>
      <c r="S94" s="244"/>
      <c r="T94" s="244"/>
      <c r="U94" s="244"/>
      <c r="V94" s="244"/>
      <c r="W94" s="244"/>
      <c r="X94" s="244"/>
      <c r="Y94" s="244"/>
      <c r="Z94" s="244"/>
      <c r="AA94" s="244"/>
      <c r="AB94" s="244"/>
      <c r="AC94" s="244"/>
      <c r="AD94" s="244"/>
      <c r="AE94" s="244"/>
      <c r="AF94" s="244"/>
      <c r="AG94" s="244"/>
      <c r="AH94" s="244"/>
      <c r="AI94" s="244"/>
      <c r="AJ94" s="244"/>
      <c r="AK94" s="244"/>
      <c r="AL94" s="244"/>
      <c r="AM94" s="244"/>
      <c r="AN94" s="244"/>
      <c r="AO94" s="244"/>
      <c r="AP94" s="244"/>
      <c r="AQ94" s="244"/>
      <c r="AR94" s="244"/>
      <c r="AS94" s="244"/>
      <c r="AT94" s="244"/>
      <c r="AU94" s="244"/>
      <c r="AV94" s="244"/>
      <c r="AW94" s="244"/>
      <c r="AX94" s="244"/>
      <c r="AY94" s="244"/>
      <c r="AZ94" s="244"/>
      <c r="BA94" s="244"/>
      <c r="BB94" s="244"/>
      <c r="BC94" s="244"/>
      <c r="BD94" s="244"/>
      <c r="BE94" s="244"/>
      <c r="BF94" s="244"/>
      <c r="BG94" s="244"/>
      <c r="BH94" s="244"/>
      <c r="BI94" s="244"/>
      <c r="BJ94" s="244"/>
      <c r="BK94" s="244"/>
      <c r="BL94" s="244"/>
      <c r="BM94" s="244"/>
      <c r="BN94" s="244"/>
      <c r="BO94" s="244"/>
      <c r="BP94" s="244"/>
      <c r="BQ94" s="244"/>
      <c r="BR94" s="244"/>
      <c r="BS94" s="244"/>
      <c r="BT94" s="244"/>
      <c r="BU94" s="244"/>
      <c r="BV94" s="244"/>
      <c r="BW94" s="244"/>
      <c r="BX94" s="244"/>
      <c r="BY94" s="244"/>
      <c r="BZ94" s="244"/>
      <c r="CA94" s="244"/>
      <c r="CB94" s="244"/>
      <c r="CC94" s="244"/>
      <c r="CD94" s="244"/>
      <c r="CE94" s="244"/>
      <c r="CF94" s="244"/>
      <c r="CG94" s="244"/>
      <c r="CH94" s="244"/>
      <c r="CI94" s="244"/>
      <c r="CJ94" s="244"/>
      <c r="CK94" s="244"/>
      <c r="CL94" s="244"/>
      <c r="CM94" s="244"/>
      <c r="CN94" s="244"/>
      <c r="CO94" s="244"/>
      <c r="CP94" s="244"/>
      <c r="CQ94" s="244"/>
      <c r="CR94" s="244"/>
      <c r="CS94" s="244"/>
      <c r="CT94" s="244"/>
      <c r="CU94" s="244"/>
      <c r="CV94" s="244"/>
      <c r="CW94" s="244"/>
      <c r="CX94" s="244"/>
      <c r="CY94" s="244"/>
      <c r="CZ94" s="244"/>
    </row>
    <row x14ac:dyDescent="0.25" r="95" customHeight="1" ht="15">
      <c r="A95" s="1"/>
      <c r="B95" s="169"/>
      <c r="C95" s="171"/>
      <c r="D95" s="907" t="s">
        <v>381</v>
      </c>
      <c r="E95" s="355"/>
      <c r="F95" s="356"/>
      <c r="G95" s="356"/>
      <c r="H95" s="218">
        <f>+PJSS!B78</f>
      </c>
      <c r="I95" s="523" t="s">
        <v>382</v>
      </c>
      <c r="J95" s="139"/>
      <c r="K95" s="139"/>
      <c r="L95" s="139"/>
      <c r="M95" s="139"/>
      <c r="N95" s="244"/>
      <c r="O95" s="244"/>
      <c r="P95" s="244"/>
      <c r="Q95" s="244"/>
      <c r="R95" s="244"/>
      <c r="S95" s="244"/>
      <c r="T95" s="244"/>
      <c r="U95" s="244"/>
      <c r="V95" s="244"/>
      <c r="W95" s="244"/>
      <c r="X95" s="244"/>
      <c r="Y95" s="244"/>
      <c r="Z95" s="244"/>
      <c r="AA95" s="244"/>
      <c r="AB95" s="244"/>
      <c r="AC95" s="244"/>
      <c r="AD95" s="244"/>
      <c r="AE95" s="244"/>
      <c r="AF95" s="244"/>
      <c r="AG95" s="244"/>
      <c r="AH95" s="244"/>
      <c r="AI95" s="244"/>
      <c r="AJ95" s="244"/>
      <c r="AK95" s="244"/>
      <c r="AL95" s="244"/>
      <c r="AM95" s="244"/>
      <c r="AN95" s="244"/>
      <c r="AO95" s="244"/>
      <c r="AP95" s="244"/>
      <c r="AQ95" s="244"/>
      <c r="AR95" s="244"/>
      <c r="AS95" s="244"/>
      <c r="AT95" s="244"/>
      <c r="AU95" s="244"/>
      <c r="AV95" s="244"/>
      <c r="AW95" s="244"/>
      <c r="AX95" s="244"/>
      <c r="AY95" s="244"/>
      <c r="AZ95" s="244"/>
      <c r="BA95" s="244"/>
      <c r="BB95" s="244"/>
      <c r="BC95" s="244"/>
      <c r="BD95" s="244"/>
      <c r="BE95" s="244"/>
      <c r="BF95" s="244"/>
      <c r="BG95" s="244"/>
      <c r="BH95" s="244"/>
      <c r="BI95" s="244"/>
      <c r="BJ95" s="244"/>
      <c r="BK95" s="244"/>
      <c r="BL95" s="244"/>
      <c r="BM95" s="244"/>
      <c r="BN95" s="244"/>
      <c r="BO95" s="244"/>
      <c r="BP95" s="244"/>
      <c r="BQ95" s="244"/>
      <c r="BR95" s="244"/>
      <c r="BS95" s="244"/>
      <c r="BT95" s="244"/>
      <c r="BU95" s="244"/>
      <c r="BV95" s="244"/>
      <c r="BW95" s="244"/>
      <c r="BX95" s="244"/>
      <c r="BY95" s="244"/>
      <c r="BZ95" s="244"/>
      <c r="CA95" s="244"/>
      <c r="CB95" s="244"/>
      <c r="CC95" s="244"/>
      <c r="CD95" s="244"/>
      <c r="CE95" s="244"/>
      <c r="CF95" s="244"/>
      <c r="CG95" s="244"/>
      <c r="CH95" s="244"/>
      <c r="CI95" s="244"/>
      <c r="CJ95" s="244"/>
      <c r="CK95" s="244"/>
      <c r="CL95" s="244"/>
      <c r="CM95" s="244"/>
      <c r="CN95" s="244"/>
      <c r="CO95" s="244"/>
      <c r="CP95" s="244"/>
      <c r="CQ95" s="244"/>
      <c r="CR95" s="244"/>
      <c r="CS95" s="244"/>
      <c r="CT95" s="244"/>
      <c r="CU95" s="244"/>
      <c r="CV95" s="244"/>
      <c r="CW95" s="244"/>
      <c r="CX95" s="244"/>
      <c r="CY95" s="244"/>
      <c r="CZ95" s="244"/>
    </row>
    <row x14ac:dyDescent="0.25" r="96" customHeight="1" ht="15">
      <c r="A96" s="1"/>
      <c r="B96" s="169"/>
      <c r="C96" s="1"/>
      <c r="D96" s="169"/>
      <c r="E96" s="7"/>
      <c r="F96" s="168"/>
      <c r="G96" s="168"/>
      <c r="H96" s="170"/>
      <c r="I96" s="139"/>
      <c r="J96" s="139"/>
      <c r="K96" s="139"/>
      <c r="L96" s="139"/>
      <c r="M96" s="139"/>
      <c r="N96" s="244"/>
      <c r="O96" s="244"/>
      <c r="P96" s="244"/>
      <c r="Q96" s="244"/>
      <c r="R96" s="244"/>
      <c r="S96" s="244"/>
      <c r="T96" s="244"/>
      <c r="U96" s="244"/>
      <c r="V96" s="244"/>
      <c r="W96" s="244"/>
      <c r="X96" s="244"/>
      <c r="Y96" s="244"/>
      <c r="Z96" s="244"/>
      <c r="AA96" s="244"/>
      <c r="AB96" s="244"/>
      <c r="AC96" s="244"/>
      <c r="AD96" s="244"/>
      <c r="AE96" s="244"/>
      <c r="AF96" s="244"/>
      <c r="AG96" s="244"/>
      <c r="AH96" s="244"/>
      <c r="AI96" s="244"/>
      <c r="AJ96" s="244"/>
      <c r="AK96" s="244"/>
      <c r="AL96" s="244"/>
      <c r="AM96" s="244"/>
      <c r="AN96" s="244"/>
      <c r="AO96" s="244"/>
      <c r="AP96" s="244"/>
      <c r="AQ96" s="244"/>
      <c r="AR96" s="244"/>
      <c r="AS96" s="244"/>
      <c r="AT96" s="244"/>
      <c r="AU96" s="244"/>
      <c r="AV96" s="244"/>
      <c r="AW96" s="244"/>
      <c r="AX96" s="244"/>
      <c r="AY96" s="244"/>
      <c r="AZ96" s="244"/>
      <c r="BA96" s="244"/>
      <c r="BB96" s="244"/>
      <c r="BC96" s="244"/>
      <c r="BD96" s="244"/>
      <c r="BE96" s="244"/>
      <c r="BF96" s="244"/>
      <c r="BG96" s="244"/>
      <c r="BH96" s="244"/>
      <c r="BI96" s="244"/>
      <c r="BJ96" s="244"/>
      <c r="BK96" s="244"/>
      <c r="BL96" s="244"/>
      <c r="BM96" s="244"/>
      <c r="BN96" s="244"/>
      <c r="BO96" s="244"/>
      <c r="BP96" s="244"/>
      <c r="BQ96" s="244"/>
      <c r="BR96" s="244"/>
      <c r="BS96" s="244"/>
      <c r="BT96" s="244"/>
      <c r="BU96" s="244"/>
      <c r="BV96" s="244"/>
      <c r="BW96" s="244"/>
      <c r="BX96" s="244"/>
      <c r="BY96" s="244"/>
      <c r="BZ96" s="244"/>
      <c r="CA96" s="244"/>
      <c r="CB96" s="244"/>
      <c r="CC96" s="244"/>
      <c r="CD96" s="244"/>
      <c r="CE96" s="244"/>
      <c r="CF96" s="244"/>
      <c r="CG96" s="244"/>
      <c r="CH96" s="244"/>
      <c r="CI96" s="244"/>
      <c r="CJ96" s="244"/>
      <c r="CK96" s="244"/>
      <c r="CL96" s="244"/>
      <c r="CM96" s="244"/>
      <c r="CN96" s="244"/>
      <c r="CO96" s="244"/>
      <c r="CP96" s="244"/>
      <c r="CQ96" s="244"/>
      <c r="CR96" s="244"/>
      <c r="CS96" s="244"/>
      <c r="CT96" s="244"/>
      <c r="CU96" s="244"/>
      <c r="CV96" s="244"/>
      <c r="CW96" s="244"/>
      <c r="CX96" s="244"/>
      <c r="CY96" s="244"/>
      <c r="CZ96" s="244"/>
    </row>
    <row x14ac:dyDescent="0.25" r="97" customHeight="1" ht="15">
      <c r="A97" s="1"/>
      <c r="B97" s="169"/>
      <c r="C97" s="1"/>
      <c r="D97" s="907" t="s">
        <v>383</v>
      </c>
      <c r="E97" s="942"/>
      <c r="F97" s="168"/>
      <c r="G97" s="168"/>
      <c r="H97" s="170"/>
      <c r="I97" s="139"/>
      <c r="J97" s="139"/>
      <c r="K97" s="139"/>
      <c r="L97" s="139"/>
      <c r="M97" s="139"/>
      <c r="N97" s="244"/>
      <c r="O97" s="244"/>
      <c r="P97" s="244"/>
      <c r="Q97" s="244"/>
      <c r="R97" s="244"/>
      <c r="S97" s="244"/>
      <c r="T97" s="244"/>
      <c r="U97" s="244"/>
      <c r="V97" s="244"/>
      <c r="W97" s="244"/>
      <c r="X97" s="244"/>
      <c r="Y97" s="244"/>
      <c r="Z97" s="244"/>
      <c r="AA97" s="244"/>
      <c r="AB97" s="244"/>
      <c r="AC97" s="244"/>
      <c r="AD97" s="244"/>
      <c r="AE97" s="244"/>
      <c r="AF97" s="244"/>
      <c r="AG97" s="244"/>
      <c r="AH97" s="244"/>
      <c r="AI97" s="244"/>
      <c r="AJ97" s="244"/>
      <c r="AK97" s="244"/>
      <c r="AL97" s="244"/>
      <c r="AM97" s="244"/>
      <c r="AN97" s="244"/>
      <c r="AO97" s="244"/>
      <c r="AP97" s="244"/>
      <c r="AQ97" s="244"/>
      <c r="AR97" s="244"/>
      <c r="AS97" s="244"/>
      <c r="AT97" s="244"/>
      <c r="AU97" s="244"/>
      <c r="AV97" s="244"/>
      <c r="AW97" s="244"/>
      <c r="AX97" s="244"/>
      <c r="AY97" s="244"/>
      <c r="AZ97" s="244"/>
      <c r="BA97" s="244"/>
      <c r="BB97" s="244"/>
      <c r="BC97" s="244"/>
      <c r="BD97" s="244"/>
      <c r="BE97" s="244"/>
      <c r="BF97" s="244"/>
      <c r="BG97" s="244"/>
      <c r="BH97" s="244"/>
      <c r="BI97" s="244"/>
      <c r="BJ97" s="244"/>
      <c r="BK97" s="244"/>
      <c r="BL97" s="244"/>
      <c r="BM97" s="244"/>
      <c r="BN97" s="244"/>
      <c r="BO97" s="244"/>
      <c r="BP97" s="244"/>
      <c r="BQ97" s="244"/>
      <c r="BR97" s="244"/>
      <c r="BS97" s="244"/>
      <c r="BT97" s="244"/>
      <c r="BU97" s="244"/>
      <c r="BV97" s="244"/>
      <c r="BW97" s="244"/>
      <c r="BX97" s="244"/>
      <c r="BY97" s="244"/>
      <c r="BZ97" s="244"/>
      <c r="CA97" s="244"/>
      <c r="CB97" s="244"/>
      <c r="CC97" s="244"/>
      <c r="CD97" s="244"/>
      <c r="CE97" s="244"/>
      <c r="CF97" s="244"/>
      <c r="CG97" s="244"/>
      <c r="CH97" s="244"/>
      <c r="CI97" s="244"/>
      <c r="CJ97" s="244"/>
      <c r="CK97" s="244"/>
      <c r="CL97" s="244"/>
      <c r="CM97" s="244"/>
      <c r="CN97" s="244"/>
      <c r="CO97" s="244"/>
      <c r="CP97" s="244"/>
      <c r="CQ97" s="244"/>
      <c r="CR97" s="244"/>
      <c r="CS97" s="244"/>
      <c r="CT97" s="244"/>
      <c r="CU97" s="244"/>
      <c r="CV97" s="244"/>
      <c r="CW97" s="244"/>
      <c r="CX97" s="244"/>
      <c r="CY97" s="244"/>
      <c r="CZ97" s="244"/>
    </row>
    <row x14ac:dyDescent="0.25" r="98" customHeight="1" ht="15.6">
      <c r="A98" s="1"/>
      <c r="B98" s="169"/>
      <c r="C98" s="1"/>
      <c r="D98" s="670"/>
      <c r="E98" s="484"/>
      <c r="F98" s="666"/>
      <c r="G98" s="666"/>
      <c r="H98" s="483"/>
      <c r="I98" s="244"/>
      <c r="J98" s="139"/>
      <c r="K98" s="139"/>
      <c r="L98" s="139"/>
      <c r="M98" s="139"/>
      <c r="N98" s="244"/>
      <c r="O98" s="244"/>
      <c r="P98" s="244"/>
      <c r="Q98" s="244"/>
      <c r="R98" s="244"/>
      <c r="S98" s="244"/>
      <c r="T98" s="244"/>
      <c r="U98" s="244"/>
      <c r="V98" s="244"/>
      <c r="W98" s="244"/>
      <c r="X98" s="244"/>
      <c r="Y98" s="244"/>
      <c r="Z98" s="244"/>
      <c r="AA98" s="244"/>
      <c r="AB98" s="244"/>
      <c r="AC98" s="244"/>
      <c r="AD98" s="244"/>
      <c r="AE98" s="244"/>
      <c r="AF98" s="244"/>
      <c r="AG98" s="244"/>
      <c r="AH98" s="244"/>
      <c r="AI98" s="244"/>
      <c r="AJ98" s="244"/>
      <c r="AK98" s="244"/>
      <c r="AL98" s="244"/>
      <c r="AM98" s="244"/>
      <c r="AN98" s="244"/>
      <c r="AO98" s="244"/>
      <c r="AP98" s="244"/>
      <c r="AQ98" s="244"/>
      <c r="AR98" s="244"/>
      <c r="AS98" s="244"/>
      <c r="AT98" s="244"/>
      <c r="AU98" s="244"/>
      <c r="AV98" s="244"/>
      <c r="AW98" s="244"/>
      <c r="AX98" s="244"/>
      <c r="AY98" s="244"/>
      <c r="AZ98" s="244"/>
      <c r="BA98" s="244"/>
      <c r="BB98" s="244"/>
      <c r="BC98" s="244"/>
      <c r="BD98" s="244"/>
      <c r="BE98" s="244"/>
      <c r="BF98" s="244"/>
      <c r="BG98" s="244"/>
      <c r="BH98" s="244"/>
      <c r="BI98" s="244"/>
      <c r="BJ98" s="244"/>
      <c r="BK98" s="244"/>
      <c r="BL98" s="244"/>
      <c r="BM98" s="244"/>
      <c r="BN98" s="244"/>
      <c r="BO98" s="244"/>
      <c r="BP98" s="244"/>
      <c r="BQ98" s="244"/>
      <c r="BR98" s="244"/>
      <c r="BS98" s="244"/>
      <c r="BT98" s="244"/>
      <c r="BU98" s="244"/>
      <c r="BV98" s="244"/>
      <c r="BW98" s="244"/>
      <c r="BX98" s="244"/>
      <c r="BY98" s="244"/>
      <c r="BZ98" s="244"/>
      <c r="CA98" s="244"/>
      <c r="CB98" s="244"/>
      <c r="CC98" s="244"/>
      <c r="CD98" s="244"/>
      <c r="CE98" s="244"/>
      <c r="CF98" s="244"/>
      <c r="CG98" s="244"/>
      <c r="CH98" s="244"/>
      <c r="CI98" s="244"/>
      <c r="CJ98" s="244"/>
      <c r="CK98" s="244"/>
      <c r="CL98" s="244"/>
      <c r="CM98" s="244"/>
      <c r="CN98" s="244"/>
      <c r="CO98" s="244"/>
      <c r="CP98" s="244"/>
      <c r="CQ98" s="244"/>
      <c r="CR98" s="244"/>
      <c r="CS98" s="244"/>
      <c r="CT98" s="244"/>
      <c r="CU98" s="244"/>
      <c r="CV98" s="244"/>
      <c r="CW98" s="244"/>
      <c r="CX98" s="244"/>
      <c r="CY98" s="244"/>
      <c r="CZ98" s="244"/>
    </row>
    <row x14ac:dyDescent="0.25" r="99" customHeight="1" ht="22.149999999999995">
      <c r="A99" s="1"/>
      <c r="B99" s="169"/>
      <c r="C99" s="1"/>
      <c r="D99" s="590" t="s">
        <v>384</v>
      </c>
      <c r="E99" s="719">
        <f>IF(G10="Jubilación prolongada",H93,H12)</f>
      </c>
      <c r="F99" s="356"/>
      <c r="G99" s="356"/>
      <c r="H99" s="354"/>
      <c r="I99" s="139"/>
      <c r="J99" s="1"/>
      <c r="K99" s="1"/>
      <c r="L99" s="1"/>
      <c r="M99" s="1"/>
      <c r="N99" s="139"/>
      <c r="O99" s="139"/>
      <c r="P99" s="139"/>
      <c r="Q99" s="139"/>
      <c r="R99" s="139"/>
      <c r="S99" s="139"/>
      <c r="T99" s="139"/>
      <c r="U99" s="139"/>
      <c r="V99" s="139"/>
      <c r="W99" s="139"/>
      <c r="X99" s="139"/>
      <c r="Y99" s="139"/>
      <c r="Z99" s="139"/>
      <c r="AA99" s="139"/>
      <c r="AB99" s="139"/>
      <c r="AC99" s="139"/>
      <c r="AD99" s="139"/>
      <c r="AE99" s="139"/>
      <c r="AF99" s="139"/>
      <c r="AG99" s="139"/>
      <c r="AH99" s="139"/>
      <c r="AI99" s="139"/>
      <c r="AJ99" s="139"/>
      <c r="AK99" s="139"/>
      <c r="AL99" s="139"/>
      <c r="AM99" s="139"/>
      <c r="AN99" s="139"/>
      <c r="AO99" s="139"/>
      <c r="AP99" s="139"/>
      <c r="AQ99" s="139"/>
      <c r="AR99" s="139"/>
      <c r="AS99" s="139"/>
      <c r="AT99" s="139"/>
      <c r="AU99" s="139"/>
      <c r="AV99" s="139"/>
      <c r="AW99" s="139"/>
      <c r="AX99" s="139"/>
      <c r="AY99" s="139"/>
      <c r="AZ99" s="139"/>
      <c r="BA99" s="139"/>
      <c r="BB99" s="139"/>
      <c r="BC99" s="139"/>
      <c r="BD99" s="139"/>
      <c r="BE99" s="139"/>
      <c r="BF99" s="139"/>
      <c r="BG99" s="139"/>
      <c r="BH99" s="139"/>
      <c r="BI99" s="139"/>
      <c r="BJ99" s="139"/>
      <c r="BK99" s="139"/>
      <c r="BL99" s="139"/>
      <c r="BM99" s="139"/>
      <c r="BN99" s="139"/>
      <c r="BO99" s="139"/>
      <c r="BP99" s="139"/>
      <c r="BQ99" s="139"/>
      <c r="BR99" s="139"/>
      <c r="BS99" s="139"/>
      <c r="BT99" s="139"/>
      <c r="BU99" s="139"/>
      <c r="BV99" s="139"/>
      <c r="BW99" s="139"/>
      <c r="BX99" s="139"/>
      <c r="BY99" s="139"/>
      <c r="BZ99" s="139"/>
      <c r="CA99" s="139"/>
      <c r="CB99" s="139"/>
      <c r="CC99" s="139"/>
      <c r="CD99" s="139"/>
      <c r="CE99" s="139"/>
      <c r="CF99" s="139"/>
      <c r="CG99" s="139"/>
      <c r="CH99" s="139"/>
      <c r="CI99" s="139"/>
      <c r="CJ99" s="139"/>
      <c r="CK99" s="139"/>
      <c r="CL99" s="139"/>
      <c r="CM99" s="139"/>
      <c r="CN99" s="139"/>
      <c r="CO99" s="139"/>
      <c r="CP99" s="139"/>
      <c r="CQ99" s="139"/>
      <c r="CR99" s="139"/>
      <c r="CS99" s="139"/>
      <c r="CT99" s="139"/>
      <c r="CU99" s="139"/>
      <c r="CV99" s="139"/>
      <c r="CW99" s="139"/>
      <c r="CX99" s="139"/>
      <c r="CY99" s="139"/>
      <c r="CZ99" s="139"/>
    </row>
    <row x14ac:dyDescent="0.25" r="100" customHeight="1" ht="15">
      <c r="A100" s="1"/>
      <c r="B100" s="169"/>
      <c r="C100" s="1"/>
      <c r="D100" s="590" t="s">
        <v>385</v>
      </c>
      <c r="E100" s="555">
        <f>TODAY()</f>
        <v>25569.041666666668</v>
      </c>
      <c r="F100" s="168"/>
      <c r="G100" s="168"/>
      <c r="H100" s="170"/>
      <c r="I100" s="1"/>
      <c r="J100" s="1"/>
      <c r="K100" s="1"/>
      <c r="L100" s="1"/>
      <c r="M100" s="1"/>
      <c r="N100" s="139"/>
      <c r="O100" s="139"/>
      <c r="P100" s="139"/>
      <c r="Q100" s="139"/>
      <c r="R100" s="139"/>
      <c r="S100" s="139"/>
      <c r="T100" s="139"/>
      <c r="U100" s="139"/>
      <c r="V100" s="139"/>
      <c r="W100" s="139"/>
      <c r="X100" s="139"/>
      <c r="Y100" s="139"/>
      <c r="Z100" s="139"/>
      <c r="AA100" s="139"/>
      <c r="AB100" s="139"/>
      <c r="AC100" s="139"/>
      <c r="AD100" s="139"/>
      <c r="AE100" s="139"/>
      <c r="AF100" s="139"/>
      <c r="AG100" s="139"/>
      <c r="AH100" s="139"/>
      <c r="AI100" s="139"/>
      <c r="AJ100" s="139"/>
      <c r="AK100" s="139"/>
      <c r="AL100" s="139"/>
      <c r="AM100" s="139"/>
      <c r="AN100" s="139"/>
      <c r="AO100" s="139"/>
      <c r="AP100" s="139"/>
      <c r="AQ100" s="139"/>
      <c r="AR100" s="139"/>
      <c r="AS100" s="139"/>
      <c r="AT100" s="139"/>
      <c r="AU100" s="139"/>
      <c r="AV100" s="139"/>
      <c r="AW100" s="139"/>
      <c r="AX100" s="139"/>
      <c r="AY100" s="139"/>
      <c r="AZ100" s="139"/>
      <c r="BA100" s="139"/>
      <c r="BB100" s="139"/>
      <c r="BC100" s="139"/>
      <c r="BD100" s="139"/>
      <c r="BE100" s="139"/>
      <c r="BF100" s="139"/>
      <c r="BG100" s="139"/>
      <c r="BH100" s="139"/>
      <c r="BI100" s="139"/>
      <c r="BJ100" s="139"/>
      <c r="BK100" s="139"/>
      <c r="BL100" s="139"/>
      <c r="BM100" s="139"/>
      <c r="BN100" s="139"/>
      <c r="BO100" s="139"/>
      <c r="BP100" s="139"/>
      <c r="BQ100" s="139"/>
      <c r="BR100" s="139"/>
      <c r="BS100" s="139"/>
      <c r="BT100" s="139"/>
      <c r="BU100" s="139"/>
      <c r="BV100" s="139"/>
      <c r="BW100" s="139"/>
      <c r="BX100" s="139"/>
      <c r="BY100" s="139"/>
      <c r="BZ100" s="139"/>
      <c r="CA100" s="139"/>
      <c r="CB100" s="139"/>
      <c r="CC100" s="139"/>
      <c r="CD100" s="139"/>
      <c r="CE100" s="139"/>
      <c r="CF100" s="139"/>
      <c r="CG100" s="139"/>
      <c r="CH100" s="139"/>
      <c r="CI100" s="139"/>
      <c r="CJ100" s="139"/>
      <c r="CK100" s="139"/>
      <c r="CL100" s="139"/>
      <c r="CM100" s="139"/>
      <c r="CN100" s="139"/>
      <c r="CO100" s="139"/>
      <c r="CP100" s="139"/>
      <c r="CQ100" s="139"/>
      <c r="CR100" s="139"/>
      <c r="CS100" s="139"/>
      <c r="CT100" s="139"/>
      <c r="CU100" s="139"/>
      <c r="CV100" s="139"/>
      <c r="CW100" s="139"/>
      <c r="CX100" s="139"/>
      <c r="CY100" s="139"/>
      <c r="CZ100" s="139"/>
    </row>
    <row x14ac:dyDescent="0.25" r="101" customHeight="1" ht="15">
      <c r="A101" s="1"/>
      <c r="B101" s="169"/>
      <c r="C101" s="1"/>
      <c r="D101" s="590" t="s">
        <v>386</v>
      </c>
      <c r="E101" s="943">
        <f>ROUND(E99+H13/12,2)</f>
      </c>
      <c r="F101" s="168"/>
      <c r="G101" s="355"/>
      <c r="H101" s="170"/>
      <c r="I101" s="1"/>
      <c r="J101" s="1"/>
      <c r="K101" s="1"/>
      <c r="L101" s="1"/>
      <c r="M101" s="1"/>
      <c r="N101" s="139"/>
      <c r="O101" s="139"/>
      <c r="P101" s="139"/>
      <c r="Q101" s="139"/>
      <c r="R101" s="139"/>
      <c r="S101" s="139"/>
      <c r="T101" s="139"/>
      <c r="U101" s="139"/>
      <c r="V101" s="139"/>
      <c r="W101" s="139"/>
      <c r="X101" s="139"/>
      <c r="Y101" s="139"/>
      <c r="Z101" s="139"/>
      <c r="AA101" s="139"/>
      <c r="AB101" s="139"/>
      <c r="AC101" s="139"/>
      <c r="AD101" s="139"/>
      <c r="AE101" s="139"/>
      <c r="AF101" s="139"/>
      <c r="AG101" s="139"/>
      <c r="AH101" s="139"/>
      <c r="AI101" s="139"/>
      <c r="AJ101" s="139"/>
      <c r="AK101" s="139"/>
      <c r="AL101" s="139"/>
      <c r="AM101" s="139"/>
      <c r="AN101" s="139"/>
      <c r="AO101" s="139"/>
      <c r="AP101" s="139"/>
      <c r="AQ101" s="139"/>
      <c r="AR101" s="139"/>
      <c r="AS101" s="139"/>
      <c r="AT101" s="139"/>
      <c r="AU101" s="139"/>
      <c r="AV101" s="139"/>
      <c r="AW101" s="139"/>
      <c r="AX101" s="139"/>
      <c r="AY101" s="139"/>
      <c r="AZ101" s="139"/>
      <c r="BA101" s="139"/>
      <c r="BB101" s="139"/>
      <c r="BC101" s="139"/>
      <c r="BD101" s="139"/>
      <c r="BE101" s="139"/>
      <c r="BF101" s="139"/>
      <c r="BG101" s="139"/>
      <c r="BH101" s="139"/>
      <c r="BI101" s="139"/>
      <c r="BJ101" s="139"/>
      <c r="BK101" s="139"/>
      <c r="BL101" s="139"/>
      <c r="BM101" s="139"/>
      <c r="BN101" s="139"/>
      <c r="BO101" s="139"/>
      <c r="BP101" s="139"/>
      <c r="BQ101" s="139"/>
      <c r="BR101" s="139"/>
      <c r="BS101" s="139"/>
      <c r="BT101" s="139"/>
      <c r="BU101" s="139"/>
      <c r="BV101" s="139"/>
      <c r="BW101" s="139"/>
      <c r="BX101" s="139"/>
      <c r="BY101" s="139"/>
      <c r="BZ101" s="139"/>
      <c r="CA101" s="139"/>
      <c r="CB101" s="139"/>
      <c r="CC101" s="139"/>
      <c r="CD101" s="139"/>
      <c r="CE101" s="139"/>
      <c r="CF101" s="139"/>
      <c r="CG101" s="139"/>
      <c r="CH101" s="139"/>
      <c r="CI101" s="139"/>
      <c r="CJ101" s="139"/>
      <c r="CK101" s="139"/>
      <c r="CL101" s="139"/>
      <c r="CM101" s="139"/>
      <c r="CN101" s="139"/>
      <c r="CO101" s="139"/>
      <c r="CP101" s="139"/>
      <c r="CQ101" s="139"/>
      <c r="CR101" s="139"/>
      <c r="CS101" s="139"/>
      <c r="CT101" s="139"/>
      <c r="CU101" s="139"/>
      <c r="CV101" s="139"/>
      <c r="CW101" s="139"/>
      <c r="CX101" s="139"/>
      <c r="CY101" s="139"/>
      <c r="CZ101" s="139"/>
    </row>
    <row x14ac:dyDescent="0.25" r="102" customHeight="1" ht="15">
      <c r="A102" s="1"/>
      <c r="B102" s="169"/>
      <c r="C102" s="1"/>
      <c r="D102" s="590" t="s">
        <v>387</v>
      </c>
      <c r="E102" s="944">
        <f>+DATE(YEAR('Simulador - Datos personales'!E7)+E99,MONTH('Simulador - Datos personales'!E7)+H13,DAY('Simulador - Datos personales'!E7))</f>
        <v>25569.041666666668</v>
      </c>
      <c r="F102" s="660"/>
      <c r="G102" s="945"/>
      <c r="H102" s="673"/>
      <c r="I102" s="568"/>
      <c r="J102" s="568"/>
      <c r="K102" s="1"/>
      <c r="L102" s="1"/>
      <c r="M102" s="1"/>
      <c r="N102" s="139"/>
      <c r="O102" s="139"/>
      <c r="P102" s="139"/>
      <c r="Q102" s="139"/>
      <c r="R102" s="139"/>
      <c r="S102" s="139"/>
      <c r="T102" s="139"/>
      <c r="U102" s="139"/>
      <c r="V102" s="139"/>
      <c r="W102" s="139"/>
      <c r="X102" s="139"/>
      <c r="Y102" s="139"/>
      <c r="Z102" s="139"/>
      <c r="AA102" s="139"/>
      <c r="AB102" s="139"/>
      <c r="AC102" s="139"/>
      <c r="AD102" s="139"/>
      <c r="AE102" s="139"/>
      <c r="AF102" s="139"/>
      <c r="AG102" s="139"/>
      <c r="AH102" s="139"/>
      <c r="AI102" s="139"/>
      <c r="AJ102" s="139"/>
      <c r="AK102" s="139"/>
      <c r="AL102" s="139"/>
      <c r="AM102" s="139"/>
      <c r="AN102" s="139"/>
      <c r="AO102" s="139"/>
      <c r="AP102" s="139"/>
      <c r="AQ102" s="139"/>
      <c r="AR102" s="139"/>
      <c r="AS102" s="139"/>
      <c r="AT102" s="139"/>
      <c r="AU102" s="139"/>
      <c r="AV102" s="139"/>
      <c r="AW102" s="139"/>
      <c r="AX102" s="139"/>
      <c r="AY102" s="139"/>
      <c r="AZ102" s="139"/>
      <c r="BA102" s="139"/>
      <c r="BB102" s="139"/>
      <c r="BC102" s="139"/>
      <c r="BD102" s="139"/>
      <c r="BE102" s="139"/>
      <c r="BF102" s="139"/>
      <c r="BG102" s="139"/>
      <c r="BH102" s="139"/>
      <c r="BI102" s="139"/>
      <c r="BJ102" s="139"/>
      <c r="BK102" s="139"/>
      <c r="BL102" s="139"/>
      <c r="BM102" s="139"/>
      <c r="BN102" s="139"/>
      <c r="BO102" s="139"/>
      <c r="BP102" s="139"/>
      <c r="BQ102" s="139"/>
      <c r="BR102" s="139"/>
      <c r="BS102" s="139"/>
      <c r="BT102" s="139"/>
      <c r="BU102" s="139"/>
      <c r="BV102" s="139"/>
      <c r="BW102" s="139"/>
      <c r="BX102" s="139"/>
      <c r="BY102" s="139"/>
      <c r="BZ102" s="139"/>
      <c r="CA102" s="139"/>
      <c r="CB102" s="139"/>
      <c r="CC102" s="139"/>
      <c r="CD102" s="139"/>
      <c r="CE102" s="139"/>
      <c r="CF102" s="139"/>
      <c r="CG102" s="139"/>
      <c r="CH102" s="139"/>
      <c r="CI102" s="139"/>
      <c r="CJ102" s="139"/>
      <c r="CK102" s="139"/>
      <c r="CL102" s="139"/>
      <c r="CM102" s="139"/>
      <c r="CN102" s="139"/>
      <c r="CO102" s="139"/>
      <c r="CP102" s="139"/>
      <c r="CQ102" s="139"/>
      <c r="CR102" s="139"/>
      <c r="CS102" s="139"/>
      <c r="CT102" s="139"/>
      <c r="CU102" s="139"/>
      <c r="CV102" s="139"/>
      <c r="CW102" s="139"/>
      <c r="CX102" s="139"/>
      <c r="CY102" s="139"/>
      <c r="CZ102" s="139"/>
    </row>
    <row x14ac:dyDescent="0.25" r="103" customHeight="1" ht="15">
      <c r="A103" s="1"/>
      <c r="B103" s="169"/>
      <c r="C103" s="1"/>
      <c r="D103" s="590" t="s">
        <v>388</v>
      </c>
      <c r="E103" s="944">
        <f>+E5</f>
        <v>25569.041666666668</v>
      </c>
      <c r="F103" s="168"/>
      <c r="G103" s="355"/>
      <c r="H103" s="170"/>
      <c r="I103" s="1"/>
      <c r="J103" s="218"/>
      <c r="K103" s="1"/>
      <c r="L103" s="1"/>
      <c r="M103" s="1"/>
      <c r="N103" s="139"/>
      <c r="O103" s="139"/>
      <c r="P103" s="139"/>
      <c r="Q103" s="139"/>
      <c r="R103" s="139"/>
      <c r="S103" s="139"/>
      <c r="T103" s="139"/>
      <c r="U103" s="139"/>
      <c r="V103" s="139"/>
      <c r="W103" s="139"/>
      <c r="X103" s="139"/>
      <c r="Y103" s="139"/>
      <c r="Z103" s="139"/>
      <c r="AA103" s="139"/>
      <c r="AB103" s="139"/>
      <c r="AC103" s="139"/>
      <c r="AD103" s="139"/>
      <c r="AE103" s="139"/>
      <c r="AF103" s="139"/>
      <c r="AG103" s="139"/>
      <c r="AH103" s="139"/>
      <c r="AI103" s="139"/>
      <c r="AJ103" s="139"/>
      <c r="AK103" s="139"/>
      <c r="AL103" s="139"/>
      <c r="AM103" s="139"/>
      <c r="AN103" s="139"/>
      <c r="AO103" s="139"/>
      <c r="AP103" s="139"/>
      <c r="AQ103" s="139"/>
      <c r="AR103" s="139"/>
      <c r="AS103" s="139"/>
      <c r="AT103" s="139"/>
      <c r="AU103" s="139"/>
      <c r="AV103" s="139"/>
      <c r="AW103" s="139"/>
      <c r="AX103" s="139"/>
      <c r="AY103" s="139"/>
      <c r="AZ103" s="139"/>
      <c r="BA103" s="139"/>
      <c r="BB103" s="139"/>
      <c r="BC103" s="139"/>
      <c r="BD103" s="139"/>
      <c r="BE103" s="139"/>
      <c r="BF103" s="139"/>
      <c r="BG103" s="139"/>
      <c r="BH103" s="139"/>
      <c r="BI103" s="139"/>
      <c r="BJ103" s="139"/>
      <c r="BK103" s="139"/>
      <c r="BL103" s="139"/>
      <c r="BM103" s="139"/>
      <c r="BN103" s="139"/>
      <c r="BO103" s="139"/>
      <c r="BP103" s="139"/>
      <c r="BQ103" s="139"/>
      <c r="BR103" s="139"/>
      <c r="BS103" s="139"/>
      <c r="BT103" s="139"/>
      <c r="BU103" s="139"/>
      <c r="BV103" s="139"/>
      <c r="BW103" s="139"/>
      <c r="BX103" s="139"/>
      <c r="BY103" s="139"/>
      <c r="BZ103" s="139"/>
      <c r="CA103" s="139"/>
      <c r="CB103" s="139"/>
      <c r="CC103" s="139"/>
      <c r="CD103" s="139"/>
      <c r="CE103" s="139"/>
      <c r="CF103" s="139"/>
      <c r="CG103" s="139"/>
      <c r="CH103" s="139"/>
      <c r="CI103" s="139"/>
      <c r="CJ103" s="139"/>
      <c r="CK103" s="139"/>
      <c r="CL103" s="139"/>
      <c r="CM103" s="139"/>
      <c r="CN103" s="139"/>
      <c r="CO103" s="139"/>
      <c r="CP103" s="139"/>
      <c r="CQ103" s="139"/>
      <c r="CR103" s="139"/>
      <c r="CS103" s="139"/>
      <c r="CT103" s="139"/>
      <c r="CU103" s="139"/>
      <c r="CV103" s="139"/>
      <c r="CW103" s="139"/>
      <c r="CX103" s="139"/>
      <c r="CY103" s="139"/>
      <c r="CZ103" s="139"/>
    </row>
    <row x14ac:dyDescent="0.25" r="104" customHeight="1" ht="15">
      <c r="A104" s="1"/>
      <c r="B104" s="169"/>
      <c r="C104" s="1"/>
      <c r="D104" s="169"/>
      <c r="E104" s="7"/>
      <c r="F104" s="168"/>
      <c r="G104" s="168"/>
      <c r="H104" s="170"/>
      <c r="I104" s="1"/>
      <c r="J104" s="1"/>
      <c r="K104" s="1"/>
      <c r="L104" s="1"/>
      <c r="M104" s="1"/>
      <c r="N104" s="139"/>
      <c r="O104" s="139"/>
      <c r="P104" s="139"/>
      <c r="Q104" s="139"/>
      <c r="R104" s="139"/>
      <c r="S104" s="139"/>
      <c r="T104" s="139"/>
      <c r="U104" s="139"/>
      <c r="V104" s="139"/>
      <c r="W104" s="139"/>
      <c r="X104" s="139"/>
      <c r="Y104" s="139"/>
      <c r="Z104" s="139"/>
      <c r="AA104" s="139"/>
      <c r="AB104" s="139"/>
      <c r="AC104" s="139"/>
      <c r="AD104" s="139"/>
      <c r="AE104" s="139"/>
      <c r="AF104" s="139"/>
      <c r="AG104" s="139"/>
      <c r="AH104" s="139"/>
      <c r="AI104" s="139"/>
      <c r="AJ104" s="139"/>
      <c r="AK104" s="139"/>
      <c r="AL104" s="139"/>
      <c r="AM104" s="139"/>
      <c r="AN104" s="139"/>
      <c r="AO104" s="139"/>
      <c r="AP104" s="139"/>
      <c r="AQ104" s="139"/>
      <c r="AR104" s="139"/>
      <c r="AS104" s="139"/>
      <c r="AT104" s="139"/>
      <c r="AU104" s="139"/>
      <c r="AV104" s="139"/>
      <c r="AW104" s="139"/>
      <c r="AX104" s="139"/>
      <c r="AY104" s="139"/>
      <c r="AZ104" s="139"/>
      <c r="BA104" s="139"/>
      <c r="BB104" s="139"/>
      <c r="BC104" s="139"/>
      <c r="BD104" s="139"/>
      <c r="BE104" s="139"/>
      <c r="BF104" s="139"/>
      <c r="BG104" s="139"/>
      <c r="BH104" s="139"/>
      <c r="BI104" s="139"/>
      <c r="BJ104" s="139"/>
      <c r="BK104" s="139"/>
      <c r="BL104" s="139"/>
      <c r="BM104" s="139"/>
      <c r="BN104" s="139"/>
      <c r="BO104" s="139"/>
      <c r="BP104" s="139"/>
      <c r="BQ104" s="139"/>
      <c r="BR104" s="139"/>
      <c r="BS104" s="139"/>
      <c r="BT104" s="139"/>
      <c r="BU104" s="139"/>
      <c r="BV104" s="139"/>
      <c r="BW104" s="139"/>
      <c r="BX104" s="139"/>
      <c r="BY104" s="139"/>
      <c r="BZ104" s="139"/>
      <c r="CA104" s="139"/>
      <c r="CB104" s="139"/>
      <c r="CC104" s="139"/>
      <c r="CD104" s="139"/>
      <c r="CE104" s="139"/>
      <c r="CF104" s="139"/>
      <c r="CG104" s="139"/>
      <c r="CH104" s="139"/>
      <c r="CI104" s="139"/>
      <c r="CJ104" s="139"/>
      <c r="CK104" s="139"/>
      <c r="CL104" s="139"/>
      <c r="CM104" s="139"/>
      <c r="CN104" s="139"/>
      <c r="CO104" s="139"/>
      <c r="CP104" s="139"/>
      <c r="CQ104" s="139"/>
      <c r="CR104" s="139"/>
      <c r="CS104" s="139"/>
      <c r="CT104" s="139"/>
      <c r="CU104" s="139"/>
      <c r="CV104" s="139"/>
      <c r="CW104" s="139"/>
      <c r="CX104" s="139"/>
      <c r="CY104" s="139"/>
      <c r="CZ104" s="139"/>
    </row>
    <row x14ac:dyDescent="0.25" r="105" customHeight="1" ht="15">
      <c r="A105" s="1"/>
      <c r="B105" s="169"/>
      <c r="C105" s="1"/>
      <c r="D105" s="169"/>
      <c r="E105" s="7"/>
      <c r="F105" s="168"/>
      <c r="G105" s="168"/>
      <c r="H105" s="170"/>
      <c r="I105" s="1"/>
      <c r="J105" s="1"/>
      <c r="K105" s="1"/>
      <c r="L105" s="1"/>
      <c r="M105" s="1"/>
      <c r="N105" s="139"/>
      <c r="O105" s="139"/>
      <c r="P105" s="139"/>
      <c r="Q105" s="139"/>
      <c r="R105" s="139"/>
      <c r="S105" s="139"/>
      <c r="T105" s="139"/>
      <c r="U105" s="139"/>
      <c r="V105" s="139"/>
      <c r="W105" s="139"/>
      <c r="X105" s="139"/>
      <c r="Y105" s="139"/>
      <c r="Z105" s="139"/>
      <c r="AA105" s="139"/>
      <c r="AB105" s="139"/>
      <c r="AC105" s="139"/>
      <c r="AD105" s="139"/>
      <c r="AE105" s="139"/>
      <c r="AF105" s="139"/>
      <c r="AG105" s="139"/>
      <c r="AH105" s="139"/>
      <c r="AI105" s="139"/>
      <c r="AJ105" s="139"/>
      <c r="AK105" s="139"/>
      <c r="AL105" s="139"/>
      <c r="AM105" s="139"/>
      <c r="AN105" s="139"/>
      <c r="AO105" s="139"/>
      <c r="AP105" s="139"/>
      <c r="AQ105" s="139"/>
      <c r="AR105" s="139"/>
      <c r="AS105" s="139"/>
      <c r="AT105" s="139"/>
      <c r="AU105" s="139"/>
      <c r="AV105" s="139"/>
      <c r="AW105" s="139"/>
      <c r="AX105" s="139"/>
      <c r="AY105" s="139"/>
      <c r="AZ105" s="139"/>
      <c r="BA105" s="139"/>
      <c r="BB105" s="139"/>
      <c r="BC105" s="139"/>
      <c r="BD105" s="139"/>
      <c r="BE105" s="139"/>
      <c r="BF105" s="139"/>
      <c r="BG105" s="139"/>
      <c r="BH105" s="139"/>
      <c r="BI105" s="139"/>
      <c r="BJ105" s="139"/>
      <c r="BK105" s="139"/>
      <c r="BL105" s="139"/>
      <c r="BM105" s="139"/>
      <c r="BN105" s="139"/>
      <c r="BO105" s="139"/>
      <c r="BP105" s="139"/>
      <c r="BQ105" s="139"/>
      <c r="BR105" s="139"/>
      <c r="BS105" s="139"/>
      <c r="BT105" s="139"/>
      <c r="BU105" s="139"/>
      <c r="BV105" s="139"/>
      <c r="BW105" s="139"/>
      <c r="BX105" s="139"/>
      <c r="BY105" s="139"/>
      <c r="BZ105" s="139"/>
      <c r="CA105" s="139"/>
      <c r="CB105" s="139"/>
      <c r="CC105" s="139"/>
      <c r="CD105" s="139"/>
      <c r="CE105" s="139"/>
      <c r="CF105" s="139"/>
      <c r="CG105" s="139"/>
      <c r="CH105" s="139"/>
      <c r="CI105" s="139"/>
      <c r="CJ105" s="139"/>
      <c r="CK105" s="139"/>
      <c r="CL105" s="139"/>
      <c r="CM105" s="139"/>
      <c r="CN105" s="139"/>
      <c r="CO105" s="139"/>
      <c r="CP105" s="139"/>
      <c r="CQ105" s="139"/>
      <c r="CR105" s="139"/>
      <c r="CS105" s="139"/>
      <c r="CT105" s="139"/>
      <c r="CU105" s="139"/>
      <c r="CV105" s="139"/>
      <c r="CW105" s="139"/>
      <c r="CX105" s="139"/>
      <c r="CY105" s="139"/>
      <c r="CZ105" s="139"/>
    </row>
    <row x14ac:dyDescent="0.25" r="106" customHeight="1" ht="22.149999999999995">
      <c r="A106" s="1"/>
      <c r="B106" s="169"/>
      <c r="C106" s="1"/>
      <c r="D106" s="169"/>
      <c r="E106" s="355"/>
      <c r="F106" s="356"/>
      <c r="G106" s="355"/>
      <c r="H106" s="170"/>
      <c r="I106" s="355"/>
      <c r="J106" s="1"/>
      <c r="K106" s="1"/>
      <c r="L106" s="1"/>
      <c r="M106" s="1"/>
      <c r="N106" s="139"/>
      <c r="O106" s="139"/>
      <c r="P106" s="139"/>
      <c r="Q106" s="139"/>
      <c r="R106" s="139"/>
      <c r="S106" s="139"/>
      <c r="T106" s="139"/>
      <c r="U106" s="139"/>
      <c r="V106" s="139"/>
      <c r="W106" s="139"/>
      <c r="X106" s="139"/>
      <c r="Y106" s="139"/>
      <c r="Z106" s="139"/>
      <c r="AA106" s="139"/>
      <c r="AB106" s="139"/>
      <c r="AC106" s="139"/>
      <c r="AD106" s="139"/>
      <c r="AE106" s="139"/>
      <c r="AF106" s="139"/>
      <c r="AG106" s="139"/>
      <c r="AH106" s="139"/>
      <c r="AI106" s="139"/>
      <c r="AJ106" s="139"/>
      <c r="AK106" s="139"/>
      <c r="AL106" s="139"/>
      <c r="AM106" s="139"/>
      <c r="AN106" s="139"/>
      <c r="AO106" s="139"/>
      <c r="AP106" s="139"/>
      <c r="AQ106" s="139"/>
      <c r="AR106" s="139"/>
      <c r="AS106" s="139"/>
      <c r="AT106" s="139"/>
      <c r="AU106" s="139"/>
      <c r="AV106" s="139"/>
      <c r="AW106" s="139"/>
      <c r="AX106" s="139"/>
      <c r="AY106" s="139"/>
      <c r="AZ106" s="139"/>
      <c r="BA106" s="139"/>
      <c r="BB106" s="139"/>
      <c r="BC106" s="139"/>
      <c r="BD106" s="139"/>
      <c r="BE106" s="139"/>
      <c r="BF106" s="139"/>
      <c r="BG106" s="139"/>
      <c r="BH106" s="139"/>
      <c r="BI106" s="139"/>
      <c r="BJ106" s="139"/>
      <c r="BK106" s="139"/>
      <c r="BL106" s="139"/>
      <c r="BM106" s="139"/>
      <c r="BN106" s="139"/>
      <c r="BO106" s="139"/>
      <c r="BP106" s="139"/>
      <c r="BQ106" s="139"/>
      <c r="BR106" s="139"/>
      <c r="BS106" s="139"/>
      <c r="BT106" s="139"/>
      <c r="BU106" s="139"/>
      <c r="BV106" s="139"/>
      <c r="BW106" s="139"/>
      <c r="BX106" s="139"/>
      <c r="BY106" s="139"/>
      <c r="BZ106" s="139"/>
      <c r="CA106" s="139"/>
      <c r="CB106" s="139"/>
      <c r="CC106" s="139"/>
      <c r="CD106" s="139"/>
      <c r="CE106" s="139"/>
      <c r="CF106" s="139"/>
      <c r="CG106" s="139"/>
      <c r="CH106" s="139"/>
      <c r="CI106" s="139"/>
      <c r="CJ106" s="139"/>
      <c r="CK106" s="139"/>
      <c r="CL106" s="139"/>
      <c r="CM106" s="139"/>
      <c r="CN106" s="139"/>
      <c r="CO106" s="139"/>
      <c r="CP106" s="139"/>
      <c r="CQ106" s="139"/>
      <c r="CR106" s="139"/>
      <c r="CS106" s="139"/>
      <c r="CT106" s="139"/>
      <c r="CU106" s="139"/>
      <c r="CV106" s="139"/>
      <c r="CW106" s="139"/>
      <c r="CX106" s="139"/>
      <c r="CY106" s="139"/>
      <c r="CZ106" s="139"/>
    </row>
    <row x14ac:dyDescent="0.25" r="107" customHeight="1" ht="15">
      <c r="A107" s="1"/>
      <c r="B107" s="169"/>
      <c r="C107" s="1"/>
      <c r="D107" s="590"/>
      <c r="E107" s="355"/>
      <c r="F107" s="356"/>
      <c r="G107" s="168"/>
      <c r="H107" s="170"/>
      <c r="I107" s="1"/>
      <c r="J107" s="1"/>
      <c r="K107" s="355"/>
      <c r="L107" s="1"/>
      <c r="M107" s="1"/>
      <c r="N107" s="139"/>
      <c r="O107" s="139"/>
      <c r="P107" s="139"/>
      <c r="Q107" s="139"/>
      <c r="R107" s="139"/>
      <c r="S107" s="139"/>
      <c r="T107" s="139"/>
      <c r="U107" s="139"/>
      <c r="V107" s="139"/>
      <c r="W107" s="139"/>
      <c r="X107" s="139"/>
      <c r="Y107" s="139"/>
      <c r="Z107" s="139"/>
      <c r="AA107" s="139"/>
      <c r="AB107" s="139"/>
      <c r="AC107" s="139"/>
      <c r="AD107" s="139"/>
      <c r="AE107" s="139"/>
      <c r="AF107" s="139"/>
      <c r="AG107" s="139"/>
      <c r="AH107" s="139"/>
      <c r="AI107" s="139"/>
      <c r="AJ107" s="139"/>
      <c r="AK107" s="139"/>
      <c r="AL107" s="139"/>
      <c r="AM107" s="139"/>
      <c r="AN107" s="139"/>
      <c r="AO107" s="139"/>
      <c r="AP107" s="139"/>
      <c r="AQ107" s="139"/>
      <c r="AR107" s="139"/>
      <c r="AS107" s="139"/>
      <c r="AT107" s="139"/>
      <c r="AU107" s="139"/>
      <c r="AV107" s="139"/>
      <c r="AW107" s="139"/>
      <c r="AX107" s="139"/>
      <c r="AY107" s="139"/>
      <c r="AZ107" s="139"/>
      <c r="BA107" s="139"/>
      <c r="BB107" s="139"/>
      <c r="BC107" s="139"/>
      <c r="BD107" s="139"/>
      <c r="BE107" s="139"/>
      <c r="BF107" s="139"/>
      <c r="BG107" s="139"/>
      <c r="BH107" s="139"/>
      <c r="BI107" s="139"/>
      <c r="BJ107" s="139"/>
      <c r="BK107" s="139"/>
      <c r="BL107" s="139"/>
      <c r="BM107" s="139"/>
      <c r="BN107" s="139"/>
      <c r="BO107" s="139"/>
      <c r="BP107" s="139"/>
      <c r="BQ107" s="139"/>
      <c r="BR107" s="139"/>
      <c r="BS107" s="139"/>
      <c r="BT107" s="139"/>
      <c r="BU107" s="139"/>
      <c r="BV107" s="139"/>
      <c r="BW107" s="139"/>
      <c r="BX107" s="139"/>
      <c r="BY107" s="139"/>
      <c r="BZ107" s="139"/>
      <c r="CA107" s="139"/>
      <c r="CB107" s="139"/>
      <c r="CC107" s="139"/>
      <c r="CD107" s="139"/>
      <c r="CE107" s="139"/>
      <c r="CF107" s="139"/>
      <c r="CG107" s="139"/>
      <c r="CH107" s="139"/>
      <c r="CI107" s="139"/>
      <c r="CJ107" s="139"/>
      <c r="CK107" s="139"/>
      <c r="CL107" s="139"/>
      <c r="CM107" s="139"/>
      <c r="CN107" s="139"/>
      <c r="CO107" s="139"/>
      <c r="CP107" s="139"/>
      <c r="CQ107" s="139"/>
      <c r="CR107" s="139"/>
      <c r="CS107" s="139"/>
      <c r="CT107" s="139"/>
      <c r="CU107" s="139"/>
      <c r="CV107" s="139"/>
      <c r="CW107" s="139"/>
      <c r="CX107" s="139"/>
      <c r="CY107" s="139"/>
      <c r="CZ107" s="139"/>
    </row>
    <row x14ac:dyDescent="0.25" r="108" customHeight="1" ht="41.65">
      <c r="A108" s="1"/>
      <c r="B108" s="169"/>
      <c r="C108" s="1"/>
      <c r="D108" s="590"/>
      <c r="E108" s="355"/>
      <c r="F108" s="356"/>
      <c r="G108" s="168"/>
      <c r="H108" s="170"/>
      <c r="I108" s="1"/>
      <c r="J108" s="1"/>
      <c r="K108" s="1"/>
      <c r="L108" s="1"/>
      <c r="M108" s="1"/>
      <c r="N108" s="139"/>
      <c r="O108" s="139"/>
      <c r="P108" s="139"/>
      <c r="Q108" s="139"/>
      <c r="R108" s="139"/>
      <c r="S108" s="139"/>
      <c r="T108" s="139"/>
      <c r="U108" s="139"/>
      <c r="V108" s="139"/>
      <c r="W108" s="139"/>
      <c r="X108" s="139"/>
      <c r="Y108" s="139"/>
      <c r="Z108" s="139"/>
      <c r="AA108" s="139"/>
      <c r="AB108" s="139"/>
      <c r="AC108" s="139"/>
      <c r="AD108" s="139"/>
      <c r="AE108" s="139"/>
      <c r="AF108" s="139"/>
      <c r="AG108" s="139"/>
      <c r="AH108" s="139"/>
      <c r="AI108" s="139"/>
      <c r="AJ108" s="139"/>
      <c r="AK108" s="139"/>
      <c r="AL108" s="139"/>
      <c r="AM108" s="139"/>
      <c r="AN108" s="139"/>
      <c r="AO108" s="139"/>
      <c r="AP108" s="139"/>
      <c r="AQ108" s="139"/>
      <c r="AR108" s="139"/>
      <c r="AS108" s="139"/>
      <c r="AT108" s="139"/>
      <c r="AU108" s="139"/>
      <c r="AV108" s="139"/>
      <c r="AW108" s="139"/>
      <c r="AX108" s="139"/>
      <c r="AY108" s="139"/>
      <c r="AZ108" s="139"/>
      <c r="BA108" s="139"/>
      <c r="BB108" s="139"/>
      <c r="BC108" s="139"/>
      <c r="BD108" s="139"/>
      <c r="BE108" s="139"/>
      <c r="BF108" s="139"/>
      <c r="BG108" s="139"/>
      <c r="BH108" s="139"/>
      <c r="BI108" s="139"/>
      <c r="BJ108" s="139"/>
      <c r="BK108" s="139"/>
      <c r="BL108" s="139"/>
      <c r="BM108" s="139"/>
      <c r="BN108" s="139"/>
      <c r="BO108" s="139"/>
      <c r="BP108" s="139"/>
      <c r="BQ108" s="139"/>
      <c r="BR108" s="139"/>
      <c r="BS108" s="139"/>
      <c r="BT108" s="139"/>
      <c r="BU108" s="139"/>
      <c r="BV108" s="139"/>
      <c r="BW108" s="139"/>
      <c r="BX108" s="139"/>
      <c r="BY108" s="139"/>
      <c r="BZ108" s="139"/>
      <c r="CA108" s="139"/>
      <c r="CB108" s="139"/>
      <c r="CC108" s="139"/>
      <c r="CD108" s="139"/>
      <c r="CE108" s="139"/>
      <c r="CF108" s="139"/>
      <c r="CG108" s="139"/>
      <c r="CH108" s="139"/>
      <c r="CI108" s="139"/>
      <c r="CJ108" s="139"/>
      <c r="CK108" s="139"/>
      <c r="CL108" s="139"/>
      <c r="CM108" s="139"/>
      <c r="CN108" s="139"/>
      <c r="CO108" s="139"/>
      <c r="CP108" s="139"/>
      <c r="CQ108" s="139"/>
      <c r="CR108" s="139"/>
      <c r="CS108" s="139"/>
      <c r="CT108" s="139"/>
      <c r="CU108" s="139"/>
      <c r="CV108" s="139"/>
      <c r="CW108" s="139"/>
      <c r="CX108" s="139"/>
      <c r="CY108" s="139"/>
      <c r="CZ108" s="139"/>
    </row>
    <row x14ac:dyDescent="0.25" r="109" customHeight="1" ht="41.65">
      <c r="A109" s="1"/>
      <c r="B109" s="169"/>
      <c r="C109" s="1"/>
      <c r="D109" s="590"/>
      <c r="E109" s="355"/>
      <c r="F109" s="356"/>
      <c r="G109" s="168"/>
      <c r="H109" s="170"/>
      <c r="I109" s="1"/>
      <c r="J109" s="1"/>
      <c r="K109" s="1"/>
      <c r="L109" s="1"/>
      <c r="M109" s="1"/>
      <c r="N109" s="139"/>
      <c r="O109" s="139"/>
      <c r="P109" s="139"/>
      <c r="Q109" s="139"/>
      <c r="R109" s="139"/>
      <c r="S109" s="139"/>
      <c r="T109" s="139"/>
      <c r="U109" s="139"/>
      <c r="V109" s="139"/>
      <c r="W109" s="139"/>
      <c r="X109" s="139"/>
      <c r="Y109" s="139"/>
      <c r="Z109" s="139"/>
      <c r="AA109" s="139"/>
      <c r="AB109" s="139"/>
      <c r="AC109" s="139"/>
      <c r="AD109" s="139"/>
      <c r="AE109" s="139"/>
      <c r="AF109" s="139"/>
      <c r="AG109" s="139"/>
      <c r="AH109" s="139"/>
      <c r="AI109" s="139"/>
      <c r="AJ109" s="139"/>
      <c r="AK109" s="139"/>
      <c r="AL109" s="139"/>
      <c r="AM109" s="139"/>
      <c r="AN109" s="139"/>
      <c r="AO109" s="139"/>
      <c r="AP109" s="139"/>
      <c r="AQ109" s="139"/>
      <c r="AR109" s="139"/>
      <c r="AS109" s="139"/>
      <c r="AT109" s="139"/>
      <c r="AU109" s="139"/>
      <c r="AV109" s="139"/>
      <c r="AW109" s="139"/>
      <c r="AX109" s="139"/>
      <c r="AY109" s="139"/>
      <c r="AZ109" s="139"/>
      <c r="BA109" s="139"/>
      <c r="BB109" s="139"/>
      <c r="BC109" s="139"/>
      <c r="BD109" s="139"/>
      <c r="BE109" s="139"/>
      <c r="BF109" s="139"/>
      <c r="BG109" s="139"/>
      <c r="BH109" s="139"/>
      <c r="BI109" s="139"/>
      <c r="BJ109" s="139"/>
      <c r="BK109" s="139"/>
      <c r="BL109" s="139"/>
      <c r="BM109" s="139"/>
      <c r="BN109" s="1"/>
      <c r="BO109" s="1"/>
      <c r="BP109" s="1"/>
      <c r="BQ109" s="1"/>
      <c r="BR109" s="1"/>
      <c r="BS109" s="139"/>
      <c r="BT109" s="139"/>
      <c r="BU109" s="139"/>
      <c r="BV109" s="139"/>
      <c r="BW109" s="139"/>
      <c r="BX109" s="139"/>
      <c r="BY109" s="139"/>
      <c r="BZ109" s="139"/>
      <c r="CA109" s="139"/>
      <c r="CB109" s="139"/>
      <c r="CC109" s="139"/>
      <c r="CD109" s="139"/>
      <c r="CE109" s="139"/>
      <c r="CF109" s="139"/>
      <c r="CG109" s="139"/>
      <c r="CH109" s="139"/>
      <c r="CI109" s="139"/>
      <c r="CJ109" s="139"/>
      <c r="CK109" s="139"/>
      <c r="CL109" s="139"/>
      <c r="CM109" s="139"/>
      <c r="CN109" s="139"/>
      <c r="CO109" s="139"/>
      <c r="CP109" s="139"/>
      <c r="CQ109" s="139"/>
      <c r="CR109" s="139"/>
      <c r="CS109" s="139"/>
      <c r="CT109" s="139"/>
      <c r="CU109" s="139"/>
      <c r="CV109" s="139"/>
      <c r="CW109" s="139"/>
      <c r="CX109" s="139"/>
      <c r="CY109" s="139"/>
      <c r="CZ109" s="139"/>
    </row>
    <row x14ac:dyDescent="0.25" r="110" customHeight="1" ht="41.65">
      <c r="A110" s="1"/>
      <c r="B110" s="169"/>
      <c r="C110" s="1"/>
      <c r="D110" s="590"/>
      <c r="E110" s="355"/>
      <c r="F110" s="356"/>
      <c r="G110" s="168"/>
      <c r="H110" s="170"/>
      <c r="I110" s="1"/>
      <c r="J110" s="1"/>
      <c r="K110" s="1"/>
      <c r="L110" s="1"/>
      <c r="M110" s="1"/>
      <c r="N110" s="139"/>
      <c r="O110" s="139"/>
      <c r="P110" s="139"/>
      <c r="Q110" s="139"/>
      <c r="R110" s="139"/>
      <c r="S110" s="139"/>
      <c r="T110" s="139"/>
      <c r="U110" s="139"/>
      <c r="V110" s="139"/>
      <c r="W110" s="139"/>
      <c r="X110" s="139"/>
      <c r="Y110" s="139"/>
      <c r="Z110" s="139"/>
      <c r="AA110" s="139"/>
      <c r="AB110" s="139"/>
      <c r="AC110" s="139"/>
      <c r="AD110" s="139"/>
      <c r="AE110" s="139"/>
      <c r="AF110" s="139"/>
      <c r="AG110" s="139"/>
      <c r="AH110" s="139"/>
      <c r="AI110" s="139"/>
      <c r="AJ110" s="139"/>
      <c r="AK110" s="139"/>
      <c r="AL110" s="139"/>
      <c r="AM110" s="139"/>
      <c r="AN110" s="139"/>
      <c r="AO110" s="139"/>
      <c r="AP110" s="139"/>
      <c r="AQ110" s="139"/>
      <c r="AR110" s="139"/>
      <c r="AS110" s="139"/>
      <c r="AT110" s="139"/>
      <c r="AU110" s="139"/>
      <c r="AV110" s="139"/>
      <c r="AW110" s="139"/>
      <c r="AX110" s="139"/>
      <c r="AY110" s="139"/>
      <c r="AZ110" s="139"/>
      <c r="BA110" s="139"/>
      <c r="BB110" s="139"/>
      <c r="BC110" s="139"/>
      <c r="BD110" s="139"/>
      <c r="BE110" s="139"/>
      <c r="BF110" s="139"/>
      <c r="BG110" s="139"/>
      <c r="BH110" s="139"/>
      <c r="BI110" s="139"/>
      <c r="BJ110" s="139"/>
      <c r="BK110" s="139"/>
      <c r="BL110" s="139"/>
      <c r="BM110" s="139"/>
      <c r="BN110" s="1"/>
      <c r="BO110" s="1"/>
      <c r="BP110" s="1"/>
      <c r="BQ110" s="1"/>
      <c r="BR110" s="1"/>
      <c r="BS110" s="139"/>
      <c r="BT110" s="139"/>
      <c r="BU110" s="139"/>
      <c r="BV110" s="139"/>
      <c r="BW110" s="139"/>
      <c r="BX110" s="139"/>
      <c r="BY110" s="139"/>
      <c r="BZ110" s="139"/>
      <c r="CA110" s="139"/>
      <c r="CB110" s="139"/>
      <c r="CC110" s="139"/>
      <c r="CD110" s="139"/>
      <c r="CE110" s="139"/>
      <c r="CF110" s="139"/>
      <c r="CG110" s="139"/>
      <c r="CH110" s="139"/>
      <c r="CI110" s="139"/>
      <c r="CJ110" s="139"/>
      <c r="CK110" s="139"/>
      <c r="CL110" s="139"/>
      <c r="CM110" s="139"/>
      <c r="CN110" s="139"/>
      <c r="CO110" s="139"/>
      <c r="CP110" s="139"/>
      <c r="CQ110" s="139"/>
      <c r="CR110" s="139"/>
      <c r="CS110" s="139"/>
      <c r="CT110" s="139"/>
      <c r="CU110" s="139"/>
      <c r="CV110" s="139"/>
      <c r="CW110" s="139"/>
      <c r="CX110" s="139"/>
      <c r="CY110" s="139"/>
      <c r="CZ110" s="139"/>
    </row>
    <row x14ac:dyDescent="0.25" r="111" customHeight="1" ht="41.65">
      <c r="A111" s="1"/>
      <c r="B111" s="169"/>
      <c r="C111" s="1"/>
      <c r="D111" s="590"/>
      <c r="E111" s="355"/>
      <c r="F111" s="356"/>
      <c r="G111" s="168"/>
      <c r="H111" s="170"/>
      <c r="I111" s="1"/>
      <c r="J111" s="1"/>
      <c r="K111" s="1"/>
      <c r="L111" s="1"/>
      <c r="M111" s="1"/>
      <c r="N111" s="139"/>
      <c r="O111" s="139"/>
      <c r="P111" s="139"/>
      <c r="Q111" s="139"/>
      <c r="R111" s="139"/>
      <c r="S111" s="139"/>
      <c r="T111" s="139"/>
      <c r="U111" s="139"/>
      <c r="V111" s="139"/>
      <c r="W111" s="139"/>
      <c r="X111" s="139"/>
      <c r="Y111" s="139"/>
      <c r="Z111" s="139"/>
      <c r="AA111" s="139"/>
      <c r="AB111" s="139"/>
      <c r="AC111" s="139"/>
      <c r="AD111" s="139"/>
      <c r="AE111" s="139"/>
      <c r="AF111" s="139"/>
      <c r="AG111" s="139"/>
      <c r="AH111" s="139"/>
      <c r="AI111" s="139"/>
      <c r="AJ111" s="139"/>
      <c r="AK111" s="139"/>
      <c r="AL111" s="139"/>
      <c r="AM111" s="139"/>
      <c r="AN111" s="139"/>
      <c r="AO111" s="139"/>
      <c r="AP111" s="139"/>
      <c r="AQ111" s="139"/>
      <c r="AR111" s="139"/>
      <c r="AS111" s="139"/>
      <c r="AT111" s="139"/>
      <c r="AU111" s="139"/>
      <c r="AV111" s="139"/>
      <c r="AW111" s="139"/>
      <c r="AX111" s="139"/>
      <c r="AY111" s="139"/>
      <c r="AZ111" s="139"/>
      <c r="BA111" s="139"/>
      <c r="BB111" s="139"/>
      <c r="BC111" s="139"/>
      <c r="BD111" s="139"/>
      <c r="BE111" s="139"/>
      <c r="BF111" s="139"/>
      <c r="BG111" s="139"/>
      <c r="BH111" s="139"/>
      <c r="BI111" s="139"/>
      <c r="BJ111" s="139"/>
      <c r="BK111" s="139"/>
      <c r="BL111" s="139"/>
      <c r="BM111" s="139"/>
      <c r="BN111" s="1"/>
      <c r="BO111" s="1"/>
      <c r="BP111" s="1"/>
      <c r="BQ111" s="1"/>
      <c r="BR111" s="1"/>
      <c r="BS111" s="139"/>
      <c r="BT111" s="139"/>
      <c r="BU111" s="139"/>
      <c r="BV111" s="139"/>
      <c r="BW111" s="139"/>
      <c r="BX111" s="139"/>
      <c r="BY111" s="139"/>
      <c r="BZ111" s="139"/>
      <c r="CA111" s="139"/>
      <c r="CB111" s="139"/>
      <c r="CC111" s="139"/>
      <c r="CD111" s="139"/>
      <c r="CE111" s="139"/>
      <c r="CF111" s="139"/>
      <c r="CG111" s="139"/>
      <c r="CH111" s="139"/>
      <c r="CI111" s="139"/>
      <c r="CJ111" s="139"/>
      <c r="CK111" s="139"/>
      <c r="CL111" s="139"/>
      <c r="CM111" s="139"/>
      <c r="CN111" s="139"/>
      <c r="CO111" s="139"/>
      <c r="CP111" s="139"/>
      <c r="CQ111" s="139"/>
      <c r="CR111" s="139"/>
      <c r="CS111" s="139"/>
      <c r="CT111" s="139"/>
      <c r="CU111" s="139"/>
      <c r="CV111" s="139"/>
      <c r="CW111" s="139"/>
      <c r="CX111" s="139"/>
      <c r="CY111" s="139"/>
      <c r="CZ111" s="139"/>
    </row>
    <row x14ac:dyDescent="0.25" r="112" customHeight="1" ht="41.65">
      <c r="A112" s="1"/>
      <c r="B112" s="169"/>
      <c r="C112" s="1"/>
      <c r="D112" s="590"/>
      <c r="E112" s="355"/>
      <c r="F112" s="356"/>
      <c r="G112" s="168"/>
      <c r="H112" s="170"/>
      <c r="I112" s="1"/>
      <c r="J112" s="1"/>
      <c r="K112" s="1"/>
      <c r="L112" s="1"/>
      <c r="M112" s="1"/>
      <c r="N112" s="139"/>
      <c r="O112" s="139"/>
      <c r="P112" s="139"/>
      <c r="Q112" s="139"/>
      <c r="R112" s="139"/>
      <c r="S112" s="139"/>
      <c r="T112" s="139"/>
      <c r="U112" s="139"/>
      <c r="V112" s="139"/>
      <c r="W112" s="139"/>
      <c r="X112" s="139"/>
      <c r="Y112" s="139"/>
      <c r="Z112" s="139"/>
      <c r="AA112" s="139"/>
      <c r="AB112" s="139"/>
      <c r="AC112" s="139"/>
      <c r="AD112" s="139"/>
      <c r="AE112" s="139"/>
      <c r="AF112" s="139"/>
      <c r="AG112" s="139"/>
      <c r="AH112" s="139"/>
      <c r="AI112" s="139"/>
      <c r="AJ112" s="139"/>
      <c r="AK112" s="139"/>
      <c r="AL112" s="139"/>
      <c r="AM112" s="139"/>
      <c r="AN112" s="139"/>
      <c r="AO112" s="139"/>
      <c r="AP112" s="139"/>
      <c r="AQ112" s="139"/>
      <c r="AR112" s="139"/>
      <c r="AS112" s="139"/>
      <c r="AT112" s="139"/>
      <c r="AU112" s="139"/>
      <c r="AV112" s="139"/>
      <c r="AW112" s="139"/>
      <c r="AX112" s="139"/>
      <c r="AY112" s="139"/>
      <c r="AZ112" s="139"/>
      <c r="BA112" s="139"/>
      <c r="BB112" s="139"/>
      <c r="BC112" s="139"/>
      <c r="BD112" s="139"/>
      <c r="BE112" s="139"/>
      <c r="BF112" s="139"/>
      <c r="BG112" s="139"/>
      <c r="BH112" s="139"/>
      <c r="BI112" s="139"/>
      <c r="BJ112" s="139"/>
      <c r="BK112" s="139"/>
      <c r="BL112" s="139"/>
      <c r="BM112" s="139"/>
      <c r="BN112" s="1"/>
      <c r="BO112" s="1"/>
      <c r="BP112" s="1"/>
      <c r="BQ112" s="1"/>
      <c r="BR112" s="1"/>
      <c r="BS112" s="139"/>
      <c r="BT112" s="139"/>
      <c r="BU112" s="139"/>
      <c r="BV112" s="139"/>
      <c r="BW112" s="139"/>
      <c r="BX112" s="139"/>
      <c r="BY112" s="139"/>
      <c r="BZ112" s="139"/>
      <c r="CA112" s="139"/>
      <c r="CB112" s="139"/>
      <c r="CC112" s="139"/>
      <c r="CD112" s="139"/>
      <c r="CE112" s="139"/>
      <c r="CF112" s="139"/>
      <c r="CG112" s="139"/>
      <c r="CH112" s="139"/>
      <c r="CI112" s="139"/>
      <c r="CJ112" s="139"/>
      <c r="CK112" s="139"/>
      <c r="CL112" s="139"/>
      <c r="CM112" s="139"/>
      <c r="CN112" s="139"/>
      <c r="CO112" s="139"/>
      <c r="CP112" s="139"/>
      <c r="CQ112" s="139"/>
      <c r="CR112" s="139"/>
      <c r="CS112" s="139"/>
      <c r="CT112" s="139"/>
      <c r="CU112" s="139"/>
      <c r="CV112" s="139"/>
      <c r="CW112" s="139"/>
      <c r="CX112" s="139"/>
      <c r="CY112" s="139"/>
      <c r="CZ112" s="139"/>
    </row>
    <row x14ac:dyDescent="0.25" r="113" customHeight="1" ht="41.65">
      <c r="A113" s="1"/>
      <c r="B113" s="169"/>
      <c r="C113" s="1"/>
      <c r="D113" s="169"/>
      <c r="E113" s="7"/>
      <c r="F113" s="168"/>
      <c r="G113" s="168"/>
      <c r="H113" s="170"/>
      <c r="I113" s="1"/>
      <c r="J113" s="1"/>
      <c r="K113" s="1"/>
      <c r="L113" s="1"/>
      <c r="M113" s="1"/>
      <c r="N113" s="139"/>
      <c r="O113" s="139"/>
      <c r="P113" s="139"/>
      <c r="Q113" s="139"/>
      <c r="R113" s="139"/>
      <c r="S113" s="139"/>
      <c r="T113" s="139"/>
      <c r="U113" s="139"/>
      <c r="V113" s="139"/>
      <c r="W113" s="139"/>
      <c r="X113" s="139"/>
      <c r="Y113" s="139"/>
      <c r="Z113" s="139"/>
      <c r="AA113" s="139"/>
      <c r="AB113" s="139"/>
      <c r="AC113" s="139"/>
      <c r="AD113" s="139"/>
      <c r="AE113" s="139"/>
      <c r="AF113" s="139"/>
      <c r="AG113" s="139"/>
      <c r="AH113" s="139"/>
      <c r="AI113" s="139"/>
      <c r="AJ113" s="139"/>
      <c r="AK113" s="139"/>
      <c r="AL113" s="139"/>
      <c r="AM113" s="139"/>
      <c r="AN113" s="139"/>
      <c r="AO113" s="139"/>
      <c r="AP113" s="139"/>
      <c r="AQ113" s="139"/>
      <c r="AR113" s="139"/>
      <c r="AS113" s="139"/>
      <c r="AT113" s="139"/>
      <c r="AU113" s="139"/>
      <c r="AV113" s="139"/>
      <c r="AW113" s="139"/>
      <c r="AX113" s="139"/>
      <c r="AY113" s="139"/>
      <c r="AZ113" s="139"/>
      <c r="BA113" s="139"/>
      <c r="BB113" s="139"/>
      <c r="BC113" s="139"/>
      <c r="BD113" s="139"/>
      <c r="BE113" s="139"/>
      <c r="BF113" s="139"/>
      <c r="BG113" s="139"/>
      <c r="BH113" s="139"/>
      <c r="BI113" s="139"/>
      <c r="BJ113" s="139"/>
      <c r="BK113" s="139"/>
      <c r="BL113" s="139"/>
      <c r="BM113" s="139"/>
      <c r="BN113" s="1"/>
      <c r="BO113" s="1"/>
      <c r="BP113" s="1"/>
      <c r="BQ113" s="1"/>
      <c r="BR113" s="1"/>
      <c r="BS113" s="139"/>
      <c r="BT113" s="139"/>
      <c r="BU113" s="139"/>
      <c r="BV113" s="139"/>
      <c r="BW113" s="139"/>
      <c r="BX113" s="139"/>
      <c r="BY113" s="139"/>
      <c r="BZ113" s="139"/>
      <c r="CA113" s="139"/>
      <c r="CB113" s="139"/>
      <c r="CC113" s="139"/>
      <c r="CD113" s="139"/>
      <c r="CE113" s="139"/>
      <c r="CF113" s="139"/>
      <c r="CG113" s="139"/>
      <c r="CH113" s="139"/>
      <c r="CI113" s="139"/>
      <c r="CJ113" s="139"/>
      <c r="CK113" s="139"/>
      <c r="CL113" s="139"/>
      <c r="CM113" s="139"/>
      <c r="CN113" s="139"/>
      <c r="CO113" s="139"/>
      <c r="CP113" s="139"/>
      <c r="CQ113" s="139"/>
      <c r="CR113" s="139"/>
      <c r="CS113" s="139"/>
      <c r="CT113" s="139"/>
      <c r="CU113" s="139"/>
      <c r="CV113" s="139"/>
      <c r="CW113" s="139"/>
      <c r="CX113" s="139"/>
      <c r="CY113" s="139"/>
      <c r="CZ113" s="139"/>
    </row>
    <row x14ac:dyDescent="0.25" r="114" customHeight="1" ht="41.65">
      <c r="A114" s="1"/>
      <c r="B114" s="169"/>
      <c r="C114" s="1"/>
      <c r="D114" s="169"/>
      <c r="E114" s="7"/>
      <c r="F114" s="168"/>
      <c r="G114" s="168"/>
      <c r="H114" s="170"/>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39"/>
      <c r="AX114" s="139"/>
      <c r="AY114" s="139"/>
      <c r="AZ114" s="139"/>
      <c r="BA114" s="139"/>
      <c r="BB114" s="139"/>
      <c r="BC114" s="139"/>
      <c r="BD114" s="139"/>
      <c r="BE114" s="139"/>
      <c r="BF114" s="139"/>
      <c r="BG114" s="139"/>
      <c r="BH114" s="139"/>
      <c r="BI114" s="139"/>
      <c r="BJ114" s="139"/>
      <c r="BK114" s="139"/>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row>
    <row x14ac:dyDescent="0.25" r="115" customHeight="1" ht="41.65">
      <c r="A115" s="1"/>
      <c r="B115" s="169"/>
      <c r="C115" s="1"/>
      <c r="D115" s="169"/>
      <c r="E115" s="7"/>
      <c r="F115" s="168"/>
      <c r="G115" s="168"/>
      <c r="H115" s="170"/>
      <c r="I115" s="1"/>
      <c r="J115" s="1"/>
      <c r="K115" s="1"/>
      <c r="L115" s="1"/>
      <c r="M115" s="1"/>
      <c r="N115" s="139"/>
      <c r="O115" s="139"/>
      <c r="P115" s="139"/>
      <c r="Q115" s="139"/>
      <c r="R115" s="139"/>
      <c r="S115" s="139"/>
      <c r="T115" s="139"/>
      <c r="U115" s="139"/>
      <c r="V115" s="139"/>
      <c r="W115" s="139"/>
      <c r="X115" s="139"/>
      <c r="Y115" s="139"/>
      <c r="Z115" s="139"/>
      <c r="AA115" s="139"/>
      <c r="AB115" s="139"/>
      <c r="AC115" s="139"/>
      <c r="AD115" s="139"/>
      <c r="AE115" s="139"/>
      <c r="AF115" s="139"/>
      <c r="AG115" s="139"/>
      <c r="AH115" s="139"/>
      <c r="AI115" s="139"/>
      <c r="AJ115" s="139"/>
      <c r="AK115" s="139"/>
      <c r="AL115" s="139"/>
      <c r="AM115" s="139"/>
      <c r="AN115" s="139"/>
      <c r="AO115" s="139"/>
      <c r="AP115" s="139"/>
      <c r="AQ115" s="139"/>
      <c r="AR115" s="139"/>
      <c r="AS115" s="139"/>
      <c r="AT115" s="139"/>
      <c r="AU115" s="139"/>
      <c r="AV115" s="139"/>
      <c r="AW115" s="139"/>
      <c r="AX115" s="139"/>
      <c r="AY115" s="139"/>
      <c r="AZ115" s="139"/>
      <c r="BA115" s="139"/>
      <c r="BB115" s="139"/>
      <c r="BC115" s="139"/>
      <c r="BD115" s="139"/>
      <c r="BE115" s="139"/>
      <c r="BF115" s="139"/>
      <c r="BG115" s="139"/>
      <c r="BH115" s="139"/>
      <c r="BI115" s="139"/>
      <c r="BJ115" s="139"/>
      <c r="BK115" s="139"/>
      <c r="BL115" s="139"/>
      <c r="BM115" s="139"/>
      <c r="BN115" s="1"/>
      <c r="BO115" s="1"/>
      <c r="BP115" s="1"/>
      <c r="BQ115" s="1"/>
      <c r="BR115" s="1"/>
      <c r="BS115" s="139"/>
      <c r="BT115" s="139"/>
      <c r="BU115" s="139"/>
      <c r="BV115" s="139"/>
      <c r="BW115" s="139"/>
      <c r="BX115" s="139"/>
      <c r="BY115" s="139"/>
      <c r="BZ115" s="139"/>
      <c r="CA115" s="139"/>
      <c r="CB115" s="139"/>
      <c r="CC115" s="139"/>
      <c r="CD115" s="139"/>
      <c r="CE115" s="139"/>
      <c r="CF115" s="139"/>
      <c r="CG115" s="139"/>
      <c r="CH115" s="139"/>
      <c r="CI115" s="139"/>
      <c r="CJ115" s="139"/>
      <c r="CK115" s="139"/>
      <c r="CL115" s="139"/>
      <c r="CM115" s="139"/>
      <c r="CN115" s="139"/>
      <c r="CO115" s="139"/>
      <c r="CP115" s="139"/>
      <c r="CQ115" s="139"/>
      <c r="CR115" s="139"/>
      <c r="CS115" s="139"/>
      <c r="CT115" s="139"/>
      <c r="CU115" s="139"/>
      <c r="CV115" s="139"/>
      <c r="CW115" s="139"/>
      <c r="CX115" s="139"/>
      <c r="CY115" s="139"/>
      <c r="CZ115" s="139"/>
    </row>
    <row x14ac:dyDescent="0.25" r="116" customHeight="1" ht="41.65">
      <c r="A116" s="1"/>
      <c r="B116" s="169"/>
      <c r="C116" s="1"/>
      <c r="D116" s="169"/>
      <c r="E116" s="7"/>
      <c r="F116" s="168"/>
      <c r="G116" s="168"/>
      <c r="H116" s="170"/>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39"/>
      <c r="AX116" s="139"/>
      <c r="AY116" s="139"/>
      <c r="AZ116" s="139"/>
      <c r="BA116" s="139"/>
      <c r="BB116" s="139"/>
      <c r="BC116" s="139"/>
      <c r="BD116" s="139"/>
      <c r="BE116" s="139"/>
      <c r="BF116" s="139"/>
      <c r="BG116" s="139"/>
      <c r="BH116" s="139"/>
      <c r="BI116" s="139"/>
      <c r="BJ116" s="139"/>
      <c r="BK116" s="139"/>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row>
    <row x14ac:dyDescent="0.25" r="117" customHeight="1" ht="41.65">
      <c r="A117" s="1"/>
      <c r="B117" s="169"/>
      <c r="C117" s="1"/>
      <c r="D117" s="169"/>
      <c r="E117" s="7"/>
      <c r="F117" s="168"/>
      <c r="G117" s="168"/>
      <c r="H117" s="170"/>
      <c r="I117" s="1"/>
      <c r="J117" s="1"/>
      <c r="K117" s="1"/>
      <c r="L117" s="1"/>
      <c r="M117" s="1"/>
      <c r="N117" s="139"/>
      <c r="O117" s="139"/>
      <c r="P117" s="139"/>
      <c r="Q117" s="139"/>
      <c r="R117" s="139"/>
      <c r="S117" s="139"/>
      <c r="T117" s="139"/>
      <c r="U117" s="139"/>
      <c r="V117" s="139"/>
      <c r="W117" s="139"/>
      <c r="X117" s="139"/>
      <c r="Y117" s="139"/>
      <c r="Z117" s="139"/>
      <c r="AA117" s="139"/>
      <c r="AB117" s="139"/>
      <c r="AC117" s="139"/>
      <c r="AD117" s="139"/>
      <c r="AE117" s="139"/>
      <c r="AF117" s="139"/>
      <c r="AG117" s="139"/>
      <c r="AH117" s="139"/>
      <c r="AI117" s="139"/>
      <c r="AJ117" s="139"/>
      <c r="AK117" s="139"/>
      <c r="AL117" s="139"/>
      <c r="AM117" s="139"/>
      <c r="AN117" s="139"/>
      <c r="AO117" s="139"/>
      <c r="AP117" s="139"/>
      <c r="AQ117" s="139"/>
      <c r="AR117" s="139"/>
      <c r="AS117" s="139"/>
      <c r="AT117" s="139"/>
      <c r="AU117" s="139"/>
      <c r="AV117" s="139"/>
      <c r="AW117" s="139"/>
      <c r="AX117" s="139"/>
      <c r="AY117" s="139"/>
      <c r="AZ117" s="139"/>
      <c r="BA117" s="139"/>
      <c r="BB117" s="139"/>
      <c r="BC117" s="139"/>
      <c r="BD117" s="139"/>
      <c r="BE117" s="139"/>
      <c r="BF117" s="139"/>
      <c r="BG117" s="139"/>
      <c r="BH117" s="139"/>
      <c r="BI117" s="139"/>
      <c r="BJ117" s="139"/>
      <c r="BK117" s="139"/>
      <c r="BL117" s="139"/>
      <c r="BM117" s="139"/>
      <c r="BN117" s="1"/>
      <c r="BO117" s="1"/>
      <c r="BP117" s="1"/>
      <c r="BQ117" s="1"/>
      <c r="BR117" s="1"/>
      <c r="BS117" s="139"/>
      <c r="BT117" s="139"/>
      <c r="BU117" s="139"/>
      <c r="BV117" s="139"/>
      <c r="BW117" s="139"/>
      <c r="BX117" s="139"/>
      <c r="BY117" s="139"/>
      <c r="BZ117" s="139"/>
      <c r="CA117" s="139"/>
      <c r="CB117" s="139"/>
      <c r="CC117" s="139"/>
      <c r="CD117" s="139"/>
      <c r="CE117" s="139"/>
      <c r="CF117" s="139"/>
      <c r="CG117" s="139"/>
      <c r="CH117" s="139"/>
      <c r="CI117" s="139"/>
      <c r="CJ117" s="139"/>
      <c r="CK117" s="139"/>
      <c r="CL117" s="139"/>
      <c r="CM117" s="139"/>
      <c r="CN117" s="139"/>
      <c r="CO117" s="139"/>
      <c r="CP117" s="139"/>
      <c r="CQ117" s="139"/>
      <c r="CR117" s="139"/>
      <c r="CS117" s="139"/>
      <c r="CT117" s="139"/>
      <c r="CU117" s="139"/>
      <c r="CV117" s="139"/>
      <c r="CW117" s="139"/>
      <c r="CX117" s="139"/>
      <c r="CY117" s="139"/>
      <c r="CZ117" s="139"/>
    </row>
    <row x14ac:dyDescent="0.25" r="118" customHeight="1" ht="41.65">
      <c r="A118" s="1"/>
      <c r="B118" s="169"/>
      <c r="C118" s="1"/>
      <c r="D118" s="169"/>
      <c r="E118" s="7"/>
      <c r="F118" s="168"/>
      <c r="G118" s="168"/>
      <c r="H118" s="170"/>
      <c r="I118" s="1"/>
      <c r="J118" s="1"/>
      <c r="K118" s="1"/>
      <c r="L118" s="1"/>
      <c r="M118" s="1"/>
      <c r="N118" s="193"/>
      <c r="O118" s="193"/>
      <c r="P118" s="193"/>
      <c r="Q118" s="193"/>
      <c r="R118" s="193"/>
      <c r="S118" s="193"/>
      <c r="T118" s="193"/>
      <c r="U118" s="193"/>
      <c r="V118" s="193"/>
      <c r="W118" s="193"/>
      <c r="X118" s="193"/>
      <c r="Y118" s="193"/>
      <c r="Z118" s="193"/>
      <c r="AA118" s="193"/>
      <c r="AB118" s="193"/>
      <c r="AC118" s="193"/>
      <c r="AD118" s="193"/>
      <c r="AE118" s="193"/>
      <c r="AF118" s="193"/>
      <c r="AG118" s="193"/>
      <c r="AH118" s="193"/>
      <c r="AI118" s="193"/>
      <c r="AJ118" s="193"/>
      <c r="AK118" s="193"/>
      <c r="AL118" s="193"/>
      <c r="AM118" s="193"/>
      <c r="AN118" s="193"/>
      <c r="AO118" s="193"/>
      <c r="AP118" s="193"/>
      <c r="AQ118" s="193"/>
      <c r="AR118" s="193"/>
      <c r="AS118" s="193"/>
      <c r="AT118" s="193"/>
      <c r="AU118" s="193"/>
      <c r="AV118" s="193"/>
      <c r="AW118" s="244"/>
      <c r="AX118" s="244"/>
      <c r="AY118" s="244"/>
      <c r="AZ118" s="244"/>
      <c r="BA118" s="244"/>
      <c r="BB118" s="244"/>
      <c r="BC118" s="244"/>
      <c r="BD118" s="244"/>
      <c r="BE118" s="244"/>
      <c r="BF118" s="244"/>
      <c r="BG118" s="244"/>
      <c r="BH118" s="244"/>
      <c r="BI118" s="244"/>
      <c r="BJ118" s="244"/>
      <c r="BK118" s="244"/>
      <c r="BL118" s="193"/>
      <c r="BM118" s="193"/>
      <c r="BN118" s="193"/>
      <c r="BO118" s="193"/>
      <c r="BP118" s="193"/>
      <c r="BQ118" s="193"/>
      <c r="BR118" s="193"/>
      <c r="BS118" s="193"/>
      <c r="BT118" s="193"/>
      <c r="BU118" s="193"/>
      <c r="BV118" s="193"/>
      <c r="BW118" s="193"/>
      <c r="BX118" s="193"/>
      <c r="BY118" s="193"/>
      <c r="BZ118" s="193"/>
      <c r="CA118" s="193"/>
      <c r="CB118" s="193"/>
      <c r="CC118" s="193"/>
      <c r="CD118" s="193"/>
      <c r="CE118" s="193"/>
      <c r="CF118" s="193"/>
      <c r="CG118" s="193"/>
      <c r="CH118" s="193"/>
      <c r="CI118" s="193"/>
      <c r="CJ118" s="193"/>
      <c r="CK118" s="193"/>
      <c r="CL118" s="193"/>
      <c r="CM118" s="193"/>
      <c r="CN118" s="193"/>
      <c r="CO118" s="193"/>
      <c r="CP118" s="193"/>
      <c r="CQ118" s="193"/>
      <c r="CR118" s="193"/>
      <c r="CS118" s="193"/>
      <c r="CT118" s="193"/>
      <c r="CU118" s="193"/>
      <c r="CV118" s="193"/>
      <c r="CW118" s="193"/>
      <c r="CX118" s="193"/>
      <c r="CY118" s="193"/>
      <c r="CZ118" s="193"/>
    </row>
    <row x14ac:dyDescent="0.25" r="119" customHeight="1" ht="41.65">
      <c r="A119" s="1"/>
      <c r="B119" s="169"/>
      <c r="C119" s="1"/>
      <c r="D119" s="169"/>
      <c r="E119" s="484"/>
      <c r="F119" s="666"/>
      <c r="G119" s="666"/>
      <c r="H119" s="483"/>
      <c r="I119" s="946"/>
      <c r="J119" s="244"/>
      <c r="K119" s="244"/>
      <c r="L119" s="244"/>
      <c r="M119" s="244"/>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93"/>
      <c r="BO119" s="193"/>
      <c r="BP119" s="193"/>
      <c r="BQ119" s="193"/>
      <c r="BR119" s="193"/>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row>
    <row x14ac:dyDescent="0.25" r="120" customHeight="1" ht="18.75">
      <c r="A120" s="1"/>
      <c r="B120" s="169"/>
      <c r="C120" s="1"/>
      <c r="D120" s="169"/>
      <c r="E120" s="484"/>
      <c r="F120" s="168"/>
      <c r="G120" s="168"/>
      <c r="H120" s="489"/>
      <c r="I120" s="488"/>
      <c r="J120" s="488"/>
      <c r="K120" s="488"/>
      <c r="L120" s="488"/>
      <c r="M120" s="488"/>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row>
    <row x14ac:dyDescent="0.25" r="121" customHeight="1" ht="18.75">
      <c r="A121" s="1"/>
      <c r="B121" s="169"/>
      <c r="C121" s="1"/>
      <c r="D121" s="169"/>
      <c r="E121" s="484"/>
      <c r="F121" s="168"/>
      <c r="G121" s="168"/>
      <c r="H121" s="489"/>
      <c r="I121" s="488"/>
      <c r="J121" s="171"/>
      <c r="K121" s="488"/>
      <c r="L121" s="488"/>
      <c r="M121" s="488"/>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row>
    <row x14ac:dyDescent="0.25" r="122" customHeight="1" ht="18.75">
      <c r="A122" s="1"/>
      <c r="B122" s="169"/>
      <c r="C122" s="1"/>
      <c r="D122" s="169"/>
      <c r="E122" s="484"/>
      <c r="F122" s="168"/>
      <c r="G122" s="168"/>
      <c r="H122" s="489"/>
      <c r="I122" s="488"/>
      <c r="J122" s="488"/>
      <c r="K122" s="488"/>
      <c r="L122" s="488"/>
      <c r="M122" s="488"/>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row>
    <row x14ac:dyDescent="0.25" r="123" customHeight="1" ht="18.75">
      <c r="A123" s="1"/>
      <c r="B123" s="169"/>
      <c r="C123" s="1"/>
      <c r="D123" s="169"/>
      <c r="E123" s="484"/>
      <c r="F123" s="168"/>
      <c r="G123" s="168"/>
      <c r="H123" s="489"/>
      <c r="I123" s="488"/>
      <c r="J123" s="488"/>
      <c r="K123" s="488"/>
      <c r="L123" s="488"/>
      <c r="M123" s="488"/>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row>
    <row x14ac:dyDescent="0.25" r="124" customHeight="1" ht="18.75">
      <c r="A124" s="1"/>
      <c r="B124" s="169"/>
      <c r="C124" s="1"/>
      <c r="D124" s="169"/>
      <c r="E124" s="484"/>
      <c r="F124" s="168"/>
      <c r="G124" s="168"/>
      <c r="H124" s="489"/>
      <c r="I124" s="488"/>
      <c r="J124" s="488"/>
      <c r="K124" s="488"/>
      <c r="L124" s="488"/>
      <c r="M124" s="488"/>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row>
    <row x14ac:dyDescent="0.25" r="125" customHeight="1" ht="18.75">
      <c r="A125" s="1"/>
      <c r="B125" s="169"/>
      <c r="C125" s="1"/>
      <c r="D125" s="169"/>
      <c r="E125" s="484"/>
      <c r="F125" s="168"/>
      <c r="G125" s="168"/>
      <c r="H125" s="489"/>
      <c r="I125" s="488"/>
      <c r="J125" s="488"/>
      <c r="K125" s="488"/>
      <c r="L125" s="488"/>
      <c r="M125" s="488"/>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row>
    <row x14ac:dyDescent="0.25" r="126" customHeight="1" ht="18.75">
      <c r="A126" s="1"/>
      <c r="B126" s="169"/>
      <c r="C126" s="1"/>
      <c r="D126" s="169"/>
      <c r="E126" s="484"/>
      <c r="F126" s="168"/>
      <c r="G126" s="168"/>
      <c r="H126" s="489"/>
      <c r="I126" s="488"/>
      <c r="J126" s="488"/>
      <c r="K126" s="488"/>
      <c r="L126" s="488"/>
      <c r="M126" s="488"/>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row>
    <row x14ac:dyDescent="0.25" r="127" customHeight="1" ht="18.75">
      <c r="A127" s="1"/>
      <c r="B127" s="169"/>
      <c r="C127" s="1"/>
      <c r="D127" s="169"/>
      <c r="E127" s="484"/>
      <c r="F127" s="168"/>
      <c r="G127" s="168"/>
      <c r="H127" s="489"/>
      <c r="I127" s="488"/>
      <c r="J127" s="488"/>
      <c r="K127" s="488"/>
      <c r="L127" s="488"/>
      <c r="M127" s="488"/>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row>
    <row x14ac:dyDescent="0.25" r="128" customHeight="1" ht="18.75">
      <c r="A128" s="1"/>
      <c r="B128" s="169"/>
      <c r="C128" s="1"/>
      <c r="D128" s="169"/>
      <c r="E128" s="484"/>
      <c r="F128" s="168"/>
      <c r="G128" s="168"/>
      <c r="H128" s="489"/>
      <c r="I128" s="488"/>
      <c r="J128" s="488"/>
      <c r="K128" s="488"/>
      <c r="L128" s="488"/>
      <c r="M128" s="488"/>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row>
    <row x14ac:dyDescent="0.25" r="129" customHeight="1" ht="18.75">
      <c r="A129" s="1"/>
      <c r="B129" s="169"/>
      <c r="C129" s="1"/>
      <c r="D129" s="169"/>
      <c r="E129" s="484"/>
      <c r="F129" s="168"/>
      <c r="G129" s="168"/>
      <c r="H129" s="489"/>
      <c r="I129" s="488"/>
      <c r="J129" s="488"/>
      <c r="K129" s="488"/>
      <c r="L129" s="488"/>
      <c r="M129" s="488"/>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row>
    <row x14ac:dyDescent="0.25" r="130" customHeight="1" ht="18.75">
      <c r="A130" s="1"/>
      <c r="B130" s="169"/>
      <c r="C130" s="1"/>
      <c r="D130" s="169"/>
      <c r="E130" s="484"/>
      <c r="F130" s="168"/>
      <c r="G130" s="168"/>
      <c r="H130" s="489"/>
      <c r="I130" s="488"/>
      <c r="J130" s="488"/>
      <c r="K130" s="488"/>
      <c r="L130" s="488"/>
      <c r="M130" s="488"/>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row>
    <row x14ac:dyDescent="0.25" r="131" customHeight="1" ht="18.75">
      <c r="A131" s="1"/>
      <c r="B131" s="169"/>
      <c r="C131" s="1"/>
      <c r="D131" s="169"/>
      <c r="E131" s="484"/>
      <c r="F131" s="168"/>
      <c r="G131" s="168"/>
      <c r="H131" s="489"/>
      <c r="I131" s="488"/>
      <c r="J131" s="488"/>
      <c r="K131" s="488"/>
      <c r="L131" s="488"/>
      <c r="M131" s="488"/>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row>
    <row x14ac:dyDescent="0.25" r="132" customHeight="1" ht="18.75">
      <c r="A132" s="1"/>
      <c r="B132" s="169"/>
      <c r="C132" s="1"/>
      <c r="D132" s="169"/>
      <c r="E132" s="484"/>
      <c r="F132" s="168"/>
      <c r="G132" s="168"/>
      <c r="H132" s="489"/>
      <c r="I132" s="488"/>
      <c r="J132" s="488"/>
      <c r="K132" s="488"/>
      <c r="L132" s="488"/>
      <c r="M132" s="488"/>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row>
    <row x14ac:dyDescent="0.25" r="133" customHeight="1" ht="18.75">
      <c r="A133" s="1"/>
      <c r="B133" s="169"/>
      <c r="C133" s="1"/>
      <c r="D133" s="169"/>
      <c r="E133" s="484"/>
      <c r="F133" s="168"/>
      <c r="G133" s="168"/>
      <c r="H133" s="489"/>
      <c r="I133" s="488"/>
      <c r="J133" s="488"/>
      <c r="K133" s="488"/>
      <c r="L133" s="488"/>
      <c r="M133" s="488"/>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row>
    <row x14ac:dyDescent="0.25" r="134" customHeight="1" ht="18.75">
      <c r="A134" s="1"/>
      <c r="B134" s="169"/>
      <c r="C134" s="1"/>
      <c r="D134" s="169"/>
      <c r="E134" s="484"/>
      <c r="F134" s="168"/>
      <c r="G134" s="168"/>
      <c r="H134" s="489"/>
      <c r="I134" s="488"/>
      <c r="J134" s="488"/>
      <c r="K134" s="488"/>
      <c r="L134" s="488"/>
      <c r="M134" s="488"/>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row>
    <row x14ac:dyDescent="0.25" r="135" customHeight="1" ht="18.75">
      <c r="A135" s="1"/>
      <c r="B135" s="169"/>
      <c r="C135" s="1"/>
      <c r="D135" s="169"/>
      <c r="E135" s="484"/>
      <c r="F135" s="168"/>
      <c r="G135" s="168"/>
      <c r="H135" s="489"/>
      <c r="I135" s="488"/>
      <c r="J135" s="488"/>
      <c r="K135" s="488"/>
      <c r="L135" s="488"/>
      <c r="M135" s="488"/>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row>
    <row x14ac:dyDescent="0.25" r="136" customHeight="1" ht="18.75">
      <c r="A136" s="1"/>
      <c r="B136" s="169"/>
      <c r="C136" s="1"/>
      <c r="D136" s="169"/>
      <c r="E136" s="484"/>
      <c r="F136" s="168"/>
      <c r="G136" s="168"/>
      <c r="H136" s="489"/>
      <c r="I136" s="488"/>
      <c r="J136" s="488"/>
      <c r="K136" s="488"/>
      <c r="L136" s="488"/>
      <c r="M136" s="488"/>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row>
    <row x14ac:dyDescent="0.25" r="137" customHeight="1" ht="18.75">
      <c r="A137" s="1"/>
      <c r="B137" s="169"/>
      <c r="C137" s="1"/>
      <c r="D137" s="169"/>
      <c r="E137" s="484"/>
      <c r="F137" s="168"/>
      <c r="G137" s="168"/>
      <c r="H137" s="489"/>
      <c r="I137" s="488"/>
      <c r="J137" s="488"/>
      <c r="K137" s="488"/>
      <c r="L137" s="488"/>
      <c r="M137" s="488"/>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row>
    <row x14ac:dyDescent="0.25" r="138" customHeight="1" ht="18.75">
      <c r="A138" s="1"/>
      <c r="B138" s="169"/>
      <c r="C138" s="1"/>
      <c r="D138" s="169"/>
      <c r="E138" s="484"/>
      <c r="F138" s="168"/>
      <c r="G138" s="168"/>
      <c r="H138" s="489"/>
      <c r="I138" s="488"/>
      <c r="J138" s="171"/>
      <c r="K138" s="488"/>
      <c r="L138" s="488"/>
      <c r="M138" s="488"/>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row>
    <row x14ac:dyDescent="0.25" r="139" customHeight="1" ht="18.75">
      <c r="A139" s="1"/>
      <c r="B139" s="169"/>
      <c r="C139" s="1"/>
      <c r="D139" s="169"/>
      <c r="E139" s="484"/>
      <c r="F139" s="168"/>
      <c r="G139" s="168"/>
      <c r="H139" s="489"/>
      <c r="I139" s="488"/>
      <c r="J139" s="488"/>
      <c r="K139" s="488"/>
      <c r="L139" s="488"/>
      <c r="M139" s="488"/>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row>
    <row x14ac:dyDescent="0.25" r="140" customHeight="1" ht="18.75">
      <c r="A140" s="1"/>
      <c r="B140" s="169"/>
      <c r="C140" s="1"/>
      <c r="D140" s="169"/>
      <c r="E140" s="484"/>
      <c r="F140" s="168"/>
      <c r="G140" s="168"/>
      <c r="H140" s="489"/>
      <c r="I140" s="488"/>
      <c r="J140" s="488"/>
      <c r="K140" s="488"/>
      <c r="L140" s="488"/>
      <c r="M140" s="488"/>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row>
    <row x14ac:dyDescent="0.25" r="141" customHeight="1" ht="18.75">
      <c r="A141" s="1"/>
      <c r="B141" s="169"/>
      <c r="C141" s="1"/>
      <c r="D141" s="169"/>
      <c r="E141" s="484"/>
      <c r="F141" s="168"/>
      <c r="G141" s="168"/>
      <c r="H141" s="489"/>
      <c r="I141" s="488"/>
      <c r="J141" s="488"/>
      <c r="K141" s="488"/>
      <c r="L141" s="488"/>
      <c r="M141" s="488"/>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row>
    <row x14ac:dyDescent="0.25" r="142" customHeight="1" ht="18.75">
      <c r="A142" s="1"/>
      <c r="B142" s="169"/>
      <c r="C142" s="1"/>
      <c r="D142" s="169"/>
      <c r="E142" s="484"/>
      <c r="F142" s="168"/>
      <c r="G142" s="168"/>
      <c r="H142" s="489"/>
      <c r="I142" s="488"/>
      <c r="J142" s="488"/>
      <c r="K142" s="488"/>
      <c r="L142" s="488"/>
      <c r="M142" s="488"/>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row>
    <row x14ac:dyDescent="0.25" r="143" customHeight="1" ht="18.75">
      <c r="A143" s="1"/>
      <c r="B143" s="169"/>
      <c r="C143" s="1"/>
      <c r="D143" s="169"/>
      <c r="E143" s="484"/>
      <c r="F143" s="168"/>
      <c r="G143" s="168"/>
      <c r="H143" s="489"/>
      <c r="I143" s="488"/>
      <c r="J143" s="488"/>
      <c r="K143" s="488"/>
      <c r="L143" s="488"/>
      <c r="M143" s="488"/>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row>
    <row x14ac:dyDescent="0.25" r="144" customHeight="1" ht="18.75">
      <c r="A144" s="1"/>
      <c r="B144" s="169"/>
      <c r="C144" s="1"/>
      <c r="D144" s="169"/>
      <c r="E144" s="484"/>
      <c r="F144" s="168"/>
      <c r="G144" s="168"/>
      <c r="H144" s="489"/>
      <c r="I144" s="488"/>
      <c r="J144" s="488"/>
      <c r="K144" s="488"/>
      <c r="L144" s="488"/>
      <c r="M144" s="488"/>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row>
    <row x14ac:dyDescent="0.25" r="145" customHeight="1" ht="18.75">
      <c r="A145" s="1"/>
      <c r="B145" s="169"/>
      <c r="C145" s="1"/>
      <c r="D145" s="169"/>
      <c r="E145" s="484"/>
      <c r="F145" s="168"/>
      <c r="G145" s="168"/>
      <c r="H145" s="489"/>
      <c r="I145" s="488"/>
      <c r="J145" s="488"/>
      <c r="K145" s="488"/>
      <c r="L145" s="488"/>
      <c r="M145" s="488"/>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row>
    <row x14ac:dyDescent="0.25" r="146" customHeight="1" ht="18.75">
      <c r="A146" s="1"/>
      <c r="B146" s="169"/>
      <c r="C146" s="1"/>
      <c r="D146" s="169"/>
      <c r="E146" s="484"/>
      <c r="F146" s="168"/>
      <c r="G146" s="168"/>
      <c r="H146" s="489"/>
      <c r="I146" s="488"/>
      <c r="J146" s="488"/>
      <c r="K146" s="488"/>
      <c r="L146" s="488"/>
      <c r="M146" s="488"/>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row>
    <row x14ac:dyDescent="0.25" r="147" customHeight="1" ht="18.75">
      <c r="A147" s="1"/>
      <c r="B147" s="169"/>
      <c r="C147" s="1"/>
      <c r="D147" s="169"/>
      <c r="E147" s="484"/>
      <c r="F147" s="168"/>
      <c r="G147" s="168"/>
      <c r="H147" s="489"/>
      <c r="I147" s="488"/>
      <c r="J147" s="488"/>
      <c r="K147" s="488"/>
      <c r="L147" s="488"/>
      <c r="M147" s="488"/>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row>
    <row x14ac:dyDescent="0.25" r="148" customHeight="1" ht="18.75">
      <c r="A148" s="1"/>
      <c r="B148" s="169"/>
      <c r="C148" s="1"/>
      <c r="D148" s="169"/>
      <c r="E148" s="484"/>
      <c r="F148" s="168"/>
      <c r="G148" s="168"/>
      <c r="H148" s="489"/>
      <c r="I148" s="488"/>
      <c r="J148" s="488"/>
      <c r="K148" s="488"/>
      <c r="L148" s="488"/>
      <c r="M148" s="488"/>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row>
    <row x14ac:dyDescent="0.25" r="149" customHeight="1" ht="18.75">
      <c r="A149" s="1"/>
      <c r="B149" s="169"/>
      <c r="C149" s="1"/>
      <c r="D149" s="169"/>
      <c r="E149" s="484"/>
      <c r="F149" s="168"/>
      <c r="G149" s="168"/>
      <c r="H149" s="489"/>
      <c r="I149" s="488"/>
      <c r="J149" s="488"/>
      <c r="K149" s="488"/>
      <c r="L149" s="488"/>
      <c r="M149" s="488"/>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row>
    <row x14ac:dyDescent="0.25" r="150" customHeight="1" ht="18.75">
      <c r="A150" s="1"/>
      <c r="B150" s="169"/>
      <c r="C150" s="1"/>
      <c r="D150" s="169"/>
      <c r="E150" s="484"/>
      <c r="F150" s="168"/>
      <c r="G150" s="168"/>
      <c r="H150" s="489"/>
      <c r="I150" s="488"/>
      <c r="J150" s="488"/>
      <c r="K150" s="488"/>
      <c r="L150" s="488"/>
      <c r="M150" s="488"/>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row>
    <row x14ac:dyDescent="0.25" r="151" customHeight="1" ht="18.75">
      <c r="A151" s="1"/>
      <c r="B151" s="169"/>
      <c r="C151" s="1"/>
      <c r="D151" s="169"/>
      <c r="E151" s="484"/>
      <c r="F151" s="168"/>
      <c r="G151" s="168"/>
      <c r="H151" s="489"/>
      <c r="I151" s="488"/>
      <c r="J151" s="488"/>
      <c r="K151" s="488"/>
      <c r="L151" s="488"/>
      <c r="M151" s="488"/>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row>
    <row x14ac:dyDescent="0.25" r="152" customHeight="1" ht="18.75">
      <c r="A152" s="1"/>
      <c r="B152" s="169"/>
      <c r="C152" s="1"/>
      <c r="D152" s="169"/>
      <c r="E152" s="484"/>
      <c r="F152" s="168"/>
      <c r="G152" s="168"/>
      <c r="H152" s="489"/>
      <c r="I152" s="488"/>
      <c r="J152" s="488"/>
      <c r="K152" s="488"/>
      <c r="L152" s="488"/>
      <c r="M152" s="488"/>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row>
    <row x14ac:dyDescent="0.25" r="153" customHeight="1" ht="18.75">
      <c r="A153" s="1"/>
      <c r="B153" s="169"/>
      <c r="C153" s="1"/>
      <c r="D153" s="169"/>
      <c r="E153" s="484"/>
      <c r="F153" s="168"/>
      <c r="G153" s="168"/>
      <c r="H153" s="489"/>
      <c r="I153" s="488"/>
      <c r="J153" s="171" t="s">
        <v>389</v>
      </c>
      <c r="K153" s="488"/>
      <c r="L153" s="488"/>
      <c r="M153" s="488"/>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row>
    <row x14ac:dyDescent="0.25" r="154" customHeight="1" ht="18.75">
      <c r="A154" s="1"/>
      <c r="B154" s="169"/>
      <c r="C154" s="1"/>
      <c r="D154" s="169"/>
      <c r="E154" s="484"/>
      <c r="F154" s="168"/>
      <c r="G154" s="168"/>
      <c r="H154" s="489"/>
      <c r="I154" s="488"/>
      <c r="J154" s="488"/>
      <c r="K154" s="488"/>
      <c r="L154" s="488"/>
      <c r="M154" s="488"/>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row>
    <row x14ac:dyDescent="0.25" r="155" customHeight="1" ht="18.75">
      <c r="A155" s="1"/>
      <c r="B155" s="169"/>
      <c r="C155" s="1"/>
      <c r="D155" s="169"/>
      <c r="E155" s="484"/>
      <c r="F155" s="168"/>
      <c r="G155" s="168"/>
      <c r="H155" s="489"/>
      <c r="I155" s="488"/>
      <c r="J155" s="488"/>
      <c r="K155" s="488"/>
      <c r="L155" s="488"/>
      <c r="M155" s="488"/>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row>
    <row x14ac:dyDescent="0.25" r="156" customHeight="1" ht="18.75">
      <c r="A156" s="1"/>
      <c r="B156" s="169"/>
      <c r="C156" s="1"/>
      <c r="D156" s="169"/>
      <c r="E156" s="484"/>
      <c r="F156" s="168"/>
      <c r="G156" s="168"/>
      <c r="H156" s="489"/>
      <c r="I156" s="488"/>
      <c r="J156" s="488"/>
      <c r="K156" s="488"/>
      <c r="L156" s="488"/>
      <c r="M156" s="488"/>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row>
    <row x14ac:dyDescent="0.25" r="157" customHeight="1" ht="18.75">
      <c r="A157" s="1"/>
      <c r="B157" s="169"/>
      <c r="C157" s="1"/>
      <c r="D157" s="169"/>
      <c r="E157" s="484"/>
      <c r="F157" s="168"/>
      <c r="G157" s="168"/>
      <c r="H157" s="489"/>
      <c r="I157" s="488"/>
      <c r="J157" s="488"/>
      <c r="K157" s="488"/>
      <c r="L157" s="488"/>
      <c r="M157" s="488"/>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row>
    <row x14ac:dyDescent="0.25" r="158" customHeight="1" ht="18.75">
      <c r="A158" s="1"/>
      <c r="B158" s="169"/>
      <c r="C158" s="1"/>
      <c r="D158" s="169"/>
      <c r="E158" s="484"/>
      <c r="F158" s="168"/>
      <c r="G158" s="168"/>
      <c r="H158" s="489"/>
      <c r="I158" s="488"/>
      <c r="J158" s="488"/>
      <c r="K158" s="488"/>
      <c r="L158" s="488"/>
      <c r="M158" s="488"/>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row>
    <row x14ac:dyDescent="0.25" r="159" customHeight="1" ht="18.75">
      <c r="A159" s="1"/>
      <c r="B159" s="169"/>
      <c r="C159" s="1"/>
      <c r="D159" s="169"/>
      <c r="E159" s="484"/>
      <c r="F159" s="168"/>
      <c r="G159" s="168"/>
      <c r="H159" s="489"/>
      <c r="I159" s="488"/>
      <c r="J159" s="488"/>
      <c r="K159" s="488"/>
      <c r="L159" s="488"/>
      <c r="M159" s="488"/>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row>
    <row x14ac:dyDescent="0.25" r="160" customHeight="1" ht="18.75">
      <c r="A160" s="1"/>
      <c r="B160" s="169"/>
      <c r="C160" s="1"/>
      <c r="D160" s="169"/>
      <c r="E160" s="484"/>
      <c r="F160" s="168"/>
      <c r="G160" s="168"/>
      <c r="H160" s="489"/>
      <c r="I160" s="488"/>
      <c r="J160" s="488"/>
      <c r="K160" s="488"/>
      <c r="L160" s="488"/>
      <c r="M160" s="488"/>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row>
    <row x14ac:dyDescent="0.25" r="161" customHeight="1" ht="18.75">
      <c r="A161" s="1"/>
      <c r="B161" s="169"/>
      <c r="C161" s="1"/>
      <c r="D161" s="169"/>
      <c r="E161" s="484"/>
      <c r="F161" s="168"/>
      <c r="G161" s="168"/>
      <c r="H161" s="489"/>
      <c r="I161" s="488"/>
      <c r="J161" s="488"/>
      <c r="K161" s="488"/>
      <c r="L161" s="488"/>
      <c r="M161" s="488"/>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row>
    <row x14ac:dyDescent="0.25" r="162" customHeight="1" ht="18.75">
      <c r="A162" s="1"/>
      <c r="B162" s="169"/>
      <c r="C162" s="1"/>
      <c r="D162" s="169"/>
      <c r="E162" s="484"/>
      <c r="F162" s="168"/>
      <c r="G162" s="168"/>
      <c r="H162" s="489"/>
      <c r="I162" s="488"/>
      <c r="J162" s="488"/>
      <c r="K162" s="488"/>
      <c r="L162" s="488"/>
      <c r="M162" s="488"/>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row>
    <row x14ac:dyDescent="0.25" r="163" customHeight="1" ht="18.75">
      <c r="A163" s="1"/>
      <c r="B163" s="169"/>
      <c r="C163" s="1"/>
      <c r="D163" s="169"/>
      <c r="E163" s="484"/>
      <c r="F163" s="491"/>
      <c r="G163" s="491"/>
      <c r="H163" s="489"/>
      <c r="I163" s="488"/>
      <c r="J163" s="488"/>
      <c r="K163" s="488"/>
      <c r="L163" s="488"/>
      <c r="M163" s="488"/>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row>
    <row x14ac:dyDescent="0.25" r="164" customHeight="1" ht="18.75">
      <c r="A164" s="1"/>
      <c r="B164" s="169"/>
      <c r="C164" s="1"/>
      <c r="D164" s="169"/>
      <c r="E164" s="484"/>
      <c r="F164" s="491"/>
      <c r="G164" s="491"/>
      <c r="H164" s="489"/>
      <c r="I164" s="488"/>
      <c r="J164" s="488"/>
      <c r="K164" s="488"/>
      <c r="L164" s="488"/>
      <c r="M164" s="488"/>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row>
    <row x14ac:dyDescent="0.25" r="165" customHeight="1" ht="18.75">
      <c r="A165" s="1"/>
      <c r="B165" s="169"/>
      <c r="C165" s="1"/>
      <c r="D165" s="169"/>
      <c r="E165" s="484"/>
      <c r="F165" s="491"/>
      <c r="G165" s="491"/>
      <c r="H165" s="489"/>
      <c r="I165" s="488"/>
      <c r="J165" s="488"/>
      <c r="K165" s="488"/>
      <c r="L165" s="488"/>
      <c r="M165" s="488"/>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row>
    <row x14ac:dyDescent="0.25" r="166" customHeight="1" ht="18.75">
      <c r="A166" s="1"/>
      <c r="B166" s="169"/>
      <c r="C166" s="1"/>
      <c r="D166" s="169"/>
      <c r="E166" s="484"/>
      <c r="F166" s="491"/>
      <c r="G166" s="491"/>
      <c r="H166" s="489"/>
      <c r="I166" s="488"/>
      <c r="J166" s="488"/>
      <c r="K166" s="488"/>
      <c r="L166" s="488"/>
      <c r="M166" s="488"/>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row>
    <row x14ac:dyDescent="0.25" r="167" customHeight="1" ht="18.75">
      <c r="A167" s="1"/>
      <c r="B167" s="169"/>
      <c r="C167" s="1"/>
      <c r="D167" s="169"/>
      <c r="E167" s="484"/>
      <c r="F167" s="666"/>
      <c r="G167" s="666"/>
      <c r="H167" s="483"/>
      <c r="I167" s="244"/>
      <c r="J167" s="244"/>
      <c r="K167" s="244"/>
      <c r="L167" s="244"/>
      <c r="M167" s="244"/>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row>
    <row x14ac:dyDescent="0.25" r="168" customHeight="1" ht="18.75">
      <c r="A168" s="1"/>
      <c r="B168" s="169"/>
      <c r="C168" s="1"/>
      <c r="D168" s="169"/>
      <c r="E168" s="484"/>
      <c r="F168" s="168"/>
      <c r="G168" s="168"/>
      <c r="H168" s="170"/>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row>
    <row x14ac:dyDescent="0.25" r="169" customHeight="1" ht="18.75">
      <c r="A169" s="1"/>
      <c r="B169" s="169"/>
      <c r="C169" s="1"/>
      <c r="D169" s="169"/>
      <c r="E169" s="484"/>
      <c r="F169" s="168"/>
      <c r="G169" s="168"/>
      <c r="H169" s="170"/>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row>
    <row x14ac:dyDescent="0.25" r="170" customHeight="1" ht="18.75">
      <c r="A170" s="1"/>
      <c r="B170" s="169"/>
      <c r="C170" s="1"/>
      <c r="D170" s="169"/>
      <c r="E170" s="484"/>
      <c r="F170" s="168"/>
      <c r="G170" s="168"/>
      <c r="H170" s="170"/>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row>
    <row x14ac:dyDescent="0.25" r="171" customHeight="1" ht="18.75">
      <c r="A171" s="1"/>
      <c r="B171" s="169"/>
      <c r="C171" s="1"/>
      <c r="D171" s="169"/>
      <c r="E171" s="757"/>
      <c r="F171" s="168"/>
      <c r="G171" s="168"/>
      <c r="H171" s="170"/>
      <c r="I171" s="1"/>
      <c r="J171" s="1"/>
      <c r="K171" s="1"/>
      <c r="L171" s="1"/>
      <c r="M171" s="1"/>
      <c r="N171" s="193"/>
      <c r="O171" s="193"/>
      <c r="P171" s="193"/>
      <c r="Q171" s="193"/>
      <c r="R171" s="193"/>
      <c r="S171" s="193"/>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row>
    <row x14ac:dyDescent="0.25" r="172" customHeight="1" ht="18.75">
      <c r="A172" s="1"/>
      <c r="B172" s="169"/>
      <c r="C172" s="1"/>
      <c r="D172" s="169"/>
      <c r="E172" s="484"/>
      <c r="F172" s="168"/>
      <c r="G172" s="168"/>
      <c r="H172" s="170"/>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row>
    <row x14ac:dyDescent="0.25" r="173" customHeight="1" ht="18.75">
      <c r="A173" s="1"/>
      <c r="B173" s="169"/>
      <c r="C173" s="1"/>
      <c r="D173" s="169"/>
      <c r="E173" s="757"/>
      <c r="F173" s="168"/>
      <c r="G173" s="168"/>
      <c r="H173" s="170"/>
      <c r="I173" s="1"/>
      <c r="J173" s="1"/>
      <c r="K173" s="1"/>
      <c r="L173" s="1"/>
      <c r="M173" s="1"/>
      <c r="N173" s="193"/>
      <c r="O173" s="193"/>
      <c r="P173" s="193"/>
      <c r="Q173" s="193"/>
      <c r="R173" s="193"/>
      <c r="S173" s="193"/>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row>
    <row x14ac:dyDescent="0.25" r="174" customHeight="1" ht="18.75">
      <c r="A174" s="1"/>
      <c r="B174" s="169"/>
      <c r="C174" s="1"/>
      <c r="D174" s="169"/>
      <c r="E174" s="484"/>
      <c r="F174" s="168"/>
      <c r="G174" s="168"/>
      <c r="H174" s="170"/>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row>
    <row x14ac:dyDescent="0.25" r="175" customHeight="1" ht="18.75">
      <c r="A175" s="1"/>
      <c r="B175" s="169"/>
      <c r="C175" s="1"/>
      <c r="D175" s="169"/>
      <c r="E175" s="757"/>
      <c r="F175" s="168"/>
      <c r="G175" s="168"/>
      <c r="H175" s="170"/>
      <c r="I175" s="1"/>
      <c r="J175" s="1"/>
      <c r="K175" s="1"/>
      <c r="L175" s="1"/>
      <c r="M175" s="1"/>
      <c r="N175" s="193"/>
      <c r="O175" s="193"/>
      <c r="P175" s="193"/>
      <c r="Q175" s="193"/>
      <c r="R175" s="193"/>
      <c r="S175" s="193"/>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row>
    <row x14ac:dyDescent="0.25" r="176" customHeight="1" ht="18.75">
      <c r="A176" s="1"/>
      <c r="B176" s="169"/>
      <c r="C176" s="1"/>
      <c r="D176" s="169"/>
      <c r="E176" s="484"/>
      <c r="F176" s="168"/>
      <c r="G176" s="168"/>
      <c r="H176" s="170"/>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row>
    <row x14ac:dyDescent="0.25" r="177" customHeight="1" ht="18.75">
      <c r="A177" s="1"/>
      <c r="B177" s="169"/>
      <c r="C177" s="1"/>
      <c r="D177" s="169"/>
      <c r="E177" s="757"/>
      <c r="F177" s="168"/>
      <c r="G177" s="168"/>
      <c r="H177" s="170"/>
      <c r="I177" s="1"/>
      <c r="J177" s="1"/>
      <c r="K177" s="1"/>
      <c r="L177" s="1"/>
      <c r="M177" s="1"/>
      <c r="N177" s="193"/>
      <c r="O177" s="193"/>
      <c r="P177" s="193"/>
      <c r="Q177" s="193"/>
      <c r="R177" s="193"/>
      <c r="S177" s="193"/>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row>
    <row x14ac:dyDescent="0.25" r="178" customHeight="1" ht="18.75">
      <c r="A178" s="1"/>
      <c r="B178" s="169"/>
      <c r="C178" s="1"/>
      <c r="D178" s="169"/>
      <c r="E178" s="484"/>
      <c r="F178" s="168"/>
      <c r="G178" s="168"/>
      <c r="H178" s="170"/>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row>
    <row x14ac:dyDescent="0.25" r="179" customHeight="1" ht="18.75">
      <c r="A179" s="1"/>
      <c r="B179" s="169"/>
      <c r="C179" s="1"/>
      <c r="D179" s="169"/>
      <c r="E179" s="484"/>
      <c r="F179" s="168"/>
      <c r="G179" s="168"/>
      <c r="H179" s="170"/>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row>
    <row x14ac:dyDescent="0.25" r="180" customHeight="1" ht="18.75">
      <c r="A180" s="1"/>
      <c r="B180" s="169"/>
      <c r="C180" s="1"/>
      <c r="D180" s="169"/>
      <c r="E180" s="484"/>
      <c r="F180" s="168"/>
      <c r="G180" s="168"/>
      <c r="H180" s="170"/>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row>
    <row x14ac:dyDescent="0.25" r="181" customHeight="1" ht="18.75">
      <c r="A181" s="1"/>
      <c r="B181" s="169"/>
      <c r="C181" s="1"/>
      <c r="D181" s="169"/>
      <c r="E181" s="7"/>
      <c r="F181" s="168"/>
      <c r="G181" s="168"/>
      <c r="H181" s="170"/>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row>
    <row x14ac:dyDescent="0.25" r="182" customHeight="1" ht="18.75">
      <c r="A182" s="1"/>
      <c r="B182" s="169"/>
      <c r="C182" s="1"/>
      <c r="D182" s="169"/>
      <c r="E182" s="7"/>
      <c r="F182" s="168"/>
      <c r="G182" s="168"/>
      <c r="H182" s="170"/>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row>
    <row x14ac:dyDescent="0.25" r="183" customHeight="1" ht="18.75">
      <c r="A183" s="1"/>
      <c r="B183" s="169"/>
      <c r="C183" s="1"/>
      <c r="D183" s="169"/>
      <c r="E183" s="7"/>
      <c r="F183" s="168"/>
      <c r="G183" s="168"/>
      <c r="H183" s="170"/>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row>
    <row x14ac:dyDescent="0.25" r="184" customHeight="1" ht="18.75">
      <c r="A184" s="1"/>
      <c r="B184" s="169"/>
      <c r="C184" s="1"/>
      <c r="D184" s="169"/>
      <c r="E184" s="7"/>
      <c r="F184" s="168"/>
      <c r="G184" s="168"/>
      <c r="H184" s="170"/>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row>
    <row x14ac:dyDescent="0.25" r="185" customHeight="1" ht="18.75">
      <c r="A185" s="1"/>
      <c r="B185" s="169"/>
      <c r="C185" s="1"/>
      <c r="D185" s="169"/>
      <c r="E185" s="7"/>
      <c r="F185" s="168"/>
      <c r="G185" s="168"/>
      <c r="H185" s="170"/>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row>
    <row x14ac:dyDescent="0.25" r="186" customHeight="1" ht="18.75">
      <c r="A186" s="1"/>
      <c r="B186" s="169"/>
      <c r="C186" s="1"/>
      <c r="D186" s="169"/>
      <c r="E186" s="7"/>
      <c r="F186" s="168"/>
      <c r="G186" s="168"/>
      <c r="H186" s="170"/>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row>
    <row x14ac:dyDescent="0.25" r="187" customHeight="1" ht="18.75">
      <c r="A187" s="1"/>
      <c r="B187" s="169"/>
      <c r="C187" s="1"/>
      <c r="D187" s="169"/>
      <c r="E187" s="7"/>
      <c r="F187" s="168"/>
      <c r="G187" s="168"/>
      <c r="H187" s="170"/>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row>
    <row x14ac:dyDescent="0.25" r="188" customHeight="1" ht="18.75">
      <c r="A188" s="1"/>
      <c r="B188" s="169"/>
      <c r="C188" s="1"/>
      <c r="D188" s="169"/>
      <c r="E188" s="7"/>
      <c r="F188" s="168"/>
      <c r="G188" s="168"/>
      <c r="H188" s="170"/>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row>
    <row x14ac:dyDescent="0.25" r="189" customHeight="1" ht="18.75">
      <c r="A189" s="1"/>
      <c r="B189" s="169"/>
      <c r="C189" s="1"/>
      <c r="D189" s="169"/>
      <c r="E189" s="7"/>
      <c r="F189" s="168"/>
      <c r="G189" s="168"/>
      <c r="H189" s="170"/>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row>
    <row x14ac:dyDescent="0.25" r="190" customHeight="1" ht="18.75">
      <c r="A190" s="1"/>
      <c r="B190" s="169"/>
      <c r="C190" s="1"/>
      <c r="D190" s="169"/>
      <c r="E190" s="7"/>
      <c r="F190" s="168"/>
      <c r="G190" s="168"/>
      <c r="H190" s="170"/>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row>
    <row x14ac:dyDescent="0.25" r="191" customHeight="1" ht="18.75">
      <c r="A191" s="1"/>
      <c r="B191" s="169"/>
      <c r="C191" s="1"/>
      <c r="D191" s="169"/>
      <c r="E191" s="7"/>
      <c r="F191" s="168"/>
      <c r="G191" s="168"/>
      <c r="H191" s="170"/>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row>
    <row x14ac:dyDescent="0.25" r="192" customHeight="1" ht="18.75">
      <c r="A192" s="1"/>
      <c r="B192" s="169"/>
      <c r="C192" s="1"/>
      <c r="D192" s="169"/>
      <c r="E192" s="7"/>
      <c r="F192" s="168"/>
      <c r="G192" s="168"/>
      <c r="H192" s="170"/>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row>
    <row x14ac:dyDescent="0.25" r="193" customHeight="1" ht="18.75">
      <c r="A193" s="1"/>
      <c r="B193" s="169"/>
      <c r="C193" s="1"/>
      <c r="D193" s="169"/>
      <c r="E193" s="7"/>
      <c r="F193" s="168"/>
      <c r="G193" s="168"/>
      <c r="H193" s="170"/>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row>
    <row x14ac:dyDescent="0.25" r="194" customHeight="1" ht="18.75">
      <c r="A194" s="1"/>
      <c r="B194" s="169"/>
      <c r="C194" s="1"/>
      <c r="D194" s="169"/>
      <c r="E194" s="7"/>
      <c r="F194" s="168"/>
      <c r="G194" s="168"/>
      <c r="H194" s="170"/>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row>
    <row x14ac:dyDescent="0.25" r="195" customHeight="1" ht="18.75">
      <c r="A195" s="1"/>
      <c r="B195" s="169"/>
      <c r="C195" s="1"/>
      <c r="D195" s="169"/>
      <c r="E195" s="7"/>
      <c r="F195" s="168"/>
      <c r="G195" s="168"/>
      <c r="H195" s="170"/>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row>
    <row x14ac:dyDescent="0.25" r="196" customHeight="1" ht="18.75">
      <c r="A196" s="1"/>
      <c r="B196" s="169"/>
      <c r="C196" s="1"/>
      <c r="D196" s="169"/>
      <c r="E196" s="7"/>
      <c r="F196" s="168"/>
      <c r="G196" s="168"/>
      <c r="H196" s="170"/>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row>
    <row x14ac:dyDescent="0.25" r="197" customHeight="1" ht="18.75">
      <c r="A197" s="1"/>
      <c r="B197" s="169"/>
      <c r="C197" s="1"/>
      <c r="D197" s="169"/>
      <c r="E197" s="7"/>
      <c r="F197" s="168"/>
      <c r="G197" s="168"/>
      <c r="H197" s="170"/>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row>
    <row x14ac:dyDescent="0.25" r="198" customHeight="1" ht="18.75">
      <c r="A198" s="1"/>
      <c r="B198" s="169"/>
      <c r="C198" s="1"/>
      <c r="D198" s="169"/>
      <c r="E198" s="7"/>
      <c r="F198" s="168"/>
      <c r="G198" s="168"/>
      <c r="H198" s="170"/>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row>
    <row x14ac:dyDescent="0.25" r="199" customHeight="1" ht="18.75">
      <c r="A199" s="1"/>
      <c r="B199" s="169"/>
      <c r="C199" s="1"/>
      <c r="D199" s="169"/>
      <c r="E199" s="7"/>
      <c r="F199" s="168"/>
      <c r="G199" s="168"/>
      <c r="H199" s="170"/>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row>
    <row x14ac:dyDescent="0.25" r="200" customHeight="1" ht="18.75">
      <c r="A200" s="1"/>
      <c r="B200" s="169"/>
      <c r="C200" s="1"/>
      <c r="D200" s="169"/>
      <c r="E200" s="7"/>
      <c r="F200" s="168"/>
      <c r="G200" s="168"/>
      <c r="H200" s="170"/>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row>
    <row x14ac:dyDescent="0.25" r="201" customHeight="1" ht="18.75">
      <c r="A201" s="1"/>
      <c r="B201" s="169"/>
      <c r="C201" s="1"/>
      <c r="D201" s="169"/>
      <c r="E201" s="7"/>
      <c r="F201" s="168"/>
      <c r="G201" s="168"/>
      <c r="H201" s="170"/>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row>
    <row x14ac:dyDescent="0.25" r="202" customHeight="1" ht="18.75">
      <c r="A202" s="1"/>
      <c r="B202" s="169"/>
      <c r="C202" s="1"/>
      <c r="D202" s="169"/>
      <c r="E202" s="7"/>
      <c r="F202" s="168"/>
      <c r="G202" s="168"/>
      <c r="H202" s="170"/>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row>
    <row x14ac:dyDescent="0.25" r="203" customHeight="1" ht="18.75">
      <c r="A203" s="1"/>
      <c r="B203" s="169"/>
      <c r="C203" s="1"/>
      <c r="D203" s="169"/>
      <c r="E203" s="7"/>
      <c r="F203" s="168"/>
      <c r="G203" s="168"/>
      <c r="H203" s="170"/>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row>
    <row x14ac:dyDescent="0.25" r="204" customHeight="1" ht="18.75">
      <c r="A204" s="1"/>
      <c r="B204" s="169"/>
      <c r="C204" s="1"/>
      <c r="D204" s="169"/>
      <c r="E204" s="7"/>
      <c r="F204" s="168"/>
      <c r="G204" s="168"/>
      <c r="H204" s="170"/>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row>
    <row x14ac:dyDescent="0.25" r="205" customHeight="1" ht="18.75">
      <c r="A205" s="1"/>
      <c r="B205" s="169"/>
      <c r="C205" s="1"/>
      <c r="D205" s="169"/>
      <c r="E205" s="7"/>
      <c r="F205" s="168"/>
      <c r="G205" s="168"/>
      <c r="H205" s="170"/>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row>
    <row x14ac:dyDescent="0.25" r="206" customHeight="1" ht="18.75">
      <c r="A206" s="1"/>
      <c r="B206" s="169"/>
      <c r="C206" s="1"/>
      <c r="D206" s="169"/>
      <c r="E206" s="7"/>
      <c r="F206" s="168"/>
      <c r="G206" s="168"/>
      <c r="H206" s="170"/>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row>
    <row x14ac:dyDescent="0.25" r="207" customHeight="1" ht="18.75">
      <c r="A207" s="1"/>
      <c r="B207" s="169"/>
      <c r="C207" s="1"/>
      <c r="D207" s="169"/>
      <c r="E207" s="7"/>
      <c r="F207" s="168"/>
      <c r="G207" s="168"/>
      <c r="H207" s="170"/>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row>
    <row x14ac:dyDescent="0.25" r="208" customHeight="1" ht="18.75">
      <c r="A208" s="1"/>
      <c r="B208" s="169"/>
      <c r="C208" s="1"/>
      <c r="D208" s="169"/>
      <c r="E208" s="7"/>
      <c r="F208" s="168"/>
      <c r="G208" s="168"/>
      <c r="H208" s="170"/>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row>
    <row x14ac:dyDescent="0.25" r="209" customHeight="1" ht="18.75">
      <c r="A209" s="1"/>
      <c r="B209" s="169"/>
      <c r="C209" s="1"/>
      <c r="D209" s="169"/>
      <c r="E209" s="7"/>
      <c r="F209" s="168"/>
      <c r="G209" s="168"/>
      <c r="H209" s="170"/>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row>
    <row x14ac:dyDescent="0.25" r="210" customHeight="1" ht="18.75">
      <c r="A210" s="1"/>
      <c r="B210" s="169"/>
      <c r="C210" s="1"/>
      <c r="D210" s="169"/>
      <c r="E210" s="7"/>
      <c r="F210" s="168"/>
      <c r="G210" s="168"/>
      <c r="H210" s="170"/>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row>
    <row x14ac:dyDescent="0.25" r="211" customHeight="1" ht="18.75">
      <c r="A211" s="1"/>
      <c r="B211" s="169"/>
      <c r="C211" s="1"/>
      <c r="D211" s="169"/>
      <c r="E211" s="7"/>
      <c r="F211" s="168"/>
      <c r="G211" s="168"/>
      <c r="H211" s="170"/>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row>
    <row x14ac:dyDescent="0.25" r="212" customHeight="1" ht="18.75">
      <c r="A212" s="1"/>
      <c r="B212" s="169"/>
      <c r="C212" s="1"/>
      <c r="D212" s="169"/>
      <c r="E212" s="7"/>
      <c r="F212" s="168"/>
      <c r="G212" s="168"/>
      <c r="H212" s="170"/>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row>
    <row x14ac:dyDescent="0.25" r="213" customHeight="1" ht="18.75">
      <c r="A213" s="1"/>
      <c r="B213" s="169"/>
      <c r="C213" s="1"/>
      <c r="D213" s="169"/>
      <c r="E213" s="7"/>
      <c r="F213" s="168"/>
      <c r="G213" s="168"/>
      <c r="H213" s="170"/>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row>
    <row x14ac:dyDescent="0.25" r="214" customHeight="1" ht="18.75">
      <c r="A214" s="1"/>
      <c r="B214" s="169"/>
      <c r="C214" s="1"/>
      <c r="D214" s="169"/>
      <c r="E214" s="7"/>
      <c r="F214" s="168"/>
      <c r="G214" s="168"/>
      <c r="H214" s="170"/>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row>
    <row x14ac:dyDescent="0.25" r="215" customHeight="1" ht="18.75">
      <c r="A215" s="1"/>
      <c r="B215" s="169"/>
      <c r="C215" s="1"/>
      <c r="D215" s="169"/>
      <c r="E215" s="7"/>
      <c r="F215" s="168"/>
      <c r="G215" s="168"/>
      <c r="H215" s="170"/>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row>
    <row x14ac:dyDescent="0.25" r="216" customHeight="1" ht="18.75">
      <c r="A216" s="1"/>
      <c r="B216" s="169"/>
      <c r="C216" s="1"/>
      <c r="D216" s="169"/>
      <c r="E216" s="7"/>
      <c r="F216" s="168"/>
      <c r="G216" s="168"/>
      <c r="H216" s="170"/>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row>
    <row x14ac:dyDescent="0.25" r="217" customHeight="1" ht="18.75">
      <c r="A217" s="1"/>
      <c r="B217" s="169"/>
      <c r="C217" s="1"/>
      <c r="D217" s="169"/>
      <c r="E217" s="7"/>
      <c r="F217" s="168"/>
      <c r="G217" s="168"/>
      <c r="H217" s="170"/>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row>
    <row x14ac:dyDescent="0.25" r="218" customHeight="1" ht="18.75">
      <c r="A218" s="1"/>
      <c r="B218" s="169"/>
      <c r="C218" s="1"/>
      <c r="D218" s="169"/>
      <c r="E218" s="7"/>
      <c r="F218" s="168"/>
      <c r="G218" s="168"/>
      <c r="H218" s="170"/>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row>
    <row x14ac:dyDescent="0.25" r="219" customHeight="1" ht="18.75">
      <c r="A219" s="1"/>
      <c r="B219" s="169"/>
      <c r="C219" s="1"/>
      <c r="D219" s="169"/>
      <c r="E219" s="7"/>
      <c r="F219" s="168"/>
      <c r="G219" s="168"/>
      <c r="H219" s="170"/>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row>
    <row x14ac:dyDescent="0.25" r="220" customHeight="1" ht="18.75">
      <c r="A220" s="1"/>
      <c r="B220" s="169"/>
      <c r="C220" s="1"/>
      <c r="D220" s="169"/>
      <c r="E220" s="7"/>
      <c r="F220" s="168"/>
      <c r="G220" s="168"/>
      <c r="H220" s="170"/>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row>
    <row x14ac:dyDescent="0.25" r="221" customHeight="1" ht="18.75">
      <c r="A221" s="1"/>
      <c r="B221" s="169"/>
      <c r="C221" s="1"/>
      <c r="D221" s="169"/>
      <c r="E221" s="7"/>
      <c r="F221" s="168"/>
      <c r="G221" s="168"/>
      <c r="H221" s="170"/>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row>
    <row x14ac:dyDescent="0.25" r="222" customHeight="1" ht="18.75">
      <c r="A222" s="1"/>
      <c r="B222" s="169"/>
      <c r="C222" s="1"/>
      <c r="D222" s="169"/>
      <c r="E222" s="7"/>
      <c r="F222" s="168"/>
      <c r="G222" s="168"/>
      <c r="H222" s="170"/>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row>
    <row x14ac:dyDescent="0.25" r="223" customHeight="1" ht="18.75">
      <c r="A223" s="1"/>
      <c r="B223" s="169"/>
      <c r="C223" s="1"/>
      <c r="D223" s="169"/>
      <c r="E223" s="7"/>
      <c r="F223" s="168"/>
      <c r="G223" s="168"/>
      <c r="H223" s="170"/>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row>
    <row x14ac:dyDescent="0.25" r="224" customHeight="1" ht="18.75">
      <c r="A224" s="1"/>
      <c r="B224" s="169"/>
      <c r="C224" s="1"/>
      <c r="D224" s="169"/>
      <c r="E224" s="7"/>
      <c r="F224" s="168"/>
      <c r="G224" s="168"/>
      <c r="H224" s="170"/>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row>
    <row x14ac:dyDescent="0.25" r="225" customHeight="1" ht="18.4">
      <c r="A225" s="1"/>
      <c r="B225" s="169"/>
      <c r="C225" s="1"/>
      <c r="D225" s="169"/>
      <c r="E225" s="7"/>
      <c r="F225" s="168"/>
      <c r="G225" s="168"/>
      <c r="H225" s="170"/>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row>
    <row x14ac:dyDescent="0.25" r="226" customHeight="1" ht="18.4">
      <c r="A226" s="1"/>
      <c r="B226" s="169"/>
      <c r="C226" s="1"/>
      <c r="D226" s="169"/>
      <c r="E226" s="7"/>
      <c r="F226" s="168"/>
      <c r="G226" s="168"/>
      <c r="H226" s="170"/>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row>
  </sheetData>
  <mergeCells count="23">
    <mergeCell ref="C2:H2"/>
    <mergeCell ref="D3:H4"/>
    <mergeCell ref="G5:H5"/>
    <mergeCell ref="D8:G8"/>
    <mergeCell ref="D10:F10"/>
    <mergeCell ref="G10:H10"/>
    <mergeCell ref="D11:G11"/>
    <mergeCell ref="D12:E12"/>
    <mergeCell ref="D13:E13"/>
    <mergeCell ref="D14:F14"/>
    <mergeCell ref="D15:F15"/>
    <mergeCell ref="D16:F16"/>
    <mergeCell ref="D17:F17"/>
    <mergeCell ref="D25:G25"/>
    <mergeCell ref="G26:H26"/>
    <mergeCell ref="G28:H28"/>
    <mergeCell ref="F32:H32"/>
    <mergeCell ref="D84:G84"/>
    <mergeCell ref="D85:G85"/>
    <mergeCell ref="D86:G86"/>
    <mergeCell ref="D87:G87"/>
    <mergeCell ref="D93:F93"/>
    <mergeCell ref="D94:F9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U1239"/>
  <sheetViews>
    <sheetView workbookViewId="0"/>
  </sheetViews>
  <sheetFormatPr defaultRowHeight="15" x14ac:dyDescent="0.25"/>
  <cols>
    <col min="1" max="1" style="163" width="13.576428571428572" customWidth="1" bestFit="1"/>
    <col min="2" max="2" style="807" width="23.005" customWidth="1" bestFit="1"/>
    <col min="3" max="3" style="167" width="14.719285714285713" customWidth="1" bestFit="1"/>
    <col min="4" max="4" style="808" width="13.576428571428572" customWidth="1" bestFit="1"/>
    <col min="5" max="5" style="809" width="16.433571428571426" customWidth="1" bestFit="1"/>
    <col min="6" max="6" style="810" width="19.290714285714284" customWidth="1" bestFit="1"/>
    <col min="7" max="7" style="164" width="18.005" customWidth="1" bestFit="1"/>
    <col min="8" max="8" style="811" width="13.43357142857143" customWidth="1" bestFit="1"/>
    <col min="9" max="9" style="165" width="18.719285714285714" customWidth="1" bestFit="1"/>
    <col min="10" max="10" style="165" width="18.719285714285714" customWidth="1" bestFit="1"/>
    <col min="11" max="11" style="811" width="17.719285714285714" customWidth="1" bestFit="1"/>
    <col min="12" max="12" style="808" width="17.719285714285714" customWidth="1" bestFit="1"/>
    <col min="13" max="13" style="812" width="15.719285714285713" customWidth="1" bestFit="1"/>
    <col min="14" max="14" style="166" width="19.433571428571426" customWidth="1" bestFit="1"/>
    <col min="15" max="15" style="813" width="18.290714285714284" customWidth="1" bestFit="1"/>
    <col min="16" max="16" style="164" width="13.43357142857143" customWidth="1" bestFit="1"/>
    <col min="17" max="17" style="167" width="14.43357142857143" customWidth="1" bestFit="1"/>
    <col min="18" max="18" style="810" width="14.719285714285713" customWidth="1" bestFit="1"/>
    <col min="19" max="19" style="164" width="13.576428571428572" customWidth="1" bestFit="1"/>
    <col min="20" max="20" style="166" width="13.576428571428572" customWidth="1" bestFit="1"/>
    <col min="21" max="21" style="164" width="13.576428571428572" customWidth="1" bestFit="1"/>
  </cols>
  <sheetData>
    <row x14ac:dyDescent="0.25" r="1" customHeight="1" ht="18.75">
      <c r="A1" s="1"/>
      <c r="B1" s="756"/>
      <c r="C1" s="757"/>
      <c r="D1" s="758"/>
      <c r="E1" s="759"/>
      <c r="F1" s="760"/>
      <c r="G1" s="758"/>
      <c r="H1" s="758"/>
      <c r="I1" s="760"/>
      <c r="J1" s="760"/>
      <c r="K1" s="758"/>
      <c r="L1" s="758"/>
      <c r="M1" s="761"/>
      <c r="N1" s="761"/>
      <c r="O1" s="758"/>
      <c r="P1" s="758"/>
      <c r="Q1" s="762"/>
      <c r="R1" s="760"/>
      <c r="S1" s="758"/>
      <c r="T1" s="761"/>
      <c r="U1" s="758"/>
    </row>
    <row x14ac:dyDescent="0.25" r="2" customHeight="1" ht="18.75">
      <c r="A2" s="1"/>
      <c r="B2" s="763" t="s">
        <v>317</v>
      </c>
      <c r="C2" s="764"/>
      <c r="D2" s="758"/>
      <c r="E2" s="765"/>
      <c r="F2" s="766"/>
      <c r="G2" s="170"/>
      <c r="H2" s="758"/>
      <c r="I2" s="760"/>
      <c r="J2" s="760"/>
      <c r="K2" s="758"/>
      <c r="L2" s="758"/>
      <c r="M2" s="767"/>
      <c r="N2" s="168"/>
      <c r="O2" s="768"/>
      <c r="P2" s="170"/>
      <c r="Q2" s="7"/>
      <c r="R2" s="766"/>
      <c r="S2" s="758"/>
      <c r="T2" s="761"/>
      <c r="U2" s="758"/>
    </row>
    <row x14ac:dyDescent="0.25" r="3" customHeight="1" ht="18.75">
      <c r="A3" s="1"/>
      <c r="B3" s="769" t="s">
        <v>318</v>
      </c>
      <c r="C3" s="770">
        <f>PJSS!$B$6</f>
        <v>25569.041666666668</v>
      </c>
      <c r="D3" s="758"/>
      <c r="E3" s="765"/>
      <c r="F3" s="766"/>
      <c r="G3" s="170"/>
      <c r="H3" s="758"/>
      <c r="I3" s="760"/>
      <c r="J3" s="760"/>
      <c r="K3" s="758"/>
      <c r="L3" s="758"/>
      <c r="M3" s="767"/>
      <c r="N3" s="168"/>
      <c r="O3" s="768"/>
      <c r="P3" s="170"/>
      <c r="Q3" s="7"/>
      <c r="R3" s="766"/>
      <c r="S3" s="758"/>
      <c r="T3" s="761"/>
      <c r="U3" s="758"/>
    </row>
    <row x14ac:dyDescent="0.25" r="4" customHeight="1" ht="18.75">
      <c r="A4" s="1"/>
      <c r="B4" s="769" t="s">
        <v>319</v>
      </c>
      <c r="C4" s="770">
        <f>PJSS!$B$11</f>
      </c>
      <c r="D4" s="758"/>
      <c r="E4" s="771" t="s">
        <v>320</v>
      </c>
      <c r="F4" s="772"/>
      <c r="G4" s="773"/>
      <c r="H4" s="774" t="s">
        <v>321</v>
      </c>
      <c r="I4" s="760"/>
      <c r="J4" s="760"/>
      <c r="K4" s="758"/>
      <c r="L4" s="758"/>
      <c r="M4" s="767"/>
      <c r="N4" s="168"/>
      <c r="O4" s="768"/>
      <c r="P4" s="170"/>
      <c r="Q4" s="7"/>
      <c r="R4" s="766"/>
      <c r="S4" s="758"/>
      <c r="T4" s="761"/>
      <c r="U4" s="758"/>
    </row>
    <row x14ac:dyDescent="0.25" r="5" customHeight="1" ht="18.75">
      <c r="A5" s="1"/>
      <c r="B5" s="769" t="s">
        <v>322</v>
      </c>
      <c r="C5" s="775">
        <f>'Simulador - 1º Pilar'!G19</f>
      </c>
      <c r="D5" s="758"/>
      <c r="E5" s="776" t="s">
        <v>323</v>
      </c>
      <c r="F5" s="777">
        <f>+SUMIF(I17:I1216,"&gt;0",I17:I1216)</f>
      </c>
      <c r="G5" s="777"/>
      <c r="H5" s="777">
        <f>+SUMIF(J17:J1216,"&gt;0",J17:J1216)</f>
      </c>
      <c r="I5" s="760"/>
      <c r="J5" s="758"/>
      <c r="K5" s="758"/>
      <c r="L5" s="758"/>
      <c r="M5" s="767"/>
      <c r="N5" s="168"/>
      <c r="O5" s="768"/>
      <c r="P5" s="170"/>
      <c r="Q5" s="7"/>
      <c r="R5" s="766"/>
      <c r="S5" s="758"/>
      <c r="T5" s="761"/>
      <c r="U5" s="758"/>
    </row>
    <row x14ac:dyDescent="0.25" r="6" customHeight="1" ht="18.75">
      <c r="A6" s="1"/>
      <c r="B6" s="769" t="s">
        <v>324</v>
      </c>
      <c r="C6" s="770">
        <f>'Simulador - 1º Pilar'!G20</f>
        <v>25569.041666666668</v>
      </c>
      <c r="D6" s="758"/>
      <c r="E6" s="765"/>
      <c r="F6" s="766"/>
      <c r="G6" s="170"/>
      <c r="H6" s="758"/>
      <c r="I6" s="760"/>
      <c r="J6" s="760"/>
      <c r="K6" s="758"/>
      <c r="L6" s="758"/>
      <c r="M6" s="767"/>
      <c r="N6" s="559" t="s">
        <v>325</v>
      </c>
      <c r="O6" s="778"/>
      <c r="P6" s="170"/>
      <c r="Q6" s="7"/>
      <c r="R6" s="766"/>
      <c r="S6" s="758"/>
      <c r="T6" s="761"/>
      <c r="U6" s="758"/>
    </row>
    <row x14ac:dyDescent="0.25" r="7" customHeight="1" ht="18.75">
      <c r="A7" s="779"/>
      <c r="B7" s="769" t="s">
        <v>326</v>
      </c>
      <c r="C7" s="562">
        <f>Hipótesis!E17</f>
      </c>
      <c r="D7" s="780">
        <f>C7</f>
      </c>
      <c r="E7" s="765" t="s">
        <v>327</v>
      </c>
      <c r="F7" s="766"/>
      <c r="G7" s="170"/>
      <c r="H7" s="760"/>
      <c r="I7" s="760"/>
      <c r="J7" s="760"/>
      <c r="K7" s="758"/>
      <c r="L7" s="758"/>
      <c r="M7" s="767"/>
      <c r="N7" s="341" t="s">
        <v>328</v>
      </c>
      <c r="O7" s="781">
        <f>PJSS!I10/'Aportaciones PPE'!$G$7</f>
      </c>
      <c r="P7" s="170"/>
      <c r="Q7" s="7"/>
      <c r="R7" s="766"/>
      <c r="S7" s="758"/>
      <c r="T7" s="761"/>
      <c r="U7" s="758"/>
    </row>
    <row x14ac:dyDescent="0.25" r="8" customHeight="1" ht="18.75">
      <c r="A8" s="779"/>
      <c r="B8" s="769" t="s">
        <v>329</v>
      </c>
      <c r="C8" s="775">
        <v>1</v>
      </c>
      <c r="D8" s="758"/>
      <c r="E8" s="759"/>
      <c r="F8" s="760"/>
      <c r="G8" s="758"/>
      <c r="H8" s="760"/>
      <c r="I8" s="760"/>
      <c r="J8" s="760"/>
      <c r="K8" s="758"/>
      <c r="L8" s="758"/>
      <c r="M8" s="767"/>
      <c r="N8" s="341" t="s">
        <v>330</v>
      </c>
      <c r="O8" s="782">
        <f>('Aportaciones PPE'!#REF!/'Renta Vitalicia'!F5)/'Aportaciones PPE'!$G$7</f>
      </c>
      <c r="P8" s="170"/>
      <c r="Q8" s="7"/>
      <c r="R8" s="766"/>
      <c r="S8" s="758"/>
      <c r="T8" s="761"/>
      <c r="U8" s="758"/>
    </row>
    <row x14ac:dyDescent="0.25" r="9" customHeight="1" ht="18.75">
      <c r="A9" s="1"/>
      <c r="B9" s="769" t="s">
        <v>331</v>
      </c>
      <c r="C9" s="783">
        <v>0</v>
      </c>
      <c r="D9" s="758"/>
      <c r="E9" s="784"/>
      <c r="F9" s="760"/>
      <c r="G9" s="758"/>
      <c r="H9" s="760"/>
      <c r="I9" s="760"/>
      <c r="J9" s="760"/>
      <c r="K9" s="758"/>
      <c r="L9" s="758"/>
      <c r="M9" s="767"/>
      <c r="N9" s="341" t="s">
        <v>332</v>
      </c>
      <c r="O9" s="782">
        <f>MAX(1-O8-O7,0)</f>
      </c>
      <c r="P9" s="170"/>
      <c r="Q9" s="7"/>
      <c r="R9" s="766"/>
      <c r="S9" s="758"/>
      <c r="T9" s="761"/>
      <c r="U9" s="758"/>
    </row>
    <row x14ac:dyDescent="0.25" r="10" customHeight="1" ht="18.75">
      <c r="A10" s="1"/>
      <c r="B10" s="769" t="s">
        <v>333</v>
      </c>
      <c r="C10" s="770"/>
      <c r="D10" s="758"/>
      <c r="E10" s="784"/>
      <c r="F10" s="760"/>
      <c r="G10" s="758"/>
      <c r="H10" s="760"/>
      <c r="I10" s="760"/>
      <c r="J10" s="760"/>
      <c r="K10" s="758"/>
      <c r="L10" s="758"/>
      <c r="M10" s="767"/>
      <c r="N10" s="168"/>
      <c r="O10" s="768"/>
      <c r="P10" s="170"/>
      <c r="Q10" s="7"/>
      <c r="R10" s="766"/>
      <c r="S10" s="758"/>
      <c r="T10" s="761"/>
      <c r="U10" s="758"/>
    </row>
    <row x14ac:dyDescent="0.25" r="11" customHeight="1" ht="18.75">
      <c r="A11" s="1"/>
      <c r="B11" s="769" t="s">
        <v>334</v>
      </c>
      <c r="C11" s="770">
        <f>DATE(YEAR(C3)+2*C5,MONTH(C3),DAY(31))</f>
        <v>25569.041666666668</v>
      </c>
      <c r="D11" s="758"/>
      <c r="E11" s="785"/>
      <c r="F11" s="760"/>
      <c r="G11" s="758"/>
      <c r="H11" s="760"/>
      <c r="I11" s="760"/>
      <c r="J11" s="760"/>
      <c r="K11" s="758"/>
      <c r="L11" s="758"/>
      <c r="M11" s="767"/>
      <c r="N11" s="168"/>
      <c r="O11" s="768"/>
      <c r="P11" s="170"/>
      <c r="Q11" s="7"/>
      <c r="R11" s="766"/>
      <c r="S11" s="758"/>
      <c r="T11" s="761"/>
      <c r="U11" s="758"/>
    </row>
    <row x14ac:dyDescent="0.25" r="12" customHeight="1" ht="18.75">
      <c r="A12" s="1"/>
      <c r="B12" s="786"/>
      <c r="C12" s="7"/>
      <c r="D12" s="758"/>
      <c r="E12" s="787"/>
      <c r="F12" s="760"/>
      <c r="G12" s="758"/>
      <c r="H12" s="758"/>
      <c r="I12" s="760"/>
      <c r="J12" s="760"/>
      <c r="K12" s="758"/>
      <c r="L12" s="758"/>
      <c r="M12" s="767"/>
      <c r="N12" s="168"/>
      <c r="O12" s="768"/>
      <c r="P12" s="170"/>
      <c r="Q12" s="7"/>
      <c r="R12" s="766"/>
      <c r="S12" s="758"/>
      <c r="T12" s="761"/>
      <c r="U12" s="758"/>
    </row>
    <row x14ac:dyDescent="0.25" r="13" customHeight="1" ht="18.75">
      <c r="A13" s="1"/>
      <c r="B13" s="756"/>
      <c r="C13" s="788"/>
      <c r="D13" s="758"/>
      <c r="E13" s="784"/>
      <c r="F13" s="760"/>
      <c r="G13" s="758"/>
      <c r="H13" s="758"/>
      <c r="I13" s="760"/>
      <c r="J13" s="760"/>
      <c r="K13" s="758"/>
      <c r="L13" s="758"/>
      <c r="M13" s="767"/>
      <c r="N13" s="168"/>
      <c r="O13" s="768"/>
      <c r="P13" s="170"/>
      <c r="Q13" s="7"/>
      <c r="R13" s="766"/>
      <c r="S13" s="758"/>
      <c r="T13" s="761"/>
      <c r="U13" s="758"/>
    </row>
    <row x14ac:dyDescent="0.25" r="14" customHeight="1" ht="18.75">
      <c r="A14" s="1"/>
      <c r="B14" s="756"/>
      <c r="C14" s="757"/>
      <c r="D14" s="758"/>
      <c r="E14" s="759"/>
      <c r="F14" s="760"/>
      <c r="G14" s="789" t="s">
        <v>335</v>
      </c>
      <c r="H14" s="758"/>
      <c r="I14" s="760"/>
      <c r="J14" s="760"/>
      <c r="K14" s="758"/>
      <c r="L14" s="758"/>
      <c r="M14" s="767"/>
      <c r="N14" s="168"/>
      <c r="O14" s="768"/>
      <c r="P14" s="170"/>
      <c r="Q14" s="7"/>
      <c r="R14" s="766"/>
      <c r="S14" s="170"/>
      <c r="T14" s="168"/>
      <c r="U14" s="758"/>
    </row>
    <row x14ac:dyDescent="0.25" r="15" customHeight="1" ht="18.75">
      <c r="A15" s="1"/>
      <c r="B15" s="790"/>
      <c r="C15" s="757"/>
      <c r="D15" s="758"/>
      <c r="E15" s="759"/>
      <c r="F15" s="758"/>
      <c r="G15" s="791">
        <f>IF(C4="Hombre",(VLOOKUP(INT($C$5)+1,Tablas!$G$9:$K$124,5,0)*($C$5-INT($C$5))+VLOOKUP(INT($C$5),Tablas!$G$9:$K$124,5,0)*(INT($C$5)+1-$C$5)),(VLOOKUP(INT($C$5)+1,Tablas!$G$9:$O$124,9,0)*($C$5-INT($C$5))+VLOOKUP(INT($C$5),Tablas!$G$9:$O$124,9,0)*(INT($C$5)+1-$C$5)))</f>
      </c>
      <c r="H15" s="760"/>
      <c r="I15" s="169"/>
      <c r="J15" s="169"/>
      <c r="K15" s="761"/>
      <c r="L15" s="761"/>
      <c r="M15" s="767"/>
      <c r="N15" s="168"/>
      <c r="O15" s="768"/>
      <c r="P15" s="170"/>
      <c r="Q15" s="7"/>
      <c r="R15" s="766"/>
      <c r="S15" s="170"/>
      <c r="T15" s="168"/>
      <c r="U15" s="170"/>
    </row>
    <row x14ac:dyDescent="0.25" r="16" customHeight="1" ht="18.75">
      <c r="A16" s="1"/>
      <c r="B16" s="792" t="s">
        <v>336</v>
      </c>
      <c r="C16" s="792" t="s">
        <v>337</v>
      </c>
      <c r="D16" s="736" t="s">
        <v>338</v>
      </c>
      <c r="E16" s="793" t="s">
        <v>339</v>
      </c>
      <c r="F16" s="794" t="s">
        <v>340</v>
      </c>
      <c r="G16" s="795" t="s">
        <v>341</v>
      </c>
      <c r="H16" s="794" t="s">
        <v>342</v>
      </c>
      <c r="I16" s="796" t="s">
        <v>343</v>
      </c>
      <c r="J16" s="797" t="s">
        <v>321</v>
      </c>
      <c r="K16" s="798" t="s">
        <v>344</v>
      </c>
      <c r="L16" s="761"/>
      <c r="M16" s="767"/>
      <c r="N16" s="168"/>
      <c r="O16" s="768"/>
      <c r="P16" s="170"/>
      <c r="Q16" s="7"/>
      <c r="R16" s="766"/>
      <c r="S16" s="170"/>
      <c r="T16" s="168"/>
      <c r="U16" s="170"/>
    </row>
    <row x14ac:dyDescent="0.25" r="17" customHeight="1" ht="18.75">
      <c r="A17" s="1"/>
      <c r="B17" s="799">
        <f>+C6</f>
        <v>25569.041666666668</v>
      </c>
      <c r="C17" s="799">
        <f>+B18-1</f>
        <v>25569.041666666668</v>
      </c>
      <c r="D17" s="791">
        <f>-_xlfn.DAYS($C$3,C17)/365.25</f>
      </c>
      <c r="E17" s="800">
        <f>IF($D$17+40&lt;=D17,(1+$D$7)^-(D17-$C$5),(1+$C$7)^-(D17-$C$5))</f>
      </c>
      <c r="F17" s="801">
        <f>IF($C$4="Hombre",(+VLOOKUP(INT(D17)+1,Tablas!$G$9:$K$1240,5,0)*(D17-INT(D17))+VLOOKUP(INT(D17),Tablas!$G$9:$K$1240,5,0)*(INT(D17)+1-D17))/(VLOOKUP(INT($C$5)+1,Tablas!$G$9:$K$1240,5,0)*($C$5-INT($C$5))+VLOOKUP(INT($C$5),Tablas!$G$9:$K$124,5,0)*(INT($C$5)+1-$C$5)),(+VLOOKUP(INT(D17)+1,Tablas!$G$9:$O$1240,9,0)*(D17-INT(D17))+VLOOKUP(INT(D17),Tablas!$G$9:$O$1240,9,0)*(INT(D17)+1-D17))/(VLOOKUP(INT($C$5)+1,Tablas!$G$9:$O$1240,9,0)*($C$5-INT($C$5))+VLOOKUP(INT($C$5),Tablas!$G$9:$O$124,9,0)*(INT($C$5)+1-$C$5)))</f>
      </c>
      <c r="G17" s="791">
        <f>IF($C$4="Hombre",(+VLOOKUP(INT(D17)+1,Tablas!$G$9:$K$1240,5,0)*(D17-INT(D17))+VLOOKUP(INT(D17),Tablas!$G$9:$K$1240,5,0)*(INT(D17)+1-D17)),+VLOOKUP(INT(D17)+1,Tablas!$G$9:$O$1240,9,0)*(D17-INT(D17))+VLOOKUP(INT(D17),Tablas!$G$9:$O$1240,9,0)*(INT(D17)+1-D17))</f>
      </c>
      <c r="H17" s="801">
        <v>1</v>
      </c>
      <c r="I17" s="791">
        <f>IF(B17&lt;$C$10,0,IF(B17&lt;$C$11,$C$8/12*E17*F17*H17,0))</f>
      </c>
      <c r="J17" s="791">
        <f>I17*12/14+IF(OR(MONTH(C17)=6,MONTH(C17)=12),I17*12/14,0)</f>
      </c>
      <c r="K17" s="801">
        <f>G17/$G$15</f>
      </c>
      <c r="L17" s="760"/>
      <c r="M17" s="767"/>
      <c r="N17" s="168"/>
      <c r="O17" s="768"/>
      <c r="P17" s="170"/>
      <c r="Q17" s="7"/>
      <c r="R17" s="766"/>
      <c r="S17" s="170"/>
      <c r="T17" s="168"/>
      <c r="U17" s="170"/>
    </row>
    <row x14ac:dyDescent="0.25" r="18" customHeight="1" ht="18.75">
      <c r="A18" s="1"/>
      <c r="B18" s="799">
        <f>+DATE(YEAR(B17),MONTH(B17)+1,DAY(B17))</f>
        <v>25569.041666666668</v>
      </c>
      <c r="C18" s="799">
        <f>+B19-1</f>
        <v>25569.041666666668</v>
      </c>
      <c r="D18" s="791">
        <f>-_xlfn.DAYS($C$3,C18)/365.25</f>
      </c>
      <c r="E18" s="800">
        <f>IF($D$17+40&lt;=D18,(1+$D$7)^-(D18-$C$5),(1+$C$7)^-(D18-$C$5))</f>
      </c>
      <c r="F18" s="801">
        <f>IF($C$4="Hombre",(+VLOOKUP(INT(D18)+1,Tablas!$G$9:$K$1240,5,0)*(D18-INT(D18))+VLOOKUP(INT(D18),Tablas!$G$9:$K$1240,5,0)*(INT(D18)+1-D18))/(VLOOKUP(INT($C$5)+1,Tablas!$G$9:$K$1240,5,0)*($C$5-INT($C$5))+VLOOKUP(INT($C$5),Tablas!$G$9:$K$124,5,0)*(INT($C$5)+1-$C$5)),(+VLOOKUP(INT(D18)+1,Tablas!$G$9:$O$1240,9,0)*(D18-INT(D18))+VLOOKUP(INT(D18),Tablas!$G$9:$O$1240,9,0)*(INT(D18)+1-D18))/(VLOOKUP(INT($C$5)+1,Tablas!$G$9:$O$1240,9,0)*($C$5-INT($C$5))+VLOOKUP(INT($C$5),Tablas!$G$9:$O$124,9,0)*(INT($C$5)+1-$C$5)))</f>
      </c>
      <c r="G18" s="791">
        <f>IF($C$4="Hombre",(+VLOOKUP(INT(D18)+1,Tablas!$G$9:$K$1240,5,0)*(D18-INT(D18))+VLOOKUP(INT(D18),Tablas!$G$9:$K$1240,5,0)*(INT(D18)+1-D18)),+VLOOKUP(INT(D18)+1,Tablas!$G$9:$O$1240,9,0)*(D18-INT(D18))+VLOOKUP(INT(D18),Tablas!$G$9:$O$1240,9,0)*(INT(D18)+1-D18))</f>
      </c>
      <c r="H18" s="801">
        <f>+IF(MONTH(B18)=1,H17*(1+$C$9),H17)</f>
      </c>
      <c r="I18" s="791">
        <f>IF(B18&lt;$C$10,0,IF(B18&lt;$C$11,$C$8/12*E18*F18*H18,0))</f>
      </c>
      <c r="J18" s="791">
        <f>I18*12/14+IF(OR(MONTH(C18)=6,MONTH(C18)=12),I18*12/14,0)</f>
      </c>
      <c r="K18" s="801">
        <f>G18/$G$15</f>
      </c>
      <c r="L18" s="760"/>
      <c r="M18" s="767"/>
      <c r="N18" s="168"/>
      <c r="O18" s="768"/>
      <c r="P18" s="170"/>
      <c r="Q18" s="7"/>
      <c r="R18" s="766"/>
      <c r="S18" s="170"/>
      <c r="T18" s="168"/>
      <c r="U18" s="170"/>
    </row>
    <row x14ac:dyDescent="0.25" r="19" customHeight="1" ht="18.75">
      <c r="A19" s="1"/>
      <c r="B19" s="799">
        <f>+DATE(YEAR(B18),MONTH(B18)+1,DAY(B18))</f>
        <v>25569.041666666668</v>
      </c>
      <c r="C19" s="799">
        <f>+B20-1</f>
        <v>25569.041666666668</v>
      </c>
      <c r="D19" s="791">
        <f>-_xlfn.DAYS($C$3,C19)/365.25</f>
      </c>
      <c r="E19" s="800">
        <f>IF($D$17+40&lt;=D19,(1+$D$7)^-(D19-$C$5),(1+$C$7)^-(D19-$C$5))</f>
      </c>
      <c r="F19" s="801">
        <f>IF($C$4="Hombre",(+VLOOKUP(INT(D19)+1,Tablas!$G$9:$K$1240,5,0)*(D19-INT(D19))+VLOOKUP(INT(D19),Tablas!$G$9:$K$1240,5,0)*(INT(D19)+1-D19))/(VLOOKUP(INT($C$5)+1,Tablas!$G$9:$K$1240,5,0)*($C$5-INT($C$5))+VLOOKUP(INT($C$5),Tablas!$G$9:$K$124,5,0)*(INT($C$5)+1-$C$5)),(+VLOOKUP(INT(D19)+1,Tablas!$G$9:$O$1240,9,0)*(D19-INT(D19))+VLOOKUP(INT(D19),Tablas!$G$9:$O$1240,9,0)*(INT(D19)+1-D19))/(VLOOKUP(INT($C$5)+1,Tablas!$G$9:$O$1240,9,0)*($C$5-INT($C$5))+VLOOKUP(INT($C$5),Tablas!$G$9:$O$124,9,0)*(INT($C$5)+1-$C$5)))</f>
      </c>
      <c r="G19" s="791">
        <f>IF($C$4="Hombre",(+VLOOKUP(INT(D19)+1,Tablas!$G$9:$K$1240,5,0)*(D19-INT(D19))+VLOOKUP(INT(D19),Tablas!$G$9:$K$1240,5,0)*(INT(D19)+1-D19)),+VLOOKUP(INT(D19)+1,Tablas!$G$9:$O$1240,9,0)*(D19-INT(D19))+VLOOKUP(INT(D19),Tablas!$G$9:$O$1240,9,0)*(INT(D19)+1-D19))</f>
      </c>
      <c r="H19" s="801">
        <f>+IF(MONTH(B19)=1,H18*(1+$C$9),H18)</f>
      </c>
      <c r="I19" s="791">
        <f>IF(B19&lt;$C$10,0,IF(B19&lt;$C$11,$C$8/12*E19*F19*H19,0))</f>
      </c>
      <c r="J19" s="791">
        <f>I19*12/14+IF(OR(MONTH(C19)=6,MONTH(C19)=12),I19*12/14,0)</f>
      </c>
      <c r="K19" s="801">
        <f>G19/$G$15</f>
      </c>
      <c r="L19" s="760"/>
      <c r="M19" s="767"/>
      <c r="N19" s="168"/>
      <c r="O19" s="768"/>
      <c r="P19" s="170"/>
      <c r="Q19" s="7"/>
      <c r="R19" s="766"/>
      <c r="S19" s="170"/>
      <c r="T19" s="168"/>
      <c r="U19" s="170"/>
    </row>
    <row x14ac:dyDescent="0.25" r="20" customHeight="1" ht="18.75">
      <c r="A20" s="1"/>
      <c r="B20" s="799">
        <f>+DATE(YEAR(B19),MONTH(B19)+1,DAY(B19))</f>
        <v>25569.041666666668</v>
      </c>
      <c r="C20" s="799">
        <f>+B21-1</f>
        <v>25569.041666666668</v>
      </c>
      <c r="D20" s="791">
        <f>-_xlfn.DAYS($C$3,C20)/365.25</f>
      </c>
      <c r="E20" s="800">
        <f>IF($D$17+40&lt;=D20,(1+$D$7)^-(D20-$C$5),(1+$C$7)^-(D20-$C$5))</f>
      </c>
      <c r="F20" s="801">
        <f>IF($C$4="Hombre",(+VLOOKUP(INT(D20)+1,Tablas!$G$9:$K$1240,5,0)*(D20-INT(D20))+VLOOKUP(INT(D20),Tablas!$G$9:$K$1240,5,0)*(INT(D20)+1-D20))/(VLOOKUP(INT($C$5)+1,Tablas!$G$9:$K$1240,5,0)*($C$5-INT($C$5))+VLOOKUP(INT($C$5),Tablas!$G$9:$K$124,5,0)*(INT($C$5)+1-$C$5)),(+VLOOKUP(INT(D20)+1,Tablas!$G$9:$O$1240,9,0)*(D20-INT(D20))+VLOOKUP(INT(D20),Tablas!$G$9:$O$1240,9,0)*(INT(D20)+1-D20))/(VLOOKUP(INT($C$5)+1,Tablas!$G$9:$O$1240,9,0)*($C$5-INT($C$5))+VLOOKUP(INT($C$5),Tablas!$G$9:$O$124,9,0)*(INT($C$5)+1-$C$5)))</f>
      </c>
      <c r="G20" s="791">
        <f>IF($C$4="Hombre",(+VLOOKUP(INT(D20)+1,Tablas!$G$9:$K$1240,5,0)*(D20-INT(D20))+VLOOKUP(INT(D20),Tablas!$G$9:$K$1240,5,0)*(INT(D20)+1-D20)),+VLOOKUP(INT(D20)+1,Tablas!$G$9:$O$1240,9,0)*(D20-INT(D20))+VLOOKUP(INT(D20),Tablas!$G$9:$O$1240,9,0)*(INT(D20)+1-D20))</f>
      </c>
      <c r="H20" s="801">
        <f>+IF(MONTH(B20)=1,H19*(1+$C$9),H19)</f>
      </c>
      <c r="I20" s="791">
        <f>IF(B20&lt;$C$10,0,IF(B20&lt;$C$11,$C$8/12*E20*F20*H20,0))</f>
      </c>
      <c r="J20" s="791">
        <f>I20*12/14+IF(OR(MONTH(C20)=6,MONTH(C20)=12),I20*12/14,0)</f>
      </c>
      <c r="K20" s="801">
        <f>G20/$G$15</f>
      </c>
      <c r="L20" s="760"/>
      <c r="M20" s="767"/>
      <c r="N20" s="168"/>
      <c r="O20" s="768"/>
      <c r="P20" s="170"/>
      <c r="Q20" s="7"/>
      <c r="R20" s="766"/>
      <c r="S20" s="170"/>
      <c r="T20" s="168"/>
      <c r="U20" s="170"/>
    </row>
    <row x14ac:dyDescent="0.25" r="21" customHeight="1" ht="18.75">
      <c r="A21" s="1"/>
      <c r="B21" s="799">
        <f>+DATE(YEAR(B20),MONTH(B20)+1,DAY(B20))</f>
        <v>25569.041666666668</v>
      </c>
      <c r="C21" s="799">
        <f>+B22-1</f>
        <v>25569.041666666668</v>
      </c>
      <c r="D21" s="791">
        <f>-_xlfn.DAYS($C$3,C21)/365.25</f>
      </c>
      <c r="E21" s="800">
        <f>IF($D$17+40&lt;=D21,(1+$D$7)^-(D21-$C$5),(1+$C$7)^-(D21-$C$5))</f>
      </c>
      <c r="F21" s="801">
        <f>IF($C$4="Hombre",(+VLOOKUP(INT(D21)+1,Tablas!$G$9:$K$1240,5,0)*(D21-INT(D21))+VLOOKUP(INT(D21),Tablas!$G$9:$K$1240,5,0)*(INT(D21)+1-D21))/(VLOOKUP(INT($C$5)+1,Tablas!$G$9:$K$1240,5,0)*($C$5-INT($C$5))+VLOOKUP(INT($C$5),Tablas!$G$9:$K$124,5,0)*(INT($C$5)+1-$C$5)),(+VLOOKUP(INT(D21)+1,Tablas!$G$9:$O$1240,9,0)*(D21-INT(D21))+VLOOKUP(INT(D21),Tablas!$G$9:$O$1240,9,0)*(INT(D21)+1-D21))/(VLOOKUP(INT($C$5)+1,Tablas!$G$9:$O$1240,9,0)*($C$5-INT($C$5))+VLOOKUP(INT($C$5),Tablas!$G$9:$O$124,9,0)*(INT($C$5)+1-$C$5)))</f>
      </c>
      <c r="G21" s="791">
        <f>IF($C$4="Hombre",(+VLOOKUP(INT(D21)+1,Tablas!$G$9:$K$1240,5,0)*(D21-INT(D21))+VLOOKUP(INT(D21),Tablas!$G$9:$K$1240,5,0)*(INT(D21)+1-D21)),+VLOOKUP(INT(D21)+1,Tablas!$G$9:$O$1240,9,0)*(D21-INT(D21))+VLOOKUP(INT(D21),Tablas!$G$9:$O$1240,9,0)*(INT(D21)+1-D21))</f>
      </c>
      <c r="H21" s="801">
        <f>+IF(MONTH(B21)=1,H20*(1+$C$9),H20)</f>
      </c>
      <c r="I21" s="791">
        <f>IF(B21&lt;$C$10,0,IF(B21&lt;$C$11,$C$8/12*E21*F21*H21,0))</f>
      </c>
      <c r="J21" s="791">
        <f>I21*12/14+IF(OR(MONTH(C21)=6,MONTH(C21)=12),I21*12/14,0)</f>
      </c>
      <c r="K21" s="801">
        <f>G21/$G$15</f>
      </c>
      <c r="L21" s="760"/>
      <c r="M21" s="767"/>
      <c r="N21" s="168"/>
      <c r="O21" s="768"/>
      <c r="P21" s="170"/>
      <c r="Q21" s="7"/>
      <c r="R21" s="766"/>
      <c r="S21" s="170"/>
      <c r="T21" s="168"/>
      <c r="U21" s="170"/>
    </row>
    <row x14ac:dyDescent="0.25" r="22" customHeight="1" ht="18.75">
      <c r="A22" s="1"/>
      <c r="B22" s="799">
        <f>+DATE(YEAR(B21),MONTH(B21)+1,DAY(B21))</f>
        <v>25569.041666666668</v>
      </c>
      <c r="C22" s="799">
        <f>+B23-1</f>
        <v>25569.041666666668</v>
      </c>
      <c r="D22" s="791">
        <f>-_xlfn.DAYS($C$3,C22)/365.25</f>
      </c>
      <c r="E22" s="800">
        <f>IF($D$17+40&lt;=D22,(1+$D$7)^-(D22-$C$5),(1+$C$7)^-(D22-$C$5))</f>
      </c>
      <c r="F22" s="801">
        <f>IF($C$4="Hombre",(+VLOOKUP(INT(D22)+1,Tablas!$G$9:$K$1240,5,0)*(D22-INT(D22))+VLOOKUP(INT(D22),Tablas!$G$9:$K$1240,5,0)*(INT(D22)+1-D22))/(VLOOKUP(INT($C$5)+1,Tablas!$G$9:$K$1240,5,0)*($C$5-INT($C$5))+VLOOKUP(INT($C$5),Tablas!$G$9:$K$124,5,0)*(INT($C$5)+1-$C$5)),(+VLOOKUP(INT(D22)+1,Tablas!$G$9:$O$1240,9,0)*(D22-INT(D22))+VLOOKUP(INT(D22),Tablas!$G$9:$O$1240,9,0)*(INT(D22)+1-D22))/(VLOOKUP(INT($C$5)+1,Tablas!$G$9:$O$1240,9,0)*($C$5-INT($C$5))+VLOOKUP(INT($C$5),Tablas!$G$9:$O$124,9,0)*(INT($C$5)+1-$C$5)))</f>
      </c>
      <c r="G22" s="791">
        <f>IF($C$4="Hombre",(+VLOOKUP(INT(D22)+1,Tablas!$G$9:$K$1240,5,0)*(D22-INT(D22))+VLOOKUP(INT(D22),Tablas!$G$9:$K$1240,5,0)*(INT(D22)+1-D22)),+VLOOKUP(INT(D22)+1,Tablas!$G$9:$O$1240,9,0)*(D22-INT(D22))+VLOOKUP(INT(D22),Tablas!$G$9:$O$1240,9,0)*(INT(D22)+1-D22))</f>
      </c>
      <c r="H22" s="801">
        <f>+IF(MONTH(B22)=1,H21*(1+$C$9),H21)</f>
      </c>
      <c r="I22" s="791">
        <f>IF(B22&lt;$C$10,0,IF(B22&lt;$C$11,$C$8/12*E22*F22*H22,0))</f>
      </c>
      <c r="J22" s="791">
        <f>I22*12/14+IF(OR(MONTH(C22)=6,MONTH(C22)=12),I22*12/14,0)</f>
      </c>
      <c r="K22" s="801">
        <f>G22/$G$15</f>
      </c>
      <c r="L22" s="760"/>
      <c r="M22" s="767"/>
      <c r="N22" s="168"/>
      <c r="O22" s="768"/>
      <c r="P22" s="170"/>
      <c r="Q22" s="7"/>
      <c r="R22" s="766"/>
      <c r="S22" s="170"/>
      <c r="T22" s="168"/>
      <c r="U22" s="170"/>
    </row>
    <row x14ac:dyDescent="0.25" r="23" customHeight="1" ht="18.75">
      <c r="A23" s="1"/>
      <c r="B23" s="799">
        <f>+DATE(YEAR(B22),MONTH(B22)+1,DAY(B22))</f>
        <v>25569.041666666668</v>
      </c>
      <c r="C23" s="799">
        <f>+B24-1</f>
        <v>25569.041666666668</v>
      </c>
      <c r="D23" s="791">
        <f>-_xlfn.DAYS($C$3,C23)/365.25</f>
      </c>
      <c r="E23" s="800">
        <f>IF($D$17+40&lt;=D23,(1+$D$7)^-(D23-$C$5),(1+$C$7)^-(D23-$C$5))</f>
      </c>
      <c r="F23" s="801">
        <f>IF($C$4="Hombre",(+VLOOKUP(INT(D23)+1,Tablas!$G$9:$K$1240,5,0)*(D23-INT(D23))+VLOOKUP(INT(D23),Tablas!$G$9:$K$1240,5,0)*(INT(D23)+1-D23))/(VLOOKUP(INT($C$5)+1,Tablas!$G$9:$K$1240,5,0)*($C$5-INT($C$5))+VLOOKUP(INT($C$5),Tablas!$G$9:$K$124,5,0)*(INT($C$5)+1-$C$5)),(+VLOOKUP(INT(D23)+1,Tablas!$G$9:$O$1240,9,0)*(D23-INT(D23))+VLOOKUP(INT(D23),Tablas!$G$9:$O$1240,9,0)*(INT(D23)+1-D23))/(VLOOKUP(INT($C$5)+1,Tablas!$G$9:$O$1240,9,0)*($C$5-INT($C$5))+VLOOKUP(INT($C$5),Tablas!$G$9:$O$124,9,0)*(INT($C$5)+1-$C$5)))</f>
      </c>
      <c r="G23" s="791">
        <f>IF($C$4="Hombre",(+VLOOKUP(INT(D23)+1,Tablas!$G$9:$K$1240,5,0)*(D23-INT(D23))+VLOOKUP(INT(D23),Tablas!$G$9:$K$1240,5,0)*(INT(D23)+1-D23)),+VLOOKUP(INT(D23)+1,Tablas!$G$9:$O$1240,9,0)*(D23-INT(D23))+VLOOKUP(INT(D23),Tablas!$G$9:$O$1240,9,0)*(INT(D23)+1-D23))</f>
      </c>
      <c r="H23" s="801">
        <f>+IF(MONTH(B23)=1,H22*(1+$C$9),H22)</f>
      </c>
      <c r="I23" s="791">
        <f>IF(B23&lt;$C$10,0,IF(B23&lt;$C$11,$C$8/12*E23*F23*H23,0))</f>
      </c>
      <c r="J23" s="791">
        <f>I23*12/14+IF(OR(MONTH(C23)=6,MONTH(C23)=12),I23*12/14,0)</f>
      </c>
      <c r="K23" s="801">
        <f>G23/$G$15</f>
      </c>
      <c r="L23" s="760"/>
      <c r="M23" s="767"/>
      <c r="N23" s="168"/>
      <c r="O23" s="768"/>
      <c r="P23" s="170"/>
      <c r="Q23" s="7"/>
      <c r="R23" s="766"/>
      <c r="S23" s="170"/>
      <c r="T23" s="168"/>
      <c r="U23" s="170"/>
    </row>
    <row x14ac:dyDescent="0.25" r="24" customHeight="1" ht="18.75">
      <c r="A24" s="1"/>
      <c r="B24" s="799">
        <f>+DATE(YEAR(B23),MONTH(B23)+1,DAY(B23))</f>
        <v>25569.041666666668</v>
      </c>
      <c r="C24" s="799">
        <f>+B25-1</f>
        <v>25569.041666666668</v>
      </c>
      <c r="D24" s="791">
        <f>-_xlfn.DAYS($C$3,C24)/365.25</f>
      </c>
      <c r="E24" s="800">
        <f>IF($D$17+40&lt;=D24,(1+$D$7)^-(D24-$C$5),(1+$C$7)^-(D24-$C$5))</f>
      </c>
      <c r="F24" s="801">
        <f>IF($C$4="Hombre",(+VLOOKUP(INT(D24)+1,Tablas!$G$9:$K$1240,5,0)*(D24-INT(D24))+VLOOKUP(INT(D24),Tablas!$G$9:$K$1240,5,0)*(INT(D24)+1-D24))/(VLOOKUP(INT($C$5)+1,Tablas!$G$9:$K$1240,5,0)*($C$5-INT($C$5))+VLOOKUP(INT($C$5),Tablas!$G$9:$K$124,5,0)*(INT($C$5)+1-$C$5)),(+VLOOKUP(INT(D24)+1,Tablas!$G$9:$O$1240,9,0)*(D24-INT(D24))+VLOOKUP(INT(D24),Tablas!$G$9:$O$1240,9,0)*(INT(D24)+1-D24))/(VLOOKUP(INT($C$5)+1,Tablas!$G$9:$O$1240,9,0)*($C$5-INT($C$5))+VLOOKUP(INT($C$5),Tablas!$G$9:$O$124,9,0)*(INT($C$5)+1-$C$5)))</f>
      </c>
      <c r="G24" s="791">
        <f>IF($C$4="Hombre",(+VLOOKUP(INT(D24)+1,Tablas!$G$9:$K$1240,5,0)*(D24-INT(D24))+VLOOKUP(INT(D24),Tablas!$G$9:$K$1240,5,0)*(INT(D24)+1-D24)),+VLOOKUP(INT(D24)+1,Tablas!$G$9:$O$1240,9,0)*(D24-INT(D24))+VLOOKUP(INT(D24),Tablas!$G$9:$O$1240,9,0)*(INT(D24)+1-D24))</f>
      </c>
      <c r="H24" s="801">
        <f>+IF(MONTH(B24)=1,H23*(1+$C$9),H23)</f>
      </c>
      <c r="I24" s="791">
        <f>IF(B24&lt;$C$10,0,IF(B24&lt;$C$11,$C$8/12*E24*F24*H24,0))</f>
      </c>
      <c r="J24" s="791">
        <f>I24*12/14+IF(OR(MONTH(C24)=6,MONTH(C24)=12),I24*12/14,0)</f>
      </c>
      <c r="K24" s="801">
        <f>G24/$G$15</f>
      </c>
      <c r="L24" s="760"/>
      <c r="M24" s="767"/>
      <c r="N24" s="168"/>
      <c r="O24" s="768"/>
      <c r="P24" s="170"/>
      <c r="Q24" s="7"/>
      <c r="R24" s="766"/>
      <c r="S24" s="170"/>
      <c r="T24" s="168"/>
      <c r="U24" s="170"/>
    </row>
    <row x14ac:dyDescent="0.25" r="25" customHeight="1" ht="18.75">
      <c r="A25" s="1"/>
      <c r="B25" s="799">
        <f>+DATE(YEAR(B24),MONTH(B24)+1,DAY(B24))</f>
        <v>25569.041666666668</v>
      </c>
      <c r="C25" s="799">
        <f>+B26-1</f>
        <v>25569.041666666668</v>
      </c>
      <c r="D25" s="791">
        <f>-_xlfn.DAYS($C$3,C25)/365.25</f>
      </c>
      <c r="E25" s="800">
        <f>IF($D$17+40&lt;=D25,(1+$D$7)^-(D25-$C$5),(1+$C$7)^-(D25-$C$5))</f>
      </c>
      <c r="F25" s="801">
        <f>IF($C$4="Hombre",(+VLOOKUP(INT(D25)+1,Tablas!$G$9:$K$1240,5,0)*(D25-INT(D25))+VLOOKUP(INT(D25),Tablas!$G$9:$K$1240,5,0)*(INT(D25)+1-D25))/(VLOOKUP(INT($C$5)+1,Tablas!$G$9:$K$1240,5,0)*($C$5-INT($C$5))+VLOOKUP(INT($C$5),Tablas!$G$9:$K$124,5,0)*(INT($C$5)+1-$C$5)),(+VLOOKUP(INT(D25)+1,Tablas!$G$9:$O$1240,9,0)*(D25-INT(D25))+VLOOKUP(INT(D25),Tablas!$G$9:$O$1240,9,0)*(INT(D25)+1-D25))/(VLOOKUP(INT($C$5)+1,Tablas!$G$9:$O$1240,9,0)*($C$5-INT($C$5))+VLOOKUP(INT($C$5),Tablas!$G$9:$O$124,9,0)*(INT($C$5)+1-$C$5)))</f>
      </c>
      <c r="G25" s="791">
        <f>IF($C$4="Hombre",(+VLOOKUP(INT(D25)+1,Tablas!$G$9:$K$1240,5,0)*(D25-INT(D25))+VLOOKUP(INT(D25),Tablas!$G$9:$K$1240,5,0)*(INT(D25)+1-D25)),+VLOOKUP(INT(D25)+1,Tablas!$G$9:$O$1240,9,0)*(D25-INT(D25))+VLOOKUP(INT(D25),Tablas!$G$9:$O$1240,9,0)*(INT(D25)+1-D25))</f>
      </c>
      <c r="H25" s="801">
        <f>+IF(MONTH(B25)=1,H24*(1+$C$9),H24)</f>
      </c>
      <c r="I25" s="791">
        <f>IF(B25&lt;$C$10,0,IF(B25&lt;$C$11,$C$8/12*E25*F25*H25,0))</f>
      </c>
      <c r="J25" s="791">
        <f>I25*12/14+IF(OR(MONTH(C25)=6,MONTH(C25)=12),I25*12/14,0)</f>
      </c>
      <c r="K25" s="801">
        <f>G25/$G$15</f>
      </c>
      <c r="L25" s="760"/>
      <c r="M25" s="767"/>
      <c r="N25" s="168"/>
      <c r="O25" s="768"/>
      <c r="P25" s="170"/>
      <c r="Q25" s="7"/>
      <c r="R25" s="766"/>
      <c r="S25" s="170"/>
      <c r="T25" s="168"/>
      <c r="U25" s="170"/>
    </row>
    <row x14ac:dyDescent="0.25" r="26" customHeight="1" ht="18.75">
      <c r="A26" s="1"/>
      <c r="B26" s="799">
        <f>+DATE(YEAR(B25),MONTH(B25)+1,DAY(B25))</f>
        <v>25569.041666666668</v>
      </c>
      <c r="C26" s="799">
        <f>+B27-1</f>
        <v>25569.041666666668</v>
      </c>
      <c r="D26" s="791">
        <f>-_xlfn.DAYS($C$3,C26)/365.25</f>
      </c>
      <c r="E26" s="800">
        <f>IF($D$17+40&lt;=D26,(1+$D$7)^-(D26-$C$5),(1+$C$7)^-(D26-$C$5))</f>
      </c>
      <c r="F26" s="801">
        <f>IF($C$4="Hombre",(+VLOOKUP(INT(D26)+1,Tablas!$G$9:$K$1240,5,0)*(D26-INT(D26))+VLOOKUP(INT(D26),Tablas!$G$9:$K$1240,5,0)*(INT(D26)+1-D26))/(VLOOKUP(INT($C$5)+1,Tablas!$G$9:$K$1240,5,0)*($C$5-INT($C$5))+VLOOKUP(INT($C$5),Tablas!$G$9:$K$124,5,0)*(INT($C$5)+1-$C$5)),(+VLOOKUP(INT(D26)+1,Tablas!$G$9:$O$1240,9,0)*(D26-INT(D26))+VLOOKUP(INT(D26),Tablas!$G$9:$O$1240,9,0)*(INT(D26)+1-D26))/(VLOOKUP(INT($C$5)+1,Tablas!$G$9:$O$1240,9,0)*($C$5-INT($C$5))+VLOOKUP(INT($C$5),Tablas!$G$9:$O$124,9,0)*(INT($C$5)+1-$C$5)))</f>
      </c>
      <c r="G26" s="791">
        <f>IF($C$4="Hombre",(+VLOOKUP(INT(D26)+1,Tablas!$G$9:$K$1240,5,0)*(D26-INT(D26))+VLOOKUP(INT(D26),Tablas!$G$9:$K$1240,5,0)*(INT(D26)+1-D26)),+VLOOKUP(INT(D26)+1,Tablas!$G$9:$O$1240,9,0)*(D26-INT(D26))+VLOOKUP(INT(D26),Tablas!$G$9:$O$1240,9,0)*(INT(D26)+1-D26))</f>
      </c>
      <c r="H26" s="801">
        <f>+IF(MONTH(B26)=1,H25*(1+$C$9),H25)</f>
      </c>
      <c r="I26" s="791">
        <f>IF(B26&lt;$C$10,0,IF(B26&lt;$C$11,$C$8/12*E26*F26*H26,0))</f>
      </c>
      <c r="J26" s="791">
        <f>I26*12/14+IF(OR(MONTH(C26)=6,MONTH(C26)=12),I26*12/14,0)</f>
      </c>
      <c r="K26" s="801">
        <f>G26/$G$15</f>
      </c>
      <c r="L26" s="760"/>
      <c r="M26" s="767"/>
      <c r="N26" s="168"/>
      <c r="O26" s="768"/>
      <c r="P26" s="170"/>
      <c r="Q26" s="7"/>
      <c r="R26" s="766"/>
      <c r="S26" s="170"/>
      <c r="T26" s="168"/>
      <c r="U26" s="170"/>
    </row>
    <row x14ac:dyDescent="0.25" r="27" customHeight="1" ht="18.75">
      <c r="A27" s="1"/>
      <c r="B27" s="799">
        <f>+DATE(YEAR(B26),MONTH(B26)+1,DAY(B26))</f>
        <v>25569.041666666668</v>
      </c>
      <c r="C27" s="799">
        <f>+B28-1</f>
        <v>25569.041666666668</v>
      </c>
      <c r="D27" s="791">
        <f>-_xlfn.DAYS($C$3,C27)/365.25</f>
      </c>
      <c r="E27" s="800">
        <f>IF($D$17+40&lt;=D27,(1+$D$7)^-(D27-$C$5),(1+$C$7)^-(D27-$C$5))</f>
      </c>
      <c r="F27" s="801">
        <f>IF($C$4="Hombre",(+VLOOKUP(INT(D27)+1,Tablas!$G$9:$K$1240,5,0)*(D27-INT(D27))+VLOOKUP(INT(D27),Tablas!$G$9:$K$1240,5,0)*(INT(D27)+1-D27))/(VLOOKUP(INT($C$5)+1,Tablas!$G$9:$K$1240,5,0)*($C$5-INT($C$5))+VLOOKUP(INT($C$5),Tablas!$G$9:$K$124,5,0)*(INT($C$5)+1-$C$5)),(+VLOOKUP(INT(D27)+1,Tablas!$G$9:$O$1240,9,0)*(D27-INT(D27))+VLOOKUP(INT(D27),Tablas!$G$9:$O$1240,9,0)*(INT(D27)+1-D27))/(VLOOKUP(INT($C$5)+1,Tablas!$G$9:$O$1240,9,0)*($C$5-INT($C$5))+VLOOKUP(INT($C$5),Tablas!$G$9:$O$124,9,0)*(INT($C$5)+1-$C$5)))</f>
      </c>
      <c r="G27" s="791">
        <f>IF($C$4="Hombre",(+VLOOKUP(INT(D27)+1,Tablas!$G$9:$K$1240,5,0)*(D27-INT(D27))+VLOOKUP(INT(D27),Tablas!$G$9:$K$1240,5,0)*(INT(D27)+1-D27)),+VLOOKUP(INT(D27)+1,Tablas!$G$9:$O$1240,9,0)*(D27-INT(D27))+VLOOKUP(INT(D27),Tablas!$G$9:$O$1240,9,0)*(INT(D27)+1-D27))</f>
      </c>
      <c r="H27" s="801">
        <f>+IF(MONTH(B27)=1,H26*(1+$C$9),H26)</f>
      </c>
      <c r="I27" s="791">
        <f>IF(B27&lt;$C$10,0,IF(B27&lt;$C$11,$C$8/12*E27*F27*H27,0))</f>
      </c>
      <c r="J27" s="791">
        <f>I27*12/14+IF(OR(MONTH(C27)=6,MONTH(C27)=12),I27*12/14,0)</f>
      </c>
      <c r="K27" s="801">
        <f>G27/$G$15</f>
      </c>
      <c r="L27" s="760"/>
      <c r="M27" s="767"/>
      <c r="N27" s="168"/>
      <c r="O27" s="768"/>
      <c r="P27" s="170"/>
      <c r="Q27" s="7"/>
      <c r="R27" s="766"/>
      <c r="S27" s="170"/>
      <c r="T27" s="168"/>
      <c r="U27" s="170"/>
    </row>
    <row x14ac:dyDescent="0.25" r="28" customHeight="1" ht="18.75">
      <c r="A28" s="1"/>
      <c r="B28" s="799">
        <f>+DATE(YEAR(B27),MONTH(B27)+1,DAY(B27))</f>
        <v>25569.041666666668</v>
      </c>
      <c r="C28" s="799">
        <f>+B29-1</f>
        <v>25569.041666666668</v>
      </c>
      <c r="D28" s="791">
        <f>-_xlfn.DAYS($C$3,C28)/365.25</f>
      </c>
      <c r="E28" s="800">
        <f>IF($D$17+40&lt;=D28,(1+$D$7)^-(D28-$C$5),(1+$C$7)^-(D28-$C$5))</f>
      </c>
      <c r="F28" s="801">
        <f>IF($C$4="Hombre",(+VLOOKUP(INT(D28)+1,Tablas!$G$9:$K$1240,5,0)*(D28-INT(D28))+VLOOKUP(INT(D28),Tablas!$G$9:$K$1240,5,0)*(INT(D28)+1-D28))/(VLOOKUP(INT($C$5)+1,Tablas!$G$9:$K$1240,5,0)*($C$5-INT($C$5))+VLOOKUP(INT($C$5),Tablas!$G$9:$K$124,5,0)*(INT($C$5)+1-$C$5)),(+VLOOKUP(INT(D28)+1,Tablas!$G$9:$O$1240,9,0)*(D28-INT(D28))+VLOOKUP(INT(D28),Tablas!$G$9:$O$1240,9,0)*(INT(D28)+1-D28))/(VLOOKUP(INT($C$5)+1,Tablas!$G$9:$O$1240,9,0)*($C$5-INT($C$5))+VLOOKUP(INT($C$5),Tablas!$G$9:$O$124,9,0)*(INT($C$5)+1-$C$5)))</f>
      </c>
      <c r="G28" s="791">
        <f>IF($C$4="Hombre",(+VLOOKUP(INT(D28)+1,Tablas!$G$9:$K$1240,5,0)*(D28-INT(D28))+VLOOKUP(INT(D28),Tablas!$G$9:$K$1240,5,0)*(INT(D28)+1-D28)),+VLOOKUP(INT(D28)+1,Tablas!$G$9:$O$1240,9,0)*(D28-INT(D28))+VLOOKUP(INT(D28),Tablas!$G$9:$O$1240,9,0)*(INT(D28)+1-D28))</f>
      </c>
      <c r="H28" s="801">
        <f>+IF(MONTH(B28)=1,H27*(1+$C$9),H27)</f>
      </c>
      <c r="I28" s="791">
        <f>IF(B28&lt;$C$10,0,IF(B28&lt;$C$11,$C$8/12*E28*F28*H28,0))</f>
      </c>
      <c r="J28" s="791">
        <f>I28*12/14+IF(OR(MONTH(C28)=6,MONTH(C28)=12),I28*12/14,0)</f>
      </c>
      <c r="K28" s="801">
        <f>G28/$G$15</f>
      </c>
      <c r="L28" s="760"/>
      <c r="M28" s="767"/>
      <c r="N28" s="168"/>
      <c r="O28" s="768"/>
      <c r="P28" s="170"/>
      <c r="Q28" s="7"/>
      <c r="R28" s="766"/>
      <c r="S28" s="170"/>
      <c r="T28" s="168"/>
      <c r="U28" s="170"/>
    </row>
    <row x14ac:dyDescent="0.25" r="29" customHeight="1" ht="18.75">
      <c r="A29" s="1"/>
      <c r="B29" s="799">
        <f>+DATE(YEAR(B28),MONTH(B28)+1,DAY(B28))</f>
        <v>25569.041666666668</v>
      </c>
      <c r="C29" s="799">
        <f>+B30-1</f>
        <v>25569.041666666668</v>
      </c>
      <c r="D29" s="791">
        <f>-_xlfn.DAYS($C$3,C29)/365.25</f>
      </c>
      <c r="E29" s="800">
        <f>IF($D$17+40&lt;=D29,(1+$D$7)^-(D29-$C$5),(1+$C$7)^-(D29-$C$5))</f>
      </c>
      <c r="F29" s="801">
        <f>IF($C$4="Hombre",(+VLOOKUP(INT(D29)+1,Tablas!$G$9:$K$1240,5,0)*(D29-INT(D29))+VLOOKUP(INT(D29),Tablas!$G$9:$K$1240,5,0)*(INT(D29)+1-D29))/(VLOOKUP(INT($C$5)+1,Tablas!$G$9:$K$1240,5,0)*($C$5-INT($C$5))+VLOOKUP(INT($C$5),Tablas!$G$9:$K$124,5,0)*(INT($C$5)+1-$C$5)),(+VLOOKUP(INT(D29)+1,Tablas!$G$9:$O$1240,9,0)*(D29-INT(D29))+VLOOKUP(INT(D29),Tablas!$G$9:$O$1240,9,0)*(INT(D29)+1-D29))/(VLOOKUP(INT($C$5)+1,Tablas!$G$9:$O$1240,9,0)*($C$5-INT($C$5))+VLOOKUP(INT($C$5),Tablas!$G$9:$O$124,9,0)*(INT($C$5)+1-$C$5)))</f>
      </c>
      <c r="G29" s="791">
        <f>IF($C$4="Hombre",(+VLOOKUP(INT(D29)+1,Tablas!$G$9:$K$1240,5,0)*(D29-INT(D29))+VLOOKUP(INT(D29),Tablas!$G$9:$K$1240,5,0)*(INT(D29)+1-D29)),+VLOOKUP(INT(D29)+1,Tablas!$G$9:$O$1240,9,0)*(D29-INT(D29))+VLOOKUP(INT(D29),Tablas!$G$9:$O$1240,9,0)*(INT(D29)+1-D29))</f>
      </c>
      <c r="H29" s="801">
        <f>+IF(MONTH(B29)=1,H28*(1+$C$9),H28)</f>
      </c>
      <c r="I29" s="791">
        <f>IF(B29&lt;$C$10,0,IF(B29&lt;$C$11,$C$8/12*E29*F29*H29,0))</f>
      </c>
      <c r="J29" s="791">
        <f>I29*12/14+IF(OR(MONTH(C29)=6,MONTH(C29)=12),I29*12/14,0)</f>
      </c>
      <c r="K29" s="801">
        <f>G29/$G$15</f>
      </c>
      <c r="L29" s="760"/>
      <c r="M29" s="767"/>
      <c r="N29" s="168"/>
      <c r="O29" s="768"/>
      <c r="P29" s="170"/>
      <c r="Q29" s="7"/>
      <c r="R29" s="766"/>
      <c r="S29" s="170"/>
      <c r="T29" s="168"/>
      <c r="U29" s="170"/>
    </row>
    <row x14ac:dyDescent="0.25" r="30" customHeight="1" ht="18.75">
      <c r="A30" s="1"/>
      <c r="B30" s="799">
        <f>+DATE(YEAR(B29),MONTH(B29)+1,DAY(B29))</f>
        <v>25569.041666666668</v>
      </c>
      <c r="C30" s="799">
        <f>+B31-1</f>
        <v>25569.041666666668</v>
      </c>
      <c r="D30" s="791">
        <f>-_xlfn.DAYS($C$3,C30)/365.25</f>
      </c>
      <c r="E30" s="800">
        <f>IF($D$17+40&lt;=D30,(1+$D$7)^-(D30-$C$5),(1+$C$7)^-(D30-$C$5))</f>
      </c>
      <c r="F30" s="801">
        <f>IF($C$4="Hombre",(+VLOOKUP(INT(D30)+1,Tablas!$G$9:$K$1240,5,0)*(D30-INT(D30))+VLOOKUP(INT(D30),Tablas!$G$9:$K$1240,5,0)*(INT(D30)+1-D30))/(VLOOKUP(INT($C$5)+1,Tablas!$G$9:$K$1240,5,0)*($C$5-INT($C$5))+VLOOKUP(INT($C$5),Tablas!$G$9:$K$124,5,0)*(INT($C$5)+1-$C$5)),(+VLOOKUP(INT(D30)+1,Tablas!$G$9:$O$1240,9,0)*(D30-INT(D30))+VLOOKUP(INT(D30),Tablas!$G$9:$O$1240,9,0)*(INT(D30)+1-D30))/(VLOOKUP(INT($C$5)+1,Tablas!$G$9:$O$1240,9,0)*($C$5-INT($C$5))+VLOOKUP(INT($C$5),Tablas!$G$9:$O$124,9,0)*(INT($C$5)+1-$C$5)))</f>
      </c>
      <c r="G30" s="791">
        <f>IF($C$4="Hombre",(+VLOOKUP(INT(D30)+1,Tablas!$G$9:$K$1240,5,0)*(D30-INT(D30))+VLOOKUP(INT(D30),Tablas!$G$9:$K$1240,5,0)*(INT(D30)+1-D30)),+VLOOKUP(INT(D30)+1,Tablas!$G$9:$O$1240,9,0)*(D30-INT(D30))+VLOOKUP(INT(D30),Tablas!$G$9:$O$1240,9,0)*(INT(D30)+1-D30))</f>
      </c>
      <c r="H30" s="801">
        <f>+IF(MONTH(B30)=1,H29*(1+$C$9),H29)</f>
      </c>
      <c r="I30" s="791">
        <f>IF(B30&lt;$C$10,0,IF(B30&lt;$C$11,$C$8/12*E30*F30*H30,0))</f>
      </c>
      <c r="J30" s="791">
        <f>I30*12/14+IF(OR(MONTH(C30)=6,MONTH(C30)=12),I30*12/14,0)</f>
      </c>
      <c r="K30" s="801">
        <f>G30/$G$15</f>
      </c>
      <c r="L30" s="760"/>
      <c r="M30" s="767"/>
      <c r="N30" s="168"/>
      <c r="O30" s="768"/>
      <c r="P30" s="170"/>
      <c r="Q30" s="7"/>
      <c r="R30" s="766"/>
      <c r="S30" s="170"/>
      <c r="T30" s="168"/>
      <c r="U30" s="170"/>
    </row>
    <row x14ac:dyDescent="0.25" r="31" customHeight="1" ht="18.75">
      <c r="A31" s="1"/>
      <c r="B31" s="799">
        <f>+DATE(YEAR(B30),MONTH(B30)+1,DAY(B30))</f>
        <v>25569.041666666668</v>
      </c>
      <c r="C31" s="799">
        <f>+B32-1</f>
        <v>25569.041666666668</v>
      </c>
      <c r="D31" s="791">
        <f>-_xlfn.DAYS($C$3,C31)/365.25</f>
      </c>
      <c r="E31" s="800">
        <f>IF($D$17+40&lt;=D31,(1+$D$7)^-(D31-$C$5),(1+$C$7)^-(D31-$C$5))</f>
      </c>
      <c r="F31" s="801">
        <f>IF($C$4="Hombre",(+VLOOKUP(INT(D31)+1,Tablas!$G$9:$K$1240,5,0)*(D31-INT(D31))+VLOOKUP(INT(D31),Tablas!$G$9:$K$1240,5,0)*(INT(D31)+1-D31))/(VLOOKUP(INT($C$5)+1,Tablas!$G$9:$K$1240,5,0)*($C$5-INT($C$5))+VLOOKUP(INT($C$5),Tablas!$G$9:$K$124,5,0)*(INT($C$5)+1-$C$5)),(+VLOOKUP(INT(D31)+1,Tablas!$G$9:$O$1240,9,0)*(D31-INT(D31))+VLOOKUP(INT(D31),Tablas!$G$9:$O$1240,9,0)*(INT(D31)+1-D31))/(VLOOKUP(INT($C$5)+1,Tablas!$G$9:$O$1240,9,0)*($C$5-INT($C$5))+VLOOKUP(INT($C$5),Tablas!$G$9:$O$124,9,0)*(INT($C$5)+1-$C$5)))</f>
      </c>
      <c r="G31" s="791">
        <f>IF($C$4="Hombre",(+VLOOKUP(INT(D31)+1,Tablas!$G$9:$K$1240,5,0)*(D31-INT(D31))+VLOOKUP(INT(D31),Tablas!$G$9:$K$1240,5,0)*(INT(D31)+1-D31)),+VLOOKUP(INT(D31)+1,Tablas!$G$9:$O$1240,9,0)*(D31-INT(D31))+VLOOKUP(INT(D31),Tablas!$G$9:$O$1240,9,0)*(INT(D31)+1-D31))</f>
      </c>
      <c r="H31" s="801">
        <f>+IF(MONTH(B31)=1,H30*(1+$C$9),H30)</f>
      </c>
      <c r="I31" s="791">
        <f>IF(B31&lt;$C$10,0,IF(B31&lt;$C$11,$C$8/12*E31*F31*H31,0))</f>
      </c>
      <c r="J31" s="791">
        <f>I31*12/14+IF(OR(MONTH(C31)=6,MONTH(C31)=12),I31*12/14,0)</f>
      </c>
      <c r="K31" s="801">
        <f>G31/$G$15</f>
      </c>
      <c r="L31" s="760"/>
      <c r="M31" s="767"/>
      <c r="N31" s="168"/>
      <c r="O31" s="768"/>
      <c r="P31" s="170"/>
      <c r="Q31" s="7"/>
      <c r="R31" s="766"/>
      <c r="S31" s="170"/>
      <c r="T31" s="168"/>
      <c r="U31" s="170"/>
    </row>
    <row x14ac:dyDescent="0.25" r="32" customHeight="1" ht="18.75">
      <c r="A32" s="1"/>
      <c r="B32" s="799">
        <f>+DATE(YEAR(B31),MONTH(B31)+1,DAY(B31))</f>
        <v>25569.041666666668</v>
      </c>
      <c r="C32" s="799">
        <f>+B33-1</f>
        <v>25569.041666666668</v>
      </c>
      <c r="D32" s="791">
        <f>-_xlfn.DAYS($C$3,C32)/365.25</f>
      </c>
      <c r="E32" s="800">
        <f>IF($D$17+40&lt;=D32,(1+$D$7)^-(D32-$C$5),(1+$C$7)^-(D32-$C$5))</f>
      </c>
      <c r="F32" s="801">
        <f>IF($C$4="Hombre",(+VLOOKUP(INT(D32)+1,Tablas!$G$9:$K$1240,5,0)*(D32-INT(D32))+VLOOKUP(INT(D32),Tablas!$G$9:$K$1240,5,0)*(INT(D32)+1-D32))/(VLOOKUP(INT($C$5)+1,Tablas!$G$9:$K$1240,5,0)*($C$5-INT($C$5))+VLOOKUP(INT($C$5),Tablas!$G$9:$K$124,5,0)*(INT($C$5)+1-$C$5)),(+VLOOKUP(INT(D32)+1,Tablas!$G$9:$O$1240,9,0)*(D32-INT(D32))+VLOOKUP(INT(D32),Tablas!$G$9:$O$1240,9,0)*(INT(D32)+1-D32))/(VLOOKUP(INT($C$5)+1,Tablas!$G$9:$O$1240,9,0)*($C$5-INT($C$5))+VLOOKUP(INT($C$5),Tablas!$G$9:$O$124,9,0)*(INT($C$5)+1-$C$5)))</f>
      </c>
      <c r="G32" s="791">
        <f>IF($C$4="Hombre",(+VLOOKUP(INT(D32)+1,Tablas!$G$9:$K$1240,5,0)*(D32-INT(D32))+VLOOKUP(INT(D32),Tablas!$G$9:$K$1240,5,0)*(INT(D32)+1-D32)),+VLOOKUP(INT(D32)+1,Tablas!$G$9:$O$1240,9,0)*(D32-INT(D32))+VLOOKUP(INT(D32),Tablas!$G$9:$O$1240,9,0)*(INT(D32)+1-D32))</f>
      </c>
      <c r="H32" s="801">
        <f>+IF(MONTH(B32)=1,H31*(1+$C$9),H31)</f>
      </c>
      <c r="I32" s="791">
        <f>IF(B32&lt;$C$10,0,IF(B32&lt;$C$11,$C$8/12*E32*F32*H32,0))</f>
      </c>
      <c r="J32" s="791">
        <f>I32*12/14+IF(OR(MONTH(C32)=6,MONTH(C32)=12),I32*12/14,0)</f>
      </c>
      <c r="K32" s="801">
        <f>G32/$G$15</f>
      </c>
      <c r="L32" s="760"/>
      <c r="M32" s="767"/>
      <c r="N32" s="168"/>
      <c r="O32" s="768"/>
      <c r="P32" s="170"/>
      <c r="Q32" s="7"/>
      <c r="R32" s="766"/>
      <c r="S32" s="170"/>
      <c r="T32" s="168"/>
      <c r="U32" s="170"/>
    </row>
    <row x14ac:dyDescent="0.25" r="33" customHeight="1" ht="18.75">
      <c r="A33" s="1"/>
      <c r="B33" s="799">
        <f>+DATE(YEAR(B32),MONTH(B32)+1,DAY(B32))</f>
        <v>25569.041666666668</v>
      </c>
      <c r="C33" s="799">
        <f>+B34-1</f>
        <v>25569.041666666668</v>
      </c>
      <c r="D33" s="791">
        <f>-_xlfn.DAYS($C$3,C33)/365.25</f>
      </c>
      <c r="E33" s="800">
        <f>IF($D$17+40&lt;=D33,(1+$D$7)^-(D33-$C$5),(1+$C$7)^-(D33-$C$5))</f>
      </c>
      <c r="F33" s="801">
        <f>IF($C$4="Hombre",(+VLOOKUP(INT(D33)+1,Tablas!$G$9:$K$1240,5,0)*(D33-INT(D33))+VLOOKUP(INT(D33),Tablas!$G$9:$K$1240,5,0)*(INT(D33)+1-D33))/(VLOOKUP(INT($C$5)+1,Tablas!$G$9:$K$1240,5,0)*($C$5-INT($C$5))+VLOOKUP(INT($C$5),Tablas!$G$9:$K$124,5,0)*(INT($C$5)+1-$C$5)),(+VLOOKUP(INT(D33)+1,Tablas!$G$9:$O$1240,9,0)*(D33-INT(D33))+VLOOKUP(INT(D33),Tablas!$G$9:$O$1240,9,0)*(INT(D33)+1-D33))/(VLOOKUP(INT($C$5)+1,Tablas!$G$9:$O$1240,9,0)*($C$5-INT($C$5))+VLOOKUP(INT($C$5),Tablas!$G$9:$O$124,9,0)*(INT($C$5)+1-$C$5)))</f>
      </c>
      <c r="G33" s="791">
        <f>IF($C$4="Hombre",(+VLOOKUP(INT(D33)+1,Tablas!$G$9:$K$1240,5,0)*(D33-INT(D33))+VLOOKUP(INT(D33),Tablas!$G$9:$K$1240,5,0)*(INT(D33)+1-D33)),+VLOOKUP(INT(D33)+1,Tablas!$G$9:$O$1240,9,0)*(D33-INT(D33))+VLOOKUP(INT(D33),Tablas!$G$9:$O$1240,9,0)*(INT(D33)+1-D33))</f>
      </c>
      <c r="H33" s="801">
        <f>+IF(MONTH(B33)=1,H32*(1+$C$9),H32)</f>
      </c>
      <c r="I33" s="791">
        <f>IF(B33&lt;$C$10,0,IF(B33&lt;$C$11,$C$8/12*E33*F33*H33,0))</f>
      </c>
      <c r="J33" s="791">
        <f>I33*12/14+IF(OR(MONTH(C33)=6,MONTH(C33)=12),I33*12/14,0)</f>
      </c>
      <c r="K33" s="801">
        <f>G33/$G$15</f>
      </c>
      <c r="L33" s="760"/>
      <c r="M33" s="767"/>
      <c r="N33" s="168"/>
      <c r="O33" s="768"/>
      <c r="P33" s="170"/>
      <c r="Q33" s="7"/>
      <c r="R33" s="766"/>
      <c r="S33" s="170"/>
      <c r="T33" s="168"/>
      <c r="U33" s="170"/>
    </row>
    <row x14ac:dyDescent="0.25" r="34" customHeight="1" ht="18.75">
      <c r="A34" s="1"/>
      <c r="B34" s="799">
        <f>+DATE(YEAR(B33),MONTH(B33)+1,DAY(B33))</f>
        <v>25569.041666666668</v>
      </c>
      <c r="C34" s="799">
        <f>+B35-1</f>
        <v>25569.041666666668</v>
      </c>
      <c r="D34" s="791">
        <f>-_xlfn.DAYS($C$3,C34)/365.25</f>
      </c>
      <c r="E34" s="800">
        <f>IF($D$17+40&lt;=D34,(1+$D$7)^-(D34-$C$5),(1+$C$7)^-(D34-$C$5))</f>
      </c>
      <c r="F34" s="801">
        <f>IF($C$4="Hombre",(+VLOOKUP(INT(D34)+1,Tablas!$G$9:$K$1240,5,0)*(D34-INT(D34))+VLOOKUP(INT(D34),Tablas!$G$9:$K$1240,5,0)*(INT(D34)+1-D34))/(VLOOKUP(INT($C$5)+1,Tablas!$G$9:$K$1240,5,0)*($C$5-INT($C$5))+VLOOKUP(INT($C$5),Tablas!$G$9:$K$124,5,0)*(INT($C$5)+1-$C$5)),(+VLOOKUP(INT(D34)+1,Tablas!$G$9:$O$1240,9,0)*(D34-INT(D34))+VLOOKUP(INT(D34),Tablas!$G$9:$O$1240,9,0)*(INT(D34)+1-D34))/(VLOOKUP(INT($C$5)+1,Tablas!$G$9:$O$1240,9,0)*($C$5-INT($C$5))+VLOOKUP(INT($C$5),Tablas!$G$9:$O$124,9,0)*(INT($C$5)+1-$C$5)))</f>
      </c>
      <c r="G34" s="791">
        <f>IF($C$4="Hombre",(+VLOOKUP(INT(D34)+1,Tablas!$G$9:$K$1240,5,0)*(D34-INT(D34))+VLOOKUP(INT(D34),Tablas!$G$9:$K$1240,5,0)*(INT(D34)+1-D34)),+VLOOKUP(INT(D34)+1,Tablas!$G$9:$O$1240,9,0)*(D34-INT(D34))+VLOOKUP(INT(D34),Tablas!$G$9:$O$1240,9,0)*(INT(D34)+1-D34))</f>
      </c>
      <c r="H34" s="801">
        <f>+IF(MONTH(B34)=1,H33*(1+$C$9),H33)</f>
      </c>
      <c r="I34" s="791">
        <f>IF(B34&lt;$C$10,0,IF(B34&lt;$C$11,$C$8/12*E34*F34*H34,0))</f>
      </c>
      <c r="J34" s="791">
        <f>I34*12/14+IF(OR(MONTH(C34)=6,MONTH(C34)=12),I34*12/14,0)</f>
      </c>
      <c r="K34" s="801">
        <f>G34/$G$15</f>
      </c>
      <c r="L34" s="760"/>
      <c r="M34" s="767"/>
      <c r="N34" s="168"/>
      <c r="O34" s="768"/>
      <c r="P34" s="170"/>
      <c r="Q34" s="7"/>
      <c r="R34" s="766"/>
      <c r="S34" s="170"/>
      <c r="T34" s="168"/>
      <c r="U34" s="170"/>
    </row>
    <row x14ac:dyDescent="0.25" r="35" customHeight="1" ht="18.75">
      <c r="A35" s="1"/>
      <c r="B35" s="799">
        <f>+DATE(YEAR(B34),MONTH(B34)+1,DAY(B34))</f>
        <v>25569.041666666668</v>
      </c>
      <c r="C35" s="799">
        <f>+B36-1</f>
        <v>25569.041666666668</v>
      </c>
      <c r="D35" s="791">
        <f>-_xlfn.DAYS($C$3,C35)/365.25</f>
      </c>
      <c r="E35" s="800">
        <f>IF($D$17+40&lt;=D35,(1+$D$7)^-(D35-$C$5),(1+$C$7)^-(D35-$C$5))</f>
      </c>
      <c r="F35" s="801">
        <f>IF($C$4="Hombre",(+VLOOKUP(INT(D35)+1,Tablas!$G$9:$K$1240,5,0)*(D35-INT(D35))+VLOOKUP(INT(D35),Tablas!$G$9:$K$1240,5,0)*(INT(D35)+1-D35))/(VLOOKUP(INT($C$5)+1,Tablas!$G$9:$K$1240,5,0)*($C$5-INT($C$5))+VLOOKUP(INT($C$5),Tablas!$G$9:$K$124,5,0)*(INT($C$5)+1-$C$5)),(+VLOOKUP(INT(D35)+1,Tablas!$G$9:$O$1240,9,0)*(D35-INT(D35))+VLOOKUP(INT(D35),Tablas!$G$9:$O$1240,9,0)*(INT(D35)+1-D35))/(VLOOKUP(INT($C$5)+1,Tablas!$G$9:$O$1240,9,0)*($C$5-INT($C$5))+VLOOKUP(INT($C$5),Tablas!$G$9:$O$124,9,0)*(INT($C$5)+1-$C$5)))</f>
      </c>
      <c r="G35" s="791">
        <f>IF($C$4="Hombre",(+VLOOKUP(INT(D35)+1,Tablas!$G$9:$K$1240,5,0)*(D35-INT(D35))+VLOOKUP(INT(D35),Tablas!$G$9:$K$1240,5,0)*(INT(D35)+1-D35)),+VLOOKUP(INT(D35)+1,Tablas!$G$9:$O$1240,9,0)*(D35-INT(D35))+VLOOKUP(INT(D35),Tablas!$G$9:$O$1240,9,0)*(INT(D35)+1-D35))</f>
      </c>
      <c r="H35" s="801">
        <f>+IF(MONTH(B35)=1,H34*(1+$C$9),H34)</f>
      </c>
      <c r="I35" s="791">
        <f>IF(B35&lt;$C$10,0,IF(B35&lt;$C$11,$C$8/12*E35*F35*H35,0))</f>
      </c>
      <c r="J35" s="791">
        <f>I35*12/14+IF(OR(MONTH(C35)=6,MONTH(C35)=12),I35*12/14,0)</f>
      </c>
      <c r="K35" s="801">
        <f>G35/$G$15</f>
      </c>
      <c r="L35" s="760"/>
      <c r="M35" s="767"/>
      <c r="N35" s="168"/>
      <c r="O35" s="768"/>
      <c r="P35" s="170"/>
      <c r="Q35" s="7"/>
      <c r="R35" s="766"/>
      <c r="S35" s="170"/>
      <c r="T35" s="168"/>
      <c r="U35" s="170"/>
    </row>
    <row x14ac:dyDescent="0.25" r="36" customHeight="1" ht="18.75">
      <c r="A36" s="1"/>
      <c r="B36" s="799">
        <f>+DATE(YEAR(B35),MONTH(B35)+1,DAY(B35))</f>
        <v>25569.041666666668</v>
      </c>
      <c r="C36" s="799">
        <f>+B37-1</f>
        <v>25569.041666666668</v>
      </c>
      <c r="D36" s="791">
        <f>-_xlfn.DAYS($C$3,C36)/365.25</f>
      </c>
      <c r="E36" s="800">
        <f>IF($D$17+40&lt;=D36,(1+$D$7)^-(D36-$C$5),(1+$C$7)^-(D36-$C$5))</f>
      </c>
      <c r="F36" s="801">
        <f>IF($C$4="Hombre",(+VLOOKUP(INT(D36)+1,Tablas!$G$9:$K$1240,5,0)*(D36-INT(D36))+VLOOKUP(INT(D36),Tablas!$G$9:$K$1240,5,0)*(INT(D36)+1-D36))/(VLOOKUP(INT($C$5)+1,Tablas!$G$9:$K$1240,5,0)*($C$5-INT($C$5))+VLOOKUP(INT($C$5),Tablas!$G$9:$K$124,5,0)*(INT($C$5)+1-$C$5)),(+VLOOKUP(INT(D36)+1,Tablas!$G$9:$O$1240,9,0)*(D36-INT(D36))+VLOOKUP(INT(D36),Tablas!$G$9:$O$1240,9,0)*(INT(D36)+1-D36))/(VLOOKUP(INT($C$5)+1,Tablas!$G$9:$O$1240,9,0)*($C$5-INT($C$5))+VLOOKUP(INT($C$5),Tablas!$G$9:$O$124,9,0)*(INT($C$5)+1-$C$5)))</f>
      </c>
      <c r="G36" s="791">
        <f>IF($C$4="Hombre",(+VLOOKUP(INT(D36)+1,Tablas!$G$9:$K$1240,5,0)*(D36-INT(D36))+VLOOKUP(INT(D36),Tablas!$G$9:$K$1240,5,0)*(INT(D36)+1-D36)),+VLOOKUP(INT(D36)+1,Tablas!$G$9:$O$1240,9,0)*(D36-INT(D36))+VLOOKUP(INT(D36),Tablas!$G$9:$O$1240,9,0)*(INT(D36)+1-D36))</f>
      </c>
      <c r="H36" s="801">
        <f>+IF(MONTH(B36)=1,H35*(1+$C$9),H35)</f>
      </c>
      <c r="I36" s="791">
        <f>IF(B36&lt;$C$10,0,IF(B36&lt;$C$11,$C$8/12*E36*F36*H36,0))</f>
      </c>
      <c r="J36" s="791">
        <f>I36*12/14+IF(OR(MONTH(C36)=6,MONTH(C36)=12),I36*12/14,0)</f>
      </c>
      <c r="K36" s="801">
        <f>G36/$G$15</f>
      </c>
      <c r="L36" s="760"/>
      <c r="M36" s="767"/>
      <c r="N36" s="168"/>
      <c r="O36" s="768"/>
      <c r="P36" s="170"/>
      <c r="Q36" s="7"/>
      <c r="R36" s="766"/>
      <c r="S36" s="170"/>
      <c r="T36" s="168"/>
      <c r="U36" s="170"/>
    </row>
    <row x14ac:dyDescent="0.25" r="37" customHeight="1" ht="18.75">
      <c r="A37" s="1"/>
      <c r="B37" s="799">
        <f>+DATE(YEAR(B36),MONTH(B36)+1,DAY(B36))</f>
        <v>25569.041666666668</v>
      </c>
      <c r="C37" s="799">
        <f>+B38-1</f>
        <v>25569.041666666668</v>
      </c>
      <c r="D37" s="791">
        <f>-_xlfn.DAYS($C$3,C37)/365.25</f>
      </c>
      <c r="E37" s="800">
        <f>IF($D$17+40&lt;=D37,(1+$D$7)^-(D37-$C$5),(1+$C$7)^-(D37-$C$5))</f>
      </c>
      <c r="F37" s="801">
        <f>IF($C$4="Hombre",(+VLOOKUP(INT(D37)+1,Tablas!$G$9:$K$1240,5,0)*(D37-INT(D37))+VLOOKUP(INT(D37),Tablas!$G$9:$K$1240,5,0)*(INT(D37)+1-D37))/(VLOOKUP(INT($C$5)+1,Tablas!$G$9:$K$1240,5,0)*($C$5-INT($C$5))+VLOOKUP(INT($C$5),Tablas!$G$9:$K$124,5,0)*(INT($C$5)+1-$C$5)),(+VLOOKUP(INT(D37)+1,Tablas!$G$9:$O$1240,9,0)*(D37-INT(D37))+VLOOKUP(INT(D37),Tablas!$G$9:$O$1240,9,0)*(INT(D37)+1-D37))/(VLOOKUP(INT($C$5)+1,Tablas!$G$9:$O$1240,9,0)*($C$5-INT($C$5))+VLOOKUP(INT($C$5),Tablas!$G$9:$O$124,9,0)*(INT($C$5)+1-$C$5)))</f>
      </c>
      <c r="G37" s="791">
        <f>IF($C$4="Hombre",(+VLOOKUP(INT(D37)+1,Tablas!$G$9:$K$1240,5,0)*(D37-INT(D37))+VLOOKUP(INT(D37),Tablas!$G$9:$K$1240,5,0)*(INT(D37)+1-D37)),+VLOOKUP(INT(D37)+1,Tablas!$G$9:$O$1240,9,0)*(D37-INT(D37))+VLOOKUP(INT(D37),Tablas!$G$9:$O$1240,9,0)*(INT(D37)+1-D37))</f>
      </c>
      <c r="H37" s="801">
        <f>+IF(MONTH(B37)=1,H36*(1+$C$9),H36)</f>
      </c>
      <c r="I37" s="791">
        <f>IF(B37&lt;$C$10,0,IF(B37&lt;$C$11,$C$8/12*E37*F37*H37,0))</f>
      </c>
      <c r="J37" s="791">
        <f>I37*12/14+IF(OR(MONTH(C37)=6,MONTH(C37)=12),I37*12/14,0)</f>
      </c>
      <c r="K37" s="801">
        <f>G37/$G$15</f>
      </c>
      <c r="L37" s="760"/>
      <c r="M37" s="767"/>
      <c r="N37" s="168"/>
      <c r="O37" s="768"/>
      <c r="P37" s="170"/>
      <c r="Q37" s="7"/>
      <c r="R37" s="766"/>
      <c r="S37" s="170"/>
      <c r="T37" s="168"/>
      <c r="U37" s="170"/>
    </row>
    <row x14ac:dyDescent="0.25" r="38" customHeight="1" ht="18.75">
      <c r="A38" s="1"/>
      <c r="B38" s="799">
        <f>+DATE(YEAR(B37),MONTH(B37)+1,DAY(B37))</f>
        <v>25569.041666666668</v>
      </c>
      <c r="C38" s="799">
        <f>+B39-1</f>
        <v>25569.041666666668</v>
      </c>
      <c r="D38" s="791">
        <f>-_xlfn.DAYS($C$3,C38)/365.25</f>
      </c>
      <c r="E38" s="800">
        <f>IF($D$17+40&lt;=D38,(1+$D$7)^-(D38-$C$5),(1+$C$7)^-(D38-$C$5))</f>
      </c>
      <c r="F38" s="801">
        <f>IF($C$4="Hombre",(+VLOOKUP(INT(D38)+1,Tablas!$G$9:$K$1240,5,0)*(D38-INT(D38))+VLOOKUP(INT(D38),Tablas!$G$9:$K$1240,5,0)*(INT(D38)+1-D38))/(VLOOKUP(INT($C$5)+1,Tablas!$G$9:$K$1240,5,0)*($C$5-INT($C$5))+VLOOKUP(INT($C$5),Tablas!$G$9:$K$124,5,0)*(INT($C$5)+1-$C$5)),(+VLOOKUP(INT(D38)+1,Tablas!$G$9:$O$1240,9,0)*(D38-INT(D38))+VLOOKUP(INT(D38),Tablas!$G$9:$O$1240,9,0)*(INT(D38)+1-D38))/(VLOOKUP(INT($C$5)+1,Tablas!$G$9:$O$1240,9,0)*($C$5-INT($C$5))+VLOOKUP(INT($C$5),Tablas!$G$9:$O$124,9,0)*(INT($C$5)+1-$C$5)))</f>
      </c>
      <c r="G38" s="791">
        <f>IF($C$4="Hombre",(+VLOOKUP(INT(D38)+1,Tablas!$G$9:$K$1240,5,0)*(D38-INT(D38))+VLOOKUP(INT(D38),Tablas!$G$9:$K$1240,5,0)*(INT(D38)+1-D38)),+VLOOKUP(INT(D38)+1,Tablas!$G$9:$O$1240,9,0)*(D38-INT(D38))+VLOOKUP(INT(D38),Tablas!$G$9:$O$1240,9,0)*(INT(D38)+1-D38))</f>
      </c>
      <c r="H38" s="801">
        <f>+IF(MONTH(B38)=1,H37*(1+$C$9),H37)</f>
      </c>
      <c r="I38" s="791">
        <f>IF(B38&lt;$C$10,0,IF(B38&lt;$C$11,$C$8/12*E38*F38*H38,0))</f>
      </c>
      <c r="J38" s="791">
        <f>I38*12/14+IF(OR(MONTH(C38)=6,MONTH(C38)=12),I38*12/14,0)</f>
      </c>
      <c r="K38" s="801">
        <f>G38/$G$15</f>
      </c>
      <c r="L38" s="760"/>
      <c r="M38" s="767"/>
      <c r="N38" s="168"/>
      <c r="O38" s="768"/>
      <c r="P38" s="170"/>
      <c r="Q38" s="7"/>
      <c r="R38" s="766"/>
      <c r="S38" s="170"/>
      <c r="T38" s="168"/>
      <c r="U38" s="170"/>
    </row>
    <row x14ac:dyDescent="0.25" r="39" customHeight="1" ht="18.75">
      <c r="A39" s="1"/>
      <c r="B39" s="799">
        <f>+DATE(YEAR(B38),MONTH(B38)+1,DAY(B38))</f>
        <v>25569.041666666668</v>
      </c>
      <c r="C39" s="799">
        <f>+B40-1</f>
        <v>25569.041666666668</v>
      </c>
      <c r="D39" s="791">
        <f>-_xlfn.DAYS($C$3,C39)/365.25</f>
      </c>
      <c r="E39" s="800">
        <f>IF($D$17+40&lt;=D39,(1+$D$7)^-(D39-$C$5),(1+$C$7)^-(D39-$C$5))</f>
      </c>
      <c r="F39" s="801">
        <f>IF($C$4="Hombre",(+VLOOKUP(INT(D39)+1,Tablas!$G$9:$K$1240,5,0)*(D39-INT(D39))+VLOOKUP(INT(D39),Tablas!$G$9:$K$1240,5,0)*(INT(D39)+1-D39))/(VLOOKUP(INT($C$5)+1,Tablas!$G$9:$K$1240,5,0)*($C$5-INT($C$5))+VLOOKUP(INT($C$5),Tablas!$G$9:$K$124,5,0)*(INT($C$5)+1-$C$5)),(+VLOOKUP(INT(D39)+1,Tablas!$G$9:$O$1240,9,0)*(D39-INT(D39))+VLOOKUP(INT(D39),Tablas!$G$9:$O$1240,9,0)*(INT(D39)+1-D39))/(VLOOKUP(INT($C$5)+1,Tablas!$G$9:$O$1240,9,0)*($C$5-INT($C$5))+VLOOKUP(INT($C$5),Tablas!$G$9:$O$124,9,0)*(INT($C$5)+1-$C$5)))</f>
      </c>
      <c r="G39" s="791">
        <f>IF($C$4="Hombre",(+VLOOKUP(INT(D39)+1,Tablas!$G$9:$K$1240,5,0)*(D39-INT(D39))+VLOOKUP(INT(D39),Tablas!$G$9:$K$1240,5,0)*(INT(D39)+1-D39)),+VLOOKUP(INT(D39)+1,Tablas!$G$9:$O$1240,9,0)*(D39-INT(D39))+VLOOKUP(INT(D39),Tablas!$G$9:$O$1240,9,0)*(INT(D39)+1-D39))</f>
      </c>
      <c r="H39" s="801">
        <f>+IF(MONTH(B39)=1,H38*(1+$C$9),H38)</f>
      </c>
      <c r="I39" s="791">
        <f>IF(B39&lt;$C$10,0,IF(B39&lt;$C$11,$C$8/12*E39*F39*H39,0))</f>
      </c>
      <c r="J39" s="791">
        <f>I39*12/14+IF(OR(MONTH(C39)=6,MONTH(C39)=12),I39*12/14,0)</f>
      </c>
      <c r="K39" s="801">
        <f>G39/$G$15</f>
      </c>
      <c r="L39" s="760"/>
      <c r="M39" s="767"/>
      <c r="N39" s="168"/>
      <c r="O39" s="768"/>
      <c r="P39" s="170"/>
      <c r="Q39" s="7"/>
      <c r="R39" s="766"/>
      <c r="S39" s="170"/>
      <c r="T39" s="168"/>
      <c r="U39" s="170"/>
    </row>
    <row x14ac:dyDescent="0.25" r="40" customHeight="1" ht="18.75">
      <c r="A40" s="1"/>
      <c r="B40" s="799">
        <f>+DATE(YEAR(B39),MONTH(B39)+1,DAY(B39))</f>
        <v>25569.041666666668</v>
      </c>
      <c r="C40" s="799">
        <f>+B41-1</f>
        <v>25569.041666666668</v>
      </c>
      <c r="D40" s="791">
        <f>-_xlfn.DAYS($C$3,C40)/365.25</f>
      </c>
      <c r="E40" s="800">
        <f>IF($D$17+40&lt;=D40,(1+$D$7)^-(D40-$C$5),(1+$C$7)^-(D40-$C$5))</f>
      </c>
      <c r="F40" s="801">
        <f>IF($C$4="Hombre",(+VLOOKUP(INT(D40)+1,Tablas!$G$9:$K$1240,5,0)*(D40-INT(D40))+VLOOKUP(INT(D40),Tablas!$G$9:$K$1240,5,0)*(INT(D40)+1-D40))/(VLOOKUP(INT($C$5)+1,Tablas!$G$9:$K$1240,5,0)*($C$5-INT($C$5))+VLOOKUP(INT($C$5),Tablas!$G$9:$K$124,5,0)*(INT($C$5)+1-$C$5)),(+VLOOKUP(INT(D40)+1,Tablas!$G$9:$O$1240,9,0)*(D40-INT(D40))+VLOOKUP(INT(D40),Tablas!$G$9:$O$1240,9,0)*(INT(D40)+1-D40))/(VLOOKUP(INT($C$5)+1,Tablas!$G$9:$O$1240,9,0)*($C$5-INT($C$5))+VLOOKUP(INT($C$5),Tablas!$G$9:$O$124,9,0)*(INT($C$5)+1-$C$5)))</f>
      </c>
      <c r="G40" s="791">
        <f>IF($C$4="Hombre",(+VLOOKUP(INT(D40)+1,Tablas!$G$9:$K$1240,5,0)*(D40-INT(D40))+VLOOKUP(INT(D40),Tablas!$G$9:$K$1240,5,0)*(INT(D40)+1-D40)),+VLOOKUP(INT(D40)+1,Tablas!$G$9:$O$1240,9,0)*(D40-INT(D40))+VLOOKUP(INT(D40),Tablas!$G$9:$O$1240,9,0)*(INT(D40)+1-D40))</f>
      </c>
      <c r="H40" s="801">
        <f>+IF(MONTH(B40)=1,H39*(1+$C$9),H39)</f>
      </c>
      <c r="I40" s="791">
        <f>IF(B40&lt;$C$10,0,IF(B40&lt;$C$11,$C$8/12*E40*F40*H40,0))</f>
      </c>
      <c r="J40" s="791">
        <f>I40*12/14+IF(OR(MONTH(C40)=6,MONTH(C40)=12),I40*12/14,0)</f>
      </c>
      <c r="K40" s="801">
        <f>G40/$G$15</f>
      </c>
      <c r="L40" s="760"/>
      <c r="M40" s="767"/>
      <c r="N40" s="168"/>
      <c r="O40" s="768"/>
      <c r="P40" s="170"/>
      <c r="Q40" s="7"/>
      <c r="R40" s="766"/>
      <c r="S40" s="170"/>
      <c r="T40" s="168"/>
      <c r="U40" s="170"/>
    </row>
    <row x14ac:dyDescent="0.25" r="41" customHeight="1" ht="18.75">
      <c r="A41" s="1"/>
      <c r="B41" s="799">
        <f>+DATE(YEAR(B40),MONTH(B40)+1,DAY(B40))</f>
        <v>25569.041666666668</v>
      </c>
      <c r="C41" s="799">
        <f>+B42-1</f>
        <v>25569.041666666668</v>
      </c>
      <c r="D41" s="791">
        <f>-_xlfn.DAYS($C$3,C41)/365.25</f>
      </c>
      <c r="E41" s="800">
        <f>IF($D$17+40&lt;=D41,(1+$D$7)^-(D41-$C$5),(1+$C$7)^-(D41-$C$5))</f>
      </c>
      <c r="F41" s="801">
        <f>IF($C$4="Hombre",(+VLOOKUP(INT(D41)+1,Tablas!$G$9:$K$1240,5,0)*(D41-INT(D41))+VLOOKUP(INT(D41),Tablas!$G$9:$K$1240,5,0)*(INT(D41)+1-D41))/(VLOOKUP(INT($C$5)+1,Tablas!$G$9:$K$1240,5,0)*($C$5-INT($C$5))+VLOOKUP(INT($C$5),Tablas!$G$9:$K$124,5,0)*(INT($C$5)+1-$C$5)),(+VLOOKUP(INT(D41)+1,Tablas!$G$9:$O$1240,9,0)*(D41-INT(D41))+VLOOKUP(INT(D41),Tablas!$G$9:$O$1240,9,0)*(INT(D41)+1-D41))/(VLOOKUP(INT($C$5)+1,Tablas!$G$9:$O$1240,9,0)*($C$5-INT($C$5))+VLOOKUP(INT($C$5),Tablas!$G$9:$O$124,9,0)*(INT($C$5)+1-$C$5)))</f>
      </c>
      <c r="G41" s="791">
        <f>IF($C$4="Hombre",(+VLOOKUP(INT(D41)+1,Tablas!$G$9:$K$1240,5,0)*(D41-INT(D41))+VLOOKUP(INT(D41),Tablas!$G$9:$K$1240,5,0)*(INT(D41)+1-D41)),+VLOOKUP(INT(D41)+1,Tablas!$G$9:$O$1240,9,0)*(D41-INT(D41))+VLOOKUP(INT(D41),Tablas!$G$9:$O$1240,9,0)*(INT(D41)+1-D41))</f>
      </c>
      <c r="H41" s="801">
        <f>+IF(MONTH(B41)=1,H40*(1+$C$9),H40)</f>
      </c>
      <c r="I41" s="791">
        <f>IF(B41&lt;$C$10,0,IF(B41&lt;$C$11,$C$8/12*E41*F41*H41,0))</f>
      </c>
      <c r="J41" s="791">
        <f>I41*12/14+IF(OR(MONTH(C41)=6,MONTH(C41)=12),I41*12/14,0)</f>
      </c>
      <c r="K41" s="801">
        <f>G41/$G$15</f>
      </c>
      <c r="L41" s="760"/>
      <c r="M41" s="767"/>
      <c r="N41" s="168"/>
      <c r="O41" s="768"/>
      <c r="P41" s="170"/>
      <c r="Q41" s="7"/>
      <c r="R41" s="766"/>
      <c r="S41" s="170"/>
      <c r="T41" s="168"/>
      <c r="U41" s="170"/>
    </row>
    <row x14ac:dyDescent="0.25" r="42" customHeight="1" ht="18.75">
      <c r="A42" s="1"/>
      <c r="B42" s="799">
        <f>+DATE(YEAR(B41),MONTH(B41)+1,DAY(B41))</f>
        <v>25569.041666666668</v>
      </c>
      <c r="C42" s="799">
        <f>+B43-1</f>
        <v>25569.041666666668</v>
      </c>
      <c r="D42" s="791">
        <f>-_xlfn.DAYS($C$3,C42)/365.25</f>
      </c>
      <c r="E42" s="800">
        <f>IF($D$17+40&lt;=D42,(1+$D$7)^-(D42-$C$5),(1+$C$7)^-(D42-$C$5))</f>
      </c>
      <c r="F42" s="801">
        <f>IF($C$4="Hombre",(+VLOOKUP(INT(D42)+1,Tablas!$G$9:$K$1240,5,0)*(D42-INT(D42))+VLOOKUP(INT(D42),Tablas!$G$9:$K$1240,5,0)*(INT(D42)+1-D42))/(VLOOKUP(INT($C$5)+1,Tablas!$G$9:$K$1240,5,0)*($C$5-INT($C$5))+VLOOKUP(INT($C$5),Tablas!$G$9:$K$124,5,0)*(INT($C$5)+1-$C$5)),(+VLOOKUP(INT(D42)+1,Tablas!$G$9:$O$1240,9,0)*(D42-INT(D42))+VLOOKUP(INT(D42),Tablas!$G$9:$O$1240,9,0)*(INT(D42)+1-D42))/(VLOOKUP(INT($C$5)+1,Tablas!$G$9:$O$1240,9,0)*($C$5-INT($C$5))+VLOOKUP(INT($C$5),Tablas!$G$9:$O$124,9,0)*(INT($C$5)+1-$C$5)))</f>
      </c>
      <c r="G42" s="791">
        <f>IF($C$4="Hombre",(+VLOOKUP(INT(D42)+1,Tablas!$G$9:$K$1240,5,0)*(D42-INT(D42))+VLOOKUP(INT(D42),Tablas!$G$9:$K$1240,5,0)*(INT(D42)+1-D42)),+VLOOKUP(INT(D42)+1,Tablas!$G$9:$O$1240,9,0)*(D42-INT(D42))+VLOOKUP(INT(D42),Tablas!$G$9:$O$1240,9,0)*(INT(D42)+1-D42))</f>
      </c>
      <c r="H42" s="801">
        <f>+IF(MONTH(B42)=1,H41*(1+$C$9),H41)</f>
      </c>
      <c r="I42" s="791">
        <f>IF(B42&lt;$C$10,0,IF(B42&lt;$C$11,$C$8/12*E42*F42*H42,0))</f>
      </c>
      <c r="J42" s="791">
        <f>I42*12/14+IF(OR(MONTH(C42)=6,MONTH(C42)=12),I42*12/14,0)</f>
      </c>
      <c r="K42" s="801">
        <f>G42/$G$15</f>
      </c>
      <c r="L42" s="760"/>
      <c r="M42" s="767"/>
      <c r="N42" s="168"/>
      <c r="O42" s="768"/>
      <c r="P42" s="170"/>
      <c r="Q42" s="7"/>
      <c r="R42" s="766"/>
      <c r="S42" s="170"/>
      <c r="T42" s="168"/>
      <c r="U42" s="170"/>
    </row>
    <row x14ac:dyDescent="0.25" r="43" customHeight="1" ht="18.75">
      <c r="A43" s="1"/>
      <c r="B43" s="799">
        <f>+DATE(YEAR(B42),MONTH(B42)+1,DAY(B42))</f>
        <v>25569.041666666668</v>
      </c>
      <c r="C43" s="799">
        <f>+B44-1</f>
        <v>25569.041666666668</v>
      </c>
      <c r="D43" s="791">
        <f>-_xlfn.DAYS($C$3,C43)/365.25</f>
      </c>
      <c r="E43" s="800">
        <f>IF($D$17+40&lt;=D43,(1+$D$7)^-(D43-$C$5),(1+$C$7)^-(D43-$C$5))</f>
      </c>
      <c r="F43" s="801">
        <f>IF($C$4="Hombre",(+VLOOKUP(INT(D43)+1,Tablas!$G$9:$K$1240,5,0)*(D43-INT(D43))+VLOOKUP(INT(D43),Tablas!$G$9:$K$1240,5,0)*(INT(D43)+1-D43))/(VLOOKUP(INT($C$5)+1,Tablas!$G$9:$K$1240,5,0)*($C$5-INT($C$5))+VLOOKUP(INT($C$5),Tablas!$G$9:$K$124,5,0)*(INT($C$5)+1-$C$5)),(+VLOOKUP(INT(D43)+1,Tablas!$G$9:$O$1240,9,0)*(D43-INT(D43))+VLOOKUP(INT(D43),Tablas!$G$9:$O$1240,9,0)*(INT(D43)+1-D43))/(VLOOKUP(INT($C$5)+1,Tablas!$G$9:$O$1240,9,0)*($C$5-INT($C$5))+VLOOKUP(INT($C$5),Tablas!$G$9:$O$124,9,0)*(INT($C$5)+1-$C$5)))</f>
      </c>
      <c r="G43" s="791">
        <f>IF($C$4="Hombre",(+VLOOKUP(INT(D43)+1,Tablas!$G$9:$K$1240,5,0)*(D43-INT(D43))+VLOOKUP(INT(D43),Tablas!$G$9:$K$1240,5,0)*(INT(D43)+1-D43)),+VLOOKUP(INT(D43)+1,Tablas!$G$9:$O$1240,9,0)*(D43-INT(D43))+VLOOKUP(INT(D43),Tablas!$G$9:$O$1240,9,0)*(INT(D43)+1-D43))</f>
      </c>
      <c r="H43" s="801">
        <f>+IF(MONTH(B43)=1,H42*(1+$C$9),H42)</f>
      </c>
      <c r="I43" s="791">
        <f>IF(B43&lt;$C$10,0,IF(B43&lt;$C$11,$C$8/12*E43*F43*H43,0))</f>
      </c>
      <c r="J43" s="791">
        <f>I43*12/14+IF(OR(MONTH(C43)=6,MONTH(C43)=12),I43*12/14,0)</f>
      </c>
      <c r="K43" s="801">
        <f>G43/$G$15</f>
      </c>
      <c r="L43" s="760"/>
      <c r="M43" s="767"/>
      <c r="N43" s="168"/>
      <c r="O43" s="768"/>
      <c r="P43" s="170"/>
      <c r="Q43" s="7"/>
      <c r="R43" s="766"/>
      <c r="S43" s="170"/>
      <c r="T43" s="168"/>
      <c r="U43" s="170"/>
    </row>
    <row x14ac:dyDescent="0.25" r="44" customHeight="1" ht="18.75">
      <c r="A44" s="1"/>
      <c r="B44" s="799">
        <f>+DATE(YEAR(B43),MONTH(B43)+1,DAY(B43))</f>
        <v>25569.041666666668</v>
      </c>
      <c r="C44" s="799">
        <f>+B45-1</f>
        <v>25569.041666666668</v>
      </c>
      <c r="D44" s="791">
        <f>-_xlfn.DAYS($C$3,C44)/365.25</f>
      </c>
      <c r="E44" s="800">
        <f>IF($D$17+40&lt;=D44,(1+$D$7)^-(D44-$C$5),(1+$C$7)^-(D44-$C$5))</f>
      </c>
      <c r="F44" s="801">
        <f>IF($C$4="Hombre",(+VLOOKUP(INT(D44)+1,Tablas!$G$9:$K$1240,5,0)*(D44-INT(D44))+VLOOKUP(INT(D44),Tablas!$G$9:$K$1240,5,0)*(INT(D44)+1-D44))/(VLOOKUP(INT($C$5)+1,Tablas!$G$9:$K$1240,5,0)*($C$5-INT($C$5))+VLOOKUP(INT($C$5),Tablas!$G$9:$K$124,5,0)*(INT($C$5)+1-$C$5)),(+VLOOKUP(INT(D44)+1,Tablas!$G$9:$O$1240,9,0)*(D44-INT(D44))+VLOOKUP(INT(D44),Tablas!$G$9:$O$1240,9,0)*(INT(D44)+1-D44))/(VLOOKUP(INT($C$5)+1,Tablas!$G$9:$O$1240,9,0)*($C$5-INT($C$5))+VLOOKUP(INT($C$5),Tablas!$G$9:$O$124,9,0)*(INT($C$5)+1-$C$5)))</f>
      </c>
      <c r="G44" s="791">
        <f>IF($C$4="Hombre",(+VLOOKUP(INT(D44)+1,Tablas!$G$9:$K$1240,5,0)*(D44-INT(D44))+VLOOKUP(INT(D44),Tablas!$G$9:$K$1240,5,0)*(INT(D44)+1-D44)),+VLOOKUP(INT(D44)+1,Tablas!$G$9:$O$1240,9,0)*(D44-INT(D44))+VLOOKUP(INT(D44),Tablas!$G$9:$O$1240,9,0)*(INT(D44)+1-D44))</f>
      </c>
      <c r="H44" s="801">
        <f>+IF(MONTH(B44)=1,H43*(1+$C$9),H43)</f>
      </c>
      <c r="I44" s="791">
        <f>IF(B44&lt;$C$10,0,IF(B44&lt;$C$11,$C$8/12*E44*F44*H44,0))</f>
      </c>
      <c r="J44" s="791">
        <f>I44*12/14+IF(OR(MONTH(C44)=6,MONTH(C44)=12),I44*12/14,0)</f>
      </c>
      <c r="K44" s="801">
        <f>G44/$G$15</f>
      </c>
      <c r="L44" s="760"/>
      <c r="M44" s="767"/>
      <c r="N44" s="168"/>
      <c r="O44" s="768"/>
      <c r="P44" s="170"/>
      <c r="Q44" s="7"/>
      <c r="R44" s="766"/>
      <c r="S44" s="170"/>
      <c r="T44" s="168"/>
      <c r="U44" s="170"/>
    </row>
    <row x14ac:dyDescent="0.25" r="45" customHeight="1" ht="18.75">
      <c r="A45" s="1"/>
      <c r="B45" s="799">
        <f>+DATE(YEAR(B44),MONTH(B44)+1,DAY(B44))</f>
        <v>25569.041666666668</v>
      </c>
      <c r="C45" s="799">
        <f>+B46-1</f>
        <v>25569.041666666668</v>
      </c>
      <c r="D45" s="791">
        <f>-_xlfn.DAYS($C$3,C45)/365.25</f>
      </c>
      <c r="E45" s="800">
        <f>IF($D$17+40&lt;=D45,(1+$D$7)^-(D45-$C$5),(1+$C$7)^-(D45-$C$5))</f>
      </c>
      <c r="F45" s="801">
        <f>IF($C$4="Hombre",(+VLOOKUP(INT(D45)+1,Tablas!$G$9:$K$1240,5,0)*(D45-INT(D45))+VLOOKUP(INT(D45),Tablas!$G$9:$K$1240,5,0)*(INT(D45)+1-D45))/(VLOOKUP(INT($C$5)+1,Tablas!$G$9:$K$1240,5,0)*($C$5-INT($C$5))+VLOOKUP(INT($C$5),Tablas!$G$9:$K$124,5,0)*(INT($C$5)+1-$C$5)),(+VLOOKUP(INT(D45)+1,Tablas!$G$9:$O$1240,9,0)*(D45-INT(D45))+VLOOKUP(INT(D45),Tablas!$G$9:$O$1240,9,0)*(INT(D45)+1-D45))/(VLOOKUP(INT($C$5)+1,Tablas!$G$9:$O$1240,9,0)*($C$5-INT($C$5))+VLOOKUP(INT($C$5),Tablas!$G$9:$O$124,9,0)*(INT($C$5)+1-$C$5)))</f>
      </c>
      <c r="G45" s="791">
        <f>IF($C$4="Hombre",(+VLOOKUP(INT(D45)+1,Tablas!$G$9:$K$1240,5,0)*(D45-INT(D45))+VLOOKUP(INT(D45),Tablas!$G$9:$K$1240,5,0)*(INT(D45)+1-D45)),+VLOOKUP(INT(D45)+1,Tablas!$G$9:$O$1240,9,0)*(D45-INT(D45))+VLOOKUP(INT(D45),Tablas!$G$9:$O$1240,9,0)*(INT(D45)+1-D45))</f>
      </c>
      <c r="H45" s="801">
        <f>+IF(MONTH(B45)=1,H44*(1+$C$9),H44)</f>
      </c>
      <c r="I45" s="791">
        <f>IF(B45&lt;$C$10,0,IF(B45&lt;$C$11,$C$8/12*E45*F45*H45,0))</f>
      </c>
      <c r="J45" s="791">
        <f>I45*12/14+IF(OR(MONTH(C45)=6,MONTH(C45)=12),I45*12/14,0)</f>
      </c>
      <c r="K45" s="801">
        <f>G45/$G$15</f>
      </c>
      <c r="L45" s="760"/>
      <c r="M45" s="767"/>
      <c r="N45" s="168"/>
      <c r="O45" s="768"/>
      <c r="P45" s="170"/>
      <c r="Q45" s="7"/>
      <c r="R45" s="766"/>
      <c r="S45" s="170"/>
      <c r="T45" s="168"/>
      <c r="U45" s="170"/>
    </row>
    <row x14ac:dyDescent="0.25" r="46" customHeight="1" ht="18.75">
      <c r="A46" s="1"/>
      <c r="B46" s="799">
        <f>+DATE(YEAR(B45),MONTH(B45)+1,DAY(B45))</f>
        <v>25569.041666666668</v>
      </c>
      <c r="C46" s="799">
        <f>+B47-1</f>
        <v>25569.041666666668</v>
      </c>
      <c r="D46" s="791">
        <f>-_xlfn.DAYS($C$3,C46)/365.25</f>
      </c>
      <c r="E46" s="800">
        <f>IF($D$17+40&lt;=D46,(1+$D$7)^-(D46-$C$5),(1+$C$7)^-(D46-$C$5))</f>
      </c>
      <c r="F46" s="801">
        <f>IF($C$4="Hombre",(+VLOOKUP(INT(D46)+1,Tablas!$G$9:$K$1240,5,0)*(D46-INT(D46))+VLOOKUP(INT(D46),Tablas!$G$9:$K$1240,5,0)*(INT(D46)+1-D46))/(VLOOKUP(INT($C$5)+1,Tablas!$G$9:$K$1240,5,0)*($C$5-INT($C$5))+VLOOKUP(INT($C$5),Tablas!$G$9:$K$124,5,0)*(INT($C$5)+1-$C$5)),(+VLOOKUP(INT(D46)+1,Tablas!$G$9:$O$1240,9,0)*(D46-INT(D46))+VLOOKUP(INT(D46),Tablas!$G$9:$O$1240,9,0)*(INT(D46)+1-D46))/(VLOOKUP(INT($C$5)+1,Tablas!$G$9:$O$1240,9,0)*($C$5-INT($C$5))+VLOOKUP(INT($C$5),Tablas!$G$9:$O$124,9,0)*(INT($C$5)+1-$C$5)))</f>
      </c>
      <c r="G46" s="791">
        <f>IF($C$4="Hombre",(+VLOOKUP(INT(D46)+1,Tablas!$G$9:$K$1240,5,0)*(D46-INT(D46))+VLOOKUP(INT(D46),Tablas!$G$9:$K$1240,5,0)*(INT(D46)+1-D46)),+VLOOKUP(INT(D46)+1,Tablas!$G$9:$O$1240,9,0)*(D46-INT(D46))+VLOOKUP(INT(D46),Tablas!$G$9:$O$1240,9,0)*(INT(D46)+1-D46))</f>
      </c>
      <c r="H46" s="801">
        <f>+IF(MONTH(B46)=1,H45*(1+$C$9),H45)</f>
      </c>
      <c r="I46" s="791">
        <f>IF(B46&lt;$C$10,0,IF(B46&lt;$C$11,$C$8/12*E46*F46*H46,0))</f>
      </c>
      <c r="J46" s="791">
        <f>I46*12/14+IF(OR(MONTH(C46)=6,MONTH(C46)=12),I46*12/14,0)</f>
      </c>
      <c r="K46" s="801">
        <f>G46/$G$15</f>
      </c>
      <c r="L46" s="760"/>
      <c r="M46" s="767"/>
      <c r="N46" s="168"/>
      <c r="O46" s="768"/>
      <c r="P46" s="170"/>
      <c r="Q46" s="7"/>
      <c r="R46" s="766"/>
      <c r="S46" s="170"/>
      <c r="T46" s="168"/>
      <c r="U46" s="170"/>
    </row>
    <row x14ac:dyDescent="0.25" r="47" customHeight="1" ht="18.75">
      <c r="A47" s="1"/>
      <c r="B47" s="799">
        <f>+DATE(YEAR(B46),MONTH(B46)+1,DAY(B46))</f>
        <v>25569.041666666668</v>
      </c>
      <c r="C47" s="799">
        <f>+B48-1</f>
        <v>25569.041666666668</v>
      </c>
      <c r="D47" s="791">
        <f>-_xlfn.DAYS($C$3,C47)/365.25</f>
      </c>
      <c r="E47" s="800">
        <f>IF($D$17+40&lt;=D47,(1+$D$7)^-(D47-$C$5),(1+$C$7)^-(D47-$C$5))</f>
      </c>
      <c r="F47" s="801">
        <f>IF($C$4="Hombre",(+VLOOKUP(INT(D47)+1,Tablas!$G$9:$K$1240,5,0)*(D47-INT(D47))+VLOOKUP(INT(D47),Tablas!$G$9:$K$1240,5,0)*(INT(D47)+1-D47))/(VLOOKUP(INT($C$5)+1,Tablas!$G$9:$K$1240,5,0)*($C$5-INT($C$5))+VLOOKUP(INT($C$5),Tablas!$G$9:$K$124,5,0)*(INT($C$5)+1-$C$5)),(+VLOOKUP(INT(D47)+1,Tablas!$G$9:$O$1240,9,0)*(D47-INT(D47))+VLOOKUP(INT(D47),Tablas!$G$9:$O$1240,9,0)*(INT(D47)+1-D47))/(VLOOKUP(INT($C$5)+1,Tablas!$G$9:$O$1240,9,0)*($C$5-INT($C$5))+VLOOKUP(INT($C$5),Tablas!$G$9:$O$124,9,0)*(INT($C$5)+1-$C$5)))</f>
      </c>
      <c r="G47" s="791">
        <f>IF($C$4="Hombre",(+VLOOKUP(INT(D47)+1,Tablas!$G$9:$K$1240,5,0)*(D47-INT(D47))+VLOOKUP(INT(D47),Tablas!$G$9:$K$1240,5,0)*(INT(D47)+1-D47)),+VLOOKUP(INT(D47)+1,Tablas!$G$9:$O$1240,9,0)*(D47-INT(D47))+VLOOKUP(INT(D47),Tablas!$G$9:$O$1240,9,0)*(INT(D47)+1-D47))</f>
      </c>
      <c r="H47" s="801">
        <f>+IF(MONTH(B47)=1,H46*(1+$C$9),H46)</f>
      </c>
      <c r="I47" s="791">
        <f>IF(B47&lt;$C$10,0,IF(B47&lt;$C$11,$C$8/12*E47*F47*H47,0))</f>
      </c>
      <c r="J47" s="791">
        <f>I47*12/14+IF(OR(MONTH(C47)=6,MONTH(C47)=12),I47*12/14,0)</f>
      </c>
      <c r="K47" s="801">
        <f>G47/$G$15</f>
      </c>
      <c r="L47" s="760"/>
      <c r="M47" s="767"/>
      <c r="N47" s="168"/>
      <c r="O47" s="768"/>
      <c r="P47" s="170"/>
      <c r="Q47" s="7"/>
      <c r="R47" s="766"/>
      <c r="S47" s="170"/>
      <c r="T47" s="168"/>
      <c r="U47" s="170"/>
    </row>
    <row x14ac:dyDescent="0.25" r="48" customHeight="1" ht="18.75">
      <c r="A48" s="1"/>
      <c r="B48" s="799">
        <f>+DATE(YEAR(B47),MONTH(B47)+1,DAY(B47))</f>
        <v>25569.041666666668</v>
      </c>
      <c r="C48" s="799">
        <f>+B49-1</f>
        <v>25569.041666666668</v>
      </c>
      <c r="D48" s="791">
        <f>-_xlfn.DAYS($C$3,C48)/365.25</f>
      </c>
      <c r="E48" s="800">
        <f>IF($D$17+40&lt;=D48,(1+$D$7)^-(D48-$C$5),(1+$C$7)^-(D48-$C$5))</f>
      </c>
      <c r="F48" s="801">
        <f>IF($C$4="Hombre",(+VLOOKUP(INT(D48)+1,Tablas!$G$9:$K$1240,5,0)*(D48-INT(D48))+VLOOKUP(INT(D48),Tablas!$G$9:$K$1240,5,0)*(INT(D48)+1-D48))/(VLOOKUP(INT($C$5)+1,Tablas!$G$9:$K$1240,5,0)*($C$5-INT($C$5))+VLOOKUP(INT($C$5),Tablas!$G$9:$K$124,5,0)*(INT($C$5)+1-$C$5)),(+VLOOKUP(INT(D48)+1,Tablas!$G$9:$O$1240,9,0)*(D48-INT(D48))+VLOOKUP(INT(D48),Tablas!$G$9:$O$1240,9,0)*(INT(D48)+1-D48))/(VLOOKUP(INT($C$5)+1,Tablas!$G$9:$O$1240,9,0)*($C$5-INT($C$5))+VLOOKUP(INT($C$5),Tablas!$G$9:$O$124,9,0)*(INT($C$5)+1-$C$5)))</f>
      </c>
      <c r="G48" s="791">
        <f>IF($C$4="Hombre",(+VLOOKUP(INT(D48)+1,Tablas!$G$9:$K$1240,5,0)*(D48-INT(D48))+VLOOKUP(INT(D48),Tablas!$G$9:$K$1240,5,0)*(INT(D48)+1-D48)),+VLOOKUP(INT(D48)+1,Tablas!$G$9:$O$1240,9,0)*(D48-INT(D48))+VLOOKUP(INT(D48),Tablas!$G$9:$O$1240,9,0)*(INT(D48)+1-D48))</f>
      </c>
      <c r="H48" s="801">
        <f>+IF(MONTH(B48)=1,H47*(1+$C$9),H47)</f>
      </c>
      <c r="I48" s="791">
        <f>IF(B48&lt;$C$10,0,IF(B48&lt;$C$11,$C$8/12*E48*F48*H48,0))</f>
      </c>
      <c r="J48" s="791">
        <f>I48*12/14+IF(OR(MONTH(C48)=6,MONTH(C48)=12),I48*12/14,0)</f>
      </c>
      <c r="K48" s="801">
        <f>G48/$G$15</f>
      </c>
      <c r="L48" s="760"/>
      <c r="M48" s="767"/>
      <c r="N48" s="168"/>
      <c r="O48" s="768"/>
      <c r="P48" s="170"/>
      <c r="Q48" s="7"/>
      <c r="R48" s="766"/>
      <c r="S48" s="170"/>
      <c r="T48" s="168"/>
      <c r="U48" s="170"/>
    </row>
    <row x14ac:dyDescent="0.25" r="49" customHeight="1" ht="18.75">
      <c r="A49" s="1"/>
      <c r="B49" s="799">
        <f>+DATE(YEAR(B48),MONTH(B48)+1,DAY(B48))</f>
        <v>25569.041666666668</v>
      </c>
      <c r="C49" s="799">
        <f>+B50-1</f>
        <v>25569.041666666668</v>
      </c>
      <c r="D49" s="791">
        <f>-_xlfn.DAYS($C$3,C49)/365.25</f>
      </c>
      <c r="E49" s="800">
        <f>IF($D$17+40&lt;=D49,(1+$D$7)^-(D49-$C$5),(1+$C$7)^-(D49-$C$5))</f>
      </c>
      <c r="F49" s="801">
        <f>IF($C$4="Hombre",(+VLOOKUP(INT(D49)+1,Tablas!$G$9:$K$1240,5,0)*(D49-INT(D49))+VLOOKUP(INT(D49),Tablas!$G$9:$K$1240,5,0)*(INT(D49)+1-D49))/(VLOOKUP(INT($C$5)+1,Tablas!$G$9:$K$1240,5,0)*($C$5-INT($C$5))+VLOOKUP(INT($C$5),Tablas!$G$9:$K$124,5,0)*(INT($C$5)+1-$C$5)),(+VLOOKUP(INT(D49)+1,Tablas!$G$9:$O$1240,9,0)*(D49-INT(D49))+VLOOKUP(INT(D49),Tablas!$G$9:$O$1240,9,0)*(INT(D49)+1-D49))/(VLOOKUP(INT($C$5)+1,Tablas!$G$9:$O$1240,9,0)*($C$5-INT($C$5))+VLOOKUP(INT($C$5),Tablas!$G$9:$O$124,9,0)*(INT($C$5)+1-$C$5)))</f>
      </c>
      <c r="G49" s="791">
        <f>IF($C$4="Hombre",(+VLOOKUP(INT(D49)+1,Tablas!$G$9:$K$1240,5,0)*(D49-INT(D49))+VLOOKUP(INT(D49),Tablas!$G$9:$K$1240,5,0)*(INT(D49)+1-D49)),+VLOOKUP(INT(D49)+1,Tablas!$G$9:$O$1240,9,0)*(D49-INT(D49))+VLOOKUP(INT(D49),Tablas!$G$9:$O$1240,9,0)*(INT(D49)+1-D49))</f>
      </c>
      <c r="H49" s="801">
        <f>+IF(MONTH(B49)=1,H48*(1+$C$9),H48)</f>
      </c>
      <c r="I49" s="791">
        <f>IF(B49&lt;$C$10,0,IF(B49&lt;$C$11,$C$8/12*E49*F49*H49,0))</f>
      </c>
      <c r="J49" s="791">
        <f>I49*12/14+IF(OR(MONTH(C49)=6,MONTH(C49)=12),I49*12/14,0)</f>
      </c>
      <c r="K49" s="801">
        <f>G49/$G$15</f>
      </c>
      <c r="L49" s="760"/>
      <c r="M49" s="767"/>
      <c r="N49" s="168"/>
      <c r="O49" s="768"/>
      <c r="P49" s="170"/>
      <c r="Q49" s="7"/>
      <c r="R49" s="766"/>
      <c r="S49" s="170"/>
      <c r="T49" s="168"/>
      <c r="U49" s="170"/>
    </row>
    <row x14ac:dyDescent="0.25" r="50" customHeight="1" ht="18.75">
      <c r="A50" s="1"/>
      <c r="B50" s="799">
        <f>+DATE(YEAR(B49),MONTH(B49)+1,DAY(B49))</f>
        <v>25569.041666666668</v>
      </c>
      <c r="C50" s="799">
        <f>+B51-1</f>
        <v>25569.041666666668</v>
      </c>
      <c r="D50" s="791">
        <f>-_xlfn.DAYS($C$3,C50)/365.25</f>
      </c>
      <c r="E50" s="800">
        <f>IF($D$17+40&lt;=D50,(1+$D$7)^-(D50-$C$5),(1+$C$7)^-(D50-$C$5))</f>
      </c>
      <c r="F50" s="801">
        <f>IF($C$4="Hombre",(+VLOOKUP(INT(D50)+1,Tablas!$G$9:$K$1240,5,0)*(D50-INT(D50))+VLOOKUP(INT(D50),Tablas!$G$9:$K$1240,5,0)*(INT(D50)+1-D50))/(VLOOKUP(INT($C$5)+1,Tablas!$G$9:$K$1240,5,0)*($C$5-INT($C$5))+VLOOKUP(INT($C$5),Tablas!$G$9:$K$124,5,0)*(INT($C$5)+1-$C$5)),(+VLOOKUP(INT(D50)+1,Tablas!$G$9:$O$1240,9,0)*(D50-INT(D50))+VLOOKUP(INT(D50),Tablas!$G$9:$O$1240,9,0)*(INT(D50)+1-D50))/(VLOOKUP(INT($C$5)+1,Tablas!$G$9:$O$1240,9,0)*($C$5-INT($C$5))+VLOOKUP(INT($C$5),Tablas!$G$9:$O$124,9,0)*(INT($C$5)+1-$C$5)))</f>
      </c>
      <c r="G50" s="791">
        <f>IF($C$4="Hombre",(+VLOOKUP(INT(D50)+1,Tablas!$G$9:$K$1240,5,0)*(D50-INT(D50))+VLOOKUP(INT(D50),Tablas!$G$9:$K$1240,5,0)*(INT(D50)+1-D50)),+VLOOKUP(INT(D50)+1,Tablas!$G$9:$O$1240,9,0)*(D50-INT(D50))+VLOOKUP(INT(D50),Tablas!$G$9:$O$1240,9,0)*(INT(D50)+1-D50))</f>
      </c>
      <c r="H50" s="801">
        <f>+IF(MONTH(B50)=1,H49*(1+$C$9),H49)</f>
      </c>
      <c r="I50" s="791">
        <f>IF(B50&lt;$C$10,0,IF(B50&lt;$C$11,$C$8/12*E50*F50*H50,0))</f>
      </c>
      <c r="J50" s="791">
        <f>I50*12/14+IF(OR(MONTH(C50)=6,MONTH(C50)=12),I50*12/14,0)</f>
      </c>
      <c r="K50" s="801">
        <f>G50/$G$15</f>
      </c>
      <c r="L50" s="760"/>
      <c r="M50" s="767"/>
      <c r="N50" s="168"/>
      <c r="O50" s="768"/>
      <c r="P50" s="170"/>
      <c r="Q50" s="7"/>
      <c r="R50" s="766"/>
      <c r="S50" s="170"/>
      <c r="T50" s="168"/>
      <c r="U50" s="170"/>
    </row>
    <row x14ac:dyDescent="0.25" r="51" customHeight="1" ht="18.75">
      <c r="A51" s="1"/>
      <c r="B51" s="799">
        <f>+DATE(YEAR(B50),MONTH(B50)+1,DAY(B50))</f>
        <v>25569.041666666668</v>
      </c>
      <c r="C51" s="799">
        <f>+B52-1</f>
        <v>25569.041666666668</v>
      </c>
      <c r="D51" s="791">
        <f>-_xlfn.DAYS($C$3,C51)/365.25</f>
      </c>
      <c r="E51" s="800">
        <f>IF($D$17+40&lt;=D51,(1+$D$7)^-(D51-$C$5),(1+$C$7)^-(D51-$C$5))</f>
      </c>
      <c r="F51" s="801">
        <f>IF($C$4="Hombre",(+VLOOKUP(INT(D51)+1,Tablas!$G$9:$K$1240,5,0)*(D51-INT(D51))+VLOOKUP(INT(D51),Tablas!$G$9:$K$1240,5,0)*(INT(D51)+1-D51))/(VLOOKUP(INT($C$5)+1,Tablas!$G$9:$K$1240,5,0)*($C$5-INT($C$5))+VLOOKUP(INT($C$5),Tablas!$G$9:$K$124,5,0)*(INT($C$5)+1-$C$5)),(+VLOOKUP(INT(D51)+1,Tablas!$G$9:$O$1240,9,0)*(D51-INT(D51))+VLOOKUP(INT(D51),Tablas!$G$9:$O$1240,9,0)*(INT(D51)+1-D51))/(VLOOKUP(INT($C$5)+1,Tablas!$G$9:$O$1240,9,0)*($C$5-INT($C$5))+VLOOKUP(INT($C$5),Tablas!$G$9:$O$124,9,0)*(INT($C$5)+1-$C$5)))</f>
      </c>
      <c r="G51" s="791">
        <f>IF($C$4="Hombre",(+VLOOKUP(INT(D51)+1,Tablas!$G$9:$K$1240,5,0)*(D51-INT(D51))+VLOOKUP(INT(D51),Tablas!$G$9:$K$1240,5,0)*(INT(D51)+1-D51)),+VLOOKUP(INT(D51)+1,Tablas!$G$9:$O$1240,9,0)*(D51-INT(D51))+VLOOKUP(INT(D51),Tablas!$G$9:$O$1240,9,0)*(INT(D51)+1-D51))</f>
      </c>
      <c r="H51" s="801">
        <f>+IF(MONTH(B51)=1,H50*(1+$C$9),H50)</f>
      </c>
      <c r="I51" s="791">
        <f>IF(B51&lt;$C$10,0,IF(B51&lt;$C$11,$C$8/12*E51*F51*H51,0))</f>
      </c>
      <c r="J51" s="791">
        <f>I51*12/14+IF(OR(MONTH(C51)=6,MONTH(C51)=12),I51*12/14,0)</f>
      </c>
      <c r="K51" s="801">
        <f>G51/$G$15</f>
      </c>
      <c r="L51" s="760"/>
      <c r="M51" s="767"/>
      <c r="N51" s="168"/>
      <c r="O51" s="768"/>
      <c r="P51" s="170"/>
      <c r="Q51" s="7"/>
      <c r="R51" s="766"/>
      <c r="S51" s="170"/>
      <c r="T51" s="168"/>
      <c r="U51" s="170"/>
    </row>
    <row x14ac:dyDescent="0.25" r="52" customHeight="1" ht="18.75">
      <c r="A52" s="1"/>
      <c r="B52" s="799">
        <f>+DATE(YEAR(B51),MONTH(B51)+1,DAY(B51))</f>
        <v>25569.041666666668</v>
      </c>
      <c r="C52" s="799">
        <f>+B53-1</f>
        <v>25569.041666666668</v>
      </c>
      <c r="D52" s="791">
        <f>-_xlfn.DAYS($C$3,C52)/365.25</f>
      </c>
      <c r="E52" s="800">
        <f>IF($D$17+40&lt;=D52,(1+$D$7)^-(D52-$C$5),(1+$C$7)^-(D52-$C$5))</f>
      </c>
      <c r="F52" s="801">
        <f>IF($C$4="Hombre",(+VLOOKUP(INT(D52)+1,Tablas!$G$9:$K$1240,5,0)*(D52-INT(D52))+VLOOKUP(INT(D52),Tablas!$G$9:$K$1240,5,0)*(INT(D52)+1-D52))/(VLOOKUP(INT($C$5)+1,Tablas!$G$9:$K$1240,5,0)*($C$5-INT($C$5))+VLOOKUP(INT($C$5),Tablas!$G$9:$K$124,5,0)*(INT($C$5)+1-$C$5)),(+VLOOKUP(INT(D52)+1,Tablas!$G$9:$O$1240,9,0)*(D52-INT(D52))+VLOOKUP(INT(D52),Tablas!$G$9:$O$1240,9,0)*(INT(D52)+1-D52))/(VLOOKUP(INT($C$5)+1,Tablas!$G$9:$O$1240,9,0)*($C$5-INT($C$5))+VLOOKUP(INT($C$5),Tablas!$G$9:$O$124,9,0)*(INT($C$5)+1-$C$5)))</f>
      </c>
      <c r="G52" s="791">
        <f>IF($C$4="Hombre",(+VLOOKUP(INT(D52)+1,Tablas!$G$9:$K$1240,5,0)*(D52-INT(D52))+VLOOKUP(INT(D52),Tablas!$G$9:$K$1240,5,0)*(INT(D52)+1-D52)),+VLOOKUP(INT(D52)+1,Tablas!$G$9:$O$1240,9,0)*(D52-INT(D52))+VLOOKUP(INT(D52),Tablas!$G$9:$O$1240,9,0)*(INT(D52)+1-D52))</f>
      </c>
      <c r="H52" s="801">
        <f>+IF(MONTH(B52)=1,H51*(1+$C$9),H51)</f>
      </c>
      <c r="I52" s="791">
        <f>IF(B52&lt;$C$10,0,IF(B52&lt;$C$11,$C$8/12*E52*F52*H52,0))</f>
      </c>
      <c r="J52" s="791">
        <f>I52*12/14+IF(OR(MONTH(C52)=6,MONTH(C52)=12),I52*12/14,0)</f>
      </c>
      <c r="K52" s="801">
        <f>G52/$G$15</f>
      </c>
      <c r="L52" s="760"/>
      <c r="M52" s="767"/>
      <c r="N52" s="168"/>
      <c r="O52" s="768"/>
      <c r="P52" s="170"/>
      <c r="Q52" s="7"/>
      <c r="R52" s="766"/>
      <c r="S52" s="170"/>
      <c r="T52" s="168"/>
      <c r="U52" s="170"/>
    </row>
    <row x14ac:dyDescent="0.25" r="53" customHeight="1" ht="18.75">
      <c r="A53" s="1"/>
      <c r="B53" s="799">
        <f>+DATE(YEAR(B52),MONTH(B52)+1,DAY(B52))</f>
        <v>25569.041666666668</v>
      </c>
      <c r="C53" s="799">
        <f>+B54-1</f>
        <v>25569.041666666668</v>
      </c>
      <c r="D53" s="791">
        <f>-_xlfn.DAYS($C$3,C53)/365.25</f>
      </c>
      <c r="E53" s="800">
        <f>IF($D$17+40&lt;=D53,(1+$D$7)^-(D53-$C$5),(1+$C$7)^-(D53-$C$5))</f>
      </c>
      <c r="F53" s="801">
        <f>IF($C$4="Hombre",(+VLOOKUP(INT(D53)+1,Tablas!$G$9:$K$1240,5,0)*(D53-INT(D53))+VLOOKUP(INT(D53),Tablas!$G$9:$K$1240,5,0)*(INT(D53)+1-D53))/(VLOOKUP(INT($C$5)+1,Tablas!$G$9:$K$1240,5,0)*($C$5-INT($C$5))+VLOOKUP(INT($C$5),Tablas!$G$9:$K$124,5,0)*(INT($C$5)+1-$C$5)),(+VLOOKUP(INT(D53)+1,Tablas!$G$9:$O$1240,9,0)*(D53-INT(D53))+VLOOKUP(INT(D53),Tablas!$G$9:$O$1240,9,0)*(INT(D53)+1-D53))/(VLOOKUP(INT($C$5)+1,Tablas!$G$9:$O$1240,9,0)*($C$5-INT($C$5))+VLOOKUP(INT($C$5),Tablas!$G$9:$O$124,9,0)*(INT($C$5)+1-$C$5)))</f>
      </c>
      <c r="G53" s="791">
        <f>IF($C$4="Hombre",(+VLOOKUP(INT(D53)+1,Tablas!$G$9:$K$1240,5,0)*(D53-INT(D53))+VLOOKUP(INT(D53),Tablas!$G$9:$K$1240,5,0)*(INT(D53)+1-D53)),+VLOOKUP(INT(D53)+1,Tablas!$G$9:$O$1240,9,0)*(D53-INT(D53))+VLOOKUP(INT(D53),Tablas!$G$9:$O$1240,9,0)*(INT(D53)+1-D53))</f>
      </c>
      <c r="H53" s="801">
        <f>+IF(MONTH(B53)=1,H52*(1+$C$9),H52)</f>
      </c>
      <c r="I53" s="791">
        <f>IF(B53&lt;$C$10,0,IF(B53&lt;$C$11,$C$8/12*E53*F53*H53,0))</f>
      </c>
      <c r="J53" s="791">
        <f>I53*12/14+IF(OR(MONTH(C53)=6,MONTH(C53)=12),I53*12/14,0)</f>
      </c>
      <c r="K53" s="801">
        <f>G53/$G$15</f>
      </c>
      <c r="L53" s="760"/>
      <c r="M53" s="767"/>
      <c r="N53" s="168"/>
      <c r="O53" s="768"/>
      <c r="P53" s="170"/>
      <c r="Q53" s="7"/>
      <c r="R53" s="766"/>
      <c r="S53" s="170"/>
      <c r="T53" s="168"/>
      <c r="U53" s="170"/>
    </row>
    <row x14ac:dyDescent="0.25" r="54" customHeight="1" ht="18.75">
      <c r="A54" s="1"/>
      <c r="B54" s="799">
        <f>+DATE(YEAR(B53),MONTH(B53)+1,DAY(B53))</f>
        <v>25569.041666666668</v>
      </c>
      <c r="C54" s="799">
        <f>+B55-1</f>
        <v>25569.041666666668</v>
      </c>
      <c r="D54" s="791">
        <f>-_xlfn.DAYS($C$3,C54)/365.25</f>
      </c>
      <c r="E54" s="800">
        <f>IF($D$17+40&lt;=D54,(1+$D$7)^-(D54-$C$5),(1+$C$7)^-(D54-$C$5))</f>
      </c>
      <c r="F54" s="801">
        <f>IF($C$4="Hombre",(+VLOOKUP(INT(D54)+1,Tablas!$G$9:$K$1240,5,0)*(D54-INT(D54))+VLOOKUP(INT(D54),Tablas!$G$9:$K$1240,5,0)*(INT(D54)+1-D54))/(VLOOKUP(INT($C$5)+1,Tablas!$G$9:$K$1240,5,0)*($C$5-INT($C$5))+VLOOKUP(INT($C$5),Tablas!$G$9:$K$124,5,0)*(INT($C$5)+1-$C$5)),(+VLOOKUP(INT(D54)+1,Tablas!$G$9:$O$1240,9,0)*(D54-INT(D54))+VLOOKUP(INT(D54),Tablas!$G$9:$O$1240,9,0)*(INT(D54)+1-D54))/(VLOOKUP(INT($C$5)+1,Tablas!$G$9:$O$1240,9,0)*($C$5-INT($C$5))+VLOOKUP(INT($C$5),Tablas!$G$9:$O$124,9,0)*(INT($C$5)+1-$C$5)))</f>
      </c>
      <c r="G54" s="791">
        <f>IF($C$4="Hombre",(+VLOOKUP(INT(D54)+1,Tablas!$G$9:$K$1240,5,0)*(D54-INT(D54))+VLOOKUP(INT(D54),Tablas!$G$9:$K$1240,5,0)*(INT(D54)+1-D54)),+VLOOKUP(INT(D54)+1,Tablas!$G$9:$O$1240,9,0)*(D54-INT(D54))+VLOOKUP(INT(D54),Tablas!$G$9:$O$1240,9,0)*(INT(D54)+1-D54))</f>
      </c>
      <c r="H54" s="801">
        <f>+IF(MONTH(B54)=1,H53*(1+$C$9),H53)</f>
      </c>
      <c r="I54" s="791">
        <f>IF(B54&lt;$C$10,0,IF(B54&lt;$C$11,$C$8/12*E54*F54*H54,0))</f>
      </c>
      <c r="J54" s="791">
        <f>I54*12/14+IF(OR(MONTH(C54)=6,MONTH(C54)=12),I54*12/14,0)</f>
      </c>
      <c r="K54" s="801">
        <f>G54/$G$15</f>
      </c>
      <c r="L54" s="760"/>
      <c r="M54" s="767"/>
      <c r="N54" s="168"/>
      <c r="O54" s="768"/>
      <c r="P54" s="170"/>
      <c r="Q54" s="7"/>
      <c r="R54" s="766"/>
      <c r="S54" s="170"/>
      <c r="T54" s="168"/>
      <c r="U54" s="170"/>
    </row>
    <row x14ac:dyDescent="0.25" r="55" customHeight="1" ht="18.75">
      <c r="A55" s="1"/>
      <c r="B55" s="799">
        <f>+DATE(YEAR(B54),MONTH(B54)+1,DAY(B54))</f>
        <v>25569.041666666668</v>
      </c>
      <c r="C55" s="799">
        <f>+B56-1</f>
        <v>25569.041666666668</v>
      </c>
      <c r="D55" s="791">
        <f>-_xlfn.DAYS($C$3,C55)/365.25</f>
      </c>
      <c r="E55" s="800">
        <f>IF($D$17+40&lt;=D55,(1+$D$7)^-(D55-$C$5),(1+$C$7)^-(D55-$C$5))</f>
      </c>
      <c r="F55" s="801">
        <f>IF($C$4="Hombre",(+VLOOKUP(INT(D55)+1,Tablas!$G$9:$K$1240,5,0)*(D55-INT(D55))+VLOOKUP(INT(D55),Tablas!$G$9:$K$1240,5,0)*(INT(D55)+1-D55))/(VLOOKUP(INT($C$5)+1,Tablas!$G$9:$K$1240,5,0)*($C$5-INT($C$5))+VLOOKUP(INT($C$5),Tablas!$G$9:$K$124,5,0)*(INT($C$5)+1-$C$5)),(+VLOOKUP(INT(D55)+1,Tablas!$G$9:$O$1240,9,0)*(D55-INT(D55))+VLOOKUP(INT(D55),Tablas!$G$9:$O$1240,9,0)*(INT(D55)+1-D55))/(VLOOKUP(INT($C$5)+1,Tablas!$G$9:$O$1240,9,0)*($C$5-INT($C$5))+VLOOKUP(INT($C$5),Tablas!$G$9:$O$124,9,0)*(INT($C$5)+1-$C$5)))</f>
      </c>
      <c r="G55" s="791">
        <f>IF($C$4="Hombre",(+VLOOKUP(INT(D55)+1,Tablas!$G$9:$K$1240,5,0)*(D55-INT(D55))+VLOOKUP(INT(D55),Tablas!$G$9:$K$1240,5,0)*(INT(D55)+1-D55)),+VLOOKUP(INT(D55)+1,Tablas!$G$9:$O$1240,9,0)*(D55-INT(D55))+VLOOKUP(INT(D55),Tablas!$G$9:$O$1240,9,0)*(INT(D55)+1-D55))</f>
      </c>
      <c r="H55" s="801">
        <f>+IF(MONTH(B55)=1,H54*(1+$C$9),H54)</f>
      </c>
      <c r="I55" s="791">
        <f>IF(B55&lt;$C$10,0,IF(B55&lt;$C$11,$C$8/12*E55*F55*H55,0))</f>
      </c>
      <c r="J55" s="791">
        <f>I55*12/14+IF(OR(MONTH(C55)=6,MONTH(C55)=12),I55*12/14,0)</f>
      </c>
      <c r="K55" s="801">
        <f>G55/$G$15</f>
      </c>
      <c r="L55" s="760"/>
      <c r="M55" s="767"/>
      <c r="N55" s="168"/>
      <c r="O55" s="768"/>
      <c r="P55" s="170"/>
      <c r="Q55" s="7"/>
      <c r="R55" s="766"/>
      <c r="S55" s="170"/>
      <c r="T55" s="168"/>
      <c r="U55" s="170"/>
    </row>
    <row x14ac:dyDescent="0.25" r="56" customHeight="1" ht="18.75">
      <c r="A56" s="1"/>
      <c r="B56" s="799">
        <f>+DATE(YEAR(B55),MONTH(B55)+1,DAY(B55))</f>
        <v>25569.041666666668</v>
      </c>
      <c r="C56" s="799">
        <f>+B57-1</f>
        <v>25569.041666666668</v>
      </c>
      <c r="D56" s="791">
        <f>-_xlfn.DAYS($C$3,C56)/365.25</f>
      </c>
      <c r="E56" s="800">
        <f>IF($D$17+40&lt;=D56,(1+$D$7)^-(D56-$C$5),(1+$C$7)^-(D56-$C$5))</f>
      </c>
      <c r="F56" s="801">
        <f>IF($C$4="Hombre",(+VLOOKUP(INT(D56)+1,Tablas!$G$9:$K$1240,5,0)*(D56-INT(D56))+VLOOKUP(INT(D56),Tablas!$G$9:$K$1240,5,0)*(INT(D56)+1-D56))/(VLOOKUP(INT($C$5)+1,Tablas!$G$9:$K$1240,5,0)*($C$5-INT($C$5))+VLOOKUP(INT($C$5),Tablas!$G$9:$K$124,5,0)*(INT($C$5)+1-$C$5)),(+VLOOKUP(INT(D56)+1,Tablas!$G$9:$O$1240,9,0)*(D56-INT(D56))+VLOOKUP(INT(D56),Tablas!$G$9:$O$1240,9,0)*(INT(D56)+1-D56))/(VLOOKUP(INT($C$5)+1,Tablas!$G$9:$O$1240,9,0)*($C$5-INT($C$5))+VLOOKUP(INT($C$5),Tablas!$G$9:$O$124,9,0)*(INT($C$5)+1-$C$5)))</f>
      </c>
      <c r="G56" s="791">
        <f>IF($C$4="Hombre",(+VLOOKUP(INT(D56)+1,Tablas!$G$9:$K$1240,5,0)*(D56-INT(D56))+VLOOKUP(INT(D56),Tablas!$G$9:$K$1240,5,0)*(INT(D56)+1-D56)),+VLOOKUP(INT(D56)+1,Tablas!$G$9:$O$1240,9,0)*(D56-INT(D56))+VLOOKUP(INT(D56),Tablas!$G$9:$O$1240,9,0)*(INT(D56)+1-D56))</f>
      </c>
      <c r="H56" s="801">
        <f>+IF(MONTH(B56)=1,H55*(1+$C$9),H55)</f>
      </c>
      <c r="I56" s="791">
        <f>IF(B56&lt;$C$10,0,IF(B56&lt;$C$11,$C$8/12*E56*F56*H56,0))</f>
      </c>
      <c r="J56" s="791">
        <f>I56*12/14+IF(OR(MONTH(C56)=6,MONTH(C56)=12),I56*12/14,0)</f>
      </c>
      <c r="K56" s="801">
        <f>G56/$G$15</f>
      </c>
      <c r="L56" s="760"/>
      <c r="M56" s="767"/>
      <c r="N56" s="168"/>
      <c r="O56" s="768"/>
      <c r="P56" s="170"/>
      <c r="Q56" s="7"/>
      <c r="R56" s="766"/>
      <c r="S56" s="170"/>
      <c r="T56" s="168"/>
      <c r="U56" s="170"/>
    </row>
    <row x14ac:dyDescent="0.25" r="57" customHeight="1" ht="18.75">
      <c r="A57" s="1"/>
      <c r="B57" s="799">
        <f>+DATE(YEAR(B56),MONTH(B56)+1,DAY(B56))</f>
        <v>25569.041666666668</v>
      </c>
      <c r="C57" s="799">
        <f>+B58-1</f>
        <v>25569.041666666668</v>
      </c>
      <c r="D57" s="791">
        <f>-_xlfn.DAYS($C$3,C57)/365.25</f>
      </c>
      <c r="E57" s="800">
        <f>IF($D$17+40&lt;=D57,(1+$D$7)^-(D57-$C$5),(1+$C$7)^-(D57-$C$5))</f>
      </c>
      <c r="F57" s="801">
        <f>IF($C$4="Hombre",(+VLOOKUP(INT(D57)+1,Tablas!$G$9:$K$1240,5,0)*(D57-INT(D57))+VLOOKUP(INT(D57),Tablas!$G$9:$K$1240,5,0)*(INT(D57)+1-D57))/(VLOOKUP(INT($C$5)+1,Tablas!$G$9:$K$1240,5,0)*($C$5-INT($C$5))+VLOOKUP(INT($C$5),Tablas!$G$9:$K$124,5,0)*(INT($C$5)+1-$C$5)),(+VLOOKUP(INT(D57)+1,Tablas!$G$9:$O$1240,9,0)*(D57-INT(D57))+VLOOKUP(INT(D57),Tablas!$G$9:$O$1240,9,0)*(INT(D57)+1-D57))/(VLOOKUP(INT($C$5)+1,Tablas!$G$9:$O$1240,9,0)*($C$5-INT($C$5))+VLOOKUP(INT($C$5),Tablas!$G$9:$O$124,9,0)*(INT($C$5)+1-$C$5)))</f>
      </c>
      <c r="G57" s="791">
        <f>IF($C$4="Hombre",(+VLOOKUP(INT(D57)+1,Tablas!$G$9:$K$1240,5,0)*(D57-INT(D57))+VLOOKUP(INT(D57),Tablas!$G$9:$K$1240,5,0)*(INT(D57)+1-D57)),+VLOOKUP(INT(D57)+1,Tablas!$G$9:$O$1240,9,0)*(D57-INT(D57))+VLOOKUP(INT(D57),Tablas!$G$9:$O$1240,9,0)*(INT(D57)+1-D57))</f>
      </c>
      <c r="H57" s="801">
        <f>+IF(MONTH(B57)=1,H56*(1+$C$9),H56)</f>
      </c>
      <c r="I57" s="791">
        <f>IF(B57&lt;$C$10,0,IF(B57&lt;$C$11,$C$8/12*E57*F57*H57,0))</f>
      </c>
      <c r="J57" s="791">
        <f>I57*12/14+IF(OR(MONTH(C57)=6,MONTH(C57)=12),I57*12/14,0)</f>
      </c>
      <c r="K57" s="801">
        <f>G57/$G$15</f>
      </c>
      <c r="L57" s="760"/>
      <c r="M57" s="767"/>
      <c r="N57" s="168"/>
      <c r="O57" s="768"/>
      <c r="P57" s="170"/>
      <c r="Q57" s="7"/>
      <c r="R57" s="766"/>
      <c r="S57" s="170"/>
      <c r="T57" s="168"/>
      <c r="U57" s="170"/>
    </row>
    <row x14ac:dyDescent="0.25" r="58" customHeight="1" ht="18.75">
      <c r="A58" s="1"/>
      <c r="B58" s="799">
        <f>+DATE(YEAR(B57),MONTH(B57)+1,DAY(B57))</f>
        <v>25569.041666666668</v>
      </c>
      <c r="C58" s="799">
        <f>+B59-1</f>
        <v>25569.041666666668</v>
      </c>
      <c r="D58" s="791">
        <f>-_xlfn.DAYS($C$3,C58)/365.25</f>
      </c>
      <c r="E58" s="800">
        <f>IF($D$17+40&lt;=D58,(1+$D$7)^-(D58-$C$5),(1+$C$7)^-(D58-$C$5))</f>
      </c>
      <c r="F58" s="801">
        <f>IF($C$4="Hombre",(+VLOOKUP(INT(D58)+1,Tablas!$G$9:$K$1240,5,0)*(D58-INT(D58))+VLOOKUP(INT(D58),Tablas!$G$9:$K$1240,5,0)*(INT(D58)+1-D58))/(VLOOKUP(INT($C$5)+1,Tablas!$G$9:$K$1240,5,0)*($C$5-INT($C$5))+VLOOKUP(INT($C$5),Tablas!$G$9:$K$124,5,0)*(INT($C$5)+1-$C$5)),(+VLOOKUP(INT(D58)+1,Tablas!$G$9:$O$1240,9,0)*(D58-INT(D58))+VLOOKUP(INT(D58),Tablas!$G$9:$O$1240,9,0)*(INT(D58)+1-D58))/(VLOOKUP(INT($C$5)+1,Tablas!$G$9:$O$1240,9,0)*($C$5-INT($C$5))+VLOOKUP(INT($C$5),Tablas!$G$9:$O$124,9,0)*(INT($C$5)+1-$C$5)))</f>
      </c>
      <c r="G58" s="791">
        <f>IF($C$4="Hombre",(+VLOOKUP(INT(D58)+1,Tablas!$G$9:$K$1240,5,0)*(D58-INT(D58))+VLOOKUP(INT(D58),Tablas!$G$9:$K$1240,5,0)*(INT(D58)+1-D58)),+VLOOKUP(INT(D58)+1,Tablas!$G$9:$O$1240,9,0)*(D58-INT(D58))+VLOOKUP(INT(D58),Tablas!$G$9:$O$1240,9,0)*(INT(D58)+1-D58))</f>
      </c>
      <c r="H58" s="801">
        <f>+IF(MONTH(B58)=1,H57*(1+$C$9),H57)</f>
      </c>
      <c r="I58" s="791">
        <f>IF(B58&lt;$C$10,0,IF(B58&lt;$C$11,$C$8/12*E58*F58*H58,0))</f>
      </c>
      <c r="J58" s="791">
        <f>I58*12/14+IF(OR(MONTH(C58)=6,MONTH(C58)=12),I58*12/14,0)</f>
      </c>
      <c r="K58" s="801">
        <f>G58/$G$15</f>
      </c>
      <c r="L58" s="760"/>
      <c r="M58" s="767"/>
      <c r="N58" s="168"/>
      <c r="O58" s="768"/>
      <c r="P58" s="170"/>
      <c r="Q58" s="7"/>
      <c r="R58" s="766"/>
      <c r="S58" s="170"/>
      <c r="T58" s="168"/>
      <c r="U58" s="170"/>
    </row>
    <row x14ac:dyDescent="0.25" r="59" customHeight="1" ht="18.75">
      <c r="A59" s="1"/>
      <c r="B59" s="799">
        <f>+DATE(YEAR(B58),MONTH(B58)+1,DAY(B58))</f>
        <v>25569.041666666668</v>
      </c>
      <c r="C59" s="799">
        <f>+B60-1</f>
        <v>25569.041666666668</v>
      </c>
      <c r="D59" s="791">
        <f>-_xlfn.DAYS($C$3,C59)/365.25</f>
      </c>
      <c r="E59" s="800">
        <f>IF($D$17+40&lt;=D59,(1+$D$7)^-(D59-$C$5),(1+$C$7)^-(D59-$C$5))</f>
      </c>
      <c r="F59" s="801">
        <f>IF($C$4="Hombre",(+VLOOKUP(INT(D59)+1,Tablas!$G$9:$K$1240,5,0)*(D59-INT(D59))+VLOOKUP(INT(D59),Tablas!$G$9:$K$1240,5,0)*(INT(D59)+1-D59))/(VLOOKUP(INT($C$5)+1,Tablas!$G$9:$K$1240,5,0)*($C$5-INT($C$5))+VLOOKUP(INT($C$5),Tablas!$G$9:$K$124,5,0)*(INT($C$5)+1-$C$5)),(+VLOOKUP(INT(D59)+1,Tablas!$G$9:$O$1240,9,0)*(D59-INT(D59))+VLOOKUP(INT(D59),Tablas!$G$9:$O$1240,9,0)*(INT(D59)+1-D59))/(VLOOKUP(INT($C$5)+1,Tablas!$G$9:$O$1240,9,0)*($C$5-INT($C$5))+VLOOKUP(INT($C$5),Tablas!$G$9:$O$124,9,0)*(INT($C$5)+1-$C$5)))</f>
      </c>
      <c r="G59" s="791">
        <f>IF($C$4="Hombre",(+VLOOKUP(INT(D59)+1,Tablas!$G$9:$K$1240,5,0)*(D59-INT(D59))+VLOOKUP(INT(D59),Tablas!$G$9:$K$1240,5,0)*(INT(D59)+1-D59)),+VLOOKUP(INT(D59)+1,Tablas!$G$9:$O$1240,9,0)*(D59-INT(D59))+VLOOKUP(INT(D59),Tablas!$G$9:$O$1240,9,0)*(INT(D59)+1-D59))</f>
      </c>
      <c r="H59" s="801">
        <f>+IF(MONTH(B59)=1,H58*(1+$C$9),H58)</f>
      </c>
      <c r="I59" s="791">
        <f>IF(B59&lt;$C$10,0,IF(B59&lt;$C$11,$C$8/12*E59*F59*H59,0))</f>
      </c>
      <c r="J59" s="791">
        <f>I59*12/14+IF(OR(MONTH(C59)=6,MONTH(C59)=12),I59*12/14,0)</f>
      </c>
      <c r="K59" s="801">
        <f>G59/$G$15</f>
      </c>
      <c r="L59" s="760"/>
      <c r="M59" s="767"/>
      <c r="N59" s="168"/>
      <c r="O59" s="768"/>
      <c r="P59" s="170"/>
      <c r="Q59" s="7"/>
      <c r="R59" s="766"/>
      <c r="S59" s="170"/>
      <c r="T59" s="168"/>
      <c r="U59" s="170"/>
    </row>
    <row x14ac:dyDescent="0.25" r="60" customHeight="1" ht="18.75">
      <c r="A60" s="1"/>
      <c r="B60" s="799">
        <f>+DATE(YEAR(B59),MONTH(B59)+1,DAY(B59))</f>
        <v>25569.041666666668</v>
      </c>
      <c r="C60" s="799">
        <f>+B61-1</f>
        <v>25569.041666666668</v>
      </c>
      <c r="D60" s="791">
        <f>-_xlfn.DAYS($C$3,C60)/365.25</f>
      </c>
      <c r="E60" s="800">
        <f>IF($D$17+40&lt;=D60,(1+$D$7)^-(D60-$C$5),(1+$C$7)^-(D60-$C$5))</f>
      </c>
      <c r="F60" s="801">
        <f>IF($C$4="Hombre",(+VLOOKUP(INT(D60)+1,Tablas!$G$9:$K$1240,5,0)*(D60-INT(D60))+VLOOKUP(INT(D60),Tablas!$G$9:$K$1240,5,0)*(INT(D60)+1-D60))/(VLOOKUP(INT($C$5)+1,Tablas!$G$9:$K$1240,5,0)*($C$5-INT($C$5))+VLOOKUP(INT($C$5),Tablas!$G$9:$K$124,5,0)*(INT($C$5)+1-$C$5)),(+VLOOKUP(INT(D60)+1,Tablas!$G$9:$O$1240,9,0)*(D60-INT(D60))+VLOOKUP(INT(D60),Tablas!$G$9:$O$1240,9,0)*(INT(D60)+1-D60))/(VLOOKUP(INT($C$5)+1,Tablas!$G$9:$O$1240,9,0)*($C$5-INT($C$5))+VLOOKUP(INT($C$5),Tablas!$G$9:$O$124,9,0)*(INT($C$5)+1-$C$5)))</f>
      </c>
      <c r="G60" s="791">
        <f>IF($C$4="Hombre",(+VLOOKUP(INT(D60)+1,Tablas!$G$9:$K$1240,5,0)*(D60-INT(D60))+VLOOKUP(INT(D60),Tablas!$G$9:$K$1240,5,0)*(INT(D60)+1-D60)),+VLOOKUP(INT(D60)+1,Tablas!$G$9:$O$1240,9,0)*(D60-INT(D60))+VLOOKUP(INT(D60),Tablas!$G$9:$O$1240,9,0)*(INT(D60)+1-D60))</f>
      </c>
      <c r="H60" s="801">
        <f>+IF(MONTH(B60)=1,H59*(1+$C$9),H59)</f>
      </c>
      <c r="I60" s="791">
        <f>IF(B60&lt;$C$10,0,IF(B60&lt;$C$11,$C$8/12*E60*F60*H60,0))</f>
      </c>
      <c r="J60" s="791">
        <f>I60*12/14+IF(OR(MONTH(C60)=6,MONTH(C60)=12),I60*12/14,0)</f>
      </c>
      <c r="K60" s="801">
        <f>G60/$G$15</f>
      </c>
      <c r="L60" s="760"/>
      <c r="M60" s="767"/>
      <c r="N60" s="168"/>
      <c r="O60" s="768"/>
      <c r="P60" s="170"/>
      <c r="Q60" s="7"/>
      <c r="R60" s="766"/>
      <c r="S60" s="170"/>
      <c r="T60" s="168"/>
      <c r="U60" s="170"/>
    </row>
    <row x14ac:dyDescent="0.25" r="61" customHeight="1" ht="18.75">
      <c r="A61" s="1"/>
      <c r="B61" s="799">
        <f>+DATE(YEAR(B60),MONTH(B60)+1,DAY(B60))</f>
        <v>25569.041666666668</v>
      </c>
      <c r="C61" s="799">
        <f>+B62-1</f>
        <v>25569.041666666668</v>
      </c>
      <c r="D61" s="791">
        <f>-_xlfn.DAYS($C$3,C61)/365.25</f>
      </c>
      <c r="E61" s="800">
        <f>IF($D$17+40&lt;=D61,(1+$D$7)^-(D61-$C$5),(1+$C$7)^-(D61-$C$5))</f>
      </c>
      <c r="F61" s="801">
        <f>IF($C$4="Hombre",(+VLOOKUP(INT(D61)+1,Tablas!$G$9:$K$1240,5,0)*(D61-INT(D61))+VLOOKUP(INT(D61),Tablas!$G$9:$K$1240,5,0)*(INT(D61)+1-D61))/(VLOOKUP(INT($C$5)+1,Tablas!$G$9:$K$1240,5,0)*($C$5-INT($C$5))+VLOOKUP(INT($C$5),Tablas!$G$9:$K$124,5,0)*(INT($C$5)+1-$C$5)),(+VLOOKUP(INT(D61)+1,Tablas!$G$9:$O$1240,9,0)*(D61-INT(D61))+VLOOKUP(INT(D61),Tablas!$G$9:$O$1240,9,0)*(INT(D61)+1-D61))/(VLOOKUP(INT($C$5)+1,Tablas!$G$9:$O$1240,9,0)*($C$5-INT($C$5))+VLOOKUP(INT($C$5),Tablas!$G$9:$O$124,9,0)*(INT($C$5)+1-$C$5)))</f>
      </c>
      <c r="G61" s="791">
        <f>IF($C$4="Hombre",(+VLOOKUP(INT(D61)+1,Tablas!$G$9:$K$1240,5,0)*(D61-INT(D61))+VLOOKUP(INT(D61),Tablas!$G$9:$K$1240,5,0)*(INT(D61)+1-D61)),+VLOOKUP(INT(D61)+1,Tablas!$G$9:$O$1240,9,0)*(D61-INT(D61))+VLOOKUP(INT(D61),Tablas!$G$9:$O$1240,9,0)*(INT(D61)+1-D61))</f>
      </c>
      <c r="H61" s="801">
        <f>+IF(MONTH(B61)=1,H60*(1+$C$9),H60)</f>
      </c>
      <c r="I61" s="791">
        <f>IF(B61&lt;$C$10,0,IF(B61&lt;$C$11,$C$8/12*E61*F61*H61,0))</f>
      </c>
      <c r="J61" s="791">
        <f>I61*12/14+IF(OR(MONTH(C61)=6,MONTH(C61)=12),I61*12/14,0)</f>
      </c>
      <c r="K61" s="801">
        <f>G61/$G$15</f>
      </c>
      <c r="L61" s="760"/>
      <c r="M61" s="767"/>
      <c r="N61" s="168"/>
      <c r="O61" s="768"/>
      <c r="P61" s="170"/>
      <c r="Q61" s="7"/>
      <c r="R61" s="766"/>
      <c r="S61" s="170"/>
      <c r="T61" s="168"/>
      <c r="U61" s="170"/>
    </row>
    <row x14ac:dyDescent="0.25" r="62" customHeight="1" ht="18.75">
      <c r="A62" s="1"/>
      <c r="B62" s="799">
        <f>+DATE(YEAR(B61),MONTH(B61)+1,DAY(B61))</f>
        <v>25569.041666666668</v>
      </c>
      <c r="C62" s="799">
        <f>+B63-1</f>
        <v>25569.041666666668</v>
      </c>
      <c r="D62" s="791">
        <f>-_xlfn.DAYS($C$3,C62)/365.25</f>
      </c>
      <c r="E62" s="800">
        <f>IF($D$17+40&lt;=D62,(1+$D$7)^-(D62-$C$5),(1+$C$7)^-(D62-$C$5))</f>
      </c>
      <c r="F62" s="801">
        <f>IF($C$4="Hombre",(+VLOOKUP(INT(D62)+1,Tablas!$G$9:$K$1240,5,0)*(D62-INT(D62))+VLOOKUP(INT(D62),Tablas!$G$9:$K$1240,5,0)*(INT(D62)+1-D62))/(VLOOKUP(INT($C$5)+1,Tablas!$G$9:$K$1240,5,0)*($C$5-INT($C$5))+VLOOKUP(INT($C$5),Tablas!$G$9:$K$124,5,0)*(INT($C$5)+1-$C$5)),(+VLOOKUP(INT(D62)+1,Tablas!$G$9:$O$1240,9,0)*(D62-INT(D62))+VLOOKUP(INT(D62),Tablas!$G$9:$O$1240,9,0)*(INT(D62)+1-D62))/(VLOOKUP(INT($C$5)+1,Tablas!$G$9:$O$1240,9,0)*($C$5-INT($C$5))+VLOOKUP(INT($C$5),Tablas!$G$9:$O$124,9,0)*(INT($C$5)+1-$C$5)))</f>
      </c>
      <c r="G62" s="791">
        <f>IF($C$4="Hombre",(+VLOOKUP(INT(D62)+1,Tablas!$G$9:$K$1240,5,0)*(D62-INT(D62))+VLOOKUP(INT(D62),Tablas!$G$9:$K$1240,5,0)*(INT(D62)+1-D62)),+VLOOKUP(INT(D62)+1,Tablas!$G$9:$O$1240,9,0)*(D62-INT(D62))+VLOOKUP(INT(D62),Tablas!$G$9:$O$1240,9,0)*(INT(D62)+1-D62))</f>
      </c>
      <c r="H62" s="801">
        <f>+IF(MONTH(B62)=1,H61*(1+$C$9),H61)</f>
      </c>
      <c r="I62" s="791">
        <f>IF(B62&lt;$C$10,0,IF(B62&lt;$C$11,$C$8/12*E62*F62*H62,0))</f>
      </c>
      <c r="J62" s="791">
        <f>I62*12/14+IF(OR(MONTH(C62)=6,MONTH(C62)=12),I62*12/14,0)</f>
      </c>
      <c r="K62" s="801">
        <f>G62/$G$15</f>
      </c>
      <c r="L62" s="760"/>
      <c r="M62" s="767"/>
      <c r="N62" s="168"/>
      <c r="O62" s="768"/>
      <c r="P62" s="170"/>
      <c r="Q62" s="7"/>
      <c r="R62" s="766"/>
      <c r="S62" s="170"/>
      <c r="T62" s="168"/>
      <c r="U62" s="170"/>
    </row>
    <row x14ac:dyDescent="0.25" r="63" customHeight="1" ht="18.75">
      <c r="A63" s="1"/>
      <c r="B63" s="799">
        <f>+DATE(YEAR(B62),MONTH(B62)+1,DAY(B62))</f>
        <v>25569.041666666668</v>
      </c>
      <c r="C63" s="799">
        <f>+B64-1</f>
        <v>25569.041666666668</v>
      </c>
      <c r="D63" s="791">
        <f>-_xlfn.DAYS($C$3,C63)/365.25</f>
      </c>
      <c r="E63" s="800">
        <f>IF($D$17+40&lt;=D63,(1+$D$7)^-(D63-$C$5),(1+$C$7)^-(D63-$C$5))</f>
      </c>
      <c r="F63" s="801">
        <f>IF($C$4="Hombre",(+VLOOKUP(INT(D63)+1,Tablas!$G$9:$K$1240,5,0)*(D63-INT(D63))+VLOOKUP(INT(D63),Tablas!$G$9:$K$1240,5,0)*(INT(D63)+1-D63))/(VLOOKUP(INT($C$5)+1,Tablas!$G$9:$K$1240,5,0)*($C$5-INT($C$5))+VLOOKUP(INT($C$5),Tablas!$G$9:$K$124,5,0)*(INT($C$5)+1-$C$5)),(+VLOOKUP(INT(D63)+1,Tablas!$G$9:$O$1240,9,0)*(D63-INT(D63))+VLOOKUP(INT(D63),Tablas!$G$9:$O$1240,9,0)*(INT(D63)+1-D63))/(VLOOKUP(INT($C$5)+1,Tablas!$G$9:$O$1240,9,0)*($C$5-INT($C$5))+VLOOKUP(INT($C$5),Tablas!$G$9:$O$124,9,0)*(INT($C$5)+1-$C$5)))</f>
      </c>
      <c r="G63" s="791">
        <f>IF($C$4="Hombre",(+VLOOKUP(INT(D63)+1,Tablas!$G$9:$K$1240,5,0)*(D63-INT(D63))+VLOOKUP(INT(D63),Tablas!$G$9:$K$1240,5,0)*(INT(D63)+1-D63)),+VLOOKUP(INT(D63)+1,Tablas!$G$9:$O$1240,9,0)*(D63-INT(D63))+VLOOKUP(INT(D63),Tablas!$G$9:$O$1240,9,0)*(INT(D63)+1-D63))</f>
      </c>
      <c r="H63" s="801">
        <f>+IF(MONTH(B63)=1,H62*(1+$C$9),H62)</f>
      </c>
      <c r="I63" s="791">
        <f>IF(B63&lt;$C$10,0,IF(B63&lt;$C$11,$C$8/12*E63*F63*H63,0))</f>
      </c>
      <c r="J63" s="791">
        <f>I63*12/14+IF(OR(MONTH(C63)=6,MONTH(C63)=12),I63*12/14,0)</f>
      </c>
      <c r="K63" s="801">
        <f>G63/$G$15</f>
      </c>
      <c r="L63" s="760"/>
      <c r="M63" s="767"/>
      <c r="N63" s="168"/>
      <c r="O63" s="768"/>
      <c r="P63" s="170"/>
      <c r="Q63" s="7"/>
      <c r="R63" s="766"/>
      <c r="S63" s="170"/>
      <c r="T63" s="168"/>
      <c r="U63" s="170"/>
    </row>
    <row x14ac:dyDescent="0.25" r="64" customHeight="1" ht="18.75">
      <c r="A64" s="1"/>
      <c r="B64" s="799">
        <f>+DATE(YEAR(B63),MONTH(B63)+1,DAY(B63))</f>
        <v>25569.041666666668</v>
      </c>
      <c r="C64" s="799">
        <f>+B65-1</f>
        <v>25569.041666666668</v>
      </c>
      <c r="D64" s="791">
        <f>-_xlfn.DAYS($C$3,C64)/365.25</f>
      </c>
      <c r="E64" s="800">
        <f>IF($D$17+40&lt;=D64,(1+$D$7)^-(D64-$C$5),(1+$C$7)^-(D64-$C$5))</f>
      </c>
      <c r="F64" s="801">
        <f>IF($C$4="Hombre",(+VLOOKUP(INT(D64)+1,Tablas!$G$9:$K$1240,5,0)*(D64-INT(D64))+VLOOKUP(INT(D64),Tablas!$G$9:$K$1240,5,0)*(INT(D64)+1-D64))/(VLOOKUP(INT($C$5)+1,Tablas!$G$9:$K$1240,5,0)*($C$5-INT($C$5))+VLOOKUP(INT($C$5),Tablas!$G$9:$K$124,5,0)*(INT($C$5)+1-$C$5)),(+VLOOKUP(INT(D64)+1,Tablas!$G$9:$O$1240,9,0)*(D64-INT(D64))+VLOOKUP(INT(D64),Tablas!$G$9:$O$1240,9,0)*(INT(D64)+1-D64))/(VLOOKUP(INT($C$5)+1,Tablas!$G$9:$O$1240,9,0)*($C$5-INT($C$5))+VLOOKUP(INT($C$5),Tablas!$G$9:$O$124,9,0)*(INT($C$5)+1-$C$5)))</f>
      </c>
      <c r="G64" s="791">
        <f>IF($C$4="Hombre",(+VLOOKUP(INT(D64)+1,Tablas!$G$9:$K$1240,5,0)*(D64-INT(D64))+VLOOKUP(INT(D64),Tablas!$G$9:$K$1240,5,0)*(INT(D64)+1-D64)),+VLOOKUP(INT(D64)+1,Tablas!$G$9:$O$1240,9,0)*(D64-INT(D64))+VLOOKUP(INT(D64),Tablas!$G$9:$O$1240,9,0)*(INT(D64)+1-D64))</f>
      </c>
      <c r="H64" s="801">
        <f>+IF(MONTH(B64)=1,H63*(1+$C$9),H63)</f>
      </c>
      <c r="I64" s="791">
        <f>IF(B64&lt;$C$10,0,IF(B64&lt;$C$11,$C$8/12*E64*F64*H64,0))</f>
      </c>
      <c r="J64" s="791">
        <f>I64*12/14+IF(OR(MONTH(C64)=6,MONTH(C64)=12),I64*12/14,0)</f>
      </c>
      <c r="K64" s="801">
        <f>G64/$G$15</f>
      </c>
      <c r="L64" s="760"/>
      <c r="M64" s="767"/>
      <c r="N64" s="168"/>
      <c r="O64" s="768"/>
      <c r="P64" s="170"/>
      <c r="Q64" s="7"/>
      <c r="R64" s="766"/>
      <c r="S64" s="170"/>
      <c r="T64" s="168"/>
      <c r="U64" s="170"/>
    </row>
    <row x14ac:dyDescent="0.25" r="65" customHeight="1" ht="18.75">
      <c r="A65" s="1"/>
      <c r="B65" s="799">
        <f>+DATE(YEAR(B64),MONTH(B64)+1,DAY(B64))</f>
        <v>25569.041666666668</v>
      </c>
      <c r="C65" s="799">
        <f>+B66-1</f>
        <v>25569.041666666668</v>
      </c>
      <c r="D65" s="791">
        <f>-_xlfn.DAYS($C$3,C65)/365.25</f>
      </c>
      <c r="E65" s="800">
        <f>IF($D$17+40&lt;=D65,(1+$D$7)^-(D65-$C$5),(1+$C$7)^-(D65-$C$5))</f>
      </c>
      <c r="F65" s="801">
        <f>IF($C$4="Hombre",(+VLOOKUP(INT(D65)+1,Tablas!$G$9:$K$1240,5,0)*(D65-INT(D65))+VLOOKUP(INT(D65),Tablas!$G$9:$K$1240,5,0)*(INT(D65)+1-D65))/(VLOOKUP(INT($C$5)+1,Tablas!$G$9:$K$1240,5,0)*($C$5-INT($C$5))+VLOOKUP(INT($C$5),Tablas!$G$9:$K$124,5,0)*(INT($C$5)+1-$C$5)),(+VLOOKUP(INT(D65)+1,Tablas!$G$9:$O$1240,9,0)*(D65-INT(D65))+VLOOKUP(INT(D65),Tablas!$G$9:$O$1240,9,0)*(INT(D65)+1-D65))/(VLOOKUP(INT($C$5)+1,Tablas!$G$9:$O$1240,9,0)*($C$5-INT($C$5))+VLOOKUP(INT($C$5),Tablas!$G$9:$O$124,9,0)*(INT($C$5)+1-$C$5)))</f>
      </c>
      <c r="G65" s="791">
        <f>IF($C$4="Hombre",(+VLOOKUP(INT(D65)+1,Tablas!$G$9:$K$1240,5,0)*(D65-INT(D65))+VLOOKUP(INT(D65),Tablas!$G$9:$K$1240,5,0)*(INT(D65)+1-D65)),+VLOOKUP(INT(D65)+1,Tablas!$G$9:$O$1240,9,0)*(D65-INT(D65))+VLOOKUP(INT(D65),Tablas!$G$9:$O$1240,9,0)*(INT(D65)+1-D65))</f>
      </c>
      <c r="H65" s="801">
        <f>+IF(MONTH(B65)=1,H64*(1+$C$9),H64)</f>
      </c>
      <c r="I65" s="791">
        <f>IF(B65&lt;$C$10,0,IF(B65&lt;$C$11,$C$8/12*E65*F65*H65,0))</f>
      </c>
      <c r="J65" s="791">
        <f>I65*12/14+IF(OR(MONTH(C65)=6,MONTH(C65)=12),I65*12/14,0)</f>
      </c>
      <c r="K65" s="801">
        <f>G65/$G$15</f>
      </c>
      <c r="L65" s="760"/>
      <c r="M65" s="767"/>
      <c r="N65" s="168"/>
      <c r="O65" s="768"/>
      <c r="P65" s="170"/>
      <c r="Q65" s="7"/>
      <c r="R65" s="766"/>
      <c r="S65" s="170"/>
      <c r="T65" s="168"/>
      <c r="U65" s="170"/>
    </row>
    <row x14ac:dyDescent="0.25" r="66" customHeight="1" ht="18.75">
      <c r="A66" s="1"/>
      <c r="B66" s="799">
        <f>+DATE(YEAR(B65),MONTH(B65)+1,DAY(B65))</f>
        <v>25569.041666666668</v>
      </c>
      <c r="C66" s="799">
        <f>+B67-1</f>
        <v>25569.041666666668</v>
      </c>
      <c r="D66" s="791">
        <f>-_xlfn.DAYS($C$3,C66)/365.25</f>
      </c>
      <c r="E66" s="800">
        <f>IF($D$17+40&lt;=D66,(1+$D$7)^-(D66-$C$5),(1+$C$7)^-(D66-$C$5))</f>
      </c>
      <c r="F66" s="801">
        <f>IF($C$4="Hombre",(+VLOOKUP(INT(D66)+1,Tablas!$G$9:$K$1240,5,0)*(D66-INT(D66))+VLOOKUP(INT(D66),Tablas!$G$9:$K$1240,5,0)*(INT(D66)+1-D66))/(VLOOKUP(INT($C$5)+1,Tablas!$G$9:$K$1240,5,0)*($C$5-INT($C$5))+VLOOKUP(INT($C$5),Tablas!$G$9:$K$124,5,0)*(INT($C$5)+1-$C$5)),(+VLOOKUP(INT(D66)+1,Tablas!$G$9:$O$1240,9,0)*(D66-INT(D66))+VLOOKUP(INT(D66),Tablas!$G$9:$O$1240,9,0)*(INT(D66)+1-D66))/(VLOOKUP(INT($C$5)+1,Tablas!$G$9:$O$1240,9,0)*($C$5-INT($C$5))+VLOOKUP(INT($C$5),Tablas!$G$9:$O$124,9,0)*(INT($C$5)+1-$C$5)))</f>
      </c>
      <c r="G66" s="791">
        <f>IF($C$4="Hombre",(+VLOOKUP(INT(D66)+1,Tablas!$G$9:$K$1240,5,0)*(D66-INT(D66))+VLOOKUP(INT(D66),Tablas!$G$9:$K$1240,5,0)*(INT(D66)+1-D66)),+VLOOKUP(INT(D66)+1,Tablas!$G$9:$O$1240,9,0)*(D66-INT(D66))+VLOOKUP(INT(D66),Tablas!$G$9:$O$1240,9,0)*(INT(D66)+1-D66))</f>
      </c>
      <c r="H66" s="801">
        <f>+IF(MONTH(B66)=1,H65*(1+$C$9),H65)</f>
      </c>
      <c r="I66" s="791">
        <f>IF(B66&lt;$C$10,0,IF(B66&lt;$C$11,$C$8/12*E66*F66*H66,0))</f>
      </c>
      <c r="J66" s="791">
        <f>I66*12/14+IF(OR(MONTH(C66)=6,MONTH(C66)=12),I66*12/14,0)</f>
      </c>
      <c r="K66" s="801">
        <f>G66/$G$15</f>
      </c>
      <c r="L66" s="760"/>
      <c r="M66" s="767"/>
      <c r="N66" s="168"/>
      <c r="O66" s="768"/>
      <c r="P66" s="170"/>
      <c r="Q66" s="7"/>
      <c r="R66" s="766"/>
      <c r="S66" s="170"/>
      <c r="T66" s="168"/>
      <c r="U66" s="170"/>
    </row>
    <row x14ac:dyDescent="0.25" r="67" customHeight="1" ht="18.75">
      <c r="A67" s="1"/>
      <c r="B67" s="799">
        <f>+DATE(YEAR(B66),MONTH(B66)+1,DAY(B66))</f>
        <v>25569.041666666668</v>
      </c>
      <c r="C67" s="799">
        <f>+B68-1</f>
        <v>25569.041666666668</v>
      </c>
      <c r="D67" s="791">
        <f>-_xlfn.DAYS($C$3,C67)/365.25</f>
      </c>
      <c r="E67" s="800">
        <f>IF($D$17+40&lt;=D67,(1+$D$7)^-(D67-$C$5),(1+$C$7)^-(D67-$C$5))</f>
      </c>
      <c r="F67" s="801">
        <f>IF($C$4="Hombre",(+VLOOKUP(INT(D67)+1,Tablas!$G$9:$K$1240,5,0)*(D67-INT(D67))+VLOOKUP(INT(D67),Tablas!$G$9:$K$1240,5,0)*(INT(D67)+1-D67))/(VLOOKUP(INT($C$5)+1,Tablas!$G$9:$K$1240,5,0)*($C$5-INT($C$5))+VLOOKUP(INT($C$5),Tablas!$G$9:$K$124,5,0)*(INT($C$5)+1-$C$5)),(+VLOOKUP(INT(D67)+1,Tablas!$G$9:$O$1240,9,0)*(D67-INT(D67))+VLOOKUP(INT(D67),Tablas!$G$9:$O$1240,9,0)*(INT(D67)+1-D67))/(VLOOKUP(INT($C$5)+1,Tablas!$G$9:$O$1240,9,0)*($C$5-INT($C$5))+VLOOKUP(INT($C$5),Tablas!$G$9:$O$124,9,0)*(INT($C$5)+1-$C$5)))</f>
      </c>
      <c r="G67" s="791">
        <f>IF($C$4="Hombre",(+VLOOKUP(INT(D67)+1,Tablas!$G$9:$K$1240,5,0)*(D67-INT(D67))+VLOOKUP(INT(D67),Tablas!$G$9:$K$1240,5,0)*(INT(D67)+1-D67)),+VLOOKUP(INT(D67)+1,Tablas!$G$9:$O$1240,9,0)*(D67-INT(D67))+VLOOKUP(INT(D67),Tablas!$G$9:$O$1240,9,0)*(INT(D67)+1-D67))</f>
      </c>
      <c r="H67" s="801">
        <f>+IF(MONTH(B67)=1,H66*(1+$C$9),H66)</f>
      </c>
      <c r="I67" s="791">
        <f>IF(B67&lt;$C$10,0,IF(B67&lt;$C$11,$C$8/12*E67*F67*H67,0))</f>
      </c>
      <c r="J67" s="791">
        <f>I67*12/14+IF(OR(MONTH(C67)=6,MONTH(C67)=12),I67*12/14,0)</f>
      </c>
      <c r="K67" s="801">
        <f>G67/$G$15</f>
      </c>
      <c r="L67" s="760"/>
      <c r="M67" s="767"/>
      <c r="N67" s="168"/>
      <c r="O67" s="768"/>
      <c r="P67" s="170"/>
      <c r="Q67" s="7"/>
      <c r="R67" s="766"/>
      <c r="S67" s="170"/>
      <c r="T67" s="168"/>
      <c r="U67" s="170"/>
    </row>
    <row x14ac:dyDescent="0.25" r="68" customHeight="1" ht="18.75">
      <c r="A68" s="1"/>
      <c r="B68" s="799">
        <f>+DATE(YEAR(B67),MONTH(B67)+1,DAY(B67))</f>
        <v>25569.041666666668</v>
      </c>
      <c r="C68" s="799">
        <f>+B69-1</f>
        <v>25569.041666666668</v>
      </c>
      <c r="D68" s="791">
        <f>-_xlfn.DAYS($C$3,C68)/365.25</f>
      </c>
      <c r="E68" s="800">
        <f>IF($D$17+40&lt;=D68,(1+$D$7)^-(D68-$C$5),(1+$C$7)^-(D68-$C$5))</f>
      </c>
      <c r="F68" s="801">
        <f>IF($C$4="Hombre",(+VLOOKUP(INT(D68)+1,Tablas!$G$9:$K$1240,5,0)*(D68-INT(D68))+VLOOKUP(INT(D68),Tablas!$G$9:$K$1240,5,0)*(INT(D68)+1-D68))/(VLOOKUP(INT($C$5)+1,Tablas!$G$9:$K$1240,5,0)*($C$5-INT($C$5))+VLOOKUP(INT($C$5),Tablas!$G$9:$K$124,5,0)*(INT($C$5)+1-$C$5)),(+VLOOKUP(INT(D68)+1,Tablas!$G$9:$O$1240,9,0)*(D68-INT(D68))+VLOOKUP(INT(D68),Tablas!$G$9:$O$1240,9,0)*(INT(D68)+1-D68))/(VLOOKUP(INT($C$5)+1,Tablas!$G$9:$O$1240,9,0)*($C$5-INT($C$5))+VLOOKUP(INT($C$5),Tablas!$G$9:$O$124,9,0)*(INT($C$5)+1-$C$5)))</f>
      </c>
      <c r="G68" s="791">
        <f>IF($C$4="Hombre",(+VLOOKUP(INT(D68)+1,Tablas!$G$9:$K$1240,5,0)*(D68-INT(D68))+VLOOKUP(INT(D68),Tablas!$G$9:$K$1240,5,0)*(INT(D68)+1-D68)),+VLOOKUP(INT(D68)+1,Tablas!$G$9:$O$1240,9,0)*(D68-INT(D68))+VLOOKUP(INT(D68),Tablas!$G$9:$O$1240,9,0)*(INT(D68)+1-D68))</f>
      </c>
      <c r="H68" s="801">
        <f>+IF(MONTH(B68)=1,H67*(1+$C$9),H67)</f>
      </c>
      <c r="I68" s="791">
        <f>IF(B68&lt;$C$10,0,IF(B68&lt;$C$11,$C$8/12*E68*F68*H68,0))</f>
      </c>
      <c r="J68" s="791">
        <f>I68*12/14+IF(OR(MONTH(C68)=6,MONTH(C68)=12),I68*12/14,0)</f>
      </c>
      <c r="K68" s="801">
        <f>G68/$G$15</f>
      </c>
      <c r="L68" s="760"/>
      <c r="M68" s="767"/>
      <c r="N68" s="168"/>
      <c r="O68" s="768"/>
      <c r="P68" s="170"/>
      <c r="Q68" s="7"/>
      <c r="R68" s="766"/>
      <c r="S68" s="170"/>
      <c r="T68" s="168"/>
      <c r="U68" s="170"/>
    </row>
    <row x14ac:dyDescent="0.25" r="69" customHeight="1" ht="18.75">
      <c r="A69" s="1"/>
      <c r="B69" s="799">
        <f>+DATE(YEAR(B68),MONTH(B68)+1,DAY(B68))</f>
        <v>25569.041666666668</v>
      </c>
      <c r="C69" s="799">
        <f>+B70-1</f>
        <v>25569.041666666668</v>
      </c>
      <c r="D69" s="791">
        <f>-_xlfn.DAYS($C$3,C69)/365.25</f>
      </c>
      <c r="E69" s="800">
        <f>IF($D$17+40&lt;=D69,(1+$D$7)^-(D69-$C$5),(1+$C$7)^-(D69-$C$5))</f>
      </c>
      <c r="F69" s="801">
        <f>IF($C$4="Hombre",(+VLOOKUP(INT(D69)+1,Tablas!$G$9:$K$1240,5,0)*(D69-INT(D69))+VLOOKUP(INT(D69),Tablas!$G$9:$K$1240,5,0)*(INT(D69)+1-D69))/(VLOOKUP(INT($C$5)+1,Tablas!$G$9:$K$1240,5,0)*($C$5-INT($C$5))+VLOOKUP(INT($C$5),Tablas!$G$9:$K$124,5,0)*(INT($C$5)+1-$C$5)),(+VLOOKUP(INT(D69)+1,Tablas!$G$9:$O$1240,9,0)*(D69-INT(D69))+VLOOKUP(INT(D69),Tablas!$G$9:$O$1240,9,0)*(INT(D69)+1-D69))/(VLOOKUP(INT($C$5)+1,Tablas!$G$9:$O$1240,9,0)*($C$5-INT($C$5))+VLOOKUP(INT($C$5),Tablas!$G$9:$O$124,9,0)*(INT($C$5)+1-$C$5)))</f>
      </c>
      <c r="G69" s="791">
        <f>IF($C$4="Hombre",(+VLOOKUP(INT(D69)+1,Tablas!$G$9:$K$1240,5,0)*(D69-INT(D69))+VLOOKUP(INT(D69),Tablas!$G$9:$K$1240,5,0)*(INT(D69)+1-D69)),+VLOOKUP(INT(D69)+1,Tablas!$G$9:$O$1240,9,0)*(D69-INT(D69))+VLOOKUP(INT(D69),Tablas!$G$9:$O$1240,9,0)*(INT(D69)+1-D69))</f>
      </c>
      <c r="H69" s="801">
        <f>+IF(MONTH(B69)=1,H68*(1+$C$9),H68)</f>
      </c>
      <c r="I69" s="791">
        <f>IF(B69&lt;$C$10,0,IF(B69&lt;$C$11,$C$8/12*E69*F69*H69,0))</f>
      </c>
      <c r="J69" s="791">
        <f>I69*12/14+IF(OR(MONTH(C69)=6,MONTH(C69)=12),I69*12/14,0)</f>
      </c>
      <c r="K69" s="801">
        <f>G69/$G$15</f>
      </c>
      <c r="L69" s="760"/>
      <c r="M69" s="767"/>
      <c r="N69" s="168"/>
      <c r="O69" s="768"/>
      <c r="P69" s="170"/>
      <c r="Q69" s="7"/>
      <c r="R69" s="766"/>
      <c r="S69" s="170"/>
      <c r="T69" s="168"/>
      <c r="U69" s="170"/>
    </row>
    <row x14ac:dyDescent="0.25" r="70" customHeight="1" ht="18.75">
      <c r="A70" s="1"/>
      <c r="B70" s="799">
        <f>+DATE(YEAR(B69),MONTH(B69)+1,DAY(B69))</f>
        <v>25569.041666666668</v>
      </c>
      <c r="C70" s="799">
        <f>+B71-1</f>
        <v>25569.041666666668</v>
      </c>
      <c r="D70" s="791">
        <f>-_xlfn.DAYS($C$3,C70)/365.25</f>
      </c>
      <c r="E70" s="800">
        <f>IF($D$17+40&lt;=D70,(1+$D$7)^-(D70-$C$5),(1+$C$7)^-(D70-$C$5))</f>
      </c>
      <c r="F70" s="801">
        <f>IF($C$4="Hombre",(+VLOOKUP(INT(D70)+1,Tablas!$G$9:$K$1240,5,0)*(D70-INT(D70))+VLOOKUP(INT(D70),Tablas!$G$9:$K$1240,5,0)*(INT(D70)+1-D70))/(VLOOKUP(INT($C$5)+1,Tablas!$G$9:$K$1240,5,0)*($C$5-INT($C$5))+VLOOKUP(INT($C$5),Tablas!$G$9:$K$124,5,0)*(INT($C$5)+1-$C$5)),(+VLOOKUP(INT(D70)+1,Tablas!$G$9:$O$1240,9,0)*(D70-INT(D70))+VLOOKUP(INT(D70),Tablas!$G$9:$O$1240,9,0)*(INT(D70)+1-D70))/(VLOOKUP(INT($C$5)+1,Tablas!$G$9:$O$1240,9,0)*($C$5-INT($C$5))+VLOOKUP(INT($C$5),Tablas!$G$9:$O$124,9,0)*(INT($C$5)+1-$C$5)))</f>
      </c>
      <c r="G70" s="791">
        <f>IF($C$4="Hombre",(+VLOOKUP(INT(D70)+1,Tablas!$G$9:$K$1240,5,0)*(D70-INT(D70))+VLOOKUP(INT(D70),Tablas!$G$9:$K$1240,5,0)*(INT(D70)+1-D70)),+VLOOKUP(INT(D70)+1,Tablas!$G$9:$O$1240,9,0)*(D70-INT(D70))+VLOOKUP(INT(D70),Tablas!$G$9:$O$1240,9,0)*(INT(D70)+1-D70))</f>
      </c>
      <c r="H70" s="801">
        <f>+IF(MONTH(B70)=1,H69*(1+$C$9),H69)</f>
      </c>
      <c r="I70" s="791">
        <f>IF(B70&lt;$C$10,0,IF(B70&lt;$C$11,$C$8/12*E70*F70*H70,0))</f>
      </c>
      <c r="J70" s="791">
        <f>I70*12/14+IF(OR(MONTH(C70)=6,MONTH(C70)=12),I70*12/14,0)</f>
      </c>
      <c r="K70" s="801">
        <f>G70/$G$15</f>
      </c>
      <c r="L70" s="760"/>
      <c r="M70" s="767"/>
      <c r="N70" s="168"/>
      <c r="O70" s="768"/>
      <c r="P70" s="170"/>
      <c r="Q70" s="7"/>
      <c r="R70" s="766"/>
      <c r="S70" s="170"/>
      <c r="T70" s="168"/>
      <c r="U70" s="170"/>
    </row>
    <row x14ac:dyDescent="0.25" r="71" customHeight="1" ht="18.75">
      <c r="A71" s="1"/>
      <c r="B71" s="799">
        <f>+DATE(YEAR(B70),MONTH(B70)+1,DAY(B70))</f>
        <v>25569.041666666668</v>
      </c>
      <c r="C71" s="799">
        <f>+B72-1</f>
        <v>25569.041666666668</v>
      </c>
      <c r="D71" s="791">
        <f>-_xlfn.DAYS($C$3,C71)/365.25</f>
      </c>
      <c r="E71" s="800">
        <f>IF($D$17+40&lt;=D71,(1+$D$7)^-(D71-$C$5),(1+$C$7)^-(D71-$C$5))</f>
      </c>
      <c r="F71" s="801">
        <f>IF($C$4="Hombre",(+VLOOKUP(INT(D71)+1,Tablas!$G$9:$K$1240,5,0)*(D71-INT(D71))+VLOOKUP(INT(D71),Tablas!$G$9:$K$1240,5,0)*(INT(D71)+1-D71))/(VLOOKUP(INT($C$5)+1,Tablas!$G$9:$K$1240,5,0)*($C$5-INT($C$5))+VLOOKUP(INT($C$5),Tablas!$G$9:$K$124,5,0)*(INT($C$5)+1-$C$5)),(+VLOOKUP(INT(D71)+1,Tablas!$G$9:$O$1240,9,0)*(D71-INT(D71))+VLOOKUP(INT(D71),Tablas!$G$9:$O$1240,9,0)*(INT(D71)+1-D71))/(VLOOKUP(INT($C$5)+1,Tablas!$G$9:$O$1240,9,0)*($C$5-INT($C$5))+VLOOKUP(INT($C$5),Tablas!$G$9:$O$124,9,0)*(INT($C$5)+1-$C$5)))</f>
      </c>
      <c r="G71" s="791">
        <f>IF($C$4="Hombre",(+VLOOKUP(INT(D71)+1,Tablas!$G$9:$K$1240,5,0)*(D71-INT(D71))+VLOOKUP(INT(D71),Tablas!$G$9:$K$1240,5,0)*(INT(D71)+1-D71)),+VLOOKUP(INT(D71)+1,Tablas!$G$9:$O$1240,9,0)*(D71-INT(D71))+VLOOKUP(INT(D71),Tablas!$G$9:$O$1240,9,0)*(INT(D71)+1-D71))</f>
      </c>
      <c r="H71" s="801">
        <f>+IF(MONTH(B71)=1,H70*(1+$C$9),H70)</f>
      </c>
      <c r="I71" s="791">
        <f>IF(B71&lt;$C$10,0,IF(B71&lt;$C$11,$C$8/12*E71*F71*H71,0))</f>
      </c>
      <c r="J71" s="791">
        <f>I71*12/14+IF(OR(MONTH(C71)=6,MONTH(C71)=12),I71*12/14,0)</f>
      </c>
      <c r="K71" s="801">
        <f>G71/$G$15</f>
      </c>
      <c r="L71" s="760"/>
      <c r="M71" s="767"/>
      <c r="N71" s="168"/>
      <c r="O71" s="768"/>
      <c r="P71" s="170"/>
      <c r="Q71" s="7"/>
      <c r="R71" s="766"/>
      <c r="S71" s="170"/>
      <c r="T71" s="168"/>
      <c r="U71" s="170"/>
    </row>
    <row x14ac:dyDescent="0.25" r="72" customHeight="1" ht="18.75">
      <c r="A72" s="1"/>
      <c r="B72" s="799">
        <f>+DATE(YEAR(B71),MONTH(B71)+1,DAY(B71))</f>
        <v>25569.041666666668</v>
      </c>
      <c r="C72" s="799">
        <f>+B73-1</f>
        <v>25569.041666666668</v>
      </c>
      <c r="D72" s="791">
        <f>-_xlfn.DAYS($C$3,C72)/365.25</f>
      </c>
      <c r="E72" s="800">
        <f>IF($D$17+40&lt;=D72,(1+$D$7)^-(D72-$C$5),(1+$C$7)^-(D72-$C$5))</f>
      </c>
      <c r="F72" s="801">
        <f>IF($C$4="Hombre",(+VLOOKUP(INT(D72)+1,Tablas!$G$9:$K$1240,5,0)*(D72-INT(D72))+VLOOKUP(INT(D72),Tablas!$G$9:$K$1240,5,0)*(INT(D72)+1-D72))/(VLOOKUP(INT($C$5)+1,Tablas!$G$9:$K$1240,5,0)*($C$5-INT($C$5))+VLOOKUP(INT($C$5),Tablas!$G$9:$K$124,5,0)*(INT($C$5)+1-$C$5)),(+VLOOKUP(INT(D72)+1,Tablas!$G$9:$O$1240,9,0)*(D72-INT(D72))+VLOOKUP(INT(D72),Tablas!$G$9:$O$1240,9,0)*(INT(D72)+1-D72))/(VLOOKUP(INT($C$5)+1,Tablas!$G$9:$O$1240,9,0)*($C$5-INT($C$5))+VLOOKUP(INT($C$5),Tablas!$G$9:$O$124,9,0)*(INT($C$5)+1-$C$5)))</f>
      </c>
      <c r="G72" s="791">
        <f>IF($C$4="Hombre",(+VLOOKUP(INT(D72)+1,Tablas!$G$9:$K$1240,5,0)*(D72-INT(D72))+VLOOKUP(INT(D72),Tablas!$G$9:$K$1240,5,0)*(INT(D72)+1-D72)),+VLOOKUP(INT(D72)+1,Tablas!$G$9:$O$1240,9,0)*(D72-INT(D72))+VLOOKUP(INT(D72),Tablas!$G$9:$O$1240,9,0)*(INT(D72)+1-D72))</f>
      </c>
      <c r="H72" s="801">
        <f>+IF(MONTH(B72)=1,H71*(1+$C$9),H71)</f>
      </c>
      <c r="I72" s="791">
        <f>IF(B72&lt;$C$10,0,IF(B72&lt;$C$11,$C$8/12*E72*F72*H72,0))</f>
      </c>
      <c r="J72" s="791">
        <f>I72*12/14+IF(OR(MONTH(C72)=6,MONTH(C72)=12),I72*12/14,0)</f>
      </c>
      <c r="K72" s="801">
        <f>G72/$G$15</f>
      </c>
      <c r="L72" s="760"/>
      <c r="M72" s="767"/>
      <c r="N72" s="168"/>
      <c r="O72" s="768"/>
      <c r="P72" s="170"/>
      <c r="Q72" s="7"/>
      <c r="R72" s="766"/>
      <c r="S72" s="170"/>
      <c r="T72" s="168"/>
      <c r="U72" s="170"/>
    </row>
    <row x14ac:dyDescent="0.25" r="73" customHeight="1" ht="18.75">
      <c r="A73" s="1"/>
      <c r="B73" s="799">
        <f>+DATE(YEAR(B72),MONTH(B72)+1,DAY(B72))</f>
        <v>25569.041666666668</v>
      </c>
      <c r="C73" s="799">
        <f>+B74-1</f>
        <v>25569.041666666668</v>
      </c>
      <c r="D73" s="791">
        <f>-_xlfn.DAYS($C$3,C73)/365.25</f>
      </c>
      <c r="E73" s="800">
        <f>IF($D$17+40&lt;=D73,(1+$D$7)^-(D73-$C$5),(1+$C$7)^-(D73-$C$5))</f>
      </c>
      <c r="F73" s="801">
        <f>IF($C$4="Hombre",(+VLOOKUP(INT(D73)+1,Tablas!$G$9:$K$1240,5,0)*(D73-INT(D73))+VLOOKUP(INT(D73),Tablas!$G$9:$K$1240,5,0)*(INT(D73)+1-D73))/(VLOOKUP(INT($C$5)+1,Tablas!$G$9:$K$1240,5,0)*($C$5-INT($C$5))+VLOOKUP(INT($C$5),Tablas!$G$9:$K$124,5,0)*(INT($C$5)+1-$C$5)),(+VLOOKUP(INT(D73)+1,Tablas!$G$9:$O$1240,9,0)*(D73-INT(D73))+VLOOKUP(INT(D73),Tablas!$G$9:$O$1240,9,0)*(INT(D73)+1-D73))/(VLOOKUP(INT($C$5)+1,Tablas!$G$9:$O$1240,9,0)*($C$5-INT($C$5))+VLOOKUP(INT($C$5),Tablas!$G$9:$O$124,9,0)*(INT($C$5)+1-$C$5)))</f>
      </c>
      <c r="G73" s="791">
        <f>IF($C$4="Hombre",(+VLOOKUP(INT(D73)+1,Tablas!$G$9:$K$1240,5,0)*(D73-INT(D73))+VLOOKUP(INT(D73),Tablas!$G$9:$K$1240,5,0)*(INT(D73)+1-D73)),+VLOOKUP(INT(D73)+1,Tablas!$G$9:$O$1240,9,0)*(D73-INT(D73))+VLOOKUP(INT(D73),Tablas!$G$9:$O$1240,9,0)*(INT(D73)+1-D73))</f>
      </c>
      <c r="H73" s="801">
        <f>+IF(MONTH(B73)=1,H72*(1+$C$9),H72)</f>
      </c>
      <c r="I73" s="791">
        <f>IF(B73&lt;$C$10,0,IF(B73&lt;$C$11,$C$8/12*E73*F73*H73,0))</f>
      </c>
      <c r="J73" s="791">
        <f>I73*12/14+IF(OR(MONTH(C73)=6,MONTH(C73)=12),I73*12/14,0)</f>
      </c>
      <c r="K73" s="801">
        <f>G73/$G$15</f>
      </c>
      <c r="L73" s="760"/>
      <c r="M73" s="767"/>
      <c r="N73" s="168"/>
      <c r="O73" s="768"/>
      <c r="P73" s="170"/>
      <c r="Q73" s="7"/>
      <c r="R73" s="766"/>
      <c r="S73" s="170"/>
      <c r="T73" s="168"/>
      <c r="U73" s="170"/>
    </row>
    <row x14ac:dyDescent="0.25" r="74" customHeight="1" ht="18.75">
      <c r="A74" s="1"/>
      <c r="B74" s="799">
        <f>+DATE(YEAR(B73),MONTH(B73)+1,DAY(B73))</f>
        <v>25569.041666666668</v>
      </c>
      <c r="C74" s="799">
        <f>+B75-1</f>
        <v>25569.041666666668</v>
      </c>
      <c r="D74" s="791">
        <f>-_xlfn.DAYS($C$3,C74)/365.25</f>
      </c>
      <c r="E74" s="800">
        <f>IF($D$17+40&lt;=D74,(1+$D$7)^-(D74-$C$5),(1+$C$7)^-(D74-$C$5))</f>
      </c>
      <c r="F74" s="801">
        <f>IF($C$4="Hombre",(+VLOOKUP(INT(D74)+1,Tablas!$G$9:$K$1240,5,0)*(D74-INT(D74))+VLOOKUP(INT(D74),Tablas!$G$9:$K$1240,5,0)*(INT(D74)+1-D74))/(VLOOKUP(INT($C$5)+1,Tablas!$G$9:$K$1240,5,0)*($C$5-INT($C$5))+VLOOKUP(INT($C$5),Tablas!$G$9:$K$124,5,0)*(INT($C$5)+1-$C$5)),(+VLOOKUP(INT(D74)+1,Tablas!$G$9:$O$1240,9,0)*(D74-INT(D74))+VLOOKUP(INT(D74),Tablas!$G$9:$O$1240,9,0)*(INT(D74)+1-D74))/(VLOOKUP(INT($C$5)+1,Tablas!$G$9:$O$1240,9,0)*($C$5-INT($C$5))+VLOOKUP(INT($C$5),Tablas!$G$9:$O$124,9,0)*(INT($C$5)+1-$C$5)))</f>
      </c>
      <c r="G74" s="791">
        <f>IF($C$4="Hombre",(+VLOOKUP(INT(D74)+1,Tablas!$G$9:$K$1240,5,0)*(D74-INT(D74))+VLOOKUP(INT(D74),Tablas!$G$9:$K$1240,5,0)*(INT(D74)+1-D74)),+VLOOKUP(INT(D74)+1,Tablas!$G$9:$O$1240,9,0)*(D74-INT(D74))+VLOOKUP(INT(D74),Tablas!$G$9:$O$1240,9,0)*(INT(D74)+1-D74))</f>
      </c>
      <c r="H74" s="801">
        <f>+IF(MONTH(B74)=1,H73*(1+$C$9),H73)</f>
      </c>
      <c r="I74" s="791">
        <f>IF(B74&lt;$C$10,0,IF(B74&lt;$C$11,$C$8/12*E74*F74*H74,0))</f>
      </c>
      <c r="J74" s="791">
        <f>I74*12/14+IF(OR(MONTH(C74)=6,MONTH(C74)=12),I74*12/14,0)</f>
      </c>
      <c r="K74" s="801">
        <f>G74/$G$15</f>
      </c>
      <c r="L74" s="760"/>
      <c r="M74" s="767"/>
      <c r="N74" s="168"/>
      <c r="O74" s="768"/>
      <c r="P74" s="170"/>
      <c r="Q74" s="7"/>
      <c r="R74" s="766"/>
      <c r="S74" s="170"/>
      <c r="T74" s="168"/>
      <c r="U74" s="170"/>
    </row>
    <row x14ac:dyDescent="0.25" r="75" customHeight="1" ht="18.75">
      <c r="A75" s="1"/>
      <c r="B75" s="799">
        <f>+DATE(YEAR(B74),MONTH(B74)+1,DAY(B74))</f>
        <v>25569.041666666668</v>
      </c>
      <c r="C75" s="799">
        <f>+B76-1</f>
        <v>25569.041666666668</v>
      </c>
      <c r="D75" s="791">
        <f>-_xlfn.DAYS($C$3,C75)/365.25</f>
      </c>
      <c r="E75" s="800">
        <f>IF($D$17+40&lt;=D75,(1+$D$7)^-(D75-$C$5),(1+$C$7)^-(D75-$C$5))</f>
      </c>
      <c r="F75" s="801">
        <f>IF($C$4="Hombre",(+VLOOKUP(INT(D75)+1,Tablas!$G$9:$K$1240,5,0)*(D75-INT(D75))+VLOOKUP(INT(D75),Tablas!$G$9:$K$1240,5,0)*(INT(D75)+1-D75))/(VLOOKUP(INT($C$5)+1,Tablas!$G$9:$K$1240,5,0)*($C$5-INT($C$5))+VLOOKUP(INT($C$5),Tablas!$G$9:$K$124,5,0)*(INT($C$5)+1-$C$5)),(+VLOOKUP(INT(D75)+1,Tablas!$G$9:$O$1240,9,0)*(D75-INT(D75))+VLOOKUP(INT(D75),Tablas!$G$9:$O$1240,9,0)*(INT(D75)+1-D75))/(VLOOKUP(INT($C$5)+1,Tablas!$G$9:$O$1240,9,0)*($C$5-INT($C$5))+VLOOKUP(INT($C$5),Tablas!$G$9:$O$124,9,0)*(INT($C$5)+1-$C$5)))</f>
      </c>
      <c r="G75" s="791">
        <f>IF($C$4="Hombre",(+VLOOKUP(INT(D75)+1,Tablas!$G$9:$K$1240,5,0)*(D75-INT(D75))+VLOOKUP(INT(D75),Tablas!$G$9:$K$1240,5,0)*(INT(D75)+1-D75)),+VLOOKUP(INT(D75)+1,Tablas!$G$9:$O$1240,9,0)*(D75-INT(D75))+VLOOKUP(INT(D75),Tablas!$G$9:$O$1240,9,0)*(INT(D75)+1-D75))</f>
      </c>
      <c r="H75" s="801">
        <f>+IF(MONTH(B75)=1,H74*(1+$C$9),H74)</f>
      </c>
      <c r="I75" s="791">
        <f>IF(B75&lt;$C$10,0,IF(B75&lt;$C$11,$C$8/12*E75*F75*H75,0))</f>
      </c>
      <c r="J75" s="791">
        <f>I75*12/14+IF(OR(MONTH(C75)=6,MONTH(C75)=12),I75*12/14,0)</f>
      </c>
      <c r="K75" s="801">
        <f>G75/$G$15</f>
      </c>
      <c r="L75" s="760"/>
      <c r="M75" s="767"/>
      <c r="N75" s="168"/>
      <c r="O75" s="768"/>
      <c r="P75" s="170"/>
      <c r="Q75" s="7"/>
      <c r="R75" s="766"/>
      <c r="S75" s="170"/>
      <c r="T75" s="168"/>
      <c r="U75" s="170"/>
    </row>
    <row x14ac:dyDescent="0.25" r="76" customHeight="1" ht="18.75">
      <c r="A76" s="1"/>
      <c r="B76" s="799">
        <f>+DATE(YEAR(B75),MONTH(B75)+1,DAY(B75))</f>
        <v>25569.041666666668</v>
      </c>
      <c r="C76" s="799">
        <f>+B77-1</f>
        <v>25569.041666666668</v>
      </c>
      <c r="D76" s="791">
        <f>-_xlfn.DAYS($C$3,C76)/365.25</f>
      </c>
      <c r="E76" s="800">
        <f>IF($D$17+40&lt;=D76,(1+$D$7)^-(D76-$C$5),(1+$C$7)^-(D76-$C$5))</f>
      </c>
      <c r="F76" s="801">
        <f>IF($C$4="Hombre",(+VLOOKUP(INT(D76)+1,Tablas!$G$9:$K$1240,5,0)*(D76-INT(D76))+VLOOKUP(INT(D76),Tablas!$G$9:$K$1240,5,0)*(INT(D76)+1-D76))/(VLOOKUP(INT($C$5)+1,Tablas!$G$9:$K$1240,5,0)*($C$5-INT($C$5))+VLOOKUP(INT($C$5),Tablas!$G$9:$K$124,5,0)*(INT($C$5)+1-$C$5)),(+VLOOKUP(INT(D76)+1,Tablas!$G$9:$O$1240,9,0)*(D76-INT(D76))+VLOOKUP(INT(D76),Tablas!$G$9:$O$1240,9,0)*(INT(D76)+1-D76))/(VLOOKUP(INT($C$5)+1,Tablas!$G$9:$O$1240,9,0)*($C$5-INT($C$5))+VLOOKUP(INT($C$5),Tablas!$G$9:$O$124,9,0)*(INT($C$5)+1-$C$5)))</f>
      </c>
      <c r="G76" s="791">
        <f>IF($C$4="Hombre",(+VLOOKUP(INT(D76)+1,Tablas!$G$9:$K$1240,5,0)*(D76-INT(D76))+VLOOKUP(INT(D76),Tablas!$G$9:$K$1240,5,0)*(INT(D76)+1-D76)),+VLOOKUP(INT(D76)+1,Tablas!$G$9:$O$1240,9,0)*(D76-INT(D76))+VLOOKUP(INT(D76),Tablas!$G$9:$O$1240,9,0)*(INT(D76)+1-D76))</f>
      </c>
      <c r="H76" s="801">
        <f>+IF(MONTH(B76)=1,H75*(1+$C$9),H75)</f>
      </c>
      <c r="I76" s="791">
        <f>IF(B76&lt;$C$10,0,IF(B76&lt;$C$11,$C$8/12*E76*F76*H76,0))</f>
      </c>
      <c r="J76" s="791">
        <f>I76*12/14+IF(OR(MONTH(C76)=6,MONTH(C76)=12),I76*12/14,0)</f>
      </c>
      <c r="K76" s="801">
        <f>G76/$G$15</f>
      </c>
      <c r="L76" s="760"/>
      <c r="M76" s="767"/>
      <c r="N76" s="168"/>
      <c r="O76" s="768"/>
      <c r="P76" s="170"/>
      <c r="Q76" s="7"/>
      <c r="R76" s="766"/>
      <c r="S76" s="170"/>
      <c r="T76" s="168"/>
      <c r="U76" s="170"/>
    </row>
    <row x14ac:dyDescent="0.25" r="77" customHeight="1" ht="18.75">
      <c r="A77" s="1"/>
      <c r="B77" s="799">
        <f>+DATE(YEAR(B76),MONTH(B76)+1,DAY(B76))</f>
        <v>25569.041666666668</v>
      </c>
      <c r="C77" s="799">
        <f>+B78-1</f>
        <v>25569.041666666668</v>
      </c>
      <c r="D77" s="791">
        <f>-_xlfn.DAYS($C$3,C77)/365.25</f>
      </c>
      <c r="E77" s="800">
        <f>IF($D$17+40&lt;=D77,(1+$D$7)^-(D77-$C$5),(1+$C$7)^-(D77-$C$5))</f>
      </c>
      <c r="F77" s="801">
        <f>IF($C$4="Hombre",(+VLOOKUP(INT(D77)+1,Tablas!$G$9:$K$1240,5,0)*(D77-INT(D77))+VLOOKUP(INT(D77),Tablas!$G$9:$K$1240,5,0)*(INT(D77)+1-D77))/(VLOOKUP(INT($C$5)+1,Tablas!$G$9:$K$1240,5,0)*($C$5-INT($C$5))+VLOOKUP(INT($C$5),Tablas!$G$9:$K$124,5,0)*(INT($C$5)+1-$C$5)),(+VLOOKUP(INT(D77)+1,Tablas!$G$9:$O$1240,9,0)*(D77-INT(D77))+VLOOKUP(INT(D77),Tablas!$G$9:$O$1240,9,0)*(INT(D77)+1-D77))/(VLOOKUP(INT($C$5)+1,Tablas!$G$9:$O$1240,9,0)*($C$5-INT($C$5))+VLOOKUP(INT($C$5),Tablas!$G$9:$O$124,9,0)*(INT($C$5)+1-$C$5)))</f>
      </c>
      <c r="G77" s="791">
        <f>IF($C$4="Hombre",(+VLOOKUP(INT(D77)+1,Tablas!$G$9:$K$1240,5,0)*(D77-INT(D77))+VLOOKUP(INT(D77),Tablas!$G$9:$K$1240,5,0)*(INT(D77)+1-D77)),+VLOOKUP(INT(D77)+1,Tablas!$G$9:$O$1240,9,0)*(D77-INT(D77))+VLOOKUP(INT(D77),Tablas!$G$9:$O$1240,9,0)*(INT(D77)+1-D77))</f>
      </c>
      <c r="H77" s="801">
        <f>+IF(MONTH(B77)=1,H76*(1+$C$9),H76)</f>
      </c>
      <c r="I77" s="791">
        <f>IF(B77&lt;$C$10,0,IF(B77&lt;$C$11,$C$8/12*E77*F77*H77,0))</f>
      </c>
      <c r="J77" s="791">
        <f>I77*12/14+IF(OR(MONTH(C77)=6,MONTH(C77)=12),I77*12/14,0)</f>
      </c>
      <c r="K77" s="801">
        <f>G77/$G$15</f>
      </c>
      <c r="L77" s="760"/>
      <c r="M77" s="767"/>
      <c r="N77" s="168"/>
      <c r="O77" s="768"/>
      <c r="P77" s="170"/>
      <c r="Q77" s="7"/>
      <c r="R77" s="766"/>
      <c r="S77" s="170"/>
      <c r="T77" s="168"/>
      <c r="U77" s="170"/>
    </row>
    <row x14ac:dyDescent="0.25" r="78" customHeight="1" ht="18.75">
      <c r="A78" s="1"/>
      <c r="B78" s="799">
        <f>+DATE(YEAR(B77),MONTH(B77)+1,DAY(B77))</f>
        <v>25569.041666666668</v>
      </c>
      <c r="C78" s="799">
        <f>+B79-1</f>
        <v>25569.041666666668</v>
      </c>
      <c r="D78" s="791">
        <f>-_xlfn.DAYS($C$3,C78)/365.25</f>
      </c>
      <c r="E78" s="800">
        <f>IF($D$17+40&lt;=D78,(1+$D$7)^-(D78-$C$5),(1+$C$7)^-(D78-$C$5))</f>
      </c>
      <c r="F78" s="801">
        <f>IF($C$4="Hombre",(+VLOOKUP(INT(D78)+1,Tablas!$G$9:$K$1240,5,0)*(D78-INT(D78))+VLOOKUP(INT(D78),Tablas!$G$9:$K$1240,5,0)*(INT(D78)+1-D78))/(VLOOKUP(INT($C$5)+1,Tablas!$G$9:$K$1240,5,0)*($C$5-INT($C$5))+VLOOKUP(INT($C$5),Tablas!$G$9:$K$124,5,0)*(INT($C$5)+1-$C$5)),(+VLOOKUP(INT(D78)+1,Tablas!$G$9:$O$1240,9,0)*(D78-INT(D78))+VLOOKUP(INT(D78),Tablas!$G$9:$O$1240,9,0)*(INT(D78)+1-D78))/(VLOOKUP(INT($C$5)+1,Tablas!$G$9:$O$1240,9,0)*($C$5-INT($C$5))+VLOOKUP(INT($C$5),Tablas!$G$9:$O$124,9,0)*(INT($C$5)+1-$C$5)))</f>
      </c>
      <c r="G78" s="791">
        <f>IF($C$4="Hombre",(+VLOOKUP(INT(D78)+1,Tablas!$G$9:$K$1240,5,0)*(D78-INT(D78))+VLOOKUP(INT(D78),Tablas!$G$9:$K$1240,5,0)*(INT(D78)+1-D78)),+VLOOKUP(INT(D78)+1,Tablas!$G$9:$O$1240,9,0)*(D78-INT(D78))+VLOOKUP(INT(D78),Tablas!$G$9:$O$1240,9,0)*(INT(D78)+1-D78))</f>
      </c>
      <c r="H78" s="801">
        <f>+IF(MONTH(B78)=1,H77*(1+$C$9),H77)</f>
      </c>
      <c r="I78" s="791">
        <f>IF(B78&lt;$C$10,0,IF(B78&lt;$C$11,$C$8/12*E78*F78*H78,0))</f>
      </c>
      <c r="J78" s="791">
        <f>I78*12/14+IF(OR(MONTH(C78)=6,MONTH(C78)=12),I78*12/14,0)</f>
      </c>
      <c r="K78" s="801">
        <f>G78/$G$15</f>
      </c>
      <c r="L78" s="760"/>
      <c r="M78" s="767"/>
      <c r="N78" s="168"/>
      <c r="O78" s="768"/>
      <c r="P78" s="170"/>
      <c r="Q78" s="7"/>
      <c r="R78" s="766"/>
      <c r="S78" s="170"/>
      <c r="T78" s="168"/>
      <c r="U78" s="170"/>
    </row>
    <row x14ac:dyDescent="0.25" r="79" customHeight="1" ht="18.75">
      <c r="A79" s="1"/>
      <c r="B79" s="799">
        <f>+DATE(YEAR(B78),MONTH(B78)+1,DAY(B78))</f>
        <v>25569.041666666668</v>
      </c>
      <c r="C79" s="799">
        <f>+B80-1</f>
        <v>25569.041666666668</v>
      </c>
      <c r="D79" s="791">
        <f>-_xlfn.DAYS($C$3,C79)/365.25</f>
      </c>
      <c r="E79" s="800">
        <f>IF($D$17+40&lt;=D79,(1+$D$7)^-(D79-$C$5),(1+$C$7)^-(D79-$C$5))</f>
      </c>
      <c r="F79" s="801">
        <f>IF($C$4="Hombre",(+VLOOKUP(INT(D79)+1,Tablas!$G$9:$K$1240,5,0)*(D79-INT(D79))+VLOOKUP(INT(D79),Tablas!$G$9:$K$1240,5,0)*(INT(D79)+1-D79))/(VLOOKUP(INT($C$5)+1,Tablas!$G$9:$K$1240,5,0)*($C$5-INT($C$5))+VLOOKUP(INT($C$5),Tablas!$G$9:$K$124,5,0)*(INT($C$5)+1-$C$5)),(+VLOOKUP(INT(D79)+1,Tablas!$G$9:$O$1240,9,0)*(D79-INT(D79))+VLOOKUP(INT(D79),Tablas!$G$9:$O$1240,9,0)*(INT(D79)+1-D79))/(VLOOKUP(INT($C$5)+1,Tablas!$G$9:$O$1240,9,0)*($C$5-INT($C$5))+VLOOKUP(INT($C$5),Tablas!$G$9:$O$124,9,0)*(INT($C$5)+1-$C$5)))</f>
      </c>
      <c r="G79" s="791">
        <f>IF($C$4="Hombre",(+VLOOKUP(INT(D79)+1,Tablas!$G$9:$K$1240,5,0)*(D79-INT(D79))+VLOOKUP(INT(D79),Tablas!$G$9:$K$1240,5,0)*(INT(D79)+1-D79)),+VLOOKUP(INT(D79)+1,Tablas!$G$9:$O$1240,9,0)*(D79-INT(D79))+VLOOKUP(INT(D79),Tablas!$G$9:$O$1240,9,0)*(INT(D79)+1-D79))</f>
      </c>
      <c r="H79" s="801">
        <f>+IF(MONTH(B79)=1,H78*(1+$C$9),H78)</f>
      </c>
      <c r="I79" s="791">
        <f>IF(B79&lt;$C$10,0,IF(B79&lt;$C$11,$C$8/12*E79*F79*H79,0))</f>
      </c>
      <c r="J79" s="791">
        <f>I79*12/14+IF(OR(MONTH(C79)=6,MONTH(C79)=12),I79*12/14,0)</f>
      </c>
      <c r="K79" s="801">
        <f>G79/$G$15</f>
      </c>
      <c r="L79" s="760"/>
      <c r="M79" s="767"/>
      <c r="N79" s="168"/>
      <c r="O79" s="768"/>
      <c r="P79" s="170"/>
      <c r="Q79" s="7"/>
      <c r="R79" s="766"/>
      <c r="S79" s="170"/>
      <c r="T79" s="168"/>
      <c r="U79" s="170"/>
    </row>
    <row x14ac:dyDescent="0.25" r="80" customHeight="1" ht="18.75">
      <c r="A80" s="1"/>
      <c r="B80" s="799">
        <f>+DATE(YEAR(B79),MONTH(B79)+1,DAY(B79))</f>
        <v>25569.041666666668</v>
      </c>
      <c r="C80" s="799">
        <f>+B81-1</f>
        <v>25569.041666666668</v>
      </c>
      <c r="D80" s="791">
        <f>-_xlfn.DAYS($C$3,C80)/365.25</f>
      </c>
      <c r="E80" s="800">
        <f>IF($D$17+40&lt;=D80,(1+$D$7)^-(D80-$C$5),(1+$C$7)^-(D80-$C$5))</f>
      </c>
      <c r="F80" s="801">
        <f>IF($C$4="Hombre",(+VLOOKUP(INT(D80)+1,Tablas!$G$9:$K$1240,5,0)*(D80-INT(D80))+VLOOKUP(INT(D80),Tablas!$G$9:$K$1240,5,0)*(INT(D80)+1-D80))/(VLOOKUP(INT($C$5)+1,Tablas!$G$9:$K$1240,5,0)*($C$5-INT($C$5))+VLOOKUP(INT($C$5),Tablas!$G$9:$K$124,5,0)*(INT($C$5)+1-$C$5)),(+VLOOKUP(INT(D80)+1,Tablas!$G$9:$O$1240,9,0)*(D80-INT(D80))+VLOOKUP(INT(D80),Tablas!$G$9:$O$1240,9,0)*(INT(D80)+1-D80))/(VLOOKUP(INT($C$5)+1,Tablas!$G$9:$O$1240,9,0)*($C$5-INT($C$5))+VLOOKUP(INT($C$5),Tablas!$G$9:$O$124,9,0)*(INT($C$5)+1-$C$5)))</f>
      </c>
      <c r="G80" s="791">
        <f>IF($C$4="Hombre",(+VLOOKUP(INT(D80)+1,Tablas!$G$9:$K$1240,5,0)*(D80-INT(D80))+VLOOKUP(INT(D80),Tablas!$G$9:$K$1240,5,0)*(INT(D80)+1-D80)),+VLOOKUP(INT(D80)+1,Tablas!$G$9:$O$1240,9,0)*(D80-INT(D80))+VLOOKUP(INT(D80),Tablas!$G$9:$O$1240,9,0)*(INT(D80)+1-D80))</f>
      </c>
      <c r="H80" s="801">
        <f>+IF(MONTH(B80)=1,H79*(1+$C$9),H79)</f>
      </c>
      <c r="I80" s="791">
        <f>IF(B80&lt;$C$10,0,IF(B80&lt;$C$11,$C$8/12*E80*F80*H80,0))</f>
      </c>
      <c r="J80" s="791">
        <f>I80*12/14+IF(OR(MONTH(C80)=6,MONTH(C80)=12),I80*12/14,0)</f>
      </c>
      <c r="K80" s="801">
        <f>G80/$G$15</f>
      </c>
      <c r="L80" s="760"/>
      <c r="M80" s="767"/>
      <c r="N80" s="168"/>
      <c r="O80" s="768"/>
      <c r="P80" s="170"/>
      <c r="Q80" s="7"/>
      <c r="R80" s="766"/>
      <c r="S80" s="170"/>
      <c r="T80" s="168"/>
      <c r="U80" s="170"/>
    </row>
    <row x14ac:dyDescent="0.25" r="81" customHeight="1" ht="18.75">
      <c r="A81" s="1"/>
      <c r="B81" s="799">
        <f>+DATE(YEAR(B80),MONTH(B80)+1,DAY(B80))</f>
        <v>25569.041666666668</v>
      </c>
      <c r="C81" s="799">
        <f>+B82-1</f>
        <v>25569.041666666668</v>
      </c>
      <c r="D81" s="791">
        <f>-_xlfn.DAYS($C$3,C81)/365.25</f>
      </c>
      <c r="E81" s="800">
        <f>IF($D$17+40&lt;=D81,(1+$D$7)^-(D81-$C$5),(1+$C$7)^-(D81-$C$5))</f>
      </c>
      <c r="F81" s="801">
        <f>IF($C$4="Hombre",(+VLOOKUP(INT(D81)+1,Tablas!$G$9:$K$1240,5,0)*(D81-INT(D81))+VLOOKUP(INT(D81),Tablas!$G$9:$K$1240,5,0)*(INT(D81)+1-D81))/(VLOOKUP(INT($C$5)+1,Tablas!$G$9:$K$1240,5,0)*($C$5-INT($C$5))+VLOOKUP(INT($C$5),Tablas!$G$9:$K$124,5,0)*(INT($C$5)+1-$C$5)),(+VLOOKUP(INT(D81)+1,Tablas!$G$9:$O$1240,9,0)*(D81-INT(D81))+VLOOKUP(INT(D81),Tablas!$G$9:$O$1240,9,0)*(INT(D81)+1-D81))/(VLOOKUP(INT($C$5)+1,Tablas!$G$9:$O$1240,9,0)*($C$5-INT($C$5))+VLOOKUP(INT($C$5),Tablas!$G$9:$O$124,9,0)*(INT($C$5)+1-$C$5)))</f>
      </c>
      <c r="G81" s="791">
        <f>IF($C$4="Hombre",(+VLOOKUP(INT(D81)+1,Tablas!$G$9:$K$1240,5,0)*(D81-INT(D81))+VLOOKUP(INT(D81),Tablas!$G$9:$K$1240,5,0)*(INT(D81)+1-D81)),+VLOOKUP(INT(D81)+1,Tablas!$G$9:$O$1240,9,0)*(D81-INT(D81))+VLOOKUP(INT(D81),Tablas!$G$9:$O$1240,9,0)*(INT(D81)+1-D81))</f>
      </c>
      <c r="H81" s="801">
        <f>+IF(MONTH(B81)=1,H80*(1+$C$9),H80)</f>
      </c>
      <c r="I81" s="791">
        <f>IF(B81&lt;$C$10,0,IF(B81&lt;$C$11,$C$8/12*E81*F81*H81,0))</f>
      </c>
      <c r="J81" s="791">
        <f>I81*12/14+IF(OR(MONTH(C81)=6,MONTH(C81)=12),I81*12/14,0)</f>
      </c>
      <c r="K81" s="801">
        <f>G81/$G$15</f>
      </c>
      <c r="L81" s="760"/>
      <c r="M81" s="767"/>
      <c r="N81" s="168"/>
      <c r="O81" s="768"/>
      <c r="P81" s="170"/>
      <c r="Q81" s="7"/>
      <c r="R81" s="766"/>
      <c r="S81" s="170"/>
      <c r="T81" s="168"/>
      <c r="U81" s="170"/>
    </row>
    <row x14ac:dyDescent="0.25" r="82" customHeight="1" ht="18.75">
      <c r="A82" s="1"/>
      <c r="B82" s="799">
        <f>+DATE(YEAR(B81),MONTH(B81)+1,DAY(B81))</f>
        <v>25569.041666666668</v>
      </c>
      <c r="C82" s="799">
        <f>+B83-1</f>
        <v>25569.041666666668</v>
      </c>
      <c r="D82" s="791">
        <f>-_xlfn.DAYS($C$3,C82)/365.25</f>
      </c>
      <c r="E82" s="800">
        <f>IF($D$17+40&lt;=D82,(1+$D$7)^-(D82-$C$5),(1+$C$7)^-(D82-$C$5))</f>
      </c>
      <c r="F82" s="801">
        <f>IF($C$4="Hombre",(+VLOOKUP(INT(D82)+1,Tablas!$G$9:$K$1240,5,0)*(D82-INT(D82))+VLOOKUP(INT(D82),Tablas!$G$9:$K$1240,5,0)*(INT(D82)+1-D82))/(VLOOKUP(INT($C$5)+1,Tablas!$G$9:$K$1240,5,0)*($C$5-INT($C$5))+VLOOKUP(INT($C$5),Tablas!$G$9:$K$124,5,0)*(INT($C$5)+1-$C$5)),(+VLOOKUP(INT(D82)+1,Tablas!$G$9:$O$1240,9,0)*(D82-INT(D82))+VLOOKUP(INT(D82),Tablas!$G$9:$O$1240,9,0)*(INT(D82)+1-D82))/(VLOOKUP(INT($C$5)+1,Tablas!$G$9:$O$1240,9,0)*($C$5-INT($C$5))+VLOOKUP(INT($C$5),Tablas!$G$9:$O$124,9,0)*(INT($C$5)+1-$C$5)))</f>
      </c>
      <c r="G82" s="791">
        <f>IF($C$4="Hombre",(+VLOOKUP(INT(D82)+1,Tablas!$G$9:$K$1240,5,0)*(D82-INT(D82))+VLOOKUP(INT(D82),Tablas!$G$9:$K$1240,5,0)*(INT(D82)+1-D82)),+VLOOKUP(INT(D82)+1,Tablas!$G$9:$O$1240,9,0)*(D82-INT(D82))+VLOOKUP(INT(D82),Tablas!$G$9:$O$1240,9,0)*(INT(D82)+1-D82))</f>
      </c>
      <c r="H82" s="801">
        <f>+IF(MONTH(B82)=1,H81*(1+$C$9),H81)</f>
      </c>
      <c r="I82" s="791">
        <f>IF(B82&lt;$C$10,0,IF(B82&lt;$C$11,$C$8/12*E82*F82*H82,0))</f>
      </c>
      <c r="J82" s="791">
        <f>I82*12/14+IF(OR(MONTH(C82)=6,MONTH(C82)=12),I82*12/14,0)</f>
      </c>
      <c r="K82" s="801">
        <f>G82/$G$15</f>
      </c>
      <c r="L82" s="760"/>
      <c r="M82" s="767"/>
      <c r="N82" s="168"/>
      <c r="O82" s="768"/>
      <c r="P82" s="170"/>
      <c r="Q82" s="7"/>
      <c r="R82" s="766"/>
      <c r="S82" s="170"/>
      <c r="T82" s="168"/>
      <c r="U82" s="170"/>
    </row>
    <row x14ac:dyDescent="0.25" r="83" customHeight="1" ht="18.75">
      <c r="A83" s="1"/>
      <c r="B83" s="799">
        <f>+DATE(YEAR(B82),MONTH(B82)+1,DAY(B82))</f>
        <v>25569.041666666668</v>
      </c>
      <c r="C83" s="799">
        <f>+B84-1</f>
        <v>25569.041666666668</v>
      </c>
      <c r="D83" s="791">
        <f>-_xlfn.DAYS($C$3,C83)/365.25</f>
      </c>
      <c r="E83" s="800">
        <f>IF($D$17+40&lt;=D83,(1+$D$7)^-(D83-$C$5),(1+$C$7)^-(D83-$C$5))</f>
      </c>
      <c r="F83" s="801">
        <f>IF($C$4="Hombre",(+VLOOKUP(INT(D83)+1,Tablas!$G$9:$K$1240,5,0)*(D83-INT(D83))+VLOOKUP(INT(D83),Tablas!$G$9:$K$1240,5,0)*(INT(D83)+1-D83))/(VLOOKUP(INT($C$5)+1,Tablas!$G$9:$K$1240,5,0)*($C$5-INT($C$5))+VLOOKUP(INT($C$5),Tablas!$G$9:$K$124,5,0)*(INT($C$5)+1-$C$5)),(+VLOOKUP(INT(D83)+1,Tablas!$G$9:$O$1240,9,0)*(D83-INT(D83))+VLOOKUP(INT(D83),Tablas!$G$9:$O$1240,9,0)*(INT(D83)+1-D83))/(VLOOKUP(INT($C$5)+1,Tablas!$G$9:$O$1240,9,0)*($C$5-INT($C$5))+VLOOKUP(INT($C$5),Tablas!$G$9:$O$124,9,0)*(INT($C$5)+1-$C$5)))</f>
      </c>
      <c r="G83" s="791">
        <f>IF($C$4="Hombre",(+VLOOKUP(INT(D83)+1,Tablas!$G$9:$K$1240,5,0)*(D83-INT(D83))+VLOOKUP(INT(D83),Tablas!$G$9:$K$1240,5,0)*(INT(D83)+1-D83)),+VLOOKUP(INT(D83)+1,Tablas!$G$9:$O$1240,9,0)*(D83-INT(D83))+VLOOKUP(INT(D83),Tablas!$G$9:$O$1240,9,0)*(INT(D83)+1-D83))</f>
      </c>
      <c r="H83" s="801">
        <f>+IF(MONTH(B83)=1,H82*(1+$C$9),H82)</f>
      </c>
      <c r="I83" s="791">
        <f>IF(B83&lt;$C$10,0,IF(B83&lt;$C$11,$C$8/12*E83*F83*H83,0))</f>
      </c>
      <c r="J83" s="791">
        <f>I83*12/14+IF(OR(MONTH(C83)=6,MONTH(C83)=12),I83*12/14,0)</f>
      </c>
      <c r="K83" s="801">
        <f>G83/$G$15</f>
      </c>
      <c r="L83" s="760"/>
      <c r="M83" s="767"/>
      <c r="N83" s="168"/>
      <c r="O83" s="768"/>
      <c r="P83" s="170"/>
      <c r="Q83" s="7"/>
      <c r="R83" s="766"/>
      <c r="S83" s="170"/>
      <c r="T83" s="168"/>
      <c r="U83" s="170"/>
    </row>
    <row x14ac:dyDescent="0.25" r="84" customHeight="1" ht="18.75">
      <c r="A84" s="1"/>
      <c r="B84" s="799">
        <f>+DATE(YEAR(B83),MONTH(B83)+1,DAY(B83))</f>
        <v>25569.041666666668</v>
      </c>
      <c r="C84" s="799">
        <f>+B85-1</f>
        <v>25569.041666666668</v>
      </c>
      <c r="D84" s="791">
        <f>-_xlfn.DAYS($C$3,C84)/365.25</f>
      </c>
      <c r="E84" s="800">
        <f>IF($D$17+40&lt;=D84,(1+$D$7)^-(D84-$C$5),(1+$C$7)^-(D84-$C$5))</f>
      </c>
      <c r="F84" s="801">
        <f>IF($C$4="Hombre",(+VLOOKUP(INT(D84)+1,Tablas!$G$9:$K$1240,5,0)*(D84-INT(D84))+VLOOKUP(INT(D84),Tablas!$G$9:$K$1240,5,0)*(INT(D84)+1-D84))/(VLOOKUP(INT($C$5)+1,Tablas!$G$9:$K$1240,5,0)*($C$5-INT($C$5))+VLOOKUP(INT($C$5),Tablas!$G$9:$K$124,5,0)*(INT($C$5)+1-$C$5)),(+VLOOKUP(INT(D84)+1,Tablas!$G$9:$O$1240,9,0)*(D84-INT(D84))+VLOOKUP(INT(D84),Tablas!$G$9:$O$1240,9,0)*(INT(D84)+1-D84))/(VLOOKUP(INT($C$5)+1,Tablas!$G$9:$O$1240,9,0)*($C$5-INT($C$5))+VLOOKUP(INT($C$5),Tablas!$G$9:$O$124,9,0)*(INT($C$5)+1-$C$5)))</f>
      </c>
      <c r="G84" s="791">
        <f>IF($C$4="Hombre",(+VLOOKUP(INT(D84)+1,Tablas!$G$9:$K$1240,5,0)*(D84-INT(D84))+VLOOKUP(INT(D84),Tablas!$G$9:$K$1240,5,0)*(INT(D84)+1-D84)),+VLOOKUP(INT(D84)+1,Tablas!$G$9:$O$1240,9,0)*(D84-INT(D84))+VLOOKUP(INT(D84),Tablas!$G$9:$O$1240,9,0)*(INT(D84)+1-D84))</f>
      </c>
      <c r="H84" s="801">
        <f>+IF(MONTH(B84)=1,H83*(1+$C$9),H83)</f>
      </c>
      <c r="I84" s="791">
        <f>IF(B84&lt;$C$10,0,IF(B84&lt;$C$11,$C$8/12*E84*F84*H84,0))</f>
      </c>
      <c r="J84" s="791">
        <f>I84*12/14+IF(OR(MONTH(C84)=6,MONTH(C84)=12),I84*12/14,0)</f>
      </c>
      <c r="K84" s="801">
        <f>G84/$G$15</f>
      </c>
      <c r="L84" s="760"/>
      <c r="M84" s="767"/>
      <c r="N84" s="168"/>
      <c r="O84" s="768"/>
      <c r="P84" s="170"/>
      <c r="Q84" s="7"/>
      <c r="R84" s="766"/>
      <c r="S84" s="170"/>
      <c r="T84" s="168"/>
      <c r="U84" s="170"/>
    </row>
    <row x14ac:dyDescent="0.25" r="85" customHeight="1" ht="18.75">
      <c r="A85" s="1"/>
      <c r="B85" s="799">
        <f>+DATE(YEAR(B84),MONTH(B84)+1,DAY(B84))</f>
        <v>25569.041666666668</v>
      </c>
      <c r="C85" s="799">
        <f>+B86-1</f>
        <v>25569.041666666668</v>
      </c>
      <c r="D85" s="791">
        <f>-_xlfn.DAYS($C$3,C85)/365.25</f>
      </c>
      <c r="E85" s="800">
        <f>IF($D$17+40&lt;=D85,(1+$D$7)^-(D85-$C$5),(1+$C$7)^-(D85-$C$5))</f>
      </c>
      <c r="F85" s="801">
        <f>IF($C$4="Hombre",(+VLOOKUP(INT(D85)+1,Tablas!$G$9:$K$1240,5,0)*(D85-INT(D85))+VLOOKUP(INT(D85),Tablas!$G$9:$K$1240,5,0)*(INT(D85)+1-D85))/(VLOOKUP(INT($C$5)+1,Tablas!$G$9:$K$1240,5,0)*($C$5-INT($C$5))+VLOOKUP(INT($C$5),Tablas!$G$9:$K$124,5,0)*(INT($C$5)+1-$C$5)),(+VLOOKUP(INT(D85)+1,Tablas!$G$9:$O$1240,9,0)*(D85-INT(D85))+VLOOKUP(INT(D85),Tablas!$G$9:$O$1240,9,0)*(INT(D85)+1-D85))/(VLOOKUP(INT($C$5)+1,Tablas!$G$9:$O$1240,9,0)*($C$5-INT($C$5))+VLOOKUP(INT($C$5),Tablas!$G$9:$O$124,9,0)*(INT($C$5)+1-$C$5)))</f>
      </c>
      <c r="G85" s="791">
        <f>IF($C$4="Hombre",(+VLOOKUP(INT(D85)+1,Tablas!$G$9:$K$1240,5,0)*(D85-INT(D85))+VLOOKUP(INT(D85),Tablas!$G$9:$K$1240,5,0)*(INT(D85)+1-D85)),+VLOOKUP(INT(D85)+1,Tablas!$G$9:$O$1240,9,0)*(D85-INT(D85))+VLOOKUP(INT(D85),Tablas!$G$9:$O$1240,9,0)*(INT(D85)+1-D85))</f>
      </c>
      <c r="H85" s="801">
        <f>+IF(MONTH(B85)=1,H84*(1+$C$9),H84)</f>
      </c>
      <c r="I85" s="791">
        <f>IF(B85&lt;$C$10,0,IF(B85&lt;$C$11,$C$8/12*E85*F85*H85,0))</f>
      </c>
      <c r="J85" s="791">
        <f>I85*12/14+IF(OR(MONTH(C85)=6,MONTH(C85)=12),I85*12/14,0)</f>
      </c>
      <c r="K85" s="801">
        <f>G85/$G$15</f>
      </c>
      <c r="L85" s="760"/>
      <c r="M85" s="767"/>
      <c r="N85" s="168"/>
      <c r="O85" s="768"/>
      <c r="P85" s="170"/>
      <c r="Q85" s="7"/>
      <c r="R85" s="766"/>
      <c r="S85" s="170"/>
      <c r="T85" s="168"/>
      <c r="U85" s="170"/>
    </row>
    <row x14ac:dyDescent="0.25" r="86" customHeight="1" ht="18.75">
      <c r="A86" s="1"/>
      <c r="B86" s="799">
        <f>+DATE(YEAR(B85),MONTH(B85)+1,DAY(B85))</f>
        <v>25569.041666666668</v>
      </c>
      <c r="C86" s="799">
        <f>+B87-1</f>
        <v>25569.041666666668</v>
      </c>
      <c r="D86" s="791">
        <f>-_xlfn.DAYS($C$3,C86)/365.25</f>
      </c>
      <c r="E86" s="800">
        <f>IF($D$17+40&lt;=D86,(1+$D$7)^-(D86-$C$5),(1+$C$7)^-(D86-$C$5))</f>
      </c>
      <c r="F86" s="801">
        <f>IF($C$4="Hombre",(+VLOOKUP(INT(D86)+1,Tablas!$G$9:$K$1240,5,0)*(D86-INT(D86))+VLOOKUP(INT(D86),Tablas!$G$9:$K$1240,5,0)*(INT(D86)+1-D86))/(VLOOKUP(INT($C$5)+1,Tablas!$G$9:$K$1240,5,0)*($C$5-INT($C$5))+VLOOKUP(INT($C$5),Tablas!$G$9:$K$124,5,0)*(INT($C$5)+1-$C$5)),(+VLOOKUP(INT(D86)+1,Tablas!$G$9:$O$1240,9,0)*(D86-INT(D86))+VLOOKUP(INT(D86),Tablas!$G$9:$O$1240,9,0)*(INT(D86)+1-D86))/(VLOOKUP(INT($C$5)+1,Tablas!$G$9:$O$1240,9,0)*($C$5-INT($C$5))+VLOOKUP(INT($C$5),Tablas!$G$9:$O$124,9,0)*(INT($C$5)+1-$C$5)))</f>
      </c>
      <c r="G86" s="791">
        <f>IF($C$4="Hombre",(+VLOOKUP(INT(D86)+1,Tablas!$G$9:$K$1240,5,0)*(D86-INT(D86))+VLOOKUP(INT(D86),Tablas!$G$9:$K$1240,5,0)*(INT(D86)+1-D86)),+VLOOKUP(INT(D86)+1,Tablas!$G$9:$O$1240,9,0)*(D86-INT(D86))+VLOOKUP(INT(D86),Tablas!$G$9:$O$1240,9,0)*(INT(D86)+1-D86))</f>
      </c>
      <c r="H86" s="801">
        <f>+IF(MONTH(B86)=1,H85*(1+$C$9),H85)</f>
      </c>
      <c r="I86" s="791">
        <f>IF(B86&lt;$C$10,0,IF(B86&lt;$C$11,$C$8/12*E86*F86*H86,0))</f>
      </c>
      <c r="J86" s="791">
        <f>I86*12/14+IF(OR(MONTH(C86)=6,MONTH(C86)=12),I86*12/14,0)</f>
      </c>
      <c r="K86" s="801">
        <f>G86/$G$15</f>
      </c>
      <c r="L86" s="760"/>
      <c r="M86" s="767"/>
      <c r="N86" s="168"/>
      <c r="O86" s="768"/>
      <c r="P86" s="170"/>
      <c r="Q86" s="7"/>
      <c r="R86" s="766"/>
      <c r="S86" s="170"/>
      <c r="T86" s="168"/>
      <c r="U86" s="170"/>
    </row>
    <row x14ac:dyDescent="0.25" r="87" customHeight="1" ht="18.75">
      <c r="A87" s="1"/>
      <c r="B87" s="799">
        <f>+DATE(YEAR(B86),MONTH(B86)+1,DAY(B86))</f>
        <v>25569.041666666668</v>
      </c>
      <c r="C87" s="799">
        <f>+B88-1</f>
        <v>25569.041666666668</v>
      </c>
      <c r="D87" s="791">
        <f>-_xlfn.DAYS($C$3,C87)/365.25</f>
      </c>
      <c r="E87" s="800">
        <f>IF($D$17+40&lt;=D87,(1+$D$7)^-(D87-$C$5),(1+$C$7)^-(D87-$C$5))</f>
      </c>
      <c r="F87" s="801">
        <f>IF($C$4="Hombre",(+VLOOKUP(INT(D87)+1,Tablas!$G$9:$K$1240,5,0)*(D87-INT(D87))+VLOOKUP(INT(D87),Tablas!$G$9:$K$1240,5,0)*(INT(D87)+1-D87))/(VLOOKUP(INT($C$5)+1,Tablas!$G$9:$K$1240,5,0)*($C$5-INT($C$5))+VLOOKUP(INT($C$5),Tablas!$G$9:$K$124,5,0)*(INT($C$5)+1-$C$5)),(+VLOOKUP(INT(D87)+1,Tablas!$G$9:$O$1240,9,0)*(D87-INT(D87))+VLOOKUP(INT(D87),Tablas!$G$9:$O$1240,9,0)*(INT(D87)+1-D87))/(VLOOKUP(INT($C$5)+1,Tablas!$G$9:$O$1240,9,0)*($C$5-INT($C$5))+VLOOKUP(INT($C$5),Tablas!$G$9:$O$124,9,0)*(INT($C$5)+1-$C$5)))</f>
      </c>
      <c r="G87" s="791">
        <f>IF($C$4="Hombre",(+VLOOKUP(INT(D87)+1,Tablas!$G$9:$K$1240,5,0)*(D87-INT(D87))+VLOOKUP(INT(D87),Tablas!$G$9:$K$1240,5,0)*(INT(D87)+1-D87)),+VLOOKUP(INT(D87)+1,Tablas!$G$9:$O$1240,9,0)*(D87-INT(D87))+VLOOKUP(INT(D87),Tablas!$G$9:$O$1240,9,0)*(INT(D87)+1-D87))</f>
      </c>
      <c r="H87" s="801">
        <f>+IF(MONTH(B87)=1,H86*(1+$C$9),H86)</f>
      </c>
      <c r="I87" s="791">
        <f>IF(B87&lt;$C$10,0,IF(B87&lt;$C$11,$C$8/12*E87*F87*H87,0))</f>
      </c>
      <c r="J87" s="791">
        <f>I87*12/14+IF(OR(MONTH(C87)=6,MONTH(C87)=12),I87*12/14,0)</f>
      </c>
      <c r="K87" s="801">
        <f>G87/$G$15</f>
      </c>
      <c r="L87" s="760"/>
      <c r="M87" s="767"/>
      <c r="N87" s="168"/>
      <c r="O87" s="768"/>
      <c r="P87" s="170"/>
      <c r="Q87" s="7"/>
      <c r="R87" s="766"/>
      <c r="S87" s="170"/>
      <c r="T87" s="168"/>
      <c r="U87" s="170"/>
    </row>
    <row x14ac:dyDescent="0.25" r="88" customHeight="1" ht="18.75">
      <c r="A88" s="1"/>
      <c r="B88" s="799">
        <f>+DATE(YEAR(B87),MONTH(B87)+1,DAY(B87))</f>
        <v>25569.041666666668</v>
      </c>
      <c r="C88" s="799">
        <f>+B89-1</f>
        <v>25569.041666666668</v>
      </c>
      <c r="D88" s="791">
        <f>-_xlfn.DAYS($C$3,C88)/365.25</f>
      </c>
      <c r="E88" s="800">
        <f>IF($D$17+40&lt;=D88,(1+$D$7)^-(D88-$C$5),(1+$C$7)^-(D88-$C$5))</f>
      </c>
      <c r="F88" s="801">
        <f>IF($C$4="Hombre",(+VLOOKUP(INT(D88)+1,Tablas!$G$9:$K$1240,5,0)*(D88-INT(D88))+VLOOKUP(INT(D88),Tablas!$G$9:$K$1240,5,0)*(INT(D88)+1-D88))/(VLOOKUP(INT($C$5)+1,Tablas!$G$9:$K$1240,5,0)*($C$5-INT($C$5))+VLOOKUP(INT($C$5),Tablas!$G$9:$K$124,5,0)*(INT($C$5)+1-$C$5)),(+VLOOKUP(INT(D88)+1,Tablas!$G$9:$O$1240,9,0)*(D88-INT(D88))+VLOOKUP(INT(D88),Tablas!$G$9:$O$1240,9,0)*(INT(D88)+1-D88))/(VLOOKUP(INT($C$5)+1,Tablas!$G$9:$O$1240,9,0)*($C$5-INT($C$5))+VLOOKUP(INT($C$5),Tablas!$G$9:$O$124,9,0)*(INT($C$5)+1-$C$5)))</f>
      </c>
      <c r="G88" s="791">
        <f>IF($C$4="Hombre",(+VLOOKUP(INT(D88)+1,Tablas!$G$9:$K$1240,5,0)*(D88-INT(D88))+VLOOKUP(INT(D88),Tablas!$G$9:$K$1240,5,0)*(INT(D88)+1-D88)),+VLOOKUP(INT(D88)+1,Tablas!$G$9:$O$1240,9,0)*(D88-INT(D88))+VLOOKUP(INT(D88),Tablas!$G$9:$O$1240,9,0)*(INT(D88)+1-D88))</f>
      </c>
      <c r="H88" s="801">
        <f>+IF(MONTH(B88)=1,H87*(1+$C$9),H87)</f>
      </c>
      <c r="I88" s="791">
        <f>IF(B88&lt;$C$10,0,IF(B88&lt;$C$11,$C$8/12*E88*F88*H88,0))</f>
      </c>
      <c r="J88" s="791">
        <f>I88*12/14+IF(OR(MONTH(C88)=6,MONTH(C88)=12),I88*12/14,0)</f>
      </c>
      <c r="K88" s="801">
        <f>G88/$G$15</f>
      </c>
      <c r="L88" s="760"/>
      <c r="M88" s="767"/>
      <c r="N88" s="168"/>
      <c r="O88" s="768"/>
      <c r="P88" s="170"/>
      <c r="Q88" s="7"/>
      <c r="R88" s="766"/>
      <c r="S88" s="170"/>
      <c r="T88" s="168"/>
      <c r="U88" s="170"/>
    </row>
    <row x14ac:dyDescent="0.25" r="89" customHeight="1" ht="18.75">
      <c r="A89" s="1"/>
      <c r="B89" s="799">
        <f>+DATE(YEAR(B88),MONTH(B88)+1,DAY(B88))</f>
        <v>25569.041666666668</v>
      </c>
      <c r="C89" s="799">
        <f>+B90-1</f>
        <v>25569.041666666668</v>
      </c>
      <c r="D89" s="791">
        <f>-_xlfn.DAYS($C$3,C89)/365.25</f>
      </c>
      <c r="E89" s="800">
        <f>IF($D$17+40&lt;=D89,(1+$D$7)^-(D89-$C$5),(1+$C$7)^-(D89-$C$5))</f>
      </c>
      <c r="F89" s="801">
        <f>IF($C$4="Hombre",(+VLOOKUP(INT(D89)+1,Tablas!$G$9:$K$1240,5,0)*(D89-INT(D89))+VLOOKUP(INT(D89),Tablas!$G$9:$K$1240,5,0)*(INT(D89)+1-D89))/(VLOOKUP(INT($C$5)+1,Tablas!$G$9:$K$1240,5,0)*($C$5-INT($C$5))+VLOOKUP(INT($C$5),Tablas!$G$9:$K$124,5,0)*(INT($C$5)+1-$C$5)),(+VLOOKUP(INT(D89)+1,Tablas!$G$9:$O$1240,9,0)*(D89-INT(D89))+VLOOKUP(INT(D89),Tablas!$G$9:$O$1240,9,0)*(INT(D89)+1-D89))/(VLOOKUP(INT($C$5)+1,Tablas!$G$9:$O$1240,9,0)*($C$5-INT($C$5))+VLOOKUP(INT($C$5),Tablas!$G$9:$O$124,9,0)*(INT($C$5)+1-$C$5)))</f>
      </c>
      <c r="G89" s="791">
        <f>IF($C$4="Hombre",(+VLOOKUP(INT(D89)+1,Tablas!$G$9:$K$1240,5,0)*(D89-INT(D89))+VLOOKUP(INT(D89),Tablas!$G$9:$K$1240,5,0)*(INT(D89)+1-D89)),+VLOOKUP(INT(D89)+1,Tablas!$G$9:$O$1240,9,0)*(D89-INT(D89))+VLOOKUP(INT(D89),Tablas!$G$9:$O$1240,9,0)*(INT(D89)+1-D89))</f>
      </c>
      <c r="H89" s="801">
        <f>+IF(MONTH(B89)=1,H88*(1+$C$9),H88)</f>
      </c>
      <c r="I89" s="791">
        <f>IF(B89&lt;$C$10,0,IF(B89&lt;$C$11,$C$8/12*E89*F89*H89,0))</f>
      </c>
      <c r="J89" s="791">
        <f>I89*12/14+IF(OR(MONTH(C89)=6,MONTH(C89)=12),I89*12/14,0)</f>
      </c>
      <c r="K89" s="801">
        <f>G89/$G$15</f>
      </c>
      <c r="L89" s="760"/>
      <c r="M89" s="767"/>
      <c r="N89" s="168"/>
      <c r="O89" s="768"/>
      <c r="P89" s="170"/>
      <c r="Q89" s="7"/>
      <c r="R89" s="766"/>
      <c r="S89" s="170"/>
      <c r="T89" s="168"/>
      <c r="U89" s="170"/>
    </row>
    <row x14ac:dyDescent="0.25" r="90" customHeight="1" ht="18.75">
      <c r="A90" s="1"/>
      <c r="B90" s="799">
        <f>+DATE(YEAR(B89),MONTH(B89)+1,DAY(B89))</f>
        <v>25569.041666666668</v>
      </c>
      <c r="C90" s="799">
        <f>+B91-1</f>
        <v>25569.041666666668</v>
      </c>
      <c r="D90" s="791">
        <f>-_xlfn.DAYS($C$3,C90)/365.25</f>
      </c>
      <c r="E90" s="800">
        <f>IF($D$17+40&lt;=D90,(1+$D$7)^-(D90-$C$5),(1+$C$7)^-(D90-$C$5))</f>
      </c>
      <c r="F90" s="801">
        <f>IF($C$4="Hombre",(+VLOOKUP(INT(D90)+1,Tablas!$G$9:$K$1240,5,0)*(D90-INT(D90))+VLOOKUP(INT(D90),Tablas!$G$9:$K$1240,5,0)*(INT(D90)+1-D90))/(VLOOKUP(INT($C$5)+1,Tablas!$G$9:$K$1240,5,0)*($C$5-INT($C$5))+VLOOKUP(INT($C$5),Tablas!$G$9:$K$124,5,0)*(INT($C$5)+1-$C$5)),(+VLOOKUP(INT(D90)+1,Tablas!$G$9:$O$1240,9,0)*(D90-INT(D90))+VLOOKUP(INT(D90),Tablas!$G$9:$O$1240,9,0)*(INT(D90)+1-D90))/(VLOOKUP(INT($C$5)+1,Tablas!$G$9:$O$1240,9,0)*($C$5-INT($C$5))+VLOOKUP(INT($C$5),Tablas!$G$9:$O$124,9,0)*(INT($C$5)+1-$C$5)))</f>
      </c>
      <c r="G90" s="791">
        <f>IF($C$4="Hombre",(+VLOOKUP(INT(D90)+1,Tablas!$G$9:$K$1240,5,0)*(D90-INT(D90))+VLOOKUP(INT(D90),Tablas!$G$9:$K$1240,5,0)*(INT(D90)+1-D90)),+VLOOKUP(INT(D90)+1,Tablas!$G$9:$O$1240,9,0)*(D90-INT(D90))+VLOOKUP(INT(D90),Tablas!$G$9:$O$1240,9,0)*(INT(D90)+1-D90))</f>
      </c>
      <c r="H90" s="801">
        <f>+IF(MONTH(B90)=1,H89*(1+$C$9),H89)</f>
      </c>
      <c r="I90" s="791">
        <f>IF(B90&lt;$C$10,0,IF(B90&lt;$C$11,$C$8/12*E90*F90*H90,0))</f>
      </c>
      <c r="J90" s="791">
        <f>I90*12/14+IF(OR(MONTH(C90)=6,MONTH(C90)=12),I90*12/14,0)</f>
      </c>
      <c r="K90" s="801">
        <f>G90/$G$15</f>
      </c>
      <c r="L90" s="760"/>
      <c r="M90" s="767"/>
      <c r="N90" s="168"/>
      <c r="O90" s="768"/>
      <c r="P90" s="170"/>
      <c r="Q90" s="7"/>
      <c r="R90" s="766"/>
      <c r="S90" s="170"/>
      <c r="T90" s="168"/>
      <c r="U90" s="170"/>
    </row>
    <row x14ac:dyDescent="0.25" r="91" customHeight="1" ht="18.75">
      <c r="A91" s="1"/>
      <c r="B91" s="799">
        <f>+DATE(YEAR(B90),MONTH(B90)+1,DAY(B90))</f>
        <v>25569.041666666668</v>
      </c>
      <c r="C91" s="799">
        <f>+B92-1</f>
        <v>25569.041666666668</v>
      </c>
      <c r="D91" s="791">
        <f>-_xlfn.DAYS($C$3,C91)/365.25</f>
      </c>
      <c r="E91" s="800">
        <f>IF($D$17+40&lt;=D91,(1+$D$7)^-(D91-$C$5),(1+$C$7)^-(D91-$C$5))</f>
      </c>
      <c r="F91" s="801">
        <f>IF($C$4="Hombre",(+VLOOKUP(INT(D91)+1,Tablas!$G$9:$K$1240,5,0)*(D91-INT(D91))+VLOOKUP(INT(D91),Tablas!$G$9:$K$1240,5,0)*(INT(D91)+1-D91))/(VLOOKUP(INT($C$5)+1,Tablas!$G$9:$K$1240,5,0)*($C$5-INT($C$5))+VLOOKUP(INT($C$5),Tablas!$G$9:$K$124,5,0)*(INT($C$5)+1-$C$5)),(+VLOOKUP(INT(D91)+1,Tablas!$G$9:$O$1240,9,0)*(D91-INT(D91))+VLOOKUP(INT(D91),Tablas!$G$9:$O$1240,9,0)*(INT(D91)+1-D91))/(VLOOKUP(INT($C$5)+1,Tablas!$G$9:$O$1240,9,0)*($C$5-INT($C$5))+VLOOKUP(INT($C$5),Tablas!$G$9:$O$124,9,0)*(INT($C$5)+1-$C$5)))</f>
      </c>
      <c r="G91" s="791">
        <f>IF($C$4="Hombre",(+VLOOKUP(INT(D91)+1,Tablas!$G$9:$K$1240,5,0)*(D91-INT(D91))+VLOOKUP(INT(D91),Tablas!$G$9:$K$1240,5,0)*(INT(D91)+1-D91)),+VLOOKUP(INT(D91)+1,Tablas!$G$9:$O$1240,9,0)*(D91-INT(D91))+VLOOKUP(INT(D91),Tablas!$G$9:$O$1240,9,0)*(INT(D91)+1-D91))</f>
      </c>
      <c r="H91" s="801">
        <f>+IF(MONTH(B91)=1,H90*(1+$C$9),H90)</f>
      </c>
      <c r="I91" s="791">
        <f>IF(B91&lt;$C$10,0,IF(B91&lt;$C$11,$C$8/12*E91*F91*H91,0))</f>
      </c>
      <c r="J91" s="791">
        <f>I91*12/14+IF(OR(MONTH(C91)=6,MONTH(C91)=12),I91*12/14,0)</f>
      </c>
      <c r="K91" s="801">
        <f>G91/$G$15</f>
      </c>
      <c r="L91" s="760"/>
      <c r="M91" s="767"/>
      <c r="N91" s="168"/>
      <c r="O91" s="768"/>
      <c r="P91" s="170"/>
      <c r="Q91" s="7"/>
      <c r="R91" s="766"/>
      <c r="S91" s="170"/>
      <c r="T91" s="168"/>
      <c r="U91" s="170"/>
    </row>
    <row x14ac:dyDescent="0.25" r="92" customHeight="1" ht="18.75">
      <c r="A92" s="1"/>
      <c r="B92" s="799">
        <f>+DATE(YEAR(B91),MONTH(B91)+1,DAY(B91))</f>
        <v>25569.041666666668</v>
      </c>
      <c r="C92" s="799">
        <f>+B93-1</f>
        <v>25569.041666666668</v>
      </c>
      <c r="D92" s="791">
        <f>-_xlfn.DAYS($C$3,C92)/365.25</f>
      </c>
      <c r="E92" s="800">
        <f>IF($D$17+40&lt;=D92,(1+$D$7)^-(D92-$C$5),(1+$C$7)^-(D92-$C$5))</f>
      </c>
      <c r="F92" s="801">
        <f>IF($C$4="Hombre",(+VLOOKUP(INT(D92)+1,Tablas!$G$9:$K$1240,5,0)*(D92-INT(D92))+VLOOKUP(INT(D92),Tablas!$G$9:$K$1240,5,0)*(INT(D92)+1-D92))/(VLOOKUP(INT($C$5)+1,Tablas!$G$9:$K$1240,5,0)*($C$5-INT($C$5))+VLOOKUP(INT($C$5),Tablas!$G$9:$K$124,5,0)*(INT($C$5)+1-$C$5)),(+VLOOKUP(INT(D92)+1,Tablas!$G$9:$O$1240,9,0)*(D92-INT(D92))+VLOOKUP(INT(D92),Tablas!$G$9:$O$1240,9,0)*(INT(D92)+1-D92))/(VLOOKUP(INT($C$5)+1,Tablas!$G$9:$O$1240,9,0)*($C$5-INT($C$5))+VLOOKUP(INT($C$5),Tablas!$G$9:$O$124,9,0)*(INT($C$5)+1-$C$5)))</f>
      </c>
      <c r="G92" s="791">
        <f>IF($C$4="Hombre",(+VLOOKUP(INT(D92)+1,Tablas!$G$9:$K$1240,5,0)*(D92-INT(D92))+VLOOKUP(INT(D92),Tablas!$G$9:$K$1240,5,0)*(INT(D92)+1-D92)),+VLOOKUP(INT(D92)+1,Tablas!$G$9:$O$1240,9,0)*(D92-INT(D92))+VLOOKUP(INT(D92),Tablas!$G$9:$O$1240,9,0)*(INT(D92)+1-D92))</f>
      </c>
      <c r="H92" s="801">
        <f>+IF(MONTH(B92)=1,H91*(1+$C$9),H91)</f>
      </c>
      <c r="I92" s="791">
        <f>IF(B92&lt;$C$10,0,IF(B92&lt;$C$11,$C$8/12*E92*F92*H92,0))</f>
      </c>
      <c r="J92" s="791">
        <f>I92*12/14+IF(OR(MONTH(C92)=6,MONTH(C92)=12),I92*12/14,0)</f>
      </c>
      <c r="K92" s="801">
        <f>G92/$G$15</f>
      </c>
      <c r="L92" s="760"/>
      <c r="M92" s="767"/>
      <c r="N92" s="168"/>
      <c r="O92" s="768"/>
      <c r="P92" s="170"/>
      <c r="Q92" s="7"/>
      <c r="R92" s="766"/>
      <c r="S92" s="170"/>
      <c r="T92" s="168"/>
      <c r="U92" s="170"/>
    </row>
    <row x14ac:dyDescent="0.25" r="93" customHeight="1" ht="18.75">
      <c r="A93" s="1"/>
      <c r="B93" s="799">
        <f>+DATE(YEAR(B92),MONTH(B92)+1,DAY(B92))</f>
        <v>25569.041666666668</v>
      </c>
      <c r="C93" s="799">
        <f>+B94-1</f>
        <v>25569.041666666668</v>
      </c>
      <c r="D93" s="791">
        <f>-_xlfn.DAYS($C$3,C93)/365.25</f>
      </c>
      <c r="E93" s="800">
        <f>IF($D$17+40&lt;=D93,(1+$D$7)^-(D93-$C$5),(1+$C$7)^-(D93-$C$5))</f>
      </c>
      <c r="F93" s="801">
        <f>IF($C$4="Hombre",(+VLOOKUP(INT(D93)+1,Tablas!$G$9:$K$1240,5,0)*(D93-INT(D93))+VLOOKUP(INT(D93),Tablas!$G$9:$K$1240,5,0)*(INT(D93)+1-D93))/(VLOOKUP(INT($C$5)+1,Tablas!$G$9:$K$1240,5,0)*($C$5-INT($C$5))+VLOOKUP(INT($C$5),Tablas!$G$9:$K$124,5,0)*(INT($C$5)+1-$C$5)),(+VLOOKUP(INT(D93)+1,Tablas!$G$9:$O$1240,9,0)*(D93-INT(D93))+VLOOKUP(INT(D93),Tablas!$G$9:$O$1240,9,0)*(INT(D93)+1-D93))/(VLOOKUP(INT($C$5)+1,Tablas!$G$9:$O$1240,9,0)*($C$5-INT($C$5))+VLOOKUP(INT($C$5),Tablas!$G$9:$O$124,9,0)*(INT($C$5)+1-$C$5)))</f>
      </c>
      <c r="G93" s="791">
        <f>IF($C$4="Hombre",(+VLOOKUP(INT(D93)+1,Tablas!$G$9:$K$1240,5,0)*(D93-INT(D93))+VLOOKUP(INT(D93),Tablas!$G$9:$K$1240,5,0)*(INT(D93)+1-D93)),+VLOOKUP(INT(D93)+1,Tablas!$G$9:$O$1240,9,0)*(D93-INT(D93))+VLOOKUP(INT(D93),Tablas!$G$9:$O$1240,9,0)*(INT(D93)+1-D93))</f>
      </c>
      <c r="H93" s="801">
        <f>+IF(MONTH(B93)=1,H92*(1+$C$9),H92)</f>
      </c>
      <c r="I93" s="791">
        <f>IF(B93&lt;$C$10,0,IF(B93&lt;$C$11,$C$8/12*E93*F93*H93,0))</f>
      </c>
      <c r="J93" s="791">
        <f>I93*12/14+IF(OR(MONTH(C93)=6,MONTH(C93)=12),I93*12/14,0)</f>
      </c>
      <c r="K93" s="801">
        <f>G93/$G$15</f>
      </c>
      <c r="L93" s="760"/>
      <c r="M93" s="767"/>
      <c r="N93" s="168"/>
      <c r="O93" s="768"/>
      <c r="P93" s="170"/>
      <c r="Q93" s="7"/>
      <c r="R93" s="766"/>
      <c r="S93" s="170"/>
      <c r="T93" s="168"/>
      <c r="U93" s="170"/>
    </row>
    <row x14ac:dyDescent="0.25" r="94" customHeight="1" ht="18.75">
      <c r="A94" s="1"/>
      <c r="B94" s="799">
        <f>+DATE(YEAR(B93),MONTH(B93)+1,DAY(B93))</f>
        <v>25569.041666666668</v>
      </c>
      <c r="C94" s="799">
        <f>+B95-1</f>
        <v>25569.041666666668</v>
      </c>
      <c r="D94" s="791">
        <f>-_xlfn.DAYS($C$3,C94)/365.25</f>
      </c>
      <c r="E94" s="800">
        <f>IF($D$17+40&lt;=D94,(1+$D$7)^-(D94-$C$5),(1+$C$7)^-(D94-$C$5))</f>
      </c>
      <c r="F94" s="801">
        <f>IF($C$4="Hombre",(+VLOOKUP(INT(D94)+1,Tablas!$G$9:$K$1240,5,0)*(D94-INT(D94))+VLOOKUP(INT(D94),Tablas!$G$9:$K$1240,5,0)*(INT(D94)+1-D94))/(VLOOKUP(INT($C$5)+1,Tablas!$G$9:$K$1240,5,0)*($C$5-INT($C$5))+VLOOKUP(INT($C$5),Tablas!$G$9:$K$124,5,0)*(INT($C$5)+1-$C$5)),(+VLOOKUP(INT(D94)+1,Tablas!$G$9:$O$1240,9,0)*(D94-INT(D94))+VLOOKUP(INT(D94),Tablas!$G$9:$O$1240,9,0)*(INT(D94)+1-D94))/(VLOOKUP(INT($C$5)+1,Tablas!$G$9:$O$1240,9,0)*($C$5-INT($C$5))+VLOOKUP(INT($C$5),Tablas!$G$9:$O$124,9,0)*(INT($C$5)+1-$C$5)))</f>
      </c>
      <c r="G94" s="791">
        <f>IF($C$4="Hombre",(+VLOOKUP(INT(D94)+1,Tablas!$G$9:$K$1240,5,0)*(D94-INT(D94))+VLOOKUP(INT(D94),Tablas!$G$9:$K$1240,5,0)*(INT(D94)+1-D94)),+VLOOKUP(INT(D94)+1,Tablas!$G$9:$O$1240,9,0)*(D94-INT(D94))+VLOOKUP(INT(D94),Tablas!$G$9:$O$1240,9,0)*(INT(D94)+1-D94))</f>
      </c>
      <c r="H94" s="801">
        <f>+IF(MONTH(B94)=1,H93*(1+$C$9),H93)</f>
      </c>
      <c r="I94" s="791">
        <f>IF(B94&lt;$C$10,0,IF(B94&lt;$C$11,$C$8/12*E94*F94*H94,0))</f>
      </c>
      <c r="J94" s="791">
        <f>I94*12/14+IF(OR(MONTH(C94)=6,MONTH(C94)=12),I94*12/14,0)</f>
      </c>
      <c r="K94" s="801">
        <f>G94/$G$15</f>
      </c>
      <c r="L94" s="760"/>
      <c r="M94" s="767"/>
      <c r="N94" s="168"/>
      <c r="O94" s="768"/>
      <c r="P94" s="170"/>
      <c r="Q94" s="7"/>
      <c r="R94" s="766"/>
      <c r="S94" s="170"/>
      <c r="T94" s="168"/>
      <c r="U94" s="170"/>
    </row>
    <row x14ac:dyDescent="0.25" r="95" customHeight="1" ht="18.75">
      <c r="A95" s="1"/>
      <c r="B95" s="799">
        <f>+DATE(YEAR(B94),MONTH(B94)+1,DAY(B94))</f>
        <v>25569.041666666668</v>
      </c>
      <c r="C95" s="799">
        <f>+B96-1</f>
        <v>25569.041666666668</v>
      </c>
      <c r="D95" s="791">
        <f>-_xlfn.DAYS($C$3,C95)/365.25</f>
      </c>
      <c r="E95" s="800">
        <f>IF($D$17+40&lt;=D95,(1+$D$7)^-(D95-$C$5),(1+$C$7)^-(D95-$C$5))</f>
      </c>
      <c r="F95" s="801">
        <f>IF($C$4="Hombre",(+VLOOKUP(INT(D95)+1,Tablas!$G$9:$K$1240,5,0)*(D95-INT(D95))+VLOOKUP(INT(D95),Tablas!$G$9:$K$1240,5,0)*(INT(D95)+1-D95))/(VLOOKUP(INT($C$5)+1,Tablas!$G$9:$K$1240,5,0)*($C$5-INT($C$5))+VLOOKUP(INT($C$5),Tablas!$G$9:$K$124,5,0)*(INT($C$5)+1-$C$5)),(+VLOOKUP(INT(D95)+1,Tablas!$G$9:$O$1240,9,0)*(D95-INT(D95))+VLOOKUP(INT(D95),Tablas!$G$9:$O$1240,9,0)*(INT(D95)+1-D95))/(VLOOKUP(INT($C$5)+1,Tablas!$G$9:$O$1240,9,0)*($C$5-INT($C$5))+VLOOKUP(INT($C$5),Tablas!$G$9:$O$124,9,0)*(INT($C$5)+1-$C$5)))</f>
      </c>
      <c r="G95" s="791">
        <f>IF($C$4="Hombre",(+VLOOKUP(INT(D95)+1,Tablas!$G$9:$K$1240,5,0)*(D95-INT(D95))+VLOOKUP(INT(D95),Tablas!$G$9:$K$1240,5,0)*(INT(D95)+1-D95)),+VLOOKUP(INT(D95)+1,Tablas!$G$9:$O$1240,9,0)*(D95-INT(D95))+VLOOKUP(INT(D95),Tablas!$G$9:$O$1240,9,0)*(INT(D95)+1-D95))</f>
      </c>
      <c r="H95" s="801">
        <f>+IF(MONTH(B95)=1,H94*(1+$C$9),H94)</f>
      </c>
      <c r="I95" s="791">
        <f>IF(B95&lt;$C$10,0,IF(B95&lt;$C$11,$C$8/12*E95*F95*H95,0))</f>
      </c>
      <c r="J95" s="791">
        <f>I95*12/14+IF(OR(MONTH(C95)=6,MONTH(C95)=12),I95*12/14,0)</f>
      </c>
      <c r="K95" s="801">
        <f>G95/$G$15</f>
      </c>
      <c r="L95" s="760"/>
      <c r="M95" s="767"/>
      <c r="N95" s="168"/>
      <c r="O95" s="768"/>
      <c r="P95" s="170"/>
      <c r="Q95" s="7"/>
      <c r="R95" s="766"/>
      <c r="S95" s="170"/>
      <c r="T95" s="168"/>
      <c r="U95" s="170"/>
    </row>
    <row x14ac:dyDescent="0.25" r="96" customHeight="1" ht="18.75">
      <c r="A96" s="1"/>
      <c r="B96" s="799">
        <f>+DATE(YEAR(B95),MONTH(B95)+1,DAY(B95))</f>
        <v>25569.041666666668</v>
      </c>
      <c r="C96" s="799">
        <f>+B97-1</f>
        <v>25569.041666666668</v>
      </c>
      <c r="D96" s="791">
        <f>-_xlfn.DAYS($C$3,C96)/365.25</f>
      </c>
      <c r="E96" s="800">
        <f>IF($D$17+40&lt;=D96,(1+$D$7)^-(D96-$C$5),(1+$C$7)^-(D96-$C$5))</f>
      </c>
      <c r="F96" s="801">
        <f>IF($C$4="Hombre",(+VLOOKUP(INT(D96)+1,Tablas!$G$9:$K$1240,5,0)*(D96-INT(D96))+VLOOKUP(INT(D96),Tablas!$G$9:$K$1240,5,0)*(INT(D96)+1-D96))/(VLOOKUP(INT($C$5)+1,Tablas!$G$9:$K$1240,5,0)*($C$5-INT($C$5))+VLOOKUP(INT($C$5),Tablas!$G$9:$K$124,5,0)*(INT($C$5)+1-$C$5)),(+VLOOKUP(INT(D96)+1,Tablas!$G$9:$O$1240,9,0)*(D96-INT(D96))+VLOOKUP(INT(D96),Tablas!$G$9:$O$1240,9,0)*(INT(D96)+1-D96))/(VLOOKUP(INT($C$5)+1,Tablas!$G$9:$O$1240,9,0)*($C$5-INT($C$5))+VLOOKUP(INT($C$5),Tablas!$G$9:$O$124,9,0)*(INT($C$5)+1-$C$5)))</f>
      </c>
      <c r="G96" s="791">
        <f>IF($C$4="Hombre",(+VLOOKUP(INT(D96)+1,Tablas!$G$9:$K$1240,5,0)*(D96-INT(D96))+VLOOKUP(INT(D96),Tablas!$G$9:$K$1240,5,0)*(INT(D96)+1-D96)),+VLOOKUP(INT(D96)+1,Tablas!$G$9:$O$1240,9,0)*(D96-INT(D96))+VLOOKUP(INT(D96),Tablas!$G$9:$O$1240,9,0)*(INT(D96)+1-D96))</f>
      </c>
      <c r="H96" s="801">
        <f>+IF(MONTH(B96)=1,H95*(1+$C$9),H95)</f>
      </c>
      <c r="I96" s="791">
        <f>IF(B96&lt;$C$10,0,IF(B96&lt;$C$11,$C$8/12*E96*F96*H96,0))</f>
      </c>
      <c r="J96" s="791">
        <f>I96*12/14+IF(OR(MONTH(C96)=6,MONTH(C96)=12),I96*12/14,0)</f>
      </c>
      <c r="K96" s="801">
        <f>G96/$G$15</f>
      </c>
      <c r="L96" s="760"/>
      <c r="M96" s="767"/>
      <c r="N96" s="168"/>
      <c r="O96" s="768"/>
      <c r="P96" s="170"/>
      <c r="Q96" s="7"/>
      <c r="R96" s="766"/>
      <c r="S96" s="170"/>
      <c r="T96" s="168"/>
      <c r="U96" s="170"/>
    </row>
    <row x14ac:dyDescent="0.25" r="97" customHeight="1" ht="18.75">
      <c r="A97" s="1"/>
      <c r="B97" s="799">
        <f>+DATE(YEAR(B96),MONTH(B96)+1,DAY(B96))</f>
        <v>25569.041666666668</v>
      </c>
      <c r="C97" s="799">
        <f>+B98-1</f>
        <v>25569.041666666668</v>
      </c>
      <c r="D97" s="791">
        <f>-_xlfn.DAYS($C$3,C97)/365.25</f>
      </c>
      <c r="E97" s="800">
        <f>IF($D$17+40&lt;=D97,(1+$D$7)^-(D97-$C$5),(1+$C$7)^-(D97-$C$5))</f>
      </c>
      <c r="F97" s="801">
        <f>IF($C$4="Hombre",(+VLOOKUP(INT(D97)+1,Tablas!$G$9:$K$1240,5,0)*(D97-INT(D97))+VLOOKUP(INT(D97),Tablas!$G$9:$K$1240,5,0)*(INT(D97)+1-D97))/(VLOOKUP(INT($C$5)+1,Tablas!$G$9:$K$1240,5,0)*($C$5-INT($C$5))+VLOOKUP(INT($C$5),Tablas!$G$9:$K$124,5,0)*(INT($C$5)+1-$C$5)),(+VLOOKUP(INT(D97)+1,Tablas!$G$9:$O$1240,9,0)*(D97-INT(D97))+VLOOKUP(INT(D97),Tablas!$G$9:$O$1240,9,0)*(INT(D97)+1-D97))/(VLOOKUP(INT($C$5)+1,Tablas!$G$9:$O$1240,9,0)*($C$5-INT($C$5))+VLOOKUP(INT($C$5),Tablas!$G$9:$O$124,9,0)*(INT($C$5)+1-$C$5)))</f>
      </c>
      <c r="G97" s="791">
        <f>IF($C$4="Hombre",(+VLOOKUP(INT(D97)+1,Tablas!$G$9:$K$1240,5,0)*(D97-INT(D97))+VLOOKUP(INT(D97),Tablas!$G$9:$K$1240,5,0)*(INT(D97)+1-D97)),+VLOOKUP(INT(D97)+1,Tablas!$G$9:$O$1240,9,0)*(D97-INT(D97))+VLOOKUP(INT(D97),Tablas!$G$9:$O$1240,9,0)*(INT(D97)+1-D97))</f>
      </c>
      <c r="H97" s="801">
        <f>+IF(MONTH(B97)=1,H96*(1+$C$9),H96)</f>
      </c>
      <c r="I97" s="791">
        <f>IF(B97&lt;$C$10,0,IF(B97&lt;$C$11,$C$8/12*E97*F97*H97,0))</f>
      </c>
      <c r="J97" s="791">
        <f>I97*12/14+IF(OR(MONTH(C97)=6,MONTH(C97)=12),I97*12/14,0)</f>
      </c>
      <c r="K97" s="801">
        <f>G97/$G$15</f>
      </c>
      <c r="L97" s="760"/>
      <c r="M97" s="767"/>
      <c r="N97" s="168"/>
      <c r="O97" s="768"/>
      <c r="P97" s="170"/>
      <c r="Q97" s="7"/>
      <c r="R97" s="766"/>
      <c r="S97" s="170"/>
      <c r="T97" s="168"/>
      <c r="U97" s="170"/>
    </row>
    <row x14ac:dyDescent="0.25" r="98" customHeight="1" ht="18.75">
      <c r="A98" s="1"/>
      <c r="B98" s="799">
        <f>+DATE(YEAR(B97),MONTH(B97)+1,DAY(B97))</f>
        <v>25569.041666666668</v>
      </c>
      <c r="C98" s="799">
        <f>+B99-1</f>
        <v>25569.041666666668</v>
      </c>
      <c r="D98" s="791">
        <f>-_xlfn.DAYS($C$3,C98)/365.25</f>
      </c>
      <c r="E98" s="800">
        <f>IF($D$17+40&lt;=D98,(1+$D$7)^-(D98-$C$5),(1+$C$7)^-(D98-$C$5))</f>
      </c>
      <c r="F98" s="801">
        <f>IF($C$4="Hombre",(+VLOOKUP(INT(D98)+1,Tablas!$G$9:$K$1240,5,0)*(D98-INT(D98))+VLOOKUP(INT(D98),Tablas!$G$9:$K$1240,5,0)*(INT(D98)+1-D98))/(VLOOKUP(INT($C$5)+1,Tablas!$G$9:$K$1240,5,0)*($C$5-INT($C$5))+VLOOKUP(INT($C$5),Tablas!$G$9:$K$124,5,0)*(INT($C$5)+1-$C$5)),(+VLOOKUP(INT(D98)+1,Tablas!$G$9:$O$1240,9,0)*(D98-INT(D98))+VLOOKUP(INT(D98),Tablas!$G$9:$O$1240,9,0)*(INT(D98)+1-D98))/(VLOOKUP(INT($C$5)+1,Tablas!$G$9:$O$1240,9,0)*($C$5-INT($C$5))+VLOOKUP(INT($C$5),Tablas!$G$9:$O$124,9,0)*(INT($C$5)+1-$C$5)))</f>
      </c>
      <c r="G98" s="791">
        <f>IF($C$4="Hombre",(+VLOOKUP(INT(D98)+1,Tablas!$G$9:$K$1240,5,0)*(D98-INT(D98))+VLOOKUP(INT(D98),Tablas!$G$9:$K$1240,5,0)*(INT(D98)+1-D98)),+VLOOKUP(INT(D98)+1,Tablas!$G$9:$O$1240,9,0)*(D98-INT(D98))+VLOOKUP(INT(D98),Tablas!$G$9:$O$1240,9,0)*(INT(D98)+1-D98))</f>
      </c>
      <c r="H98" s="801">
        <f>+IF(MONTH(B98)=1,H97*(1+$C$9),H97)</f>
      </c>
      <c r="I98" s="791">
        <f>IF(B98&lt;$C$10,0,IF(B98&lt;$C$11,$C$8/12*E98*F98*H98,0))</f>
      </c>
      <c r="J98" s="791">
        <f>I98*12/14+IF(OR(MONTH(C98)=6,MONTH(C98)=12),I98*12/14,0)</f>
      </c>
      <c r="K98" s="801">
        <f>G98/$G$15</f>
      </c>
      <c r="L98" s="760"/>
      <c r="M98" s="767"/>
      <c r="N98" s="168"/>
      <c r="O98" s="768"/>
      <c r="P98" s="170"/>
      <c r="Q98" s="7"/>
      <c r="R98" s="766"/>
      <c r="S98" s="170"/>
      <c r="T98" s="168"/>
      <c r="U98" s="170"/>
    </row>
    <row x14ac:dyDescent="0.25" r="99" customHeight="1" ht="18.75">
      <c r="A99" s="1"/>
      <c r="B99" s="799">
        <f>+DATE(YEAR(B98),MONTH(B98)+1,DAY(B98))</f>
        <v>25569.041666666668</v>
      </c>
      <c r="C99" s="799">
        <f>+B100-1</f>
        <v>25569.041666666668</v>
      </c>
      <c r="D99" s="791">
        <f>-_xlfn.DAYS($C$3,C99)/365.25</f>
      </c>
      <c r="E99" s="800">
        <f>IF($D$17+40&lt;=D99,(1+$D$7)^-(D99-$C$5),(1+$C$7)^-(D99-$C$5))</f>
      </c>
      <c r="F99" s="801">
        <f>IF($C$4="Hombre",(+VLOOKUP(INT(D99)+1,Tablas!$G$9:$K$1240,5,0)*(D99-INT(D99))+VLOOKUP(INT(D99),Tablas!$G$9:$K$1240,5,0)*(INT(D99)+1-D99))/(VLOOKUP(INT($C$5)+1,Tablas!$G$9:$K$1240,5,0)*($C$5-INT($C$5))+VLOOKUP(INT($C$5),Tablas!$G$9:$K$124,5,0)*(INT($C$5)+1-$C$5)),(+VLOOKUP(INT(D99)+1,Tablas!$G$9:$O$1240,9,0)*(D99-INT(D99))+VLOOKUP(INT(D99),Tablas!$G$9:$O$1240,9,0)*(INT(D99)+1-D99))/(VLOOKUP(INT($C$5)+1,Tablas!$G$9:$O$1240,9,0)*($C$5-INT($C$5))+VLOOKUP(INT($C$5),Tablas!$G$9:$O$124,9,0)*(INT($C$5)+1-$C$5)))</f>
      </c>
      <c r="G99" s="791">
        <f>IF($C$4="Hombre",(+VLOOKUP(INT(D99)+1,Tablas!$G$9:$K$1240,5,0)*(D99-INT(D99))+VLOOKUP(INT(D99),Tablas!$G$9:$K$1240,5,0)*(INT(D99)+1-D99)),+VLOOKUP(INT(D99)+1,Tablas!$G$9:$O$1240,9,0)*(D99-INT(D99))+VLOOKUP(INT(D99),Tablas!$G$9:$O$1240,9,0)*(INT(D99)+1-D99))</f>
      </c>
      <c r="H99" s="801">
        <f>+IF(MONTH(B99)=1,H98*(1+$C$9),H98)</f>
      </c>
      <c r="I99" s="791">
        <f>IF(B99&lt;$C$10,0,IF(B99&lt;$C$11,$C$8/12*E99*F99*H99,0))</f>
      </c>
      <c r="J99" s="791">
        <f>I99*12/14+IF(OR(MONTH(C99)=6,MONTH(C99)=12),I99*12/14,0)</f>
      </c>
      <c r="K99" s="801">
        <f>G99/$G$15</f>
      </c>
      <c r="L99" s="760"/>
      <c r="M99" s="767"/>
      <c r="N99" s="168"/>
      <c r="O99" s="768"/>
      <c r="P99" s="170"/>
      <c r="Q99" s="7"/>
      <c r="R99" s="766"/>
      <c r="S99" s="170"/>
      <c r="T99" s="168"/>
      <c r="U99" s="170"/>
    </row>
    <row x14ac:dyDescent="0.25" r="100" customHeight="1" ht="18.75">
      <c r="A100" s="1"/>
      <c r="B100" s="799">
        <f>+DATE(YEAR(B99),MONTH(B99)+1,DAY(B99))</f>
        <v>25569.041666666668</v>
      </c>
      <c r="C100" s="799">
        <f>+B101-1</f>
        <v>25569.041666666668</v>
      </c>
      <c r="D100" s="791">
        <f>-_xlfn.DAYS($C$3,C100)/365.25</f>
      </c>
      <c r="E100" s="800">
        <f>IF($D$17+40&lt;=D100,(1+$D$7)^-(D100-$C$5),(1+$C$7)^-(D100-$C$5))</f>
      </c>
      <c r="F100" s="801">
        <f>IF($C$4="Hombre",(+VLOOKUP(INT(D100)+1,Tablas!$G$9:$K$1240,5,0)*(D100-INT(D100))+VLOOKUP(INT(D100),Tablas!$G$9:$K$1240,5,0)*(INT(D100)+1-D100))/(VLOOKUP(INT($C$5)+1,Tablas!$G$9:$K$1240,5,0)*($C$5-INT($C$5))+VLOOKUP(INT($C$5),Tablas!$G$9:$K$124,5,0)*(INT($C$5)+1-$C$5)),(+VLOOKUP(INT(D100)+1,Tablas!$G$9:$O$1240,9,0)*(D100-INT(D100))+VLOOKUP(INT(D100),Tablas!$G$9:$O$1240,9,0)*(INT(D100)+1-D100))/(VLOOKUP(INT($C$5)+1,Tablas!$G$9:$O$1240,9,0)*($C$5-INT($C$5))+VLOOKUP(INT($C$5),Tablas!$G$9:$O$124,9,0)*(INT($C$5)+1-$C$5)))</f>
      </c>
      <c r="G100" s="791">
        <f>IF($C$4="Hombre",(+VLOOKUP(INT(D100)+1,Tablas!$G$9:$K$1240,5,0)*(D100-INT(D100))+VLOOKUP(INT(D100),Tablas!$G$9:$K$1240,5,0)*(INT(D100)+1-D100)),+VLOOKUP(INT(D100)+1,Tablas!$G$9:$O$1240,9,0)*(D100-INT(D100))+VLOOKUP(INT(D100),Tablas!$G$9:$O$1240,9,0)*(INT(D100)+1-D100))</f>
      </c>
      <c r="H100" s="801">
        <f>+IF(MONTH(B100)=1,H99*(1+$C$9),H99)</f>
      </c>
      <c r="I100" s="791">
        <f>IF(B100&lt;$C$10,0,IF(B100&lt;$C$11,$C$8/12*E100*F100*H100,0))</f>
      </c>
      <c r="J100" s="791">
        <f>I100*12/14+IF(OR(MONTH(C100)=6,MONTH(C100)=12),I100*12/14,0)</f>
      </c>
      <c r="K100" s="801">
        <f>G100/$G$15</f>
      </c>
      <c r="L100" s="760"/>
      <c r="M100" s="767"/>
      <c r="N100" s="168"/>
      <c r="O100" s="768"/>
      <c r="P100" s="170"/>
      <c r="Q100" s="7"/>
      <c r="R100" s="766"/>
      <c r="S100" s="170"/>
      <c r="T100" s="168"/>
      <c r="U100" s="170"/>
    </row>
    <row x14ac:dyDescent="0.25" r="101" customHeight="1" ht="18.75">
      <c r="A101" s="1"/>
      <c r="B101" s="799">
        <f>+DATE(YEAR(B100),MONTH(B100)+1,DAY(B100))</f>
        <v>25569.041666666668</v>
      </c>
      <c r="C101" s="799">
        <f>+B102-1</f>
        <v>25569.041666666668</v>
      </c>
      <c r="D101" s="791">
        <f>-_xlfn.DAYS($C$3,C101)/365.25</f>
      </c>
      <c r="E101" s="800">
        <f>IF($D$17+40&lt;=D101,(1+$D$7)^-(D101-$C$5),(1+$C$7)^-(D101-$C$5))</f>
      </c>
      <c r="F101" s="801">
        <f>IF($C$4="Hombre",(+VLOOKUP(INT(D101)+1,Tablas!$G$9:$K$1240,5,0)*(D101-INT(D101))+VLOOKUP(INT(D101),Tablas!$G$9:$K$1240,5,0)*(INT(D101)+1-D101))/(VLOOKUP(INT($C$5)+1,Tablas!$G$9:$K$1240,5,0)*($C$5-INT($C$5))+VLOOKUP(INT($C$5),Tablas!$G$9:$K$124,5,0)*(INT($C$5)+1-$C$5)),(+VLOOKUP(INT(D101)+1,Tablas!$G$9:$O$1240,9,0)*(D101-INT(D101))+VLOOKUP(INT(D101),Tablas!$G$9:$O$1240,9,0)*(INT(D101)+1-D101))/(VLOOKUP(INT($C$5)+1,Tablas!$G$9:$O$1240,9,0)*($C$5-INT($C$5))+VLOOKUP(INT($C$5),Tablas!$G$9:$O$124,9,0)*(INT($C$5)+1-$C$5)))</f>
      </c>
      <c r="G101" s="791">
        <f>IF($C$4="Hombre",(+VLOOKUP(INT(D101)+1,Tablas!$G$9:$K$1240,5,0)*(D101-INT(D101))+VLOOKUP(INT(D101),Tablas!$G$9:$K$1240,5,0)*(INT(D101)+1-D101)),+VLOOKUP(INT(D101)+1,Tablas!$G$9:$O$1240,9,0)*(D101-INT(D101))+VLOOKUP(INT(D101),Tablas!$G$9:$O$1240,9,0)*(INT(D101)+1-D101))</f>
      </c>
      <c r="H101" s="801">
        <f>+IF(MONTH(B101)=1,H100*(1+$C$9),H100)</f>
      </c>
      <c r="I101" s="791">
        <f>IF(B101&lt;$C$10,0,IF(B101&lt;$C$11,$C$8/12*E101*F101*H101,0))</f>
      </c>
      <c r="J101" s="791">
        <f>I101*12/14+IF(OR(MONTH(C101)=6,MONTH(C101)=12),I101*12/14,0)</f>
      </c>
      <c r="K101" s="801">
        <f>G101/$G$15</f>
      </c>
      <c r="L101" s="760"/>
      <c r="M101" s="767"/>
      <c r="N101" s="168"/>
      <c r="O101" s="768"/>
      <c r="P101" s="170"/>
      <c r="Q101" s="7"/>
      <c r="R101" s="766"/>
      <c r="S101" s="170"/>
      <c r="T101" s="168"/>
      <c r="U101" s="170"/>
    </row>
    <row x14ac:dyDescent="0.25" r="102" customHeight="1" ht="18.75">
      <c r="A102" s="1"/>
      <c r="B102" s="799">
        <f>+DATE(YEAR(B101),MONTH(B101)+1,DAY(B101))</f>
        <v>25569.041666666668</v>
      </c>
      <c r="C102" s="799">
        <f>+B103-1</f>
        <v>25569.041666666668</v>
      </c>
      <c r="D102" s="791">
        <f>-_xlfn.DAYS($C$3,C102)/365.25</f>
      </c>
      <c r="E102" s="800">
        <f>IF($D$17+40&lt;=D102,(1+$D$7)^-(D102-$C$5),(1+$C$7)^-(D102-$C$5))</f>
      </c>
      <c r="F102" s="801">
        <f>IF($C$4="Hombre",(+VLOOKUP(INT(D102)+1,Tablas!$G$9:$K$1240,5,0)*(D102-INT(D102))+VLOOKUP(INT(D102),Tablas!$G$9:$K$1240,5,0)*(INT(D102)+1-D102))/(VLOOKUP(INT($C$5)+1,Tablas!$G$9:$K$1240,5,0)*($C$5-INT($C$5))+VLOOKUP(INT($C$5),Tablas!$G$9:$K$124,5,0)*(INT($C$5)+1-$C$5)),(+VLOOKUP(INT(D102)+1,Tablas!$G$9:$O$1240,9,0)*(D102-INT(D102))+VLOOKUP(INT(D102),Tablas!$G$9:$O$1240,9,0)*(INT(D102)+1-D102))/(VLOOKUP(INT($C$5)+1,Tablas!$G$9:$O$1240,9,0)*($C$5-INT($C$5))+VLOOKUP(INT($C$5),Tablas!$G$9:$O$124,9,0)*(INT($C$5)+1-$C$5)))</f>
      </c>
      <c r="G102" s="791">
        <f>IF($C$4="Hombre",(+VLOOKUP(INT(D102)+1,Tablas!$G$9:$K$1240,5,0)*(D102-INT(D102))+VLOOKUP(INT(D102),Tablas!$G$9:$K$1240,5,0)*(INT(D102)+1-D102)),+VLOOKUP(INT(D102)+1,Tablas!$G$9:$O$1240,9,0)*(D102-INT(D102))+VLOOKUP(INT(D102),Tablas!$G$9:$O$1240,9,0)*(INT(D102)+1-D102))</f>
      </c>
      <c r="H102" s="801">
        <f>+IF(MONTH(B102)=1,H101*(1+$C$9),H101)</f>
      </c>
      <c r="I102" s="791">
        <f>IF(B102&lt;$C$10,0,IF(B102&lt;$C$11,$C$8/12*E102*F102*H102,0))</f>
      </c>
      <c r="J102" s="791">
        <f>I102*12/14+IF(OR(MONTH(C102)=6,MONTH(C102)=12),I102*12/14,0)</f>
      </c>
      <c r="K102" s="801">
        <f>G102/$G$15</f>
      </c>
      <c r="L102" s="760"/>
      <c r="M102" s="767"/>
      <c r="N102" s="168"/>
      <c r="O102" s="768"/>
      <c r="P102" s="170"/>
      <c r="Q102" s="7"/>
      <c r="R102" s="766"/>
      <c r="S102" s="170"/>
      <c r="T102" s="168"/>
      <c r="U102" s="170"/>
    </row>
    <row x14ac:dyDescent="0.25" r="103" customHeight="1" ht="18.75">
      <c r="A103" s="1"/>
      <c r="B103" s="799">
        <f>+DATE(YEAR(B102),MONTH(B102)+1,DAY(B102))</f>
        <v>25569.041666666668</v>
      </c>
      <c r="C103" s="799">
        <f>+B104-1</f>
        <v>25569.041666666668</v>
      </c>
      <c r="D103" s="791">
        <f>-_xlfn.DAYS($C$3,C103)/365.25</f>
      </c>
      <c r="E103" s="800">
        <f>IF($D$17+40&lt;=D103,(1+$D$7)^-(D103-$C$5),(1+$C$7)^-(D103-$C$5))</f>
      </c>
      <c r="F103" s="801">
        <f>IF($C$4="Hombre",(+VLOOKUP(INT(D103)+1,Tablas!$G$9:$K$1240,5,0)*(D103-INT(D103))+VLOOKUP(INT(D103),Tablas!$G$9:$K$1240,5,0)*(INT(D103)+1-D103))/(VLOOKUP(INT($C$5)+1,Tablas!$G$9:$K$1240,5,0)*($C$5-INT($C$5))+VLOOKUP(INT($C$5),Tablas!$G$9:$K$124,5,0)*(INT($C$5)+1-$C$5)),(+VLOOKUP(INT(D103)+1,Tablas!$G$9:$O$1240,9,0)*(D103-INT(D103))+VLOOKUP(INT(D103),Tablas!$G$9:$O$1240,9,0)*(INT(D103)+1-D103))/(VLOOKUP(INT($C$5)+1,Tablas!$G$9:$O$1240,9,0)*($C$5-INT($C$5))+VLOOKUP(INT($C$5),Tablas!$G$9:$O$124,9,0)*(INT($C$5)+1-$C$5)))</f>
      </c>
      <c r="G103" s="791">
        <f>IF($C$4="Hombre",(+VLOOKUP(INT(D103)+1,Tablas!$G$9:$K$1240,5,0)*(D103-INT(D103))+VLOOKUP(INT(D103),Tablas!$G$9:$K$1240,5,0)*(INT(D103)+1-D103)),+VLOOKUP(INT(D103)+1,Tablas!$G$9:$O$1240,9,0)*(D103-INT(D103))+VLOOKUP(INT(D103),Tablas!$G$9:$O$1240,9,0)*(INT(D103)+1-D103))</f>
      </c>
      <c r="H103" s="801">
        <f>+IF(MONTH(B103)=1,H102*(1+$C$9),H102)</f>
      </c>
      <c r="I103" s="791">
        <f>IF(B103&lt;$C$10,0,IF(B103&lt;$C$11,$C$8/12*E103*F103*H103,0))</f>
      </c>
      <c r="J103" s="791">
        <f>I103*12/14+IF(OR(MONTH(C103)=6,MONTH(C103)=12),I103*12/14,0)</f>
      </c>
      <c r="K103" s="801">
        <f>G103/$G$15</f>
      </c>
      <c r="L103" s="760"/>
      <c r="M103" s="767"/>
      <c r="N103" s="168"/>
      <c r="O103" s="768"/>
      <c r="P103" s="170"/>
      <c r="Q103" s="7"/>
      <c r="R103" s="766"/>
      <c r="S103" s="170"/>
      <c r="T103" s="168"/>
      <c r="U103" s="170"/>
    </row>
    <row x14ac:dyDescent="0.25" r="104" customHeight="1" ht="18.75">
      <c r="A104" s="1"/>
      <c r="B104" s="799">
        <f>+DATE(YEAR(B103),MONTH(B103)+1,DAY(B103))</f>
        <v>25569.041666666668</v>
      </c>
      <c r="C104" s="799">
        <f>+B105-1</f>
        <v>25569.041666666668</v>
      </c>
      <c r="D104" s="791">
        <f>-_xlfn.DAYS($C$3,C104)/365.25</f>
      </c>
      <c r="E104" s="800">
        <f>IF($D$17+40&lt;=D104,(1+$D$7)^-(D104-$C$5),(1+$C$7)^-(D104-$C$5))</f>
      </c>
      <c r="F104" s="801">
        <f>IF($C$4="Hombre",(+VLOOKUP(INT(D104)+1,Tablas!$G$9:$K$1240,5,0)*(D104-INT(D104))+VLOOKUP(INT(D104),Tablas!$G$9:$K$1240,5,0)*(INT(D104)+1-D104))/(VLOOKUP(INT($C$5)+1,Tablas!$G$9:$K$1240,5,0)*($C$5-INT($C$5))+VLOOKUP(INT($C$5),Tablas!$G$9:$K$124,5,0)*(INT($C$5)+1-$C$5)),(+VLOOKUP(INT(D104)+1,Tablas!$G$9:$O$1240,9,0)*(D104-INT(D104))+VLOOKUP(INT(D104),Tablas!$G$9:$O$1240,9,0)*(INT(D104)+1-D104))/(VLOOKUP(INT($C$5)+1,Tablas!$G$9:$O$1240,9,0)*($C$5-INT($C$5))+VLOOKUP(INT($C$5),Tablas!$G$9:$O$124,9,0)*(INT($C$5)+1-$C$5)))</f>
      </c>
      <c r="G104" s="791">
        <f>IF($C$4="Hombre",(+VLOOKUP(INT(D104)+1,Tablas!$G$9:$K$1240,5,0)*(D104-INT(D104))+VLOOKUP(INT(D104),Tablas!$G$9:$K$1240,5,0)*(INT(D104)+1-D104)),+VLOOKUP(INT(D104)+1,Tablas!$G$9:$O$1240,9,0)*(D104-INT(D104))+VLOOKUP(INT(D104),Tablas!$G$9:$O$1240,9,0)*(INT(D104)+1-D104))</f>
      </c>
      <c r="H104" s="801">
        <f>+IF(MONTH(B104)=1,H103*(1+$C$9),H103)</f>
      </c>
      <c r="I104" s="791">
        <f>IF(B104&lt;$C$10,0,IF(B104&lt;$C$11,$C$8/12*E104*F104*H104,0))</f>
      </c>
      <c r="J104" s="791">
        <f>I104*12/14+IF(OR(MONTH(C104)=6,MONTH(C104)=12),I104*12/14,0)</f>
      </c>
      <c r="K104" s="801">
        <f>G104/$G$15</f>
      </c>
      <c r="L104" s="760"/>
      <c r="M104" s="767"/>
      <c r="N104" s="168"/>
      <c r="O104" s="768"/>
      <c r="P104" s="170"/>
      <c r="Q104" s="7"/>
      <c r="R104" s="766"/>
      <c r="S104" s="170"/>
      <c r="T104" s="168"/>
      <c r="U104" s="170"/>
    </row>
    <row x14ac:dyDescent="0.25" r="105" customHeight="1" ht="18.75">
      <c r="A105" s="1"/>
      <c r="B105" s="799">
        <f>+DATE(YEAR(B104),MONTH(B104)+1,DAY(B104))</f>
        <v>25569.041666666668</v>
      </c>
      <c r="C105" s="799">
        <f>+B106-1</f>
        <v>25569.041666666668</v>
      </c>
      <c r="D105" s="791">
        <f>-_xlfn.DAYS($C$3,C105)/365.25</f>
      </c>
      <c r="E105" s="800">
        <f>IF($D$17+40&lt;=D105,(1+$D$7)^-(D105-$C$5),(1+$C$7)^-(D105-$C$5))</f>
      </c>
      <c r="F105" s="801">
        <f>IF($C$4="Hombre",(+VLOOKUP(INT(D105)+1,Tablas!$G$9:$K$1240,5,0)*(D105-INT(D105))+VLOOKUP(INT(D105),Tablas!$G$9:$K$1240,5,0)*(INT(D105)+1-D105))/(VLOOKUP(INT($C$5)+1,Tablas!$G$9:$K$1240,5,0)*($C$5-INT($C$5))+VLOOKUP(INT($C$5),Tablas!$G$9:$K$124,5,0)*(INT($C$5)+1-$C$5)),(+VLOOKUP(INT(D105)+1,Tablas!$G$9:$O$1240,9,0)*(D105-INT(D105))+VLOOKUP(INT(D105),Tablas!$G$9:$O$1240,9,0)*(INT(D105)+1-D105))/(VLOOKUP(INT($C$5)+1,Tablas!$G$9:$O$1240,9,0)*($C$5-INT($C$5))+VLOOKUP(INT($C$5),Tablas!$G$9:$O$124,9,0)*(INT($C$5)+1-$C$5)))</f>
      </c>
      <c r="G105" s="791">
        <f>IF($C$4="Hombre",(+VLOOKUP(INT(D105)+1,Tablas!$G$9:$K$1240,5,0)*(D105-INT(D105))+VLOOKUP(INT(D105),Tablas!$G$9:$K$1240,5,0)*(INT(D105)+1-D105)),+VLOOKUP(INT(D105)+1,Tablas!$G$9:$O$1240,9,0)*(D105-INT(D105))+VLOOKUP(INT(D105),Tablas!$G$9:$O$1240,9,0)*(INT(D105)+1-D105))</f>
      </c>
      <c r="H105" s="801">
        <f>+IF(MONTH(B105)=1,H104*(1+$C$9),H104)</f>
      </c>
      <c r="I105" s="791">
        <f>IF(B105&lt;$C$10,0,IF(B105&lt;$C$11,$C$8/12*E105*F105*H105,0))</f>
      </c>
      <c r="J105" s="791">
        <f>I105*12/14+IF(OR(MONTH(C105)=6,MONTH(C105)=12),I105*12/14,0)</f>
      </c>
      <c r="K105" s="801">
        <f>G105/$G$15</f>
      </c>
      <c r="L105" s="760"/>
      <c r="M105" s="767"/>
      <c r="N105" s="168"/>
      <c r="O105" s="768"/>
      <c r="P105" s="170"/>
      <c r="Q105" s="7"/>
      <c r="R105" s="766"/>
      <c r="S105" s="170"/>
      <c r="T105" s="168"/>
      <c r="U105" s="170"/>
    </row>
    <row x14ac:dyDescent="0.25" r="106" customHeight="1" ht="18.75">
      <c r="A106" s="1"/>
      <c r="B106" s="799">
        <f>+DATE(YEAR(B105),MONTH(B105)+1,DAY(B105))</f>
        <v>25569.041666666668</v>
      </c>
      <c r="C106" s="799">
        <f>+B107-1</f>
        <v>25569.041666666668</v>
      </c>
      <c r="D106" s="791">
        <f>-_xlfn.DAYS($C$3,C106)/365.25</f>
      </c>
      <c r="E106" s="800">
        <f>IF($D$17+40&lt;=D106,(1+$D$7)^-(D106-$C$5),(1+$C$7)^-(D106-$C$5))</f>
      </c>
      <c r="F106" s="801">
        <f>IF($C$4="Hombre",(+VLOOKUP(INT(D106)+1,Tablas!$G$9:$K$1240,5,0)*(D106-INT(D106))+VLOOKUP(INT(D106),Tablas!$G$9:$K$1240,5,0)*(INT(D106)+1-D106))/(VLOOKUP(INT($C$5)+1,Tablas!$G$9:$K$1240,5,0)*($C$5-INT($C$5))+VLOOKUP(INT($C$5),Tablas!$G$9:$K$124,5,0)*(INT($C$5)+1-$C$5)),(+VLOOKUP(INT(D106)+1,Tablas!$G$9:$O$1240,9,0)*(D106-INT(D106))+VLOOKUP(INT(D106),Tablas!$G$9:$O$1240,9,0)*(INT(D106)+1-D106))/(VLOOKUP(INT($C$5)+1,Tablas!$G$9:$O$1240,9,0)*($C$5-INT($C$5))+VLOOKUP(INT($C$5),Tablas!$G$9:$O$124,9,0)*(INT($C$5)+1-$C$5)))</f>
      </c>
      <c r="G106" s="791">
        <f>IF($C$4="Hombre",(+VLOOKUP(INT(D106)+1,Tablas!$G$9:$K$1240,5,0)*(D106-INT(D106))+VLOOKUP(INT(D106),Tablas!$G$9:$K$1240,5,0)*(INT(D106)+1-D106)),+VLOOKUP(INT(D106)+1,Tablas!$G$9:$O$1240,9,0)*(D106-INT(D106))+VLOOKUP(INT(D106),Tablas!$G$9:$O$1240,9,0)*(INT(D106)+1-D106))</f>
      </c>
      <c r="H106" s="801">
        <f>+IF(MONTH(B106)=1,H105*(1+$C$9),H105)</f>
      </c>
      <c r="I106" s="791">
        <f>IF(B106&lt;$C$10,0,IF(B106&lt;$C$11,$C$8/12*E106*F106*H106,0))</f>
      </c>
      <c r="J106" s="791">
        <f>I106*12/14+IF(OR(MONTH(C106)=6,MONTH(C106)=12),I106*12/14,0)</f>
      </c>
      <c r="K106" s="801">
        <f>G106/$G$15</f>
      </c>
      <c r="L106" s="760"/>
      <c r="M106" s="767"/>
      <c r="N106" s="168"/>
      <c r="O106" s="768"/>
      <c r="P106" s="170"/>
      <c r="Q106" s="7"/>
      <c r="R106" s="766"/>
      <c r="S106" s="170"/>
      <c r="T106" s="168"/>
      <c r="U106" s="170"/>
    </row>
    <row x14ac:dyDescent="0.25" r="107" customHeight="1" ht="18.75">
      <c r="A107" s="1"/>
      <c r="B107" s="799">
        <f>+DATE(YEAR(B106),MONTH(B106)+1,DAY(B106))</f>
        <v>25569.041666666668</v>
      </c>
      <c r="C107" s="799">
        <f>+B108-1</f>
        <v>25569.041666666668</v>
      </c>
      <c r="D107" s="791">
        <f>-_xlfn.DAYS($C$3,C107)/365.25</f>
      </c>
      <c r="E107" s="800">
        <f>IF($D$17+40&lt;=D107,(1+$D$7)^-(D107-$C$5),(1+$C$7)^-(D107-$C$5))</f>
      </c>
      <c r="F107" s="801">
        <f>IF($C$4="Hombre",(+VLOOKUP(INT(D107)+1,Tablas!$G$9:$K$1240,5,0)*(D107-INT(D107))+VLOOKUP(INT(D107),Tablas!$G$9:$K$1240,5,0)*(INT(D107)+1-D107))/(VLOOKUP(INT($C$5)+1,Tablas!$G$9:$K$1240,5,0)*($C$5-INT($C$5))+VLOOKUP(INT($C$5),Tablas!$G$9:$K$124,5,0)*(INT($C$5)+1-$C$5)),(+VLOOKUP(INT(D107)+1,Tablas!$G$9:$O$1240,9,0)*(D107-INT(D107))+VLOOKUP(INT(D107),Tablas!$G$9:$O$1240,9,0)*(INT(D107)+1-D107))/(VLOOKUP(INT($C$5)+1,Tablas!$G$9:$O$1240,9,0)*($C$5-INT($C$5))+VLOOKUP(INT($C$5),Tablas!$G$9:$O$124,9,0)*(INT($C$5)+1-$C$5)))</f>
      </c>
      <c r="G107" s="791">
        <f>IF($C$4="Hombre",(+VLOOKUP(INT(D107)+1,Tablas!$G$9:$K$1240,5,0)*(D107-INT(D107))+VLOOKUP(INT(D107),Tablas!$G$9:$K$1240,5,0)*(INT(D107)+1-D107)),+VLOOKUP(INT(D107)+1,Tablas!$G$9:$O$1240,9,0)*(D107-INT(D107))+VLOOKUP(INT(D107),Tablas!$G$9:$O$1240,9,0)*(INT(D107)+1-D107))</f>
      </c>
      <c r="H107" s="801">
        <f>+IF(MONTH(B107)=1,H106*(1+$C$9),H106)</f>
      </c>
      <c r="I107" s="791">
        <f>IF(B107&lt;$C$10,0,IF(B107&lt;$C$11,$C$8/12*E107*F107*H107,0))</f>
      </c>
      <c r="J107" s="791">
        <f>I107*12/14+IF(OR(MONTH(C107)=6,MONTH(C107)=12),I107*12/14,0)</f>
      </c>
      <c r="K107" s="801">
        <f>G107/$G$15</f>
      </c>
      <c r="L107" s="760"/>
      <c r="M107" s="767"/>
      <c r="N107" s="168"/>
      <c r="O107" s="768"/>
      <c r="P107" s="170"/>
      <c r="Q107" s="7"/>
      <c r="R107" s="766"/>
      <c r="S107" s="170"/>
      <c r="T107" s="168"/>
      <c r="U107" s="170"/>
    </row>
    <row x14ac:dyDescent="0.25" r="108" customHeight="1" ht="18.75">
      <c r="A108" s="1"/>
      <c r="B108" s="799">
        <f>+DATE(YEAR(B107),MONTH(B107)+1,DAY(B107))</f>
        <v>25569.041666666668</v>
      </c>
      <c r="C108" s="799">
        <f>+B109-1</f>
        <v>25569.041666666668</v>
      </c>
      <c r="D108" s="791">
        <f>-_xlfn.DAYS($C$3,C108)/365.25</f>
      </c>
      <c r="E108" s="800">
        <f>IF($D$17+40&lt;=D108,(1+$D$7)^-(D108-$C$5),(1+$C$7)^-(D108-$C$5))</f>
      </c>
      <c r="F108" s="801">
        <f>IF($C$4="Hombre",(+VLOOKUP(INT(D108)+1,Tablas!$G$9:$K$1240,5,0)*(D108-INT(D108))+VLOOKUP(INT(D108),Tablas!$G$9:$K$1240,5,0)*(INT(D108)+1-D108))/(VLOOKUP(INT($C$5)+1,Tablas!$G$9:$K$1240,5,0)*($C$5-INT($C$5))+VLOOKUP(INT($C$5),Tablas!$G$9:$K$124,5,0)*(INT($C$5)+1-$C$5)),(+VLOOKUP(INT(D108)+1,Tablas!$G$9:$O$1240,9,0)*(D108-INT(D108))+VLOOKUP(INT(D108),Tablas!$G$9:$O$1240,9,0)*(INT(D108)+1-D108))/(VLOOKUP(INT($C$5)+1,Tablas!$G$9:$O$1240,9,0)*($C$5-INT($C$5))+VLOOKUP(INT($C$5),Tablas!$G$9:$O$124,9,0)*(INT($C$5)+1-$C$5)))</f>
      </c>
      <c r="G108" s="791">
        <f>IF($C$4="Hombre",(+VLOOKUP(INT(D108)+1,Tablas!$G$9:$K$1240,5,0)*(D108-INT(D108))+VLOOKUP(INT(D108),Tablas!$G$9:$K$1240,5,0)*(INT(D108)+1-D108)),+VLOOKUP(INT(D108)+1,Tablas!$G$9:$O$1240,9,0)*(D108-INT(D108))+VLOOKUP(INT(D108),Tablas!$G$9:$O$1240,9,0)*(INT(D108)+1-D108))</f>
      </c>
      <c r="H108" s="801">
        <f>+IF(MONTH(B108)=1,H107*(1+$C$9),H107)</f>
      </c>
      <c r="I108" s="791">
        <f>IF(B108&lt;$C$10,0,IF(B108&lt;$C$11,$C$8/12*E108*F108*H108,0))</f>
      </c>
      <c r="J108" s="791">
        <f>I108*12/14+IF(OR(MONTH(C108)=6,MONTH(C108)=12),I108*12/14,0)</f>
      </c>
      <c r="K108" s="801">
        <f>G108/$G$15</f>
      </c>
      <c r="L108" s="760"/>
      <c r="M108" s="767"/>
      <c r="N108" s="168"/>
      <c r="O108" s="768"/>
      <c r="P108" s="170"/>
      <c r="Q108" s="7"/>
      <c r="R108" s="766"/>
      <c r="S108" s="170"/>
      <c r="T108" s="168"/>
      <c r="U108" s="170"/>
    </row>
    <row x14ac:dyDescent="0.25" r="109" customHeight="1" ht="18.75">
      <c r="A109" s="1"/>
      <c r="B109" s="799">
        <f>+DATE(YEAR(B108),MONTH(B108)+1,DAY(B108))</f>
        <v>25569.041666666668</v>
      </c>
      <c r="C109" s="799">
        <f>+B110-1</f>
        <v>25569.041666666668</v>
      </c>
      <c r="D109" s="791">
        <f>-_xlfn.DAYS($C$3,C109)/365.25</f>
      </c>
      <c r="E109" s="800">
        <f>IF($D$17+40&lt;=D109,(1+$D$7)^-(D109-$C$5),(1+$C$7)^-(D109-$C$5))</f>
      </c>
      <c r="F109" s="801">
        <f>IF($C$4="Hombre",(+VLOOKUP(INT(D109)+1,Tablas!$G$9:$K$1240,5,0)*(D109-INT(D109))+VLOOKUP(INT(D109),Tablas!$G$9:$K$1240,5,0)*(INT(D109)+1-D109))/(VLOOKUP(INT($C$5)+1,Tablas!$G$9:$K$1240,5,0)*($C$5-INT($C$5))+VLOOKUP(INT($C$5),Tablas!$G$9:$K$124,5,0)*(INT($C$5)+1-$C$5)),(+VLOOKUP(INT(D109)+1,Tablas!$G$9:$O$1240,9,0)*(D109-INT(D109))+VLOOKUP(INT(D109),Tablas!$G$9:$O$1240,9,0)*(INT(D109)+1-D109))/(VLOOKUP(INT($C$5)+1,Tablas!$G$9:$O$1240,9,0)*($C$5-INT($C$5))+VLOOKUP(INT($C$5),Tablas!$G$9:$O$124,9,0)*(INT($C$5)+1-$C$5)))</f>
      </c>
      <c r="G109" s="791">
        <f>IF($C$4="Hombre",(+VLOOKUP(INT(D109)+1,Tablas!$G$9:$K$1240,5,0)*(D109-INT(D109))+VLOOKUP(INT(D109),Tablas!$G$9:$K$1240,5,0)*(INT(D109)+1-D109)),+VLOOKUP(INT(D109)+1,Tablas!$G$9:$O$1240,9,0)*(D109-INT(D109))+VLOOKUP(INT(D109),Tablas!$G$9:$O$1240,9,0)*(INT(D109)+1-D109))</f>
      </c>
      <c r="H109" s="801">
        <f>+IF(MONTH(B109)=1,H108*(1+$C$9),H108)</f>
      </c>
      <c r="I109" s="791">
        <f>IF(B109&lt;$C$10,0,IF(B109&lt;$C$11,$C$8/12*E109*F109*H109,0))</f>
      </c>
      <c r="J109" s="791">
        <f>I109*12/14+IF(OR(MONTH(C109)=6,MONTH(C109)=12),I109*12/14,0)</f>
      </c>
      <c r="K109" s="801">
        <f>G109/$G$15</f>
      </c>
      <c r="L109" s="760"/>
      <c r="M109" s="767"/>
      <c r="N109" s="168"/>
      <c r="O109" s="768"/>
      <c r="P109" s="170"/>
      <c r="Q109" s="7"/>
      <c r="R109" s="766"/>
      <c r="S109" s="170"/>
      <c r="T109" s="168"/>
      <c r="U109" s="170"/>
    </row>
    <row x14ac:dyDescent="0.25" r="110" customHeight="1" ht="18.75">
      <c r="A110" s="1"/>
      <c r="B110" s="799">
        <f>+DATE(YEAR(B109),MONTH(B109)+1,DAY(B109))</f>
        <v>25569.041666666668</v>
      </c>
      <c r="C110" s="799">
        <f>+B111-1</f>
        <v>25569.041666666668</v>
      </c>
      <c r="D110" s="791">
        <f>-_xlfn.DAYS($C$3,C110)/365.25</f>
      </c>
      <c r="E110" s="800">
        <f>IF($D$17+40&lt;=D110,(1+$D$7)^-(D110-$C$5),(1+$C$7)^-(D110-$C$5))</f>
      </c>
      <c r="F110" s="801">
        <f>IF($C$4="Hombre",(+VLOOKUP(INT(D110)+1,Tablas!$G$9:$K$1240,5,0)*(D110-INT(D110))+VLOOKUP(INT(D110),Tablas!$G$9:$K$1240,5,0)*(INT(D110)+1-D110))/(VLOOKUP(INT($C$5)+1,Tablas!$G$9:$K$1240,5,0)*($C$5-INT($C$5))+VLOOKUP(INT($C$5),Tablas!$G$9:$K$124,5,0)*(INT($C$5)+1-$C$5)),(+VLOOKUP(INT(D110)+1,Tablas!$G$9:$O$1240,9,0)*(D110-INT(D110))+VLOOKUP(INT(D110),Tablas!$G$9:$O$1240,9,0)*(INT(D110)+1-D110))/(VLOOKUP(INT($C$5)+1,Tablas!$G$9:$O$1240,9,0)*($C$5-INT($C$5))+VLOOKUP(INT($C$5),Tablas!$G$9:$O$124,9,0)*(INT($C$5)+1-$C$5)))</f>
      </c>
      <c r="G110" s="791">
        <f>IF($C$4="Hombre",(+VLOOKUP(INT(D110)+1,Tablas!$G$9:$K$1240,5,0)*(D110-INT(D110))+VLOOKUP(INT(D110),Tablas!$G$9:$K$1240,5,0)*(INT(D110)+1-D110)),+VLOOKUP(INT(D110)+1,Tablas!$G$9:$O$1240,9,0)*(D110-INT(D110))+VLOOKUP(INT(D110),Tablas!$G$9:$O$1240,9,0)*(INT(D110)+1-D110))</f>
      </c>
      <c r="H110" s="801">
        <f>+IF(MONTH(B110)=1,H109*(1+$C$9),H109)</f>
      </c>
      <c r="I110" s="791">
        <f>IF(B110&lt;$C$10,0,IF(B110&lt;$C$11,$C$8/12*E110*F110*H110,0))</f>
      </c>
      <c r="J110" s="791">
        <f>I110*12/14+IF(OR(MONTH(C110)=6,MONTH(C110)=12),I110*12/14,0)</f>
      </c>
      <c r="K110" s="801">
        <f>G110/$G$15</f>
      </c>
      <c r="L110" s="760"/>
      <c r="M110" s="767"/>
      <c r="N110" s="168"/>
      <c r="O110" s="768"/>
      <c r="P110" s="170"/>
      <c r="Q110" s="7"/>
      <c r="R110" s="766"/>
      <c r="S110" s="170"/>
      <c r="T110" s="168"/>
      <c r="U110" s="170"/>
    </row>
    <row x14ac:dyDescent="0.25" r="111" customHeight="1" ht="18.75">
      <c r="A111" s="1"/>
      <c r="B111" s="799">
        <f>+DATE(YEAR(B110),MONTH(B110)+1,DAY(B110))</f>
        <v>25569.041666666668</v>
      </c>
      <c r="C111" s="799">
        <f>+B112-1</f>
        <v>25569.041666666668</v>
      </c>
      <c r="D111" s="791">
        <f>-_xlfn.DAYS($C$3,C111)/365.25</f>
      </c>
      <c r="E111" s="800">
        <f>IF($D$17+40&lt;=D111,(1+$D$7)^-(D111-$C$5),(1+$C$7)^-(D111-$C$5))</f>
      </c>
      <c r="F111" s="801">
        <f>IF($C$4="Hombre",(+VLOOKUP(INT(D111)+1,Tablas!$G$9:$K$1240,5,0)*(D111-INT(D111))+VLOOKUP(INT(D111),Tablas!$G$9:$K$1240,5,0)*(INT(D111)+1-D111))/(VLOOKUP(INT($C$5)+1,Tablas!$G$9:$K$1240,5,0)*($C$5-INT($C$5))+VLOOKUP(INT($C$5),Tablas!$G$9:$K$124,5,0)*(INT($C$5)+1-$C$5)),(+VLOOKUP(INT(D111)+1,Tablas!$G$9:$O$1240,9,0)*(D111-INT(D111))+VLOOKUP(INT(D111),Tablas!$G$9:$O$1240,9,0)*(INT(D111)+1-D111))/(VLOOKUP(INT($C$5)+1,Tablas!$G$9:$O$1240,9,0)*($C$5-INT($C$5))+VLOOKUP(INT($C$5),Tablas!$G$9:$O$124,9,0)*(INT($C$5)+1-$C$5)))</f>
      </c>
      <c r="G111" s="791">
        <f>IF($C$4="Hombre",(+VLOOKUP(INT(D111)+1,Tablas!$G$9:$K$1240,5,0)*(D111-INT(D111))+VLOOKUP(INT(D111),Tablas!$G$9:$K$1240,5,0)*(INT(D111)+1-D111)),+VLOOKUP(INT(D111)+1,Tablas!$G$9:$O$1240,9,0)*(D111-INT(D111))+VLOOKUP(INT(D111),Tablas!$G$9:$O$1240,9,0)*(INT(D111)+1-D111))</f>
      </c>
      <c r="H111" s="801">
        <f>+IF(MONTH(B111)=1,H110*(1+$C$9),H110)</f>
      </c>
      <c r="I111" s="791">
        <f>IF(B111&lt;$C$10,0,IF(B111&lt;$C$11,$C$8/12*E111*F111*H111,0))</f>
      </c>
      <c r="J111" s="791">
        <f>I111*12/14+IF(OR(MONTH(C111)=6,MONTH(C111)=12),I111*12/14,0)</f>
      </c>
      <c r="K111" s="801">
        <f>G111/$G$15</f>
      </c>
      <c r="L111" s="760"/>
      <c r="M111" s="767"/>
      <c r="N111" s="168"/>
      <c r="O111" s="768"/>
      <c r="P111" s="170"/>
      <c r="Q111" s="7"/>
      <c r="R111" s="766"/>
      <c r="S111" s="170"/>
      <c r="T111" s="168"/>
      <c r="U111" s="170"/>
    </row>
    <row x14ac:dyDescent="0.25" r="112" customHeight="1" ht="18.75">
      <c r="A112" s="1"/>
      <c r="B112" s="799">
        <f>+DATE(YEAR(B111),MONTH(B111)+1,DAY(B111))</f>
        <v>25569.041666666668</v>
      </c>
      <c r="C112" s="799">
        <f>+B113-1</f>
        <v>25569.041666666668</v>
      </c>
      <c r="D112" s="791">
        <f>-_xlfn.DAYS($C$3,C112)/365.25</f>
      </c>
      <c r="E112" s="800">
        <f>IF($D$17+40&lt;=D112,(1+$D$7)^-(D112-$C$5),(1+$C$7)^-(D112-$C$5))</f>
      </c>
      <c r="F112" s="801">
        <f>IF($C$4="Hombre",(+VLOOKUP(INT(D112)+1,Tablas!$G$9:$K$1240,5,0)*(D112-INT(D112))+VLOOKUP(INT(D112),Tablas!$G$9:$K$1240,5,0)*(INT(D112)+1-D112))/(VLOOKUP(INT($C$5)+1,Tablas!$G$9:$K$1240,5,0)*($C$5-INT($C$5))+VLOOKUP(INT($C$5),Tablas!$G$9:$K$124,5,0)*(INT($C$5)+1-$C$5)),(+VLOOKUP(INT(D112)+1,Tablas!$G$9:$O$1240,9,0)*(D112-INT(D112))+VLOOKUP(INT(D112),Tablas!$G$9:$O$1240,9,0)*(INT(D112)+1-D112))/(VLOOKUP(INT($C$5)+1,Tablas!$G$9:$O$1240,9,0)*($C$5-INT($C$5))+VLOOKUP(INT($C$5),Tablas!$G$9:$O$124,9,0)*(INT($C$5)+1-$C$5)))</f>
      </c>
      <c r="G112" s="791">
        <f>IF($C$4="Hombre",(+VLOOKUP(INT(D112)+1,Tablas!$G$9:$K$1240,5,0)*(D112-INT(D112))+VLOOKUP(INT(D112),Tablas!$G$9:$K$1240,5,0)*(INT(D112)+1-D112)),+VLOOKUP(INT(D112)+1,Tablas!$G$9:$O$1240,9,0)*(D112-INT(D112))+VLOOKUP(INT(D112),Tablas!$G$9:$O$1240,9,0)*(INT(D112)+1-D112))</f>
      </c>
      <c r="H112" s="801">
        <f>+IF(MONTH(B112)=1,H111*(1+$C$9),H111)</f>
      </c>
      <c r="I112" s="791">
        <f>IF(B112&lt;$C$10,0,IF(B112&lt;$C$11,$C$8/12*E112*F112*H112,0))</f>
      </c>
      <c r="J112" s="791">
        <f>I112*12/14+IF(OR(MONTH(C112)=6,MONTH(C112)=12),I112*12/14,0)</f>
      </c>
      <c r="K112" s="801">
        <f>G112/$G$15</f>
      </c>
      <c r="L112" s="760"/>
      <c r="M112" s="767"/>
      <c r="N112" s="168"/>
      <c r="O112" s="768"/>
      <c r="P112" s="170"/>
      <c r="Q112" s="7"/>
      <c r="R112" s="766"/>
      <c r="S112" s="170"/>
      <c r="T112" s="168"/>
      <c r="U112" s="170"/>
    </row>
    <row x14ac:dyDescent="0.25" r="113" customHeight="1" ht="18.75">
      <c r="A113" s="1"/>
      <c r="B113" s="799">
        <f>+DATE(YEAR(B112),MONTH(B112)+1,DAY(B112))</f>
        <v>25569.041666666668</v>
      </c>
      <c r="C113" s="799">
        <f>+B114-1</f>
        <v>25569.041666666668</v>
      </c>
      <c r="D113" s="791">
        <f>-_xlfn.DAYS($C$3,C113)/365.25</f>
      </c>
      <c r="E113" s="800">
        <f>IF($D$17+40&lt;=D113,(1+$D$7)^-(D113-$C$5),(1+$C$7)^-(D113-$C$5))</f>
      </c>
      <c r="F113" s="801">
        <f>IF($C$4="Hombre",(+VLOOKUP(INT(D113)+1,Tablas!$G$9:$K$1240,5,0)*(D113-INT(D113))+VLOOKUP(INT(D113),Tablas!$G$9:$K$1240,5,0)*(INT(D113)+1-D113))/(VLOOKUP(INT($C$5)+1,Tablas!$G$9:$K$1240,5,0)*($C$5-INT($C$5))+VLOOKUP(INT($C$5),Tablas!$G$9:$K$124,5,0)*(INT($C$5)+1-$C$5)),(+VLOOKUP(INT(D113)+1,Tablas!$G$9:$O$1240,9,0)*(D113-INT(D113))+VLOOKUP(INT(D113),Tablas!$G$9:$O$1240,9,0)*(INT(D113)+1-D113))/(VLOOKUP(INT($C$5)+1,Tablas!$G$9:$O$1240,9,0)*($C$5-INT($C$5))+VLOOKUP(INT($C$5),Tablas!$G$9:$O$124,9,0)*(INT($C$5)+1-$C$5)))</f>
      </c>
      <c r="G113" s="791">
        <f>IF($C$4="Hombre",(+VLOOKUP(INT(D113)+1,Tablas!$G$9:$K$1240,5,0)*(D113-INT(D113))+VLOOKUP(INT(D113),Tablas!$G$9:$K$1240,5,0)*(INT(D113)+1-D113)),+VLOOKUP(INT(D113)+1,Tablas!$G$9:$O$1240,9,0)*(D113-INT(D113))+VLOOKUP(INT(D113),Tablas!$G$9:$O$1240,9,0)*(INT(D113)+1-D113))</f>
      </c>
      <c r="H113" s="801">
        <f>+IF(MONTH(B113)=1,H112*(1+$C$9),H112)</f>
      </c>
      <c r="I113" s="791">
        <f>IF(B113&lt;$C$10,0,IF(B113&lt;$C$11,$C$8/12*E113*F113*H113,0))</f>
      </c>
      <c r="J113" s="791">
        <f>I113*12/14+IF(OR(MONTH(C113)=6,MONTH(C113)=12),I113*12/14,0)</f>
      </c>
      <c r="K113" s="801">
        <f>G113/$G$15</f>
      </c>
      <c r="L113" s="760"/>
      <c r="M113" s="767"/>
      <c r="N113" s="168"/>
      <c r="O113" s="768"/>
      <c r="P113" s="170"/>
      <c r="Q113" s="7"/>
      <c r="R113" s="766"/>
      <c r="S113" s="170"/>
      <c r="T113" s="168"/>
      <c r="U113" s="170"/>
    </row>
    <row x14ac:dyDescent="0.25" r="114" customHeight="1" ht="18.75">
      <c r="A114" s="1"/>
      <c r="B114" s="799">
        <f>+DATE(YEAR(B113),MONTH(B113)+1,DAY(B113))</f>
        <v>25569.041666666668</v>
      </c>
      <c r="C114" s="799">
        <f>+B115-1</f>
        <v>25569.041666666668</v>
      </c>
      <c r="D114" s="791">
        <f>-_xlfn.DAYS($C$3,C114)/365.25</f>
      </c>
      <c r="E114" s="800">
        <f>IF($D$17+40&lt;=D114,(1+$D$7)^-(D114-$C$5),(1+$C$7)^-(D114-$C$5))</f>
      </c>
      <c r="F114" s="801">
        <f>IF($C$4="Hombre",(+VLOOKUP(INT(D114)+1,Tablas!$G$9:$K$1240,5,0)*(D114-INT(D114))+VLOOKUP(INT(D114),Tablas!$G$9:$K$1240,5,0)*(INT(D114)+1-D114))/(VLOOKUP(INT($C$5)+1,Tablas!$G$9:$K$1240,5,0)*($C$5-INT($C$5))+VLOOKUP(INT($C$5),Tablas!$G$9:$K$124,5,0)*(INT($C$5)+1-$C$5)),(+VLOOKUP(INT(D114)+1,Tablas!$G$9:$O$1240,9,0)*(D114-INT(D114))+VLOOKUP(INT(D114),Tablas!$G$9:$O$1240,9,0)*(INT(D114)+1-D114))/(VLOOKUP(INT($C$5)+1,Tablas!$G$9:$O$1240,9,0)*($C$5-INT($C$5))+VLOOKUP(INT($C$5),Tablas!$G$9:$O$124,9,0)*(INT($C$5)+1-$C$5)))</f>
      </c>
      <c r="G114" s="791">
        <f>IF($C$4="Hombre",(+VLOOKUP(INT(D114)+1,Tablas!$G$9:$K$1240,5,0)*(D114-INT(D114))+VLOOKUP(INT(D114),Tablas!$G$9:$K$1240,5,0)*(INT(D114)+1-D114)),+VLOOKUP(INT(D114)+1,Tablas!$G$9:$O$1240,9,0)*(D114-INT(D114))+VLOOKUP(INT(D114),Tablas!$G$9:$O$1240,9,0)*(INT(D114)+1-D114))</f>
      </c>
      <c r="H114" s="801">
        <f>+IF(MONTH(B114)=1,H113*(1+$C$9),H113)</f>
      </c>
      <c r="I114" s="791">
        <f>IF(B114&lt;$C$10,0,IF(B114&lt;$C$11,$C$8/12*E114*F114*H114,0))</f>
      </c>
      <c r="J114" s="791">
        <f>I114*12/14+IF(OR(MONTH(C114)=6,MONTH(C114)=12),I114*12/14,0)</f>
      </c>
      <c r="K114" s="801">
        <f>G114/$G$15</f>
      </c>
      <c r="L114" s="760"/>
      <c r="M114" s="767"/>
      <c r="N114" s="168"/>
      <c r="O114" s="768"/>
      <c r="P114" s="170"/>
      <c r="Q114" s="7"/>
      <c r="R114" s="766"/>
      <c r="S114" s="170"/>
      <c r="T114" s="168"/>
      <c r="U114" s="170"/>
    </row>
    <row x14ac:dyDescent="0.25" r="115" customHeight="1" ht="18.75">
      <c r="A115" s="1"/>
      <c r="B115" s="799">
        <f>+DATE(YEAR(B114),MONTH(B114)+1,DAY(B114))</f>
        <v>25569.041666666668</v>
      </c>
      <c r="C115" s="799">
        <f>+B116-1</f>
        <v>25569.041666666668</v>
      </c>
      <c r="D115" s="791">
        <f>-_xlfn.DAYS($C$3,C115)/365.25</f>
      </c>
      <c r="E115" s="800">
        <f>IF($D$17+40&lt;=D115,(1+$D$7)^-(D115-$C$5),(1+$C$7)^-(D115-$C$5))</f>
      </c>
      <c r="F115" s="801">
        <f>IF($C$4="Hombre",(+VLOOKUP(INT(D115)+1,Tablas!$G$9:$K$1240,5,0)*(D115-INT(D115))+VLOOKUP(INT(D115),Tablas!$G$9:$K$1240,5,0)*(INT(D115)+1-D115))/(VLOOKUP(INT($C$5)+1,Tablas!$G$9:$K$1240,5,0)*($C$5-INT($C$5))+VLOOKUP(INT($C$5),Tablas!$G$9:$K$124,5,0)*(INT($C$5)+1-$C$5)),(+VLOOKUP(INT(D115)+1,Tablas!$G$9:$O$1240,9,0)*(D115-INT(D115))+VLOOKUP(INT(D115),Tablas!$G$9:$O$1240,9,0)*(INT(D115)+1-D115))/(VLOOKUP(INT($C$5)+1,Tablas!$G$9:$O$1240,9,0)*($C$5-INT($C$5))+VLOOKUP(INT($C$5),Tablas!$G$9:$O$124,9,0)*(INT($C$5)+1-$C$5)))</f>
      </c>
      <c r="G115" s="791">
        <f>IF($C$4="Hombre",(+VLOOKUP(INT(D115)+1,Tablas!$G$9:$K$1240,5,0)*(D115-INT(D115))+VLOOKUP(INT(D115),Tablas!$G$9:$K$1240,5,0)*(INT(D115)+1-D115)),+VLOOKUP(INT(D115)+1,Tablas!$G$9:$O$1240,9,0)*(D115-INT(D115))+VLOOKUP(INT(D115),Tablas!$G$9:$O$1240,9,0)*(INT(D115)+1-D115))</f>
      </c>
      <c r="H115" s="801">
        <f>+IF(MONTH(B115)=1,H114*(1+$C$9),H114)</f>
      </c>
      <c r="I115" s="791">
        <f>IF(B115&lt;$C$10,0,IF(B115&lt;$C$11,$C$8/12*E115*F115*H115,0))</f>
      </c>
      <c r="J115" s="791">
        <f>I115*12/14+IF(OR(MONTH(C115)=6,MONTH(C115)=12),I115*12/14,0)</f>
      </c>
      <c r="K115" s="801">
        <f>G115/$G$15</f>
      </c>
      <c r="L115" s="760"/>
      <c r="M115" s="767"/>
      <c r="N115" s="168"/>
      <c r="O115" s="768"/>
      <c r="P115" s="170"/>
      <c r="Q115" s="7"/>
      <c r="R115" s="766"/>
      <c r="S115" s="170"/>
      <c r="T115" s="168"/>
      <c r="U115" s="170"/>
    </row>
    <row x14ac:dyDescent="0.25" r="116" customHeight="1" ht="18.75">
      <c r="A116" s="1"/>
      <c r="B116" s="799">
        <f>+DATE(YEAR(B115),MONTH(B115)+1,DAY(B115))</f>
        <v>25569.041666666668</v>
      </c>
      <c r="C116" s="799">
        <f>+B117-1</f>
        <v>25569.041666666668</v>
      </c>
      <c r="D116" s="791">
        <f>-_xlfn.DAYS($C$3,C116)/365.25</f>
      </c>
      <c r="E116" s="800">
        <f>IF($D$17+40&lt;=D116,(1+$D$7)^-(D116-$C$5),(1+$C$7)^-(D116-$C$5))</f>
      </c>
      <c r="F116" s="801">
        <f>IF($C$4="Hombre",(+VLOOKUP(INT(D116)+1,Tablas!$G$9:$K$1240,5,0)*(D116-INT(D116))+VLOOKUP(INT(D116),Tablas!$G$9:$K$1240,5,0)*(INT(D116)+1-D116))/(VLOOKUP(INT($C$5)+1,Tablas!$G$9:$K$1240,5,0)*($C$5-INT($C$5))+VLOOKUP(INT($C$5),Tablas!$G$9:$K$124,5,0)*(INT($C$5)+1-$C$5)),(+VLOOKUP(INT(D116)+1,Tablas!$G$9:$O$1240,9,0)*(D116-INT(D116))+VLOOKUP(INT(D116),Tablas!$G$9:$O$1240,9,0)*(INT(D116)+1-D116))/(VLOOKUP(INT($C$5)+1,Tablas!$G$9:$O$1240,9,0)*($C$5-INT($C$5))+VLOOKUP(INT($C$5),Tablas!$G$9:$O$124,9,0)*(INT($C$5)+1-$C$5)))</f>
      </c>
      <c r="G116" s="791">
        <f>IF($C$4="Hombre",(+VLOOKUP(INT(D116)+1,Tablas!$G$9:$K$1240,5,0)*(D116-INT(D116))+VLOOKUP(INT(D116),Tablas!$G$9:$K$1240,5,0)*(INT(D116)+1-D116)),+VLOOKUP(INT(D116)+1,Tablas!$G$9:$O$1240,9,0)*(D116-INT(D116))+VLOOKUP(INT(D116),Tablas!$G$9:$O$1240,9,0)*(INT(D116)+1-D116))</f>
      </c>
      <c r="H116" s="801">
        <f>+IF(MONTH(B116)=1,H115*(1+$C$9),H115)</f>
      </c>
      <c r="I116" s="791">
        <f>IF(B116&lt;$C$10,0,IF(B116&lt;$C$11,$C$8/12*E116*F116*H116,0))</f>
      </c>
      <c r="J116" s="791">
        <f>I116*12/14+IF(OR(MONTH(C116)=6,MONTH(C116)=12),I116*12/14,0)</f>
      </c>
      <c r="K116" s="801">
        <f>G116/$G$15</f>
      </c>
      <c r="L116" s="760"/>
      <c r="M116" s="767"/>
      <c r="N116" s="168"/>
      <c r="O116" s="768"/>
      <c r="P116" s="170"/>
      <c r="Q116" s="7"/>
      <c r="R116" s="766"/>
      <c r="S116" s="170"/>
      <c r="T116" s="168"/>
      <c r="U116" s="170"/>
    </row>
    <row x14ac:dyDescent="0.25" r="117" customHeight="1" ht="18.75">
      <c r="A117" s="1"/>
      <c r="B117" s="799">
        <f>+DATE(YEAR(B116),MONTH(B116)+1,DAY(B116))</f>
        <v>25569.041666666668</v>
      </c>
      <c r="C117" s="799">
        <f>+B118-1</f>
        <v>25569.041666666668</v>
      </c>
      <c r="D117" s="791">
        <f>-_xlfn.DAYS($C$3,C117)/365.25</f>
      </c>
      <c r="E117" s="800">
        <f>IF($D$17+40&lt;=D117,(1+$D$7)^-(D117-$C$5),(1+$C$7)^-(D117-$C$5))</f>
      </c>
      <c r="F117" s="801">
        <f>IF($C$4="Hombre",(+VLOOKUP(INT(D117)+1,Tablas!$G$9:$K$1240,5,0)*(D117-INT(D117))+VLOOKUP(INT(D117),Tablas!$G$9:$K$1240,5,0)*(INT(D117)+1-D117))/(VLOOKUP(INT($C$5)+1,Tablas!$G$9:$K$1240,5,0)*($C$5-INT($C$5))+VLOOKUP(INT($C$5),Tablas!$G$9:$K$124,5,0)*(INT($C$5)+1-$C$5)),(+VLOOKUP(INT(D117)+1,Tablas!$G$9:$O$1240,9,0)*(D117-INT(D117))+VLOOKUP(INT(D117),Tablas!$G$9:$O$1240,9,0)*(INT(D117)+1-D117))/(VLOOKUP(INT($C$5)+1,Tablas!$G$9:$O$1240,9,0)*($C$5-INT($C$5))+VLOOKUP(INT($C$5),Tablas!$G$9:$O$124,9,0)*(INT($C$5)+1-$C$5)))</f>
      </c>
      <c r="G117" s="791">
        <f>IF($C$4="Hombre",(+VLOOKUP(INT(D117)+1,Tablas!$G$9:$K$1240,5,0)*(D117-INT(D117))+VLOOKUP(INT(D117),Tablas!$G$9:$K$1240,5,0)*(INT(D117)+1-D117)),+VLOOKUP(INT(D117)+1,Tablas!$G$9:$O$1240,9,0)*(D117-INT(D117))+VLOOKUP(INT(D117),Tablas!$G$9:$O$1240,9,0)*(INT(D117)+1-D117))</f>
      </c>
      <c r="H117" s="801">
        <f>+IF(MONTH(B117)=1,H116*(1+$C$9),H116)</f>
      </c>
      <c r="I117" s="791">
        <f>IF(B117&lt;$C$10,0,IF(B117&lt;$C$11,$C$8/12*E117*F117*H117,0))</f>
      </c>
      <c r="J117" s="791">
        <f>I117*12/14+IF(OR(MONTH(C117)=6,MONTH(C117)=12),I117*12/14,0)</f>
      </c>
      <c r="K117" s="801">
        <f>G117/$G$15</f>
      </c>
      <c r="L117" s="760"/>
      <c r="M117" s="767"/>
      <c r="N117" s="168"/>
      <c r="O117" s="768"/>
      <c r="P117" s="170"/>
      <c r="Q117" s="7"/>
      <c r="R117" s="766"/>
      <c r="S117" s="170"/>
      <c r="T117" s="168"/>
      <c r="U117" s="170"/>
    </row>
    <row x14ac:dyDescent="0.25" r="118" customHeight="1" ht="18.75">
      <c r="A118" s="1"/>
      <c r="B118" s="799">
        <f>+DATE(YEAR(B117),MONTH(B117)+1,DAY(B117))</f>
        <v>25569.041666666668</v>
      </c>
      <c r="C118" s="799">
        <f>+B119-1</f>
        <v>25569.041666666668</v>
      </c>
      <c r="D118" s="791">
        <f>-_xlfn.DAYS($C$3,C118)/365.25</f>
      </c>
      <c r="E118" s="800">
        <f>IF($D$17+40&lt;=D118,(1+$D$7)^-(D118-$C$5),(1+$C$7)^-(D118-$C$5))</f>
      </c>
      <c r="F118" s="801">
        <f>IF($C$4="Hombre",(+VLOOKUP(INT(D118)+1,Tablas!$G$9:$K$1240,5,0)*(D118-INT(D118))+VLOOKUP(INT(D118),Tablas!$G$9:$K$1240,5,0)*(INT(D118)+1-D118))/(VLOOKUP(INT($C$5)+1,Tablas!$G$9:$K$1240,5,0)*($C$5-INT($C$5))+VLOOKUP(INT($C$5),Tablas!$G$9:$K$124,5,0)*(INT($C$5)+1-$C$5)),(+VLOOKUP(INT(D118)+1,Tablas!$G$9:$O$1240,9,0)*(D118-INT(D118))+VLOOKUP(INT(D118),Tablas!$G$9:$O$1240,9,0)*(INT(D118)+1-D118))/(VLOOKUP(INT($C$5)+1,Tablas!$G$9:$O$1240,9,0)*($C$5-INT($C$5))+VLOOKUP(INT($C$5),Tablas!$G$9:$O$124,9,0)*(INT($C$5)+1-$C$5)))</f>
      </c>
      <c r="G118" s="791">
        <f>IF($C$4="Hombre",(+VLOOKUP(INT(D118)+1,Tablas!$G$9:$K$1240,5,0)*(D118-INT(D118))+VLOOKUP(INT(D118),Tablas!$G$9:$K$1240,5,0)*(INT(D118)+1-D118)),+VLOOKUP(INT(D118)+1,Tablas!$G$9:$O$1240,9,0)*(D118-INT(D118))+VLOOKUP(INT(D118),Tablas!$G$9:$O$1240,9,0)*(INT(D118)+1-D118))</f>
      </c>
      <c r="H118" s="801">
        <f>+IF(MONTH(B118)=1,H117*(1+$C$9),H117)</f>
      </c>
      <c r="I118" s="791">
        <f>IF(B118&lt;$C$10,0,IF(B118&lt;$C$11,$C$8/12*E118*F118*H118,0))</f>
      </c>
      <c r="J118" s="791">
        <f>I118*12/14+IF(OR(MONTH(C118)=6,MONTH(C118)=12),I118*12/14,0)</f>
      </c>
      <c r="K118" s="801">
        <f>G118/$G$15</f>
      </c>
      <c r="L118" s="760"/>
      <c r="M118" s="767"/>
      <c r="N118" s="168"/>
      <c r="O118" s="768"/>
      <c r="P118" s="170"/>
      <c r="Q118" s="7"/>
      <c r="R118" s="766"/>
      <c r="S118" s="170"/>
      <c r="T118" s="168"/>
      <c r="U118" s="170"/>
    </row>
    <row x14ac:dyDescent="0.25" r="119" customHeight="1" ht="18.75">
      <c r="A119" s="1"/>
      <c r="B119" s="799">
        <f>+DATE(YEAR(B118),MONTH(B118)+1,DAY(B118))</f>
        <v>25569.041666666668</v>
      </c>
      <c r="C119" s="799">
        <f>+B120-1</f>
        <v>25569.041666666668</v>
      </c>
      <c r="D119" s="791">
        <f>-_xlfn.DAYS($C$3,C119)/365.25</f>
      </c>
      <c r="E119" s="800">
        <f>IF($D$17+40&lt;=D119,(1+$D$7)^-(D119-$C$5),(1+$C$7)^-(D119-$C$5))</f>
      </c>
      <c r="F119" s="801">
        <f>IF($C$4="Hombre",(+VLOOKUP(INT(D119)+1,Tablas!$G$9:$K$1240,5,0)*(D119-INT(D119))+VLOOKUP(INT(D119),Tablas!$G$9:$K$1240,5,0)*(INT(D119)+1-D119))/(VLOOKUP(INT($C$5)+1,Tablas!$G$9:$K$1240,5,0)*($C$5-INT($C$5))+VLOOKUP(INT($C$5),Tablas!$G$9:$K$124,5,0)*(INT($C$5)+1-$C$5)),(+VLOOKUP(INT(D119)+1,Tablas!$G$9:$O$1240,9,0)*(D119-INT(D119))+VLOOKUP(INT(D119),Tablas!$G$9:$O$1240,9,0)*(INT(D119)+1-D119))/(VLOOKUP(INT($C$5)+1,Tablas!$G$9:$O$1240,9,0)*($C$5-INT($C$5))+VLOOKUP(INT($C$5),Tablas!$G$9:$O$124,9,0)*(INT($C$5)+1-$C$5)))</f>
      </c>
      <c r="G119" s="791">
        <f>IF($C$4="Hombre",(+VLOOKUP(INT(D119)+1,Tablas!$G$9:$K$1240,5,0)*(D119-INT(D119))+VLOOKUP(INT(D119),Tablas!$G$9:$K$1240,5,0)*(INT(D119)+1-D119)),+VLOOKUP(INT(D119)+1,Tablas!$G$9:$O$1240,9,0)*(D119-INT(D119))+VLOOKUP(INT(D119),Tablas!$G$9:$O$1240,9,0)*(INT(D119)+1-D119))</f>
      </c>
      <c r="H119" s="801">
        <f>+IF(MONTH(B119)=1,H118*(1+$C$9),H118)</f>
      </c>
      <c r="I119" s="791">
        <f>IF(B119&lt;$C$10,0,IF(B119&lt;$C$11,$C$8/12*E119*F119*H119,0))</f>
      </c>
      <c r="J119" s="791">
        <f>I119*12/14+IF(OR(MONTH(C119)=6,MONTH(C119)=12),I119*12/14,0)</f>
      </c>
      <c r="K119" s="801">
        <f>G119/$G$15</f>
      </c>
      <c r="L119" s="760"/>
      <c r="M119" s="767"/>
      <c r="N119" s="168"/>
      <c r="O119" s="768"/>
      <c r="P119" s="170"/>
      <c r="Q119" s="7"/>
      <c r="R119" s="766"/>
      <c r="S119" s="170"/>
      <c r="T119" s="168"/>
      <c r="U119" s="170"/>
    </row>
    <row x14ac:dyDescent="0.25" r="120" customHeight="1" ht="18.75">
      <c r="A120" s="1"/>
      <c r="B120" s="799">
        <f>+DATE(YEAR(B119),MONTH(B119)+1,DAY(B119))</f>
        <v>25569.041666666668</v>
      </c>
      <c r="C120" s="799">
        <f>+B121-1</f>
        <v>25569.041666666668</v>
      </c>
      <c r="D120" s="791">
        <f>-_xlfn.DAYS($C$3,C120)/365.25</f>
      </c>
      <c r="E120" s="800">
        <f>IF($D$17+40&lt;=D120,(1+$D$7)^-(D120-$C$5),(1+$C$7)^-(D120-$C$5))</f>
      </c>
      <c r="F120" s="801">
        <f>IF($C$4="Hombre",(+VLOOKUP(INT(D120)+1,Tablas!$G$9:$K$1240,5,0)*(D120-INT(D120))+VLOOKUP(INT(D120),Tablas!$G$9:$K$1240,5,0)*(INT(D120)+1-D120))/(VLOOKUP(INT($C$5)+1,Tablas!$G$9:$K$1240,5,0)*($C$5-INT($C$5))+VLOOKUP(INT($C$5),Tablas!$G$9:$K$124,5,0)*(INT($C$5)+1-$C$5)),(+VLOOKUP(INT(D120)+1,Tablas!$G$9:$O$1240,9,0)*(D120-INT(D120))+VLOOKUP(INT(D120),Tablas!$G$9:$O$1240,9,0)*(INT(D120)+1-D120))/(VLOOKUP(INT($C$5)+1,Tablas!$G$9:$O$1240,9,0)*($C$5-INT($C$5))+VLOOKUP(INT($C$5),Tablas!$G$9:$O$124,9,0)*(INT($C$5)+1-$C$5)))</f>
      </c>
      <c r="G120" s="791">
        <f>IF($C$4="Hombre",(+VLOOKUP(INT(D120)+1,Tablas!$G$9:$K$1240,5,0)*(D120-INT(D120))+VLOOKUP(INT(D120),Tablas!$G$9:$K$1240,5,0)*(INT(D120)+1-D120)),+VLOOKUP(INT(D120)+1,Tablas!$G$9:$O$1240,9,0)*(D120-INT(D120))+VLOOKUP(INT(D120),Tablas!$G$9:$O$1240,9,0)*(INT(D120)+1-D120))</f>
      </c>
      <c r="H120" s="801">
        <f>+IF(MONTH(B120)=1,H119*(1+$C$9),H119)</f>
      </c>
      <c r="I120" s="791">
        <f>IF(B120&lt;$C$10,0,IF(B120&lt;$C$11,$C$8/12*E120*F120*H120,0))</f>
      </c>
      <c r="J120" s="791">
        <f>I120*12/14+IF(OR(MONTH(C120)=6,MONTH(C120)=12),I120*12/14,0)</f>
      </c>
      <c r="K120" s="801">
        <f>G120/$G$15</f>
      </c>
      <c r="L120" s="760"/>
      <c r="M120" s="767"/>
      <c r="N120" s="168"/>
      <c r="O120" s="768"/>
      <c r="P120" s="170"/>
      <c r="Q120" s="7"/>
      <c r="R120" s="766"/>
      <c r="S120" s="170"/>
      <c r="T120" s="168"/>
      <c r="U120" s="170"/>
    </row>
    <row x14ac:dyDescent="0.25" r="121" customHeight="1" ht="18.75">
      <c r="A121" s="1"/>
      <c r="B121" s="799">
        <f>+DATE(YEAR(B120),MONTH(B120)+1,DAY(B120))</f>
        <v>25569.041666666668</v>
      </c>
      <c r="C121" s="799">
        <f>+B122-1</f>
        <v>25569.041666666668</v>
      </c>
      <c r="D121" s="791">
        <f>-_xlfn.DAYS($C$3,C121)/365.25</f>
      </c>
      <c r="E121" s="800">
        <f>IF($D$17+40&lt;=D121,(1+$D$7)^-(D121-$C$5),(1+$C$7)^-(D121-$C$5))</f>
      </c>
      <c r="F121" s="801">
        <f>IF($C$4="Hombre",(+VLOOKUP(INT(D121)+1,Tablas!$G$9:$K$1240,5,0)*(D121-INT(D121))+VLOOKUP(INT(D121),Tablas!$G$9:$K$1240,5,0)*(INT(D121)+1-D121))/(VLOOKUP(INT($C$5)+1,Tablas!$G$9:$K$1240,5,0)*($C$5-INT($C$5))+VLOOKUP(INT($C$5),Tablas!$G$9:$K$124,5,0)*(INT($C$5)+1-$C$5)),(+VLOOKUP(INT(D121)+1,Tablas!$G$9:$O$1240,9,0)*(D121-INT(D121))+VLOOKUP(INT(D121),Tablas!$G$9:$O$1240,9,0)*(INT(D121)+1-D121))/(VLOOKUP(INT($C$5)+1,Tablas!$G$9:$O$1240,9,0)*($C$5-INT($C$5))+VLOOKUP(INT($C$5),Tablas!$G$9:$O$124,9,0)*(INT($C$5)+1-$C$5)))</f>
      </c>
      <c r="G121" s="791">
        <f>IF($C$4="Hombre",(+VLOOKUP(INT(D121)+1,Tablas!$G$9:$K$1240,5,0)*(D121-INT(D121))+VLOOKUP(INT(D121),Tablas!$G$9:$K$1240,5,0)*(INT(D121)+1-D121)),+VLOOKUP(INT(D121)+1,Tablas!$G$9:$O$1240,9,0)*(D121-INT(D121))+VLOOKUP(INT(D121),Tablas!$G$9:$O$1240,9,0)*(INT(D121)+1-D121))</f>
      </c>
      <c r="H121" s="801">
        <f>+IF(MONTH(B121)=1,H120*(1+$C$9),H120)</f>
      </c>
      <c r="I121" s="791">
        <f>IF(B121&lt;$C$10,0,IF(B121&lt;$C$11,$C$8/12*E121*F121*H121,0))</f>
      </c>
      <c r="J121" s="791">
        <f>I121*12/14+IF(OR(MONTH(C121)=6,MONTH(C121)=12),I121*12/14,0)</f>
      </c>
      <c r="K121" s="801">
        <f>G121/$G$15</f>
      </c>
      <c r="L121" s="760"/>
      <c r="M121" s="767"/>
      <c r="N121" s="168"/>
      <c r="O121" s="768"/>
      <c r="P121" s="170"/>
      <c r="Q121" s="7"/>
      <c r="R121" s="766"/>
      <c r="S121" s="170"/>
      <c r="T121" s="168"/>
      <c r="U121" s="170"/>
    </row>
    <row x14ac:dyDescent="0.25" r="122" customHeight="1" ht="18.75">
      <c r="A122" s="1"/>
      <c r="B122" s="799">
        <f>+DATE(YEAR(B121),MONTH(B121)+1,DAY(B121))</f>
        <v>25569.041666666668</v>
      </c>
      <c r="C122" s="799">
        <f>+B123-1</f>
        <v>25569.041666666668</v>
      </c>
      <c r="D122" s="791">
        <f>-_xlfn.DAYS($C$3,C122)/365.25</f>
      </c>
      <c r="E122" s="800">
        <f>IF($D$17+40&lt;=D122,(1+$D$7)^-(D122-$C$5),(1+$C$7)^-(D122-$C$5))</f>
      </c>
      <c r="F122" s="801">
        <f>IF($C$4="Hombre",(+VLOOKUP(INT(D122)+1,Tablas!$G$9:$K$1240,5,0)*(D122-INT(D122))+VLOOKUP(INT(D122),Tablas!$G$9:$K$1240,5,0)*(INT(D122)+1-D122))/(VLOOKUP(INT($C$5)+1,Tablas!$G$9:$K$1240,5,0)*($C$5-INT($C$5))+VLOOKUP(INT($C$5),Tablas!$G$9:$K$124,5,0)*(INT($C$5)+1-$C$5)),(+VLOOKUP(INT(D122)+1,Tablas!$G$9:$O$1240,9,0)*(D122-INT(D122))+VLOOKUP(INT(D122),Tablas!$G$9:$O$1240,9,0)*(INT(D122)+1-D122))/(VLOOKUP(INT($C$5)+1,Tablas!$G$9:$O$1240,9,0)*($C$5-INT($C$5))+VLOOKUP(INT($C$5),Tablas!$G$9:$O$124,9,0)*(INT($C$5)+1-$C$5)))</f>
      </c>
      <c r="G122" s="791">
        <f>IF($C$4="Hombre",(+VLOOKUP(INT(D122)+1,Tablas!$G$9:$K$1240,5,0)*(D122-INT(D122))+VLOOKUP(INT(D122),Tablas!$G$9:$K$1240,5,0)*(INT(D122)+1-D122)),+VLOOKUP(INT(D122)+1,Tablas!$G$9:$O$1240,9,0)*(D122-INT(D122))+VLOOKUP(INT(D122),Tablas!$G$9:$O$1240,9,0)*(INT(D122)+1-D122))</f>
      </c>
      <c r="H122" s="801">
        <f>+IF(MONTH(B122)=1,H121*(1+$C$9),H121)</f>
      </c>
      <c r="I122" s="791">
        <f>IF(B122&lt;$C$10,0,IF(B122&lt;$C$11,$C$8/12*E122*F122*H122,0))</f>
      </c>
      <c r="J122" s="791">
        <f>I122*12/14+IF(OR(MONTH(C122)=6,MONTH(C122)=12),I122*12/14,0)</f>
      </c>
      <c r="K122" s="801">
        <f>G122/$G$15</f>
      </c>
      <c r="L122" s="760"/>
      <c r="M122" s="767"/>
      <c r="N122" s="168"/>
      <c r="O122" s="768"/>
      <c r="P122" s="170"/>
      <c r="Q122" s="7"/>
      <c r="R122" s="766"/>
      <c r="S122" s="170"/>
      <c r="T122" s="168"/>
      <c r="U122" s="170"/>
    </row>
    <row x14ac:dyDescent="0.25" r="123" customHeight="1" ht="18.75">
      <c r="A123" s="1"/>
      <c r="B123" s="799">
        <f>+DATE(YEAR(B122),MONTH(B122)+1,DAY(B122))</f>
        <v>25569.041666666668</v>
      </c>
      <c r="C123" s="799">
        <f>+B124-1</f>
        <v>25569.041666666668</v>
      </c>
      <c r="D123" s="791">
        <f>-_xlfn.DAYS($C$3,C123)/365.25</f>
      </c>
      <c r="E123" s="800">
        <f>IF($D$17+40&lt;=D123,(1+$D$7)^-(D123-$C$5),(1+$C$7)^-(D123-$C$5))</f>
      </c>
      <c r="F123" s="801">
        <f>IF($C$4="Hombre",(+VLOOKUP(INT(D123)+1,Tablas!$G$9:$K$1240,5,0)*(D123-INT(D123))+VLOOKUP(INT(D123),Tablas!$G$9:$K$1240,5,0)*(INT(D123)+1-D123))/(VLOOKUP(INT($C$5)+1,Tablas!$G$9:$K$1240,5,0)*($C$5-INT($C$5))+VLOOKUP(INT($C$5),Tablas!$G$9:$K$124,5,0)*(INT($C$5)+1-$C$5)),(+VLOOKUP(INT(D123)+1,Tablas!$G$9:$O$1240,9,0)*(D123-INT(D123))+VLOOKUP(INT(D123),Tablas!$G$9:$O$1240,9,0)*(INT(D123)+1-D123))/(VLOOKUP(INT($C$5)+1,Tablas!$G$9:$O$1240,9,0)*($C$5-INT($C$5))+VLOOKUP(INT($C$5),Tablas!$G$9:$O$124,9,0)*(INT($C$5)+1-$C$5)))</f>
      </c>
      <c r="G123" s="791">
        <f>IF($C$4="Hombre",(+VLOOKUP(INT(D123)+1,Tablas!$G$9:$K$1240,5,0)*(D123-INT(D123))+VLOOKUP(INT(D123),Tablas!$G$9:$K$1240,5,0)*(INT(D123)+1-D123)),+VLOOKUP(INT(D123)+1,Tablas!$G$9:$O$1240,9,0)*(D123-INT(D123))+VLOOKUP(INT(D123),Tablas!$G$9:$O$1240,9,0)*(INT(D123)+1-D123))</f>
      </c>
      <c r="H123" s="801">
        <f>+IF(MONTH(B123)=1,H122*(1+$C$9),H122)</f>
      </c>
      <c r="I123" s="791">
        <f>IF(B123&lt;$C$10,0,IF(B123&lt;$C$11,$C$8/12*E123*F123*H123,0))</f>
      </c>
      <c r="J123" s="791">
        <f>I123*12/14+IF(OR(MONTH(C123)=6,MONTH(C123)=12),I123*12/14,0)</f>
      </c>
      <c r="K123" s="801">
        <f>G123/$G$15</f>
      </c>
      <c r="L123" s="760"/>
      <c r="M123" s="767"/>
      <c r="N123" s="168"/>
      <c r="O123" s="768"/>
      <c r="P123" s="170"/>
      <c r="Q123" s="7"/>
      <c r="R123" s="766"/>
      <c r="S123" s="170"/>
      <c r="T123" s="168"/>
      <c r="U123" s="170"/>
    </row>
    <row x14ac:dyDescent="0.25" r="124" customHeight="1" ht="18.75">
      <c r="A124" s="1"/>
      <c r="B124" s="799">
        <f>+DATE(YEAR(B123),MONTH(B123)+1,DAY(B123))</f>
        <v>25569.041666666668</v>
      </c>
      <c r="C124" s="799">
        <f>+B125-1</f>
        <v>25569.041666666668</v>
      </c>
      <c r="D124" s="791">
        <f>-_xlfn.DAYS($C$3,C124)/365.25</f>
      </c>
      <c r="E124" s="800">
        <f>IF($D$17+40&lt;=D124,(1+$D$7)^-(D124-$C$5),(1+$C$7)^-(D124-$C$5))</f>
      </c>
      <c r="F124" s="801">
        <f>IF($C$4="Hombre",(+VLOOKUP(INT(D124)+1,Tablas!$G$9:$K$1240,5,0)*(D124-INT(D124))+VLOOKUP(INT(D124),Tablas!$G$9:$K$1240,5,0)*(INT(D124)+1-D124))/(VLOOKUP(INT($C$5)+1,Tablas!$G$9:$K$1240,5,0)*($C$5-INT($C$5))+VLOOKUP(INT($C$5),Tablas!$G$9:$K$124,5,0)*(INT($C$5)+1-$C$5)),(+VLOOKUP(INT(D124)+1,Tablas!$G$9:$O$1240,9,0)*(D124-INT(D124))+VLOOKUP(INT(D124),Tablas!$G$9:$O$1240,9,0)*(INT(D124)+1-D124))/(VLOOKUP(INT($C$5)+1,Tablas!$G$9:$O$1240,9,0)*($C$5-INT($C$5))+VLOOKUP(INT($C$5),Tablas!$G$9:$O$124,9,0)*(INT($C$5)+1-$C$5)))</f>
      </c>
      <c r="G124" s="791">
        <f>IF($C$4="Hombre",(+VLOOKUP(INT(D124)+1,Tablas!$G$9:$K$1240,5,0)*(D124-INT(D124))+VLOOKUP(INT(D124),Tablas!$G$9:$K$1240,5,0)*(INT(D124)+1-D124)),+VLOOKUP(INT(D124)+1,Tablas!$G$9:$O$1240,9,0)*(D124-INT(D124))+VLOOKUP(INT(D124),Tablas!$G$9:$O$1240,9,0)*(INT(D124)+1-D124))</f>
      </c>
      <c r="H124" s="801">
        <f>+IF(MONTH(B124)=1,H123*(1+$C$9),H123)</f>
      </c>
      <c r="I124" s="791">
        <f>IF(B124&lt;$C$10,0,IF(B124&lt;$C$11,$C$8/12*E124*F124*H124,0))</f>
      </c>
      <c r="J124" s="791">
        <f>I124*12/14+IF(OR(MONTH(C124)=6,MONTH(C124)=12),I124*12/14,0)</f>
      </c>
      <c r="K124" s="801">
        <f>G124/$G$15</f>
      </c>
      <c r="L124" s="760"/>
      <c r="M124" s="767"/>
      <c r="N124" s="168"/>
      <c r="O124" s="768"/>
      <c r="P124" s="170"/>
      <c r="Q124" s="7"/>
      <c r="R124" s="766"/>
      <c r="S124" s="170"/>
      <c r="T124" s="168"/>
      <c r="U124" s="170"/>
    </row>
    <row x14ac:dyDescent="0.25" r="125" customHeight="1" ht="18.75">
      <c r="A125" s="1"/>
      <c r="B125" s="799">
        <f>+DATE(YEAR(B124),MONTH(B124)+1,DAY(B124))</f>
        <v>25569.041666666668</v>
      </c>
      <c r="C125" s="799">
        <f>+B126-1</f>
        <v>25569.041666666668</v>
      </c>
      <c r="D125" s="791">
        <f>-_xlfn.DAYS($C$3,C125)/365.25</f>
      </c>
      <c r="E125" s="800">
        <f>IF($D$17+40&lt;=D125,(1+$D$7)^-(D125-$C$5),(1+$C$7)^-(D125-$C$5))</f>
      </c>
      <c r="F125" s="801">
        <f>IF($C$4="Hombre",(+VLOOKUP(INT(D125)+1,Tablas!$G$9:$K$1240,5,0)*(D125-INT(D125))+VLOOKUP(INT(D125),Tablas!$G$9:$K$1240,5,0)*(INT(D125)+1-D125))/(VLOOKUP(INT($C$5)+1,Tablas!$G$9:$K$1240,5,0)*($C$5-INT($C$5))+VLOOKUP(INT($C$5),Tablas!$G$9:$K$124,5,0)*(INT($C$5)+1-$C$5)),(+VLOOKUP(INT(D125)+1,Tablas!$G$9:$O$1240,9,0)*(D125-INT(D125))+VLOOKUP(INT(D125),Tablas!$G$9:$O$1240,9,0)*(INT(D125)+1-D125))/(VLOOKUP(INT($C$5)+1,Tablas!$G$9:$O$1240,9,0)*($C$5-INT($C$5))+VLOOKUP(INT($C$5),Tablas!$G$9:$O$124,9,0)*(INT($C$5)+1-$C$5)))</f>
      </c>
      <c r="G125" s="791">
        <f>IF($C$4="Hombre",(+VLOOKUP(INT(D125)+1,Tablas!$G$9:$K$1240,5,0)*(D125-INT(D125))+VLOOKUP(INT(D125),Tablas!$G$9:$K$1240,5,0)*(INT(D125)+1-D125)),+VLOOKUP(INT(D125)+1,Tablas!$G$9:$O$1240,9,0)*(D125-INT(D125))+VLOOKUP(INT(D125),Tablas!$G$9:$O$1240,9,0)*(INT(D125)+1-D125))</f>
      </c>
      <c r="H125" s="801">
        <f>+IF(MONTH(B125)=1,H124*(1+$C$9),H124)</f>
      </c>
      <c r="I125" s="791">
        <f>IF(B125&lt;$C$10,0,IF(B125&lt;$C$11,$C$8/12*E125*F125*H125,0))</f>
      </c>
      <c r="J125" s="791">
        <f>I125*12/14+IF(OR(MONTH(C125)=6,MONTH(C125)=12),I125*12/14,0)</f>
      </c>
      <c r="K125" s="801">
        <f>G125/$G$15</f>
      </c>
      <c r="L125" s="760"/>
      <c r="M125" s="767"/>
      <c r="N125" s="168"/>
      <c r="O125" s="768"/>
      <c r="P125" s="170"/>
      <c r="Q125" s="7"/>
      <c r="R125" s="766"/>
      <c r="S125" s="170"/>
      <c r="T125" s="168"/>
      <c r="U125" s="170"/>
    </row>
    <row x14ac:dyDescent="0.25" r="126" customHeight="1" ht="18.75">
      <c r="A126" s="1"/>
      <c r="B126" s="799">
        <f>+DATE(YEAR(B125),MONTH(B125)+1,DAY(B125))</f>
        <v>25569.041666666668</v>
      </c>
      <c r="C126" s="799">
        <f>+B127-1</f>
        <v>25569.041666666668</v>
      </c>
      <c r="D126" s="791">
        <f>-_xlfn.DAYS($C$3,C126)/365.25</f>
      </c>
      <c r="E126" s="800">
        <f>IF($D$17+40&lt;=D126,(1+$D$7)^-(D126-$C$5),(1+$C$7)^-(D126-$C$5))</f>
      </c>
      <c r="F126" s="801">
        <f>IF($C$4="Hombre",(+VLOOKUP(INT(D126)+1,Tablas!$G$9:$K$1240,5,0)*(D126-INT(D126))+VLOOKUP(INT(D126),Tablas!$G$9:$K$1240,5,0)*(INT(D126)+1-D126))/(VLOOKUP(INT($C$5)+1,Tablas!$G$9:$K$1240,5,0)*($C$5-INT($C$5))+VLOOKUP(INT($C$5),Tablas!$G$9:$K$124,5,0)*(INT($C$5)+1-$C$5)),(+VLOOKUP(INT(D126)+1,Tablas!$G$9:$O$1240,9,0)*(D126-INT(D126))+VLOOKUP(INT(D126),Tablas!$G$9:$O$1240,9,0)*(INT(D126)+1-D126))/(VLOOKUP(INT($C$5)+1,Tablas!$G$9:$O$1240,9,0)*($C$5-INT($C$5))+VLOOKUP(INT($C$5),Tablas!$G$9:$O$124,9,0)*(INT($C$5)+1-$C$5)))</f>
      </c>
      <c r="G126" s="791">
        <f>IF($C$4="Hombre",(+VLOOKUP(INT(D126)+1,Tablas!$G$9:$K$1240,5,0)*(D126-INT(D126))+VLOOKUP(INT(D126),Tablas!$G$9:$K$1240,5,0)*(INT(D126)+1-D126)),+VLOOKUP(INT(D126)+1,Tablas!$G$9:$O$1240,9,0)*(D126-INT(D126))+VLOOKUP(INT(D126),Tablas!$G$9:$O$1240,9,0)*(INT(D126)+1-D126))</f>
      </c>
      <c r="H126" s="801">
        <f>+IF(MONTH(B126)=1,H125*(1+$C$9),H125)</f>
      </c>
      <c r="I126" s="791">
        <f>IF(B126&lt;$C$10,0,IF(B126&lt;$C$11,$C$8/12*E126*F126*H126,0))</f>
      </c>
      <c r="J126" s="791">
        <f>I126*12/14+IF(OR(MONTH(C126)=6,MONTH(C126)=12),I126*12/14,0)</f>
      </c>
      <c r="K126" s="801">
        <f>G126/$G$15</f>
      </c>
      <c r="L126" s="760"/>
      <c r="M126" s="767"/>
      <c r="N126" s="168"/>
      <c r="O126" s="768"/>
      <c r="P126" s="170"/>
      <c r="Q126" s="7"/>
      <c r="R126" s="766"/>
      <c r="S126" s="170"/>
      <c r="T126" s="168"/>
      <c r="U126" s="170"/>
    </row>
    <row x14ac:dyDescent="0.25" r="127" customHeight="1" ht="18.75">
      <c r="A127" s="1"/>
      <c r="B127" s="799">
        <f>+DATE(YEAR(B126),MONTH(B126)+1,DAY(B126))</f>
        <v>25569.041666666668</v>
      </c>
      <c r="C127" s="799">
        <f>+B128-1</f>
        <v>25569.041666666668</v>
      </c>
      <c r="D127" s="791">
        <f>-_xlfn.DAYS($C$3,C127)/365.25</f>
      </c>
      <c r="E127" s="800">
        <f>IF($D$17+40&lt;=D127,(1+$D$7)^-(D127-$C$5),(1+$C$7)^-(D127-$C$5))</f>
      </c>
      <c r="F127" s="801">
        <f>IF($C$4="Hombre",(+VLOOKUP(INT(D127)+1,Tablas!$G$9:$K$1240,5,0)*(D127-INT(D127))+VLOOKUP(INT(D127),Tablas!$G$9:$K$1240,5,0)*(INT(D127)+1-D127))/(VLOOKUP(INT($C$5)+1,Tablas!$G$9:$K$1240,5,0)*($C$5-INT($C$5))+VLOOKUP(INT($C$5),Tablas!$G$9:$K$124,5,0)*(INT($C$5)+1-$C$5)),(+VLOOKUP(INT(D127)+1,Tablas!$G$9:$O$1240,9,0)*(D127-INT(D127))+VLOOKUP(INT(D127),Tablas!$G$9:$O$1240,9,0)*(INT(D127)+1-D127))/(VLOOKUP(INT($C$5)+1,Tablas!$G$9:$O$1240,9,0)*($C$5-INT($C$5))+VLOOKUP(INT($C$5),Tablas!$G$9:$O$124,9,0)*(INT($C$5)+1-$C$5)))</f>
      </c>
      <c r="G127" s="791">
        <f>IF($C$4="Hombre",(+VLOOKUP(INT(D127)+1,Tablas!$G$9:$K$1240,5,0)*(D127-INT(D127))+VLOOKUP(INT(D127),Tablas!$G$9:$K$1240,5,0)*(INT(D127)+1-D127)),+VLOOKUP(INT(D127)+1,Tablas!$G$9:$O$1240,9,0)*(D127-INT(D127))+VLOOKUP(INT(D127),Tablas!$G$9:$O$1240,9,0)*(INT(D127)+1-D127))</f>
      </c>
      <c r="H127" s="801">
        <f>+IF(MONTH(B127)=1,H126*(1+$C$9),H126)</f>
      </c>
      <c r="I127" s="791">
        <f>IF(B127&lt;$C$10,0,IF(B127&lt;$C$11,$C$8/12*E127*F127*H127,0))</f>
      </c>
      <c r="J127" s="791">
        <f>I127*12/14+IF(OR(MONTH(C127)=6,MONTH(C127)=12),I127*12/14,0)</f>
      </c>
      <c r="K127" s="801">
        <f>G127/$G$15</f>
      </c>
      <c r="L127" s="760"/>
      <c r="M127" s="767"/>
      <c r="N127" s="168"/>
      <c r="O127" s="768"/>
      <c r="P127" s="170"/>
      <c r="Q127" s="7"/>
      <c r="R127" s="766"/>
      <c r="S127" s="170"/>
      <c r="T127" s="168"/>
      <c r="U127" s="170"/>
    </row>
    <row x14ac:dyDescent="0.25" r="128" customHeight="1" ht="18.75">
      <c r="A128" s="1"/>
      <c r="B128" s="799">
        <f>+DATE(YEAR(B127),MONTH(B127)+1,DAY(B127))</f>
        <v>25569.041666666668</v>
      </c>
      <c r="C128" s="799">
        <f>+B129-1</f>
        <v>25569.041666666668</v>
      </c>
      <c r="D128" s="791">
        <f>-_xlfn.DAYS($C$3,C128)/365.25</f>
      </c>
      <c r="E128" s="800">
        <f>IF($D$17+40&lt;=D128,(1+$D$7)^-(D128-$C$5),(1+$C$7)^-(D128-$C$5))</f>
      </c>
      <c r="F128" s="801">
        <f>IF($C$4="Hombre",(+VLOOKUP(INT(D128)+1,Tablas!$G$9:$K$1240,5,0)*(D128-INT(D128))+VLOOKUP(INT(D128),Tablas!$G$9:$K$1240,5,0)*(INT(D128)+1-D128))/(VLOOKUP(INT($C$5)+1,Tablas!$G$9:$K$1240,5,0)*($C$5-INT($C$5))+VLOOKUP(INT($C$5),Tablas!$G$9:$K$124,5,0)*(INT($C$5)+1-$C$5)),(+VLOOKUP(INT(D128)+1,Tablas!$G$9:$O$1240,9,0)*(D128-INT(D128))+VLOOKUP(INT(D128),Tablas!$G$9:$O$1240,9,0)*(INT(D128)+1-D128))/(VLOOKUP(INT($C$5)+1,Tablas!$G$9:$O$1240,9,0)*($C$5-INT($C$5))+VLOOKUP(INT($C$5),Tablas!$G$9:$O$124,9,0)*(INT($C$5)+1-$C$5)))</f>
      </c>
      <c r="G128" s="791">
        <f>IF($C$4="Hombre",(+VLOOKUP(INT(D128)+1,Tablas!$G$9:$K$1240,5,0)*(D128-INT(D128))+VLOOKUP(INT(D128),Tablas!$G$9:$K$1240,5,0)*(INT(D128)+1-D128)),+VLOOKUP(INT(D128)+1,Tablas!$G$9:$O$1240,9,0)*(D128-INT(D128))+VLOOKUP(INT(D128),Tablas!$G$9:$O$1240,9,0)*(INT(D128)+1-D128))</f>
      </c>
      <c r="H128" s="801">
        <f>+IF(MONTH(B128)=1,H127*(1+$C$9),H127)</f>
      </c>
      <c r="I128" s="791">
        <f>IF(B128&lt;$C$10,0,IF(B128&lt;$C$11,$C$8/12*E128*F128*H128,0))</f>
      </c>
      <c r="J128" s="791">
        <f>I128*12/14+IF(OR(MONTH(C128)=6,MONTH(C128)=12),I128*12/14,0)</f>
      </c>
      <c r="K128" s="801">
        <f>G128/$G$15</f>
      </c>
      <c r="L128" s="760"/>
      <c r="M128" s="767"/>
      <c r="N128" s="168"/>
      <c r="O128" s="768"/>
      <c r="P128" s="170"/>
      <c r="Q128" s="7"/>
      <c r="R128" s="766"/>
      <c r="S128" s="170"/>
      <c r="T128" s="168"/>
      <c r="U128" s="170"/>
    </row>
    <row x14ac:dyDescent="0.25" r="129" customHeight="1" ht="18.75">
      <c r="A129" s="1"/>
      <c r="B129" s="799">
        <f>+DATE(YEAR(B128),MONTH(B128)+1,DAY(B128))</f>
        <v>25569.041666666668</v>
      </c>
      <c r="C129" s="799">
        <f>+B130-1</f>
        <v>25569.041666666668</v>
      </c>
      <c r="D129" s="791">
        <f>-_xlfn.DAYS($C$3,C129)/365.25</f>
      </c>
      <c r="E129" s="800">
        <f>IF($D$17+40&lt;=D129,(1+$D$7)^-(D129-$C$5),(1+$C$7)^-(D129-$C$5))</f>
      </c>
      <c r="F129" s="801">
        <f>IF($C$4="Hombre",(+VLOOKUP(INT(D129)+1,Tablas!$G$9:$K$1240,5,0)*(D129-INT(D129))+VLOOKUP(INT(D129),Tablas!$G$9:$K$1240,5,0)*(INT(D129)+1-D129))/(VLOOKUP(INT($C$5)+1,Tablas!$G$9:$K$1240,5,0)*($C$5-INT($C$5))+VLOOKUP(INT($C$5),Tablas!$G$9:$K$124,5,0)*(INT($C$5)+1-$C$5)),(+VLOOKUP(INT(D129)+1,Tablas!$G$9:$O$1240,9,0)*(D129-INT(D129))+VLOOKUP(INT(D129),Tablas!$G$9:$O$1240,9,0)*(INT(D129)+1-D129))/(VLOOKUP(INT($C$5)+1,Tablas!$G$9:$O$1240,9,0)*($C$5-INT($C$5))+VLOOKUP(INT($C$5),Tablas!$G$9:$O$124,9,0)*(INT($C$5)+1-$C$5)))</f>
      </c>
      <c r="G129" s="791">
        <f>IF($C$4="Hombre",(+VLOOKUP(INT(D129)+1,Tablas!$G$9:$K$1240,5,0)*(D129-INT(D129))+VLOOKUP(INT(D129),Tablas!$G$9:$K$1240,5,0)*(INT(D129)+1-D129)),+VLOOKUP(INT(D129)+1,Tablas!$G$9:$O$1240,9,0)*(D129-INT(D129))+VLOOKUP(INT(D129),Tablas!$G$9:$O$1240,9,0)*(INT(D129)+1-D129))</f>
      </c>
      <c r="H129" s="801">
        <f>+IF(MONTH(B129)=1,H128*(1+$C$9),H128)</f>
      </c>
      <c r="I129" s="791">
        <f>IF(B129&lt;$C$10,0,IF(B129&lt;$C$11,$C$8/12*E129*F129*H129,0))</f>
      </c>
      <c r="J129" s="791">
        <f>I129*12/14+IF(OR(MONTH(C129)=6,MONTH(C129)=12),I129*12/14,0)</f>
      </c>
      <c r="K129" s="801">
        <f>G129/$G$15</f>
      </c>
      <c r="L129" s="760"/>
      <c r="M129" s="767"/>
      <c r="N129" s="168"/>
      <c r="O129" s="768"/>
      <c r="P129" s="170"/>
      <c r="Q129" s="7"/>
      <c r="R129" s="766"/>
      <c r="S129" s="170"/>
      <c r="T129" s="168"/>
      <c r="U129" s="170"/>
    </row>
    <row x14ac:dyDescent="0.25" r="130" customHeight="1" ht="18.75">
      <c r="A130" s="1"/>
      <c r="B130" s="799">
        <f>+DATE(YEAR(B129),MONTH(B129)+1,DAY(B129))</f>
        <v>25569.041666666668</v>
      </c>
      <c r="C130" s="799">
        <f>+B131-1</f>
        <v>25569.041666666668</v>
      </c>
      <c r="D130" s="791">
        <f>-_xlfn.DAYS($C$3,C130)/365.25</f>
      </c>
      <c r="E130" s="800">
        <f>IF($D$17+40&lt;=D130,(1+$D$7)^-(D130-$C$5),(1+$C$7)^-(D130-$C$5))</f>
      </c>
      <c r="F130" s="801">
        <f>IF($C$4="Hombre",(+VLOOKUP(INT(D130)+1,Tablas!$G$9:$K$1240,5,0)*(D130-INT(D130))+VLOOKUP(INT(D130),Tablas!$G$9:$K$1240,5,0)*(INT(D130)+1-D130))/(VLOOKUP(INT($C$5)+1,Tablas!$G$9:$K$1240,5,0)*($C$5-INT($C$5))+VLOOKUP(INT($C$5),Tablas!$G$9:$K$124,5,0)*(INT($C$5)+1-$C$5)),(+VLOOKUP(INT(D130)+1,Tablas!$G$9:$O$1240,9,0)*(D130-INT(D130))+VLOOKUP(INT(D130),Tablas!$G$9:$O$1240,9,0)*(INT(D130)+1-D130))/(VLOOKUP(INT($C$5)+1,Tablas!$G$9:$O$1240,9,0)*($C$5-INT($C$5))+VLOOKUP(INT($C$5),Tablas!$G$9:$O$124,9,0)*(INT($C$5)+1-$C$5)))</f>
      </c>
      <c r="G130" s="791">
        <f>IF($C$4="Hombre",(+VLOOKUP(INT(D130)+1,Tablas!$G$9:$K$1240,5,0)*(D130-INT(D130))+VLOOKUP(INT(D130),Tablas!$G$9:$K$1240,5,0)*(INT(D130)+1-D130)),+VLOOKUP(INT(D130)+1,Tablas!$G$9:$O$1240,9,0)*(D130-INT(D130))+VLOOKUP(INT(D130),Tablas!$G$9:$O$1240,9,0)*(INT(D130)+1-D130))</f>
      </c>
      <c r="H130" s="801">
        <f>+IF(MONTH(B130)=1,H129*(1+$C$9),H129)</f>
      </c>
      <c r="I130" s="791">
        <f>IF(B130&lt;$C$10,0,IF(B130&lt;$C$11,$C$8/12*E130*F130*H130,0))</f>
      </c>
      <c r="J130" s="791">
        <f>I130*12/14+IF(OR(MONTH(C130)=6,MONTH(C130)=12),I130*12/14,0)</f>
      </c>
      <c r="K130" s="801">
        <f>G130/$G$15</f>
      </c>
      <c r="L130" s="760"/>
      <c r="M130" s="767"/>
      <c r="N130" s="168"/>
      <c r="O130" s="768"/>
      <c r="P130" s="170"/>
      <c r="Q130" s="7"/>
      <c r="R130" s="766"/>
      <c r="S130" s="170"/>
      <c r="T130" s="168"/>
      <c r="U130" s="170"/>
    </row>
    <row x14ac:dyDescent="0.25" r="131" customHeight="1" ht="18.75">
      <c r="A131" s="1"/>
      <c r="B131" s="799">
        <f>+DATE(YEAR(B130),MONTH(B130)+1,DAY(B130))</f>
        <v>25569.041666666668</v>
      </c>
      <c r="C131" s="799">
        <f>+B132-1</f>
        <v>25569.041666666668</v>
      </c>
      <c r="D131" s="791">
        <f>-_xlfn.DAYS($C$3,C131)/365.25</f>
      </c>
      <c r="E131" s="800">
        <f>IF($D$17+40&lt;=D131,(1+$D$7)^-(D131-$C$5),(1+$C$7)^-(D131-$C$5))</f>
      </c>
      <c r="F131" s="801">
        <f>IF($C$4="Hombre",(+VLOOKUP(INT(D131)+1,Tablas!$G$9:$K$1240,5,0)*(D131-INT(D131))+VLOOKUP(INT(D131),Tablas!$G$9:$K$1240,5,0)*(INT(D131)+1-D131))/(VLOOKUP(INT($C$5)+1,Tablas!$G$9:$K$1240,5,0)*($C$5-INT($C$5))+VLOOKUP(INT($C$5),Tablas!$G$9:$K$124,5,0)*(INT($C$5)+1-$C$5)),(+VLOOKUP(INT(D131)+1,Tablas!$G$9:$O$1240,9,0)*(D131-INT(D131))+VLOOKUP(INT(D131),Tablas!$G$9:$O$1240,9,0)*(INT(D131)+1-D131))/(VLOOKUP(INT($C$5)+1,Tablas!$G$9:$O$1240,9,0)*($C$5-INT($C$5))+VLOOKUP(INT($C$5),Tablas!$G$9:$O$124,9,0)*(INT($C$5)+1-$C$5)))</f>
      </c>
      <c r="G131" s="791">
        <f>IF($C$4="Hombre",(+VLOOKUP(INT(D131)+1,Tablas!$G$9:$K$1240,5,0)*(D131-INT(D131))+VLOOKUP(INT(D131),Tablas!$G$9:$K$1240,5,0)*(INT(D131)+1-D131)),+VLOOKUP(INT(D131)+1,Tablas!$G$9:$O$1240,9,0)*(D131-INT(D131))+VLOOKUP(INT(D131),Tablas!$G$9:$O$1240,9,0)*(INT(D131)+1-D131))</f>
      </c>
      <c r="H131" s="801">
        <f>+IF(MONTH(B131)=1,H130*(1+$C$9),H130)</f>
      </c>
      <c r="I131" s="791">
        <f>IF(B131&lt;$C$10,0,IF(B131&lt;$C$11,$C$8/12*E131*F131*H131,0))</f>
      </c>
      <c r="J131" s="791">
        <f>I131*12/14+IF(OR(MONTH(C131)=6,MONTH(C131)=12),I131*12/14,0)</f>
      </c>
      <c r="K131" s="801">
        <f>G131/$G$15</f>
      </c>
      <c r="L131" s="760"/>
      <c r="M131" s="767"/>
      <c r="N131" s="168"/>
      <c r="O131" s="768"/>
      <c r="P131" s="170"/>
      <c r="Q131" s="7"/>
      <c r="R131" s="766"/>
      <c r="S131" s="170"/>
      <c r="T131" s="168"/>
      <c r="U131" s="170"/>
    </row>
    <row x14ac:dyDescent="0.25" r="132" customHeight="1" ht="18.75">
      <c r="A132" s="1"/>
      <c r="B132" s="799">
        <f>+DATE(YEAR(B131),MONTH(B131)+1,DAY(B131))</f>
        <v>25569.041666666668</v>
      </c>
      <c r="C132" s="799">
        <f>+B133-1</f>
        <v>25569.041666666668</v>
      </c>
      <c r="D132" s="791">
        <f>-_xlfn.DAYS($C$3,C132)/365.25</f>
      </c>
      <c r="E132" s="800">
        <f>IF($D$17+40&lt;=D132,(1+$D$7)^-(D132-$C$5),(1+$C$7)^-(D132-$C$5))</f>
      </c>
      <c r="F132" s="801">
        <f>IF($C$4="Hombre",(+VLOOKUP(INT(D132)+1,Tablas!$G$9:$K$1240,5,0)*(D132-INT(D132))+VLOOKUP(INT(D132),Tablas!$G$9:$K$1240,5,0)*(INT(D132)+1-D132))/(VLOOKUP(INT($C$5)+1,Tablas!$G$9:$K$1240,5,0)*($C$5-INT($C$5))+VLOOKUP(INT($C$5),Tablas!$G$9:$K$124,5,0)*(INT($C$5)+1-$C$5)),(+VLOOKUP(INT(D132)+1,Tablas!$G$9:$O$1240,9,0)*(D132-INT(D132))+VLOOKUP(INT(D132),Tablas!$G$9:$O$1240,9,0)*(INT(D132)+1-D132))/(VLOOKUP(INT($C$5)+1,Tablas!$G$9:$O$1240,9,0)*($C$5-INT($C$5))+VLOOKUP(INT($C$5),Tablas!$G$9:$O$124,9,0)*(INT($C$5)+1-$C$5)))</f>
      </c>
      <c r="G132" s="791">
        <f>IF($C$4="Hombre",(+VLOOKUP(INT(D132)+1,Tablas!$G$9:$K$1240,5,0)*(D132-INT(D132))+VLOOKUP(INT(D132),Tablas!$G$9:$K$1240,5,0)*(INT(D132)+1-D132)),+VLOOKUP(INT(D132)+1,Tablas!$G$9:$O$1240,9,0)*(D132-INT(D132))+VLOOKUP(INT(D132),Tablas!$G$9:$O$1240,9,0)*(INT(D132)+1-D132))</f>
      </c>
      <c r="H132" s="801">
        <f>+IF(MONTH(B132)=1,H131*(1+$C$9),H131)</f>
      </c>
      <c r="I132" s="791">
        <f>IF(B132&lt;$C$10,0,IF(B132&lt;$C$11,$C$8/12*E132*F132*H132,0))</f>
      </c>
      <c r="J132" s="791">
        <f>I132*12/14+IF(OR(MONTH(C132)=6,MONTH(C132)=12),I132*12/14,0)</f>
      </c>
      <c r="K132" s="801">
        <f>G132/$G$15</f>
      </c>
      <c r="L132" s="760"/>
      <c r="M132" s="767"/>
      <c r="N132" s="168"/>
      <c r="O132" s="768"/>
      <c r="P132" s="170"/>
      <c r="Q132" s="7"/>
      <c r="R132" s="766"/>
      <c r="S132" s="170"/>
      <c r="T132" s="168"/>
      <c r="U132" s="170"/>
    </row>
    <row x14ac:dyDescent="0.25" r="133" customHeight="1" ht="18.75">
      <c r="A133" s="1"/>
      <c r="B133" s="799">
        <f>+DATE(YEAR(B132),MONTH(B132)+1,DAY(B132))</f>
        <v>25569.041666666668</v>
      </c>
      <c r="C133" s="799">
        <f>+B134-1</f>
        <v>25569.041666666668</v>
      </c>
      <c r="D133" s="791">
        <f>-_xlfn.DAYS($C$3,C133)/365.25</f>
      </c>
      <c r="E133" s="800">
        <f>IF($D$17+40&lt;=D133,(1+$D$7)^-(D133-$C$5),(1+$C$7)^-(D133-$C$5))</f>
      </c>
      <c r="F133" s="801">
        <f>IF($C$4="Hombre",(+VLOOKUP(INT(D133)+1,Tablas!$G$9:$K$1240,5,0)*(D133-INT(D133))+VLOOKUP(INT(D133),Tablas!$G$9:$K$1240,5,0)*(INT(D133)+1-D133))/(VLOOKUP(INT($C$5)+1,Tablas!$G$9:$K$1240,5,0)*($C$5-INT($C$5))+VLOOKUP(INT($C$5),Tablas!$G$9:$K$124,5,0)*(INT($C$5)+1-$C$5)),(+VLOOKUP(INT(D133)+1,Tablas!$G$9:$O$1240,9,0)*(D133-INT(D133))+VLOOKUP(INT(D133),Tablas!$G$9:$O$1240,9,0)*(INT(D133)+1-D133))/(VLOOKUP(INT($C$5)+1,Tablas!$G$9:$O$1240,9,0)*($C$5-INT($C$5))+VLOOKUP(INT($C$5),Tablas!$G$9:$O$124,9,0)*(INT($C$5)+1-$C$5)))</f>
      </c>
      <c r="G133" s="791">
        <f>IF($C$4="Hombre",(+VLOOKUP(INT(D133)+1,Tablas!$G$9:$K$1240,5,0)*(D133-INT(D133))+VLOOKUP(INT(D133),Tablas!$G$9:$K$1240,5,0)*(INT(D133)+1-D133)),+VLOOKUP(INT(D133)+1,Tablas!$G$9:$O$1240,9,0)*(D133-INT(D133))+VLOOKUP(INT(D133),Tablas!$G$9:$O$1240,9,0)*(INT(D133)+1-D133))</f>
      </c>
      <c r="H133" s="801">
        <f>+IF(MONTH(B133)=1,H132*(1+$C$9),H132)</f>
      </c>
      <c r="I133" s="791">
        <f>IF(B133&lt;$C$10,0,IF(B133&lt;$C$11,$C$8/12*E133*F133*H133,0))</f>
      </c>
      <c r="J133" s="791">
        <f>I133*12/14+IF(OR(MONTH(C133)=6,MONTH(C133)=12),I133*12/14,0)</f>
      </c>
      <c r="K133" s="801">
        <f>G133/$G$15</f>
      </c>
      <c r="L133" s="760"/>
      <c r="M133" s="767"/>
      <c r="N133" s="168"/>
      <c r="O133" s="768"/>
      <c r="P133" s="170"/>
      <c r="Q133" s="7"/>
      <c r="R133" s="766"/>
      <c r="S133" s="170"/>
      <c r="T133" s="168"/>
      <c r="U133" s="170"/>
    </row>
    <row x14ac:dyDescent="0.25" r="134" customHeight="1" ht="18.75">
      <c r="A134" s="1"/>
      <c r="B134" s="799">
        <f>+DATE(YEAR(B133),MONTH(B133)+1,DAY(B133))</f>
        <v>25569.041666666668</v>
      </c>
      <c r="C134" s="799">
        <f>+B135-1</f>
        <v>25569.041666666668</v>
      </c>
      <c r="D134" s="791">
        <f>-_xlfn.DAYS($C$3,C134)/365.25</f>
      </c>
      <c r="E134" s="800">
        <f>IF($D$17+40&lt;=D134,(1+$D$7)^-(D134-$C$5),(1+$C$7)^-(D134-$C$5))</f>
      </c>
      <c r="F134" s="801">
        <f>IF($C$4="Hombre",(+VLOOKUP(INT(D134)+1,Tablas!$G$9:$K$1240,5,0)*(D134-INT(D134))+VLOOKUP(INT(D134),Tablas!$G$9:$K$1240,5,0)*(INT(D134)+1-D134))/(VLOOKUP(INT($C$5)+1,Tablas!$G$9:$K$1240,5,0)*($C$5-INT($C$5))+VLOOKUP(INT($C$5),Tablas!$G$9:$K$124,5,0)*(INT($C$5)+1-$C$5)),(+VLOOKUP(INT(D134)+1,Tablas!$G$9:$O$1240,9,0)*(D134-INT(D134))+VLOOKUP(INT(D134),Tablas!$G$9:$O$1240,9,0)*(INT(D134)+1-D134))/(VLOOKUP(INT($C$5)+1,Tablas!$G$9:$O$1240,9,0)*($C$5-INT($C$5))+VLOOKUP(INT($C$5),Tablas!$G$9:$O$124,9,0)*(INT($C$5)+1-$C$5)))</f>
      </c>
      <c r="G134" s="791">
        <f>IF($C$4="Hombre",(+VLOOKUP(INT(D134)+1,Tablas!$G$9:$K$1240,5,0)*(D134-INT(D134))+VLOOKUP(INT(D134),Tablas!$G$9:$K$1240,5,0)*(INT(D134)+1-D134)),+VLOOKUP(INT(D134)+1,Tablas!$G$9:$O$1240,9,0)*(D134-INT(D134))+VLOOKUP(INT(D134),Tablas!$G$9:$O$1240,9,0)*(INT(D134)+1-D134))</f>
      </c>
      <c r="H134" s="801">
        <f>+IF(MONTH(B134)=1,H133*(1+$C$9),H133)</f>
      </c>
      <c r="I134" s="791">
        <f>IF(B134&lt;$C$10,0,IF(B134&lt;$C$11,$C$8/12*E134*F134*H134,0))</f>
      </c>
      <c r="J134" s="791">
        <f>I134*12/14+IF(OR(MONTH(C134)=6,MONTH(C134)=12),I134*12/14,0)</f>
      </c>
      <c r="K134" s="801">
        <f>G134/$G$15</f>
      </c>
      <c r="L134" s="760"/>
      <c r="M134" s="767"/>
      <c r="N134" s="168"/>
      <c r="O134" s="768"/>
      <c r="P134" s="170"/>
      <c r="Q134" s="7"/>
      <c r="R134" s="766"/>
      <c r="S134" s="170"/>
      <c r="T134" s="168"/>
      <c r="U134" s="170"/>
    </row>
    <row x14ac:dyDescent="0.25" r="135" customHeight="1" ht="18.75">
      <c r="A135" s="1"/>
      <c r="B135" s="799">
        <f>+DATE(YEAR(B134),MONTH(B134)+1,DAY(B134))</f>
        <v>25569.041666666668</v>
      </c>
      <c r="C135" s="799">
        <f>+B136-1</f>
        <v>25569.041666666668</v>
      </c>
      <c r="D135" s="791">
        <f>-_xlfn.DAYS($C$3,C135)/365.25</f>
      </c>
      <c r="E135" s="800">
        <f>IF($D$17+40&lt;=D135,(1+$D$7)^-(D135-$C$5),(1+$C$7)^-(D135-$C$5))</f>
      </c>
      <c r="F135" s="801">
        <f>IF($C$4="Hombre",(+VLOOKUP(INT(D135)+1,Tablas!$G$9:$K$1240,5,0)*(D135-INT(D135))+VLOOKUP(INT(D135),Tablas!$G$9:$K$1240,5,0)*(INT(D135)+1-D135))/(VLOOKUP(INT($C$5)+1,Tablas!$G$9:$K$1240,5,0)*($C$5-INT($C$5))+VLOOKUP(INT($C$5),Tablas!$G$9:$K$124,5,0)*(INT($C$5)+1-$C$5)),(+VLOOKUP(INT(D135)+1,Tablas!$G$9:$O$1240,9,0)*(D135-INT(D135))+VLOOKUP(INT(D135),Tablas!$G$9:$O$1240,9,0)*(INT(D135)+1-D135))/(VLOOKUP(INT($C$5)+1,Tablas!$G$9:$O$1240,9,0)*($C$5-INT($C$5))+VLOOKUP(INT($C$5),Tablas!$G$9:$O$124,9,0)*(INT($C$5)+1-$C$5)))</f>
      </c>
      <c r="G135" s="791">
        <f>IF($C$4="Hombre",(+VLOOKUP(INT(D135)+1,Tablas!$G$9:$K$1240,5,0)*(D135-INT(D135))+VLOOKUP(INT(D135),Tablas!$G$9:$K$1240,5,0)*(INT(D135)+1-D135)),+VLOOKUP(INT(D135)+1,Tablas!$G$9:$O$1240,9,0)*(D135-INT(D135))+VLOOKUP(INT(D135),Tablas!$G$9:$O$1240,9,0)*(INT(D135)+1-D135))</f>
      </c>
      <c r="H135" s="801">
        <f>+IF(MONTH(B135)=1,H134*(1+$C$9),H134)</f>
      </c>
      <c r="I135" s="791">
        <f>IF(B135&lt;$C$10,0,IF(B135&lt;$C$11,$C$8/12*E135*F135*H135,0))</f>
      </c>
      <c r="J135" s="791">
        <f>I135*12/14+IF(OR(MONTH(C135)=6,MONTH(C135)=12),I135*12/14,0)</f>
      </c>
      <c r="K135" s="801">
        <f>G135/$G$15</f>
      </c>
      <c r="L135" s="760"/>
      <c r="M135" s="767"/>
      <c r="N135" s="168"/>
      <c r="O135" s="768"/>
      <c r="P135" s="170"/>
      <c r="Q135" s="7"/>
      <c r="R135" s="766"/>
      <c r="S135" s="170"/>
      <c r="T135" s="168"/>
      <c r="U135" s="170"/>
    </row>
    <row x14ac:dyDescent="0.25" r="136" customHeight="1" ht="18.75">
      <c r="A136" s="1"/>
      <c r="B136" s="799">
        <f>+DATE(YEAR(B135),MONTH(B135)+1,DAY(B135))</f>
        <v>25569.041666666668</v>
      </c>
      <c r="C136" s="799">
        <f>+B137-1</f>
        <v>25569.041666666668</v>
      </c>
      <c r="D136" s="791">
        <f>-_xlfn.DAYS($C$3,C136)/365.25</f>
      </c>
      <c r="E136" s="800">
        <f>IF($D$17+40&lt;=D136,(1+$D$7)^-(D136-$C$5),(1+$C$7)^-(D136-$C$5))</f>
      </c>
      <c r="F136" s="801">
        <f>IF($C$4="Hombre",(+VLOOKUP(INT(D136)+1,Tablas!$G$9:$K$1240,5,0)*(D136-INT(D136))+VLOOKUP(INT(D136),Tablas!$G$9:$K$1240,5,0)*(INT(D136)+1-D136))/(VLOOKUP(INT($C$5)+1,Tablas!$G$9:$K$1240,5,0)*($C$5-INT($C$5))+VLOOKUP(INT($C$5),Tablas!$G$9:$K$124,5,0)*(INT($C$5)+1-$C$5)),(+VLOOKUP(INT(D136)+1,Tablas!$G$9:$O$1240,9,0)*(D136-INT(D136))+VLOOKUP(INT(D136),Tablas!$G$9:$O$1240,9,0)*(INT(D136)+1-D136))/(VLOOKUP(INT($C$5)+1,Tablas!$G$9:$O$1240,9,0)*($C$5-INT($C$5))+VLOOKUP(INT($C$5),Tablas!$G$9:$O$124,9,0)*(INT($C$5)+1-$C$5)))</f>
      </c>
      <c r="G136" s="791">
        <f>IF($C$4="Hombre",(+VLOOKUP(INT(D136)+1,Tablas!$G$9:$K$1240,5,0)*(D136-INT(D136))+VLOOKUP(INT(D136),Tablas!$G$9:$K$1240,5,0)*(INT(D136)+1-D136)),+VLOOKUP(INT(D136)+1,Tablas!$G$9:$O$1240,9,0)*(D136-INT(D136))+VLOOKUP(INT(D136),Tablas!$G$9:$O$1240,9,0)*(INT(D136)+1-D136))</f>
      </c>
      <c r="H136" s="801">
        <f>+IF(MONTH(B136)=1,H135*(1+$C$9),H135)</f>
      </c>
      <c r="I136" s="791">
        <f>IF(B136&lt;$C$10,0,IF(B136&lt;$C$11,$C$8/12*E136*F136*H136,0))</f>
      </c>
      <c r="J136" s="791">
        <f>I136*12/14+IF(OR(MONTH(C136)=6,MONTH(C136)=12),I136*12/14,0)</f>
      </c>
      <c r="K136" s="801">
        <f>G136/$G$15</f>
      </c>
      <c r="L136" s="760"/>
      <c r="M136" s="767"/>
      <c r="N136" s="168"/>
      <c r="O136" s="768"/>
      <c r="P136" s="170"/>
      <c r="Q136" s="7"/>
      <c r="R136" s="766"/>
      <c r="S136" s="170"/>
      <c r="T136" s="168"/>
      <c r="U136" s="170"/>
    </row>
    <row x14ac:dyDescent="0.25" r="137" customHeight="1" ht="18.75">
      <c r="A137" s="1"/>
      <c r="B137" s="799">
        <f>+DATE(YEAR(B136),MONTH(B136)+1,DAY(B136))</f>
        <v>25569.041666666668</v>
      </c>
      <c r="C137" s="799">
        <f>+B138-1</f>
        <v>25569.041666666668</v>
      </c>
      <c r="D137" s="791">
        <f>-_xlfn.DAYS($C$3,C137)/365.25</f>
      </c>
      <c r="E137" s="800">
        <f>IF($D$17+40&lt;=D137,(1+$D$7)^-(D137-$C$5),(1+$C$7)^-(D137-$C$5))</f>
      </c>
      <c r="F137" s="801">
        <f>IF($C$4="Hombre",(+VLOOKUP(INT(D137)+1,Tablas!$G$9:$K$1240,5,0)*(D137-INT(D137))+VLOOKUP(INT(D137),Tablas!$G$9:$K$1240,5,0)*(INT(D137)+1-D137))/(VLOOKUP(INT($C$5)+1,Tablas!$G$9:$K$1240,5,0)*($C$5-INT($C$5))+VLOOKUP(INT($C$5),Tablas!$G$9:$K$124,5,0)*(INT($C$5)+1-$C$5)),(+VLOOKUP(INT(D137)+1,Tablas!$G$9:$O$1240,9,0)*(D137-INT(D137))+VLOOKUP(INT(D137),Tablas!$G$9:$O$1240,9,0)*(INT(D137)+1-D137))/(VLOOKUP(INT($C$5)+1,Tablas!$G$9:$O$1240,9,0)*($C$5-INT($C$5))+VLOOKUP(INT($C$5),Tablas!$G$9:$O$124,9,0)*(INT($C$5)+1-$C$5)))</f>
      </c>
      <c r="G137" s="791">
        <f>IF($C$4="Hombre",(+VLOOKUP(INT(D137)+1,Tablas!$G$9:$K$1240,5,0)*(D137-INT(D137))+VLOOKUP(INT(D137),Tablas!$G$9:$K$1240,5,0)*(INT(D137)+1-D137)),+VLOOKUP(INT(D137)+1,Tablas!$G$9:$O$1240,9,0)*(D137-INT(D137))+VLOOKUP(INT(D137),Tablas!$G$9:$O$1240,9,0)*(INT(D137)+1-D137))</f>
      </c>
      <c r="H137" s="801">
        <f>+IF(MONTH(B137)=1,H136*(1+$C$9),H136)</f>
      </c>
      <c r="I137" s="791">
        <f>IF(B137&lt;$C$10,0,IF(B137&lt;$C$11,$C$8/12*E137*F137*H137,0))</f>
      </c>
      <c r="J137" s="791">
        <f>I137*12/14+IF(OR(MONTH(C137)=6,MONTH(C137)=12),I137*12/14,0)</f>
      </c>
      <c r="K137" s="801">
        <f>G137/$G$15</f>
      </c>
      <c r="L137" s="760"/>
      <c r="M137" s="767"/>
      <c r="N137" s="168"/>
      <c r="O137" s="768"/>
      <c r="P137" s="170"/>
      <c r="Q137" s="7"/>
      <c r="R137" s="766"/>
      <c r="S137" s="170"/>
      <c r="T137" s="168"/>
      <c r="U137" s="170"/>
    </row>
    <row x14ac:dyDescent="0.25" r="138" customHeight="1" ht="18.75">
      <c r="A138" s="1"/>
      <c r="B138" s="799">
        <f>+DATE(YEAR(B137),MONTH(B137)+1,DAY(B137))</f>
        <v>25569.041666666668</v>
      </c>
      <c r="C138" s="799">
        <f>+B139-1</f>
        <v>25569.041666666668</v>
      </c>
      <c r="D138" s="791">
        <f>-_xlfn.DAYS($C$3,C138)/365.25</f>
      </c>
      <c r="E138" s="800">
        <f>IF($D$17+40&lt;=D138,(1+$D$7)^-(D138-$C$5),(1+$C$7)^-(D138-$C$5))</f>
      </c>
      <c r="F138" s="801">
        <f>IF($C$4="Hombre",(+VLOOKUP(INT(D138)+1,Tablas!$G$9:$K$1240,5,0)*(D138-INT(D138))+VLOOKUP(INT(D138),Tablas!$G$9:$K$1240,5,0)*(INT(D138)+1-D138))/(VLOOKUP(INT($C$5)+1,Tablas!$G$9:$K$1240,5,0)*($C$5-INT($C$5))+VLOOKUP(INT($C$5),Tablas!$G$9:$K$124,5,0)*(INT($C$5)+1-$C$5)),(+VLOOKUP(INT(D138)+1,Tablas!$G$9:$O$1240,9,0)*(D138-INT(D138))+VLOOKUP(INT(D138),Tablas!$G$9:$O$1240,9,0)*(INT(D138)+1-D138))/(VLOOKUP(INT($C$5)+1,Tablas!$G$9:$O$1240,9,0)*($C$5-INT($C$5))+VLOOKUP(INT($C$5),Tablas!$G$9:$O$124,9,0)*(INT($C$5)+1-$C$5)))</f>
      </c>
      <c r="G138" s="791">
        <f>IF($C$4="Hombre",(+VLOOKUP(INT(D138)+1,Tablas!$G$9:$K$1240,5,0)*(D138-INT(D138))+VLOOKUP(INT(D138),Tablas!$G$9:$K$1240,5,0)*(INT(D138)+1-D138)),+VLOOKUP(INT(D138)+1,Tablas!$G$9:$O$1240,9,0)*(D138-INT(D138))+VLOOKUP(INT(D138),Tablas!$G$9:$O$1240,9,0)*(INT(D138)+1-D138))</f>
      </c>
      <c r="H138" s="801">
        <f>+IF(MONTH(B138)=1,H137*(1+$C$9),H137)</f>
      </c>
      <c r="I138" s="791">
        <f>IF(B138&lt;$C$10,0,IF(B138&lt;$C$11,$C$8/12*E138*F138*H138,0))</f>
      </c>
      <c r="J138" s="791">
        <f>I138*12/14+IF(OR(MONTH(C138)=6,MONTH(C138)=12),I138*12/14,0)</f>
      </c>
      <c r="K138" s="801">
        <f>G138/$G$15</f>
      </c>
      <c r="L138" s="760"/>
      <c r="M138" s="767"/>
      <c r="N138" s="168"/>
      <c r="O138" s="768"/>
      <c r="P138" s="170"/>
      <c r="Q138" s="7"/>
      <c r="R138" s="766"/>
      <c r="S138" s="170"/>
      <c r="T138" s="168"/>
      <c r="U138" s="170"/>
    </row>
    <row x14ac:dyDescent="0.25" r="139" customHeight="1" ht="18.75">
      <c r="A139" s="1"/>
      <c r="B139" s="799">
        <f>+DATE(YEAR(B138),MONTH(B138)+1,DAY(B138))</f>
        <v>25569.041666666668</v>
      </c>
      <c r="C139" s="799">
        <f>+B140-1</f>
        <v>25569.041666666668</v>
      </c>
      <c r="D139" s="791">
        <f>-_xlfn.DAYS($C$3,C139)/365.25</f>
      </c>
      <c r="E139" s="800">
        <f>IF($D$17+40&lt;=D139,(1+$D$7)^-(D139-$C$5),(1+$C$7)^-(D139-$C$5))</f>
      </c>
      <c r="F139" s="801">
        <f>IF($C$4="Hombre",(+VLOOKUP(INT(D139)+1,Tablas!$G$9:$K$1240,5,0)*(D139-INT(D139))+VLOOKUP(INT(D139),Tablas!$G$9:$K$1240,5,0)*(INT(D139)+1-D139))/(VLOOKUP(INT($C$5)+1,Tablas!$G$9:$K$1240,5,0)*($C$5-INT($C$5))+VLOOKUP(INT($C$5),Tablas!$G$9:$K$124,5,0)*(INT($C$5)+1-$C$5)),(+VLOOKUP(INT(D139)+1,Tablas!$G$9:$O$1240,9,0)*(D139-INT(D139))+VLOOKUP(INT(D139),Tablas!$G$9:$O$1240,9,0)*(INT(D139)+1-D139))/(VLOOKUP(INT($C$5)+1,Tablas!$G$9:$O$1240,9,0)*($C$5-INT($C$5))+VLOOKUP(INT($C$5),Tablas!$G$9:$O$124,9,0)*(INT($C$5)+1-$C$5)))</f>
      </c>
      <c r="G139" s="791">
        <f>IF($C$4="Hombre",(+VLOOKUP(INT(D139)+1,Tablas!$G$9:$K$1240,5,0)*(D139-INT(D139))+VLOOKUP(INT(D139),Tablas!$G$9:$K$1240,5,0)*(INT(D139)+1-D139)),+VLOOKUP(INT(D139)+1,Tablas!$G$9:$O$1240,9,0)*(D139-INT(D139))+VLOOKUP(INT(D139),Tablas!$G$9:$O$1240,9,0)*(INT(D139)+1-D139))</f>
      </c>
      <c r="H139" s="801">
        <f>+IF(MONTH(B139)=1,H138*(1+$C$9),H138)</f>
      </c>
      <c r="I139" s="791">
        <f>IF(B139&lt;$C$10,0,IF(B139&lt;$C$11,$C$8/12*E139*F139*H139,0))</f>
      </c>
      <c r="J139" s="791">
        <f>I139*12/14+IF(OR(MONTH(C139)=6,MONTH(C139)=12),I139*12/14,0)</f>
      </c>
      <c r="K139" s="801">
        <f>G139/$G$15</f>
      </c>
      <c r="L139" s="760"/>
      <c r="M139" s="767"/>
      <c r="N139" s="168"/>
      <c r="O139" s="768"/>
      <c r="P139" s="170"/>
      <c r="Q139" s="7"/>
      <c r="R139" s="766"/>
      <c r="S139" s="170"/>
      <c r="T139" s="168"/>
      <c r="U139" s="170"/>
    </row>
    <row x14ac:dyDescent="0.25" r="140" customHeight="1" ht="18.75">
      <c r="A140" s="1"/>
      <c r="B140" s="799">
        <f>+DATE(YEAR(B139),MONTH(B139)+1,DAY(B139))</f>
        <v>25569.041666666668</v>
      </c>
      <c r="C140" s="799">
        <f>+B141-1</f>
        <v>25569.041666666668</v>
      </c>
      <c r="D140" s="791">
        <f>-_xlfn.DAYS($C$3,C140)/365.25</f>
      </c>
      <c r="E140" s="800">
        <f>IF($D$17+40&lt;=D140,(1+$D$7)^-(D140-$C$5),(1+$C$7)^-(D140-$C$5))</f>
      </c>
      <c r="F140" s="801">
        <f>IF($C$4="Hombre",(+VLOOKUP(INT(D140)+1,Tablas!$G$9:$K$1240,5,0)*(D140-INT(D140))+VLOOKUP(INT(D140),Tablas!$G$9:$K$1240,5,0)*(INT(D140)+1-D140))/(VLOOKUP(INT($C$5)+1,Tablas!$G$9:$K$1240,5,0)*($C$5-INT($C$5))+VLOOKUP(INT($C$5),Tablas!$G$9:$K$124,5,0)*(INT($C$5)+1-$C$5)),(+VLOOKUP(INT(D140)+1,Tablas!$G$9:$O$1240,9,0)*(D140-INT(D140))+VLOOKUP(INT(D140),Tablas!$G$9:$O$1240,9,0)*(INT(D140)+1-D140))/(VLOOKUP(INT($C$5)+1,Tablas!$G$9:$O$1240,9,0)*($C$5-INT($C$5))+VLOOKUP(INT($C$5),Tablas!$G$9:$O$124,9,0)*(INT($C$5)+1-$C$5)))</f>
      </c>
      <c r="G140" s="791">
        <f>IF($C$4="Hombre",(+VLOOKUP(INT(D140)+1,Tablas!$G$9:$K$1240,5,0)*(D140-INT(D140))+VLOOKUP(INT(D140),Tablas!$G$9:$K$1240,5,0)*(INT(D140)+1-D140)),+VLOOKUP(INT(D140)+1,Tablas!$G$9:$O$1240,9,0)*(D140-INT(D140))+VLOOKUP(INT(D140),Tablas!$G$9:$O$1240,9,0)*(INT(D140)+1-D140))</f>
      </c>
      <c r="H140" s="801">
        <f>+IF(MONTH(B140)=1,H139*(1+$C$9),H139)</f>
      </c>
      <c r="I140" s="791">
        <f>IF(B140&lt;$C$10,0,IF(B140&lt;$C$11,$C$8/12*E140*F140*H140,0))</f>
      </c>
      <c r="J140" s="791">
        <f>I140*12/14+IF(OR(MONTH(C140)=6,MONTH(C140)=12),I140*12/14,0)</f>
      </c>
      <c r="K140" s="801">
        <f>G140/$G$15</f>
      </c>
      <c r="L140" s="760"/>
      <c r="M140" s="767"/>
      <c r="N140" s="168"/>
      <c r="O140" s="768"/>
      <c r="P140" s="170"/>
      <c r="Q140" s="7"/>
      <c r="R140" s="766"/>
      <c r="S140" s="170"/>
      <c r="T140" s="168"/>
      <c r="U140" s="170"/>
    </row>
    <row x14ac:dyDescent="0.25" r="141" customHeight="1" ht="18.75">
      <c r="A141" s="1"/>
      <c r="B141" s="799">
        <f>+DATE(YEAR(B140),MONTH(B140)+1,DAY(B140))</f>
        <v>25569.041666666668</v>
      </c>
      <c r="C141" s="799">
        <f>+B142-1</f>
        <v>25569.041666666668</v>
      </c>
      <c r="D141" s="791">
        <f>-_xlfn.DAYS($C$3,C141)/365.25</f>
      </c>
      <c r="E141" s="800">
        <f>IF($D$17+40&lt;=D141,(1+$D$7)^-(D141-$C$5),(1+$C$7)^-(D141-$C$5))</f>
      </c>
      <c r="F141" s="801">
        <f>IF($C$4="Hombre",(+VLOOKUP(INT(D141)+1,Tablas!$G$9:$K$1240,5,0)*(D141-INT(D141))+VLOOKUP(INT(D141),Tablas!$G$9:$K$1240,5,0)*(INT(D141)+1-D141))/(VLOOKUP(INT($C$5)+1,Tablas!$G$9:$K$1240,5,0)*($C$5-INT($C$5))+VLOOKUP(INT($C$5),Tablas!$G$9:$K$124,5,0)*(INT($C$5)+1-$C$5)),(+VLOOKUP(INT(D141)+1,Tablas!$G$9:$O$1240,9,0)*(D141-INT(D141))+VLOOKUP(INT(D141),Tablas!$G$9:$O$1240,9,0)*(INT(D141)+1-D141))/(VLOOKUP(INT($C$5)+1,Tablas!$G$9:$O$1240,9,0)*($C$5-INT($C$5))+VLOOKUP(INT($C$5),Tablas!$G$9:$O$124,9,0)*(INT($C$5)+1-$C$5)))</f>
      </c>
      <c r="G141" s="791">
        <f>IF($C$4="Hombre",(+VLOOKUP(INT(D141)+1,Tablas!$G$9:$K$1240,5,0)*(D141-INT(D141))+VLOOKUP(INT(D141),Tablas!$G$9:$K$1240,5,0)*(INT(D141)+1-D141)),+VLOOKUP(INT(D141)+1,Tablas!$G$9:$O$1240,9,0)*(D141-INT(D141))+VLOOKUP(INT(D141),Tablas!$G$9:$O$1240,9,0)*(INT(D141)+1-D141))</f>
      </c>
      <c r="H141" s="801">
        <f>+IF(MONTH(B141)=1,H140*(1+$C$9),H140)</f>
      </c>
      <c r="I141" s="791">
        <f>IF(B141&lt;$C$10,0,IF(B141&lt;$C$11,$C$8/12*E141*F141*H141,0))</f>
      </c>
      <c r="J141" s="791">
        <f>I141*12/14+IF(OR(MONTH(C141)=6,MONTH(C141)=12),I141*12/14,0)</f>
      </c>
      <c r="K141" s="801">
        <f>G141/$G$15</f>
      </c>
      <c r="L141" s="760"/>
      <c r="M141" s="767"/>
      <c r="N141" s="168"/>
      <c r="O141" s="768"/>
      <c r="P141" s="170"/>
      <c r="Q141" s="7"/>
      <c r="R141" s="766"/>
      <c r="S141" s="170"/>
      <c r="T141" s="168"/>
      <c r="U141" s="170"/>
    </row>
    <row x14ac:dyDescent="0.25" r="142" customHeight="1" ht="18.75">
      <c r="A142" s="1"/>
      <c r="B142" s="799">
        <f>+DATE(YEAR(B141),MONTH(B141)+1,DAY(B141))</f>
        <v>25569.041666666668</v>
      </c>
      <c r="C142" s="799">
        <f>+B143-1</f>
        <v>25569.041666666668</v>
      </c>
      <c r="D142" s="791">
        <f>-_xlfn.DAYS($C$3,C142)/365.25</f>
      </c>
      <c r="E142" s="800">
        <f>IF($D$17+40&lt;=D142,(1+$D$7)^-(D142-$C$5),(1+$C$7)^-(D142-$C$5))</f>
      </c>
      <c r="F142" s="801">
        <f>IF($C$4="Hombre",(+VLOOKUP(INT(D142)+1,Tablas!$G$9:$K$1240,5,0)*(D142-INT(D142))+VLOOKUP(INT(D142),Tablas!$G$9:$K$1240,5,0)*(INT(D142)+1-D142))/(VLOOKUP(INT($C$5)+1,Tablas!$G$9:$K$1240,5,0)*($C$5-INT($C$5))+VLOOKUP(INT($C$5),Tablas!$G$9:$K$124,5,0)*(INT($C$5)+1-$C$5)),(+VLOOKUP(INT(D142)+1,Tablas!$G$9:$O$1240,9,0)*(D142-INT(D142))+VLOOKUP(INT(D142),Tablas!$G$9:$O$1240,9,0)*(INT(D142)+1-D142))/(VLOOKUP(INT($C$5)+1,Tablas!$G$9:$O$1240,9,0)*($C$5-INT($C$5))+VLOOKUP(INT($C$5),Tablas!$G$9:$O$124,9,0)*(INT($C$5)+1-$C$5)))</f>
      </c>
      <c r="G142" s="791">
        <f>IF($C$4="Hombre",(+VLOOKUP(INT(D142)+1,Tablas!$G$9:$K$1240,5,0)*(D142-INT(D142))+VLOOKUP(INT(D142),Tablas!$G$9:$K$1240,5,0)*(INT(D142)+1-D142)),+VLOOKUP(INT(D142)+1,Tablas!$G$9:$O$1240,9,0)*(D142-INT(D142))+VLOOKUP(INT(D142),Tablas!$G$9:$O$1240,9,0)*(INT(D142)+1-D142))</f>
      </c>
      <c r="H142" s="801">
        <f>+IF(MONTH(B142)=1,H141*(1+$C$9),H141)</f>
      </c>
      <c r="I142" s="791">
        <f>IF(B142&lt;$C$10,0,IF(B142&lt;$C$11,$C$8/12*E142*F142*H142,0))</f>
      </c>
      <c r="J142" s="791">
        <f>I142*12/14+IF(OR(MONTH(C142)=6,MONTH(C142)=12),I142*12/14,0)</f>
      </c>
      <c r="K142" s="801">
        <f>G142/$G$15</f>
      </c>
      <c r="L142" s="760"/>
      <c r="M142" s="767"/>
      <c r="N142" s="168"/>
      <c r="O142" s="768"/>
      <c r="P142" s="170"/>
      <c r="Q142" s="7"/>
      <c r="R142" s="766"/>
      <c r="S142" s="170"/>
      <c r="T142" s="168"/>
      <c r="U142" s="170"/>
    </row>
    <row x14ac:dyDescent="0.25" r="143" customHeight="1" ht="18.75">
      <c r="A143" s="1"/>
      <c r="B143" s="799">
        <f>+DATE(YEAR(B142),MONTH(B142)+1,DAY(B142))</f>
        <v>25569.041666666668</v>
      </c>
      <c r="C143" s="799">
        <f>+B144-1</f>
        <v>25569.041666666668</v>
      </c>
      <c r="D143" s="791">
        <f>-_xlfn.DAYS($C$3,C143)/365.25</f>
      </c>
      <c r="E143" s="800">
        <f>IF($D$17+40&lt;=D143,(1+$D$7)^-(D143-$C$5),(1+$C$7)^-(D143-$C$5))</f>
      </c>
      <c r="F143" s="801">
        <f>IF($C$4="Hombre",(+VLOOKUP(INT(D143)+1,Tablas!$G$9:$K$1240,5,0)*(D143-INT(D143))+VLOOKUP(INT(D143),Tablas!$G$9:$K$1240,5,0)*(INT(D143)+1-D143))/(VLOOKUP(INT($C$5)+1,Tablas!$G$9:$K$1240,5,0)*($C$5-INT($C$5))+VLOOKUP(INT($C$5),Tablas!$G$9:$K$124,5,0)*(INT($C$5)+1-$C$5)),(+VLOOKUP(INT(D143)+1,Tablas!$G$9:$O$1240,9,0)*(D143-INT(D143))+VLOOKUP(INT(D143),Tablas!$G$9:$O$1240,9,0)*(INT(D143)+1-D143))/(VLOOKUP(INT($C$5)+1,Tablas!$G$9:$O$1240,9,0)*($C$5-INT($C$5))+VLOOKUP(INT($C$5),Tablas!$G$9:$O$124,9,0)*(INT($C$5)+1-$C$5)))</f>
      </c>
      <c r="G143" s="791">
        <f>IF($C$4="Hombre",(+VLOOKUP(INT(D143)+1,Tablas!$G$9:$K$1240,5,0)*(D143-INT(D143))+VLOOKUP(INT(D143),Tablas!$G$9:$K$1240,5,0)*(INT(D143)+1-D143)),+VLOOKUP(INT(D143)+1,Tablas!$G$9:$O$1240,9,0)*(D143-INT(D143))+VLOOKUP(INT(D143),Tablas!$G$9:$O$1240,9,0)*(INT(D143)+1-D143))</f>
      </c>
      <c r="H143" s="801">
        <f>+IF(MONTH(B143)=1,H142*(1+$C$9),H142)</f>
      </c>
      <c r="I143" s="791">
        <f>IF(B143&lt;$C$10,0,IF(B143&lt;$C$11,$C$8/12*E143*F143*H143,0))</f>
      </c>
      <c r="J143" s="791">
        <f>I143*12/14+IF(OR(MONTH(C143)=6,MONTH(C143)=12),I143*12/14,0)</f>
      </c>
      <c r="K143" s="801">
        <f>G143/$G$15</f>
      </c>
      <c r="L143" s="760"/>
      <c r="M143" s="767"/>
      <c r="N143" s="168"/>
      <c r="O143" s="768"/>
      <c r="P143" s="170"/>
      <c r="Q143" s="7"/>
      <c r="R143" s="766"/>
      <c r="S143" s="170"/>
      <c r="T143" s="168"/>
      <c r="U143" s="170"/>
    </row>
    <row x14ac:dyDescent="0.25" r="144" customHeight="1" ht="18.75">
      <c r="A144" s="1"/>
      <c r="B144" s="799">
        <f>+DATE(YEAR(B143),MONTH(B143)+1,DAY(B143))</f>
        <v>25569.041666666668</v>
      </c>
      <c r="C144" s="799">
        <f>+B145-1</f>
        <v>25569.041666666668</v>
      </c>
      <c r="D144" s="791">
        <f>-_xlfn.DAYS($C$3,C144)/365.25</f>
      </c>
      <c r="E144" s="800">
        <f>IF($D$17+40&lt;=D144,(1+$D$7)^-(D144-$C$5),(1+$C$7)^-(D144-$C$5))</f>
      </c>
      <c r="F144" s="801">
        <f>IF($C$4="Hombre",(+VLOOKUP(INT(D144)+1,Tablas!$G$9:$K$1240,5,0)*(D144-INT(D144))+VLOOKUP(INT(D144),Tablas!$G$9:$K$1240,5,0)*(INT(D144)+1-D144))/(VLOOKUP(INT($C$5)+1,Tablas!$G$9:$K$1240,5,0)*($C$5-INT($C$5))+VLOOKUP(INT($C$5),Tablas!$G$9:$K$124,5,0)*(INT($C$5)+1-$C$5)),(+VLOOKUP(INT(D144)+1,Tablas!$G$9:$O$1240,9,0)*(D144-INT(D144))+VLOOKUP(INT(D144),Tablas!$G$9:$O$1240,9,0)*(INT(D144)+1-D144))/(VLOOKUP(INT($C$5)+1,Tablas!$G$9:$O$1240,9,0)*($C$5-INT($C$5))+VLOOKUP(INT($C$5),Tablas!$G$9:$O$124,9,0)*(INT($C$5)+1-$C$5)))</f>
      </c>
      <c r="G144" s="791">
        <f>IF($C$4="Hombre",(+VLOOKUP(INT(D144)+1,Tablas!$G$9:$K$1240,5,0)*(D144-INT(D144))+VLOOKUP(INT(D144),Tablas!$G$9:$K$1240,5,0)*(INT(D144)+1-D144)),+VLOOKUP(INT(D144)+1,Tablas!$G$9:$O$1240,9,0)*(D144-INT(D144))+VLOOKUP(INT(D144),Tablas!$G$9:$O$1240,9,0)*(INT(D144)+1-D144))</f>
      </c>
      <c r="H144" s="801">
        <f>+IF(MONTH(B144)=1,H143*(1+$C$9),H143)</f>
      </c>
      <c r="I144" s="791">
        <f>IF(B144&lt;$C$10,0,IF(B144&lt;$C$11,$C$8/12*E144*F144*H144,0))</f>
      </c>
      <c r="J144" s="791">
        <f>I144*12/14+IF(OR(MONTH(C144)=6,MONTH(C144)=12),I144*12/14,0)</f>
      </c>
      <c r="K144" s="801">
        <f>G144/$G$15</f>
      </c>
      <c r="L144" s="760"/>
      <c r="M144" s="767"/>
      <c r="N144" s="168"/>
      <c r="O144" s="768"/>
      <c r="P144" s="170"/>
      <c r="Q144" s="7"/>
      <c r="R144" s="766"/>
      <c r="S144" s="170"/>
      <c r="T144" s="168"/>
      <c r="U144" s="170"/>
    </row>
    <row x14ac:dyDescent="0.25" r="145" customHeight="1" ht="18.75">
      <c r="A145" s="1"/>
      <c r="B145" s="799">
        <f>+DATE(YEAR(B144),MONTH(B144)+1,DAY(B144))</f>
        <v>25569.041666666668</v>
      </c>
      <c r="C145" s="799">
        <f>+B146-1</f>
        <v>25569.041666666668</v>
      </c>
      <c r="D145" s="791">
        <f>-_xlfn.DAYS($C$3,C145)/365.25</f>
      </c>
      <c r="E145" s="800">
        <f>IF($D$17+40&lt;=D145,(1+$D$7)^-(D145-$C$5),(1+$C$7)^-(D145-$C$5))</f>
      </c>
      <c r="F145" s="801">
        <f>IF($C$4="Hombre",(+VLOOKUP(INT(D145)+1,Tablas!$G$9:$K$1240,5,0)*(D145-INT(D145))+VLOOKUP(INT(D145),Tablas!$G$9:$K$1240,5,0)*(INT(D145)+1-D145))/(VLOOKUP(INT($C$5)+1,Tablas!$G$9:$K$1240,5,0)*($C$5-INT($C$5))+VLOOKUP(INT($C$5),Tablas!$G$9:$K$124,5,0)*(INT($C$5)+1-$C$5)),(+VLOOKUP(INT(D145)+1,Tablas!$G$9:$O$1240,9,0)*(D145-INT(D145))+VLOOKUP(INT(D145),Tablas!$G$9:$O$1240,9,0)*(INT(D145)+1-D145))/(VLOOKUP(INT($C$5)+1,Tablas!$G$9:$O$1240,9,0)*($C$5-INT($C$5))+VLOOKUP(INT($C$5),Tablas!$G$9:$O$124,9,0)*(INT($C$5)+1-$C$5)))</f>
      </c>
      <c r="G145" s="791">
        <f>IF($C$4="Hombre",(+VLOOKUP(INT(D145)+1,Tablas!$G$9:$K$1240,5,0)*(D145-INT(D145))+VLOOKUP(INT(D145),Tablas!$G$9:$K$1240,5,0)*(INT(D145)+1-D145)),+VLOOKUP(INT(D145)+1,Tablas!$G$9:$O$1240,9,0)*(D145-INT(D145))+VLOOKUP(INT(D145),Tablas!$G$9:$O$1240,9,0)*(INT(D145)+1-D145))</f>
      </c>
      <c r="H145" s="801">
        <f>+IF(MONTH(B145)=1,H144*(1+$C$9),H144)</f>
      </c>
      <c r="I145" s="791">
        <f>IF(B145&lt;$C$10,0,IF(B145&lt;$C$11,$C$8/12*E145*F145*H145,0))</f>
      </c>
      <c r="J145" s="791">
        <f>I145*12/14+IF(OR(MONTH(C145)=6,MONTH(C145)=12),I145*12/14,0)</f>
      </c>
      <c r="K145" s="801">
        <f>G145/$G$15</f>
      </c>
      <c r="L145" s="760"/>
      <c r="M145" s="767"/>
      <c r="N145" s="168"/>
      <c r="O145" s="768"/>
      <c r="P145" s="170"/>
      <c r="Q145" s="7"/>
      <c r="R145" s="766"/>
      <c r="S145" s="170"/>
      <c r="T145" s="168"/>
      <c r="U145" s="170"/>
    </row>
    <row x14ac:dyDescent="0.25" r="146" customHeight="1" ht="18.75">
      <c r="A146" s="1"/>
      <c r="B146" s="799">
        <f>+DATE(YEAR(B145),MONTH(B145)+1,DAY(B145))</f>
        <v>25569.041666666668</v>
      </c>
      <c r="C146" s="799">
        <f>+B147-1</f>
        <v>25569.041666666668</v>
      </c>
      <c r="D146" s="791">
        <f>-_xlfn.DAYS($C$3,C146)/365.25</f>
      </c>
      <c r="E146" s="800">
        <f>IF($D$17+40&lt;=D146,(1+$D$7)^-(D146-$C$5),(1+$C$7)^-(D146-$C$5))</f>
      </c>
      <c r="F146" s="801">
        <f>IF($C$4="Hombre",(+VLOOKUP(INT(D146)+1,Tablas!$G$9:$K$1240,5,0)*(D146-INT(D146))+VLOOKUP(INT(D146),Tablas!$G$9:$K$1240,5,0)*(INT(D146)+1-D146))/(VLOOKUP(INT($C$5)+1,Tablas!$G$9:$K$1240,5,0)*($C$5-INT($C$5))+VLOOKUP(INT($C$5),Tablas!$G$9:$K$124,5,0)*(INT($C$5)+1-$C$5)),(+VLOOKUP(INT(D146)+1,Tablas!$G$9:$O$1240,9,0)*(D146-INT(D146))+VLOOKUP(INT(D146),Tablas!$G$9:$O$1240,9,0)*(INT(D146)+1-D146))/(VLOOKUP(INT($C$5)+1,Tablas!$G$9:$O$1240,9,0)*($C$5-INT($C$5))+VLOOKUP(INT($C$5),Tablas!$G$9:$O$124,9,0)*(INT($C$5)+1-$C$5)))</f>
      </c>
      <c r="G146" s="791">
        <f>IF($C$4="Hombre",(+VLOOKUP(INT(D146)+1,Tablas!$G$9:$K$1240,5,0)*(D146-INT(D146))+VLOOKUP(INT(D146),Tablas!$G$9:$K$1240,5,0)*(INT(D146)+1-D146)),+VLOOKUP(INT(D146)+1,Tablas!$G$9:$O$1240,9,0)*(D146-INT(D146))+VLOOKUP(INT(D146),Tablas!$G$9:$O$1240,9,0)*(INT(D146)+1-D146))</f>
      </c>
      <c r="H146" s="801">
        <f>+IF(MONTH(B146)=1,H145*(1+$C$9),H145)</f>
      </c>
      <c r="I146" s="791">
        <f>IF(B146&lt;$C$10,0,IF(B146&lt;$C$11,$C$8/12*E146*F146*H146,0))</f>
      </c>
      <c r="J146" s="791">
        <f>I146*12/14+IF(OR(MONTH(C146)=6,MONTH(C146)=12),I146*12/14,0)</f>
      </c>
      <c r="K146" s="801">
        <f>G146/$G$15</f>
      </c>
      <c r="L146" s="760"/>
      <c r="M146" s="767"/>
      <c r="N146" s="168"/>
      <c r="O146" s="768"/>
      <c r="P146" s="170"/>
      <c r="Q146" s="7"/>
      <c r="R146" s="766"/>
      <c r="S146" s="170"/>
      <c r="T146" s="168"/>
      <c r="U146" s="170"/>
    </row>
    <row x14ac:dyDescent="0.25" r="147" customHeight="1" ht="18.75">
      <c r="A147" s="1"/>
      <c r="B147" s="799">
        <f>+DATE(YEAR(B146),MONTH(B146)+1,DAY(B146))</f>
        <v>25569.041666666668</v>
      </c>
      <c r="C147" s="799">
        <f>+B148-1</f>
        <v>25569.041666666668</v>
      </c>
      <c r="D147" s="791">
        <f>-_xlfn.DAYS($C$3,C147)/365.25</f>
      </c>
      <c r="E147" s="800">
        <f>IF($D$17+40&lt;=D147,(1+$D$7)^-(D147-$C$5),(1+$C$7)^-(D147-$C$5))</f>
      </c>
      <c r="F147" s="801">
        <f>IF($C$4="Hombre",(+VLOOKUP(INT(D147)+1,Tablas!$G$9:$K$1240,5,0)*(D147-INT(D147))+VLOOKUP(INT(D147),Tablas!$G$9:$K$1240,5,0)*(INT(D147)+1-D147))/(VLOOKUP(INT($C$5)+1,Tablas!$G$9:$K$1240,5,0)*($C$5-INT($C$5))+VLOOKUP(INT($C$5),Tablas!$G$9:$K$124,5,0)*(INT($C$5)+1-$C$5)),(+VLOOKUP(INT(D147)+1,Tablas!$G$9:$O$1240,9,0)*(D147-INT(D147))+VLOOKUP(INT(D147),Tablas!$G$9:$O$1240,9,0)*(INT(D147)+1-D147))/(VLOOKUP(INT($C$5)+1,Tablas!$G$9:$O$1240,9,0)*($C$5-INT($C$5))+VLOOKUP(INT($C$5),Tablas!$G$9:$O$124,9,0)*(INT($C$5)+1-$C$5)))</f>
      </c>
      <c r="G147" s="791">
        <f>IF($C$4="Hombre",(+VLOOKUP(INT(D147)+1,Tablas!$G$9:$K$1240,5,0)*(D147-INT(D147))+VLOOKUP(INT(D147),Tablas!$G$9:$K$1240,5,0)*(INT(D147)+1-D147)),+VLOOKUP(INT(D147)+1,Tablas!$G$9:$O$1240,9,0)*(D147-INT(D147))+VLOOKUP(INT(D147),Tablas!$G$9:$O$1240,9,0)*(INT(D147)+1-D147))</f>
      </c>
      <c r="H147" s="801">
        <f>+IF(MONTH(B147)=1,H146*(1+$C$9),H146)</f>
      </c>
      <c r="I147" s="791">
        <f>IF(B147&lt;$C$10,0,IF(B147&lt;$C$11,$C$8/12*E147*F147*H147,0))</f>
      </c>
      <c r="J147" s="791">
        <f>I147*12/14+IF(OR(MONTH(C147)=6,MONTH(C147)=12),I147*12/14,0)</f>
      </c>
      <c r="K147" s="801">
        <f>G147/$G$15</f>
      </c>
      <c r="L147" s="760"/>
      <c r="M147" s="767"/>
      <c r="N147" s="168"/>
      <c r="O147" s="768"/>
      <c r="P147" s="170"/>
      <c r="Q147" s="7"/>
      <c r="R147" s="766"/>
      <c r="S147" s="170"/>
      <c r="T147" s="168"/>
      <c r="U147" s="170"/>
    </row>
    <row x14ac:dyDescent="0.25" r="148" customHeight="1" ht="18.75">
      <c r="A148" s="1"/>
      <c r="B148" s="799">
        <f>+DATE(YEAR(B147),MONTH(B147)+1,DAY(B147))</f>
        <v>25569.041666666668</v>
      </c>
      <c r="C148" s="799">
        <f>+B149-1</f>
        <v>25569.041666666668</v>
      </c>
      <c r="D148" s="791">
        <f>-_xlfn.DAYS($C$3,C148)/365.25</f>
      </c>
      <c r="E148" s="800">
        <f>IF($D$17+40&lt;=D148,(1+$D$7)^-(D148-$C$5),(1+$C$7)^-(D148-$C$5))</f>
      </c>
      <c r="F148" s="801">
        <f>IF($C$4="Hombre",(+VLOOKUP(INT(D148)+1,Tablas!$G$9:$K$1240,5,0)*(D148-INT(D148))+VLOOKUP(INT(D148),Tablas!$G$9:$K$1240,5,0)*(INT(D148)+1-D148))/(VLOOKUP(INT($C$5)+1,Tablas!$G$9:$K$1240,5,0)*($C$5-INT($C$5))+VLOOKUP(INT($C$5),Tablas!$G$9:$K$124,5,0)*(INT($C$5)+1-$C$5)),(+VLOOKUP(INT(D148)+1,Tablas!$G$9:$O$1240,9,0)*(D148-INT(D148))+VLOOKUP(INT(D148),Tablas!$G$9:$O$1240,9,0)*(INT(D148)+1-D148))/(VLOOKUP(INT($C$5)+1,Tablas!$G$9:$O$1240,9,0)*($C$5-INT($C$5))+VLOOKUP(INT($C$5),Tablas!$G$9:$O$124,9,0)*(INT($C$5)+1-$C$5)))</f>
      </c>
      <c r="G148" s="791">
        <f>IF($C$4="Hombre",(+VLOOKUP(INT(D148)+1,Tablas!$G$9:$K$1240,5,0)*(D148-INT(D148))+VLOOKUP(INT(D148),Tablas!$G$9:$K$1240,5,0)*(INT(D148)+1-D148)),+VLOOKUP(INT(D148)+1,Tablas!$G$9:$O$1240,9,0)*(D148-INT(D148))+VLOOKUP(INT(D148),Tablas!$G$9:$O$1240,9,0)*(INT(D148)+1-D148))</f>
      </c>
      <c r="H148" s="801">
        <f>+IF(MONTH(B148)=1,H147*(1+$C$9),H147)</f>
      </c>
      <c r="I148" s="791">
        <f>IF(B148&lt;$C$10,0,IF(B148&lt;$C$11,$C$8/12*E148*F148*H148,0))</f>
      </c>
      <c r="J148" s="791">
        <f>I148*12/14+IF(OR(MONTH(C148)=6,MONTH(C148)=12),I148*12/14,0)</f>
      </c>
      <c r="K148" s="801">
        <f>G148/$G$15</f>
      </c>
      <c r="L148" s="760"/>
      <c r="M148" s="767"/>
      <c r="N148" s="168"/>
      <c r="O148" s="768"/>
      <c r="P148" s="170"/>
      <c r="Q148" s="7"/>
      <c r="R148" s="766"/>
      <c r="S148" s="170"/>
      <c r="T148" s="168"/>
      <c r="U148" s="170"/>
    </row>
    <row x14ac:dyDescent="0.25" r="149" customHeight="1" ht="18.75">
      <c r="A149" s="1"/>
      <c r="B149" s="799">
        <f>+DATE(YEAR(B148),MONTH(B148)+1,DAY(B148))</f>
        <v>25569.041666666668</v>
      </c>
      <c r="C149" s="799">
        <f>+B150-1</f>
        <v>25569.041666666668</v>
      </c>
      <c r="D149" s="791">
        <f>-_xlfn.DAYS($C$3,C149)/365.25</f>
      </c>
      <c r="E149" s="800">
        <f>IF($D$17+40&lt;=D149,(1+$D$7)^-(D149-$C$5),(1+$C$7)^-(D149-$C$5))</f>
      </c>
      <c r="F149" s="801">
        <f>IF($C$4="Hombre",(+VLOOKUP(INT(D149)+1,Tablas!$G$9:$K$1240,5,0)*(D149-INT(D149))+VLOOKUP(INT(D149),Tablas!$G$9:$K$1240,5,0)*(INT(D149)+1-D149))/(VLOOKUP(INT($C$5)+1,Tablas!$G$9:$K$1240,5,0)*($C$5-INT($C$5))+VLOOKUP(INT($C$5),Tablas!$G$9:$K$124,5,0)*(INT($C$5)+1-$C$5)),(+VLOOKUP(INT(D149)+1,Tablas!$G$9:$O$1240,9,0)*(D149-INT(D149))+VLOOKUP(INT(D149),Tablas!$G$9:$O$1240,9,0)*(INT(D149)+1-D149))/(VLOOKUP(INT($C$5)+1,Tablas!$G$9:$O$1240,9,0)*($C$5-INT($C$5))+VLOOKUP(INT($C$5),Tablas!$G$9:$O$124,9,0)*(INT($C$5)+1-$C$5)))</f>
      </c>
      <c r="G149" s="791">
        <f>IF($C$4="Hombre",(+VLOOKUP(INT(D149)+1,Tablas!$G$9:$K$1240,5,0)*(D149-INT(D149))+VLOOKUP(INT(D149),Tablas!$G$9:$K$1240,5,0)*(INT(D149)+1-D149)),+VLOOKUP(INT(D149)+1,Tablas!$G$9:$O$1240,9,0)*(D149-INT(D149))+VLOOKUP(INT(D149),Tablas!$G$9:$O$1240,9,0)*(INT(D149)+1-D149))</f>
      </c>
      <c r="H149" s="801">
        <f>+IF(MONTH(B149)=1,H148*(1+$C$9),H148)</f>
      </c>
      <c r="I149" s="791">
        <f>IF(B149&lt;$C$10,0,IF(B149&lt;$C$11,$C$8/12*E149*F149*H149,0))</f>
      </c>
      <c r="J149" s="791">
        <f>I149*12/14+IF(OR(MONTH(C149)=6,MONTH(C149)=12),I149*12/14,0)</f>
      </c>
      <c r="K149" s="801">
        <f>G149/$G$15</f>
      </c>
      <c r="L149" s="760"/>
      <c r="M149" s="767"/>
      <c r="N149" s="168"/>
      <c r="O149" s="768"/>
      <c r="P149" s="170"/>
      <c r="Q149" s="7"/>
      <c r="R149" s="766"/>
      <c r="S149" s="170"/>
      <c r="T149" s="168"/>
      <c r="U149" s="170"/>
    </row>
    <row x14ac:dyDescent="0.25" r="150" customHeight="1" ht="18.75">
      <c r="A150" s="1"/>
      <c r="B150" s="799">
        <f>+DATE(YEAR(B149),MONTH(B149)+1,DAY(B149))</f>
        <v>25569.041666666668</v>
      </c>
      <c r="C150" s="799">
        <f>+B151-1</f>
        <v>25569.041666666668</v>
      </c>
      <c r="D150" s="791">
        <f>-_xlfn.DAYS($C$3,C150)/365.25</f>
      </c>
      <c r="E150" s="800">
        <f>IF($D$17+40&lt;=D150,(1+$D$7)^-(D150-$C$5),(1+$C$7)^-(D150-$C$5))</f>
      </c>
      <c r="F150" s="801">
        <f>IF($C$4="Hombre",(+VLOOKUP(INT(D150)+1,Tablas!$G$9:$K$1240,5,0)*(D150-INT(D150))+VLOOKUP(INT(D150),Tablas!$G$9:$K$1240,5,0)*(INT(D150)+1-D150))/(VLOOKUP(INT($C$5)+1,Tablas!$G$9:$K$1240,5,0)*($C$5-INT($C$5))+VLOOKUP(INT($C$5),Tablas!$G$9:$K$124,5,0)*(INT($C$5)+1-$C$5)),(+VLOOKUP(INT(D150)+1,Tablas!$G$9:$O$1240,9,0)*(D150-INT(D150))+VLOOKUP(INT(D150),Tablas!$G$9:$O$1240,9,0)*(INT(D150)+1-D150))/(VLOOKUP(INT($C$5)+1,Tablas!$G$9:$O$1240,9,0)*($C$5-INT($C$5))+VLOOKUP(INT($C$5),Tablas!$G$9:$O$124,9,0)*(INT($C$5)+1-$C$5)))</f>
      </c>
      <c r="G150" s="791">
        <f>IF($C$4="Hombre",(+VLOOKUP(INT(D150)+1,Tablas!$G$9:$K$1240,5,0)*(D150-INT(D150))+VLOOKUP(INT(D150),Tablas!$G$9:$K$1240,5,0)*(INT(D150)+1-D150)),+VLOOKUP(INT(D150)+1,Tablas!$G$9:$O$1240,9,0)*(D150-INT(D150))+VLOOKUP(INT(D150),Tablas!$G$9:$O$1240,9,0)*(INT(D150)+1-D150))</f>
      </c>
      <c r="H150" s="801">
        <f>+IF(MONTH(B150)=1,H149*(1+$C$9),H149)</f>
      </c>
      <c r="I150" s="791">
        <f>IF(B150&lt;$C$10,0,IF(B150&lt;$C$11,$C$8/12*E150*F150*H150,0))</f>
      </c>
      <c r="J150" s="791">
        <f>I150*12/14+IF(OR(MONTH(C150)=6,MONTH(C150)=12),I150*12/14,0)</f>
      </c>
      <c r="K150" s="801">
        <f>G150/$G$15</f>
      </c>
      <c r="L150" s="760"/>
      <c r="M150" s="767"/>
      <c r="N150" s="168"/>
      <c r="O150" s="768"/>
      <c r="P150" s="170"/>
      <c r="Q150" s="7"/>
      <c r="R150" s="766"/>
      <c r="S150" s="170"/>
      <c r="T150" s="168"/>
      <c r="U150" s="170"/>
    </row>
    <row x14ac:dyDescent="0.25" r="151" customHeight="1" ht="18.75">
      <c r="A151" s="1"/>
      <c r="B151" s="799">
        <f>+DATE(YEAR(B150),MONTH(B150)+1,DAY(B150))</f>
        <v>25569.041666666668</v>
      </c>
      <c r="C151" s="799">
        <f>+B152-1</f>
        <v>25569.041666666668</v>
      </c>
      <c r="D151" s="791">
        <f>-_xlfn.DAYS($C$3,C151)/365.25</f>
      </c>
      <c r="E151" s="800">
        <f>IF($D$17+40&lt;=D151,(1+$D$7)^-(D151-$C$5),(1+$C$7)^-(D151-$C$5))</f>
      </c>
      <c r="F151" s="801">
        <f>IF($C$4="Hombre",(+VLOOKUP(INT(D151)+1,Tablas!$G$9:$K$1240,5,0)*(D151-INT(D151))+VLOOKUP(INT(D151),Tablas!$G$9:$K$1240,5,0)*(INT(D151)+1-D151))/(VLOOKUP(INT($C$5)+1,Tablas!$G$9:$K$1240,5,0)*($C$5-INT($C$5))+VLOOKUP(INT($C$5),Tablas!$G$9:$K$124,5,0)*(INT($C$5)+1-$C$5)),(+VLOOKUP(INT(D151)+1,Tablas!$G$9:$O$1240,9,0)*(D151-INT(D151))+VLOOKUP(INT(D151),Tablas!$G$9:$O$1240,9,0)*(INT(D151)+1-D151))/(VLOOKUP(INT($C$5)+1,Tablas!$G$9:$O$1240,9,0)*($C$5-INT($C$5))+VLOOKUP(INT($C$5),Tablas!$G$9:$O$124,9,0)*(INT($C$5)+1-$C$5)))</f>
      </c>
      <c r="G151" s="791">
        <f>IF($C$4="Hombre",(+VLOOKUP(INT(D151)+1,Tablas!$G$9:$K$1240,5,0)*(D151-INT(D151))+VLOOKUP(INT(D151),Tablas!$G$9:$K$1240,5,0)*(INT(D151)+1-D151)),+VLOOKUP(INT(D151)+1,Tablas!$G$9:$O$1240,9,0)*(D151-INT(D151))+VLOOKUP(INT(D151),Tablas!$G$9:$O$1240,9,0)*(INT(D151)+1-D151))</f>
      </c>
      <c r="H151" s="801">
        <f>+IF(MONTH(B151)=1,H150*(1+$C$9),H150)</f>
      </c>
      <c r="I151" s="791">
        <f>IF(B151&lt;$C$10,0,IF(B151&lt;$C$11,$C$8/12*E151*F151*H151,0))</f>
      </c>
      <c r="J151" s="791">
        <f>I151*12/14+IF(OR(MONTH(C151)=6,MONTH(C151)=12),I151*12/14,0)</f>
      </c>
      <c r="K151" s="801">
        <f>G151/$G$15</f>
      </c>
      <c r="L151" s="760"/>
      <c r="M151" s="767"/>
      <c r="N151" s="168"/>
      <c r="O151" s="768"/>
      <c r="P151" s="170"/>
      <c r="Q151" s="7"/>
      <c r="R151" s="766"/>
      <c r="S151" s="170"/>
      <c r="T151" s="168"/>
      <c r="U151" s="170"/>
    </row>
    <row x14ac:dyDescent="0.25" r="152" customHeight="1" ht="18.75">
      <c r="A152" s="1"/>
      <c r="B152" s="799">
        <f>+DATE(YEAR(B151),MONTH(B151)+1,DAY(B151))</f>
        <v>25569.041666666668</v>
      </c>
      <c r="C152" s="799">
        <f>+B153-1</f>
        <v>25569.041666666668</v>
      </c>
      <c r="D152" s="791">
        <f>-_xlfn.DAYS($C$3,C152)/365.25</f>
      </c>
      <c r="E152" s="800">
        <f>IF($D$17+40&lt;=D152,(1+$D$7)^-(D152-$C$5),(1+$C$7)^-(D152-$C$5))</f>
      </c>
      <c r="F152" s="801">
        <f>IF($C$4="Hombre",(+VLOOKUP(INT(D152)+1,Tablas!$G$9:$K$1240,5,0)*(D152-INT(D152))+VLOOKUP(INT(D152),Tablas!$G$9:$K$1240,5,0)*(INT(D152)+1-D152))/(VLOOKUP(INT($C$5)+1,Tablas!$G$9:$K$1240,5,0)*($C$5-INT($C$5))+VLOOKUP(INT($C$5),Tablas!$G$9:$K$124,5,0)*(INT($C$5)+1-$C$5)),(+VLOOKUP(INT(D152)+1,Tablas!$G$9:$O$1240,9,0)*(D152-INT(D152))+VLOOKUP(INT(D152),Tablas!$G$9:$O$1240,9,0)*(INT(D152)+1-D152))/(VLOOKUP(INT($C$5)+1,Tablas!$G$9:$O$1240,9,0)*($C$5-INT($C$5))+VLOOKUP(INT($C$5),Tablas!$G$9:$O$124,9,0)*(INT($C$5)+1-$C$5)))</f>
      </c>
      <c r="G152" s="791">
        <f>IF($C$4="Hombre",(+VLOOKUP(INT(D152)+1,Tablas!$G$9:$K$1240,5,0)*(D152-INT(D152))+VLOOKUP(INT(D152),Tablas!$G$9:$K$1240,5,0)*(INT(D152)+1-D152)),+VLOOKUP(INT(D152)+1,Tablas!$G$9:$O$1240,9,0)*(D152-INT(D152))+VLOOKUP(INT(D152),Tablas!$G$9:$O$1240,9,0)*(INT(D152)+1-D152))</f>
      </c>
      <c r="H152" s="801">
        <f>+IF(MONTH(B152)=1,H151*(1+$C$9),H151)</f>
      </c>
      <c r="I152" s="791">
        <f>IF(B152&lt;$C$10,0,IF(B152&lt;$C$11,$C$8/12*E152*F152*H152,0))</f>
      </c>
      <c r="J152" s="791">
        <f>I152*12/14+IF(OR(MONTH(C152)=6,MONTH(C152)=12),I152*12/14,0)</f>
      </c>
      <c r="K152" s="801">
        <f>G152/$G$15</f>
      </c>
      <c r="L152" s="760"/>
      <c r="M152" s="767"/>
      <c r="N152" s="168"/>
      <c r="O152" s="768"/>
      <c r="P152" s="170"/>
      <c r="Q152" s="7"/>
      <c r="R152" s="766"/>
      <c r="S152" s="170"/>
      <c r="T152" s="168"/>
      <c r="U152" s="170"/>
    </row>
    <row x14ac:dyDescent="0.25" r="153" customHeight="1" ht="18.75">
      <c r="A153" s="1"/>
      <c r="B153" s="799">
        <f>+DATE(YEAR(B152),MONTH(B152)+1,DAY(B152))</f>
        <v>25569.041666666668</v>
      </c>
      <c r="C153" s="799">
        <f>+B154-1</f>
        <v>25569.041666666668</v>
      </c>
      <c r="D153" s="791">
        <f>-_xlfn.DAYS($C$3,C153)/365.25</f>
      </c>
      <c r="E153" s="800">
        <f>IF($D$17+40&lt;=D153,(1+$D$7)^-(D153-$C$5),(1+$C$7)^-(D153-$C$5))</f>
      </c>
      <c r="F153" s="801">
        <f>IF($C$4="Hombre",(+VLOOKUP(INT(D153)+1,Tablas!$G$9:$K$1240,5,0)*(D153-INT(D153))+VLOOKUP(INT(D153),Tablas!$G$9:$K$1240,5,0)*(INT(D153)+1-D153))/(VLOOKUP(INT($C$5)+1,Tablas!$G$9:$K$1240,5,0)*($C$5-INT($C$5))+VLOOKUP(INT($C$5),Tablas!$G$9:$K$124,5,0)*(INT($C$5)+1-$C$5)),(+VLOOKUP(INT(D153)+1,Tablas!$G$9:$O$1240,9,0)*(D153-INT(D153))+VLOOKUP(INT(D153),Tablas!$G$9:$O$1240,9,0)*(INT(D153)+1-D153))/(VLOOKUP(INT($C$5)+1,Tablas!$G$9:$O$1240,9,0)*($C$5-INT($C$5))+VLOOKUP(INT($C$5),Tablas!$G$9:$O$124,9,0)*(INT($C$5)+1-$C$5)))</f>
      </c>
      <c r="G153" s="791">
        <f>IF($C$4="Hombre",(+VLOOKUP(INT(D153)+1,Tablas!$G$9:$K$1240,5,0)*(D153-INT(D153))+VLOOKUP(INT(D153),Tablas!$G$9:$K$1240,5,0)*(INT(D153)+1-D153)),+VLOOKUP(INT(D153)+1,Tablas!$G$9:$O$1240,9,0)*(D153-INT(D153))+VLOOKUP(INT(D153),Tablas!$G$9:$O$1240,9,0)*(INT(D153)+1-D153))</f>
      </c>
      <c r="H153" s="801">
        <f>+IF(MONTH(B153)=1,H152*(1+$C$9),H152)</f>
      </c>
      <c r="I153" s="791">
        <f>IF(B153&lt;$C$10,0,IF(B153&lt;$C$11,$C$8/12*E153*F153*H153,0))</f>
      </c>
      <c r="J153" s="791">
        <f>I153*12/14+IF(OR(MONTH(C153)=6,MONTH(C153)=12),I153*12/14,0)</f>
      </c>
      <c r="K153" s="801">
        <f>G153/$G$15</f>
      </c>
      <c r="L153" s="760"/>
      <c r="M153" s="767"/>
      <c r="N153" s="168"/>
      <c r="O153" s="768"/>
      <c r="P153" s="170"/>
      <c r="Q153" s="7"/>
      <c r="R153" s="766"/>
      <c r="S153" s="170"/>
      <c r="T153" s="168"/>
      <c r="U153" s="170"/>
    </row>
    <row x14ac:dyDescent="0.25" r="154" customHeight="1" ht="18.75">
      <c r="A154" s="1"/>
      <c r="B154" s="799">
        <f>+DATE(YEAR(B153),MONTH(B153)+1,DAY(B153))</f>
        <v>25569.041666666668</v>
      </c>
      <c r="C154" s="799">
        <f>+B155-1</f>
        <v>25569.041666666668</v>
      </c>
      <c r="D154" s="791">
        <f>-_xlfn.DAYS($C$3,C154)/365.25</f>
      </c>
      <c r="E154" s="800">
        <f>IF($D$17+40&lt;=D154,(1+$D$7)^-(D154-$C$5),(1+$C$7)^-(D154-$C$5))</f>
      </c>
      <c r="F154" s="801">
        <f>IF($C$4="Hombre",(+VLOOKUP(INT(D154)+1,Tablas!$G$9:$K$1240,5,0)*(D154-INT(D154))+VLOOKUP(INT(D154),Tablas!$G$9:$K$1240,5,0)*(INT(D154)+1-D154))/(VLOOKUP(INT($C$5)+1,Tablas!$G$9:$K$1240,5,0)*($C$5-INT($C$5))+VLOOKUP(INT($C$5),Tablas!$G$9:$K$124,5,0)*(INT($C$5)+1-$C$5)),(+VLOOKUP(INT(D154)+1,Tablas!$G$9:$O$1240,9,0)*(D154-INT(D154))+VLOOKUP(INT(D154),Tablas!$G$9:$O$1240,9,0)*(INT(D154)+1-D154))/(VLOOKUP(INT($C$5)+1,Tablas!$G$9:$O$1240,9,0)*($C$5-INT($C$5))+VLOOKUP(INT($C$5),Tablas!$G$9:$O$124,9,0)*(INT($C$5)+1-$C$5)))</f>
      </c>
      <c r="G154" s="791">
        <f>IF($C$4="Hombre",(+VLOOKUP(INT(D154)+1,Tablas!$G$9:$K$1240,5,0)*(D154-INT(D154))+VLOOKUP(INT(D154),Tablas!$G$9:$K$1240,5,0)*(INT(D154)+1-D154)),+VLOOKUP(INT(D154)+1,Tablas!$G$9:$O$1240,9,0)*(D154-INT(D154))+VLOOKUP(INT(D154),Tablas!$G$9:$O$1240,9,0)*(INT(D154)+1-D154))</f>
      </c>
      <c r="H154" s="801">
        <f>+IF(MONTH(B154)=1,H153*(1+$C$9),H153)</f>
      </c>
      <c r="I154" s="791">
        <f>IF(B154&lt;$C$10,0,IF(B154&lt;$C$11,$C$8/12*E154*F154*H154,0))</f>
      </c>
      <c r="J154" s="791">
        <f>I154*12/14+IF(OR(MONTH(C154)=6,MONTH(C154)=12),I154*12/14,0)</f>
      </c>
      <c r="K154" s="801">
        <f>G154/$G$15</f>
      </c>
      <c r="L154" s="760"/>
      <c r="M154" s="767"/>
      <c r="N154" s="168"/>
      <c r="O154" s="768"/>
      <c r="P154" s="170"/>
      <c r="Q154" s="7"/>
      <c r="R154" s="766"/>
      <c r="S154" s="170"/>
      <c r="T154" s="168"/>
      <c r="U154" s="170"/>
    </row>
    <row x14ac:dyDescent="0.25" r="155" customHeight="1" ht="18.75">
      <c r="A155" s="1"/>
      <c r="B155" s="799">
        <f>+DATE(YEAR(B154),MONTH(B154)+1,DAY(B154))</f>
        <v>25569.041666666668</v>
      </c>
      <c r="C155" s="799">
        <f>+B156-1</f>
        <v>25569.041666666668</v>
      </c>
      <c r="D155" s="791">
        <f>-_xlfn.DAYS($C$3,C155)/365.25</f>
      </c>
      <c r="E155" s="800">
        <f>IF($D$17+40&lt;=D155,(1+$D$7)^-(D155-$C$5),(1+$C$7)^-(D155-$C$5))</f>
      </c>
      <c r="F155" s="801">
        <f>IF($C$4="Hombre",(+VLOOKUP(INT(D155)+1,Tablas!$G$9:$K$1240,5,0)*(D155-INT(D155))+VLOOKUP(INT(D155),Tablas!$G$9:$K$1240,5,0)*(INT(D155)+1-D155))/(VLOOKUP(INT($C$5)+1,Tablas!$G$9:$K$1240,5,0)*($C$5-INT($C$5))+VLOOKUP(INT($C$5),Tablas!$G$9:$K$124,5,0)*(INT($C$5)+1-$C$5)),(+VLOOKUP(INT(D155)+1,Tablas!$G$9:$O$1240,9,0)*(D155-INT(D155))+VLOOKUP(INT(D155),Tablas!$G$9:$O$1240,9,0)*(INT(D155)+1-D155))/(VLOOKUP(INT($C$5)+1,Tablas!$G$9:$O$1240,9,0)*($C$5-INT($C$5))+VLOOKUP(INT($C$5),Tablas!$G$9:$O$124,9,0)*(INT($C$5)+1-$C$5)))</f>
      </c>
      <c r="G155" s="791">
        <f>IF($C$4="Hombre",(+VLOOKUP(INT(D155)+1,Tablas!$G$9:$K$1240,5,0)*(D155-INT(D155))+VLOOKUP(INT(D155),Tablas!$G$9:$K$1240,5,0)*(INT(D155)+1-D155)),+VLOOKUP(INT(D155)+1,Tablas!$G$9:$O$1240,9,0)*(D155-INT(D155))+VLOOKUP(INT(D155),Tablas!$G$9:$O$1240,9,0)*(INT(D155)+1-D155))</f>
      </c>
      <c r="H155" s="801">
        <f>+IF(MONTH(B155)=1,H154*(1+$C$9),H154)</f>
      </c>
      <c r="I155" s="791">
        <f>IF(B155&lt;$C$10,0,IF(B155&lt;$C$11,$C$8/12*E155*F155*H155,0))</f>
      </c>
      <c r="J155" s="791">
        <f>I155*12/14+IF(OR(MONTH(C155)=6,MONTH(C155)=12),I155*12/14,0)</f>
      </c>
      <c r="K155" s="801">
        <f>G155/$G$15</f>
      </c>
      <c r="L155" s="760"/>
      <c r="M155" s="767"/>
      <c r="N155" s="168"/>
      <c r="O155" s="768"/>
      <c r="P155" s="170"/>
      <c r="Q155" s="7"/>
      <c r="R155" s="766"/>
      <c r="S155" s="170"/>
      <c r="T155" s="168"/>
      <c r="U155" s="170"/>
    </row>
    <row x14ac:dyDescent="0.25" r="156" customHeight="1" ht="18.75">
      <c r="A156" s="1"/>
      <c r="B156" s="799">
        <f>+DATE(YEAR(B155),MONTH(B155)+1,DAY(B155))</f>
        <v>25569.041666666668</v>
      </c>
      <c r="C156" s="799">
        <f>+B157-1</f>
        <v>25569.041666666668</v>
      </c>
      <c r="D156" s="791">
        <f>-_xlfn.DAYS($C$3,C156)/365.25</f>
      </c>
      <c r="E156" s="800">
        <f>IF($D$17+40&lt;=D156,(1+$D$7)^-(D156-$C$5),(1+$C$7)^-(D156-$C$5))</f>
      </c>
      <c r="F156" s="801">
        <f>IF($C$4="Hombre",(+VLOOKUP(INT(D156)+1,Tablas!$G$9:$K$1240,5,0)*(D156-INT(D156))+VLOOKUP(INT(D156),Tablas!$G$9:$K$1240,5,0)*(INT(D156)+1-D156))/(VLOOKUP(INT($C$5)+1,Tablas!$G$9:$K$1240,5,0)*($C$5-INT($C$5))+VLOOKUP(INT($C$5),Tablas!$G$9:$K$124,5,0)*(INT($C$5)+1-$C$5)),(+VLOOKUP(INT(D156)+1,Tablas!$G$9:$O$1240,9,0)*(D156-INT(D156))+VLOOKUP(INT(D156),Tablas!$G$9:$O$1240,9,0)*(INT(D156)+1-D156))/(VLOOKUP(INT($C$5)+1,Tablas!$G$9:$O$1240,9,0)*($C$5-INT($C$5))+VLOOKUP(INT($C$5),Tablas!$G$9:$O$124,9,0)*(INT($C$5)+1-$C$5)))</f>
      </c>
      <c r="G156" s="791">
        <f>IF($C$4="Hombre",(+VLOOKUP(INT(D156)+1,Tablas!$G$9:$K$1240,5,0)*(D156-INT(D156))+VLOOKUP(INT(D156),Tablas!$G$9:$K$1240,5,0)*(INT(D156)+1-D156)),+VLOOKUP(INT(D156)+1,Tablas!$G$9:$O$1240,9,0)*(D156-INT(D156))+VLOOKUP(INT(D156),Tablas!$G$9:$O$1240,9,0)*(INT(D156)+1-D156))</f>
      </c>
      <c r="H156" s="801">
        <f>+IF(MONTH(B156)=1,H155*(1+$C$9),H155)</f>
      </c>
      <c r="I156" s="791">
        <f>IF(B156&lt;$C$10,0,IF(B156&lt;$C$11,$C$8/12*E156*F156*H156,0))</f>
      </c>
      <c r="J156" s="791">
        <f>I156*12/14+IF(OR(MONTH(C156)=6,MONTH(C156)=12),I156*12/14,0)</f>
      </c>
      <c r="K156" s="801">
        <f>G156/$G$15</f>
      </c>
      <c r="L156" s="760"/>
      <c r="M156" s="767"/>
      <c r="N156" s="168"/>
      <c r="O156" s="768"/>
      <c r="P156" s="170"/>
      <c r="Q156" s="7"/>
      <c r="R156" s="766"/>
      <c r="S156" s="170"/>
      <c r="T156" s="168"/>
      <c r="U156" s="170"/>
    </row>
    <row x14ac:dyDescent="0.25" r="157" customHeight="1" ht="18.75">
      <c r="A157" s="1"/>
      <c r="B157" s="799">
        <f>+DATE(YEAR(B156),MONTH(B156)+1,DAY(B156))</f>
        <v>25569.041666666668</v>
      </c>
      <c r="C157" s="799">
        <f>+B158-1</f>
        <v>25569.041666666668</v>
      </c>
      <c r="D157" s="791">
        <f>-_xlfn.DAYS($C$3,C157)/365.25</f>
      </c>
      <c r="E157" s="800">
        <f>IF($D$17+40&lt;=D157,(1+$D$7)^-(D157-$C$5),(1+$C$7)^-(D157-$C$5))</f>
      </c>
      <c r="F157" s="801">
        <f>IF($C$4="Hombre",(+VLOOKUP(INT(D157)+1,Tablas!$G$9:$K$1240,5,0)*(D157-INT(D157))+VLOOKUP(INT(D157),Tablas!$G$9:$K$1240,5,0)*(INT(D157)+1-D157))/(VLOOKUP(INT($C$5)+1,Tablas!$G$9:$K$1240,5,0)*($C$5-INT($C$5))+VLOOKUP(INT($C$5),Tablas!$G$9:$K$124,5,0)*(INT($C$5)+1-$C$5)),(+VLOOKUP(INT(D157)+1,Tablas!$G$9:$O$1240,9,0)*(D157-INT(D157))+VLOOKUP(INT(D157),Tablas!$G$9:$O$1240,9,0)*(INT(D157)+1-D157))/(VLOOKUP(INT($C$5)+1,Tablas!$G$9:$O$1240,9,0)*($C$5-INT($C$5))+VLOOKUP(INT($C$5),Tablas!$G$9:$O$124,9,0)*(INT($C$5)+1-$C$5)))</f>
      </c>
      <c r="G157" s="791">
        <f>IF($C$4="Hombre",(+VLOOKUP(INT(D157)+1,Tablas!$G$9:$K$1240,5,0)*(D157-INT(D157))+VLOOKUP(INT(D157),Tablas!$G$9:$K$1240,5,0)*(INT(D157)+1-D157)),+VLOOKUP(INT(D157)+1,Tablas!$G$9:$O$1240,9,0)*(D157-INT(D157))+VLOOKUP(INT(D157),Tablas!$G$9:$O$1240,9,0)*(INT(D157)+1-D157))</f>
      </c>
      <c r="H157" s="801">
        <f>+IF(MONTH(B157)=1,H156*(1+$C$9),H156)</f>
      </c>
      <c r="I157" s="791">
        <f>IF(B157&lt;$C$10,0,IF(B157&lt;$C$11,$C$8/12*E157*F157*H157,0))</f>
      </c>
      <c r="J157" s="791">
        <f>I157*12/14+IF(OR(MONTH(C157)=6,MONTH(C157)=12),I157*12/14,0)</f>
      </c>
      <c r="K157" s="801">
        <f>G157/$G$15</f>
      </c>
      <c r="L157" s="760"/>
      <c r="M157" s="767"/>
      <c r="N157" s="168"/>
      <c r="O157" s="768"/>
      <c r="P157" s="170"/>
      <c r="Q157" s="7"/>
      <c r="R157" s="766"/>
      <c r="S157" s="170"/>
      <c r="T157" s="168"/>
      <c r="U157" s="170"/>
    </row>
    <row x14ac:dyDescent="0.25" r="158" customHeight="1" ht="18.75">
      <c r="A158" s="1"/>
      <c r="B158" s="799">
        <f>+DATE(YEAR(B157),MONTH(B157)+1,DAY(B157))</f>
        <v>25569.041666666668</v>
      </c>
      <c r="C158" s="799">
        <f>+B159-1</f>
        <v>25569.041666666668</v>
      </c>
      <c r="D158" s="791">
        <f>-_xlfn.DAYS($C$3,C158)/365.25</f>
      </c>
      <c r="E158" s="800">
        <f>IF($D$17+40&lt;=D158,(1+$D$7)^-(D158-$C$5),(1+$C$7)^-(D158-$C$5))</f>
      </c>
      <c r="F158" s="801">
        <f>IF($C$4="Hombre",(+VLOOKUP(INT(D158)+1,Tablas!$G$9:$K$1240,5,0)*(D158-INT(D158))+VLOOKUP(INT(D158),Tablas!$G$9:$K$1240,5,0)*(INT(D158)+1-D158))/(VLOOKUP(INT($C$5)+1,Tablas!$G$9:$K$1240,5,0)*($C$5-INT($C$5))+VLOOKUP(INT($C$5),Tablas!$G$9:$K$124,5,0)*(INT($C$5)+1-$C$5)),(+VLOOKUP(INT(D158)+1,Tablas!$G$9:$O$1240,9,0)*(D158-INT(D158))+VLOOKUP(INT(D158),Tablas!$G$9:$O$1240,9,0)*(INT(D158)+1-D158))/(VLOOKUP(INT($C$5)+1,Tablas!$G$9:$O$1240,9,0)*($C$5-INT($C$5))+VLOOKUP(INT($C$5),Tablas!$G$9:$O$124,9,0)*(INT($C$5)+1-$C$5)))</f>
      </c>
      <c r="G158" s="791">
        <f>IF($C$4="Hombre",(+VLOOKUP(INT(D158)+1,Tablas!$G$9:$K$1240,5,0)*(D158-INT(D158))+VLOOKUP(INT(D158),Tablas!$G$9:$K$1240,5,0)*(INT(D158)+1-D158)),+VLOOKUP(INT(D158)+1,Tablas!$G$9:$O$1240,9,0)*(D158-INT(D158))+VLOOKUP(INT(D158),Tablas!$G$9:$O$1240,9,0)*(INT(D158)+1-D158))</f>
      </c>
      <c r="H158" s="801">
        <f>+IF(MONTH(B158)=1,H157*(1+$C$9),H157)</f>
      </c>
      <c r="I158" s="791">
        <f>IF(B158&lt;$C$10,0,IF(B158&lt;$C$11,$C$8/12*E158*F158*H158,0))</f>
      </c>
      <c r="J158" s="791">
        <f>I158*12/14+IF(OR(MONTH(C158)=6,MONTH(C158)=12),I158*12/14,0)</f>
      </c>
      <c r="K158" s="801">
        <f>G158/$G$15</f>
      </c>
      <c r="L158" s="760"/>
      <c r="M158" s="767"/>
      <c r="N158" s="168"/>
      <c r="O158" s="768"/>
      <c r="P158" s="170"/>
      <c r="Q158" s="7"/>
      <c r="R158" s="766"/>
      <c r="S158" s="170"/>
      <c r="T158" s="168"/>
      <c r="U158" s="170"/>
    </row>
    <row x14ac:dyDescent="0.25" r="159" customHeight="1" ht="18.75">
      <c r="A159" s="1"/>
      <c r="B159" s="799">
        <f>+DATE(YEAR(B158),MONTH(B158)+1,DAY(B158))</f>
        <v>25569.041666666668</v>
      </c>
      <c r="C159" s="799">
        <f>+B160-1</f>
        <v>25569.041666666668</v>
      </c>
      <c r="D159" s="791">
        <f>-_xlfn.DAYS($C$3,C159)/365.25</f>
      </c>
      <c r="E159" s="800">
        <f>IF($D$17+40&lt;=D159,(1+$D$7)^-(D159-$C$5),(1+$C$7)^-(D159-$C$5))</f>
      </c>
      <c r="F159" s="801">
        <f>IF($C$4="Hombre",(+VLOOKUP(INT(D159)+1,Tablas!$G$9:$K$1240,5,0)*(D159-INT(D159))+VLOOKUP(INT(D159),Tablas!$G$9:$K$1240,5,0)*(INT(D159)+1-D159))/(VLOOKUP(INT($C$5)+1,Tablas!$G$9:$K$1240,5,0)*($C$5-INT($C$5))+VLOOKUP(INT($C$5),Tablas!$G$9:$K$124,5,0)*(INT($C$5)+1-$C$5)),(+VLOOKUP(INT(D159)+1,Tablas!$G$9:$O$1240,9,0)*(D159-INT(D159))+VLOOKUP(INT(D159),Tablas!$G$9:$O$1240,9,0)*(INT(D159)+1-D159))/(VLOOKUP(INT($C$5)+1,Tablas!$G$9:$O$1240,9,0)*($C$5-INT($C$5))+VLOOKUP(INT($C$5),Tablas!$G$9:$O$124,9,0)*(INT($C$5)+1-$C$5)))</f>
      </c>
      <c r="G159" s="791">
        <f>IF($C$4="Hombre",(+VLOOKUP(INT(D159)+1,Tablas!$G$9:$K$1240,5,0)*(D159-INT(D159))+VLOOKUP(INT(D159),Tablas!$G$9:$K$1240,5,0)*(INT(D159)+1-D159)),+VLOOKUP(INT(D159)+1,Tablas!$G$9:$O$1240,9,0)*(D159-INT(D159))+VLOOKUP(INT(D159),Tablas!$G$9:$O$1240,9,0)*(INT(D159)+1-D159))</f>
      </c>
      <c r="H159" s="801">
        <f>+IF(MONTH(B159)=1,H158*(1+$C$9),H158)</f>
      </c>
      <c r="I159" s="791">
        <f>IF(B159&lt;$C$10,0,IF(B159&lt;$C$11,$C$8/12*E159*F159*H159,0))</f>
      </c>
      <c r="J159" s="791">
        <f>I159*12/14+IF(OR(MONTH(C159)=6,MONTH(C159)=12),I159*12/14,0)</f>
      </c>
      <c r="K159" s="801">
        <f>G159/$G$15</f>
      </c>
      <c r="L159" s="760"/>
      <c r="M159" s="767"/>
      <c r="N159" s="168"/>
      <c r="O159" s="768"/>
      <c r="P159" s="170"/>
      <c r="Q159" s="7"/>
      <c r="R159" s="766"/>
      <c r="S159" s="170"/>
      <c r="T159" s="168"/>
      <c r="U159" s="170"/>
    </row>
    <row x14ac:dyDescent="0.25" r="160" customHeight="1" ht="18.75">
      <c r="A160" s="1"/>
      <c r="B160" s="799">
        <f>+DATE(YEAR(B159),MONTH(B159)+1,DAY(B159))</f>
        <v>25569.041666666668</v>
      </c>
      <c r="C160" s="799">
        <f>+B161-1</f>
        <v>25569.041666666668</v>
      </c>
      <c r="D160" s="791">
        <f>-_xlfn.DAYS($C$3,C160)/365.25</f>
      </c>
      <c r="E160" s="800">
        <f>IF($D$17+40&lt;=D160,(1+$D$7)^-(D160-$C$5),(1+$C$7)^-(D160-$C$5))</f>
      </c>
      <c r="F160" s="801">
        <f>IF($C$4="Hombre",(+VLOOKUP(INT(D160)+1,Tablas!$G$9:$K$1240,5,0)*(D160-INT(D160))+VLOOKUP(INT(D160),Tablas!$G$9:$K$1240,5,0)*(INT(D160)+1-D160))/(VLOOKUP(INT($C$5)+1,Tablas!$G$9:$K$1240,5,0)*($C$5-INT($C$5))+VLOOKUP(INT($C$5),Tablas!$G$9:$K$124,5,0)*(INT($C$5)+1-$C$5)),(+VLOOKUP(INT(D160)+1,Tablas!$G$9:$O$1240,9,0)*(D160-INT(D160))+VLOOKUP(INT(D160),Tablas!$G$9:$O$1240,9,0)*(INT(D160)+1-D160))/(VLOOKUP(INT($C$5)+1,Tablas!$G$9:$O$1240,9,0)*($C$5-INT($C$5))+VLOOKUP(INT($C$5),Tablas!$G$9:$O$124,9,0)*(INT($C$5)+1-$C$5)))</f>
      </c>
      <c r="G160" s="791">
        <f>IF($C$4="Hombre",(+VLOOKUP(INT(D160)+1,Tablas!$G$9:$K$1240,5,0)*(D160-INT(D160))+VLOOKUP(INT(D160),Tablas!$G$9:$K$1240,5,0)*(INT(D160)+1-D160)),+VLOOKUP(INT(D160)+1,Tablas!$G$9:$O$1240,9,0)*(D160-INT(D160))+VLOOKUP(INT(D160),Tablas!$G$9:$O$1240,9,0)*(INT(D160)+1-D160))</f>
      </c>
      <c r="H160" s="801">
        <f>+IF(MONTH(B160)=1,H159*(1+$C$9),H159)</f>
      </c>
      <c r="I160" s="791">
        <f>IF(B160&lt;$C$10,0,IF(B160&lt;$C$11,$C$8/12*E160*F160*H160,0))</f>
      </c>
      <c r="J160" s="791">
        <f>I160*12/14+IF(OR(MONTH(C160)=6,MONTH(C160)=12),I160*12/14,0)</f>
      </c>
      <c r="K160" s="801">
        <f>G160/$G$15</f>
      </c>
      <c r="L160" s="760"/>
      <c r="M160" s="767"/>
      <c r="N160" s="168"/>
      <c r="O160" s="768"/>
      <c r="P160" s="170"/>
      <c r="Q160" s="7"/>
      <c r="R160" s="766"/>
      <c r="S160" s="170"/>
      <c r="T160" s="168"/>
      <c r="U160" s="170"/>
    </row>
    <row x14ac:dyDescent="0.25" r="161" customHeight="1" ht="18.75">
      <c r="A161" s="1"/>
      <c r="B161" s="799">
        <f>+DATE(YEAR(B160),MONTH(B160)+1,DAY(B160))</f>
        <v>25569.041666666668</v>
      </c>
      <c r="C161" s="799">
        <f>+B162-1</f>
        <v>25569.041666666668</v>
      </c>
      <c r="D161" s="791">
        <f>-_xlfn.DAYS($C$3,C161)/365.25</f>
      </c>
      <c r="E161" s="800">
        <f>IF($D$17+40&lt;=D161,(1+$D$7)^-(D161-$C$5),(1+$C$7)^-(D161-$C$5))</f>
      </c>
      <c r="F161" s="801">
        <f>IF($C$4="Hombre",(+VLOOKUP(INT(D161)+1,Tablas!$G$9:$K$1240,5,0)*(D161-INT(D161))+VLOOKUP(INT(D161),Tablas!$G$9:$K$1240,5,0)*(INT(D161)+1-D161))/(VLOOKUP(INT($C$5)+1,Tablas!$G$9:$K$1240,5,0)*($C$5-INT($C$5))+VLOOKUP(INT($C$5),Tablas!$G$9:$K$124,5,0)*(INT($C$5)+1-$C$5)),(+VLOOKUP(INT(D161)+1,Tablas!$G$9:$O$1240,9,0)*(D161-INT(D161))+VLOOKUP(INT(D161),Tablas!$G$9:$O$1240,9,0)*(INT(D161)+1-D161))/(VLOOKUP(INT($C$5)+1,Tablas!$G$9:$O$1240,9,0)*($C$5-INT($C$5))+VLOOKUP(INT($C$5),Tablas!$G$9:$O$124,9,0)*(INT($C$5)+1-$C$5)))</f>
      </c>
      <c r="G161" s="791">
        <f>IF($C$4="Hombre",(+VLOOKUP(INT(D161)+1,Tablas!$G$9:$K$1240,5,0)*(D161-INT(D161))+VLOOKUP(INT(D161),Tablas!$G$9:$K$1240,5,0)*(INT(D161)+1-D161)),+VLOOKUP(INT(D161)+1,Tablas!$G$9:$O$1240,9,0)*(D161-INT(D161))+VLOOKUP(INT(D161),Tablas!$G$9:$O$1240,9,0)*(INT(D161)+1-D161))</f>
      </c>
      <c r="H161" s="801">
        <f>+IF(MONTH(B161)=1,H160*(1+$C$9),H160)</f>
      </c>
      <c r="I161" s="791">
        <f>IF(B161&lt;$C$10,0,IF(B161&lt;$C$11,$C$8/12*E161*F161*H161,0))</f>
      </c>
      <c r="J161" s="791">
        <f>I161*12/14+IF(OR(MONTH(C161)=6,MONTH(C161)=12),I161*12/14,0)</f>
      </c>
      <c r="K161" s="801">
        <f>G161/$G$15</f>
      </c>
      <c r="L161" s="760"/>
      <c r="M161" s="767"/>
      <c r="N161" s="168"/>
      <c r="O161" s="768"/>
      <c r="P161" s="170"/>
      <c r="Q161" s="7"/>
      <c r="R161" s="766"/>
      <c r="S161" s="170"/>
      <c r="T161" s="168"/>
      <c r="U161" s="170"/>
    </row>
    <row x14ac:dyDescent="0.25" r="162" customHeight="1" ht="18.75">
      <c r="A162" s="1"/>
      <c r="B162" s="799">
        <f>+DATE(YEAR(B161),MONTH(B161)+1,DAY(B161))</f>
        <v>25569.041666666668</v>
      </c>
      <c r="C162" s="799">
        <f>+B163-1</f>
        <v>25569.041666666668</v>
      </c>
      <c r="D162" s="791">
        <f>-_xlfn.DAYS($C$3,C162)/365.25</f>
      </c>
      <c r="E162" s="800">
        <f>IF($D$17+40&lt;=D162,(1+$D$7)^-(D162-$C$5),(1+$C$7)^-(D162-$C$5))</f>
      </c>
      <c r="F162" s="801">
        <f>IF($C$4="Hombre",(+VLOOKUP(INT(D162)+1,Tablas!$G$9:$K$1240,5,0)*(D162-INT(D162))+VLOOKUP(INT(D162),Tablas!$G$9:$K$1240,5,0)*(INT(D162)+1-D162))/(VLOOKUP(INT($C$5)+1,Tablas!$G$9:$K$1240,5,0)*($C$5-INT($C$5))+VLOOKUP(INT($C$5),Tablas!$G$9:$K$124,5,0)*(INT($C$5)+1-$C$5)),(+VLOOKUP(INT(D162)+1,Tablas!$G$9:$O$1240,9,0)*(D162-INT(D162))+VLOOKUP(INT(D162),Tablas!$G$9:$O$1240,9,0)*(INT(D162)+1-D162))/(VLOOKUP(INT($C$5)+1,Tablas!$G$9:$O$1240,9,0)*($C$5-INT($C$5))+VLOOKUP(INT($C$5),Tablas!$G$9:$O$124,9,0)*(INT($C$5)+1-$C$5)))</f>
      </c>
      <c r="G162" s="791">
        <f>IF($C$4="Hombre",(+VLOOKUP(INT(D162)+1,Tablas!$G$9:$K$1240,5,0)*(D162-INT(D162))+VLOOKUP(INT(D162),Tablas!$G$9:$K$1240,5,0)*(INT(D162)+1-D162)),+VLOOKUP(INT(D162)+1,Tablas!$G$9:$O$1240,9,0)*(D162-INT(D162))+VLOOKUP(INT(D162),Tablas!$G$9:$O$1240,9,0)*(INT(D162)+1-D162))</f>
      </c>
      <c r="H162" s="801">
        <f>+IF(MONTH(B162)=1,H161*(1+$C$9),H161)</f>
      </c>
      <c r="I162" s="791">
        <f>IF(B162&lt;$C$10,0,IF(B162&lt;$C$11,$C$8/12*E162*F162*H162,0))</f>
      </c>
      <c r="J162" s="791">
        <f>I162*12/14+IF(OR(MONTH(C162)=6,MONTH(C162)=12),I162*12/14,0)</f>
      </c>
      <c r="K162" s="801">
        <f>G162/$G$15</f>
      </c>
      <c r="L162" s="760"/>
      <c r="M162" s="767"/>
      <c r="N162" s="168"/>
      <c r="O162" s="768"/>
      <c r="P162" s="170"/>
      <c r="Q162" s="7"/>
      <c r="R162" s="766"/>
      <c r="S162" s="170"/>
      <c r="T162" s="168"/>
      <c r="U162" s="170"/>
    </row>
    <row x14ac:dyDescent="0.25" r="163" customHeight="1" ht="18.75">
      <c r="A163" s="1"/>
      <c r="B163" s="799">
        <f>+DATE(YEAR(B162),MONTH(B162)+1,DAY(B162))</f>
        <v>25569.041666666668</v>
      </c>
      <c r="C163" s="799">
        <f>+B164-1</f>
        <v>25569.041666666668</v>
      </c>
      <c r="D163" s="791">
        <f>-_xlfn.DAYS($C$3,C163)/365.25</f>
      </c>
      <c r="E163" s="800">
        <f>IF($D$17+40&lt;=D163,(1+$D$7)^-(D163-$C$5),(1+$C$7)^-(D163-$C$5))</f>
      </c>
      <c r="F163" s="801">
        <f>IF($C$4="Hombre",(+VLOOKUP(INT(D163)+1,Tablas!$G$9:$K$1240,5,0)*(D163-INT(D163))+VLOOKUP(INT(D163),Tablas!$G$9:$K$1240,5,0)*(INT(D163)+1-D163))/(VLOOKUP(INT($C$5)+1,Tablas!$G$9:$K$1240,5,0)*($C$5-INT($C$5))+VLOOKUP(INT($C$5),Tablas!$G$9:$K$124,5,0)*(INT($C$5)+1-$C$5)),(+VLOOKUP(INT(D163)+1,Tablas!$G$9:$O$1240,9,0)*(D163-INT(D163))+VLOOKUP(INT(D163),Tablas!$G$9:$O$1240,9,0)*(INT(D163)+1-D163))/(VLOOKUP(INT($C$5)+1,Tablas!$G$9:$O$1240,9,0)*($C$5-INT($C$5))+VLOOKUP(INT($C$5),Tablas!$G$9:$O$124,9,0)*(INT($C$5)+1-$C$5)))</f>
      </c>
      <c r="G163" s="791">
        <f>IF($C$4="Hombre",(+VLOOKUP(INT(D163)+1,Tablas!$G$9:$K$1240,5,0)*(D163-INT(D163))+VLOOKUP(INT(D163),Tablas!$G$9:$K$1240,5,0)*(INT(D163)+1-D163)),+VLOOKUP(INT(D163)+1,Tablas!$G$9:$O$1240,9,0)*(D163-INT(D163))+VLOOKUP(INT(D163),Tablas!$G$9:$O$1240,9,0)*(INT(D163)+1-D163))</f>
      </c>
      <c r="H163" s="801">
        <f>+IF(MONTH(B163)=1,H162*(1+$C$9),H162)</f>
      </c>
      <c r="I163" s="791">
        <f>IF(B163&lt;$C$10,0,IF(B163&lt;$C$11,$C$8/12*E163*F163*H163,0))</f>
      </c>
      <c r="J163" s="791">
        <f>I163*12/14+IF(OR(MONTH(C163)=6,MONTH(C163)=12),I163*12/14,0)</f>
      </c>
      <c r="K163" s="801">
        <f>G163/$G$15</f>
      </c>
      <c r="L163" s="760"/>
      <c r="M163" s="767"/>
      <c r="N163" s="168"/>
      <c r="O163" s="768"/>
      <c r="P163" s="170"/>
      <c r="Q163" s="7"/>
      <c r="R163" s="766"/>
      <c r="S163" s="170"/>
      <c r="T163" s="168"/>
      <c r="U163" s="170"/>
    </row>
    <row x14ac:dyDescent="0.25" r="164" customHeight="1" ht="18.75">
      <c r="A164" s="1"/>
      <c r="B164" s="799">
        <f>+DATE(YEAR(B163),MONTH(B163)+1,DAY(B163))</f>
        <v>25569.041666666668</v>
      </c>
      <c r="C164" s="799">
        <f>+B165-1</f>
        <v>25569.041666666668</v>
      </c>
      <c r="D164" s="791">
        <f>-_xlfn.DAYS($C$3,C164)/365.25</f>
      </c>
      <c r="E164" s="800">
        <f>IF($D$17+40&lt;=D164,(1+$D$7)^-(D164-$C$5),(1+$C$7)^-(D164-$C$5))</f>
      </c>
      <c r="F164" s="801">
        <f>IF($C$4="Hombre",(+VLOOKUP(INT(D164)+1,Tablas!$G$9:$K$1240,5,0)*(D164-INT(D164))+VLOOKUP(INT(D164),Tablas!$G$9:$K$1240,5,0)*(INT(D164)+1-D164))/(VLOOKUP(INT($C$5)+1,Tablas!$G$9:$K$1240,5,0)*($C$5-INT($C$5))+VLOOKUP(INT($C$5),Tablas!$G$9:$K$124,5,0)*(INT($C$5)+1-$C$5)),(+VLOOKUP(INT(D164)+1,Tablas!$G$9:$O$1240,9,0)*(D164-INT(D164))+VLOOKUP(INT(D164),Tablas!$G$9:$O$1240,9,0)*(INT(D164)+1-D164))/(VLOOKUP(INT($C$5)+1,Tablas!$G$9:$O$1240,9,0)*($C$5-INT($C$5))+VLOOKUP(INT($C$5),Tablas!$G$9:$O$124,9,0)*(INT($C$5)+1-$C$5)))</f>
      </c>
      <c r="G164" s="791">
        <f>IF($C$4="Hombre",(+VLOOKUP(INT(D164)+1,Tablas!$G$9:$K$1240,5,0)*(D164-INT(D164))+VLOOKUP(INT(D164),Tablas!$G$9:$K$1240,5,0)*(INT(D164)+1-D164)),+VLOOKUP(INT(D164)+1,Tablas!$G$9:$O$1240,9,0)*(D164-INT(D164))+VLOOKUP(INT(D164),Tablas!$G$9:$O$1240,9,0)*(INT(D164)+1-D164))</f>
      </c>
      <c r="H164" s="801">
        <f>+IF(MONTH(B164)=1,H163*(1+$C$9),H163)</f>
      </c>
      <c r="I164" s="791">
        <f>IF(B164&lt;$C$10,0,IF(B164&lt;$C$11,$C$8/12*E164*F164*H164,0))</f>
      </c>
      <c r="J164" s="791">
        <f>I164*12/14+IF(OR(MONTH(C164)=6,MONTH(C164)=12),I164*12/14,0)</f>
      </c>
      <c r="K164" s="801">
        <f>G164/$G$15</f>
      </c>
      <c r="L164" s="760"/>
      <c r="M164" s="767"/>
      <c r="N164" s="168"/>
      <c r="O164" s="768"/>
      <c r="P164" s="170"/>
      <c r="Q164" s="7"/>
      <c r="R164" s="766"/>
      <c r="S164" s="170"/>
      <c r="T164" s="168"/>
      <c r="U164" s="170"/>
    </row>
    <row x14ac:dyDescent="0.25" r="165" customHeight="1" ht="18.75">
      <c r="A165" s="1"/>
      <c r="B165" s="799">
        <f>+DATE(YEAR(B164),MONTH(B164)+1,DAY(B164))</f>
        <v>25569.041666666668</v>
      </c>
      <c r="C165" s="799">
        <f>+B166-1</f>
        <v>25569.041666666668</v>
      </c>
      <c r="D165" s="791">
        <f>-_xlfn.DAYS($C$3,C165)/365.25</f>
      </c>
      <c r="E165" s="800">
        <f>IF($D$17+40&lt;=D165,(1+$D$7)^-(D165-$C$5),(1+$C$7)^-(D165-$C$5))</f>
      </c>
      <c r="F165" s="801">
        <f>IF($C$4="Hombre",(+VLOOKUP(INT(D165)+1,Tablas!$G$9:$K$1240,5,0)*(D165-INT(D165))+VLOOKUP(INT(D165),Tablas!$G$9:$K$1240,5,0)*(INT(D165)+1-D165))/(VLOOKUP(INT($C$5)+1,Tablas!$G$9:$K$1240,5,0)*($C$5-INT($C$5))+VLOOKUP(INT($C$5),Tablas!$G$9:$K$124,5,0)*(INT($C$5)+1-$C$5)),(+VLOOKUP(INT(D165)+1,Tablas!$G$9:$O$1240,9,0)*(D165-INT(D165))+VLOOKUP(INT(D165),Tablas!$G$9:$O$1240,9,0)*(INT(D165)+1-D165))/(VLOOKUP(INT($C$5)+1,Tablas!$G$9:$O$1240,9,0)*($C$5-INT($C$5))+VLOOKUP(INT($C$5),Tablas!$G$9:$O$124,9,0)*(INT($C$5)+1-$C$5)))</f>
      </c>
      <c r="G165" s="791">
        <f>IF($C$4="Hombre",(+VLOOKUP(INT(D165)+1,Tablas!$G$9:$K$1240,5,0)*(D165-INT(D165))+VLOOKUP(INT(D165),Tablas!$G$9:$K$1240,5,0)*(INT(D165)+1-D165)),+VLOOKUP(INT(D165)+1,Tablas!$G$9:$O$1240,9,0)*(D165-INT(D165))+VLOOKUP(INT(D165),Tablas!$G$9:$O$1240,9,0)*(INT(D165)+1-D165))</f>
      </c>
      <c r="H165" s="801">
        <f>+IF(MONTH(B165)=1,H164*(1+$C$9),H164)</f>
      </c>
      <c r="I165" s="791">
        <f>IF(B165&lt;$C$10,0,IF(B165&lt;$C$11,$C$8/12*E165*F165*H165,0))</f>
      </c>
      <c r="J165" s="791">
        <f>I165*12/14+IF(OR(MONTH(C165)=6,MONTH(C165)=12),I165*12/14,0)</f>
      </c>
      <c r="K165" s="801">
        <f>G165/$G$15</f>
      </c>
      <c r="L165" s="760"/>
      <c r="M165" s="767"/>
      <c r="N165" s="168"/>
      <c r="O165" s="768"/>
      <c r="P165" s="170"/>
      <c r="Q165" s="7"/>
      <c r="R165" s="766"/>
      <c r="S165" s="170"/>
      <c r="T165" s="168"/>
      <c r="U165" s="170"/>
    </row>
    <row x14ac:dyDescent="0.25" r="166" customHeight="1" ht="18.75">
      <c r="A166" s="1"/>
      <c r="B166" s="799">
        <f>+DATE(YEAR(B165),MONTH(B165)+1,DAY(B165))</f>
        <v>25569.041666666668</v>
      </c>
      <c r="C166" s="799">
        <f>+B167-1</f>
        <v>25569.041666666668</v>
      </c>
      <c r="D166" s="791">
        <f>-_xlfn.DAYS($C$3,C166)/365.25</f>
      </c>
      <c r="E166" s="800">
        <f>IF($D$17+40&lt;=D166,(1+$D$7)^-(D166-$C$5),(1+$C$7)^-(D166-$C$5))</f>
      </c>
      <c r="F166" s="801">
        <f>IF($C$4="Hombre",(+VLOOKUP(INT(D166)+1,Tablas!$G$9:$K$1240,5,0)*(D166-INT(D166))+VLOOKUP(INT(D166),Tablas!$G$9:$K$1240,5,0)*(INT(D166)+1-D166))/(VLOOKUP(INT($C$5)+1,Tablas!$G$9:$K$1240,5,0)*($C$5-INT($C$5))+VLOOKUP(INT($C$5),Tablas!$G$9:$K$124,5,0)*(INT($C$5)+1-$C$5)),(+VLOOKUP(INT(D166)+1,Tablas!$G$9:$O$1240,9,0)*(D166-INT(D166))+VLOOKUP(INT(D166),Tablas!$G$9:$O$1240,9,0)*(INT(D166)+1-D166))/(VLOOKUP(INT($C$5)+1,Tablas!$G$9:$O$1240,9,0)*($C$5-INT($C$5))+VLOOKUP(INT($C$5),Tablas!$G$9:$O$124,9,0)*(INT($C$5)+1-$C$5)))</f>
      </c>
      <c r="G166" s="791">
        <f>IF($C$4="Hombre",(+VLOOKUP(INT(D166)+1,Tablas!$G$9:$K$1240,5,0)*(D166-INT(D166))+VLOOKUP(INT(D166),Tablas!$G$9:$K$1240,5,0)*(INT(D166)+1-D166)),+VLOOKUP(INT(D166)+1,Tablas!$G$9:$O$1240,9,0)*(D166-INT(D166))+VLOOKUP(INT(D166),Tablas!$G$9:$O$1240,9,0)*(INT(D166)+1-D166))</f>
      </c>
      <c r="H166" s="801">
        <f>+IF(MONTH(B166)=1,H165*(1+$C$9),H165)</f>
      </c>
      <c r="I166" s="791">
        <f>IF(B166&lt;$C$10,0,IF(B166&lt;$C$11,$C$8/12*E166*F166*H166,0))</f>
      </c>
      <c r="J166" s="791">
        <f>I166*12/14+IF(OR(MONTH(C166)=6,MONTH(C166)=12),I166*12/14,0)</f>
      </c>
      <c r="K166" s="801">
        <f>G166/$G$15</f>
      </c>
      <c r="L166" s="760"/>
      <c r="M166" s="767"/>
      <c r="N166" s="168"/>
      <c r="O166" s="768"/>
      <c r="P166" s="170"/>
      <c r="Q166" s="7"/>
      <c r="R166" s="766"/>
      <c r="S166" s="170"/>
      <c r="T166" s="168"/>
      <c r="U166" s="170"/>
    </row>
    <row x14ac:dyDescent="0.25" r="167" customHeight="1" ht="18.75">
      <c r="A167" s="1"/>
      <c r="B167" s="799">
        <f>+DATE(YEAR(B166),MONTH(B166)+1,DAY(B166))</f>
        <v>25569.041666666668</v>
      </c>
      <c r="C167" s="799">
        <f>+B168-1</f>
        <v>25569.041666666668</v>
      </c>
      <c r="D167" s="791">
        <f>-_xlfn.DAYS($C$3,C167)/365.25</f>
      </c>
      <c r="E167" s="800">
        <f>IF($D$17+40&lt;=D167,(1+$D$7)^-(D167-$C$5),(1+$C$7)^-(D167-$C$5))</f>
      </c>
      <c r="F167" s="801">
        <f>IF($C$4="Hombre",(+VLOOKUP(INT(D167)+1,Tablas!$G$9:$K$1240,5,0)*(D167-INT(D167))+VLOOKUP(INT(D167),Tablas!$G$9:$K$1240,5,0)*(INT(D167)+1-D167))/(VLOOKUP(INT($C$5)+1,Tablas!$G$9:$K$1240,5,0)*($C$5-INT($C$5))+VLOOKUP(INT($C$5),Tablas!$G$9:$K$124,5,0)*(INT($C$5)+1-$C$5)),(+VLOOKUP(INT(D167)+1,Tablas!$G$9:$O$1240,9,0)*(D167-INT(D167))+VLOOKUP(INT(D167),Tablas!$G$9:$O$1240,9,0)*(INT(D167)+1-D167))/(VLOOKUP(INT($C$5)+1,Tablas!$G$9:$O$1240,9,0)*($C$5-INT($C$5))+VLOOKUP(INT($C$5),Tablas!$G$9:$O$124,9,0)*(INT($C$5)+1-$C$5)))</f>
      </c>
      <c r="G167" s="791">
        <f>IF($C$4="Hombre",(+VLOOKUP(INT(D167)+1,Tablas!$G$9:$K$1240,5,0)*(D167-INT(D167))+VLOOKUP(INT(D167),Tablas!$G$9:$K$1240,5,0)*(INT(D167)+1-D167)),+VLOOKUP(INT(D167)+1,Tablas!$G$9:$O$1240,9,0)*(D167-INT(D167))+VLOOKUP(INT(D167),Tablas!$G$9:$O$1240,9,0)*(INT(D167)+1-D167))</f>
      </c>
      <c r="H167" s="801">
        <f>+IF(MONTH(B167)=1,H166*(1+$C$9),H166)</f>
      </c>
      <c r="I167" s="791">
        <f>IF(B167&lt;$C$10,0,IF(B167&lt;$C$11,$C$8/12*E167*F167*H167,0))</f>
      </c>
      <c r="J167" s="791">
        <f>I167*12/14+IF(OR(MONTH(C167)=6,MONTH(C167)=12),I167*12/14,0)</f>
      </c>
      <c r="K167" s="801">
        <f>G167/$G$15</f>
      </c>
      <c r="L167" s="760"/>
      <c r="M167" s="767"/>
      <c r="N167" s="168"/>
      <c r="O167" s="768"/>
      <c r="P167" s="170"/>
      <c r="Q167" s="7"/>
      <c r="R167" s="766"/>
      <c r="S167" s="170"/>
      <c r="T167" s="168"/>
      <c r="U167" s="170"/>
    </row>
    <row x14ac:dyDescent="0.25" r="168" customHeight="1" ht="18.75">
      <c r="A168" s="1"/>
      <c r="B168" s="799">
        <f>+DATE(YEAR(B167),MONTH(B167)+1,DAY(B167))</f>
        <v>25569.041666666668</v>
      </c>
      <c r="C168" s="799">
        <f>+B169-1</f>
        <v>25569.041666666668</v>
      </c>
      <c r="D168" s="791">
        <f>-_xlfn.DAYS($C$3,C168)/365.25</f>
      </c>
      <c r="E168" s="800">
        <f>IF($D$17+40&lt;=D168,(1+$D$7)^-(D168-$C$5),(1+$C$7)^-(D168-$C$5))</f>
      </c>
      <c r="F168" s="801">
        <f>IF($C$4="Hombre",(+VLOOKUP(INT(D168)+1,Tablas!$G$9:$K$1240,5,0)*(D168-INT(D168))+VLOOKUP(INT(D168),Tablas!$G$9:$K$1240,5,0)*(INT(D168)+1-D168))/(VLOOKUP(INT($C$5)+1,Tablas!$G$9:$K$1240,5,0)*($C$5-INT($C$5))+VLOOKUP(INT($C$5),Tablas!$G$9:$K$124,5,0)*(INT($C$5)+1-$C$5)),(+VLOOKUP(INT(D168)+1,Tablas!$G$9:$O$1240,9,0)*(D168-INT(D168))+VLOOKUP(INT(D168),Tablas!$G$9:$O$1240,9,0)*(INT(D168)+1-D168))/(VLOOKUP(INT($C$5)+1,Tablas!$G$9:$O$1240,9,0)*($C$5-INT($C$5))+VLOOKUP(INT($C$5),Tablas!$G$9:$O$124,9,0)*(INT($C$5)+1-$C$5)))</f>
      </c>
      <c r="G168" s="791">
        <f>IF($C$4="Hombre",(+VLOOKUP(INT(D168)+1,Tablas!$G$9:$K$1240,5,0)*(D168-INT(D168))+VLOOKUP(INT(D168),Tablas!$G$9:$K$1240,5,0)*(INT(D168)+1-D168)),+VLOOKUP(INT(D168)+1,Tablas!$G$9:$O$1240,9,0)*(D168-INT(D168))+VLOOKUP(INT(D168),Tablas!$G$9:$O$1240,9,0)*(INT(D168)+1-D168))</f>
      </c>
      <c r="H168" s="801">
        <f>+IF(MONTH(B168)=1,H167*(1+$C$9),H167)</f>
      </c>
      <c r="I168" s="791">
        <f>IF(B168&lt;$C$10,0,IF(B168&lt;$C$11,$C$8/12*E168*F168*H168,0))</f>
      </c>
      <c r="J168" s="791">
        <f>I168*12/14+IF(OR(MONTH(C168)=6,MONTH(C168)=12),I168*12/14,0)</f>
      </c>
      <c r="K168" s="801">
        <f>G168/$G$15</f>
      </c>
      <c r="L168" s="760"/>
      <c r="M168" s="767"/>
      <c r="N168" s="168"/>
      <c r="O168" s="768"/>
      <c r="P168" s="170"/>
      <c r="Q168" s="7"/>
      <c r="R168" s="766"/>
      <c r="S168" s="170"/>
      <c r="T168" s="168"/>
      <c r="U168" s="170"/>
    </row>
    <row x14ac:dyDescent="0.25" r="169" customHeight="1" ht="18.75">
      <c r="A169" s="1"/>
      <c r="B169" s="799">
        <f>+DATE(YEAR(B168),MONTH(B168)+1,DAY(B168))</f>
        <v>25569.041666666668</v>
      </c>
      <c r="C169" s="799">
        <f>+B170-1</f>
        <v>25569.041666666668</v>
      </c>
      <c r="D169" s="791">
        <f>-_xlfn.DAYS($C$3,C169)/365.25</f>
      </c>
      <c r="E169" s="800">
        <f>IF($D$17+40&lt;=D169,(1+$D$7)^-(D169-$C$5),(1+$C$7)^-(D169-$C$5))</f>
      </c>
      <c r="F169" s="801">
        <f>IF($C$4="Hombre",(+VLOOKUP(INT(D169)+1,Tablas!$G$9:$K$1240,5,0)*(D169-INT(D169))+VLOOKUP(INT(D169),Tablas!$G$9:$K$1240,5,0)*(INT(D169)+1-D169))/(VLOOKUP(INT($C$5)+1,Tablas!$G$9:$K$1240,5,0)*($C$5-INT($C$5))+VLOOKUP(INT($C$5),Tablas!$G$9:$K$124,5,0)*(INT($C$5)+1-$C$5)),(+VLOOKUP(INT(D169)+1,Tablas!$G$9:$O$1240,9,0)*(D169-INT(D169))+VLOOKUP(INT(D169),Tablas!$G$9:$O$1240,9,0)*(INT(D169)+1-D169))/(VLOOKUP(INT($C$5)+1,Tablas!$G$9:$O$1240,9,0)*($C$5-INT($C$5))+VLOOKUP(INT($C$5),Tablas!$G$9:$O$124,9,0)*(INT($C$5)+1-$C$5)))</f>
      </c>
      <c r="G169" s="791">
        <f>IF($C$4="Hombre",(+VLOOKUP(INT(D169)+1,Tablas!$G$9:$K$1240,5,0)*(D169-INT(D169))+VLOOKUP(INT(D169),Tablas!$G$9:$K$1240,5,0)*(INT(D169)+1-D169)),+VLOOKUP(INT(D169)+1,Tablas!$G$9:$O$1240,9,0)*(D169-INT(D169))+VLOOKUP(INT(D169),Tablas!$G$9:$O$1240,9,0)*(INT(D169)+1-D169))</f>
      </c>
      <c r="H169" s="801">
        <f>+IF(MONTH(B169)=1,H168*(1+$C$9),H168)</f>
      </c>
      <c r="I169" s="791">
        <f>IF(B169&lt;$C$10,0,IF(B169&lt;$C$11,$C$8/12*E169*F169*H169,0))</f>
      </c>
      <c r="J169" s="791">
        <f>I169*12/14+IF(OR(MONTH(C169)=6,MONTH(C169)=12),I169*12/14,0)</f>
      </c>
      <c r="K169" s="801">
        <f>G169/$G$15</f>
      </c>
      <c r="L169" s="760"/>
      <c r="M169" s="767"/>
      <c r="N169" s="168"/>
      <c r="O169" s="768"/>
      <c r="P169" s="170"/>
      <c r="Q169" s="7"/>
      <c r="R169" s="766"/>
      <c r="S169" s="170"/>
      <c r="T169" s="168"/>
      <c r="U169" s="170"/>
    </row>
    <row x14ac:dyDescent="0.25" r="170" customHeight="1" ht="18.75">
      <c r="A170" s="1"/>
      <c r="B170" s="799">
        <f>+DATE(YEAR(B169),MONTH(B169)+1,DAY(B169))</f>
        <v>25569.041666666668</v>
      </c>
      <c r="C170" s="799">
        <f>+B171-1</f>
        <v>25569.041666666668</v>
      </c>
      <c r="D170" s="791">
        <f>-_xlfn.DAYS($C$3,C170)/365.25</f>
      </c>
      <c r="E170" s="800">
        <f>IF($D$17+40&lt;=D170,(1+$D$7)^-(D170-$C$5),(1+$C$7)^-(D170-$C$5))</f>
      </c>
      <c r="F170" s="801">
        <f>IF($C$4="Hombre",(+VLOOKUP(INT(D170)+1,Tablas!$G$9:$K$1240,5,0)*(D170-INT(D170))+VLOOKUP(INT(D170),Tablas!$G$9:$K$1240,5,0)*(INT(D170)+1-D170))/(VLOOKUP(INT($C$5)+1,Tablas!$G$9:$K$1240,5,0)*($C$5-INT($C$5))+VLOOKUP(INT($C$5),Tablas!$G$9:$K$124,5,0)*(INT($C$5)+1-$C$5)),(+VLOOKUP(INT(D170)+1,Tablas!$G$9:$O$1240,9,0)*(D170-INT(D170))+VLOOKUP(INT(D170),Tablas!$G$9:$O$1240,9,0)*(INT(D170)+1-D170))/(VLOOKUP(INT($C$5)+1,Tablas!$G$9:$O$1240,9,0)*($C$5-INT($C$5))+VLOOKUP(INT($C$5),Tablas!$G$9:$O$124,9,0)*(INT($C$5)+1-$C$5)))</f>
      </c>
      <c r="G170" s="791">
        <f>IF($C$4="Hombre",(+VLOOKUP(INT(D170)+1,Tablas!$G$9:$K$1240,5,0)*(D170-INT(D170))+VLOOKUP(INT(D170),Tablas!$G$9:$K$1240,5,0)*(INT(D170)+1-D170)),+VLOOKUP(INT(D170)+1,Tablas!$G$9:$O$1240,9,0)*(D170-INT(D170))+VLOOKUP(INT(D170),Tablas!$G$9:$O$1240,9,0)*(INT(D170)+1-D170))</f>
      </c>
      <c r="H170" s="801">
        <f>+IF(MONTH(B170)=1,H169*(1+$C$9),H169)</f>
      </c>
      <c r="I170" s="791">
        <f>IF(B170&lt;$C$10,0,IF(B170&lt;$C$11,$C$8/12*E170*F170*H170,0))</f>
      </c>
      <c r="J170" s="791">
        <f>I170*12/14+IF(OR(MONTH(C170)=6,MONTH(C170)=12),I170*12/14,0)</f>
      </c>
      <c r="K170" s="801">
        <f>G170/$G$15</f>
      </c>
      <c r="L170" s="760"/>
      <c r="M170" s="767"/>
      <c r="N170" s="168"/>
      <c r="O170" s="768"/>
      <c r="P170" s="170"/>
      <c r="Q170" s="7"/>
      <c r="R170" s="766"/>
      <c r="S170" s="170"/>
      <c r="T170" s="168"/>
      <c r="U170" s="170"/>
    </row>
    <row x14ac:dyDescent="0.25" r="171" customHeight="1" ht="18.75">
      <c r="A171" s="1"/>
      <c r="B171" s="799">
        <f>+DATE(YEAR(B170),MONTH(B170)+1,DAY(B170))</f>
        <v>25569.041666666668</v>
      </c>
      <c r="C171" s="799">
        <f>+B172-1</f>
        <v>25569.041666666668</v>
      </c>
      <c r="D171" s="791">
        <f>-_xlfn.DAYS($C$3,C171)/365.25</f>
      </c>
      <c r="E171" s="800">
        <f>IF($D$17+40&lt;=D171,(1+$D$7)^-(D171-$C$5),(1+$C$7)^-(D171-$C$5))</f>
      </c>
      <c r="F171" s="801">
        <f>IF($C$4="Hombre",(+VLOOKUP(INT(D171)+1,Tablas!$G$9:$K$1240,5,0)*(D171-INT(D171))+VLOOKUP(INT(D171),Tablas!$G$9:$K$1240,5,0)*(INT(D171)+1-D171))/(VLOOKUP(INT($C$5)+1,Tablas!$G$9:$K$1240,5,0)*($C$5-INT($C$5))+VLOOKUP(INT($C$5),Tablas!$G$9:$K$124,5,0)*(INT($C$5)+1-$C$5)),(+VLOOKUP(INT(D171)+1,Tablas!$G$9:$O$1240,9,0)*(D171-INT(D171))+VLOOKUP(INT(D171),Tablas!$G$9:$O$1240,9,0)*(INT(D171)+1-D171))/(VLOOKUP(INT($C$5)+1,Tablas!$G$9:$O$1240,9,0)*($C$5-INT($C$5))+VLOOKUP(INT($C$5),Tablas!$G$9:$O$124,9,0)*(INT($C$5)+1-$C$5)))</f>
      </c>
      <c r="G171" s="791">
        <f>IF($C$4="Hombre",(+VLOOKUP(INT(D171)+1,Tablas!$G$9:$K$1240,5,0)*(D171-INT(D171))+VLOOKUP(INT(D171),Tablas!$G$9:$K$1240,5,0)*(INT(D171)+1-D171)),+VLOOKUP(INT(D171)+1,Tablas!$G$9:$O$1240,9,0)*(D171-INT(D171))+VLOOKUP(INT(D171),Tablas!$G$9:$O$1240,9,0)*(INT(D171)+1-D171))</f>
      </c>
      <c r="H171" s="801">
        <f>+IF(MONTH(B171)=1,H170*(1+$C$9),H170)</f>
      </c>
      <c r="I171" s="791">
        <f>IF(B171&lt;$C$10,0,IF(B171&lt;$C$11,$C$8/12*E171*F171*H171,0))</f>
      </c>
      <c r="J171" s="791">
        <f>I171*12/14+IF(OR(MONTH(C171)=6,MONTH(C171)=12),I171*12/14,0)</f>
      </c>
      <c r="K171" s="801">
        <f>G171/$G$15</f>
      </c>
      <c r="L171" s="760"/>
      <c r="M171" s="767"/>
      <c r="N171" s="168"/>
      <c r="O171" s="768"/>
      <c r="P171" s="170"/>
      <c r="Q171" s="7"/>
      <c r="R171" s="766"/>
      <c r="S171" s="170"/>
      <c r="T171" s="168"/>
      <c r="U171" s="170"/>
    </row>
    <row x14ac:dyDescent="0.25" r="172" customHeight="1" ht="18.75">
      <c r="A172" s="1"/>
      <c r="B172" s="799">
        <f>+DATE(YEAR(B171),MONTH(B171)+1,DAY(B171))</f>
        <v>25569.041666666668</v>
      </c>
      <c r="C172" s="799">
        <f>+B173-1</f>
        <v>25569.041666666668</v>
      </c>
      <c r="D172" s="791">
        <f>-_xlfn.DAYS($C$3,C172)/365.25</f>
      </c>
      <c r="E172" s="800">
        <f>IF($D$17+40&lt;=D172,(1+$D$7)^-(D172-$C$5),(1+$C$7)^-(D172-$C$5))</f>
      </c>
      <c r="F172" s="801">
        <f>IF($C$4="Hombre",(+VLOOKUP(INT(D172)+1,Tablas!$G$9:$K$1240,5,0)*(D172-INT(D172))+VLOOKUP(INT(D172),Tablas!$G$9:$K$1240,5,0)*(INT(D172)+1-D172))/(VLOOKUP(INT($C$5)+1,Tablas!$G$9:$K$1240,5,0)*($C$5-INT($C$5))+VLOOKUP(INT($C$5),Tablas!$G$9:$K$124,5,0)*(INT($C$5)+1-$C$5)),(+VLOOKUP(INT(D172)+1,Tablas!$G$9:$O$1240,9,0)*(D172-INT(D172))+VLOOKUP(INT(D172),Tablas!$G$9:$O$1240,9,0)*(INT(D172)+1-D172))/(VLOOKUP(INT($C$5)+1,Tablas!$G$9:$O$1240,9,0)*($C$5-INT($C$5))+VLOOKUP(INT($C$5),Tablas!$G$9:$O$124,9,0)*(INT($C$5)+1-$C$5)))</f>
      </c>
      <c r="G172" s="791">
        <f>IF($C$4="Hombre",(+VLOOKUP(INT(D172)+1,Tablas!$G$9:$K$1240,5,0)*(D172-INT(D172))+VLOOKUP(INT(D172),Tablas!$G$9:$K$1240,5,0)*(INT(D172)+1-D172)),+VLOOKUP(INT(D172)+1,Tablas!$G$9:$O$1240,9,0)*(D172-INT(D172))+VLOOKUP(INT(D172),Tablas!$G$9:$O$1240,9,0)*(INT(D172)+1-D172))</f>
      </c>
      <c r="H172" s="801">
        <f>+IF(MONTH(B172)=1,H171*(1+$C$9),H171)</f>
      </c>
      <c r="I172" s="791">
        <f>IF(B172&lt;$C$10,0,IF(B172&lt;$C$11,$C$8/12*E172*F172*H172,0))</f>
      </c>
      <c r="J172" s="791">
        <f>I172*12/14+IF(OR(MONTH(C172)=6,MONTH(C172)=12),I172*12/14,0)</f>
      </c>
      <c r="K172" s="801">
        <f>G172/$G$15</f>
      </c>
      <c r="L172" s="760"/>
      <c r="M172" s="767"/>
      <c r="N172" s="168"/>
      <c r="O172" s="768"/>
      <c r="P172" s="170"/>
      <c r="Q172" s="7"/>
      <c r="R172" s="766"/>
      <c r="S172" s="170"/>
      <c r="T172" s="168"/>
      <c r="U172" s="170"/>
    </row>
    <row x14ac:dyDescent="0.25" r="173" customHeight="1" ht="18.75">
      <c r="A173" s="1"/>
      <c r="B173" s="799">
        <f>+DATE(YEAR(B172),MONTH(B172)+1,DAY(B172))</f>
        <v>25569.041666666668</v>
      </c>
      <c r="C173" s="799">
        <f>+B174-1</f>
        <v>25569.041666666668</v>
      </c>
      <c r="D173" s="791">
        <f>-_xlfn.DAYS($C$3,C173)/365.25</f>
      </c>
      <c r="E173" s="800">
        <f>IF($D$17+40&lt;=D173,(1+$D$7)^-(D173-$C$5),(1+$C$7)^-(D173-$C$5))</f>
      </c>
      <c r="F173" s="801">
        <f>IF($C$4="Hombre",(+VLOOKUP(INT(D173)+1,Tablas!$G$9:$K$1240,5,0)*(D173-INT(D173))+VLOOKUP(INT(D173),Tablas!$G$9:$K$1240,5,0)*(INT(D173)+1-D173))/(VLOOKUP(INT($C$5)+1,Tablas!$G$9:$K$1240,5,0)*($C$5-INT($C$5))+VLOOKUP(INT($C$5),Tablas!$G$9:$K$124,5,0)*(INT($C$5)+1-$C$5)),(+VLOOKUP(INT(D173)+1,Tablas!$G$9:$O$1240,9,0)*(D173-INT(D173))+VLOOKUP(INT(D173),Tablas!$G$9:$O$1240,9,0)*(INT(D173)+1-D173))/(VLOOKUP(INT($C$5)+1,Tablas!$G$9:$O$1240,9,0)*($C$5-INT($C$5))+VLOOKUP(INT($C$5),Tablas!$G$9:$O$124,9,0)*(INT($C$5)+1-$C$5)))</f>
      </c>
      <c r="G173" s="791">
        <f>IF($C$4="Hombre",(+VLOOKUP(INT(D173)+1,Tablas!$G$9:$K$1240,5,0)*(D173-INT(D173))+VLOOKUP(INT(D173),Tablas!$G$9:$K$1240,5,0)*(INT(D173)+1-D173)),+VLOOKUP(INT(D173)+1,Tablas!$G$9:$O$1240,9,0)*(D173-INT(D173))+VLOOKUP(INT(D173),Tablas!$G$9:$O$1240,9,0)*(INT(D173)+1-D173))</f>
      </c>
      <c r="H173" s="801">
        <f>+IF(MONTH(B173)=1,H172*(1+$C$9),H172)</f>
      </c>
      <c r="I173" s="791">
        <f>IF(B173&lt;$C$10,0,IF(B173&lt;$C$11,$C$8/12*E173*F173*H173,0))</f>
      </c>
      <c r="J173" s="791">
        <f>I173*12/14+IF(OR(MONTH(C173)=6,MONTH(C173)=12),I173*12/14,0)</f>
      </c>
      <c r="K173" s="801">
        <f>G173/$G$15</f>
      </c>
      <c r="L173" s="760"/>
      <c r="M173" s="767"/>
      <c r="N173" s="168"/>
      <c r="O173" s="768"/>
      <c r="P173" s="170"/>
      <c r="Q173" s="7"/>
      <c r="R173" s="766"/>
      <c r="S173" s="170"/>
      <c r="T173" s="168"/>
      <c r="U173" s="170"/>
    </row>
    <row x14ac:dyDescent="0.25" r="174" customHeight="1" ht="18.75">
      <c r="A174" s="1"/>
      <c r="B174" s="799">
        <f>+DATE(YEAR(B173),MONTH(B173)+1,DAY(B173))</f>
        <v>25569.041666666668</v>
      </c>
      <c r="C174" s="799">
        <f>+B175-1</f>
        <v>25569.041666666668</v>
      </c>
      <c r="D174" s="791">
        <f>-_xlfn.DAYS($C$3,C174)/365.25</f>
      </c>
      <c r="E174" s="800">
        <f>IF($D$17+40&lt;=D174,(1+$D$7)^-(D174-$C$5),(1+$C$7)^-(D174-$C$5))</f>
      </c>
      <c r="F174" s="801">
        <f>IF($C$4="Hombre",(+VLOOKUP(INT(D174)+1,Tablas!$G$9:$K$1240,5,0)*(D174-INT(D174))+VLOOKUP(INT(D174),Tablas!$G$9:$K$1240,5,0)*(INT(D174)+1-D174))/(VLOOKUP(INT($C$5)+1,Tablas!$G$9:$K$1240,5,0)*($C$5-INT($C$5))+VLOOKUP(INT($C$5),Tablas!$G$9:$K$124,5,0)*(INT($C$5)+1-$C$5)),(+VLOOKUP(INT(D174)+1,Tablas!$G$9:$O$1240,9,0)*(D174-INT(D174))+VLOOKUP(INT(D174),Tablas!$G$9:$O$1240,9,0)*(INT(D174)+1-D174))/(VLOOKUP(INT($C$5)+1,Tablas!$G$9:$O$1240,9,0)*($C$5-INT($C$5))+VLOOKUP(INT($C$5),Tablas!$G$9:$O$124,9,0)*(INT($C$5)+1-$C$5)))</f>
      </c>
      <c r="G174" s="791">
        <f>IF($C$4="Hombre",(+VLOOKUP(INT(D174)+1,Tablas!$G$9:$K$1240,5,0)*(D174-INT(D174))+VLOOKUP(INT(D174),Tablas!$G$9:$K$1240,5,0)*(INT(D174)+1-D174)),+VLOOKUP(INT(D174)+1,Tablas!$G$9:$O$1240,9,0)*(D174-INT(D174))+VLOOKUP(INT(D174),Tablas!$G$9:$O$1240,9,0)*(INT(D174)+1-D174))</f>
      </c>
      <c r="H174" s="801">
        <f>+IF(MONTH(B174)=1,H173*(1+$C$9),H173)</f>
      </c>
      <c r="I174" s="791">
        <f>IF(B174&lt;$C$10,0,IF(B174&lt;$C$11,$C$8/12*E174*F174*H174,0))</f>
      </c>
      <c r="J174" s="791">
        <f>I174*12/14+IF(OR(MONTH(C174)=6,MONTH(C174)=12),I174*12/14,0)</f>
      </c>
      <c r="K174" s="801">
        <f>G174/$G$15</f>
      </c>
      <c r="L174" s="760"/>
      <c r="M174" s="767"/>
      <c r="N174" s="168"/>
      <c r="O174" s="768"/>
      <c r="P174" s="170"/>
      <c r="Q174" s="7"/>
      <c r="R174" s="766"/>
      <c r="S174" s="170"/>
      <c r="T174" s="168"/>
      <c r="U174" s="170"/>
    </row>
    <row x14ac:dyDescent="0.25" r="175" customHeight="1" ht="18.75">
      <c r="A175" s="1"/>
      <c r="B175" s="799">
        <f>+DATE(YEAR(B174),MONTH(B174)+1,DAY(B174))</f>
        <v>25569.041666666668</v>
      </c>
      <c r="C175" s="799">
        <f>+B176-1</f>
        <v>25569.041666666668</v>
      </c>
      <c r="D175" s="791">
        <f>-_xlfn.DAYS($C$3,C175)/365.25</f>
      </c>
      <c r="E175" s="800">
        <f>IF($D$17+40&lt;=D175,(1+$D$7)^-(D175-$C$5),(1+$C$7)^-(D175-$C$5))</f>
      </c>
      <c r="F175" s="801">
        <f>IF($C$4="Hombre",(+VLOOKUP(INT(D175)+1,Tablas!$G$9:$K$1240,5,0)*(D175-INT(D175))+VLOOKUP(INT(D175),Tablas!$G$9:$K$1240,5,0)*(INT(D175)+1-D175))/(VLOOKUP(INT($C$5)+1,Tablas!$G$9:$K$1240,5,0)*($C$5-INT($C$5))+VLOOKUP(INT($C$5),Tablas!$G$9:$K$124,5,0)*(INT($C$5)+1-$C$5)),(+VLOOKUP(INT(D175)+1,Tablas!$G$9:$O$1240,9,0)*(D175-INT(D175))+VLOOKUP(INT(D175),Tablas!$G$9:$O$1240,9,0)*(INT(D175)+1-D175))/(VLOOKUP(INT($C$5)+1,Tablas!$G$9:$O$1240,9,0)*($C$5-INT($C$5))+VLOOKUP(INT($C$5),Tablas!$G$9:$O$124,9,0)*(INT($C$5)+1-$C$5)))</f>
      </c>
      <c r="G175" s="791">
        <f>IF($C$4="Hombre",(+VLOOKUP(INT(D175)+1,Tablas!$G$9:$K$1240,5,0)*(D175-INT(D175))+VLOOKUP(INT(D175),Tablas!$G$9:$K$1240,5,0)*(INT(D175)+1-D175)),+VLOOKUP(INT(D175)+1,Tablas!$G$9:$O$1240,9,0)*(D175-INT(D175))+VLOOKUP(INT(D175),Tablas!$G$9:$O$1240,9,0)*(INT(D175)+1-D175))</f>
      </c>
      <c r="H175" s="801">
        <f>+IF(MONTH(B175)=1,H174*(1+$C$9),H174)</f>
      </c>
      <c r="I175" s="791">
        <f>IF(B175&lt;$C$10,0,IF(B175&lt;$C$11,$C$8/12*E175*F175*H175,0))</f>
      </c>
      <c r="J175" s="791">
        <f>I175*12/14+IF(OR(MONTH(C175)=6,MONTH(C175)=12),I175*12/14,0)</f>
      </c>
      <c r="K175" s="801">
        <f>G175/$G$15</f>
      </c>
      <c r="L175" s="760"/>
      <c r="M175" s="767"/>
      <c r="N175" s="168"/>
      <c r="O175" s="768"/>
      <c r="P175" s="170"/>
      <c r="Q175" s="7"/>
      <c r="R175" s="766"/>
      <c r="S175" s="170"/>
      <c r="T175" s="168"/>
      <c r="U175" s="170"/>
    </row>
    <row x14ac:dyDescent="0.25" r="176" customHeight="1" ht="18.75">
      <c r="A176" s="1"/>
      <c r="B176" s="799">
        <f>+DATE(YEAR(B175),MONTH(B175)+1,DAY(B175))</f>
        <v>25569.041666666668</v>
      </c>
      <c r="C176" s="799">
        <f>+B177-1</f>
        <v>25569.041666666668</v>
      </c>
      <c r="D176" s="791">
        <f>-_xlfn.DAYS($C$3,C176)/365.25</f>
      </c>
      <c r="E176" s="800">
        <f>IF($D$17+40&lt;=D176,(1+$D$7)^-(D176-$C$5),(1+$C$7)^-(D176-$C$5))</f>
      </c>
      <c r="F176" s="801">
        <f>IF($C$4="Hombre",(+VLOOKUP(INT(D176)+1,Tablas!$G$9:$K$1240,5,0)*(D176-INT(D176))+VLOOKUP(INT(D176),Tablas!$G$9:$K$1240,5,0)*(INT(D176)+1-D176))/(VLOOKUP(INT($C$5)+1,Tablas!$G$9:$K$1240,5,0)*($C$5-INT($C$5))+VLOOKUP(INT($C$5),Tablas!$G$9:$K$124,5,0)*(INT($C$5)+1-$C$5)),(+VLOOKUP(INT(D176)+1,Tablas!$G$9:$O$1240,9,0)*(D176-INT(D176))+VLOOKUP(INT(D176),Tablas!$G$9:$O$1240,9,0)*(INT(D176)+1-D176))/(VLOOKUP(INT($C$5)+1,Tablas!$G$9:$O$1240,9,0)*($C$5-INT($C$5))+VLOOKUP(INT($C$5),Tablas!$G$9:$O$124,9,0)*(INT($C$5)+1-$C$5)))</f>
      </c>
      <c r="G176" s="791">
        <f>IF($C$4="Hombre",(+VLOOKUP(INT(D176)+1,Tablas!$G$9:$K$1240,5,0)*(D176-INT(D176))+VLOOKUP(INT(D176),Tablas!$G$9:$K$1240,5,0)*(INT(D176)+1-D176)),+VLOOKUP(INT(D176)+1,Tablas!$G$9:$O$1240,9,0)*(D176-INT(D176))+VLOOKUP(INT(D176),Tablas!$G$9:$O$1240,9,0)*(INT(D176)+1-D176))</f>
      </c>
      <c r="H176" s="801">
        <f>+IF(MONTH(B176)=1,H175*(1+$C$9),H175)</f>
      </c>
      <c r="I176" s="791">
        <f>IF(B176&lt;$C$10,0,IF(B176&lt;$C$11,$C$8/12*E176*F176*H176,0))</f>
      </c>
      <c r="J176" s="791">
        <f>I176*12/14+IF(OR(MONTH(C176)=6,MONTH(C176)=12),I176*12/14,0)</f>
      </c>
      <c r="K176" s="801">
        <f>G176/$G$15</f>
      </c>
      <c r="L176" s="760"/>
      <c r="M176" s="767"/>
      <c r="N176" s="168"/>
      <c r="O176" s="768"/>
      <c r="P176" s="170"/>
      <c r="Q176" s="7"/>
      <c r="R176" s="766"/>
      <c r="S176" s="170"/>
      <c r="T176" s="168"/>
      <c r="U176" s="170"/>
    </row>
    <row x14ac:dyDescent="0.25" r="177" customHeight="1" ht="18.75">
      <c r="A177" s="1"/>
      <c r="B177" s="799">
        <f>+DATE(YEAR(B176),MONTH(B176)+1,DAY(B176))</f>
        <v>25569.041666666668</v>
      </c>
      <c r="C177" s="799">
        <f>+B178-1</f>
        <v>25569.041666666668</v>
      </c>
      <c r="D177" s="791">
        <f>-_xlfn.DAYS($C$3,C177)/365.25</f>
      </c>
      <c r="E177" s="800">
        <f>IF($D$17+40&lt;=D177,(1+$D$7)^-(D177-$C$5),(1+$C$7)^-(D177-$C$5))</f>
      </c>
      <c r="F177" s="801">
        <f>IF($C$4="Hombre",(+VLOOKUP(INT(D177)+1,Tablas!$G$9:$K$1240,5,0)*(D177-INT(D177))+VLOOKUP(INT(D177),Tablas!$G$9:$K$1240,5,0)*(INT(D177)+1-D177))/(VLOOKUP(INT($C$5)+1,Tablas!$G$9:$K$1240,5,0)*($C$5-INT($C$5))+VLOOKUP(INT($C$5),Tablas!$G$9:$K$124,5,0)*(INT($C$5)+1-$C$5)),(+VLOOKUP(INT(D177)+1,Tablas!$G$9:$O$1240,9,0)*(D177-INT(D177))+VLOOKUP(INT(D177),Tablas!$G$9:$O$1240,9,0)*(INT(D177)+1-D177))/(VLOOKUP(INT($C$5)+1,Tablas!$G$9:$O$1240,9,0)*($C$5-INT($C$5))+VLOOKUP(INT($C$5),Tablas!$G$9:$O$124,9,0)*(INT($C$5)+1-$C$5)))</f>
      </c>
      <c r="G177" s="791">
        <f>IF($C$4="Hombre",(+VLOOKUP(INT(D177)+1,Tablas!$G$9:$K$1240,5,0)*(D177-INT(D177))+VLOOKUP(INT(D177),Tablas!$G$9:$K$1240,5,0)*(INT(D177)+1-D177)),+VLOOKUP(INT(D177)+1,Tablas!$G$9:$O$1240,9,0)*(D177-INT(D177))+VLOOKUP(INT(D177),Tablas!$G$9:$O$1240,9,0)*(INT(D177)+1-D177))</f>
      </c>
      <c r="H177" s="801">
        <f>+IF(MONTH(B177)=1,H176*(1+$C$9),H176)</f>
      </c>
      <c r="I177" s="791">
        <f>IF(B177&lt;$C$10,0,IF(B177&lt;$C$11,$C$8/12*E177*F177*H177,0))</f>
      </c>
      <c r="J177" s="791">
        <f>I177*12/14+IF(OR(MONTH(C177)=6,MONTH(C177)=12),I177*12/14,0)</f>
      </c>
      <c r="K177" s="801">
        <f>G177/$G$15</f>
      </c>
      <c r="L177" s="760"/>
      <c r="M177" s="767"/>
      <c r="N177" s="168"/>
      <c r="O177" s="768"/>
      <c r="P177" s="170"/>
      <c r="Q177" s="7"/>
      <c r="R177" s="766"/>
      <c r="S177" s="170"/>
      <c r="T177" s="168"/>
      <c r="U177" s="170"/>
    </row>
    <row x14ac:dyDescent="0.25" r="178" customHeight="1" ht="18.75">
      <c r="A178" s="1"/>
      <c r="B178" s="799">
        <f>+DATE(YEAR(B177),MONTH(B177)+1,DAY(B177))</f>
        <v>25569.041666666668</v>
      </c>
      <c r="C178" s="799">
        <f>+B179-1</f>
        <v>25569.041666666668</v>
      </c>
      <c r="D178" s="791">
        <f>-_xlfn.DAYS($C$3,C178)/365.25</f>
      </c>
      <c r="E178" s="800">
        <f>IF($D$17+40&lt;=D178,(1+$D$7)^-(D178-$C$5),(1+$C$7)^-(D178-$C$5))</f>
      </c>
      <c r="F178" s="801">
        <f>IF($C$4="Hombre",(+VLOOKUP(INT(D178)+1,Tablas!$G$9:$K$1240,5,0)*(D178-INT(D178))+VLOOKUP(INT(D178),Tablas!$G$9:$K$1240,5,0)*(INT(D178)+1-D178))/(VLOOKUP(INT($C$5)+1,Tablas!$G$9:$K$1240,5,0)*($C$5-INT($C$5))+VLOOKUP(INT($C$5),Tablas!$G$9:$K$124,5,0)*(INT($C$5)+1-$C$5)),(+VLOOKUP(INT(D178)+1,Tablas!$G$9:$O$1240,9,0)*(D178-INT(D178))+VLOOKUP(INT(D178),Tablas!$G$9:$O$1240,9,0)*(INT(D178)+1-D178))/(VLOOKUP(INT($C$5)+1,Tablas!$G$9:$O$1240,9,0)*($C$5-INT($C$5))+VLOOKUP(INT($C$5),Tablas!$G$9:$O$124,9,0)*(INT($C$5)+1-$C$5)))</f>
      </c>
      <c r="G178" s="791">
        <f>IF($C$4="Hombre",(+VLOOKUP(INT(D178)+1,Tablas!$G$9:$K$1240,5,0)*(D178-INT(D178))+VLOOKUP(INT(D178),Tablas!$G$9:$K$1240,5,0)*(INT(D178)+1-D178)),+VLOOKUP(INT(D178)+1,Tablas!$G$9:$O$1240,9,0)*(D178-INT(D178))+VLOOKUP(INT(D178),Tablas!$G$9:$O$1240,9,0)*(INT(D178)+1-D178))</f>
      </c>
      <c r="H178" s="801">
        <f>+IF(MONTH(B178)=1,H177*(1+$C$9),H177)</f>
      </c>
      <c r="I178" s="791">
        <f>IF(B178&lt;$C$10,0,IF(B178&lt;$C$11,$C$8/12*E178*F178*H178,0))</f>
      </c>
      <c r="J178" s="791">
        <f>I178*12/14+IF(OR(MONTH(C178)=6,MONTH(C178)=12),I178*12/14,0)</f>
      </c>
      <c r="K178" s="801">
        <f>G178/$G$15</f>
      </c>
      <c r="L178" s="760"/>
      <c r="M178" s="767"/>
      <c r="N178" s="168"/>
      <c r="O178" s="768"/>
      <c r="P178" s="170"/>
      <c r="Q178" s="7"/>
      <c r="R178" s="766"/>
      <c r="S178" s="170"/>
      <c r="T178" s="168"/>
      <c r="U178" s="170"/>
    </row>
    <row x14ac:dyDescent="0.25" r="179" customHeight="1" ht="18.75">
      <c r="A179" s="1"/>
      <c r="B179" s="799">
        <f>+DATE(YEAR(B178),MONTH(B178)+1,DAY(B178))</f>
        <v>25569.041666666668</v>
      </c>
      <c r="C179" s="799">
        <f>+B180-1</f>
        <v>25569.041666666668</v>
      </c>
      <c r="D179" s="791">
        <f>-_xlfn.DAYS($C$3,C179)/365.25</f>
      </c>
      <c r="E179" s="800">
        <f>IF($D$17+40&lt;=D179,(1+$D$7)^-(D179-$C$5),(1+$C$7)^-(D179-$C$5))</f>
      </c>
      <c r="F179" s="801">
        <f>IF($C$4="Hombre",(+VLOOKUP(INT(D179)+1,Tablas!$G$9:$K$1240,5,0)*(D179-INT(D179))+VLOOKUP(INT(D179),Tablas!$G$9:$K$1240,5,0)*(INT(D179)+1-D179))/(VLOOKUP(INT($C$5)+1,Tablas!$G$9:$K$1240,5,0)*($C$5-INT($C$5))+VLOOKUP(INT($C$5),Tablas!$G$9:$K$124,5,0)*(INT($C$5)+1-$C$5)),(+VLOOKUP(INT(D179)+1,Tablas!$G$9:$O$1240,9,0)*(D179-INT(D179))+VLOOKUP(INT(D179),Tablas!$G$9:$O$1240,9,0)*(INT(D179)+1-D179))/(VLOOKUP(INT($C$5)+1,Tablas!$G$9:$O$1240,9,0)*($C$5-INT($C$5))+VLOOKUP(INT($C$5),Tablas!$G$9:$O$124,9,0)*(INT($C$5)+1-$C$5)))</f>
      </c>
      <c r="G179" s="791">
        <f>IF($C$4="Hombre",(+VLOOKUP(INT(D179)+1,Tablas!$G$9:$K$1240,5,0)*(D179-INT(D179))+VLOOKUP(INT(D179),Tablas!$G$9:$K$1240,5,0)*(INT(D179)+1-D179)),+VLOOKUP(INT(D179)+1,Tablas!$G$9:$O$1240,9,0)*(D179-INT(D179))+VLOOKUP(INT(D179),Tablas!$G$9:$O$1240,9,0)*(INT(D179)+1-D179))</f>
      </c>
      <c r="H179" s="801">
        <f>+IF(MONTH(B179)=1,H178*(1+$C$9),H178)</f>
      </c>
      <c r="I179" s="791">
        <f>IF(B179&lt;$C$10,0,IF(B179&lt;$C$11,$C$8/12*E179*F179*H179,0))</f>
      </c>
      <c r="J179" s="791">
        <f>I179*12/14+IF(OR(MONTH(C179)=6,MONTH(C179)=12),I179*12/14,0)</f>
      </c>
      <c r="K179" s="801">
        <f>G179/$G$15</f>
      </c>
      <c r="L179" s="760"/>
      <c r="M179" s="767"/>
      <c r="N179" s="168"/>
      <c r="O179" s="768"/>
      <c r="P179" s="170"/>
      <c r="Q179" s="7"/>
      <c r="R179" s="766"/>
      <c r="S179" s="170"/>
      <c r="T179" s="168"/>
      <c r="U179" s="170"/>
    </row>
    <row x14ac:dyDescent="0.25" r="180" customHeight="1" ht="18.75">
      <c r="A180" s="1"/>
      <c r="B180" s="799">
        <f>+DATE(YEAR(B179),MONTH(B179)+1,DAY(B179))</f>
        <v>25569.041666666668</v>
      </c>
      <c r="C180" s="799">
        <f>+B181-1</f>
        <v>25569.041666666668</v>
      </c>
      <c r="D180" s="791">
        <f>-_xlfn.DAYS($C$3,C180)/365.25</f>
      </c>
      <c r="E180" s="800">
        <f>IF($D$17+40&lt;=D180,(1+$D$7)^-(D180-$C$5),(1+$C$7)^-(D180-$C$5))</f>
      </c>
      <c r="F180" s="801">
        <f>IF($C$4="Hombre",(+VLOOKUP(INT(D180)+1,Tablas!$G$9:$K$1240,5,0)*(D180-INT(D180))+VLOOKUP(INT(D180),Tablas!$G$9:$K$1240,5,0)*(INT(D180)+1-D180))/(VLOOKUP(INT($C$5)+1,Tablas!$G$9:$K$1240,5,0)*($C$5-INT($C$5))+VLOOKUP(INT($C$5),Tablas!$G$9:$K$124,5,0)*(INT($C$5)+1-$C$5)),(+VLOOKUP(INT(D180)+1,Tablas!$G$9:$O$1240,9,0)*(D180-INT(D180))+VLOOKUP(INT(D180),Tablas!$G$9:$O$1240,9,0)*(INT(D180)+1-D180))/(VLOOKUP(INT($C$5)+1,Tablas!$G$9:$O$1240,9,0)*($C$5-INT($C$5))+VLOOKUP(INT($C$5),Tablas!$G$9:$O$124,9,0)*(INT($C$5)+1-$C$5)))</f>
      </c>
      <c r="G180" s="791">
        <f>IF($C$4="Hombre",(+VLOOKUP(INT(D180)+1,Tablas!$G$9:$K$1240,5,0)*(D180-INT(D180))+VLOOKUP(INT(D180),Tablas!$G$9:$K$1240,5,0)*(INT(D180)+1-D180)),+VLOOKUP(INT(D180)+1,Tablas!$G$9:$O$1240,9,0)*(D180-INT(D180))+VLOOKUP(INT(D180),Tablas!$G$9:$O$1240,9,0)*(INT(D180)+1-D180))</f>
      </c>
      <c r="H180" s="801">
        <f>+IF(MONTH(B180)=1,H179*(1+$C$9),H179)</f>
      </c>
      <c r="I180" s="791">
        <f>IF(B180&lt;$C$10,0,IF(B180&lt;$C$11,$C$8/12*E180*F180*H180,0))</f>
      </c>
      <c r="J180" s="791">
        <f>I180*12/14+IF(OR(MONTH(C180)=6,MONTH(C180)=12),I180*12/14,0)</f>
      </c>
      <c r="K180" s="801">
        <f>G180/$G$15</f>
      </c>
      <c r="L180" s="760"/>
      <c r="M180" s="767"/>
      <c r="N180" s="168"/>
      <c r="O180" s="768"/>
      <c r="P180" s="170"/>
      <c r="Q180" s="7"/>
      <c r="R180" s="766"/>
      <c r="S180" s="170"/>
      <c r="T180" s="168"/>
      <c r="U180" s="170"/>
    </row>
    <row x14ac:dyDescent="0.25" r="181" customHeight="1" ht="18.75">
      <c r="A181" s="1"/>
      <c r="B181" s="799">
        <f>+DATE(YEAR(B180),MONTH(B180)+1,DAY(B180))</f>
        <v>25569.041666666668</v>
      </c>
      <c r="C181" s="799">
        <f>+B182-1</f>
        <v>25569.041666666668</v>
      </c>
      <c r="D181" s="791">
        <f>-_xlfn.DAYS($C$3,C181)/365.25</f>
      </c>
      <c r="E181" s="800">
        <f>IF($D$17+40&lt;=D181,(1+$D$7)^-(D181-$C$5),(1+$C$7)^-(D181-$C$5))</f>
      </c>
      <c r="F181" s="801">
        <f>IF($C$4="Hombre",(+VLOOKUP(INT(D181)+1,Tablas!$G$9:$K$1240,5,0)*(D181-INT(D181))+VLOOKUP(INT(D181),Tablas!$G$9:$K$1240,5,0)*(INT(D181)+1-D181))/(VLOOKUP(INT($C$5)+1,Tablas!$G$9:$K$1240,5,0)*($C$5-INT($C$5))+VLOOKUP(INT($C$5),Tablas!$G$9:$K$124,5,0)*(INT($C$5)+1-$C$5)),(+VLOOKUP(INT(D181)+1,Tablas!$G$9:$O$1240,9,0)*(D181-INT(D181))+VLOOKUP(INT(D181),Tablas!$G$9:$O$1240,9,0)*(INT(D181)+1-D181))/(VLOOKUP(INT($C$5)+1,Tablas!$G$9:$O$1240,9,0)*($C$5-INT($C$5))+VLOOKUP(INT($C$5),Tablas!$G$9:$O$124,9,0)*(INT($C$5)+1-$C$5)))</f>
      </c>
      <c r="G181" s="791">
        <f>IF($C$4="Hombre",(+VLOOKUP(INT(D181)+1,Tablas!$G$9:$K$1240,5,0)*(D181-INT(D181))+VLOOKUP(INT(D181),Tablas!$G$9:$K$1240,5,0)*(INT(D181)+1-D181)),+VLOOKUP(INT(D181)+1,Tablas!$G$9:$O$1240,9,0)*(D181-INT(D181))+VLOOKUP(INT(D181),Tablas!$G$9:$O$1240,9,0)*(INT(D181)+1-D181))</f>
      </c>
      <c r="H181" s="801">
        <f>+IF(MONTH(B181)=1,H180*(1+$C$9),H180)</f>
      </c>
      <c r="I181" s="791">
        <f>IF(B181&lt;$C$10,0,IF(B181&lt;$C$11,$C$8/12*E181*F181*H181,0))</f>
      </c>
      <c r="J181" s="791">
        <f>I181*12/14+IF(OR(MONTH(C181)=6,MONTH(C181)=12),I181*12/14,0)</f>
      </c>
      <c r="K181" s="801">
        <f>G181/$G$15</f>
      </c>
      <c r="L181" s="760"/>
      <c r="M181" s="767"/>
      <c r="N181" s="168"/>
      <c r="O181" s="768"/>
      <c r="P181" s="170"/>
      <c r="Q181" s="7"/>
      <c r="R181" s="766"/>
      <c r="S181" s="170"/>
      <c r="T181" s="168"/>
      <c r="U181" s="170"/>
    </row>
    <row x14ac:dyDescent="0.25" r="182" customHeight="1" ht="18.75">
      <c r="A182" s="1"/>
      <c r="B182" s="799">
        <f>+DATE(YEAR(B181),MONTH(B181)+1,DAY(B181))</f>
        <v>25569.041666666668</v>
      </c>
      <c r="C182" s="799">
        <f>+B183-1</f>
        <v>25569.041666666668</v>
      </c>
      <c r="D182" s="791">
        <f>-_xlfn.DAYS($C$3,C182)/365.25</f>
      </c>
      <c r="E182" s="800">
        <f>IF($D$17+40&lt;=D182,(1+$D$7)^-(D182-$C$5),(1+$C$7)^-(D182-$C$5))</f>
      </c>
      <c r="F182" s="801">
        <f>IF($C$4="Hombre",(+VLOOKUP(INT(D182)+1,Tablas!$G$9:$K$1240,5,0)*(D182-INT(D182))+VLOOKUP(INT(D182),Tablas!$G$9:$K$1240,5,0)*(INT(D182)+1-D182))/(VLOOKUP(INT($C$5)+1,Tablas!$G$9:$K$1240,5,0)*($C$5-INT($C$5))+VLOOKUP(INT($C$5),Tablas!$G$9:$K$124,5,0)*(INT($C$5)+1-$C$5)),(+VLOOKUP(INT(D182)+1,Tablas!$G$9:$O$1240,9,0)*(D182-INT(D182))+VLOOKUP(INT(D182),Tablas!$G$9:$O$1240,9,0)*(INT(D182)+1-D182))/(VLOOKUP(INT($C$5)+1,Tablas!$G$9:$O$1240,9,0)*($C$5-INT($C$5))+VLOOKUP(INT($C$5),Tablas!$G$9:$O$124,9,0)*(INT($C$5)+1-$C$5)))</f>
      </c>
      <c r="G182" s="791">
        <f>IF($C$4="Hombre",(+VLOOKUP(INT(D182)+1,Tablas!$G$9:$K$1240,5,0)*(D182-INT(D182))+VLOOKUP(INT(D182),Tablas!$G$9:$K$1240,5,0)*(INT(D182)+1-D182)),+VLOOKUP(INT(D182)+1,Tablas!$G$9:$O$1240,9,0)*(D182-INT(D182))+VLOOKUP(INT(D182),Tablas!$G$9:$O$1240,9,0)*(INT(D182)+1-D182))</f>
      </c>
      <c r="H182" s="801">
        <f>+IF(MONTH(B182)=1,H181*(1+$C$9),H181)</f>
      </c>
      <c r="I182" s="791">
        <f>IF(B182&lt;$C$10,0,IF(B182&lt;$C$11,$C$8/12*E182*F182*H182,0))</f>
      </c>
      <c r="J182" s="791">
        <f>I182*12/14+IF(OR(MONTH(C182)=6,MONTH(C182)=12),I182*12/14,0)</f>
      </c>
      <c r="K182" s="801">
        <f>G182/$G$15</f>
      </c>
      <c r="L182" s="760"/>
      <c r="M182" s="767"/>
      <c r="N182" s="168"/>
      <c r="O182" s="768"/>
      <c r="P182" s="170"/>
      <c r="Q182" s="7"/>
      <c r="R182" s="766"/>
      <c r="S182" s="170"/>
      <c r="T182" s="168"/>
      <c r="U182" s="170"/>
    </row>
    <row x14ac:dyDescent="0.25" r="183" customHeight="1" ht="18.75">
      <c r="A183" s="1"/>
      <c r="B183" s="799">
        <f>+DATE(YEAR(B182),MONTH(B182)+1,DAY(B182))</f>
        <v>25569.041666666668</v>
      </c>
      <c r="C183" s="799">
        <f>+B184-1</f>
        <v>25569.041666666668</v>
      </c>
      <c r="D183" s="791">
        <f>-_xlfn.DAYS($C$3,C183)/365.25</f>
      </c>
      <c r="E183" s="800">
        <f>IF($D$17+40&lt;=D183,(1+$D$7)^-(D183-$C$5),(1+$C$7)^-(D183-$C$5))</f>
      </c>
      <c r="F183" s="801">
        <f>IF($C$4="Hombre",(+VLOOKUP(INT(D183)+1,Tablas!$G$9:$K$1240,5,0)*(D183-INT(D183))+VLOOKUP(INT(D183),Tablas!$G$9:$K$1240,5,0)*(INT(D183)+1-D183))/(VLOOKUP(INT($C$5)+1,Tablas!$G$9:$K$1240,5,0)*($C$5-INT($C$5))+VLOOKUP(INT($C$5),Tablas!$G$9:$K$124,5,0)*(INT($C$5)+1-$C$5)),(+VLOOKUP(INT(D183)+1,Tablas!$G$9:$O$1240,9,0)*(D183-INT(D183))+VLOOKUP(INT(D183),Tablas!$G$9:$O$1240,9,0)*(INT(D183)+1-D183))/(VLOOKUP(INT($C$5)+1,Tablas!$G$9:$O$1240,9,0)*($C$5-INT($C$5))+VLOOKUP(INT($C$5),Tablas!$G$9:$O$124,9,0)*(INT($C$5)+1-$C$5)))</f>
      </c>
      <c r="G183" s="791">
        <f>IF($C$4="Hombre",(+VLOOKUP(INT(D183)+1,Tablas!$G$9:$K$1240,5,0)*(D183-INT(D183))+VLOOKUP(INT(D183),Tablas!$G$9:$K$1240,5,0)*(INT(D183)+1-D183)),+VLOOKUP(INT(D183)+1,Tablas!$G$9:$O$1240,9,0)*(D183-INT(D183))+VLOOKUP(INT(D183),Tablas!$G$9:$O$1240,9,0)*(INT(D183)+1-D183))</f>
      </c>
      <c r="H183" s="801">
        <f>+IF(MONTH(B183)=1,H182*(1+$C$9),H182)</f>
      </c>
      <c r="I183" s="791">
        <f>IF(B183&lt;$C$10,0,IF(B183&lt;$C$11,$C$8/12*E183*F183*H183,0))</f>
      </c>
      <c r="J183" s="791">
        <f>I183*12/14+IF(OR(MONTH(C183)=6,MONTH(C183)=12),I183*12/14,0)</f>
      </c>
      <c r="K183" s="801">
        <f>G183/$G$15</f>
      </c>
      <c r="L183" s="760"/>
      <c r="M183" s="767"/>
      <c r="N183" s="168"/>
      <c r="O183" s="768"/>
      <c r="P183" s="170"/>
      <c r="Q183" s="7"/>
      <c r="R183" s="766"/>
      <c r="S183" s="170"/>
      <c r="T183" s="168"/>
      <c r="U183" s="170"/>
    </row>
    <row x14ac:dyDescent="0.25" r="184" customHeight="1" ht="18.75">
      <c r="A184" s="1"/>
      <c r="B184" s="799">
        <f>+DATE(YEAR(B183),MONTH(B183)+1,DAY(B183))</f>
        <v>25569.041666666668</v>
      </c>
      <c r="C184" s="799">
        <f>+B185-1</f>
        <v>25569.041666666668</v>
      </c>
      <c r="D184" s="791">
        <f>-_xlfn.DAYS($C$3,C184)/365.25</f>
      </c>
      <c r="E184" s="800">
        <f>IF($D$17+40&lt;=D184,(1+$D$7)^-(D184-$C$5),(1+$C$7)^-(D184-$C$5))</f>
      </c>
      <c r="F184" s="801">
        <f>IF($C$4="Hombre",(+VLOOKUP(INT(D184)+1,Tablas!$G$9:$K$1240,5,0)*(D184-INT(D184))+VLOOKUP(INT(D184),Tablas!$G$9:$K$1240,5,0)*(INT(D184)+1-D184))/(VLOOKUP(INT($C$5)+1,Tablas!$G$9:$K$1240,5,0)*($C$5-INT($C$5))+VLOOKUP(INT($C$5),Tablas!$G$9:$K$124,5,0)*(INT($C$5)+1-$C$5)),(+VLOOKUP(INT(D184)+1,Tablas!$G$9:$O$1240,9,0)*(D184-INT(D184))+VLOOKUP(INT(D184),Tablas!$G$9:$O$1240,9,0)*(INT(D184)+1-D184))/(VLOOKUP(INT($C$5)+1,Tablas!$G$9:$O$1240,9,0)*($C$5-INT($C$5))+VLOOKUP(INT($C$5),Tablas!$G$9:$O$124,9,0)*(INT($C$5)+1-$C$5)))</f>
      </c>
      <c r="G184" s="791">
        <f>IF($C$4="Hombre",(+VLOOKUP(INT(D184)+1,Tablas!$G$9:$K$1240,5,0)*(D184-INT(D184))+VLOOKUP(INT(D184),Tablas!$G$9:$K$1240,5,0)*(INT(D184)+1-D184)),+VLOOKUP(INT(D184)+1,Tablas!$G$9:$O$1240,9,0)*(D184-INT(D184))+VLOOKUP(INT(D184),Tablas!$G$9:$O$1240,9,0)*(INT(D184)+1-D184))</f>
      </c>
      <c r="H184" s="801">
        <f>+IF(MONTH(B184)=1,H183*(1+$C$9),H183)</f>
      </c>
      <c r="I184" s="791">
        <f>IF(B184&lt;$C$10,0,IF(B184&lt;$C$11,$C$8/12*E184*F184*H184,0))</f>
      </c>
      <c r="J184" s="791">
        <f>I184*12/14+IF(OR(MONTH(C184)=6,MONTH(C184)=12),I184*12/14,0)</f>
      </c>
      <c r="K184" s="801">
        <f>G184/$G$15</f>
      </c>
      <c r="L184" s="760"/>
      <c r="M184" s="767"/>
      <c r="N184" s="168"/>
      <c r="O184" s="768"/>
      <c r="P184" s="170"/>
      <c r="Q184" s="7"/>
      <c r="R184" s="766"/>
      <c r="S184" s="170"/>
      <c r="T184" s="168"/>
      <c r="U184" s="170"/>
    </row>
    <row x14ac:dyDescent="0.25" r="185" customHeight="1" ht="18.75">
      <c r="A185" s="1"/>
      <c r="B185" s="799">
        <f>+DATE(YEAR(B184),MONTH(B184)+1,DAY(B184))</f>
        <v>25569.041666666668</v>
      </c>
      <c r="C185" s="799">
        <f>+B186-1</f>
        <v>25569.041666666668</v>
      </c>
      <c r="D185" s="791">
        <f>-_xlfn.DAYS($C$3,C185)/365.25</f>
      </c>
      <c r="E185" s="800">
        <f>IF($D$17+40&lt;=D185,(1+$D$7)^-(D185-$C$5),(1+$C$7)^-(D185-$C$5))</f>
      </c>
      <c r="F185" s="801">
        <f>IF($C$4="Hombre",(+VLOOKUP(INT(D185)+1,Tablas!$G$9:$K$1240,5,0)*(D185-INT(D185))+VLOOKUP(INT(D185),Tablas!$G$9:$K$1240,5,0)*(INT(D185)+1-D185))/(VLOOKUP(INT($C$5)+1,Tablas!$G$9:$K$1240,5,0)*($C$5-INT($C$5))+VLOOKUP(INT($C$5),Tablas!$G$9:$K$124,5,0)*(INT($C$5)+1-$C$5)),(+VLOOKUP(INT(D185)+1,Tablas!$G$9:$O$1240,9,0)*(D185-INT(D185))+VLOOKUP(INT(D185),Tablas!$G$9:$O$1240,9,0)*(INT(D185)+1-D185))/(VLOOKUP(INT($C$5)+1,Tablas!$G$9:$O$1240,9,0)*($C$5-INT($C$5))+VLOOKUP(INT($C$5),Tablas!$G$9:$O$124,9,0)*(INT($C$5)+1-$C$5)))</f>
      </c>
      <c r="G185" s="791">
        <f>IF($C$4="Hombre",(+VLOOKUP(INT(D185)+1,Tablas!$G$9:$K$1240,5,0)*(D185-INT(D185))+VLOOKUP(INT(D185),Tablas!$G$9:$K$1240,5,0)*(INT(D185)+1-D185)),+VLOOKUP(INT(D185)+1,Tablas!$G$9:$O$1240,9,0)*(D185-INT(D185))+VLOOKUP(INT(D185),Tablas!$G$9:$O$1240,9,0)*(INT(D185)+1-D185))</f>
      </c>
      <c r="H185" s="801">
        <f>+IF(MONTH(B185)=1,H184*(1+$C$9),H184)</f>
      </c>
      <c r="I185" s="791">
        <f>IF(B185&lt;$C$10,0,IF(B185&lt;$C$11,$C$8/12*E185*F185*H185,0))</f>
      </c>
      <c r="J185" s="791">
        <f>I185*12/14+IF(OR(MONTH(C185)=6,MONTH(C185)=12),I185*12/14,0)</f>
      </c>
      <c r="K185" s="801">
        <f>G185/$G$15</f>
      </c>
      <c r="L185" s="760"/>
      <c r="M185" s="767"/>
      <c r="N185" s="168"/>
      <c r="O185" s="768"/>
      <c r="P185" s="170"/>
      <c r="Q185" s="7"/>
      <c r="R185" s="766"/>
      <c r="S185" s="170"/>
      <c r="T185" s="168"/>
      <c r="U185" s="170"/>
    </row>
    <row x14ac:dyDescent="0.25" r="186" customHeight="1" ht="18.75">
      <c r="A186" s="1"/>
      <c r="B186" s="799">
        <f>+DATE(YEAR(B185),MONTH(B185)+1,DAY(B185))</f>
        <v>25569.041666666668</v>
      </c>
      <c r="C186" s="799">
        <f>+B187-1</f>
        <v>25569.041666666668</v>
      </c>
      <c r="D186" s="791">
        <f>-_xlfn.DAYS($C$3,C186)/365.25</f>
      </c>
      <c r="E186" s="800">
        <f>IF($D$17+40&lt;=D186,(1+$D$7)^-(D186-$C$5),(1+$C$7)^-(D186-$C$5))</f>
      </c>
      <c r="F186" s="801">
        <f>IF($C$4="Hombre",(+VLOOKUP(INT(D186)+1,Tablas!$G$9:$K$1240,5,0)*(D186-INT(D186))+VLOOKUP(INT(D186),Tablas!$G$9:$K$1240,5,0)*(INT(D186)+1-D186))/(VLOOKUP(INT($C$5)+1,Tablas!$G$9:$K$1240,5,0)*($C$5-INT($C$5))+VLOOKUP(INT($C$5),Tablas!$G$9:$K$124,5,0)*(INT($C$5)+1-$C$5)),(+VLOOKUP(INT(D186)+1,Tablas!$G$9:$O$1240,9,0)*(D186-INT(D186))+VLOOKUP(INT(D186),Tablas!$G$9:$O$1240,9,0)*(INT(D186)+1-D186))/(VLOOKUP(INT($C$5)+1,Tablas!$G$9:$O$1240,9,0)*($C$5-INT($C$5))+VLOOKUP(INT($C$5),Tablas!$G$9:$O$124,9,0)*(INT($C$5)+1-$C$5)))</f>
      </c>
      <c r="G186" s="791">
        <f>IF($C$4="Hombre",(+VLOOKUP(INT(D186)+1,Tablas!$G$9:$K$1240,5,0)*(D186-INT(D186))+VLOOKUP(INT(D186),Tablas!$G$9:$K$1240,5,0)*(INT(D186)+1-D186)),+VLOOKUP(INT(D186)+1,Tablas!$G$9:$O$1240,9,0)*(D186-INT(D186))+VLOOKUP(INT(D186),Tablas!$G$9:$O$1240,9,0)*(INT(D186)+1-D186))</f>
      </c>
      <c r="H186" s="801">
        <f>+IF(MONTH(B186)=1,H185*(1+$C$9),H185)</f>
      </c>
      <c r="I186" s="791">
        <f>IF(B186&lt;$C$10,0,IF(B186&lt;$C$11,$C$8/12*E186*F186*H186,0))</f>
      </c>
      <c r="J186" s="791">
        <f>I186*12/14+IF(OR(MONTH(C186)=6,MONTH(C186)=12),I186*12/14,0)</f>
      </c>
      <c r="K186" s="801">
        <f>G186/$G$15</f>
      </c>
      <c r="L186" s="760"/>
      <c r="M186" s="767"/>
      <c r="N186" s="168"/>
      <c r="O186" s="768"/>
      <c r="P186" s="170"/>
      <c r="Q186" s="7"/>
      <c r="R186" s="766"/>
      <c r="S186" s="170"/>
      <c r="T186" s="168"/>
      <c r="U186" s="170"/>
    </row>
    <row x14ac:dyDescent="0.25" r="187" customHeight="1" ht="18.75">
      <c r="A187" s="1"/>
      <c r="B187" s="799">
        <f>+DATE(YEAR(B186),MONTH(B186)+1,DAY(B186))</f>
        <v>25569.041666666668</v>
      </c>
      <c r="C187" s="799">
        <f>+B188-1</f>
        <v>25569.041666666668</v>
      </c>
      <c r="D187" s="791">
        <f>-_xlfn.DAYS($C$3,C187)/365.25</f>
      </c>
      <c r="E187" s="800">
        <f>IF($D$17+40&lt;=D187,(1+$D$7)^-(D187-$C$5),(1+$C$7)^-(D187-$C$5))</f>
      </c>
      <c r="F187" s="801">
        <f>IF($C$4="Hombre",(+VLOOKUP(INT(D187)+1,Tablas!$G$9:$K$1240,5,0)*(D187-INT(D187))+VLOOKUP(INT(D187),Tablas!$G$9:$K$1240,5,0)*(INT(D187)+1-D187))/(VLOOKUP(INT($C$5)+1,Tablas!$G$9:$K$1240,5,0)*($C$5-INT($C$5))+VLOOKUP(INT($C$5),Tablas!$G$9:$K$124,5,0)*(INT($C$5)+1-$C$5)),(+VLOOKUP(INT(D187)+1,Tablas!$G$9:$O$1240,9,0)*(D187-INT(D187))+VLOOKUP(INT(D187),Tablas!$G$9:$O$1240,9,0)*(INT(D187)+1-D187))/(VLOOKUP(INT($C$5)+1,Tablas!$G$9:$O$1240,9,0)*($C$5-INT($C$5))+VLOOKUP(INT($C$5),Tablas!$G$9:$O$124,9,0)*(INT($C$5)+1-$C$5)))</f>
      </c>
      <c r="G187" s="791">
        <f>IF($C$4="Hombre",(+VLOOKUP(INT(D187)+1,Tablas!$G$9:$K$1240,5,0)*(D187-INT(D187))+VLOOKUP(INT(D187),Tablas!$G$9:$K$1240,5,0)*(INT(D187)+1-D187)),+VLOOKUP(INT(D187)+1,Tablas!$G$9:$O$1240,9,0)*(D187-INT(D187))+VLOOKUP(INT(D187),Tablas!$G$9:$O$1240,9,0)*(INT(D187)+1-D187))</f>
      </c>
      <c r="H187" s="801">
        <f>+IF(MONTH(B187)=1,H186*(1+$C$9),H186)</f>
      </c>
      <c r="I187" s="791">
        <f>IF(B187&lt;$C$10,0,IF(B187&lt;$C$11,$C$8/12*E187*F187*H187,0))</f>
      </c>
      <c r="J187" s="791">
        <f>I187*12/14+IF(OR(MONTH(C187)=6,MONTH(C187)=12),I187*12/14,0)</f>
      </c>
      <c r="K187" s="801">
        <f>G187/$G$15</f>
      </c>
      <c r="L187" s="760"/>
      <c r="M187" s="767"/>
      <c r="N187" s="168"/>
      <c r="O187" s="768"/>
      <c r="P187" s="170"/>
      <c r="Q187" s="7"/>
      <c r="R187" s="766"/>
      <c r="S187" s="170"/>
      <c r="T187" s="168"/>
      <c r="U187" s="170"/>
    </row>
    <row x14ac:dyDescent="0.25" r="188" customHeight="1" ht="18.75">
      <c r="A188" s="1"/>
      <c r="B188" s="799">
        <f>+DATE(YEAR(B187),MONTH(B187)+1,DAY(B187))</f>
        <v>25569.041666666668</v>
      </c>
      <c r="C188" s="799">
        <f>+B189-1</f>
        <v>25569.041666666668</v>
      </c>
      <c r="D188" s="791">
        <f>-_xlfn.DAYS($C$3,C188)/365.25</f>
      </c>
      <c r="E188" s="800">
        <f>IF($D$17+40&lt;=D188,(1+$D$7)^-(D188-$C$5),(1+$C$7)^-(D188-$C$5))</f>
      </c>
      <c r="F188" s="801">
        <f>IF($C$4="Hombre",(+VLOOKUP(INT(D188)+1,Tablas!$G$9:$K$1240,5,0)*(D188-INT(D188))+VLOOKUP(INT(D188),Tablas!$G$9:$K$1240,5,0)*(INT(D188)+1-D188))/(VLOOKUP(INT($C$5)+1,Tablas!$G$9:$K$1240,5,0)*($C$5-INT($C$5))+VLOOKUP(INT($C$5),Tablas!$G$9:$K$124,5,0)*(INT($C$5)+1-$C$5)),(+VLOOKUP(INT(D188)+1,Tablas!$G$9:$O$1240,9,0)*(D188-INT(D188))+VLOOKUP(INT(D188),Tablas!$G$9:$O$1240,9,0)*(INT(D188)+1-D188))/(VLOOKUP(INT($C$5)+1,Tablas!$G$9:$O$1240,9,0)*($C$5-INT($C$5))+VLOOKUP(INT($C$5),Tablas!$G$9:$O$124,9,0)*(INT($C$5)+1-$C$5)))</f>
      </c>
      <c r="G188" s="791">
        <f>IF($C$4="Hombre",(+VLOOKUP(INT(D188)+1,Tablas!$G$9:$K$1240,5,0)*(D188-INT(D188))+VLOOKUP(INT(D188),Tablas!$G$9:$K$1240,5,0)*(INT(D188)+1-D188)),+VLOOKUP(INT(D188)+1,Tablas!$G$9:$O$1240,9,0)*(D188-INT(D188))+VLOOKUP(INT(D188),Tablas!$G$9:$O$1240,9,0)*(INT(D188)+1-D188))</f>
      </c>
      <c r="H188" s="801">
        <f>+IF(MONTH(B188)=1,H187*(1+$C$9),H187)</f>
      </c>
      <c r="I188" s="791">
        <f>IF(B188&lt;$C$10,0,IF(B188&lt;$C$11,$C$8/12*E188*F188*H188,0))</f>
      </c>
      <c r="J188" s="791">
        <f>I188*12/14+IF(OR(MONTH(C188)=6,MONTH(C188)=12),I188*12/14,0)</f>
      </c>
      <c r="K188" s="801">
        <f>G188/$G$15</f>
      </c>
      <c r="L188" s="760"/>
      <c r="M188" s="767"/>
      <c r="N188" s="168"/>
      <c r="O188" s="768"/>
      <c r="P188" s="170"/>
      <c r="Q188" s="7"/>
      <c r="R188" s="766"/>
      <c r="S188" s="170"/>
      <c r="T188" s="168"/>
      <c r="U188" s="170"/>
    </row>
    <row x14ac:dyDescent="0.25" r="189" customHeight="1" ht="18.75">
      <c r="A189" s="1"/>
      <c r="B189" s="799">
        <f>+DATE(YEAR(B188),MONTH(B188)+1,DAY(B188))</f>
        <v>25569.041666666668</v>
      </c>
      <c r="C189" s="799">
        <f>+B190-1</f>
        <v>25569.041666666668</v>
      </c>
      <c r="D189" s="791">
        <f>-_xlfn.DAYS($C$3,C189)/365.25</f>
      </c>
      <c r="E189" s="800">
        <f>IF($D$17+40&lt;=D189,(1+$D$7)^-(D189-$C$5),(1+$C$7)^-(D189-$C$5))</f>
      </c>
      <c r="F189" s="801">
        <f>IF($C$4="Hombre",(+VLOOKUP(INT(D189)+1,Tablas!$G$9:$K$1240,5,0)*(D189-INT(D189))+VLOOKUP(INT(D189),Tablas!$G$9:$K$1240,5,0)*(INT(D189)+1-D189))/(VLOOKUP(INT($C$5)+1,Tablas!$G$9:$K$1240,5,0)*($C$5-INT($C$5))+VLOOKUP(INT($C$5),Tablas!$G$9:$K$124,5,0)*(INT($C$5)+1-$C$5)),(+VLOOKUP(INT(D189)+1,Tablas!$G$9:$O$1240,9,0)*(D189-INT(D189))+VLOOKUP(INT(D189),Tablas!$G$9:$O$1240,9,0)*(INT(D189)+1-D189))/(VLOOKUP(INT($C$5)+1,Tablas!$G$9:$O$1240,9,0)*($C$5-INT($C$5))+VLOOKUP(INT($C$5),Tablas!$G$9:$O$124,9,0)*(INT($C$5)+1-$C$5)))</f>
      </c>
      <c r="G189" s="791">
        <f>IF($C$4="Hombre",(+VLOOKUP(INT(D189)+1,Tablas!$G$9:$K$1240,5,0)*(D189-INT(D189))+VLOOKUP(INT(D189),Tablas!$G$9:$K$1240,5,0)*(INT(D189)+1-D189)),+VLOOKUP(INT(D189)+1,Tablas!$G$9:$O$1240,9,0)*(D189-INT(D189))+VLOOKUP(INT(D189),Tablas!$G$9:$O$1240,9,0)*(INT(D189)+1-D189))</f>
      </c>
      <c r="H189" s="801">
        <f>+IF(MONTH(B189)=1,H188*(1+$C$9),H188)</f>
      </c>
      <c r="I189" s="791">
        <f>IF(B189&lt;$C$10,0,IF(B189&lt;$C$11,$C$8/12*E189*F189*H189,0))</f>
      </c>
      <c r="J189" s="791">
        <f>I189*12/14+IF(OR(MONTH(C189)=6,MONTH(C189)=12),I189*12/14,0)</f>
      </c>
      <c r="K189" s="801">
        <f>G189/$G$15</f>
      </c>
      <c r="L189" s="760"/>
      <c r="M189" s="767"/>
      <c r="N189" s="168"/>
      <c r="O189" s="768"/>
      <c r="P189" s="170"/>
      <c r="Q189" s="7"/>
      <c r="R189" s="766"/>
      <c r="S189" s="170"/>
      <c r="T189" s="168"/>
      <c r="U189" s="170"/>
    </row>
    <row x14ac:dyDescent="0.25" r="190" customHeight="1" ht="18.75">
      <c r="A190" s="1"/>
      <c r="B190" s="799">
        <f>+DATE(YEAR(B189),MONTH(B189)+1,DAY(B189))</f>
        <v>25569.041666666668</v>
      </c>
      <c r="C190" s="799">
        <f>+B191-1</f>
        <v>25569.041666666668</v>
      </c>
      <c r="D190" s="791">
        <f>-_xlfn.DAYS($C$3,C190)/365.25</f>
      </c>
      <c r="E190" s="800">
        <f>IF($D$17+40&lt;=D190,(1+$D$7)^-(D190-$C$5),(1+$C$7)^-(D190-$C$5))</f>
      </c>
      <c r="F190" s="801">
        <f>IF($C$4="Hombre",(+VLOOKUP(INT(D190)+1,Tablas!$G$9:$K$1240,5,0)*(D190-INT(D190))+VLOOKUP(INT(D190),Tablas!$G$9:$K$1240,5,0)*(INT(D190)+1-D190))/(VLOOKUP(INT($C$5)+1,Tablas!$G$9:$K$1240,5,0)*($C$5-INT($C$5))+VLOOKUP(INT($C$5),Tablas!$G$9:$K$124,5,0)*(INT($C$5)+1-$C$5)),(+VLOOKUP(INT(D190)+1,Tablas!$G$9:$O$1240,9,0)*(D190-INT(D190))+VLOOKUP(INT(D190),Tablas!$G$9:$O$1240,9,0)*(INT(D190)+1-D190))/(VLOOKUP(INT($C$5)+1,Tablas!$G$9:$O$1240,9,0)*($C$5-INT($C$5))+VLOOKUP(INT($C$5),Tablas!$G$9:$O$124,9,0)*(INT($C$5)+1-$C$5)))</f>
      </c>
      <c r="G190" s="791">
        <f>IF($C$4="Hombre",(+VLOOKUP(INT(D190)+1,Tablas!$G$9:$K$1240,5,0)*(D190-INT(D190))+VLOOKUP(INT(D190),Tablas!$G$9:$K$1240,5,0)*(INT(D190)+1-D190)),+VLOOKUP(INT(D190)+1,Tablas!$G$9:$O$1240,9,0)*(D190-INT(D190))+VLOOKUP(INT(D190),Tablas!$G$9:$O$1240,9,0)*(INT(D190)+1-D190))</f>
      </c>
      <c r="H190" s="801">
        <f>+IF(MONTH(B190)=1,H189*(1+$C$9),H189)</f>
      </c>
      <c r="I190" s="791">
        <f>IF(B190&lt;$C$10,0,IF(B190&lt;$C$11,$C$8/12*E190*F190*H190,0))</f>
      </c>
      <c r="J190" s="791">
        <f>I190*12/14+IF(OR(MONTH(C190)=6,MONTH(C190)=12),I190*12/14,0)</f>
      </c>
      <c r="K190" s="801">
        <f>G190/$G$15</f>
      </c>
      <c r="L190" s="760"/>
      <c r="M190" s="767"/>
      <c r="N190" s="168"/>
      <c r="O190" s="768"/>
      <c r="P190" s="170"/>
      <c r="Q190" s="7"/>
      <c r="R190" s="766"/>
      <c r="S190" s="170"/>
      <c r="T190" s="168"/>
      <c r="U190" s="170"/>
    </row>
    <row x14ac:dyDescent="0.25" r="191" customHeight="1" ht="18.75">
      <c r="A191" s="1"/>
      <c r="B191" s="799">
        <f>+DATE(YEAR(B190),MONTH(B190)+1,DAY(B190))</f>
        <v>25569.041666666668</v>
      </c>
      <c r="C191" s="799">
        <f>+B192-1</f>
        <v>25569.041666666668</v>
      </c>
      <c r="D191" s="791">
        <f>-_xlfn.DAYS($C$3,C191)/365.25</f>
      </c>
      <c r="E191" s="800">
        <f>IF($D$17+40&lt;=D191,(1+$D$7)^-(D191-$C$5),(1+$C$7)^-(D191-$C$5))</f>
      </c>
      <c r="F191" s="801">
        <f>IF($C$4="Hombre",(+VLOOKUP(INT(D191)+1,Tablas!$G$9:$K$1240,5,0)*(D191-INT(D191))+VLOOKUP(INT(D191),Tablas!$G$9:$K$1240,5,0)*(INT(D191)+1-D191))/(VLOOKUP(INT($C$5)+1,Tablas!$G$9:$K$1240,5,0)*($C$5-INT($C$5))+VLOOKUP(INT($C$5),Tablas!$G$9:$K$124,5,0)*(INT($C$5)+1-$C$5)),(+VLOOKUP(INT(D191)+1,Tablas!$G$9:$O$1240,9,0)*(D191-INT(D191))+VLOOKUP(INT(D191),Tablas!$G$9:$O$1240,9,0)*(INT(D191)+1-D191))/(VLOOKUP(INT($C$5)+1,Tablas!$G$9:$O$1240,9,0)*($C$5-INT($C$5))+VLOOKUP(INT($C$5),Tablas!$G$9:$O$124,9,0)*(INT($C$5)+1-$C$5)))</f>
      </c>
      <c r="G191" s="791">
        <f>IF($C$4="Hombre",(+VLOOKUP(INT(D191)+1,Tablas!$G$9:$K$1240,5,0)*(D191-INT(D191))+VLOOKUP(INT(D191),Tablas!$G$9:$K$1240,5,0)*(INT(D191)+1-D191)),+VLOOKUP(INT(D191)+1,Tablas!$G$9:$O$1240,9,0)*(D191-INT(D191))+VLOOKUP(INT(D191),Tablas!$G$9:$O$1240,9,0)*(INT(D191)+1-D191))</f>
      </c>
      <c r="H191" s="801">
        <f>+IF(MONTH(B191)=1,H190*(1+$C$9),H190)</f>
      </c>
      <c r="I191" s="791">
        <f>IF(B191&lt;$C$10,0,IF(B191&lt;$C$11,$C$8/12*E191*F191*H191,0))</f>
      </c>
      <c r="J191" s="791">
        <f>I191*12/14+IF(OR(MONTH(C191)=6,MONTH(C191)=12),I191*12/14,0)</f>
      </c>
      <c r="K191" s="801">
        <f>G191/$G$15</f>
      </c>
      <c r="L191" s="760"/>
      <c r="M191" s="767"/>
      <c r="N191" s="168"/>
      <c r="O191" s="768"/>
      <c r="P191" s="170"/>
      <c r="Q191" s="7"/>
      <c r="R191" s="766"/>
      <c r="S191" s="170"/>
      <c r="T191" s="168"/>
      <c r="U191" s="170"/>
    </row>
    <row x14ac:dyDescent="0.25" r="192" customHeight="1" ht="18.75">
      <c r="A192" s="1"/>
      <c r="B192" s="799">
        <f>+DATE(YEAR(B191),MONTH(B191)+1,DAY(B191))</f>
        <v>25569.041666666668</v>
      </c>
      <c r="C192" s="799">
        <f>+B193-1</f>
        <v>25569.041666666668</v>
      </c>
      <c r="D192" s="791">
        <f>-_xlfn.DAYS($C$3,C192)/365.25</f>
      </c>
      <c r="E192" s="800">
        <f>IF($D$17+40&lt;=D192,(1+$D$7)^-(D192-$C$5),(1+$C$7)^-(D192-$C$5))</f>
      </c>
      <c r="F192" s="801">
        <f>IF($C$4="Hombre",(+VLOOKUP(INT(D192)+1,Tablas!$G$9:$K$1240,5,0)*(D192-INT(D192))+VLOOKUP(INT(D192),Tablas!$G$9:$K$1240,5,0)*(INT(D192)+1-D192))/(VLOOKUP(INT($C$5)+1,Tablas!$G$9:$K$1240,5,0)*($C$5-INT($C$5))+VLOOKUP(INT($C$5),Tablas!$G$9:$K$124,5,0)*(INT($C$5)+1-$C$5)),(+VLOOKUP(INT(D192)+1,Tablas!$G$9:$O$1240,9,0)*(D192-INT(D192))+VLOOKUP(INT(D192),Tablas!$G$9:$O$1240,9,0)*(INT(D192)+1-D192))/(VLOOKUP(INT($C$5)+1,Tablas!$G$9:$O$1240,9,0)*($C$5-INT($C$5))+VLOOKUP(INT($C$5),Tablas!$G$9:$O$124,9,0)*(INT($C$5)+1-$C$5)))</f>
      </c>
      <c r="G192" s="791">
        <f>IF($C$4="Hombre",(+VLOOKUP(INT(D192)+1,Tablas!$G$9:$K$1240,5,0)*(D192-INT(D192))+VLOOKUP(INT(D192),Tablas!$G$9:$K$1240,5,0)*(INT(D192)+1-D192)),+VLOOKUP(INT(D192)+1,Tablas!$G$9:$O$1240,9,0)*(D192-INT(D192))+VLOOKUP(INT(D192),Tablas!$G$9:$O$1240,9,0)*(INT(D192)+1-D192))</f>
      </c>
      <c r="H192" s="801">
        <f>+IF(MONTH(B192)=1,H191*(1+$C$9),H191)</f>
      </c>
      <c r="I192" s="791">
        <f>IF(B192&lt;$C$10,0,IF(B192&lt;$C$11,$C$8/12*E192*F192*H192,0))</f>
      </c>
      <c r="J192" s="791">
        <f>I192*12/14+IF(OR(MONTH(C192)=6,MONTH(C192)=12),I192*12/14,0)</f>
      </c>
      <c r="K192" s="801">
        <f>G192/$G$15</f>
      </c>
      <c r="L192" s="760"/>
      <c r="M192" s="767"/>
      <c r="N192" s="168"/>
      <c r="O192" s="768"/>
      <c r="P192" s="170"/>
      <c r="Q192" s="7"/>
      <c r="R192" s="766"/>
      <c r="S192" s="170"/>
      <c r="T192" s="168"/>
      <c r="U192" s="170"/>
    </row>
    <row x14ac:dyDescent="0.25" r="193" customHeight="1" ht="18.75">
      <c r="A193" s="1"/>
      <c r="B193" s="799">
        <f>+DATE(YEAR(B192),MONTH(B192)+1,DAY(B192))</f>
        <v>25569.041666666668</v>
      </c>
      <c r="C193" s="799">
        <f>+B194-1</f>
        <v>25569.041666666668</v>
      </c>
      <c r="D193" s="791">
        <f>-_xlfn.DAYS($C$3,C193)/365.25</f>
      </c>
      <c r="E193" s="800">
        <f>IF($D$17+40&lt;=D193,(1+$D$7)^-(D193-$C$5),(1+$C$7)^-(D193-$C$5))</f>
      </c>
      <c r="F193" s="801">
        <f>IF($C$4="Hombre",(+VLOOKUP(INT(D193)+1,Tablas!$G$9:$K$1240,5,0)*(D193-INT(D193))+VLOOKUP(INT(D193),Tablas!$G$9:$K$1240,5,0)*(INT(D193)+1-D193))/(VLOOKUP(INT($C$5)+1,Tablas!$G$9:$K$1240,5,0)*($C$5-INT($C$5))+VLOOKUP(INT($C$5),Tablas!$G$9:$K$124,5,0)*(INT($C$5)+1-$C$5)),(+VLOOKUP(INT(D193)+1,Tablas!$G$9:$O$1240,9,0)*(D193-INT(D193))+VLOOKUP(INT(D193),Tablas!$G$9:$O$1240,9,0)*(INT(D193)+1-D193))/(VLOOKUP(INT($C$5)+1,Tablas!$G$9:$O$1240,9,0)*($C$5-INT($C$5))+VLOOKUP(INT($C$5),Tablas!$G$9:$O$124,9,0)*(INT($C$5)+1-$C$5)))</f>
      </c>
      <c r="G193" s="791">
        <f>IF($C$4="Hombre",(+VLOOKUP(INT(D193)+1,Tablas!$G$9:$K$1240,5,0)*(D193-INT(D193))+VLOOKUP(INT(D193),Tablas!$G$9:$K$1240,5,0)*(INT(D193)+1-D193)),+VLOOKUP(INT(D193)+1,Tablas!$G$9:$O$1240,9,0)*(D193-INT(D193))+VLOOKUP(INT(D193),Tablas!$G$9:$O$1240,9,0)*(INT(D193)+1-D193))</f>
      </c>
      <c r="H193" s="801">
        <f>+IF(MONTH(B193)=1,H192*(1+$C$9),H192)</f>
      </c>
      <c r="I193" s="791">
        <f>IF(B193&lt;$C$10,0,IF(B193&lt;$C$11,$C$8/12*E193*F193*H193,0))</f>
      </c>
      <c r="J193" s="791">
        <f>I193*12/14+IF(OR(MONTH(C193)=6,MONTH(C193)=12),I193*12/14,0)</f>
      </c>
      <c r="K193" s="801">
        <f>G193/$G$15</f>
      </c>
      <c r="L193" s="760"/>
      <c r="M193" s="767"/>
      <c r="N193" s="168"/>
      <c r="O193" s="768"/>
      <c r="P193" s="170"/>
      <c r="Q193" s="7"/>
      <c r="R193" s="766"/>
      <c r="S193" s="170"/>
      <c r="T193" s="168"/>
      <c r="U193" s="170"/>
    </row>
    <row x14ac:dyDescent="0.25" r="194" customHeight="1" ht="18.75">
      <c r="A194" s="1"/>
      <c r="B194" s="799">
        <f>+DATE(YEAR(B193),MONTH(B193)+1,DAY(B193))</f>
        <v>25569.041666666668</v>
      </c>
      <c r="C194" s="799">
        <f>+B195-1</f>
        <v>25569.041666666668</v>
      </c>
      <c r="D194" s="791">
        <f>-_xlfn.DAYS($C$3,C194)/365.25</f>
      </c>
      <c r="E194" s="800">
        <f>IF($D$17+40&lt;=D194,(1+$D$7)^-(D194-$C$5),(1+$C$7)^-(D194-$C$5))</f>
      </c>
      <c r="F194" s="801">
        <f>IF($C$4="Hombre",(+VLOOKUP(INT(D194)+1,Tablas!$G$9:$K$1240,5,0)*(D194-INT(D194))+VLOOKUP(INT(D194),Tablas!$G$9:$K$1240,5,0)*(INT(D194)+1-D194))/(VLOOKUP(INT($C$5)+1,Tablas!$G$9:$K$1240,5,0)*($C$5-INT($C$5))+VLOOKUP(INT($C$5),Tablas!$G$9:$K$124,5,0)*(INT($C$5)+1-$C$5)),(+VLOOKUP(INT(D194)+1,Tablas!$G$9:$O$1240,9,0)*(D194-INT(D194))+VLOOKUP(INT(D194),Tablas!$G$9:$O$1240,9,0)*(INT(D194)+1-D194))/(VLOOKUP(INT($C$5)+1,Tablas!$G$9:$O$1240,9,0)*($C$5-INT($C$5))+VLOOKUP(INT($C$5),Tablas!$G$9:$O$124,9,0)*(INT($C$5)+1-$C$5)))</f>
      </c>
      <c r="G194" s="791">
        <f>IF($C$4="Hombre",(+VLOOKUP(INT(D194)+1,Tablas!$G$9:$K$1240,5,0)*(D194-INT(D194))+VLOOKUP(INT(D194),Tablas!$G$9:$K$1240,5,0)*(INT(D194)+1-D194)),+VLOOKUP(INT(D194)+1,Tablas!$G$9:$O$1240,9,0)*(D194-INT(D194))+VLOOKUP(INT(D194),Tablas!$G$9:$O$1240,9,0)*(INT(D194)+1-D194))</f>
      </c>
      <c r="H194" s="801">
        <f>+IF(MONTH(B194)=1,H193*(1+$C$9),H193)</f>
      </c>
      <c r="I194" s="791">
        <f>IF(B194&lt;$C$10,0,IF(B194&lt;$C$11,$C$8/12*E194*F194*H194,0))</f>
      </c>
      <c r="J194" s="791">
        <f>I194*12/14+IF(OR(MONTH(C194)=6,MONTH(C194)=12),I194*12/14,0)</f>
      </c>
      <c r="K194" s="801">
        <f>G194/$G$15</f>
      </c>
      <c r="L194" s="760"/>
      <c r="M194" s="767"/>
      <c r="N194" s="168"/>
      <c r="O194" s="768"/>
      <c r="P194" s="170"/>
      <c r="Q194" s="7"/>
      <c r="R194" s="766"/>
      <c r="S194" s="170"/>
      <c r="T194" s="168"/>
      <c r="U194" s="170"/>
    </row>
    <row x14ac:dyDescent="0.25" r="195" customHeight="1" ht="18.75">
      <c r="A195" s="1"/>
      <c r="B195" s="799">
        <f>+DATE(YEAR(B194),MONTH(B194)+1,DAY(B194))</f>
        <v>25569.041666666668</v>
      </c>
      <c r="C195" s="799">
        <f>+B196-1</f>
        <v>25569.041666666668</v>
      </c>
      <c r="D195" s="791">
        <f>-_xlfn.DAYS($C$3,C195)/365.25</f>
      </c>
      <c r="E195" s="800">
        <f>IF($D$17+40&lt;=D195,(1+$D$7)^-(D195-$C$5),(1+$C$7)^-(D195-$C$5))</f>
      </c>
      <c r="F195" s="801">
        <f>IF($C$4="Hombre",(+VLOOKUP(INT(D195)+1,Tablas!$G$9:$K$1240,5,0)*(D195-INT(D195))+VLOOKUP(INT(D195),Tablas!$G$9:$K$1240,5,0)*(INT(D195)+1-D195))/(VLOOKUP(INT($C$5)+1,Tablas!$G$9:$K$1240,5,0)*($C$5-INT($C$5))+VLOOKUP(INT($C$5),Tablas!$G$9:$K$124,5,0)*(INT($C$5)+1-$C$5)),(+VLOOKUP(INT(D195)+1,Tablas!$G$9:$O$1240,9,0)*(D195-INT(D195))+VLOOKUP(INT(D195),Tablas!$G$9:$O$1240,9,0)*(INT(D195)+1-D195))/(VLOOKUP(INT($C$5)+1,Tablas!$G$9:$O$1240,9,0)*($C$5-INT($C$5))+VLOOKUP(INT($C$5),Tablas!$G$9:$O$124,9,0)*(INT($C$5)+1-$C$5)))</f>
      </c>
      <c r="G195" s="791">
        <f>IF($C$4="Hombre",(+VLOOKUP(INT(D195)+1,Tablas!$G$9:$K$1240,5,0)*(D195-INT(D195))+VLOOKUP(INT(D195),Tablas!$G$9:$K$1240,5,0)*(INT(D195)+1-D195)),+VLOOKUP(INT(D195)+1,Tablas!$G$9:$O$1240,9,0)*(D195-INT(D195))+VLOOKUP(INT(D195),Tablas!$G$9:$O$1240,9,0)*(INT(D195)+1-D195))</f>
      </c>
      <c r="H195" s="801">
        <f>+IF(MONTH(B195)=1,H194*(1+$C$9),H194)</f>
      </c>
      <c r="I195" s="791">
        <f>IF(B195&lt;$C$10,0,IF(B195&lt;$C$11,$C$8/12*E195*F195*H195,0))</f>
      </c>
      <c r="J195" s="791">
        <f>I195*12/14+IF(OR(MONTH(C195)=6,MONTH(C195)=12),I195*12/14,0)</f>
      </c>
      <c r="K195" s="801">
        <f>G195/$G$15</f>
      </c>
      <c r="L195" s="760"/>
      <c r="M195" s="767"/>
      <c r="N195" s="168"/>
      <c r="O195" s="768"/>
      <c r="P195" s="170"/>
      <c r="Q195" s="7"/>
      <c r="R195" s="766"/>
      <c r="S195" s="170"/>
      <c r="T195" s="168"/>
      <c r="U195" s="170"/>
    </row>
    <row x14ac:dyDescent="0.25" r="196" customHeight="1" ht="18.75">
      <c r="A196" s="1"/>
      <c r="B196" s="799">
        <f>+DATE(YEAR(B195),MONTH(B195)+1,DAY(B195))</f>
        <v>25569.041666666668</v>
      </c>
      <c r="C196" s="799">
        <f>+B197-1</f>
        <v>25569.041666666668</v>
      </c>
      <c r="D196" s="791">
        <f>-_xlfn.DAYS($C$3,C196)/365.25</f>
      </c>
      <c r="E196" s="800">
        <f>IF($D$17+40&lt;=D196,(1+$D$7)^-(D196-$C$5),(1+$C$7)^-(D196-$C$5))</f>
      </c>
      <c r="F196" s="801">
        <f>IF($C$4="Hombre",(+VLOOKUP(INT(D196)+1,Tablas!$G$9:$K$1240,5,0)*(D196-INT(D196))+VLOOKUP(INT(D196),Tablas!$G$9:$K$1240,5,0)*(INT(D196)+1-D196))/(VLOOKUP(INT($C$5)+1,Tablas!$G$9:$K$1240,5,0)*($C$5-INT($C$5))+VLOOKUP(INT($C$5),Tablas!$G$9:$K$124,5,0)*(INT($C$5)+1-$C$5)),(+VLOOKUP(INT(D196)+1,Tablas!$G$9:$O$1240,9,0)*(D196-INT(D196))+VLOOKUP(INT(D196),Tablas!$G$9:$O$1240,9,0)*(INT(D196)+1-D196))/(VLOOKUP(INT($C$5)+1,Tablas!$G$9:$O$1240,9,0)*($C$5-INT($C$5))+VLOOKUP(INT($C$5),Tablas!$G$9:$O$124,9,0)*(INT($C$5)+1-$C$5)))</f>
      </c>
      <c r="G196" s="791">
        <f>IF($C$4="Hombre",(+VLOOKUP(INT(D196)+1,Tablas!$G$9:$K$1240,5,0)*(D196-INT(D196))+VLOOKUP(INT(D196),Tablas!$G$9:$K$1240,5,0)*(INT(D196)+1-D196)),+VLOOKUP(INT(D196)+1,Tablas!$G$9:$O$1240,9,0)*(D196-INT(D196))+VLOOKUP(INT(D196),Tablas!$G$9:$O$1240,9,0)*(INT(D196)+1-D196))</f>
      </c>
      <c r="H196" s="801">
        <f>+IF(MONTH(B196)=1,H195*(1+$C$9),H195)</f>
      </c>
      <c r="I196" s="791">
        <f>IF(B196&lt;$C$10,0,IF(B196&lt;$C$11,$C$8/12*E196*F196*H196,0))</f>
      </c>
      <c r="J196" s="791">
        <f>I196*12/14+IF(OR(MONTH(C196)=6,MONTH(C196)=12),I196*12/14,0)</f>
      </c>
      <c r="K196" s="801">
        <f>G196/$G$15</f>
      </c>
      <c r="L196" s="760"/>
      <c r="M196" s="767"/>
      <c r="N196" s="168"/>
      <c r="O196" s="768"/>
      <c r="P196" s="170"/>
      <c r="Q196" s="7"/>
      <c r="R196" s="766"/>
      <c r="S196" s="170"/>
      <c r="T196" s="168"/>
      <c r="U196" s="170"/>
    </row>
    <row x14ac:dyDescent="0.25" r="197" customHeight="1" ht="18.75">
      <c r="A197" s="1"/>
      <c r="B197" s="799">
        <f>+DATE(YEAR(B196),MONTH(B196)+1,DAY(B196))</f>
        <v>25569.041666666668</v>
      </c>
      <c r="C197" s="799">
        <f>+B198-1</f>
        <v>25569.041666666668</v>
      </c>
      <c r="D197" s="791">
        <f>-_xlfn.DAYS($C$3,C197)/365.25</f>
      </c>
      <c r="E197" s="800">
        <f>IF($D$17+40&lt;=D197,(1+$D$7)^-(D197-$C$5),(1+$C$7)^-(D197-$C$5))</f>
      </c>
      <c r="F197" s="801">
        <f>IF($C$4="Hombre",(+VLOOKUP(INT(D197)+1,Tablas!$G$9:$K$1240,5,0)*(D197-INT(D197))+VLOOKUP(INT(D197),Tablas!$G$9:$K$1240,5,0)*(INT(D197)+1-D197))/(VLOOKUP(INT($C$5)+1,Tablas!$G$9:$K$1240,5,0)*($C$5-INT($C$5))+VLOOKUP(INT($C$5),Tablas!$G$9:$K$124,5,0)*(INT($C$5)+1-$C$5)),(+VLOOKUP(INT(D197)+1,Tablas!$G$9:$O$1240,9,0)*(D197-INT(D197))+VLOOKUP(INT(D197),Tablas!$G$9:$O$1240,9,0)*(INT(D197)+1-D197))/(VLOOKUP(INT($C$5)+1,Tablas!$G$9:$O$1240,9,0)*($C$5-INT($C$5))+VLOOKUP(INT($C$5),Tablas!$G$9:$O$124,9,0)*(INT($C$5)+1-$C$5)))</f>
      </c>
      <c r="G197" s="791">
        <f>IF($C$4="Hombre",(+VLOOKUP(INT(D197)+1,Tablas!$G$9:$K$1240,5,0)*(D197-INT(D197))+VLOOKUP(INT(D197),Tablas!$G$9:$K$1240,5,0)*(INT(D197)+1-D197)),+VLOOKUP(INT(D197)+1,Tablas!$G$9:$O$1240,9,0)*(D197-INT(D197))+VLOOKUP(INT(D197),Tablas!$G$9:$O$1240,9,0)*(INT(D197)+1-D197))</f>
      </c>
      <c r="H197" s="801">
        <f>+IF(MONTH(B197)=1,H196*(1+$C$9),H196)</f>
      </c>
      <c r="I197" s="791">
        <f>IF(B197&lt;$C$10,0,IF(B197&lt;$C$11,$C$8/12*E197*F197*H197,0))</f>
      </c>
      <c r="J197" s="791">
        <f>I197*12/14+IF(OR(MONTH(C197)=6,MONTH(C197)=12),I197*12/14,0)</f>
      </c>
      <c r="K197" s="801">
        <f>G197/$G$15</f>
      </c>
      <c r="L197" s="760"/>
      <c r="M197" s="767"/>
      <c r="N197" s="168"/>
      <c r="O197" s="768"/>
      <c r="P197" s="170"/>
      <c r="Q197" s="7"/>
      <c r="R197" s="766"/>
      <c r="S197" s="170"/>
      <c r="T197" s="168"/>
      <c r="U197" s="170"/>
    </row>
    <row x14ac:dyDescent="0.25" r="198" customHeight="1" ht="18.75">
      <c r="A198" s="1"/>
      <c r="B198" s="799">
        <f>+DATE(YEAR(B197),MONTH(B197)+1,DAY(B197))</f>
        <v>25569.041666666668</v>
      </c>
      <c r="C198" s="799">
        <f>+B199-1</f>
        <v>25569.041666666668</v>
      </c>
      <c r="D198" s="791">
        <f>-_xlfn.DAYS($C$3,C198)/365.25</f>
      </c>
      <c r="E198" s="800">
        <f>IF($D$17+40&lt;=D198,(1+$D$7)^-(D198-$C$5),(1+$C$7)^-(D198-$C$5))</f>
      </c>
      <c r="F198" s="801">
        <f>IF($C$4="Hombre",(+VLOOKUP(INT(D198)+1,Tablas!$G$9:$K$1240,5,0)*(D198-INT(D198))+VLOOKUP(INT(D198),Tablas!$G$9:$K$1240,5,0)*(INT(D198)+1-D198))/(VLOOKUP(INT($C$5)+1,Tablas!$G$9:$K$1240,5,0)*($C$5-INT($C$5))+VLOOKUP(INT($C$5),Tablas!$G$9:$K$124,5,0)*(INT($C$5)+1-$C$5)),(+VLOOKUP(INT(D198)+1,Tablas!$G$9:$O$1240,9,0)*(D198-INT(D198))+VLOOKUP(INT(D198),Tablas!$G$9:$O$1240,9,0)*(INT(D198)+1-D198))/(VLOOKUP(INT($C$5)+1,Tablas!$G$9:$O$1240,9,0)*($C$5-INT($C$5))+VLOOKUP(INT($C$5),Tablas!$G$9:$O$124,9,0)*(INT($C$5)+1-$C$5)))</f>
      </c>
      <c r="G198" s="791">
        <f>IF($C$4="Hombre",(+VLOOKUP(INT(D198)+1,Tablas!$G$9:$K$1240,5,0)*(D198-INT(D198))+VLOOKUP(INT(D198),Tablas!$G$9:$K$1240,5,0)*(INT(D198)+1-D198)),+VLOOKUP(INT(D198)+1,Tablas!$G$9:$O$1240,9,0)*(D198-INT(D198))+VLOOKUP(INT(D198),Tablas!$G$9:$O$1240,9,0)*(INT(D198)+1-D198))</f>
      </c>
      <c r="H198" s="801">
        <f>+IF(MONTH(B198)=1,H197*(1+$C$9),H197)</f>
      </c>
      <c r="I198" s="791">
        <f>IF(B198&lt;$C$10,0,IF(B198&lt;$C$11,$C$8/12*E198*F198*H198,0))</f>
      </c>
      <c r="J198" s="791">
        <f>I198*12/14+IF(OR(MONTH(C198)=6,MONTH(C198)=12),I198*12/14,0)</f>
      </c>
      <c r="K198" s="801">
        <f>G198/$G$15</f>
      </c>
      <c r="L198" s="760"/>
      <c r="M198" s="767"/>
      <c r="N198" s="168"/>
      <c r="O198" s="768"/>
      <c r="P198" s="170"/>
      <c r="Q198" s="7"/>
      <c r="R198" s="766"/>
      <c r="S198" s="170"/>
      <c r="T198" s="168"/>
      <c r="U198" s="170"/>
    </row>
    <row x14ac:dyDescent="0.25" r="199" customHeight="1" ht="18.75">
      <c r="A199" s="1"/>
      <c r="B199" s="799">
        <f>+DATE(YEAR(B198),MONTH(B198)+1,DAY(B198))</f>
        <v>25569.041666666668</v>
      </c>
      <c r="C199" s="799">
        <f>+B200-1</f>
        <v>25569.041666666668</v>
      </c>
      <c r="D199" s="791">
        <f>-_xlfn.DAYS($C$3,C199)/365.25</f>
      </c>
      <c r="E199" s="800">
        <f>IF($D$17+40&lt;=D199,(1+$D$7)^-(D199-$C$5),(1+$C$7)^-(D199-$C$5))</f>
      </c>
      <c r="F199" s="801">
        <f>IF($C$4="Hombre",(+VLOOKUP(INT(D199)+1,Tablas!$G$9:$K$1240,5,0)*(D199-INT(D199))+VLOOKUP(INT(D199),Tablas!$G$9:$K$1240,5,0)*(INT(D199)+1-D199))/(VLOOKUP(INT($C$5)+1,Tablas!$G$9:$K$1240,5,0)*($C$5-INT($C$5))+VLOOKUP(INT($C$5),Tablas!$G$9:$K$124,5,0)*(INT($C$5)+1-$C$5)),(+VLOOKUP(INT(D199)+1,Tablas!$G$9:$O$1240,9,0)*(D199-INT(D199))+VLOOKUP(INT(D199),Tablas!$G$9:$O$1240,9,0)*(INT(D199)+1-D199))/(VLOOKUP(INT($C$5)+1,Tablas!$G$9:$O$1240,9,0)*($C$5-INT($C$5))+VLOOKUP(INT($C$5),Tablas!$G$9:$O$124,9,0)*(INT($C$5)+1-$C$5)))</f>
      </c>
      <c r="G199" s="791">
        <f>IF($C$4="Hombre",(+VLOOKUP(INT(D199)+1,Tablas!$G$9:$K$1240,5,0)*(D199-INT(D199))+VLOOKUP(INT(D199),Tablas!$G$9:$K$1240,5,0)*(INT(D199)+1-D199)),+VLOOKUP(INT(D199)+1,Tablas!$G$9:$O$1240,9,0)*(D199-INT(D199))+VLOOKUP(INT(D199),Tablas!$G$9:$O$1240,9,0)*(INT(D199)+1-D199))</f>
      </c>
      <c r="H199" s="801">
        <f>+IF(MONTH(B199)=1,H198*(1+$C$9),H198)</f>
      </c>
      <c r="I199" s="791">
        <f>IF(B199&lt;$C$10,0,IF(B199&lt;$C$11,$C$8/12*E199*F199*H199,0))</f>
      </c>
      <c r="J199" s="791">
        <f>I199*12/14+IF(OR(MONTH(C199)=6,MONTH(C199)=12),I199*12/14,0)</f>
      </c>
      <c r="K199" s="801">
        <f>G199/$G$15</f>
      </c>
      <c r="L199" s="760"/>
      <c r="M199" s="767"/>
      <c r="N199" s="168"/>
      <c r="O199" s="768"/>
      <c r="P199" s="170"/>
      <c r="Q199" s="7"/>
      <c r="R199" s="766"/>
      <c r="S199" s="170"/>
      <c r="T199" s="168"/>
      <c r="U199" s="170"/>
    </row>
    <row x14ac:dyDescent="0.25" r="200" customHeight="1" ht="18.75">
      <c r="A200" s="1"/>
      <c r="B200" s="799">
        <f>+DATE(YEAR(B199),MONTH(B199)+1,DAY(B199))</f>
        <v>25569.041666666668</v>
      </c>
      <c r="C200" s="799">
        <f>+B201-1</f>
        <v>25569.041666666668</v>
      </c>
      <c r="D200" s="791">
        <f>-_xlfn.DAYS($C$3,C200)/365.25</f>
      </c>
      <c r="E200" s="800">
        <f>IF($D$17+40&lt;=D200,(1+$D$7)^-(D200-$C$5),(1+$C$7)^-(D200-$C$5))</f>
      </c>
      <c r="F200" s="801">
        <f>IF($C$4="Hombre",(+VLOOKUP(INT(D200)+1,Tablas!$G$9:$K$1240,5,0)*(D200-INT(D200))+VLOOKUP(INT(D200),Tablas!$G$9:$K$1240,5,0)*(INT(D200)+1-D200))/(VLOOKUP(INT($C$5)+1,Tablas!$G$9:$K$1240,5,0)*($C$5-INT($C$5))+VLOOKUP(INT($C$5),Tablas!$G$9:$K$124,5,0)*(INT($C$5)+1-$C$5)),(+VLOOKUP(INT(D200)+1,Tablas!$G$9:$O$1240,9,0)*(D200-INT(D200))+VLOOKUP(INT(D200),Tablas!$G$9:$O$1240,9,0)*(INT(D200)+1-D200))/(VLOOKUP(INT($C$5)+1,Tablas!$G$9:$O$1240,9,0)*($C$5-INT($C$5))+VLOOKUP(INT($C$5),Tablas!$G$9:$O$124,9,0)*(INT($C$5)+1-$C$5)))</f>
      </c>
      <c r="G200" s="791">
        <f>IF($C$4="Hombre",(+VLOOKUP(INT(D200)+1,Tablas!$G$9:$K$1240,5,0)*(D200-INT(D200))+VLOOKUP(INT(D200),Tablas!$G$9:$K$1240,5,0)*(INT(D200)+1-D200)),+VLOOKUP(INT(D200)+1,Tablas!$G$9:$O$1240,9,0)*(D200-INT(D200))+VLOOKUP(INT(D200),Tablas!$G$9:$O$1240,9,0)*(INT(D200)+1-D200))</f>
      </c>
      <c r="H200" s="801">
        <f>+IF(MONTH(B200)=1,H199*(1+$C$9),H199)</f>
      </c>
      <c r="I200" s="791">
        <f>IF(B200&lt;$C$10,0,IF(B200&lt;$C$11,$C$8/12*E200*F200*H200,0))</f>
      </c>
      <c r="J200" s="791">
        <f>I200*12/14+IF(OR(MONTH(C200)=6,MONTH(C200)=12),I200*12/14,0)</f>
      </c>
      <c r="K200" s="801">
        <f>G200/$G$15</f>
      </c>
      <c r="L200" s="760"/>
      <c r="M200" s="767"/>
      <c r="N200" s="168"/>
      <c r="O200" s="768"/>
      <c r="P200" s="170"/>
      <c r="Q200" s="7"/>
      <c r="R200" s="766"/>
      <c r="S200" s="170"/>
      <c r="T200" s="168"/>
      <c r="U200" s="170"/>
    </row>
    <row x14ac:dyDescent="0.25" r="201" customHeight="1" ht="18.75">
      <c r="A201" s="1"/>
      <c r="B201" s="799">
        <f>+DATE(YEAR(B200),MONTH(B200)+1,DAY(B200))</f>
        <v>25569.041666666668</v>
      </c>
      <c r="C201" s="799">
        <f>+B202-1</f>
        <v>25569.041666666668</v>
      </c>
      <c r="D201" s="791">
        <f>-_xlfn.DAYS($C$3,C201)/365.25</f>
      </c>
      <c r="E201" s="800">
        <f>IF($D$17+40&lt;=D201,(1+$D$7)^-(D201-$C$5),(1+$C$7)^-(D201-$C$5))</f>
      </c>
      <c r="F201" s="801">
        <f>IF($C$4="Hombre",(+VLOOKUP(INT(D201)+1,Tablas!$G$9:$K$1240,5,0)*(D201-INT(D201))+VLOOKUP(INT(D201),Tablas!$G$9:$K$1240,5,0)*(INT(D201)+1-D201))/(VLOOKUP(INT($C$5)+1,Tablas!$G$9:$K$1240,5,0)*($C$5-INT($C$5))+VLOOKUP(INT($C$5),Tablas!$G$9:$K$124,5,0)*(INT($C$5)+1-$C$5)),(+VLOOKUP(INT(D201)+1,Tablas!$G$9:$O$1240,9,0)*(D201-INT(D201))+VLOOKUP(INT(D201),Tablas!$G$9:$O$1240,9,0)*(INT(D201)+1-D201))/(VLOOKUP(INT($C$5)+1,Tablas!$G$9:$O$1240,9,0)*($C$5-INT($C$5))+VLOOKUP(INT($C$5),Tablas!$G$9:$O$124,9,0)*(INT($C$5)+1-$C$5)))</f>
      </c>
      <c r="G201" s="791">
        <f>IF($C$4="Hombre",(+VLOOKUP(INT(D201)+1,Tablas!$G$9:$K$1240,5,0)*(D201-INT(D201))+VLOOKUP(INT(D201),Tablas!$G$9:$K$1240,5,0)*(INT(D201)+1-D201)),+VLOOKUP(INT(D201)+1,Tablas!$G$9:$O$1240,9,0)*(D201-INT(D201))+VLOOKUP(INT(D201),Tablas!$G$9:$O$1240,9,0)*(INT(D201)+1-D201))</f>
      </c>
      <c r="H201" s="801">
        <f>+IF(MONTH(B201)=1,H200*(1+$C$9),H200)</f>
      </c>
      <c r="I201" s="791">
        <f>IF(B201&lt;$C$10,0,IF(B201&lt;$C$11,$C$8/12*E201*F201*H201,0))</f>
      </c>
      <c r="J201" s="791">
        <f>I201*12/14+IF(OR(MONTH(C201)=6,MONTH(C201)=12),I201*12/14,0)</f>
      </c>
      <c r="K201" s="801">
        <f>G201/$G$15</f>
      </c>
      <c r="L201" s="760"/>
      <c r="M201" s="767"/>
      <c r="N201" s="168"/>
      <c r="O201" s="768"/>
      <c r="P201" s="170"/>
      <c r="Q201" s="7"/>
      <c r="R201" s="766"/>
      <c r="S201" s="170"/>
      <c r="T201" s="168"/>
      <c r="U201" s="170"/>
    </row>
    <row x14ac:dyDescent="0.25" r="202" customHeight="1" ht="18.75">
      <c r="A202" s="1"/>
      <c r="B202" s="799">
        <f>+DATE(YEAR(B201),MONTH(B201)+1,DAY(B201))</f>
        <v>25569.041666666668</v>
      </c>
      <c r="C202" s="799">
        <f>+B203-1</f>
        <v>25569.041666666668</v>
      </c>
      <c r="D202" s="791">
        <f>-_xlfn.DAYS($C$3,C202)/365.25</f>
      </c>
      <c r="E202" s="800">
        <f>IF($D$17+40&lt;=D202,(1+$D$7)^-(D202-$C$5),(1+$C$7)^-(D202-$C$5))</f>
      </c>
      <c r="F202" s="801">
        <f>IF($C$4="Hombre",(+VLOOKUP(INT(D202)+1,Tablas!$G$9:$K$1240,5,0)*(D202-INT(D202))+VLOOKUP(INT(D202),Tablas!$G$9:$K$1240,5,0)*(INT(D202)+1-D202))/(VLOOKUP(INT($C$5)+1,Tablas!$G$9:$K$1240,5,0)*($C$5-INT($C$5))+VLOOKUP(INT($C$5),Tablas!$G$9:$K$124,5,0)*(INT($C$5)+1-$C$5)),(+VLOOKUP(INT(D202)+1,Tablas!$G$9:$O$1240,9,0)*(D202-INT(D202))+VLOOKUP(INT(D202),Tablas!$G$9:$O$1240,9,0)*(INT(D202)+1-D202))/(VLOOKUP(INT($C$5)+1,Tablas!$G$9:$O$1240,9,0)*($C$5-INT($C$5))+VLOOKUP(INT($C$5),Tablas!$G$9:$O$124,9,0)*(INT($C$5)+1-$C$5)))</f>
      </c>
      <c r="G202" s="791">
        <f>IF($C$4="Hombre",(+VLOOKUP(INT(D202)+1,Tablas!$G$9:$K$1240,5,0)*(D202-INT(D202))+VLOOKUP(INT(D202),Tablas!$G$9:$K$1240,5,0)*(INT(D202)+1-D202)),+VLOOKUP(INT(D202)+1,Tablas!$G$9:$O$1240,9,0)*(D202-INT(D202))+VLOOKUP(INT(D202),Tablas!$G$9:$O$1240,9,0)*(INT(D202)+1-D202))</f>
      </c>
      <c r="H202" s="801">
        <f>+IF(MONTH(B202)=1,H201*(1+$C$9),H201)</f>
      </c>
      <c r="I202" s="791">
        <f>IF(B202&lt;$C$10,0,IF(B202&lt;$C$11,$C$8/12*E202*F202*H202,0))</f>
      </c>
      <c r="J202" s="791">
        <f>I202*12/14+IF(OR(MONTH(C202)=6,MONTH(C202)=12),I202*12/14,0)</f>
      </c>
      <c r="K202" s="801">
        <f>G202/$G$15</f>
      </c>
      <c r="L202" s="760"/>
      <c r="M202" s="767"/>
      <c r="N202" s="168"/>
      <c r="O202" s="768"/>
      <c r="P202" s="170"/>
      <c r="Q202" s="7"/>
      <c r="R202" s="766"/>
      <c r="S202" s="170"/>
      <c r="T202" s="168"/>
      <c r="U202" s="170"/>
    </row>
    <row x14ac:dyDescent="0.25" r="203" customHeight="1" ht="18.75">
      <c r="A203" s="1"/>
      <c r="B203" s="799">
        <f>+DATE(YEAR(B202),MONTH(B202)+1,DAY(B202))</f>
        <v>25569.041666666668</v>
      </c>
      <c r="C203" s="799">
        <f>+B204-1</f>
        <v>25569.041666666668</v>
      </c>
      <c r="D203" s="791">
        <f>-_xlfn.DAYS($C$3,C203)/365.25</f>
      </c>
      <c r="E203" s="800">
        <f>IF($D$17+40&lt;=D203,(1+$D$7)^-(D203-$C$5),(1+$C$7)^-(D203-$C$5))</f>
      </c>
      <c r="F203" s="801">
        <f>IF($C$4="Hombre",(+VLOOKUP(INT(D203)+1,Tablas!$G$9:$K$1240,5,0)*(D203-INT(D203))+VLOOKUP(INT(D203),Tablas!$G$9:$K$1240,5,0)*(INT(D203)+1-D203))/(VLOOKUP(INT($C$5)+1,Tablas!$G$9:$K$1240,5,0)*($C$5-INT($C$5))+VLOOKUP(INT($C$5),Tablas!$G$9:$K$124,5,0)*(INT($C$5)+1-$C$5)),(+VLOOKUP(INT(D203)+1,Tablas!$G$9:$O$1240,9,0)*(D203-INT(D203))+VLOOKUP(INT(D203),Tablas!$G$9:$O$1240,9,0)*(INT(D203)+1-D203))/(VLOOKUP(INT($C$5)+1,Tablas!$G$9:$O$1240,9,0)*($C$5-INT($C$5))+VLOOKUP(INT($C$5),Tablas!$G$9:$O$124,9,0)*(INT($C$5)+1-$C$5)))</f>
      </c>
      <c r="G203" s="791">
        <f>IF($C$4="Hombre",(+VLOOKUP(INT(D203)+1,Tablas!$G$9:$K$1240,5,0)*(D203-INT(D203))+VLOOKUP(INT(D203),Tablas!$G$9:$K$1240,5,0)*(INT(D203)+1-D203)),+VLOOKUP(INT(D203)+1,Tablas!$G$9:$O$1240,9,0)*(D203-INT(D203))+VLOOKUP(INT(D203),Tablas!$G$9:$O$1240,9,0)*(INT(D203)+1-D203))</f>
      </c>
      <c r="H203" s="801">
        <f>+IF(MONTH(B203)=1,H202*(1+$C$9),H202)</f>
      </c>
      <c r="I203" s="791">
        <f>IF(B203&lt;$C$10,0,IF(B203&lt;$C$11,$C$8/12*E203*F203*H203,0))</f>
      </c>
      <c r="J203" s="791">
        <f>I203*12/14+IF(OR(MONTH(C203)=6,MONTH(C203)=12),I203*12/14,0)</f>
      </c>
      <c r="K203" s="801">
        <f>G203/$G$15</f>
      </c>
      <c r="L203" s="760"/>
      <c r="M203" s="767"/>
      <c r="N203" s="168"/>
      <c r="O203" s="768"/>
      <c r="P203" s="170"/>
      <c r="Q203" s="7"/>
      <c r="R203" s="766"/>
      <c r="S203" s="170"/>
      <c r="T203" s="168"/>
      <c r="U203" s="170"/>
    </row>
    <row x14ac:dyDescent="0.25" r="204" customHeight="1" ht="18.75">
      <c r="A204" s="1"/>
      <c r="B204" s="799">
        <f>+DATE(YEAR(B203),MONTH(B203)+1,DAY(B203))</f>
        <v>25569.041666666668</v>
      </c>
      <c r="C204" s="799">
        <f>+B205-1</f>
        <v>25569.041666666668</v>
      </c>
      <c r="D204" s="791">
        <f>-_xlfn.DAYS($C$3,C204)/365.25</f>
      </c>
      <c r="E204" s="800">
        <f>IF($D$17+40&lt;=D204,(1+$D$7)^-(D204-$C$5),(1+$C$7)^-(D204-$C$5))</f>
      </c>
      <c r="F204" s="801">
        <f>IF($C$4="Hombre",(+VLOOKUP(INT(D204)+1,Tablas!$G$9:$K$1240,5,0)*(D204-INT(D204))+VLOOKUP(INT(D204),Tablas!$G$9:$K$1240,5,0)*(INT(D204)+1-D204))/(VLOOKUP(INT($C$5)+1,Tablas!$G$9:$K$1240,5,0)*($C$5-INT($C$5))+VLOOKUP(INT($C$5),Tablas!$G$9:$K$124,5,0)*(INT($C$5)+1-$C$5)),(+VLOOKUP(INT(D204)+1,Tablas!$G$9:$O$1240,9,0)*(D204-INT(D204))+VLOOKUP(INT(D204),Tablas!$G$9:$O$1240,9,0)*(INT(D204)+1-D204))/(VLOOKUP(INT($C$5)+1,Tablas!$G$9:$O$1240,9,0)*($C$5-INT($C$5))+VLOOKUP(INT($C$5),Tablas!$G$9:$O$124,9,0)*(INT($C$5)+1-$C$5)))</f>
      </c>
      <c r="G204" s="791">
        <f>IF($C$4="Hombre",(+VLOOKUP(INT(D204)+1,Tablas!$G$9:$K$1240,5,0)*(D204-INT(D204))+VLOOKUP(INT(D204),Tablas!$G$9:$K$1240,5,0)*(INT(D204)+1-D204)),+VLOOKUP(INT(D204)+1,Tablas!$G$9:$O$1240,9,0)*(D204-INT(D204))+VLOOKUP(INT(D204),Tablas!$G$9:$O$1240,9,0)*(INT(D204)+1-D204))</f>
      </c>
      <c r="H204" s="801">
        <f>+IF(MONTH(B204)=1,H203*(1+$C$9),H203)</f>
      </c>
      <c r="I204" s="791">
        <f>IF(B204&lt;$C$10,0,IF(B204&lt;$C$11,$C$8/12*E204*F204*H204,0))</f>
      </c>
      <c r="J204" s="791">
        <f>I204*12/14+IF(OR(MONTH(C204)=6,MONTH(C204)=12),I204*12/14,0)</f>
      </c>
      <c r="K204" s="801">
        <f>G204/$G$15</f>
      </c>
      <c r="L204" s="760"/>
      <c r="M204" s="767"/>
      <c r="N204" s="168"/>
      <c r="O204" s="768"/>
      <c r="P204" s="170"/>
      <c r="Q204" s="7"/>
      <c r="R204" s="766"/>
      <c r="S204" s="170"/>
      <c r="T204" s="168"/>
      <c r="U204" s="170"/>
    </row>
    <row x14ac:dyDescent="0.25" r="205" customHeight="1" ht="18.75">
      <c r="A205" s="1"/>
      <c r="B205" s="799">
        <f>+DATE(YEAR(B204),MONTH(B204)+1,DAY(B204))</f>
        <v>25569.041666666668</v>
      </c>
      <c r="C205" s="799">
        <f>+B206-1</f>
        <v>25569.041666666668</v>
      </c>
      <c r="D205" s="791">
        <f>-_xlfn.DAYS($C$3,C205)/365.25</f>
      </c>
      <c r="E205" s="800">
        <f>IF($D$17+40&lt;=D205,(1+$D$7)^-(D205-$C$5),(1+$C$7)^-(D205-$C$5))</f>
      </c>
      <c r="F205" s="801">
        <f>IF($C$4="Hombre",(+VLOOKUP(INT(D205)+1,Tablas!$G$9:$K$1240,5,0)*(D205-INT(D205))+VLOOKUP(INT(D205),Tablas!$G$9:$K$1240,5,0)*(INT(D205)+1-D205))/(VLOOKUP(INT($C$5)+1,Tablas!$G$9:$K$1240,5,0)*($C$5-INT($C$5))+VLOOKUP(INT($C$5),Tablas!$G$9:$K$124,5,0)*(INT($C$5)+1-$C$5)),(+VLOOKUP(INT(D205)+1,Tablas!$G$9:$O$1240,9,0)*(D205-INT(D205))+VLOOKUP(INT(D205),Tablas!$G$9:$O$1240,9,0)*(INT(D205)+1-D205))/(VLOOKUP(INT($C$5)+1,Tablas!$G$9:$O$1240,9,0)*($C$5-INT($C$5))+VLOOKUP(INT($C$5),Tablas!$G$9:$O$124,9,0)*(INT($C$5)+1-$C$5)))</f>
      </c>
      <c r="G205" s="791">
        <f>IF($C$4="Hombre",(+VLOOKUP(INT(D205)+1,Tablas!$G$9:$K$1240,5,0)*(D205-INT(D205))+VLOOKUP(INT(D205),Tablas!$G$9:$K$1240,5,0)*(INT(D205)+1-D205)),+VLOOKUP(INT(D205)+1,Tablas!$G$9:$O$1240,9,0)*(D205-INT(D205))+VLOOKUP(INT(D205),Tablas!$G$9:$O$1240,9,0)*(INT(D205)+1-D205))</f>
      </c>
      <c r="H205" s="801">
        <f>+IF(MONTH(B205)=1,H204*(1+$C$9),H204)</f>
      </c>
      <c r="I205" s="791">
        <f>IF(B205&lt;$C$10,0,IF(B205&lt;$C$11,$C$8/12*E205*F205*H205,0))</f>
      </c>
      <c r="J205" s="791">
        <f>I205*12/14+IF(OR(MONTH(C205)=6,MONTH(C205)=12),I205*12/14,0)</f>
      </c>
      <c r="K205" s="801">
        <f>G205/$G$15</f>
      </c>
      <c r="L205" s="760"/>
      <c r="M205" s="767"/>
      <c r="N205" s="168"/>
      <c r="O205" s="768"/>
      <c r="P205" s="170"/>
      <c r="Q205" s="7"/>
      <c r="R205" s="766"/>
      <c r="S205" s="170"/>
      <c r="T205" s="168"/>
      <c r="U205" s="170"/>
    </row>
    <row x14ac:dyDescent="0.25" r="206" customHeight="1" ht="18.75">
      <c r="A206" s="1"/>
      <c r="B206" s="799">
        <f>+DATE(YEAR(B205),MONTH(B205)+1,DAY(B205))</f>
        <v>25569.041666666668</v>
      </c>
      <c r="C206" s="799">
        <f>+B207-1</f>
        <v>25569.041666666668</v>
      </c>
      <c r="D206" s="791">
        <f>-_xlfn.DAYS($C$3,C206)/365.25</f>
      </c>
      <c r="E206" s="800">
        <f>IF($D$17+40&lt;=D206,(1+$D$7)^-(D206-$C$5),(1+$C$7)^-(D206-$C$5))</f>
      </c>
      <c r="F206" s="801">
        <f>IF($C$4="Hombre",(+VLOOKUP(INT(D206)+1,Tablas!$G$9:$K$1240,5,0)*(D206-INT(D206))+VLOOKUP(INT(D206),Tablas!$G$9:$K$1240,5,0)*(INT(D206)+1-D206))/(VLOOKUP(INT($C$5)+1,Tablas!$G$9:$K$1240,5,0)*($C$5-INT($C$5))+VLOOKUP(INT($C$5),Tablas!$G$9:$K$124,5,0)*(INT($C$5)+1-$C$5)),(+VLOOKUP(INT(D206)+1,Tablas!$G$9:$O$1240,9,0)*(D206-INT(D206))+VLOOKUP(INT(D206),Tablas!$G$9:$O$1240,9,0)*(INT(D206)+1-D206))/(VLOOKUP(INT($C$5)+1,Tablas!$G$9:$O$1240,9,0)*($C$5-INT($C$5))+VLOOKUP(INT($C$5),Tablas!$G$9:$O$124,9,0)*(INT($C$5)+1-$C$5)))</f>
      </c>
      <c r="G206" s="791">
        <f>IF($C$4="Hombre",(+VLOOKUP(INT(D206)+1,Tablas!$G$9:$K$1240,5,0)*(D206-INT(D206))+VLOOKUP(INT(D206),Tablas!$G$9:$K$1240,5,0)*(INT(D206)+1-D206)),+VLOOKUP(INT(D206)+1,Tablas!$G$9:$O$1240,9,0)*(D206-INT(D206))+VLOOKUP(INT(D206),Tablas!$G$9:$O$1240,9,0)*(INT(D206)+1-D206))</f>
      </c>
      <c r="H206" s="801">
        <f>+IF(MONTH(B206)=1,H205*(1+$C$9),H205)</f>
      </c>
      <c r="I206" s="791">
        <f>IF(B206&lt;$C$10,0,IF(B206&lt;$C$11,$C$8/12*E206*F206*H206,0))</f>
      </c>
      <c r="J206" s="791">
        <f>I206*12/14+IF(OR(MONTH(C206)=6,MONTH(C206)=12),I206*12/14,0)</f>
      </c>
      <c r="K206" s="801">
        <f>G206/$G$15</f>
      </c>
      <c r="L206" s="760"/>
      <c r="M206" s="767"/>
      <c r="N206" s="168"/>
      <c r="O206" s="768"/>
      <c r="P206" s="170"/>
      <c r="Q206" s="7"/>
      <c r="R206" s="766"/>
      <c r="S206" s="170"/>
      <c r="T206" s="168"/>
      <c r="U206" s="170"/>
    </row>
    <row x14ac:dyDescent="0.25" r="207" customHeight="1" ht="18.75">
      <c r="A207" s="1"/>
      <c r="B207" s="799">
        <f>+DATE(YEAR(B206),MONTH(B206)+1,DAY(B206))</f>
        <v>25569.041666666668</v>
      </c>
      <c r="C207" s="799">
        <f>+B208-1</f>
        <v>25569.041666666668</v>
      </c>
      <c r="D207" s="791">
        <f>-_xlfn.DAYS($C$3,C207)/365.25</f>
      </c>
      <c r="E207" s="800">
        <f>IF($D$17+40&lt;=D207,(1+$D$7)^-(D207-$C$5),(1+$C$7)^-(D207-$C$5))</f>
      </c>
      <c r="F207" s="801">
        <f>IF($C$4="Hombre",(+VLOOKUP(INT(D207)+1,Tablas!$G$9:$K$1240,5,0)*(D207-INT(D207))+VLOOKUP(INT(D207),Tablas!$G$9:$K$1240,5,0)*(INT(D207)+1-D207))/(VLOOKUP(INT($C$5)+1,Tablas!$G$9:$K$1240,5,0)*($C$5-INT($C$5))+VLOOKUP(INT($C$5),Tablas!$G$9:$K$124,5,0)*(INT($C$5)+1-$C$5)),(+VLOOKUP(INT(D207)+1,Tablas!$G$9:$O$1240,9,0)*(D207-INT(D207))+VLOOKUP(INT(D207),Tablas!$G$9:$O$1240,9,0)*(INT(D207)+1-D207))/(VLOOKUP(INT($C$5)+1,Tablas!$G$9:$O$1240,9,0)*($C$5-INT($C$5))+VLOOKUP(INT($C$5),Tablas!$G$9:$O$124,9,0)*(INT($C$5)+1-$C$5)))</f>
      </c>
      <c r="G207" s="791">
        <f>IF($C$4="Hombre",(+VLOOKUP(INT(D207)+1,Tablas!$G$9:$K$1240,5,0)*(D207-INT(D207))+VLOOKUP(INT(D207),Tablas!$G$9:$K$1240,5,0)*(INT(D207)+1-D207)),+VLOOKUP(INT(D207)+1,Tablas!$G$9:$O$1240,9,0)*(D207-INT(D207))+VLOOKUP(INT(D207),Tablas!$G$9:$O$1240,9,0)*(INT(D207)+1-D207))</f>
      </c>
      <c r="H207" s="801">
        <f>+IF(MONTH(B207)=1,H206*(1+$C$9),H206)</f>
      </c>
      <c r="I207" s="791">
        <f>IF(B207&lt;$C$10,0,IF(B207&lt;$C$11,$C$8/12*E207*F207*H207,0))</f>
      </c>
      <c r="J207" s="791">
        <f>I207*12/14+IF(OR(MONTH(C207)=6,MONTH(C207)=12),I207*12/14,0)</f>
      </c>
      <c r="K207" s="801">
        <f>G207/$G$15</f>
      </c>
      <c r="L207" s="760"/>
      <c r="M207" s="767"/>
      <c r="N207" s="168"/>
      <c r="O207" s="768"/>
      <c r="P207" s="170"/>
      <c r="Q207" s="7"/>
      <c r="R207" s="766"/>
      <c r="S207" s="170"/>
      <c r="T207" s="168"/>
      <c r="U207" s="170"/>
    </row>
    <row x14ac:dyDescent="0.25" r="208" customHeight="1" ht="18.75">
      <c r="A208" s="1"/>
      <c r="B208" s="799">
        <f>+DATE(YEAR(B207),MONTH(B207)+1,DAY(B207))</f>
        <v>25569.041666666668</v>
      </c>
      <c r="C208" s="799">
        <f>+B209-1</f>
        <v>25569.041666666668</v>
      </c>
      <c r="D208" s="791">
        <f>-_xlfn.DAYS($C$3,C208)/365.25</f>
      </c>
      <c r="E208" s="800">
        <f>IF($D$17+40&lt;=D208,(1+$D$7)^-(D208-$C$5),(1+$C$7)^-(D208-$C$5))</f>
      </c>
      <c r="F208" s="801">
        <f>IF($C$4="Hombre",(+VLOOKUP(INT(D208)+1,Tablas!$G$9:$K$1240,5,0)*(D208-INT(D208))+VLOOKUP(INT(D208),Tablas!$G$9:$K$1240,5,0)*(INT(D208)+1-D208))/(VLOOKUP(INT($C$5)+1,Tablas!$G$9:$K$1240,5,0)*($C$5-INT($C$5))+VLOOKUP(INT($C$5),Tablas!$G$9:$K$124,5,0)*(INT($C$5)+1-$C$5)),(+VLOOKUP(INT(D208)+1,Tablas!$G$9:$O$1240,9,0)*(D208-INT(D208))+VLOOKUP(INT(D208),Tablas!$G$9:$O$1240,9,0)*(INT(D208)+1-D208))/(VLOOKUP(INT($C$5)+1,Tablas!$G$9:$O$1240,9,0)*($C$5-INT($C$5))+VLOOKUP(INT($C$5),Tablas!$G$9:$O$124,9,0)*(INT($C$5)+1-$C$5)))</f>
      </c>
      <c r="G208" s="791">
        <f>IF($C$4="Hombre",(+VLOOKUP(INT(D208)+1,Tablas!$G$9:$K$1240,5,0)*(D208-INT(D208))+VLOOKUP(INT(D208),Tablas!$G$9:$K$1240,5,0)*(INT(D208)+1-D208)),+VLOOKUP(INT(D208)+1,Tablas!$G$9:$O$1240,9,0)*(D208-INT(D208))+VLOOKUP(INT(D208),Tablas!$G$9:$O$1240,9,0)*(INT(D208)+1-D208))</f>
      </c>
      <c r="H208" s="801">
        <f>+IF(MONTH(B208)=1,H207*(1+$C$9),H207)</f>
      </c>
      <c r="I208" s="791">
        <f>IF(B208&lt;$C$10,0,IF(B208&lt;$C$11,$C$8/12*E208*F208*H208,0))</f>
      </c>
      <c r="J208" s="791">
        <f>I208*12/14+IF(OR(MONTH(C208)=6,MONTH(C208)=12),I208*12/14,0)</f>
      </c>
      <c r="K208" s="801">
        <f>G208/$G$15</f>
      </c>
      <c r="L208" s="760"/>
      <c r="M208" s="767"/>
      <c r="N208" s="168"/>
      <c r="O208" s="768"/>
      <c r="P208" s="170"/>
      <c r="Q208" s="7"/>
      <c r="R208" s="766"/>
      <c r="S208" s="170"/>
      <c r="T208" s="168"/>
      <c r="U208" s="170"/>
    </row>
    <row x14ac:dyDescent="0.25" r="209" customHeight="1" ht="18.75">
      <c r="A209" s="1"/>
      <c r="B209" s="799">
        <f>+DATE(YEAR(B208),MONTH(B208)+1,DAY(B208))</f>
        <v>25569.041666666668</v>
      </c>
      <c r="C209" s="799">
        <f>+B210-1</f>
        <v>25569.041666666668</v>
      </c>
      <c r="D209" s="791">
        <f>-_xlfn.DAYS($C$3,C209)/365.25</f>
      </c>
      <c r="E209" s="800">
        <f>IF($D$17+40&lt;=D209,(1+$D$7)^-(D209-$C$5),(1+$C$7)^-(D209-$C$5))</f>
      </c>
      <c r="F209" s="801">
        <f>IF($C$4="Hombre",(+VLOOKUP(INT(D209)+1,Tablas!$G$9:$K$1240,5,0)*(D209-INT(D209))+VLOOKUP(INT(D209),Tablas!$G$9:$K$1240,5,0)*(INT(D209)+1-D209))/(VLOOKUP(INT($C$5)+1,Tablas!$G$9:$K$1240,5,0)*($C$5-INT($C$5))+VLOOKUP(INT($C$5),Tablas!$G$9:$K$124,5,0)*(INT($C$5)+1-$C$5)),(+VLOOKUP(INT(D209)+1,Tablas!$G$9:$O$1240,9,0)*(D209-INT(D209))+VLOOKUP(INT(D209),Tablas!$G$9:$O$1240,9,0)*(INT(D209)+1-D209))/(VLOOKUP(INT($C$5)+1,Tablas!$G$9:$O$1240,9,0)*($C$5-INT($C$5))+VLOOKUP(INT($C$5),Tablas!$G$9:$O$124,9,0)*(INT($C$5)+1-$C$5)))</f>
      </c>
      <c r="G209" s="791">
        <f>IF($C$4="Hombre",(+VLOOKUP(INT(D209)+1,Tablas!$G$9:$K$1240,5,0)*(D209-INT(D209))+VLOOKUP(INT(D209),Tablas!$G$9:$K$1240,5,0)*(INT(D209)+1-D209)),+VLOOKUP(INT(D209)+1,Tablas!$G$9:$O$1240,9,0)*(D209-INT(D209))+VLOOKUP(INT(D209),Tablas!$G$9:$O$1240,9,0)*(INT(D209)+1-D209))</f>
      </c>
      <c r="H209" s="801">
        <f>+IF(MONTH(B209)=1,H208*(1+$C$9),H208)</f>
      </c>
      <c r="I209" s="791">
        <f>IF(B209&lt;$C$10,0,IF(B209&lt;$C$11,$C$8/12*E209*F209*H209,0))</f>
      </c>
      <c r="J209" s="791">
        <f>I209*12/14+IF(OR(MONTH(C209)=6,MONTH(C209)=12),I209*12/14,0)</f>
      </c>
      <c r="K209" s="801">
        <f>G209/$G$15</f>
      </c>
      <c r="L209" s="760"/>
      <c r="M209" s="767"/>
      <c r="N209" s="168"/>
      <c r="O209" s="768"/>
      <c r="P209" s="170"/>
      <c r="Q209" s="7"/>
      <c r="R209" s="766"/>
      <c r="S209" s="170"/>
      <c r="T209" s="168"/>
      <c r="U209" s="170"/>
    </row>
    <row x14ac:dyDescent="0.25" r="210" customHeight="1" ht="18.75">
      <c r="A210" s="1"/>
      <c r="B210" s="799">
        <f>+DATE(YEAR(B209),MONTH(B209)+1,DAY(B209))</f>
        <v>25569.041666666668</v>
      </c>
      <c r="C210" s="799">
        <f>+B211-1</f>
        <v>25569.041666666668</v>
      </c>
      <c r="D210" s="791">
        <f>-_xlfn.DAYS($C$3,C210)/365.25</f>
      </c>
      <c r="E210" s="800">
        <f>IF($D$17+40&lt;=D210,(1+$D$7)^-(D210-$C$5),(1+$C$7)^-(D210-$C$5))</f>
      </c>
      <c r="F210" s="801">
        <f>IF($C$4="Hombre",(+VLOOKUP(INT(D210)+1,Tablas!$G$9:$K$1240,5,0)*(D210-INT(D210))+VLOOKUP(INT(D210),Tablas!$G$9:$K$1240,5,0)*(INT(D210)+1-D210))/(VLOOKUP(INT($C$5)+1,Tablas!$G$9:$K$1240,5,0)*($C$5-INT($C$5))+VLOOKUP(INT($C$5),Tablas!$G$9:$K$124,5,0)*(INT($C$5)+1-$C$5)),(+VLOOKUP(INT(D210)+1,Tablas!$G$9:$O$1240,9,0)*(D210-INT(D210))+VLOOKUP(INT(D210),Tablas!$G$9:$O$1240,9,0)*(INT(D210)+1-D210))/(VLOOKUP(INT($C$5)+1,Tablas!$G$9:$O$1240,9,0)*($C$5-INT($C$5))+VLOOKUP(INT($C$5),Tablas!$G$9:$O$124,9,0)*(INT($C$5)+1-$C$5)))</f>
      </c>
      <c r="G210" s="791">
        <f>IF($C$4="Hombre",(+VLOOKUP(INT(D210)+1,Tablas!$G$9:$K$1240,5,0)*(D210-INT(D210))+VLOOKUP(INT(D210),Tablas!$G$9:$K$1240,5,0)*(INT(D210)+1-D210)),+VLOOKUP(INT(D210)+1,Tablas!$G$9:$O$1240,9,0)*(D210-INT(D210))+VLOOKUP(INT(D210),Tablas!$G$9:$O$1240,9,0)*(INT(D210)+1-D210))</f>
      </c>
      <c r="H210" s="801">
        <f>+IF(MONTH(B210)=1,H209*(1+$C$9),H209)</f>
      </c>
      <c r="I210" s="791">
        <f>IF(B210&lt;$C$10,0,IF(B210&lt;$C$11,$C$8/12*E210*F210*H210,0))</f>
      </c>
      <c r="J210" s="791">
        <f>I210*12/14+IF(OR(MONTH(C210)=6,MONTH(C210)=12),I210*12/14,0)</f>
      </c>
      <c r="K210" s="801">
        <f>G210/$G$15</f>
      </c>
      <c r="L210" s="760"/>
      <c r="M210" s="767"/>
      <c r="N210" s="168"/>
      <c r="O210" s="768"/>
      <c r="P210" s="170"/>
      <c r="Q210" s="7"/>
      <c r="R210" s="766"/>
      <c r="S210" s="170"/>
      <c r="T210" s="168"/>
      <c r="U210" s="170"/>
    </row>
    <row x14ac:dyDescent="0.25" r="211" customHeight="1" ht="18.75">
      <c r="A211" s="1"/>
      <c r="B211" s="799">
        <f>+DATE(YEAR(B210),MONTH(B210)+1,DAY(B210))</f>
        <v>25569.041666666668</v>
      </c>
      <c r="C211" s="799">
        <f>+B212-1</f>
        <v>25569.041666666668</v>
      </c>
      <c r="D211" s="791">
        <f>-_xlfn.DAYS($C$3,C211)/365.25</f>
      </c>
      <c r="E211" s="800">
        <f>IF($D$17+40&lt;=D211,(1+$D$7)^-(D211-$C$5),(1+$C$7)^-(D211-$C$5))</f>
      </c>
      <c r="F211" s="801">
        <f>IF($C$4="Hombre",(+VLOOKUP(INT(D211)+1,Tablas!$G$9:$K$1240,5,0)*(D211-INT(D211))+VLOOKUP(INT(D211),Tablas!$G$9:$K$1240,5,0)*(INT(D211)+1-D211))/(VLOOKUP(INT($C$5)+1,Tablas!$G$9:$K$1240,5,0)*($C$5-INT($C$5))+VLOOKUP(INT($C$5),Tablas!$G$9:$K$124,5,0)*(INT($C$5)+1-$C$5)),(+VLOOKUP(INT(D211)+1,Tablas!$G$9:$O$1240,9,0)*(D211-INT(D211))+VLOOKUP(INT(D211),Tablas!$G$9:$O$1240,9,0)*(INT(D211)+1-D211))/(VLOOKUP(INT($C$5)+1,Tablas!$G$9:$O$1240,9,0)*($C$5-INT($C$5))+VLOOKUP(INT($C$5),Tablas!$G$9:$O$124,9,0)*(INT($C$5)+1-$C$5)))</f>
      </c>
      <c r="G211" s="791">
        <f>IF($C$4="Hombre",(+VLOOKUP(INT(D211)+1,Tablas!$G$9:$K$1240,5,0)*(D211-INT(D211))+VLOOKUP(INT(D211),Tablas!$G$9:$K$1240,5,0)*(INT(D211)+1-D211)),+VLOOKUP(INT(D211)+1,Tablas!$G$9:$O$1240,9,0)*(D211-INT(D211))+VLOOKUP(INT(D211),Tablas!$G$9:$O$1240,9,0)*(INT(D211)+1-D211))</f>
      </c>
      <c r="H211" s="801">
        <f>+IF(MONTH(B211)=1,H210*(1+$C$9),H210)</f>
      </c>
      <c r="I211" s="791">
        <f>IF(B211&lt;$C$10,0,IF(B211&lt;$C$11,$C$8/12*E211*F211*H211,0))</f>
      </c>
      <c r="J211" s="791">
        <f>I211*12/14+IF(OR(MONTH(C211)=6,MONTH(C211)=12),I211*12/14,0)</f>
      </c>
      <c r="K211" s="801">
        <f>G211/$G$15</f>
      </c>
      <c r="L211" s="760"/>
      <c r="M211" s="767"/>
      <c r="N211" s="168"/>
      <c r="O211" s="768"/>
      <c r="P211" s="170"/>
      <c r="Q211" s="7"/>
      <c r="R211" s="766"/>
      <c r="S211" s="170"/>
      <c r="T211" s="168"/>
      <c r="U211" s="170"/>
    </row>
    <row x14ac:dyDescent="0.25" r="212" customHeight="1" ht="18.75">
      <c r="A212" s="1"/>
      <c r="B212" s="799">
        <f>+DATE(YEAR(B211),MONTH(B211)+1,DAY(B211))</f>
        <v>25569.041666666668</v>
      </c>
      <c r="C212" s="799">
        <f>+B213-1</f>
        <v>25569.041666666668</v>
      </c>
      <c r="D212" s="791">
        <f>-_xlfn.DAYS($C$3,C212)/365.25</f>
      </c>
      <c r="E212" s="800">
        <f>IF($D$17+40&lt;=D212,(1+$D$7)^-(D212-$C$5),(1+$C$7)^-(D212-$C$5))</f>
      </c>
      <c r="F212" s="801">
        <f>IF($C$4="Hombre",(+VLOOKUP(INT(D212)+1,Tablas!$G$9:$K$1240,5,0)*(D212-INT(D212))+VLOOKUP(INT(D212),Tablas!$G$9:$K$1240,5,0)*(INT(D212)+1-D212))/(VLOOKUP(INT($C$5)+1,Tablas!$G$9:$K$1240,5,0)*($C$5-INT($C$5))+VLOOKUP(INT($C$5),Tablas!$G$9:$K$124,5,0)*(INT($C$5)+1-$C$5)),(+VLOOKUP(INT(D212)+1,Tablas!$G$9:$O$1240,9,0)*(D212-INT(D212))+VLOOKUP(INT(D212),Tablas!$G$9:$O$1240,9,0)*(INT(D212)+1-D212))/(VLOOKUP(INT($C$5)+1,Tablas!$G$9:$O$1240,9,0)*($C$5-INT($C$5))+VLOOKUP(INT($C$5),Tablas!$G$9:$O$124,9,0)*(INT($C$5)+1-$C$5)))</f>
      </c>
      <c r="G212" s="791">
        <f>IF($C$4="Hombre",(+VLOOKUP(INT(D212)+1,Tablas!$G$9:$K$1240,5,0)*(D212-INT(D212))+VLOOKUP(INT(D212),Tablas!$G$9:$K$1240,5,0)*(INT(D212)+1-D212)),+VLOOKUP(INT(D212)+1,Tablas!$G$9:$O$1240,9,0)*(D212-INT(D212))+VLOOKUP(INT(D212),Tablas!$G$9:$O$1240,9,0)*(INT(D212)+1-D212))</f>
      </c>
      <c r="H212" s="801">
        <f>+IF(MONTH(B212)=1,H211*(1+$C$9),H211)</f>
      </c>
      <c r="I212" s="791">
        <f>IF(B212&lt;$C$10,0,IF(B212&lt;$C$11,$C$8/12*E212*F212*H212,0))</f>
      </c>
      <c r="J212" s="791">
        <f>I212*12/14+IF(OR(MONTH(C212)=6,MONTH(C212)=12),I212*12/14,0)</f>
      </c>
      <c r="K212" s="801">
        <f>G212/$G$15</f>
      </c>
      <c r="L212" s="760"/>
      <c r="M212" s="767"/>
      <c r="N212" s="168"/>
      <c r="O212" s="768"/>
      <c r="P212" s="170"/>
      <c r="Q212" s="7"/>
      <c r="R212" s="766"/>
      <c r="S212" s="170"/>
      <c r="T212" s="168"/>
      <c r="U212" s="170"/>
    </row>
    <row x14ac:dyDescent="0.25" r="213" customHeight="1" ht="18.75">
      <c r="A213" s="1"/>
      <c r="B213" s="799">
        <f>+DATE(YEAR(B212),MONTH(B212)+1,DAY(B212))</f>
        <v>25569.041666666668</v>
      </c>
      <c r="C213" s="799">
        <f>+B214-1</f>
        <v>25569.041666666668</v>
      </c>
      <c r="D213" s="791">
        <f>-_xlfn.DAYS($C$3,C213)/365.25</f>
      </c>
      <c r="E213" s="800">
        <f>IF($D$17+40&lt;=D213,(1+$D$7)^-(D213-$C$5),(1+$C$7)^-(D213-$C$5))</f>
      </c>
      <c r="F213" s="801">
        <f>IF($C$4="Hombre",(+VLOOKUP(INT(D213)+1,Tablas!$G$9:$K$1240,5,0)*(D213-INT(D213))+VLOOKUP(INT(D213),Tablas!$G$9:$K$1240,5,0)*(INT(D213)+1-D213))/(VLOOKUP(INT($C$5)+1,Tablas!$G$9:$K$1240,5,0)*($C$5-INT($C$5))+VLOOKUP(INT($C$5),Tablas!$G$9:$K$124,5,0)*(INT($C$5)+1-$C$5)),(+VLOOKUP(INT(D213)+1,Tablas!$G$9:$O$1240,9,0)*(D213-INT(D213))+VLOOKUP(INT(D213),Tablas!$G$9:$O$1240,9,0)*(INT(D213)+1-D213))/(VLOOKUP(INT($C$5)+1,Tablas!$G$9:$O$1240,9,0)*($C$5-INT($C$5))+VLOOKUP(INT($C$5),Tablas!$G$9:$O$124,9,0)*(INT($C$5)+1-$C$5)))</f>
      </c>
      <c r="G213" s="791">
        <f>IF($C$4="Hombre",(+VLOOKUP(INT(D213)+1,Tablas!$G$9:$K$1240,5,0)*(D213-INT(D213))+VLOOKUP(INT(D213),Tablas!$G$9:$K$1240,5,0)*(INT(D213)+1-D213)),+VLOOKUP(INT(D213)+1,Tablas!$G$9:$O$1240,9,0)*(D213-INT(D213))+VLOOKUP(INT(D213),Tablas!$G$9:$O$1240,9,0)*(INT(D213)+1-D213))</f>
      </c>
      <c r="H213" s="801">
        <f>+IF(MONTH(B213)=1,H212*(1+$C$9),H212)</f>
      </c>
      <c r="I213" s="791">
        <f>IF(B213&lt;$C$10,0,IF(B213&lt;$C$11,$C$8/12*E213*F213*H213,0))</f>
      </c>
      <c r="J213" s="791">
        <f>I213*12/14+IF(OR(MONTH(C213)=6,MONTH(C213)=12),I213*12/14,0)</f>
      </c>
      <c r="K213" s="801">
        <f>G213/$G$15</f>
      </c>
      <c r="L213" s="760"/>
      <c r="M213" s="767"/>
      <c r="N213" s="168"/>
      <c r="O213" s="768"/>
      <c r="P213" s="170"/>
      <c r="Q213" s="7"/>
      <c r="R213" s="766"/>
      <c r="S213" s="170"/>
      <c r="T213" s="168"/>
      <c r="U213" s="170"/>
    </row>
    <row x14ac:dyDescent="0.25" r="214" customHeight="1" ht="18.75">
      <c r="A214" s="1"/>
      <c r="B214" s="799">
        <f>+DATE(YEAR(B213),MONTH(B213)+1,DAY(B213))</f>
        <v>25569.041666666668</v>
      </c>
      <c r="C214" s="799">
        <f>+B215-1</f>
        <v>25569.041666666668</v>
      </c>
      <c r="D214" s="791">
        <f>-_xlfn.DAYS($C$3,C214)/365.25</f>
      </c>
      <c r="E214" s="800">
        <f>IF($D$17+40&lt;=D214,(1+$D$7)^-(D214-$C$5),(1+$C$7)^-(D214-$C$5))</f>
      </c>
      <c r="F214" s="801">
        <f>IF($C$4="Hombre",(+VLOOKUP(INT(D214)+1,Tablas!$G$9:$K$1240,5,0)*(D214-INT(D214))+VLOOKUP(INT(D214),Tablas!$G$9:$K$1240,5,0)*(INT(D214)+1-D214))/(VLOOKUP(INT($C$5)+1,Tablas!$G$9:$K$1240,5,0)*($C$5-INT($C$5))+VLOOKUP(INT($C$5),Tablas!$G$9:$K$124,5,0)*(INT($C$5)+1-$C$5)),(+VLOOKUP(INT(D214)+1,Tablas!$G$9:$O$1240,9,0)*(D214-INT(D214))+VLOOKUP(INT(D214),Tablas!$G$9:$O$1240,9,0)*(INT(D214)+1-D214))/(VLOOKUP(INT($C$5)+1,Tablas!$G$9:$O$1240,9,0)*($C$5-INT($C$5))+VLOOKUP(INT($C$5),Tablas!$G$9:$O$124,9,0)*(INT($C$5)+1-$C$5)))</f>
      </c>
      <c r="G214" s="791">
        <f>IF($C$4="Hombre",(+VLOOKUP(INT(D214)+1,Tablas!$G$9:$K$1240,5,0)*(D214-INT(D214))+VLOOKUP(INT(D214),Tablas!$G$9:$K$1240,5,0)*(INT(D214)+1-D214)),+VLOOKUP(INT(D214)+1,Tablas!$G$9:$O$1240,9,0)*(D214-INT(D214))+VLOOKUP(INT(D214),Tablas!$G$9:$O$1240,9,0)*(INT(D214)+1-D214))</f>
      </c>
      <c r="H214" s="801">
        <f>+IF(MONTH(B214)=1,H213*(1+$C$9),H213)</f>
      </c>
      <c r="I214" s="791">
        <f>IF(B214&lt;$C$10,0,IF(B214&lt;$C$11,$C$8/12*E214*F214*H214,0))</f>
      </c>
      <c r="J214" s="791">
        <f>I214*12/14+IF(OR(MONTH(C214)=6,MONTH(C214)=12),I214*12/14,0)</f>
      </c>
      <c r="K214" s="801">
        <f>G214/$G$15</f>
      </c>
      <c r="L214" s="760"/>
      <c r="M214" s="767"/>
      <c r="N214" s="168"/>
      <c r="O214" s="768"/>
      <c r="P214" s="170"/>
      <c r="Q214" s="7"/>
      <c r="R214" s="766"/>
      <c r="S214" s="170"/>
      <c r="T214" s="168"/>
      <c r="U214" s="170"/>
    </row>
    <row x14ac:dyDescent="0.25" r="215" customHeight="1" ht="18.75">
      <c r="A215" s="1"/>
      <c r="B215" s="799">
        <f>+DATE(YEAR(B214),MONTH(B214)+1,DAY(B214))</f>
        <v>25569.041666666668</v>
      </c>
      <c r="C215" s="799">
        <f>+B216-1</f>
        <v>25569.041666666668</v>
      </c>
      <c r="D215" s="791">
        <f>-_xlfn.DAYS($C$3,C215)/365.25</f>
      </c>
      <c r="E215" s="800">
        <f>IF($D$17+40&lt;=D215,(1+$D$7)^-(D215-$C$5),(1+$C$7)^-(D215-$C$5))</f>
      </c>
      <c r="F215" s="801">
        <f>IF($C$4="Hombre",(+VLOOKUP(INT(D215)+1,Tablas!$G$9:$K$1240,5,0)*(D215-INT(D215))+VLOOKUP(INT(D215),Tablas!$G$9:$K$1240,5,0)*(INT(D215)+1-D215))/(VLOOKUP(INT($C$5)+1,Tablas!$G$9:$K$1240,5,0)*($C$5-INT($C$5))+VLOOKUP(INT($C$5),Tablas!$G$9:$K$124,5,0)*(INT($C$5)+1-$C$5)),(+VLOOKUP(INT(D215)+1,Tablas!$G$9:$O$1240,9,0)*(D215-INT(D215))+VLOOKUP(INT(D215),Tablas!$G$9:$O$1240,9,0)*(INT(D215)+1-D215))/(VLOOKUP(INT($C$5)+1,Tablas!$G$9:$O$1240,9,0)*($C$5-INT($C$5))+VLOOKUP(INT($C$5),Tablas!$G$9:$O$124,9,0)*(INT($C$5)+1-$C$5)))</f>
      </c>
      <c r="G215" s="791">
        <f>IF($C$4="Hombre",(+VLOOKUP(INT(D215)+1,Tablas!$G$9:$K$1240,5,0)*(D215-INT(D215))+VLOOKUP(INT(D215),Tablas!$G$9:$K$1240,5,0)*(INT(D215)+1-D215)),+VLOOKUP(INT(D215)+1,Tablas!$G$9:$O$1240,9,0)*(D215-INT(D215))+VLOOKUP(INT(D215),Tablas!$G$9:$O$1240,9,0)*(INT(D215)+1-D215))</f>
      </c>
      <c r="H215" s="801">
        <f>+IF(MONTH(B215)=1,H214*(1+$C$9),H214)</f>
      </c>
      <c r="I215" s="791">
        <f>IF(B215&lt;$C$10,0,IF(B215&lt;$C$11,$C$8/12*E215*F215*H215,0))</f>
      </c>
      <c r="J215" s="791">
        <f>I215*12/14+IF(OR(MONTH(C215)=6,MONTH(C215)=12),I215*12/14,0)</f>
      </c>
      <c r="K215" s="801">
        <f>G215/$G$15</f>
      </c>
      <c r="L215" s="760"/>
      <c r="M215" s="767"/>
      <c r="N215" s="168"/>
      <c r="O215" s="768"/>
      <c r="P215" s="170"/>
      <c r="Q215" s="7"/>
      <c r="R215" s="766"/>
      <c r="S215" s="170"/>
      <c r="T215" s="168"/>
      <c r="U215" s="170"/>
    </row>
    <row x14ac:dyDescent="0.25" r="216" customHeight="1" ht="18.75">
      <c r="A216" s="1"/>
      <c r="B216" s="799">
        <f>+DATE(YEAR(B215),MONTH(B215)+1,DAY(B215))</f>
        <v>25569.041666666668</v>
      </c>
      <c r="C216" s="799">
        <f>+B217-1</f>
        <v>25569.041666666668</v>
      </c>
      <c r="D216" s="791">
        <f>-_xlfn.DAYS($C$3,C216)/365.25</f>
      </c>
      <c r="E216" s="800">
        <f>IF($D$17+40&lt;=D216,(1+$D$7)^-(D216-$C$5),(1+$C$7)^-(D216-$C$5))</f>
      </c>
      <c r="F216" s="801">
        <f>IF($C$4="Hombre",(+VLOOKUP(INT(D216)+1,Tablas!$G$9:$K$1240,5,0)*(D216-INT(D216))+VLOOKUP(INT(D216),Tablas!$G$9:$K$1240,5,0)*(INT(D216)+1-D216))/(VLOOKUP(INT($C$5)+1,Tablas!$G$9:$K$1240,5,0)*($C$5-INT($C$5))+VLOOKUP(INT($C$5),Tablas!$G$9:$K$124,5,0)*(INT($C$5)+1-$C$5)),(+VLOOKUP(INT(D216)+1,Tablas!$G$9:$O$1240,9,0)*(D216-INT(D216))+VLOOKUP(INT(D216),Tablas!$G$9:$O$1240,9,0)*(INT(D216)+1-D216))/(VLOOKUP(INT($C$5)+1,Tablas!$G$9:$O$1240,9,0)*($C$5-INT($C$5))+VLOOKUP(INT($C$5),Tablas!$G$9:$O$124,9,0)*(INT($C$5)+1-$C$5)))</f>
      </c>
      <c r="G216" s="791">
        <f>IF($C$4="Hombre",(+VLOOKUP(INT(D216)+1,Tablas!$G$9:$K$1240,5,0)*(D216-INT(D216))+VLOOKUP(INT(D216),Tablas!$G$9:$K$1240,5,0)*(INT(D216)+1-D216)),+VLOOKUP(INT(D216)+1,Tablas!$G$9:$O$1240,9,0)*(D216-INT(D216))+VLOOKUP(INT(D216),Tablas!$G$9:$O$1240,9,0)*(INT(D216)+1-D216))</f>
      </c>
      <c r="H216" s="801">
        <f>+IF(MONTH(B216)=1,H215*(1+$C$9),H215)</f>
      </c>
      <c r="I216" s="791">
        <f>IF(B216&lt;$C$10,0,IF(B216&lt;$C$11,$C$8/12*E216*F216*H216,0))</f>
      </c>
      <c r="J216" s="791">
        <f>I216*12/14+IF(OR(MONTH(C216)=6,MONTH(C216)=12),I216*12/14,0)</f>
      </c>
      <c r="K216" s="801">
        <f>G216/$G$15</f>
      </c>
      <c r="L216" s="760"/>
      <c r="M216" s="767"/>
      <c r="N216" s="168"/>
      <c r="O216" s="768"/>
      <c r="P216" s="170"/>
      <c r="Q216" s="7"/>
      <c r="R216" s="766"/>
      <c r="S216" s="170"/>
      <c r="T216" s="168"/>
      <c r="U216" s="170"/>
    </row>
    <row x14ac:dyDescent="0.25" r="217" customHeight="1" ht="18.75">
      <c r="A217" s="1"/>
      <c r="B217" s="799">
        <f>+DATE(YEAR(B216),MONTH(B216)+1,DAY(B216))</f>
        <v>25569.041666666668</v>
      </c>
      <c r="C217" s="799">
        <f>+B218-1</f>
        <v>25569.041666666668</v>
      </c>
      <c r="D217" s="791">
        <f>-_xlfn.DAYS($C$3,C217)/365.25</f>
      </c>
      <c r="E217" s="800">
        <f>IF($D$17+40&lt;=D217,(1+$D$7)^-(D217-$C$5),(1+$C$7)^-(D217-$C$5))</f>
      </c>
      <c r="F217" s="801">
        <f>IF($C$4="Hombre",(+VLOOKUP(INT(D217)+1,Tablas!$G$9:$K$1240,5,0)*(D217-INT(D217))+VLOOKUP(INT(D217),Tablas!$G$9:$K$1240,5,0)*(INT(D217)+1-D217))/(VLOOKUP(INT($C$5)+1,Tablas!$G$9:$K$1240,5,0)*($C$5-INT($C$5))+VLOOKUP(INT($C$5),Tablas!$G$9:$K$124,5,0)*(INT($C$5)+1-$C$5)),(+VLOOKUP(INT(D217)+1,Tablas!$G$9:$O$1240,9,0)*(D217-INT(D217))+VLOOKUP(INT(D217),Tablas!$G$9:$O$1240,9,0)*(INT(D217)+1-D217))/(VLOOKUP(INT($C$5)+1,Tablas!$G$9:$O$1240,9,0)*($C$5-INT($C$5))+VLOOKUP(INT($C$5),Tablas!$G$9:$O$124,9,0)*(INT($C$5)+1-$C$5)))</f>
      </c>
      <c r="G217" s="791">
        <f>IF($C$4="Hombre",(+VLOOKUP(INT(D217)+1,Tablas!$G$9:$K$1240,5,0)*(D217-INT(D217))+VLOOKUP(INT(D217),Tablas!$G$9:$K$1240,5,0)*(INT(D217)+1-D217)),+VLOOKUP(INT(D217)+1,Tablas!$G$9:$O$1240,9,0)*(D217-INT(D217))+VLOOKUP(INT(D217),Tablas!$G$9:$O$1240,9,0)*(INT(D217)+1-D217))</f>
      </c>
      <c r="H217" s="801">
        <f>+IF(MONTH(B217)=1,H216*(1+$C$9),H216)</f>
      </c>
      <c r="I217" s="791">
        <f>IF(B217&lt;$C$10,0,IF(B217&lt;$C$11,$C$8/12*E217*F217*H217,0))</f>
      </c>
      <c r="J217" s="791">
        <f>I217*12/14+IF(OR(MONTH(C217)=6,MONTH(C217)=12),I217*12/14,0)</f>
      </c>
      <c r="K217" s="801">
        <f>G217/$G$15</f>
      </c>
      <c r="L217" s="760"/>
      <c r="M217" s="767"/>
      <c r="N217" s="168"/>
      <c r="O217" s="768"/>
      <c r="P217" s="170"/>
      <c r="Q217" s="7"/>
      <c r="R217" s="766"/>
      <c r="S217" s="170"/>
      <c r="T217" s="168"/>
      <c r="U217" s="170"/>
    </row>
    <row x14ac:dyDescent="0.25" r="218" customHeight="1" ht="18.75">
      <c r="A218" s="1"/>
      <c r="B218" s="799">
        <f>+DATE(YEAR(B217),MONTH(B217)+1,DAY(B217))</f>
        <v>25569.041666666668</v>
      </c>
      <c r="C218" s="799">
        <f>+B219-1</f>
        <v>25569.041666666668</v>
      </c>
      <c r="D218" s="791">
        <f>-_xlfn.DAYS($C$3,C218)/365.25</f>
      </c>
      <c r="E218" s="800">
        <f>IF($D$17+40&lt;=D218,(1+$D$7)^-(D218-$C$5),(1+$C$7)^-(D218-$C$5))</f>
      </c>
      <c r="F218" s="801">
        <f>IF($C$4="Hombre",(+VLOOKUP(INT(D218)+1,Tablas!$G$9:$K$1240,5,0)*(D218-INT(D218))+VLOOKUP(INT(D218),Tablas!$G$9:$K$1240,5,0)*(INT(D218)+1-D218))/(VLOOKUP(INT($C$5)+1,Tablas!$G$9:$K$1240,5,0)*($C$5-INT($C$5))+VLOOKUP(INT($C$5),Tablas!$G$9:$K$124,5,0)*(INT($C$5)+1-$C$5)),(+VLOOKUP(INT(D218)+1,Tablas!$G$9:$O$1240,9,0)*(D218-INT(D218))+VLOOKUP(INT(D218),Tablas!$G$9:$O$1240,9,0)*(INT(D218)+1-D218))/(VLOOKUP(INT($C$5)+1,Tablas!$G$9:$O$1240,9,0)*($C$5-INT($C$5))+VLOOKUP(INT($C$5),Tablas!$G$9:$O$124,9,0)*(INT($C$5)+1-$C$5)))</f>
      </c>
      <c r="G218" s="791">
        <f>IF($C$4="Hombre",(+VLOOKUP(INT(D218)+1,Tablas!$G$9:$K$1240,5,0)*(D218-INT(D218))+VLOOKUP(INT(D218),Tablas!$G$9:$K$1240,5,0)*(INT(D218)+1-D218)),+VLOOKUP(INT(D218)+1,Tablas!$G$9:$O$1240,9,0)*(D218-INT(D218))+VLOOKUP(INT(D218),Tablas!$G$9:$O$1240,9,0)*(INT(D218)+1-D218))</f>
      </c>
      <c r="H218" s="801">
        <f>+IF(MONTH(B218)=1,H217*(1+$C$9),H217)</f>
      </c>
      <c r="I218" s="791">
        <f>IF(B218&lt;$C$10,0,IF(B218&lt;$C$11,$C$8/12*E218*F218*H218,0))</f>
      </c>
      <c r="J218" s="791">
        <f>I218*12/14+IF(OR(MONTH(C218)=6,MONTH(C218)=12),I218*12/14,0)</f>
      </c>
      <c r="K218" s="801">
        <f>G218/$G$15</f>
      </c>
      <c r="L218" s="760"/>
      <c r="M218" s="767"/>
      <c r="N218" s="168"/>
      <c r="O218" s="768"/>
      <c r="P218" s="170"/>
      <c r="Q218" s="7"/>
      <c r="R218" s="766"/>
      <c r="S218" s="170"/>
      <c r="T218" s="168"/>
      <c r="U218" s="170"/>
    </row>
    <row x14ac:dyDescent="0.25" r="219" customHeight="1" ht="18.75">
      <c r="A219" s="1"/>
      <c r="B219" s="799">
        <f>+DATE(YEAR(B218),MONTH(B218)+1,DAY(B218))</f>
        <v>25569.041666666668</v>
      </c>
      <c r="C219" s="799">
        <f>+B220-1</f>
        <v>25569.041666666668</v>
      </c>
      <c r="D219" s="791">
        <f>-_xlfn.DAYS($C$3,C219)/365.25</f>
      </c>
      <c r="E219" s="800">
        <f>IF($D$17+40&lt;=D219,(1+$D$7)^-(D219-$C$5),(1+$C$7)^-(D219-$C$5))</f>
      </c>
      <c r="F219" s="801">
        <f>IF($C$4="Hombre",(+VLOOKUP(INT(D219)+1,Tablas!$G$9:$K$1240,5,0)*(D219-INT(D219))+VLOOKUP(INT(D219),Tablas!$G$9:$K$1240,5,0)*(INT(D219)+1-D219))/(VLOOKUP(INT($C$5)+1,Tablas!$G$9:$K$1240,5,0)*($C$5-INT($C$5))+VLOOKUP(INT($C$5),Tablas!$G$9:$K$124,5,0)*(INT($C$5)+1-$C$5)),(+VLOOKUP(INT(D219)+1,Tablas!$G$9:$O$1240,9,0)*(D219-INT(D219))+VLOOKUP(INT(D219),Tablas!$G$9:$O$1240,9,0)*(INT(D219)+1-D219))/(VLOOKUP(INT($C$5)+1,Tablas!$G$9:$O$1240,9,0)*($C$5-INT($C$5))+VLOOKUP(INT($C$5),Tablas!$G$9:$O$124,9,0)*(INT($C$5)+1-$C$5)))</f>
      </c>
      <c r="G219" s="791">
        <f>IF($C$4="Hombre",(+VLOOKUP(INT(D219)+1,Tablas!$G$9:$K$1240,5,0)*(D219-INT(D219))+VLOOKUP(INT(D219),Tablas!$G$9:$K$1240,5,0)*(INT(D219)+1-D219)),+VLOOKUP(INT(D219)+1,Tablas!$G$9:$O$1240,9,0)*(D219-INT(D219))+VLOOKUP(INT(D219),Tablas!$G$9:$O$1240,9,0)*(INT(D219)+1-D219))</f>
      </c>
      <c r="H219" s="801">
        <f>+IF(MONTH(B219)=1,H218*(1+$C$9),H218)</f>
      </c>
      <c r="I219" s="791">
        <f>IF(B219&lt;$C$10,0,IF(B219&lt;$C$11,$C$8/12*E219*F219*H219,0))</f>
      </c>
      <c r="J219" s="791">
        <f>I219*12/14+IF(OR(MONTH(C219)=6,MONTH(C219)=12),I219*12/14,0)</f>
      </c>
      <c r="K219" s="801">
        <f>G219/$G$15</f>
      </c>
      <c r="L219" s="760"/>
      <c r="M219" s="767"/>
      <c r="N219" s="168"/>
      <c r="O219" s="768"/>
      <c r="P219" s="170"/>
      <c r="Q219" s="7"/>
      <c r="R219" s="766"/>
      <c r="S219" s="170"/>
      <c r="T219" s="168"/>
      <c r="U219" s="170"/>
    </row>
    <row x14ac:dyDescent="0.25" r="220" customHeight="1" ht="18.75">
      <c r="A220" s="1"/>
      <c r="B220" s="799">
        <f>+DATE(YEAR(B219),MONTH(B219)+1,DAY(B219))</f>
        <v>25569.041666666668</v>
      </c>
      <c r="C220" s="799">
        <f>+B221-1</f>
        <v>25569.041666666668</v>
      </c>
      <c r="D220" s="791">
        <f>-_xlfn.DAYS($C$3,C220)/365.25</f>
      </c>
      <c r="E220" s="800">
        <f>IF($D$17+40&lt;=D220,(1+$D$7)^-(D220-$C$5),(1+$C$7)^-(D220-$C$5))</f>
      </c>
      <c r="F220" s="801">
        <f>IF($C$4="Hombre",(+VLOOKUP(INT(D220)+1,Tablas!$G$9:$K$1240,5,0)*(D220-INT(D220))+VLOOKUP(INT(D220),Tablas!$G$9:$K$1240,5,0)*(INT(D220)+1-D220))/(VLOOKUP(INT($C$5)+1,Tablas!$G$9:$K$1240,5,0)*($C$5-INT($C$5))+VLOOKUP(INT($C$5),Tablas!$G$9:$K$124,5,0)*(INT($C$5)+1-$C$5)),(+VLOOKUP(INT(D220)+1,Tablas!$G$9:$O$1240,9,0)*(D220-INT(D220))+VLOOKUP(INT(D220),Tablas!$G$9:$O$1240,9,0)*(INT(D220)+1-D220))/(VLOOKUP(INT($C$5)+1,Tablas!$G$9:$O$1240,9,0)*($C$5-INT($C$5))+VLOOKUP(INT($C$5),Tablas!$G$9:$O$124,9,0)*(INT($C$5)+1-$C$5)))</f>
      </c>
      <c r="G220" s="791">
        <f>IF($C$4="Hombre",(+VLOOKUP(INT(D220)+1,Tablas!$G$9:$K$1240,5,0)*(D220-INT(D220))+VLOOKUP(INT(D220),Tablas!$G$9:$K$1240,5,0)*(INT(D220)+1-D220)),+VLOOKUP(INT(D220)+1,Tablas!$G$9:$O$1240,9,0)*(D220-INT(D220))+VLOOKUP(INT(D220),Tablas!$G$9:$O$1240,9,0)*(INT(D220)+1-D220))</f>
      </c>
      <c r="H220" s="801">
        <f>+IF(MONTH(B220)=1,H219*(1+$C$9),H219)</f>
      </c>
      <c r="I220" s="791">
        <f>IF(B220&lt;$C$10,0,IF(B220&lt;$C$11,$C$8/12*E220*F220*H220,0))</f>
      </c>
      <c r="J220" s="791">
        <f>I220*12/14+IF(OR(MONTH(C220)=6,MONTH(C220)=12),I220*12/14,0)</f>
      </c>
      <c r="K220" s="801">
        <f>G220/$G$15</f>
      </c>
      <c r="L220" s="760"/>
      <c r="M220" s="767"/>
      <c r="N220" s="168"/>
      <c r="O220" s="768"/>
      <c r="P220" s="170"/>
      <c r="Q220" s="7"/>
      <c r="R220" s="766"/>
      <c r="S220" s="170"/>
      <c r="T220" s="168"/>
      <c r="U220" s="170"/>
    </row>
    <row x14ac:dyDescent="0.25" r="221" customHeight="1" ht="18.75">
      <c r="A221" s="1"/>
      <c r="B221" s="799">
        <f>+DATE(YEAR(B220),MONTH(B220)+1,DAY(B220))</f>
        <v>25569.041666666668</v>
      </c>
      <c r="C221" s="799">
        <f>+B222-1</f>
        <v>25569.041666666668</v>
      </c>
      <c r="D221" s="791">
        <f>-_xlfn.DAYS($C$3,C221)/365.25</f>
      </c>
      <c r="E221" s="800">
        <f>IF($D$17+40&lt;=D221,(1+$D$7)^-(D221-$C$5),(1+$C$7)^-(D221-$C$5))</f>
      </c>
      <c r="F221" s="801">
        <f>IF($C$4="Hombre",(+VLOOKUP(INT(D221)+1,Tablas!$G$9:$K$1240,5,0)*(D221-INT(D221))+VLOOKUP(INT(D221),Tablas!$G$9:$K$1240,5,0)*(INT(D221)+1-D221))/(VLOOKUP(INT($C$5)+1,Tablas!$G$9:$K$1240,5,0)*($C$5-INT($C$5))+VLOOKUP(INT($C$5),Tablas!$G$9:$K$124,5,0)*(INT($C$5)+1-$C$5)),(+VLOOKUP(INT(D221)+1,Tablas!$G$9:$O$1240,9,0)*(D221-INT(D221))+VLOOKUP(INT(D221),Tablas!$G$9:$O$1240,9,0)*(INT(D221)+1-D221))/(VLOOKUP(INT($C$5)+1,Tablas!$G$9:$O$1240,9,0)*($C$5-INT($C$5))+VLOOKUP(INT($C$5),Tablas!$G$9:$O$124,9,0)*(INT($C$5)+1-$C$5)))</f>
      </c>
      <c r="G221" s="791">
        <f>IF($C$4="Hombre",(+VLOOKUP(INT(D221)+1,Tablas!$G$9:$K$1240,5,0)*(D221-INT(D221))+VLOOKUP(INT(D221),Tablas!$G$9:$K$1240,5,0)*(INT(D221)+1-D221)),+VLOOKUP(INT(D221)+1,Tablas!$G$9:$O$1240,9,0)*(D221-INT(D221))+VLOOKUP(INT(D221),Tablas!$G$9:$O$1240,9,0)*(INT(D221)+1-D221))</f>
      </c>
      <c r="H221" s="801">
        <f>+IF(MONTH(B221)=1,H220*(1+$C$9),H220)</f>
      </c>
      <c r="I221" s="791">
        <f>IF(B221&lt;$C$10,0,IF(B221&lt;$C$11,$C$8/12*E221*F221*H221,0))</f>
      </c>
      <c r="J221" s="791">
        <f>I221*12/14+IF(OR(MONTH(C221)=6,MONTH(C221)=12),I221*12/14,0)</f>
      </c>
      <c r="K221" s="801">
        <f>G221/$G$15</f>
      </c>
      <c r="L221" s="760"/>
      <c r="M221" s="767"/>
      <c r="N221" s="168"/>
      <c r="O221" s="768"/>
      <c r="P221" s="170"/>
      <c r="Q221" s="7"/>
      <c r="R221" s="766"/>
      <c r="S221" s="170"/>
      <c r="T221" s="168"/>
      <c r="U221" s="170"/>
    </row>
    <row x14ac:dyDescent="0.25" r="222" customHeight="1" ht="18.75">
      <c r="A222" s="1"/>
      <c r="B222" s="799">
        <f>+DATE(YEAR(B221),MONTH(B221)+1,DAY(B221))</f>
        <v>25569.041666666668</v>
      </c>
      <c r="C222" s="799">
        <f>+B223-1</f>
        <v>25569.041666666668</v>
      </c>
      <c r="D222" s="791">
        <f>-_xlfn.DAYS($C$3,C222)/365.25</f>
      </c>
      <c r="E222" s="800">
        <f>IF($D$17+40&lt;=D222,(1+$D$7)^-(D222-$C$5),(1+$C$7)^-(D222-$C$5))</f>
      </c>
      <c r="F222" s="801">
        <f>IF($C$4="Hombre",(+VLOOKUP(INT(D222)+1,Tablas!$G$9:$K$1240,5,0)*(D222-INT(D222))+VLOOKUP(INT(D222),Tablas!$G$9:$K$1240,5,0)*(INT(D222)+1-D222))/(VLOOKUP(INT($C$5)+1,Tablas!$G$9:$K$1240,5,0)*($C$5-INT($C$5))+VLOOKUP(INT($C$5),Tablas!$G$9:$K$124,5,0)*(INT($C$5)+1-$C$5)),(+VLOOKUP(INT(D222)+1,Tablas!$G$9:$O$1240,9,0)*(D222-INT(D222))+VLOOKUP(INT(D222),Tablas!$G$9:$O$1240,9,0)*(INT(D222)+1-D222))/(VLOOKUP(INT($C$5)+1,Tablas!$G$9:$O$1240,9,0)*($C$5-INT($C$5))+VLOOKUP(INT($C$5),Tablas!$G$9:$O$124,9,0)*(INT($C$5)+1-$C$5)))</f>
      </c>
      <c r="G222" s="791">
        <f>IF($C$4="Hombre",(+VLOOKUP(INT(D222)+1,Tablas!$G$9:$K$1240,5,0)*(D222-INT(D222))+VLOOKUP(INT(D222),Tablas!$G$9:$K$1240,5,0)*(INT(D222)+1-D222)),+VLOOKUP(INT(D222)+1,Tablas!$G$9:$O$1240,9,0)*(D222-INT(D222))+VLOOKUP(INT(D222),Tablas!$G$9:$O$1240,9,0)*(INT(D222)+1-D222))</f>
      </c>
      <c r="H222" s="801">
        <f>+IF(MONTH(B222)=1,H221*(1+$C$9),H221)</f>
      </c>
      <c r="I222" s="791">
        <f>IF(B222&lt;$C$10,0,IF(B222&lt;$C$11,$C$8/12*E222*F222*H222,0))</f>
      </c>
      <c r="J222" s="791">
        <f>I222*12/14+IF(OR(MONTH(C222)=6,MONTH(C222)=12),I222*12/14,0)</f>
      </c>
      <c r="K222" s="801">
        <f>G222/$G$15</f>
      </c>
      <c r="L222" s="760"/>
      <c r="M222" s="767"/>
      <c r="N222" s="168"/>
      <c r="O222" s="768"/>
      <c r="P222" s="170"/>
      <c r="Q222" s="7"/>
      <c r="R222" s="766"/>
      <c r="S222" s="170"/>
      <c r="T222" s="168"/>
      <c r="U222" s="170"/>
    </row>
    <row x14ac:dyDescent="0.25" r="223" customHeight="1" ht="18.75">
      <c r="A223" s="1"/>
      <c r="B223" s="799">
        <f>+DATE(YEAR(B222),MONTH(B222)+1,DAY(B222))</f>
        <v>25569.041666666668</v>
      </c>
      <c r="C223" s="799">
        <f>+B224-1</f>
        <v>25569.041666666668</v>
      </c>
      <c r="D223" s="791">
        <f>-_xlfn.DAYS($C$3,C223)/365.25</f>
      </c>
      <c r="E223" s="800">
        <f>IF($D$17+40&lt;=D223,(1+$D$7)^-(D223-$C$5),(1+$C$7)^-(D223-$C$5))</f>
      </c>
      <c r="F223" s="801">
        <f>IF($C$4="Hombre",(+VLOOKUP(INT(D223)+1,Tablas!$G$9:$K$1240,5,0)*(D223-INT(D223))+VLOOKUP(INT(D223),Tablas!$G$9:$K$1240,5,0)*(INT(D223)+1-D223))/(VLOOKUP(INT($C$5)+1,Tablas!$G$9:$K$1240,5,0)*($C$5-INT($C$5))+VLOOKUP(INT($C$5),Tablas!$G$9:$K$124,5,0)*(INT($C$5)+1-$C$5)),(+VLOOKUP(INT(D223)+1,Tablas!$G$9:$O$1240,9,0)*(D223-INT(D223))+VLOOKUP(INT(D223),Tablas!$G$9:$O$1240,9,0)*(INT(D223)+1-D223))/(VLOOKUP(INT($C$5)+1,Tablas!$G$9:$O$1240,9,0)*($C$5-INT($C$5))+VLOOKUP(INT($C$5),Tablas!$G$9:$O$124,9,0)*(INT($C$5)+1-$C$5)))</f>
      </c>
      <c r="G223" s="791">
        <f>IF($C$4="Hombre",(+VLOOKUP(INT(D223)+1,Tablas!$G$9:$K$1240,5,0)*(D223-INT(D223))+VLOOKUP(INT(D223),Tablas!$G$9:$K$1240,5,0)*(INT(D223)+1-D223)),+VLOOKUP(INT(D223)+1,Tablas!$G$9:$O$1240,9,0)*(D223-INT(D223))+VLOOKUP(INT(D223),Tablas!$G$9:$O$1240,9,0)*(INT(D223)+1-D223))</f>
      </c>
      <c r="H223" s="801">
        <f>+IF(MONTH(B223)=1,H222*(1+$C$9),H222)</f>
      </c>
      <c r="I223" s="791">
        <f>IF(B223&lt;$C$10,0,IF(B223&lt;$C$11,$C$8/12*E223*F223*H223,0))</f>
      </c>
      <c r="J223" s="791">
        <f>I223*12/14+IF(OR(MONTH(C223)=6,MONTH(C223)=12),I223*12/14,0)</f>
      </c>
      <c r="K223" s="801">
        <f>G223/$G$15</f>
      </c>
      <c r="L223" s="760"/>
      <c r="M223" s="767"/>
      <c r="N223" s="168"/>
      <c r="O223" s="768"/>
      <c r="P223" s="170"/>
      <c r="Q223" s="7"/>
      <c r="R223" s="766"/>
      <c r="S223" s="170"/>
      <c r="T223" s="168"/>
      <c r="U223" s="170"/>
    </row>
    <row x14ac:dyDescent="0.25" r="224" customHeight="1" ht="18.75">
      <c r="A224" s="1"/>
      <c r="B224" s="799">
        <f>+DATE(YEAR(B223),MONTH(B223)+1,DAY(B223))</f>
        <v>25569.041666666668</v>
      </c>
      <c r="C224" s="799">
        <f>+B225-1</f>
        <v>25569.041666666668</v>
      </c>
      <c r="D224" s="791">
        <f>-_xlfn.DAYS($C$3,C224)/365.25</f>
      </c>
      <c r="E224" s="800">
        <f>IF($D$17+40&lt;=D224,(1+$D$7)^-(D224-$C$5),(1+$C$7)^-(D224-$C$5))</f>
      </c>
      <c r="F224" s="801">
        <f>IF($C$4="Hombre",(+VLOOKUP(INT(D224)+1,Tablas!$G$9:$K$1240,5,0)*(D224-INT(D224))+VLOOKUP(INT(D224),Tablas!$G$9:$K$1240,5,0)*(INT(D224)+1-D224))/(VLOOKUP(INT($C$5)+1,Tablas!$G$9:$K$1240,5,0)*($C$5-INT($C$5))+VLOOKUP(INT($C$5),Tablas!$G$9:$K$124,5,0)*(INT($C$5)+1-$C$5)),(+VLOOKUP(INT(D224)+1,Tablas!$G$9:$O$1240,9,0)*(D224-INT(D224))+VLOOKUP(INT(D224),Tablas!$G$9:$O$1240,9,0)*(INT(D224)+1-D224))/(VLOOKUP(INT($C$5)+1,Tablas!$G$9:$O$1240,9,0)*($C$5-INT($C$5))+VLOOKUP(INT($C$5),Tablas!$G$9:$O$124,9,0)*(INT($C$5)+1-$C$5)))</f>
      </c>
      <c r="G224" s="791">
        <f>IF($C$4="Hombre",(+VLOOKUP(INT(D224)+1,Tablas!$G$9:$K$1240,5,0)*(D224-INT(D224))+VLOOKUP(INT(D224),Tablas!$G$9:$K$1240,5,0)*(INT(D224)+1-D224)),+VLOOKUP(INT(D224)+1,Tablas!$G$9:$O$1240,9,0)*(D224-INT(D224))+VLOOKUP(INT(D224),Tablas!$G$9:$O$1240,9,0)*(INT(D224)+1-D224))</f>
      </c>
      <c r="H224" s="801">
        <f>+IF(MONTH(B224)=1,H223*(1+$C$9),H223)</f>
      </c>
      <c r="I224" s="791">
        <f>IF(B224&lt;$C$10,0,IF(B224&lt;$C$11,$C$8/12*E224*F224*H224,0))</f>
      </c>
      <c r="J224" s="791">
        <f>I224*12/14+IF(OR(MONTH(C224)=6,MONTH(C224)=12),I224*12/14,0)</f>
      </c>
      <c r="K224" s="801">
        <f>G224/$G$15</f>
      </c>
      <c r="L224" s="760"/>
      <c r="M224" s="767"/>
      <c r="N224" s="168"/>
      <c r="O224" s="768"/>
      <c r="P224" s="170"/>
      <c r="Q224" s="7"/>
      <c r="R224" s="766"/>
      <c r="S224" s="170"/>
      <c r="T224" s="168"/>
      <c r="U224" s="170"/>
    </row>
    <row x14ac:dyDescent="0.25" r="225" customHeight="1" ht="18.75">
      <c r="A225" s="1"/>
      <c r="B225" s="799">
        <f>+DATE(YEAR(B224),MONTH(B224)+1,DAY(B224))</f>
        <v>25569.041666666668</v>
      </c>
      <c r="C225" s="799">
        <f>+B226-1</f>
        <v>25569.041666666668</v>
      </c>
      <c r="D225" s="791">
        <f>-_xlfn.DAYS($C$3,C225)/365.25</f>
      </c>
      <c r="E225" s="800">
        <f>IF($D$17+40&lt;=D225,(1+$D$7)^-(D225-$C$5),(1+$C$7)^-(D225-$C$5))</f>
      </c>
      <c r="F225" s="801">
        <f>IF($C$4="Hombre",(+VLOOKUP(INT(D225)+1,Tablas!$G$9:$K$1240,5,0)*(D225-INT(D225))+VLOOKUP(INT(D225),Tablas!$G$9:$K$1240,5,0)*(INT(D225)+1-D225))/(VLOOKUP(INT($C$5)+1,Tablas!$G$9:$K$1240,5,0)*($C$5-INT($C$5))+VLOOKUP(INT($C$5),Tablas!$G$9:$K$124,5,0)*(INT($C$5)+1-$C$5)),(+VLOOKUP(INT(D225)+1,Tablas!$G$9:$O$1240,9,0)*(D225-INT(D225))+VLOOKUP(INT(D225),Tablas!$G$9:$O$1240,9,0)*(INT(D225)+1-D225))/(VLOOKUP(INT($C$5)+1,Tablas!$G$9:$O$1240,9,0)*($C$5-INT($C$5))+VLOOKUP(INT($C$5),Tablas!$G$9:$O$124,9,0)*(INT($C$5)+1-$C$5)))</f>
      </c>
      <c r="G225" s="791">
        <f>IF($C$4="Hombre",(+VLOOKUP(INT(D225)+1,Tablas!$G$9:$K$1240,5,0)*(D225-INT(D225))+VLOOKUP(INT(D225),Tablas!$G$9:$K$1240,5,0)*(INT(D225)+1-D225)),+VLOOKUP(INT(D225)+1,Tablas!$G$9:$O$1240,9,0)*(D225-INT(D225))+VLOOKUP(INT(D225),Tablas!$G$9:$O$1240,9,0)*(INT(D225)+1-D225))</f>
      </c>
      <c r="H225" s="801">
        <f>+IF(MONTH(B225)=1,H224*(1+$C$9),H224)</f>
      </c>
      <c r="I225" s="791">
        <f>IF(B225&lt;$C$10,0,IF(B225&lt;$C$11,$C$8/12*E225*F225*H225,0))</f>
      </c>
      <c r="J225" s="791">
        <f>I225*12/14+IF(OR(MONTH(C225)=6,MONTH(C225)=12),I225*12/14,0)</f>
      </c>
      <c r="K225" s="801">
        <f>G225/$G$15</f>
      </c>
      <c r="L225" s="760"/>
      <c r="M225" s="767"/>
      <c r="N225" s="168"/>
      <c r="O225" s="768"/>
      <c r="P225" s="170"/>
      <c r="Q225" s="7"/>
      <c r="R225" s="766"/>
      <c r="S225" s="170"/>
      <c r="T225" s="168"/>
      <c r="U225" s="170"/>
    </row>
    <row x14ac:dyDescent="0.25" r="226" customHeight="1" ht="18.75">
      <c r="A226" s="1"/>
      <c r="B226" s="799">
        <f>+DATE(YEAR(B225),MONTH(B225)+1,DAY(B225))</f>
        <v>25569.041666666668</v>
      </c>
      <c r="C226" s="799">
        <f>+B227-1</f>
        <v>25569.041666666668</v>
      </c>
      <c r="D226" s="791">
        <f>-_xlfn.DAYS($C$3,C226)/365.25</f>
      </c>
      <c r="E226" s="800">
        <f>IF($D$17+40&lt;=D226,(1+$D$7)^-(D226-$C$5),(1+$C$7)^-(D226-$C$5))</f>
      </c>
      <c r="F226" s="801">
        <f>IF($C$4="Hombre",(+VLOOKUP(INT(D226)+1,Tablas!$G$9:$K$1240,5,0)*(D226-INT(D226))+VLOOKUP(INT(D226),Tablas!$G$9:$K$1240,5,0)*(INT(D226)+1-D226))/(VLOOKUP(INT($C$5)+1,Tablas!$G$9:$K$1240,5,0)*($C$5-INT($C$5))+VLOOKUP(INT($C$5),Tablas!$G$9:$K$124,5,0)*(INT($C$5)+1-$C$5)),(+VLOOKUP(INT(D226)+1,Tablas!$G$9:$O$1240,9,0)*(D226-INT(D226))+VLOOKUP(INT(D226),Tablas!$G$9:$O$1240,9,0)*(INT(D226)+1-D226))/(VLOOKUP(INT($C$5)+1,Tablas!$G$9:$O$1240,9,0)*($C$5-INT($C$5))+VLOOKUP(INT($C$5),Tablas!$G$9:$O$124,9,0)*(INT($C$5)+1-$C$5)))</f>
      </c>
      <c r="G226" s="791">
        <f>IF($C$4="Hombre",(+VLOOKUP(INT(D226)+1,Tablas!$G$9:$K$1240,5,0)*(D226-INT(D226))+VLOOKUP(INT(D226),Tablas!$G$9:$K$1240,5,0)*(INT(D226)+1-D226)),+VLOOKUP(INT(D226)+1,Tablas!$G$9:$O$1240,9,0)*(D226-INT(D226))+VLOOKUP(INT(D226),Tablas!$G$9:$O$1240,9,0)*(INT(D226)+1-D226))</f>
      </c>
      <c r="H226" s="801">
        <f>+IF(MONTH(B226)=1,H225*(1+$C$9),H225)</f>
      </c>
      <c r="I226" s="791">
        <f>IF(B226&lt;$C$10,0,IF(B226&lt;$C$11,$C$8/12*E226*F226*H226,0))</f>
      </c>
      <c r="J226" s="791">
        <f>I226*12/14+IF(OR(MONTH(C226)=6,MONTH(C226)=12),I226*12/14,0)</f>
      </c>
      <c r="K226" s="801">
        <f>G226/$G$15</f>
      </c>
      <c r="L226" s="760"/>
      <c r="M226" s="767"/>
      <c r="N226" s="168"/>
      <c r="O226" s="768"/>
      <c r="P226" s="170"/>
      <c r="Q226" s="7"/>
      <c r="R226" s="766"/>
      <c r="S226" s="170"/>
      <c r="T226" s="168"/>
      <c r="U226" s="170"/>
    </row>
    <row x14ac:dyDescent="0.25" r="227" customHeight="1" ht="18.75">
      <c r="A227" s="1"/>
      <c r="B227" s="799">
        <f>+DATE(YEAR(B226),MONTH(B226)+1,DAY(B226))</f>
        <v>25569.041666666668</v>
      </c>
      <c r="C227" s="799">
        <f>+B228-1</f>
        <v>25569.041666666668</v>
      </c>
      <c r="D227" s="791">
        <f>-_xlfn.DAYS($C$3,C227)/365.25</f>
      </c>
      <c r="E227" s="800">
        <f>IF($D$17+40&lt;=D227,(1+$D$7)^-(D227-$C$5),(1+$C$7)^-(D227-$C$5))</f>
      </c>
      <c r="F227" s="801">
        <f>IF($C$4="Hombre",(+VLOOKUP(INT(D227)+1,Tablas!$G$9:$K$1240,5,0)*(D227-INT(D227))+VLOOKUP(INT(D227),Tablas!$G$9:$K$1240,5,0)*(INT(D227)+1-D227))/(VLOOKUP(INT($C$5)+1,Tablas!$G$9:$K$1240,5,0)*($C$5-INT($C$5))+VLOOKUP(INT($C$5),Tablas!$G$9:$K$124,5,0)*(INT($C$5)+1-$C$5)),(+VLOOKUP(INT(D227)+1,Tablas!$G$9:$O$1240,9,0)*(D227-INT(D227))+VLOOKUP(INT(D227),Tablas!$G$9:$O$1240,9,0)*(INT(D227)+1-D227))/(VLOOKUP(INT($C$5)+1,Tablas!$G$9:$O$1240,9,0)*($C$5-INT($C$5))+VLOOKUP(INT($C$5),Tablas!$G$9:$O$124,9,0)*(INT($C$5)+1-$C$5)))</f>
      </c>
      <c r="G227" s="791">
        <f>IF($C$4="Hombre",(+VLOOKUP(INT(D227)+1,Tablas!$G$9:$K$1240,5,0)*(D227-INT(D227))+VLOOKUP(INT(D227),Tablas!$G$9:$K$1240,5,0)*(INT(D227)+1-D227)),+VLOOKUP(INT(D227)+1,Tablas!$G$9:$O$1240,9,0)*(D227-INT(D227))+VLOOKUP(INT(D227),Tablas!$G$9:$O$1240,9,0)*(INT(D227)+1-D227))</f>
      </c>
      <c r="H227" s="801">
        <f>+IF(MONTH(B227)=1,H226*(1+$C$9),H226)</f>
      </c>
      <c r="I227" s="791">
        <f>IF(B227&lt;$C$10,0,IF(B227&lt;$C$11,$C$8/12*E227*F227*H227,0))</f>
      </c>
      <c r="J227" s="791">
        <f>I227*12/14+IF(OR(MONTH(C227)=6,MONTH(C227)=12),I227*12/14,0)</f>
      </c>
      <c r="K227" s="801">
        <f>G227/$G$15</f>
      </c>
      <c r="L227" s="760"/>
      <c r="M227" s="767"/>
      <c r="N227" s="168"/>
      <c r="O227" s="768"/>
      <c r="P227" s="170"/>
      <c r="Q227" s="7"/>
      <c r="R227" s="766"/>
      <c r="S227" s="170"/>
      <c r="T227" s="168"/>
      <c r="U227" s="170"/>
    </row>
    <row x14ac:dyDescent="0.25" r="228" customHeight="1" ht="18.75">
      <c r="A228" s="1"/>
      <c r="B228" s="799">
        <f>+DATE(YEAR(B227),MONTH(B227)+1,DAY(B227))</f>
        <v>25569.041666666668</v>
      </c>
      <c r="C228" s="799">
        <f>+B229-1</f>
        <v>25569.041666666668</v>
      </c>
      <c r="D228" s="791">
        <f>-_xlfn.DAYS($C$3,C228)/365.25</f>
      </c>
      <c r="E228" s="800">
        <f>IF($D$17+40&lt;=D228,(1+$D$7)^-(D228-$C$5),(1+$C$7)^-(D228-$C$5))</f>
      </c>
      <c r="F228" s="801">
        <f>IF($C$4="Hombre",(+VLOOKUP(INT(D228)+1,Tablas!$G$9:$K$1240,5,0)*(D228-INT(D228))+VLOOKUP(INT(D228),Tablas!$G$9:$K$1240,5,0)*(INT(D228)+1-D228))/(VLOOKUP(INT($C$5)+1,Tablas!$G$9:$K$1240,5,0)*($C$5-INT($C$5))+VLOOKUP(INT($C$5),Tablas!$G$9:$K$124,5,0)*(INT($C$5)+1-$C$5)),(+VLOOKUP(INT(D228)+1,Tablas!$G$9:$O$1240,9,0)*(D228-INT(D228))+VLOOKUP(INT(D228),Tablas!$G$9:$O$1240,9,0)*(INT(D228)+1-D228))/(VLOOKUP(INT($C$5)+1,Tablas!$G$9:$O$1240,9,0)*($C$5-INT($C$5))+VLOOKUP(INT($C$5),Tablas!$G$9:$O$124,9,0)*(INT($C$5)+1-$C$5)))</f>
      </c>
      <c r="G228" s="791">
        <f>IF($C$4="Hombre",(+VLOOKUP(INT(D228)+1,Tablas!$G$9:$K$1240,5,0)*(D228-INT(D228))+VLOOKUP(INT(D228),Tablas!$G$9:$K$1240,5,0)*(INT(D228)+1-D228)),+VLOOKUP(INT(D228)+1,Tablas!$G$9:$O$1240,9,0)*(D228-INT(D228))+VLOOKUP(INT(D228),Tablas!$G$9:$O$1240,9,0)*(INT(D228)+1-D228))</f>
      </c>
      <c r="H228" s="801">
        <f>+IF(MONTH(B228)=1,H227*(1+$C$9),H227)</f>
      </c>
      <c r="I228" s="791">
        <f>IF(B228&lt;$C$10,0,IF(B228&lt;$C$11,$C$8/12*E228*F228*H228,0))</f>
      </c>
      <c r="J228" s="791">
        <f>I228*12/14+IF(OR(MONTH(C228)=6,MONTH(C228)=12),I228*12/14,0)</f>
      </c>
      <c r="K228" s="801">
        <f>G228/$G$15</f>
      </c>
      <c r="L228" s="760"/>
      <c r="M228" s="767"/>
      <c r="N228" s="168"/>
      <c r="O228" s="768"/>
      <c r="P228" s="170"/>
      <c r="Q228" s="7"/>
      <c r="R228" s="766"/>
      <c r="S228" s="170"/>
      <c r="T228" s="168"/>
      <c r="U228" s="170"/>
    </row>
    <row x14ac:dyDescent="0.25" r="229" customHeight="1" ht="18.75">
      <c r="A229" s="1"/>
      <c r="B229" s="799">
        <f>+DATE(YEAR(B228),MONTH(B228)+1,DAY(B228))</f>
        <v>25569.041666666668</v>
      </c>
      <c r="C229" s="799">
        <f>+B230-1</f>
        <v>25569.041666666668</v>
      </c>
      <c r="D229" s="791">
        <f>-_xlfn.DAYS($C$3,C229)/365.25</f>
      </c>
      <c r="E229" s="800">
        <f>IF($D$17+40&lt;=D229,(1+$D$7)^-(D229-$C$5),(1+$C$7)^-(D229-$C$5))</f>
      </c>
      <c r="F229" s="801">
        <f>IF($C$4="Hombre",(+VLOOKUP(INT(D229)+1,Tablas!$G$9:$K$1240,5,0)*(D229-INT(D229))+VLOOKUP(INT(D229),Tablas!$G$9:$K$1240,5,0)*(INT(D229)+1-D229))/(VLOOKUP(INT($C$5)+1,Tablas!$G$9:$K$1240,5,0)*($C$5-INT($C$5))+VLOOKUP(INT($C$5),Tablas!$G$9:$K$124,5,0)*(INT($C$5)+1-$C$5)),(+VLOOKUP(INT(D229)+1,Tablas!$G$9:$O$1240,9,0)*(D229-INT(D229))+VLOOKUP(INT(D229),Tablas!$G$9:$O$1240,9,0)*(INT(D229)+1-D229))/(VLOOKUP(INT($C$5)+1,Tablas!$G$9:$O$1240,9,0)*($C$5-INT($C$5))+VLOOKUP(INT($C$5),Tablas!$G$9:$O$124,9,0)*(INT($C$5)+1-$C$5)))</f>
      </c>
      <c r="G229" s="791">
        <f>IF($C$4="Hombre",(+VLOOKUP(INT(D229)+1,Tablas!$G$9:$K$1240,5,0)*(D229-INT(D229))+VLOOKUP(INT(D229),Tablas!$G$9:$K$1240,5,0)*(INT(D229)+1-D229)),+VLOOKUP(INT(D229)+1,Tablas!$G$9:$O$1240,9,0)*(D229-INT(D229))+VLOOKUP(INT(D229),Tablas!$G$9:$O$1240,9,0)*(INT(D229)+1-D229))</f>
      </c>
      <c r="H229" s="801">
        <f>+IF(MONTH(B229)=1,H228*(1+$C$9),H228)</f>
      </c>
      <c r="I229" s="791">
        <f>IF(B229&lt;$C$10,0,IF(B229&lt;$C$11,$C$8/12*E229*F229*H229,0))</f>
      </c>
      <c r="J229" s="791">
        <f>I229*12/14+IF(OR(MONTH(C229)=6,MONTH(C229)=12),I229*12/14,0)</f>
      </c>
      <c r="K229" s="801">
        <f>G229/$G$15</f>
      </c>
      <c r="L229" s="760"/>
      <c r="M229" s="767"/>
      <c r="N229" s="168"/>
      <c r="O229" s="768"/>
      <c r="P229" s="170"/>
      <c r="Q229" s="7"/>
      <c r="R229" s="766"/>
      <c r="S229" s="170"/>
      <c r="T229" s="168"/>
      <c r="U229" s="170"/>
    </row>
    <row x14ac:dyDescent="0.25" r="230" customHeight="1" ht="18.75">
      <c r="A230" s="1"/>
      <c r="B230" s="799">
        <f>+DATE(YEAR(B229),MONTH(B229)+1,DAY(B229))</f>
        <v>25569.041666666668</v>
      </c>
      <c r="C230" s="799">
        <f>+B231-1</f>
        <v>25569.041666666668</v>
      </c>
      <c r="D230" s="791">
        <f>-_xlfn.DAYS($C$3,C230)/365.25</f>
      </c>
      <c r="E230" s="800">
        <f>IF($D$17+40&lt;=D230,(1+$D$7)^-(D230-$C$5),(1+$C$7)^-(D230-$C$5))</f>
      </c>
      <c r="F230" s="801">
        <f>IF($C$4="Hombre",(+VLOOKUP(INT(D230)+1,Tablas!$G$9:$K$1240,5,0)*(D230-INT(D230))+VLOOKUP(INT(D230),Tablas!$G$9:$K$1240,5,0)*(INT(D230)+1-D230))/(VLOOKUP(INT($C$5)+1,Tablas!$G$9:$K$1240,5,0)*($C$5-INT($C$5))+VLOOKUP(INT($C$5),Tablas!$G$9:$K$124,5,0)*(INT($C$5)+1-$C$5)),(+VLOOKUP(INT(D230)+1,Tablas!$G$9:$O$1240,9,0)*(D230-INT(D230))+VLOOKUP(INT(D230),Tablas!$G$9:$O$1240,9,0)*(INT(D230)+1-D230))/(VLOOKUP(INT($C$5)+1,Tablas!$G$9:$O$1240,9,0)*($C$5-INT($C$5))+VLOOKUP(INT($C$5),Tablas!$G$9:$O$124,9,0)*(INT($C$5)+1-$C$5)))</f>
      </c>
      <c r="G230" s="791">
        <f>IF($C$4="Hombre",(+VLOOKUP(INT(D230)+1,Tablas!$G$9:$K$1240,5,0)*(D230-INT(D230))+VLOOKUP(INT(D230),Tablas!$G$9:$K$1240,5,0)*(INT(D230)+1-D230)),+VLOOKUP(INT(D230)+1,Tablas!$G$9:$O$1240,9,0)*(D230-INT(D230))+VLOOKUP(INT(D230),Tablas!$G$9:$O$1240,9,0)*(INT(D230)+1-D230))</f>
      </c>
      <c r="H230" s="801">
        <f>+IF(MONTH(B230)=1,H229*(1+$C$9),H229)</f>
      </c>
      <c r="I230" s="791">
        <f>IF(B230&lt;$C$10,0,IF(B230&lt;$C$11,$C$8/12*E230*F230*H230,0))</f>
      </c>
      <c r="J230" s="791">
        <f>I230*12/14+IF(OR(MONTH(C230)=6,MONTH(C230)=12),I230*12/14,0)</f>
      </c>
      <c r="K230" s="801">
        <f>G230/$G$15</f>
      </c>
      <c r="L230" s="760"/>
      <c r="M230" s="767"/>
      <c r="N230" s="168"/>
      <c r="O230" s="768"/>
      <c r="P230" s="170"/>
      <c r="Q230" s="7"/>
      <c r="R230" s="766"/>
      <c r="S230" s="170"/>
      <c r="T230" s="168"/>
      <c r="U230" s="170"/>
    </row>
    <row x14ac:dyDescent="0.25" r="231" customHeight="1" ht="18.75">
      <c r="A231" s="1"/>
      <c r="B231" s="799">
        <f>+DATE(YEAR(B230),MONTH(B230)+1,DAY(B230))</f>
        <v>25569.041666666668</v>
      </c>
      <c r="C231" s="799">
        <f>+B232-1</f>
        <v>25569.041666666668</v>
      </c>
      <c r="D231" s="791">
        <f>-_xlfn.DAYS($C$3,C231)/365.25</f>
      </c>
      <c r="E231" s="800">
        <f>IF($D$17+40&lt;=D231,(1+$D$7)^-(D231-$C$5),(1+$C$7)^-(D231-$C$5))</f>
      </c>
      <c r="F231" s="801">
        <f>IF($C$4="Hombre",(+VLOOKUP(INT(D231)+1,Tablas!$G$9:$K$1240,5,0)*(D231-INT(D231))+VLOOKUP(INT(D231),Tablas!$G$9:$K$1240,5,0)*(INT(D231)+1-D231))/(VLOOKUP(INT($C$5)+1,Tablas!$G$9:$K$1240,5,0)*($C$5-INT($C$5))+VLOOKUP(INT($C$5),Tablas!$G$9:$K$124,5,0)*(INT($C$5)+1-$C$5)),(+VLOOKUP(INT(D231)+1,Tablas!$G$9:$O$1240,9,0)*(D231-INT(D231))+VLOOKUP(INT(D231),Tablas!$G$9:$O$1240,9,0)*(INT(D231)+1-D231))/(VLOOKUP(INT($C$5)+1,Tablas!$G$9:$O$1240,9,0)*($C$5-INT($C$5))+VLOOKUP(INT($C$5),Tablas!$G$9:$O$124,9,0)*(INT($C$5)+1-$C$5)))</f>
      </c>
      <c r="G231" s="791">
        <f>IF($C$4="Hombre",(+VLOOKUP(INT(D231)+1,Tablas!$G$9:$K$1240,5,0)*(D231-INT(D231))+VLOOKUP(INT(D231),Tablas!$G$9:$K$1240,5,0)*(INT(D231)+1-D231)),+VLOOKUP(INT(D231)+1,Tablas!$G$9:$O$1240,9,0)*(D231-INT(D231))+VLOOKUP(INT(D231),Tablas!$G$9:$O$1240,9,0)*(INT(D231)+1-D231))</f>
      </c>
      <c r="H231" s="801">
        <f>+IF(MONTH(B231)=1,H230*(1+$C$9),H230)</f>
      </c>
      <c r="I231" s="791">
        <f>IF(B231&lt;$C$10,0,IF(B231&lt;$C$11,$C$8/12*E231*F231*H231,0))</f>
      </c>
      <c r="J231" s="791">
        <f>I231*12/14+IF(OR(MONTH(C231)=6,MONTH(C231)=12),I231*12/14,0)</f>
      </c>
      <c r="K231" s="801">
        <f>G231/$G$15</f>
      </c>
      <c r="L231" s="760"/>
      <c r="M231" s="767"/>
      <c r="N231" s="168"/>
      <c r="O231" s="768"/>
      <c r="P231" s="170"/>
      <c r="Q231" s="7"/>
      <c r="R231" s="766"/>
      <c r="S231" s="170"/>
      <c r="T231" s="168"/>
      <c r="U231" s="170"/>
    </row>
    <row x14ac:dyDescent="0.25" r="232" customHeight="1" ht="18.75">
      <c r="A232" s="1"/>
      <c r="B232" s="799">
        <f>+DATE(YEAR(B231),MONTH(B231)+1,DAY(B231))</f>
        <v>25569.041666666668</v>
      </c>
      <c r="C232" s="799">
        <f>+B233-1</f>
        <v>25569.041666666668</v>
      </c>
      <c r="D232" s="791">
        <f>-_xlfn.DAYS($C$3,C232)/365.25</f>
      </c>
      <c r="E232" s="800">
        <f>IF($D$17+40&lt;=D232,(1+$D$7)^-(D232-$C$5),(1+$C$7)^-(D232-$C$5))</f>
      </c>
      <c r="F232" s="801">
        <f>IF($C$4="Hombre",(+VLOOKUP(INT(D232)+1,Tablas!$G$9:$K$1240,5,0)*(D232-INT(D232))+VLOOKUP(INT(D232),Tablas!$G$9:$K$1240,5,0)*(INT(D232)+1-D232))/(VLOOKUP(INT($C$5)+1,Tablas!$G$9:$K$1240,5,0)*($C$5-INT($C$5))+VLOOKUP(INT($C$5),Tablas!$G$9:$K$124,5,0)*(INT($C$5)+1-$C$5)),(+VLOOKUP(INT(D232)+1,Tablas!$G$9:$O$1240,9,0)*(D232-INT(D232))+VLOOKUP(INT(D232),Tablas!$G$9:$O$1240,9,0)*(INT(D232)+1-D232))/(VLOOKUP(INT($C$5)+1,Tablas!$G$9:$O$1240,9,0)*($C$5-INT($C$5))+VLOOKUP(INT($C$5),Tablas!$G$9:$O$124,9,0)*(INT($C$5)+1-$C$5)))</f>
      </c>
      <c r="G232" s="791">
        <f>IF($C$4="Hombre",(+VLOOKUP(INT(D232)+1,Tablas!$G$9:$K$1240,5,0)*(D232-INT(D232))+VLOOKUP(INT(D232),Tablas!$G$9:$K$1240,5,0)*(INT(D232)+1-D232)),+VLOOKUP(INT(D232)+1,Tablas!$G$9:$O$1240,9,0)*(D232-INT(D232))+VLOOKUP(INT(D232),Tablas!$G$9:$O$1240,9,0)*(INT(D232)+1-D232))</f>
      </c>
      <c r="H232" s="801">
        <f>+IF(MONTH(B232)=1,H231*(1+$C$9),H231)</f>
      </c>
      <c r="I232" s="791">
        <f>IF(B232&lt;$C$10,0,IF(B232&lt;$C$11,$C$8/12*E232*F232*H232,0))</f>
      </c>
      <c r="J232" s="791">
        <f>I232*12/14+IF(OR(MONTH(C232)=6,MONTH(C232)=12),I232*12/14,0)</f>
      </c>
      <c r="K232" s="801">
        <f>G232/$G$15</f>
      </c>
      <c r="L232" s="760"/>
      <c r="M232" s="767"/>
      <c r="N232" s="168"/>
      <c r="O232" s="768"/>
      <c r="P232" s="170"/>
      <c r="Q232" s="7"/>
      <c r="R232" s="766"/>
      <c r="S232" s="170"/>
      <c r="T232" s="168"/>
      <c r="U232" s="170"/>
    </row>
    <row x14ac:dyDescent="0.25" r="233" customHeight="1" ht="18.75">
      <c r="A233" s="1"/>
      <c r="B233" s="799">
        <f>+DATE(YEAR(B232),MONTH(B232)+1,DAY(B232))</f>
        <v>25569.041666666668</v>
      </c>
      <c r="C233" s="799">
        <f>+B234-1</f>
        <v>25569.041666666668</v>
      </c>
      <c r="D233" s="791">
        <f>-_xlfn.DAYS($C$3,C233)/365.25</f>
      </c>
      <c r="E233" s="800">
        <f>IF($D$17+40&lt;=D233,(1+$D$7)^-(D233-$C$5),(1+$C$7)^-(D233-$C$5))</f>
      </c>
      <c r="F233" s="801">
        <f>IF($C$4="Hombre",(+VLOOKUP(INT(D233)+1,Tablas!$G$9:$K$1240,5,0)*(D233-INT(D233))+VLOOKUP(INT(D233),Tablas!$G$9:$K$1240,5,0)*(INT(D233)+1-D233))/(VLOOKUP(INT($C$5)+1,Tablas!$G$9:$K$1240,5,0)*($C$5-INT($C$5))+VLOOKUP(INT($C$5),Tablas!$G$9:$K$124,5,0)*(INT($C$5)+1-$C$5)),(+VLOOKUP(INT(D233)+1,Tablas!$G$9:$O$1240,9,0)*(D233-INT(D233))+VLOOKUP(INT(D233),Tablas!$G$9:$O$1240,9,0)*(INT(D233)+1-D233))/(VLOOKUP(INT($C$5)+1,Tablas!$G$9:$O$1240,9,0)*($C$5-INT($C$5))+VLOOKUP(INT($C$5),Tablas!$G$9:$O$124,9,0)*(INT($C$5)+1-$C$5)))</f>
      </c>
      <c r="G233" s="791">
        <f>IF($C$4="Hombre",(+VLOOKUP(INT(D233)+1,Tablas!$G$9:$K$1240,5,0)*(D233-INT(D233))+VLOOKUP(INT(D233),Tablas!$G$9:$K$1240,5,0)*(INT(D233)+1-D233)),+VLOOKUP(INT(D233)+1,Tablas!$G$9:$O$1240,9,0)*(D233-INT(D233))+VLOOKUP(INT(D233),Tablas!$G$9:$O$1240,9,0)*(INT(D233)+1-D233))</f>
      </c>
      <c r="H233" s="801">
        <f>+IF(MONTH(B233)=1,H232*(1+$C$9),H232)</f>
      </c>
      <c r="I233" s="791">
        <f>IF(B233&lt;$C$10,0,IF(B233&lt;$C$11,$C$8/12*E233*F233*H233,0))</f>
      </c>
      <c r="J233" s="791">
        <f>I233*12/14+IF(OR(MONTH(C233)=6,MONTH(C233)=12),I233*12/14,0)</f>
      </c>
      <c r="K233" s="801">
        <f>G233/$G$15</f>
      </c>
      <c r="L233" s="760"/>
      <c r="M233" s="767"/>
      <c r="N233" s="168"/>
      <c r="O233" s="768"/>
      <c r="P233" s="170"/>
      <c r="Q233" s="7"/>
      <c r="R233" s="766"/>
      <c r="S233" s="170"/>
      <c r="T233" s="168"/>
      <c r="U233" s="170"/>
    </row>
    <row x14ac:dyDescent="0.25" r="234" customHeight="1" ht="18.75">
      <c r="A234" s="1"/>
      <c r="B234" s="799">
        <f>+DATE(YEAR(B233),MONTH(B233)+1,DAY(B233))</f>
        <v>25569.041666666668</v>
      </c>
      <c r="C234" s="799">
        <f>+B235-1</f>
        <v>25569.041666666668</v>
      </c>
      <c r="D234" s="791">
        <f>-_xlfn.DAYS($C$3,C234)/365.25</f>
      </c>
      <c r="E234" s="800">
        <f>IF($D$17+40&lt;=D234,(1+$D$7)^-(D234-$C$5),(1+$C$7)^-(D234-$C$5))</f>
      </c>
      <c r="F234" s="801">
        <f>IF($C$4="Hombre",(+VLOOKUP(INT(D234)+1,Tablas!$G$9:$K$1240,5,0)*(D234-INT(D234))+VLOOKUP(INT(D234),Tablas!$G$9:$K$1240,5,0)*(INT(D234)+1-D234))/(VLOOKUP(INT($C$5)+1,Tablas!$G$9:$K$1240,5,0)*($C$5-INT($C$5))+VLOOKUP(INT($C$5),Tablas!$G$9:$K$124,5,0)*(INT($C$5)+1-$C$5)),(+VLOOKUP(INT(D234)+1,Tablas!$G$9:$O$1240,9,0)*(D234-INT(D234))+VLOOKUP(INT(D234),Tablas!$G$9:$O$1240,9,0)*(INT(D234)+1-D234))/(VLOOKUP(INT($C$5)+1,Tablas!$G$9:$O$1240,9,0)*($C$5-INT($C$5))+VLOOKUP(INT($C$5),Tablas!$G$9:$O$124,9,0)*(INT($C$5)+1-$C$5)))</f>
      </c>
      <c r="G234" s="791">
        <f>IF($C$4="Hombre",(+VLOOKUP(INT(D234)+1,Tablas!$G$9:$K$1240,5,0)*(D234-INT(D234))+VLOOKUP(INT(D234),Tablas!$G$9:$K$1240,5,0)*(INT(D234)+1-D234)),+VLOOKUP(INT(D234)+1,Tablas!$G$9:$O$1240,9,0)*(D234-INT(D234))+VLOOKUP(INT(D234),Tablas!$G$9:$O$1240,9,0)*(INT(D234)+1-D234))</f>
      </c>
      <c r="H234" s="801">
        <f>+IF(MONTH(B234)=1,H233*(1+$C$9),H233)</f>
      </c>
      <c r="I234" s="791">
        <f>IF(B234&lt;$C$10,0,IF(B234&lt;$C$11,$C$8/12*E234*F234*H234,0))</f>
      </c>
      <c r="J234" s="791">
        <f>I234*12/14+IF(OR(MONTH(C234)=6,MONTH(C234)=12),I234*12/14,0)</f>
      </c>
      <c r="K234" s="801">
        <f>G234/$G$15</f>
      </c>
      <c r="L234" s="760"/>
      <c r="M234" s="767"/>
      <c r="N234" s="168"/>
      <c r="O234" s="768"/>
      <c r="P234" s="170"/>
      <c r="Q234" s="7"/>
      <c r="R234" s="766"/>
      <c r="S234" s="170"/>
      <c r="T234" s="168"/>
      <c r="U234" s="170"/>
    </row>
    <row x14ac:dyDescent="0.25" r="235" customHeight="1" ht="18.75">
      <c r="A235" s="1"/>
      <c r="B235" s="799">
        <f>+DATE(YEAR(B234),MONTH(B234)+1,DAY(B234))</f>
        <v>25569.041666666668</v>
      </c>
      <c r="C235" s="799">
        <f>+B236-1</f>
        <v>25569.041666666668</v>
      </c>
      <c r="D235" s="791">
        <f>-_xlfn.DAYS($C$3,C235)/365.25</f>
      </c>
      <c r="E235" s="800">
        <f>IF($D$17+40&lt;=D235,(1+$D$7)^-(D235-$C$5),(1+$C$7)^-(D235-$C$5))</f>
      </c>
      <c r="F235" s="801">
        <f>IF($C$4="Hombre",(+VLOOKUP(INT(D235)+1,Tablas!$G$9:$K$1240,5,0)*(D235-INT(D235))+VLOOKUP(INT(D235),Tablas!$G$9:$K$1240,5,0)*(INT(D235)+1-D235))/(VLOOKUP(INT($C$5)+1,Tablas!$G$9:$K$1240,5,0)*($C$5-INT($C$5))+VLOOKUP(INT($C$5),Tablas!$G$9:$K$124,5,0)*(INT($C$5)+1-$C$5)),(+VLOOKUP(INT(D235)+1,Tablas!$G$9:$O$1240,9,0)*(D235-INT(D235))+VLOOKUP(INT(D235),Tablas!$G$9:$O$1240,9,0)*(INT(D235)+1-D235))/(VLOOKUP(INT($C$5)+1,Tablas!$G$9:$O$1240,9,0)*($C$5-INT($C$5))+VLOOKUP(INT($C$5),Tablas!$G$9:$O$124,9,0)*(INT($C$5)+1-$C$5)))</f>
      </c>
      <c r="G235" s="791">
        <f>IF($C$4="Hombre",(+VLOOKUP(INT(D235)+1,Tablas!$G$9:$K$1240,5,0)*(D235-INT(D235))+VLOOKUP(INT(D235),Tablas!$G$9:$K$1240,5,0)*(INT(D235)+1-D235)),+VLOOKUP(INT(D235)+1,Tablas!$G$9:$O$1240,9,0)*(D235-INT(D235))+VLOOKUP(INT(D235),Tablas!$G$9:$O$1240,9,0)*(INT(D235)+1-D235))</f>
      </c>
      <c r="H235" s="801">
        <f>+IF(MONTH(B235)=1,H234*(1+$C$9),H234)</f>
      </c>
      <c r="I235" s="791">
        <f>IF(B235&lt;$C$10,0,IF(B235&lt;$C$11,$C$8/12*E235*F235*H235,0))</f>
      </c>
      <c r="J235" s="791">
        <f>I235*12/14+IF(OR(MONTH(C235)=6,MONTH(C235)=12),I235*12/14,0)</f>
      </c>
      <c r="K235" s="801">
        <f>G235/$G$15</f>
      </c>
      <c r="L235" s="760"/>
      <c r="M235" s="767"/>
      <c r="N235" s="168"/>
      <c r="O235" s="768"/>
      <c r="P235" s="170"/>
      <c r="Q235" s="7"/>
      <c r="R235" s="766"/>
      <c r="S235" s="170"/>
      <c r="T235" s="168"/>
      <c r="U235" s="170"/>
    </row>
    <row x14ac:dyDescent="0.25" r="236" customHeight="1" ht="18.75">
      <c r="A236" s="1"/>
      <c r="B236" s="799">
        <f>+DATE(YEAR(B235),MONTH(B235)+1,DAY(B235))</f>
        <v>25569.041666666668</v>
      </c>
      <c r="C236" s="799">
        <f>+B237-1</f>
        <v>25569.041666666668</v>
      </c>
      <c r="D236" s="791">
        <f>-_xlfn.DAYS($C$3,C236)/365.25</f>
      </c>
      <c r="E236" s="800">
        <f>IF($D$17+40&lt;=D236,(1+$D$7)^-(D236-$C$5),(1+$C$7)^-(D236-$C$5))</f>
      </c>
      <c r="F236" s="801">
        <f>IF($C$4="Hombre",(+VLOOKUP(INT(D236)+1,Tablas!$G$9:$K$1240,5,0)*(D236-INT(D236))+VLOOKUP(INT(D236),Tablas!$G$9:$K$1240,5,0)*(INT(D236)+1-D236))/(VLOOKUP(INT($C$5)+1,Tablas!$G$9:$K$1240,5,0)*($C$5-INT($C$5))+VLOOKUP(INT($C$5),Tablas!$G$9:$K$124,5,0)*(INT($C$5)+1-$C$5)),(+VLOOKUP(INT(D236)+1,Tablas!$G$9:$O$1240,9,0)*(D236-INT(D236))+VLOOKUP(INT(D236),Tablas!$G$9:$O$1240,9,0)*(INT(D236)+1-D236))/(VLOOKUP(INT($C$5)+1,Tablas!$G$9:$O$1240,9,0)*($C$5-INT($C$5))+VLOOKUP(INT($C$5),Tablas!$G$9:$O$124,9,0)*(INT($C$5)+1-$C$5)))</f>
      </c>
      <c r="G236" s="791">
        <f>IF($C$4="Hombre",(+VLOOKUP(INT(D236)+1,Tablas!$G$9:$K$1240,5,0)*(D236-INT(D236))+VLOOKUP(INT(D236),Tablas!$G$9:$K$1240,5,0)*(INT(D236)+1-D236)),+VLOOKUP(INT(D236)+1,Tablas!$G$9:$O$1240,9,0)*(D236-INT(D236))+VLOOKUP(INT(D236),Tablas!$G$9:$O$1240,9,0)*(INT(D236)+1-D236))</f>
      </c>
      <c r="H236" s="801">
        <f>+IF(MONTH(B236)=1,H235*(1+$C$9),H235)</f>
      </c>
      <c r="I236" s="791">
        <f>IF(B236&lt;$C$10,0,IF(B236&lt;$C$11,$C$8/12*E236*F236*H236,0))</f>
      </c>
      <c r="J236" s="791">
        <f>I236*12/14+IF(OR(MONTH(C236)=6,MONTH(C236)=12),I236*12/14,0)</f>
      </c>
      <c r="K236" s="801">
        <f>G236/$G$15</f>
      </c>
      <c r="L236" s="760"/>
      <c r="M236" s="767"/>
      <c r="N236" s="168"/>
      <c r="O236" s="768"/>
      <c r="P236" s="170"/>
      <c r="Q236" s="7"/>
      <c r="R236" s="766"/>
      <c r="S236" s="170"/>
      <c r="T236" s="168"/>
      <c r="U236" s="170"/>
    </row>
    <row x14ac:dyDescent="0.25" r="237" customHeight="1" ht="18.75">
      <c r="A237" s="1"/>
      <c r="B237" s="799">
        <f>+DATE(YEAR(B236),MONTH(B236)+1,DAY(B236))</f>
        <v>25569.041666666668</v>
      </c>
      <c r="C237" s="799">
        <f>+B238-1</f>
        <v>25569.041666666668</v>
      </c>
      <c r="D237" s="791">
        <f>-_xlfn.DAYS($C$3,C237)/365.25</f>
      </c>
      <c r="E237" s="800">
        <f>IF($D$17+40&lt;=D237,(1+$D$7)^-(D237-$C$5),(1+$C$7)^-(D237-$C$5))</f>
      </c>
      <c r="F237" s="801">
        <f>IF($C$4="Hombre",(+VLOOKUP(INT(D237)+1,Tablas!$G$9:$K$1240,5,0)*(D237-INT(D237))+VLOOKUP(INT(D237),Tablas!$G$9:$K$1240,5,0)*(INT(D237)+1-D237))/(VLOOKUP(INT($C$5)+1,Tablas!$G$9:$K$1240,5,0)*($C$5-INT($C$5))+VLOOKUP(INT($C$5),Tablas!$G$9:$K$124,5,0)*(INT($C$5)+1-$C$5)),(+VLOOKUP(INT(D237)+1,Tablas!$G$9:$O$1240,9,0)*(D237-INT(D237))+VLOOKUP(INT(D237),Tablas!$G$9:$O$1240,9,0)*(INT(D237)+1-D237))/(VLOOKUP(INT($C$5)+1,Tablas!$G$9:$O$1240,9,0)*($C$5-INT($C$5))+VLOOKUP(INT($C$5),Tablas!$G$9:$O$124,9,0)*(INT($C$5)+1-$C$5)))</f>
      </c>
      <c r="G237" s="791">
        <f>IF($C$4="Hombre",(+VLOOKUP(INT(D237)+1,Tablas!$G$9:$K$1240,5,0)*(D237-INT(D237))+VLOOKUP(INT(D237),Tablas!$G$9:$K$1240,5,0)*(INT(D237)+1-D237)),+VLOOKUP(INT(D237)+1,Tablas!$G$9:$O$1240,9,0)*(D237-INT(D237))+VLOOKUP(INT(D237),Tablas!$G$9:$O$1240,9,0)*(INT(D237)+1-D237))</f>
      </c>
      <c r="H237" s="801">
        <f>+IF(MONTH(B237)=1,H236*(1+$C$9),H236)</f>
      </c>
      <c r="I237" s="791">
        <f>IF(B237&lt;$C$10,0,IF(B237&lt;$C$11,$C$8/12*E237*F237*H237,0))</f>
      </c>
      <c r="J237" s="791">
        <f>I237*12/14+IF(OR(MONTH(C237)=6,MONTH(C237)=12),I237*12/14,0)</f>
      </c>
      <c r="K237" s="801">
        <f>G237/$G$15</f>
      </c>
      <c r="L237" s="760"/>
      <c r="M237" s="767"/>
      <c r="N237" s="168"/>
      <c r="O237" s="768"/>
      <c r="P237" s="170"/>
      <c r="Q237" s="7"/>
      <c r="R237" s="766"/>
      <c r="S237" s="170"/>
      <c r="T237" s="168"/>
      <c r="U237" s="170"/>
    </row>
    <row x14ac:dyDescent="0.25" r="238" customHeight="1" ht="18.75">
      <c r="A238" s="1"/>
      <c r="B238" s="799">
        <f>+DATE(YEAR(B237),MONTH(B237)+1,DAY(B237))</f>
        <v>25569.041666666668</v>
      </c>
      <c r="C238" s="799">
        <f>+B239-1</f>
        <v>25569.041666666668</v>
      </c>
      <c r="D238" s="791">
        <f>-_xlfn.DAYS($C$3,C238)/365.25</f>
      </c>
      <c r="E238" s="800">
        <f>IF($D$17+40&lt;=D238,(1+$D$7)^-(D238-$C$5),(1+$C$7)^-(D238-$C$5))</f>
      </c>
      <c r="F238" s="801">
        <f>IF($C$4="Hombre",(+VLOOKUP(INT(D238)+1,Tablas!$G$9:$K$1240,5,0)*(D238-INT(D238))+VLOOKUP(INT(D238),Tablas!$G$9:$K$1240,5,0)*(INT(D238)+1-D238))/(VLOOKUP(INT($C$5)+1,Tablas!$G$9:$K$1240,5,0)*($C$5-INT($C$5))+VLOOKUP(INT($C$5),Tablas!$G$9:$K$124,5,0)*(INT($C$5)+1-$C$5)),(+VLOOKUP(INT(D238)+1,Tablas!$G$9:$O$1240,9,0)*(D238-INT(D238))+VLOOKUP(INT(D238),Tablas!$G$9:$O$1240,9,0)*(INT(D238)+1-D238))/(VLOOKUP(INT($C$5)+1,Tablas!$G$9:$O$1240,9,0)*($C$5-INT($C$5))+VLOOKUP(INT($C$5),Tablas!$G$9:$O$124,9,0)*(INT($C$5)+1-$C$5)))</f>
      </c>
      <c r="G238" s="791">
        <f>IF($C$4="Hombre",(+VLOOKUP(INT(D238)+1,Tablas!$G$9:$K$1240,5,0)*(D238-INT(D238))+VLOOKUP(INT(D238),Tablas!$G$9:$K$1240,5,0)*(INT(D238)+1-D238)),+VLOOKUP(INT(D238)+1,Tablas!$G$9:$O$1240,9,0)*(D238-INT(D238))+VLOOKUP(INT(D238),Tablas!$G$9:$O$1240,9,0)*(INT(D238)+1-D238))</f>
      </c>
      <c r="H238" s="801">
        <f>+IF(MONTH(B238)=1,H237*(1+$C$9),H237)</f>
      </c>
      <c r="I238" s="791">
        <f>IF(B238&lt;$C$10,0,IF(B238&lt;$C$11,$C$8/12*E238*F238*H238,0))</f>
      </c>
      <c r="J238" s="791">
        <f>I238*12/14+IF(OR(MONTH(C238)=6,MONTH(C238)=12),I238*12/14,0)</f>
      </c>
      <c r="K238" s="801">
        <f>G238/$G$15</f>
      </c>
      <c r="L238" s="760"/>
      <c r="M238" s="767"/>
      <c r="N238" s="168"/>
      <c r="O238" s="768"/>
      <c r="P238" s="170"/>
      <c r="Q238" s="7"/>
      <c r="R238" s="766"/>
      <c r="S238" s="170"/>
      <c r="T238" s="168"/>
      <c r="U238" s="170"/>
    </row>
    <row x14ac:dyDescent="0.25" r="239" customHeight="1" ht="18.75">
      <c r="A239" s="1"/>
      <c r="B239" s="799">
        <f>+DATE(YEAR(B238),MONTH(B238)+1,DAY(B238))</f>
        <v>25569.041666666668</v>
      </c>
      <c r="C239" s="799">
        <f>+B240-1</f>
        <v>25569.041666666668</v>
      </c>
      <c r="D239" s="791">
        <f>-_xlfn.DAYS($C$3,C239)/365.25</f>
      </c>
      <c r="E239" s="800">
        <f>IF($D$17+40&lt;=D239,(1+$D$7)^-(D239-$C$5),(1+$C$7)^-(D239-$C$5))</f>
      </c>
      <c r="F239" s="801">
        <f>IF($C$4="Hombre",(+VLOOKUP(INT(D239)+1,Tablas!$G$9:$K$1240,5,0)*(D239-INT(D239))+VLOOKUP(INT(D239),Tablas!$G$9:$K$1240,5,0)*(INT(D239)+1-D239))/(VLOOKUP(INT($C$5)+1,Tablas!$G$9:$K$1240,5,0)*($C$5-INT($C$5))+VLOOKUP(INT($C$5),Tablas!$G$9:$K$124,5,0)*(INT($C$5)+1-$C$5)),(+VLOOKUP(INT(D239)+1,Tablas!$G$9:$O$1240,9,0)*(D239-INT(D239))+VLOOKUP(INT(D239),Tablas!$G$9:$O$1240,9,0)*(INT(D239)+1-D239))/(VLOOKUP(INT($C$5)+1,Tablas!$G$9:$O$1240,9,0)*($C$5-INT($C$5))+VLOOKUP(INT($C$5),Tablas!$G$9:$O$124,9,0)*(INT($C$5)+1-$C$5)))</f>
      </c>
      <c r="G239" s="791">
        <f>IF($C$4="Hombre",(+VLOOKUP(INT(D239)+1,Tablas!$G$9:$K$1240,5,0)*(D239-INT(D239))+VLOOKUP(INT(D239),Tablas!$G$9:$K$1240,5,0)*(INT(D239)+1-D239)),+VLOOKUP(INT(D239)+1,Tablas!$G$9:$O$1240,9,0)*(D239-INT(D239))+VLOOKUP(INT(D239),Tablas!$G$9:$O$1240,9,0)*(INT(D239)+1-D239))</f>
      </c>
      <c r="H239" s="801">
        <f>+IF(MONTH(B239)=1,H238*(1+$C$9),H238)</f>
      </c>
      <c r="I239" s="791">
        <f>IF(B239&lt;$C$10,0,IF(B239&lt;$C$11,$C$8/12*E239*F239*H239,0))</f>
      </c>
      <c r="J239" s="791">
        <f>I239*12/14+IF(OR(MONTH(C239)=6,MONTH(C239)=12),I239*12/14,0)</f>
      </c>
      <c r="K239" s="801">
        <f>G239/$G$15</f>
      </c>
      <c r="L239" s="760"/>
      <c r="M239" s="767"/>
      <c r="N239" s="168"/>
      <c r="O239" s="768"/>
      <c r="P239" s="170"/>
      <c r="Q239" s="7"/>
      <c r="R239" s="766"/>
      <c r="S239" s="170"/>
      <c r="T239" s="168"/>
      <c r="U239" s="170"/>
    </row>
    <row x14ac:dyDescent="0.25" r="240" customHeight="1" ht="18.75">
      <c r="A240" s="1"/>
      <c r="B240" s="799">
        <f>+DATE(YEAR(B239),MONTH(B239)+1,DAY(B239))</f>
        <v>25569.041666666668</v>
      </c>
      <c r="C240" s="799">
        <f>+B241-1</f>
        <v>25569.041666666668</v>
      </c>
      <c r="D240" s="791">
        <f>-_xlfn.DAYS($C$3,C240)/365.25</f>
      </c>
      <c r="E240" s="800">
        <f>IF($D$17+40&lt;=D240,(1+$D$7)^-(D240-$C$5),(1+$C$7)^-(D240-$C$5))</f>
      </c>
      <c r="F240" s="801">
        <f>IF($C$4="Hombre",(+VLOOKUP(INT(D240)+1,Tablas!$G$9:$K$1240,5,0)*(D240-INT(D240))+VLOOKUP(INT(D240),Tablas!$G$9:$K$1240,5,0)*(INT(D240)+1-D240))/(VLOOKUP(INT($C$5)+1,Tablas!$G$9:$K$1240,5,0)*($C$5-INT($C$5))+VLOOKUP(INT($C$5),Tablas!$G$9:$K$124,5,0)*(INT($C$5)+1-$C$5)),(+VLOOKUP(INT(D240)+1,Tablas!$G$9:$O$1240,9,0)*(D240-INT(D240))+VLOOKUP(INT(D240),Tablas!$G$9:$O$1240,9,0)*(INT(D240)+1-D240))/(VLOOKUP(INT($C$5)+1,Tablas!$G$9:$O$1240,9,0)*($C$5-INT($C$5))+VLOOKUP(INT($C$5),Tablas!$G$9:$O$124,9,0)*(INT($C$5)+1-$C$5)))</f>
      </c>
      <c r="G240" s="791">
        <f>IF($C$4="Hombre",(+VLOOKUP(INT(D240)+1,Tablas!$G$9:$K$1240,5,0)*(D240-INT(D240))+VLOOKUP(INT(D240),Tablas!$G$9:$K$1240,5,0)*(INT(D240)+1-D240)),+VLOOKUP(INT(D240)+1,Tablas!$G$9:$O$1240,9,0)*(D240-INT(D240))+VLOOKUP(INT(D240),Tablas!$G$9:$O$1240,9,0)*(INT(D240)+1-D240))</f>
      </c>
      <c r="H240" s="801">
        <f>+IF(MONTH(B240)=1,H239*(1+$C$9),H239)</f>
      </c>
      <c r="I240" s="791">
        <f>IF(B240&lt;$C$10,0,IF(B240&lt;$C$11,$C$8/12*E240*F240*H240,0))</f>
      </c>
      <c r="J240" s="791">
        <f>I240*12/14+IF(OR(MONTH(C240)=6,MONTH(C240)=12),I240*12/14,0)</f>
      </c>
      <c r="K240" s="801">
        <f>G240/$G$15</f>
      </c>
      <c r="L240" s="760"/>
      <c r="M240" s="767"/>
      <c r="N240" s="168"/>
      <c r="O240" s="768"/>
      <c r="P240" s="170"/>
      <c r="Q240" s="7"/>
      <c r="R240" s="766"/>
      <c r="S240" s="170"/>
      <c r="T240" s="168"/>
      <c r="U240" s="170"/>
    </row>
    <row x14ac:dyDescent="0.25" r="241" customHeight="1" ht="18.75">
      <c r="A241" s="1"/>
      <c r="B241" s="799">
        <f>+DATE(YEAR(B240),MONTH(B240)+1,DAY(B240))</f>
        <v>25569.041666666668</v>
      </c>
      <c r="C241" s="799">
        <f>+B242-1</f>
        <v>25569.041666666668</v>
      </c>
      <c r="D241" s="791">
        <f>-_xlfn.DAYS($C$3,C241)/365.25</f>
      </c>
      <c r="E241" s="800">
        <f>IF($D$17+40&lt;=D241,(1+$D$7)^-(D241-$C$5),(1+$C$7)^-(D241-$C$5))</f>
      </c>
      <c r="F241" s="801">
        <f>IF($C$4="Hombre",(+VLOOKUP(INT(D241)+1,Tablas!$G$9:$K$1240,5,0)*(D241-INT(D241))+VLOOKUP(INT(D241),Tablas!$G$9:$K$1240,5,0)*(INT(D241)+1-D241))/(VLOOKUP(INT($C$5)+1,Tablas!$G$9:$K$1240,5,0)*($C$5-INT($C$5))+VLOOKUP(INT($C$5),Tablas!$G$9:$K$124,5,0)*(INT($C$5)+1-$C$5)),(+VLOOKUP(INT(D241)+1,Tablas!$G$9:$O$1240,9,0)*(D241-INT(D241))+VLOOKUP(INT(D241),Tablas!$G$9:$O$1240,9,0)*(INT(D241)+1-D241))/(VLOOKUP(INT($C$5)+1,Tablas!$G$9:$O$1240,9,0)*($C$5-INT($C$5))+VLOOKUP(INT($C$5),Tablas!$G$9:$O$124,9,0)*(INT($C$5)+1-$C$5)))</f>
      </c>
      <c r="G241" s="791">
        <f>IF($C$4="Hombre",(+VLOOKUP(INT(D241)+1,Tablas!$G$9:$K$1240,5,0)*(D241-INT(D241))+VLOOKUP(INT(D241),Tablas!$G$9:$K$1240,5,0)*(INT(D241)+1-D241)),+VLOOKUP(INT(D241)+1,Tablas!$G$9:$O$1240,9,0)*(D241-INT(D241))+VLOOKUP(INT(D241),Tablas!$G$9:$O$1240,9,0)*(INT(D241)+1-D241))</f>
      </c>
      <c r="H241" s="801">
        <f>+IF(MONTH(B241)=1,H240*(1+$C$9),H240)</f>
      </c>
      <c r="I241" s="791">
        <f>IF(B241&lt;$C$10,0,IF(B241&lt;$C$11,$C$8/12*E241*F241*H241,0))</f>
      </c>
      <c r="J241" s="791">
        <f>I241*12/14+IF(OR(MONTH(C241)=6,MONTH(C241)=12),I241*12/14,0)</f>
      </c>
      <c r="K241" s="801">
        <f>G241/$G$15</f>
      </c>
      <c r="L241" s="760"/>
      <c r="M241" s="767"/>
      <c r="N241" s="168"/>
      <c r="O241" s="768"/>
      <c r="P241" s="170"/>
      <c r="Q241" s="7"/>
      <c r="R241" s="766"/>
      <c r="S241" s="170"/>
      <c r="T241" s="168"/>
      <c r="U241" s="170"/>
    </row>
    <row x14ac:dyDescent="0.25" r="242" customHeight="1" ht="18.75">
      <c r="A242" s="1"/>
      <c r="B242" s="799">
        <f>+DATE(YEAR(B241),MONTH(B241)+1,DAY(B241))</f>
        <v>25569.041666666668</v>
      </c>
      <c r="C242" s="799">
        <f>+B243-1</f>
        <v>25569.041666666668</v>
      </c>
      <c r="D242" s="791">
        <f>-_xlfn.DAYS($C$3,C242)/365.25</f>
      </c>
      <c r="E242" s="800">
        <f>IF($D$17+40&lt;=D242,(1+$D$7)^-(D242-$C$5),(1+$C$7)^-(D242-$C$5))</f>
      </c>
      <c r="F242" s="801">
        <f>IF($C$4="Hombre",(+VLOOKUP(INT(D242)+1,Tablas!$G$9:$K$1240,5,0)*(D242-INT(D242))+VLOOKUP(INT(D242),Tablas!$G$9:$K$1240,5,0)*(INT(D242)+1-D242))/(VLOOKUP(INT($C$5)+1,Tablas!$G$9:$K$1240,5,0)*($C$5-INT($C$5))+VLOOKUP(INT($C$5),Tablas!$G$9:$K$124,5,0)*(INT($C$5)+1-$C$5)),(+VLOOKUP(INT(D242)+1,Tablas!$G$9:$O$1240,9,0)*(D242-INT(D242))+VLOOKUP(INT(D242),Tablas!$G$9:$O$1240,9,0)*(INT(D242)+1-D242))/(VLOOKUP(INT($C$5)+1,Tablas!$G$9:$O$1240,9,0)*($C$5-INT($C$5))+VLOOKUP(INT($C$5),Tablas!$G$9:$O$124,9,0)*(INT($C$5)+1-$C$5)))</f>
      </c>
      <c r="G242" s="791">
        <f>IF($C$4="Hombre",(+VLOOKUP(INT(D242)+1,Tablas!$G$9:$K$1240,5,0)*(D242-INT(D242))+VLOOKUP(INT(D242),Tablas!$G$9:$K$1240,5,0)*(INT(D242)+1-D242)),+VLOOKUP(INT(D242)+1,Tablas!$G$9:$O$1240,9,0)*(D242-INT(D242))+VLOOKUP(INT(D242),Tablas!$G$9:$O$1240,9,0)*(INT(D242)+1-D242))</f>
      </c>
      <c r="H242" s="801">
        <f>+IF(MONTH(B242)=1,H241*(1+$C$9),H241)</f>
      </c>
      <c r="I242" s="791">
        <f>IF(B242&lt;$C$10,0,IF(B242&lt;$C$11,$C$8/12*E242*F242*H242,0))</f>
      </c>
      <c r="J242" s="791">
        <f>I242*12/14+IF(OR(MONTH(C242)=6,MONTH(C242)=12),I242*12/14,0)</f>
      </c>
      <c r="K242" s="801">
        <f>G242/$G$15</f>
      </c>
      <c r="L242" s="760"/>
      <c r="M242" s="767"/>
      <c r="N242" s="168"/>
      <c r="O242" s="768"/>
      <c r="P242" s="170"/>
      <c r="Q242" s="7"/>
      <c r="R242" s="766"/>
      <c r="S242" s="170"/>
      <c r="T242" s="168"/>
      <c r="U242" s="170"/>
    </row>
    <row x14ac:dyDescent="0.25" r="243" customHeight="1" ht="18.75">
      <c r="A243" s="1"/>
      <c r="B243" s="799">
        <f>+DATE(YEAR(B242),MONTH(B242)+1,DAY(B242))</f>
        <v>25569.041666666668</v>
      </c>
      <c r="C243" s="799">
        <f>+B244-1</f>
        <v>25569.041666666668</v>
      </c>
      <c r="D243" s="791">
        <f>-_xlfn.DAYS($C$3,C243)/365.25</f>
      </c>
      <c r="E243" s="800">
        <f>IF($D$17+40&lt;=D243,(1+$D$7)^-(D243-$C$5),(1+$C$7)^-(D243-$C$5))</f>
      </c>
      <c r="F243" s="801">
        <f>IF($C$4="Hombre",(+VLOOKUP(INT(D243)+1,Tablas!$G$9:$K$1240,5,0)*(D243-INT(D243))+VLOOKUP(INT(D243),Tablas!$G$9:$K$1240,5,0)*(INT(D243)+1-D243))/(VLOOKUP(INT($C$5)+1,Tablas!$G$9:$K$1240,5,0)*($C$5-INT($C$5))+VLOOKUP(INT($C$5),Tablas!$G$9:$K$124,5,0)*(INT($C$5)+1-$C$5)),(+VLOOKUP(INT(D243)+1,Tablas!$G$9:$O$1240,9,0)*(D243-INT(D243))+VLOOKUP(INT(D243),Tablas!$G$9:$O$1240,9,0)*(INT(D243)+1-D243))/(VLOOKUP(INT($C$5)+1,Tablas!$G$9:$O$1240,9,0)*($C$5-INT($C$5))+VLOOKUP(INT($C$5),Tablas!$G$9:$O$124,9,0)*(INT($C$5)+1-$C$5)))</f>
      </c>
      <c r="G243" s="791">
        <f>IF($C$4="Hombre",(+VLOOKUP(INT(D243)+1,Tablas!$G$9:$K$1240,5,0)*(D243-INT(D243))+VLOOKUP(INT(D243),Tablas!$G$9:$K$1240,5,0)*(INT(D243)+1-D243)),+VLOOKUP(INT(D243)+1,Tablas!$G$9:$O$1240,9,0)*(D243-INT(D243))+VLOOKUP(INT(D243),Tablas!$G$9:$O$1240,9,0)*(INT(D243)+1-D243))</f>
      </c>
      <c r="H243" s="801">
        <f>+IF(MONTH(B243)=1,H242*(1+$C$9),H242)</f>
      </c>
      <c r="I243" s="791">
        <f>IF(B243&lt;$C$10,0,IF(B243&lt;$C$11,$C$8/12*E243*F243*H243,0))</f>
      </c>
      <c r="J243" s="791">
        <f>I243*12/14+IF(OR(MONTH(C243)=6,MONTH(C243)=12),I243*12/14,0)</f>
      </c>
      <c r="K243" s="801">
        <f>G243/$G$15</f>
      </c>
      <c r="L243" s="760"/>
      <c r="M243" s="767"/>
      <c r="N243" s="168"/>
      <c r="O243" s="768"/>
      <c r="P243" s="170"/>
      <c r="Q243" s="7"/>
      <c r="R243" s="766"/>
      <c r="S243" s="170"/>
      <c r="T243" s="168"/>
      <c r="U243" s="170"/>
    </row>
    <row x14ac:dyDescent="0.25" r="244" customHeight="1" ht="18.75">
      <c r="A244" s="1"/>
      <c r="B244" s="799">
        <f>+DATE(YEAR(B243),MONTH(B243)+1,DAY(B243))</f>
        <v>25569.041666666668</v>
      </c>
      <c r="C244" s="799">
        <f>+B245-1</f>
        <v>25569.041666666668</v>
      </c>
      <c r="D244" s="791">
        <f>-_xlfn.DAYS($C$3,C244)/365.25</f>
      </c>
      <c r="E244" s="800">
        <f>IF($D$17+40&lt;=D244,(1+$D$7)^-(D244-$C$5),(1+$C$7)^-(D244-$C$5))</f>
      </c>
      <c r="F244" s="801">
        <f>IF($C$4="Hombre",(+VLOOKUP(INT(D244)+1,Tablas!$G$9:$K$1240,5,0)*(D244-INT(D244))+VLOOKUP(INT(D244),Tablas!$G$9:$K$1240,5,0)*(INT(D244)+1-D244))/(VLOOKUP(INT($C$5)+1,Tablas!$G$9:$K$1240,5,0)*($C$5-INT($C$5))+VLOOKUP(INT($C$5),Tablas!$G$9:$K$124,5,0)*(INT($C$5)+1-$C$5)),(+VLOOKUP(INT(D244)+1,Tablas!$G$9:$O$1240,9,0)*(D244-INT(D244))+VLOOKUP(INT(D244),Tablas!$G$9:$O$1240,9,0)*(INT(D244)+1-D244))/(VLOOKUP(INT($C$5)+1,Tablas!$G$9:$O$1240,9,0)*($C$5-INT($C$5))+VLOOKUP(INT($C$5),Tablas!$G$9:$O$124,9,0)*(INT($C$5)+1-$C$5)))</f>
      </c>
      <c r="G244" s="791">
        <f>IF($C$4="Hombre",(+VLOOKUP(INT(D244)+1,Tablas!$G$9:$K$1240,5,0)*(D244-INT(D244))+VLOOKUP(INT(D244),Tablas!$G$9:$K$1240,5,0)*(INT(D244)+1-D244)),+VLOOKUP(INT(D244)+1,Tablas!$G$9:$O$1240,9,0)*(D244-INT(D244))+VLOOKUP(INT(D244),Tablas!$G$9:$O$1240,9,0)*(INT(D244)+1-D244))</f>
      </c>
      <c r="H244" s="801">
        <f>+IF(MONTH(B244)=1,H243*(1+$C$9),H243)</f>
      </c>
      <c r="I244" s="791">
        <f>IF(B244&lt;$C$10,0,IF(B244&lt;$C$11,$C$8/12*E244*F244*H244,0))</f>
      </c>
      <c r="J244" s="791">
        <f>I244*12/14+IF(OR(MONTH(C244)=6,MONTH(C244)=12),I244*12/14,0)</f>
      </c>
      <c r="K244" s="801">
        <f>G244/$G$15</f>
      </c>
      <c r="L244" s="760"/>
      <c r="M244" s="767"/>
      <c r="N244" s="168"/>
      <c r="O244" s="768"/>
      <c r="P244" s="170"/>
      <c r="Q244" s="7"/>
      <c r="R244" s="766"/>
      <c r="S244" s="170"/>
      <c r="T244" s="168"/>
      <c r="U244" s="170"/>
    </row>
    <row x14ac:dyDescent="0.25" r="245" customHeight="1" ht="18.75">
      <c r="A245" s="1"/>
      <c r="B245" s="799">
        <f>+DATE(YEAR(B244),MONTH(B244)+1,DAY(B244))</f>
        <v>25569.041666666668</v>
      </c>
      <c r="C245" s="799">
        <f>+B246-1</f>
        <v>25569.041666666668</v>
      </c>
      <c r="D245" s="791">
        <f>-_xlfn.DAYS($C$3,C245)/365.25</f>
      </c>
      <c r="E245" s="800">
        <f>IF($D$17+40&lt;=D245,(1+$D$7)^-(D245-$C$5),(1+$C$7)^-(D245-$C$5))</f>
      </c>
      <c r="F245" s="801">
        <f>IF($C$4="Hombre",(+VLOOKUP(INT(D245)+1,Tablas!$G$9:$K$1240,5,0)*(D245-INT(D245))+VLOOKUP(INT(D245),Tablas!$G$9:$K$1240,5,0)*(INT(D245)+1-D245))/(VLOOKUP(INT($C$5)+1,Tablas!$G$9:$K$1240,5,0)*($C$5-INT($C$5))+VLOOKUP(INT($C$5),Tablas!$G$9:$K$124,5,0)*(INT($C$5)+1-$C$5)),(+VLOOKUP(INT(D245)+1,Tablas!$G$9:$O$1240,9,0)*(D245-INT(D245))+VLOOKUP(INT(D245),Tablas!$G$9:$O$1240,9,0)*(INT(D245)+1-D245))/(VLOOKUP(INT($C$5)+1,Tablas!$G$9:$O$1240,9,0)*($C$5-INT($C$5))+VLOOKUP(INT($C$5),Tablas!$G$9:$O$124,9,0)*(INT($C$5)+1-$C$5)))</f>
      </c>
      <c r="G245" s="791">
        <f>IF($C$4="Hombre",(+VLOOKUP(INT(D245)+1,Tablas!$G$9:$K$1240,5,0)*(D245-INT(D245))+VLOOKUP(INT(D245),Tablas!$G$9:$K$1240,5,0)*(INT(D245)+1-D245)),+VLOOKUP(INT(D245)+1,Tablas!$G$9:$O$1240,9,0)*(D245-INT(D245))+VLOOKUP(INT(D245),Tablas!$G$9:$O$1240,9,0)*(INT(D245)+1-D245))</f>
      </c>
      <c r="H245" s="801">
        <f>+IF(MONTH(B245)=1,H244*(1+$C$9),H244)</f>
      </c>
      <c r="I245" s="791">
        <f>IF(B245&lt;$C$10,0,IF(B245&lt;$C$11,$C$8/12*E245*F245*H245,0))</f>
      </c>
      <c r="J245" s="791">
        <f>I245*12/14+IF(OR(MONTH(C245)=6,MONTH(C245)=12),I245*12/14,0)</f>
      </c>
      <c r="K245" s="801">
        <f>G245/$G$15</f>
      </c>
      <c r="L245" s="760"/>
      <c r="M245" s="767"/>
      <c r="N245" s="168"/>
      <c r="O245" s="768"/>
      <c r="P245" s="170"/>
      <c r="Q245" s="7"/>
      <c r="R245" s="766"/>
      <c r="S245" s="170"/>
      <c r="T245" s="168"/>
      <c r="U245" s="170"/>
    </row>
    <row x14ac:dyDescent="0.25" r="246" customHeight="1" ht="18.75">
      <c r="A246" s="1"/>
      <c r="B246" s="799">
        <f>+DATE(YEAR(B245),MONTH(B245)+1,DAY(B245))</f>
        <v>25569.041666666668</v>
      </c>
      <c r="C246" s="799">
        <f>+B247-1</f>
        <v>25569.041666666668</v>
      </c>
      <c r="D246" s="791">
        <f>-_xlfn.DAYS($C$3,C246)/365.25</f>
      </c>
      <c r="E246" s="800">
        <f>IF($D$17+40&lt;=D246,(1+$D$7)^-(D246-$C$5),(1+$C$7)^-(D246-$C$5))</f>
      </c>
      <c r="F246" s="801">
        <f>IF($C$4="Hombre",(+VLOOKUP(INT(D246)+1,Tablas!$G$9:$K$1240,5,0)*(D246-INT(D246))+VLOOKUP(INT(D246),Tablas!$G$9:$K$1240,5,0)*(INT(D246)+1-D246))/(VLOOKUP(INT($C$5)+1,Tablas!$G$9:$K$1240,5,0)*($C$5-INT($C$5))+VLOOKUP(INT($C$5),Tablas!$G$9:$K$124,5,0)*(INT($C$5)+1-$C$5)),(+VLOOKUP(INT(D246)+1,Tablas!$G$9:$O$1240,9,0)*(D246-INT(D246))+VLOOKUP(INT(D246),Tablas!$G$9:$O$1240,9,0)*(INT(D246)+1-D246))/(VLOOKUP(INT($C$5)+1,Tablas!$G$9:$O$1240,9,0)*($C$5-INT($C$5))+VLOOKUP(INT($C$5),Tablas!$G$9:$O$124,9,0)*(INT($C$5)+1-$C$5)))</f>
      </c>
      <c r="G246" s="791">
        <f>IF($C$4="Hombre",(+VLOOKUP(INT(D246)+1,Tablas!$G$9:$K$1240,5,0)*(D246-INT(D246))+VLOOKUP(INT(D246),Tablas!$G$9:$K$1240,5,0)*(INT(D246)+1-D246)),+VLOOKUP(INT(D246)+1,Tablas!$G$9:$O$1240,9,0)*(D246-INT(D246))+VLOOKUP(INT(D246),Tablas!$G$9:$O$1240,9,0)*(INT(D246)+1-D246))</f>
      </c>
      <c r="H246" s="801">
        <f>+IF(MONTH(B246)=1,H245*(1+$C$9),H245)</f>
      </c>
      <c r="I246" s="791">
        <f>IF(B246&lt;$C$10,0,IF(B246&lt;$C$11,$C$8/12*E246*F246*H246,0))</f>
      </c>
      <c r="J246" s="791">
        <f>I246*12/14+IF(OR(MONTH(C246)=6,MONTH(C246)=12),I246*12/14,0)</f>
      </c>
      <c r="K246" s="801">
        <f>G246/$G$15</f>
      </c>
      <c r="L246" s="760"/>
      <c r="M246" s="767"/>
      <c r="N246" s="168"/>
      <c r="O246" s="768"/>
      <c r="P246" s="170"/>
      <c r="Q246" s="7"/>
      <c r="R246" s="766"/>
      <c r="S246" s="170"/>
      <c r="T246" s="168"/>
      <c r="U246" s="170"/>
    </row>
    <row x14ac:dyDescent="0.25" r="247" customHeight="1" ht="18.75">
      <c r="A247" s="1"/>
      <c r="B247" s="799">
        <f>+DATE(YEAR(B246),MONTH(B246)+1,DAY(B246))</f>
        <v>25569.041666666668</v>
      </c>
      <c r="C247" s="799">
        <f>+B248-1</f>
        <v>25569.041666666668</v>
      </c>
      <c r="D247" s="791">
        <f>-_xlfn.DAYS($C$3,C247)/365.25</f>
      </c>
      <c r="E247" s="800">
        <f>IF($D$17+40&lt;=D247,(1+$D$7)^-(D247-$C$5),(1+$C$7)^-(D247-$C$5))</f>
      </c>
      <c r="F247" s="801">
        <f>IF($C$4="Hombre",(+VLOOKUP(INT(D247)+1,Tablas!$G$9:$K$1240,5,0)*(D247-INT(D247))+VLOOKUP(INT(D247),Tablas!$G$9:$K$1240,5,0)*(INT(D247)+1-D247))/(VLOOKUP(INT($C$5)+1,Tablas!$G$9:$K$1240,5,0)*($C$5-INT($C$5))+VLOOKUP(INT($C$5),Tablas!$G$9:$K$124,5,0)*(INT($C$5)+1-$C$5)),(+VLOOKUP(INT(D247)+1,Tablas!$G$9:$O$1240,9,0)*(D247-INT(D247))+VLOOKUP(INT(D247),Tablas!$G$9:$O$1240,9,0)*(INT(D247)+1-D247))/(VLOOKUP(INT($C$5)+1,Tablas!$G$9:$O$1240,9,0)*($C$5-INT($C$5))+VLOOKUP(INT($C$5),Tablas!$G$9:$O$124,9,0)*(INT($C$5)+1-$C$5)))</f>
      </c>
      <c r="G247" s="791">
        <f>IF($C$4="Hombre",(+VLOOKUP(INT(D247)+1,Tablas!$G$9:$K$1240,5,0)*(D247-INT(D247))+VLOOKUP(INT(D247),Tablas!$G$9:$K$1240,5,0)*(INT(D247)+1-D247)),+VLOOKUP(INT(D247)+1,Tablas!$G$9:$O$1240,9,0)*(D247-INT(D247))+VLOOKUP(INT(D247),Tablas!$G$9:$O$1240,9,0)*(INT(D247)+1-D247))</f>
      </c>
      <c r="H247" s="801">
        <f>+IF(MONTH(B247)=1,H246*(1+$C$9),H246)</f>
      </c>
      <c r="I247" s="791">
        <f>IF(B247&lt;$C$10,0,IF(B247&lt;$C$11,$C$8/12*E247*F247*H247,0))</f>
      </c>
      <c r="J247" s="791">
        <f>I247*12/14+IF(OR(MONTH(C247)=6,MONTH(C247)=12),I247*12/14,0)</f>
      </c>
      <c r="K247" s="801">
        <f>G247/$G$15</f>
      </c>
      <c r="L247" s="760"/>
      <c r="M247" s="767"/>
      <c r="N247" s="168"/>
      <c r="O247" s="768"/>
      <c r="P247" s="170"/>
      <c r="Q247" s="7"/>
      <c r="R247" s="766"/>
      <c r="S247" s="170"/>
      <c r="T247" s="168"/>
      <c r="U247" s="170"/>
    </row>
    <row x14ac:dyDescent="0.25" r="248" customHeight="1" ht="18.75">
      <c r="A248" s="1"/>
      <c r="B248" s="799">
        <f>+DATE(YEAR(B247),MONTH(B247)+1,DAY(B247))</f>
        <v>25569.041666666668</v>
      </c>
      <c r="C248" s="799">
        <f>+B249-1</f>
        <v>25569.041666666668</v>
      </c>
      <c r="D248" s="791">
        <f>-_xlfn.DAYS($C$3,C248)/365.25</f>
      </c>
      <c r="E248" s="800">
        <f>IF($D$17+40&lt;=D248,(1+$D$7)^-(D248-$C$5),(1+$C$7)^-(D248-$C$5))</f>
      </c>
      <c r="F248" s="801">
        <f>IF($C$4="Hombre",(+VLOOKUP(INT(D248)+1,Tablas!$G$9:$K$1240,5,0)*(D248-INT(D248))+VLOOKUP(INT(D248),Tablas!$G$9:$K$1240,5,0)*(INT(D248)+1-D248))/(VLOOKUP(INT($C$5)+1,Tablas!$G$9:$K$1240,5,0)*($C$5-INT($C$5))+VLOOKUP(INT($C$5),Tablas!$G$9:$K$124,5,0)*(INT($C$5)+1-$C$5)),(+VLOOKUP(INT(D248)+1,Tablas!$G$9:$O$1240,9,0)*(D248-INT(D248))+VLOOKUP(INT(D248),Tablas!$G$9:$O$1240,9,0)*(INT(D248)+1-D248))/(VLOOKUP(INT($C$5)+1,Tablas!$G$9:$O$1240,9,0)*($C$5-INT($C$5))+VLOOKUP(INT($C$5),Tablas!$G$9:$O$124,9,0)*(INT($C$5)+1-$C$5)))</f>
      </c>
      <c r="G248" s="791">
        <f>IF($C$4="Hombre",(+VLOOKUP(INT(D248)+1,Tablas!$G$9:$K$1240,5,0)*(D248-INT(D248))+VLOOKUP(INT(D248),Tablas!$G$9:$K$1240,5,0)*(INT(D248)+1-D248)),+VLOOKUP(INT(D248)+1,Tablas!$G$9:$O$1240,9,0)*(D248-INT(D248))+VLOOKUP(INT(D248),Tablas!$G$9:$O$1240,9,0)*(INT(D248)+1-D248))</f>
      </c>
      <c r="H248" s="801">
        <f>+IF(MONTH(B248)=1,H247*(1+$C$9),H247)</f>
      </c>
      <c r="I248" s="791">
        <f>IF(B248&lt;$C$10,0,IF(B248&lt;$C$11,$C$8/12*E248*F248*H248,0))</f>
      </c>
      <c r="J248" s="791">
        <f>I248*12/14+IF(OR(MONTH(C248)=6,MONTH(C248)=12),I248*12/14,0)</f>
      </c>
      <c r="K248" s="801">
        <f>G248/$G$15</f>
      </c>
      <c r="L248" s="760"/>
      <c r="M248" s="767"/>
      <c r="N248" s="168"/>
      <c r="O248" s="768"/>
      <c r="P248" s="170"/>
      <c r="Q248" s="7"/>
      <c r="R248" s="766"/>
      <c r="S248" s="170"/>
      <c r="T248" s="168"/>
      <c r="U248" s="170"/>
    </row>
    <row x14ac:dyDescent="0.25" r="249" customHeight="1" ht="18.75">
      <c r="A249" s="1"/>
      <c r="B249" s="799">
        <f>+DATE(YEAR(B248),MONTH(B248)+1,DAY(B248))</f>
        <v>25569.041666666668</v>
      </c>
      <c r="C249" s="799">
        <f>+B250-1</f>
        <v>25569.041666666668</v>
      </c>
      <c r="D249" s="791">
        <f>-_xlfn.DAYS($C$3,C249)/365.25</f>
      </c>
      <c r="E249" s="800">
        <f>IF($D$17+40&lt;=D249,(1+$D$7)^-(D249-$C$5),(1+$C$7)^-(D249-$C$5))</f>
      </c>
      <c r="F249" s="801">
        <f>IF($C$4="Hombre",(+VLOOKUP(INT(D249)+1,Tablas!$G$9:$K$1240,5,0)*(D249-INT(D249))+VLOOKUP(INT(D249),Tablas!$G$9:$K$1240,5,0)*(INT(D249)+1-D249))/(VLOOKUP(INT($C$5)+1,Tablas!$G$9:$K$1240,5,0)*($C$5-INT($C$5))+VLOOKUP(INT($C$5),Tablas!$G$9:$K$124,5,0)*(INT($C$5)+1-$C$5)),(+VLOOKUP(INT(D249)+1,Tablas!$G$9:$O$1240,9,0)*(D249-INT(D249))+VLOOKUP(INT(D249),Tablas!$G$9:$O$1240,9,0)*(INT(D249)+1-D249))/(VLOOKUP(INT($C$5)+1,Tablas!$G$9:$O$1240,9,0)*($C$5-INT($C$5))+VLOOKUP(INT($C$5),Tablas!$G$9:$O$124,9,0)*(INT($C$5)+1-$C$5)))</f>
      </c>
      <c r="G249" s="791">
        <f>IF($C$4="Hombre",(+VLOOKUP(INT(D249)+1,Tablas!$G$9:$K$1240,5,0)*(D249-INT(D249))+VLOOKUP(INT(D249),Tablas!$G$9:$K$1240,5,0)*(INT(D249)+1-D249)),+VLOOKUP(INT(D249)+1,Tablas!$G$9:$O$1240,9,0)*(D249-INT(D249))+VLOOKUP(INT(D249),Tablas!$G$9:$O$1240,9,0)*(INT(D249)+1-D249))</f>
      </c>
      <c r="H249" s="801">
        <f>+IF(MONTH(B249)=1,H248*(1+$C$9),H248)</f>
      </c>
      <c r="I249" s="791">
        <f>IF(B249&lt;$C$10,0,IF(B249&lt;$C$11,$C$8/12*E249*F249*H249,0))</f>
      </c>
      <c r="J249" s="791">
        <f>I249*12/14+IF(OR(MONTH(C249)=6,MONTH(C249)=12),I249*12/14,0)</f>
      </c>
      <c r="K249" s="801">
        <f>G249/$G$15</f>
      </c>
      <c r="L249" s="760"/>
      <c r="M249" s="767"/>
      <c r="N249" s="168"/>
      <c r="O249" s="768"/>
      <c r="P249" s="170"/>
      <c r="Q249" s="7"/>
      <c r="R249" s="766"/>
      <c r="S249" s="170"/>
      <c r="T249" s="168"/>
      <c r="U249" s="170"/>
    </row>
    <row x14ac:dyDescent="0.25" r="250" customHeight="1" ht="18.75">
      <c r="A250" s="1"/>
      <c r="B250" s="799">
        <f>+DATE(YEAR(B249),MONTH(B249)+1,DAY(B249))</f>
        <v>25569.041666666668</v>
      </c>
      <c r="C250" s="799">
        <f>+B251-1</f>
        <v>25569.041666666668</v>
      </c>
      <c r="D250" s="791">
        <f>-_xlfn.DAYS($C$3,C250)/365.25</f>
      </c>
      <c r="E250" s="800">
        <f>IF($D$17+40&lt;=D250,(1+$D$7)^-(D250-$C$5),(1+$C$7)^-(D250-$C$5))</f>
      </c>
      <c r="F250" s="801">
        <f>IF($C$4="Hombre",(+VLOOKUP(INT(D250)+1,Tablas!$G$9:$K$1240,5,0)*(D250-INT(D250))+VLOOKUP(INT(D250),Tablas!$G$9:$K$1240,5,0)*(INT(D250)+1-D250))/(VLOOKUP(INT($C$5)+1,Tablas!$G$9:$K$1240,5,0)*($C$5-INT($C$5))+VLOOKUP(INT($C$5),Tablas!$G$9:$K$124,5,0)*(INT($C$5)+1-$C$5)),(+VLOOKUP(INT(D250)+1,Tablas!$G$9:$O$1240,9,0)*(D250-INT(D250))+VLOOKUP(INT(D250),Tablas!$G$9:$O$1240,9,0)*(INT(D250)+1-D250))/(VLOOKUP(INT($C$5)+1,Tablas!$G$9:$O$1240,9,0)*($C$5-INT($C$5))+VLOOKUP(INT($C$5),Tablas!$G$9:$O$124,9,0)*(INT($C$5)+1-$C$5)))</f>
      </c>
      <c r="G250" s="791">
        <f>IF($C$4="Hombre",(+VLOOKUP(INT(D250)+1,Tablas!$G$9:$K$1240,5,0)*(D250-INT(D250))+VLOOKUP(INT(D250),Tablas!$G$9:$K$1240,5,0)*(INT(D250)+1-D250)),+VLOOKUP(INT(D250)+1,Tablas!$G$9:$O$1240,9,0)*(D250-INT(D250))+VLOOKUP(INT(D250),Tablas!$G$9:$O$1240,9,0)*(INT(D250)+1-D250))</f>
      </c>
      <c r="H250" s="801">
        <f>+IF(MONTH(B250)=1,H249*(1+$C$9),H249)</f>
      </c>
      <c r="I250" s="791">
        <f>IF(B250&lt;$C$10,0,IF(B250&lt;$C$11,$C$8/12*E250*F250*H250,0))</f>
      </c>
      <c r="J250" s="791">
        <f>I250*12/14+IF(OR(MONTH(C250)=6,MONTH(C250)=12),I250*12/14,0)</f>
      </c>
      <c r="K250" s="801">
        <f>G250/$G$15</f>
      </c>
      <c r="L250" s="760"/>
      <c r="M250" s="767"/>
      <c r="N250" s="168"/>
      <c r="O250" s="768"/>
      <c r="P250" s="170"/>
      <c r="Q250" s="7"/>
      <c r="R250" s="766"/>
      <c r="S250" s="170"/>
      <c r="T250" s="168"/>
      <c r="U250" s="170"/>
    </row>
    <row x14ac:dyDescent="0.25" r="251" customHeight="1" ht="18.75">
      <c r="A251" s="1"/>
      <c r="B251" s="799">
        <f>+DATE(YEAR(B250),MONTH(B250)+1,DAY(B250))</f>
        <v>25569.041666666668</v>
      </c>
      <c r="C251" s="799">
        <f>+B252-1</f>
        <v>25569.041666666668</v>
      </c>
      <c r="D251" s="791">
        <f>-_xlfn.DAYS($C$3,C251)/365.25</f>
      </c>
      <c r="E251" s="800">
        <f>IF($D$17+40&lt;=D251,(1+$D$7)^-(D251-$C$5),(1+$C$7)^-(D251-$C$5))</f>
      </c>
      <c r="F251" s="801">
        <f>IF($C$4="Hombre",(+VLOOKUP(INT(D251)+1,Tablas!$G$9:$K$1240,5,0)*(D251-INT(D251))+VLOOKUP(INT(D251),Tablas!$G$9:$K$1240,5,0)*(INT(D251)+1-D251))/(VLOOKUP(INT($C$5)+1,Tablas!$G$9:$K$1240,5,0)*($C$5-INT($C$5))+VLOOKUP(INT($C$5),Tablas!$G$9:$K$124,5,0)*(INT($C$5)+1-$C$5)),(+VLOOKUP(INT(D251)+1,Tablas!$G$9:$O$1240,9,0)*(D251-INT(D251))+VLOOKUP(INT(D251),Tablas!$G$9:$O$1240,9,0)*(INT(D251)+1-D251))/(VLOOKUP(INT($C$5)+1,Tablas!$G$9:$O$1240,9,0)*($C$5-INT($C$5))+VLOOKUP(INT($C$5),Tablas!$G$9:$O$124,9,0)*(INT($C$5)+1-$C$5)))</f>
      </c>
      <c r="G251" s="791">
        <f>IF($C$4="Hombre",(+VLOOKUP(INT(D251)+1,Tablas!$G$9:$K$1240,5,0)*(D251-INT(D251))+VLOOKUP(INT(D251),Tablas!$G$9:$K$1240,5,0)*(INT(D251)+1-D251)),+VLOOKUP(INT(D251)+1,Tablas!$G$9:$O$1240,9,0)*(D251-INT(D251))+VLOOKUP(INT(D251),Tablas!$G$9:$O$1240,9,0)*(INT(D251)+1-D251))</f>
      </c>
      <c r="H251" s="801">
        <f>+IF(MONTH(B251)=1,H250*(1+$C$9),H250)</f>
      </c>
      <c r="I251" s="791">
        <f>IF(B251&lt;$C$10,0,IF(B251&lt;$C$11,$C$8/12*E251*F251*H251,0))</f>
      </c>
      <c r="J251" s="791">
        <f>I251*12/14+IF(OR(MONTH(C251)=6,MONTH(C251)=12),I251*12/14,0)</f>
      </c>
      <c r="K251" s="801">
        <f>G251/$G$15</f>
      </c>
      <c r="L251" s="760"/>
      <c r="M251" s="767"/>
      <c r="N251" s="168"/>
      <c r="O251" s="768"/>
      <c r="P251" s="170"/>
      <c r="Q251" s="7"/>
      <c r="R251" s="766"/>
      <c r="S251" s="170"/>
      <c r="T251" s="168"/>
      <c r="U251" s="170"/>
    </row>
    <row x14ac:dyDescent="0.25" r="252" customHeight="1" ht="18.75">
      <c r="A252" s="1"/>
      <c r="B252" s="799">
        <f>+DATE(YEAR(B251),MONTH(B251)+1,DAY(B251))</f>
        <v>25569.041666666668</v>
      </c>
      <c r="C252" s="799">
        <f>+B253-1</f>
        <v>25569.041666666668</v>
      </c>
      <c r="D252" s="791">
        <f>-_xlfn.DAYS($C$3,C252)/365.25</f>
      </c>
      <c r="E252" s="800">
        <f>IF($D$17+40&lt;=D252,(1+$D$7)^-(D252-$C$5),(1+$C$7)^-(D252-$C$5))</f>
      </c>
      <c r="F252" s="801">
        <f>IF($C$4="Hombre",(+VLOOKUP(INT(D252)+1,Tablas!$G$9:$K$1240,5,0)*(D252-INT(D252))+VLOOKUP(INT(D252),Tablas!$G$9:$K$1240,5,0)*(INT(D252)+1-D252))/(VLOOKUP(INT($C$5)+1,Tablas!$G$9:$K$1240,5,0)*($C$5-INT($C$5))+VLOOKUP(INT($C$5),Tablas!$G$9:$K$124,5,0)*(INT($C$5)+1-$C$5)),(+VLOOKUP(INT(D252)+1,Tablas!$G$9:$O$1240,9,0)*(D252-INT(D252))+VLOOKUP(INT(D252),Tablas!$G$9:$O$1240,9,0)*(INT(D252)+1-D252))/(VLOOKUP(INT($C$5)+1,Tablas!$G$9:$O$1240,9,0)*($C$5-INT($C$5))+VLOOKUP(INT($C$5),Tablas!$G$9:$O$124,9,0)*(INT($C$5)+1-$C$5)))</f>
      </c>
      <c r="G252" s="791">
        <f>IF($C$4="Hombre",(+VLOOKUP(INT(D252)+1,Tablas!$G$9:$K$1240,5,0)*(D252-INT(D252))+VLOOKUP(INT(D252),Tablas!$G$9:$K$1240,5,0)*(INT(D252)+1-D252)),+VLOOKUP(INT(D252)+1,Tablas!$G$9:$O$1240,9,0)*(D252-INT(D252))+VLOOKUP(INT(D252),Tablas!$G$9:$O$1240,9,0)*(INT(D252)+1-D252))</f>
      </c>
      <c r="H252" s="801">
        <f>+IF(MONTH(B252)=1,H251*(1+$C$9),H251)</f>
      </c>
      <c r="I252" s="791">
        <f>IF(B252&lt;$C$10,0,IF(B252&lt;$C$11,$C$8/12*E252*F252*H252,0))</f>
      </c>
      <c r="J252" s="791">
        <f>I252*12/14+IF(OR(MONTH(C252)=6,MONTH(C252)=12),I252*12/14,0)</f>
      </c>
      <c r="K252" s="801">
        <f>G252/$G$15</f>
      </c>
      <c r="L252" s="760"/>
      <c r="M252" s="767"/>
      <c r="N252" s="168"/>
      <c r="O252" s="768"/>
      <c r="P252" s="170"/>
      <c r="Q252" s="7"/>
      <c r="R252" s="766"/>
      <c r="S252" s="170"/>
      <c r="T252" s="168"/>
      <c r="U252" s="170"/>
    </row>
    <row x14ac:dyDescent="0.25" r="253" customHeight="1" ht="18.75">
      <c r="A253" s="1"/>
      <c r="B253" s="799">
        <f>+DATE(YEAR(B252),MONTH(B252)+1,DAY(B252))</f>
        <v>25569.041666666668</v>
      </c>
      <c r="C253" s="799">
        <f>+B254-1</f>
        <v>25569.041666666668</v>
      </c>
      <c r="D253" s="791">
        <f>-_xlfn.DAYS($C$3,C253)/365.25</f>
      </c>
      <c r="E253" s="800">
        <f>IF($D$17+40&lt;=D253,(1+$D$7)^-(D253-$C$5),(1+$C$7)^-(D253-$C$5))</f>
      </c>
      <c r="F253" s="801">
        <f>IF($C$4="Hombre",(+VLOOKUP(INT(D253)+1,Tablas!$G$9:$K$1240,5,0)*(D253-INT(D253))+VLOOKUP(INT(D253),Tablas!$G$9:$K$1240,5,0)*(INT(D253)+1-D253))/(VLOOKUP(INT($C$5)+1,Tablas!$G$9:$K$1240,5,0)*($C$5-INT($C$5))+VLOOKUP(INT($C$5),Tablas!$G$9:$K$124,5,0)*(INT($C$5)+1-$C$5)),(+VLOOKUP(INT(D253)+1,Tablas!$G$9:$O$1240,9,0)*(D253-INT(D253))+VLOOKUP(INT(D253),Tablas!$G$9:$O$1240,9,0)*(INT(D253)+1-D253))/(VLOOKUP(INT($C$5)+1,Tablas!$G$9:$O$1240,9,0)*($C$5-INT($C$5))+VLOOKUP(INT($C$5),Tablas!$G$9:$O$124,9,0)*(INT($C$5)+1-$C$5)))</f>
      </c>
      <c r="G253" s="791">
        <f>IF($C$4="Hombre",(+VLOOKUP(INT(D253)+1,Tablas!$G$9:$K$1240,5,0)*(D253-INT(D253))+VLOOKUP(INT(D253),Tablas!$G$9:$K$1240,5,0)*(INT(D253)+1-D253)),+VLOOKUP(INT(D253)+1,Tablas!$G$9:$O$1240,9,0)*(D253-INT(D253))+VLOOKUP(INT(D253),Tablas!$G$9:$O$1240,9,0)*(INT(D253)+1-D253))</f>
      </c>
      <c r="H253" s="801">
        <f>+IF(MONTH(B253)=1,H252*(1+$C$9),H252)</f>
      </c>
      <c r="I253" s="791">
        <f>IF(B253&lt;$C$10,0,IF(B253&lt;$C$11,$C$8/12*E253*F253*H253,0))</f>
      </c>
      <c r="J253" s="791">
        <f>I253*12/14+IF(OR(MONTH(C253)=6,MONTH(C253)=12),I253*12/14,0)</f>
      </c>
      <c r="K253" s="801">
        <f>G253/$G$15</f>
      </c>
      <c r="L253" s="760"/>
      <c r="M253" s="767"/>
      <c r="N253" s="168"/>
      <c r="O253" s="768"/>
      <c r="P253" s="170"/>
      <c r="Q253" s="7"/>
      <c r="R253" s="766"/>
      <c r="S253" s="170"/>
      <c r="T253" s="168"/>
      <c r="U253" s="170"/>
    </row>
    <row x14ac:dyDescent="0.25" r="254" customHeight="1" ht="18.75">
      <c r="A254" s="1"/>
      <c r="B254" s="799">
        <f>+DATE(YEAR(B253),MONTH(B253)+1,DAY(B253))</f>
        <v>25569.041666666668</v>
      </c>
      <c r="C254" s="799">
        <f>+B255-1</f>
        <v>25569.041666666668</v>
      </c>
      <c r="D254" s="791">
        <f>-_xlfn.DAYS($C$3,C254)/365.25</f>
      </c>
      <c r="E254" s="800">
        <f>IF($D$17+40&lt;=D254,(1+$D$7)^-(D254-$C$5),(1+$C$7)^-(D254-$C$5))</f>
      </c>
      <c r="F254" s="801">
        <f>IF($C$4="Hombre",(+VLOOKUP(INT(D254)+1,Tablas!$G$9:$K$1240,5,0)*(D254-INT(D254))+VLOOKUP(INT(D254),Tablas!$G$9:$K$1240,5,0)*(INT(D254)+1-D254))/(VLOOKUP(INT($C$5)+1,Tablas!$G$9:$K$1240,5,0)*($C$5-INT($C$5))+VLOOKUP(INT($C$5),Tablas!$G$9:$K$124,5,0)*(INT($C$5)+1-$C$5)),(+VLOOKUP(INT(D254)+1,Tablas!$G$9:$O$1240,9,0)*(D254-INT(D254))+VLOOKUP(INT(D254),Tablas!$G$9:$O$1240,9,0)*(INT(D254)+1-D254))/(VLOOKUP(INT($C$5)+1,Tablas!$G$9:$O$1240,9,0)*($C$5-INT($C$5))+VLOOKUP(INT($C$5),Tablas!$G$9:$O$124,9,0)*(INT($C$5)+1-$C$5)))</f>
      </c>
      <c r="G254" s="791">
        <f>IF($C$4="Hombre",(+VLOOKUP(INT(D254)+1,Tablas!$G$9:$K$1240,5,0)*(D254-INT(D254))+VLOOKUP(INT(D254),Tablas!$G$9:$K$1240,5,0)*(INT(D254)+1-D254)),+VLOOKUP(INT(D254)+1,Tablas!$G$9:$O$1240,9,0)*(D254-INT(D254))+VLOOKUP(INT(D254),Tablas!$G$9:$O$1240,9,0)*(INT(D254)+1-D254))</f>
      </c>
      <c r="H254" s="801">
        <f>+IF(MONTH(B254)=1,H253*(1+$C$9),H253)</f>
      </c>
      <c r="I254" s="791">
        <f>IF(B254&lt;$C$10,0,IF(B254&lt;$C$11,$C$8/12*E254*F254*H254,0))</f>
      </c>
      <c r="J254" s="791">
        <f>I254*12/14+IF(OR(MONTH(C254)=6,MONTH(C254)=12),I254*12/14,0)</f>
      </c>
      <c r="K254" s="801">
        <f>G254/$G$15</f>
      </c>
      <c r="L254" s="760"/>
      <c r="M254" s="767"/>
      <c r="N254" s="168"/>
      <c r="O254" s="768"/>
      <c r="P254" s="170"/>
      <c r="Q254" s="7"/>
      <c r="R254" s="766"/>
      <c r="S254" s="170"/>
      <c r="T254" s="168"/>
      <c r="U254" s="170"/>
    </row>
    <row x14ac:dyDescent="0.25" r="255" customHeight="1" ht="18.75">
      <c r="A255" s="1"/>
      <c r="B255" s="799">
        <f>+DATE(YEAR(B254),MONTH(B254)+1,DAY(B254))</f>
        <v>25569.041666666668</v>
      </c>
      <c r="C255" s="799">
        <f>+B256-1</f>
        <v>25569.041666666668</v>
      </c>
      <c r="D255" s="791">
        <f>-_xlfn.DAYS($C$3,C255)/365.25</f>
      </c>
      <c r="E255" s="800">
        <f>IF($D$17+40&lt;=D255,(1+$D$7)^-(D255-$C$5),(1+$C$7)^-(D255-$C$5))</f>
      </c>
      <c r="F255" s="801">
        <f>IF($C$4="Hombre",(+VLOOKUP(INT(D255)+1,Tablas!$G$9:$K$1240,5,0)*(D255-INT(D255))+VLOOKUP(INT(D255),Tablas!$G$9:$K$1240,5,0)*(INT(D255)+1-D255))/(VLOOKUP(INT($C$5)+1,Tablas!$G$9:$K$1240,5,0)*($C$5-INT($C$5))+VLOOKUP(INT($C$5),Tablas!$G$9:$K$124,5,0)*(INT($C$5)+1-$C$5)),(+VLOOKUP(INT(D255)+1,Tablas!$G$9:$O$1240,9,0)*(D255-INT(D255))+VLOOKUP(INT(D255),Tablas!$G$9:$O$1240,9,0)*(INT(D255)+1-D255))/(VLOOKUP(INT($C$5)+1,Tablas!$G$9:$O$1240,9,0)*($C$5-INT($C$5))+VLOOKUP(INT($C$5),Tablas!$G$9:$O$124,9,0)*(INT($C$5)+1-$C$5)))</f>
      </c>
      <c r="G255" s="791">
        <f>IF($C$4="Hombre",(+VLOOKUP(INT(D255)+1,Tablas!$G$9:$K$1240,5,0)*(D255-INT(D255))+VLOOKUP(INT(D255),Tablas!$G$9:$K$1240,5,0)*(INT(D255)+1-D255)),+VLOOKUP(INT(D255)+1,Tablas!$G$9:$O$1240,9,0)*(D255-INT(D255))+VLOOKUP(INT(D255),Tablas!$G$9:$O$1240,9,0)*(INT(D255)+1-D255))</f>
      </c>
      <c r="H255" s="801">
        <f>+IF(MONTH(B255)=1,H254*(1+$C$9),H254)</f>
      </c>
      <c r="I255" s="791">
        <f>IF(B255&lt;$C$10,0,IF(B255&lt;$C$11,$C$8/12*E255*F255*H255,0))</f>
      </c>
      <c r="J255" s="791">
        <f>I255*12/14+IF(OR(MONTH(C255)=6,MONTH(C255)=12),I255*12/14,0)</f>
      </c>
      <c r="K255" s="801">
        <f>G255/$G$15</f>
      </c>
      <c r="L255" s="760"/>
      <c r="M255" s="767"/>
      <c r="N255" s="168"/>
      <c r="O255" s="768"/>
      <c r="P255" s="170"/>
      <c r="Q255" s="7"/>
      <c r="R255" s="766"/>
      <c r="S255" s="170"/>
      <c r="T255" s="168"/>
      <c r="U255" s="170"/>
    </row>
    <row x14ac:dyDescent="0.25" r="256" customHeight="1" ht="18.75">
      <c r="A256" s="1"/>
      <c r="B256" s="799">
        <f>+DATE(YEAR(B255),MONTH(B255)+1,DAY(B255))</f>
        <v>25569.041666666668</v>
      </c>
      <c r="C256" s="799">
        <f>+B257-1</f>
        <v>25569.041666666668</v>
      </c>
      <c r="D256" s="791">
        <f>-_xlfn.DAYS($C$3,C256)/365.25</f>
      </c>
      <c r="E256" s="800">
        <f>IF($D$17+40&lt;=D256,(1+$D$7)^-(D256-$C$5),(1+$C$7)^-(D256-$C$5))</f>
      </c>
      <c r="F256" s="801">
        <f>IF($C$4="Hombre",(+VLOOKUP(INT(D256)+1,Tablas!$G$9:$K$1240,5,0)*(D256-INT(D256))+VLOOKUP(INT(D256),Tablas!$G$9:$K$1240,5,0)*(INT(D256)+1-D256))/(VLOOKUP(INT($C$5)+1,Tablas!$G$9:$K$1240,5,0)*($C$5-INT($C$5))+VLOOKUP(INT($C$5),Tablas!$G$9:$K$124,5,0)*(INT($C$5)+1-$C$5)),(+VLOOKUP(INT(D256)+1,Tablas!$G$9:$O$1240,9,0)*(D256-INT(D256))+VLOOKUP(INT(D256),Tablas!$G$9:$O$1240,9,0)*(INT(D256)+1-D256))/(VLOOKUP(INT($C$5)+1,Tablas!$G$9:$O$1240,9,0)*($C$5-INT($C$5))+VLOOKUP(INT($C$5),Tablas!$G$9:$O$124,9,0)*(INT($C$5)+1-$C$5)))</f>
      </c>
      <c r="G256" s="791">
        <f>IF($C$4="Hombre",(+VLOOKUP(INT(D256)+1,Tablas!$G$9:$K$1240,5,0)*(D256-INT(D256))+VLOOKUP(INT(D256),Tablas!$G$9:$K$1240,5,0)*(INT(D256)+1-D256)),+VLOOKUP(INT(D256)+1,Tablas!$G$9:$O$1240,9,0)*(D256-INT(D256))+VLOOKUP(INT(D256),Tablas!$G$9:$O$1240,9,0)*(INT(D256)+1-D256))</f>
      </c>
      <c r="H256" s="801">
        <f>+IF(MONTH(B256)=1,H255*(1+$C$9),H255)</f>
      </c>
      <c r="I256" s="791">
        <f>IF(B256&lt;$C$10,0,IF(B256&lt;$C$11,$C$8/12*E256*F256*H256,0))</f>
      </c>
      <c r="J256" s="791">
        <f>I256*12/14+IF(OR(MONTH(C256)=6,MONTH(C256)=12),I256*12/14,0)</f>
      </c>
      <c r="K256" s="801">
        <f>G256/$G$15</f>
      </c>
      <c r="L256" s="760"/>
      <c r="M256" s="767"/>
      <c r="N256" s="168"/>
      <c r="O256" s="768"/>
      <c r="P256" s="170"/>
      <c r="Q256" s="7"/>
      <c r="R256" s="766"/>
      <c r="S256" s="170"/>
      <c r="T256" s="168"/>
      <c r="U256" s="170"/>
    </row>
    <row x14ac:dyDescent="0.25" r="257" customHeight="1" ht="18.75">
      <c r="A257" s="1"/>
      <c r="B257" s="799">
        <f>+DATE(YEAR(B256),MONTH(B256)+1,DAY(B256))</f>
        <v>25569.041666666668</v>
      </c>
      <c r="C257" s="799">
        <f>+B258-1</f>
        <v>25569.041666666668</v>
      </c>
      <c r="D257" s="791">
        <f>-_xlfn.DAYS($C$3,C257)/365.25</f>
      </c>
      <c r="E257" s="800">
        <f>IF($D$17+40&lt;=D257,(1+$D$7)^-(D257-$C$5),(1+$C$7)^-(D257-$C$5))</f>
      </c>
      <c r="F257" s="801">
        <f>IF($C$4="Hombre",(+VLOOKUP(INT(D257)+1,Tablas!$G$9:$K$1240,5,0)*(D257-INT(D257))+VLOOKUP(INT(D257),Tablas!$G$9:$K$1240,5,0)*(INT(D257)+1-D257))/(VLOOKUP(INT($C$5)+1,Tablas!$G$9:$K$1240,5,0)*($C$5-INT($C$5))+VLOOKUP(INT($C$5),Tablas!$G$9:$K$124,5,0)*(INT($C$5)+1-$C$5)),(+VLOOKUP(INT(D257)+1,Tablas!$G$9:$O$1240,9,0)*(D257-INT(D257))+VLOOKUP(INT(D257),Tablas!$G$9:$O$1240,9,0)*(INT(D257)+1-D257))/(VLOOKUP(INT($C$5)+1,Tablas!$G$9:$O$1240,9,0)*($C$5-INT($C$5))+VLOOKUP(INT($C$5),Tablas!$G$9:$O$124,9,0)*(INT($C$5)+1-$C$5)))</f>
      </c>
      <c r="G257" s="791">
        <f>IF($C$4="Hombre",(+VLOOKUP(INT(D257)+1,Tablas!$G$9:$K$1240,5,0)*(D257-INT(D257))+VLOOKUP(INT(D257),Tablas!$G$9:$K$1240,5,0)*(INT(D257)+1-D257)),+VLOOKUP(INT(D257)+1,Tablas!$G$9:$O$1240,9,0)*(D257-INT(D257))+VLOOKUP(INT(D257),Tablas!$G$9:$O$1240,9,0)*(INT(D257)+1-D257))</f>
      </c>
      <c r="H257" s="801">
        <f>+IF(MONTH(B257)=1,H256*(1+$C$9),H256)</f>
      </c>
      <c r="I257" s="791">
        <f>IF(B257&lt;$C$10,0,IF(B257&lt;$C$11,$C$8/12*E257*F257*H257,0))</f>
      </c>
      <c r="J257" s="791">
        <f>I257*12/14+IF(OR(MONTH(C257)=6,MONTH(C257)=12),I257*12/14,0)</f>
      </c>
      <c r="K257" s="801">
        <f>G257/$G$15</f>
      </c>
      <c r="L257" s="760"/>
      <c r="M257" s="767"/>
      <c r="N257" s="168"/>
      <c r="O257" s="768"/>
      <c r="P257" s="170"/>
      <c r="Q257" s="7"/>
      <c r="R257" s="766"/>
      <c r="S257" s="170"/>
      <c r="T257" s="168"/>
      <c r="U257" s="170"/>
    </row>
    <row x14ac:dyDescent="0.25" r="258" customHeight="1" ht="18.75">
      <c r="A258" s="1"/>
      <c r="B258" s="799">
        <f>+DATE(YEAR(B257),MONTH(B257)+1,DAY(B257))</f>
        <v>25569.041666666668</v>
      </c>
      <c r="C258" s="799">
        <f>+B259-1</f>
        <v>25569.041666666668</v>
      </c>
      <c r="D258" s="791">
        <f>-_xlfn.DAYS($C$3,C258)/365.25</f>
      </c>
      <c r="E258" s="800">
        <f>IF($D$17+40&lt;=D258,(1+$D$7)^-(D258-$C$5),(1+$C$7)^-(D258-$C$5))</f>
      </c>
      <c r="F258" s="801">
        <f>IF($C$4="Hombre",(+VLOOKUP(INT(D258)+1,Tablas!$G$9:$K$1240,5,0)*(D258-INT(D258))+VLOOKUP(INT(D258),Tablas!$G$9:$K$1240,5,0)*(INT(D258)+1-D258))/(VLOOKUP(INT($C$5)+1,Tablas!$G$9:$K$1240,5,0)*($C$5-INT($C$5))+VLOOKUP(INT($C$5),Tablas!$G$9:$K$124,5,0)*(INT($C$5)+1-$C$5)),(+VLOOKUP(INT(D258)+1,Tablas!$G$9:$O$1240,9,0)*(D258-INT(D258))+VLOOKUP(INT(D258),Tablas!$G$9:$O$1240,9,0)*(INT(D258)+1-D258))/(VLOOKUP(INT($C$5)+1,Tablas!$G$9:$O$1240,9,0)*($C$5-INT($C$5))+VLOOKUP(INT($C$5),Tablas!$G$9:$O$124,9,0)*(INT($C$5)+1-$C$5)))</f>
      </c>
      <c r="G258" s="791">
        <f>IF($C$4="Hombre",(+VLOOKUP(INT(D258)+1,Tablas!$G$9:$K$1240,5,0)*(D258-INT(D258))+VLOOKUP(INT(D258),Tablas!$G$9:$K$1240,5,0)*(INT(D258)+1-D258)),+VLOOKUP(INT(D258)+1,Tablas!$G$9:$O$1240,9,0)*(D258-INT(D258))+VLOOKUP(INT(D258),Tablas!$G$9:$O$1240,9,0)*(INT(D258)+1-D258))</f>
      </c>
      <c r="H258" s="801">
        <f>+IF(MONTH(B258)=1,H257*(1+$C$9),H257)</f>
      </c>
      <c r="I258" s="791">
        <f>IF(B258&lt;$C$10,0,IF(B258&lt;$C$11,$C$8/12*E258*F258*H258,0))</f>
      </c>
      <c r="J258" s="791">
        <f>I258*12/14+IF(OR(MONTH(C258)=6,MONTH(C258)=12),I258*12/14,0)</f>
      </c>
      <c r="K258" s="801">
        <f>G258/$G$15</f>
      </c>
      <c r="L258" s="760"/>
      <c r="M258" s="767"/>
      <c r="N258" s="168"/>
      <c r="O258" s="768"/>
      <c r="P258" s="170"/>
      <c r="Q258" s="7"/>
      <c r="R258" s="766"/>
      <c r="S258" s="170"/>
      <c r="T258" s="168"/>
      <c r="U258" s="170"/>
    </row>
    <row x14ac:dyDescent="0.25" r="259" customHeight="1" ht="18.75">
      <c r="A259" s="1"/>
      <c r="B259" s="799">
        <f>+DATE(YEAR(B258),MONTH(B258)+1,DAY(B258))</f>
        <v>25569.041666666668</v>
      </c>
      <c r="C259" s="799">
        <f>+B260-1</f>
        <v>25569.041666666668</v>
      </c>
      <c r="D259" s="791">
        <f>-_xlfn.DAYS($C$3,C259)/365.25</f>
      </c>
      <c r="E259" s="800">
        <f>IF($D$17+40&lt;=D259,(1+$D$7)^-(D259-$C$5),(1+$C$7)^-(D259-$C$5))</f>
      </c>
      <c r="F259" s="801">
        <f>IF($C$4="Hombre",(+VLOOKUP(INT(D259)+1,Tablas!$G$9:$K$1240,5,0)*(D259-INT(D259))+VLOOKUP(INT(D259),Tablas!$G$9:$K$1240,5,0)*(INT(D259)+1-D259))/(VLOOKUP(INT($C$5)+1,Tablas!$G$9:$K$1240,5,0)*($C$5-INT($C$5))+VLOOKUP(INT($C$5),Tablas!$G$9:$K$124,5,0)*(INT($C$5)+1-$C$5)),(+VLOOKUP(INT(D259)+1,Tablas!$G$9:$O$1240,9,0)*(D259-INT(D259))+VLOOKUP(INT(D259),Tablas!$G$9:$O$1240,9,0)*(INT(D259)+1-D259))/(VLOOKUP(INT($C$5)+1,Tablas!$G$9:$O$1240,9,0)*($C$5-INT($C$5))+VLOOKUP(INT($C$5),Tablas!$G$9:$O$124,9,0)*(INT($C$5)+1-$C$5)))</f>
      </c>
      <c r="G259" s="791">
        <f>IF($C$4="Hombre",(+VLOOKUP(INT(D259)+1,Tablas!$G$9:$K$1240,5,0)*(D259-INT(D259))+VLOOKUP(INT(D259),Tablas!$G$9:$K$1240,5,0)*(INT(D259)+1-D259)),+VLOOKUP(INT(D259)+1,Tablas!$G$9:$O$1240,9,0)*(D259-INT(D259))+VLOOKUP(INT(D259),Tablas!$G$9:$O$1240,9,0)*(INT(D259)+1-D259))</f>
      </c>
      <c r="H259" s="801">
        <f>+IF(MONTH(B259)=1,H258*(1+$C$9),H258)</f>
      </c>
      <c r="I259" s="791">
        <f>IF(B259&lt;$C$10,0,IF(B259&lt;$C$11,$C$8/12*E259*F259*H259,0))</f>
      </c>
      <c r="J259" s="791">
        <f>I259*12/14+IF(OR(MONTH(C259)=6,MONTH(C259)=12),I259*12/14,0)</f>
      </c>
      <c r="K259" s="801">
        <f>G259/$G$15</f>
      </c>
      <c r="L259" s="760"/>
      <c r="M259" s="767"/>
      <c r="N259" s="168"/>
      <c r="O259" s="768"/>
      <c r="P259" s="170"/>
      <c r="Q259" s="7"/>
      <c r="R259" s="766"/>
      <c r="S259" s="170"/>
      <c r="T259" s="168"/>
      <c r="U259" s="170"/>
    </row>
    <row x14ac:dyDescent="0.25" r="260" customHeight="1" ht="18.75">
      <c r="A260" s="1"/>
      <c r="B260" s="799">
        <f>+DATE(YEAR(B259),MONTH(B259)+1,DAY(B259))</f>
        <v>25569.041666666668</v>
      </c>
      <c r="C260" s="799">
        <f>+B261-1</f>
        <v>25569.041666666668</v>
      </c>
      <c r="D260" s="791">
        <f>-_xlfn.DAYS($C$3,C260)/365.25</f>
      </c>
      <c r="E260" s="800">
        <f>IF($D$17+40&lt;=D260,(1+$D$7)^-(D260-$C$5),(1+$C$7)^-(D260-$C$5))</f>
      </c>
      <c r="F260" s="801">
        <f>IF($C$4="Hombre",(+VLOOKUP(INT(D260)+1,Tablas!$G$9:$K$1240,5,0)*(D260-INT(D260))+VLOOKUP(INT(D260),Tablas!$G$9:$K$1240,5,0)*(INT(D260)+1-D260))/(VLOOKUP(INT($C$5)+1,Tablas!$G$9:$K$1240,5,0)*($C$5-INT($C$5))+VLOOKUP(INT($C$5),Tablas!$G$9:$K$124,5,0)*(INT($C$5)+1-$C$5)),(+VLOOKUP(INT(D260)+1,Tablas!$G$9:$O$1240,9,0)*(D260-INT(D260))+VLOOKUP(INT(D260),Tablas!$G$9:$O$1240,9,0)*(INT(D260)+1-D260))/(VLOOKUP(INT($C$5)+1,Tablas!$G$9:$O$1240,9,0)*($C$5-INT($C$5))+VLOOKUP(INT($C$5),Tablas!$G$9:$O$124,9,0)*(INT($C$5)+1-$C$5)))</f>
      </c>
      <c r="G260" s="791">
        <f>IF($C$4="Hombre",(+VLOOKUP(INT(D260)+1,Tablas!$G$9:$K$1240,5,0)*(D260-INT(D260))+VLOOKUP(INT(D260),Tablas!$G$9:$K$1240,5,0)*(INT(D260)+1-D260)),+VLOOKUP(INT(D260)+1,Tablas!$G$9:$O$1240,9,0)*(D260-INT(D260))+VLOOKUP(INT(D260),Tablas!$G$9:$O$1240,9,0)*(INT(D260)+1-D260))</f>
      </c>
      <c r="H260" s="801">
        <f>+IF(MONTH(B260)=1,H259*(1+$C$9),H259)</f>
      </c>
      <c r="I260" s="791">
        <f>IF(B260&lt;$C$10,0,IF(B260&lt;$C$11,$C$8/12*E260*F260*H260,0))</f>
      </c>
      <c r="J260" s="791">
        <f>I260*12/14+IF(OR(MONTH(C260)=6,MONTH(C260)=12),I260*12/14,0)</f>
      </c>
      <c r="K260" s="801">
        <f>G260/$G$15</f>
      </c>
      <c r="L260" s="760"/>
      <c r="M260" s="767"/>
      <c r="N260" s="168"/>
      <c r="O260" s="768"/>
      <c r="P260" s="170"/>
      <c r="Q260" s="7"/>
      <c r="R260" s="766"/>
      <c r="S260" s="170"/>
      <c r="T260" s="168"/>
      <c r="U260" s="170"/>
    </row>
    <row x14ac:dyDescent="0.25" r="261" customHeight="1" ht="18.75">
      <c r="A261" s="1"/>
      <c r="B261" s="799">
        <f>+DATE(YEAR(B260),MONTH(B260)+1,DAY(B260))</f>
        <v>25569.041666666668</v>
      </c>
      <c r="C261" s="799">
        <f>+B262-1</f>
        <v>25569.041666666668</v>
      </c>
      <c r="D261" s="791">
        <f>-_xlfn.DAYS($C$3,C261)/365.25</f>
      </c>
      <c r="E261" s="800">
        <f>IF($D$17+40&lt;=D261,(1+$D$7)^-(D261-$C$5),(1+$C$7)^-(D261-$C$5))</f>
      </c>
      <c r="F261" s="801">
        <f>IF($C$4="Hombre",(+VLOOKUP(INT(D261)+1,Tablas!$G$9:$K$1240,5,0)*(D261-INT(D261))+VLOOKUP(INT(D261),Tablas!$G$9:$K$1240,5,0)*(INT(D261)+1-D261))/(VLOOKUP(INT($C$5)+1,Tablas!$G$9:$K$1240,5,0)*($C$5-INT($C$5))+VLOOKUP(INT($C$5),Tablas!$G$9:$K$124,5,0)*(INT($C$5)+1-$C$5)),(+VLOOKUP(INT(D261)+1,Tablas!$G$9:$O$1240,9,0)*(D261-INT(D261))+VLOOKUP(INT(D261),Tablas!$G$9:$O$1240,9,0)*(INT(D261)+1-D261))/(VLOOKUP(INT($C$5)+1,Tablas!$G$9:$O$1240,9,0)*($C$5-INT($C$5))+VLOOKUP(INT($C$5),Tablas!$G$9:$O$124,9,0)*(INT($C$5)+1-$C$5)))</f>
      </c>
      <c r="G261" s="791">
        <f>IF($C$4="Hombre",(+VLOOKUP(INT(D261)+1,Tablas!$G$9:$K$1240,5,0)*(D261-INT(D261))+VLOOKUP(INT(D261),Tablas!$G$9:$K$1240,5,0)*(INT(D261)+1-D261)),+VLOOKUP(INT(D261)+1,Tablas!$G$9:$O$1240,9,0)*(D261-INT(D261))+VLOOKUP(INT(D261),Tablas!$G$9:$O$1240,9,0)*(INT(D261)+1-D261))</f>
      </c>
      <c r="H261" s="801">
        <f>+IF(MONTH(B261)=1,H260*(1+$C$9),H260)</f>
      </c>
      <c r="I261" s="791">
        <f>IF(B261&lt;$C$10,0,IF(B261&lt;$C$11,$C$8/12*E261*F261*H261,0))</f>
      </c>
      <c r="J261" s="791">
        <f>I261*12/14+IF(OR(MONTH(C261)=6,MONTH(C261)=12),I261*12/14,0)</f>
      </c>
      <c r="K261" s="801">
        <f>G261/$G$15</f>
      </c>
      <c r="L261" s="760"/>
      <c r="M261" s="767"/>
      <c r="N261" s="168"/>
      <c r="O261" s="768"/>
      <c r="P261" s="170"/>
      <c r="Q261" s="7"/>
      <c r="R261" s="766"/>
      <c r="S261" s="170"/>
      <c r="T261" s="168"/>
      <c r="U261" s="170"/>
    </row>
    <row x14ac:dyDescent="0.25" r="262" customHeight="1" ht="18.75">
      <c r="A262" s="1"/>
      <c r="B262" s="799">
        <f>+DATE(YEAR(B261),MONTH(B261)+1,DAY(B261))</f>
        <v>25569.041666666668</v>
      </c>
      <c r="C262" s="799">
        <f>+B263-1</f>
        <v>25569.041666666668</v>
      </c>
      <c r="D262" s="791">
        <f>-_xlfn.DAYS($C$3,C262)/365.25</f>
      </c>
      <c r="E262" s="800">
        <f>IF($D$17+40&lt;=D262,(1+$D$7)^-(D262-$C$5),(1+$C$7)^-(D262-$C$5))</f>
      </c>
      <c r="F262" s="801">
        <f>IF($C$4="Hombre",(+VLOOKUP(INT(D262)+1,Tablas!$G$9:$K$1240,5,0)*(D262-INT(D262))+VLOOKUP(INT(D262),Tablas!$G$9:$K$1240,5,0)*(INT(D262)+1-D262))/(VLOOKUP(INT($C$5)+1,Tablas!$G$9:$K$1240,5,0)*($C$5-INT($C$5))+VLOOKUP(INT($C$5),Tablas!$G$9:$K$124,5,0)*(INT($C$5)+1-$C$5)),(+VLOOKUP(INT(D262)+1,Tablas!$G$9:$O$1240,9,0)*(D262-INT(D262))+VLOOKUP(INT(D262),Tablas!$G$9:$O$1240,9,0)*(INT(D262)+1-D262))/(VLOOKUP(INT($C$5)+1,Tablas!$G$9:$O$1240,9,0)*($C$5-INT($C$5))+VLOOKUP(INT($C$5),Tablas!$G$9:$O$124,9,0)*(INT($C$5)+1-$C$5)))</f>
      </c>
      <c r="G262" s="791">
        <f>IF($C$4="Hombre",(+VLOOKUP(INT(D262)+1,Tablas!$G$9:$K$1240,5,0)*(D262-INT(D262))+VLOOKUP(INT(D262),Tablas!$G$9:$K$1240,5,0)*(INT(D262)+1-D262)),+VLOOKUP(INT(D262)+1,Tablas!$G$9:$O$1240,9,0)*(D262-INT(D262))+VLOOKUP(INT(D262),Tablas!$G$9:$O$1240,9,0)*(INT(D262)+1-D262))</f>
      </c>
      <c r="H262" s="801">
        <f>+IF(MONTH(B262)=1,H261*(1+$C$9),H261)</f>
      </c>
      <c r="I262" s="791">
        <f>IF(B262&lt;$C$10,0,IF(B262&lt;$C$11,$C$8/12*E262*F262*H262,0))</f>
      </c>
      <c r="J262" s="791">
        <f>I262*12/14+IF(OR(MONTH(C262)=6,MONTH(C262)=12),I262*12/14,0)</f>
      </c>
      <c r="K262" s="801">
        <f>G262/$G$15</f>
      </c>
      <c r="L262" s="760"/>
      <c r="M262" s="767"/>
      <c r="N262" s="168"/>
      <c r="O262" s="768"/>
      <c r="P262" s="170"/>
      <c r="Q262" s="7"/>
      <c r="R262" s="766"/>
      <c r="S262" s="170"/>
      <c r="T262" s="168"/>
      <c r="U262" s="170"/>
    </row>
    <row x14ac:dyDescent="0.25" r="263" customHeight="1" ht="18.75">
      <c r="A263" s="1"/>
      <c r="B263" s="799">
        <f>+DATE(YEAR(B262),MONTH(B262)+1,DAY(B262))</f>
        <v>25569.041666666668</v>
      </c>
      <c r="C263" s="799">
        <f>+B264-1</f>
        <v>25569.041666666668</v>
      </c>
      <c r="D263" s="791">
        <f>-_xlfn.DAYS($C$3,C263)/365.25</f>
      </c>
      <c r="E263" s="800">
        <f>IF($D$17+40&lt;=D263,(1+$D$7)^-(D263-$C$5),(1+$C$7)^-(D263-$C$5))</f>
      </c>
      <c r="F263" s="801">
        <f>IF($C$4="Hombre",(+VLOOKUP(INT(D263)+1,Tablas!$G$9:$K$1240,5,0)*(D263-INT(D263))+VLOOKUP(INT(D263),Tablas!$G$9:$K$1240,5,0)*(INT(D263)+1-D263))/(VLOOKUP(INT($C$5)+1,Tablas!$G$9:$K$1240,5,0)*($C$5-INT($C$5))+VLOOKUP(INT($C$5),Tablas!$G$9:$K$124,5,0)*(INT($C$5)+1-$C$5)),(+VLOOKUP(INT(D263)+1,Tablas!$G$9:$O$1240,9,0)*(D263-INT(D263))+VLOOKUP(INT(D263),Tablas!$G$9:$O$1240,9,0)*(INT(D263)+1-D263))/(VLOOKUP(INT($C$5)+1,Tablas!$G$9:$O$1240,9,0)*($C$5-INT($C$5))+VLOOKUP(INT($C$5),Tablas!$G$9:$O$124,9,0)*(INT($C$5)+1-$C$5)))</f>
      </c>
      <c r="G263" s="791">
        <f>IF($C$4="Hombre",(+VLOOKUP(INT(D263)+1,Tablas!$G$9:$K$1240,5,0)*(D263-INT(D263))+VLOOKUP(INT(D263),Tablas!$G$9:$K$1240,5,0)*(INT(D263)+1-D263)),+VLOOKUP(INT(D263)+1,Tablas!$G$9:$O$1240,9,0)*(D263-INT(D263))+VLOOKUP(INT(D263),Tablas!$G$9:$O$1240,9,0)*(INT(D263)+1-D263))</f>
      </c>
      <c r="H263" s="801">
        <f>+IF(MONTH(B263)=1,H262*(1+$C$9),H262)</f>
      </c>
      <c r="I263" s="791">
        <f>IF(B263&lt;$C$10,0,IF(B263&lt;$C$11,$C$8/12*E263*F263*H263,0))</f>
      </c>
      <c r="J263" s="791">
        <f>I263*12/14+IF(OR(MONTH(C263)=6,MONTH(C263)=12),I263*12/14,0)</f>
      </c>
      <c r="K263" s="801">
        <f>G263/$G$15</f>
      </c>
      <c r="L263" s="760"/>
      <c r="M263" s="767"/>
      <c r="N263" s="168"/>
      <c r="O263" s="768"/>
      <c r="P263" s="170"/>
      <c r="Q263" s="7"/>
      <c r="R263" s="766"/>
      <c r="S263" s="170"/>
      <c r="T263" s="168"/>
      <c r="U263" s="170"/>
    </row>
    <row x14ac:dyDescent="0.25" r="264" customHeight="1" ht="18.75">
      <c r="A264" s="1"/>
      <c r="B264" s="799">
        <f>+DATE(YEAR(B263),MONTH(B263)+1,DAY(B263))</f>
        <v>25569.041666666668</v>
      </c>
      <c r="C264" s="799">
        <f>+B265-1</f>
        <v>25569.041666666668</v>
      </c>
      <c r="D264" s="791">
        <f>-_xlfn.DAYS($C$3,C264)/365.25</f>
      </c>
      <c r="E264" s="800">
        <f>IF($D$17+40&lt;=D264,(1+$D$7)^-(D264-$C$5),(1+$C$7)^-(D264-$C$5))</f>
      </c>
      <c r="F264" s="801">
        <f>IF($C$4="Hombre",(+VLOOKUP(INT(D264)+1,Tablas!$G$9:$K$1240,5,0)*(D264-INT(D264))+VLOOKUP(INT(D264),Tablas!$G$9:$K$1240,5,0)*(INT(D264)+1-D264))/(VLOOKUP(INT($C$5)+1,Tablas!$G$9:$K$1240,5,0)*($C$5-INT($C$5))+VLOOKUP(INT($C$5),Tablas!$G$9:$K$124,5,0)*(INT($C$5)+1-$C$5)),(+VLOOKUP(INT(D264)+1,Tablas!$G$9:$O$1240,9,0)*(D264-INT(D264))+VLOOKUP(INT(D264),Tablas!$G$9:$O$1240,9,0)*(INT(D264)+1-D264))/(VLOOKUP(INT($C$5)+1,Tablas!$G$9:$O$1240,9,0)*($C$5-INT($C$5))+VLOOKUP(INT($C$5),Tablas!$G$9:$O$124,9,0)*(INT($C$5)+1-$C$5)))</f>
      </c>
      <c r="G264" s="791">
        <f>IF($C$4="Hombre",(+VLOOKUP(INT(D264)+1,Tablas!$G$9:$K$1240,5,0)*(D264-INT(D264))+VLOOKUP(INT(D264),Tablas!$G$9:$K$1240,5,0)*(INT(D264)+1-D264)),+VLOOKUP(INT(D264)+1,Tablas!$G$9:$O$1240,9,0)*(D264-INT(D264))+VLOOKUP(INT(D264),Tablas!$G$9:$O$1240,9,0)*(INT(D264)+1-D264))</f>
      </c>
      <c r="H264" s="801">
        <f>+IF(MONTH(B264)=1,H263*(1+$C$9),H263)</f>
      </c>
      <c r="I264" s="791">
        <f>IF(B264&lt;$C$10,0,IF(B264&lt;$C$11,$C$8/12*E264*F264*H264,0))</f>
      </c>
      <c r="J264" s="791">
        <f>I264*12/14+IF(OR(MONTH(C264)=6,MONTH(C264)=12),I264*12/14,0)</f>
      </c>
      <c r="K264" s="801">
        <f>G264/$G$15</f>
      </c>
      <c r="L264" s="760"/>
      <c r="M264" s="767"/>
      <c r="N264" s="168"/>
      <c r="O264" s="768"/>
      <c r="P264" s="170"/>
      <c r="Q264" s="7"/>
      <c r="R264" s="766"/>
      <c r="S264" s="170"/>
      <c r="T264" s="168"/>
      <c r="U264" s="170"/>
    </row>
    <row x14ac:dyDescent="0.25" r="265" customHeight="1" ht="18.75">
      <c r="A265" s="1"/>
      <c r="B265" s="799">
        <f>+DATE(YEAR(B264),MONTH(B264)+1,DAY(B264))</f>
        <v>25569.041666666668</v>
      </c>
      <c r="C265" s="799">
        <f>+B266-1</f>
        <v>25569.041666666668</v>
      </c>
      <c r="D265" s="791">
        <f>-_xlfn.DAYS($C$3,C265)/365.25</f>
      </c>
      <c r="E265" s="800">
        <f>IF($D$17+40&lt;=D265,(1+$D$7)^-(D265-$C$5),(1+$C$7)^-(D265-$C$5))</f>
      </c>
      <c r="F265" s="801">
        <f>IF($C$4="Hombre",(+VLOOKUP(INT(D265)+1,Tablas!$G$9:$K$1240,5,0)*(D265-INT(D265))+VLOOKUP(INT(D265),Tablas!$G$9:$K$1240,5,0)*(INT(D265)+1-D265))/(VLOOKUP(INT($C$5)+1,Tablas!$G$9:$K$1240,5,0)*($C$5-INT($C$5))+VLOOKUP(INT($C$5),Tablas!$G$9:$K$124,5,0)*(INT($C$5)+1-$C$5)),(+VLOOKUP(INT(D265)+1,Tablas!$G$9:$O$1240,9,0)*(D265-INT(D265))+VLOOKUP(INT(D265),Tablas!$G$9:$O$1240,9,0)*(INT(D265)+1-D265))/(VLOOKUP(INT($C$5)+1,Tablas!$G$9:$O$1240,9,0)*($C$5-INT($C$5))+VLOOKUP(INT($C$5),Tablas!$G$9:$O$124,9,0)*(INT($C$5)+1-$C$5)))</f>
      </c>
      <c r="G265" s="791">
        <f>IF($C$4="Hombre",(+VLOOKUP(INT(D265)+1,Tablas!$G$9:$K$1240,5,0)*(D265-INT(D265))+VLOOKUP(INT(D265),Tablas!$G$9:$K$1240,5,0)*(INT(D265)+1-D265)),+VLOOKUP(INT(D265)+1,Tablas!$G$9:$O$1240,9,0)*(D265-INT(D265))+VLOOKUP(INT(D265),Tablas!$G$9:$O$1240,9,0)*(INT(D265)+1-D265))</f>
      </c>
      <c r="H265" s="801">
        <f>+IF(MONTH(B265)=1,H264*(1+$C$9),H264)</f>
      </c>
      <c r="I265" s="791">
        <f>IF(B265&lt;$C$10,0,IF(B265&lt;$C$11,$C$8/12*E265*F265*H265,0))</f>
      </c>
      <c r="J265" s="791">
        <f>I265*12/14+IF(OR(MONTH(C265)=6,MONTH(C265)=12),I265*12/14,0)</f>
      </c>
      <c r="K265" s="801">
        <f>G265/$G$15</f>
      </c>
      <c r="L265" s="760"/>
      <c r="M265" s="767"/>
      <c r="N265" s="168"/>
      <c r="O265" s="768"/>
      <c r="P265" s="170"/>
      <c r="Q265" s="7"/>
      <c r="R265" s="766"/>
      <c r="S265" s="170"/>
      <c r="T265" s="168"/>
      <c r="U265" s="170"/>
    </row>
    <row x14ac:dyDescent="0.25" r="266" customHeight="1" ht="18.75">
      <c r="A266" s="1"/>
      <c r="B266" s="799">
        <f>+DATE(YEAR(B265),MONTH(B265)+1,DAY(B265))</f>
        <v>25569.041666666668</v>
      </c>
      <c r="C266" s="799">
        <f>+B267-1</f>
        <v>25569.041666666668</v>
      </c>
      <c r="D266" s="791">
        <f>-_xlfn.DAYS($C$3,C266)/365.25</f>
      </c>
      <c r="E266" s="800">
        <f>IF($D$17+40&lt;=D266,(1+$D$7)^-(D266-$C$5),(1+$C$7)^-(D266-$C$5))</f>
      </c>
      <c r="F266" s="801">
        <f>IF($C$4="Hombre",(+VLOOKUP(INT(D266)+1,Tablas!$G$9:$K$1240,5,0)*(D266-INT(D266))+VLOOKUP(INT(D266),Tablas!$G$9:$K$1240,5,0)*(INT(D266)+1-D266))/(VLOOKUP(INT($C$5)+1,Tablas!$G$9:$K$1240,5,0)*($C$5-INT($C$5))+VLOOKUP(INT($C$5),Tablas!$G$9:$K$124,5,0)*(INT($C$5)+1-$C$5)),(+VLOOKUP(INT(D266)+1,Tablas!$G$9:$O$1240,9,0)*(D266-INT(D266))+VLOOKUP(INT(D266),Tablas!$G$9:$O$1240,9,0)*(INT(D266)+1-D266))/(VLOOKUP(INT($C$5)+1,Tablas!$G$9:$O$1240,9,0)*($C$5-INT($C$5))+VLOOKUP(INT($C$5),Tablas!$G$9:$O$124,9,0)*(INT($C$5)+1-$C$5)))</f>
      </c>
      <c r="G266" s="791">
        <f>IF($C$4="Hombre",(+VLOOKUP(INT(D266)+1,Tablas!$G$9:$K$1240,5,0)*(D266-INT(D266))+VLOOKUP(INT(D266),Tablas!$G$9:$K$1240,5,0)*(INT(D266)+1-D266)),+VLOOKUP(INT(D266)+1,Tablas!$G$9:$O$1240,9,0)*(D266-INT(D266))+VLOOKUP(INT(D266),Tablas!$G$9:$O$1240,9,0)*(INT(D266)+1-D266))</f>
      </c>
      <c r="H266" s="801">
        <f>+IF(MONTH(B266)=1,H265*(1+$C$9),H265)</f>
      </c>
      <c r="I266" s="791">
        <f>IF(B266&lt;$C$10,0,IF(B266&lt;$C$11,$C$8/12*E266*F266*H266,0))</f>
      </c>
      <c r="J266" s="791">
        <f>I266*12/14+IF(OR(MONTH(C266)=6,MONTH(C266)=12),I266*12/14,0)</f>
      </c>
      <c r="K266" s="801">
        <f>G266/$G$15</f>
      </c>
      <c r="L266" s="760"/>
      <c r="M266" s="767"/>
      <c r="N266" s="168"/>
      <c r="O266" s="768"/>
      <c r="P266" s="170"/>
      <c r="Q266" s="7"/>
      <c r="R266" s="766"/>
      <c r="S266" s="170"/>
      <c r="T266" s="168"/>
      <c r="U266" s="170"/>
    </row>
    <row x14ac:dyDescent="0.25" r="267" customHeight="1" ht="18.75">
      <c r="A267" s="1"/>
      <c r="B267" s="799">
        <f>+DATE(YEAR(B266),MONTH(B266)+1,DAY(B266))</f>
        <v>25569.041666666668</v>
      </c>
      <c r="C267" s="799">
        <f>+B268-1</f>
        <v>25569.041666666668</v>
      </c>
      <c r="D267" s="791">
        <f>-_xlfn.DAYS($C$3,C267)/365.25</f>
      </c>
      <c r="E267" s="800">
        <f>IF($D$17+40&lt;=D267,(1+$D$7)^-(D267-$C$5),(1+$C$7)^-(D267-$C$5))</f>
      </c>
      <c r="F267" s="801">
        <f>IF($C$4="Hombre",(+VLOOKUP(INT(D267)+1,Tablas!$G$9:$K$1240,5,0)*(D267-INT(D267))+VLOOKUP(INT(D267),Tablas!$G$9:$K$1240,5,0)*(INT(D267)+1-D267))/(VLOOKUP(INT($C$5)+1,Tablas!$G$9:$K$1240,5,0)*($C$5-INT($C$5))+VLOOKUP(INT($C$5),Tablas!$G$9:$K$124,5,0)*(INT($C$5)+1-$C$5)),(+VLOOKUP(INT(D267)+1,Tablas!$G$9:$O$1240,9,0)*(D267-INT(D267))+VLOOKUP(INT(D267),Tablas!$G$9:$O$1240,9,0)*(INT(D267)+1-D267))/(VLOOKUP(INT($C$5)+1,Tablas!$G$9:$O$1240,9,0)*($C$5-INT($C$5))+VLOOKUP(INT($C$5),Tablas!$G$9:$O$124,9,0)*(INT($C$5)+1-$C$5)))</f>
      </c>
      <c r="G267" s="791">
        <f>IF($C$4="Hombre",(+VLOOKUP(INT(D267)+1,Tablas!$G$9:$K$1240,5,0)*(D267-INT(D267))+VLOOKUP(INT(D267),Tablas!$G$9:$K$1240,5,0)*(INT(D267)+1-D267)),+VLOOKUP(INT(D267)+1,Tablas!$G$9:$O$1240,9,0)*(D267-INT(D267))+VLOOKUP(INT(D267),Tablas!$G$9:$O$1240,9,0)*(INT(D267)+1-D267))</f>
      </c>
      <c r="H267" s="801">
        <f>+IF(MONTH(B267)=1,H266*(1+$C$9),H266)</f>
      </c>
      <c r="I267" s="791">
        <f>IF(B267&lt;$C$10,0,IF(B267&lt;$C$11,$C$8/12*E267*F267*H267,0))</f>
      </c>
      <c r="J267" s="791">
        <f>I267*12/14+IF(OR(MONTH(C267)=6,MONTH(C267)=12),I267*12/14,0)</f>
      </c>
      <c r="K267" s="801">
        <f>G267/$G$15</f>
      </c>
      <c r="L267" s="760"/>
      <c r="M267" s="767"/>
      <c r="N267" s="168"/>
      <c r="O267" s="768"/>
      <c r="P267" s="170"/>
      <c r="Q267" s="7"/>
      <c r="R267" s="766"/>
      <c r="S267" s="170"/>
      <c r="T267" s="168"/>
      <c r="U267" s="170"/>
    </row>
    <row x14ac:dyDescent="0.25" r="268" customHeight="1" ht="18.75">
      <c r="A268" s="1"/>
      <c r="B268" s="799">
        <f>+DATE(YEAR(B267),MONTH(B267)+1,DAY(B267))</f>
        <v>25569.041666666668</v>
      </c>
      <c r="C268" s="799">
        <f>+B269-1</f>
        <v>25569.041666666668</v>
      </c>
      <c r="D268" s="791">
        <f>-_xlfn.DAYS($C$3,C268)/365.25</f>
      </c>
      <c r="E268" s="800">
        <f>IF($D$17+40&lt;=D268,(1+$D$7)^-(D268-$C$5),(1+$C$7)^-(D268-$C$5))</f>
      </c>
      <c r="F268" s="801">
        <f>IF($C$4="Hombre",(+VLOOKUP(INT(D268)+1,Tablas!$G$9:$K$1240,5,0)*(D268-INT(D268))+VLOOKUP(INT(D268),Tablas!$G$9:$K$1240,5,0)*(INT(D268)+1-D268))/(VLOOKUP(INT($C$5)+1,Tablas!$G$9:$K$1240,5,0)*($C$5-INT($C$5))+VLOOKUP(INT($C$5),Tablas!$G$9:$K$124,5,0)*(INT($C$5)+1-$C$5)),(+VLOOKUP(INT(D268)+1,Tablas!$G$9:$O$1240,9,0)*(D268-INT(D268))+VLOOKUP(INT(D268),Tablas!$G$9:$O$1240,9,0)*(INT(D268)+1-D268))/(VLOOKUP(INT($C$5)+1,Tablas!$G$9:$O$1240,9,0)*($C$5-INT($C$5))+VLOOKUP(INT($C$5),Tablas!$G$9:$O$124,9,0)*(INT($C$5)+1-$C$5)))</f>
      </c>
      <c r="G268" s="791">
        <f>IF($C$4="Hombre",(+VLOOKUP(INT(D268)+1,Tablas!$G$9:$K$1240,5,0)*(D268-INT(D268))+VLOOKUP(INT(D268),Tablas!$G$9:$K$1240,5,0)*(INT(D268)+1-D268)),+VLOOKUP(INT(D268)+1,Tablas!$G$9:$O$1240,9,0)*(D268-INT(D268))+VLOOKUP(INT(D268),Tablas!$G$9:$O$1240,9,0)*(INT(D268)+1-D268))</f>
      </c>
      <c r="H268" s="801">
        <f>+IF(MONTH(B268)=1,H267*(1+$C$9),H267)</f>
      </c>
      <c r="I268" s="791">
        <f>IF(B268&lt;$C$10,0,IF(B268&lt;$C$11,$C$8/12*E268*F268*H268,0))</f>
      </c>
      <c r="J268" s="791">
        <f>I268*12/14+IF(OR(MONTH(C268)=6,MONTH(C268)=12),I268*12/14,0)</f>
      </c>
      <c r="K268" s="801">
        <f>G268/$G$15</f>
      </c>
      <c r="L268" s="760"/>
      <c r="M268" s="767"/>
      <c r="N268" s="168"/>
      <c r="O268" s="768"/>
      <c r="P268" s="170"/>
      <c r="Q268" s="7"/>
      <c r="R268" s="766"/>
      <c r="S268" s="170"/>
      <c r="T268" s="168"/>
      <c r="U268" s="170"/>
    </row>
    <row x14ac:dyDescent="0.25" r="269" customHeight="1" ht="18.75">
      <c r="A269" s="1"/>
      <c r="B269" s="799">
        <f>+DATE(YEAR(B268),MONTH(B268)+1,DAY(B268))</f>
        <v>25569.041666666668</v>
      </c>
      <c r="C269" s="799">
        <f>+B270-1</f>
        <v>25569.041666666668</v>
      </c>
      <c r="D269" s="791">
        <f>-_xlfn.DAYS($C$3,C269)/365.25</f>
      </c>
      <c r="E269" s="800">
        <f>IF($D$17+40&lt;=D269,(1+$D$7)^-(D269-$C$5),(1+$C$7)^-(D269-$C$5))</f>
      </c>
      <c r="F269" s="801">
        <f>IF($C$4="Hombre",(+VLOOKUP(INT(D269)+1,Tablas!$G$9:$K$1240,5,0)*(D269-INT(D269))+VLOOKUP(INT(D269),Tablas!$G$9:$K$1240,5,0)*(INT(D269)+1-D269))/(VLOOKUP(INT($C$5)+1,Tablas!$G$9:$K$1240,5,0)*($C$5-INT($C$5))+VLOOKUP(INT($C$5),Tablas!$G$9:$K$124,5,0)*(INT($C$5)+1-$C$5)),(+VLOOKUP(INT(D269)+1,Tablas!$G$9:$O$1240,9,0)*(D269-INT(D269))+VLOOKUP(INT(D269),Tablas!$G$9:$O$1240,9,0)*(INT(D269)+1-D269))/(VLOOKUP(INT($C$5)+1,Tablas!$G$9:$O$1240,9,0)*($C$5-INT($C$5))+VLOOKUP(INT($C$5),Tablas!$G$9:$O$124,9,0)*(INT($C$5)+1-$C$5)))</f>
      </c>
      <c r="G269" s="791">
        <f>IF($C$4="Hombre",(+VLOOKUP(INT(D269)+1,Tablas!$G$9:$K$1240,5,0)*(D269-INT(D269))+VLOOKUP(INT(D269),Tablas!$G$9:$K$1240,5,0)*(INT(D269)+1-D269)),+VLOOKUP(INT(D269)+1,Tablas!$G$9:$O$1240,9,0)*(D269-INT(D269))+VLOOKUP(INT(D269),Tablas!$G$9:$O$1240,9,0)*(INT(D269)+1-D269))</f>
      </c>
      <c r="H269" s="801">
        <f>+IF(MONTH(B269)=1,H268*(1+$C$9),H268)</f>
      </c>
      <c r="I269" s="791">
        <f>IF(B269&lt;$C$10,0,IF(B269&lt;$C$11,$C$8/12*E269*F269*H269,0))</f>
      </c>
      <c r="J269" s="791">
        <f>I269*12/14+IF(OR(MONTH(C269)=6,MONTH(C269)=12),I269*12/14,0)</f>
      </c>
      <c r="K269" s="801">
        <f>G269/$G$15</f>
      </c>
      <c r="L269" s="760"/>
      <c r="M269" s="767"/>
      <c r="N269" s="168"/>
      <c r="O269" s="768"/>
      <c r="P269" s="170"/>
      <c r="Q269" s="7"/>
      <c r="R269" s="766"/>
      <c r="S269" s="170"/>
      <c r="T269" s="168"/>
      <c r="U269" s="170"/>
    </row>
    <row x14ac:dyDescent="0.25" r="270" customHeight="1" ht="18.75">
      <c r="A270" s="1"/>
      <c r="B270" s="799">
        <f>+DATE(YEAR(B269),MONTH(B269)+1,DAY(B269))</f>
        <v>25569.041666666668</v>
      </c>
      <c r="C270" s="799">
        <f>+B271-1</f>
        <v>25569.041666666668</v>
      </c>
      <c r="D270" s="791">
        <f>-_xlfn.DAYS($C$3,C270)/365.25</f>
      </c>
      <c r="E270" s="800">
        <f>IF($D$17+40&lt;=D270,(1+$D$7)^-(D270-$C$5),(1+$C$7)^-(D270-$C$5))</f>
      </c>
      <c r="F270" s="801">
        <f>IF($C$4="Hombre",(+VLOOKUP(INT(D270)+1,Tablas!$G$9:$K$1240,5,0)*(D270-INT(D270))+VLOOKUP(INT(D270),Tablas!$G$9:$K$1240,5,0)*(INT(D270)+1-D270))/(VLOOKUP(INT($C$5)+1,Tablas!$G$9:$K$1240,5,0)*($C$5-INT($C$5))+VLOOKUP(INT($C$5),Tablas!$G$9:$K$124,5,0)*(INT($C$5)+1-$C$5)),(+VLOOKUP(INT(D270)+1,Tablas!$G$9:$O$1240,9,0)*(D270-INT(D270))+VLOOKUP(INT(D270),Tablas!$G$9:$O$1240,9,0)*(INT(D270)+1-D270))/(VLOOKUP(INT($C$5)+1,Tablas!$G$9:$O$1240,9,0)*($C$5-INT($C$5))+VLOOKUP(INT($C$5),Tablas!$G$9:$O$124,9,0)*(INT($C$5)+1-$C$5)))</f>
      </c>
      <c r="G270" s="791">
        <f>IF($C$4="Hombre",(+VLOOKUP(INT(D270)+1,Tablas!$G$9:$K$1240,5,0)*(D270-INT(D270))+VLOOKUP(INT(D270),Tablas!$G$9:$K$1240,5,0)*(INT(D270)+1-D270)),+VLOOKUP(INT(D270)+1,Tablas!$G$9:$O$1240,9,0)*(D270-INT(D270))+VLOOKUP(INT(D270),Tablas!$G$9:$O$1240,9,0)*(INT(D270)+1-D270))</f>
      </c>
      <c r="H270" s="801">
        <f>+IF(MONTH(B270)=1,H269*(1+$C$9),H269)</f>
      </c>
      <c r="I270" s="791">
        <f>IF(B270&lt;$C$10,0,IF(B270&lt;$C$11,$C$8/12*E270*F270*H270,0))</f>
      </c>
      <c r="J270" s="791">
        <f>I270*12/14+IF(OR(MONTH(C270)=6,MONTH(C270)=12),I270*12/14,0)</f>
      </c>
      <c r="K270" s="801">
        <f>G270/$G$15</f>
      </c>
      <c r="L270" s="760"/>
      <c r="M270" s="767"/>
      <c r="N270" s="168"/>
      <c r="O270" s="768"/>
      <c r="P270" s="170"/>
      <c r="Q270" s="7"/>
      <c r="R270" s="766"/>
      <c r="S270" s="170"/>
      <c r="T270" s="168"/>
      <c r="U270" s="170"/>
    </row>
    <row x14ac:dyDescent="0.25" r="271" customHeight="1" ht="18.75">
      <c r="A271" s="1"/>
      <c r="B271" s="799">
        <f>+DATE(YEAR(B270),MONTH(B270)+1,DAY(B270))</f>
        <v>25569.041666666668</v>
      </c>
      <c r="C271" s="799">
        <f>+B272-1</f>
        <v>25569.041666666668</v>
      </c>
      <c r="D271" s="791">
        <f>-_xlfn.DAYS($C$3,C271)/365.25</f>
      </c>
      <c r="E271" s="800">
        <f>IF($D$17+40&lt;=D271,(1+$D$7)^-(D271-$C$5),(1+$C$7)^-(D271-$C$5))</f>
      </c>
      <c r="F271" s="801">
        <f>IF($C$4="Hombre",(+VLOOKUP(INT(D271)+1,Tablas!$G$9:$K$1240,5,0)*(D271-INT(D271))+VLOOKUP(INT(D271),Tablas!$G$9:$K$1240,5,0)*(INT(D271)+1-D271))/(VLOOKUP(INT($C$5)+1,Tablas!$G$9:$K$1240,5,0)*($C$5-INT($C$5))+VLOOKUP(INT($C$5),Tablas!$G$9:$K$124,5,0)*(INT($C$5)+1-$C$5)),(+VLOOKUP(INT(D271)+1,Tablas!$G$9:$O$1240,9,0)*(D271-INT(D271))+VLOOKUP(INT(D271),Tablas!$G$9:$O$1240,9,0)*(INT(D271)+1-D271))/(VLOOKUP(INT($C$5)+1,Tablas!$G$9:$O$1240,9,0)*($C$5-INT($C$5))+VLOOKUP(INT($C$5),Tablas!$G$9:$O$124,9,0)*(INT($C$5)+1-$C$5)))</f>
      </c>
      <c r="G271" s="791">
        <f>IF($C$4="Hombre",(+VLOOKUP(INT(D271)+1,Tablas!$G$9:$K$1240,5,0)*(D271-INT(D271))+VLOOKUP(INT(D271),Tablas!$G$9:$K$1240,5,0)*(INT(D271)+1-D271)),+VLOOKUP(INT(D271)+1,Tablas!$G$9:$O$1240,9,0)*(D271-INT(D271))+VLOOKUP(INT(D271),Tablas!$G$9:$O$1240,9,0)*(INT(D271)+1-D271))</f>
      </c>
      <c r="H271" s="801">
        <f>+IF(MONTH(B271)=1,H270*(1+$C$9),H270)</f>
      </c>
      <c r="I271" s="791">
        <f>IF(B271&lt;$C$10,0,IF(B271&lt;$C$11,$C$8/12*E271*F271*H271,0))</f>
      </c>
      <c r="J271" s="791">
        <f>I271*12/14+IF(OR(MONTH(C271)=6,MONTH(C271)=12),I271*12/14,0)</f>
      </c>
      <c r="K271" s="801">
        <f>G271/$G$15</f>
      </c>
      <c r="L271" s="760"/>
      <c r="M271" s="767"/>
      <c r="N271" s="168"/>
      <c r="O271" s="768"/>
      <c r="P271" s="170"/>
      <c r="Q271" s="7"/>
      <c r="R271" s="766"/>
      <c r="S271" s="170"/>
      <c r="T271" s="168"/>
      <c r="U271" s="170"/>
    </row>
    <row x14ac:dyDescent="0.25" r="272" customHeight="1" ht="18.75">
      <c r="A272" s="1"/>
      <c r="B272" s="799">
        <f>+DATE(YEAR(B271),MONTH(B271)+1,DAY(B271))</f>
        <v>25569.041666666668</v>
      </c>
      <c r="C272" s="799">
        <f>+B273-1</f>
        <v>25569.041666666668</v>
      </c>
      <c r="D272" s="791">
        <f>-_xlfn.DAYS($C$3,C272)/365.25</f>
      </c>
      <c r="E272" s="800">
        <f>IF($D$17+40&lt;=D272,(1+$D$7)^-(D272-$C$5),(1+$C$7)^-(D272-$C$5))</f>
      </c>
      <c r="F272" s="801">
        <f>IF($C$4="Hombre",(+VLOOKUP(INT(D272)+1,Tablas!$G$9:$K$1240,5,0)*(D272-INT(D272))+VLOOKUP(INT(D272),Tablas!$G$9:$K$1240,5,0)*(INT(D272)+1-D272))/(VLOOKUP(INT($C$5)+1,Tablas!$G$9:$K$1240,5,0)*($C$5-INT($C$5))+VLOOKUP(INT($C$5),Tablas!$G$9:$K$124,5,0)*(INT($C$5)+1-$C$5)),(+VLOOKUP(INT(D272)+1,Tablas!$G$9:$O$1240,9,0)*(D272-INT(D272))+VLOOKUP(INT(D272),Tablas!$G$9:$O$1240,9,0)*(INT(D272)+1-D272))/(VLOOKUP(INT($C$5)+1,Tablas!$G$9:$O$1240,9,0)*($C$5-INT($C$5))+VLOOKUP(INT($C$5),Tablas!$G$9:$O$124,9,0)*(INT($C$5)+1-$C$5)))</f>
      </c>
      <c r="G272" s="791">
        <f>IF($C$4="Hombre",(+VLOOKUP(INT(D272)+1,Tablas!$G$9:$K$1240,5,0)*(D272-INT(D272))+VLOOKUP(INT(D272),Tablas!$G$9:$K$1240,5,0)*(INT(D272)+1-D272)),+VLOOKUP(INT(D272)+1,Tablas!$G$9:$O$1240,9,0)*(D272-INT(D272))+VLOOKUP(INT(D272),Tablas!$G$9:$O$1240,9,0)*(INT(D272)+1-D272))</f>
      </c>
      <c r="H272" s="801">
        <f>+IF(MONTH(B272)=1,H271*(1+$C$9),H271)</f>
      </c>
      <c r="I272" s="791">
        <f>IF(B272&lt;$C$10,0,IF(B272&lt;$C$11,$C$8/12*E272*F272*H272,0))</f>
      </c>
      <c r="J272" s="791">
        <f>I272*12/14+IF(OR(MONTH(C272)=6,MONTH(C272)=12),I272*12/14,0)</f>
      </c>
      <c r="K272" s="801">
        <f>G272/$G$15</f>
      </c>
      <c r="L272" s="760"/>
      <c r="M272" s="767"/>
      <c r="N272" s="168"/>
      <c r="O272" s="768"/>
      <c r="P272" s="170"/>
      <c r="Q272" s="7"/>
      <c r="R272" s="766"/>
      <c r="S272" s="170"/>
      <c r="T272" s="168"/>
      <c r="U272" s="170"/>
    </row>
    <row x14ac:dyDescent="0.25" r="273" customHeight="1" ht="18.75">
      <c r="A273" s="1"/>
      <c r="B273" s="799">
        <f>+DATE(YEAR(B272),MONTH(B272)+1,DAY(B272))</f>
        <v>25569.041666666668</v>
      </c>
      <c r="C273" s="799">
        <f>+B274-1</f>
        <v>25569.041666666668</v>
      </c>
      <c r="D273" s="791">
        <f>-_xlfn.DAYS($C$3,C273)/365.25</f>
      </c>
      <c r="E273" s="800">
        <f>IF($D$17+40&lt;=D273,(1+$D$7)^-(D273-$C$5),(1+$C$7)^-(D273-$C$5))</f>
      </c>
      <c r="F273" s="801">
        <f>IF($C$4="Hombre",(+VLOOKUP(INT(D273)+1,Tablas!$G$9:$K$1240,5,0)*(D273-INT(D273))+VLOOKUP(INT(D273),Tablas!$G$9:$K$1240,5,0)*(INT(D273)+1-D273))/(VLOOKUP(INT($C$5)+1,Tablas!$G$9:$K$1240,5,0)*($C$5-INT($C$5))+VLOOKUP(INT($C$5),Tablas!$G$9:$K$124,5,0)*(INT($C$5)+1-$C$5)),(+VLOOKUP(INT(D273)+1,Tablas!$G$9:$O$1240,9,0)*(D273-INT(D273))+VLOOKUP(INT(D273),Tablas!$G$9:$O$1240,9,0)*(INT(D273)+1-D273))/(VLOOKUP(INT($C$5)+1,Tablas!$G$9:$O$1240,9,0)*($C$5-INT($C$5))+VLOOKUP(INT($C$5),Tablas!$G$9:$O$124,9,0)*(INT($C$5)+1-$C$5)))</f>
      </c>
      <c r="G273" s="791">
        <f>IF($C$4="Hombre",(+VLOOKUP(INT(D273)+1,Tablas!$G$9:$K$1240,5,0)*(D273-INT(D273))+VLOOKUP(INT(D273),Tablas!$G$9:$K$1240,5,0)*(INT(D273)+1-D273)),+VLOOKUP(INT(D273)+1,Tablas!$G$9:$O$1240,9,0)*(D273-INT(D273))+VLOOKUP(INT(D273),Tablas!$G$9:$O$1240,9,0)*(INT(D273)+1-D273))</f>
      </c>
      <c r="H273" s="801">
        <f>+IF(MONTH(B273)=1,H272*(1+$C$9),H272)</f>
      </c>
      <c r="I273" s="791">
        <f>IF(B273&lt;$C$10,0,IF(B273&lt;$C$11,$C$8/12*E273*F273*H273,0))</f>
      </c>
      <c r="J273" s="791">
        <f>I273*12/14+IF(OR(MONTH(C273)=6,MONTH(C273)=12),I273*12/14,0)</f>
      </c>
      <c r="K273" s="801">
        <f>G273/$G$15</f>
      </c>
      <c r="L273" s="760"/>
      <c r="M273" s="767"/>
      <c r="N273" s="168"/>
      <c r="O273" s="768"/>
      <c r="P273" s="170"/>
      <c r="Q273" s="7"/>
      <c r="R273" s="766"/>
      <c r="S273" s="170"/>
      <c r="T273" s="168"/>
      <c r="U273" s="170"/>
    </row>
    <row x14ac:dyDescent="0.25" r="274" customHeight="1" ht="18.75">
      <c r="A274" s="1"/>
      <c r="B274" s="799">
        <f>+DATE(YEAR(B273),MONTH(B273)+1,DAY(B273))</f>
        <v>25569.041666666668</v>
      </c>
      <c r="C274" s="799">
        <f>+B275-1</f>
        <v>25569.041666666668</v>
      </c>
      <c r="D274" s="791">
        <f>-_xlfn.DAYS($C$3,C274)/365.25</f>
      </c>
      <c r="E274" s="800">
        <f>IF($D$17+40&lt;=D274,(1+$D$7)^-(D274-$C$5),(1+$C$7)^-(D274-$C$5))</f>
      </c>
      <c r="F274" s="801">
        <f>IF($C$4="Hombre",(+VLOOKUP(INT(D274)+1,Tablas!$G$9:$K$1240,5,0)*(D274-INT(D274))+VLOOKUP(INT(D274),Tablas!$G$9:$K$1240,5,0)*(INT(D274)+1-D274))/(VLOOKUP(INT($C$5)+1,Tablas!$G$9:$K$1240,5,0)*($C$5-INT($C$5))+VLOOKUP(INT($C$5),Tablas!$G$9:$K$124,5,0)*(INT($C$5)+1-$C$5)),(+VLOOKUP(INT(D274)+1,Tablas!$G$9:$O$1240,9,0)*(D274-INT(D274))+VLOOKUP(INT(D274),Tablas!$G$9:$O$1240,9,0)*(INT(D274)+1-D274))/(VLOOKUP(INT($C$5)+1,Tablas!$G$9:$O$1240,9,0)*($C$5-INT($C$5))+VLOOKUP(INT($C$5),Tablas!$G$9:$O$124,9,0)*(INT($C$5)+1-$C$5)))</f>
      </c>
      <c r="G274" s="791">
        <f>IF($C$4="Hombre",(+VLOOKUP(INT(D274)+1,Tablas!$G$9:$K$1240,5,0)*(D274-INT(D274))+VLOOKUP(INT(D274),Tablas!$G$9:$K$1240,5,0)*(INT(D274)+1-D274)),+VLOOKUP(INT(D274)+1,Tablas!$G$9:$O$1240,9,0)*(D274-INT(D274))+VLOOKUP(INT(D274),Tablas!$G$9:$O$1240,9,0)*(INT(D274)+1-D274))</f>
      </c>
      <c r="H274" s="801">
        <f>+IF(MONTH(B274)=1,H273*(1+$C$9),H273)</f>
      </c>
      <c r="I274" s="791">
        <f>IF(B274&lt;$C$10,0,IF(B274&lt;$C$11,$C$8/12*E274*F274*H274,0))</f>
      </c>
      <c r="J274" s="791">
        <f>I274*12/14+IF(OR(MONTH(C274)=6,MONTH(C274)=12),I274*12/14,0)</f>
      </c>
      <c r="K274" s="801">
        <f>G274/$G$15</f>
      </c>
      <c r="L274" s="760"/>
      <c r="M274" s="767"/>
      <c r="N274" s="168"/>
      <c r="O274" s="768"/>
      <c r="P274" s="170"/>
      <c r="Q274" s="7"/>
      <c r="R274" s="766"/>
      <c r="S274" s="170"/>
      <c r="T274" s="168"/>
      <c r="U274" s="170"/>
    </row>
    <row x14ac:dyDescent="0.25" r="275" customHeight="1" ht="18.75">
      <c r="A275" s="1"/>
      <c r="B275" s="799">
        <f>+DATE(YEAR(B274),MONTH(B274)+1,DAY(B274))</f>
        <v>25569.041666666668</v>
      </c>
      <c r="C275" s="799">
        <f>+B276-1</f>
        <v>25569.041666666668</v>
      </c>
      <c r="D275" s="791">
        <f>-_xlfn.DAYS($C$3,C275)/365.25</f>
      </c>
      <c r="E275" s="800">
        <f>IF($D$17+40&lt;=D275,(1+$D$7)^-(D275-$C$5),(1+$C$7)^-(D275-$C$5))</f>
      </c>
      <c r="F275" s="801">
        <f>IF($C$4="Hombre",(+VLOOKUP(INT(D275)+1,Tablas!$G$9:$K$1240,5,0)*(D275-INT(D275))+VLOOKUP(INT(D275),Tablas!$G$9:$K$1240,5,0)*(INT(D275)+1-D275))/(VLOOKUP(INT($C$5)+1,Tablas!$G$9:$K$1240,5,0)*($C$5-INT($C$5))+VLOOKUP(INT($C$5),Tablas!$G$9:$K$124,5,0)*(INT($C$5)+1-$C$5)),(+VLOOKUP(INT(D275)+1,Tablas!$G$9:$O$1240,9,0)*(D275-INT(D275))+VLOOKUP(INT(D275),Tablas!$G$9:$O$1240,9,0)*(INT(D275)+1-D275))/(VLOOKUP(INT($C$5)+1,Tablas!$G$9:$O$1240,9,0)*($C$5-INT($C$5))+VLOOKUP(INT($C$5),Tablas!$G$9:$O$124,9,0)*(INT($C$5)+1-$C$5)))</f>
      </c>
      <c r="G275" s="791">
        <f>IF($C$4="Hombre",(+VLOOKUP(INT(D275)+1,Tablas!$G$9:$K$1240,5,0)*(D275-INT(D275))+VLOOKUP(INT(D275),Tablas!$G$9:$K$1240,5,0)*(INT(D275)+1-D275)),+VLOOKUP(INT(D275)+1,Tablas!$G$9:$O$1240,9,0)*(D275-INT(D275))+VLOOKUP(INT(D275),Tablas!$G$9:$O$1240,9,0)*(INT(D275)+1-D275))</f>
      </c>
      <c r="H275" s="801">
        <f>+IF(MONTH(B275)=1,H274*(1+$C$9),H274)</f>
      </c>
      <c r="I275" s="791">
        <f>IF(B275&lt;$C$10,0,IF(B275&lt;$C$11,$C$8/12*E275*F275*H275,0))</f>
      </c>
      <c r="J275" s="791">
        <f>I275*12/14+IF(OR(MONTH(C275)=6,MONTH(C275)=12),I275*12/14,0)</f>
      </c>
      <c r="K275" s="801">
        <f>G275/$G$15</f>
      </c>
      <c r="L275" s="760"/>
      <c r="M275" s="767"/>
      <c r="N275" s="168"/>
      <c r="O275" s="768"/>
      <c r="P275" s="170"/>
      <c r="Q275" s="7"/>
      <c r="R275" s="766"/>
      <c r="S275" s="170"/>
      <c r="T275" s="168"/>
      <c r="U275" s="170"/>
    </row>
    <row x14ac:dyDescent="0.25" r="276" customHeight="1" ht="18.75">
      <c r="A276" s="1"/>
      <c r="B276" s="799">
        <f>+DATE(YEAR(B275),MONTH(B275)+1,DAY(B275))</f>
        <v>25569.041666666668</v>
      </c>
      <c r="C276" s="799">
        <f>+B277-1</f>
        <v>25569.041666666668</v>
      </c>
      <c r="D276" s="791">
        <f>-_xlfn.DAYS($C$3,C276)/365.25</f>
      </c>
      <c r="E276" s="800">
        <f>IF($D$17+40&lt;=D276,(1+$D$7)^-(D276-$C$5),(1+$C$7)^-(D276-$C$5))</f>
      </c>
      <c r="F276" s="801">
        <f>IF($C$4="Hombre",(+VLOOKUP(INT(D276)+1,Tablas!$G$9:$K$1240,5,0)*(D276-INT(D276))+VLOOKUP(INT(D276),Tablas!$G$9:$K$1240,5,0)*(INT(D276)+1-D276))/(VLOOKUP(INT($C$5)+1,Tablas!$G$9:$K$1240,5,0)*($C$5-INT($C$5))+VLOOKUP(INT($C$5),Tablas!$G$9:$K$124,5,0)*(INT($C$5)+1-$C$5)),(+VLOOKUP(INT(D276)+1,Tablas!$G$9:$O$1240,9,0)*(D276-INT(D276))+VLOOKUP(INT(D276),Tablas!$G$9:$O$1240,9,0)*(INT(D276)+1-D276))/(VLOOKUP(INT($C$5)+1,Tablas!$G$9:$O$1240,9,0)*($C$5-INT($C$5))+VLOOKUP(INT($C$5),Tablas!$G$9:$O$124,9,0)*(INT($C$5)+1-$C$5)))</f>
      </c>
      <c r="G276" s="791">
        <f>IF($C$4="Hombre",(+VLOOKUP(INT(D276)+1,Tablas!$G$9:$K$1240,5,0)*(D276-INT(D276))+VLOOKUP(INT(D276),Tablas!$G$9:$K$1240,5,0)*(INT(D276)+1-D276)),+VLOOKUP(INT(D276)+1,Tablas!$G$9:$O$1240,9,0)*(D276-INT(D276))+VLOOKUP(INT(D276),Tablas!$G$9:$O$1240,9,0)*(INT(D276)+1-D276))</f>
      </c>
      <c r="H276" s="801">
        <f>+IF(MONTH(B276)=1,H275*(1+$C$9),H275)</f>
      </c>
      <c r="I276" s="791">
        <f>IF(B276&lt;$C$10,0,IF(B276&lt;$C$11,$C$8/12*E276*F276*H276,0))</f>
      </c>
      <c r="J276" s="791">
        <f>I276*12/14+IF(OR(MONTH(C276)=6,MONTH(C276)=12),I276*12/14,0)</f>
      </c>
      <c r="K276" s="801">
        <f>G276/$G$15</f>
      </c>
      <c r="L276" s="760"/>
      <c r="M276" s="767"/>
      <c r="N276" s="168"/>
      <c r="O276" s="768"/>
      <c r="P276" s="170"/>
      <c r="Q276" s="7"/>
      <c r="R276" s="766"/>
      <c r="S276" s="170"/>
      <c r="T276" s="168"/>
      <c r="U276" s="170"/>
    </row>
    <row x14ac:dyDescent="0.25" r="277" customHeight="1" ht="18.75">
      <c r="A277" s="1"/>
      <c r="B277" s="799">
        <f>+DATE(YEAR(B276),MONTH(B276)+1,DAY(B276))</f>
        <v>25569.041666666668</v>
      </c>
      <c r="C277" s="799">
        <f>+B278-1</f>
        <v>25569.041666666668</v>
      </c>
      <c r="D277" s="791">
        <f>-_xlfn.DAYS($C$3,C277)/365.25</f>
      </c>
      <c r="E277" s="800">
        <f>IF($D$17+40&lt;=D277,(1+$D$7)^-(D277-$C$5),(1+$C$7)^-(D277-$C$5))</f>
      </c>
      <c r="F277" s="801">
        <f>IF($C$4="Hombre",(+VLOOKUP(INT(D277)+1,Tablas!$G$9:$K$1240,5,0)*(D277-INT(D277))+VLOOKUP(INT(D277),Tablas!$G$9:$K$1240,5,0)*(INT(D277)+1-D277))/(VLOOKUP(INT($C$5)+1,Tablas!$G$9:$K$1240,5,0)*($C$5-INT($C$5))+VLOOKUP(INT($C$5),Tablas!$G$9:$K$124,5,0)*(INT($C$5)+1-$C$5)),(+VLOOKUP(INT(D277)+1,Tablas!$G$9:$O$1240,9,0)*(D277-INT(D277))+VLOOKUP(INT(D277),Tablas!$G$9:$O$1240,9,0)*(INT(D277)+1-D277))/(VLOOKUP(INT($C$5)+1,Tablas!$G$9:$O$1240,9,0)*($C$5-INT($C$5))+VLOOKUP(INT($C$5),Tablas!$G$9:$O$124,9,0)*(INT($C$5)+1-$C$5)))</f>
      </c>
      <c r="G277" s="791">
        <f>IF($C$4="Hombre",(+VLOOKUP(INT(D277)+1,Tablas!$G$9:$K$1240,5,0)*(D277-INT(D277))+VLOOKUP(INT(D277),Tablas!$G$9:$K$1240,5,0)*(INT(D277)+1-D277)),+VLOOKUP(INT(D277)+1,Tablas!$G$9:$O$1240,9,0)*(D277-INT(D277))+VLOOKUP(INT(D277),Tablas!$G$9:$O$1240,9,0)*(INT(D277)+1-D277))</f>
      </c>
      <c r="H277" s="801">
        <f>+IF(MONTH(B277)=1,H276*(1+$C$9),H276)</f>
      </c>
      <c r="I277" s="791">
        <f>IF(B277&lt;$C$10,0,IF(B277&lt;$C$11,$C$8/12*E277*F277*H277,0))</f>
      </c>
      <c r="J277" s="791">
        <f>I277*12/14+IF(OR(MONTH(C277)=6,MONTH(C277)=12),I277*12/14,0)</f>
      </c>
      <c r="K277" s="801">
        <f>G277/$G$15</f>
      </c>
      <c r="L277" s="760"/>
      <c r="M277" s="767"/>
      <c r="N277" s="168"/>
      <c r="O277" s="768"/>
      <c r="P277" s="170"/>
      <c r="Q277" s="7"/>
      <c r="R277" s="766"/>
      <c r="S277" s="170"/>
      <c r="T277" s="168"/>
      <c r="U277" s="170"/>
    </row>
    <row x14ac:dyDescent="0.25" r="278" customHeight="1" ht="18.75">
      <c r="A278" s="1"/>
      <c r="B278" s="799">
        <f>+DATE(YEAR(B277),MONTH(B277)+1,DAY(B277))</f>
        <v>25569.041666666668</v>
      </c>
      <c r="C278" s="799">
        <f>+B279-1</f>
        <v>25569.041666666668</v>
      </c>
      <c r="D278" s="791">
        <f>-_xlfn.DAYS($C$3,C278)/365.25</f>
      </c>
      <c r="E278" s="800">
        <f>IF($D$17+40&lt;=D278,(1+$D$7)^-(D278-$C$5),(1+$C$7)^-(D278-$C$5))</f>
      </c>
      <c r="F278" s="801">
        <f>IF($C$4="Hombre",(+VLOOKUP(INT(D278)+1,Tablas!$G$9:$K$1240,5,0)*(D278-INT(D278))+VLOOKUP(INT(D278),Tablas!$G$9:$K$1240,5,0)*(INT(D278)+1-D278))/(VLOOKUP(INT($C$5)+1,Tablas!$G$9:$K$1240,5,0)*($C$5-INT($C$5))+VLOOKUP(INT($C$5),Tablas!$G$9:$K$124,5,0)*(INT($C$5)+1-$C$5)),(+VLOOKUP(INT(D278)+1,Tablas!$G$9:$O$1240,9,0)*(D278-INT(D278))+VLOOKUP(INT(D278),Tablas!$G$9:$O$1240,9,0)*(INT(D278)+1-D278))/(VLOOKUP(INT($C$5)+1,Tablas!$G$9:$O$1240,9,0)*($C$5-INT($C$5))+VLOOKUP(INT($C$5),Tablas!$G$9:$O$124,9,0)*(INT($C$5)+1-$C$5)))</f>
      </c>
      <c r="G278" s="791">
        <f>IF($C$4="Hombre",(+VLOOKUP(INT(D278)+1,Tablas!$G$9:$K$1240,5,0)*(D278-INT(D278))+VLOOKUP(INT(D278),Tablas!$G$9:$K$1240,5,0)*(INT(D278)+1-D278)),+VLOOKUP(INT(D278)+1,Tablas!$G$9:$O$1240,9,0)*(D278-INT(D278))+VLOOKUP(INT(D278),Tablas!$G$9:$O$1240,9,0)*(INT(D278)+1-D278))</f>
      </c>
      <c r="H278" s="801">
        <f>+IF(MONTH(B278)=1,H277*(1+$C$9),H277)</f>
      </c>
      <c r="I278" s="791">
        <f>IF(B278&lt;$C$10,0,IF(B278&lt;$C$11,$C$8/12*E278*F278*H278,0))</f>
      </c>
      <c r="J278" s="791">
        <f>I278*12/14+IF(OR(MONTH(C278)=6,MONTH(C278)=12),I278*12/14,0)</f>
      </c>
      <c r="K278" s="801">
        <f>G278/$G$15</f>
      </c>
      <c r="L278" s="760"/>
      <c r="M278" s="767"/>
      <c r="N278" s="168"/>
      <c r="O278" s="768"/>
      <c r="P278" s="170"/>
      <c r="Q278" s="7"/>
      <c r="R278" s="766"/>
      <c r="S278" s="170"/>
      <c r="T278" s="168"/>
      <c r="U278" s="170"/>
    </row>
    <row x14ac:dyDescent="0.25" r="279" customHeight="1" ht="18.75">
      <c r="A279" s="1"/>
      <c r="B279" s="799">
        <f>+DATE(YEAR(B278),MONTH(B278)+1,DAY(B278))</f>
        <v>25569.041666666668</v>
      </c>
      <c r="C279" s="799">
        <f>+B280-1</f>
        <v>25569.041666666668</v>
      </c>
      <c r="D279" s="791">
        <f>-_xlfn.DAYS($C$3,C279)/365.25</f>
      </c>
      <c r="E279" s="800">
        <f>IF($D$17+40&lt;=D279,(1+$D$7)^-(D279-$C$5),(1+$C$7)^-(D279-$C$5))</f>
      </c>
      <c r="F279" s="801">
        <f>IF($C$4="Hombre",(+VLOOKUP(INT(D279)+1,Tablas!$G$9:$K$1240,5,0)*(D279-INT(D279))+VLOOKUP(INT(D279),Tablas!$G$9:$K$1240,5,0)*(INT(D279)+1-D279))/(VLOOKUP(INT($C$5)+1,Tablas!$G$9:$K$1240,5,0)*($C$5-INT($C$5))+VLOOKUP(INT($C$5),Tablas!$G$9:$K$124,5,0)*(INT($C$5)+1-$C$5)),(+VLOOKUP(INT(D279)+1,Tablas!$G$9:$O$1240,9,0)*(D279-INT(D279))+VLOOKUP(INT(D279),Tablas!$G$9:$O$1240,9,0)*(INT(D279)+1-D279))/(VLOOKUP(INT($C$5)+1,Tablas!$G$9:$O$1240,9,0)*($C$5-INT($C$5))+VLOOKUP(INT($C$5),Tablas!$G$9:$O$124,9,0)*(INT($C$5)+1-$C$5)))</f>
      </c>
      <c r="G279" s="791">
        <f>IF($C$4="Hombre",(+VLOOKUP(INT(D279)+1,Tablas!$G$9:$K$1240,5,0)*(D279-INT(D279))+VLOOKUP(INT(D279),Tablas!$G$9:$K$1240,5,0)*(INT(D279)+1-D279)),+VLOOKUP(INT(D279)+1,Tablas!$G$9:$O$1240,9,0)*(D279-INT(D279))+VLOOKUP(INT(D279),Tablas!$G$9:$O$1240,9,0)*(INT(D279)+1-D279))</f>
      </c>
      <c r="H279" s="801">
        <f>+IF(MONTH(B279)=1,H278*(1+$C$9),H278)</f>
      </c>
      <c r="I279" s="791">
        <f>IF(B279&lt;$C$10,0,IF(B279&lt;$C$11,$C$8/12*E279*F279*H279,0))</f>
      </c>
      <c r="J279" s="791">
        <f>I279*12/14+IF(OR(MONTH(C279)=6,MONTH(C279)=12),I279*12/14,0)</f>
      </c>
      <c r="K279" s="801">
        <f>G279/$G$15</f>
      </c>
      <c r="L279" s="760"/>
      <c r="M279" s="767"/>
      <c r="N279" s="168"/>
      <c r="O279" s="768"/>
      <c r="P279" s="170"/>
      <c r="Q279" s="7"/>
      <c r="R279" s="766"/>
      <c r="S279" s="170"/>
      <c r="T279" s="168"/>
      <c r="U279" s="170"/>
    </row>
    <row x14ac:dyDescent="0.25" r="280" customHeight="1" ht="18.75">
      <c r="A280" s="1"/>
      <c r="B280" s="799">
        <f>+DATE(YEAR(B279),MONTH(B279)+1,DAY(B279))</f>
        <v>25569.041666666668</v>
      </c>
      <c r="C280" s="799">
        <f>+B281-1</f>
        <v>25569.041666666668</v>
      </c>
      <c r="D280" s="791">
        <f>-_xlfn.DAYS($C$3,C280)/365.25</f>
      </c>
      <c r="E280" s="800">
        <f>IF($D$17+40&lt;=D280,(1+$D$7)^-(D280-$C$5),(1+$C$7)^-(D280-$C$5))</f>
      </c>
      <c r="F280" s="801">
        <f>IF($C$4="Hombre",(+VLOOKUP(INT(D280)+1,Tablas!$G$9:$K$1240,5,0)*(D280-INT(D280))+VLOOKUP(INT(D280),Tablas!$G$9:$K$1240,5,0)*(INT(D280)+1-D280))/(VLOOKUP(INT($C$5)+1,Tablas!$G$9:$K$1240,5,0)*($C$5-INT($C$5))+VLOOKUP(INT($C$5),Tablas!$G$9:$K$124,5,0)*(INT($C$5)+1-$C$5)),(+VLOOKUP(INT(D280)+1,Tablas!$G$9:$O$1240,9,0)*(D280-INT(D280))+VLOOKUP(INT(D280),Tablas!$G$9:$O$1240,9,0)*(INT(D280)+1-D280))/(VLOOKUP(INT($C$5)+1,Tablas!$G$9:$O$1240,9,0)*($C$5-INT($C$5))+VLOOKUP(INT($C$5),Tablas!$G$9:$O$124,9,0)*(INT($C$5)+1-$C$5)))</f>
      </c>
      <c r="G280" s="791">
        <f>IF($C$4="Hombre",(+VLOOKUP(INT(D280)+1,Tablas!$G$9:$K$1240,5,0)*(D280-INT(D280))+VLOOKUP(INT(D280),Tablas!$G$9:$K$1240,5,0)*(INT(D280)+1-D280)),+VLOOKUP(INT(D280)+1,Tablas!$G$9:$O$1240,9,0)*(D280-INT(D280))+VLOOKUP(INT(D280),Tablas!$G$9:$O$1240,9,0)*(INT(D280)+1-D280))</f>
      </c>
      <c r="H280" s="801">
        <f>+IF(MONTH(B280)=1,H279*(1+$C$9),H279)</f>
      </c>
      <c r="I280" s="791">
        <f>IF(B280&lt;$C$10,0,IF(B280&lt;$C$11,$C$8/12*E280*F280*H280,0))</f>
      </c>
      <c r="J280" s="791">
        <f>I280*12/14+IF(OR(MONTH(C280)=6,MONTH(C280)=12),I280*12/14,0)</f>
      </c>
      <c r="K280" s="801">
        <f>G280/$G$15</f>
      </c>
      <c r="L280" s="760"/>
      <c r="M280" s="767"/>
      <c r="N280" s="168"/>
      <c r="O280" s="768"/>
      <c r="P280" s="170"/>
      <c r="Q280" s="7"/>
      <c r="R280" s="766"/>
      <c r="S280" s="170"/>
      <c r="T280" s="168"/>
      <c r="U280" s="170"/>
    </row>
    <row x14ac:dyDescent="0.25" r="281" customHeight="1" ht="18.75">
      <c r="A281" s="1"/>
      <c r="B281" s="799">
        <f>+DATE(YEAR(B280),MONTH(B280)+1,DAY(B280))</f>
        <v>25569.041666666668</v>
      </c>
      <c r="C281" s="799">
        <f>+B282-1</f>
        <v>25569.041666666668</v>
      </c>
      <c r="D281" s="791">
        <f>-_xlfn.DAYS($C$3,C281)/365.25</f>
      </c>
      <c r="E281" s="800">
        <f>IF($D$17+40&lt;=D281,(1+$D$7)^-(D281-$C$5),(1+$C$7)^-(D281-$C$5))</f>
      </c>
      <c r="F281" s="801">
        <f>IF($C$4="Hombre",(+VLOOKUP(INT(D281)+1,Tablas!$G$9:$K$1240,5,0)*(D281-INT(D281))+VLOOKUP(INT(D281),Tablas!$G$9:$K$1240,5,0)*(INT(D281)+1-D281))/(VLOOKUP(INT($C$5)+1,Tablas!$G$9:$K$1240,5,0)*($C$5-INT($C$5))+VLOOKUP(INT($C$5),Tablas!$G$9:$K$124,5,0)*(INT($C$5)+1-$C$5)),(+VLOOKUP(INT(D281)+1,Tablas!$G$9:$O$1240,9,0)*(D281-INT(D281))+VLOOKUP(INT(D281),Tablas!$G$9:$O$1240,9,0)*(INT(D281)+1-D281))/(VLOOKUP(INT($C$5)+1,Tablas!$G$9:$O$1240,9,0)*($C$5-INT($C$5))+VLOOKUP(INT($C$5),Tablas!$G$9:$O$124,9,0)*(INT($C$5)+1-$C$5)))</f>
      </c>
      <c r="G281" s="791">
        <f>IF($C$4="Hombre",(+VLOOKUP(INT(D281)+1,Tablas!$G$9:$K$1240,5,0)*(D281-INT(D281))+VLOOKUP(INT(D281),Tablas!$G$9:$K$1240,5,0)*(INT(D281)+1-D281)),+VLOOKUP(INT(D281)+1,Tablas!$G$9:$O$1240,9,0)*(D281-INT(D281))+VLOOKUP(INT(D281),Tablas!$G$9:$O$1240,9,0)*(INT(D281)+1-D281))</f>
      </c>
      <c r="H281" s="801">
        <f>+IF(MONTH(B281)=1,H280*(1+$C$9),H280)</f>
      </c>
      <c r="I281" s="791">
        <f>IF(B281&lt;$C$10,0,IF(B281&lt;$C$11,$C$8/12*E281*F281*H281,0))</f>
      </c>
      <c r="J281" s="791">
        <f>I281*12/14+IF(OR(MONTH(C281)=6,MONTH(C281)=12),I281*12/14,0)</f>
      </c>
      <c r="K281" s="801">
        <f>G281/$G$15</f>
      </c>
      <c r="L281" s="760"/>
      <c r="M281" s="767"/>
      <c r="N281" s="168"/>
      <c r="O281" s="768"/>
      <c r="P281" s="170"/>
      <c r="Q281" s="7"/>
      <c r="R281" s="766"/>
      <c r="S281" s="170"/>
      <c r="T281" s="168"/>
      <c r="U281" s="170"/>
    </row>
    <row x14ac:dyDescent="0.25" r="282" customHeight="1" ht="18.75">
      <c r="A282" s="1"/>
      <c r="B282" s="799">
        <f>+DATE(YEAR(B281),MONTH(B281)+1,DAY(B281))</f>
        <v>25569.041666666668</v>
      </c>
      <c r="C282" s="799">
        <f>+B283-1</f>
        <v>25569.041666666668</v>
      </c>
      <c r="D282" s="791">
        <f>-_xlfn.DAYS($C$3,C282)/365.25</f>
      </c>
      <c r="E282" s="800">
        <f>IF($D$17+40&lt;=D282,(1+$D$7)^-(D282-$C$5),(1+$C$7)^-(D282-$C$5))</f>
      </c>
      <c r="F282" s="801">
        <f>IF($C$4="Hombre",(+VLOOKUP(INT(D282)+1,Tablas!$G$9:$K$1240,5,0)*(D282-INT(D282))+VLOOKUP(INT(D282),Tablas!$G$9:$K$1240,5,0)*(INT(D282)+1-D282))/(VLOOKUP(INT($C$5)+1,Tablas!$G$9:$K$1240,5,0)*($C$5-INT($C$5))+VLOOKUP(INT($C$5),Tablas!$G$9:$K$124,5,0)*(INT($C$5)+1-$C$5)),(+VLOOKUP(INT(D282)+1,Tablas!$G$9:$O$1240,9,0)*(D282-INT(D282))+VLOOKUP(INT(D282),Tablas!$G$9:$O$1240,9,0)*(INT(D282)+1-D282))/(VLOOKUP(INT($C$5)+1,Tablas!$G$9:$O$1240,9,0)*($C$5-INT($C$5))+VLOOKUP(INT($C$5),Tablas!$G$9:$O$124,9,0)*(INT($C$5)+1-$C$5)))</f>
      </c>
      <c r="G282" s="791">
        <f>IF($C$4="Hombre",(+VLOOKUP(INT(D282)+1,Tablas!$G$9:$K$1240,5,0)*(D282-INT(D282))+VLOOKUP(INT(D282),Tablas!$G$9:$K$1240,5,0)*(INT(D282)+1-D282)),+VLOOKUP(INT(D282)+1,Tablas!$G$9:$O$1240,9,0)*(D282-INT(D282))+VLOOKUP(INT(D282),Tablas!$G$9:$O$1240,9,0)*(INT(D282)+1-D282))</f>
      </c>
      <c r="H282" s="801">
        <f>+IF(MONTH(B282)=1,H281*(1+$C$9),H281)</f>
      </c>
      <c r="I282" s="791">
        <f>IF(B282&lt;$C$10,0,IF(B282&lt;$C$11,$C$8/12*E282*F282*H282,0))</f>
      </c>
      <c r="J282" s="791">
        <f>I282*12/14+IF(OR(MONTH(C282)=6,MONTH(C282)=12),I282*12/14,0)</f>
      </c>
      <c r="K282" s="801">
        <f>G282/$G$15</f>
      </c>
      <c r="L282" s="760"/>
      <c r="M282" s="767"/>
      <c r="N282" s="168"/>
      <c r="O282" s="768"/>
      <c r="P282" s="170"/>
      <c r="Q282" s="7"/>
      <c r="R282" s="766"/>
      <c r="S282" s="170"/>
      <c r="T282" s="168"/>
      <c r="U282" s="170"/>
    </row>
    <row x14ac:dyDescent="0.25" r="283" customHeight="1" ht="18.75">
      <c r="A283" s="1"/>
      <c r="B283" s="799">
        <f>+DATE(YEAR(B282),MONTH(B282)+1,DAY(B282))</f>
        <v>25569.041666666668</v>
      </c>
      <c r="C283" s="799">
        <f>+B284-1</f>
        <v>25569.041666666668</v>
      </c>
      <c r="D283" s="791">
        <f>-_xlfn.DAYS($C$3,C283)/365.25</f>
      </c>
      <c r="E283" s="800">
        <f>IF($D$17+40&lt;=D283,(1+$D$7)^-(D283-$C$5),(1+$C$7)^-(D283-$C$5))</f>
      </c>
      <c r="F283" s="801">
        <f>IF($C$4="Hombre",(+VLOOKUP(INT(D283)+1,Tablas!$G$9:$K$1240,5,0)*(D283-INT(D283))+VLOOKUP(INT(D283),Tablas!$G$9:$K$1240,5,0)*(INT(D283)+1-D283))/(VLOOKUP(INT($C$5)+1,Tablas!$G$9:$K$1240,5,0)*($C$5-INT($C$5))+VLOOKUP(INT($C$5),Tablas!$G$9:$K$124,5,0)*(INT($C$5)+1-$C$5)),(+VLOOKUP(INT(D283)+1,Tablas!$G$9:$O$1240,9,0)*(D283-INT(D283))+VLOOKUP(INT(D283),Tablas!$G$9:$O$1240,9,0)*(INT(D283)+1-D283))/(VLOOKUP(INT($C$5)+1,Tablas!$G$9:$O$1240,9,0)*($C$5-INT($C$5))+VLOOKUP(INT($C$5),Tablas!$G$9:$O$124,9,0)*(INT($C$5)+1-$C$5)))</f>
      </c>
      <c r="G283" s="791">
        <f>IF($C$4="Hombre",(+VLOOKUP(INT(D283)+1,Tablas!$G$9:$K$1240,5,0)*(D283-INT(D283))+VLOOKUP(INT(D283),Tablas!$G$9:$K$1240,5,0)*(INT(D283)+1-D283)),+VLOOKUP(INT(D283)+1,Tablas!$G$9:$O$1240,9,0)*(D283-INT(D283))+VLOOKUP(INT(D283),Tablas!$G$9:$O$1240,9,0)*(INT(D283)+1-D283))</f>
      </c>
      <c r="H283" s="801">
        <f>+IF(MONTH(B283)=1,H282*(1+$C$9),H282)</f>
      </c>
      <c r="I283" s="791">
        <f>IF(B283&lt;$C$10,0,IF(B283&lt;$C$11,$C$8/12*E283*F283*H283,0))</f>
      </c>
      <c r="J283" s="791">
        <f>I283*12/14+IF(OR(MONTH(C283)=6,MONTH(C283)=12),I283*12/14,0)</f>
      </c>
      <c r="K283" s="801">
        <f>G283/$G$15</f>
      </c>
      <c r="L283" s="760"/>
      <c r="M283" s="767"/>
      <c r="N283" s="168"/>
      <c r="O283" s="768"/>
      <c r="P283" s="170"/>
      <c r="Q283" s="7"/>
      <c r="R283" s="766"/>
      <c r="S283" s="170"/>
      <c r="T283" s="168"/>
      <c r="U283" s="170"/>
    </row>
    <row x14ac:dyDescent="0.25" r="284" customHeight="1" ht="18.75">
      <c r="A284" s="1"/>
      <c r="B284" s="799">
        <f>+DATE(YEAR(B283),MONTH(B283)+1,DAY(B283))</f>
        <v>25569.041666666668</v>
      </c>
      <c r="C284" s="799">
        <f>+B285-1</f>
        <v>25569.041666666668</v>
      </c>
      <c r="D284" s="791">
        <f>-_xlfn.DAYS($C$3,C284)/365.25</f>
      </c>
      <c r="E284" s="800">
        <f>IF($D$17+40&lt;=D284,(1+$D$7)^-(D284-$C$5),(1+$C$7)^-(D284-$C$5))</f>
      </c>
      <c r="F284" s="801">
        <f>IF($C$4="Hombre",(+VLOOKUP(INT(D284)+1,Tablas!$G$9:$K$1240,5,0)*(D284-INT(D284))+VLOOKUP(INT(D284),Tablas!$G$9:$K$1240,5,0)*(INT(D284)+1-D284))/(VLOOKUP(INT($C$5)+1,Tablas!$G$9:$K$1240,5,0)*($C$5-INT($C$5))+VLOOKUP(INT($C$5),Tablas!$G$9:$K$124,5,0)*(INT($C$5)+1-$C$5)),(+VLOOKUP(INT(D284)+1,Tablas!$G$9:$O$1240,9,0)*(D284-INT(D284))+VLOOKUP(INT(D284),Tablas!$G$9:$O$1240,9,0)*(INT(D284)+1-D284))/(VLOOKUP(INT($C$5)+1,Tablas!$G$9:$O$1240,9,0)*($C$5-INT($C$5))+VLOOKUP(INT($C$5),Tablas!$G$9:$O$124,9,0)*(INT($C$5)+1-$C$5)))</f>
      </c>
      <c r="G284" s="791">
        <f>IF($C$4="Hombre",(+VLOOKUP(INT(D284)+1,Tablas!$G$9:$K$1240,5,0)*(D284-INT(D284))+VLOOKUP(INT(D284),Tablas!$G$9:$K$1240,5,0)*(INT(D284)+1-D284)),+VLOOKUP(INT(D284)+1,Tablas!$G$9:$O$1240,9,0)*(D284-INT(D284))+VLOOKUP(INT(D284),Tablas!$G$9:$O$1240,9,0)*(INT(D284)+1-D284))</f>
      </c>
      <c r="H284" s="801">
        <f>+IF(MONTH(B284)=1,H283*(1+$C$9),H283)</f>
      </c>
      <c r="I284" s="791">
        <f>IF(B284&lt;$C$10,0,IF(B284&lt;$C$11,$C$8/12*E284*F284*H284,0))</f>
      </c>
      <c r="J284" s="791">
        <f>I284*12/14+IF(OR(MONTH(C284)=6,MONTH(C284)=12),I284*12/14,0)</f>
      </c>
      <c r="K284" s="801">
        <f>G284/$G$15</f>
      </c>
      <c r="L284" s="760"/>
      <c r="M284" s="767"/>
      <c r="N284" s="168"/>
      <c r="O284" s="768"/>
      <c r="P284" s="170"/>
      <c r="Q284" s="7"/>
      <c r="R284" s="766"/>
      <c r="S284" s="170"/>
      <c r="T284" s="168"/>
      <c r="U284" s="170"/>
    </row>
    <row x14ac:dyDescent="0.25" r="285" customHeight="1" ht="18.75">
      <c r="A285" s="1"/>
      <c r="B285" s="799">
        <f>+DATE(YEAR(B284),MONTH(B284)+1,DAY(B284))</f>
        <v>25569.041666666668</v>
      </c>
      <c r="C285" s="799">
        <f>+B286-1</f>
        <v>25569.041666666668</v>
      </c>
      <c r="D285" s="791">
        <f>-_xlfn.DAYS($C$3,C285)/365.25</f>
      </c>
      <c r="E285" s="800">
        <f>IF($D$17+40&lt;=D285,(1+$D$7)^-(D285-$C$5),(1+$C$7)^-(D285-$C$5))</f>
      </c>
      <c r="F285" s="801">
        <f>IF($C$4="Hombre",(+VLOOKUP(INT(D285)+1,Tablas!$G$9:$K$1240,5,0)*(D285-INT(D285))+VLOOKUP(INT(D285),Tablas!$G$9:$K$1240,5,0)*(INT(D285)+1-D285))/(VLOOKUP(INT($C$5)+1,Tablas!$G$9:$K$1240,5,0)*($C$5-INT($C$5))+VLOOKUP(INT($C$5),Tablas!$G$9:$K$124,5,0)*(INT($C$5)+1-$C$5)),(+VLOOKUP(INT(D285)+1,Tablas!$G$9:$O$1240,9,0)*(D285-INT(D285))+VLOOKUP(INT(D285),Tablas!$G$9:$O$1240,9,0)*(INT(D285)+1-D285))/(VLOOKUP(INT($C$5)+1,Tablas!$G$9:$O$1240,9,0)*($C$5-INT($C$5))+VLOOKUP(INT($C$5),Tablas!$G$9:$O$124,9,0)*(INT($C$5)+1-$C$5)))</f>
      </c>
      <c r="G285" s="791">
        <f>IF($C$4="Hombre",(+VLOOKUP(INT(D285)+1,Tablas!$G$9:$K$1240,5,0)*(D285-INT(D285))+VLOOKUP(INT(D285),Tablas!$G$9:$K$1240,5,0)*(INT(D285)+1-D285)),+VLOOKUP(INT(D285)+1,Tablas!$G$9:$O$1240,9,0)*(D285-INT(D285))+VLOOKUP(INT(D285),Tablas!$G$9:$O$1240,9,0)*(INT(D285)+1-D285))</f>
      </c>
      <c r="H285" s="801">
        <f>+IF(MONTH(B285)=1,H284*(1+$C$9),H284)</f>
      </c>
      <c r="I285" s="791">
        <f>IF(B285&lt;$C$10,0,IF(B285&lt;$C$11,$C$8/12*E285*F285*H285,0))</f>
      </c>
      <c r="J285" s="791">
        <f>I285*12/14+IF(OR(MONTH(C285)=6,MONTH(C285)=12),I285*12/14,0)</f>
      </c>
      <c r="K285" s="801">
        <f>G285/$G$15</f>
      </c>
      <c r="L285" s="760"/>
      <c r="M285" s="767"/>
      <c r="N285" s="168"/>
      <c r="O285" s="768"/>
      <c r="P285" s="170"/>
      <c r="Q285" s="7"/>
      <c r="R285" s="766"/>
      <c r="S285" s="170"/>
      <c r="T285" s="168"/>
      <c r="U285" s="170"/>
    </row>
    <row x14ac:dyDescent="0.25" r="286" customHeight="1" ht="18.75">
      <c r="A286" s="1"/>
      <c r="B286" s="799">
        <f>+DATE(YEAR(B285),MONTH(B285)+1,DAY(B285))</f>
        <v>25569.041666666668</v>
      </c>
      <c r="C286" s="799">
        <f>+B287-1</f>
        <v>25569.041666666668</v>
      </c>
      <c r="D286" s="791">
        <f>-_xlfn.DAYS($C$3,C286)/365.25</f>
      </c>
      <c r="E286" s="800">
        <f>IF($D$17+40&lt;=D286,(1+$D$7)^-(D286-$C$5),(1+$C$7)^-(D286-$C$5))</f>
      </c>
      <c r="F286" s="801">
        <f>IF($C$4="Hombre",(+VLOOKUP(INT(D286)+1,Tablas!$G$9:$K$1240,5,0)*(D286-INT(D286))+VLOOKUP(INT(D286),Tablas!$G$9:$K$1240,5,0)*(INT(D286)+1-D286))/(VLOOKUP(INT($C$5)+1,Tablas!$G$9:$K$1240,5,0)*($C$5-INT($C$5))+VLOOKUP(INT($C$5),Tablas!$G$9:$K$124,5,0)*(INT($C$5)+1-$C$5)),(+VLOOKUP(INT(D286)+1,Tablas!$G$9:$O$1240,9,0)*(D286-INT(D286))+VLOOKUP(INT(D286),Tablas!$G$9:$O$1240,9,0)*(INT(D286)+1-D286))/(VLOOKUP(INT($C$5)+1,Tablas!$G$9:$O$1240,9,0)*($C$5-INT($C$5))+VLOOKUP(INT($C$5),Tablas!$G$9:$O$124,9,0)*(INT($C$5)+1-$C$5)))</f>
      </c>
      <c r="G286" s="791">
        <f>IF($C$4="Hombre",(+VLOOKUP(INT(D286)+1,Tablas!$G$9:$K$1240,5,0)*(D286-INT(D286))+VLOOKUP(INT(D286),Tablas!$G$9:$K$1240,5,0)*(INT(D286)+1-D286)),+VLOOKUP(INT(D286)+1,Tablas!$G$9:$O$1240,9,0)*(D286-INT(D286))+VLOOKUP(INT(D286),Tablas!$G$9:$O$1240,9,0)*(INT(D286)+1-D286))</f>
      </c>
      <c r="H286" s="801">
        <f>+IF(MONTH(B286)=1,H285*(1+$C$9),H285)</f>
      </c>
      <c r="I286" s="791">
        <f>IF(B286&lt;$C$10,0,IF(B286&lt;$C$11,$C$8/12*E286*F286*H286,0))</f>
      </c>
      <c r="J286" s="791">
        <f>I286*12/14+IF(OR(MONTH(C286)=6,MONTH(C286)=12),I286*12/14,0)</f>
      </c>
      <c r="K286" s="801">
        <f>G286/$G$15</f>
      </c>
      <c r="L286" s="760"/>
      <c r="M286" s="767"/>
      <c r="N286" s="168"/>
      <c r="O286" s="768"/>
      <c r="P286" s="170"/>
      <c r="Q286" s="7"/>
      <c r="R286" s="766"/>
      <c r="S286" s="170"/>
      <c r="T286" s="168"/>
      <c r="U286" s="170"/>
    </row>
    <row x14ac:dyDescent="0.25" r="287" customHeight="1" ht="18.75">
      <c r="A287" s="1"/>
      <c r="B287" s="799">
        <f>+DATE(YEAR(B286),MONTH(B286)+1,DAY(B286))</f>
        <v>25569.041666666668</v>
      </c>
      <c r="C287" s="799">
        <f>+B288-1</f>
        <v>25569.041666666668</v>
      </c>
      <c r="D287" s="791">
        <f>-_xlfn.DAYS($C$3,C287)/365.25</f>
      </c>
      <c r="E287" s="800">
        <f>IF($D$17+40&lt;=D287,(1+$D$7)^-(D287-$C$5),(1+$C$7)^-(D287-$C$5))</f>
      </c>
      <c r="F287" s="801">
        <f>IF($C$4="Hombre",(+VLOOKUP(INT(D287)+1,Tablas!$G$9:$K$1240,5,0)*(D287-INT(D287))+VLOOKUP(INT(D287),Tablas!$G$9:$K$1240,5,0)*(INT(D287)+1-D287))/(VLOOKUP(INT($C$5)+1,Tablas!$G$9:$K$1240,5,0)*($C$5-INT($C$5))+VLOOKUP(INT($C$5),Tablas!$G$9:$K$124,5,0)*(INT($C$5)+1-$C$5)),(+VLOOKUP(INT(D287)+1,Tablas!$G$9:$O$1240,9,0)*(D287-INT(D287))+VLOOKUP(INT(D287),Tablas!$G$9:$O$1240,9,0)*(INT(D287)+1-D287))/(VLOOKUP(INT($C$5)+1,Tablas!$G$9:$O$1240,9,0)*($C$5-INT($C$5))+VLOOKUP(INT($C$5),Tablas!$G$9:$O$124,9,0)*(INT($C$5)+1-$C$5)))</f>
      </c>
      <c r="G287" s="791">
        <f>IF($C$4="Hombre",(+VLOOKUP(INT(D287)+1,Tablas!$G$9:$K$1240,5,0)*(D287-INT(D287))+VLOOKUP(INT(D287),Tablas!$G$9:$K$1240,5,0)*(INT(D287)+1-D287)),+VLOOKUP(INT(D287)+1,Tablas!$G$9:$O$1240,9,0)*(D287-INT(D287))+VLOOKUP(INT(D287),Tablas!$G$9:$O$1240,9,0)*(INT(D287)+1-D287))</f>
      </c>
      <c r="H287" s="801">
        <f>+IF(MONTH(B287)=1,H286*(1+$C$9),H286)</f>
      </c>
      <c r="I287" s="791">
        <f>IF(B287&lt;$C$10,0,IF(B287&lt;$C$11,$C$8/12*E287*F287*H287,0))</f>
      </c>
      <c r="J287" s="791">
        <f>I287*12/14+IF(OR(MONTH(C287)=6,MONTH(C287)=12),I287*12/14,0)</f>
      </c>
      <c r="K287" s="801">
        <f>G287/$G$15</f>
      </c>
      <c r="L287" s="760"/>
      <c r="M287" s="767"/>
      <c r="N287" s="168"/>
      <c r="O287" s="768"/>
      <c r="P287" s="170"/>
      <c r="Q287" s="7"/>
      <c r="R287" s="766"/>
      <c r="S287" s="170"/>
      <c r="T287" s="168"/>
      <c r="U287" s="170"/>
    </row>
    <row x14ac:dyDescent="0.25" r="288" customHeight="1" ht="18.75">
      <c r="A288" s="1"/>
      <c r="B288" s="799">
        <f>+DATE(YEAR(B287),MONTH(B287)+1,DAY(B287))</f>
        <v>25569.041666666668</v>
      </c>
      <c r="C288" s="799">
        <f>+B289-1</f>
        <v>25569.041666666668</v>
      </c>
      <c r="D288" s="791">
        <f>-_xlfn.DAYS($C$3,C288)/365.25</f>
      </c>
      <c r="E288" s="800">
        <f>IF($D$17+40&lt;=D288,(1+$D$7)^-(D288-$C$5),(1+$C$7)^-(D288-$C$5))</f>
      </c>
      <c r="F288" s="801">
        <f>IF($C$4="Hombre",(+VLOOKUP(INT(D288)+1,Tablas!$G$9:$K$1240,5,0)*(D288-INT(D288))+VLOOKUP(INT(D288),Tablas!$G$9:$K$1240,5,0)*(INT(D288)+1-D288))/(VLOOKUP(INT($C$5)+1,Tablas!$G$9:$K$1240,5,0)*($C$5-INT($C$5))+VLOOKUP(INT($C$5),Tablas!$G$9:$K$124,5,0)*(INT($C$5)+1-$C$5)),(+VLOOKUP(INT(D288)+1,Tablas!$G$9:$O$1240,9,0)*(D288-INT(D288))+VLOOKUP(INT(D288),Tablas!$G$9:$O$1240,9,0)*(INT(D288)+1-D288))/(VLOOKUP(INT($C$5)+1,Tablas!$G$9:$O$1240,9,0)*($C$5-INT($C$5))+VLOOKUP(INT($C$5),Tablas!$G$9:$O$124,9,0)*(INT($C$5)+1-$C$5)))</f>
      </c>
      <c r="G288" s="791">
        <f>IF($C$4="Hombre",(+VLOOKUP(INT(D288)+1,Tablas!$G$9:$K$1240,5,0)*(D288-INT(D288))+VLOOKUP(INT(D288),Tablas!$G$9:$K$1240,5,0)*(INT(D288)+1-D288)),+VLOOKUP(INT(D288)+1,Tablas!$G$9:$O$1240,9,0)*(D288-INT(D288))+VLOOKUP(INT(D288),Tablas!$G$9:$O$1240,9,0)*(INT(D288)+1-D288))</f>
      </c>
      <c r="H288" s="801">
        <f>+IF(MONTH(B288)=1,H287*(1+$C$9),H287)</f>
      </c>
      <c r="I288" s="791">
        <f>IF(B288&lt;$C$10,0,IF(B288&lt;$C$11,$C$8/12*E288*F288*H288,0))</f>
      </c>
      <c r="J288" s="791">
        <f>I288*12/14+IF(OR(MONTH(C288)=6,MONTH(C288)=12),I288*12/14,0)</f>
      </c>
      <c r="K288" s="801">
        <f>G288/$G$15</f>
      </c>
      <c r="L288" s="760"/>
      <c r="M288" s="767"/>
      <c r="N288" s="168"/>
      <c r="O288" s="768"/>
      <c r="P288" s="170"/>
      <c r="Q288" s="7"/>
      <c r="R288" s="766"/>
      <c r="S288" s="170"/>
      <c r="T288" s="168"/>
      <c r="U288" s="170"/>
    </row>
    <row x14ac:dyDescent="0.25" r="289" customHeight="1" ht="18.75">
      <c r="A289" s="1"/>
      <c r="B289" s="799">
        <f>+DATE(YEAR(B288),MONTH(B288)+1,DAY(B288))</f>
        <v>25569.041666666668</v>
      </c>
      <c r="C289" s="799">
        <f>+B290-1</f>
        <v>25569.041666666668</v>
      </c>
      <c r="D289" s="791">
        <f>-_xlfn.DAYS($C$3,C289)/365.25</f>
      </c>
      <c r="E289" s="800">
        <f>IF($D$17+40&lt;=D289,(1+$D$7)^-(D289-$C$5),(1+$C$7)^-(D289-$C$5))</f>
      </c>
      <c r="F289" s="801">
        <f>IF($C$4="Hombre",(+VLOOKUP(INT(D289)+1,Tablas!$G$9:$K$1240,5,0)*(D289-INT(D289))+VLOOKUP(INT(D289),Tablas!$G$9:$K$1240,5,0)*(INT(D289)+1-D289))/(VLOOKUP(INT($C$5)+1,Tablas!$G$9:$K$1240,5,0)*($C$5-INT($C$5))+VLOOKUP(INT($C$5),Tablas!$G$9:$K$124,5,0)*(INT($C$5)+1-$C$5)),(+VLOOKUP(INT(D289)+1,Tablas!$G$9:$O$1240,9,0)*(D289-INT(D289))+VLOOKUP(INT(D289),Tablas!$G$9:$O$1240,9,0)*(INT(D289)+1-D289))/(VLOOKUP(INT($C$5)+1,Tablas!$G$9:$O$1240,9,0)*($C$5-INT($C$5))+VLOOKUP(INT($C$5),Tablas!$G$9:$O$124,9,0)*(INT($C$5)+1-$C$5)))</f>
      </c>
      <c r="G289" s="791">
        <f>IF($C$4="Hombre",(+VLOOKUP(INT(D289)+1,Tablas!$G$9:$K$1240,5,0)*(D289-INT(D289))+VLOOKUP(INT(D289),Tablas!$G$9:$K$1240,5,0)*(INT(D289)+1-D289)),+VLOOKUP(INT(D289)+1,Tablas!$G$9:$O$1240,9,0)*(D289-INT(D289))+VLOOKUP(INT(D289),Tablas!$G$9:$O$1240,9,0)*(INT(D289)+1-D289))</f>
      </c>
      <c r="H289" s="801">
        <f>+IF(MONTH(B289)=1,H288*(1+$C$9),H288)</f>
      </c>
      <c r="I289" s="791">
        <f>IF(B289&lt;$C$10,0,IF(B289&lt;$C$11,$C$8/12*E289*F289*H289,0))</f>
      </c>
      <c r="J289" s="791">
        <f>I289*12/14+IF(OR(MONTH(C289)=6,MONTH(C289)=12),I289*12/14,0)</f>
      </c>
      <c r="K289" s="801">
        <f>G289/$G$15</f>
      </c>
      <c r="L289" s="760"/>
      <c r="M289" s="767"/>
      <c r="N289" s="168"/>
      <c r="O289" s="768"/>
      <c r="P289" s="170"/>
      <c r="Q289" s="7"/>
      <c r="R289" s="766"/>
      <c r="S289" s="170"/>
      <c r="T289" s="168"/>
      <c r="U289" s="170"/>
    </row>
    <row x14ac:dyDescent="0.25" r="290" customHeight="1" ht="18.75">
      <c r="A290" s="1"/>
      <c r="B290" s="799">
        <f>+DATE(YEAR(B289),MONTH(B289)+1,DAY(B289))</f>
        <v>25569.041666666668</v>
      </c>
      <c r="C290" s="799">
        <f>+B291-1</f>
        <v>25569.041666666668</v>
      </c>
      <c r="D290" s="791">
        <f>-_xlfn.DAYS($C$3,C290)/365.25</f>
      </c>
      <c r="E290" s="800">
        <f>IF($D$17+40&lt;=D290,(1+$D$7)^-(D290-$C$5),(1+$C$7)^-(D290-$C$5))</f>
      </c>
      <c r="F290" s="801">
        <f>IF($C$4="Hombre",(+VLOOKUP(INT(D290)+1,Tablas!$G$9:$K$1240,5,0)*(D290-INT(D290))+VLOOKUP(INT(D290),Tablas!$G$9:$K$1240,5,0)*(INT(D290)+1-D290))/(VLOOKUP(INT($C$5)+1,Tablas!$G$9:$K$1240,5,0)*($C$5-INT($C$5))+VLOOKUP(INT($C$5),Tablas!$G$9:$K$124,5,0)*(INT($C$5)+1-$C$5)),(+VLOOKUP(INT(D290)+1,Tablas!$G$9:$O$1240,9,0)*(D290-INT(D290))+VLOOKUP(INT(D290),Tablas!$G$9:$O$1240,9,0)*(INT(D290)+1-D290))/(VLOOKUP(INT($C$5)+1,Tablas!$G$9:$O$1240,9,0)*($C$5-INT($C$5))+VLOOKUP(INT($C$5),Tablas!$G$9:$O$124,9,0)*(INT($C$5)+1-$C$5)))</f>
      </c>
      <c r="G290" s="791">
        <f>IF($C$4="Hombre",(+VLOOKUP(INT(D290)+1,Tablas!$G$9:$K$1240,5,0)*(D290-INT(D290))+VLOOKUP(INT(D290),Tablas!$G$9:$K$1240,5,0)*(INT(D290)+1-D290)),+VLOOKUP(INT(D290)+1,Tablas!$G$9:$O$1240,9,0)*(D290-INT(D290))+VLOOKUP(INT(D290),Tablas!$G$9:$O$1240,9,0)*(INT(D290)+1-D290))</f>
      </c>
      <c r="H290" s="801">
        <f>+IF(MONTH(B290)=1,H289*(1+$C$9),H289)</f>
      </c>
      <c r="I290" s="791">
        <f>IF(B290&lt;$C$10,0,IF(B290&lt;$C$11,$C$8/12*E290*F290*H290,0))</f>
      </c>
      <c r="J290" s="791">
        <f>I290*12/14+IF(OR(MONTH(C290)=6,MONTH(C290)=12),I290*12/14,0)</f>
      </c>
      <c r="K290" s="801">
        <f>G290/$G$15</f>
      </c>
      <c r="L290" s="760"/>
      <c r="M290" s="767"/>
      <c r="N290" s="168"/>
      <c r="O290" s="768"/>
      <c r="P290" s="170"/>
      <c r="Q290" s="7"/>
      <c r="R290" s="766"/>
      <c r="S290" s="170"/>
      <c r="T290" s="168"/>
      <c r="U290" s="170"/>
    </row>
    <row x14ac:dyDescent="0.25" r="291" customHeight="1" ht="18.75">
      <c r="A291" s="1"/>
      <c r="B291" s="799">
        <f>+DATE(YEAR(B290),MONTH(B290)+1,DAY(B290))</f>
        <v>25569.041666666668</v>
      </c>
      <c r="C291" s="799">
        <f>+B292-1</f>
        <v>25569.041666666668</v>
      </c>
      <c r="D291" s="791">
        <f>-_xlfn.DAYS($C$3,C291)/365.25</f>
      </c>
      <c r="E291" s="800">
        <f>IF($D$17+40&lt;=D291,(1+$D$7)^-(D291-$C$5),(1+$C$7)^-(D291-$C$5))</f>
      </c>
      <c r="F291" s="801">
        <f>IF($C$4="Hombre",(+VLOOKUP(INT(D291)+1,Tablas!$G$9:$K$1240,5,0)*(D291-INT(D291))+VLOOKUP(INT(D291),Tablas!$G$9:$K$1240,5,0)*(INT(D291)+1-D291))/(VLOOKUP(INT($C$5)+1,Tablas!$G$9:$K$1240,5,0)*($C$5-INT($C$5))+VLOOKUP(INT($C$5),Tablas!$G$9:$K$124,5,0)*(INT($C$5)+1-$C$5)),(+VLOOKUP(INT(D291)+1,Tablas!$G$9:$O$1240,9,0)*(D291-INT(D291))+VLOOKUP(INT(D291),Tablas!$G$9:$O$1240,9,0)*(INT(D291)+1-D291))/(VLOOKUP(INT($C$5)+1,Tablas!$G$9:$O$1240,9,0)*($C$5-INT($C$5))+VLOOKUP(INT($C$5),Tablas!$G$9:$O$124,9,0)*(INT($C$5)+1-$C$5)))</f>
      </c>
      <c r="G291" s="791">
        <f>IF($C$4="Hombre",(+VLOOKUP(INT(D291)+1,Tablas!$G$9:$K$1240,5,0)*(D291-INT(D291))+VLOOKUP(INT(D291),Tablas!$G$9:$K$1240,5,0)*(INT(D291)+1-D291)),+VLOOKUP(INT(D291)+1,Tablas!$G$9:$O$1240,9,0)*(D291-INT(D291))+VLOOKUP(INT(D291),Tablas!$G$9:$O$1240,9,0)*(INT(D291)+1-D291))</f>
      </c>
      <c r="H291" s="801">
        <f>+IF(MONTH(B291)=1,H290*(1+$C$9),H290)</f>
      </c>
      <c r="I291" s="791">
        <f>IF(B291&lt;$C$10,0,IF(B291&lt;$C$11,$C$8/12*E291*F291*H291,0))</f>
      </c>
      <c r="J291" s="791">
        <f>I291*12/14+IF(OR(MONTH(C291)=6,MONTH(C291)=12),I291*12/14,0)</f>
      </c>
      <c r="K291" s="801">
        <f>G291/$G$15</f>
      </c>
      <c r="L291" s="760"/>
      <c r="M291" s="767"/>
      <c r="N291" s="168"/>
      <c r="O291" s="768"/>
      <c r="P291" s="170"/>
      <c r="Q291" s="7"/>
      <c r="R291" s="766"/>
      <c r="S291" s="170"/>
      <c r="T291" s="168"/>
      <c r="U291" s="170"/>
    </row>
    <row x14ac:dyDescent="0.25" r="292" customHeight="1" ht="18.75">
      <c r="A292" s="1"/>
      <c r="B292" s="799">
        <f>+DATE(YEAR(B291),MONTH(B291)+1,DAY(B291))</f>
        <v>25569.041666666668</v>
      </c>
      <c r="C292" s="799">
        <f>+B293-1</f>
        <v>25569.041666666668</v>
      </c>
      <c r="D292" s="791">
        <f>-_xlfn.DAYS($C$3,C292)/365.25</f>
      </c>
      <c r="E292" s="800">
        <f>IF($D$17+40&lt;=D292,(1+$D$7)^-(D292-$C$5),(1+$C$7)^-(D292-$C$5))</f>
      </c>
      <c r="F292" s="801">
        <f>IF($C$4="Hombre",(+VLOOKUP(INT(D292)+1,Tablas!$G$9:$K$1240,5,0)*(D292-INT(D292))+VLOOKUP(INT(D292),Tablas!$G$9:$K$1240,5,0)*(INT(D292)+1-D292))/(VLOOKUP(INT($C$5)+1,Tablas!$G$9:$K$1240,5,0)*($C$5-INT($C$5))+VLOOKUP(INT($C$5),Tablas!$G$9:$K$124,5,0)*(INT($C$5)+1-$C$5)),(+VLOOKUP(INT(D292)+1,Tablas!$G$9:$O$1240,9,0)*(D292-INT(D292))+VLOOKUP(INT(D292),Tablas!$G$9:$O$1240,9,0)*(INT(D292)+1-D292))/(VLOOKUP(INT($C$5)+1,Tablas!$G$9:$O$1240,9,0)*($C$5-INT($C$5))+VLOOKUP(INT($C$5),Tablas!$G$9:$O$124,9,0)*(INT($C$5)+1-$C$5)))</f>
      </c>
      <c r="G292" s="791">
        <f>IF($C$4="Hombre",(+VLOOKUP(INT(D292)+1,Tablas!$G$9:$K$1240,5,0)*(D292-INT(D292))+VLOOKUP(INT(D292),Tablas!$G$9:$K$1240,5,0)*(INT(D292)+1-D292)),+VLOOKUP(INT(D292)+1,Tablas!$G$9:$O$1240,9,0)*(D292-INT(D292))+VLOOKUP(INT(D292),Tablas!$G$9:$O$1240,9,0)*(INT(D292)+1-D292))</f>
      </c>
      <c r="H292" s="801">
        <f>+IF(MONTH(B292)=1,H291*(1+$C$9),H291)</f>
      </c>
      <c r="I292" s="791">
        <f>IF(B292&lt;$C$10,0,IF(B292&lt;$C$11,$C$8/12*E292*F292*H292,0))</f>
      </c>
      <c r="J292" s="791">
        <f>I292*12/14+IF(OR(MONTH(C292)=6,MONTH(C292)=12),I292*12/14,0)</f>
      </c>
      <c r="K292" s="801">
        <f>G292/$G$15</f>
      </c>
      <c r="L292" s="760"/>
      <c r="M292" s="767"/>
      <c r="N292" s="168"/>
      <c r="O292" s="768"/>
      <c r="P292" s="170"/>
      <c r="Q292" s="7"/>
      <c r="R292" s="766"/>
      <c r="S292" s="170"/>
      <c r="T292" s="168"/>
      <c r="U292" s="170"/>
    </row>
    <row x14ac:dyDescent="0.25" r="293" customHeight="1" ht="18.75">
      <c r="A293" s="1"/>
      <c r="B293" s="799">
        <f>+DATE(YEAR(B292),MONTH(B292)+1,DAY(B292))</f>
        <v>25569.041666666668</v>
      </c>
      <c r="C293" s="799">
        <f>+B294-1</f>
        <v>25569.041666666668</v>
      </c>
      <c r="D293" s="791">
        <f>-_xlfn.DAYS($C$3,C293)/365.25</f>
      </c>
      <c r="E293" s="800">
        <f>IF($D$17+40&lt;=D293,(1+$D$7)^-(D293-$C$5),(1+$C$7)^-(D293-$C$5))</f>
      </c>
      <c r="F293" s="801">
        <f>IF($C$4="Hombre",(+VLOOKUP(INT(D293)+1,Tablas!$G$9:$K$1240,5,0)*(D293-INT(D293))+VLOOKUP(INT(D293),Tablas!$G$9:$K$1240,5,0)*(INT(D293)+1-D293))/(VLOOKUP(INT($C$5)+1,Tablas!$G$9:$K$1240,5,0)*($C$5-INT($C$5))+VLOOKUP(INT($C$5),Tablas!$G$9:$K$124,5,0)*(INT($C$5)+1-$C$5)),(+VLOOKUP(INT(D293)+1,Tablas!$G$9:$O$1240,9,0)*(D293-INT(D293))+VLOOKUP(INT(D293),Tablas!$G$9:$O$1240,9,0)*(INT(D293)+1-D293))/(VLOOKUP(INT($C$5)+1,Tablas!$G$9:$O$1240,9,0)*($C$5-INT($C$5))+VLOOKUP(INT($C$5),Tablas!$G$9:$O$124,9,0)*(INT($C$5)+1-$C$5)))</f>
      </c>
      <c r="G293" s="791">
        <f>IF($C$4="Hombre",(+VLOOKUP(INT(D293)+1,Tablas!$G$9:$K$1240,5,0)*(D293-INT(D293))+VLOOKUP(INT(D293),Tablas!$G$9:$K$1240,5,0)*(INT(D293)+1-D293)),+VLOOKUP(INT(D293)+1,Tablas!$G$9:$O$1240,9,0)*(D293-INT(D293))+VLOOKUP(INT(D293),Tablas!$G$9:$O$1240,9,0)*(INT(D293)+1-D293))</f>
      </c>
      <c r="H293" s="801">
        <f>+IF(MONTH(B293)=1,H292*(1+$C$9),H292)</f>
      </c>
      <c r="I293" s="791">
        <f>IF(B293&lt;$C$10,0,IF(B293&lt;$C$11,$C$8/12*E293*F293*H293,0))</f>
      </c>
      <c r="J293" s="791">
        <f>I293*12/14+IF(OR(MONTH(C293)=6,MONTH(C293)=12),I293*12/14,0)</f>
      </c>
      <c r="K293" s="801">
        <f>G293/$G$15</f>
      </c>
      <c r="L293" s="760"/>
      <c r="M293" s="767"/>
      <c r="N293" s="168"/>
      <c r="O293" s="768"/>
      <c r="P293" s="170"/>
      <c r="Q293" s="7"/>
      <c r="R293" s="766"/>
      <c r="S293" s="170"/>
      <c r="T293" s="168"/>
      <c r="U293" s="170"/>
    </row>
    <row x14ac:dyDescent="0.25" r="294" customHeight="1" ht="18.75">
      <c r="A294" s="1"/>
      <c r="B294" s="799">
        <f>+DATE(YEAR(B293),MONTH(B293)+1,DAY(B293))</f>
        <v>25569.041666666668</v>
      </c>
      <c r="C294" s="799">
        <f>+B295-1</f>
        <v>25569.041666666668</v>
      </c>
      <c r="D294" s="791">
        <f>-_xlfn.DAYS($C$3,C294)/365.25</f>
      </c>
      <c r="E294" s="800">
        <f>IF($D$17+40&lt;=D294,(1+$D$7)^-(D294-$C$5),(1+$C$7)^-(D294-$C$5))</f>
      </c>
      <c r="F294" s="801">
        <f>IF($C$4="Hombre",(+VLOOKUP(INT(D294)+1,Tablas!$G$9:$K$1240,5,0)*(D294-INT(D294))+VLOOKUP(INT(D294),Tablas!$G$9:$K$1240,5,0)*(INT(D294)+1-D294))/(VLOOKUP(INT($C$5)+1,Tablas!$G$9:$K$1240,5,0)*($C$5-INT($C$5))+VLOOKUP(INT($C$5),Tablas!$G$9:$K$124,5,0)*(INT($C$5)+1-$C$5)),(+VLOOKUP(INT(D294)+1,Tablas!$G$9:$O$1240,9,0)*(D294-INT(D294))+VLOOKUP(INT(D294),Tablas!$G$9:$O$1240,9,0)*(INT(D294)+1-D294))/(VLOOKUP(INT($C$5)+1,Tablas!$G$9:$O$1240,9,0)*($C$5-INT($C$5))+VLOOKUP(INT($C$5),Tablas!$G$9:$O$124,9,0)*(INT($C$5)+1-$C$5)))</f>
      </c>
      <c r="G294" s="791">
        <f>IF($C$4="Hombre",(+VLOOKUP(INT(D294)+1,Tablas!$G$9:$K$1240,5,0)*(D294-INT(D294))+VLOOKUP(INT(D294),Tablas!$G$9:$K$1240,5,0)*(INT(D294)+1-D294)),+VLOOKUP(INT(D294)+1,Tablas!$G$9:$O$1240,9,0)*(D294-INT(D294))+VLOOKUP(INT(D294),Tablas!$G$9:$O$1240,9,0)*(INT(D294)+1-D294))</f>
      </c>
      <c r="H294" s="801">
        <f>+IF(MONTH(B294)=1,H293*(1+$C$9),H293)</f>
      </c>
      <c r="I294" s="791">
        <f>IF(B294&lt;$C$10,0,IF(B294&lt;$C$11,$C$8/12*E294*F294*H294,0))</f>
      </c>
      <c r="J294" s="791">
        <f>I294*12/14+IF(OR(MONTH(C294)=6,MONTH(C294)=12),I294*12/14,0)</f>
      </c>
      <c r="K294" s="801">
        <f>G294/$G$15</f>
      </c>
      <c r="L294" s="760"/>
      <c r="M294" s="767"/>
      <c r="N294" s="168"/>
      <c r="O294" s="768"/>
      <c r="P294" s="170"/>
      <c r="Q294" s="7"/>
      <c r="R294" s="766"/>
      <c r="S294" s="170"/>
      <c r="T294" s="168"/>
      <c r="U294" s="170"/>
    </row>
    <row x14ac:dyDescent="0.25" r="295" customHeight="1" ht="18.75">
      <c r="A295" s="1"/>
      <c r="B295" s="799">
        <f>+DATE(YEAR(B294),MONTH(B294)+1,DAY(B294))</f>
        <v>25569.041666666668</v>
      </c>
      <c r="C295" s="799">
        <f>+B296-1</f>
        <v>25569.041666666668</v>
      </c>
      <c r="D295" s="791">
        <f>-_xlfn.DAYS($C$3,C295)/365.25</f>
      </c>
      <c r="E295" s="800">
        <f>IF($D$17+40&lt;=D295,(1+$D$7)^-(D295-$C$5),(1+$C$7)^-(D295-$C$5))</f>
      </c>
      <c r="F295" s="801">
        <f>IF($C$4="Hombre",(+VLOOKUP(INT(D295)+1,Tablas!$G$9:$K$1240,5,0)*(D295-INT(D295))+VLOOKUP(INT(D295),Tablas!$G$9:$K$1240,5,0)*(INT(D295)+1-D295))/(VLOOKUP(INT($C$5)+1,Tablas!$G$9:$K$1240,5,0)*($C$5-INT($C$5))+VLOOKUP(INT($C$5),Tablas!$G$9:$K$124,5,0)*(INT($C$5)+1-$C$5)),(+VLOOKUP(INT(D295)+1,Tablas!$G$9:$O$1240,9,0)*(D295-INT(D295))+VLOOKUP(INT(D295),Tablas!$G$9:$O$1240,9,0)*(INT(D295)+1-D295))/(VLOOKUP(INT($C$5)+1,Tablas!$G$9:$O$1240,9,0)*($C$5-INT($C$5))+VLOOKUP(INT($C$5),Tablas!$G$9:$O$124,9,0)*(INT($C$5)+1-$C$5)))</f>
      </c>
      <c r="G295" s="791">
        <f>IF($C$4="Hombre",(+VLOOKUP(INT(D295)+1,Tablas!$G$9:$K$1240,5,0)*(D295-INT(D295))+VLOOKUP(INT(D295),Tablas!$G$9:$K$1240,5,0)*(INT(D295)+1-D295)),+VLOOKUP(INT(D295)+1,Tablas!$G$9:$O$1240,9,0)*(D295-INT(D295))+VLOOKUP(INT(D295),Tablas!$G$9:$O$1240,9,0)*(INT(D295)+1-D295))</f>
      </c>
      <c r="H295" s="801">
        <f>+IF(MONTH(B295)=1,H294*(1+$C$9),H294)</f>
      </c>
      <c r="I295" s="791">
        <f>IF(B295&lt;$C$10,0,IF(B295&lt;$C$11,$C$8/12*E295*F295*H295,0))</f>
      </c>
      <c r="J295" s="791">
        <f>I295*12/14+IF(OR(MONTH(C295)=6,MONTH(C295)=12),I295*12/14,0)</f>
      </c>
      <c r="K295" s="801">
        <f>G295/$G$15</f>
      </c>
      <c r="L295" s="760"/>
      <c r="M295" s="767"/>
      <c r="N295" s="168"/>
      <c r="O295" s="768"/>
      <c r="P295" s="170"/>
      <c r="Q295" s="7"/>
      <c r="R295" s="766"/>
      <c r="S295" s="170"/>
      <c r="T295" s="168"/>
      <c r="U295" s="170"/>
    </row>
    <row x14ac:dyDescent="0.25" r="296" customHeight="1" ht="18.75">
      <c r="A296" s="1"/>
      <c r="B296" s="799">
        <f>+DATE(YEAR(B295),MONTH(B295)+1,DAY(B295))</f>
        <v>25569.041666666668</v>
      </c>
      <c r="C296" s="799">
        <f>+B297-1</f>
        <v>25569.041666666668</v>
      </c>
      <c r="D296" s="791">
        <f>-_xlfn.DAYS($C$3,C296)/365.25</f>
      </c>
      <c r="E296" s="800">
        <f>IF($D$17+40&lt;=D296,(1+$D$7)^-(D296-$C$5),(1+$C$7)^-(D296-$C$5))</f>
      </c>
      <c r="F296" s="801">
        <f>IF($C$4="Hombre",(+VLOOKUP(INT(D296)+1,Tablas!$G$9:$K$1240,5,0)*(D296-INT(D296))+VLOOKUP(INT(D296),Tablas!$G$9:$K$1240,5,0)*(INT(D296)+1-D296))/(VLOOKUP(INT($C$5)+1,Tablas!$G$9:$K$1240,5,0)*($C$5-INT($C$5))+VLOOKUP(INT($C$5),Tablas!$G$9:$K$124,5,0)*(INT($C$5)+1-$C$5)),(+VLOOKUP(INT(D296)+1,Tablas!$G$9:$O$1240,9,0)*(D296-INT(D296))+VLOOKUP(INT(D296),Tablas!$G$9:$O$1240,9,0)*(INT(D296)+1-D296))/(VLOOKUP(INT($C$5)+1,Tablas!$G$9:$O$1240,9,0)*($C$5-INT($C$5))+VLOOKUP(INT($C$5),Tablas!$G$9:$O$124,9,0)*(INT($C$5)+1-$C$5)))</f>
      </c>
      <c r="G296" s="791">
        <f>IF($C$4="Hombre",(+VLOOKUP(INT(D296)+1,Tablas!$G$9:$K$1240,5,0)*(D296-INT(D296))+VLOOKUP(INT(D296),Tablas!$G$9:$K$1240,5,0)*(INT(D296)+1-D296)),+VLOOKUP(INT(D296)+1,Tablas!$G$9:$O$1240,9,0)*(D296-INT(D296))+VLOOKUP(INT(D296),Tablas!$G$9:$O$1240,9,0)*(INT(D296)+1-D296))</f>
      </c>
      <c r="H296" s="801">
        <f>+IF(MONTH(B296)=1,H295*(1+$C$9),H295)</f>
      </c>
      <c r="I296" s="791">
        <f>IF(B296&lt;$C$10,0,IF(B296&lt;$C$11,$C$8/12*E296*F296*H296,0))</f>
      </c>
      <c r="J296" s="791">
        <f>I296*12/14+IF(OR(MONTH(C296)=6,MONTH(C296)=12),I296*12/14,0)</f>
      </c>
      <c r="K296" s="801">
        <f>G296/$G$15</f>
      </c>
      <c r="L296" s="760"/>
      <c r="M296" s="767"/>
      <c r="N296" s="168"/>
      <c r="O296" s="768"/>
      <c r="P296" s="170"/>
      <c r="Q296" s="7"/>
      <c r="R296" s="766"/>
      <c r="S296" s="170"/>
      <c r="T296" s="168"/>
      <c r="U296" s="170"/>
    </row>
    <row x14ac:dyDescent="0.25" r="297" customHeight="1" ht="18.75">
      <c r="A297" s="1"/>
      <c r="B297" s="799">
        <f>+DATE(YEAR(B296),MONTH(B296)+1,DAY(B296))</f>
        <v>25569.041666666668</v>
      </c>
      <c r="C297" s="799">
        <f>+B298-1</f>
        <v>25569.041666666668</v>
      </c>
      <c r="D297" s="791">
        <f>-_xlfn.DAYS($C$3,C297)/365.25</f>
      </c>
      <c r="E297" s="800">
        <f>IF($D$17+40&lt;=D297,(1+$D$7)^-(D297-$C$5),(1+$C$7)^-(D297-$C$5))</f>
      </c>
      <c r="F297" s="801">
        <f>IF($C$4="Hombre",(+VLOOKUP(INT(D297)+1,Tablas!$G$9:$K$1240,5,0)*(D297-INT(D297))+VLOOKUP(INT(D297),Tablas!$G$9:$K$1240,5,0)*(INT(D297)+1-D297))/(VLOOKUP(INT($C$5)+1,Tablas!$G$9:$K$1240,5,0)*($C$5-INT($C$5))+VLOOKUP(INT($C$5),Tablas!$G$9:$K$124,5,0)*(INT($C$5)+1-$C$5)),(+VLOOKUP(INT(D297)+1,Tablas!$G$9:$O$1240,9,0)*(D297-INT(D297))+VLOOKUP(INT(D297),Tablas!$G$9:$O$1240,9,0)*(INT(D297)+1-D297))/(VLOOKUP(INT($C$5)+1,Tablas!$G$9:$O$1240,9,0)*($C$5-INT($C$5))+VLOOKUP(INT($C$5),Tablas!$G$9:$O$124,9,0)*(INT($C$5)+1-$C$5)))</f>
      </c>
      <c r="G297" s="791">
        <f>IF($C$4="Hombre",(+VLOOKUP(INT(D297)+1,Tablas!$G$9:$K$1240,5,0)*(D297-INT(D297))+VLOOKUP(INT(D297),Tablas!$G$9:$K$1240,5,0)*(INT(D297)+1-D297)),+VLOOKUP(INT(D297)+1,Tablas!$G$9:$O$1240,9,0)*(D297-INT(D297))+VLOOKUP(INT(D297),Tablas!$G$9:$O$1240,9,0)*(INT(D297)+1-D297))</f>
      </c>
      <c r="H297" s="801">
        <f>+IF(MONTH(B297)=1,H296*(1+$C$9),H296)</f>
      </c>
      <c r="I297" s="791">
        <f>IF(B297&lt;$C$10,0,IF(B297&lt;$C$11,$C$8/12*E297*F297*H297,0))</f>
      </c>
      <c r="J297" s="791">
        <f>I297*12/14+IF(OR(MONTH(C297)=6,MONTH(C297)=12),I297*12/14,0)</f>
      </c>
      <c r="K297" s="801">
        <f>G297/$G$15</f>
      </c>
      <c r="L297" s="760"/>
      <c r="M297" s="767"/>
      <c r="N297" s="168"/>
      <c r="O297" s="768"/>
      <c r="P297" s="170"/>
      <c r="Q297" s="7"/>
      <c r="R297" s="766"/>
      <c r="S297" s="170"/>
      <c r="T297" s="168"/>
      <c r="U297" s="170"/>
    </row>
    <row x14ac:dyDescent="0.25" r="298" customHeight="1" ht="18.75">
      <c r="A298" s="1"/>
      <c r="B298" s="799">
        <f>+DATE(YEAR(B297),MONTH(B297)+1,DAY(B297))</f>
        <v>25569.041666666668</v>
      </c>
      <c r="C298" s="799">
        <f>+B299-1</f>
        <v>25569.041666666668</v>
      </c>
      <c r="D298" s="791">
        <f>-_xlfn.DAYS($C$3,C298)/365.25</f>
      </c>
      <c r="E298" s="800">
        <f>IF($D$17+40&lt;=D298,(1+$D$7)^-(D298-$C$5),(1+$C$7)^-(D298-$C$5))</f>
      </c>
      <c r="F298" s="801">
        <f>IF($C$4="Hombre",(+VLOOKUP(INT(D298)+1,Tablas!$G$9:$K$1240,5,0)*(D298-INT(D298))+VLOOKUP(INT(D298),Tablas!$G$9:$K$1240,5,0)*(INT(D298)+1-D298))/(VLOOKUP(INT($C$5)+1,Tablas!$G$9:$K$1240,5,0)*($C$5-INT($C$5))+VLOOKUP(INT($C$5),Tablas!$G$9:$K$124,5,0)*(INT($C$5)+1-$C$5)),(+VLOOKUP(INT(D298)+1,Tablas!$G$9:$O$1240,9,0)*(D298-INT(D298))+VLOOKUP(INT(D298),Tablas!$G$9:$O$1240,9,0)*(INT(D298)+1-D298))/(VLOOKUP(INT($C$5)+1,Tablas!$G$9:$O$1240,9,0)*($C$5-INT($C$5))+VLOOKUP(INT($C$5),Tablas!$G$9:$O$124,9,0)*(INT($C$5)+1-$C$5)))</f>
      </c>
      <c r="G298" s="791">
        <f>IF($C$4="Hombre",(+VLOOKUP(INT(D298)+1,Tablas!$G$9:$K$1240,5,0)*(D298-INT(D298))+VLOOKUP(INT(D298),Tablas!$G$9:$K$1240,5,0)*(INT(D298)+1-D298)),+VLOOKUP(INT(D298)+1,Tablas!$G$9:$O$1240,9,0)*(D298-INT(D298))+VLOOKUP(INT(D298),Tablas!$G$9:$O$1240,9,0)*(INT(D298)+1-D298))</f>
      </c>
      <c r="H298" s="801">
        <f>+IF(MONTH(B298)=1,H297*(1+$C$9),H297)</f>
      </c>
      <c r="I298" s="791">
        <f>IF(B298&lt;$C$10,0,IF(B298&lt;$C$11,$C$8/12*E298*F298*H298,0))</f>
      </c>
      <c r="J298" s="791">
        <f>I298*12/14+IF(OR(MONTH(C298)=6,MONTH(C298)=12),I298*12/14,0)</f>
      </c>
      <c r="K298" s="801">
        <f>G298/$G$15</f>
      </c>
      <c r="L298" s="760"/>
      <c r="M298" s="767"/>
      <c r="N298" s="168"/>
      <c r="O298" s="768"/>
      <c r="P298" s="170"/>
      <c r="Q298" s="7"/>
      <c r="R298" s="766"/>
      <c r="S298" s="170"/>
      <c r="T298" s="168"/>
      <c r="U298" s="170"/>
    </row>
    <row x14ac:dyDescent="0.25" r="299" customHeight="1" ht="18.75">
      <c r="A299" s="1"/>
      <c r="B299" s="799">
        <f>+DATE(YEAR(B298),MONTH(B298)+1,DAY(B298))</f>
        <v>25569.041666666668</v>
      </c>
      <c r="C299" s="799">
        <f>+B300-1</f>
        <v>25569.041666666668</v>
      </c>
      <c r="D299" s="791">
        <f>-_xlfn.DAYS($C$3,C299)/365.25</f>
      </c>
      <c r="E299" s="800">
        <f>IF($D$17+40&lt;=D299,(1+$D$7)^-(D299-$C$5),(1+$C$7)^-(D299-$C$5))</f>
      </c>
      <c r="F299" s="801">
        <f>IF($C$4="Hombre",(+VLOOKUP(INT(D299)+1,Tablas!$G$9:$K$1240,5,0)*(D299-INT(D299))+VLOOKUP(INT(D299),Tablas!$G$9:$K$1240,5,0)*(INT(D299)+1-D299))/(VLOOKUP(INT($C$5)+1,Tablas!$G$9:$K$1240,5,0)*($C$5-INT($C$5))+VLOOKUP(INT($C$5),Tablas!$G$9:$K$124,5,0)*(INT($C$5)+1-$C$5)),(+VLOOKUP(INT(D299)+1,Tablas!$G$9:$O$1240,9,0)*(D299-INT(D299))+VLOOKUP(INT(D299),Tablas!$G$9:$O$1240,9,0)*(INT(D299)+1-D299))/(VLOOKUP(INT($C$5)+1,Tablas!$G$9:$O$1240,9,0)*($C$5-INT($C$5))+VLOOKUP(INT($C$5),Tablas!$G$9:$O$124,9,0)*(INT($C$5)+1-$C$5)))</f>
      </c>
      <c r="G299" s="791">
        <f>IF($C$4="Hombre",(+VLOOKUP(INT(D299)+1,Tablas!$G$9:$K$1240,5,0)*(D299-INT(D299))+VLOOKUP(INT(D299),Tablas!$G$9:$K$1240,5,0)*(INT(D299)+1-D299)),+VLOOKUP(INT(D299)+1,Tablas!$G$9:$O$1240,9,0)*(D299-INT(D299))+VLOOKUP(INT(D299),Tablas!$G$9:$O$1240,9,0)*(INT(D299)+1-D299))</f>
      </c>
      <c r="H299" s="801">
        <f>+IF(MONTH(B299)=1,H298*(1+$C$9),H298)</f>
      </c>
      <c r="I299" s="791">
        <f>IF(B299&lt;$C$10,0,IF(B299&lt;$C$11,$C$8/12*E299*F299*H299,0))</f>
      </c>
      <c r="J299" s="791">
        <f>I299*12/14+IF(OR(MONTH(C299)=6,MONTH(C299)=12),I299*12/14,0)</f>
      </c>
      <c r="K299" s="801">
        <f>G299/$G$15</f>
      </c>
      <c r="L299" s="760"/>
      <c r="M299" s="767"/>
      <c r="N299" s="168"/>
      <c r="O299" s="768"/>
      <c r="P299" s="170"/>
      <c r="Q299" s="7"/>
      <c r="R299" s="766"/>
      <c r="S299" s="170"/>
      <c r="T299" s="168"/>
      <c r="U299" s="170"/>
    </row>
    <row x14ac:dyDescent="0.25" r="300" customHeight="1" ht="18.75">
      <c r="A300" s="1"/>
      <c r="B300" s="799">
        <f>+DATE(YEAR(B299),MONTH(B299)+1,DAY(B299))</f>
        <v>25569.041666666668</v>
      </c>
      <c r="C300" s="799">
        <f>+B301-1</f>
        <v>25569.041666666668</v>
      </c>
      <c r="D300" s="791">
        <f>-_xlfn.DAYS($C$3,C300)/365.25</f>
      </c>
      <c r="E300" s="800">
        <f>IF($D$17+40&lt;=D300,(1+$D$7)^-(D300-$C$5),(1+$C$7)^-(D300-$C$5))</f>
      </c>
      <c r="F300" s="801">
        <f>IF($C$4="Hombre",(+VLOOKUP(INT(D300)+1,Tablas!$G$9:$K$1240,5,0)*(D300-INT(D300))+VLOOKUP(INT(D300),Tablas!$G$9:$K$1240,5,0)*(INT(D300)+1-D300))/(VLOOKUP(INT($C$5)+1,Tablas!$G$9:$K$1240,5,0)*($C$5-INT($C$5))+VLOOKUP(INT($C$5),Tablas!$G$9:$K$124,5,0)*(INT($C$5)+1-$C$5)),(+VLOOKUP(INT(D300)+1,Tablas!$G$9:$O$1240,9,0)*(D300-INT(D300))+VLOOKUP(INT(D300),Tablas!$G$9:$O$1240,9,0)*(INT(D300)+1-D300))/(VLOOKUP(INT($C$5)+1,Tablas!$G$9:$O$1240,9,0)*($C$5-INT($C$5))+VLOOKUP(INT($C$5),Tablas!$G$9:$O$124,9,0)*(INT($C$5)+1-$C$5)))</f>
      </c>
      <c r="G300" s="791">
        <f>IF($C$4="Hombre",(+VLOOKUP(INT(D300)+1,Tablas!$G$9:$K$1240,5,0)*(D300-INT(D300))+VLOOKUP(INT(D300),Tablas!$G$9:$K$1240,5,0)*(INT(D300)+1-D300)),+VLOOKUP(INT(D300)+1,Tablas!$G$9:$O$1240,9,0)*(D300-INT(D300))+VLOOKUP(INT(D300),Tablas!$G$9:$O$1240,9,0)*(INT(D300)+1-D300))</f>
      </c>
      <c r="H300" s="801">
        <f>+IF(MONTH(B300)=1,H299*(1+$C$9),H299)</f>
      </c>
      <c r="I300" s="791">
        <f>IF(B300&lt;$C$10,0,IF(B300&lt;$C$11,$C$8/12*E300*F300*H300,0))</f>
      </c>
      <c r="J300" s="791">
        <f>I300*12/14+IF(OR(MONTH(C300)=6,MONTH(C300)=12),I300*12/14,0)</f>
      </c>
      <c r="K300" s="801">
        <f>G300/$G$15</f>
      </c>
      <c r="L300" s="760"/>
      <c r="M300" s="767"/>
      <c r="N300" s="168"/>
      <c r="O300" s="768"/>
      <c r="P300" s="170"/>
      <c r="Q300" s="7"/>
      <c r="R300" s="766"/>
      <c r="S300" s="170"/>
      <c r="T300" s="168"/>
      <c r="U300" s="170"/>
    </row>
    <row x14ac:dyDescent="0.25" r="301" customHeight="1" ht="18.75">
      <c r="A301" s="1"/>
      <c r="B301" s="799">
        <f>+DATE(YEAR(B300),MONTH(B300)+1,DAY(B300))</f>
        <v>25569.041666666668</v>
      </c>
      <c r="C301" s="799">
        <f>+B302-1</f>
        <v>25569.041666666668</v>
      </c>
      <c r="D301" s="791">
        <f>-_xlfn.DAYS($C$3,C301)/365.25</f>
      </c>
      <c r="E301" s="800">
        <f>IF($D$17+40&lt;=D301,(1+$D$7)^-(D301-$C$5),(1+$C$7)^-(D301-$C$5))</f>
      </c>
      <c r="F301" s="801">
        <f>IF($C$4="Hombre",(+VLOOKUP(INT(D301)+1,Tablas!$G$9:$K$1240,5,0)*(D301-INT(D301))+VLOOKUP(INT(D301),Tablas!$G$9:$K$1240,5,0)*(INT(D301)+1-D301))/(VLOOKUP(INT($C$5)+1,Tablas!$G$9:$K$1240,5,0)*($C$5-INT($C$5))+VLOOKUP(INT($C$5),Tablas!$G$9:$K$124,5,0)*(INT($C$5)+1-$C$5)),(+VLOOKUP(INT(D301)+1,Tablas!$G$9:$O$1240,9,0)*(D301-INT(D301))+VLOOKUP(INT(D301),Tablas!$G$9:$O$1240,9,0)*(INT(D301)+1-D301))/(VLOOKUP(INT($C$5)+1,Tablas!$G$9:$O$1240,9,0)*($C$5-INT($C$5))+VLOOKUP(INT($C$5),Tablas!$G$9:$O$124,9,0)*(INT($C$5)+1-$C$5)))</f>
      </c>
      <c r="G301" s="791">
        <f>IF($C$4="Hombre",(+VLOOKUP(INT(D301)+1,Tablas!$G$9:$K$1240,5,0)*(D301-INT(D301))+VLOOKUP(INT(D301),Tablas!$G$9:$K$1240,5,0)*(INT(D301)+1-D301)),+VLOOKUP(INT(D301)+1,Tablas!$G$9:$O$1240,9,0)*(D301-INT(D301))+VLOOKUP(INT(D301),Tablas!$G$9:$O$1240,9,0)*(INT(D301)+1-D301))</f>
      </c>
      <c r="H301" s="801">
        <f>+IF(MONTH(B301)=1,H300*(1+$C$9),H300)</f>
      </c>
      <c r="I301" s="791">
        <f>IF(B301&lt;$C$10,0,IF(B301&lt;$C$11,$C$8/12*E301*F301*H301,0))</f>
      </c>
      <c r="J301" s="791">
        <f>I301*12/14+IF(OR(MONTH(C301)=6,MONTH(C301)=12),I301*12/14,0)</f>
      </c>
      <c r="K301" s="801">
        <f>G301/$G$15</f>
      </c>
      <c r="L301" s="760"/>
      <c r="M301" s="767"/>
      <c r="N301" s="168"/>
      <c r="O301" s="768"/>
      <c r="P301" s="170"/>
      <c r="Q301" s="7"/>
      <c r="R301" s="766"/>
      <c r="S301" s="170"/>
      <c r="T301" s="168"/>
      <c r="U301" s="170"/>
    </row>
    <row x14ac:dyDescent="0.25" r="302" customHeight="1" ht="18.75">
      <c r="A302" s="1"/>
      <c r="B302" s="799">
        <f>+DATE(YEAR(B301),MONTH(B301)+1,DAY(B301))</f>
        <v>25569.041666666668</v>
      </c>
      <c r="C302" s="799">
        <f>+B303-1</f>
        <v>25569.041666666668</v>
      </c>
      <c r="D302" s="791">
        <f>-_xlfn.DAYS($C$3,C302)/365.25</f>
      </c>
      <c r="E302" s="800">
        <f>IF($D$17+40&lt;=D302,(1+$D$7)^-(D302-$C$5),(1+$C$7)^-(D302-$C$5))</f>
      </c>
      <c r="F302" s="801">
        <f>IF($C$4="Hombre",(+VLOOKUP(INT(D302)+1,Tablas!$G$9:$K$1240,5,0)*(D302-INT(D302))+VLOOKUP(INT(D302),Tablas!$G$9:$K$1240,5,0)*(INT(D302)+1-D302))/(VLOOKUP(INT($C$5)+1,Tablas!$G$9:$K$1240,5,0)*($C$5-INT($C$5))+VLOOKUP(INT($C$5),Tablas!$G$9:$K$124,5,0)*(INT($C$5)+1-$C$5)),(+VLOOKUP(INT(D302)+1,Tablas!$G$9:$O$1240,9,0)*(D302-INT(D302))+VLOOKUP(INT(D302),Tablas!$G$9:$O$1240,9,0)*(INT(D302)+1-D302))/(VLOOKUP(INT($C$5)+1,Tablas!$G$9:$O$1240,9,0)*($C$5-INT($C$5))+VLOOKUP(INT($C$5),Tablas!$G$9:$O$124,9,0)*(INT($C$5)+1-$C$5)))</f>
      </c>
      <c r="G302" s="791">
        <f>IF($C$4="Hombre",(+VLOOKUP(INT(D302)+1,Tablas!$G$9:$K$1240,5,0)*(D302-INT(D302))+VLOOKUP(INT(D302),Tablas!$G$9:$K$1240,5,0)*(INT(D302)+1-D302)),+VLOOKUP(INT(D302)+1,Tablas!$G$9:$O$1240,9,0)*(D302-INT(D302))+VLOOKUP(INT(D302),Tablas!$G$9:$O$1240,9,0)*(INT(D302)+1-D302))</f>
      </c>
      <c r="H302" s="801">
        <f>+IF(MONTH(B302)=1,H301*(1+$C$9),H301)</f>
      </c>
      <c r="I302" s="791">
        <f>IF(B302&lt;$C$10,0,IF(B302&lt;$C$11,$C$8/12*E302*F302*H302,0))</f>
      </c>
      <c r="J302" s="791">
        <f>I302*12/14+IF(OR(MONTH(C302)=6,MONTH(C302)=12),I302*12/14,0)</f>
      </c>
      <c r="K302" s="801">
        <f>G302/$G$15</f>
      </c>
      <c r="L302" s="760"/>
      <c r="M302" s="767"/>
      <c r="N302" s="168"/>
      <c r="O302" s="768"/>
      <c r="P302" s="170"/>
      <c r="Q302" s="7"/>
      <c r="R302" s="766"/>
      <c r="S302" s="170"/>
      <c r="T302" s="168"/>
      <c r="U302" s="170"/>
    </row>
    <row x14ac:dyDescent="0.25" r="303" customHeight="1" ht="18.75">
      <c r="A303" s="1"/>
      <c r="B303" s="799">
        <f>+DATE(YEAR(B302),MONTH(B302)+1,DAY(B302))</f>
        <v>25569.041666666668</v>
      </c>
      <c r="C303" s="799">
        <f>+B304-1</f>
        <v>25569.041666666668</v>
      </c>
      <c r="D303" s="791">
        <f>-_xlfn.DAYS($C$3,C303)/365.25</f>
      </c>
      <c r="E303" s="800">
        <f>IF($D$17+40&lt;=D303,(1+$D$7)^-(D303-$C$5),(1+$C$7)^-(D303-$C$5))</f>
      </c>
      <c r="F303" s="801">
        <f>IF($C$4="Hombre",(+VLOOKUP(INT(D303)+1,Tablas!$G$9:$K$1240,5,0)*(D303-INT(D303))+VLOOKUP(INT(D303),Tablas!$G$9:$K$1240,5,0)*(INT(D303)+1-D303))/(VLOOKUP(INT($C$5)+1,Tablas!$G$9:$K$1240,5,0)*($C$5-INT($C$5))+VLOOKUP(INT($C$5),Tablas!$G$9:$K$124,5,0)*(INT($C$5)+1-$C$5)),(+VLOOKUP(INT(D303)+1,Tablas!$G$9:$O$1240,9,0)*(D303-INT(D303))+VLOOKUP(INT(D303),Tablas!$G$9:$O$1240,9,0)*(INT(D303)+1-D303))/(VLOOKUP(INT($C$5)+1,Tablas!$G$9:$O$1240,9,0)*($C$5-INT($C$5))+VLOOKUP(INT($C$5),Tablas!$G$9:$O$124,9,0)*(INT($C$5)+1-$C$5)))</f>
      </c>
      <c r="G303" s="791">
        <f>IF($C$4="Hombre",(+VLOOKUP(INT(D303)+1,Tablas!$G$9:$K$1240,5,0)*(D303-INT(D303))+VLOOKUP(INT(D303),Tablas!$G$9:$K$1240,5,0)*(INT(D303)+1-D303)),+VLOOKUP(INT(D303)+1,Tablas!$G$9:$O$1240,9,0)*(D303-INT(D303))+VLOOKUP(INT(D303),Tablas!$G$9:$O$1240,9,0)*(INT(D303)+1-D303))</f>
      </c>
      <c r="H303" s="801">
        <f>+IF(MONTH(B303)=1,H302*(1+$C$9),H302)</f>
      </c>
      <c r="I303" s="791">
        <f>IF(B303&lt;$C$10,0,IF(B303&lt;$C$11,$C$8/12*E303*F303*H303,0))</f>
      </c>
      <c r="J303" s="791">
        <f>I303*12/14+IF(OR(MONTH(C303)=6,MONTH(C303)=12),I303*12/14,0)</f>
      </c>
      <c r="K303" s="801">
        <f>G303/$G$15</f>
      </c>
      <c r="L303" s="760"/>
      <c r="M303" s="767"/>
      <c r="N303" s="168"/>
      <c r="O303" s="768"/>
      <c r="P303" s="170"/>
      <c r="Q303" s="7"/>
      <c r="R303" s="766"/>
      <c r="S303" s="170"/>
      <c r="T303" s="168"/>
      <c r="U303" s="170"/>
    </row>
    <row x14ac:dyDescent="0.25" r="304" customHeight="1" ht="18.75">
      <c r="A304" s="1"/>
      <c r="B304" s="799">
        <f>+DATE(YEAR(B303),MONTH(B303)+1,DAY(B303))</f>
        <v>25569.041666666668</v>
      </c>
      <c r="C304" s="799">
        <f>+B305-1</f>
        <v>25569.041666666668</v>
      </c>
      <c r="D304" s="791">
        <f>-_xlfn.DAYS($C$3,C304)/365.25</f>
      </c>
      <c r="E304" s="800">
        <f>IF($D$17+40&lt;=D304,(1+$D$7)^-(D304-$C$5),(1+$C$7)^-(D304-$C$5))</f>
      </c>
      <c r="F304" s="801">
        <f>IF($C$4="Hombre",(+VLOOKUP(INT(D304)+1,Tablas!$G$9:$K$1240,5,0)*(D304-INT(D304))+VLOOKUP(INT(D304),Tablas!$G$9:$K$1240,5,0)*(INT(D304)+1-D304))/(VLOOKUP(INT($C$5)+1,Tablas!$G$9:$K$1240,5,0)*($C$5-INT($C$5))+VLOOKUP(INT($C$5),Tablas!$G$9:$K$124,5,0)*(INT($C$5)+1-$C$5)),(+VLOOKUP(INT(D304)+1,Tablas!$G$9:$O$1240,9,0)*(D304-INT(D304))+VLOOKUP(INT(D304),Tablas!$G$9:$O$1240,9,0)*(INT(D304)+1-D304))/(VLOOKUP(INT($C$5)+1,Tablas!$G$9:$O$1240,9,0)*($C$5-INT($C$5))+VLOOKUP(INT($C$5),Tablas!$G$9:$O$124,9,0)*(INT($C$5)+1-$C$5)))</f>
      </c>
      <c r="G304" s="791">
        <f>IF($C$4="Hombre",(+VLOOKUP(INT(D304)+1,Tablas!$G$9:$K$1240,5,0)*(D304-INT(D304))+VLOOKUP(INT(D304),Tablas!$G$9:$K$1240,5,0)*(INT(D304)+1-D304)),+VLOOKUP(INT(D304)+1,Tablas!$G$9:$O$1240,9,0)*(D304-INT(D304))+VLOOKUP(INT(D304),Tablas!$G$9:$O$1240,9,0)*(INT(D304)+1-D304))</f>
      </c>
      <c r="H304" s="801">
        <f>+IF(MONTH(B304)=1,H303*(1+$C$9),H303)</f>
      </c>
      <c r="I304" s="791">
        <f>IF(B304&lt;$C$10,0,IF(B304&lt;$C$11,$C$8/12*E304*F304*H304,0))</f>
      </c>
      <c r="J304" s="791">
        <f>I304*12/14+IF(OR(MONTH(C304)=6,MONTH(C304)=12),I304*12/14,0)</f>
      </c>
      <c r="K304" s="801">
        <f>G304/$G$15</f>
      </c>
      <c r="L304" s="760"/>
      <c r="M304" s="767"/>
      <c r="N304" s="168"/>
      <c r="O304" s="768"/>
      <c r="P304" s="170"/>
      <c r="Q304" s="7"/>
      <c r="R304" s="766"/>
      <c r="S304" s="170"/>
      <c r="T304" s="168"/>
      <c r="U304" s="170"/>
    </row>
    <row x14ac:dyDescent="0.25" r="305" customHeight="1" ht="18.75">
      <c r="A305" s="1"/>
      <c r="B305" s="799">
        <f>+DATE(YEAR(B304),MONTH(B304)+1,DAY(B304))</f>
        <v>25569.041666666668</v>
      </c>
      <c r="C305" s="799">
        <f>+B306-1</f>
        <v>25569.041666666668</v>
      </c>
      <c r="D305" s="791">
        <f>-_xlfn.DAYS($C$3,C305)/365.25</f>
      </c>
      <c r="E305" s="800">
        <f>IF($D$17+40&lt;=D305,(1+$D$7)^-(D305-$C$5),(1+$C$7)^-(D305-$C$5))</f>
      </c>
      <c r="F305" s="801">
        <f>IF($C$4="Hombre",(+VLOOKUP(INT(D305)+1,Tablas!$G$9:$K$1240,5,0)*(D305-INT(D305))+VLOOKUP(INT(D305),Tablas!$G$9:$K$1240,5,0)*(INT(D305)+1-D305))/(VLOOKUP(INT($C$5)+1,Tablas!$G$9:$K$1240,5,0)*($C$5-INT($C$5))+VLOOKUP(INT($C$5),Tablas!$G$9:$K$124,5,0)*(INT($C$5)+1-$C$5)),(+VLOOKUP(INT(D305)+1,Tablas!$G$9:$O$1240,9,0)*(D305-INT(D305))+VLOOKUP(INT(D305),Tablas!$G$9:$O$1240,9,0)*(INT(D305)+1-D305))/(VLOOKUP(INT($C$5)+1,Tablas!$G$9:$O$1240,9,0)*($C$5-INT($C$5))+VLOOKUP(INT($C$5),Tablas!$G$9:$O$124,9,0)*(INT($C$5)+1-$C$5)))</f>
      </c>
      <c r="G305" s="791">
        <f>IF($C$4="Hombre",(+VLOOKUP(INT(D305)+1,Tablas!$G$9:$K$1240,5,0)*(D305-INT(D305))+VLOOKUP(INT(D305),Tablas!$G$9:$K$1240,5,0)*(INT(D305)+1-D305)),+VLOOKUP(INT(D305)+1,Tablas!$G$9:$O$1240,9,0)*(D305-INT(D305))+VLOOKUP(INT(D305),Tablas!$G$9:$O$1240,9,0)*(INT(D305)+1-D305))</f>
      </c>
      <c r="H305" s="801">
        <f>+IF(MONTH(B305)=1,H304*(1+$C$9),H304)</f>
      </c>
      <c r="I305" s="791">
        <f>IF(B305&lt;$C$10,0,IF(B305&lt;$C$11,$C$8/12*E305*F305*H305,0))</f>
      </c>
      <c r="J305" s="791">
        <f>I305*12/14+IF(OR(MONTH(C305)=6,MONTH(C305)=12),I305*12/14,0)</f>
      </c>
      <c r="K305" s="801">
        <f>G305/$G$15</f>
      </c>
      <c r="L305" s="760"/>
      <c r="M305" s="767"/>
      <c r="N305" s="168"/>
      <c r="O305" s="768"/>
      <c r="P305" s="170"/>
      <c r="Q305" s="7"/>
      <c r="R305" s="766"/>
      <c r="S305" s="170"/>
      <c r="T305" s="168"/>
      <c r="U305" s="170"/>
    </row>
    <row x14ac:dyDescent="0.25" r="306" customHeight="1" ht="18.75">
      <c r="A306" s="1"/>
      <c r="B306" s="799">
        <f>+DATE(YEAR(B305),MONTH(B305)+1,DAY(B305))</f>
        <v>25569.041666666668</v>
      </c>
      <c r="C306" s="799">
        <f>+B307-1</f>
        <v>25569.041666666668</v>
      </c>
      <c r="D306" s="791">
        <f>-_xlfn.DAYS($C$3,C306)/365.25</f>
      </c>
      <c r="E306" s="800">
        <f>IF($D$17+40&lt;=D306,(1+$D$7)^-(D306-$C$5),(1+$C$7)^-(D306-$C$5))</f>
      </c>
      <c r="F306" s="801">
        <f>IF($C$4="Hombre",(+VLOOKUP(INT(D306)+1,Tablas!$G$9:$K$1240,5,0)*(D306-INT(D306))+VLOOKUP(INT(D306),Tablas!$G$9:$K$1240,5,0)*(INT(D306)+1-D306))/(VLOOKUP(INT($C$5)+1,Tablas!$G$9:$K$1240,5,0)*($C$5-INT($C$5))+VLOOKUP(INT($C$5),Tablas!$G$9:$K$124,5,0)*(INT($C$5)+1-$C$5)),(+VLOOKUP(INT(D306)+1,Tablas!$G$9:$O$1240,9,0)*(D306-INT(D306))+VLOOKUP(INT(D306),Tablas!$G$9:$O$1240,9,0)*(INT(D306)+1-D306))/(VLOOKUP(INT($C$5)+1,Tablas!$G$9:$O$1240,9,0)*($C$5-INT($C$5))+VLOOKUP(INT($C$5),Tablas!$G$9:$O$124,9,0)*(INT($C$5)+1-$C$5)))</f>
      </c>
      <c r="G306" s="791">
        <f>IF($C$4="Hombre",(+VLOOKUP(INT(D306)+1,Tablas!$G$9:$K$1240,5,0)*(D306-INT(D306))+VLOOKUP(INT(D306),Tablas!$G$9:$K$1240,5,0)*(INT(D306)+1-D306)),+VLOOKUP(INT(D306)+1,Tablas!$G$9:$O$1240,9,0)*(D306-INT(D306))+VLOOKUP(INT(D306),Tablas!$G$9:$O$1240,9,0)*(INT(D306)+1-D306))</f>
      </c>
      <c r="H306" s="801">
        <f>+IF(MONTH(B306)=1,H305*(1+$C$9),H305)</f>
      </c>
      <c r="I306" s="791">
        <f>IF(B306&lt;$C$10,0,IF(B306&lt;$C$11,$C$8/12*E306*F306*H306,0))</f>
      </c>
      <c r="J306" s="791">
        <f>I306*12/14+IF(OR(MONTH(C306)=6,MONTH(C306)=12),I306*12/14,0)</f>
      </c>
      <c r="K306" s="801">
        <f>G306/$G$15</f>
      </c>
      <c r="L306" s="760"/>
      <c r="M306" s="767"/>
      <c r="N306" s="168"/>
      <c r="O306" s="768"/>
      <c r="P306" s="170"/>
      <c r="Q306" s="7"/>
      <c r="R306" s="766"/>
      <c r="S306" s="170"/>
      <c r="T306" s="168"/>
      <c r="U306" s="170"/>
    </row>
    <row x14ac:dyDescent="0.25" r="307" customHeight="1" ht="18.75">
      <c r="A307" s="1"/>
      <c r="B307" s="799">
        <f>+DATE(YEAR(B306),MONTH(B306)+1,DAY(B306))</f>
        <v>25569.041666666668</v>
      </c>
      <c r="C307" s="799">
        <f>+B308-1</f>
        <v>25569.041666666668</v>
      </c>
      <c r="D307" s="791">
        <f>-_xlfn.DAYS($C$3,C307)/365.25</f>
      </c>
      <c r="E307" s="800">
        <f>IF($D$17+40&lt;=D307,(1+$D$7)^-(D307-$C$5),(1+$C$7)^-(D307-$C$5))</f>
      </c>
      <c r="F307" s="801">
        <f>IF($C$4="Hombre",(+VLOOKUP(INT(D307)+1,Tablas!$G$9:$K$1240,5,0)*(D307-INT(D307))+VLOOKUP(INT(D307),Tablas!$G$9:$K$1240,5,0)*(INT(D307)+1-D307))/(VLOOKUP(INT($C$5)+1,Tablas!$G$9:$K$1240,5,0)*($C$5-INT($C$5))+VLOOKUP(INT($C$5),Tablas!$G$9:$K$124,5,0)*(INT($C$5)+1-$C$5)),(+VLOOKUP(INT(D307)+1,Tablas!$G$9:$O$1240,9,0)*(D307-INT(D307))+VLOOKUP(INT(D307),Tablas!$G$9:$O$1240,9,0)*(INT(D307)+1-D307))/(VLOOKUP(INT($C$5)+1,Tablas!$G$9:$O$1240,9,0)*($C$5-INT($C$5))+VLOOKUP(INT($C$5),Tablas!$G$9:$O$124,9,0)*(INT($C$5)+1-$C$5)))</f>
      </c>
      <c r="G307" s="791">
        <f>IF($C$4="Hombre",(+VLOOKUP(INT(D307)+1,Tablas!$G$9:$K$1240,5,0)*(D307-INT(D307))+VLOOKUP(INT(D307),Tablas!$G$9:$K$1240,5,0)*(INT(D307)+1-D307)),+VLOOKUP(INT(D307)+1,Tablas!$G$9:$O$1240,9,0)*(D307-INT(D307))+VLOOKUP(INT(D307),Tablas!$G$9:$O$1240,9,0)*(INT(D307)+1-D307))</f>
      </c>
      <c r="H307" s="801">
        <f>+IF(MONTH(B307)=1,H306*(1+$C$9),H306)</f>
      </c>
      <c r="I307" s="791">
        <f>IF(B307&lt;$C$10,0,IF(B307&lt;$C$11,$C$8/12*E307*F307*H307,0))</f>
      </c>
      <c r="J307" s="791">
        <f>I307*12/14+IF(OR(MONTH(C307)=6,MONTH(C307)=12),I307*12/14,0)</f>
      </c>
      <c r="K307" s="801">
        <f>G307/$G$15</f>
      </c>
      <c r="L307" s="760"/>
      <c r="M307" s="767"/>
      <c r="N307" s="168"/>
      <c r="O307" s="768"/>
      <c r="P307" s="170"/>
      <c r="Q307" s="7"/>
      <c r="R307" s="766"/>
      <c r="S307" s="170"/>
      <c r="T307" s="168"/>
      <c r="U307" s="170"/>
    </row>
    <row x14ac:dyDescent="0.25" r="308" customHeight="1" ht="18.75">
      <c r="A308" s="1"/>
      <c r="B308" s="799">
        <f>+DATE(YEAR(B307),MONTH(B307)+1,DAY(B307))</f>
        <v>25569.041666666668</v>
      </c>
      <c r="C308" s="799">
        <f>+B309-1</f>
        <v>25569.041666666668</v>
      </c>
      <c r="D308" s="791">
        <f>-_xlfn.DAYS($C$3,C308)/365.25</f>
      </c>
      <c r="E308" s="800">
        <f>IF($D$17+40&lt;=D308,(1+$D$7)^-(D308-$C$5),(1+$C$7)^-(D308-$C$5))</f>
      </c>
      <c r="F308" s="801">
        <f>IF($C$4="Hombre",(+VLOOKUP(INT(D308)+1,Tablas!$G$9:$K$1240,5,0)*(D308-INT(D308))+VLOOKUP(INT(D308),Tablas!$G$9:$K$1240,5,0)*(INT(D308)+1-D308))/(VLOOKUP(INT($C$5)+1,Tablas!$G$9:$K$1240,5,0)*($C$5-INT($C$5))+VLOOKUP(INT($C$5),Tablas!$G$9:$K$124,5,0)*(INT($C$5)+1-$C$5)),(+VLOOKUP(INT(D308)+1,Tablas!$G$9:$O$1240,9,0)*(D308-INT(D308))+VLOOKUP(INT(D308),Tablas!$G$9:$O$1240,9,0)*(INT(D308)+1-D308))/(VLOOKUP(INT($C$5)+1,Tablas!$G$9:$O$1240,9,0)*($C$5-INT($C$5))+VLOOKUP(INT($C$5),Tablas!$G$9:$O$124,9,0)*(INT($C$5)+1-$C$5)))</f>
      </c>
      <c r="G308" s="791">
        <f>IF($C$4="Hombre",(+VLOOKUP(INT(D308)+1,Tablas!$G$9:$K$1240,5,0)*(D308-INT(D308))+VLOOKUP(INT(D308),Tablas!$G$9:$K$1240,5,0)*(INT(D308)+1-D308)),+VLOOKUP(INT(D308)+1,Tablas!$G$9:$O$1240,9,0)*(D308-INT(D308))+VLOOKUP(INT(D308),Tablas!$G$9:$O$1240,9,0)*(INT(D308)+1-D308))</f>
      </c>
      <c r="H308" s="801">
        <f>+IF(MONTH(B308)=1,H307*(1+$C$9),H307)</f>
      </c>
      <c r="I308" s="791">
        <f>IF(B308&lt;$C$10,0,IF(B308&lt;$C$11,$C$8/12*E308*F308*H308,0))</f>
      </c>
      <c r="J308" s="791">
        <f>I308*12/14+IF(OR(MONTH(C308)=6,MONTH(C308)=12),I308*12/14,0)</f>
      </c>
      <c r="K308" s="801">
        <f>G308/$G$15</f>
      </c>
      <c r="L308" s="760"/>
      <c r="M308" s="767"/>
      <c r="N308" s="168"/>
      <c r="O308" s="768"/>
      <c r="P308" s="170"/>
      <c r="Q308" s="7"/>
      <c r="R308" s="766"/>
      <c r="S308" s="170"/>
      <c r="T308" s="168"/>
      <c r="U308" s="170"/>
    </row>
    <row x14ac:dyDescent="0.25" r="309" customHeight="1" ht="18.75">
      <c r="A309" s="1"/>
      <c r="B309" s="799">
        <f>+DATE(YEAR(B308),MONTH(B308)+1,DAY(B308))</f>
        <v>25569.041666666668</v>
      </c>
      <c r="C309" s="799">
        <f>+B310-1</f>
        <v>25569.041666666668</v>
      </c>
      <c r="D309" s="791">
        <f>-_xlfn.DAYS($C$3,C309)/365.25</f>
      </c>
      <c r="E309" s="800">
        <f>IF($D$17+40&lt;=D309,(1+$D$7)^-(D309-$C$5),(1+$C$7)^-(D309-$C$5))</f>
      </c>
      <c r="F309" s="801">
        <f>IF($C$4="Hombre",(+VLOOKUP(INT(D309)+1,Tablas!$G$9:$K$1240,5,0)*(D309-INT(D309))+VLOOKUP(INT(D309),Tablas!$G$9:$K$1240,5,0)*(INT(D309)+1-D309))/(VLOOKUP(INT($C$5)+1,Tablas!$G$9:$K$1240,5,0)*($C$5-INT($C$5))+VLOOKUP(INT($C$5),Tablas!$G$9:$K$124,5,0)*(INT($C$5)+1-$C$5)),(+VLOOKUP(INT(D309)+1,Tablas!$G$9:$O$1240,9,0)*(D309-INT(D309))+VLOOKUP(INT(D309),Tablas!$G$9:$O$1240,9,0)*(INT(D309)+1-D309))/(VLOOKUP(INT($C$5)+1,Tablas!$G$9:$O$1240,9,0)*($C$5-INT($C$5))+VLOOKUP(INT($C$5),Tablas!$G$9:$O$124,9,0)*(INT($C$5)+1-$C$5)))</f>
      </c>
      <c r="G309" s="791">
        <f>IF($C$4="Hombre",(+VLOOKUP(INT(D309)+1,Tablas!$G$9:$K$1240,5,0)*(D309-INT(D309))+VLOOKUP(INT(D309),Tablas!$G$9:$K$1240,5,0)*(INT(D309)+1-D309)),+VLOOKUP(INT(D309)+1,Tablas!$G$9:$O$1240,9,0)*(D309-INT(D309))+VLOOKUP(INT(D309),Tablas!$G$9:$O$1240,9,0)*(INT(D309)+1-D309))</f>
      </c>
      <c r="H309" s="801">
        <f>+IF(MONTH(B309)=1,H308*(1+$C$9),H308)</f>
      </c>
      <c r="I309" s="791">
        <f>IF(B309&lt;$C$10,0,IF(B309&lt;$C$11,$C$8/12*E309*F309*H309,0))</f>
      </c>
      <c r="J309" s="791">
        <f>I309*12/14+IF(OR(MONTH(C309)=6,MONTH(C309)=12),I309*12/14,0)</f>
      </c>
      <c r="K309" s="801">
        <f>G309/$G$15</f>
      </c>
      <c r="L309" s="760"/>
      <c r="M309" s="767"/>
      <c r="N309" s="168"/>
      <c r="O309" s="768"/>
      <c r="P309" s="170"/>
      <c r="Q309" s="7"/>
      <c r="R309" s="766"/>
      <c r="S309" s="170"/>
      <c r="T309" s="168"/>
      <c r="U309" s="170"/>
    </row>
    <row x14ac:dyDescent="0.25" r="310" customHeight="1" ht="18.75">
      <c r="A310" s="1"/>
      <c r="B310" s="799">
        <f>+DATE(YEAR(B309),MONTH(B309)+1,DAY(B309))</f>
        <v>25569.041666666668</v>
      </c>
      <c r="C310" s="799">
        <f>+B311-1</f>
        <v>25569.041666666668</v>
      </c>
      <c r="D310" s="791">
        <f>-_xlfn.DAYS($C$3,C310)/365.25</f>
      </c>
      <c r="E310" s="800">
        <f>IF($D$17+40&lt;=D310,(1+$D$7)^-(D310-$C$5),(1+$C$7)^-(D310-$C$5))</f>
      </c>
      <c r="F310" s="801">
        <f>IF($C$4="Hombre",(+VLOOKUP(INT(D310)+1,Tablas!$G$9:$K$1240,5,0)*(D310-INT(D310))+VLOOKUP(INT(D310),Tablas!$G$9:$K$1240,5,0)*(INT(D310)+1-D310))/(VLOOKUP(INT($C$5)+1,Tablas!$G$9:$K$1240,5,0)*($C$5-INT($C$5))+VLOOKUP(INT($C$5),Tablas!$G$9:$K$124,5,0)*(INT($C$5)+1-$C$5)),(+VLOOKUP(INT(D310)+1,Tablas!$G$9:$O$1240,9,0)*(D310-INT(D310))+VLOOKUP(INT(D310),Tablas!$G$9:$O$1240,9,0)*(INT(D310)+1-D310))/(VLOOKUP(INT($C$5)+1,Tablas!$G$9:$O$1240,9,0)*($C$5-INT($C$5))+VLOOKUP(INT($C$5),Tablas!$G$9:$O$124,9,0)*(INT($C$5)+1-$C$5)))</f>
      </c>
      <c r="G310" s="791">
        <f>IF($C$4="Hombre",(+VLOOKUP(INT(D310)+1,Tablas!$G$9:$K$1240,5,0)*(D310-INT(D310))+VLOOKUP(INT(D310),Tablas!$G$9:$K$1240,5,0)*(INT(D310)+1-D310)),+VLOOKUP(INT(D310)+1,Tablas!$G$9:$O$1240,9,0)*(D310-INT(D310))+VLOOKUP(INT(D310),Tablas!$G$9:$O$1240,9,0)*(INT(D310)+1-D310))</f>
      </c>
      <c r="H310" s="801">
        <f>+IF(MONTH(B310)=1,H309*(1+$C$9),H309)</f>
      </c>
      <c r="I310" s="791">
        <f>IF(B310&lt;$C$10,0,IF(B310&lt;$C$11,$C$8/12*E310*F310*H310,0))</f>
      </c>
      <c r="J310" s="791">
        <f>I310*12/14+IF(OR(MONTH(C310)=6,MONTH(C310)=12),I310*12/14,0)</f>
      </c>
      <c r="K310" s="801">
        <f>G310/$G$15</f>
      </c>
      <c r="L310" s="760"/>
      <c r="M310" s="767"/>
      <c r="N310" s="168"/>
      <c r="O310" s="768"/>
      <c r="P310" s="170"/>
      <c r="Q310" s="7"/>
      <c r="R310" s="766"/>
      <c r="S310" s="170"/>
      <c r="T310" s="168"/>
      <c r="U310" s="170"/>
    </row>
    <row x14ac:dyDescent="0.25" r="311" customHeight="1" ht="18.75">
      <c r="A311" s="1"/>
      <c r="B311" s="799">
        <f>+DATE(YEAR(B310),MONTH(B310)+1,DAY(B310))</f>
        <v>25569.041666666668</v>
      </c>
      <c r="C311" s="799">
        <f>+B312-1</f>
        <v>25569.041666666668</v>
      </c>
      <c r="D311" s="791">
        <f>-_xlfn.DAYS($C$3,C311)/365.25</f>
      </c>
      <c r="E311" s="800">
        <f>IF($D$17+40&lt;=D311,(1+$D$7)^-(D311-$C$5),(1+$C$7)^-(D311-$C$5))</f>
      </c>
      <c r="F311" s="801">
        <f>IF($C$4="Hombre",(+VLOOKUP(INT(D311)+1,Tablas!$G$9:$K$1240,5,0)*(D311-INT(D311))+VLOOKUP(INT(D311),Tablas!$G$9:$K$1240,5,0)*(INT(D311)+1-D311))/(VLOOKUP(INT($C$5)+1,Tablas!$G$9:$K$1240,5,0)*($C$5-INT($C$5))+VLOOKUP(INT($C$5),Tablas!$G$9:$K$124,5,0)*(INT($C$5)+1-$C$5)),(+VLOOKUP(INT(D311)+1,Tablas!$G$9:$O$1240,9,0)*(D311-INT(D311))+VLOOKUP(INT(D311),Tablas!$G$9:$O$1240,9,0)*(INT(D311)+1-D311))/(VLOOKUP(INT($C$5)+1,Tablas!$G$9:$O$1240,9,0)*($C$5-INT($C$5))+VLOOKUP(INT($C$5),Tablas!$G$9:$O$124,9,0)*(INT($C$5)+1-$C$5)))</f>
      </c>
      <c r="G311" s="791">
        <f>IF($C$4="Hombre",(+VLOOKUP(INT(D311)+1,Tablas!$G$9:$K$1240,5,0)*(D311-INT(D311))+VLOOKUP(INT(D311),Tablas!$G$9:$K$1240,5,0)*(INT(D311)+1-D311)),+VLOOKUP(INT(D311)+1,Tablas!$G$9:$O$1240,9,0)*(D311-INT(D311))+VLOOKUP(INT(D311),Tablas!$G$9:$O$1240,9,0)*(INT(D311)+1-D311))</f>
      </c>
      <c r="H311" s="801">
        <f>+IF(MONTH(B311)=1,H310*(1+$C$9),H310)</f>
      </c>
      <c r="I311" s="791">
        <f>IF(B311&lt;$C$10,0,IF(B311&lt;$C$11,$C$8/12*E311*F311*H311,0))</f>
      </c>
      <c r="J311" s="791">
        <f>I311*12/14+IF(OR(MONTH(C311)=6,MONTH(C311)=12),I311*12/14,0)</f>
      </c>
      <c r="K311" s="801">
        <f>G311/$G$15</f>
      </c>
      <c r="L311" s="760"/>
      <c r="M311" s="767"/>
      <c r="N311" s="168"/>
      <c r="O311" s="768"/>
      <c r="P311" s="170"/>
      <c r="Q311" s="7"/>
      <c r="R311" s="766"/>
      <c r="S311" s="170"/>
      <c r="T311" s="168"/>
      <c r="U311" s="170"/>
    </row>
    <row x14ac:dyDescent="0.25" r="312" customHeight="1" ht="18.75">
      <c r="A312" s="1"/>
      <c r="B312" s="799">
        <f>+DATE(YEAR(B311),MONTH(B311)+1,DAY(B311))</f>
        <v>25569.041666666668</v>
      </c>
      <c r="C312" s="799">
        <f>+B313-1</f>
        <v>25569.041666666668</v>
      </c>
      <c r="D312" s="791">
        <f>-_xlfn.DAYS($C$3,C312)/365.25</f>
      </c>
      <c r="E312" s="800">
        <f>IF($D$17+40&lt;=D312,(1+$D$7)^-(D312-$C$5),(1+$C$7)^-(D312-$C$5))</f>
      </c>
      <c r="F312" s="801">
        <f>IF($C$4="Hombre",(+VLOOKUP(INT(D312)+1,Tablas!$G$9:$K$1240,5,0)*(D312-INT(D312))+VLOOKUP(INT(D312),Tablas!$G$9:$K$1240,5,0)*(INT(D312)+1-D312))/(VLOOKUP(INT($C$5)+1,Tablas!$G$9:$K$1240,5,0)*($C$5-INT($C$5))+VLOOKUP(INT($C$5),Tablas!$G$9:$K$124,5,0)*(INT($C$5)+1-$C$5)),(+VLOOKUP(INT(D312)+1,Tablas!$G$9:$O$1240,9,0)*(D312-INT(D312))+VLOOKUP(INT(D312),Tablas!$G$9:$O$1240,9,0)*(INT(D312)+1-D312))/(VLOOKUP(INT($C$5)+1,Tablas!$G$9:$O$1240,9,0)*($C$5-INT($C$5))+VLOOKUP(INT($C$5),Tablas!$G$9:$O$124,9,0)*(INT($C$5)+1-$C$5)))</f>
      </c>
      <c r="G312" s="791">
        <f>IF($C$4="Hombre",(+VLOOKUP(INT(D312)+1,Tablas!$G$9:$K$1240,5,0)*(D312-INT(D312))+VLOOKUP(INT(D312),Tablas!$G$9:$K$1240,5,0)*(INT(D312)+1-D312)),+VLOOKUP(INT(D312)+1,Tablas!$G$9:$O$1240,9,0)*(D312-INT(D312))+VLOOKUP(INT(D312),Tablas!$G$9:$O$1240,9,0)*(INT(D312)+1-D312))</f>
      </c>
      <c r="H312" s="801">
        <f>+IF(MONTH(B312)=1,H311*(1+$C$9),H311)</f>
      </c>
      <c r="I312" s="791">
        <f>IF(B312&lt;$C$10,0,IF(B312&lt;$C$11,$C$8/12*E312*F312*H312,0))</f>
      </c>
      <c r="J312" s="791">
        <f>I312*12/14+IF(OR(MONTH(C312)=6,MONTH(C312)=12),I312*12/14,0)</f>
      </c>
      <c r="K312" s="801">
        <f>G312/$G$15</f>
      </c>
      <c r="L312" s="760"/>
      <c r="M312" s="767"/>
      <c r="N312" s="168"/>
      <c r="O312" s="768"/>
      <c r="P312" s="170"/>
      <c r="Q312" s="7"/>
      <c r="R312" s="766"/>
      <c r="S312" s="170"/>
      <c r="T312" s="168"/>
      <c r="U312" s="170"/>
    </row>
    <row x14ac:dyDescent="0.25" r="313" customHeight="1" ht="18.75">
      <c r="A313" s="1"/>
      <c r="B313" s="799">
        <f>+DATE(YEAR(B312),MONTH(B312)+1,DAY(B312))</f>
        <v>25569.041666666668</v>
      </c>
      <c r="C313" s="799">
        <f>+B314-1</f>
        <v>25569.041666666668</v>
      </c>
      <c r="D313" s="791">
        <f>-_xlfn.DAYS($C$3,C313)/365.25</f>
      </c>
      <c r="E313" s="800">
        <f>IF($D$17+40&lt;=D313,(1+$D$7)^-(D313-$C$5),(1+$C$7)^-(D313-$C$5))</f>
      </c>
      <c r="F313" s="801">
        <f>IF($C$4="Hombre",(+VLOOKUP(INT(D313)+1,Tablas!$G$9:$K$1240,5,0)*(D313-INT(D313))+VLOOKUP(INT(D313),Tablas!$G$9:$K$1240,5,0)*(INT(D313)+1-D313))/(VLOOKUP(INT($C$5)+1,Tablas!$G$9:$K$1240,5,0)*($C$5-INT($C$5))+VLOOKUP(INT($C$5),Tablas!$G$9:$K$124,5,0)*(INT($C$5)+1-$C$5)),(+VLOOKUP(INT(D313)+1,Tablas!$G$9:$O$1240,9,0)*(D313-INT(D313))+VLOOKUP(INT(D313),Tablas!$G$9:$O$1240,9,0)*(INT(D313)+1-D313))/(VLOOKUP(INT($C$5)+1,Tablas!$G$9:$O$1240,9,0)*($C$5-INT($C$5))+VLOOKUP(INT($C$5),Tablas!$G$9:$O$124,9,0)*(INT($C$5)+1-$C$5)))</f>
      </c>
      <c r="G313" s="791">
        <f>IF($C$4="Hombre",(+VLOOKUP(INT(D313)+1,Tablas!$G$9:$K$1240,5,0)*(D313-INT(D313))+VLOOKUP(INT(D313),Tablas!$G$9:$K$1240,5,0)*(INT(D313)+1-D313)),+VLOOKUP(INT(D313)+1,Tablas!$G$9:$O$1240,9,0)*(D313-INT(D313))+VLOOKUP(INT(D313),Tablas!$G$9:$O$1240,9,0)*(INT(D313)+1-D313))</f>
      </c>
      <c r="H313" s="801">
        <f>+IF(MONTH(B313)=1,H312*(1+$C$9),H312)</f>
      </c>
      <c r="I313" s="791">
        <f>IF(B313&lt;$C$10,0,IF(B313&lt;$C$11,$C$8/12*E313*F313*H313,0))</f>
      </c>
      <c r="J313" s="791">
        <f>I313*12/14+IF(OR(MONTH(C313)=6,MONTH(C313)=12),I313*12/14,0)</f>
      </c>
      <c r="K313" s="801">
        <f>G313/$G$15</f>
      </c>
      <c r="L313" s="760"/>
      <c r="M313" s="767"/>
      <c r="N313" s="168"/>
      <c r="O313" s="768"/>
      <c r="P313" s="170"/>
      <c r="Q313" s="7"/>
      <c r="R313" s="766"/>
      <c r="S313" s="170"/>
      <c r="T313" s="168"/>
      <c r="U313" s="170"/>
    </row>
    <row x14ac:dyDescent="0.25" r="314" customHeight="1" ht="18.75">
      <c r="A314" s="1"/>
      <c r="B314" s="799">
        <f>+DATE(YEAR(B313),MONTH(B313)+1,DAY(B313))</f>
        <v>25569.041666666668</v>
      </c>
      <c r="C314" s="799">
        <f>+B315-1</f>
        <v>25569.041666666668</v>
      </c>
      <c r="D314" s="791">
        <f>-_xlfn.DAYS($C$3,C314)/365.25</f>
      </c>
      <c r="E314" s="800">
        <f>IF($D$17+40&lt;=D314,(1+$D$7)^-(D314-$C$5),(1+$C$7)^-(D314-$C$5))</f>
      </c>
      <c r="F314" s="801">
        <f>IF($C$4="Hombre",(+VLOOKUP(INT(D314)+1,Tablas!$G$9:$K$1240,5,0)*(D314-INT(D314))+VLOOKUP(INT(D314),Tablas!$G$9:$K$1240,5,0)*(INT(D314)+1-D314))/(VLOOKUP(INT($C$5)+1,Tablas!$G$9:$K$1240,5,0)*($C$5-INT($C$5))+VLOOKUP(INT($C$5),Tablas!$G$9:$K$124,5,0)*(INT($C$5)+1-$C$5)),(+VLOOKUP(INT(D314)+1,Tablas!$G$9:$O$1240,9,0)*(D314-INT(D314))+VLOOKUP(INT(D314),Tablas!$G$9:$O$1240,9,0)*(INT(D314)+1-D314))/(VLOOKUP(INT($C$5)+1,Tablas!$G$9:$O$1240,9,0)*($C$5-INT($C$5))+VLOOKUP(INT($C$5),Tablas!$G$9:$O$124,9,0)*(INT($C$5)+1-$C$5)))</f>
      </c>
      <c r="G314" s="791">
        <f>IF($C$4="Hombre",(+VLOOKUP(INT(D314)+1,Tablas!$G$9:$K$1240,5,0)*(D314-INT(D314))+VLOOKUP(INT(D314),Tablas!$G$9:$K$1240,5,0)*(INT(D314)+1-D314)),+VLOOKUP(INT(D314)+1,Tablas!$G$9:$O$1240,9,0)*(D314-INT(D314))+VLOOKUP(INT(D314),Tablas!$G$9:$O$1240,9,0)*(INT(D314)+1-D314))</f>
      </c>
      <c r="H314" s="801">
        <f>+IF(MONTH(B314)=1,H313*(1+$C$9),H313)</f>
      </c>
      <c r="I314" s="791">
        <f>IF(B314&lt;$C$10,0,IF(B314&lt;$C$11,$C$8/12*E314*F314*H314,0))</f>
      </c>
      <c r="J314" s="791">
        <f>I314*12/14+IF(OR(MONTH(C314)=6,MONTH(C314)=12),I314*12/14,0)</f>
      </c>
      <c r="K314" s="801">
        <f>G314/$G$15</f>
      </c>
      <c r="L314" s="760"/>
      <c r="M314" s="767"/>
      <c r="N314" s="168"/>
      <c r="O314" s="768"/>
      <c r="P314" s="170"/>
      <c r="Q314" s="7"/>
      <c r="R314" s="766"/>
      <c r="S314" s="170"/>
      <c r="T314" s="168"/>
      <c r="U314" s="170"/>
    </row>
    <row x14ac:dyDescent="0.25" r="315" customHeight="1" ht="18.75">
      <c r="A315" s="1"/>
      <c r="B315" s="799">
        <f>+DATE(YEAR(B314),MONTH(B314)+1,DAY(B314))</f>
        <v>25569.041666666668</v>
      </c>
      <c r="C315" s="799">
        <f>+B316-1</f>
        <v>25569.041666666668</v>
      </c>
      <c r="D315" s="791">
        <f>-_xlfn.DAYS($C$3,C315)/365.25</f>
      </c>
      <c r="E315" s="800">
        <f>IF($D$17+40&lt;=D315,(1+$D$7)^-(D315-$C$5),(1+$C$7)^-(D315-$C$5))</f>
      </c>
      <c r="F315" s="801">
        <f>IF($C$4="Hombre",(+VLOOKUP(INT(D315)+1,Tablas!$G$9:$K$1240,5,0)*(D315-INT(D315))+VLOOKUP(INT(D315),Tablas!$G$9:$K$1240,5,0)*(INT(D315)+1-D315))/(VLOOKUP(INT($C$5)+1,Tablas!$G$9:$K$1240,5,0)*($C$5-INT($C$5))+VLOOKUP(INT($C$5),Tablas!$G$9:$K$124,5,0)*(INT($C$5)+1-$C$5)),(+VLOOKUP(INT(D315)+1,Tablas!$G$9:$O$1240,9,0)*(D315-INT(D315))+VLOOKUP(INT(D315),Tablas!$G$9:$O$1240,9,0)*(INT(D315)+1-D315))/(VLOOKUP(INT($C$5)+1,Tablas!$G$9:$O$1240,9,0)*($C$5-INT($C$5))+VLOOKUP(INT($C$5),Tablas!$G$9:$O$124,9,0)*(INT($C$5)+1-$C$5)))</f>
      </c>
      <c r="G315" s="791">
        <f>IF($C$4="Hombre",(+VLOOKUP(INT(D315)+1,Tablas!$G$9:$K$1240,5,0)*(D315-INT(D315))+VLOOKUP(INT(D315),Tablas!$G$9:$K$1240,5,0)*(INT(D315)+1-D315)),+VLOOKUP(INT(D315)+1,Tablas!$G$9:$O$1240,9,0)*(D315-INT(D315))+VLOOKUP(INT(D315),Tablas!$G$9:$O$1240,9,0)*(INT(D315)+1-D315))</f>
      </c>
      <c r="H315" s="801">
        <f>+IF(MONTH(B315)=1,H314*(1+$C$9),H314)</f>
      </c>
      <c r="I315" s="791">
        <f>IF(B315&lt;$C$10,0,IF(B315&lt;$C$11,$C$8/12*E315*F315*H315,0))</f>
      </c>
      <c r="J315" s="791">
        <f>I315*12/14+IF(OR(MONTH(C315)=6,MONTH(C315)=12),I315*12/14,0)</f>
      </c>
      <c r="K315" s="801">
        <f>G315/$G$15</f>
      </c>
      <c r="L315" s="760"/>
      <c r="M315" s="767"/>
      <c r="N315" s="168"/>
      <c r="O315" s="768"/>
      <c r="P315" s="170"/>
      <c r="Q315" s="7"/>
      <c r="R315" s="766"/>
      <c r="S315" s="170"/>
      <c r="T315" s="168"/>
      <c r="U315" s="170"/>
    </row>
    <row x14ac:dyDescent="0.25" r="316" customHeight="1" ht="18.75">
      <c r="A316" s="1"/>
      <c r="B316" s="799">
        <f>+DATE(YEAR(B315),MONTH(B315)+1,DAY(B315))</f>
        <v>25569.041666666668</v>
      </c>
      <c r="C316" s="799">
        <f>+B317-1</f>
        <v>25569.041666666668</v>
      </c>
      <c r="D316" s="791">
        <f>-_xlfn.DAYS($C$3,C316)/365.25</f>
      </c>
      <c r="E316" s="800">
        <f>IF($D$17+40&lt;=D316,(1+$D$7)^-(D316-$C$5),(1+$C$7)^-(D316-$C$5))</f>
      </c>
      <c r="F316" s="801">
        <f>IF($C$4="Hombre",(+VLOOKUP(INT(D316)+1,Tablas!$G$9:$K$1240,5,0)*(D316-INT(D316))+VLOOKUP(INT(D316),Tablas!$G$9:$K$1240,5,0)*(INT(D316)+1-D316))/(VLOOKUP(INT($C$5)+1,Tablas!$G$9:$K$1240,5,0)*($C$5-INT($C$5))+VLOOKUP(INT($C$5),Tablas!$G$9:$K$124,5,0)*(INT($C$5)+1-$C$5)),(+VLOOKUP(INT(D316)+1,Tablas!$G$9:$O$1240,9,0)*(D316-INT(D316))+VLOOKUP(INT(D316),Tablas!$G$9:$O$1240,9,0)*(INT(D316)+1-D316))/(VLOOKUP(INT($C$5)+1,Tablas!$G$9:$O$1240,9,0)*($C$5-INT($C$5))+VLOOKUP(INT($C$5),Tablas!$G$9:$O$124,9,0)*(INT($C$5)+1-$C$5)))</f>
      </c>
      <c r="G316" s="791">
        <f>IF($C$4="Hombre",(+VLOOKUP(INT(D316)+1,Tablas!$G$9:$K$1240,5,0)*(D316-INT(D316))+VLOOKUP(INT(D316),Tablas!$G$9:$K$1240,5,0)*(INT(D316)+1-D316)),+VLOOKUP(INT(D316)+1,Tablas!$G$9:$O$1240,9,0)*(D316-INT(D316))+VLOOKUP(INT(D316),Tablas!$G$9:$O$1240,9,0)*(INT(D316)+1-D316))</f>
      </c>
      <c r="H316" s="801">
        <f>+IF(MONTH(B316)=1,H315*(1+$C$9),H315)</f>
      </c>
      <c r="I316" s="791">
        <f>IF(B316&lt;$C$10,0,IF(B316&lt;$C$11,$C$8/12*E316*F316*H316,0))</f>
      </c>
      <c r="J316" s="791">
        <f>I316*12/14+IF(OR(MONTH(C316)=6,MONTH(C316)=12),I316*12/14,0)</f>
      </c>
      <c r="K316" s="801">
        <f>G316/$G$15</f>
      </c>
      <c r="L316" s="760"/>
      <c r="M316" s="767"/>
      <c r="N316" s="168"/>
      <c r="O316" s="768"/>
      <c r="P316" s="170"/>
      <c r="Q316" s="7"/>
      <c r="R316" s="766"/>
      <c r="S316" s="170"/>
      <c r="T316" s="168"/>
      <c r="U316" s="170"/>
    </row>
    <row x14ac:dyDescent="0.25" r="317" customHeight="1" ht="18.75">
      <c r="A317" s="1"/>
      <c r="B317" s="799">
        <f>+DATE(YEAR(B316),MONTH(B316)+1,DAY(B316))</f>
        <v>25569.041666666668</v>
      </c>
      <c r="C317" s="799">
        <f>+B318-1</f>
        <v>25569.041666666668</v>
      </c>
      <c r="D317" s="791">
        <f>-_xlfn.DAYS($C$3,C317)/365.25</f>
      </c>
      <c r="E317" s="800">
        <f>IF($D$17+40&lt;=D317,(1+$D$7)^-(D317-$C$5),(1+$C$7)^-(D317-$C$5))</f>
      </c>
      <c r="F317" s="801">
        <f>IF($C$4="Hombre",(+VLOOKUP(INT(D317)+1,Tablas!$G$9:$K$1240,5,0)*(D317-INT(D317))+VLOOKUP(INT(D317),Tablas!$G$9:$K$1240,5,0)*(INT(D317)+1-D317))/(VLOOKUP(INT($C$5)+1,Tablas!$G$9:$K$1240,5,0)*($C$5-INT($C$5))+VLOOKUP(INT($C$5),Tablas!$G$9:$K$124,5,0)*(INT($C$5)+1-$C$5)),(+VLOOKUP(INT(D317)+1,Tablas!$G$9:$O$1240,9,0)*(D317-INT(D317))+VLOOKUP(INT(D317),Tablas!$G$9:$O$1240,9,0)*(INT(D317)+1-D317))/(VLOOKUP(INT($C$5)+1,Tablas!$G$9:$O$1240,9,0)*($C$5-INT($C$5))+VLOOKUP(INT($C$5),Tablas!$G$9:$O$124,9,0)*(INT($C$5)+1-$C$5)))</f>
      </c>
      <c r="G317" s="791">
        <f>IF($C$4="Hombre",(+VLOOKUP(INT(D317)+1,Tablas!$G$9:$K$1240,5,0)*(D317-INT(D317))+VLOOKUP(INT(D317),Tablas!$G$9:$K$1240,5,0)*(INT(D317)+1-D317)),+VLOOKUP(INT(D317)+1,Tablas!$G$9:$O$1240,9,0)*(D317-INT(D317))+VLOOKUP(INT(D317),Tablas!$G$9:$O$1240,9,0)*(INT(D317)+1-D317))</f>
      </c>
      <c r="H317" s="801">
        <f>+IF(MONTH(B317)=1,H316*(1+$C$9),H316)</f>
      </c>
      <c r="I317" s="791">
        <f>IF(B317&lt;$C$10,0,IF(B317&lt;$C$11,$C$8/12*E317*F317*H317,0))</f>
      </c>
      <c r="J317" s="791">
        <f>I317*12/14+IF(OR(MONTH(C317)=6,MONTH(C317)=12),I317*12/14,0)</f>
      </c>
      <c r="K317" s="801">
        <f>G317/$G$15</f>
      </c>
      <c r="L317" s="760"/>
      <c r="M317" s="767"/>
      <c r="N317" s="168"/>
      <c r="O317" s="768"/>
      <c r="P317" s="170"/>
      <c r="Q317" s="7"/>
      <c r="R317" s="766"/>
      <c r="S317" s="170"/>
      <c r="T317" s="168"/>
      <c r="U317" s="170"/>
    </row>
    <row x14ac:dyDescent="0.25" r="318" customHeight="1" ht="18.75">
      <c r="A318" s="1"/>
      <c r="B318" s="799">
        <f>+DATE(YEAR(B317),MONTH(B317)+1,DAY(B317))</f>
        <v>25569.041666666668</v>
      </c>
      <c r="C318" s="799">
        <f>+B319-1</f>
        <v>25569.041666666668</v>
      </c>
      <c r="D318" s="791">
        <f>-_xlfn.DAYS($C$3,C318)/365.25</f>
      </c>
      <c r="E318" s="800">
        <f>IF($D$17+40&lt;=D318,(1+$D$7)^-(D318-$C$5),(1+$C$7)^-(D318-$C$5))</f>
      </c>
      <c r="F318" s="801">
        <f>IF($C$4="Hombre",(+VLOOKUP(INT(D318)+1,Tablas!$G$9:$K$1240,5,0)*(D318-INT(D318))+VLOOKUP(INT(D318),Tablas!$G$9:$K$1240,5,0)*(INT(D318)+1-D318))/(VLOOKUP(INT($C$5)+1,Tablas!$G$9:$K$1240,5,0)*($C$5-INT($C$5))+VLOOKUP(INT($C$5),Tablas!$G$9:$K$124,5,0)*(INT($C$5)+1-$C$5)),(+VLOOKUP(INT(D318)+1,Tablas!$G$9:$O$1240,9,0)*(D318-INT(D318))+VLOOKUP(INT(D318),Tablas!$G$9:$O$1240,9,0)*(INT(D318)+1-D318))/(VLOOKUP(INT($C$5)+1,Tablas!$G$9:$O$1240,9,0)*($C$5-INT($C$5))+VLOOKUP(INT($C$5),Tablas!$G$9:$O$124,9,0)*(INT($C$5)+1-$C$5)))</f>
      </c>
      <c r="G318" s="791">
        <f>IF($C$4="Hombre",(+VLOOKUP(INT(D318)+1,Tablas!$G$9:$K$1240,5,0)*(D318-INT(D318))+VLOOKUP(INT(D318),Tablas!$G$9:$K$1240,5,0)*(INT(D318)+1-D318)),+VLOOKUP(INT(D318)+1,Tablas!$G$9:$O$1240,9,0)*(D318-INT(D318))+VLOOKUP(INT(D318),Tablas!$G$9:$O$1240,9,0)*(INT(D318)+1-D318))</f>
      </c>
      <c r="H318" s="801">
        <f>+IF(MONTH(B318)=1,H317*(1+$C$9),H317)</f>
      </c>
      <c r="I318" s="791">
        <f>IF(B318&lt;$C$10,0,IF(B318&lt;$C$11,$C$8/12*E318*F318*H318,0))</f>
      </c>
      <c r="J318" s="791">
        <f>I318*12/14+IF(OR(MONTH(C318)=6,MONTH(C318)=12),I318*12/14,0)</f>
      </c>
      <c r="K318" s="801">
        <f>G318/$G$15</f>
      </c>
      <c r="L318" s="760"/>
      <c r="M318" s="767"/>
      <c r="N318" s="168"/>
      <c r="O318" s="768"/>
      <c r="P318" s="170"/>
      <c r="Q318" s="7"/>
      <c r="R318" s="766"/>
      <c r="S318" s="170"/>
      <c r="T318" s="168"/>
      <c r="U318" s="170"/>
    </row>
    <row x14ac:dyDescent="0.25" r="319" customHeight="1" ht="18.75">
      <c r="A319" s="1"/>
      <c r="B319" s="799">
        <f>+DATE(YEAR(B318),MONTH(B318)+1,DAY(B318))</f>
        <v>25569.041666666668</v>
      </c>
      <c r="C319" s="799">
        <f>+B320-1</f>
        <v>25569.041666666668</v>
      </c>
      <c r="D319" s="791">
        <f>-_xlfn.DAYS($C$3,C319)/365.25</f>
      </c>
      <c r="E319" s="800">
        <f>IF($D$17+40&lt;=D319,(1+$D$7)^-(D319-$C$5),(1+$C$7)^-(D319-$C$5))</f>
      </c>
      <c r="F319" s="801">
        <f>IF($C$4="Hombre",(+VLOOKUP(INT(D319)+1,Tablas!$G$9:$K$1240,5,0)*(D319-INT(D319))+VLOOKUP(INT(D319),Tablas!$G$9:$K$1240,5,0)*(INT(D319)+1-D319))/(VLOOKUP(INT($C$5)+1,Tablas!$G$9:$K$1240,5,0)*($C$5-INT($C$5))+VLOOKUP(INT($C$5),Tablas!$G$9:$K$124,5,0)*(INT($C$5)+1-$C$5)),(+VLOOKUP(INT(D319)+1,Tablas!$G$9:$O$1240,9,0)*(D319-INT(D319))+VLOOKUP(INT(D319),Tablas!$G$9:$O$1240,9,0)*(INT(D319)+1-D319))/(VLOOKUP(INT($C$5)+1,Tablas!$G$9:$O$1240,9,0)*($C$5-INT($C$5))+VLOOKUP(INT($C$5),Tablas!$G$9:$O$124,9,0)*(INT($C$5)+1-$C$5)))</f>
      </c>
      <c r="G319" s="791">
        <f>IF($C$4="Hombre",(+VLOOKUP(INT(D319)+1,Tablas!$G$9:$K$1240,5,0)*(D319-INT(D319))+VLOOKUP(INT(D319),Tablas!$G$9:$K$1240,5,0)*(INT(D319)+1-D319)),+VLOOKUP(INT(D319)+1,Tablas!$G$9:$O$1240,9,0)*(D319-INT(D319))+VLOOKUP(INT(D319),Tablas!$G$9:$O$1240,9,0)*(INT(D319)+1-D319))</f>
      </c>
      <c r="H319" s="801">
        <f>+IF(MONTH(B319)=1,H318*(1+$C$9),H318)</f>
      </c>
      <c r="I319" s="791">
        <f>IF(B319&lt;$C$10,0,IF(B319&lt;$C$11,$C$8/12*E319*F319*H319,0))</f>
      </c>
      <c r="J319" s="791">
        <f>I319*12/14+IF(OR(MONTH(C319)=6,MONTH(C319)=12),I319*12/14,0)</f>
      </c>
      <c r="K319" s="801">
        <f>G319/$G$15</f>
      </c>
      <c r="L319" s="760"/>
      <c r="M319" s="767"/>
      <c r="N319" s="168"/>
      <c r="O319" s="768"/>
      <c r="P319" s="170"/>
      <c r="Q319" s="7"/>
      <c r="R319" s="766"/>
      <c r="S319" s="170"/>
      <c r="T319" s="168"/>
      <c r="U319" s="170"/>
    </row>
    <row x14ac:dyDescent="0.25" r="320" customHeight="1" ht="18.75">
      <c r="A320" s="1"/>
      <c r="B320" s="799">
        <f>+DATE(YEAR(B319),MONTH(B319)+1,DAY(B319))</f>
        <v>25569.041666666668</v>
      </c>
      <c r="C320" s="799">
        <f>+B321-1</f>
        <v>25569.041666666668</v>
      </c>
      <c r="D320" s="791">
        <f>-_xlfn.DAYS($C$3,C320)/365.25</f>
      </c>
      <c r="E320" s="800">
        <f>IF($D$17+40&lt;=D320,(1+$D$7)^-(D320-$C$5),(1+$C$7)^-(D320-$C$5))</f>
      </c>
      <c r="F320" s="801">
        <f>IF($C$4="Hombre",(+VLOOKUP(INT(D320)+1,Tablas!$G$9:$K$1240,5,0)*(D320-INT(D320))+VLOOKUP(INT(D320),Tablas!$G$9:$K$1240,5,0)*(INT(D320)+1-D320))/(VLOOKUP(INT($C$5)+1,Tablas!$G$9:$K$1240,5,0)*($C$5-INT($C$5))+VLOOKUP(INT($C$5),Tablas!$G$9:$K$124,5,0)*(INT($C$5)+1-$C$5)),(+VLOOKUP(INT(D320)+1,Tablas!$G$9:$O$1240,9,0)*(D320-INT(D320))+VLOOKUP(INT(D320),Tablas!$G$9:$O$1240,9,0)*(INT(D320)+1-D320))/(VLOOKUP(INT($C$5)+1,Tablas!$G$9:$O$1240,9,0)*($C$5-INT($C$5))+VLOOKUP(INT($C$5),Tablas!$G$9:$O$124,9,0)*(INT($C$5)+1-$C$5)))</f>
      </c>
      <c r="G320" s="791">
        <f>IF($C$4="Hombre",(+VLOOKUP(INT(D320)+1,Tablas!$G$9:$K$1240,5,0)*(D320-INT(D320))+VLOOKUP(INT(D320),Tablas!$G$9:$K$1240,5,0)*(INT(D320)+1-D320)),+VLOOKUP(INT(D320)+1,Tablas!$G$9:$O$1240,9,0)*(D320-INT(D320))+VLOOKUP(INT(D320),Tablas!$G$9:$O$1240,9,0)*(INT(D320)+1-D320))</f>
      </c>
      <c r="H320" s="801">
        <f>+IF(MONTH(B320)=1,H319*(1+$C$9),H319)</f>
      </c>
      <c r="I320" s="791">
        <f>IF(B320&lt;$C$10,0,IF(B320&lt;$C$11,$C$8/12*E320*F320*H320,0))</f>
      </c>
      <c r="J320" s="791">
        <f>I320*12/14+IF(OR(MONTH(C320)=6,MONTH(C320)=12),I320*12/14,0)</f>
      </c>
      <c r="K320" s="801">
        <f>G320/$G$15</f>
      </c>
      <c r="L320" s="760"/>
      <c r="M320" s="767"/>
      <c r="N320" s="168"/>
      <c r="O320" s="768"/>
      <c r="P320" s="170"/>
      <c r="Q320" s="7"/>
      <c r="R320" s="766"/>
      <c r="S320" s="170"/>
      <c r="T320" s="168"/>
      <c r="U320" s="170"/>
    </row>
    <row x14ac:dyDescent="0.25" r="321" customHeight="1" ht="18.75">
      <c r="A321" s="1"/>
      <c r="B321" s="799">
        <f>+DATE(YEAR(B320),MONTH(B320)+1,DAY(B320))</f>
        <v>25569.041666666668</v>
      </c>
      <c r="C321" s="799">
        <f>+B322-1</f>
        <v>25569.041666666668</v>
      </c>
      <c r="D321" s="791">
        <f>-_xlfn.DAYS($C$3,C321)/365.25</f>
      </c>
      <c r="E321" s="800">
        <f>IF($D$17+40&lt;=D321,(1+$D$7)^-(D321-$C$5),(1+$C$7)^-(D321-$C$5))</f>
      </c>
      <c r="F321" s="801">
        <f>IF($C$4="Hombre",(+VLOOKUP(INT(D321)+1,Tablas!$G$9:$K$1240,5,0)*(D321-INT(D321))+VLOOKUP(INT(D321),Tablas!$G$9:$K$1240,5,0)*(INT(D321)+1-D321))/(VLOOKUP(INT($C$5)+1,Tablas!$G$9:$K$1240,5,0)*($C$5-INT($C$5))+VLOOKUP(INT($C$5),Tablas!$G$9:$K$124,5,0)*(INT($C$5)+1-$C$5)),(+VLOOKUP(INT(D321)+1,Tablas!$G$9:$O$1240,9,0)*(D321-INT(D321))+VLOOKUP(INT(D321),Tablas!$G$9:$O$1240,9,0)*(INT(D321)+1-D321))/(VLOOKUP(INT($C$5)+1,Tablas!$G$9:$O$1240,9,0)*($C$5-INT($C$5))+VLOOKUP(INT($C$5),Tablas!$G$9:$O$124,9,0)*(INT($C$5)+1-$C$5)))</f>
      </c>
      <c r="G321" s="791">
        <f>IF($C$4="Hombre",(+VLOOKUP(INT(D321)+1,Tablas!$G$9:$K$1240,5,0)*(D321-INT(D321))+VLOOKUP(INT(D321),Tablas!$G$9:$K$1240,5,0)*(INT(D321)+1-D321)),+VLOOKUP(INT(D321)+1,Tablas!$G$9:$O$1240,9,0)*(D321-INT(D321))+VLOOKUP(INT(D321),Tablas!$G$9:$O$1240,9,0)*(INT(D321)+1-D321))</f>
      </c>
      <c r="H321" s="801">
        <f>+IF(MONTH(B321)=1,H320*(1+$C$9),H320)</f>
      </c>
      <c r="I321" s="791">
        <f>IF(B321&lt;$C$10,0,IF(B321&lt;$C$11,$C$8/12*E321*F321*H321,0))</f>
      </c>
      <c r="J321" s="791">
        <f>I321*12/14+IF(OR(MONTH(C321)=6,MONTH(C321)=12),I321*12/14,0)</f>
      </c>
      <c r="K321" s="801">
        <f>G321/$G$15</f>
      </c>
      <c r="L321" s="760"/>
      <c r="M321" s="767"/>
      <c r="N321" s="168"/>
      <c r="O321" s="768"/>
      <c r="P321" s="170"/>
      <c r="Q321" s="7"/>
      <c r="R321" s="766"/>
      <c r="S321" s="170"/>
      <c r="T321" s="168"/>
      <c r="U321" s="170"/>
    </row>
    <row x14ac:dyDescent="0.25" r="322" customHeight="1" ht="18.75">
      <c r="A322" s="1"/>
      <c r="B322" s="799">
        <f>+DATE(YEAR(B321),MONTH(B321)+1,DAY(B321))</f>
        <v>25569.041666666668</v>
      </c>
      <c r="C322" s="799">
        <f>+B323-1</f>
        <v>25569.041666666668</v>
      </c>
      <c r="D322" s="791">
        <f>-_xlfn.DAYS($C$3,C322)/365.25</f>
      </c>
      <c r="E322" s="800">
        <f>IF($D$17+40&lt;=D322,(1+$D$7)^-(D322-$C$5),(1+$C$7)^-(D322-$C$5))</f>
      </c>
      <c r="F322" s="801">
        <f>IF($C$4="Hombre",(+VLOOKUP(INT(D322)+1,Tablas!$G$9:$K$1240,5,0)*(D322-INT(D322))+VLOOKUP(INT(D322),Tablas!$G$9:$K$1240,5,0)*(INT(D322)+1-D322))/(VLOOKUP(INT($C$5)+1,Tablas!$G$9:$K$1240,5,0)*($C$5-INT($C$5))+VLOOKUP(INT($C$5),Tablas!$G$9:$K$124,5,0)*(INT($C$5)+1-$C$5)),(+VLOOKUP(INT(D322)+1,Tablas!$G$9:$O$1240,9,0)*(D322-INT(D322))+VLOOKUP(INT(D322),Tablas!$G$9:$O$1240,9,0)*(INT(D322)+1-D322))/(VLOOKUP(INT($C$5)+1,Tablas!$G$9:$O$1240,9,0)*($C$5-INT($C$5))+VLOOKUP(INT($C$5),Tablas!$G$9:$O$124,9,0)*(INT($C$5)+1-$C$5)))</f>
      </c>
      <c r="G322" s="791">
        <f>IF($C$4="Hombre",(+VLOOKUP(INT(D322)+1,Tablas!$G$9:$K$1240,5,0)*(D322-INT(D322))+VLOOKUP(INT(D322),Tablas!$G$9:$K$1240,5,0)*(INT(D322)+1-D322)),+VLOOKUP(INT(D322)+1,Tablas!$G$9:$O$1240,9,0)*(D322-INT(D322))+VLOOKUP(INT(D322),Tablas!$G$9:$O$1240,9,0)*(INT(D322)+1-D322))</f>
      </c>
      <c r="H322" s="801">
        <f>+IF(MONTH(B322)=1,H321*(1+$C$9),H321)</f>
      </c>
      <c r="I322" s="791">
        <f>IF(B322&lt;$C$10,0,IF(B322&lt;$C$11,$C$8/12*E322*F322*H322,0))</f>
      </c>
      <c r="J322" s="791">
        <f>I322*12/14+IF(OR(MONTH(C322)=6,MONTH(C322)=12),I322*12/14,0)</f>
      </c>
      <c r="K322" s="801">
        <f>G322/$G$15</f>
      </c>
      <c r="L322" s="760"/>
      <c r="M322" s="767"/>
      <c r="N322" s="168"/>
      <c r="O322" s="768"/>
      <c r="P322" s="170"/>
      <c r="Q322" s="7"/>
      <c r="R322" s="766"/>
      <c r="S322" s="170"/>
      <c r="T322" s="168"/>
      <c r="U322" s="170"/>
    </row>
    <row x14ac:dyDescent="0.25" r="323" customHeight="1" ht="18.75">
      <c r="A323" s="1"/>
      <c r="B323" s="799">
        <f>+DATE(YEAR(B322),MONTH(B322)+1,DAY(B322))</f>
        <v>25569.041666666668</v>
      </c>
      <c r="C323" s="799">
        <f>+B324-1</f>
        <v>25569.041666666668</v>
      </c>
      <c r="D323" s="791">
        <f>-_xlfn.DAYS($C$3,C323)/365.25</f>
      </c>
      <c r="E323" s="800">
        <f>IF($D$17+40&lt;=D323,(1+$D$7)^-(D323-$C$5),(1+$C$7)^-(D323-$C$5))</f>
      </c>
      <c r="F323" s="801">
        <f>IF($C$4="Hombre",(+VLOOKUP(INT(D323)+1,Tablas!$G$9:$K$1240,5,0)*(D323-INT(D323))+VLOOKUP(INT(D323),Tablas!$G$9:$K$1240,5,0)*(INT(D323)+1-D323))/(VLOOKUP(INT($C$5)+1,Tablas!$G$9:$K$1240,5,0)*($C$5-INT($C$5))+VLOOKUP(INT($C$5),Tablas!$G$9:$K$124,5,0)*(INT($C$5)+1-$C$5)),(+VLOOKUP(INT(D323)+1,Tablas!$G$9:$O$1240,9,0)*(D323-INT(D323))+VLOOKUP(INT(D323),Tablas!$G$9:$O$1240,9,0)*(INT(D323)+1-D323))/(VLOOKUP(INT($C$5)+1,Tablas!$G$9:$O$1240,9,0)*($C$5-INT($C$5))+VLOOKUP(INT($C$5),Tablas!$G$9:$O$124,9,0)*(INT($C$5)+1-$C$5)))</f>
      </c>
      <c r="G323" s="791">
        <f>IF($C$4="Hombre",(+VLOOKUP(INT(D323)+1,Tablas!$G$9:$K$1240,5,0)*(D323-INT(D323))+VLOOKUP(INT(D323),Tablas!$G$9:$K$1240,5,0)*(INT(D323)+1-D323)),+VLOOKUP(INT(D323)+1,Tablas!$G$9:$O$1240,9,0)*(D323-INT(D323))+VLOOKUP(INT(D323),Tablas!$G$9:$O$1240,9,0)*(INT(D323)+1-D323))</f>
      </c>
      <c r="H323" s="801">
        <f>+IF(MONTH(B323)=1,H322*(1+$C$9),H322)</f>
      </c>
      <c r="I323" s="791">
        <f>IF(B323&lt;$C$10,0,IF(B323&lt;$C$11,$C$8/12*E323*F323*H323,0))</f>
      </c>
      <c r="J323" s="791">
        <f>I323*12/14+IF(OR(MONTH(C323)=6,MONTH(C323)=12),I323*12/14,0)</f>
      </c>
      <c r="K323" s="801">
        <f>G323/$G$15</f>
      </c>
      <c r="L323" s="760"/>
      <c r="M323" s="767"/>
      <c r="N323" s="168"/>
      <c r="O323" s="768"/>
      <c r="P323" s="170"/>
      <c r="Q323" s="7"/>
      <c r="R323" s="766"/>
      <c r="S323" s="170"/>
      <c r="T323" s="168"/>
      <c r="U323" s="170"/>
    </row>
    <row x14ac:dyDescent="0.25" r="324" customHeight="1" ht="18.75">
      <c r="A324" s="1"/>
      <c r="B324" s="799">
        <f>+DATE(YEAR(B323),MONTH(B323)+1,DAY(B323))</f>
        <v>25569.041666666668</v>
      </c>
      <c r="C324" s="799">
        <f>+B325-1</f>
        <v>25569.041666666668</v>
      </c>
      <c r="D324" s="791">
        <f>-_xlfn.DAYS($C$3,C324)/365.25</f>
      </c>
      <c r="E324" s="800">
        <f>IF($D$17+40&lt;=D324,(1+$D$7)^-(D324-$C$5),(1+$C$7)^-(D324-$C$5))</f>
      </c>
      <c r="F324" s="801">
        <f>IF($C$4="Hombre",(+VLOOKUP(INT(D324)+1,Tablas!$G$9:$K$1240,5,0)*(D324-INT(D324))+VLOOKUP(INT(D324),Tablas!$G$9:$K$1240,5,0)*(INT(D324)+1-D324))/(VLOOKUP(INT($C$5)+1,Tablas!$G$9:$K$1240,5,0)*($C$5-INT($C$5))+VLOOKUP(INT($C$5),Tablas!$G$9:$K$124,5,0)*(INT($C$5)+1-$C$5)),(+VLOOKUP(INT(D324)+1,Tablas!$G$9:$O$1240,9,0)*(D324-INT(D324))+VLOOKUP(INT(D324),Tablas!$G$9:$O$1240,9,0)*(INT(D324)+1-D324))/(VLOOKUP(INT($C$5)+1,Tablas!$G$9:$O$1240,9,0)*($C$5-INT($C$5))+VLOOKUP(INT($C$5),Tablas!$G$9:$O$124,9,0)*(INT($C$5)+1-$C$5)))</f>
      </c>
      <c r="G324" s="791">
        <f>IF($C$4="Hombre",(+VLOOKUP(INT(D324)+1,Tablas!$G$9:$K$1240,5,0)*(D324-INT(D324))+VLOOKUP(INT(D324),Tablas!$G$9:$K$1240,5,0)*(INT(D324)+1-D324)),+VLOOKUP(INT(D324)+1,Tablas!$G$9:$O$1240,9,0)*(D324-INT(D324))+VLOOKUP(INT(D324),Tablas!$G$9:$O$1240,9,0)*(INT(D324)+1-D324))</f>
      </c>
      <c r="H324" s="801">
        <f>+IF(MONTH(B324)=1,H323*(1+$C$9),H323)</f>
      </c>
      <c r="I324" s="791">
        <f>IF(B324&lt;$C$10,0,IF(B324&lt;$C$11,$C$8/12*E324*F324*H324,0))</f>
      </c>
      <c r="J324" s="791">
        <f>I324*12/14+IF(OR(MONTH(C324)=6,MONTH(C324)=12),I324*12/14,0)</f>
      </c>
      <c r="K324" s="801">
        <f>G324/$G$15</f>
      </c>
      <c r="L324" s="760"/>
      <c r="M324" s="767"/>
      <c r="N324" s="168"/>
      <c r="O324" s="768"/>
      <c r="P324" s="170"/>
      <c r="Q324" s="7"/>
      <c r="R324" s="766"/>
      <c r="S324" s="170"/>
      <c r="T324" s="168"/>
      <c r="U324" s="170"/>
    </row>
    <row x14ac:dyDescent="0.25" r="325" customHeight="1" ht="18.75">
      <c r="A325" s="1"/>
      <c r="B325" s="799">
        <f>+DATE(YEAR(B324),MONTH(B324)+1,DAY(B324))</f>
        <v>25569.041666666668</v>
      </c>
      <c r="C325" s="799">
        <f>+B326-1</f>
        <v>25569.041666666668</v>
      </c>
      <c r="D325" s="791">
        <f>-_xlfn.DAYS($C$3,C325)/365.25</f>
      </c>
      <c r="E325" s="800">
        <f>IF($D$17+40&lt;=D325,(1+$D$7)^-(D325-$C$5),(1+$C$7)^-(D325-$C$5))</f>
      </c>
      <c r="F325" s="801">
        <f>IF($C$4="Hombre",(+VLOOKUP(INT(D325)+1,Tablas!$G$9:$K$1240,5,0)*(D325-INT(D325))+VLOOKUP(INT(D325),Tablas!$G$9:$K$1240,5,0)*(INT(D325)+1-D325))/(VLOOKUP(INT($C$5)+1,Tablas!$G$9:$K$1240,5,0)*($C$5-INT($C$5))+VLOOKUP(INT($C$5),Tablas!$G$9:$K$124,5,0)*(INT($C$5)+1-$C$5)),(+VLOOKUP(INT(D325)+1,Tablas!$G$9:$O$1240,9,0)*(D325-INT(D325))+VLOOKUP(INT(D325),Tablas!$G$9:$O$1240,9,0)*(INT(D325)+1-D325))/(VLOOKUP(INT($C$5)+1,Tablas!$G$9:$O$1240,9,0)*($C$5-INT($C$5))+VLOOKUP(INT($C$5),Tablas!$G$9:$O$124,9,0)*(INT($C$5)+1-$C$5)))</f>
      </c>
      <c r="G325" s="791">
        <f>IF($C$4="Hombre",(+VLOOKUP(INT(D325)+1,Tablas!$G$9:$K$1240,5,0)*(D325-INT(D325))+VLOOKUP(INT(D325),Tablas!$G$9:$K$1240,5,0)*(INT(D325)+1-D325)),+VLOOKUP(INT(D325)+1,Tablas!$G$9:$O$1240,9,0)*(D325-INT(D325))+VLOOKUP(INT(D325),Tablas!$G$9:$O$1240,9,0)*(INT(D325)+1-D325))</f>
      </c>
      <c r="H325" s="801">
        <f>+IF(MONTH(B325)=1,H324*(1+$C$9),H324)</f>
      </c>
      <c r="I325" s="791">
        <f>IF(B325&lt;$C$10,0,IF(B325&lt;$C$11,$C$8/12*E325*F325*H325,0))</f>
      </c>
      <c r="J325" s="791">
        <f>I325*12/14+IF(OR(MONTH(C325)=6,MONTH(C325)=12),I325*12/14,0)</f>
      </c>
      <c r="K325" s="801">
        <f>G325/$G$15</f>
      </c>
      <c r="L325" s="760"/>
      <c r="M325" s="767"/>
      <c r="N325" s="168"/>
      <c r="O325" s="768"/>
      <c r="P325" s="170"/>
      <c r="Q325" s="7"/>
      <c r="R325" s="766"/>
      <c r="S325" s="170"/>
      <c r="T325" s="168"/>
      <c r="U325" s="170"/>
    </row>
    <row x14ac:dyDescent="0.25" r="326" customHeight="1" ht="18.75">
      <c r="A326" s="1"/>
      <c r="B326" s="799">
        <f>+DATE(YEAR(B325),MONTH(B325)+1,DAY(B325))</f>
        <v>25569.041666666668</v>
      </c>
      <c r="C326" s="799">
        <f>+B327-1</f>
        <v>25569.041666666668</v>
      </c>
      <c r="D326" s="791">
        <f>-_xlfn.DAYS($C$3,C326)/365.25</f>
      </c>
      <c r="E326" s="800">
        <f>IF($D$17+40&lt;=D326,(1+$D$7)^-(D326-$C$5),(1+$C$7)^-(D326-$C$5))</f>
      </c>
      <c r="F326" s="801">
        <f>IF($C$4="Hombre",(+VLOOKUP(INT(D326)+1,Tablas!$G$9:$K$1240,5,0)*(D326-INT(D326))+VLOOKUP(INT(D326),Tablas!$G$9:$K$1240,5,0)*(INT(D326)+1-D326))/(VLOOKUP(INT($C$5)+1,Tablas!$G$9:$K$1240,5,0)*($C$5-INT($C$5))+VLOOKUP(INT($C$5),Tablas!$G$9:$K$124,5,0)*(INT($C$5)+1-$C$5)),(+VLOOKUP(INT(D326)+1,Tablas!$G$9:$O$1240,9,0)*(D326-INT(D326))+VLOOKUP(INT(D326),Tablas!$G$9:$O$1240,9,0)*(INT(D326)+1-D326))/(VLOOKUP(INT($C$5)+1,Tablas!$G$9:$O$1240,9,0)*($C$5-INT($C$5))+VLOOKUP(INT($C$5),Tablas!$G$9:$O$124,9,0)*(INT($C$5)+1-$C$5)))</f>
      </c>
      <c r="G326" s="791">
        <f>IF($C$4="Hombre",(+VLOOKUP(INT(D326)+1,Tablas!$G$9:$K$1240,5,0)*(D326-INT(D326))+VLOOKUP(INT(D326),Tablas!$G$9:$K$1240,5,0)*(INT(D326)+1-D326)),+VLOOKUP(INT(D326)+1,Tablas!$G$9:$O$1240,9,0)*(D326-INT(D326))+VLOOKUP(INT(D326),Tablas!$G$9:$O$1240,9,0)*(INT(D326)+1-D326))</f>
      </c>
      <c r="H326" s="801">
        <f>+IF(MONTH(B326)=1,H325*(1+$C$9),H325)</f>
      </c>
      <c r="I326" s="791">
        <f>IF(B326&lt;$C$10,0,IF(B326&lt;$C$11,$C$8/12*E326*F326*H326,0))</f>
      </c>
      <c r="J326" s="791">
        <f>I326*12/14+IF(OR(MONTH(C326)=6,MONTH(C326)=12),I326*12/14,0)</f>
      </c>
      <c r="K326" s="801">
        <f>G326/$G$15</f>
      </c>
      <c r="L326" s="760"/>
      <c r="M326" s="767"/>
      <c r="N326" s="168"/>
      <c r="O326" s="768"/>
      <c r="P326" s="170"/>
      <c r="Q326" s="7"/>
      <c r="R326" s="766"/>
      <c r="S326" s="170"/>
      <c r="T326" s="168"/>
      <c r="U326" s="170"/>
    </row>
    <row x14ac:dyDescent="0.25" r="327" customHeight="1" ht="18.75">
      <c r="A327" s="1"/>
      <c r="B327" s="799">
        <f>+DATE(YEAR(B326),MONTH(B326)+1,DAY(B326))</f>
        <v>25569.041666666668</v>
      </c>
      <c r="C327" s="799">
        <f>+B328-1</f>
        <v>25569.041666666668</v>
      </c>
      <c r="D327" s="791">
        <f>-_xlfn.DAYS($C$3,C327)/365.25</f>
      </c>
      <c r="E327" s="800">
        <f>IF($D$17+40&lt;=D327,(1+$D$7)^-(D327-$C$5),(1+$C$7)^-(D327-$C$5))</f>
      </c>
      <c r="F327" s="801">
        <f>IF($C$4="Hombre",(+VLOOKUP(INT(D327)+1,Tablas!$G$9:$K$1240,5,0)*(D327-INT(D327))+VLOOKUP(INT(D327),Tablas!$G$9:$K$1240,5,0)*(INT(D327)+1-D327))/(VLOOKUP(INT($C$5)+1,Tablas!$G$9:$K$1240,5,0)*($C$5-INT($C$5))+VLOOKUP(INT($C$5),Tablas!$G$9:$K$124,5,0)*(INT($C$5)+1-$C$5)),(+VLOOKUP(INT(D327)+1,Tablas!$G$9:$O$1240,9,0)*(D327-INT(D327))+VLOOKUP(INT(D327),Tablas!$G$9:$O$1240,9,0)*(INT(D327)+1-D327))/(VLOOKUP(INT($C$5)+1,Tablas!$G$9:$O$1240,9,0)*($C$5-INT($C$5))+VLOOKUP(INT($C$5),Tablas!$G$9:$O$124,9,0)*(INT($C$5)+1-$C$5)))</f>
      </c>
      <c r="G327" s="791">
        <f>IF($C$4="Hombre",(+VLOOKUP(INT(D327)+1,Tablas!$G$9:$K$1240,5,0)*(D327-INT(D327))+VLOOKUP(INT(D327),Tablas!$G$9:$K$1240,5,0)*(INT(D327)+1-D327)),+VLOOKUP(INT(D327)+1,Tablas!$G$9:$O$1240,9,0)*(D327-INT(D327))+VLOOKUP(INT(D327),Tablas!$G$9:$O$1240,9,0)*(INT(D327)+1-D327))</f>
      </c>
      <c r="H327" s="801">
        <f>+IF(MONTH(B327)=1,H326*(1+$C$9),H326)</f>
      </c>
      <c r="I327" s="791">
        <f>IF(B327&lt;$C$10,0,IF(B327&lt;$C$11,$C$8/12*E327*F327*H327,0))</f>
      </c>
      <c r="J327" s="791">
        <f>I327*12/14+IF(OR(MONTH(C327)=6,MONTH(C327)=12),I327*12/14,0)</f>
      </c>
      <c r="K327" s="801">
        <f>G327/$G$15</f>
      </c>
      <c r="L327" s="760"/>
      <c r="M327" s="767"/>
      <c r="N327" s="168"/>
      <c r="O327" s="768"/>
      <c r="P327" s="170"/>
      <c r="Q327" s="7"/>
      <c r="R327" s="766"/>
      <c r="S327" s="170"/>
      <c r="T327" s="168"/>
      <c r="U327" s="170"/>
    </row>
    <row x14ac:dyDescent="0.25" r="328" customHeight="1" ht="18.75">
      <c r="A328" s="1"/>
      <c r="B328" s="799">
        <f>+DATE(YEAR(B327),MONTH(B327)+1,DAY(B327))</f>
        <v>25569.041666666668</v>
      </c>
      <c r="C328" s="799">
        <f>+B329-1</f>
        <v>25569.041666666668</v>
      </c>
      <c r="D328" s="791">
        <f>-_xlfn.DAYS($C$3,C328)/365.25</f>
      </c>
      <c r="E328" s="800">
        <f>IF($D$17+40&lt;=D328,(1+$D$7)^-(D328-$C$5),(1+$C$7)^-(D328-$C$5))</f>
      </c>
      <c r="F328" s="801">
        <f>IF($C$4="Hombre",(+VLOOKUP(INT(D328)+1,Tablas!$G$9:$K$1240,5,0)*(D328-INT(D328))+VLOOKUP(INT(D328),Tablas!$G$9:$K$1240,5,0)*(INT(D328)+1-D328))/(VLOOKUP(INT($C$5)+1,Tablas!$G$9:$K$1240,5,0)*($C$5-INT($C$5))+VLOOKUP(INT($C$5),Tablas!$G$9:$K$124,5,0)*(INT($C$5)+1-$C$5)),(+VLOOKUP(INT(D328)+1,Tablas!$G$9:$O$1240,9,0)*(D328-INT(D328))+VLOOKUP(INT(D328),Tablas!$G$9:$O$1240,9,0)*(INT(D328)+1-D328))/(VLOOKUP(INT($C$5)+1,Tablas!$G$9:$O$1240,9,0)*($C$5-INT($C$5))+VLOOKUP(INT($C$5),Tablas!$G$9:$O$124,9,0)*(INT($C$5)+1-$C$5)))</f>
      </c>
      <c r="G328" s="791">
        <f>IF($C$4="Hombre",(+VLOOKUP(INT(D328)+1,Tablas!$G$9:$K$1240,5,0)*(D328-INT(D328))+VLOOKUP(INT(D328),Tablas!$G$9:$K$1240,5,0)*(INT(D328)+1-D328)),+VLOOKUP(INT(D328)+1,Tablas!$G$9:$O$1240,9,0)*(D328-INT(D328))+VLOOKUP(INT(D328),Tablas!$G$9:$O$1240,9,0)*(INT(D328)+1-D328))</f>
      </c>
      <c r="H328" s="801">
        <f>+IF(MONTH(B328)=1,H327*(1+$C$9),H327)</f>
      </c>
      <c r="I328" s="791">
        <f>IF(B328&lt;$C$10,0,IF(B328&lt;$C$11,$C$8/12*E328*F328*H328,0))</f>
      </c>
      <c r="J328" s="791">
        <f>I328*12/14+IF(OR(MONTH(C328)=6,MONTH(C328)=12),I328*12/14,0)</f>
      </c>
      <c r="K328" s="801">
        <f>G328/$G$15</f>
      </c>
      <c r="L328" s="760"/>
      <c r="M328" s="767"/>
      <c r="N328" s="168"/>
      <c r="O328" s="768"/>
      <c r="P328" s="170"/>
      <c r="Q328" s="7"/>
      <c r="R328" s="766"/>
      <c r="S328" s="170"/>
      <c r="T328" s="168"/>
      <c r="U328" s="170"/>
    </row>
    <row x14ac:dyDescent="0.25" r="329" customHeight="1" ht="18.75">
      <c r="A329" s="1"/>
      <c r="B329" s="799">
        <f>+DATE(YEAR(B328),MONTH(B328)+1,DAY(B328))</f>
        <v>25569.041666666668</v>
      </c>
      <c r="C329" s="799">
        <f>+B330-1</f>
        <v>25569.041666666668</v>
      </c>
      <c r="D329" s="791">
        <f>-_xlfn.DAYS($C$3,C329)/365.25</f>
      </c>
      <c r="E329" s="800">
        <f>IF($D$17+40&lt;=D329,(1+$D$7)^-(D329-$C$5),(1+$C$7)^-(D329-$C$5))</f>
      </c>
      <c r="F329" s="801">
        <f>IF($C$4="Hombre",(+VLOOKUP(INT(D329)+1,Tablas!$G$9:$K$1240,5,0)*(D329-INT(D329))+VLOOKUP(INT(D329),Tablas!$G$9:$K$1240,5,0)*(INT(D329)+1-D329))/(VLOOKUP(INT($C$5)+1,Tablas!$G$9:$K$1240,5,0)*($C$5-INT($C$5))+VLOOKUP(INT($C$5),Tablas!$G$9:$K$124,5,0)*(INT($C$5)+1-$C$5)),(+VLOOKUP(INT(D329)+1,Tablas!$G$9:$O$1240,9,0)*(D329-INT(D329))+VLOOKUP(INT(D329),Tablas!$G$9:$O$1240,9,0)*(INT(D329)+1-D329))/(VLOOKUP(INT($C$5)+1,Tablas!$G$9:$O$1240,9,0)*($C$5-INT($C$5))+VLOOKUP(INT($C$5),Tablas!$G$9:$O$124,9,0)*(INT($C$5)+1-$C$5)))</f>
      </c>
      <c r="G329" s="791">
        <f>IF($C$4="Hombre",(+VLOOKUP(INT(D329)+1,Tablas!$G$9:$K$1240,5,0)*(D329-INT(D329))+VLOOKUP(INT(D329),Tablas!$G$9:$K$1240,5,0)*(INT(D329)+1-D329)),+VLOOKUP(INT(D329)+1,Tablas!$G$9:$O$1240,9,0)*(D329-INT(D329))+VLOOKUP(INT(D329),Tablas!$G$9:$O$1240,9,0)*(INT(D329)+1-D329))</f>
      </c>
      <c r="H329" s="801">
        <f>+IF(MONTH(B329)=1,H328*(1+$C$9),H328)</f>
      </c>
      <c r="I329" s="791">
        <f>IF(B329&lt;$C$10,0,IF(B329&lt;$C$11,$C$8/12*E329*F329*H329,0))</f>
      </c>
      <c r="J329" s="791">
        <f>I329*12/14+IF(OR(MONTH(C329)=6,MONTH(C329)=12),I329*12/14,0)</f>
      </c>
      <c r="K329" s="801">
        <f>G329/$G$15</f>
      </c>
      <c r="L329" s="760"/>
      <c r="M329" s="767"/>
      <c r="N329" s="168"/>
      <c r="O329" s="768"/>
      <c r="P329" s="170"/>
      <c r="Q329" s="7"/>
      <c r="R329" s="766"/>
      <c r="S329" s="170"/>
      <c r="T329" s="168"/>
      <c r="U329" s="170"/>
    </row>
    <row x14ac:dyDescent="0.25" r="330" customHeight="1" ht="18.75">
      <c r="A330" s="1"/>
      <c r="B330" s="799">
        <f>+DATE(YEAR(B329),MONTH(B329)+1,DAY(B329))</f>
        <v>25569.041666666668</v>
      </c>
      <c r="C330" s="799">
        <f>+B331-1</f>
        <v>25569.041666666668</v>
      </c>
      <c r="D330" s="791">
        <f>-_xlfn.DAYS($C$3,C330)/365.25</f>
      </c>
      <c r="E330" s="800">
        <f>IF($D$17+40&lt;=D330,(1+$D$7)^-(D330-$C$5),(1+$C$7)^-(D330-$C$5))</f>
      </c>
      <c r="F330" s="801">
        <f>IF($C$4="Hombre",(+VLOOKUP(INT(D330)+1,Tablas!$G$9:$K$1240,5,0)*(D330-INT(D330))+VLOOKUP(INT(D330),Tablas!$G$9:$K$1240,5,0)*(INT(D330)+1-D330))/(VLOOKUP(INT($C$5)+1,Tablas!$G$9:$K$1240,5,0)*($C$5-INT($C$5))+VLOOKUP(INT($C$5),Tablas!$G$9:$K$124,5,0)*(INT($C$5)+1-$C$5)),(+VLOOKUP(INT(D330)+1,Tablas!$G$9:$O$1240,9,0)*(D330-INT(D330))+VLOOKUP(INT(D330),Tablas!$G$9:$O$1240,9,0)*(INT(D330)+1-D330))/(VLOOKUP(INT($C$5)+1,Tablas!$G$9:$O$1240,9,0)*($C$5-INT($C$5))+VLOOKUP(INT($C$5),Tablas!$G$9:$O$124,9,0)*(INT($C$5)+1-$C$5)))</f>
      </c>
      <c r="G330" s="791">
        <f>IF($C$4="Hombre",(+VLOOKUP(INT(D330)+1,Tablas!$G$9:$K$1240,5,0)*(D330-INT(D330))+VLOOKUP(INT(D330),Tablas!$G$9:$K$1240,5,0)*(INT(D330)+1-D330)),+VLOOKUP(INT(D330)+1,Tablas!$G$9:$O$1240,9,0)*(D330-INT(D330))+VLOOKUP(INT(D330),Tablas!$G$9:$O$1240,9,0)*(INT(D330)+1-D330))</f>
      </c>
      <c r="H330" s="801">
        <f>+IF(MONTH(B330)=1,H329*(1+$C$9),H329)</f>
      </c>
      <c r="I330" s="791">
        <f>IF(B330&lt;$C$10,0,IF(B330&lt;$C$11,$C$8/12*E330*F330*H330,0))</f>
      </c>
      <c r="J330" s="791">
        <f>I330*12/14+IF(OR(MONTH(C330)=6,MONTH(C330)=12),I330*12/14,0)</f>
      </c>
      <c r="K330" s="801">
        <f>G330/$G$15</f>
      </c>
      <c r="L330" s="760"/>
      <c r="M330" s="767"/>
      <c r="N330" s="168"/>
      <c r="O330" s="768"/>
      <c r="P330" s="170"/>
      <c r="Q330" s="7"/>
      <c r="R330" s="766"/>
      <c r="S330" s="170"/>
      <c r="T330" s="168"/>
      <c r="U330" s="170"/>
    </row>
    <row x14ac:dyDescent="0.25" r="331" customHeight="1" ht="18.75">
      <c r="A331" s="1"/>
      <c r="B331" s="799">
        <f>+DATE(YEAR(B330),MONTH(B330)+1,DAY(B330))</f>
        <v>25569.041666666668</v>
      </c>
      <c r="C331" s="799">
        <f>+B332-1</f>
        <v>25569.041666666668</v>
      </c>
      <c r="D331" s="791">
        <f>-_xlfn.DAYS($C$3,C331)/365.25</f>
      </c>
      <c r="E331" s="800">
        <f>IF($D$17+40&lt;=D331,(1+$D$7)^-(D331-$C$5),(1+$C$7)^-(D331-$C$5))</f>
      </c>
      <c r="F331" s="801">
        <f>IF($C$4="Hombre",(+VLOOKUP(INT(D331)+1,Tablas!$G$9:$K$1240,5,0)*(D331-INT(D331))+VLOOKUP(INT(D331),Tablas!$G$9:$K$1240,5,0)*(INT(D331)+1-D331))/(VLOOKUP(INT($C$5)+1,Tablas!$G$9:$K$1240,5,0)*($C$5-INT($C$5))+VLOOKUP(INT($C$5),Tablas!$G$9:$K$124,5,0)*(INT($C$5)+1-$C$5)),(+VLOOKUP(INT(D331)+1,Tablas!$G$9:$O$1240,9,0)*(D331-INT(D331))+VLOOKUP(INT(D331),Tablas!$G$9:$O$1240,9,0)*(INT(D331)+1-D331))/(VLOOKUP(INT($C$5)+1,Tablas!$G$9:$O$1240,9,0)*($C$5-INT($C$5))+VLOOKUP(INT($C$5),Tablas!$G$9:$O$124,9,0)*(INT($C$5)+1-$C$5)))</f>
      </c>
      <c r="G331" s="791">
        <f>IF($C$4="Hombre",(+VLOOKUP(INT(D331)+1,Tablas!$G$9:$K$1240,5,0)*(D331-INT(D331))+VLOOKUP(INT(D331),Tablas!$G$9:$K$1240,5,0)*(INT(D331)+1-D331)),+VLOOKUP(INT(D331)+1,Tablas!$G$9:$O$1240,9,0)*(D331-INT(D331))+VLOOKUP(INT(D331),Tablas!$G$9:$O$1240,9,0)*(INT(D331)+1-D331))</f>
      </c>
      <c r="H331" s="801">
        <f>+IF(MONTH(B331)=1,H330*(1+$C$9),H330)</f>
      </c>
      <c r="I331" s="791">
        <f>IF(B331&lt;$C$10,0,IF(B331&lt;$C$11,$C$8/12*E331*F331*H331,0))</f>
      </c>
      <c r="J331" s="791">
        <f>I331*12/14+IF(OR(MONTH(C331)=6,MONTH(C331)=12),I331*12/14,0)</f>
      </c>
      <c r="K331" s="801">
        <f>G331/$G$15</f>
      </c>
      <c r="L331" s="760"/>
      <c r="M331" s="767"/>
      <c r="N331" s="168"/>
      <c r="O331" s="768"/>
      <c r="P331" s="170"/>
      <c r="Q331" s="7"/>
      <c r="R331" s="766"/>
      <c r="S331" s="170"/>
      <c r="T331" s="168"/>
      <c r="U331" s="170"/>
    </row>
    <row x14ac:dyDescent="0.25" r="332" customHeight="1" ht="18.75">
      <c r="A332" s="1"/>
      <c r="B332" s="799">
        <f>+DATE(YEAR(B331),MONTH(B331)+1,DAY(B331))</f>
        <v>25569.041666666668</v>
      </c>
      <c r="C332" s="799">
        <f>+B333-1</f>
        <v>25569.041666666668</v>
      </c>
      <c r="D332" s="791">
        <f>-_xlfn.DAYS($C$3,C332)/365.25</f>
      </c>
      <c r="E332" s="800">
        <f>IF($D$17+40&lt;=D332,(1+$D$7)^-(D332-$C$5),(1+$C$7)^-(D332-$C$5))</f>
      </c>
      <c r="F332" s="801">
        <f>IF($C$4="Hombre",(+VLOOKUP(INT(D332)+1,Tablas!$G$9:$K$1240,5,0)*(D332-INT(D332))+VLOOKUP(INT(D332),Tablas!$G$9:$K$1240,5,0)*(INT(D332)+1-D332))/(VLOOKUP(INT($C$5)+1,Tablas!$G$9:$K$1240,5,0)*($C$5-INT($C$5))+VLOOKUP(INT($C$5),Tablas!$G$9:$K$124,5,0)*(INT($C$5)+1-$C$5)),(+VLOOKUP(INT(D332)+1,Tablas!$G$9:$O$1240,9,0)*(D332-INT(D332))+VLOOKUP(INT(D332),Tablas!$G$9:$O$1240,9,0)*(INT(D332)+1-D332))/(VLOOKUP(INT($C$5)+1,Tablas!$G$9:$O$1240,9,0)*($C$5-INT($C$5))+VLOOKUP(INT($C$5),Tablas!$G$9:$O$124,9,0)*(INT($C$5)+1-$C$5)))</f>
      </c>
      <c r="G332" s="791">
        <f>IF($C$4="Hombre",(+VLOOKUP(INT(D332)+1,Tablas!$G$9:$K$1240,5,0)*(D332-INT(D332))+VLOOKUP(INT(D332),Tablas!$G$9:$K$1240,5,0)*(INT(D332)+1-D332)),+VLOOKUP(INT(D332)+1,Tablas!$G$9:$O$1240,9,0)*(D332-INT(D332))+VLOOKUP(INT(D332),Tablas!$G$9:$O$1240,9,0)*(INT(D332)+1-D332))</f>
      </c>
      <c r="H332" s="801">
        <f>+IF(MONTH(B332)=1,H331*(1+$C$9),H331)</f>
      </c>
      <c r="I332" s="791">
        <f>IF(B332&lt;$C$10,0,IF(B332&lt;$C$11,$C$8/12*E332*F332*H332,0))</f>
      </c>
      <c r="J332" s="791">
        <f>I332*12/14+IF(OR(MONTH(C332)=6,MONTH(C332)=12),I332*12/14,0)</f>
      </c>
      <c r="K332" s="801">
        <f>G332/$G$15</f>
      </c>
      <c r="L332" s="760"/>
      <c r="M332" s="767"/>
      <c r="N332" s="168"/>
      <c r="O332" s="768"/>
      <c r="P332" s="170"/>
      <c r="Q332" s="7"/>
      <c r="R332" s="766"/>
      <c r="S332" s="170"/>
      <c r="T332" s="168"/>
      <c r="U332" s="170"/>
    </row>
    <row x14ac:dyDescent="0.25" r="333" customHeight="1" ht="18.75">
      <c r="A333" s="1"/>
      <c r="B333" s="799">
        <f>+DATE(YEAR(B332),MONTH(B332)+1,DAY(B332))</f>
        <v>25569.041666666668</v>
      </c>
      <c r="C333" s="799">
        <f>+B334-1</f>
        <v>25569.041666666668</v>
      </c>
      <c r="D333" s="791">
        <f>-_xlfn.DAYS($C$3,C333)/365.25</f>
      </c>
      <c r="E333" s="800">
        <f>IF($D$17+40&lt;=D333,(1+$D$7)^-(D333-$C$5),(1+$C$7)^-(D333-$C$5))</f>
      </c>
      <c r="F333" s="801">
        <f>IF($C$4="Hombre",(+VLOOKUP(INT(D333)+1,Tablas!$G$9:$K$1240,5,0)*(D333-INT(D333))+VLOOKUP(INT(D333),Tablas!$G$9:$K$1240,5,0)*(INT(D333)+1-D333))/(VLOOKUP(INT($C$5)+1,Tablas!$G$9:$K$1240,5,0)*($C$5-INT($C$5))+VLOOKUP(INT($C$5),Tablas!$G$9:$K$124,5,0)*(INT($C$5)+1-$C$5)),(+VLOOKUP(INT(D333)+1,Tablas!$G$9:$O$1240,9,0)*(D333-INT(D333))+VLOOKUP(INT(D333),Tablas!$G$9:$O$1240,9,0)*(INT(D333)+1-D333))/(VLOOKUP(INT($C$5)+1,Tablas!$G$9:$O$1240,9,0)*($C$5-INT($C$5))+VLOOKUP(INT($C$5),Tablas!$G$9:$O$124,9,0)*(INT($C$5)+1-$C$5)))</f>
      </c>
      <c r="G333" s="791">
        <f>IF($C$4="Hombre",(+VLOOKUP(INT(D333)+1,Tablas!$G$9:$K$1240,5,0)*(D333-INT(D333))+VLOOKUP(INT(D333),Tablas!$G$9:$K$1240,5,0)*(INT(D333)+1-D333)),+VLOOKUP(INT(D333)+1,Tablas!$G$9:$O$1240,9,0)*(D333-INT(D333))+VLOOKUP(INT(D333),Tablas!$G$9:$O$1240,9,0)*(INT(D333)+1-D333))</f>
      </c>
      <c r="H333" s="801">
        <f>+IF(MONTH(B333)=1,H332*(1+$C$9),H332)</f>
      </c>
      <c r="I333" s="791">
        <f>IF(B333&lt;$C$10,0,IF(B333&lt;$C$11,$C$8/12*E333*F333*H333,0))</f>
      </c>
      <c r="J333" s="791">
        <f>I333*12/14+IF(OR(MONTH(C333)=6,MONTH(C333)=12),I333*12/14,0)</f>
      </c>
      <c r="K333" s="801">
        <f>G333/$G$15</f>
      </c>
      <c r="L333" s="760"/>
      <c r="M333" s="767"/>
      <c r="N333" s="168"/>
      <c r="O333" s="768"/>
      <c r="P333" s="170"/>
      <c r="Q333" s="7"/>
      <c r="R333" s="766"/>
      <c r="S333" s="170"/>
      <c r="T333" s="168"/>
      <c r="U333" s="170"/>
    </row>
    <row x14ac:dyDescent="0.25" r="334" customHeight="1" ht="18.75">
      <c r="A334" s="1"/>
      <c r="B334" s="799">
        <f>+DATE(YEAR(B333),MONTH(B333)+1,DAY(B333))</f>
        <v>25569.041666666668</v>
      </c>
      <c r="C334" s="799">
        <f>+B335-1</f>
        <v>25569.041666666668</v>
      </c>
      <c r="D334" s="791">
        <f>-_xlfn.DAYS($C$3,C334)/365.25</f>
      </c>
      <c r="E334" s="800">
        <f>IF($D$17+40&lt;=D334,(1+$D$7)^-(D334-$C$5),(1+$C$7)^-(D334-$C$5))</f>
      </c>
      <c r="F334" s="801">
        <f>IF($C$4="Hombre",(+VLOOKUP(INT(D334)+1,Tablas!$G$9:$K$1240,5,0)*(D334-INT(D334))+VLOOKUP(INT(D334),Tablas!$G$9:$K$1240,5,0)*(INT(D334)+1-D334))/(VLOOKUP(INT($C$5)+1,Tablas!$G$9:$K$1240,5,0)*($C$5-INT($C$5))+VLOOKUP(INT($C$5),Tablas!$G$9:$K$124,5,0)*(INT($C$5)+1-$C$5)),(+VLOOKUP(INT(D334)+1,Tablas!$G$9:$O$1240,9,0)*(D334-INT(D334))+VLOOKUP(INT(D334),Tablas!$G$9:$O$1240,9,0)*(INT(D334)+1-D334))/(VLOOKUP(INT($C$5)+1,Tablas!$G$9:$O$1240,9,0)*($C$5-INT($C$5))+VLOOKUP(INT($C$5),Tablas!$G$9:$O$124,9,0)*(INT($C$5)+1-$C$5)))</f>
      </c>
      <c r="G334" s="791">
        <f>IF($C$4="Hombre",(+VLOOKUP(INT(D334)+1,Tablas!$G$9:$K$1240,5,0)*(D334-INT(D334))+VLOOKUP(INT(D334),Tablas!$G$9:$K$1240,5,0)*(INT(D334)+1-D334)),+VLOOKUP(INT(D334)+1,Tablas!$G$9:$O$1240,9,0)*(D334-INT(D334))+VLOOKUP(INT(D334),Tablas!$G$9:$O$1240,9,0)*(INT(D334)+1-D334))</f>
      </c>
      <c r="H334" s="801">
        <f>+IF(MONTH(B334)=1,H333*(1+$C$9),H333)</f>
      </c>
      <c r="I334" s="791">
        <f>IF(B334&lt;$C$10,0,IF(B334&lt;$C$11,$C$8/12*E334*F334*H334,0))</f>
      </c>
      <c r="J334" s="791">
        <f>I334*12/14+IF(OR(MONTH(C334)=6,MONTH(C334)=12),I334*12/14,0)</f>
      </c>
      <c r="K334" s="801">
        <f>G334/$G$15</f>
      </c>
      <c r="L334" s="760"/>
      <c r="M334" s="767"/>
      <c r="N334" s="168"/>
      <c r="O334" s="768"/>
      <c r="P334" s="170"/>
      <c r="Q334" s="7"/>
      <c r="R334" s="766"/>
      <c r="S334" s="170"/>
      <c r="T334" s="168"/>
      <c r="U334" s="170"/>
    </row>
    <row x14ac:dyDescent="0.25" r="335" customHeight="1" ht="18.75">
      <c r="A335" s="1"/>
      <c r="B335" s="799">
        <f>+DATE(YEAR(B334),MONTH(B334)+1,DAY(B334))</f>
        <v>25569.041666666668</v>
      </c>
      <c r="C335" s="799">
        <f>+B336-1</f>
        <v>25569.041666666668</v>
      </c>
      <c r="D335" s="791">
        <f>-_xlfn.DAYS($C$3,C335)/365.25</f>
      </c>
      <c r="E335" s="800">
        <f>IF($D$17+40&lt;=D335,(1+$D$7)^-(D335-$C$5),(1+$C$7)^-(D335-$C$5))</f>
      </c>
      <c r="F335" s="801">
        <f>IF($C$4="Hombre",(+VLOOKUP(INT(D335)+1,Tablas!$G$9:$K$1240,5,0)*(D335-INT(D335))+VLOOKUP(INT(D335),Tablas!$G$9:$K$1240,5,0)*(INT(D335)+1-D335))/(VLOOKUP(INT($C$5)+1,Tablas!$G$9:$K$1240,5,0)*($C$5-INT($C$5))+VLOOKUP(INT($C$5),Tablas!$G$9:$K$124,5,0)*(INT($C$5)+1-$C$5)),(+VLOOKUP(INT(D335)+1,Tablas!$G$9:$O$1240,9,0)*(D335-INT(D335))+VLOOKUP(INT(D335),Tablas!$G$9:$O$1240,9,0)*(INT(D335)+1-D335))/(VLOOKUP(INT($C$5)+1,Tablas!$G$9:$O$1240,9,0)*($C$5-INT($C$5))+VLOOKUP(INT($C$5),Tablas!$G$9:$O$124,9,0)*(INT($C$5)+1-$C$5)))</f>
      </c>
      <c r="G335" s="791">
        <f>IF($C$4="Hombre",(+VLOOKUP(INT(D335)+1,Tablas!$G$9:$K$1240,5,0)*(D335-INT(D335))+VLOOKUP(INT(D335),Tablas!$G$9:$K$1240,5,0)*(INT(D335)+1-D335)),+VLOOKUP(INT(D335)+1,Tablas!$G$9:$O$1240,9,0)*(D335-INT(D335))+VLOOKUP(INT(D335),Tablas!$G$9:$O$1240,9,0)*(INT(D335)+1-D335))</f>
      </c>
      <c r="H335" s="801">
        <f>+IF(MONTH(B335)=1,H334*(1+$C$9),H334)</f>
      </c>
      <c r="I335" s="791">
        <f>IF(B335&lt;$C$10,0,IF(B335&lt;$C$11,$C$8/12*E335*F335*H335,0))</f>
      </c>
      <c r="J335" s="791">
        <f>I335*12/14+IF(OR(MONTH(C335)=6,MONTH(C335)=12),I335*12/14,0)</f>
      </c>
      <c r="K335" s="801">
        <f>G335/$G$15</f>
      </c>
      <c r="L335" s="760"/>
      <c r="M335" s="767"/>
      <c r="N335" s="168"/>
      <c r="O335" s="768"/>
      <c r="P335" s="170"/>
      <c r="Q335" s="7"/>
      <c r="R335" s="766"/>
      <c r="S335" s="170"/>
      <c r="T335" s="168"/>
      <c r="U335" s="170"/>
    </row>
    <row x14ac:dyDescent="0.25" r="336" customHeight="1" ht="18.75">
      <c r="A336" s="1"/>
      <c r="B336" s="799">
        <f>+DATE(YEAR(B335),MONTH(B335)+1,DAY(B335))</f>
        <v>25569.041666666668</v>
      </c>
      <c r="C336" s="799">
        <f>+B337-1</f>
        <v>25569.041666666668</v>
      </c>
      <c r="D336" s="791">
        <f>-_xlfn.DAYS($C$3,C336)/365.25</f>
      </c>
      <c r="E336" s="800">
        <f>IF($D$17+40&lt;=D336,(1+$D$7)^-(D336-$C$5),(1+$C$7)^-(D336-$C$5))</f>
      </c>
      <c r="F336" s="801">
        <f>IF($C$4="Hombre",(+VLOOKUP(INT(D336)+1,Tablas!$G$9:$K$1240,5,0)*(D336-INT(D336))+VLOOKUP(INT(D336),Tablas!$G$9:$K$1240,5,0)*(INT(D336)+1-D336))/(VLOOKUP(INT($C$5)+1,Tablas!$G$9:$K$1240,5,0)*($C$5-INT($C$5))+VLOOKUP(INT($C$5),Tablas!$G$9:$K$124,5,0)*(INT($C$5)+1-$C$5)),(+VLOOKUP(INT(D336)+1,Tablas!$G$9:$O$1240,9,0)*(D336-INT(D336))+VLOOKUP(INT(D336),Tablas!$G$9:$O$1240,9,0)*(INT(D336)+1-D336))/(VLOOKUP(INT($C$5)+1,Tablas!$G$9:$O$1240,9,0)*($C$5-INT($C$5))+VLOOKUP(INT($C$5),Tablas!$G$9:$O$124,9,0)*(INT($C$5)+1-$C$5)))</f>
      </c>
      <c r="G336" s="791">
        <f>IF($C$4="Hombre",(+VLOOKUP(INT(D336)+1,Tablas!$G$9:$K$1240,5,0)*(D336-INT(D336))+VLOOKUP(INT(D336),Tablas!$G$9:$K$1240,5,0)*(INT(D336)+1-D336)),+VLOOKUP(INT(D336)+1,Tablas!$G$9:$O$1240,9,0)*(D336-INT(D336))+VLOOKUP(INT(D336),Tablas!$G$9:$O$1240,9,0)*(INT(D336)+1-D336))</f>
      </c>
      <c r="H336" s="801">
        <f>+IF(MONTH(B336)=1,H335*(1+$C$9),H335)</f>
      </c>
      <c r="I336" s="791">
        <f>IF(B336&lt;$C$10,0,IF(B336&lt;$C$11,$C$8/12*E336*F336*H336,0))</f>
      </c>
      <c r="J336" s="791">
        <f>I336*12/14+IF(OR(MONTH(C336)=6,MONTH(C336)=12),I336*12/14,0)</f>
      </c>
      <c r="K336" s="801">
        <f>G336/$G$15</f>
      </c>
      <c r="L336" s="760"/>
      <c r="M336" s="767"/>
      <c r="N336" s="168"/>
      <c r="O336" s="768"/>
      <c r="P336" s="170"/>
      <c r="Q336" s="7"/>
      <c r="R336" s="766"/>
      <c r="S336" s="170"/>
      <c r="T336" s="168"/>
      <c r="U336" s="170"/>
    </row>
    <row x14ac:dyDescent="0.25" r="337" customHeight="1" ht="18.75">
      <c r="A337" s="1"/>
      <c r="B337" s="799">
        <f>+DATE(YEAR(B336),MONTH(B336)+1,DAY(B336))</f>
        <v>25569.041666666668</v>
      </c>
      <c r="C337" s="799">
        <f>+B338-1</f>
        <v>25569.041666666668</v>
      </c>
      <c r="D337" s="791">
        <f>-_xlfn.DAYS($C$3,C337)/365.25</f>
      </c>
      <c r="E337" s="800">
        <f>IF($D$17+40&lt;=D337,(1+$D$7)^-(D337-$C$5),(1+$C$7)^-(D337-$C$5))</f>
      </c>
      <c r="F337" s="801">
        <f>IF($C$4="Hombre",(+VLOOKUP(INT(D337)+1,Tablas!$G$9:$K$1240,5,0)*(D337-INT(D337))+VLOOKUP(INT(D337),Tablas!$G$9:$K$1240,5,0)*(INT(D337)+1-D337))/(VLOOKUP(INT($C$5)+1,Tablas!$G$9:$K$1240,5,0)*($C$5-INT($C$5))+VLOOKUP(INT($C$5),Tablas!$G$9:$K$124,5,0)*(INT($C$5)+1-$C$5)),(+VLOOKUP(INT(D337)+1,Tablas!$G$9:$O$1240,9,0)*(D337-INT(D337))+VLOOKUP(INT(D337),Tablas!$G$9:$O$1240,9,0)*(INT(D337)+1-D337))/(VLOOKUP(INT($C$5)+1,Tablas!$G$9:$O$1240,9,0)*($C$5-INT($C$5))+VLOOKUP(INT($C$5),Tablas!$G$9:$O$124,9,0)*(INT($C$5)+1-$C$5)))</f>
      </c>
      <c r="G337" s="791">
        <f>IF($C$4="Hombre",(+VLOOKUP(INT(D337)+1,Tablas!$G$9:$K$1240,5,0)*(D337-INT(D337))+VLOOKUP(INT(D337),Tablas!$G$9:$K$1240,5,0)*(INT(D337)+1-D337)),+VLOOKUP(INT(D337)+1,Tablas!$G$9:$O$1240,9,0)*(D337-INT(D337))+VLOOKUP(INT(D337),Tablas!$G$9:$O$1240,9,0)*(INT(D337)+1-D337))</f>
      </c>
      <c r="H337" s="801">
        <f>+IF(MONTH(B337)=1,H336*(1+$C$9),H336)</f>
      </c>
      <c r="I337" s="791">
        <f>IF(B337&lt;$C$10,0,IF(B337&lt;$C$11,$C$8/12*E337*F337*H337,0))</f>
      </c>
      <c r="J337" s="791">
        <f>I337*12/14+IF(OR(MONTH(C337)=6,MONTH(C337)=12),I337*12/14,0)</f>
      </c>
      <c r="K337" s="801">
        <f>G337/$G$15</f>
      </c>
      <c r="L337" s="760"/>
      <c r="M337" s="767"/>
      <c r="N337" s="168"/>
      <c r="O337" s="768"/>
      <c r="P337" s="170"/>
      <c r="Q337" s="7"/>
      <c r="R337" s="766"/>
      <c r="S337" s="170"/>
      <c r="T337" s="168"/>
      <c r="U337" s="170"/>
    </row>
    <row x14ac:dyDescent="0.25" r="338" customHeight="1" ht="18.75">
      <c r="A338" s="1"/>
      <c r="B338" s="799">
        <f>+DATE(YEAR(B337),MONTH(B337)+1,DAY(B337))</f>
        <v>25569.041666666668</v>
      </c>
      <c r="C338" s="799">
        <f>+B339-1</f>
        <v>25569.041666666668</v>
      </c>
      <c r="D338" s="791">
        <f>-_xlfn.DAYS($C$3,C338)/365.25</f>
      </c>
      <c r="E338" s="800">
        <f>IF($D$17+40&lt;=D338,(1+$D$7)^-(D338-$C$5),(1+$C$7)^-(D338-$C$5))</f>
      </c>
      <c r="F338" s="801">
        <f>IF($C$4="Hombre",(+VLOOKUP(INT(D338)+1,Tablas!$G$9:$K$1240,5,0)*(D338-INT(D338))+VLOOKUP(INT(D338),Tablas!$G$9:$K$1240,5,0)*(INT(D338)+1-D338))/(VLOOKUP(INT($C$5)+1,Tablas!$G$9:$K$1240,5,0)*($C$5-INT($C$5))+VLOOKUP(INT($C$5),Tablas!$G$9:$K$124,5,0)*(INT($C$5)+1-$C$5)),(+VLOOKUP(INT(D338)+1,Tablas!$G$9:$O$1240,9,0)*(D338-INT(D338))+VLOOKUP(INT(D338),Tablas!$G$9:$O$1240,9,0)*(INT(D338)+1-D338))/(VLOOKUP(INT($C$5)+1,Tablas!$G$9:$O$1240,9,0)*($C$5-INT($C$5))+VLOOKUP(INT($C$5),Tablas!$G$9:$O$124,9,0)*(INT($C$5)+1-$C$5)))</f>
      </c>
      <c r="G338" s="791">
        <f>IF($C$4="Hombre",(+VLOOKUP(INT(D338)+1,Tablas!$G$9:$K$1240,5,0)*(D338-INT(D338))+VLOOKUP(INT(D338),Tablas!$G$9:$K$1240,5,0)*(INT(D338)+1-D338)),+VLOOKUP(INT(D338)+1,Tablas!$G$9:$O$1240,9,0)*(D338-INT(D338))+VLOOKUP(INT(D338),Tablas!$G$9:$O$1240,9,0)*(INT(D338)+1-D338))</f>
      </c>
      <c r="H338" s="801">
        <f>+IF(MONTH(B338)=1,H337*(1+$C$9),H337)</f>
      </c>
      <c r="I338" s="791">
        <f>IF(B338&lt;$C$10,0,IF(B338&lt;$C$11,$C$8/12*E338*F338*H338,0))</f>
      </c>
      <c r="J338" s="791">
        <f>I338*12/14+IF(OR(MONTH(C338)=6,MONTH(C338)=12),I338*12/14,0)</f>
      </c>
      <c r="K338" s="801">
        <f>G338/$G$15</f>
      </c>
      <c r="L338" s="760"/>
      <c r="M338" s="767"/>
      <c r="N338" s="168"/>
      <c r="O338" s="768"/>
      <c r="P338" s="170"/>
      <c r="Q338" s="7"/>
      <c r="R338" s="766"/>
      <c r="S338" s="170"/>
      <c r="T338" s="168"/>
      <c r="U338" s="170"/>
    </row>
    <row x14ac:dyDescent="0.25" r="339" customHeight="1" ht="18.75">
      <c r="A339" s="1"/>
      <c r="B339" s="799">
        <f>+DATE(YEAR(B338),MONTH(B338)+1,DAY(B338))</f>
        <v>25569.041666666668</v>
      </c>
      <c r="C339" s="799">
        <f>+B340-1</f>
        <v>25569.041666666668</v>
      </c>
      <c r="D339" s="791">
        <f>-_xlfn.DAYS($C$3,C339)/365.25</f>
      </c>
      <c r="E339" s="800">
        <f>IF($D$17+40&lt;=D339,(1+$D$7)^-(D339-$C$5),(1+$C$7)^-(D339-$C$5))</f>
      </c>
      <c r="F339" s="801">
        <f>IF($C$4="Hombre",(+VLOOKUP(INT(D339)+1,Tablas!$G$9:$K$1240,5,0)*(D339-INT(D339))+VLOOKUP(INT(D339),Tablas!$G$9:$K$1240,5,0)*(INT(D339)+1-D339))/(VLOOKUP(INT($C$5)+1,Tablas!$G$9:$K$1240,5,0)*($C$5-INT($C$5))+VLOOKUP(INT($C$5),Tablas!$G$9:$K$124,5,0)*(INT($C$5)+1-$C$5)),(+VLOOKUP(INT(D339)+1,Tablas!$G$9:$O$1240,9,0)*(D339-INT(D339))+VLOOKUP(INT(D339),Tablas!$G$9:$O$1240,9,0)*(INT(D339)+1-D339))/(VLOOKUP(INT($C$5)+1,Tablas!$G$9:$O$1240,9,0)*($C$5-INT($C$5))+VLOOKUP(INT($C$5),Tablas!$G$9:$O$124,9,0)*(INT($C$5)+1-$C$5)))</f>
      </c>
      <c r="G339" s="791">
        <f>IF($C$4="Hombre",(+VLOOKUP(INT(D339)+1,Tablas!$G$9:$K$1240,5,0)*(D339-INT(D339))+VLOOKUP(INT(D339),Tablas!$G$9:$K$1240,5,0)*(INT(D339)+1-D339)),+VLOOKUP(INT(D339)+1,Tablas!$G$9:$O$1240,9,0)*(D339-INT(D339))+VLOOKUP(INT(D339),Tablas!$G$9:$O$1240,9,0)*(INT(D339)+1-D339))</f>
      </c>
      <c r="H339" s="801">
        <f>+IF(MONTH(B339)=1,H338*(1+$C$9),H338)</f>
      </c>
      <c r="I339" s="791">
        <f>IF(B339&lt;$C$10,0,IF(B339&lt;$C$11,$C$8/12*E339*F339*H339,0))</f>
      </c>
      <c r="J339" s="791">
        <f>I339*12/14+IF(OR(MONTH(C339)=6,MONTH(C339)=12),I339*12/14,0)</f>
      </c>
      <c r="K339" s="801">
        <f>G339/$G$15</f>
      </c>
      <c r="L339" s="760"/>
      <c r="M339" s="767"/>
      <c r="N339" s="168"/>
      <c r="O339" s="768"/>
      <c r="P339" s="170"/>
      <c r="Q339" s="7"/>
      <c r="R339" s="766"/>
      <c r="S339" s="170"/>
      <c r="T339" s="168"/>
      <c r="U339" s="170"/>
    </row>
    <row x14ac:dyDescent="0.25" r="340" customHeight="1" ht="18.75">
      <c r="A340" s="1"/>
      <c r="B340" s="799">
        <f>+DATE(YEAR(B339),MONTH(B339)+1,DAY(B339))</f>
        <v>25569.041666666668</v>
      </c>
      <c r="C340" s="799">
        <f>+B341-1</f>
        <v>25569.041666666668</v>
      </c>
      <c r="D340" s="791">
        <f>-_xlfn.DAYS($C$3,C340)/365.25</f>
      </c>
      <c r="E340" s="800">
        <f>IF($D$17+40&lt;=D340,(1+$D$7)^-(D340-$C$5),(1+$C$7)^-(D340-$C$5))</f>
      </c>
      <c r="F340" s="801">
        <f>IF($C$4="Hombre",(+VLOOKUP(INT(D340)+1,Tablas!$G$9:$K$1240,5,0)*(D340-INT(D340))+VLOOKUP(INT(D340),Tablas!$G$9:$K$1240,5,0)*(INT(D340)+1-D340))/(VLOOKUP(INT($C$5)+1,Tablas!$G$9:$K$1240,5,0)*($C$5-INT($C$5))+VLOOKUP(INT($C$5),Tablas!$G$9:$K$124,5,0)*(INT($C$5)+1-$C$5)),(+VLOOKUP(INT(D340)+1,Tablas!$G$9:$O$1240,9,0)*(D340-INT(D340))+VLOOKUP(INT(D340),Tablas!$G$9:$O$1240,9,0)*(INT(D340)+1-D340))/(VLOOKUP(INT($C$5)+1,Tablas!$G$9:$O$1240,9,0)*($C$5-INT($C$5))+VLOOKUP(INT($C$5),Tablas!$G$9:$O$124,9,0)*(INT($C$5)+1-$C$5)))</f>
      </c>
      <c r="G340" s="791">
        <f>IF($C$4="Hombre",(+VLOOKUP(INT(D340)+1,Tablas!$G$9:$K$1240,5,0)*(D340-INT(D340))+VLOOKUP(INT(D340),Tablas!$G$9:$K$1240,5,0)*(INT(D340)+1-D340)),+VLOOKUP(INT(D340)+1,Tablas!$G$9:$O$1240,9,0)*(D340-INT(D340))+VLOOKUP(INT(D340),Tablas!$G$9:$O$1240,9,0)*(INT(D340)+1-D340))</f>
      </c>
      <c r="H340" s="801">
        <f>+IF(MONTH(B340)=1,H339*(1+$C$9),H339)</f>
      </c>
      <c r="I340" s="791">
        <f>IF(B340&lt;$C$10,0,IF(B340&lt;$C$11,$C$8/12*E340*F340*H340,0))</f>
      </c>
      <c r="J340" s="791">
        <f>I340*12/14+IF(OR(MONTH(C340)=6,MONTH(C340)=12),I340*12/14,0)</f>
      </c>
      <c r="K340" s="801">
        <f>G340/$G$15</f>
      </c>
      <c r="L340" s="760"/>
      <c r="M340" s="767"/>
      <c r="N340" s="168"/>
      <c r="O340" s="768"/>
      <c r="P340" s="170"/>
      <c r="Q340" s="7"/>
      <c r="R340" s="766"/>
      <c r="S340" s="170"/>
      <c r="T340" s="168"/>
      <c r="U340" s="170"/>
    </row>
    <row x14ac:dyDescent="0.25" r="341" customHeight="1" ht="18.75">
      <c r="A341" s="1"/>
      <c r="B341" s="799">
        <f>+DATE(YEAR(B340),MONTH(B340)+1,DAY(B340))</f>
        <v>25569.041666666668</v>
      </c>
      <c r="C341" s="799">
        <f>+B342-1</f>
        <v>25569.041666666668</v>
      </c>
      <c r="D341" s="791">
        <f>-_xlfn.DAYS($C$3,C341)/365.25</f>
      </c>
      <c r="E341" s="800">
        <f>IF($D$17+40&lt;=D341,(1+$D$7)^-(D341-$C$5),(1+$C$7)^-(D341-$C$5))</f>
      </c>
      <c r="F341" s="801">
        <f>IF($C$4="Hombre",(+VLOOKUP(INT(D341)+1,Tablas!$G$9:$K$1240,5,0)*(D341-INT(D341))+VLOOKUP(INT(D341),Tablas!$G$9:$K$1240,5,0)*(INT(D341)+1-D341))/(VLOOKUP(INT($C$5)+1,Tablas!$G$9:$K$1240,5,0)*($C$5-INT($C$5))+VLOOKUP(INT($C$5),Tablas!$G$9:$K$124,5,0)*(INT($C$5)+1-$C$5)),(+VLOOKUP(INT(D341)+1,Tablas!$G$9:$O$1240,9,0)*(D341-INT(D341))+VLOOKUP(INT(D341),Tablas!$G$9:$O$1240,9,0)*(INT(D341)+1-D341))/(VLOOKUP(INT($C$5)+1,Tablas!$G$9:$O$1240,9,0)*($C$5-INT($C$5))+VLOOKUP(INT($C$5),Tablas!$G$9:$O$124,9,0)*(INT($C$5)+1-$C$5)))</f>
      </c>
      <c r="G341" s="791">
        <f>IF($C$4="Hombre",(+VLOOKUP(INT(D341)+1,Tablas!$G$9:$K$1240,5,0)*(D341-INT(D341))+VLOOKUP(INT(D341),Tablas!$G$9:$K$1240,5,0)*(INT(D341)+1-D341)),+VLOOKUP(INT(D341)+1,Tablas!$G$9:$O$1240,9,0)*(D341-INT(D341))+VLOOKUP(INT(D341),Tablas!$G$9:$O$1240,9,0)*(INT(D341)+1-D341))</f>
      </c>
      <c r="H341" s="801">
        <f>+IF(MONTH(B341)=1,H340*(1+$C$9),H340)</f>
      </c>
      <c r="I341" s="791">
        <f>IF(B341&lt;$C$10,0,IF(B341&lt;$C$11,$C$8/12*E341*F341*H341,0))</f>
      </c>
      <c r="J341" s="791">
        <f>I341*12/14+IF(OR(MONTH(C341)=6,MONTH(C341)=12),I341*12/14,0)</f>
      </c>
      <c r="K341" s="801">
        <f>G341/$G$15</f>
      </c>
      <c r="L341" s="760"/>
      <c r="M341" s="767"/>
      <c r="N341" s="168"/>
      <c r="O341" s="768"/>
      <c r="P341" s="170"/>
      <c r="Q341" s="7"/>
      <c r="R341" s="766"/>
      <c r="S341" s="170"/>
      <c r="T341" s="168"/>
      <c r="U341" s="170"/>
    </row>
    <row x14ac:dyDescent="0.25" r="342" customHeight="1" ht="18.75">
      <c r="A342" s="1"/>
      <c r="B342" s="799">
        <f>+DATE(YEAR(B341),MONTH(B341)+1,DAY(B341))</f>
        <v>25569.041666666668</v>
      </c>
      <c r="C342" s="799">
        <f>+B343-1</f>
        <v>25569.041666666668</v>
      </c>
      <c r="D342" s="791">
        <f>-_xlfn.DAYS($C$3,C342)/365.25</f>
      </c>
      <c r="E342" s="800">
        <f>IF($D$17+40&lt;=D342,(1+$D$7)^-(D342-$C$5),(1+$C$7)^-(D342-$C$5))</f>
      </c>
      <c r="F342" s="801">
        <f>IF($C$4="Hombre",(+VLOOKUP(INT(D342)+1,Tablas!$G$9:$K$1240,5,0)*(D342-INT(D342))+VLOOKUP(INT(D342),Tablas!$G$9:$K$1240,5,0)*(INT(D342)+1-D342))/(VLOOKUP(INT($C$5)+1,Tablas!$G$9:$K$1240,5,0)*($C$5-INT($C$5))+VLOOKUP(INT($C$5),Tablas!$G$9:$K$124,5,0)*(INT($C$5)+1-$C$5)),(+VLOOKUP(INT(D342)+1,Tablas!$G$9:$O$1240,9,0)*(D342-INT(D342))+VLOOKUP(INT(D342),Tablas!$G$9:$O$1240,9,0)*(INT(D342)+1-D342))/(VLOOKUP(INT($C$5)+1,Tablas!$G$9:$O$1240,9,0)*($C$5-INT($C$5))+VLOOKUP(INT($C$5),Tablas!$G$9:$O$124,9,0)*(INT($C$5)+1-$C$5)))</f>
      </c>
      <c r="G342" s="791">
        <f>IF($C$4="Hombre",(+VLOOKUP(INT(D342)+1,Tablas!$G$9:$K$1240,5,0)*(D342-INT(D342))+VLOOKUP(INT(D342),Tablas!$G$9:$K$1240,5,0)*(INT(D342)+1-D342)),+VLOOKUP(INT(D342)+1,Tablas!$G$9:$O$1240,9,0)*(D342-INT(D342))+VLOOKUP(INT(D342),Tablas!$G$9:$O$1240,9,0)*(INT(D342)+1-D342))</f>
      </c>
      <c r="H342" s="801">
        <f>+IF(MONTH(B342)=1,H341*(1+$C$9),H341)</f>
      </c>
      <c r="I342" s="791">
        <f>IF(B342&lt;$C$10,0,IF(B342&lt;$C$11,$C$8/12*E342*F342*H342,0))</f>
      </c>
      <c r="J342" s="791">
        <f>I342*12/14+IF(OR(MONTH(C342)=6,MONTH(C342)=12),I342*12/14,0)</f>
      </c>
      <c r="K342" s="801">
        <f>G342/$G$15</f>
      </c>
      <c r="L342" s="760"/>
      <c r="M342" s="767"/>
      <c r="N342" s="168"/>
      <c r="O342" s="768"/>
      <c r="P342" s="170"/>
      <c r="Q342" s="7"/>
      <c r="R342" s="766"/>
      <c r="S342" s="170"/>
      <c r="T342" s="168"/>
      <c r="U342" s="170"/>
    </row>
    <row x14ac:dyDescent="0.25" r="343" customHeight="1" ht="18.75">
      <c r="A343" s="1"/>
      <c r="B343" s="799">
        <f>+DATE(YEAR(B342),MONTH(B342)+1,DAY(B342))</f>
        <v>25569.041666666668</v>
      </c>
      <c r="C343" s="799">
        <f>+B344-1</f>
        <v>25569.041666666668</v>
      </c>
      <c r="D343" s="791">
        <f>-_xlfn.DAYS($C$3,C343)/365.25</f>
      </c>
      <c r="E343" s="800">
        <f>IF($D$17+40&lt;=D343,(1+$D$7)^-(D343-$C$5),(1+$C$7)^-(D343-$C$5))</f>
      </c>
      <c r="F343" s="801">
        <f>IF($C$4="Hombre",(+VLOOKUP(INT(D343)+1,Tablas!$G$9:$K$1240,5,0)*(D343-INT(D343))+VLOOKUP(INT(D343),Tablas!$G$9:$K$1240,5,0)*(INT(D343)+1-D343))/(VLOOKUP(INT($C$5)+1,Tablas!$G$9:$K$1240,5,0)*($C$5-INT($C$5))+VLOOKUP(INT($C$5),Tablas!$G$9:$K$124,5,0)*(INT($C$5)+1-$C$5)),(+VLOOKUP(INT(D343)+1,Tablas!$G$9:$O$1240,9,0)*(D343-INT(D343))+VLOOKUP(INT(D343),Tablas!$G$9:$O$1240,9,0)*(INT(D343)+1-D343))/(VLOOKUP(INT($C$5)+1,Tablas!$G$9:$O$1240,9,0)*($C$5-INT($C$5))+VLOOKUP(INT($C$5),Tablas!$G$9:$O$124,9,0)*(INT($C$5)+1-$C$5)))</f>
      </c>
      <c r="G343" s="791">
        <f>IF($C$4="Hombre",(+VLOOKUP(INT(D343)+1,Tablas!$G$9:$K$1240,5,0)*(D343-INT(D343))+VLOOKUP(INT(D343),Tablas!$G$9:$K$1240,5,0)*(INT(D343)+1-D343)),+VLOOKUP(INT(D343)+1,Tablas!$G$9:$O$1240,9,0)*(D343-INT(D343))+VLOOKUP(INT(D343),Tablas!$G$9:$O$1240,9,0)*(INT(D343)+1-D343))</f>
      </c>
      <c r="H343" s="801">
        <f>+IF(MONTH(B343)=1,H342*(1+$C$9),H342)</f>
      </c>
      <c r="I343" s="791">
        <f>IF(B343&lt;$C$10,0,IF(B343&lt;$C$11,$C$8/12*E343*F343*H343,0))</f>
      </c>
      <c r="J343" s="791">
        <f>I343*12/14+IF(OR(MONTH(C343)=6,MONTH(C343)=12),I343*12/14,0)</f>
      </c>
      <c r="K343" s="801">
        <f>G343/$G$15</f>
      </c>
      <c r="L343" s="760"/>
      <c r="M343" s="767"/>
      <c r="N343" s="168"/>
      <c r="O343" s="768"/>
      <c r="P343" s="170"/>
      <c r="Q343" s="7"/>
      <c r="R343" s="766"/>
      <c r="S343" s="170"/>
      <c r="T343" s="168"/>
      <c r="U343" s="170"/>
    </row>
    <row x14ac:dyDescent="0.25" r="344" customHeight="1" ht="18.75">
      <c r="A344" s="1"/>
      <c r="B344" s="799">
        <f>+DATE(YEAR(B343),MONTH(B343)+1,DAY(B343))</f>
        <v>25569.041666666668</v>
      </c>
      <c r="C344" s="799">
        <f>+B345-1</f>
        <v>25569.041666666668</v>
      </c>
      <c r="D344" s="791">
        <f>-_xlfn.DAYS($C$3,C344)/365.25</f>
      </c>
      <c r="E344" s="800">
        <f>IF($D$17+40&lt;=D344,(1+$D$7)^-(D344-$C$5),(1+$C$7)^-(D344-$C$5))</f>
      </c>
      <c r="F344" s="801">
        <f>IF($C$4="Hombre",(+VLOOKUP(INT(D344)+1,Tablas!$G$9:$K$1240,5,0)*(D344-INT(D344))+VLOOKUP(INT(D344),Tablas!$G$9:$K$1240,5,0)*(INT(D344)+1-D344))/(VLOOKUP(INT($C$5)+1,Tablas!$G$9:$K$1240,5,0)*($C$5-INT($C$5))+VLOOKUP(INT($C$5),Tablas!$G$9:$K$124,5,0)*(INT($C$5)+1-$C$5)),(+VLOOKUP(INT(D344)+1,Tablas!$G$9:$O$1240,9,0)*(D344-INT(D344))+VLOOKUP(INT(D344),Tablas!$G$9:$O$1240,9,0)*(INT(D344)+1-D344))/(VLOOKUP(INT($C$5)+1,Tablas!$G$9:$O$1240,9,0)*($C$5-INT($C$5))+VLOOKUP(INT($C$5),Tablas!$G$9:$O$124,9,0)*(INT($C$5)+1-$C$5)))</f>
      </c>
      <c r="G344" s="791">
        <f>IF($C$4="Hombre",(+VLOOKUP(INT(D344)+1,Tablas!$G$9:$K$1240,5,0)*(D344-INT(D344))+VLOOKUP(INT(D344),Tablas!$G$9:$K$1240,5,0)*(INT(D344)+1-D344)),+VLOOKUP(INT(D344)+1,Tablas!$G$9:$O$1240,9,0)*(D344-INT(D344))+VLOOKUP(INT(D344),Tablas!$G$9:$O$1240,9,0)*(INT(D344)+1-D344))</f>
      </c>
      <c r="H344" s="801">
        <f>+IF(MONTH(B344)=1,H343*(1+$C$9),H343)</f>
      </c>
      <c r="I344" s="791">
        <f>IF(B344&lt;$C$10,0,IF(B344&lt;$C$11,$C$8/12*E344*F344*H344,0))</f>
      </c>
      <c r="J344" s="791">
        <f>I344*12/14+IF(OR(MONTH(C344)=6,MONTH(C344)=12),I344*12/14,0)</f>
      </c>
      <c r="K344" s="801">
        <f>G344/$G$15</f>
      </c>
      <c r="L344" s="760"/>
      <c r="M344" s="767"/>
      <c r="N344" s="168"/>
      <c r="O344" s="768"/>
      <c r="P344" s="170"/>
      <c r="Q344" s="7"/>
      <c r="R344" s="766"/>
      <c r="S344" s="170"/>
      <c r="T344" s="168"/>
      <c r="U344" s="170"/>
    </row>
    <row x14ac:dyDescent="0.25" r="345" customHeight="1" ht="18.75">
      <c r="A345" s="1"/>
      <c r="B345" s="799">
        <f>+DATE(YEAR(B344),MONTH(B344)+1,DAY(B344))</f>
        <v>25569.041666666668</v>
      </c>
      <c r="C345" s="799">
        <f>+B346-1</f>
        <v>25569.041666666668</v>
      </c>
      <c r="D345" s="791">
        <f>-_xlfn.DAYS($C$3,C345)/365.25</f>
      </c>
      <c r="E345" s="800">
        <f>IF($D$17+40&lt;=D345,(1+$D$7)^-(D345-$C$5),(1+$C$7)^-(D345-$C$5))</f>
      </c>
      <c r="F345" s="801">
        <f>IF($C$4="Hombre",(+VLOOKUP(INT(D345)+1,Tablas!$G$9:$K$1240,5,0)*(D345-INT(D345))+VLOOKUP(INT(D345),Tablas!$G$9:$K$1240,5,0)*(INT(D345)+1-D345))/(VLOOKUP(INT($C$5)+1,Tablas!$G$9:$K$1240,5,0)*($C$5-INT($C$5))+VLOOKUP(INT($C$5),Tablas!$G$9:$K$124,5,0)*(INT($C$5)+1-$C$5)),(+VLOOKUP(INT(D345)+1,Tablas!$G$9:$O$1240,9,0)*(D345-INT(D345))+VLOOKUP(INT(D345),Tablas!$G$9:$O$1240,9,0)*(INT(D345)+1-D345))/(VLOOKUP(INT($C$5)+1,Tablas!$G$9:$O$1240,9,0)*($C$5-INT($C$5))+VLOOKUP(INT($C$5),Tablas!$G$9:$O$124,9,0)*(INT($C$5)+1-$C$5)))</f>
      </c>
      <c r="G345" s="791">
        <f>IF($C$4="Hombre",(+VLOOKUP(INT(D345)+1,Tablas!$G$9:$K$1240,5,0)*(D345-INT(D345))+VLOOKUP(INT(D345),Tablas!$G$9:$K$1240,5,0)*(INT(D345)+1-D345)),+VLOOKUP(INT(D345)+1,Tablas!$G$9:$O$1240,9,0)*(D345-INT(D345))+VLOOKUP(INT(D345),Tablas!$G$9:$O$1240,9,0)*(INT(D345)+1-D345))</f>
      </c>
      <c r="H345" s="801">
        <f>+IF(MONTH(B345)=1,H344*(1+$C$9),H344)</f>
      </c>
      <c r="I345" s="791">
        <f>IF(B345&lt;$C$10,0,IF(B345&lt;$C$11,$C$8/12*E345*F345*H345,0))</f>
      </c>
      <c r="J345" s="791">
        <f>I345*12/14+IF(OR(MONTH(C345)=6,MONTH(C345)=12),I345*12/14,0)</f>
      </c>
      <c r="K345" s="801">
        <f>G345/$G$15</f>
      </c>
      <c r="L345" s="760"/>
      <c r="M345" s="767"/>
      <c r="N345" s="168"/>
      <c r="O345" s="768"/>
      <c r="P345" s="170"/>
      <c r="Q345" s="7"/>
      <c r="R345" s="766"/>
      <c r="S345" s="170"/>
      <c r="T345" s="168"/>
      <c r="U345" s="170"/>
    </row>
    <row x14ac:dyDescent="0.25" r="346" customHeight="1" ht="18.75">
      <c r="A346" s="1"/>
      <c r="B346" s="799">
        <f>+DATE(YEAR(B345),MONTH(B345)+1,DAY(B345))</f>
        <v>25569.041666666668</v>
      </c>
      <c r="C346" s="799">
        <f>+B347-1</f>
        <v>25569.041666666668</v>
      </c>
      <c r="D346" s="791">
        <f>-_xlfn.DAYS($C$3,C346)/365.25</f>
      </c>
      <c r="E346" s="800">
        <f>IF($D$17+40&lt;=D346,(1+$D$7)^-(D346-$C$5),(1+$C$7)^-(D346-$C$5))</f>
      </c>
      <c r="F346" s="801">
        <f>IF($C$4="Hombre",(+VLOOKUP(INT(D346)+1,Tablas!$G$9:$K$1240,5,0)*(D346-INT(D346))+VLOOKUP(INT(D346),Tablas!$G$9:$K$1240,5,0)*(INT(D346)+1-D346))/(VLOOKUP(INT($C$5)+1,Tablas!$G$9:$K$1240,5,0)*($C$5-INT($C$5))+VLOOKUP(INT($C$5),Tablas!$G$9:$K$124,5,0)*(INT($C$5)+1-$C$5)),(+VLOOKUP(INT(D346)+1,Tablas!$G$9:$O$1240,9,0)*(D346-INT(D346))+VLOOKUP(INT(D346),Tablas!$G$9:$O$1240,9,0)*(INT(D346)+1-D346))/(VLOOKUP(INT($C$5)+1,Tablas!$G$9:$O$1240,9,0)*($C$5-INT($C$5))+VLOOKUP(INT($C$5),Tablas!$G$9:$O$124,9,0)*(INT($C$5)+1-$C$5)))</f>
      </c>
      <c r="G346" s="791">
        <f>IF($C$4="Hombre",(+VLOOKUP(INT(D346)+1,Tablas!$G$9:$K$1240,5,0)*(D346-INT(D346))+VLOOKUP(INT(D346),Tablas!$G$9:$K$1240,5,0)*(INT(D346)+1-D346)),+VLOOKUP(INT(D346)+1,Tablas!$G$9:$O$1240,9,0)*(D346-INT(D346))+VLOOKUP(INT(D346),Tablas!$G$9:$O$1240,9,0)*(INT(D346)+1-D346))</f>
      </c>
      <c r="H346" s="801">
        <f>+IF(MONTH(B346)=1,H345*(1+$C$9),H345)</f>
      </c>
      <c r="I346" s="791">
        <f>IF(B346&lt;$C$10,0,IF(B346&lt;$C$11,$C$8/12*E346*F346*H346,0))</f>
      </c>
      <c r="J346" s="791">
        <f>I346*12/14+IF(OR(MONTH(C346)=6,MONTH(C346)=12),I346*12/14,0)</f>
      </c>
      <c r="K346" s="801">
        <f>G346/$G$15</f>
      </c>
      <c r="L346" s="760"/>
      <c r="M346" s="767"/>
      <c r="N346" s="168"/>
      <c r="O346" s="768"/>
      <c r="P346" s="170"/>
      <c r="Q346" s="7"/>
      <c r="R346" s="766"/>
      <c r="S346" s="170"/>
      <c r="T346" s="168"/>
      <c r="U346" s="170"/>
    </row>
    <row x14ac:dyDescent="0.25" r="347" customHeight="1" ht="18.75">
      <c r="A347" s="1"/>
      <c r="B347" s="799">
        <f>+DATE(YEAR(B346),MONTH(B346)+1,DAY(B346))</f>
        <v>25569.041666666668</v>
      </c>
      <c r="C347" s="799">
        <f>+B348-1</f>
        <v>25569.041666666668</v>
      </c>
      <c r="D347" s="791">
        <f>-_xlfn.DAYS($C$3,C347)/365.25</f>
      </c>
      <c r="E347" s="800">
        <f>IF($D$17+40&lt;=D347,(1+$D$7)^-(D347-$C$5),(1+$C$7)^-(D347-$C$5))</f>
      </c>
      <c r="F347" s="801">
        <f>IF($C$4="Hombre",(+VLOOKUP(INT(D347)+1,Tablas!$G$9:$K$1240,5,0)*(D347-INT(D347))+VLOOKUP(INT(D347),Tablas!$G$9:$K$1240,5,0)*(INT(D347)+1-D347))/(VLOOKUP(INT($C$5)+1,Tablas!$G$9:$K$1240,5,0)*($C$5-INT($C$5))+VLOOKUP(INT($C$5),Tablas!$G$9:$K$124,5,0)*(INT($C$5)+1-$C$5)),(+VLOOKUP(INT(D347)+1,Tablas!$G$9:$O$1240,9,0)*(D347-INT(D347))+VLOOKUP(INT(D347),Tablas!$G$9:$O$1240,9,0)*(INT(D347)+1-D347))/(VLOOKUP(INT($C$5)+1,Tablas!$G$9:$O$1240,9,0)*($C$5-INT($C$5))+VLOOKUP(INT($C$5),Tablas!$G$9:$O$124,9,0)*(INT($C$5)+1-$C$5)))</f>
      </c>
      <c r="G347" s="791">
        <f>IF($C$4="Hombre",(+VLOOKUP(INT(D347)+1,Tablas!$G$9:$K$1240,5,0)*(D347-INT(D347))+VLOOKUP(INT(D347),Tablas!$G$9:$K$1240,5,0)*(INT(D347)+1-D347)),+VLOOKUP(INT(D347)+1,Tablas!$G$9:$O$1240,9,0)*(D347-INT(D347))+VLOOKUP(INT(D347),Tablas!$G$9:$O$1240,9,0)*(INT(D347)+1-D347))</f>
      </c>
      <c r="H347" s="801">
        <f>+IF(MONTH(B347)=1,H346*(1+$C$9),H346)</f>
      </c>
      <c r="I347" s="791">
        <f>IF(B347&lt;$C$10,0,IF(B347&lt;$C$11,$C$8/12*E347*F347*H347,0))</f>
      </c>
      <c r="J347" s="791">
        <f>I347*12/14+IF(OR(MONTH(C347)=6,MONTH(C347)=12),I347*12/14,0)</f>
      </c>
      <c r="K347" s="801">
        <f>G347/$G$15</f>
      </c>
      <c r="L347" s="760"/>
      <c r="M347" s="767"/>
      <c r="N347" s="168"/>
      <c r="O347" s="768"/>
      <c r="P347" s="170"/>
      <c r="Q347" s="7"/>
      <c r="R347" s="766"/>
      <c r="S347" s="170"/>
      <c r="T347" s="168"/>
      <c r="U347" s="170"/>
    </row>
    <row x14ac:dyDescent="0.25" r="348" customHeight="1" ht="18.75">
      <c r="A348" s="1"/>
      <c r="B348" s="799">
        <f>+DATE(YEAR(B347),MONTH(B347)+1,DAY(B347))</f>
        <v>25569.041666666668</v>
      </c>
      <c r="C348" s="799">
        <f>+B349-1</f>
        <v>25569.041666666668</v>
      </c>
      <c r="D348" s="791">
        <f>-_xlfn.DAYS($C$3,C348)/365.25</f>
      </c>
      <c r="E348" s="800">
        <f>IF($D$17+40&lt;=D348,(1+$D$7)^-(D348-$C$5),(1+$C$7)^-(D348-$C$5))</f>
      </c>
      <c r="F348" s="801">
        <f>IF($C$4="Hombre",(+VLOOKUP(INT(D348)+1,Tablas!$G$9:$K$1240,5,0)*(D348-INT(D348))+VLOOKUP(INT(D348),Tablas!$G$9:$K$1240,5,0)*(INT(D348)+1-D348))/(VLOOKUP(INT($C$5)+1,Tablas!$G$9:$K$1240,5,0)*($C$5-INT($C$5))+VLOOKUP(INT($C$5),Tablas!$G$9:$K$124,5,0)*(INT($C$5)+1-$C$5)),(+VLOOKUP(INT(D348)+1,Tablas!$G$9:$O$1240,9,0)*(D348-INT(D348))+VLOOKUP(INT(D348),Tablas!$G$9:$O$1240,9,0)*(INT(D348)+1-D348))/(VLOOKUP(INT($C$5)+1,Tablas!$G$9:$O$1240,9,0)*($C$5-INT($C$5))+VLOOKUP(INT($C$5),Tablas!$G$9:$O$124,9,0)*(INT($C$5)+1-$C$5)))</f>
      </c>
      <c r="G348" s="791">
        <f>IF($C$4="Hombre",(+VLOOKUP(INT(D348)+1,Tablas!$G$9:$K$1240,5,0)*(D348-INT(D348))+VLOOKUP(INT(D348),Tablas!$G$9:$K$1240,5,0)*(INT(D348)+1-D348)),+VLOOKUP(INT(D348)+1,Tablas!$G$9:$O$1240,9,0)*(D348-INT(D348))+VLOOKUP(INT(D348),Tablas!$G$9:$O$1240,9,0)*(INT(D348)+1-D348))</f>
      </c>
      <c r="H348" s="801">
        <f>+IF(MONTH(B348)=1,H347*(1+$C$9),H347)</f>
      </c>
      <c r="I348" s="791">
        <f>IF(B348&lt;$C$10,0,IF(B348&lt;$C$11,$C$8/12*E348*F348*H348,0))</f>
      </c>
      <c r="J348" s="791">
        <f>I348*12/14+IF(OR(MONTH(C348)=6,MONTH(C348)=12),I348*12/14,0)</f>
      </c>
      <c r="K348" s="801">
        <f>G348/$G$15</f>
      </c>
      <c r="L348" s="760"/>
      <c r="M348" s="767"/>
      <c r="N348" s="168"/>
      <c r="O348" s="768"/>
      <c r="P348" s="170"/>
      <c r="Q348" s="7"/>
      <c r="R348" s="766"/>
      <c r="S348" s="170"/>
      <c r="T348" s="168"/>
      <c r="U348" s="170"/>
    </row>
    <row x14ac:dyDescent="0.25" r="349" customHeight="1" ht="18.75">
      <c r="A349" s="1"/>
      <c r="B349" s="799">
        <f>+DATE(YEAR(B348),MONTH(B348)+1,DAY(B348))</f>
        <v>25569.041666666668</v>
      </c>
      <c r="C349" s="799">
        <f>+B350-1</f>
        <v>25569.041666666668</v>
      </c>
      <c r="D349" s="791">
        <f>-_xlfn.DAYS($C$3,C349)/365.25</f>
      </c>
      <c r="E349" s="800">
        <f>IF($D$17+40&lt;=D349,(1+$D$7)^-(D349-$C$5),(1+$C$7)^-(D349-$C$5))</f>
      </c>
      <c r="F349" s="801">
        <f>IF($C$4="Hombre",(+VLOOKUP(INT(D349)+1,Tablas!$G$9:$K$1240,5,0)*(D349-INT(D349))+VLOOKUP(INT(D349),Tablas!$G$9:$K$1240,5,0)*(INT(D349)+1-D349))/(VLOOKUP(INT($C$5)+1,Tablas!$G$9:$K$1240,5,0)*($C$5-INT($C$5))+VLOOKUP(INT($C$5),Tablas!$G$9:$K$124,5,0)*(INT($C$5)+1-$C$5)),(+VLOOKUP(INT(D349)+1,Tablas!$G$9:$O$1240,9,0)*(D349-INT(D349))+VLOOKUP(INT(D349),Tablas!$G$9:$O$1240,9,0)*(INT(D349)+1-D349))/(VLOOKUP(INT($C$5)+1,Tablas!$G$9:$O$1240,9,0)*($C$5-INT($C$5))+VLOOKUP(INT($C$5),Tablas!$G$9:$O$124,9,0)*(INT($C$5)+1-$C$5)))</f>
      </c>
      <c r="G349" s="791">
        <f>IF($C$4="Hombre",(+VLOOKUP(INT(D349)+1,Tablas!$G$9:$K$1240,5,0)*(D349-INT(D349))+VLOOKUP(INT(D349),Tablas!$G$9:$K$1240,5,0)*(INT(D349)+1-D349)),+VLOOKUP(INT(D349)+1,Tablas!$G$9:$O$1240,9,0)*(D349-INT(D349))+VLOOKUP(INT(D349),Tablas!$G$9:$O$1240,9,0)*(INT(D349)+1-D349))</f>
      </c>
      <c r="H349" s="801">
        <f>+IF(MONTH(B349)=1,H348*(1+$C$9),H348)</f>
      </c>
      <c r="I349" s="791">
        <f>IF(B349&lt;$C$10,0,IF(B349&lt;$C$11,$C$8/12*E349*F349*H349,0))</f>
      </c>
      <c r="J349" s="791">
        <f>I349*12/14+IF(OR(MONTH(C349)=6,MONTH(C349)=12),I349*12/14,0)</f>
      </c>
      <c r="K349" s="801">
        <f>G349/$G$15</f>
      </c>
      <c r="L349" s="760"/>
      <c r="M349" s="767"/>
      <c r="N349" s="168"/>
      <c r="O349" s="768"/>
      <c r="P349" s="170"/>
      <c r="Q349" s="7"/>
      <c r="R349" s="766"/>
      <c r="S349" s="170"/>
      <c r="T349" s="168"/>
      <c r="U349" s="170"/>
    </row>
    <row x14ac:dyDescent="0.25" r="350" customHeight="1" ht="18.75">
      <c r="A350" s="1"/>
      <c r="B350" s="799">
        <f>+DATE(YEAR(B349),MONTH(B349)+1,DAY(B349))</f>
        <v>25569.041666666668</v>
      </c>
      <c r="C350" s="799">
        <f>+B351-1</f>
        <v>25569.041666666668</v>
      </c>
      <c r="D350" s="791">
        <f>-_xlfn.DAYS($C$3,C350)/365.25</f>
      </c>
      <c r="E350" s="800">
        <f>IF($D$17+40&lt;=D350,(1+$D$7)^-(D350-$C$5),(1+$C$7)^-(D350-$C$5))</f>
      </c>
      <c r="F350" s="801">
        <f>IF($C$4="Hombre",(+VLOOKUP(INT(D350)+1,Tablas!$G$9:$K$1240,5,0)*(D350-INT(D350))+VLOOKUP(INT(D350),Tablas!$G$9:$K$1240,5,0)*(INT(D350)+1-D350))/(VLOOKUP(INT($C$5)+1,Tablas!$G$9:$K$1240,5,0)*($C$5-INT($C$5))+VLOOKUP(INT($C$5),Tablas!$G$9:$K$124,5,0)*(INT($C$5)+1-$C$5)),(+VLOOKUP(INT(D350)+1,Tablas!$G$9:$O$1240,9,0)*(D350-INT(D350))+VLOOKUP(INT(D350),Tablas!$G$9:$O$1240,9,0)*(INT(D350)+1-D350))/(VLOOKUP(INT($C$5)+1,Tablas!$G$9:$O$1240,9,0)*($C$5-INT($C$5))+VLOOKUP(INT($C$5),Tablas!$G$9:$O$124,9,0)*(INT($C$5)+1-$C$5)))</f>
      </c>
      <c r="G350" s="791">
        <f>IF($C$4="Hombre",(+VLOOKUP(INT(D350)+1,Tablas!$G$9:$K$1240,5,0)*(D350-INT(D350))+VLOOKUP(INT(D350),Tablas!$G$9:$K$1240,5,0)*(INT(D350)+1-D350)),+VLOOKUP(INT(D350)+1,Tablas!$G$9:$O$1240,9,0)*(D350-INT(D350))+VLOOKUP(INT(D350),Tablas!$G$9:$O$1240,9,0)*(INT(D350)+1-D350))</f>
      </c>
      <c r="H350" s="801">
        <f>+IF(MONTH(B350)=1,H349*(1+$C$9),H349)</f>
      </c>
      <c r="I350" s="791">
        <f>IF(B350&lt;$C$10,0,IF(B350&lt;$C$11,$C$8/12*E350*F350*H350,0))</f>
      </c>
      <c r="J350" s="791">
        <f>I350*12/14+IF(OR(MONTH(C350)=6,MONTH(C350)=12),I350*12/14,0)</f>
      </c>
      <c r="K350" s="801">
        <f>G350/$G$15</f>
      </c>
      <c r="L350" s="760"/>
      <c r="M350" s="767"/>
      <c r="N350" s="168"/>
      <c r="O350" s="768"/>
      <c r="P350" s="170"/>
      <c r="Q350" s="7"/>
      <c r="R350" s="766"/>
      <c r="S350" s="170"/>
      <c r="T350" s="168"/>
      <c r="U350" s="170"/>
    </row>
    <row x14ac:dyDescent="0.25" r="351" customHeight="1" ht="18.75">
      <c r="A351" s="1"/>
      <c r="B351" s="799">
        <f>+DATE(YEAR(B350),MONTH(B350)+1,DAY(B350))</f>
        <v>25569.041666666668</v>
      </c>
      <c r="C351" s="799">
        <f>+B352-1</f>
        <v>25569.041666666668</v>
      </c>
      <c r="D351" s="791">
        <f>-_xlfn.DAYS($C$3,C351)/365.25</f>
      </c>
      <c r="E351" s="800">
        <f>IF($D$17+40&lt;=D351,(1+$D$7)^-(D351-$C$5),(1+$C$7)^-(D351-$C$5))</f>
      </c>
      <c r="F351" s="801">
        <f>IF($C$4="Hombre",(+VLOOKUP(INT(D351)+1,Tablas!$G$9:$K$1240,5,0)*(D351-INT(D351))+VLOOKUP(INT(D351),Tablas!$G$9:$K$1240,5,0)*(INT(D351)+1-D351))/(VLOOKUP(INT($C$5)+1,Tablas!$G$9:$K$1240,5,0)*($C$5-INT($C$5))+VLOOKUP(INT($C$5),Tablas!$G$9:$K$124,5,0)*(INT($C$5)+1-$C$5)),(+VLOOKUP(INT(D351)+1,Tablas!$G$9:$O$1240,9,0)*(D351-INT(D351))+VLOOKUP(INT(D351),Tablas!$G$9:$O$1240,9,0)*(INT(D351)+1-D351))/(VLOOKUP(INT($C$5)+1,Tablas!$G$9:$O$1240,9,0)*($C$5-INT($C$5))+VLOOKUP(INT($C$5),Tablas!$G$9:$O$124,9,0)*(INT($C$5)+1-$C$5)))</f>
      </c>
      <c r="G351" s="791">
        <f>IF($C$4="Hombre",(+VLOOKUP(INT(D351)+1,Tablas!$G$9:$K$1240,5,0)*(D351-INT(D351))+VLOOKUP(INT(D351),Tablas!$G$9:$K$1240,5,0)*(INT(D351)+1-D351)),+VLOOKUP(INT(D351)+1,Tablas!$G$9:$O$1240,9,0)*(D351-INT(D351))+VLOOKUP(INT(D351),Tablas!$G$9:$O$1240,9,0)*(INT(D351)+1-D351))</f>
      </c>
      <c r="H351" s="801">
        <f>+IF(MONTH(B351)=1,H350*(1+$C$9),H350)</f>
      </c>
      <c r="I351" s="791">
        <f>IF(B351&lt;$C$10,0,IF(B351&lt;$C$11,$C$8/12*E351*F351*H351,0))</f>
      </c>
      <c r="J351" s="791">
        <f>I351*12/14+IF(OR(MONTH(C351)=6,MONTH(C351)=12),I351*12/14,0)</f>
      </c>
      <c r="K351" s="801">
        <f>G351/$G$15</f>
      </c>
      <c r="L351" s="760"/>
      <c r="M351" s="767"/>
      <c r="N351" s="168"/>
      <c r="O351" s="768"/>
      <c r="P351" s="170"/>
      <c r="Q351" s="7"/>
      <c r="R351" s="766"/>
      <c r="S351" s="170"/>
      <c r="T351" s="168"/>
      <c r="U351" s="170"/>
    </row>
    <row x14ac:dyDescent="0.25" r="352" customHeight="1" ht="18.75">
      <c r="A352" s="1"/>
      <c r="B352" s="799">
        <f>+DATE(YEAR(B351),MONTH(B351)+1,DAY(B351))</f>
        <v>25569.041666666668</v>
      </c>
      <c r="C352" s="799">
        <f>+B353-1</f>
        <v>25569.041666666668</v>
      </c>
      <c r="D352" s="791">
        <f>-_xlfn.DAYS($C$3,C352)/365.25</f>
      </c>
      <c r="E352" s="800">
        <f>IF($D$17+40&lt;=D352,(1+$D$7)^-(D352-$C$5),(1+$C$7)^-(D352-$C$5))</f>
      </c>
      <c r="F352" s="801">
        <f>IF($C$4="Hombre",(+VLOOKUP(INT(D352)+1,Tablas!$G$9:$K$1240,5,0)*(D352-INT(D352))+VLOOKUP(INT(D352),Tablas!$G$9:$K$1240,5,0)*(INT(D352)+1-D352))/(VLOOKUP(INT($C$5)+1,Tablas!$G$9:$K$1240,5,0)*($C$5-INT($C$5))+VLOOKUP(INT($C$5),Tablas!$G$9:$K$124,5,0)*(INT($C$5)+1-$C$5)),(+VLOOKUP(INT(D352)+1,Tablas!$G$9:$O$1240,9,0)*(D352-INT(D352))+VLOOKUP(INT(D352),Tablas!$G$9:$O$1240,9,0)*(INT(D352)+1-D352))/(VLOOKUP(INT($C$5)+1,Tablas!$G$9:$O$1240,9,0)*($C$5-INT($C$5))+VLOOKUP(INT($C$5),Tablas!$G$9:$O$124,9,0)*(INT($C$5)+1-$C$5)))</f>
      </c>
      <c r="G352" s="791">
        <f>IF($C$4="Hombre",(+VLOOKUP(INT(D352)+1,Tablas!$G$9:$K$1240,5,0)*(D352-INT(D352))+VLOOKUP(INT(D352),Tablas!$G$9:$K$1240,5,0)*(INT(D352)+1-D352)),+VLOOKUP(INT(D352)+1,Tablas!$G$9:$O$1240,9,0)*(D352-INT(D352))+VLOOKUP(INT(D352),Tablas!$G$9:$O$1240,9,0)*(INT(D352)+1-D352))</f>
      </c>
      <c r="H352" s="801">
        <f>+IF(MONTH(B352)=1,H351*(1+$C$9),H351)</f>
      </c>
      <c r="I352" s="791">
        <f>IF(B352&lt;$C$10,0,IF(B352&lt;$C$11,$C$8/12*E352*F352*H352,0))</f>
      </c>
      <c r="J352" s="791">
        <f>I352*12/14+IF(OR(MONTH(C352)=6,MONTH(C352)=12),I352*12/14,0)</f>
      </c>
      <c r="K352" s="801">
        <f>G352/$G$15</f>
      </c>
      <c r="L352" s="760"/>
      <c r="M352" s="767"/>
      <c r="N352" s="168"/>
      <c r="O352" s="768"/>
      <c r="P352" s="170"/>
      <c r="Q352" s="7"/>
      <c r="R352" s="766"/>
      <c r="S352" s="170"/>
      <c r="T352" s="168"/>
      <c r="U352" s="170"/>
    </row>
    <row x14ac:dyDescent="0.25" r="353" customHeight="1" ht="18.75">
      <c r="A353" s="1"/>
      <c r="B353" s="799">
        <f>+DATE(YEAR(B352),MONTH(B352)+1,DAY(B352))</f>
        <v>25569.041666666668</v>
      </c>
      <c r="C353" s="799">
        <f>+B354-1</f>
        <v>25569.041666666668</v>
      </c>
      <c r="D353" s="791">
        <f>-_xlfn.DAYS($C$3,C353)/365.25</f>
      </c>
      <c r="E353" s="800">
        <f>IF($D$17+40&lt;=D353,(1+$D$7)^-(D353-$C$5),(1+$C$7)^-(D353-$C$5))</f>
      </c>
      <c r="F353" s="801">
        <f>IF($C$4="Hombre",(+VLOOKUP(INT(D353)+1,Tablas!$G$9:$K$1240,5,0)*(D353-INT(D353))+VLOOKUP(INT(D353),Tablas!$G$9:$K$1240,5,0)*(INT(D353)+1-D353))/(VLOOKUP(INT($C$5)+1,Tablas!$G$9:$K$1240,5,0)*($C$5-INT($C$5))+VLOOKUP(INT($C$5),Tablas!$G$9:$K$124,5,0)*(INT($C$5)+1-$C$5)),(+VLOOKUP(INT(D353)+1,Tablas!$G$9:$O$1240,9,0)*(D353-INT(D353))+VLOOKUP(INT(D353),Tablas!$G$9:$O$1240,9,0)*(INT(D353)+1-D353))/(VLOOKUP(INT($C$5)+1,Tablas!$G$9:$O$1240,9,0)*($C$5-INT($C$5))+VLOOKUP(INT($C$5),Tablas!$G$9:$O$124,9,0)*(INT($C$5)+1-$C$5)))</f>
      </c>
      <c r="G353" s="791">
        <f>IF($C$4="Hombre",(+VLOOKUP(INT(D353)+1,Tablas!$G$9:$K$1240,5,0)*(D353-INT(D353))+VLOOKUP(INT(D353),Tablas!$G$9:$K$1240,5,0)*(INT(D353)+1-D353)),+VLOOKUP(INT(D353)+1,Tablas!$G$9:$O$1240,9,0)*(D353-INT(D353))+VLOOKUP(INT(D353),Tablas!$G$9:$O$1240,9,0)*(INT(D353)+1-D353))</f>
      </c>
      <c r="H353" s="801">
        <f>+IF(MONTH(B353)=1,H352*(1+$C$9),H352)</f>
      </c>
      <c r="I353" s="791">
        <f>IF(B353&lt;$C$10,0,IF(B353&lt;$C$11,$C$8/12*E353*F353*H353,0))</f>
      </c>
      <c r="J353" s="791">
        <f>I353*12/14+IF(OR(MONTH(C353)=6,MONTH(C353)=12),I353*12/14,0)</f>
      </c>
      <c r="K353" s="801">
        <f>G353/$G$15</f>
      </c>
      <c r="L353" s="760"/>
      <c r="M353" s="767"/>
      <c r="N353" s="168"/>
      <c r="O353" s="768"/>
      <c r="P353" s="170"/>
      <c r="Q353" s="7"/>
      <c r="R353" s="766"/>
      <c r="S353" s="170"/>
      <c r="T353" s="168"/>
      <c r="U353" s="170"/>
    </row>
    <row x14ac:dyDescent="0.25" r="354" customHeight="1" ht="18.75">
      <c r="A354" s="1"/>
      <c r="B354" s="799">
        <f>+DATE(YEAR(B353),MONTH(B353)+1,DAY(B353))</f>
        <v>25569.041666666668</v>
      </c>
      <c r="C354" s="799">
        <f>+B355-1</f>
        <v>25569.041666666668</v>
      </c>
      <c r="D354" s="791">
        <f>-_xlfn.DAYS($C$3,C354)/365.25</f>
      </c>
      <c r="E354" s="800">
        <f>IF($D$17+40&lt;=D354,(1+$D$7)^-(D354-$C$5),(1+$C$7)^-(D354-$C$5))</f>
      </c>
      <c r="F354" s="801">
        <f>IF($C$4="Hombre",(+VLOOKUP(INT(D354)+1,Tablas!$G$9:$K$1240,5,0)*(D354-INT(D354))+VLOOKUP(INT(D354),Tablas!$G$9:$K$1240,5,0)*(INT(D354)+1-D354))/(VLOOKUP(INT($C$5)+1,Tablas!$G$9:$K$1240,5,0)*($C$5-INT($C$5))+VLOOKUP(INT($C$5),Tablas!$G$9:$K$124,5,0)*(INT($C$5)+1-$C$5)),(+VLOOKUP(INT(D354)+1,Tablas!$G$9:$O$1240,9,0)*(D354-INT(D354))+VLOOKUP(INT(D354),Tablas!$G$9:$O$1240,9,0)*(INT(D354)+1-D354))/(VLOOKUP(INT($C$5)+1,Tablas!$G$9:$O$1240,9,0)*($C$5-INT($C$5))+VLOOKUP(INT($C$5),Tablas!$G$9:$O$124,9,0)*(INT($C$5)+1-$C$5)))</f>
      </c>
      <c r="G354" s="791">
        <f>IF($C$4="Hombre",(+VLOOKUP(INT(D354)+1,Tablas!$G$9:$K$1240,5,0)*(D354-INT(D354))+VLOOKUP(INT(D354),Tablas!$G$9:$K$1240,5,0)*(INT(D354)+1-D354)),+VLOOKUP(INT(D354)+1,Tablas!$G$9:$O$1240,9,0)*(D354-INT(D354))+VLOOKUP(INT(D354),Tablas!$G$9:$O$1240,9,0)*(INT(D354)+1-D354))</f>
      </c>
      <c r="H354" s="801">
        <f>+IF(MONTH(B354)=1,H353*(1+$C$9),H353)</f>
      </c>
      <c r="I354" s="791">
        <f>IF(B354&lt;$C$10,0,IF(B354&lt;$C$11,$C$8/12*E354*F354*H354,0))</f>
      </c>
      <c r="J354" s="791">
        <f>I354*12/14+IF(OR(MONTH(C354)=6,MONTH(C354)=12),I354*12/14,0)</f>
      </c>
      <c r="K354" s="801">
        <f>G354/$G$15</f>
      </c>
      <c r="L354" s="760"/>
      <c r="M354" s="767"/>
      <c r="N354" s="168"/>
      <c r="O354" s="768"/>
      <c r="P354" s="170"/>
      <c r="Q354" s="7"/>
      <c r="R354" s="766"/>
      <c r="S354" s="170"/>
      <c r="T354" s="168"/>
      <c r="U354" s="170"/>
    </row>
    <row x14ac:dyDescent="0.25" r="355" customHeight="1" ht="18.75">
      <c r="A355" s="1"/>
      <c r="B355" s="799">
        <f>+DATE(YEAR(B354),MONTH(B354)+1,DAY(B354))</f>
        <v>25569.041666666668</v>
      </c>
      <c r="C355" s="799">
        <f>+B356-1</f>
        <v>25569.041666666668</v>
      </c>
      <c r="D355" s="791">
        <f>-_xlfn.DAYS($C$3,C355)/365.25</f>
      </c>
      <c r="E355" s="800">
        <f>IF($D$17+40&lt;=D355,(1+$D$7)^-(D355-$C$5),(1+$C$7)^-(D355-$C$5))</f>
      </c>
      <c r="F355" s="801">
        <f>IF($C$4="Hombre",(+VLOOKUP(INT(D355)+1,Tablas!$G$9:$K$1240,5,0)*(D355-INT(D355))+VLOOKUP(INT(D355),Tablas!$G$9:$K$1240,5,0)*(INT(D355)+1-D355))/(VLOOKUP(INT($C$5)+1,Tablas!$G$9:$K$1240,5,0)*($C$5-INT($C$5))+VLOOKUP(INT($C$5),Tablas!$G$9:$K$124,5,0)*(INT($C$5)+1-$C$5)),(+VLOOKUP(INT(D355)+1,Tablas!$G$9:$O$1240,9,0)*(D355-INT(D355))+VLOOKUP(INT(D355),Tablas!$G$9:$O$1240,9,0)*(INT(D355)+1-D355))/(VLOOKUP(INT($C$5)+1,Tablas!$G$9:$O$1240,9,0)*($C$5-INT($C$5))+VLOOKUP(INT($C$5),Tablas!$G$9:$O$124,9,0)*(INT($C$5)+1-$C$5)))</f>
      </c>
      <c r="G355" s="791">
        <f>IF($C$4="Hombre",(+VLOOKUP(INT(D355)+1,Tablas!$G$9:$K$1240,5,0)*(D355-INT(D355))+VLOOKUP(INT(D355),Tablas!$G$9:$K$1240,5,0)*(INT(D355)+1-D355)),+VLOOKUP(INT(D355)+1,Tablas!$G$9:$O$1240,9,0)*(D355-INT(D355))+VLOOKUP(INT(D355),Tablas!$G$9:$O$1240,9,0)*(INT(D355)+1-D355))</f>
      </c>
      <c r="H355" s="801">
        <f>+IF(MONTH(B355)=1,H354*(1+$C$9),H354)</f>
      </c>
      <c r="I355" s="791">
        <f>IF(B355&lt;$C$10,0,IF(B355&lt;$C$11,$C$8/12*E355*F355*H355,0))</f>
      </c>
      <c r="J355" s="791">
        <f>I355*12/14+IF(OR(MONTH(C355)=6,MONTH(C355)=12),I355*12/14,0)</f>
      </c>
      <c r="K355" s="801">
        <f>G355/$G$15</f>
      </c>
      <c r="L355" s="760"/>
      <c r="M355" s="767"/>
      <c r="N355" s="168"/>
      <c r="O355" s="768"/>
      <c r="P355" s="170"/>
      <c r="Q355" s="7"/>
      <c r="R355" s="766"/>
      <c r="S355" s="170"/>
      <c r="T355" s="168"/>
      <c r="U355" s="170"/>
    </row>
    <row x14ac:dyDescent="0.25" r="356" customHeight="1" ht="18.75">
      <c r="A356" s="1"/>
      <c r="B356" s="799">
        <f>+DATE(YEAR(B355),MONTH(B355)+1,DAY(B355))</f>
        <v>25569.041666666668</v>
      </c>
      <c r="C356" s="799">
        <f>+B357-1</f>
        <v>25569.041666666668</v>
      </c>
      <c r="D356" s="791">
        <f>-_xlfn.DAYS($C$3,C356)/365.25</f>
      </c>
      <c r="E356" s="800">
        <f>IF($D$17+40&lt;=D356,(1+$D$7)^-(D356-$C$5),(1+$C$7)^-(D356-$C$5))</f>
      </c>
      <c r="F356" s="801">
        <f>IF($C$4="Hombre",(+VLOOKUP(INT(D356)+1,Tablas!$G$9:$K$1240,5,0)*(D356-INT(D356))+VLOOKUP(INT(D356),Tablas!$G$9:$K$1240,5,0)*(INT(D356)+1-D356))/(VLOOKUP(INT($C$5)+1,Tablas!$G$9:$K$1240,5,0)*($C$5-INT($C$5))+VLOOKUP(INT($C$5),Tablas!$G$9:$K$124,5,0)*(INT($C$5)+1-$C$5)),(+VLOOKUP(INT(D356)+1,Tablas!$G$9:$O$1240,9,0)*(D356-INT(D356))+VLOOKUP(INT(D356),Tablas!$G$9:$O$1240,9,0)*(INT(D356)+1-D356))/(VLOOKUP(INT($C$5)+1,Tablas!$G$9:$O$1240,9,0)*($C$5-INT($C$5))+VLOOKUP(INT($C$5),Tablas!$G$9:$O$124,9,0)*(INT($C$5)+1-$C$5)))</f>
      </c>
      <c r="G356" s="791">
        <f>IF($C$4="Hombre",(+VLOOKUP(INT(D356)+1,Tablas!$G$9:$K$1240,5,0)*(D356-INT(D356))+VLOOKUP(INT(D356),Tablas!$G$9:$K$1240,5,0)*(INT(D356)+1-D356)),+VLOOKUP(INT(D356)+1,Tablas!$G$9:$O$1240,9,0)*(D356-INT(D356))+VLOOKUP(INT(D356),Tablas!$G$9:$O$1240,9,0)*(INT(D356)+1-D356))</f>
      </c>
      <c r="H356" s="801">
        <f>+IF(MONTH(B356)=1,H355*(1+$C$9),H355)</f>
      </c>
      <c r="I356" s="791">
        <f>IF(B356&lt;$C$10,0,IF(B356&lt;$C$11,$C$8/12*E356*F356*H356,0))</f>
      </c>
      <c r="J356" s="791">
        <f>I356*12/14+IF(OR(MONTH(C356)=6,MONTH(C356)=12),I356*12/14,0)</f>
      </c>
      <c r="K356" s="801">
        <f>G356/$G$15</f>
      </c>
      <c r="L356" s="760"/>
      <c r="M356" s="767"/>
      <c r="N356" s="168"/>
      <c r="O356" s="768"/>
      <c r="P356" s="170"/>
      <c r="Q356" s="7"/>
      <c r="R356" s="766"/>
      <c r="S356" s="170"/>
      <c r="T356" s="168"/>
      <c r="U356" s="170"/>
    </row>
    <row x14ac:dyDescent="0.25" r="357" customHeight="1" ht="18.75">
      <c r="A357" s="1"/>
      <c r="B357" s="799">
        <f>+DATE(YEAR(B356),MONTH(B356)+1,DAY(B356))</f>
        <v>25569.041666666668</v>
      </c>
      <c r="C357" s="799">
        <f>+B358-1</f>
        <v>25569.041666666668</v>
      </c>
      <c r="D357" s="791">
        <f>-_xlfn.DAYS($C$3,C357)/365.25</f>
      </c>
      <c r="E357" s="800">
        <f>IF($D$17+40&lt;=D357,(1+$D$7)^-(D357-$C$5),(1+$C$7)^-(D357-$C$5))</f>
      </c>
      <c r="F357" s="801">
        <f>IF($C$4="Hombre",(+VLOOKUP(INT(D357)+1,Tablas!$G$9:$K$1240,5,0)*(D357-INT(D357))+VLOOKUP(INT(D357),Tablas!$G$9:$K$1240,5,0)*(INT(D357)+1-D357))/(VLOOKUP(INT($C$5)+1,Tablas!$G$9:$K$1240,5,0)*($C$5-INT($C$5))+VLOOKUP(INT($C$5),Tablas!$G$9:$K$124,5,0)*(INT($C$5)+1-$C$5)),(+VLOOKUP(INT(D357)+1,Tablas!$G$9:$O$1240,9,0)*(D357-INT(D357))+VLOOKUP(INT(D357),Tablas!$G$9:$O$1240,9,0)*(INT(D357)+1-D357))/(VLOOKUP(INT($C$5)+1,Tablas!$G$9:$O$1240,9,0)*($C$5-INT($C$5))+VLOOKUP(INT($C$5),Tablas!$G$9:$O$124,9,0)*(INT($C$5)+1-$C$5)))</f>
      </c>
      <c r="G357" s="791">
        <f>IF($C$4="Hombre",(+VLOOKUP(INT(D357)+1,Tablas!$G$9:$K$1240,5,0)*(D357-INT(D357))+VLOOKUP(INT(D357),Tablas!$G$9:$K$1240,5,0)*(INT(D357)+1-D357)),+VLOOKUP(INT(D357)+1,Tablas!$G$9:$O$1240,9,0)*(D357-INT(D357))+VLOOKUP(INT(D357),Tablas!$G$9:$O$1240,9,0)*(INT(D357)+1-D357))</f>
      </c>
      <c r="H357" s="801">
        <f>+IF(MONTH(B357)=1,H356*(1+$C$9),H356)</f>
      </c>
      <c r="I357" s="791">
        <f>IF(B357&lt;$C$10,0,IF(B357&lt;$C$11,$C$8/12*E357*F357*H357,0))</f>
      </c>
      <c r="J357" s="791">
        <f>I357*12/14+IF(OR(MONTH(C357)=6,MONTH(C357)=12),I357*12/14,0)</f>
      </c>
      <c r="K357" s="801">
        <f>G357/$G$15</f>
      </c>
      <c r="L357" s="760"/>
      <c r="M357" s="767"/>
      <c r="N357" s="168"/>
      <c r="O357" s="768"/>
      <c r="P357" s="170"/>
      <c r="Q357" s="7"/>
      <c r="R357" s="766"/>
      <c r="S357" s="170"/>
      <c r="T357" s="168"/>
      <c r="U357" s="170"/>
    </row>
    <row x14ac:dyDescent="0.25" r="358" customHeight="1" ht="18.75">
      <c r="A358" s="1"/>
      <c r="B358" s="799">
        <f>+DATE(YEAR(B357),MONTH(B357)+1,DAY(B357))</f>
        <v>25569.041666666668</v>
      </c>
      <c r="C358" s="799">
        <f>+B359-1</f>
        <v>25569.041666666668</v>
      </c>
      <c r="D358" s="791">
        <f>-_xlfn.DAYS($C$3,C358)/365.25</f>
      </c>
      <c r="E358" s="800">
        <f>IF($D$17+40&lt;=D358,(1+$D$7)^-(D358-$C$5),(1+$C$7)^-(D358-$C$5))</f>
      </c>
      <c r="F358" s="801">
        <f>IF($C$4="Hombre",(+VLOOKUP(INT(D358)+1,Tablas!$G$9:$K$1240,5,0)*(D358-INT(D358))+VLOOKUP(INT(D358),Tablas!$G$9:$K$1240,5,0)*(INT(D358)+1-D358))/(VLOOKUP(INT($C$5)+1,Tablas!$G$9:$K$1240,5,0)*($C$5-INT($C$5))+VLOOKUP(INT($C$5),Tablas!$G$9:$K$124,5,0)*(INT($C$5)+1-$C$5)),(+VLOOKUP(INT(D358)+1,Tablas!$G$9:$O$1240,9,0)*(D358-INT(D358))+VLOOKUP(INT(D358),Tablas!$G$9:$O$1240,9,0)*(INT(D358)+1-D358))/(VLOOKUP(INT($C$5)+1,Tablas!$G$9:$O$1240,9,0)*($C$5-INT($C$5))+VLOOKUP(INT($C$5),Tablas!$G$9:$O$124,9,0)*(INT($C$5)+1-$C$5)))</f>
      </c>
      <c r="G358" s="791">
        <f>IF($C$4="Hombre",(+VLOOKUP(INT(D358)+1,Tablas!$G$9:$K$1240,5,0)*(D358-INT(D358))+VLOOKUP(INT(D358),Tablas!$G$9:$K$1240,5,0)*(INT(D358)+1-D358)),+VLOOKUP(INT(D358)+1,Tablas!$G$9:$O$1240,9,0)*(D358-INT(D358))+VLOOKUP(INT(D358),Tablas!$G$9:$O$1240,9,0)*(INT(D358)+1-D358))</f>
      </c>
      <c r="H358" s="801">
        <f>+IF(MONTH(B358)=1,H357*(1+$C$9),H357)</f>
      </c>
      <c r="I358" s="791">
        <f>IF(B358&lt;$C$10,0,IF(B358&lt;$C$11,$C$8/12*E358*F358*H358,0))</f>
      </c>
      <c r="J358" s="791">
        <f>I358*12/14+IF(OR(MONTH(C358)=6,MONTH(C358)=12),I358*12/14,0)</f>
      </c>
      <c r="K358" s="801">
        <f>G358/$G$15</f>
      </c>
      <c r="L358" s="760"/>
      <c r="M358" s="767"/>
      <c r="N358" s="168"/>
      <c r="O358" s="768"/>
      <c r="P358" s="170"/>
      <c r="Q358" s="7"/>
      <c r="R358" s="766"/>
      <c r="S358" s="170"/>
      <c r="T358" s="168"/>
      <c r="U358" s="170"/>
    </row>
    <row x14ac:dyDescent="0.25" r="359" customHeight="1" ht="18.75">
      <c r="A359" s="1"/>
      <c r="B359" s="799">
        <f>+DATE(YEAR(B358),MONTH(B358)+1,DAY(B358))</f>
        <v>25569.041666666668</v>
      </c>
      <c r="C359" s="799">
        <f>+B360-1</f>
        <v>25569.041666666668</v>
      </c>
      <c r="D359" s="791">
        <f>-_xlfn.DAYS($C$3,C359)/365.25</f>
      </c>
      <c r="E359" s="800">
        <f>IF($D$17+40&lt;=D359,(1+$D$7)^-(D359-$C$5),(1+$C$7)^-(D359-$C$5))</f>
      </c>
      <c r="F359" s="801">
        <f>IF($C$4="Hombre",(+VLOOKUP(INT(D359)+1,Tablas!$G$9:$K$1240,5,0)*(D359-INT(D359))+VLOOKUP(INT(D359),Tablas!$G$9:$K$1240,5,0)*(INT(D359)+1-D359))/(VLOOKUP(INT($C$5)+1,Tablas!$G$9:$K$1240,5,0)*($C$5-INT($C$5))+VLOOKUP(INT($C$5),Tablas!$G$9:$K$124,5,0)*(INT($C$5)+1-$C$5)),(+VLOOKUP(INT(D359)+1,Tablas!$G$9:$O$1240,9,0)*(D359-INT(D359))+VLOOKUP(INT(D359),Tablas!$G$9:$O$1240,9,0)*(INT(D359)+1-D359))/(VLOOKUP(INT($C$5)+1,Tablas!$G$9:$O$1240,9,0)*($C$5-INT($C$5))+VLOOKUP(INT($C$5),Tablas!$G$9:$O$124,9,0)*(INT($C$5)+1-$C$5)))</f>
      </c>
      <c r="G359" s="791">
        <f>IF($C$4="Hombre",(+VLOOKUP(INT(D359)+1,Tablas!$G$9:$K$1240,5,0)*(D359-INT(D359))+VLOOKUP(INT(D359),Tablas!$G$9:$K$1240,5,0)*(INT(D359)+1-D359)),+VLOOKUP(INT(D359)+1,Tablas!$G$9:$O$1240,9,0)*(D359-INT(D359))+VLOOKUP(INT(D359),Tablas!$G$9:$O$1240,9,0)*(INT(D359)+1-D359))</f>
      </c>
      <c r="H359" s="801">
        <f>+IF(MONTH(B359)=1,H358*(1+$C$9),H358)</f>
      </c>
      <c r="I359" s="791">
        <f>IF(B359&lt;$C$10,0,IF(B359&lt;$C$11,$C$8/12*E359*F359*H359,0))</f>
      </c>
      <c r="J359" s="791">
        <f>I359*12/14+IF(OR(MONTH(C359)=6,MONTH(C359)=12),I359*12/14,0)</f>
      </c>
      <c r="K359" s="801">
        <f>G359/$G$15</f>
      </c>
      <c r="L359" s="760"/>
      <c r="M359" s="767"/>
      <c r="N359" s="168"/>
      <c r="O359" s="768"/>
      <c r="P359" s="170"/>
      <c r="Q359" s="7"/>
      <c r="R359" s="766"/>
      <c r="S359" s="170"/>
      <c r="T359" s="168"/>
      <c r="U359" s="170"/>
    </row>
    <row x14ac:dyDescent="0.25" r="360" customHeight="1" ht="18.75">
      <c r="A360" s="1"/>
      <c r="B360" s="799">
        <f>+DATE(YEAR(B359),MONTH(B359)+1,DAY(B359))</f>
        <v>25569.041666666668</v>
      </c>
      <c r="C360" s="799">
        <f>+B361-1</f>
        <v>25569.041666666668</v>
      </c>
      <c r="D360" s="791">
        <f>-_xlfn.DAYS($C$3,C360)/365.25</f>
      </c>
      <c r="E360" s="800">
        <f>IF($D$17+40&lt;=D360,(1+$D$7)^-(D360-$C$5),(1+$C$7)^-(D360-$C$5))</f>
      </c>
      <c r="F360" s="801">
        <f>IF($C$4="Hombre",(+VLOOKUP(INT(D360)+1,Tablas!$G$9:$K$1240,5,0)*(D360-INT(D360))+VLOOKUP(INT(D360),Tablas!$G$9:$K$1240,5,0)*(INT(D360)+1-D360))/(VLOOKUP(INT($C$5)+1,Tablas!$G$9:$K$1240,5,0)*($C$5-INT($C$5))+VLOOKUP(INT($C$5),Tablas!$G$9:$K$124,5,0)*(INT($C$5)+1-$C$5)),(+VLOOKUP(INT(D360)+1,Tablas!$G$9:$O$1240,9,0)*(D360-INT(D360))+VLOOKUP(INT(D360),Tablas!$G$9:$O$1240,9,0)*(INT(D360)+1-D360))/(VLOOKUP(INT($C$5)+1,Tablas!$G$9:$O$1240,9,0)*($C$5-INT($C$5))+VLOOKUP(INT($C$5),Tablas!$G$9:$O$124,9,0)*(INT($C$5)+1-$C$5)))</f>
      </c>
      <c r="G360" s="791">
        <f>IF($C$4="Hombre",(+VLOOKUP(INT(D360)+1,Tablas!$G$9:$K$1240,5,0)*(D360-INT(D360))+VLOOKUP(INT(D360),Tablas!$G$9:$K$1240,5,0)*(INT(D360)+1-D360)),+VLOOKUP(INT(D360)+1,Tablas!$G$9:$O$1240,9,0)*(D360-INT(D360))+VLOOKUP(INT(D360),Tablas!$G$9:$O$1240,9,0)*(INT(D360)+1-D360))</f>
      </c>
      <c r="H360" s="801">
        <f>+IF(MONTH(B360)=1,H359*(1+$C$9),H359)</f>
      </c>
      <c r="I360" s="791">
        <f>IF(B360&lt;$C$10,0,IF(B360&lt;$C$11,$C$8/12*E360*F360*H360,0))</f>
      </c>
      <c r="J360" s="791">
        <f>I360*12/14+IF(OR(MONTH(C360)=6,MONTH(C360)=12),I360*12/14,0)</f>
      </c>
      <c r="K360" s="801">
        <f>G360/$G$15</f>
      </c>
      <c r="L360" s="760"/>
      <c r="M360" s="767"/>
      <c r="N360" s="168"/>
      <c r="O360" s="768"/>
      <c r="P360" s="170"/>
      <c r="Q360" s="7"/>
      <c r="R360" s="766"/>
      <c r="S360" s="170"/>
      <c r="T360" s="168"/>
      <c r="U360" s="170"/>
    </row>
    <row x14ac:dyDescent="0.25" r="361" customHeight="1" ht="18.75">
      <c r="A361" s="1"/>
      <c r="B361" s="799">
        <f>+DATE(YEAR(B360),MONTH(B360)+1,DAY(B360))</f>
        <v>25569.041666666668</v>
      </c>
      <c r="C361" s="799">
        <f>+B362-1</f>
        <v>25569.041666666668</v>
      </c>
      <c r="D361" s="791">
        <f>-_xlfn.DAYS($C$3,C361)/365.25</f>
      </c>
      <c r="E361" s="800">
        <f>IF($D$17+40&lt;=D361,(1+$D$7)^-(D361-$C$5),(1+$C$7)^-(D361-$C$5))</f>
      </c>
      <c r="F361" s="801">
        <f>IF($C$4="Hombre",(+VLOOKUP(INT(D361)+1,Tablas!$G$9:$K$1240,5,0)*(D361-INT(D361))+VLOOKUP(INT(D361),Tablas!$G$9:$K$1240,5,0)*(INT(D361)+1-D361))/(VLOOKUP(INT($C$5)+1,Tablas!$G$9:$K$1240,5,0)*($C$5-INT($C$5))+VLOOKUP(INT($C$5),Tablas!$G$9:$K$124,5,0)*(INT($C$5)+1-$C$5)),(+VLOOKUP(INT(D361)+1,Tablas!$G$9:$O$1240,9,0)*(D361-INT(D361))+VLOOKUP(INT(D361),Tablas!$G$9:$O$1240,9,0)*(INT(D361)+1-D361))/(VLOOKUP(INT($C$5)+1,Tablas!$G$9:$O$1240,9,0)*($C$5-INT($C$5))+VLOOKUP(INT($C$5),Tablas!$G$9:$O$124,9,0)*(INT($C$5)+1-$C$5)))</f>
      </c>
      <c r="G361" s="791">
        <f>IF($C$4="Hombre",(+VLOOKUP(INT(D361)+1,Tablas!$G$9:$K$1240,5,0)*(D361-INT(D361))+VLOOKUP(INT(D361),Tablas!$G$9:$K$1240,5,0)*(INT(D361)+1-D361)),+VLOOKUP(INT(D361)+1,Tablas!$G$9:$O$1240,9,0)*(D361-INT(D361))+VLOOKUP(INT(D361),Tablas!$G$9:$O$1240,9,0)*(INT(D361)+1-D361))</f>
      </c>
      <c r="H361" s="801">
        <f>+IF(MONTH(B361)=1,H360*(1+$C$9),H360)</f>
      </c>
      <c r="I361" s="791">
        <f>IF(B361&lt;$C$10,0,IF(B361&lt;$C$11,$C$8/12*E361*F361*H361,0))</f>
      </c>
      <c r="J361" s="791">
        <f>I361*12/14+IF(OR(MONTH(C361)=6,MONTH(C361)=12),I361*12/14,0)</f>
      </c>
      <c r="K361" s="801">
        <f>G361/$G$15</f>
      </c>
      <c r="L361" s="760"/>
      <c r="M361" s="767"/>
      <c r="N361" s="168"/>
      <c r="O361" s="768"/>
      <c r="P361" s="170"/>
      <c r="Q361" s="7"/>
      <c r="R361" s="766"/>
      <c r="S361" s="170"/>
      <c r="T361" s="168"/>
      <c r="U361" s="170"/>
    </row>
    <row x14ac:dyDescent="0.25" r="362" customHeight="1" ht="18.75">
      <c r="A362" s="1"/>
      <c r="B362" s="799">
        <f>+DATE(YEAR(B361),MONTH(B361)+1,DAY(B361))</f>
        <v>25569.041666666668</v>
      </c>
      <c r="C362" s="799">
        <f>+B363-1</f>
        <v>25569.041666666668</v>
      </c>
      <c r="D362" s="791">
        <f>-_xlfn.DAYS($C$3,C362)/365.25</f>
      </c>
      <c r="E362" s="800">
        <f>IF($D$17+40&lt;=D362,(1+$D$7)^-(D362-$C$5),(1+$C$7)^-(D362-$C$5))</f>
      </c>
      <c r="F362" s="801">
        <f>IF($C$4="Hombre",(+VLOOKUP(INT(D362)+1,Tablas!$G$9:$K$1240,5,0)*(D362-INT(D362))+VLOOKUP(INT(D362),Tablas!$G$9:$K$1240,5,0)*(INT(D362)+1-D362))/(VLOOKUP(INT($C$5)+1,Tablas!$G$9:$K$1240,5,0)*($C$5-INT($C$5))+VLOOKUP(INT($C$5),Tablas!$G$9:$K$124,5,0)*(INT($C$5)+1-$C$5)),(+VLOOKUP(INT(D362)+1,Tablas!$G$9:$O$1240,9,0)*(D362-INT(D362))+VLOOKUP(INT(D362),Tablas!$G$9:$O$1240,9,0)*(INT(D362)+1-D362))/(VLOOKUP(INT($C$5)+1,Tablas!$G$9:$O$1240,9,0)*($C$5-INT($C$5))+VLOOKUP(INT($C$5),Tablas!$G$9:$O$124,9,0)*(INT($C$5)+1-$C$5)))</f>
      </c>
      <c r="G362" s="791">
        <f>IF($C$4="Hombre",(+VLOOKUP(INT(D362)+1,Tablas!$G$9:$K$1240,5,0)*(D362-INT(D362))+VLOOKUP(INT(D362),Tablas!$G$9:$K$1240,5,0)*(INT(D362)+1-D362)),+VLOOKUP(INT(D362)+1,Tablas!$G$9:$O$1240,9,0)*(D362-INT(D362))+VLOOKUP(INT(D362),Tablas!$G$9:$O$1240,9,0)*(INT(D362)+1-D362))</f>
      </c>
      <c r="H362" s="801">
        <f>+IF(MONTH(B362)=1,H361*(1+$C$9),H361)</f>
      </c>
      <c r="I362" s="791">
        <f>IF(B362&lt;$C$10,0,IF(B362&lt;$C$11,$C$8/12*E362*F362*H362,0))</f>
      </c>
      <c r="J362" s="791">
        <f>I362*12/14+IF(OR(MONTH(C362)=6,MONTH(C362)=12),I362*12/14,0)</f>
      </c>
      <c r="K362" s="801">
        <f>G362/$G$15</f>
      </c>
      <c r="L362" s="760"/>
      <c r="M362" s="767"/>
      <c r="N362" s="168"/>
      <c r="O362" s="768"/>
      <c r="P362" s="170"/>
      <c r="Q362" s="7"/>
      <c r="R362" s="766"/>
      <c r="S362" s="170"/>
      <c r="T362" s="168"/>
      <c r="U362" s="170"/>
    </row>
    <row x14ac:dyDescent="0.25" r="363" customHeight="1" ht="18.75">
      <c r="A363" s="1"/>
      <c r="B363" s="799">
        <f>+DATE(YEAR(B362),MONTH(B362)+1,DAY(B362))</f>
        <v>25569.041666666668</v>
      </c>
      <c r="C363" s="799">
        <f>+B364-1</f>
        <v>25569.041666666668</v>
      </c>
      <c r="D363" s="791">
        <f>-_xlfn.DAYS($C$3,C363)/365.25</f>
      </c>
      <c r="E363" s="800">
        <f>IF($D$17+40&lt;=D363,(1+$D$7)^-(D363-$C$5),(1+$C$7)^-(D363-$C$5))</f>
      </c>
      <c r="F363" s="801">
        <f>IF($C$4="Hombre",(+VLOOKUP(INT(D363)+1,Tablas!$G$9:$K$1240,5,0)*(D363-INT(D363))+VLOOKUP(INT(D363),Tablas!$G$9:$K$1240,5,0)*(INT(D363)+1-D363))/(VLOOKUP(INT($C$5)+1,Tablas!$G$9:$K$1240,5,0)*($C$5-INT($C$5))+VLOOKUP(INT($C$5),Tablas!$G$9:$K$124,5,0)*(INT($C$5)+1-$C$5)),(+VLOOKUP(INT(D363)+1,Tablas!$G$9:$O$1240,9,0)*(D363-INT(D363))+VLOOKUP(INT(D363),Tablas!$G$9:$O$1240,9,0)*(INT(D363)+1-D363))/(VLOOKUP(INT($C$5)+1,Tablas!$G$9:$O$1240,9,0)*($C$5-INT($C$5))+VLOOKUP(INT($C$5),Tablas!$G$9:$O$124,9,0)*(INT($C$5)+1-$C$5)))</f>
      </c>
      <c r="G363" s="791">
        <f>IF($C$4="Hombre",(+VLOOKUP(INT(D363)+1,Tablas!$G$9:$K$1240,5,0)*(D363-INT(D363))+VLOOKUP(INT(D363),Tablas!$G$9:$K$1240,5,0)*(INT(D363)+1-D363)),+VLOOKUP(INT(D363)+1,Tablas!$G$9:$O$1240,9,0)*(D363-INT(D363))+VLOOKUP(INT(D363),Tablas!$G$9:$O$1240,9,0)*(INT(D363)+1-D363))</f>
      </c>
      <c r="H363" s="801">
        <f>+IF(MONTH(B363)=1,H362*(1+$C$9),H362)</f>
      </c>
      <c r="I363" s="791">
        <f>IF(B363&lt;$C$10,0,IF(B363&lt;$C$11,$C$8/12*E363*F363*H363,0))</f>
      </c>
      <c r="J363" s="791">
        <f>I363*12/14+IF(OR(MONTH(C363)=6,MONTH(C363)=12),I363*12/14,0)</f>
      </c>
      <c r="K363" s="801">
        <f>G363/$G$15</f>
      </c>
      <c r="L363" s="760"/>
      <c r="M363" s="767"/>
      <c r="N363" s="168"/>
      <c r="O363" s="768"/>
      <c r="P363" s="170"/>
      <c r="Q363" s="7"/>
      <c r="R363" s="766"/>
      <c r="S363" s="170"/>
      <c r="T363" s="168"/>
      <c r="U363" s="170"/>
    </row>
    <row x14ac:dyDescent="0.25" r="364" customHeight="1" ht="18.75">
      <c r="A364" s="1"/>
      <c r="B364" s="799">
        <f>+DATE(YEAR(B363),MONTH(B363)+1,DAY(B363))</f>
        <v>25569.041666666668</v>
      </c>
      <c r="C364" s="799">
        <f>+B365-1</f>
        <v>25569.041666666668</v>
      </c>
      <c r="D364" s="791">
        <f>-_xlfn.DAYS($C$3,C364)/365.25</f>
      </c>
      <c r="E364" s="800">
        <f>IF($D$17+40&lt;=D364,(1+$D$7)^-(D364-$C$5),(1+$C$7)^-(D364-$C$5))</f>
      </c>
      <c r="F364" s="801">
        <f>IF($C$4="Hombre",(+VLOOKUP(INT(D364)+1,Tablas!$G$9:$K$1240,5,0)*(D364-INT(D364))+VLOOKUP(INT(D364),Tablas!$G$9:$K$1240,5,0)*(INT(D364)+1-D364))/(VLOOKUP(INT($C$5)+1,Tablas!$G$9:$K$1240,5,0)*($C$5-INT($C$5))+VLOOKUP(INT($C$5),Tablas!$G$9:$K$124,5,0)*(INT($C$5)+1-$C$5)),(+VLOOKUP(INT(D364)+1,Tablas!$G$9:$O$1240,9,0)*(D364-INT(D364))+VLOOKUP(INT(D364),Tablas!$G$9:$O$1240,9,0)*(INT(D364)+1-D364))/(VLOOKUP(INT($C$5)+1,Tablas!$G$9:$O$1240,9,0)*($C$5-INT($C$5))+VLOOKUP(INT($C$5),Tablas!$G$9:$O$124,9,0)*(INT($C$5)+1-$C$5)))</f>
      </c>
      <c r="G364" s="791">
        <f>IF($C$4="Hombre",(+VLOOKUP(INT(D364)+1,Tablas!$G$9:$K$1240,5,0)*(D364-INT(D364))+VLOOKUP(INT(D364),Tablas!$G$9:$K$1240,5,0)*(INT(D364)+1-D364)),+VLOOKUP(INT(D364)+1,Tablas!$G$9:$O$1240,9,0)*(D364-INT(D364))+VLOOKUP(INT(D364),Tablas!$G$9:$O$1240,9,0)*(INT(D364)+1-D364))</f>
      </c>
      <c r="H364" s="801">
        <f>+IF(MONTH(B364)=1,H363*(1+$C$9),H363)</f>
      </c>
      <c r="I364" s="791">
        <f>IF(B364&lt;$C$10,0,IF(B364&lt;$C$11,$C$8/12*E364*F364*H364,0))</f>
      </c>
      <c r="J364" s="791">
        <f>I364*12/14+IF(OR(MONTH(C364)=6,MONTH(C364)=12),I364*12/14,0)</f>
      </c>
      <c r="K364" s="801">
        <f>G364/$G$15</f>
      </c>
      <c r="L364" s="760"/>
      <c r="M364" s="767"/>
      <c r="N364" s="168"/>
      <c r="O364" s="768"/>
      <c r="P364" s="170"/>
      <c r="Q364" s="7"/>
      <c r="R364" s="766"/>
      <c r="S364" s="170"/>
      <c r="T364" s="168"/>
      <c r="U364" s="170"/>
    </row>
    <row x14ac:dyDescent="0.25" r="365" customHeight="1" ht="18.75">
      <c r="A365" s="1"/>
      <c r="B365" s="799">
        <f>+DATE(YEAR(B364),MONTH(B364)+1,DAY(B364))</f>
        <v>25569.041666666668</v>
      </c>
      <c r="C365" s="799">
        <f>+B366-1</f>
        <v>25569.041666666668</v>
      </c>
      <c r="D365" s="791">
        <f>-_xlfn.DAYS($C$3,C365)/365.25</f>
      </c>
      <c r="E365" s="800">
        <f>IF($D$17+40&lt;=D365,(1+$D$7)^-(D365-$C$5),(1+$C$7)^-(D365-$C$5))</f>
      </c>
      <c r="F365" s="801">
        <f>IF($C$4="Hombre",(+VLOOKUP(INT(D365)+1,Tablas!$G$9:$K$1240,5,0)*(D365-INT(D365))+VLOOKUP(INT(D365),Tablas!$G$9:$K$1240,5,0)*(INT(D365)+1-D365))/(VLOOKUP(INT($C$5)+1,Tablas!$G$9:$K$1240,5,0)*($C$5-INT($C$5))+VLOOKUP(INT($C$5),Tablas!$G$9:$K$124,5,0)*(INT($C$5)+1-$C$5)),(+VLOOKUP(INT(D365)+1,Tablas!$G$9:$O$1240,9,0)*(D365-INT(D365))+VLOOKUP(INT(D365),Tablas!$G$9:$O$1240,9,0)*(INT(D365)+1-D365))/(VLOOKUP(INT($C$5)+1,Tablas!$G$9:$O$1240,9,0)*($C$5-INT($C$5))+VLOOKUP(INT($C$5),Tablas!$G$9:$O$124,9,0)*(INT($C$5)+1-$C$5)))</f>
      </c>
      <c r="G365" s="791">
        <f>IF($C$4="Hombre",(+VLOOKUP(INT(D365)+1,Tablas!$G$9:$K$1240,5,0)*(D365-INT(D365))+VLOOKUP(INT(D365),Tablas!$G$9:$K$1240,5,0)*(INT(D365)+1-D365)),+VLOOKUP(INT(D365)+1,Tablas!$G$9:$O$1240,9,0)*(D365-INT(D365))+VLOOKUP(INT(D365),Tablas!$G$9:$O$1240,9,0)*(INT(D365)+1-D365))</f>
      </c>
      <c r="H365" s="801">
        <f>+IF(MONTH(B365)=1,H364*(1+$C$9),H364)</f>
      </c>
      <c r="I365" s="791">
        <f>IF(B365&lt;$C$10,0,IF(B365&lt;$C$11,$C$8/12*E365*F365*H365,0))</f>
      </c>
      <c r="J365" s="791">
        <f>I365*12/14+IF(OR(MONTH(C365)=6,MONTH(C365)=12),I365*12/14,0)</f>
      </c>
      <c r="K365" s="801">
        <f>G365/$G$15</f>
      </c>
      <c r="L365" s="760"/>
      <c r="M365" s="767"/>
      <c r="N365" s="168"/>
      <c r="O365" s="768"/>
      <c r="P365" s="170"/>
      <c r="Q365" s="7"/>
      <c r="R365" s="766"/>
      <c r="S365" s="170"/>
      <c r="T365" s="168"/>
      <c r="U365" s="170"/>
    </row>
    <row x14ac:dyDescent="0.25" r="366" customHeight="1" ht="18.75">
      <c r="A366" s="1"/>
      <c r="B366" s="799">
        <f>+DATE(YEAR(B365),MONTH(B365)+1,DAY(B365))</f>
        <v>25569.041666666668</v>
      </c>
      <c r="C366" s="799">
        <f>+B367-1</f>
        <v>25569.041666666668</v>
      </c>
      <c r="D366" s="791">
        <f>-_xlfn.DAYS($C$3,C366)/365.25</f>
      </c>
      <c r="E366" s="800">
        <f>IF($D$17+40&lt;=D366,(1+$D$7)^-(D366-$C$5),(1+$C$7)^-(D366-$C$5))</f>
      </c>
      <c r="F366" s="801">
        <f>IF($C$4="Hombre",(+VLOOKUP(INT(D366)+1,Tablas!$G$9:$K$1240,5,0)*(D366-INT(D366))+VLOOKUP(INT(D366),Tablas!$G$9:$K$1240,5,0)*(INT(D366)+1-D366))/(VLOOKUP(INT($C$5)+1,Tablas!$G$9:$K$1240,5,0)*($C$5-INT($C$5))+VLOOKUP(INT($C$5),Tablas!$G$9:$K$124,5,0)*(INT($C$5)+1-$C$5)),(+VLOOKUP(INT(D366)+1,Tablas!$G$9:$O$1240,9,0)*(D366-INT(D366))+VLOOKUP(INT(D366),Tablas!$G$9:$O$1240,9,0)*(INT(D366)+1-D366))/(VLOOKUP(INT($C$5)+1,Tablas!$G$9:$O$1240,9,0)*($C$5-INT($C$5))+VLOOKUP(INT($C$5),Tablas!$G$9:$O$124,9,0)*(INT($C$5)+1-$C$5)))</f>
      </c>
      <c r="G366" s="791">
        <f>IF($C$4="Hombre",(+VLOOKUP(INT(D366)+1,Tablas!$G$9:$K$1240,5,0)*(D366-INT(D366))+VLOOKUP(INT(D366),Tablas!$G$9:$K$1240,5,0)*(INT(D366)+1-D366)),+VLOOKUP(INT(D366)+1,Tablas!$G$9:$O$1240,9,0)*(D366-INT(D366))+VLOOKUP(INT(D366),Tablas!$G$9:$O$1240,9,0)*(INT(D366)+1-D366))</f>
      </c>
      <c r="H366" s="801">
        <f>+IF(MONTH(B366)=1,H365*(1+$C$9),H365)</f>
      </c>
      <c r="I366" s="791">
        <f>IF(B366&lt;$C$10,0,IF(B366&lt;$C$11,$C$8/12*E366*F366*H366,0))</f>
      </c>
      <c r="J366" s="791">
        <f>I366*12/14+IF(OR(MONTH(C366)=6,MONTH(C366)=12),I366*12/14,0)</f>
      </c>
      <c r="K366" s="801">
        <f>G366/$G$15</f>
      </c>
      <c r="L366" s="760"/>
      <c r="M366" s="767"/>
      <c r="N366" s="168"/>
      <c r="O366" s="768"/>
      <c r="P366" s="170"/>
      <c r="Q366" s="7"/>
      <c r="R366" s="766"/>
      <c r="S366" s="170"/>
      <c r="T366" s="168"/>
      <c r="U366" s="170"/>
    </row>
    <row x14ac:dyDescent="0.25" r="367" customHeight="1" ht="18.75">
      <c r="A367" s="1"/>
      <c r="B367" s="799">
        <f>+DATE(YEAR(B366),MONTH(B366)+1,DAY(B366))</f>
        <v>25569.041666666668</v>
      </c>
      <c r="C367" s="799">
        <f>+B368-1</f>
        <v>25569.041666666668</v>
      </c>
      <c r="D367" s="791">
        <f>-_xlfn.DAYS($C$3,C367)/365.25</f>
      </c>
      <c r="E367" s="800">
        <f>IF($D$17+40&lt;=D367,(1+$D$7)^-(D367-$C$5),(1+$C$7)^-(D367-$C$5))</f>
      </c>
      <c r="F367" s="801">
        <f>IF($C$4="Hombre",(+VLOOKUP(INT(D367)+1,Tablas!$G$9:$K$1240,5,0)*(D367-INT(D367))+VLOOKUP(INT(D367),Tablas!$G$9:$K$1240,5,0)*(INT(D367)+1-D367))/(VLOOKUP(INT($C$5)+1,Tablas!$G$9:$K$1240,5,0)*($C$5-INT($C$5))+VLOOKUP(INT($C$5),Tablas!$G$9:$K$124,5,0)*(INT($C$5)+1-$C$5)),(+VLOOKUP(INT(D367)+1,Tablas!$G$9:$O$1240,9,0)*(D367-INT(D367))+VLOOKUP(INT(D367),Tablas!$G$9:$O$1240,9,0)*(INT(D367)+1-D367))/(VLOOKUP(INT($C$5)+1,Tablas!$G$9:$O$1240,9,0)*($C$5-INT($C$5))+VLOOKUP(INT($C$5),Tablas!$G$9:$O$124,9,0)*(INT($C$5)+1-$C$5)))</f>
      </c>
      <c r="G367" s="791">
        <f>IF($C$4="Hombre",(+VLOOKUP(INT(D367)+1,Tablas!$G$9:$K$1240,5,0)*(D367-INT(D367))+VLOOKUP(INT(D367),Tablas!$G$9:$K$1240,5,0)*(INT(D367)+1-D367)),+VLOOKUP(INT(D367)+1,Tablas!$G$9:$O$1240,9,0)*(D367-INT(D367))+VLOOKUP(INT(D367),Tablas!$G$9:$O$1240,9,0)*(INT(D367)+1-D367))</f>
      </c>
      <c r="H367" s="801">
        <f>+IF(MONTH(B367)=1,H366*(1+$C$9),H366)</f>
      </c>
      <c r="I367" s="791">
        <f>IF(B367&lt;$C$10,0,IF(B367&lt;$C$11,$C$8/12*E367*F367*H367,0))</f>
      </c>
      <c r="J367" s="791">
        <f>I367*12/14+IF(OR(MONTH(C367)=6,MONTH(C367)=12),I367*12/14,0)</f>
      </c>
      <c r="K367" s="801">
        <f>G367/$G$15</f>
      </c>
      <c r="L367" s="760"/>
      <c r="M367" s="767"/>
      <c r="N367" s="168"/>
      <c r="O367" s="768"/>
      <c r="P367" s="170"/>
      <c r="Q367" s="7"/>
      <c r="R367" s="766"/>
      <c r="S367" s="170"/>
      <c r="T367" s="168"/>
      <c r="U367" s="170"/>
    </row>
    <row x14ac:dyDescent="0.25" r="368" customHeight="1" ht="18.75">
      <c r="A368" s="1"/>
      <c r="B368" s="799">
        <f>+DATE(YEAR(B367),MONTH(B367)+1,DAY(B367))</f>
        <v>25569.041666666668</v>
      </c>
      <c r="C368" s="799">
        <f>+B369-1</f>
        <v>25569.041666666668</v>
      </c>
      <c r="D368" s="791">
        <f>-_xlfn.DAYS($C$3,C368)/365.25</f>
      </c>
      <c r="E368" s="800">
        <f>IF($D$17+40&lt;=D368,(1+$D$7)^-(D368-$C$5),(1+$C$7)^-(D368-$C$5))</f>
      </c>
      <c r="F368" s="801">
        <f>IF($C$4="Hombre",(+VLOOKUP(INT(D368)+1,Tablas!$G$9:$K$1240,5,0)*(D368-INT(D368))+VLOOKUP(INT(D368),Tablas!$G$9:$K$1240,5,0)*(INT(D368)+1-D368))/(VLOOKUP(INT($C$5)+1,Tablas!$G$9:$K$1240,5,0)*($C$5-INT($C$5))+VLOOKUP(INT($C$5),Tablas!$G$9:$K$124,5,0)*(INT($C$5)+1-$C$5)),(+VLOOKUP(INT(D368)+1,Tablas!$G$9:$O$1240,9,0)*(D368-INT(D368))+VLOOKUP(INT(D368),Tablas!$G$9:$O$1240,9,0)*(INT(D368)+1-D368))/(VLOOKUP(INT($C$5)+1,Tablas!$G$9:$O$1240,9,0)*($C$5-INT($C$5))+VLOOKUP(INT($C$5),Tablas!$G$9:$O$124,9,0)*(INT($C$5)+1-$C$5)))</f>
      </c>
      <c r="G368" s="791">
        <f>IF($C$4="Hombre",(+VLOOKUP(INT(D368)+1,Tablas!$G$9:$K$1240,5,0)*(D368-INT(D368))+VLOOKUP(INT(D368),Tablas!$G$9:$K$1240,5,0)*(INT(D368)+1-D368)),+VLOOKUP(INT(D368)+1,Tablas!$G$9:$O$1240,9,0)*(D368-INT(D368))+VLOOKUP(INT(D368),Tablas!$G$9:$O$1240,9,0)*(INT(D368)+1-D368))</f>
      </c>
      <c r="H368" s="801">
        <f>+IF(MONTH(B368)=1,H367*(1+$C$9),H367)</f>
      </c>
      <c r="I368" s="791">
        <f>IF(B368&lt;$C$10,0,IF(B368&lt;$C$11,$C$8/12*E368*F368*H368,0))</f>
      </c>
      <c r="J368" s="791">
        <f>I368*12/14+IF(OR(MONTH(C368)=6,MONTH(C368)=12),I368*12/14,0)</f>
      </c>
      <c r="K368" s="801">
        <f>G368/$G$15</f>
      </c>
      <c r="L368" s="760"/>
      <c r="M368" s="767"/>
      <c r="N368" s="168"/>
      <c r="O368" s="768"/>
      <c r="P368" s="170"/>
      <c r="Q368" s="7"/>
      <c r="R368" s="766"/>
      <c r="S368" s="170"/>
      <c r="T368" s="168"/>
      <c r="U368" s="170"/>
    </row>
    <row x14ac:dyDescent="0.25" r="369" customHeight="1" ht="18.75">
      <c r="A369" s="1"/>
      <c r="B369" s="799">
        <f>+DATE(YEAR(B368),MONTH(B368)+1,DAY(B368))</f>
        <v>25569.041666666668</v>
      </c>
      <c r="C369" s="799">
        <f>+B370-1</f>
        <v>25569.041666666668</v>
      </c>
      <c r="D369" s="791">
        <f>-_xlfn.DAYS($C$3,C369)/365.25</f>
      </c>
      <c r="E369" s="800">
        <f>IF($D$17+40&lt;=D369,(1+$D$7)^-(D369-$C$5),(1+$C$7)^-(D369-$C$5))</f>
      </c>
      <c r="F369" s="801">
        <f>IF($C$4="Hombre",(+VLOOKUP(INT(D369)+1,Tablas!$G$9:$K$1240,5,0)*(D369-INT(D369))+VLOOKUP(INT(D369),Tablas!$G$9:$K$1240,5,0)*(INT(D369)+1-D369))/(VLOOKUP(INT($C$5)+1,Tablas!$G$9:$K$1240,5,0)*($C$5-INT($C$5))+VLOOKUP(INT($C$5),Tablas!$G$9:$K$124,5,0)*(INT($C$5)+1-$C$5)),(+VLOOKUP(INT(D369)+1,Tablas!$G$9:$O$1240,9,0)*(D369-INT(D369))+VLOOKUP(INT(D369),Tablas!$G$9:$O$1240,9,0)*(INT(D369)+1-D369))/(VLOOKUP(INT($C$5)+1,Tablas!$G$9:$O$1240,9,0)*($C$5-INT($C$5))+VLOOKUP(INT($C$5),Tablas!$G$9:$O$124,9,0)*(INT($C$5)+1-$C$5)))</f>
      </c>
      <c r="G369" s="791">
        <f>IF($C$4="Hombre",(+VLOOKUP(INT(D369)+1,Tablas!$G$9:$K$1240,5,0)*(D369-INT(D369))+VLOOKUP(INT(D369),Tablas!$G$9:$K$1240,5,0)*(INT(D369)+1-D369)),+VLOOKUP(INT(D369)+1,Tablas!$G$9:$O$1240,9,0)*(D369-INT(D369))+VLOOKUP(INT(D369),Tablas!$G$9:$O$1240,9,0)*(INT(D369)+1-D369))</f>
      </c>
      <c r="H369" s="801">
        <f>+IF(MONTH(B369)=1,H368*(1+$C$9),H368)</f>
      </c>
      <c r="I369" s="791">
        <f>IF(B369&lt;$C$10,0,IF(B369&lt;$C$11,$C$8/12*E369*F369*H369,0))</f>
      </c>
      <c r="J369" s="791">
        <f>I369*12/14+IF(OR(MONTH(C369)=6,MONTH(C369)=12),I369*12/14,0)</f>
      </c>
      <c r="K369" s="801">
        <f>G369/$G$15</f>
      </c>
      <c r="L369" s="760"/>
      <c r="M369" s="767"/>
      <c r="N369" s="168"/>
      <c r="O369" s="768"/>
      <c r="P369" s="170"/>
      <c r="Q369" s="7"/>
      <c r="R369" s="766"/>
      <c r="S369" s="170"/>
      <c r="T369" s="168"/>
      <c r="U369" s="170"/>
    </row>
    <row x14ac:dyDescent="0.25" r="370" customHeight="1" ht="18.75">
      <c r="A370" s="1"/>
      <c r="B370" s="799">
        <f>+DATE(YEAR(B369),MONTH(B369)+1,DAY(B369))</f>
        <v>25569.041666666668</v>
      </c>
      <c r="C370" s="799">
        <f>+B371-1</f>
        <v>25569.041666666668</v>
      </c>
      <c r="D370" s="791">
        <f>-_xlfn.DAYS($C$3,C370)/365.25</f>
      </c>
      <c r="E370" s="800">
        <f>IF($D$17+40&lt;=D370,(1+$D$7)^-(D370-$C$5),(1+$C$7)^-(D370-$C$5))</f>
      </c>
      <c r="F370" s="801">
        <f>IF($C$4="Hombre",(+VLOOKUP(INT(D370)+1,Tablas!$G$9:$K$1240,5,0)*(D370-INT(D370))+VLOOKUP(INT(D370),Tablas!$G$9:$K$1240,5,0)*(INT(D370)+1-D370))/(VLOOKUP(INT($C$5)+1,Tablas!$G$9:$K$1240,5,0)*($C$5-INT($C$5))+VLOOKUP(INT($C$5),Tablas!$G$9:$K$124,5,0)*(INT($C$5)+1-$C$5)),(+VLOOKUP(INT(D370)+1,Tablas!$G$9:$O$1240,9,0)*(D370-INT(D370))+VLOOKUP(INT(D370),Tablas!$G$9:$O$1240,9,0)*(INT(D370)+1-D370))/(VLOOKUP(INT($C$5)+1,Tablas!$G$9:$O$1240,9,0)*($C$5-INT($C$5))+VLOOKUP(INT($C$5),Tablas!$G$9:$O$124,9,0)*(INT($C$5)+1-$C$5)))</f>
      </c>
      <c r="G370" s="791">
        <f>IF($C$4="Hombre",(+VLOOKUP(INT(D370)+1,Tablas!$G$9:$K$1240,5,0)*(D370-INT(D370))+VLOOKUP(INT(D370),Tablas!$G$9:$K$1240,5,0)*(INT(D370)+1-D370)),+VLOOKUP(INT(D370)+1,Tablas!$G$9:$O$1240,9,0)*(D370-INT(D370))+VLOOKUP(INT(D370),Tablas!$G$9:$O$1240,9,0)*(INT(D370)+1-D370))</f>
      </c>
      <c r="H370" s="801">
        <f>+IF(MONTH(B370)=1,H369*(1+$C$9),H369)</f>
      </c>
      <c r="I370" s="791">
        <f>IF(B370&lt;$C$10,0,IF(B370&lt;$C$11,$C$8/12*E370*F370*H370,0))</f>
      </c>
      <c r="J370" s="791">
        <f>I370*12/14+IF(OR(MONTH(C370)=6,MONTH(C370)=12),I370*12/14,0)</f>
      </c>
      <c r="K370" s="801">
        <f>G370/$G$15</f>
      </c>
      <c r="L370" s="760"/>
      <c r="M370" s="767"/>
      <c r="N370" s="168"/>
      <c r="O370" s="768"/>
      <c r="P370" s="170"/>
      <c r="Q370" s="7"/>
      <c r="R370" s="766"/>
      <c r="S370" s="170"/>
      <c r="T370" s="168"/>
      <c r="U370" s="170"/>
    </row>
    <row x14ac:dyDescent="0.25" r="371" customHeight="1" ht="18.75">
      <c r="A371" s="1"/>
      <c r="B371" s="799">
        <f>+DATE(YEAR(B370),MONTH(B370)+1,DAY(B370))</f>
        <v>25569.041666666668</v>
      </c>
      <c r="C371" s="799">
        <f>+B372-1</f>
        <v>25569.041666666668</v>
      </c>
      <c r="D371" s="791">
        <f>-_xlfn.DAYS($C$3,C371)/365.25</f>
      </c>
      <c r="E371" s="800">
        <f>IF($D$17+40&lt;=D371,(1+$D$7)^-(D371-$C$5),(1+$C$7)^-(D371-$C$5))</f>
      </c>
      <c r="F371" s="801">
        <f>IF($C$4="Hombre",(+VLOOKUP(INT(D371)+1,Tablas!$G$9:$K$1240,5,0)*(D371-INT(D371))+VLOOKUP(INT(D371),Tablas!$G$9:$K$1240,5,0)*(INT(D371)+1-D371))/(VLOOKUP(INT($C$5)+1,Tablas!$G$9:$K$1240,5,0)*($C$5-INT($C$5))+VLOOKUP(INT($C$5),Tablas!$G$9:$K$124,5,0)*(INT($C$5)+1-$C$5)),(+VLOOKUP(INT(D371)+1,Tablas!$G$9:$O$1240,9,0)*(D371-INT(D371))+VLOOKUP(INT(D371),Tablas!$G$9:$O$1240,9,0)*(INT(D371)+1-D371))/(VLOOKUP(INT($C$5)+1,Tablas!$G$9:$O$1240,9,0)*($C$5-INT($C$5))+VLOOKUP(INT($C$5),Tablas!$G$9:$O$124,9,0)*(INT($C$5)+1-$C$5)))</f>
      </c>
      <c r="G371" s="791">
        <f>IF($C$4="Hombre",(+VLOOKUP(INT(D371)+1,Tablas!$G$9:$K$1240,5,0)*(D371-INT(D371))+VLOOKUP(INT(D371),Tablas!$G$9:$K$1240,5,0)*(INT(D371)+1-D371)),+VLOOKUP(INT(D371)+1,Tablas!$G$9:$O$1240,9,0)*(D371-INT(D371))+VLOOKUP(INT(D371),Tablas!$G$9:$O$1240,9,0)*(INT(D371)+1-D371))</f>
      </c>
      <c r="H371" s="801">
        <f>+IF(MONTH(B371)=1,H370*(1+$C$9),H370)</f>
      </c>
      <c r="I371" s="791">
        <f>IF(B371&lt;$C$10,0,IF(B371&lt;$C$11,$C$8/12*E371*F371*H371,0))</f>
      </c>
      <c r="J371" s="791">
        <f>I371*12/14+IF(OR(MONTH(C371)=6,MONTH(C371)=12),I371*12/14,0)</f>
      </c>
      <c r="K371" s="801">
        <f>G371/$G$15</f>
      </c>
      <c r="L371" s="760"/>
      <c r="M371" s="767"/>
      <c r="N371" s="168"/>
      <c r="O371" s="768"/>
      <c r="P371" s="170"/>
      <c r="Q371" s="7"/>
      <c r="R371" s="766"/>
      <c r="S371" s="170"/>
      <c r="T371" s="168"/>
      <c r="U371" s="170"/>
    </row>
    <row x14ac:dyDescent="0.25" r="372" customHeight="1" ht="18.75">
      <c r="A372" s="1"/>
      <c r="B372" s="799">
        <f>+DATE(YEAR(B371),MONTH(B371)+1,DAY(B371))</f>
        <v>25569.041666666668</v>
      </c>
      <c r="C372" s="799">
        <f>+B373-1</f>
        <v>25569.041666666668</v>
      </c>
      <c r="D372" s="791">
        <f>-_xlfn.DAYS($C$3,C372)/365.25</f>
      </c>
      <c r="E372" s="800">
        <f>IF($D$17+40&lt;=D372,(1+$D$7)^-(D372-$C$5),(1+$C$7)^-(D372-$C$5))</f>
      </c>
      <c r="F372" s="801">
        <f>IF($C$4="Hombre",(+VLOOKUP(INT(D372)+1,Tablas!$G$9:$K$1240,5,0)*(D372-INT(D372))+VLOOKUP(INT(D372),Tablas!$G$9:$K$1240,5,0)*(INT(D372)+1-D372))/(VLOOKUP(INT($C$5)+1,Tablas!$G$9:$K$1240,5,0)*($C$5-INT($C$5))+VLOOKUP(INT($C$5),Tablas!$G$9:$K$124,5,0)*(INT($C$5)+1-$C$5)),(+VLOOKUP(INT(D372)+1,Tablas!$G$9:$O$1240,9,0)*(D372-INT(D372))+VLOOKUP(INT(D372),Tablas!$G$9:$O$1240,9,0)*(INT(D372)+1-D372))/(VLOOKUP(INT($C$5)+1,Tablas!$G$9:$O$1240,9,0)*($C$5-INT($C$5))+VLOOKUP(INT($C$5),Tablas!$G$9:$O$124,9,0)*(INT($C$5)+1-$C$5)))</f>
      </c>
      <c r="G372" s="791">
        <f>IF($C$4="Hombre",(+VLOOKUP(INT(D372)+1,Tablas!$G$9:$K$1240,5,0)*(D372-INT(D372))+VLOOKUP(INT(D372),Tablas!$G$9:$K$1240,5,0)*(INT(D372)+1-D372)),+VLOOKUP(INT(D372)+1,Tablas!$G$9:$O$1240,9,0)*(D372-INT(D372))+VLOOKUP(INT(D372),Tablas!$G$9:$O$1240,9,0)*(INT(D372)+1-D372))</f>
      </c>
      <c r="H372" s="801">
        <f>+IF(MONTH(B372)=1,H371*(1+$C$9),H371)</f>
      </c>
      <c r="I372" s="791">
        <f>IF(B372&lt;$C$10,0,IF(B372&lt;$C$11,$C$8/12*E372*F372*H372,0))</f>
      </c>
      <c r="J372" s="791">
        <f>I372*12/14+IF(OR(MONTH(C372)=6,MONTH(C372)=12),I372*12/14,0)</f>
      </c>
      <c r="K372" s="801">
        <f>G372/$G$15</f>
      </c>
      <c r="L372" s="760"/>
      <c r="M372" s="767"/>
      <c r="N372" s="168"/>
      <c r="O372" s="768"/>
      <c r="P372" s="170"/>
      <c r="Q372" s="7"/>
      <c r="R372" s="766"/>
      <c r="S372" s="170"/>
      <c r="T372" s="168"/>
      <c r="U372" s="170"/>
    </row>
    <row x14ac:dyDescent="0.25" r="373" customHeight="1" ht="18.75">
      <c r="A373" s="1"/>
      <c r="B373" s="799">
        <f>+DATE(YEAR(B372),MONTH(B372)+1,DAY(B372))</f>
        <v>25569.041666666668</v>
      </c>
      <c r="C373" s="799">
        <f>+B374-1</f>
        <v>25569.041666666668</v>
      </c>
      <c r="D373" s="791">
        <f>-_xlfn.DAYS($C$3,C373)/365.25</f>
      </c>
      <c r="E373" s="800">
        <f>IF($D$17+40&lt;=D373,(1+$D$7)^-(D373-$C$5),(1+$C$7)^-(D373-$C$5))</f>
      </c>
      <c r="F373" s="801">
        <f>IF($C$4="Hombre",(+VLOOKUP(INT(D373)+1,Tablas!$G$9:$K$1240,5,0)*(D373-INT(D373))+VLOOKUP(INT(D373),Tablas!$G$9:$K$1240,5,0)*(INT(D373)+1-D373))/(VLOOKUP(INT($C$5)+1,Tablas!$G$9:$K$1240,5,0)*($C$5-INT($C$5))+VLOOKUP(INT($C$5),Tablas!$G$9:$K$124,5,0)*(INT($C$5)+1-$C$5)),(+VLOOKUP(INT(D373)+1,Tablas!$G$9:$O$1240,9,0)*(D373-INT(D373))+VLOOKUP(INT(D373),Tablas!$G$9:$O$1240,9,0)*(INT(D373)+1-D373))/(VLOOKUP(INT($C$5)+1,Tablas!$G$9:$O$1240,9,0)*($C$5-INT($C$5))+VLOOKUP(INT($C$5),Tablas!$G$9:$O$124,9,0)*(INT($C$5)+1-$C$5)))</f>
      </c>
      <c r="G373" s="791">
        <f>IF($C$4="Hombre",(+VLOOKUP(INT(D373)+1,Tablas!$G$9:$K$1240,5,0)*(D373-INT(D373))+VLOOKUP(INT(D373),Tablas!$G$9:$K$1240,5,0)*(INT(D373)+1-D373)),+VLOOKUP(INT(D373)+1,Tablas!$G$9:$O$1240,9,0)*(D373-INT(D373))+VLOOKUP(INT(D373),Tablas!$G$9:$O$1240,9,0)*(INT(D373)+1-D373))</f>
      </c>
      <c r="H373" s="801">
        <f>+IF(MONTH(B373)=1,H372*(1+$C$9),H372)</f>
      </c>
      <c r="I373" s="791">
        <f>IF(B373&lt;$C$10,0,IF(B373&lt;$C$11,$C$8/12*E373*F373*H373,0))</f>
      </c>
      <c r="J373" s="791">
        <f>I373*12/14+IF(OR(MONTH(C373)=6,MONTH(C373)=12),I373*12/14,0)</f>
      </c>
      <c r="K373" s="801">
        <f>G373/$G$15</f>
      </c>
      <c r="L373" s="760"/>
      <c r="M373" s="767"/>
      <c r="N373" s="168"/>
      <c r="O373" s="768"/>
      <c r="P373" s="170"/>
      <c r="Q373" s="7"/>
      <c r="R373" s="766"/>
      <c r="S373" s="170"/>
      <c r="T373" s="168"/>
      <c r="U373" s="170"/>
    </row>
    <row x14ac:dyDescent="0.25" r="374" customHeight="1" ht="18.75">
      <c r="A374" s="1"/>
      <c r="B374" s="799">
        <f>+DATE(YEAR(B373),MONTH(B373)+1,DAY(B373))</f>
        <v>25569.041666666668</v>
      </c>
      <c r="C374" s="799">
        <f>+B375-1</f>
        <v>25569.041666666668</v>
      </c>
      <c r="D374" s="791">
        <f>-_xlfn.DAYS($C$3,C374)/365.25</f>
      </c>
      <c r="E374" s="800">
        <f>IF($D$17+40&lt;=D374,(1+$D$7)^-(D374-$C$5),(1+$C$7)^-(D374-$C$5))</f>
      </c>
      <c r="F374" s="801">
        <f>IF($C$4="Hombre",(+VLOOKUP(INT(D374)+1,Tablas!$G$9:$K$1240,5,0)*(D374-INT(D374))+VLOOKUP(INT(D374),Tablas!$G$9:$K$1240,5,0)*(INT(D374)+1-D374))/(VLOOKUP(INT($C$5)+1,Tablas!$G$9:$K$1240,5,0)*($C$5-INT($C$5))+VLOOKUP(INT($C$5),Tablas!$G$9:$K$124,5,0)*(INT($C$5)+1-$C$5)),(+VLOOKUP(INT(D374)+1,Tablas!$G$9:$O$1240,9,0)*(D374-INT(D374))+VLOOKUP(INT(D374),Tablas!$G$9:$O$1240,9,0)*(INT(D374)+1-D374))/(VLOOKUP(INT($C$5)+1,Tablas!$G$9:$O$1240,9,0)*($C$5-INT($C$5))+VLOOKUP(INT($C$5),Tablas!$G$9:$O$124,9,0)*(INT($C$5)+1-$C$5)))</f>
      </c>
      <c r="G374" s="791">
        <f>IF($C$4="Hombre",(+VLOOKUP(INT(D374)+1,Tablas!$G$9:$K$1240,5,0)*(D374-INT(D374))+VLOOKUP(INT(D374),Tablas!$G$9:$K$1240,5,0)*(INT(D374)+1-D374)),+VLOOKUP(INT(D374)+1,Tablas!$G$9:$O$1240,9,0)*(D374-INT(D374))+VLOOKUP(INT(D374),Tablas!$G$9:$O$1240,9,0)*(INT(D374)+1-D374))</f>
      </c>
      <c r="H374" s="801">
        <f>+IF(MONTH(B374)=1,H373*(1+$C$9),H373)</f>
      </c>
      <c r="I374" s="791">
        <f>IF(B374&lt;$C$10,0,IF(B374&lt;$C$11,$C$8/12*E374*F374*H374,0))</f>
      </c>
      <c r="J374" s="791">
        <f>I374*12/14+IF(OR(MONTH(C374)=6,MONTH(C374)=12),I374*12/14,0)</f>
      </c>
      <c r="K374" s="801">
        <f>G374/$G$15</f>
      </c>
      <c r="L374" s="760"/>
      <c r="M374" s="767"/>
      <c r="N374" s="168"/>
      <c r="O374" s="768"/>
      <c r="P374" s="170"/>
      <c r="Q374" s="7"/>
      <c r="R374" s="766"/>
      <c r="S374" s="170"/>
      <c r="T374" s="168"/>
      <c r="U374" s="170"/>
    </row>
    <row x14ac:dyDescent="0.25" r="375" customHeight="1" ht="18.75">
      <c r="A375" s="1"/>
      <c r="B375" s="799">
        <f>+DATE(YEAR(B374),MONTH(B374)+1,DAY(B374))</f>
        <v>25569.041666666668</v>
      </c>
      <c r="C375" s="799">
        <f>+B376-1</f>
        <v>25569.041666666668</v>
      </c>
      <c r="D375" s="791">
        <f>-_xlfn.DAYS($C$3,C375)/365.25</f>
      </c>
      <c r="E375" s="800">
        <f>IF($D$17+40&lt;=D375,(1+$D$7)^-(D375-$C$5),(1+$C$7)^-(D375-$C$5))</f>
      </c>
      <c r="F375" s="801">
        <f>IF($C$4="Hombre",(+VLOOKUP(INT(D375)+1,Tablas!$G$9:$K$1240,5,0)*(D375-INT(D375))+VLOOKUP(INT(D375),Tablas!$G$9:$K$1240,5,0)*(INT(D375)+1-D375))/(VLOOKUP(INT($C$5)+1,Tablas!$G$9:$K$1240,5,0)*($C$5-INT($C$5))+VLOOKUP(INT($C$5),Tablas!$G$9:$K$124,5,0)*(INT($C$5)+1-$C$5)),(+VLOOKUP(INT(D375)+1,Tablas!$G$9:$O$1240,9,0)*(D375-INT(D375))+VLOOKUP(INT(D375),Tablas!$G$9:$O$1240,9,0)*(INT(D375)+1-D375))/(VLOOKUP(INT($C$5)+1,Tablas!$G$9:$O$1240,9,0)*($C$5-INT($C$5))+VLOOKUP(INT($C$5),Tablas!$G$9:$O$124,9,0)*(INT($C$5)+1-$C$5)))</f>
      </c>
      <c r="G375" s="791">
        <f>IF($C$4="Hombre",(+VLOOKUP(INT(D375)+1,Tablas!$G$9:$K$1240,5,0)*(D375-INT(D375))+VLOOKUP(INT(D375),Tablas!$G$9:$K$1240,5,0)*(INT(D375)+1-D375)),+VLOOKUP(INT(D375)+1,Tablas!$G$9:$O$1240,9,0)*(D375-INT(D375))+VLOOKUP(INT(D375),Tablas!$G$9:$O$1240,9,0)*(INT(D375)+1-D375))</f>
      </c>
      <c r="H375" s="801">
        <f>+IF(MONTH(B375)=1,H374*(1+$C$9),H374)</f>
      </c>
      <c r="I375" s="791">
        <f>IF(B375&lt;$C$10,0,IF(B375&lt;$C$11,$C$8/12*E375*F375*H375,0))</f>
      </c>
      <c r="J375" s="791">
        <f>I375*12/14+IF(OR(MONTH(C375)=6,MONTH(C375)=12),I375*12/14,0)</f>
      </c>
      <c r="K375" s="801">
        <f>G375/$G$15</f>
      </c>
      <c r="L375" s="760"/>
      <c r="M375" s="767"/>
      <c r="N375" s="168"/>
      <c r="O375" s="768"/>
      <c r="P375" s="170"/>
      <c r="Q375" s="7"/>
      <c r="R375" s="766"/>
      <c r="S375" s="170"/>
      <c r="T375" s="168"/>
      <c r="U375" s="170"/>
    </row>
    <row x14ac:dyDescent="0.25" r="376" customHeight="1" ht="18.75">
      <c r="A376" s="1"/>
      <c r="B376" s="799">
        <f>+DATE(YEAR(B375),MONTH(B375)+1,DAY(B375))</f>
        <v>25569.041666666668</v>
      </c>
      <c r="C376" s="799">
        <f>+B377-1</f>
        <v>25569.041666666668</v>
      </c>
      <c r="D376" s="791">
        <f>-_xlfn.DAYS($C$3,C376)/365.25</f>
      </c>
      <c r="E376" s="800">
        <f>IF($D$17+40&lt;=D376,(1+$D$7)^-(D376-$C$5),(1+$C$7)^-(D376-$C$5))</f>
      </c>
      <c r="F376" s="801">
        <f>IF($C$4="Hombre",(+VLOOKUP(INT(D376)+1,Tablas!$G$9:$K$1240,5,0)*(D376-INT(D376))+VLOOKUP(INT(D376),Tablas!$G$9:$K$1240,5,0)*(INT(D376)+1-D376))/(VLOOKUP(INT($C$5)+1,Tablas!$G$9:$K$1240,5,0)*($C$5-INT($C$5))+VLOOKUP(INT($C$5),Tablas!$G$9:$K$124,5,0)*(INT($C$5)+1-$C$5)),(+VLOOKUP(INT(D376)+1,Tablas!$G$9:$O$1240,9,0)*(D376-INT(D376))+VLOOKUP(INT(D376),Tablas!$G$9:$O$1240,9,0)*(INT(D376)+1-D376))/(VLOOKUP(INT($C$5)+1,Tablas!$G$9:$O$1240,9,0)*($C$5-INT($C$5))+VLOOKUP(INT($C$5),Tablas!$G$9:$O$124,9,0)*(INT($C$5)+1-$C$5)))</f>
      </c>
      <c r="G376" s="791">
        <f>IF($C$4="Hombre",(+VLOOKUP(INT(D376)+1,Tablas!$G$9:$K$1240,5,0)*(D376-INT(D376))+VLOOKUP(INT(D376),Tablas!$G$9:$K$1240,5,0)*(INT(D376)+1-D376)),+VLOOKUP(INT(D376)+1,Tablas!$G$9:$O$1240,9,0)*(D376-INT(D376))+VLOOKUP(INT(D376),Tablas!$G$9:$O$1240,9,0)*(INT(D376)+1-D376))</f>
      </c>
      <c r="H376" s="801">
        <f>+IF(MONTH(B376)=1,H375*(1+$C$9),H375)</f>
      </c>
      <c r="I376" s="791">
        <f>IF(B376&lt;$C$10,0,IF(B376&lt;$C$11,$C$8/12*E376*F376*H376,0))</f>
      </c>
      <c r="J376" s="791">
        <f>I376*12/14+IF(OR(MONTH(C376)=6,MONTH(C376)=12),I376*12/14,0)</f>
      </c>
      <c r="K376" s="801">
        <f>G376/$G$15</f>
      </c>
      <c r="L376" s="760"/>
      <c r="M376" s="767"/>
      <c r="N376" s="168"/>
      <c r="O376" s="768"/>
      <c r="P376" s="170"/>
      <c r="Q376" s="7"/>
      <c r="R376" s="766"/>
      <c r="S376" s="170"/>
      <c r="T376" s="168"/>
      <c r="U376" s="170"/>
    </row>
    <row x14ac:dyDescent="0.25" r="377" customHeight="1" ht="18.75">
      <c r="A377" s="1"/>
      <c r="B377" s="799">
        <f>+DATE(YEAR(B376),MONTH(B376)+1,DAY(B376))</f>
        <v>25569.041666666668</v>
      </c>
      <c r="C377" s="799">
        <f>+B378-1</f>
        <v>25569.041666666668</v>
      </c>
      <c r="D377" s="791">
        <f>-_xlfn.DAYS($C$3,C377)/365.25</f>
      </c>
      <c r="E377" s="800">
        <f>IF($D$17+40&lt;=D377,(1+$D$7)^-(D377-$C$5),(1+$C$7)^-(D377-$C$5))</f>
      </c>
      <c r="F377" s="801">
        <f>IF($C$4="Hombre",(+VLOOKUP(INT(D377)+1,Tablas!$G$9:$K$1240,5,0)*(D377-INT(D377))+VLOOKUP(INT(D377),Tablas!$G$9:$K$1240,5,0)*(INT(D377)+1-D377))/(VLOOKUP(INT($C$5)+1,Tablas!$G$9:$K$1240,5,0)*($C$5-INT($C$5))+VLOOKUP(INT($C$5),Tablas!$G$9:$K$124,5,0)*(INT($C$5)+1-$C$5)),(+VLOOKUP(INT(D377)+1,Tablas!$G$9:$O$1240,9,0)*(D377-INT(D377))+VLOOKUP(INT(D377),Tablas!$G$9:$O$1240,9,0)*(INT(D377)+1-D377))/(VLOOKUP(INT($C$5)+1,Tablas!$G$9:$O$1240,9,0)*($C$5-INT($C$5))+VLOOKUP(INT($C$5),Tablas!$G$9:$O$124,9,0)*(INT($C$5)+1-$C$5)))</f>
      </c>
      <c r="G377" s="791">
        <f>IF($C$4="Hombre",(+VLOOKUP(INT(D377)+1,Tablas!$G$9:$K$1240,5,0)*(D377-INT(D377))+VLOOKUP(INT(D377),Tablas!$G$9:$K$1240,5,0)*(INT(D377)+1-D377)),+VLOOKUP(INT(D377)+1,Tablas!$G$9:$O$1240,9,0)*(D377-INT(D377))+VLOOKUP(INT(D377),Tablas!$G$9:$O$1240,9,0)*(INT(D377)+1-D377))</f>
      </c>
      <c r="H377" s="801">
        <f>+IF(MONTH(B377)=1,H376*(1+$C$9),H376)</f>
      </c>
      <c r="I377" s="791">
        <f>IF(B377&lt;$C$10,0,IF(B377&lt;$C$11,$C$8/12*E377*F377*H377,0))</f>
      </c>
      <c r="J377" s="791">
        <f>I377*12/14+IF(OR(MONTH(C377)=6,MONTH(C377)=12),I377*12/14,0)</f>
      </c>
      <c r="K377" s="801">
        <f>G377/$G$15</f>
      </c>
      <c r="L377" s="760"/>
      <c r="M377" s="767"/>
      <c r="N377" s="168"/>
      <c r="O377" s="768"/>
      <c r="P377" s="170"/>
      <c r="Q377" s="7"/>
      <c r="R377" s="766"/>
      <c r="S377" s="170"/>
      <c r="T377" s="168"/>
      <c r="U377" s="170"/>
    </row>
    <row x14ac:dyDescent="0.25" r="378" customHeight="1" ht="18.75">
      <c r="A378" s="1"/>
      <c r="B378" s="799">
        <f>+DATE(YEAR(B377),MONTH(B377)+1,DAY(B377))</f>
        <v>25569.041666666668</v>
      </c>
      <c r="C378" s="799">
        <f>+B379-1</f>
        <v>25569.041666666668</v>
      </c>
      <c r="D378" s="791">
        <f>-_xlfn.DAYS($C$3,C378)/365.25</f>
      </c>
      <c r="E378" s="800">
        <f>IF($D$17+40&lt;=D378,(1+$D$7)^-(D378-$C$5),(1+$C$7)^-(D378-$C$5))</f>
      </c>
      <c r="F378" s="801">
        <f>IF($C$4="Hombre",(+VLOOKUP(INT(D378)+1,Tablas!$G$9:$K$1240,5,0)*(D378-INT(D378))+VLOOKUP(INT(D378),Tablas!$G$9:$K$1240,5,0)*(INT(D378)+1-D378))/(VLOOKUP(INT($C$5)+1,Tablas!$G$9:$K$1240,5,0)*($C$5-INT($C$5))+VLOOKUP(INT($C$5),Tablas!$G$9:$K$124,5,0)*(INT($C$5)+1-$C$5)),(+VLOOKUP(INT(D378)+1,Tablas!$G$9:$O$1240,9,0)*(D378-INT(D378))+VLOOKUP(INT(D378),Tablas!$G$9:$O$1240,9,0)*(INT(D378)+1-D378))/(VLOOKUP(INT($C$5)+1,Tablas!$G$9:$O$1240,9,0)*($C$5-INT($C$5))+VLOOKUP(INT($C$5),Tablas!$G$9:$O$124,9,0)*(INT($C$5)+1-$C$5)))</f>
      </c>
      <c r="G378" s="791">
        <f>IF($C$4="Hombre",(+VLOOKUP(INT(D378)+1,Tablas!$G$9:$K$1240,5,0)*(D378-INT(D378))+VLOOKUP(INT(D378),Tablas!$G$9:$K$1240,5,0)*(INT(D378)+1-D378)),+VLOOKUP(INT(D378)+1,Tablas!$G$9:$O$1240,9,0)*(D378-INT(D378))+VLOOKUP(INT(D378),Tablas!$G$9:$O$1240,9,0)*(INT(D378)+1-D378))</f>
      </c>
      <c r="H378" s="801">
        <f>+IF(MONTH(B378)=1,H377*(1+$C$9),H377)</f>
      </c>
      <c r="I378" s="791">
        <f>IF(B378&lt;$C$10,0,IF(B378&lt;$C$11,$C$8/12*E378*F378*H378,0))</f>
      </c>
      <c r="J378" s="791">
        <f>I378*12/14+IF(OR(MONTH(C378)=6,MONTH(C378)=12),I378*12/14,0)</f>
      </c>
      <c r="K378" s="801">
        <f>G378/$G$15</f>
      </c>
      <c r="L378" s="760"/>
      <c r="M378" s="767"/>
      <c r="N378" s="168"/>
      <c r="O378" s="768"/>
      <c r="P378" s="170"/>
      <c r="Q378" s="7"/>
      <c r="R378" s="766"/>
      <c r="S378" s="170"/>
      <c r="T378" s="168"/>
      <c r="U378" s="170"/>
    </row>
    <row x14ac:dyDescent="0.25" r="379" customHeight="1" ht="18.75">
      <c r="A379" s="1"/>
      <c r="B379" s="799">
        <f>+DATE(YEAR(B378),MONTH(B378)+1,DAY(B378))</f>
        <v>25569.041666666668</v>
      </c>
      <c r="C379" s="799">
        <f>+B380-1</f>
        <v>25569.041666666668</v>
      </c>
      <c r="D379" s="791">
        <f>-_xlfn.DAYS($C$3,C379)/365.25</f>
      </c>
      <c r="E379" s="800">
        <f>IF($D$17+40&lt;=D379,(1+$D$7)^-(D379-$C$5),(1+$C$7)^-(D379-$C$5))</f>
      </c>
      <c r="F379" s="801">
        <f>IF($C$4="Hombre",(+VLOOKUP(INT(D379)+1,Tablas!$G$9:$K$1240,5,0)*(D379-INT(D379))+VLOOKUP(INT(D379),Tablas!$G$9:$K$1240,5,0)*(INT(D379)+1-D379))/(VLOOKUP(INT($C$5)+1,Tablas!$G$9:$K$1240,5,0)*($C$5-INT($C$5))+VLOOKUP(INT($C$5),Tablas!$G$9:$K$124,5,0)*(INT($C$5)+1-$C$5)),(+VLOOKUP(INT(D379)+1,Tablas!$G$9:$O$1240,9,0)*(D379-INT(D379))+VLOOKUP(INT(D379),Tablas!$G$9:$O$1240,9,0)*(INT(D379)+1-D379))/(VLOOKUP(INT($C$5)+1,Tablas!$G$9:$O$1240,9,0)*($C$5-INT($C$5))+VLOOKUP(INT($C$5),Tablas!$G$9:$O$124,9,0)*(INT($C$5)+1-$C$5)))</f>
      </c>
      <c r="G379" s="791">
        <f>IF($C$4="Hombre",(+VLOOKUP(INT(D379)+1,Tablas!$G$9:$K$1240,5,0)*(D379-INT(D379))+VLOOKUP(INT(D379),Tablas!$G$9:$K$1240,5,0)*(INT(D379)+1-D379)),+VLOOKUP(INT(D379)+1,Tablas!$G$9:$O$1240,9,0)*(D379-INT(D379))+VLOOKUP(INT(D379),Tablas!$G$9:$O$1240,9,0)*(INT(D379)+1-D379))</f>
      </c>
      <c r="H379" s="801">
        <f>+IF(MONTH(B379)=1,H378*(1+$C$9),H378)</f>
      </c>
      <c r="I379" s="791">
        <f>IF(B379&lt;$C$10,0,IF(B379&lt;$C$11,$C$8/12*E379*F379*H379,0))</f>
      </c>
      <c r="J379" s="791">
        <f>I379*12/14+IF(OR(MONTH(C379)=6,MONTH(C379)=12),I379*12/14,0)</f>
      </c>
      <c r="K379" s="801">
        <f>G379/$G$15</f>
      </c>
      <c r="L379" s="760"/>
      <c r="M379" s="767"/>
      <c r="N379" s="168"/>
      <c r="O379" s="768"/>
      <c r="P379" s="170"/>
      <c r="Q379" s="7"/>
      <c r="R379" s="766"/>
      <c r="S379" s="170"/>
      <c r="T379" s="168"/>
      <c r="U379" s="170"/>
    </row>
    <row x14ac:dyDescent="0.25" r="380" customHeight="1" ht="18.75">
      <c r="A380" s="1"/>
      <c r="B380" s="799">
        <f>+DATE(YEAR(B379),MONTH(B379)+1,DAY(B379))</f>
        <v>25569.041666666668</v>
      </c>
      <c r="C380" s="799">
        <f>+B381-1</f>
        <v>25569.041666666668</v>
      </c>
      <c r="D380" s="791">
        <f>-_xlfn.DAYS($C$3,C380)/365.25</f>
      </c>
      <c r="E380" s="800">
        <f>IF($D$17+40&lt;=D380,(1+$D$7)^-(D380-$C$5),(1+$C$7)^-(D380-$C$5))</f>
      </c>
      <c r="F380" s="801">
        <f>IF($C$4="Hombre",(+VLOOKUP(INT(D380)+1,Tablas!$G$9:$K$1240,5,0)*(D380-INT(D380))+VLOOKUP(INT(D380),Tablas!$G$9:$K$1240,5,0)*(INT(D380)+1-D380))/(VLOOKUP(INT($C$5)+1,Tablas!$G$9:$K$1240,5,0)*($C$5-INT($C$5))+VLOOKUP(INT($C$5),Tablas!$G$9:$K$124,5,0)*(INT($C$5)+1-$C$5)),(+VLOOKUP(INT(D380)+1,Tablas!$G$9:$O$1240,9,0)*(D380-INT(D380))+VLOOKUP(INT(D380),Tablas!$G$9:$O$1240,9,0)*(INT(D380)+1-D380))/(VLOOKUP(INT($C$5)+1,Tablas!$G$9:$O$1240,9,0)*($C$5-INT($C$5))+VLOOKUP(INT($C$5),Tablas!$G$9:$O$124,9,0)*(INT($C$5)+1-$C$5)))</f>
      </c>
      <c r="G380" s="791">
        <f>IF($C$4="Hombre",(+VLOOKUP(INT(D380)+1,Tablas!$G$9:$K$1240,5,0)*(D380-INT(D380))+VLOOKUP(INT(D380),Tablas!$G$9:$K$1240,5,0)*(INT(D380)+1-D380)),+VLOOKUP(INT(D380)+1,Tablas!$G$9:$O$1240,9,0)*(D380-INT(D380))+VLOOKUP(INT(D380),Tablas!$G$9:$O$1240,9,0)*(INT(D380)+1-D380))</f>
      </c>
      <c r="H380" s="801">
        <f>+IF(MONTH(B380)=1,H379*(1+$C$9),H379)</f>
      </c>
      <c r="I380" s="791">
        <f>IF(B380&lt;$C$10,0,IF(B380&lt;$C$11,$C$8/12*E380*F380*H380,0))</f>
      </c>
      <c r="J380" s="791">
        <f>I380*12/14+IF(OR(MONTH(C380)=6,MONTH(C380)=12),I380*12/14,0)</f>
      </c>
      <c r="K380" s="801">
        <f>G380/$G$15</f>
      </c>
      <c r="L380" s="760"/>
      <c r="M380" s="767"/>
      <c r="N380" s="168"/>
      <c r="O380" s="768"/>
      <c r="P380" s="170"/>
      <c r="Q380" s="7"/>
      <c r="R380" s="766"/>
      <c r="S380" s="170"/>
      <c r="T380" s="168"/>
      <c r="U380" s="170"/>
    </row>
    <row x14ac:dyDescent="0.25" r="381" customHeight="1" ht="18.75">
      <c r="A381" s="1"/>
      <c r="B381" s="799">
        <f>+DATE(YEAR(B380),MONTH(B380)+1,DAY(B380))</f>
        <v>25569.041666666668</v>
      </c>
      <c r="C381" s="799">
        <f>+B382-1</f>
        <v>25569.041666666668</v>
      </c>
      <c r="D381" s="791">
        <f>-_xlfn.DAYS($C$3,C381)/365.25</f>
      </c>
      <c r="E381" s="800">
        <f>IF($D$17+40&lt;=D381,(1+$D$7)^-(D381-$C$5),(1+$C$7)^-(D381-$C$5))</f>
      </c>
      <c r="F381" s="801">
        <f>IF($C$4="Hombre",(+VLOOKUP(INT(D381)+1,Tablas!$G$9:$K$1240,5,0)*(D381-INT(D381))+VLOOKUP(INT(D381),Tablas!$G$9:$K$1240,5,0)*(INT(D381)+1-D381))/(VLOOKUP(INT($C$5)+1,Tablas!$G$9:$K$1240,5,0)*($C$5-INT($C$5))+VLOOKUP(INT($C$5),Tablas!$G$9:$K$124,5,0)*(INT($C$5)+1-$C$5)),(+VLOOKUP(INT(D381)+1,Tablas!$G$9:$O$1240,9,0)*(D381-INT(D381))+VLOOKUP(INT(D381),Tablas!$G$9:$O$1240,9,0)*(INT(D381)+1-D381))/(VLOOKUP(INT($C$5)+1,Tablas!$G$9:$O$1240,9,0)*($C$5-INT($C$5))+VLOOKUP(INT($C$5),Tablas!$G$9:$O$124,9,0)*(INT($C$5)+1-$C$5)))</f>
      </c>
      <c r="G381" s="791">
        <f>IF($C$4="Hombre",(+VLOOKUP(INT(D381)+1,Tablas!$G$9:$K$1240,5,0)*(D381-INT(D381))+VLOOKUP(INT(D381),Tablas!$G$9:$K$1240,5,0)*(INT(D381)+1-D381)),+VLOOKUP(INT(D381)+1,Tablas!$G$9:$O$1240,9,0)*(D381-INT(D381))+VLOOKUP(INT(D381),Tablas!$G$9:$O$1240,9,0)*(INT(D381)+1-D381))</f>
      </c>
      <c r="H381" s="801">
        <f>+IF(MONTH(B381)=1,H380*(1+$C$9),H380)</f>
      </c>
      <c r="I381" s="791">
        <f>IF(B381&lt;$C$10,0,IF(B381&lt;$C$11,$C$8/12*E381*F381*H381,0))</f>
      </c>
      <c r="J381" s="791">
        <f>I381*12/14+IF(OR(MONTH(C381)=6,MONTH(C381)=12),I381*12/14,0)</f>
      </c>
      <c r="K381" s="801">
        <f>G381/$G$15</f>
      </c>
      <c r="L381" s="760"/>
      <c r="M381" s="767"/>
      <c r="N381" s="168"/>
      <c r="O381" s="768"/>
      <c r="P381" s="170"/>
      <c r="Q381" s="7"/>
      <c r="R381" s="766"/>
      <c r="S381" s="170"/>
      <c r="T381" s="168"/>
      <c r="U381" s="170"/>
    </row>
    <row x14ac:dyDescent="0.25" r="382" customHeight="1" ht="18.75">
      <c r="A382" s="1"/>
      <c r="B382" s="799">
        <f>+DATE(YEAR(B381),MONTH(B381)+1,DAY(B381))</f>
        <v>25569.041666666668</v>
      </c>
      <c r="C382" s="799">
        <f>+B383-1</f>
        <v>25569.041666666668</v>
      </c>
      <c r="D382" s="791">
        <f>-_xlfn.DAYS($C$3,C382)/365.25</f>
      </c>
      <c r="E382" s="800">
        <f>IF($D$17+40&lt;=D382,(1+$D$7)^-(D382-$C$5),(1+$C$7)^-(D382-$C$5))</f>
      </c>
      <c r="F382" s="801">
        <f>IF($C$4="Hombre",(+VLOOKUP(INT(D382)+1,Tablas!$G$9:$K$1240,5,0)*(D382-INT(D382))+VLOOKUP(INT(D382),Tablas!$G$9:$K$1240,5,0)*(INT(D382)+1-D382))/(VLOOKUP(INT($C$5)+1,Tablas!$G$9:$K$1240,5,0)*($C$5-INT($C$5))+VLOOKUP(INT($C$5),Tablas!$G$9:$K$124,5,0)*(INT($C$5)+1-$C$5)),(+VLOOKUP(INT(D382)+1,Tablas!$G$9:$O$1240,9,0)*(D382-INT(D382))+VLOOKUP(INT(D382),Tablas!$G$9:$O$1240,9,0)*(INT(D382)+1-D382))/(VLOOKUP(INT($C$5)+1,Tablas!$G$9:$O$1240,9,0)*($C$5-INT($C$5))+VLOOKUP(INT($C$5),Tablas!$G$9:$O$124,9,0)*(INT($C$5)+1-$C$5)))</f>
      </c>
      <c r="G382" s="791">
        <f>IF($C$4="Hombre",(+VLOOKUP(INT(D382)+1,Tablas!$G$9:$K$1240,5,0)*(D382-INT(D382))+VLOOKUP(INT(D382),Tablas!$G$9:$K$1240,5,0)*(INT(D382)+1-D382)),+VLOOKUP(INT(D382)+1,Tablas!$G$9:$O$1240,9,0)*(D382-INT(D382))+VLOOKUP(INT(D382),Tablas!$G$9:$O$1240,9,0)*(INT(D382)+1-D382))</f>
      </c>
      <c r="H382" s="801">
        <f>+IF(MONTH(B382)=1,H381*(1+$C$9),H381)</f>
      </c>
      <c r="I382" s="791">
        <f>IF(B382&lt;$C$10,0,IF(B382&lt;$C$11,$C$8/12*E382*F382*H382,0))</f>
      </c>
      <c r="J382" s="791">
        <f>I382*12/14+IF(OR(MONTH(C382)=6,MONTH(C382)=12),I382*12/14,0)</f>
      </c>
      <c r="K382" s="801">
        <f>G382/$G$15</f>
      </c>
      <c r="L382" s="760"/>
      <c r="M382" s="767"/>
      <c r="N382" s="168"/>
      <c r="O382" s="768"/>
      <c r="P382" s="170"/>
      <c r="Q382" s="7"/>
      <c r="R382" s="766"/>
      <c r="S382" s="170"/>
      <c r="T382" s="168"/>
      <c r="U382" s="170"/>
    </row>
    <row x14ac:dyDescent="0.25" r="383" customHeight="1" ht="18.75">
      <c r="A383" s="1"/>
      <c r="B383" s="799">
        <f>+DATE(YEAR(B382),MONTH(B382)+1,DAY(B382))</f>
        <v>25569.041666666668</v>
      </c>
      <c r="C383" s="799">
        <f>+B384-1</f>
        <v>25569.041666666668</v>
      </c>
      <c r="D383" s="791">
        <f>-_xlfn.DAYS($C$3,C383)/365.25</f>
      </c>
      <c r="E383" s="800">
        <f>IF($D$17+40&lt;=D383,(1+$D$7)^-(D383-$C$5),(1+$C$7)^-(D383-$C$5))</f>
      </c>
      <c r="F383" s="801">
        <f>IF($C$4="Hombre",(+VLOOKUP(INT(D383)+1,Tablas!$G$9:$K$1240,5,0)*(D383-INT(D383))+VLOOKUP(INT(D383),Tablas!$G$9:$K$1240,5,0)*(INT(D383)+1-D383))/(VLOOKUP(INT($C$5)+1,Tablas!$G$9:$K$1240,5,0)*($C$5-INT($C$5))+VLOOKUP(INT($C$5),Tablas!$G$9:$K$124,5,0)*(INT($C$5)+1-$C$5)),(+VLOOKUP(INT(D383)+1,Tablas!$G$9:$O$1240,9,0)*(D383-INT(D383))+VLOOKUP(INT(D383),Tablas!$G$9:$O$1240,9,0)*(INT(D383)+1-D383))/(VLOOKUP(INT($C$5)+1,Tablas!$G$9:$O$1240,9,0)*($C$5-INT($C$5))+VLOOKUP(INT($C$5),Tablas!$G$9:$O$124,9,0)*(INT($C$5)+1-$C$5)))</f>
      </c>
      <c r="G383" s="791">
        <f>IF($C$4="Hombre",(+VLOOKUP(INT(D383)+1,Tablas!$G$9:$K$1240,5,0)*(D383-INT(D383))+VLOOKUP(INT(D383),Tablas!$G$9:$K$1240,5,0)*(INT(D383)+1-D383)),+VLOOKUP(INT(D383)+1,Tablas!$G$9:$O$1240,9,0)*(D383-INT(D383))+VLOOKUP(INT(D383),Tablas!$G$9:$O$1240,9,0)*(INT(D383)+1-D383))</f>
      </c>
      <c r="H383" s="801">
        <f>+IF(MONTH(B383)=1,H382*(1+$C$9),H382)</f>
      </c>
      <c r="I383" s="791">
        <f>IF(B383&lt;$C$10,0,IF(B383&lt;$C$11,$C$8/12*E383*F383*H383,0))</f>
      </c>
      <c r="J383" s="791">
        <f>I383*12/14+IF(OR(MONTH(C383)=6,MONTH(C383)=12),I383*12/14,0)</f>
      </c>
      <c r="K383" s="801">
        <f>G383/$G$15</f>
      </c>
      <c r="L383" s="760"/>
      <c r="M383" s="767"/>
      <c r="N383" s="168"/>
      <c r="O383" s="768"/>
      <c r="P383" s="170"/>
      <c r="Q383" s="7"/>
      <c r="R383" s="766"/>
      <c r="S383" s="170"/>
      <c r="T383" s="168"/>
      <c r="U383" s="170"/>
    </row>
    <row x14ac:dyDescent="0.25" r="384" customHeight="1" ht="18.75">
      <c r="A384" s="1"/>
      <c r="B384" s="799">
        <f>+DATE(YEAR(B383),MONTH(B383)+1,DAY(B383))</f>
        <v>25569.041666666668</v>
      </c>
      <c r="C384" s="799">
        <f>+B385-1</f>
        <v>25569.041666666668</v>
      </c>
      <c r="D384" s="791">
        <f>-_xlfn.DAYS($C$3,C384)/365.25</f>
      </c>
      <c r="E384" s="800">
        <f>IF($D$17+40&lt;=D384,(1+$D$7)^-(D384-$C$5),(1+$C$7)^-(D384-$C$5))</f>
      </c>
      <c r="F384" s="801">
        <f>IF($C$4="Hombre",(+VLOOKUP(INT(D384)+1,Tablas!$G$9:$K$1240,5,0)*(D384-INT(D384))+VLOOKUP(INT(D384),Tablas!$G$9:$K$1240,5,0)*(INT(D384)+1-D384))/(VLOOKUP(INT($C$5)+1,Tablas!$G$9:$K$1240,5,0)*($C$5-INT($C$5))+VLOOKUP(INT($C$5),Tablas!$G$9:$K$124,5,0)*(INT($C$5)+1-$C$5)),(+VLOOKUP(INT(D384)+1,Tablas!$G$9:$O$1240,9,0)*(D384-INT(D384))+VLOOKUP(INT(D384),Tablas!$G$9:$O$1240,9,0)*(INT(D384)+1-D384))/(VLOOKUP(INT($C$5)+1,Tablas!$G$9:$O$1240,9,0)*($C$5-INT($C$5))+VLOOKUP(INT($C$5),Tablas!$G$9:$O$124,9,0)*(INT($C$5)+1-$C$5)))</f>
      </c>
      <c r="G384" s="791">
        <f>IF($C$4="Hombre",(+VLOOKUP(INT(D384)+1,Tablas!$G$9:$K$1240,5,0)*(D384-INT(D384))+VLOOKUP(INT(D384),Tablas!$G$9:$K$1240,5,0)*(INT(D384)+1-D384)),+VLOOKUP(INT(D384)+1,Tablas!$G$9:$O$1240,9,0)*(D384-INT(D384))+VLOOKUP(INT(D384),Tablas!$G$9:$O$1240,9,0)*(INT(D384)+1-D384))</f>
      </c>
      <c r="H384" s="801">
        <f>+IF(MONTH(B384)=1,H383*(1+$C$9),H383)</f>
      </c>
      <c r="I384" s="791">
        <f>IF(B384&lt;$C$10,0,IF(B384&lt;$C$11,$C$8/12*E384*F384*H384,0))</f>
      </c>
      <c r="J384" s="791">
        <f>I384*12/14+IF(OR(MONTH(C384)=6,MONTH(C384)=12),I384*12/14,0)</f>
      </c>
      <c r="K384" s="801">
        <f>G384/$G$15</f>
      </c>
      <c r="L384" s="760"/>
      <c r="M384" s="767"/>
      <c r="N384" s="168"/>
      <c r="O384" s="768"/>
      <c r="P384" s="170"/>
      <c r="Q384" s="7"/>
      <c r="R384" s="766"/>
      <c r="S384" s="170"/>
      <c r="T384" s="168"/>
      <c r="U384" s="170"/>
    </row>
    <row x14ac:dyDescent="0.25" r="385" customHeight="1" ht="18.75">
      <c r="A385" s="1"/>
      <c r="B385" s="799">
        <f>+DATE(YEAR(B384),MONTH(B384)+1,DAY(B384))</f>
        <v>25569.041666666668</v>
      </c>
      <c r="C385" s="799">
        <f>+B386-1</f>
        <v>25569.041666666668</v>
      </c>
      <c r="D385" s="791">
        <f>-_xlfn.DAYS($C$3,C385)/365.25</f>
      </c>
      <c r="E385" s="800">
        <f>IF($D$17+40&lt;=D385,(1+$D$7)^-(D385-$C$5),(1+$C$7)^-(D385-$C$5))</f>
      </c>
      <c r="F385" s="801">
        <f>IF($C$4="Hombre",(+VLOOKUP(INT(D385)+1,Tablas!$G$9:$K$1240,5,0)*(D385-INT(D385))+VLOOKUP(INT(D385),Tablas!$G$9:$K$1240,5,0)*(INT(D385)+1-D385))/(VLOOKUP(INT($C$5)+1,Tablas!$G$9:$K$1240,5,0)*($C$5-INT($C$5))+VLOOKUP(INT($C$5),Tablas!$G$9:$K$124,5,0)*(INT($C$5)+1-$C$5)),(+VLOOKUP(INT(D385)+1,Tablas!$G$9:$O$1240,9,0)*(D385-INT(D385))+VLOOKUP(INT(D385),Tablas!$G$9:$O$1240,9,0)*(INT(D385)+1-D385))/(VLOOKUP(INT($C$5)+1,Tablas!$G$9:$O$1240,9,0)*($C$5-INT($C$5))+VLOOKUP(INT($C$5),Tablas!$G$9:$O$124,9,0)*(INT($C$5)+1-$C$5)))</f>
      </c>
      <c r="G385" s="791">
        <f>IF($C$4="Hombre",(+VLOOKUP(INT(D385)+1,Tablas!$G$9:$K$1240,5,0)*(D385-INT(D385))+VLOOKUP(INT(D385),Tablas!$G$9:$K$1240,5,0)*(INT(D385)+1-D385)),+VLOOKUP(INT(D385)+1,Tablas!$G$9:$O$1240,9,0)*(D385-INT(D385))+VLOOKUP(INT(D385),Tablas!$G$9:$O$1240,9,0)*(INT(D385)+1-D385))</f>
      </c>
      <c r="H385" s="801">
        <f>+IF(MONTH(B385)=1,H384*(1+$C$9),H384)</f>
      </c>
      <c r="I385" s="791">
        <f>IF(B385&lt;$C$10,0,IF(B385&lt;$C$11,$C$8/12*E385*F385*H385,0))</f>
      </c>
      <c r="J385" s="791">
        <f>I385*12/14+IF(OR(MONTH(C385)=6,MONTH(C385)=12),I385*12/14,0)</f>
      </c>
      <c r="K385" s="801">
        <f>G385/$G$15</f>
      </c>
      <c r="L385" s="760"/>
      <c r="M385" s="767"/>
      <c r="N385" s="168"/>
      <c r="O385" s="768"/>
      <c r="P385" s="170"/>
      <c r="Q385" s="7"/>
      <c r="R385" s="766"/>
      <c r="S385" s="170"/>
      <c r="T385" s="168"/>
      <c r="U385" s="170"/>
    </row>
    <row x14ac:dyDescent="0.25" r="386" customHeight="1" ht="18.75">
      <c r="A386" s="1"/>
      <c r="B386" s="799">
        <f>+DATE(YEAR(B385),MONTH(B385)+1,DAY(B385))</f>
        <v>25569.041666666668</v>
      </c>
      <c r="C386" s="799">
        <f>+B387-1</f>
        <v>25569.041666666668</v>
      </c>
      <c r="D386" s="791">
        <f>-_xlfn.DAYS($C$3,C386)/365.25</f>
      </c>
      <c r="E386" s="800">
        <f>IF($D$17+40&lt;=D386,(1+$D$7)^-(D386-$C$5),(1+$C$7)^-(D386-$C$5))</f>
      </c>
      <c r="F386" s="801">
        <f>IF($C$4="Hombre",(+VLOOKUP(INT(D386)+1,Tablas!$G$9:$K$1240,5,0)*(D386-INT(D386))+VLOOKUP(INT(D386),Tablas!$G$9:$K$1240,5,0)*(INT(D386)+1-D386))/(VLOOKUP(INT($C$5)+1,Tablas!$G$9:$K$1240,5,0)*($C$5-INT($C$5))+VLOOKUP(INT($C$5),Tablas!$G$9:$K$124,5,0)*(INT($C$5)+1-$C$5)),(+VLOOKUP(INT(D386)+1,Tablas!$G$9:$O$1240,9,0)*(D386-INT(D386))+VLOOKUP(INT(D386),Tablas!$G$9:$O$1240,9,0)*(INT(D386)+1-D386))/(VLOOKUP(INT($C$5)+1,Tablas!$G$9:$O$1240,9,0)*($C$5-INT($C$5))+VLOOKUP(INT($C$5),Tablas!$G$9:$O$124,9,0)*(INT($C$5)+1-$C$5)))</f>
      </c>
      <c r="G386" s="791">
        <f>IF($C$4="Hombre",(+VLOOKUP(INT(D386)+1,Tablas!$G$9:$K$1240,5,0)*(D386-INT(D386))+VLOOKUP(INT(D386),Tablas!$G$9:$K$1240,5,0)*(INT(D386)+1-D386)),+VLOOKUP(INT(D386)+1,Tablas!$G$9:$O$1240,9,0)*(D386-INT(D386))+VLOOKUP(INT(D386),Tablas!$G$9:$O$1240,9,0)*(INT(D386)+1-D386))</f>
      </c>
      <c r="H386" s="801">
        <f>+IF(MONTH(B386)=1,H385*(1+$C$9),H385)</f>
      </c>
      <c r="I386" s="791">
        <f>IF(B386&lt;$C$10,0,IF(B386&lt;$C$11,$C$8/12*E386*F386*H386,0))</f>
      </c>
      <c r="J386" s="791">
        <f>I386*12/14+IF(OR(MONTH(C386)=6,MONTH(C386)=12),I386*12/14,0)</f>
      </c>
      <c r="K386" s="801">
        <f>G386/$G$15</f>
      </c>
      <c r="L386" s="760"/>
      <c r="M386" s="767"/>
      <c r="N386" s="168"/>
      <c r="O386" s="768"/>
      <c r="P386" s="170"/>
      <c r="Q386" s="7"/>
      <c r="R386" s="766"/>
      <c r="S386" s="170"/>
      <c r="T386" s="168"/>
      <c r="U386" s="170"/>
    </row>
    <row x14ac:dyDescent="0.25" r="387" customHeight="1" ht="18.75">
      <c r="A387" s="1"/>
      <c r="B387" s="799">
        <f>+DATE(YEAR(B386),MONTH(B386)+1,DAY(B386))</f>
        <v>25569.041666666668</v>
      </c>
      <c r="C387" s="799">
        <f>+B388-1</f>
        <v>25569.041666666668</v>
      </c>
      <c r="D387" s="791">
        <f>-_xlfn.DAYS($C$3,C387)/365.25</f>
      </c>
      <c r="E387" s="800">
        <f>IF($D$17+40&lt;=D387,(1+$D$7)^-(D387-$C$5),(1+$C$7)^-(D387-$C$5))</f>
      </c>
      <c r="F387" s="801">
        <f>IF($C$4="Hombre",(+VLOOKUP(INT(D387)+1,Tablas!$G$9:$K$1240,5,0)*(D387-INT(D387))+VLOOKUP(INT(D387),Tablas!$G$9:$K$1240,5,0)*(INT(D387)+1-D387))/(VLOOKUP(INT($C$5)+1,Tablas!$G$9:$K$1240,5,0)*($C$5-INT($C$5))+VLOOKUP(INT($C$5),Tablas!$G$9:$K$124,5,0)*(INT($C$5)+1-$C$5)),(+VLOOKUP(INT(D387)+1,Tablas!$G$9:$O$1240,9,0)*(D387-INT(D387))+VLOOKUP(INT(D387),Tablas!$G$9:$O$1240,9,0)*(INT(D387)+1-D387))/(VLOOKUP(INT($C$5)+1,Tablas!$G$9:$O$1240,9,0)*($C$5-INT($C$5))+VLOOKUP(INT($C$5),Tablas!$G$9:$O$124,9,0)*(INT($C$5)+1-$C$5)))</f>
      </c>
      <c r="G387" s="791">
        <f>IF($C$4="Hombre",(+VLOOKUP(INT(D387)+1,Tablas!$G$9:$K$1240,5,0)*(D387-INT(D387))+VLOOKUP(INT(D387),Tablas!$G$9:$K$1240,5,0)*(INT(D387)+1-D387)),+VLOOKUP(INT(D387)+1,Tablas!$G$9:$O$1240,9,0)*(D387-INT(D387))+VLOOKUP(INT(D387),Tablas!$G$9:$O$1240,9,0)*(INT(D387)+1-D387))</f>
      </c>
      <c r="H387" s="801">
        <f>+IF(MONTH(B387)=1,H386*(1+$C$9),H386)</f>
      </c>
      <c r="I387" s="791">
        <f>IF(B387&lt;$C$10,0,IF(B387&lt;$C$11,$C$8/12*E387*F387*H387,0))</f>
      </c>
      <c r="J387" s="791">
        <f>I387*12/14+IF(OR(MONTH(C387)=6,MONTH(C387)=12),I387*12/14,0)</f>
      </c>
      <c r="K387" s="801">
        <f>G387/$G$15</f>
      </c>
      <c r="L387" s="760"/>
      <c r="M387" s="767"/>
      <c r="N387" s="168"/>
      <c r="O387" s="768"/>
      <c r="P387" s="170"/>
      <c r="Q387" s="7"/>
      <c r="R387" s="766"/>
      <c r="S387" s="170"/>
      <c r="T387" s="168"/>
      <c r="U387" s="170"/>
    </row>
    <row x14ac:dyDescent="0.25" r="388" customHeight="1" ht="18.75">
      <c r="A388" s="1"/>
      <c r="B388" s="799">
        <f>+DATE(YEAR(B387),MONTH(B387)+1,DAY(B387))</f>
        <v>25569.041666666668</v>
      </c>
      <c r="C388" s="799">
        <f>+B389-1</f>
        <v>25569.041666666668</v>
      </c>
      <c r="D388" s="791">
        <f>-_xlfn.DAYS($C$3,C388)/365.25</f>
      </c>
      <c r="E388" s="800">
        <f>IF($D$17+40&lt;=D388,(1+$D$7)^-(D388-$C$5),(1+$C$7)^-(D388-$C$5))</f>
      </c>
      <c r="F388" s="801">
        <f>IF($C$4="Hombre",(+VLOOKUP(INT(D388)+1,Tablas!$G$9:$K$1240,5,0)*(D388-INT(D388))+VLOOKUP(INT(D388),Tablas!$G$9:$K$1240,5,0)*(INT(D388)+1-D388))/(VLOOKUP(INT($C$5)+1,Tablas!$G$9:$K$1240,5,0)*($C$5-INT($C$5))+VLOOKUP(INT($C$5),Tablas!$G$9:$K$124,5,0)*(INT($C$5)+1-$C$5)),(+VLOOKUP(INT(D388)+1,Tablas!$G$9:$O$1240,9,0)*(D388-INT(D388))+VLOOKUP(INT(D388),Tablas!$G$9:$O$1240,9,0)*(INT(D388)+1-D388))/(VLOOKUP(INT($C$5)+1,Tablas!$G$9:$O$1240,9,0)*($C$5-INT($C$5))+VLOOKUP(INT($C$5),Tablas!$G$9:$O$124,9,0)*(INT($C$5)+1-$C$5)))</f>
      </c>
      <c r="G388" s="791">
        <f>IF($C$4="Hombre",(+VLOOKUP(INT(D388)+1,Tablas!$G$9:$K$1240,5,0)*(D388-INT(D388))+VLOOKUP(INT(D388),Tablas!$G$9:$K$1240,5,0)*(INT(D388)+1-D388)),+VLOOKUP(INT(D388)+1,Tablas!$G$9:$O$1240,9,0)*(D388-INT(D388))+VLOOKUP(INT(D388),Tablas!$G$9:$O$1240,9,0)*(INT(D388)+1-D388))</f>
      </c>
      <c r="H388" s="801">
        <f>+IF(MONTH(B388)=1,H387*(1+$C$9),H387)</f>
      </c>
      <c r="I388" s="791">
        <f>IF(B388&lt;$C$10,0,IF(B388&lt;$C$11,$C$8/12*E388*F388*H388,0))</f>
      </c>
      <c r="J388" s="791">
        <f>I388*12/14+IF(OR(MONTH(C388)=6,MONTH(C388)=12),I388*12/14,0)</f>
      </c>
      <c r="K388" s="801">
        <f>G388/$G$15</f>
      </c>
      <c r="L388" s="760"/>
      <c r="M388" s="767"/>
      <c r="N388" s="168"/>
      <c r="O388" s="768"/>
      <c r="P388" s="170"/>
      <c r="Q388" s="7"/>
      <c r="R388" s="766"/>
      <c r="S388" s="170"/>
      <c r="T388" s="168"/>
      <c r="U388" s="170"/>
    </row>
    <row x14ac:dyDescent="0.25" r="389" customHeight="1" ht="18.75">
      <c r="A389" s="1"/>
      <c r="B389" s="799">
        <f>+DATE(YEAR(B388),MONTH(B388)+1,DAY(B388))</f>
        <v>25569.041666666668</v>
      </c>
      <c r="C389" s="799">
        <f>+B390-1</f>
        <v>25569.041666666668</v>
      </c>
      <c r="D389" s="791">
        <f>-_xlfn.DAYS($C$3,C389)/365.25</f>
      </c>
      <c r="E389" s="800">
        <f>IF($D$17+40&lt;=D389,(1+$D$7)^-(D389-$C$5),(1+$C$7)^-(D389-$C$5))</f>
      </c>
      <c r="F389" s="801">
        <f>IF($C$4="Hombre",(+VLOOKUP(INT(D389)+1,Tablas!$G$9:$K$1240,5,0)*(D389-INT(D389))+VLOOKUP(INT(D389),Tablas!$G$9:$K$1240,5,0)*(INT(D389)+1-D389))/(VLOOKUP(INT($C$5)+1,Tablas!$G$9:$K$1240,5,0)*($C$5-INT($C$5))+VLOOKUP(INT($C$5),Tablas!$G$9:$K$124,5,0)*(INT($C$5)+1-$C$5)),(+VLOOKUP(INT(D389)+1,Tablas!$G$9:$O$1240,9,0)*(D389-INT(D389))+VLOOKUP(INT(D389),Tablas!$G$9:$O$1240,9,0)*(INT(D389)+1-D389))/(VLOOKUP(INT($C$5)+1,Tablas!$G$9:$O$1240,9,0)*($C$5-INT($C$5))+VLOOKUP(INT($C$5),Tablas!$G$9:$O$124,9,0)*(INT($C$5)+1-$C$5)))</f>
      </c>
      <c r="G389" s="791">
        <f>IF($C$4="Hombre",(+VLOOKUP(INT(D389)+1,Tablas!$G$9:$K$1240,5,0)*(D389-INT(D389))+VLOOKUP(INT(D389),Tablas!$G$9:$K$1240,5,0)*(INT(D389)+1-D389)),+VLOOKUP(INT(D389)+1,Tablas!$G$9:$O$1240,9,0)*(D389-INT(D389))+VLOOKUP(INT(D389),Tablas!$G$9:$O$1240,9,0)*(INT(D389)+1-D389))</f>
      </c>
      <c r="H389" s="801">
        <f>+IF(MONTH(B389)=1,H388*(1+$C$9),H388)</f>
      </c>
      <c r="I389" s="791">
        <f>IF(B389&lt;$C$10,0,IF(B389&lt;$C$11,$C$8/12*E389*F389*H389,0))</f>
      </c>
      <c r="J389" s="791">
        <f>I389*12/14+IF(OR(MONTH(C389)=6,MONTH(C389)=12),I389*12/14,0)</f>
      </c>
      <c r="K389" s="801">
        <f>G389/$G$15</f>
      </c>
      <c r="L389" s="760"/>
      <c r="M389" s="767"/>
      <c r="N389" s="168"/>
      <c r="O389" s="768"/>
      <c r="P389" s="170"/>
      <c r="Q389" s="7"/>
      <c r="R389" s="766"/>
      <c r="S389" s="170"/>
      <c r="T389" s="168"/>
      <c r="U389" s="170"/>
    </row>
    <row x14ac:dyDescent="0.25" r="390" customHeight="1" ht="18.75">
      <c r="A390" s="1"/>
      <c r="B390" s="799">
        <f>+DATE(YEAR(B389),MONTH(B389)+1,DAY(B389))</f>
        <v>25569.041666666668</v>
      </c>
      <c r="C390" s="799">
        <f>+B391-1</f>
        <v>25569.041666666668</v>
      </c>
      <c r="D390" s="791">
        <f>-_xlfn.DAYS($C$3,C390)/365.25</f>
      </c>
      <c r="E390" s="800">
        <f>IF($D$17+40&lt;=D390,(1+$D$7)^-(D390-$C$5),(1+$C$7)^-(D390-$C$5))</f>
      </c>
      <c r="F390" s="801">
        <f>IF($C$4="Hombre",(+VLOOKUP(INT(D390)+1,Tablas!$G$9:$K$1240,5,0)*(D390-INT(D390))+VLOOKUP(INT(D390),Tablas!$G$9:$K$1240,5,0)*(INT(D390)+1-D390))/(VLOOKUP(INT($C$5)+1,Tablas!$G$9:$K$1240,5,0)*($C$5-INT($C$5))+VLOOKUP(INT($C$5),Tablas!$G$9:$K$124,5,0)*(INT($C$5)+1-$C$5)),(+VLOOKUP(INT(D390)+1,Tablas!$G$9:$O$1240,9,0)*(D390-INT(D390))+VLOOKUP(INT(D390),Tablas!$G$9:$O$1240,9,0)*(INT(D390)+1-D390))/(VLOOKUP(INT($C$5)+1,Tablas!$G$9:$O$1240,9,0)*($C$5-INT($C$5))+VLOOKUP(INT($C$5),Tablas!$G$9:$O$124,9,0)*(INT($C$5)+1-$C$5)))</f>
      </c>
      <c r="G390" s="791">
        <f>IF($C$4="Hombre",(+VLOOKUP(INT(D390)+1,Tablas!$G$9:$K$1240,5,0)*(D390-INT(D390))+VLOOKUP(INT(D390),Tablas!$G$9:$K$1240,5,0)*(INT(D390)+1-D390)),+VLOOKUP(INT(D390)+1,Tablas!$G$9:$O$1240,9,0)*(D390-INT(D390))+VLOOKUP(INT(D390),Tablas!$G$9:$O$1240,9,0)*(INT(D390)+1-D390))</f>
      </c>
      <c r="H390" s="801">
        <f>+IF(MONTH(B390)=1,H389*(1+$C$9),H389)</f>
      </c>
      <c r="I390" s="791">
        <f>IF(B390&lt;$C$10,0,IF(B390&lt;$C$11,$C$8/12*E390*F390*H390,0))</f>
      </c>
      <c r="J390" s="791">
        <f>I390*12/14+IF(OR(MONTH(C390)=6,MONTH(C390)=12),I390*12/14,0)</f>
      </c>
      <c r="K390" s="801">
        <f>G390/$G$15</f>
      </c>
      <c r="L390" s="760"/>
      <c r="M390" s="767"/>
      <c r="N390" s="168"/>
      <c r="O390" s="768"/>
      <c r="P390" s="170"/>
      <c r="Q390" s="7"/>
      <c r="R390" s="766"/>
      <c r="S390" s="170"/>
      <c r="T390" s="168"/>
      <c r="U390" s="170"/>
    </row>
    <row x14ac:dyDescent="0.25" r="391" customHeight="1" ht="18.75">
      <c r="A391" s="1"/>
      <c r="B391" s="799">
        <f>+DATE(YEAR(B390),MONTH(B390)+1,DAY(B390))</f>
        <v>25569.041666666668</v>
      </c>
      <c r="C391" s="799">
        <f>+B392-1</f>
        <v>25569.041666666668</v>
      </c>
      <c r="D391" s="791">
        <f>-_xlfn.DAYS($C$3,C391)/365.25</f>
      </c>
      <c r="E391" s="800">
        <f>IF($D$17+40&lt;=D391,(1+$D$7)^-(D391-$C$5),(1+$C$7)^-(D391-$C$5))</f>
      </c>
      <c r="F391" s="801">
        <f>IF($C$4="Hombre",(+VLOOKUP(INT(D391)+1,Tablas!$G$9:$K$1240,5,0)*(D391-INT(D391))+VLOOKUP(INT(D391),Tablas!$G$9:$K$1240,5,0)*(INT(D391)+1-D391))/(VLOOKUP(INT($C$5)+1,Tablas!$G$9:$K$1240,5,0)*($C$5-INT($C$5))+VLOOKUP(INT($C$5),Tablas!$G$9:$K$124,5,0)*(INT($C$5)+1-$C$5)),(+VLOOKUP(INT(D391)+1,Tablas!$G$9:$O$1240,9,0)*(D391-INT(D391))+VLOOKUP(INT(D391),Tablas!$G$9:$O$1240,9,0)*(INT(D391)+1-D391))/(VLOOKUP(INT($C$5)+1,Tablas!$G$9:$O$1240,9,0)*($C$5-INT($C$5))+VLOOKUP(INT($C$5),Tablas!$G$9:$O$124,9,0)*(INT($C$5)+1-$C$5)))</f>
      </c>
      <c r="G391" s="791">
        <f>IF($C$4="Hombre",(+VLOOKUP(INT(D391)+1,Tablas!$G$9:$K$1240,5,0)*(D391-INT(D391))+VLOOKUP(INT(D391),Tablas!$G$9:$K$1240,5,0)*(INT(D391)+1-D391)),+VLOOKUP(INT(D391)+1,Tablas!$G$9:$O$1240,9,0)*(D391-INT(D391))+VLOOKUP(INT(D391),Tablas!$G$9:$O$1240,9,0)*(INT(D391)+1-D391))</f>
      </c>
      <c r="H391" s="801">
        <f>+IF(MONTH(B391)=1,H390*(1+$C$9),H390)</f>
      </c>
      <c r="I391" s="791">
        <f>IF(B391&lt;$C$10,0,IF(B391&lt;$C$11,$C$8/12*E391*F391*H391,0))</f>
      </c>
      <c r="J391" s="791">
        <f>I391*12/14+IF(OR(MONTH(C391)=6,MONTH(C391)=12),I391*12/14,0)</f>
      </c>
      <c r="K391" s="801">
        <f>G391/$G$15</f>
      </c>
      <c r="L391" s="760"/>
      <c r="M391" s="767"/>
      <c r="N391" s="168"/>
      <c r="O391" s="768"/>
      <c r="P391" s="170"/>
      <c r="Q391" s="7"/>
      <c r="R391" s="766"/>
      <c r="S391" s="170"/>
      <c r="T391" s="168"/>
      <c r="U391" s="170"/>
    </row>
    <row x14ac:dyDescent="0.25" r="392" customHeight="1" ht="18.75">
      <c r="A392" s="1"/>
      <c r="B392" s="799">
        <f>+DATE(YEAR(B391),MONTH(B391)+1,DAY(B391))</f>
        <v>25569.041666666668</v>
      </c>
      <c r="C392" s="799">
        <f>+B393-1</f>
        <v>25569.041666666668</v>
      </c>
      <c r="D392" s="791">
        <f>-_xlfn.DAYS($C$3,C392)/365.25</f>
      </c>
      <c r="E392" s="800">
        <f>IF($D$17+40&lt;=D392,(1+$D$7)^-(D392-$C$5),(1+$C$7)^-(D392-$C$5))</f>
      </c>
      <c r="F392" s="801">
        <f>IF($C$4="Hombre",(+VLOOKUP(INT(D392)+1,Tablas!$G$9:$K$1240,5,0)*(D392-INT(D392))+VLOOKUP(INT(D392),Tablas!$G$9:$K$1240,5,0)*(INT(D392)+1-D392))/(VLOOKUP(INT($C$5)+1,Tablas!$G$9:$K$1240,5,0)*($C$5-INT($C$5))+VLOOKUP(INT($C$5),Tablas!$G$9:$K$124,5,0)*(INT($C$5)+1-$C$5)),(+VLOOKUP(INT(D392)+1,Tablas!$G$9:$O$1240,9,0)*(D392-INT(D392))+VLOOKUP(INT(D392),Tablas!$G$9:$O$1240,9,0)*(INT(D392)+1-D392))/(VLOOKUP(INT($C$5)+1,Tablas!$G$9:$O$1240,9,0)*($C$5-INT($C$5))+VLOOKUP(INT($C$5),Tablas!$G$9:$O$124,9,0)*(INT($C$5)+1-$C$5)))</f>
      </c>
      <c r="G392" s="791">
        <f>IF($C$4="Hombre",(+VLOOKUP(INT(D392)+1,Tablas!$G$9:$K$1240,5,0)*(D392-INT(D392))+VLOOKUP(INT(D392),Tablas!$G$9:$K$1240,5,0)*(INT(D392)+1-D392)),+VLOOKUP(INT(D392)+1,Tablas!$G$9:$O$1240,9,0)*(D392-INT(D392))+VLOOKUP(INT(D392),Tablas!$G$9:$O$1240,9,0)*(INT(D392)+1-D392))</f>
      </c>
      <c r="H392" s="801">
        <f>+IF(MONTH(B392)=1,H391*(1+$C$9),H391)</f>
      </c>
      <c r="I392" s="791">
        <f>IF(B392&lt;$C$10,0,IF(B392&lt;$C$11,$C$8/12*E392*F392*H392,0))</f>
      </c>
      <c r="J392" s="791">
        <f>I392*12/14+IF(OR(MONTH(C392)=6,MONTH(C392)=12),I392*12/14,0)</f>
      </c>
      <c r="K392" s="801">
        <f>G392/$G$15</f>
      </c>
      <c r="L392" s="760"/>
      <c r="M392" s="767"/>
      <c r="N392" s="168"/>
      <c r="O392" s="768"/>
      <c r="P392" s="170"/>
      <c r="Q392" s="7"/>
      <c r="R392" s="766"/>
      <c r="S392" s="170"/>
      <c r="T392" s="168"/>
      <c r="U392" s="170"/>
    </row>
    <row x14ac:dyDescent="0.25" r="393" customHeight="1" ht="18.75">
      <c r="A393" s="1"/>
      <c r="B393" s="799">
        <f>+DATE(YEAR(B392),MONTH(B392)+1,DAY(B392))</f>
        <v>25569.041666666668</v>
      </c>
      <c r="C393" s="799">
        <f>+B394-1</f>
        <v>25569.041666666668</v>
      </c>
      <c r="D393" s="791">
        <f>-_xlfn.DAYS($C$3,C393)/365.25</f>
      </c>
      <c r="E393" s="800">
        <f>IF($D$17+40&lt;=D393,(1+$D$7)^-(D393-$C$5),(1+$C$7)^-(D393-$C$5))</f>
      </c>
      <c r="F393" s="801">
        <f>IF($C$4="Hombre",(+VLOOKUP(INT(D393)+1,Tablas!$G$9:$K$1240,5,0)*(D393-INT(D393))+VLOOKUP(INT(D393),Tablas!$G$9:$K$1240,5,0)*(INT(D393)+1-D393))/(VLOOKUP(INT($C$5)+1,Tablas!$G$9:$K$1240,5,0)*($C$5-INT($C$5))+VLOOKUP(INT($C$5),Tablas!$G$9:$K$124,5,0)*(INT($C$5)+1-$C$5)),(+VLOOKUP(INT(D393)+1,Tablas!$G$9:$O$1240,9,0)*(D393-INT(D393))+VLOOKUP(INT(D393),Tablas!$G$9:$O$1240,9,0)*(INT(D393)+1-D393))/(VLOOKUP(INT($C$5)+1,Tablas!$G$9:$O$1240,9,0)*($C$5-INT($C$5))+VLOOKUP(INT($C$5),Tablas!$G$9:$O$124,9,0)*(INT($C$5)+1-$C$5)))</f>
      </c>
      <c r="G393" s="791">
        <f>IF($C$4="Hombre",(+VLOOKUP(INT(D393)+1,Tablas!$G$9:$K$1240,5,0)*(D393-INT(D393))+VLOOKUP(INT(D393),Tablas!$G$9:$K$1240,5,0)*(INT(D393)+1-D393)),+VLOOKUP(INT(D393)+1,Tablas!$G$9:$O$1240,9,0)*(D393-INT(D393))+VLOOKUP(INT(D393),Tablas!$G$9:$O$1240,9,0)*(INT(D393)+1-D393))</f>
      </c>
      <c r="H393" s="801">
        <f>+IF(MONTH(B393)=1,H392*(1+$C$9),H392)</f>
      </c>
      <c r="I393" s="791">
        <f>IF(B393&lt;$C$10,0,IF(B393&lt;$C$11,$C$8/12*E393*F393*H393,0))</f>
      </c>
      <c r="J393" s="791">
        <f>I393*12/14+IF(OR(MONTH(C393)=6,MONTH(C393)=12),I393*12/14,0)</f>
      </c>
      <c r="K393" s="801">
        <f>G393/$G$15</f>
      </c>
      <c r="L393" s="760"/>
      <c r="M393" s="767"/>
      <c r="N393" s="168"/>
      <c r="O393" s="768"/>
      <c r="P393" s="170"/>
      <c r="Q393" s="7"/>
      <c r="R393" s="766"/>
      <c r="S393" s="170"/>
      <c r="T393" s="168"/>
      <c r="U393" s="170"/>
    </row>
    <row x14ac:dyDescent="0.25" r="394" customHeight="1" ht="18.75">
      <c r="A394" s="1"/>
      <c r="B394" s="799">
        <f>+DATE(YEAR(B393),MONTH(B393)+1,DAY(B393))</f>
        <v>25569.041666666668</v>
      </c>
      <c r="C394" s="799">
        <f>+B395-1</f>
        <v>25569.041666666668</v>
      </c>
      <c r="D394" s="791">
        <f>-_xlfn.DAYS($C$3,C394)/365.25</f>
      </c>
      <c r="E394" s="800">
        <f>IF($D$17+40&lt;=D394,(1+$D$7)^-(D394-$C$5),(1+$C$7)^-(D394-$C$5))</f>
      </c>
      <c r="F394" s="801">
        <f>IF($C$4="Hombre",(+VLOOKUP(INT(D394)+1,Tablas!$G$9:$K$1240,5,0)*(D394-INT(D394))+VLOOKUP(INT(D394),Tablas!$G$9:$K$1240,5,0)*(INT(D394)+1-D394))/(VLOOKUP(INT($C$5)+1,Tablas!$G$9:$K$1240,5,0)*($C$5-INT($C$5))+VLOOKUP(INT($C$5),Tablas!$G$9:$K$124,5,0)*(INT($C$5)+1-$C$5)),(+VLOOKUP(INT(D394)+1,Tablas!$G$9:$O$1240,9,0)*(D394-INT(D394))+VLOOKUP(INT(D394),Tablas!$G$9:$O$1240,9,0)*(INT(D394)+1-D394))/(VLOOKUP(INT($C$5)+1,Tablas!$G$9:$O$1240,9,0)*($C$5-INT($C$5))+VLOOKUP(INT($C$5),Tablas!$G$9:$O$124,9,0)*(INT($C$5)+1-$C$5)))</f>
      </c>
      <c r="G394" s="791">
        <f>IF($C$4="Hombre",(+VLOOKUP(INT(D394)+1,Tablas!$G$9:$K$1240,5,0)*(D394-INT(D394))+VLOOKUP(INT(D394),Tablas!$G$9:$K$1240,5,0)*(INT(D394)+1-D394)),+VLOOKUP(INT(D394)+1,Tablas!$G$9:$O$1240,9,0)*(D394-INT(D394))+VLOOKUP(INT(D394),Tablas!$G$9:$O$1240,9,0)*(INT(D394)+1-D394))</f>
      </c>
      <c r="H394" s="801">
        <f>+IF(MONTH(B394)=1,H393*(1+$C$9),H393)</f>
      </c>
      <c r="I394" s="791">
        <f>IF(B394&lt;$C$10,0,IF(B394&lt;$C$11,$C$8/12*E394*F394*H394,0))</f>
      </c>
      <c r="J394" s="791">
        <f>I394*12/14+IF(OR(MONTH(C394)=6,MONTH(C394)=12),I394*12/14,0)</f>
      </c>
      <c r="K394" s="801">
        <f>G394/$G$15</f>
      </c>
      <c r="L394" s="760"/>
      <c r="M394" s="767"/>
      <c r="N394" s="168"/>
      <c r="O394" s="768"/>
      <c r="P394" s="170"/>
      <c r="Q394" s="7"/>
      <c r="R394" s="766"/>
      <c r="S394" s="170"/>
      <c r="T394" s="168"/>
      <c r="U394" s="170"/>
    </row>
    <row x14ac:dyDescent="0.25" r="395" customHeight="1" ht="18.75">
      <c r="A395" s="1"/>
      <c r="B395" s="799">
        <f>+DATE(YEAR(B394),MONTH(B394)+1,DAY(B394))</f>
        <v>25569.041666666668</v>
      </c>
      <c r="C395" s="799">
        <f>+B396-1</f>
        <v>25569.041666666668</v>
      </c>
      <c r="D395" s="791">
        <f>-_xlfn.DAYS($C$3,C395)/365.25</f>
      </c>
      <c r="E395" s="800">
        <f>IF($D$17+40&lt;=D395,(1+$D$7)^-(D395-$C$5),(1+$C$7)^-(D395-$C$5))</f>
      </c>
      <c r="F395" s="801">
        <f>IF($C$4="Hombre",(+VLOOKUP(INT(D395)+1,Tablas!$G$9:$K$1240,5,0)*(D395-INT(D395))+VLOOKUP(INT(D395),Tablas!$G$9:$K$1240,5,0)*(INT(D395)+1-D395))/(VLOOKUP(INT($C$5)+1,Tablas!$G$9:$K$1240,5,0)*($C$5-INT($C$5))+VLOOKUP(INT($C$5),Tablas!$G$9:$K$124,5,0)*(INT($C$5)+1-$C$5)),(+VLOOKUP(INT(D395)+1,Tablas!$G$9:$O$1240,9,0)*(D395-INT(D395))+VLOOKUP(INT(D395),Tablas!$G$9:$O$1240,9,0)*(INT(D395)+1-D395))/(VLOOKUP(INT($C$5)+1,Tablas!$G$9:$O$1240,9,0)*($C$5-INT($C$5))+VLOOKUP(INT($C$5),Tablas!$G$9:$O$124,9,0)*(INT($C$5)+1-$C$5)))</f>
      </c>
      <c r="G395" s="791">
        <f>IF($C$4="Hombre",(+VLOOKUP(INT(D395)+1,Tablas!$G$9:$K$1240,5,0)*(D395-INT(D395))+VLOOKUP(INT(D395),Tablas!$G$9:$K$1240,5,0)*(INT(D395)+1-D395)),+VLOOKUP(INT(D395)+1,Tablas!$G$9:$O$1240,9,0)*(D395-INT(D395))+VLOOKUP(INT(D395),Tablas!$G$9:$O$1240,9,0)*(INT(D395)+1-D395))</f>
      </c>
      <c r="H395" s="801">
        <f>+IF(MONTH(B395)=1,H394*(1+$C$9),H394)</f>
      </c>
      <c r="I395" s="791">
        <f>IF(B395&lt;$C$10,0,IF(B395&lt;$C$11,$C$8/12*E395*F395*H395,0))</f>
      </c>
      <c r="J395" s="791">
        <f>I395*12/14+IF(OR(MONTH(C395)=6,MONTH(C395)=12),I395*12/14,0)</f>
      </c>
      <c r="K395" s="801">
        <f>G395/$G$15</f>
      </c>
      <c r="L395" s="760"/>
      <c r="M395" s="767"/>
      <c r="N395" s="168"/>
      <c r="O395" s="768"/>
      <c r="P395" s="170"/>
      <c r="Q395" s="7"/>
      <c r="R395" s="766"/>
      <c r="S395" s="170"/>
      <c r="T395" s="168"/>
      <c r="U395" s="170"/>
    </row>
    <row x14ac:dyDescent="0.25" r="396" customHeight="1" ht="18.75">
      <c r="A396" s="1"/>
      <c r="B396" s="799">
        <f>+DATE(YEAR(B395),MONTH(B395)+1,DAY(B395))</f>
        <v>25569.041666666668</v>
      </c>
      <c r="C396" s="799">
        <f>+B397-1</f>
        <v>25569.041666666668</v>
      </c>
      <c r="D396" s="791">
        <f>-_xlfn.DAYS($C$3,C396)/365.25</f>
      </c>
      <c r="E396" s="800">
        <f>IF($D$17+40&lt;=D396,(1+$D$7)^-(D396-$C$5),(1+$C$7)^-(D396-$C$5))</f>
      </c>
      <c r="F396" s="801">
        <f>IF($C$4="Hombre",(+VLOOKUP(INT(D396)+1,Tablas!$G$9:$K$1240,5,0)*(D396-INT(D396))+VLOOKUP(INT(D396),Tablas!$G$9:$K$1240,5,0)*(INT(D396)+1-D396))/(VLOOKUP(INT($C$5)+1,Tablas!$G$9:$K$1240,5,0)*($C$5-INT($C$5))+VLOOKUP(INT($C$5),Tablas!$G$9:$K$124,5,0)*(INT($C$5)+1-$C$5)),(+VLOOKUP(INT(D396)+1,Tablas!$G$9:$O$1240,9,0)*(D396-INT(D396))+VLOOKUP(INT(D396),Tablas!$G$9:$O$1240,9,0)*(INT(D396)+1-D396))/(VLOOKUP(INT($C$5)+1,Tablas!$G$9:$O$1240,9,0)*($C$5-INT($C$5))+VLOOKUP(INT($C$5),Tablas!$G$9:$O$124,9,0)*(INT($C$5)+1-$C$5)))</f>
      </c>
      <c r="G396" s="791">
        <f>IF($C$4="Hombre",(+VLOOKUP(INT(D396)+1,Tablas!$G$9:$K$1240,5,0)*(D396-INT(D396))+VLOOKUP(INT(D396),Tablas!$G$9:$K$1240,5,0)*(INT(D396)+1-D396)),+VLOOKUP(INT(D396)+1,Tablas!$G$9:$O$1240,9,0)*(D396-INT(D396))+VLOOKUP(INT(D396),Tablas!$G$9:$O$1240,9,0)*(INT(D396)+1-D396))</f>
      </c>
      <c r="H396" s="801">
        <f>+IF(MONTH(B396)=1,H395*(1+$C$9),H395)</f>
      </c>
      <c r="I396" s="791">
        <f>IF(B396&lt;$C$10,0,IF(B396&lt;$C$11,$C$8/12*E396*F396*H396,0))</f>
      </c>
      <c r="J396" s="791">
        <f>I396*12/14+IF(OR(MONTH(C396)=6,MONTH(C396)=12),I396*12/14,0)</f>
      </c>
      <c r="K396" s="801">
        <f>G396/$G$15</f>
      </c>
      <c r="L396" s="760"/>
      <c r="M396" s="767"/>
      <c r="N396" s="168"/>
      <c r="O396" s="768"/>
      <c r="P396" s="170"/>
      <c r="Q396" s="7"/>
      <c r="R396" s="766"/>
      <c r="S396" s="170"/>
      <c r="T396" s="168"/>
      <c r="U396" s="170"/>
    </row>
    <row x14ac:dyDescent="0.25" r="397" customHeight="1" ht="18.75">
      <c r="A397" s="1"/>
      <c r="B397" s="799">
        <f>+DATE(YEAR(B396),MONTH(B396)+1,DAY(B396))</f>
        <v>25569.041666666668</v>
      </c>
      <c r="C397" s="799">
        <f>+B398-1</f>
        <v>25569.041666666668</v>
      </c>
      <c r="D397" s="791">
        <f>-_xlfn.DAYS($C$3,C397)/365.25</f>
      </c>
      <c r="E397" s="800">
        <f>IF($D$17+40&lt;=D397,(1+$D$7)^-(D397-$C$5),(1+$C$7)^-(D397-$C$5))</f>
      </c>
      <c r="F397" s="801">
        <f>IF($C$4="Hombre",(+VLOOKUP(INT(D397)+1,Tablas!$G$9:$K$1240,5,0)*(D397-INT(D397))+VLOOKUP(INT(D397),Tablas!$G$9:$K$1240,5,0)*(INT(D397)+1-D397))/(VLOOKUP(INT($C$5)+1,Tablas!$G$9:$K$1240,5,0)*($C$5-INT($C$5))+VLOOKUP(INT($C$5),Tablas!$G$9:$K$124,5,0)*(INT($C$5)+1-$C$5)),(+VLOOKUP(INT(D397)+1,Tablas!$G$9:$O$1240,9,0)*(D397-INT(D397))+VLOOKUP(INT(D397),Tablas!$G$9:$O$1240,9,0)*(INT(D397)+1-D397))/(VLOOKUP(INT($C$5)+1,Tablas!$G$9:$O$1240,9,0)*($C$5-INT($C$5))+VLOOKUP(INT($C$5),Tablas!$G$9:$O$124,9,0)*(INT($C$5)+1-$C$5)))</f>
      </c>
      <c r="G397" s="791">
        <f>IF($C$4="Hombre",(+VLOOKUP(INT(D397)+1,Tablas!$G$9:$K$1240,5,0)*(D397-INT(D397))+VLOOKUP(INT(D397),Tablas!$G$9:$K$1240,5,0)*(INT(D397)+1-D397)),+VLOOKUP(INT(D397)+1,Tablas!$G$9:$O$1240,9,0)*(D397-INT(D397))+VLOOKUP(INT(D397),Tablas!$G$9:$O$1240,9,0)*(INT(D397)+1-D397))</f>
      </c>
      <c r="H397" s="801">
        <f>+IF(MONTH(B397)=1,H396*(1+$C$9),H396)</f>
      </c>
      <c r="I397" s="791">
        <f>IF(B397&lt;$C$10,0,IF(B397&lt;$C$11,$C$8/12*E397*F397*H397,0))</f>
      </c>
      <c r="J397" s="791">
        <f>I397*12/14+IF(OR(MONTH(C397)=6,MONTH(C397)=12),I397*12/14,0)</f>
      </c>
      <c r="K397" s="801">
        <f>G397/$G$15</f>
      </c>
      <c r="L397" s="760"/>
      <c r="M397" s="767"/>
      <c r="N397" s="168"/>
      <c r="O397" s="768"/>
      <c r="P397" s="170"/>
      <c r="Q397" s="7"/>
      <c r="R397" s="766"/>
      <c r="S397" s="170"/>
      <c r="T397" s="168"/>
      <c r="U397" s="170"/>
    </row>
    <row x14ac:dyDescent="0.25" r="398" customHeight="1" ht="18.75">
      <c r="A398" s="1"/>
      <c r="B398" s="799">
        <f>+DATE(YEAR(B397),MONTH(B397)+1,DAY(B397))</f>
        <v>25569.041666666668</v>
      </c>
      <c r="C398" s="799">
        <f>+B399-1</f>
        <v>25569.041666666668</v>
      </c>
      <c r="D398" s="791">
        <f>-_xlfn.DAYS($C$3,C398)/365.25</f>
      </c>
      <c r="E398" s="800">
        <f>IF($D$17+40&lt;=D398,(1+$D$7)^-(D398-$C$5),(1+$C$7)^-(D398-$C$5))</f>
      </c>
      <c r="F398" s="801">
        <f>IF($C$4="Hombre",(+VLOOKUP(INT(D398)+1,Tablas!$G$9:$K$1240,5,0)*(D398-INT(D398))+VLOOKUP(INT(D398),Tablas!$G$9:$K$1240,5,0)*(INT(D398)+1-D398))/(VLOOKUP(INT($C$5)+1,Tablas!$G$9:$K$1240,5,0)*($C$5-INT($C$5))+VLOOKUP(INT($C$5),Tablas!$G$9:$K$124,5,0)*(INT($C$5)+1-$C$5)),(+VLOOKUP(INT(D398)+1,Tablas!$G$9:$O$1240,9,0)*(D398-INT(D398))+VLOOKUP(INT(D398),Tablas!$G$9:$O$1240,9,0)*(INT(D398)+1-D398))/(VLOOKUP(INT($C$5)+1,Tablas!$G$9:$O$1240,9,0)*($C$5-INT($C$5))+VLOOKUP(INT($C$5),Tablas!$G$9:$O$124,9,0)*(INT($C$5)+1-$C$5)))</f>
      </c>
      <c r="G398" s="791">
        <f>IF($C$4="Hombre",(+VLOOKUP(INT(D398)+1,Tablas!$G$9:$K$1240,5,0)*(D398-INT(D398))+VLOOKUP(INT(D398),Tablas!$G$9:$K$1240,5,0)*(INT(D398)+1-D398)),+VLOOKUP(INT(D398)+1,Tablas!$G$9:$O$1240,9,0)*(D398-INT(D398))+VLOOKUP(INT(D398),Tablas!$G$9:$O$1240,9,0)*(INT(D398)+1-D398))</f>
      </c>
      <c r="H398" s="801">
        <f>+IF(MONTH(B398)=1,H397*(1+$C$9),H397)</f>
      </c>
      <c r="I398" s="791">
        <f>IF(B398&lt;$C$10,0,IF(B398&lt;$C$11,$C$8/12*E398*F398*H398,0))</f>
      </c>
      <c r="J398" s="791">
        <f>I398*12/14+IF(OR(MONTH(C398)=6,MONTH(C398)=12),I398*12/14,0)</f>
      </c>
      <c r="K398" s="801">
        <f>G398/$G$15</f>
      </c>
      <c r="L398" s="760"/>
      <c r="M398" s="767"/>
      <c r="N398" s="168"/>
      <c r="O398" s="768"/>
      <c r="P398" s="170"/>
      <c r="Q398" s="7"/>
      <c r="R398" s="766"/>
      <c r="S398" s="170"/>
      <c r="T398" s="168"/>
      <c r="U398" s="170"/>
    </row>
    <row x14ac:dyDescent="0.25" r="399" customHeight="1" ht="18.75">
      <c r="A399" s="1"/>
      <c r="B399" s="799">
        <f>+DATE(YEAR(B398),MONTH(B398)+1,DAY(B398))</f>
        <v>25569.041666666668</v>
      </c>
      <c r="C399" s="799">
        <f>+B400-1</f>
        <v>25569.041666666668</v>
      </c>
      <c r="D399" s="791">
        <f>-_xlfn.DAYS($C$3,C399)/365.25</f>
      </c>
      <c r="E399" s="800">
        <f>IF($D$17+40&lt;=D399,(1+$D$7)^-(D399-$C$5),(1+$C$7)^-(D399-$C$5))</f>
      </c>
      <c r="F399" s="801">
        <f>IF($C$4="Hombre",(+VLOOKUP(INT(D399)+1,Tablas!$G$9:$K$1240,5,0)*(D399-INT(D399))+VLOOKUP(INT(D399),Tablas!$G$9:$K$1240,5,0)*(INT(D399)+1-D399))/(VLOOKUP(INT($C$5)+1,Tablas!$G$9:$K$1240,5,0)*($C$5-INT($C$5))+VLOOKUP(INT($C$5),Tablas!$G$9:$K$124,5,0)*(INT($C$5)+1-$C$5)),(+VLOOKUP(INT(D399)+1,Tablas!$G$9:$O$1240,9,0)*(D399-INT(D399))+VLOOKUP(INT(D399),Tablas!$G$9:$O$1240,9,0)*(INT(D399)+1-D399))/(VLOOKUP(INT($C$5)+1,Tablas!$G$9:$O$1240,9,0)*($C$5-INT($C$5))+VLOOKUP(INT($C$5),Tablas!$G$9:$O$124,9,0)*(INT($C$5)+1-$C$5)))</f>
      </c>
      <c r="G399" s="791">
        <f>IF($C$4="Hombre",(+VLOOKUP(INT(D399)+1,Tablas!$G$9:$K$1240,5,0)*(D399-INT(D399))+VLOOKUP(INT(D399),Tablas!$G$9:$K$1240,5,0)*(INT(D399)+1-D399)),+VLOOKUP(INT(D399)+1,Tablas!$G$9:$O$1240,9,0)*(D399-INT(D399))+VLOOKUP(INT(D399),Tablas!$G$9:$O$1240,9,0)*(INT(D399)+1-D399))</f>
      </c>
      <c r="H399" s="801">
        <f>+IF(MONTH(B399)=1,H398*(1+$C$9),H398)</f>
      </c>
      <c r="I399" s="791">
        <f>IF(B399&lt;$C$10,0,IF(B399&lt;$C$11,$C$8/12*E399*F399*H399,0))</f>
      </c>
      <c r="J399" s="791">
        <f>I399*12/14+IF(OR(MONTH(C399)=6,MONTH(C399)=12),I399*12/14,0)</f>
      </c>
      <c r="K399" s="801">
        <f>G399/$G$15</f>
      </c>
      <c r="L399" s="760"/>
      <c r="M399" s="767"/>
      <c r="N399" s="168"/>
      <c r="O399" s="768"/>
      <c r="P399" s="170"/>
      <c r="Q399" s="7"/>
      <c r="R399" s="766"/>
      <c r="S399" s="170"/>
      <c r="T399" s="168"/>
      <c r="U399" s="170"/>
    </row>
    <row x14ac:dyDescent="0.25" r="400" customHeight="1" ht="18.75">
      <c r="A400" s="1"/>
      <c r="B400" s="799">
        <f>+DATE(YEAR(B399),MONTH(B399)+1,DAY(B399))</f>
        <v>25569.041666666668</v>
      </c>
      <c r="C400" s="799">
        <f>+B401-1</f>
        <v>25569.041666666668</v>
      </c>
      <c r="D400" s="791">
        <f>-_xlfn.DAYS($C$3,C400)/365.25</f>
      </c>
      <c r="E400" s="800">
        <f>IF($D$17+40&lt;=D400,(1+$D$7)^-(D400-$C$5),(1+$C$7)^-(D400-$C$5))</f>
      </c>
      <c r="F400" s="801">
        <f>IF($C$4="Hombre",(+VLOOKUP(INT(D400)+1,Tablas!$G$9:$K$1240,5,0)*(D400-INT(D400))+VLOOKUP(INT(D400),Tablas!$G$9:$K$1240,5,0)*(INT(D400)+1-D400))/(VLOOKUP(INT($C$5)+1,Tablas!$G$9:$K$1240,5,0)*($C$5-INT($C$5))+VLOOKUP(INT($C$5),Tablas!$G$9:$K$124,5,0)*(INT($C$5)+1-$C$5)),(+VLOOKUP(INT(D400)+1,Tablas!$G$9:$O$1240,9,0)*(D400-INT(D400))+VLOOKUP(INT(D400),Tablas!$G$9:$O$1240,9,0)*(INT(D400)+1-D400))/(VLOOKUP(INT($C$5)+1,Tablas!$G$9:$O$1240,9,0)*($C$5-INT($C$5))+VLOOKUP(INT($C$5),Tablas!$G$9:$O$124,9,0)*(INT($C$5)+1-$C$5)))</f>
      </c>
      <c r="G400" s="791">
        <f>IF($C$4="Hombre",(+VLOOKUP(INT(D400)+1,Tablas!$G$9:$K$1240,5,0)*(D400-INT(D400))+VLOOKUP(INT(D400),Tablas!$G$9:$K$1240,5,0)*(INT(D400)+1-D400)),+VLOOKUP(INT(D400)+1,Tablas!$G$9:$O$1240,9,0)*(D400-INT(D400))+VLOOKUP(INT(D400),Tablas!$G$9:$O$1240,9,0)*(INT(D400)+1-D400))</f>
      </c>
      <c r="H400" s="801">
        <f>+IF(MONTH(B400)=1,H399*(1+$C$9),H399)</f>
      </c>
      <c r="I400" s="791">
        <f>IF(B400&lt;$C$10,0,IF(B400&lt;$C$11,$C$8/12*E400*F400*H400,0))</f>
      </c>
      <c r="J400" s="791">
        <f>I400*12/14+IF(OR(MONTH(C400)=6,MONTH(C400)=12),I400*12/14,0)</f>
      </c>
      <c r="K400" s="801">
        <f>G400/$G$15</f>
      </c>
      <c r="L400" s="760"/>
      <c r="M400" s="767"/>
      <c r="N400" s="168"/>
      <c r="O400" s="768"/>
      <c r="P400" s="170"/>
      <c r="Q400" s="7"/>
      <c r="R400" s="766"/>
      <c r="S400" s="170"/>
      <c r="T400" s="168"/>
      <c r="U400" s="170"/>
    </row>
    <row x14ac:dyDescent="0.25" r="401" customHeight="1" ht="18.75">
      <c r="A401" s="1"/>
      <c r="B401" s="799">
        <f>+DATE(YEAR(B400),MONTH(B400)+1,DAY(B400))</f>
        <v>25569.041666666668</v>
      </c>
      <c r="C401" s="799">
        <f>+B402-1</f>
        <v>25569.041666666668</v>
      </c>
      <c r="D401" s="791">
        <f>-_xlfn.DAYS($C$3,C401)/365.25</f>
      </c>
      <c r="E401" s="800">
        <f>IF($D$17+40&lt;=D401,(1+$D$7)^-(D401-$C$5),(1+$C$7)^-(D401-$C$5))</f>
      </c>
      <c r="F401" s="801">
        <f>IF($C$4="Hombre",(+VLOOKUP(INT(D401)+1,Tablas!$G$9:$K$1240,5,0)*(D401-INT(D401))+VLOOKUP(INT(D401),Tablas!$G$9:$K$1240,5,0)*(INT(D401)+1-D401))/(VLOOKUP(INT($C$5)+1,Tablas!$G$9:$K$1240,5,0)*($C$5-INT($C$5))+VLOOKUP(INT($C$5),Tablas!$G$9:$K$124,5,0)*(INT($C$5)+1-$C$5)),(+VLOOKUP(INT(D401)+1,Tablas!$G$9:$O$1240,9,0)*(D401-INT(D401))+VLOOKUP(INT(D401),Tablas!$G$9:$O$1240,9,0)*(INT(D401)+1-D401))/(VLOOKUP(INT($C$5)+1,Tablas!$G$9:$O$1240,9,0)*($C$5-INT($C$5))+VLOOKUP(INT($C$5),Tablas!$G$9:$O$124,9,0)*(INT($C$5)+1-$C$5)))</f>
      </c>
      <c r="G401" s="791">
        <f>IF($C$4="Hombre",(+VLOOKUP(INT(D401)+1,Tablas!$G$9:$K$1240,5,0)*(D401-INT(D401))+VLOOKUP(INT(D401),Tablas!$G$9:$K$1240,5,0)*(INT(D401)+1-D401)),+VLOOKUP(INT(D401)+1,Tablas!$G$9:$O$1240,9,0)*(D401-INT(D401))+VLOOKUP(INT(D401),Tablas!$G$9:$O$1240,9,0)*(INT(D401)+1-D401))</f>
      </c>
      <c r="H401" s="801">
        <f>+IF(MONTH(B401)=1,H400*(1+$C$9),H400)</f>
      </c>
      <c r="I401" s="791">
        <f>IF(B401&lt;$C$10,0,IF(B401&lt;$C$11,$C$8/12*E401*F401*H401,0))</f>
      </c>
      <c r="J401" s="791">
        <f>I401*12/14+IF(OR(MONTH(C401)=6,MONTH(C401)=12),I401*12/14,0)</f>
      </c>
      <c r="K401" s="801">
        <f>G401/$G$15</f>
      </c>
      <c r="L401" s="760"/>
      <c r="M401" s="767"/>
      <c r="N401" s="168"/>
      <c r="O401" s="768"/>
      <c r="P401" s="170"/>
      <c r="Q401" s="7"/>
      <c r="R401" s="766"/>
      <c r="S401" s="170"/>
      <c r="T401" s="168"/>
      <c r="U401" s="170"/>
    </row>
    <row x14ac:dyDescent="0.25" r="402" customHeight="1" ht="18.75">
      <c r="A402" s="1"/>
      <c r="B402" s="799">
        <f>+DATE(YEAR(B401),MONTH(B401)+1,DAY(B401))</f>
        <v>25569.041666666668</v>
      </c>
      <c r="C402" s="799">
        <f>+B403-1</f>
        <v>25569.041666666668</v>
      </c>
      <c r="D402" s="791">
        <f>-_xlfn.DAYS($C$3,C402)/365.25</f>
      </c>
      <c r="E402" s="800">
        <f>IF($D$17+40&lt;=D402,(1+$D$7)^-(D402-$C$5),(1+$C$7)^-(D402-$C$5))</f>
      </c>
      <c r="F402" s="801">
        <f>IF($C$4="Hombre",(+VLOOKUP(INT(D402)+1,Tablas!$G$9:$K$1240,5,0)*(D402-INT(D402))+VLOOKUP(INT(D402),Tablas!$G$9:$K$1240,5,0)*(INT(D402)+1-D402))/(VLOOKUP(INT($C$5)+1,Tablas!$G$9:$K$1240,5,0)*($C$5-INT($C$5))+VLOOKUP(INT($C$5),Tablas!$G$9:$K$124,5,0)*(INT($C$5)+1-$C$5)),(+VLOOKUP(INT(D402)+1,Tablas!$G$9:$O$1240,9,0)*(D402-INT(D402))+VLOOKUP(INT(D402),Tablas!$G$9:$O$1240,9,0)*(INT(D402)+1-D402))/(VLOOKUP(INT($C$5)+1,Tablas!$G$9:$O$1240,9,0)*($C$5-INT($C$5))+VLOOKUP(INT($C$5),Tablas!$G$9:$O$124,9,0)*(INT($C$5)+1-$C$5)))</f>
      </c>
      <c r="G402" s="791">
        <f>IF($C$4="Hombre",(+VLOOKUP(INT(D402)+1,Tablas!$G$9:$K$1240,5,0)*(D402-INT(D402))+VLOOKUP(INT(D402),Tablas!$G$9:$K$1240,5,0)*(INT(D402)+1-D402)),+VLOOKUP(INT(D402)+1,Tablas!$G$9:$O$1240,9,0)*(D402-INT(D402))+VLOOKUP(INT(D402),Tablas!$G$9:$O$1240,9,0)*(INT(D402)+1-D402))</f>
      </c>
      <c r="H402" s="801">
        <f>+IF(MONTH(B402)=1,H401*(1+$C$9),H401)</f>
      </c>
      <c r="I402" s="791">
        <f>IF(B402&lt;$C$10,0,IF(B402&lt;$C$11,$C$8/12*E402*F402*H402,0))</f>
      </c>
      <c r="J402" s="791">
        <f>I402*12/14+IF(OR(MONTH(C402)=6,MONTH(C402)=12),I402*12/14,0)</f>
      </c>
      <c r="K402" s="801">
        <f>G402/$G$15</f>
      </c>
      <c r="L402" s="760"/>
      <c r="M402" s="767"/>
      <c r="N402" s="168"/>
      <c r="O402" s="768"/>
      <c r="P402" s="170"/>
      <c r="Q402" s="7"/>
      <c r="R402" s="766"/>
      <c r="S402" s="170"/>
      <c r="T402" s="168"/>
      <c r="U402" s="170"/>
    </row>
    <row x14ac:dyDescent="0.25" r="403" customHeight="1" ht="18.75">
      <c r="A403" s="1"/>
      <c r="B403" s="799">
        <f>+DATE(YEAR(B402),MONTH(B402)+1,DAY(B402))</f>
        <v>25569.041666666668</v>
      </c>
      <c r="C403" s="799">
        <f>+B404-1</f>
        <v>25569.041666666668</v>
      </c>
      <c r="D403" s="791">
        <f>-_xlfn.DAYS($C$3,C403)/365.25</f>
      </c>
      <c r="E403" s="800">
        <f>IF($D$17+40&lt;=D403,(1+$D$7)^-(D403-$C$5),(1+$C$7)^-(D403-$C$5))</f>
      </c>
      <c r="F403" s="801">
        <f>IF($C$4="Hombre",(+VLOOKUP(INT(D403)+1,Tablas!$G$9:$K$1240,5,0)*(D403-INT(D403))+VLOOKUP(INT(D403),Tablas!$G$9:$K$1240,5,0)*(INT(D403)+1-D403))/(VLOOKUP(INT($C$5)+1,Tablas!$G$9:$K$1240,5,0)*($C$5-INT($C$5))+VLOOKUP(INT($C$5),Tablas!$G$9:$K$124,5,0)*(INT($C$5)+1-$C$5)),(+VLOOKUP(INT(D403)+1,Tablas!$G$9:$O$1240,9,0)*(D403-INT(D403))+VLOOKUP(INT(D403),Tablas!$G$9:$O$1240,9,0)*(INT(D403)+1-D403))/(VLOOKUP(INT($C$5)+1,Tablas!$G$9:$O$1240,9,0)*($C$5-INT($C$5))+VLOOKUP(INT($C$5),Tablas!$G$9:$O$124,9,0)*(INT($C$5)+1-$C$5)))</f>
      </c>
      <c r="G403" s="791">
        <f>IF($C$4="Hombre",(+VLOOKUP(INT(D403)+1,Tablas!$G$9:$K$1240,5,0)*(D403-INT(D403))+VLOOKUP(INT(D403),Tablas!$G$9:$K$1240,5,0)*(INT(D403)+1-D403)),+VLOOKUP(INT(D403)+1,Tablas!$G$9:$O$1240,9,0)*(D403-INT(D403))+VLOOKUP(INT(D403),Tablas!$G$9:$O$1240,9,0)*(INT(D403)+1-D403))</f>
      </c>
      <c r="H403" s="801">
        <f>+IF(MONTH(B403)=1,H402*(1+$C$9),H402)</f>
      </c>
      <c r="I403" s="791">
        <f>IF(B403&lt;$C$10,0,IF(B403&lt;$C$11,$C$8/12*E403*F403*H403,0))</f>
      </c>
      <c r="J403" s="791">
        <f>I403*12/14+IF(OR(MONTH(C403)=6,MONTH(C403)=12),I403*12/14,0)</f>
      </c>
      <c r="K403" s="801">
        <f>G403/$G$15</f>
      </c>
      <c r="L403" s="760"/>
      <c r="M403" s="767"/>
      <c r="N403" s="168"/>
      <c r="O403" s="768"/>
      <c r="P403" s="170"/>
      <c r="Q403" s="7"/>
      <c r="R403" s="766"/>
      <c r="S403" s="170"/>
      <c r="T403" s="168"/>
      <c r="U403" s="170"/>
    </row>
    <row x14ac:dyDescent="0.25" r="404" customHeight="1" ht="18.75">
      <c r="A404" s="1"/>
      <c r="B404" s="799">
        <f>+DATE(YEAR(B403),MONTH(B403)+1,DAY(B403))</f>
        <v>25569.041666666668</v>
      </c>
      <c r="C404" s="799">
        <f>+B405-1</f>
        <v>25569.041666666668</v>
      </c>
      <c r="D404" s="791">
        <f>-_xlfn.DAYS($C$3,C404)/365.25</f>
      </c>
      <c r="E404" s="800">
        <f>IF($D$17+40&lt;=D404,(1+$D$7)^-(D404-$C$5),(1+$C$7)^-(D404-$C$5))</f>
      </c>
      <c r="F404" s="801">
        <f>IF($C$4="Hombre",(+VLOOKUP(INT(D404)+1,Tablas!$G$9:$K$1240,5,0)*(D404-INT(D404))+VLOOKUP(INT(D404),Tablas!$G$9:$K$1240,5,0)*(INT(D404)+1-D404))/(VLOOKUP(INT($C$5)+1,Tablas!$G$9:$K$1240,5,0)*($C$5-INT($C$5))+VLOOKUP(INT($C$5),Tablas!$G$9:$K$124,5,0)*(INT($C$5)+1-$C$5)),(+VLOOKUP(INT(D404)+1,Tablas!$G$9:$O$1240,9,0)*(D404-INT(D404))+VLOOKUP(INT(D404),Tablas!$G$9:$O$1240,9,0)*(INT(D404)+1-D404))/(VLOOKUP(INT($C$5)+1,Tablas!$G$9:$O$1240,9,0)*($C$5-INT($C$5))+VLOOKUP(INT($C$5),Tablas!$G$9:$O$124,9,0)*(INT($C$5)+1-$C$5)))</f>
      </c>
      <c r="G404" s="791">
        <f>IF($C$4="Hombre",(+VLOOKUP(INT(D404)+1,Tablas!$G$9:$K$1240,5,0)*(D404-INT(D404))+VLOOKUP(INT(D404),Tablas!$G$9:$K$1240,5,0)*(INT(D404)+1-D404)),+VLOOKUP(INT(D404)+1,Tablas!$G$9:$O$1240,9,0)*(D404-INT(D404))+VLOOKUP(INT(D404),Tablas!$G$9:$O$1240,9,0)*(INT(D404)+1-D404))</f>
      </c>
      <c r="H404" s="801">
        <f>+IF(MONTH(B404)=1,H403*(1+$C$9),H403)</f>
      </c>
      <c r="I404" s="791">
        <f>IF(B404&lt;$C$10,0,IF(B404&lt;$C$11,$C$8/12*E404*F404*H404,0))</f>
      </c>
      <c r="J404" s="791">
        <f>I404*12/14+IF(OR(MONTH(C404)=6,MONTH(C404)=12),I404*12/14,0)</f>
      </c>
      <c r="K404" s="801">
        <f>G404/$G$15</f>
      </c>
      <c r="L404" s="760"/>
      <c r="M404" s="767"/>
      <c r="N404" s="168"/>
      <c r="O404" s="768"/>
      <c r="P404" s="170"/>
      <c r="Q404" s="7"/>
      <c r="R404" s="766"/>
      <c r="S404" s="170"/>
      <c r="T404" s="168"/>
      <c r="U404" s="170"/>
    </row>
    <row x14ac:dyDescent="0.25" r="405" customHeight="1" ht="18.75">
      <c r="A405" s="1"/>
      <c r="B405" s="799">
        <f>+DATE(YEAR(B404),MONTH(B404)+1,DAY(B404))</f>
        <v>25569.041666666668</v>
      </c>
      <c r="C405" s="799">
        <f>+B406-1</f>
        <v>25569.041666666668</v>
      </c>
      <c r="D405" s="791">
        <f>-_xlfn.DAYS($C$3,C405)/365.25</f>
      </c>
      <c r="E405" s="800">
        <f>IF($D$17+40&lt;=D405,(1+$D$7)^-(D405-$C$5),(1+$C$7)^-(D405-$C$5))</f>
      </c>
      <c r="F405" s="801">
        <f>IF($C$4="Hombre",(+VLOOKUP(INT(D405)+1,Tablas!$G$9:$K$1240,5,0)*(D405-INT(D405))+VLOOKUP(INT(D405),Tablas!$G$9:$K$1240,5,0)*(INT(D405)+1-D405))/(VLOOKUP(INT($C$5)+1,Tablas!$G$9:$K$1240,5,0)*($C$5-INT($C$5))+VLOOKUP(INT($C$5),Tablas!$G$9:$K$124,5,0)*(INT($C$5)+1-$C$5)),(+VLOOKUP(INT(D405)+1,Tablas!$G$9:$O$1240,9,0)*(D405-INT(D405))+VLOOKUP(INT(D405),Tablas!$G$9:$O$1240,9,0)*(INT(D405)+1-D405))/(VLOOKUP(INT($C$5)+1,Tablas!$G$9:$O$1240,9,0)*($C$5-INT($C$5))+VLOOKUP(INT($C$5),Tablas!$G$9:$O$124,9,0)*(INT($C$5)+1-$C$5)))</f>
      </c>
      <c r="G405" s="791">
        <f>IF($C$4="Hombre",(+VLOOKUP(INT(D405)+1,Tablas!$G$9:$K$1240,5,0)*(D405-INT(D405))+VLOOKUP(INT(D405),Tablas!$G$9:$K$1240,5,0)*(INT(D405)+1-D405)),+VLOOKUP(INT(D405)+1,Tablas!$G$9:$O$1240,9,0)*(D405-INT(D405))+VLOOKUP(INT(D405),Tablas!$G$9:$O$1240,9,0)*(INT(D405)+1-D405))</f>
      </c>
      <c r="H405" s="801">
        <f>+IF(MONTH(B405)=1,H404*(1+$C$9),H404)</f>
      </c>
      <c r="I405" s="791">
        <f>IF(B405&lt;$C$10,0,IF(B405&lt;$C$11,$C$8/12*E405*F405*H405,0))</f>
      </c>
      <c r="J405" s="791">
        <f>I405*12/14+IF(OR(MONTH(C405)=6,MONTH(C405)=12),I405*12/14,0)</f>
      </c>
      <c r="K405" s="801">
        <f>G405/$G$15</f>
      </c>
      <c r="L405" s="760"/>
      <c r="M405" s="767"/>
      <c r="N405" s="168"/>
      <c r="O405" s="768"/>
      <c r="P405" s="170"/>
      <c r="Q405" s="7"/>
      <c r="R405" s="766"/>
      <c r="S405" s="170"/>
      <c r="T405" s="168"/>
      <c r="U405" s="170"/>
    </row>
    <row x14ac:dyDescent="0.25" r="406" customHeight="1" ht="18.75">
      <c r="A406" s="1"/>
      <c r="B406" s="799">
        <f>+DATE(YEAR(B405),MONTH(B405)+1,DAY(B405))</f>
        <v>25569.041666666668</v>
      </c>
      <c r="C406" s="799">
        <f>+B407-1</f>
        <v>25569.041666666668</v>
      </c>
      <c r="D406" s="791">
        <f>-_xlfn.DAYS($C$3,C406)/365.25</f>
      </c>
      <c r="E406" s="800">
        <f>IF($D$17+40&lt;=D406,(1+$D$7)^-(D406-$C$5),(1+$C$7)^-(D406-$C$5))</f>
      </c>
      <c r="F406" s="801">
        <f>IF($C$4="Hombre",(+VLOOKUP(INT(D406)+1,Tablas!$G$9:$K$1240,5,0)*(D406-INT(D406))+VLOOKUP(INT(D406),Tablas!$G$9:$K$1240,5,0)*(INT(D406)+1-D406))/(VLOOKUP(INT($C$5)+1,Tablas!$G$9:$K$1240,5,0)*($C$5-INT($C$5))+VLOOKUP(INT($C$5),Tablas!$G$9:$K$124,5,0)*(INT($C$5)+1-$C$5)),(+VLOOKUP(INT(D406)+1,Tablas!$G$9:$O$1240,9,0)*(D406-INT(D406))+VLOOKUP(INT(D406),Tablas!$G$9:$O$1240,9,0)*(INT(D406)+1-D406))/(VLOOKUP(INT($C$5)+1,Tablas!$G$9:$O$1240,9,0)*($C$5-INT($C$5))+VLOOKUP(INT($C$5),Tablas!$G$9:$O$124,9,0)*(INT($C$5)+1-$C$5)))</f>
      </c>
      <c r="G406" s="791">
        <f>IF($C$4="Hombre",(+VLOOKUP(INT(D406)+1,Tablas!$G$9:$K$1240,5,0)*(D406-INT(D406))+VLOOKUP(INT(D406),Tablas!$G$9:$K$1240,5,0)*(INT(D406)+1-D406)),+VLOOKUP(INT(D406)+1,Tablas!$G$9:$O$1240,9,0)*(D406-INT(D406))+VLOOKUP(INT(D406),Tablas!$G$9:$O$1240,9,0)*(INT(D406)+1-D406))</f>
      </c>
      <c r="H406" s="801">
        <f>+IF(MONTH(B406)=1,H405*(1+$C$9),H405)</f>
      </c>
      <c r="I406" s="791">
        <f>IF(B406&lt;$C$10,0,IF(B406&lt;$C$11,$C$8/12*E406*F406*H406,0))</f>
      </c>
      <c r="J406" s="791">
        <f>I406*12/14+IF(OR(MONTH(C406)=6,MONTH(C406)=12),I406*12/14,0)</f>
      </c>
      <c r="K406" s="801">
        <f>G406/$G$15</f>
      </c>
      <c r="L406" s="760"/>
      <c r="M406" s="767"/>
      <c r="N406" s="168"/>
      <c r="O406" s="768"/>
      <c r="P406" s="170"/>
      <c r="Q406" s="7"/>
      <c r="R406" s="766"/>
      <c r="S406" s="170"/>
      <c r="T406" s="168"/>
      <c r="U406" s="170"/>
    </row>
    <row x14ac:dyDescent="0.25" r="407" customHeight="1" ht="18.75">
      <c r="A407" s="1"/>
      <c r="B407" s="799">
        <f>+DATE(YEAR(B406),MONTH(B406)+1,DAY(B406))</f>
        <v>25569.041666666668</v>
      </c>
      <c r="C407" s="799">
        <f>+B408-1</f>
        <v>25569.041666666668</v>
      </c>
      <c r="D407" s="791">
        <f>-_xlfn.DAYS($C$3,C407)/365.25</f>
      </c>
      <c r="E407" s="800">
        <f>IF($D$17+40&lt;=D407,(1+$D$7)^-(D407-$C$5),(1+$C$7)^-(D407-$C$5))</f>
      </c>
      <c r="F407" s="801">
        <f>IF($C$4="Hombre",(+VLOOKUP(INT(D407)+1,Tablas!$G$9:$K$1240,5,0)*(D407-INT(D407))+VLOOKUP(INT(D407),Tablas!$G$9:$K$1240,5,0)*(INT(D407)+1-D407))/(VLOOKUP(INT($C$5)+1,Tablas!$G$9:$K$1240,5,0)*($C$5-INT($C$5))+VLOOKUP(INT($C$5),Tablas!$G$9:$K$124,5,0)*(INT($C$5)+1-$C$5)),(+VLOOKUP(INT(D407)+1,Tablas!$G$9:$O$1240,9,0)*(D407-INT(D407))+VLOOKUP(INT(D407),Tablas!$G$9:$O$1240,9,0)*(INT(D407)+1-D407))/(VLOOKUP(INT($C$5)+1,Tablas!$G$9:$O$1240,9,0)*($C$5-INT($C$5))+VLOOKUP(INT($C$5),Tablas!$G$9:$O$124,9,0)*(INT($C$5)+1-$C$5)))</f>
      </c>
      <c r="G407" s="791">
        <f>IF($C$4="Hombre",(+VLOOKUP(INT(D407)+1,Tablas!$G$9:$K$1240,5,0)*(D407-INT(D407))+VLOOKUP(INT(D407),Tablas!$G$9:$K$1240,5,0)*(INT(D407)+1-D407)),+VLOOKUP(INT(D407)+1,Tablas!$G$9:$O$1240,9,0)*(D407-INT(D407))+VLOOKUP(INT(D407),Tablas!$G$9:$O$1240,9,0)*(INT(D407)+1-D407))</f>
      </c>
      <c r="H407" s="801">
        <f>+IF(MONTH(B407)=1,H406*(1+$C$9),H406)</f>
      </c>
      <c r="I407" s="791">
        <f>IF(B407&lt;$C$10,0,IF(B407&lt;$C$11,$C$8/12*E407*F407*H407,0))</f>
      </c>
      <c r="J407" s="791">
        <f>I407*12/14+IF(OR(MONTH(C407)=6,MONTH(C407)=12),I407*12/14,0)</f>
      </c>
      <c r="K407" s="801">
        <f>G407/$G$15</f>
      </c>
      <c r="L407" s="760"/>
      <c r="M407" s="767"/>
      <c r="N407" s="168"/>
      <c r="O407" s="768"/>
      <c r="P407" s="170"/>
      <c r="Q407" s="7"/>
      <c r="R407" s="766"/>
      <c r="S407" s="170"/>
      <c r="T407" s="168"/>
      <c r="U407" s="170"/>
    </row>
    <row x14ac:dyDescent="0.25" r="408" customHeight="1" ht="18.75">
      <c r="A408" s="1"/>
      <c r="B408" s="799">
        <f>+DATE(YEAR(B407),MONTH(B407)+1,DAY(B407))</f>
        <v>25569.041666666668</v>
      </c>
      <c r="C408" s="799">
        <f>+B409-1</f>
        <v>25569.041666666668</v>
      </c>
      <c r="D408" s="791">
        <f>-_xlfn.DAYS($C$3,C408)/365.25</f>
      </c>
      <c r="E408" s="800">
        <f>IF($D$17+40&lt;=D408,(1+$D$7)^-(D408-$C$5),(1+$C$7)^-(D408-$C$5))</f>
      </c>
      <c r="F408" s="801">
        <f>IF($C$4="Hombre",(+VLOOKUP(INT(D408)+1,Tablas!$G$9:$K$1240,5,0)*(D408-INT(D408))+VLOOKUP(INT(D408),Tablas!$G$9:$K$1240,5,0)*(INT(D408)+1-D408))/(VLOOKUP(INT($C$5)+1,Tablas!$G$9:$K$1240,5,0)*($C$5-INT($C$5))+VLOOKUP(INT($C$5),Tablas!$G$9:$K$124,5,0)*(INT($C$5)+1-$C$5)),(+VLOOKUP(INT(D408)+1,Tablas!$G$9:$O$1240,9,0)*(D408-INT(D408))+VLOOKUP(INT(D408),Tablas!$G$9:$O$1240,9,0)*(INT(D408)+1-D408))/(VLOOKUP(INT($C$5)+1,Tablas!$G$9:$O$1240,9,0)*($C$5-INT($C$5))+VLOOKUP(INT($C$5),Tablas!$G$9:$O$124,9,0)*(INT($C$5)+1-$C$5)))</f>
      </c>
      <c r="G408" s="791">
        <f>IF($C$4="Hombre",(+VLOOKUP(INT(D408)+1,Tablas!$G$9:$K$1240,5,0)*(D408-INT(D408))+VLOOKUP(INT(D408),Tablas!$G$9:$K$1240,5,0)*(INT(D408)+1-D408)),+VLOOKUP(INT(D408)+1,Tablas!$G$9:$O$1240,9,0)*(D408-INT(D408))+VLOOKUP(INT(D408),Tablas!$G$9:$O$1240,9,0)*(INT(D408)+1-D408))</f>
      </c>
      <c r="H408" s="801">
        <f>+IF(MONTH(B408)=1,H407*(1+$C$9),H407)</f>
      </c>
      <c r="I408" s="791">
        <f>IF(B408&lt;$C$10,0,IF(B408&lt;$C$11,$C$8/12*E408*F408*H408,0))</f>
      </c>
      <c r="J408" s="791">
        <f>I408*12/14+IF(OR(MONTH(C408)=6,MONTH(C408)=12),I408*12/14,0)</f>
      </c>
      <c r="K408" s="801">
        <f>G408/$G$15</f>
      </c>
      <c r="L408" s="760"/>
      <c r="M408" s="767"/>
      <c r="N408" s="168"/>
      <c r="O408" s="768"/>
      <c r="P408" s="170"/>
      <c r="Q408" s="7"/>
      <c r="R408" s="766"/>
      <c r="S408" s="170"/>
      <c r="T408" s="168"/>
      <c r="U408" s="170"/>
    </row>
    <row x14ac:dyDescent="0.25" r="409" customHeight="1" ht="18.75">
      <c r="A409" s="1"/>
      <c r="B409" s="799">
        <f>+DATE(YEAR(B408),MONTH(B408)+1,DAY(B408))</f>
        <v>25569.041666666668</v>
      </c>
      <c r="C409" s="799">
        <f>+B410-1</f>
        <v>25569.041666666668</v>
      </c>
      <c r="D409" s="791">
        <f>-_xlfn.DAYS($C$3,C409)/365.25</f>
      </c>
      <c r="E409" s="800">
        <f>IF($D$17+40&lt;=D409,(1+$D$7)^-(D409-$C$5),(1+$C$7)^-(D409-$C$5))</f>
      </c>
      <c r="F409" s="801">
        <f>IF($C$4="Hombre",(+VLOOKUP(INT(D409)+1,Tablas!$G$9:$K$1240,5,0)*(D409-INT(D409))+VLOOKUP(INT(D409),Tablas!$G$9:$K$1240,5,0)*(INT(D409)+1-D409))/(VLOOKUP(INT($C$5)+1,Tablas!$G$9:$K$1240,5,0)*($C$5-INT($C$5))+VLOOKUP(INT($C$5),Tablas!$G$9:$K$124,5,0)*(INT($C$5)+1-$C$5)),(+VLOOKUP(INT(D409)+1,Tablas!$G$9:$O$1240,9,0)*(D409-INT(D409))+VLOOKUP(INT(D409),Tablas!$G$9:$O$1240,9,0)*(INT(D409)+1-D409))/(VLOOKUP(INT($C$5)+1,Tablas!$G$9:$O$1240,9,0)*($C$5-INT($C$5))+VLOOKUP(INT($C$5),Tablas!$G$9:$O$124,9,0)*(INT($C$5)+1-$C$5)))</f>
      </c>
      <c r="G409" s="791">
        <f>IF($C$4="Hombre",(+VLOOKUP(INT(D409)+1,Tablas!$G$9:$K$1240,5,0)*(D409-INT(D409))+VLOOKUP(INT(D409),Tablas!$G$9:$K$1240,5,0)*(INT(D409)+1-D409)),+VLOOKUP(INT(D409)+1,Tablas!$G$9:$O$1240,9,0)*(D409-INT(D409))+VLOOKUP(INT(D409),Tablas!$G$9:$O$1240,9,0)*(INT(D409)+1-D409))</f>
      </c>
      <c r="H409" s="801">
        <f>+IF(MONTH(B409)=1,H408*(1+$C$9),H408)</f>
      </c>
      <c r="I409" s="791">
        <f>IF(B409&lt;$C$10,0,IF(B409&lt;$C$11,$C$8/12*E409*F409*H409,0))</f>
      </c>
      <c r="J409" s="791">
        <f>I409*12/14+IF(OR(MONTH(C409)=6,MONTH(C409)=12),I409*12/14,0)</f>
      </c>
      <c r="K409" s="801">
        <f>G409/$G$15</f>
      </c>
      <c r="L409" s="760"/>
      <c r="M409" s="767"/>
      <c r="N409" s="168"/>
      <c r="O409" s="768"/>
      <c r="P409" s="170"/>
      <c r="Q409" s="7"/>
      <c r="R409" s="766"/>
      <c r="S409" s="170"/>
      <c r="T409" s="168"/>
      <c r="U409" s="170"/>
    </row>
    <row x14ac:dyDescent="0.25" r="410" customHeight="1" ht="18.75">
      <c r="A410" s="1"/>
      <c r="B410" s="799">
        <f>+DATE(YEAR(B409),MONTH(B409)+1,DAY(B409))</f>
        <v>25569.041666666668</v>
      </c>
      <c r="C410" s="799">
        <f>+B411-1</f>
        <v>25569.041666666668</v>
      </c>
      <c r="D410" s="791">
        <f>-_xlfn.DAYS($C$3,C410)/365.25</f>
      </c>
      <c r="E410" s="800">
        <f>IF($D$17+40&lt;=D410,(1+$D$7)^-(D410-$C$5),(1+$C$7)^-(D410-$C$5))</f>
      </c>
      <c r="F410" s="801">
        <f>IF($C$4="Hombre",(+VLOOKUP(INT(D410)+1,Tablas!$G$9:$K$1240,5,0)*(D410-INT(D410))+VLOOKUP(INT(D410),Tablas!$G$9:$K$1240,5,0)*(INT(D410)+1-D410))/(VLOOKUP(INT($C$5)+1,Tablas!$G$9:$K$1240,5,0)*($C$5-INT($C$5))+VLOOKUP(INT($C$5),Tablas!$G$9:$K$124,5,0)*(INT($C$5)+1-$C$5)),(+VLOOKUP(INT(D410)+1,Tablas!$G$9:$O$1240,9,0)*(D410-INT(D410))+VLOOKUP(INT(D410),Tablas!$G$9:$O$1240,9,0)*(INT(D410)+1-D410))/(VLOOKUP(INT($C$5)+1,Tablas!$G$9:$O$1240,9,0)*($C$5-INT($C$5))+VLOOKUP(INT($C$5),Tablas!$G$9:$O$124,9,0)*(INT($C$5)+1-$C$5)))</f>
      </c>
      <c r="G410" s="791">
        <f>IF($C$4="Hombre",(+VLOOKUP(INT(D410)+1,Tablas!$G$9:$K$1240,5,0)*(D410-INT(D410))+VLOOKUP(INT(D410),Tablas!$G$9:$K$1240,5,0)*(INT(D410)+1-D410)),+VLOOKUP(INT(D410)+1,Tablas!$G$9:$O$1240,9,0)*(D410-INT(D410))+VLOOKUP(INT(D410),Tablas!$G$9:$O$1240,9,0)*(INT(D410)+1-D410))</f>
      </c>
      <c r="H410" s="801">
        <f>+IF(MONTH(B410)=1,H409*(1+$C$9),H409)</f>
      </c>
      <c r="I410" s="791">
        <f>IF(B410&lt;$C$10,0,IF(B410&lt;$C$11,$C$8/12*E410*F410*H410,0))</f>
      </c>
      <c r="J410" s="791">
        <f>I410*12/14+IF(OR(MONTH(C410)=6,MONTH(C410)=12),I410*12/14,0)</f>
      </c>
      <c r="K410" s="801">
        <f>G410/$G$15</f>
      </c>
      <c r="L410" s="760"/>
      <c r="M410" s="767"/>
      <c r="N410" s="168"/>
      <c r="O410" s="768"/>
      <c r="P410" s="170"/>
      <c r="Q410" s="7"/>
      <c r="R410" s="766"/>
      <c r="S410" s="170"/>
      <c r="T410" s="168"/>
      <c r="U410" s="170"/>
    </row>
    <row x14ac:dyDescent="0.25" r="411" customHeight="1" ht="18.75">
      <c r="A411" s="1"/>
      <c r="B411" s="799">
        <f>+DATE(YEAR(B410),MONTH(B410)+1,DAY(B410))</f>
        <v>25569.041666666668</v>
      </c>
      <c r="C411" s="799">
        <f>+B412-1</f>
        <v>25569.041666666668</v>
      </c>
      <c r="D411" s="791">
        <f>-_xlfn.DAYS($C$3,C411)/365.25</f>
      </c>
      <c r="E411" s="800">
        <f>IF($D$17+40&lt;=D411,(1+$D$7)^-(D411-$C$5),(1+$C$7)^-(D411-$C$5))</f>
      </c>
      <c r="F411" s="801">
        <f>IF($C$4="Hombre",(+VLOOKUP(INT(D411)+1,Tablas!$G$9:$K$1240,5,0)*(D411-INT(D411))+VLOOKUP(INT(D411),Tablas!$G$9:$K$1240,5,0)*(INT(D411)+1-D411))/(VLOOKUP(INT($C$5)+1,Tablas!$G$9:$K$1240,5,0)*($C$5-INT($C$5))+VLOOKUP(INT($C$5),Tablas!$G$9:$K$124,5,0)*(INT($C$5)+1-$C$5)),(+VLOOKUP(INT(D411)+1,Tablas!$G$9:$O$1240,9,0)*(D411-INT(D411))+VLOOKUP(INT(D411),Tablas!$G$9:$O$1240,9,0)*(INT(D411)+1-D411))/(VLOOKUP(INT($C$5)+1,Tablas!$G$9:$O$1240,9,0)*($C$5-INT($C$5))+VLOOKUP(INT($C$5),Tablas!$G$9:$O$124,9,0)*(INT($C$5)+1-$C$5)))</f>
      </c>
      <c r="G411" s="791">
        <f>IF($C$4="Hombre",(+VLOOKUP(INT(D411)+1,Tablas!$G$9:$K$1240,5,0)*(D411-INT(D411))+VLOOKUP(INT(D411),Tablas!$G$9:$K$1240,5,0)*(INT(D411)+1-D411)),+VLOOKUP(INT(D411)+1,Tablas!$G$9:$O$1240,9,0)*(D411-INT(D411))+VLOOKUP(INT(D411),Tablas!$G$9:$O$1240,9,0)*(INT(D411)+1-D411))</f>
      </c>
      <c r="H411" s="801">
        <f>+IF(MONTH(B411)=1,H410*(1+$C$9),H410)</f>
      </c>
      <c r="I411" s="791">
        <f>IF(B411&lt;$C$10,0,IF(B411&lt;$C$11,$C$8/12*E411*F411*H411,0))</f>
      </c>
      <c r="J411" s="791">
        <f>I411*12/14+IF(OR(MONTH(C411)=6,MONTH(C411)=12),I411*12/14,0)</f>
      </c>
      <c r="K411" s="801">
        <f>G411/$G$15</f>
      </c>
      <c r="L411" s="760"/>
      <c r="M411" s="767"/>
      <c r="N411" s="168"/>
      <c r="O411" s="768"/>
      <c r="P411" s="170"/>
      <c r="Q411" s="7"/>
      <c r="R411" s="766"/>
      <c r="S411" s="170"/>
      <c r="T411" s="168"/>
      <c r="U411" s="170"/>
    </row>
    <row x14ac:dyDescent="0.25" r="412" customHeight="1" ht="18.75">
      <c r="A412" s="1"/>
      <c r="B412" s="799">
        <f>+DATE(YEAR(B411),MONTH(B411)+1,DAY(B411))</f>
        <v>25569.041666666668</v>
      </c>
      <c r="C412" s="799">
        <f>+B413-1</f>
        <v>25569.041666666668</v>
      </c>
      <c r="D412" s="791">
        <f>-_xlfn.DAYS($C$3,C412)/365.25</f>
      </c>
      <c r="E412" s="800">
        <f>IF($D$17+40&lt;=D412,(1+$D$7)^-(D412-$C$5),(1+$C$7)^-(D412-$C$5))</f>
      </c>
      <c r="F412" s="801">
        <f>IF($C$4="Hombre",(+VLOOKUP(INT(D412)+1,Tablas!$G$9:$K$1240,5,0)*(D412-INT(D412))+VLOOKUP(INT(D412),Tablas!$G$9:$K$1240,5,0)*(INT(D412)+1-D412))/(VLOOKUP(INT($C$5)+1,Tablas!$G$9:$K$1240,5,0)*($C$5-INT($C$5))+VLOOKUP(INT($C$5),Tablas!$G$9:$K$124,5,0)*(INT($C$5)+1-$C$5)),(+VLOOKUP(INT(D412)+1,Tablas!$G$9:$O$1240,9,0)*(D412-INT(D412))+VLOOKUP(INT(D412),Tablas!$G$9:$O$1240,9,0)*(INT(D412)+1-D412))/(VLOOKUP(INT($C$5)+1,Tablas!$G$9:$O$1240,9,0)*($C$5-INT($C$5))+VLOOKUP(INT($C$5),Tablas!$G$9:$O$124,9,0)*(INT($C$5)+1-$C$5)))</f>
      </c>
      <c r="G412" s="791">
        <f>IF($C$4="Hombre",(+VLOOKUP(INT(D412)+1,Tablas!$G$9:$K$1240,5,0)*(D412-INT(D412))+VLOOKUP(INT(D412),Tablas!$G$9:$K$1240,5,0)*(INT(D412)+1-D412)),+VLOOKUP(INT(D412)+1,Tablas!$G$9:$O$1240,9,0)*(D412-INT(D412))+VLOOKUP(INT(D412),Tablas!$G$9:$O$1240,9,0)*(INT(D412)+1-D412))</f>
      </c>
      <c r="H412" s="801">
        <f>+IF(MONTH(B412)=1,H411*(1+$C$9),H411)</f>
      </c>
      <c r="I412" s="791">
        <f>IF(B412&lt;$C$10,0,IF(B412&lt;$C$11,$C$8/12*E412*F412*H412,0))</f>
      </c>
      <c r="J412" s="791">
        <f>I412*12/14+IF(OR(MONTH(C412)=6,MONTH(C412)=12),I412*12/14,0)</f>
      </c>
      <c r="K412" s="801">
        <f>G412/$G$15</f>
      </c>
      <c r="L412" s="760"/>
      <c r="M412" s="767"/>
      <c r="N412" s="168"/>
      <c r="O412" s="768"/>
      <c r="P412" s="170"/>
      <c r="Q412" s="7"/>
      <c r="R412" s="766"/>
      <c r="S412" s="170"/>
      <c r="T412" s="168"/>
      <c r="U412" s="170"/>
    </row>
    <row x14ac:dyDescent="0.25" r="413" customHeight="1" ht="18.75">
      <c r="A413" s="1"/>
      <c r="B413" s="799">
        <f>+DATE(YEAR(B412),MONTH(B412)+1,DAY(B412))</f>
        <v>25569.041666666668</v>
      </c>
      <c r="C413" s="799">
        <f>+B414-1</f>
        <v>25569.041666666668</v>
      </c>
      <c r="D413" s="791">
        <f>-_xlfn.DAYS($C$3,C413)/365.25</f>
      </c>
      <c r="E413" s="800">
        <f>IF($D$17+40&lt;=D413,(1+$D$7)^-(D413-$C$5),(1+$C$7)^-(D413-$C$5))</f>
      </c>
      <c r="F413" s="801">
        <f>IF($C$4="Hombre",(+VLOOKUP(INT(D413)+1,Tablas!$G$9:$K$1240,5,0)*(D413-INT(D413))+VLOOKUP(INT(D413),Tablas!$G$9:$K$1240,5,0)*(INT(D413)+1-D413))/(VLOOKUP(INT($C$5)+1,Tablas!$G$9:$K$1240,5,0)*($C$5-INT($C$5))+VLOOKUP(INT($C$5),Tablas!$G$9:$K$124,5,0)*(INT($C$5)+1-$C$5)),(+VLOOKUP(INT(D413)+1,Tablas!$G$9:$O$1240,9,0)*(D413-INT(D413))+VLOOKUP(INT(D413),Tablas!$G$9:$O$1240,9,0)*(INT(D413)+1-D413))/(VLOOKUP(INT($C$5)+1,Tablas!$G$9:$O$1240,9,0)*($C$5-INT($C$5))+VLOOKUP(INT($C$5),Tablas!$G$9:$O$124,9,0)*(INT($C$5)+1-$C$5)))</f>
      </c>
      <c r="G413" s="791">
        <f>IF($C$4="Hombre",(+VLOOKUP(INT(D413)+1,Tablas!$G$9:$K$1240,5,0)*(D413-INT(D413))+VLOOKUP(INT(D413),Tablas!$G$9:$K$1240,5,0)*(INT(D413)+1-D413)),+VLOOKUP(INT(D413)+1,Tablas!$G$9:$O$1240,9,0)*(D413-INT(D413))+VLOOKUP(INT(D413),Tablas!$G$9:$O$1240,9,0)*(INT(D413)+1-D413))</f>
      </c>
      <c r="H413" s="801">
        <f>+IF(MONTH(B413)=1,H412*(1+$C$9),H412)</f>
      </c>
      <c r="I413" s="791">
        <f>IF(B413&lt;$C$10,0,IF(B413&lt;$C$11,$C$8/12*E413*F413*H413,0))</f>
      </c>
      <c r="J413" s="791">
        <f>I413*12/14+IF(OR(MONTH(C413)=6,MONTH(C413)=12),I413*12/14,0)</f>
      </c>
      <c r="K413" s="801">
        <f>G413/$G$15</f>
      </c>
      <c r="L413" s="760"/>
      <c r="M413" s="767"/>
      <c r="N413" s="168"/>
      <c r="O413" s="768"/>
      <c r="P413" s="170"/>
      <c r="Q413" s="7"/>
      <c r="R413" s="766"/>
      <c r="S413" s="170"/>
      <c r="T413" s="168"/>
      <c r="U413" s="170"/>
    </row>
    <row x14ac:dyDescent="0.25" r="414" customHeight="1" ht="18.75">
      <c r="A414" s="1"/>
      <c r="B414" s="799">
        <f>+DATE(YEAR(B413),MONTH(B413)+1,DAY(B413))</f>
        <v>25569.041666666668</v>
      </c>
      <c r="C414" s="799">
        <f>+B415-1</f>
        <v>25569.041666666668</v>
      </c>
      <c r="D414" s="791">
        <f>-_xlfn.DAYS($C$3,C414)/365.25</f>
      </c>
      <c r="E414" s="800">
        <f>IF($D$17+40&lt;=D414,(1+$D$7)^-(D414-$C$5),(1+$C$7)^-(D414-$C$5))</f>
      </c>
      <c r="F414" s="801">
        <f>IF($C$4="Hombre",(+VLOOKUP(INT(D414)+1,Tablas!$G$9:$K$1240,5,0)*(D414-INT(D414))+VLOOKUP(INT(D414),Tablas!$G$9:$K$1240,5,0)*(INT(D414)+1-D414))/(VLOOKUP(INT($C$5)+1,Tablas!$G$9:$K$1240,5,0)*($C$5-INT($C$5))+VLOOKUP(INT($C$5),Tablas!$G$9:$K$124,5,0)*(INT($C$5)+1-$C$5)),(+VLOOKUP(INT(D414)+1,Tablas!$G$9:$O$1240,9,0)*(D414-INT(D414))+VLOOKUP(INT(D414),Tablas!$G$9:$O$1240,9,0)*(INT(D414)+1-D414))/(VLOOKUP(INT($C$5)+1,Tablas!$G$9:$O$1240,9,0)*($C$5-INT($C$5))+VLOOKUP(INT($C$5),Tablas!$G$9:$O$124,9,0)*(INT($C$5)+1-$C$5)))</f>
      </c>
      <c r="G414" s="791">
        <f>IF($C$4="Hombre",(+VLOOKUP(INT(D414)+1,Tablas!$G$9:$K$1240,5,0)*(D414-INT(D414))+VLOOKUP(INT(D414),Tablas!$G$9:$K$1240,5,0)*(INT(D414)+1-D414)),+VLOOKUP(INT(D414)+1,Tablas!$G$9:$O$1240,9,0)*(D414-INT(D414))+VLOOKUP(INT(D414),Tablas!$G$9:$O$1240,9,0)*(INT(D414)+1-D414))</f>
      </c>
      <c r="H414" s="801">
        <f>+IF(MONTH(B414)=1,H413*(1+$C$9),H413)</f>
      </c>
      <c r="I414" s="791">
        <f>IF(B414&lt;$C$10,0,IF(B414&lt;$C$11,$C$8/12*E414*F414*H414,0))</f>
      </c>
      <c r="J414" s="791">
        <f>I414*12/14+IF(OR(MONTH(C414)=6,MONTH(C414)=12),I414*12/14,0)</f>
      </c>
      <c r="K414" s="801">
        <f>G414/$G$15</f>
      </c>
      <c r="L414" s="760"/>
      <c r="M414" s="767"/>
      <c r="N414" s="168"/>
      <c r="O414" s="768"/>
      <c r="P414" s="170"/>
      <c r="Q414" s="7"/>
      <c r="R414" s="766"/>
      <c r="S414" s="170"/>
      <c r="T414" s="168"/>
      <c r="U414" s="170"/>
    </row>
    <row x14ac:dyDescent="0.25" r="415" customHeight="1" ht="18.75">
      <c r="A415" s="1"/>
      <c r="B415" s="799">
        <f>+DATE(YEAR(B414),MONTH(B414)+1,DAY(B414))</f>
        <v>25569.041666666668</v>
      </c>
      <c r="C415" s="799">
        <f>+B416-1</f>
        <v>25569.041666666668</v>
      </c>
      <c r="D415" s="791">
        <f>-_xlfn.DAYS($C$3,C415)/365.25</f>
      </c>
      <c r="E415" s="800">
        <f>IF($D$17+40&lt;=D415,(1+$D$7)^-(D415-$C$5),(1+$C$7)^-(D415-$C$5))</f>
      </c>
      <c r="F415" s="801">
        <f>IF($C$4="Hombre",(+VLOOKUP(INT(D415)+1,Tablas!$G$9:$K$1240,5,0)*(D415-INT(D415))+VLOOKUP(INT(D415),Tablas!$G$9:$K$1240,5,0)*(INT(D415)+1-D415))/(VLOOKUP(INT($C$5)+1,Tablas!$G$9:$K$1240,5,0)*($C$5-INT($C$5))+VLOOKUP(INT($C$5),Tablas!$G$9:$K$124,5,0)*(INT($C$5)+1-$C$5)),(+VLOOKUP(INT(D415)+1,Tablas!$G$9:$O$1240,9,0)*(D415-INT(D415))+VLOOKUP(INT(D415),Tablas!$G$9:$O$1240,9,0)*(INT(D415)+1-D415))/(VLOOKUP(INT($C$5)+1,Tablas!$G$9:$O$1240,9,0)*($C$5-INT($C$5))+VLOOKUP(INT($C$5),Tablas!$G$9:$O$124,9,0)*(INT($C$5)+1-$C$5)))</f>
      </c>
      <c r="G415" s="791">
        <f>IF($C$4="Hombre",(+VLOOKUP(INT(D415)+1,Tablas!$G$9:$K$1240,5,0)*(D415-INT(D415))+VLOOKUP(INT(D415),Tablas!$G$9:$K$1240,5,0)*(INT(D415)+1-D415)),+VLOOKUP(INT(D415)+1,Tablas!$G$9:$O$1240,9,0)*(D415-INT(D415))+VLOOKUP(INT(D415),Tablas!$G$9:$O$1240,9,0)*(INT(D415)+1-D415))</f>
      </c>
      <c r="H415" s="801">
        <f>+IF(MONTH(B415)=1,H414*(1+$C$9),H414)</f>
      </c>
      <c r="I415" s="791">
        <f>IF(B415&lt;$C$10,0,IF(B415&lt;$C$11,$C$8/12*E415*F415*H415,0))</f>
      </c>
      <c r="J415" s="791">
        <f>I415*12/14+IF(OR(MONTH(C415)=6,MONTH(C415)=12),I415*12/14,0)</f>
      </c>
      <c r="K415" s="801">
        <f>G415/$G$15</f>
      </c>
      <c r="L415" s="760"/>
      <c r="M415" s="767"/>
      <c r="N415" s="168"/>
      <c r="O415" s="768"/>
      <c r="P415" s="170"/>
      <c r="Q415" s="7"/>
      <c r="R415" s="766"/>
      <c r="S415" s="170"/>
      <c r="T415" s="168"/>
      <c r="U415" s="170"/>
    </row>
    <row x14ac:dyDescent="0.25" r="416" customHeight="1" ht="18.75">
      <c r="A416" s="1"/>
      <c r="B416" s="799">
        <f>+DATE(YEAR(B415),MONTH(B415)+1,DAY(B415))</f>
        <v>25569.041666666668</v>
      </c>
      <c r="C416" s="799">
        <f>+B417-1</f>
        <v>25569.041666666668</v>
      </c>
      <c r="D416" s="791">
        <f>-_xlfn.DAYS($C$3,C416)/365.25</f>
      </c>
      <c r="E416" s="800">
        <f>IF($D$17+40&lt;=D416,(1+$D$7)^-(D416-$C$5),(1+$C$7)^-(D416-$C$5))</f>
      </c>
      <c r="F416" s="801">
        <f>IF($C$4="Hombre",(+VLOOKUP(INT(D416)+1,Tablas!$G$9:$K$1240,5,0)*(D416-INT(D416))+VLOOKUP(INT(D416),Tablas!$G$9:$K$1240,5,0)*(INT(D416)+1-D416))/(VLOOKUP(INT($C$5)+1,Tablas!$G$9:$K$1240,5,0)*($C$5-INT($C$5))+VLOOKUP(INT($C$5),Tablas!$G$9:$K$124,5,0)*(INT($C$5)+1-$C$5)),(+VLOOKUP(INT(D416)+1,Tablas!$G$9:$O$1240,9,0)*(D416-INT(D416))+VLOOKUP(INT(D416),Tablas!$G$9:$O$1240,9,0)*(INT(D416)+1-D416))/(VLOOKUP(INT($C$5)+1,Tablas!$G$9:$O$1240,9,0)*($C$5-INT($C$5))+VLOOKUP(INT($C$5),Tablas!$G$9:$O$124,9,0)*(INT($C$5)+1-$C$5)))</f>
      </c>
      <c r="G416" s="791">
        <f>IF($C$4="Hombre",(+VLOOKUP(INT(D416)+1,Tablas!$G$9:$K$1240,5,0)*(D416-INT(D416))+VLOOKUP(INT(D416),Tablas!$G$9:$K$1240,5,0)*(INT(D416)+1-D416)),+VLOOKUP(INT(D416)+1,Tablas!$G$9:$O$1240,9,0)*(D416-INT(D416))+VLOOKUP(INT(D416),Tablas!$G$9:$O$1240,9,0)*(INT(D416)+1-D416))</f>
      </c>
      <c r="H416" s="801">
        <f>+IF(MONTH(B416)=1,H415*(1+$C$9),H415)</f>
      </c>
      <c r="I416" s="791">
        <f>IF(B416&lt;$C$10,0,IF(B416&lt;$C$11,$C$8/12*E416*F416*H416,0))</f>
      </c>
      <c r="J416" s="791">
        <f>I416*12/14+IF(OR(MONTH(C416)=6,MONTH(C416)=12),I416*12/14,0)</f>
      </c>
      <c r="K416" s="801">
        <f>G416/$G$15</f>
      </c>
      <c r="L416" s="760"/>
      <c r="M416" s="767"/>
      <c r="N416" s="168"/>
      <c r="O416" s="768"/>
      <c r="P416" s="170"/>
      <c r="Q416" s="7"/>
      <c r="R416" s="766"/>
      <c r="S416" s="170"/>
      <c r="T416" s="168"/>
      <c r="U416" s="170"/>
    </row>
    <row x14ac:dyDescent="0.25" r="417" customHeight="1" ht="18.75">
      <c r="A417" s="1"/>
      <c r="B417" s="799">
        <f>+DATE(YEAR(B416),MONTH(B416)+1,DAY(B416))</f>
        <v>25569.041666666668</v>
      </c>
      <c r="C417" s="799">
        <f>+B418-1</f>
        <v>25569.041666666668</v>
      </c>
      <c r="D417" s="791">
        <f>-_xlfn.DAYS($C$3,C417)/365.25</f>
      </c>
      <c r="E417" s="800">
        <f>IF($D$17+40&lt;=D417,(1+$D$7)^-(D417-$C$5),(1+$C$7)^-(D417-$C$5))</f>
      </c>
      <c r="F417" s="801">
        <f>IF($C$4="Hombre",(+VLOOKUP(INT(D417)+1,Tablas!$G$9:$K$1240,5,0)*(D417-INT(D417))+VLOOKUP(INT(D417),Tablas!$G$9:$K$1240,5,0)*(INT(D417)+1-D417))/(VLOOKUP(INT($C$5)+1,Tablas!$G$9:$K$1240,5,0)*($C$5-INT($C$5))+VLOOKUP(INT($C$5),Tablas!$G$9:$K$124,5,0)*(INT($C$5)+1-$C$5)),(+VLOOKUP(INT(D417)+1,Tablas!$G$9:$O$1240,9,0)*(D417-INT(D417))+VLOOKUP(INT(D417),Tablas!$G$9:$O$1240,9,0)*(INT(D417)+1-D417))/(VLOOKUP(INT($C$5)+1,Tablas!$G$9:$O$1240,9,0)*($C$5-INT($C$5))+VLOOKUP(INT($C$5),Tablas!$G$9:$O$124,9,0)*(INT($C$5)+1-$C$5)))</f>
      </c>
      <c r="G417" s="791">
        <f>IF($C$4="Hombre",(+VLOOKUP(INT(D417)+1,Tablas!$G$9:$K$1240,5,0)*(D417-INT(D417))+VLOOKUP(INT(D417),Tablas!$G$9:$K$1240,5,0)*(INT(D417)+1-D417)),+VLOOKUP(INT(D417)+1,Tablas!$G$9:$O$1240,9,0)*(D417-INT(D417))+VLOOKUP(INT(D417),Tablas!$G$9:$O$1240,9,0)*(INT(D417)+1-D417))</f>
      </c>
      <c r="H417" s="801">
        <f>+IF(MONTH(B417)=1,H416*(1+$C$9),H416)</f>
      </c>
      <c r="I417" s="791">
        <f>IF(B417&lt;$C$10,0,IF(B417&lt;$C$11,$C$8/12*E417*F417*H417,0))</f>
      </c>
      <c r="J417" s="791">
        <f>I417*12/14+IF(OR(MONTH(C417)=6,MONTH(C417)=12),I417*12/14,0)</f>
      </c>
      <c r="K417" s="801">
        <f>G417/$G$15</f>
      </c>
      <c r="L417" s="760"/>
      <c r="M417" s="767"/>
      <c r="N417" s="168"/>
      <c r="O417" s="768"/>
      <c r="P417" s="170"/>
      <c r="Q417" s="7"/>
      <c r="R417" s="766"/>
      <c r="S417" s="170"/>
      <c r="T417" s="168"/>
      <c r="U417" s="170"/>
    </row>
    <row x14ac:dyDescent="0.25" r="418" customHeight="1" ht="18.75">
      <c r="A418" s="1"/>
      <c r="B418" s="799">
        <f>+DATE(YEAR(B417),MONTH(B417)+1,DAY(B417))</f>
        <v>25569.041666666668</v>
      </c>
      <c r="C418" s="799">
        <f>+B419-1</f>
        <v>25569.041666666668</v>
      </c>
      <c r="D418" s="791">
        <f>-_xlfn.DAYS($C$3,C418)/365.25</f>
      </c>
      <c r="E418" s="800">
        <f>IF($D$17+40&lt;=D418,(1+$D$7)^-(D418-$C$5),(1+$C$7)^-(D418-$C$5))</f>
      </c>
      <c r="F418" s="801">
        <f>IF($C$4="Hombre",(+VLOOKUP(INT(D418)+1,Tablas!$G$9:$K$1240,5,0)*(D418-INT(D418))+VLOOKUP(INT(D418),Tablas!$G$9:$K$1240,5,0)*(INT(D418)+1-D418))/(VLOOKUP(INT($C$5)+1,Tablas!$G$9:$K$1240,5,0)*($C$5-INT($C$5))+VLOOKUP(INT($C$5),Tablas!$G$9:$K$124,5,0)*(INT($C$5)+1-$C$5)),(+VLOOKUP(INT(D418)+1,Tablas!$G$9:$O$1240,9,0)*(D418-INT(D418))+VLOOKUP(INT(D418),Tablas!$G$9:$O$1240,9,0)*(INT(D418)+1-D418))/(VLOOKUP(INT($C$5)+1,Tablas!$G$9:$O$1240,9,0)*($C$5-INT($C$5))+VLOOKUP(INT($C$5),Tablas!$G$9:$O$124,9,0)*(INT($C$5)+1-$C$5)))</f>
      </c>
      <c r="G418" s="791">
        <f>IF($C$4="Hombre",(+VLOOKUP(INT(D418)+1,Tablas!$G$9:$K$1240,5,0)*(D418-INT(D418))+VLOOKUP(INT(D418),Tablas!$G$9:$K$1240,5,0)*(INT(D418)+1-D418)),+VLOOKUP(INT(D418)+1,Tablas!$G$9:$O$1240,9,0)*(D418-INT(D418))+VLOOKUP(INT(D418),Tablas!$G$9:$O$1240,9,0)*(INT(D418)+1-D418))</f>
      </c>
      <c r="H418" s="801">
        <f>+IF(MONTH(B418)=1,H417*(1+$C$9),H417)</f>
      </c>
      <c r="I418" s="791">
        <f>IF(B418&lt;$C$10,0,IF(B418&lt;$C$11,$C$8/12*E418*F418*H418,0))</f>
      </c>
      <c r="J418" s="791">
        <f>I418*12/14+IF(OR(MONTH(C418)=6,MONTH(C418)=12),I418*12/14,0)</f>
      </c>
      <c r="K418" s="801">
        <f>G418/$G$15</f>
      </c>
      <c r="L418" s="760"/>
      <c r="M418" s="767"/>
      <c r="N418" s="168"/>
      <c r="O418" s="768"/>
      <c r="P418" s="170"/>
      <c r="Q418" s="7"/>
      <c r="R418" s="766"/>
      <c r="S418" s="170"/>
      <c r="T418" s="168"/>
      <c r="U418" s="170"/>
    </row>
    <row x14ac:dyDescent="0.25" r="419" customHeight="1" ht="18.75">
      <c r="A419" s="1"/>
      <c r="B419" s="799">
        <f>+DATE(YEAR(B418),MONTH(B418)+1,DAY(B418))</f>
        <v>25569.041666666668</v>
      </c>
      <c r="C419" s="799">
        <f>+B420-1</f>
        <v>25569.041666666668</v>
      </c>
      <c r="D419" s="791">
        <f>-_xlfn.DAYS($C$3,C419)/365.25</f>
      </c>
      <c r="E419" s="800">
        <f>IF($D$17+40&lt;=D419,(1+$D$7)^-(D419-$C$5),(1+$C$7)^-(D419-$C$5))</f>
      </c>
      <c r="F419" s="801">
        <f>IF($C$4="Hombre",(+VLOOKUP(INT(D419)+1,Tablas!$G$9:$K$1240,5,0)*(D419-INT(D419))+VLOOKUP(INT(D419),Tablas!$G$9:$K$1240,5,0)*(INT(D419)+1-D419))/(VLOOKUP(INT($C$5)+1,Tablas!$G$9:$K$1240,5,0)*($C$5-INT($C$5))+VLOOKUP(INT($C$5),Tablas!$G$9:$K$124,5,0)*(INT($C$5)+1-$C$5)),(+VLOOKUP(INT(D419)+1,Tablas!$G$9:$O$1240,9,0)*(D419-INT(D419))+VLOOKUP(INT(D419),Tablas!$G$9:$O$1240,9,0)*(INT(D419)+1-D419))/(VLOOKUP(INT($C$5)+1,Tablas!$G$9:$O$1240,9,0)*($C$5-INT($C$5))+VLOOKUP(INT($C$5),Tablas!$G$9:$O$124,9,0)*(INT($C$5)+1-$C$5)))</f>
      </c>
      <c r="G419" s="791">
        <f>IF($C$4="Hombre",(+VLOOKUP(INT(D419)+1,Tablas!$G$9:$K$1240,5,0)*(D419-INT(D419))+VLOOKUP(INT(D419),Tablas!$G$9:$K$1240,5,0)*(INT(D419)+1-D419)),+VLOOKUP(INT(D419)+1,Tablas!$G$9:$O$1240,9,0)*(D419-INT(D419))+VLOOKUP(INT(D419),Tablas!$G$9:$O$1240,9,0)*(INT(D419)+1-D419))</f>
      </c>
      <c r="H419" s="801">
        <f>+IF(MONTH(B419)=1,H418*(1+$C$9),H418)</f>
      </c>
      <c r="I419" s="791">
        <f>IF(B419&lt;$C$10,0,IF(B419&lt;$C$11,$C$8/12*E419*F419*H419,0))</f>
      </c>
      <c r="J419" s="791">
        <f>I419*12/14+IF(OR(MONTH(C419)=6,MONTH(C419)=12),I419*12/14,0)</f>
      </c>
      <c r="K419" s="801">
        <f>G419/$G$15</f>
      </c>
      <c r="L419" s="760"/>
      <c r="M419" s="767"/>
      <c r="N419" s="168"/>
      <c r="O419" s="768"/>
      <c r="P419" s="170"/>
      <c r="Q419" s="7"/>
      <c r="R419" s="766"/>
      <c r="S419" s="170"/>
      <c r="T419" s="168"/>
      <c r="U419" s="170"/>
    </row>
    <row x14ac:dyDescent="0.25" r="420" customHeight="1" ht="18.75">
      <c r="A420" s="1"/>
      <c r="B420" s="799">
        <f>+DATE(YEAR(B419),MONTH(B419)+1,DAY(B419))</f>
        <v>25569.041666666668</v>
      </c>
      <c r="C420" s="799">
        <f>+B421-1</f>
        <v>25569.041666666668</v>
      </c>
      <c r="D420" s="791">
        <f>-_xlfn.DAYS($C$3,C420)/365.25</f>
      </c>
      <c r="E420" s="800">
        <f>IF($D$17+40&lt;=D420,(1+$D$7)^-(D420-$C$5),(1+$C$7)^-(D420-$C$5))</f>
      </c>
      <c r="F420" s="801">
        <f>IF($C$4="Hombre",(+VLOOKUP(INT(D420)+1,Tablas!$G$9:$K$1240,5,0)*(D420-INT(D420))+VLOOKUP(INT(D420),Tablas!$G$9:$K$1240,5,0)*(INT(D420)+1-D420))/(VLOOKUP(INT($C$5)+1,Tablas!$G$9:$K$1240,5,0)*($C$5-INT($C$5))+VLOOKUP(INT($C$5),Tablas!$G$9:$K$124,5,0)*(INT($C$5)+1-$C$5)),(+VLOOKUP(INT(D420)+1,Tablas!$G$9:$O$1240,9,0)*(D420-INT(D420))+VLOOKUP(INT(D420),Tablas!$G$9:$O$1240,9,0)*(INT(D420)+1-D420))/(VLOOKUP(INT($C$5)+1,Tablas!$G$9:$O$1240,9,0)*($C$5-INT($C$5))+VLOOKUP(INT($C$5),Tablas!$G$9:$O$124,9,0)*(INT($C$5)+1-$C$5)))</f>
      </c>
      <c r="G420" s="791">
        <f>IF($C$4="Hombre",(+VLOOKUP(INT(D420)+1,Tablas!$G$9:$K$1240,5,0)*(D420-INT(D420))+VLOOKUP(INT(D420),Tablas!$G$9:$K$1240,5,0)*(INT(D420)+1-D420)),+VLOOKUP(INT(D420)+1,Tablas!$G$9:$O$1240,9,0)*(D420-INT(D420))+VLOOKUP(INT(D420),Tablas!$G$9:$O$1240,9,0)*(INT(D420)+1-D420))</f>
      </c>
      <c r="H420" s="801">
        <f>+IF(MONTH(B420)=1,H419*(1+$C$9),H419)</f>
      </c>
      <c r="I420" s="791">
        <f>IF(B420&lt;$C$10,0,IF(B420&lt;$C$11,$C$8/12*E420*F420*H420,0))</f>
      </c>
      <c r="J420" s="791">
        <f>I420*12/14+IF(OR(MONTH(C420)=6,MONTH(C420)=12),I420*12/14,0)</f>
      </c>
      <c r="K420" s="801">
        <f>G420/$G$15</f>
      </c>
      <c r="L420" s="760"/>
      <c r="M420" s="767"/>
      <c r="N420" s="168"/>
      <c r="O420" s="768"/>
      <c r="P420" s="170"/>
      <c r="Q420" s="7"/>
      <c r="R420" s="766"/>
      <c r="S420" s="170"/>
      <c r="T420" s="168"/>
      <c r="U420" s="170"/>
    </row>
    <row x14ac:dyDescent="0.25" r="421" customHeight="1" ht="18.75">
      <c r="A421" s="1"/>
      <c r="B421" s="799">
        <f>+DATE(YEAR(B420),MONTH(B420)+1,DAY(B420))</f>
        <v>25569.041666666668</v>
      </c>
      <c r="C421" s="799">
        <f>+B422-1</f>
        <v>25569.041666666668</v>
      </c>
      <c r="D421" s="791">
        <f>-_xlfn.DAYS($C$3,C421)/365.25</f>
      </c>
      <c r="E421" s="800">
        <f>IF($D$17+40&lt;=D421,(1+$D$7)^-(D421-$C$5),(1+$C$7)^-(D421-$C$5))</f>
      </c>
      <c r="F421" s="801">
        <f>IF($C$4="Hombre",(+VLOOKUP(INT(D421)+1,Tablas!$G$9:$K$1240,5,0)*(D421-INT(D421))+VLOOKUP(INT(D421),Tablas!$G$9:$K$1240,5,0)*(INT(D421)+1-D421))/(VLOOKUP(INT($C$5)+1,Tablas!$G$9:$K$1240,5,0)*($C$5-INT($C$5))+VLOOKUP(INT($C$5),Tablas!$G$9:$K$124,5,0)*(INT($C$5)+1-$C$5)),(+VLOOKUP(INT(D421)+1,Tablas!$G$9:$O$1240,9,0)*(D421-INT(D421))+VLOOKUP(INT(D421),Tablas!$G$9:$O$1240,9,0)*(INT(D421)+1-D421))/(VLOOKUP(INT($C$5)+1,Tablas!$G$9:$O$1240,9,0)*($C$5-INT($C$5))+VLOOKUP(INT($C$5),Tablas!$G$9:$O$124,9,0)*(INT($C$5)+1-$C$5)))</f>
      </c>
      <c r="G421" s="791">
        <f>IF($C$4="Hombre",(+VLOOKUP(INT(D421)+1,Tablas!$G$9:$K$1240,5,0)*(D421-INT(D421))+VLOOKUP(INT(D421),Tablas!$G$9:$K$1240,5,0)*(INT(D421)+1-D421)),+VLOOKUP(INT(D421)+1,Tablas!$G$9:$O$1240,9,0)*(D421-INT(D421))+VLOOKUP(INT(D421),Tablas!$G$9:$O$1240,9,0)*(INT(D421)+1-D421))</f>
      </c>
      <c r="H421" s="801">
        <f>+IF(MONTH(B421)=1,H420*(1+$C$9),H420)</f>
      </c>
      <c r="I421" s="791">
        <f>IF(B421&lt;$C$10,0,IF(B421&lt;$C$11,$C$8/12*E421*F421*H421,0))</f>
      </c>
      <c r="J421" s="791">
        <f>I421*12/14+IF(OR(MONTH(C421)=6,MONTH(C421)=12),I421*12/14,0)</f>
      </c>
      <c r="K421" s="801">
        <f>G421/$G$15</f>
      </c>
      <c r="L421" s="760"/>
      <c r="M421" s="767"/>
      <c r="N421" s="168"/>
      <c r="O421" s="768"/>
      <c r="P421" s="170"/>
      <c r="Q421" s="7"/>
      <c r="R421" s="766"/>
      <c r="S421" s="170"/>
      <c r="T421" s="168"/>
      <c r="U421" s="170"/>
    </row>
    <row x14ac:dyDescent="0.25" r="422" customHeight="1" ht="18.75">
      <c r="A422" s="1"/>
      <c r="B422" s="799">
        <f>+DATE(YEAR(B421),MONTH(B421)+1,DAY(B421))</f>
        <v>25569.041666666668</v>
      </c>
      <c r="C422" s="799">
        <f>+B423-1</f>
        <v>25569.041666666668</v>
      </c>
      <c r="D422" s="791">
        <f>-_xlfn.DAYS($C$3,C422)/365.25</f>
      </c>
      <c r="E422" s="800">
        <f>IF($D$17+40&lt;=D422,(1+$D$7)^-(D422-$C$5),(1+$C$7)^-(D422-$C$5))</f>
      </c>
      <c r="F422" s="801">
        <f>IF($C$4="Hombre",(+VLOOKUP(INT(D422)+1,Tablas!$G$9:$K$1240,5,0)*(D422-INT(D422))+VLOOKUP(INT(D422),Tablas!$G$9:$K$1240,5,0)*(INT(D422)+1-D422))/(VLOOKUP(INT($C$5)+1,Tablas!$G$9:$K$1240,5,0)*($C$5-INT($C$5))+VLOOKUP(INT($C$5),Tablas!$G$9:$K$124,5,0)*(INT($C$5)+1-$C$5)),(+VLOOKUP(INT(D422)+1,Tablas!$G$9:$O$1240,9,0)*(D422-INT(D422))+VLOOKUP(INT(D422),Tablas!$G$9:$O$1240,9,0)*(INT(D422)+1-D422))/(VLOOKUP(INT($C$5)+1,Tablas!$G$9:$O$1240,9,0)*($C$5-INT($C$5))+VLOOKUP(INT($C$5),Tablas!$G$9:$O$124,9,0)*(INT($C$5)+1-$C$5)))</f>
      </c>
      <c r="G422" s="791">
        <f>IF($C$4="Hombre",(+VLOOKUP(INT(D422)+1,Tablas!$G$9:$K$1240,5,0)*(D422-INT(D422))+VLOOKUP(INT(D422),Tablas!$G$9:$K$1240,5,0)*(INT(D422)+1-D422)),+VLOOKUP(INT(D422)+1,Tablas!$G$9:$O$1240,9,0)*(D422-INT(D422))+VLOOKUP(INT(D422),Tablas!$G$9:$O$1240,9,0)*(INT(D422)+1-D422))</f>
      </c>
      <c r="H422" s="801">
        <f>+IF(MONTH(B422)=1,H421*(1+$C$9),H421)</f>
      </c>
      <c r="I422" s="791">
        <f>IF(B422&lt;$C$10,0,IF(B422&lt;$C$11,$C$8/12*E422*F422*H422,0))</f>
      </c>
      <c r="J422" s="791">
        <f>I422*12/14+IF(OR(MONTH(C422)=6,MONTH(C422)=12),I422*12/14,0)</f>
      </c>
      <c r="K422" s="801">
        <f>G422/$G$15</f>
      </c>
      <c r="L422" s="760"/>
      <c r="M422" s="767"/>
      <c r="N422" s="168"/>
      <c r="O422" s="768"/>
      <c r="P422" s="170"/>
      <c r="Q422" s="7"/>
      <c r="R422" s="766"/>
      <c r="S422" s="170"/>
      <c r="T422" s="168"/>
      <c r="U422" s="170"/>
    </row>
    <row x14ac:dyDescent="0.25" r="423" customHeight="1" ht="18.75">
      <c r="A423" s="1"/>
      <c r="B423" s="799">
        <f>+DATE(YEAR(B422),MONTH(B422)+1,DAY(B422))</f>
        <v>25569.041666666668</v>
      </c>
      <c r="C423" s="799">
        <f>+B424-1</f>
        <v>25569.041666666668</v>
      </c>
      <c r="D423" s="791">
        <f>-_xlfn.DAYS($C$3,C423)/365.25</f>
      </c>
      <c r="E423" s="800">
        <f>IF($D$17+40&lt;=D423,(1+$D$7)^-(D423-$C$5),(1+$C$7)^-(D423-$C$5))</f>
      </c>
      <c r="F423" s="801">
        <f>IF($C$4="Hombre",(+VLOOKUP(INT(D423)+1,Tablas!$G$9:$K$1240,5,0)*(D423-INT(D423))+VLOOKUP(INT(D423),Tablas!$G$9:$K$1240,5,0)*(INT(D423)+1-D423))/(VLOOKUP(INT($C$5)+1,Tablas!$G$9:$K$1240,5,0)*($C$5-INT($C$5))+VLOOKUP(INT($C$5),Tablas!$G$9:$K$124,5,0)*(INT($C$5)+1-$C$5)),(+VLOOKUP(INT(D423)+1,Tablas!$G$9:$O$1240,9,0)*(D423-INT(D423))+VLOOKUP(INT(D423),Tablas!$G$9:$O$1240,9,0)*(INT(D423)+1-D423))/(VLOOKUP(INT($C$5)+1,Tablas!$G$9:$O$1240,9,0)*($C$5-INT($C$5))+VLOOKUP(INT($C$5),Tablas!$G$9:$O$124,9,0)*(INT($C$5)+1-$C$5)))</f>
      </c>
      <c r="G423" s="791">
        <f>IF($C$4="Hombre",(+VLOOKUP(INT(D423)+1,Tablas!$G$9:$K$1240,5,0)*(D423-INT(D423))+VLOOKUP(INT(D423),Tablas!$G$9:$K$1240,5,0)*(INT(D423)+1-D423)),+VLOOKUP(INT(D423)+1,Tablas!$G$9:$O$1240,9,0)*(D423-INT(D423))+VLOOKUP(INT(D423),Tablas!$G$9:$O$1240,9,0)*(INT(D423)+1-D423))</f>
      </c>
      <c r="H423" s="801">
        <f>+IF(MONTH(B423)=1,H422*(1+$C$9),H422)</f>
      </c>
      <c r="I423" s="791">
        <f>IF(B423&lt;$C$10,0,IF(B423&lt;$C$11,$C$8/12*E423*F423*H423,0))</f>
      </c>
      <c r="J423" s="791">
        <f>I423*12/14+IF(OR(MONTH(C423)=6,MONTH(C423)=12),I423*12/14,0)</f>
      </c>
      <c r="K423" s="801">
        <f>G423/$G$15</f>
      </c>
      <c r="L423" s="760"/>
      <c r="M423" s="767"/>
      <c r="N423" s="168"/>
      <c r="O423" s="768"/>
      <c r="P423" s="170"/>
      <c r="Q423" s="7"/>
      <c r="R423" s="766"/>
      <c r="S423" s="170"/>
      <c r="T423" s="168"/>
      <c r="U423" s="170"/>
    </row>
    <row x14ac:dyDescent="0.25" r="424" customHeight="1" ht="18.75">
      <c r="A424" s="1"/>
      <c r="B424" s="799">
        <f>+DATE(YEAR(B423),MONTH(B423)+1,DAY(B423))</f>
        <v>25569.041666666668</v>
      </c>
      <c r="C424" s="799">
        <f>+B425-1</f>
        <v>25569.041666666668</v>
      </c>
      <c r="D424" s="791">
        <f>-_xlfn.DAYS($C$3,C424)/365.25</f>
      </c>
      <c r="E424" s="800">
        <f>IF($D$17+40&lt;=D424,(1+$D$7)^-(D424-$C$5),(1+$C$7)^-(D424-$C$5))</f>
      </c>
      <c r="F424" s="801">
        <f>IF($C$4="Hombre",(+VLOOKUP(INT(D424)+1,Tablas!$G$9:$K$1240,5,0)*(D424-INT(D424))+VLOOKUP(INT(D424),Tablas!$G$9:$K$1240,5,0)*(INT(D424)+1-D424))/(VLOOKUP(INT($C$5)+1,Tablas!$G$9:$K$1240,5,0)*($C$5-INT($C$5))+VLOOKUP(INT($C$5),Tablas!$G$9:$K$124,5,0)*(INT($C$5)+1-$C$5)),(+VLOOKUP(INT(D424)+1,Tablas!$G$9:$O$1240,9,0)*(D424-INT(D424))+VLOOKUP(INT(D424),Tablas!$G$9:$O$1240,9,0)*(INT(D424)+1-D424))/(VLOOKUP(INT($C$5)+1,Tablas!$G$9:$O$1240,9,0)*($C$5-INT($C$5))+VLOOKUP(INT($C$5),Tablas!$G$9:$O$124,9,0)*(INT($C$5)+1-$C$5)))</f>
      </c>
      <c r="G424" s="791">
        <f>IF($C$4="Hombre",(+VLOOKUP(INT(D424)+1,Tablas!$G$9:$K$1240,5,0)*(D424-INT(D424))+VLOOKUP(INT(D424),Tablas!$G$9:$K$1240,5,0)*(INT(D424)+1-D424)),+VLOOKUP(INT(D424)+1,Tablas!$G$9:$O$1240,9,0)*(D424-INT(D424))+VLOOKUP(INT(D424),Tablas!$G$9:$O$1240,9,0)*(INT(D424)+1-D424))</f>
      </c>
      <c r="H424" s="801">
        <f>+IF(MONTH(B424)=1,H423*(1+$C$9),H423)</f>
      </c>
      <c r="I424" s="791">
        <f>IF(B424&lt;$C$10,0,IF(B424&lt;$C$11,$C$8/12*E424*F424*H424,0))</f>
      </c>
      <c r="J424" s="791">
        <f>I424*12/14+IF(OR(MONTH(C424)=6,MONTH(C424)=12),I424*12/14,0)</f>
      </c>
      <c r="K424" s="801">
        <f>G424/$G$15</f>
      </c>
      <c r="L424" s="760"/>
      <c r="M424" s="767"/>
      <c r="N424" s="168"/>
      <c r="O424" s="768"/>
      <c r="P424" s="170"/>
      <c r="Q424" s="7"/>
      <c r="R424" s="766"/>
      <c r="S424" s="170"/>
      <c r="T424" s="168"/>
      <c r="U424" s="170"/>
    </row>
    <row x14ac:dyDescent="0.25" r="425" customHeight="1" ht="18.75">
      <c r="A425" s="1"/>
      <c r="B425" s="799">
        <f>+DATE(YEAR(B424),MONTH(B424)+1,DAY(B424))</f>
        <v>25569.041666666668</v>
      </c>
      <c r="C425" s="799">
        <f>+B426-1</f>
        <v>25569.041666666668</v>
      </c>
      <c r="D425" s="791">
        <f>-_xlfn.DAYS($C$3,C425)/365.25</f>
      </c>
      <c r="E425" s="800">
        <f>IF($D$17+40&lt;=D425,(1+$D$7)^-(D425-$C$5),(1+$C$7)^-(D425-$C$5))</f>
      </c>
      <c r="F425" s="801">
        <f>IF($C$4="Hombre",(+VLOOKUP(INT(D425)+1,Tablas!$G$9:$K$1240,5,0)*(D425-INT(D425))+VLOOKUP(INT(D425),Tablas!$G$9:$K$1240,5,0)*(INT(D425)+1-D425))/(VLOOKUP(INT($C$5)+1,Tablas!$G$9:$K$1240,5,0)*($C$5-INT($C$5))+VLOOKUP(INT($C$5),Tablas!$G$9:$K$124,5,0)*(INT($C$5)+1-$C$5)),(+VLOOKUP(INT(D425)+1,Tablas!$G$9:$O$1240,9,0)*(D425-INT(D425))+VLOOKUP(INT(D425),Tablas!$G$9:$O$1240,9,0)*(INT(D425)+1-D425))/(VLOOKUP(INT($C$5)+1,Tablas!$G$9:$O$1240,9,0)*($C$5-INT($C$5))+VLOOKUP(INT($C$5),Tablas!$G$9:$O$124,9,0)*(INT($C$5)+1-$C$5)))</f>
      </c>
      <c r="G425" s="791">
        <f>IF($C$4="Hombre",(+VLOOKUP(INT(D425)+1,Tablas!$G$9:$K$1240,5,0)*(D425-INT(D425))+VLOOKUP(INT(D425),Tablas!$G$9:$K$1240,5,0)*(INT(D425)+1-D425)),+VLOOKUP(INT(D425)+1,Tablas!$G$9:$O$1240,9,0)*(D425-INT(D425))+VLOOKUP(INT(D425),Tablas!$G$9:$O$1240,9,0)*(INT(D425)+1-D425))</f>
      </c>
      <c r="H425" s="801">
        <f>+IF(MONTH(B425)=1,H424*(1+$C$9),H424)</f>
      </c>
      <c r="I425" s="791">
        <f>IF(B425&lt;$C$10,0,IF(B425&lt;$C$11,$C$8/12*E425*F425*H425,0))</f>
      </c>
      <c r="J425" s="791">
        <f>I425*12/14+IF(OR(MONTH(C425)=6,MONTH(C425)=12),I425*12/14,0)</f>
      </c>
      <c r="K425" s="801">
        <f>G425/$G$15</f>
      </c>
      <c r="L425" s="760"/>
      <c r="M425" s="767"/>
      <c r="N425" s="168"/>
      <c r="O425" s="768"/>
      <c r="P425" s="170"/>
      <c r="Q425" s="7"/>
      <c r="R425" s="766"/>
      <c r="S425" s="170"/>
      <c r="T425" s="168"/>
      <c r="U425" s="170"/>
    </row>
    <row x14ac:dyDescent="0.25" r="426" customHeight="1" ht="18.75">
      <c r="A426" s="1"/>
      <c r="B426" s="799">
        <f>+DATE(YEAR(B425),MONTH(B425)+1,DAY(B425))</f>
        <v>25569.041666666668</v>
      </c>
      <c r="C426" s="799">
        <f>+B427-1</f>
        <v>25569.041666666668</v>
      </c>
      <c r="D426" s="791">
        <f>-_xlfn.DAYS($C$3,C426)/365.25</f>
      </c>
      <c r="E426" s="800">
        <f>IF($D$17+40&lt;=D426,(1+$D$7)^-(D426-$C$5),(1+$C$7)^-(D426-$C$5))</f>
      </c>
      <c r="F426" s="801">
        <f>IF($C$4="Hombre",(+VLOOKUP(INT(D426)+1,Tablas!$G$9:$K$1240,5,0)*(D426-INT(D426))+VLOOKUP(INT(D426),Tablas!$G$9:$K$1240,5,0)*(INT(D426)+1-D426))/(VLOOKUP(INT($C$5)+1,Tablas!$G$9:$K$1240,5,0)*($C$5-INT($C$5))+VLOOKUP(INT($C$5),Tablas!$G$9:$K$124,5,0)*(INT($C$5)+1-$C$5)),(+VLOOKUP(INT(D426)+1,Tablas!$G$9:$O$1240,9,0)*(D426-INT(D426))+VLOOKUP(INT(D426),Tablas!$G$9:$O$1240,9,0)*(INT(D426)+1-D426))/(VLOOKUP(INT($C$5)+1,Tablas!$G$9:$O$1240,9,0)*($C$5-INT($C$5))+VLOOKUP(INT($C$5),Tablas!$G$9:$O$124,9,0)*(INT($C$5)+1-$C$5)))</f>
      </c>
      <c r="G426" s="791">
        <f>IF($C$4="Hombre",(+VLOOKUP(INT(D426)+1,Tablas!$G$9:$K$1240,5,0)*(D426-INT(D426))+VLOOKUP(INT(D426),Tablas!$G$9:$K$1240,5,0)*(INT(D426)+1-D426)),+VLOOKUP(INT(D426)+1,Tablas!$G$9:$O$1240,9,0)*(D426-INT(D426))+VLOOKUP(INT(D426),Tablas!$G$9:$O$1240,9,0)*(INT(D426)+1-D426))</f>
      </c>
      <c r="H426" s="801">
        <f>+IF(MONTH(B426)=1,H425*(1+$C$9),H425)</f>
      </c>
      <c r="I426" s="791">
        <f>IF(B426&lt;$C$10,0,IF(B426&lt;$C$11,$C$8/12*E426*F426*H426,0))</f>
      </c>
      <c r="J426" s="791">
        <f>I426*12/14+IF(OR(MONTH(C426)=6,MONTH(C426)=12),I426*12/14,0)</f>
      </c>
      <c r="K426" s="801">
        <f>G426/$G$15</f>
      </c>
      <c r="L426" s="760"/>
      <c r="M426" s="767"/>
      <c r="N426" s="168"/>
      <c r="O426" s="768"/>
      <c r="P426" s="170"/>
      <c r="Q426" s="7"/>
      <c r="R426" s="766"/>
      <c r="S426" s="170"/>
      <c r="T426" s="168"/>
      <c r="U426" s="170"/>
    </row>
    <row x14ac:dyDescent="0.25" r="427" customHeight="1" ht="18.75">
      <c r="A427" s="1"/>
      <c r="B427" s="799">
        <f>+DATE(YEAR(B426),MONTH(B426)+1,DAY(B426))</f>
        <v>25569.041666666668</v>
      </c>
      <c r="C427" s="799">
        <f>+B428-1</f>
        <v>25569.041666666668</v>
      </c>
      <c r="D427" s="791">
        <f>-_xlfn.DAYS($C$3,C427)/365.25</f>
      </c>
      <c r="E427" s="800">
        <f>IF($D$17+40&lt;=D427,(1+$D$7)^-(D427-$C$5),(1+$C$7)^-(D427-$C$5))</f>
      </c>
      <c r="F427" s="801">
        <f>IF($C$4="Hombre",(+VLOOKUP(INT(D427)+1,Tablas!$G$9:$K$1240,5,0)*(D427-INT(D427))+VLOOKUP(INT(D427),Tablas!$G$9:$K$1240,5,0)*(INT(D427)+1-D427))/(VLOOKUP(INT($C$5)+1,Tablas!$G$9:$K$1240,5,0)*($C$5-INT($C$5))+VLOOKUP(INT($C$5),Tablas!$G$9:$K$124,5,0)*(INT($C$5)+1-$C$5)),(+VLOOKUP(INT(D427)+1,Tablas!$G$9:$O$1240,9,0)*(D427-INT(D427))+VLOOKUP(INT(D427),Tablas!$G$9:$O$1240,9,0)*(INT(D427)+1-D427))/(VLOOKUP(INT($C$5)+1,Tablas!$G$9:$O$1240,9,0)*($C$5-INT($C$5))+VLOOKUP(INT($C$5),Tablas!$G$9:$O$124,9,0)*(INT($C$5)+1-$C$5)))</f>
      </c>
      <c r="G427" s="791">
        <f>IF($C$4="Hombre",(+VLOOKUP(INT(D427)+1,Tablas!$G$9:$K$1240,5,0)*(D427-INT(D427))+VLOOKUP(INT(D427),Tablas!$G$9:$K$1240,5,0)*(INT(D427)+1-D427)),+VLOOKUP(INT(D427)+1,Tablas!$G$9:$O$1240,9,0)*(D427-INT(D427))+VLOOKUP(INT(D427),Tablas!$G$9:$O$1240,9,0)*(INT(D427)+1-D427))</f>
      </c>
      <c r="H427" s="801">
        <f>+IF(MONTH(B427)=1,H426*(1+$C$9),H426)</f>
      </c>
      <c r="I427" s="791">
        <f>IF(B427&lt;$C$10,0,IF(B427&lt;$C$11,$C$8/12*E427*F427*H427,0))</f>
      </c>
      <c r="J427" s="791">
        <f>I427*12/14+IF(OR(MONTH(C427)=6,MONTH(C427)=12),I427*12/14,0)</f>
      </c>
      <c r="K427" s="801">
        <f>G427/$G$15</f>
      </c>
      <c r="L427" s="760"/>
      <c r="M427" s="767"/>
      <c r="N427" s="168"/>
      <c r="O427" s="768"/>
      <c r="P427" s="170"/>
      <c r="Q427" s="7"/>
      <c r="R427" s="766"/>
      <c r="S427" s="170"/>
      <c r="T427" s="168"/>
      <c r="U427" s="170"/>
    </row>
    <row x14ac:dyDescent="0.25" r="428" customHeight="1" ht="18.75">
      <c r="A428" s="1"/>
      <c r="B428" s="799">
        <f>+DATE(YEAR(B427),MONTH(B427)+1,DAY(B427))</f>
        <v>25569.041666666668</v>
      </c>
      <c r="C428" s="799">
        <f>+B429-1</f>
        <v>25569.041666666668</v>
      </c>
      <c r="D428" s="791">
        <f>-_xlfn.DAYS($C$3,C428)/365.25</f>
      </c>
      <c r="E428" s="800">
        <f>IF($D$17+40&lt;=D428,(1+$D$7)^-(D428-$C$5),(1+$C$7)^-(D428-$C$5))</f>
      </c>
      <c r="F428" s="801">
        <f>IF($C$4="Hombre",(+VLOOKUP(INT(D428)+1,Tablas!$G$9:$K$1240,5,0)*(D428-INT(D428))+VLOOKUP(INT(D428),Tablas!$G$9:$K$1240,5,0)*(INT(D428)+1-D428))/(VLOOKUP(INT($C$5)+1,Tablas!$G$9:$K$1240,5,0)*($C$5-INT($C$5))+VLOOKUP(INT($C$5),Tablas!$G$9:$K$124,5,0)*(INT($C$5)+1-$C$5)),(+VLOOKUP(INT(D428)+1,Tablas!$G$9:$O$1240,9,0)*(D428-INT(D428))+VLOOKUP(INT(D428),Tablas!$G$9:$O$1240,9,0)*(INT(D428)+1-D428))/(VLOOKUP(INT($C$5)+1,Tablas!$G$9:$O$1240,9,0)*($C$5-INT($C$5))+VLOOKUP(INT($C$5),Tablas!$G$9:$O$124,9,0)*(INT($C$5)+1-$C$5)))</f>
      </c>
      <c r="G428" s="791">
        <f>IF($C$4="Hombre",(+VLOOKUP(INT(D428)+1,Tablas!$G$9:$K$1240,5,0)*(D428-INT(D428))+VLOOKUP(INT(D428),Tablas!$G$9:$K$1240,5,0)*(INT(D428)+1-D428)),+VLOOKUP(INT(D428)+1,Tablas!$G$9:$O$1240,9,0)*(D428-INT(D428))+VLOOKUP(INT(D428),Tablas!$G$9:$O$1240,9,0)*(INT(D428)+1-D428))</f>
      </c>
      <c r="H428" s="801">
        <f>+IF(MONTH(B428)=1,H427*(1+$C$9),H427)</f>
      </c>
      <c r="I428" s="791">
        <f>IF(B428&lt;$C$10,0,IF(B428&lt;$C$11,$C$8/12*E428*F428*H428,0))</f>
      </c>
      <c r="J428" s="791">
        <f>I428*12/14+IF(OR(MONTH(C428)=6,MONTH(C428)=12),I428*12/14,0)</f>
      </c>
      <c r="K428" s="801">
        <f>G428/$G$15</f>
      </c>
      <c r="L428" s="760"/>
      <c r="M428" s="767"/>
      <c r="N428" s="168"/>
      <c r="O428" s="768"/>
      <c r="P428" s="170"/>
      <c r="Q428" s="7"/>
      <c r="R428" s="766"/>
      <c r="S428" s="170"/>
      <c r="T428" s="168"/>
      <c r="U428" s="170"/>
    </row>
    <row x14ac:dyDescent="0.25" r="429" customHeight="1" ht="18.75">
      <c r="A429" s="1"/>
      <c r="B429" s="799">
        <f>+DATE(YEAR(B428),MONTH(B428)+1,DAY(B428))</f>
        <v>25569.041666666668</v>
      </c>
      <c r="C429" s="799">
        <f>+B430-1</f>
        <v>25569.041666666668</v>
      </c>
      <c r="D429" s="791">
        <f>-_xlfn.DAYS($C$3,C429)/365.25</f>
      </c>
      <c r="E429" s="800">
        <f>IF($D$17+40&lt;=D429,(1+$D$7)^-(D429-$C$5),(1+$C$7)^-(D429-$C$5))</f>
      </c>
      <c r="F429" s="801">
        <f>IF($C$4="Hombre",(+VLOOKUP(INT(D429)+1,Tablas!$G$9:$K$1240,5,0)*(D429-INT(D429))+VLOOKUP(INT(D429),Tablas!$G$9:$K$1240,5,0)*(INT(D429)+1-D429))/(VLOOKUP(INT($C$5)+1,Tablas!$G$9:$K$1240,5,0)*($C$5-INT($C$5))+VLOOKUP(INT($C$5),Tablas!$G$9:$K$124,5,0)*(INT($C$5)+1-$C$5)),(+VLOOKUP(INT(D429)+1,Tablas!$G$9:$O$1240,9,0)*(D429-INT(D429))+VLOOKUP(INT(D429),Tablas!$G$9:$O$1240,9,0)*(INT(D429)+1-D429))/(VLOOKUP(INT($C$5)+1,Tablas!$G$9:$O$1240,9,0)*($C$5-INT($C$5))+VLOOKUP(INT($C$5),Tablas!$G$9:$O$124,9,0)*(INT($C$5)+1-$C$5)))</f>
      </c>
      <c r="G429" s="791">
        <f>IF($C$4="Hombre",(+VLOOKUP(INT(D429)+1,Tablas!$G$9:$K$1240,5,0)*(D429-INT(D429))+VLOOKUP(INT(D429),Tablas!$G$9:$K$1240,5,0)*(INT(D429)+1-D429)),+VLOOKUP(INT(D429)+1,Tablas!$G$9:$O$1240,9,0)*(D429-INT(D429))+VLOOKUP(INT(D429),Tablas!$G$9:$O$1240,9,0)*(INT(D429)+1-D429))</f>
      </c>
      <c r="H429" s="801">
        <f>+IF(MONTH(B429)=1,H428*(1+$C$9),H428)</f>
      </c>
      <c r="I429" s="791">
        <f>IF(B429&lt;$C$10,0,IF(B429&lt;$C$11,$C$8/12*E429*F429*H429,0))</f>
      </c>
      <c r="J429" s="791">
        <f>I429*12/14+IF(OR(MONTH(C429)=6,MONTH(C429)=12),I429*12/14,0)</f>
      </c>
      <c r="K429" s="801">
        <f>G429/$G$15</f>
      </c>
      <c r="L429" s="760"/>
      <c r="M429" s="767"/>
      <c r="N429" s="168"/>
      <c r="O429" s="768"/>
      <c r="P429" s="170"/>
      <c r="Q429" s="7"/>
      <c r="R429" s="766"/>
      <c r="S429" s="170"/>
      <c r="T429" s="168"/>
      <c r="U429" s="170"/>
    </row>
    <row x14ac:dyDescent="0.25" r="430" customHeight="1" ht="18.75">
      <c r="A430" s="1"/>
      <c r="B430" s="799">
        <f>+DATE(YEAR(B429),MONTH(B429)+1,DAY(B429))</f>
        <v>25569.041666666668</v>
      </c>
      <c r="C430" s="799">
        <f>+B431-1</f>
        <v>25569.041666666668</v>
      </c>
      <c r="D430" s="791">
        <f>-_xlfn.DAYS($C$3,C430)/365.25</f>
      </c>
      <c r="E430" s="800">
        <f>IF($D$17+40&lt;=D430,(1+$D$7)^-(D430-$C$5),(1+$C$7)^-(D430-$C$5))</f>
      </c>
      <c r="F430" s="801">
        <f>IF($C$4="Hombre",(+VLOOKUP(INT(D430)+1,Tablas!$G$9:$K$1240,5,0)*(D430-INT(D430))+VLOOKUP(INT(D430),Tablas!$G$9:$K$1240,5,0)*(INT(D430)+1-D430))/(VLOOKUP(INT($C$5)+1,Tablas!$G$9:$K$1240,5,0)*($C$5-INT($C$5))+VLOOKUP(INT($C$5),Tablas!$G$9:$K$124,5,0)*(INT($C$5)+1-$C$5)),(+VLOOKUP(INT(D430)+1,Tablas!$G$9:$O$1240,9,0)*(D430-INT(D430))+VLOOKUP(INT(D430),Tablas!$G$9:$O$1240,9,0)*(INT(D430)+1-D430))/(VLOOKUP(INT($C$5)+1,Tablas!$G$9:$O$1240,9,0)*($C$5-INT($C$5))+VLOOKUP(INT($C$5),Tablas!$G$9:$O$124,9,0)*(INT($C$5)+1-$C$5)))</f>
      </c>
      <c r="G430" s="791">
        <f>IF($C$4="Hombre",(+VLOOKUP(INT(D430)+1,Tablas!$G$9:$K$1240,5,0)*(D430-INT(D430))+VLOOKUP(INT(D430),Tablas!$G$9:$K$1240,5,0)*(INT(D430)+1-D430)),+VLOOKUP(INT(D430)+1,Tablas!$G$9:$O$1240,9,0)*(D430-INT(D430))+VLOOKUP(INT(D430),Tablas!$G$9:$O$1240,9,0)*(INT(D430)+1-D430))</f>
      </c>
      <c r="H430" s="801">
        <f>+IF(MONTH(B430)=1,H429*(1+$C$9),H429)</f>
      </c>
      <c r="I430" s="791">
        <f>IF(B430&lt;$C$10,0,IF(B430&lt;$C$11,$C$8/12*E430*F430*H430,0))</f>
      </c>
      <c r="J430" s="791">
        <f>I430*12/14+IF(OR(MONTH(C430)=6,MONTH(C430)=12),I430*12/14,0)</f>
      </c>
      <c r="K430" s="801">
        <f>G430/$G$15</f>
      </c>
      <c r="L430" s="760"/>
      <c r="M430" s="767"/>
      <c r="N430" s="168"/>
      <c r="O430" s="768"/>
      <c r="P430" s="170"/>
      <c r="Q430" s="7"/>
      <c r="R430" s="766"/>
      <c r="S430" s="170"/>
      <c r="T430" s="168"/>
      <c r="U430" s="170"/>
    </row>
    <row x14ac:dyDescent="0.25" r="431" customHeight="1" ht="18.75">
      <c r="A431" s="1"/>
      <c r="B431" s="799">
        <f>+DATE(YEAR(B430),MONTH(B430)+1,DAY(B430))</f>
        <v>25569.041666666668</v>
      </c>
      <c r="C431" s="799">
        <f>+B432-1</f>
        <v>25569.041666666668</v>
      </c>
      <c r="D431" s="791">
        <f>-_xlfn.DAYS($C$3,C431)/365.25</f>
      </c>
      <c r="E431" s="800">
        <f>IF($D$17+40&lt;=D431,(1+$D$7)^-(D431-$C$5),(1+$C$7)^-(D431-$C$5))</f>
      </c>
      <c r="F431" s="801">
        <f>IF($C$4="Hombre",(+VLOOKUP(INT(D431)+1,Tablas!$G$9:$K$1240,5,0)*(D431-INT(D431))+VLOOKUP(INT(D431),Tablas!$G$9:$K$1240,5,0)*(INT(D431)+1-D431))/(VLOOKUP(INT($C$5)+1,Tablas!$G$9:$K$1240,5,0)*($C$5-INT($C$5))+VLOOKUP(INT($C$5),Tablas!$G$9:$K$124,5,0)*(INT($C$5)+1-$C$5)),(+VLOOKUP(INT(D431)+1,Tablas!$G$9:$O$1240,9,0)*(D431-INT(D431))+VLOOKUP(INT(D431),Tablas!$G$9:$O$1240,9,0)*(INT(D431)+1-D431))/(VLOOKUP(INT($C$5)+1,Tablas!$G$9:$O$1240,9,0)*($C$5-INT($C$5))+VLOOKUP(INT($C$5),Tablas!$G$9:$O$124,9,0)*(INT($C$5)+1-$C$5)))</f>
      </c>
      <c r="G431" s="791">
        <f>IF($C$4="Hombre",(+VLOOKUP(INT(D431)+1,Tablas!$G$9:$K$1240,5,0)*(D431-INT(D431))+VLOOKUP(INT(D431),Tablas!$G$9:$K$1240,5,0)*(INT(D431)+1-D431)),+VLOOKUP(INT(D431)+1,Tablas!$G$9:$O$1240,9,0)*(D431-INT(D431))+VLOOKUP(INT(D431),Tablas!$G$9:$O$1240,9,0)*(INT(D431)+1-D431))</f>
      </c>
      <c r="H431" s="801">
        <f>+IF(MONTH(B431)=1,H430*(1+$C$9),H430)</f>
      </c>
      <c r="I431" s="791">
        <f>IF(B431&lt;$C$10,0,IF(B431&lt;$C$11,$C$8/12*E431*F431*H431,0))</f>
      </c>
      <c r="J431" s="791">
        <f>I431*12/14+IF(OR(MONTH(C431)=6,MONTH(C431)=12),I431*12/14,0)</f>
      </c>
      <c r="K431" s="801">
        <f>G431/$G$15</f>
      </c>
      <c r="L431" s="760"/>
      <c r="M431" s="767"/>
      <c r="N431" s="168"/>
      <c r="O431" s="768"/>
      <c r="P431" s="170"/>
      <c r="Q431" s="7"/>
      <c r="R431" s="766"/>
      <c r="S431" s="170"/>
      <c r="T431" s="168"/>
      <c r="U431" s="170"/>
    </row>
    <row x14ac:dyDescent="0.25" r="432" customHeight="1" ht="18.75">
      <c r="A432" s="1"/>
      <c r="B432" s="799">
        <f>+DATE(YEAR(B431),MONTH(B431)+1,DAY(B431))</f>
        <v>25569.041666666668</v>
      </c>
      <c r="C432" s="799">
        <f>+B433-1</f>
        <v>25569.041666666668</v>
      </c>
      <c r="D432" s="791">
        <f>-_xlfn.DAYS($C$3,C432)/365.25</f>
      </c>
      <c r="E432" s="800">
        <f>IF($D$17+40&lt;=D432,(1+$D$7)^-(D432-$C$5),(1+$C$7)^-(D432-$C$5))</f>
      </c>
      <c r="F432" s="801">
        <f>IF($C$4="Hombre",(+VLOOKUP(INT(D432)+1,Tablas!$G$9:$K$1240,5,0)*(D432-INT(D432))+VLOOKUP(INT(D432),Tablas!$G$9:$K$1240,5,0)*(INT(D432)+1-D432))/(VLOOKUP(INT($C$5)+1,Tablas!$G$9:$K$1240,5,0)*($C$5-INT($C$5))+VLOOKUP(INT($C$5),Tablas!$G$9:$K$124,5,0)*(INT($C$5)+1-$C$5)),(+VLOOKUP(INT(D432)+1,Tablas!$G$9:$O$1240,9,0)*(D432-INT(D432))+VLOOKUP(INT(D432),Tablas!$G$9:$O$1240,9,0)*(INT(D432)+1-D432))/(VLOOKUP(INT($C$5)+1,Tablas!$G$9:$O$1240,9,0)*($C$5-INT($C$5))+VLOOKUP(INT($C$5),Tablas!$G$9:$O$124,9,0)*(INT($C$5)+1-$C$5)))</f>
      </c>
      <c r="G432" s="791">
        <f>IF($C$4="Hombre",(+VLOOKUP(INT(D432)+1,Tablas!$G$9:$K$1240,5,0)*(D432-INT(D432))+VLOOKUP(INT(D432),Tablas!$G$9:$K$1240,5,0)*(INT(D432)+1-D432)),+VLOOKUP(INT(D432)+1,Tablas!$G$9:$O$1240,9,0)*(D432-INT(D432))+VLOOKUP(INT(D432),Tablas!$G$9:$O$1240,9,0)*(INT(D432)+1-D432))</f>
      </c>
      <c r="H432" s="801">
        <f>+IF(MONTH(B432)=1,H431*(1+$C$9),H431)</f>
      </c>
      <c r="I432" s="791">
        <f>IF(B432&lt;$C$10,0,IF(B432&lt;$C$11,$C$8/12*E432*F432*H432,0))</f>
      </c>
      <c r="J432" s="791">
        <f>I432*12/14+IF(OR(MONTH(C432)=6,MONTH(C432)=12),I432*12/14,0)</f>
      </c>
      <c r="K432" s="801">
        <f>G432/$G$15</f>
      </c>
      <c r="L432" s="760"/>
      <c r="M432" s="767"/>
      <c r="N432" s="168"/>
      <c r="O432" s="768"/>
      <c r="P432" s="170"/>
      <c r="Q432" s="7"/>
      <c r="R432" s="766"/>
      <c r="S432" s="170"/>
      <c r="T432" s="168"/>
      <c r="U432" s="170"/>
    </row>
    <row x14ac:dyDescent="0.25" r="433" customHeight="1" ht="18.75">
      <c r="A433" s="1"/>
      <c r="B433" s="799">
        <f>+DATE(YEAR(B432),MONTH(B432)+1,DAY(B432))</f>
        <v>25569.041666666668</v>
      </c>
      <c r="C433" s="799">
        <f>+B434-1</f>
        <v>25569.041666666668</v>
      </c>
      <c r="D433" s="791">
        <f>-_xlfn.DAYS($C$3,C433)/365.25</f>
      </c>
      <c r="E433" s="800">
        <f>IF($D$17+40&lt;=D433,(1+$D$7)^-(D433-$C$5),(1+$C$7)^-(D433-$C$5))</f>
      </c>
      <c r="F433" s="801">
        <f>IF($C$4="Hombre",(+VLOOKUP(INT(D433)+1,Tablas!$G$9:$K$1240,5,0)*(D433-INT(D433))+VLOOKUP(INT(D433),Tablas!$G$9:$K$1240,5,0)*(INT(D433)+1-D433))/(VLOOKUP(INT($C$5)+1,Tablas!$G$9:$K$1240,5,0)*($C$5-INT($C$5))+VLOOKUP(INT($C$5),Tablas!$G$9:$K$124,5,0)*(INT($C$5)+1-$C$5)),(+VLOOKUP(INT(D433)+1,Tablas!$G$9:$O$1240,9,0)*(D433-INT(D433))+VLOOKUP(INT(D433),Tablas!$G$9:$O$1240,9,0)*(INT(D433)+1-D433))/(VLOOKUP(INT($C$5)+1,Tablas!$G$9:$O$1240,9,0)*($C$5-INT($C$5))+VLOOKUP(INT($C$5),Tablas!$G$9:$O$124,9,0)*(INT($C$5)+1-$C$5)))</f>
      </c>
      <c r="G433" s="791">
        <f>IF($C$4="Hombre",(+VLOOKUP(INT(D433)+1,Tablas!$G$9:$K$1240,5,0)*(D433-INT(D433))+VLOOKUP(INT(D433),Tablas!$G$9:$K$1240,5,0)*(INT(D433)+1-D433)),+VLOOKUP(INT(D433)+1,Tablas!$G$9:$O$1240,9,0)*(D433-INT(D433))+VLOOKUP(INT(D433),Tablas!$G$9:$O$1240,9,0)*(INT(D433)+1-D433))</f>
      </c>
      <c r="H433" s="801">
        <f>+IF(MONTH(B433)=1,H432*(1+$C$9),H432)</f>
      </c>
      <c r="I433" s="791">
        <f>IF(B433&lt;$C$10,0,IF(B433&lt;$C$11,$C$8/12*E433*F433*H433,0))</f>
      </c>
      <c r="J433" s="791">
        <f>I433*12/14+IF(OR(MONTH(C433)=6,MONTH(C433)=12),I433*12/14,0)</f>
      </c>
      <c r="K433" s="801">
        <f>G433/$G$15</f>
      </c>
      <c r="L433" s="760"/>
      <c r="M433" s="767"/>
      <c r="N433" s="168"/>
      <c r="O433" s="768"/>
      <c r="P433" s="170"/>
      <c r="Q433" s="7"/>
      <c r="R433" s="766"/>
      <c r="S433" s="170"/>
      <c r="T433" s="168"/>
      <c r="U433" s="170"/>
    </row>
    <row x14ac:dyDescent="0.25" r="434" customHeight="1" ht="18.75">
      <c r="A434" s="1"/>
      <c r="B434" s="799">
        <f>+DATE(YEAR(B433),MONTH(B433)+1,DAY(B433))</f>
        <v>25569.041666666668</v>
      </c>
      <c r="C434" s="799">
        <f>+B435-1</f>
        <v>25569.041666666668</v>
      </c>
      <c r="D434" s="791">
        <f>-_xlfn.DAYS($C$3,C434)/365.25</f>
      </c>
      <c r="E434" s="800">
        <f>IF($D$17+40&lt;=D434,(1+$D$7)^-(D434-$C$5),(1+$C$7)^-(D434-$C$5))</f>
      </c>
      <c r="F434" s="801">
        <f>IF($C$4="Hombre",(+VLOOKUP(INT(D434)+1,Tablas!$G$9:$K$1240,5,0)*(D434-INT(D434))+VLOOKUP(INT(D434),Tablas!$G$9:$K$1240,5,0)*(INT(D434)+1-D434))/(VLOOKUP(INT($C$5)+1,Tablas!$G$9:$K$1240,5,0)*($C$5-INT($C$5))+VLOOKUP(INT($C$5),Tablas!$G$9:$K$124,5,0)*(INT($C$5)+1-$C$5)),(+VLOOKUP(INT(D434)+1,Tablas!$G$9:$O$1240,9,0)*(D434-INT(D434))+VLOOKUP(INT(D434),Tablas!$G$9:$O$1240,9,0)*(INT(D434)+1-D434))/(VLOOKUP(INT($C$5)+1,Tablas!$G$9:$O$1240,9,0)*($C$5-INT($C$5))+VLOOKUP(INT($C$5),Tablas!$G$9:$O$124,9,0)*(INT($C$5)+1-$C$5)))</f>
      </c>
      <c r="G434" s="791">
        <f>IF($C$4="Hombre",(+VLOOKUP(INT(D434)+1,Tablas!$G$9:$K$1240,5,0)*(D434-INT(D434))+VLOOKUP(INT(D434),Tablas!$G$9:$K$1240,5,0)*(INT(D434)+1-D434)),+VLOOKUP(INT(D434)+1,Tablas!$G$9:$O$1240,9,0)*(D434-INT(D434))+VLOOKUP(INT(D434),Tablas!$G$9:$O$1240,9,0)*(INT(D434)+1-D434))</f>
      </c>
      <c r="H434" s="801">
        <f>+IF(MONTH(B434)=1,H433*(1+$C$9),H433)</f>
      </c>
      <c r="I434" s="791">
        <f>IF(B434&lt;$C$10,0,IF(B434&lt;$C$11,$C$8/12*E434*F434*H434,0))</f>
      </c>
      <c r="J434" s="791">
        <f>I434*12/14+IF(OR(MONTH(C434)=6,MONTH(C434)=12),I434*12/14,0)</f>
      </c>
      <c r="K434" s="801">
        <f>G434/$G$15</f>
      </c>
      <c r="L434" s="760"/>
      <c r="M434" s="767"/>
      <c r="N434" s="168"/>
      <c r="O434" s="768"/>
      <c r="P434" s="170"/>
      <c r="Q434" s="7"/>
      <c r="R434" s="766"/>
      <c r="S434" s="170"/>
      <c r="T434" s="168"/>
      <c r="U434" s="170"/>
    </row>
    <row x14ac:dyDescent="0.25" r="435" customHeight="1" ht="18.75">
      <c r="A435" s="1"/>
      <c r="B435" s="799">
        <f>+DATE(YEAR(B434),MONTH(B434)+1,DAY(B434))</f>
        <v>25569.041666666668</v>
      </c>
      <c r="C435" s="799">
        <f>+B436-1</f>
        <v>25569.041666666668</v>
      </c>
      <c r="D435" s="791">
        <f>-_xlfn.DAYS($C$3,C435)/365.25</f>
      </c>
      <c r="E435" s="800">
        <f>IF($D$17+40&lt;=D435,(1+$D$7)^-(D435-$C$5),(1+$C$7)^-(D435-$C$5))</f>
      </c>
      <c r="F435" s="801">
        <f>IF($C$4="Hombre",(+VLOOKUP(INT(D435)+1,Tablas!$G$9:$K$1240,5,0)*(D435-INT(D435))+VLOOKUP(INT(D435),Tablas!$G$9:$K$1240,5,0)*(INT(D435)+1-D435))/(VLOOKUP(INT($C$5)+1,Tablas!$G$9:$K$1240,5,0)*($C$5-INT($C$5))+VLOOKUP(INT($C$5),Tablas!$G$9:$K$124,5,0)*(INT($C$5)+1-$C$5)),(+VLOOKUP(INT(D435)+1,Tablas!$G$9:$O$1240,9,0)*(D435-INT(D435))+VLOOKUP(INT(D435),Tablas!$G$9:$O$1240,9,0)*(INT(D435)+1-D435))/(VLOOKUP(INT($C$5)+1,Tablas!$G$9:$O$1240,9,0)*($C$5-INT($C$5))+VLOOKUP(INT($C$5),Tablas!$G$9:$O$124,9,0)*(INT($C$5)+1-$C$5)))</f>
      </c>
      <c r="G435" s="791">
        <f>IF($C$4="Hombre",(+VLOOKUP(INT(D435)+1,Tablas!$G$9:$K$1240,5,0)*(D435-INT(D435))+VLOOKUP(INT(D435),Tablas!$G$9:$K$1240,5,0)*(INT(D435)+1-D435)),+VLOOKUP(INT(D435)+1,Tablas!$G$9:$O$1240,9,0)*(D435-INT(D435))+VLOOKUP(INT(D435),Tablas!$G$9:$O$1240,9,0)*(INT(D435)+1-D435))</f>
      </c>
      <c r="H435" s="801">
        <f>+IF(MONTH(B435)=1,H434*(1+$C$9),H434)</f>
      </c>
      <c r="I435" s="791">
        <f>IF(B435&lt;$C$10,0,IF(B435&lt;$C$11,$C$8/12*E435*F435*H435,0))</f>
      </c>
      <c r="J435" s="791">
        <f>I435*12/14+IF(OR(MONTH(C435)=6,MONTH(C435)=12),I435*12/14,0)</f>
      </c>
      <c r="K435" s="801">
        <f>G435/$G$15</f>
      </c>
      <c r="L435" s="760"/>
      <c r="M435" s="767"/>
      <c r="N435" s="168"/>
      <c r="O435" s="768"/>
      <c r="P435" s="170"/>
      <c r="Q435" s="7"/>
      <c r="R435" s="766"/>
      <c r="S435" s="170"/>
      <c r="T435" s="168"/>
      <c r="U435" s="170"/>
    </row>
    <row x14ac:dyDescent="0.25" r="436" customHeight="1" ht="18.75">
      <c r="A436" s="1"/>
      <c r="B436" s="799">
        <f>+DATE(YEAR(B435),MONTH(B435)+1,DAY(B435))</f>
        <v>25569.041666666668</v>
      </c>
      <c r="C436" s="799">
        <f>+B437-1</f>
        <v>25569.041666666668</v>
      </c>
      <c r="D436" s="791">
        <f>-_xlfn.DAYS($C$3,C436)/365.25</f>
      </c>
      <c r="E436" s="800">
        <f>IF($D$17+40&lt;=D436,(1+$D$7)^-(D436-$C$5),(1+$C$7)^-(D436-$C$5))</f>
      </c>
      <c r="F436" s="801">
        <f>IF($C$4="Hombre",(+VLOOKUP(INT(D436)+1,Tablas!$G$9:$K$1240,5,0)*(D436-INT(D436))+VLOOKUP(INT(D436),Tablas!$G$9:$K$1240,5,0)*(INT(D436)+1-D436))/(VLOOKUP(INT($C$5)+1,Tablas!$G$9:$K$1240,5,0)*($C$5-INT($C$5))+VLOOKUP(INT($C$5),Tablas!$G$9:$K$124,5,0)*(INT($C$5)+1-$C$5)),(+VLOOKUP(INT(D436)+1,Tablas!$G$9:$O$1240,9,0)*(D436-INT(D436))+VLOOKUP(INT(D436),Tablas!$G$9:$O$1240,9,0)*(INT(D436)+1-D436))/(VLOOKUP(INT($C$5)+1,Tablas!$G$9:$O$1240,9,0)*($C$5-INT($C$5))+VLOOKUP(INT($C$5),Tablas!$G$9:$O$124,9,0)*(INT($C$5)+1-$C$5)))</f>
      </c>
      <c r="G436" s="791">
        <f>IF($C$4="Hombre",(+VLOOKUP(INT(D436)+1,Tablas!$G$9:$K$1240,5,0)*(D436-INT(D436))+VLOOKUP(INT(D436),Tablas!$G$9:$K$1240,5,0)*(INT(D436)+1-D436)),+VLOOKUP(INT(D436)+1,Tablas!$G$9:$O$1240,9,0)*(D436-INT(D436))+VLOOKUP(INT(D436),Tablas!$G$9:$O$1240,9,0)*(INT(D436)+1-D436))</f>
      </c>
      <c r="H436" s="801">
        <f>+IF(MONTH(B436)=1,H435*(1+$C$9),H435)</f>
      </c>
      <c r="I436" s="791">
        <f>IF(B436&lt;$C$10,0,IF(B436&lt;$C$11,$C$8/12*E436*F436*H436,0))</f>
      </c>
      <c r="J436" s="791">
        <f>I436*12/14+IF(OR(MONTH(C436)=6,MONTH(C436)=12),I436*12/14,0)</f>
      </c>
      <c r="K436" s="801">
        <f>G436/$G$15</f>
      </c>
      <c r="L436" s="760"/>
      <c r="M436" s="767"/>
      <c r="N436" s="168"/>
      <c r="O436" s="768"/>
      <c r="P436" s="170"/>
      <c r="Q436" s="7"/>
      <c r="R436" s="766"/>
      <c r="S436" s="170"/>
      <c r="T436" s="168"/>
      <c r="U436" s="170"/>
    </row>
    <row x14ac:dyDescent="0.25" r="437" customHeight="1" ht="18.75">
      <c r="A437" s="1"/>
      <c r="B437" s="799">
        <f>+DATE(YEAR(B436),MONTH(B436)+1,DAY(B436))</f>
        <v>25569.041666666668</v>
      </c>
      <c r="C437" s="799">
        <f>+B438-1</f>
        <v>25569.041666666668</v>
      </c>
      <c r="D437" s="791">
        <f>-_xlfn.DAYS($C$3,C437)/365.25</f>
      </c>
      <c r="E437" s="800">
        <f>IF($D$17+40&lt;=D437,(1+$D$7)^-(D437-$C$5),(1+$C$7)^-(D437-$C$5))</f>
      </c>
      <c r="F437" s="801">
        <f>IF($C$4="Hombre",(+VLOOKUP(INT(D437)+1,Tablas!$G$9:$K$1240,5,0)*(D437-INT(D437))+VLOOKUP(INT(D437),Tablas!$G$9:$K$1240,5,0)*(INT(D437)+1-D437))/(VLOOKUP(INT($C$5)+1,Tablas!$G$9:$K$1240,5,0)*($C$5-INT($C$5))+VLOOKUP(INT($C$5),Tablas!$G$9:$K$124,5,0)*(INT($C$5)+1-$C$5)),(+VLOOKUP(INT(D437)+1,Tablas!$G$9:$O$1240,9,0)*(D437-INT(D437))+VLOOKUP(INT(D437),Tablas!$G$9:$O$1240,9,0)*(INT(D437)+1-D437))/(VLOOKUP(INT($C$5)+1,Tablas!$G$9:$O$1240,9,0)*($C$5-INT($C$5))+VLOOKUP(INT($C$5),Tablas!$G$9:$O$124,9,0)*(INT($C$5)+1-$C$5)))</f>
      </c>
      <c r="G437" s="791">
        <f>IF($C$4="Hombre",(+VLOOKUP(INT(D437)+1,Tablas!$G$9:$K$1240,5,0)*(D437-INT(D437))+VLOOKUP(INT(D437),Tablas!$G$9:$K$1240,5,0)*(INT(D437)+1-D437)),+VLOOKUP(INT(D437)+1,Tablas!$G$9:$O$1240,9,0)*(D437-INT(D437))+VLOOKUP(INT(D437),Tablas!$G$9:$O$1240,9,0)*(INT(D437)+1-D437))</f>
      </c>
      <c r="H437" s="801">
        <f>+IF(MONTH(B437)=1,H436*(1+$C$9),H436)</f>
      </c>
      <c r="I437" s="791">
        <f>IF(B437&lt;$C$10,0,IF(B437&lt;$C$11,$C$8/12*E437*F437*H437,0))</f>
      </c>
      <c r="J437" s="791">
        <f>I437*12/14+IF(OR(MONTH(C437)=6,MONTH(C437)=12),I437*12/14,0)</f>
      </c>
      <c r="K437" s="801">
        <f>G437/$G$15</f>
      </c>
      <c r="L437" s="760"/>
      <c r="M437" s="767"/>
      <c r="N437" s="168"/>
      <c r="O437" s="768"/>
      <c r="P437" s="170"/>
      <c r="Q437" s="7"/>
      <c r="R437" s="766"/>
      <c r="S437" s="170"/>
      <c r="T437" s="168"/>
      <c r="U437" s="170"/>
    </row>
    <row x14ac:dyDescent="0.25" r="438" customHeight="1" ht="18.75">
      <c r="A438" s="1"/>
      <c r="B438" s="799">
        <f>+DATE(YEAR(B437),MONTH(B437)+1,DAY(B437))</f>
        <v>25569.041666666668</v>
      </c>
      <c r="C438" s="799">
        <f>+B439-1</f>
        <v>25569.041666666668</v>
      </c>
      <c r="D438" s="791">
        <f>-_xlfn.DAYS($C$3,C438)/365.25</f>
      </c>
      <c r="E438" s="800">
        <f>IF($D$17+40&lt;=D438,(1+$D$7)^-(D438-$C$5),(1+$C$7)^-(D438-$C$5))</f>
      </c>
      <c r="F438" s="801">
        <f>IF($C$4="Hombre",(+VLOOKUP(INT(D438)+1,Tablas!$G$9:$K$1240,5,0)*(D438-INT(D438))+VLOOKUP(INT(D438),Tablas!$G$9:$K$1240,5,0)*(INT(D438)+1-D438))/(VLOOKUP(INT($C$5)+1,Tablas!$G$9:$K$1240,5,0)*($C$5-INT($C$5))+VLOOKUP(INT($C$5),Tablas!$G$9:$K$124,5,0)*(INT($C$5)+1-$C$5)),(+VLOOKUP(INT(D438)+1,Tablas!$G$9:$O$1240,9,0)*(D438-INT(D438))+VLOOKUP(INT(D438),Tablas!$G$9:$O$1240,9,0)*(INT(D438)+1-D438))/(VLOOKUP(INT($C$5)+1,Tablas!$G$9:$O$1240,9,0)*($C$5-INT($C$5))+VLOOKUP(INT($C$5),Tablas!$G$9:$O$124,9,0)*(INT($C$5)+1-$C$5)))</f>
      </c>
      <c r="G438" s="791">
        <f>IF($C$4="Hombre",(+VLOOKUP(INT(D438)+1,Tablas!$G$9:$K$1240,5,0)*(D438-INT(D438))+VLOOKUP(INT(D438),Tablas!$G$9:$K$1240,5,0)*(INT(D438)+1-D438)),+VLOOKUP(INT(D438)+1,Tablas!$G$9:$O$1240,9,0)*(D438-INT(D438))+VLOOKUP(INT(D438),Tablas!$G$9:$O$1240,9,0)*(INT(D438)+1-D438))</f>
      </c>
      <c r="H438" s="801">
        <f>+IF(MONTH(B438)=1,H437*(1+$C$9),H437)</f>
      </c>
      <c r="I438" s="791">
        <f>IF(B438&lt;$C$10,0,IF(B438&lt;$C$11,$C$8/12*E438*F438*H438,0))</f>
      </c>
      <c r="J438" s="791">
        <f>I438*12/14+IF(OR(MONTH(C438)=6,MONTH(C438)=12),I438*12/14,0)</f>
      </c>
      <c r="K438" s="801">
        <f>G438/$G$15</f>
      </c>
      <c r="L438" s="760"/>
      <c r="M438" s="767"/>
      <c r="N438" s="168"/>
      <c r="O438" s="768"/>
      <c r="P438" s="170"/>
      <c r="Q438" s="7"/>
      <c r="R438" s="766"/>
      <c r="S438" s="170"/>
      <c r="T438" s="168"/>
      <c r="U438" s="170"/>
    </row>
    <row x14ac:dyDescent="0.25" r="439" customHeight="1" ht="18.75">
      <c r="A439" s="1"/>
      <c r="B439" s="799">
        <f>+DATE(YEAR(B438),MONTH(B438)+1,DAY(B438))</f>
        <v>25569.041666666668</v>
      </c>
      <c r="C439" s="799">
        <f>+B440-1</f>
        <v>25569.041666666668</v>
      </c>
      <c r="D439" s="791">
        <f>-_xlfn.DAYS($C$3,C439)/365.25</f>
      </c>
      <c r="E439" s="800">
        <f>IF($D$17+40&lt;=D439,(1+$D$7)^-(D439-$C$5),(1+$C$7)^-(D439-$C$5))</f>
      </c>
      <c r="F439" s="801">
        <f>IF($C$4="Hombre",(+VLOOKUP(INT(D439)+1,Tablas!$G$9:$K$1240,5,0)*(D439-INT(D439))+VLOOKUP(INT(D439),Tablas!$G$9:$K$1240,5,0)*(INT(D439)+1-D439))/(VLOOKUP(INT($C$5)+1,Tablas!$G$9:$K$1240,5,0)*($C$5-INT($C$5))+VLOOKUP(INT($C$5),Tablas!$G$9:$K$124,5,0)*(INT($C$5)+1-$C$5)),(+VLOOKUP(INT(D439)+1,Tablas!$G$9:$O$1240,9,0)*(D439-INT(D439))+VLOOKUP(INT(D439),Tablas!$G$9:$O$1240,9,0)*(INT(D439)+1-D439))/(VLOOKUP(INT($C$5)+1,Tablas!$G$9:$O$1240,9,0)*($C$5-INT($C$5))+VLOOKUP(INT($C$5),Tablas!$G$9:$O$124,9,0)*(INT($C$5)+1-$C$5)))</f>
      </c>
      <c r="G439" s="791">
        <f>IF($C$4="Hombre",(+VLOOKUP(INT(D439)+1,Tablas!$G$9:$K$1240,5,0)*(D439-INT(D439))+VLOOKUP(INT(D439),Tablas!$G$9:$K$1240,5,0)*(INT(D439)+1-D439)),+VLOOKUP(INT(D439)+1,Tablas!$G$9:$O$1240,9,0)*(D439-INT(D439))+VLOOKUP(INT(D439),Tablas!$G$9:$O$1240,9,0)*(INT(D439)+1-D439))</f>
      </c>
      <c r="H439" s="801">
        <f>+IF(MONTH(B439)=1,H438*(1+$C$9),H438)</f>
      </c>
      <c r="I439" s="791">
        <f>IF(B439&lt;$C$10,0,IF(B439&lt;$C$11,$C$8/12*E439*F439*H439,0))</f>
      </c>
      <c r="J439" s="791">
        <f>I439*12/14+IF(OR(MONTH(C439)=6,MONTH(C439)=12),I439*12/14,0)</f>
      </c>
      <c r="K439" s="801">
        <f>G439/$G$15</f>
      </c>
      <c r="L439" s="760"/>
      <c r="M439" s="767"/>
      <c r="N439" s="168"/>
      <c r="O439" s="768"/>
      <c r="P439" s="170"/>
      <c r="Q439" s="7"/>
      <c r="R439" s="766"/>
      <c r="S439" s="170"/>
      <c r="T439" s="168"/>
      <c r="U439" s="170"/>
    </row>
    <row x14ac:dyDescent="0.25" r="440" customHeight="1" ht="18.75">
      <c r="A440" s="1"/>
      <c r="B440" s="799">
        <f>+DATE(YEAR(B439),MONTH(B439)+1,DAY(B439))</f>
        <v>25569.041666666668</v>
      </c>
      <c r="C440" s="799">
        <f>+B441-1</f>
        <v>25569.041666666668</v>
      </c>
      <c r="D440" s="791">
        <f>-_xlfn.DAYS($C$3,C440)/365.25</f>
      </c>
      <c r="E440" s="800">
        <f>IF($D$17+40&lt;=D440,(1+$D$7)^-(D440-$C$5),(1+$C$7)^-(D440-$C$5))</f>
      </c>
      <c r="F440" s="801">
        <f>IF($C$4="Hombre",(+VLOOKUP(INT(D440)+1,Tablas!$G$9:$K$1240,5,0)*(D440-INT(D440))+VLOOKUP(INT(D440),Tablas!$G$9:$K$1240,5,0)*(INT(D440)+1-D440))/(VLOOKUP(INT($C$5)+1,Tablas!$G$9:$K$1240,5,0)*($C$5-INT($C$5))+VLOOKUP(INT($C$5),Tablas!$G$9:$K$124,5,0)*(INT($C$5)+1-$C$5)),(+VLOOKUP(INT(D440)+1,Tablas!$G$9:$O$1240,9,0)*(D440-INT(D440))+VLOOKUP(INT(D440),Tablas!$G$9:$O$1240,9,0)*(INT(D440)+1-D440))/(VLOOKUP(INT($C$5)+1,Tablas!$G$9:$O$1240,9,0)*($C$5-INT($C$5))+VLOOKUP(INT($C$5),Tablas!$G$9:$O$124,9,0)*(INT($C$5)+1-$C$5)))</f>
      </c>
      <c r="G440" s="791">
        <f>IF($C$4="Hombre",(+VLOOKUP(INT(D440)+1,Tablas!$G$9:$K$1240,5,0)*(D440-INT(D440))+VLOOKUP(INT(D440),Tablas!$G$9:$K$1240,5,0)*(INT(D440)+1-D440)),+VLOOKUP(INT(D440)+1,Tablas!$G$9:$O$1240,9,0)*(D440-INT(D440))+VLOOKUP(INT(D440),Tablas!$G$9:$O$1240,9,0)*(INT(D440)+1-D440))</f>
      </c>
      <c r="H440" s="801">
        <f>+IF(MONTH(B440)=1,H439*(1+$C$9),H439)</f>
      </c>
      <c r="I440" s="791">
        <f>IF(B440&lt;$C$10,0,IF(B440&lt;$C$11,$C$8/12*E440*F440*H440,0))</f>
      </c>
      <c r="J440" s="791">
        <f>I440*12/14+IF(OR(MONTH(C440)=6,MONTH(C440)=12),I440*12/14,0)</f>
      </c>
      <c r="K440" s="801">
        <f>G440/$G$15</f>
      </c>
      <c r="L440" s="760"/>
      <c r="M440" s="767"/>
      <c r="N440" s="168"/>
      <c r="O440" s="768"/>
      <c r="P440" s="170"/>
      <c r="Q440" s="7"/>
      <c r="R440" s="766"/>
      <c r="S440" s="170"/>
      <c r="T440" s="168"/>
      <c r="U440" s="170"/>
    </row>
    <row x14ac:dyDescent="0.25" r="441" customHeight="1" ht="18.75">
      <c r="A441" s="1"/>
      <c r="B441" s="799">
        <f>+DATE(YEAR(B440),MONTH(B440)+1,DAY(B440))</f>
        <v>25569.041666666668</v>
      </c>
      <c r="C441" s="799">
        <f>+B442-1</f>
        <v>25569.041666666668</v>
      </c>
      <c r="D441" s="791">
        <f>-_xlfn.DAYS($C$3,C441)/365.25</f>
      </c>
      <c r="E441" s="800">
        <f>IF($D$17+40&lt;=D441,(1+$D$7)^-(D441-$C$5),(1+$C$7)^-(D441-$C$5))</f>
      </c>
      <c r="F441" s="801">
        <f>IF($C$4="Hombre",(+VLOOKUP(INT(D441)+1,Tablas!$G$9:$K$1240,5,0)*(D441-INT(D441))+VLOOKUP(INT(D441),Tablas!$G$9:$K$1240,5,0)*(INT(D441)+1-D441))/(VLOOKUP(INT($C$5)+1,Tablas!$G$9:$K$1240,5,0)*($C$5-INT($C$5))+VLOOKUP(INT($C$5),Tablas!$G$9:$K$124,5,0)*(INT($C$5)+1-$C$5)),(+VLOOKUP(INT(D441)+1,Tablas!$G$9:$O$1240,9,0)*(D441-INT(D441))+VLOOKUP(INT(D441),Tablas!$G$9:$O$1240,9,0)*(INT(D441)+1-D441))/(VLOOKUP(INT($C$5)+1,Tablas!$G$9:$O$1240,9,0)*($C$5-INT($C$5))+VLOOKUP(INT($C$5),Tablas!$G$9:$O$124,9,0)*(INT($C$5)+1-$C$5)))</f>
      </c>
      <c r="G441" s="791">
        <f>IF($C$4="Hombre",(+VLOOKUP(INT(D441)+1,Tablas!$G$9:$K$1240,5,0)*(D441-INT(D441))+VLOOKUP(INT(D441),Tablas!$G$9:$K$1240,5,0)*(INT(D441)+1-D441)),+VLOOKUP(INT(D441)+1,Tablas!$G$9:$O$1240,9,0)*(D441-INT(D441))+VLOOKUP(INT(D441),Tablas!$G$9:$O$1240,9,0)*(INT(D441)+1-D441))</f>
      </c>
      <c r="H441" s="801">
        <f>+IF(MONTH(B441)=1,H440*(1+$C$9),H440)</f>
      </c>
      <c r="I441" s="791">
        <f>IF(B441&lt;$C$10,0,IF(B441&lt;$C$11,$C$8/12*E441*F441*H441,0))</f>
      </c>
      <c r="J441" s="791">
        <f>I441*12/14+IF(OR(MONTH(C441)=6,MONTH(C441)=12),I441*12/14,0)</f>
      </c>
      <c r="K441" s="801">
        <f>G441/$G$15</f>
      </c>
      <c r="L441" s="760"/>
      <c r="M441" s="767"/>
      <c r="N441" s="168"/>
      <c r="O441" s="768"/>
      <c r="P441" s="170"/>
      <c r="Q441" s="7"/>
      <c r="R441" s="766"/>
      <c r="S441" s="170"/>
      <c r="T441" s="168"/>
      <c r="U441" s="170"/>
    </row>
    <row x14ac:dyDescent="0.25" r="442" customHeight="1" ht="18.75">
      <c r="A442" s="1"/>
      <c r="B442" s="799">
        <f>+DATE(YEAR(B441),MONTH(B441)+1,DAY(B441))</f>
        <v>25569.041666666668</v>
      </c>
      <c r="C442" s="799">
        <f>+B443-1</f>
        <v>25569.041666666668</v>
      </c>
      <c r="D442" s="791">
        <f>-_xlfn.DAYS($C$3,C442)/365.25</f>
      </c>
      <c r="E442" s="800">
        <f>IF($D$17+40&lt;=D442,(1+$D$7)^-(D442-$C$5),(1+$C$7)^-(D442-$C$5))</f>
      </c>
      <c r="F442" s="801">
        <f>IF($C$4="Hombre",(+VLOOKUP(INT(D442)+1,Tablas!$G$9:$K$1240,5,0)*(D442-INT(D442))+VLOOKUP(INT(D442),Tablas!$G$9:$K$1240,5,0)*(INT(D442)+1-D442))/(VLOOKUP(INT($C$5)+1,Tablas!$G$9:$K$1240,5,0)*($C$5-INT($C$5))+VLOOKUP(INT($C$5),Tablas!$G$9:$K$124,5,0)*(INT($C$5)+1-$C$5)),(+VLOOKUP(INT(D442)+1,Tablas!$G$9:$O$1240,9,0)*(D442-INT(D442))+VLOOKUP(INT(D442),Tablas!$G$9:$O$1240,9,0)*(INT(D442)+1-D442))/(VLOOKUP(INT($C$5)+1,Tablas!$G$9:$O$1240,9,0)*($C$5-INT($C$5))+VLOOKUP(INT($C$5),Tablas!$G$9:$O$124,9,0)*(INT($C$5)+1-$C$5)))</f>
      </c>
      <c r="G442" s="791">
        <f>IF($C$4="Hombre",(+VLOOKUP(INT(D442)+1,Tablas!$G$9:$K$1240,5,0)*(D442-INT(D442))+VLOOKUP(INT(D442),Tablas!$G$9:$K$1240,5,0)*(INT(D442)+1-D442)),+VLOOKUP(INT(D442)+1,Tablas!$G$9:$O$1240,9,0)*(D442-INT(D442))+VLOOKUP(INT(D442),Tablas!$G$9:$O$1240,9,0)*(INT(D442)+1-D442))</f>
      </c>
      <c r="H442" s="801">
        <f>+IF(MONTH(B442)=1,H441*(1+$C$9),H441)</f>
      </c>
      <c r="I442" s="791">
        <f>IF(B442&lt;$C$10,0,IF(B442&lt;$C$11,$C$8/12*E442*F442*H442,0))</f>
      </c>
      <c r="J442" s="791">
        <f>I442*12/14+IF(OR(MONTH(C442)=6,MONTH(C442)=12),I442*12/14,0)</f>
      </c>
      <c r="K442" s="801">
        <f>G442/$G$15</f>
      </c>
      <c r="L442" s="760"/>
      <c r="M442" s="767"/>
      <c r="N442" s="168"/>
      <c r="O442" s="768"/>
      <c r="P442" s="170"/>
      <c r="Q442" s="7"/>
      <c r="R442" s="766"/>
      <c r="S442" s="170"/>
      <c r="T442" s="168"/>
      <c r="U442" s="170"/>
    </row>
    <row x14ac:dyDescent="0.25" r="443" customHeight="1" ht="18.75">
      <c r="A443" s="1"/>
      <c r="B443" s="799">
        <f>+DATE(YEAR(B442),MONTH(B442)+1,DAY(B442))</f>
        <v>25569.041666666668</v>
      </c>
      <c r="C443" s="799">
        <f>+B444-1</f>
        <v>25569.041666666668</v>
      </c>
      <c r="D443" s="791">
        <f>-_xlfn.DAYS($C$3,C443)/365.25</f>
      </c>
      <c r="E443" s="800">
        <f>IF($D$17+40&lt;=D443,(1+$D$7)^-(D443-$C$5),(1+$C$7)^-(D443-$C$5))</f>
      </c>
      <c r="F443" s="801">
        <f>IF($C$4="Hombre",(+VLOOKUP(INT(D443)+1,Tablas!$G$9:$K$1240,5,0)*(D443-INT(D443))+VLOOKUP(INT(D443),Tablas!$G$9:$K$1240,5,0)*(INT(D443)+1-D443))/(VLOOKUP(INT($C$5)+1,Tablas!$G$9:$K$1240,5,0)*($C$5-INT($C$5))+VLOOKUP(INT($C$5),Tablas!$G$9:$K$124,5,0)*(INT($C$5)+1-$C$5)),(+VLOOKUP(INT(D443)+1,Tablas!$G$9:$O$1240,9,0)*(D443-INT(D443))+VLOOKUP(INT(D443),Tablas!$G$9:$O$1240,9,0)*(INT(D443)+1-D443))/(VLOOKUP(INT($C$5)+1,Tablas!$G$9:$O$1240,9,0)*($C$5-INT($C$5))+VLOOKUP(INT($C$5),Tablas!$G$9:$O$124,9,0)*(INT($C$5)+1-$C$5)))</f>
      </c>
      <c r="G443" s="791">
        <f>IF($C$4="Hombre",(+VLOOKUP(INT(D443)+1,Tablas!$G$9:$K$1240,5,0)*(D443-INT(D443))+VLOOKUP(INT(D443),Tablas!$G$9:$K$1240,5,0)*(INT(D443)+1-D443)),+VLOOKUP(INT(D443)+1,Tablas!$G$9:$O$1240,9,0)*(D443-INT(D443))+VLOOKUP(INT(D443),Tablas!$G$9:$O$1240,9,0)*(INT(D443)+1-D443))</f>
      </c>
      <c r="H443" s="801">
        <f>+IF(MONTH(B443)=1,H442*(1+$C$9),H442)</f>
      </c>
      <c r="I443" s="791">
        <f>IF(B443&lt;$C$10,0,IF(B443&lt;$C$11,$C$8/12*E443*F443*H443,0))</f>
      </c>
      <c r="J443" s="791">
        <f>I443*12/14+IF(OR(MONTH(C443)=6,MONTH(C443)=12),I443*12/14,0)</f>
      </c>
      <c r="K443" s="801">
        <f>G443/$G$15</f>
      </c>
      <c r="L443" s="760"/>
      <c r="M443" s="767"/>
      <c r="N443" s="168"/>
      <c r="O443" s="768"/>
      <c r="P443" s="170"/>
      <c r="Q443" s="7"/>
      <c r="R443" s="766"/>
      <c r="S443" s="170"/>
      <c r="T443" s="168"/>
      <c r="U443" s="170"/>
    </row>
    <row x14ac:dyDescent="0.25" r="444" customHeight="1" ht="18.75">
      <c r="A444" s="1"/>
      <c r="B444" s="799">
        <f>+DATE(YEAR(B443),MONTH(B443)+1,DAY(B443))</f>
        <v>25569.041666666668</v>
      </c>
      <c r="C444" s="799">
        <f>+B445-1</f>
        <v>25569.041666666668</v>
      </c>
      <c r="D444" s="791">
        <f>-_xlfn.DAYS($C$3,C444)/365.25</f>
      </c>
      <c r="E444" s="800">
        <f>IF($D$17+40&lt;=D444,(1+$D$7)^-(D444-$C$5),(1+$C$7)^-(D444-$C$5))</f>
      </c>
      <c r="F444" s="801">
        <f>IF($C$4="Hombre",(+VLOOKUP(INT(D444)+1,Tablas!$G$9:$K$1240,5,0)*(D444-INT(D444))+VLOOKUP(INT(D444),Tablas!$G$9:$K$1240,5,0)*(INT(D444)+1-D444))/(VLOOKUP(INT($C$5)+1,Tablas!$G$9:$K$1240,5,0)*($C$5-INT($C$5))+VLOOKUP(INT($C$5),Tablas!$G$9:$K$124,5,0)*(INT($C$5)+1-$C$5)),(+VLOOKUP(INT(D444)+1,Tablas!$G$9:$O$1240,9,0)*(D444-INT(D444))+VLOOKUP(INT(D444),Tablas!$G$9:$O$1240,9,0)*(INT(D444)+1-D444))/(VLOOKUP(INT($C$5)+1,Tablas!$G$9:$O$1240,9,0)*($C$5-INT($C$5))+VLOOKUP(INT($C$5),Tablas!$G$9:$O$124,9,0)*(INT($C$5)+1-$C$5)))</f>
      </c>
      <c r="G444" s="791">
        <f>IF($C$4="Hombre",(+VLOOKUP(INT(D444)+1,Tablas!$G$9:$K$1240,5,0)*(D444-INT(D444))+VLOOKUP(INT(D444),Tablas!$G$9:$K$1240,5,0)*(INT(D444)+1-D444)),+VLOOKUP(INT(D444)+1,Tablas!$G$9:$O$1240,9,0)*(D444-INT(D444))+VLOOKUP(INT(D444),Tablas!$G$9:$O$1240,9,0)*(INT(D444)+1-D444))</f>
      </c>
      <c r="H444" s="801">
        <f>+IF(MONTH(B444)=1,H443*(1+$C$9),H443)</f>
      </c>
      <c r="I444" s="791">
        <f>IF(B444&lt;$C$10,0,IF(B444&lt;$C$11,$C$8/12*E444*F444*H444,0))</f>
      </c>
      <c r="J444" s="791">
        <f>I444*12/14+IF(OR(MONTH(C444)=6,MONTH(C444)=12),I444*12/14,0)</f>
      </c>
      <c r="K444" s="801">
        <f>G444/$G$15</f>
      </c>
      <c r="L444" s="760"/>
      <c r="M444" s="767"/>
      <c r="N444" s="168"/>
      <c r="O444" s="768"/>
      <c r="P444" s="170"/>
      <c r="Q444" s="7"/>
      <c r="R444" s="766"/>
      <c r="S444" s="170"/>
      <c r="T444" s="168"/>
      <c r="U444" s="170"/>
    </row>
    <row x14ac:dyDescent="0.25" r="445" customHeight="1" ht="18.75">
      <c r="A445" s="1"/>
      <c r="B445" s="799">
        <f>+DATE(YEAR(B444),MONTH(B444)+1,DAY(B444))</f>
        <v>25569.041666666668</v>
      </c>
      <c r="C445" s="799">
        <f>+B446-1</f>
        <v>25569.041666666668</v>
      </c>
      <c r="D445" s="791">
        <f>-_xlfn.DAYS($C$3,C445)/365.25</f>
      </c>
      <c r="E445" s="800">
        <f>IF($D$17+40&lt;=D445,(1+$D$7)^-(D445-$C$5),(1+$C$7)^-(D445-$C$5))</f>
      </c>
      <c r="F445" s="801">
        <f>IF($C$4="Hombre",(+VLOOKUP(INT(D445)+1,Tablas!$G$9:$K$1240,5,0)*(D445-INT(D445))+VLOOKUP(INT(D445),Tablas!$G$9:$K$1240,5,0)*(INT(D445)+1-D445))/(VLOOKUP(INT($C$5)+1,Tablas!$G$9:$K$1240,5,0)*($C$5-INT($C$5))+VLOOKUP(INT($C$5),Tablas!$G$9:$K$124,5,0)*(INT($C$5)+1-$C$5)),(+VLOOKUP(INT(D445)+1,Tablas!$G$9:$O$1240,9,0)*(D445-INT(D445))+VLOOKUP(INT(D445),Tablas!$G$9:$O$1240,9,0)*(INT(D445)+1-D445))/(VLOOKUP(INT($C$5)+1,Tablas!$G$9:$O$1240,9,0)*($C$5-INT($C$5))+VLOOKUP(INT($C$5),Tablas!$G$9:$O$124,9,0)*(INT($C$5)+1-$C$5)))</f>
      </c>
      <c r="G445" s="791">
        <f>IF($C$4="Hombre",(+VLOOKUP(INT(D445)+1,Tablas!$G$9:$K$1240,5,0)*(D445-INT(D445))+VLOOKUP(INT(D445),Tablas!$G$9:$K$1240,5,0)*(INT(D445)+1-D445)),+VLOOKUP(INT(D445)+1,Tablas!$G$9:$O$1240,9,0)*(D445-INT(D445))+VLOOKUP(INT(D445),Tablas!$G$9:$O$1240,9,0)*(INT(D445)+1-D445))</f>
      </c>
      <c r="H445" s="801">
        <f>+IF(MONTH(B445)=1,H444*(1+$C$9),H444)</f>
      </c>
      <c r="I445" s="791">
        <f>IF(B445&lt;$C$10,0,IF(B445&lt;$C$11,$C$8/12*E445*F445*H445,0))</f>
      </c>
      <c r="J445" s="791">
        <f>I445*12/14+IF(OR(MONTH(C445)=6,MONTH(C445)=12),I445*12/14,0)</f>
      </c>
      <c r="K445" s="801">
        <f>G445/$G$15</f>
      </c>
      <c r="L445" s="760"/>
      <c r="M445" s="767"/>
      <c r="N445" s="168"/>
      <c r="O445" s="768"/>
      <c r="P445" s="170"/>
      <c r="Q445" s="7"/>
      <c r="R445" s="766"/>
      <c r="S445" s="170"/>
      <c r="T445" s="168"/>
      <c r="U445" s="170"/>
    </row>
    <row x14ac:dyDescent="0.25" r="446" customHeight="1" ht="18.75">
      <c r="A446" s="1"/>
      <c r="B446" s="799">
        <f>+DATE(YEAR(B445),MONTH(B445)+1,DAY(B445))</f>
        <v>25569.041666666668</v>
      </c>
      <c r="C446" s="799">
        <f>+B447-1</f>
        <v>25569.041666666668</v>
      </c>
      <c r="D446" s="791">
        <f>-_xlfn.DAYS($C$3,C446)/365.25</f>
      </c>
      <c r="E446" s="800">
        <f>IF($D$17+40&lt;=D446,(1+$D$7)^-(D446-$C$5),(1+$C$7)^-(D446-$C$5))</f>
      </c>
      <c r="F446" s="801">
        <f>IF($C$4="Hombre",(+VLOOKUP(INT(D446)+1,Tablas!$G$9:$K$1240,5,0)*(D446-INT(D446))+VLOOKUP(INT(D446),Tablas!$G$9:$K$1240,5,0)*(INT(D446)+1-D446))/(VLOOKUP(INT($C$5)+1,Tablas!$G$9:$K$1240,5,0)*($C$5-INT($C$5))+VLOOKUP(INT($C$5),Tablas!$G$9:$K$124,5,0)*(INT($C$5)+1-$C$5)),(+VLOOKUP(INT(D446)+1,Tablas!$G$9:$O$1240,9,0)*(D446-INT(D446))+VLOOKUP(INT(D446),Tablas!$G$9:$O$1240,9,0)*(INT(D446)+1-D446))/(VLOOKUP(INT($C$5)+1,Tablas!$G$9:$O$1240,9,0)*($C$5-INT($C$5))+VLOOKUP(INT($C$5),Tablas!$G$9:$O$124,9,0)*(INT($C$5)+1-$C$5)))</f>
      </c>
      <c r="G446" s="791">
        <f>IF($C$4="Hombre",(+VLOOKUP(INT(D446)+1,Tablas!$G$9:$K$1240,5,0)*(D446-INT(D446))+VLOOKUP(INT(D446),Tablas!$G$9:$K$1240,5,0)*(INT(D446)+1-D446)),+VLOOKUP(INT(D446)+1,Tablas!$G$9:$O$1240,9,0)*(D446-INT(D446))+VLOOKUP(INT(D446),Tablas!$G$9:$O$1240,9,0)*(INT(D446)+1-D446))</f>
      </c>
      <c r="H446" s="801">
        <f>+IF(MONTH(B446)=1,H445*(1+$C$9),H445)</f>
      </c>
      <c r="I446" s="791">
        <f>IF(B446&lt;$C$10,0,IF(B446&lt;$C$11,$C$8/12*E446*F446*H446,0))</f>
      </c>
      <c r="J446" s="791">
        <f>I446*12/14+IF(OR(MONTH(C446)=6,MONTH(C446)=12),I446*12/14,0)</f>
      </c>
      <c r="K446" s="801">
        <f>G446/$G$15</f>
      </c>
      <c r="L446" s="760"/>
      <c r="M446" s="767"/>
      <c r="N446" s="168"/>
      <c r="O446" s="768"/>
      <c r="P446" s="170"/>
      <c r="Q446" s="7"/>
      <c r="R446" s="766"/>
      <c r="S446" s="170"/>
      <c r="T446" s="168"/>
      <c r="U446" s="170"/>
    </row>
    <row x14ac:dyDescent="0.25" r="447" customHeight="1" ht="18.75">
      <c r="A447" s="1"/>
      <c r="B447" s="799">
        <f>+DATE(YEAR(B446),MONTH(B446)+1,DAY(B446))</f>
        <v>25569.041666666668</v>
      </c>
      <c r="C447" s="799">
        <f>+B448-1</f>
        <v>25569.041666666668</v>
      </c>
      <c r="D447" s="791">
        <f>-_xlfn.DAYS($C$3,C447)/365.25</f>
      </c>
      <c r="E447" s="800">
        <f>IF($D$17+40&lt;=D447,(1+$D$7)^-(D447-$C$5),(1+$C$7)^-(D447-$C$5))</f>
      </c>
      <c r="F447" s="801">
        <f>IF($C$4="Hombre",(+VLOOKUP(INT(D447)+1,Tablas!$G$9:$K$1240,5,0)*(D447-INT(D447))+VLOOKUP(INT(D447),Tablas!$G$9:$K$1240,5,0)*(INT(D447)+1-D447))/(VLOOKUP(INT($C$5)+1,Tablas!$G$9:$K$1240,5,0)*($C$5-INT($C$5))+VLOOKUP(INT($C$5),Tablas!$G$9:$K$124,5,0)*(INT($C$5)+1-$C$5)),(+VLOOKUP(INT(D447)+1,Tablas!$G$9:$O$1240,9,0)*(D447-INT(D447))+VLOOKUP(INT(D447),Tablas!$G$9:$O$1240,9,0)*(INT(D447)+1-D447))/(VLOOKUP(INT($C$5)+1,Tablas!$G$9:$O$1240,9,0)*($C$5-INT($C$5))+VLOOKUP(INT($C$5),Tablas!$G$9:$O$124,9,0)*(INT($C$5)+1-$C$5)))</f>
      </c>
      <c r="G447" s="791">
        <f>IF($C$4="Hombre",(+VLOOKUP(INT(D447)+1,Tablas!$G$9:$K$1240,5,0)*(D447-INT(D447))+VLOOKUP(INT(D447),Tablas!$G$9:$K$1240,5,0)*(INT(D447)+1-D447)),+VLOOKUP(INT(D447)+1,Tablas!$G$9:$O$1240,9,0)*(D447-INT(D447))+VLOOKUP(INT(D447),Tablas!$G$9:$O$1240,9,0)*(INT(D447)+1-D447))</f>
      </c>
      <c r="H447" s="801">
        <f>+IF(MONTH(B447)=1,H446*(1+$C$9),H446)</f>
      </c>
      <c r="I447" s="791">
        <f>IF(B447&lt;$C$10,0,IF(B447&lt;$C$11,$C$8/12*E447*F447*H447,0))</f>
      </c>
      <c r="J447" s="791">
        <f>I447*12/14+IF(OR(MONTH(C447)=6,MONTH(C447)=12),I447*12/14,0)</f>
      </c>
      <c r="K447" s="801">
        <f>G447/$G$15</f>
      </c>
      <c r="L447" s="760"/>
      <c r="M447" s="767"/>
      <c r="N447" s="168"/>
      <c r="O447" s="768"/>
      <c r="P447" s="170"/>
      <c r="Q447" s="7"/>
      <c r="R447" s="766"/>
      <c r="S447" s="170"/>
      <c r="T447" s="168"/>
      <c r="U447" s="170"/>
    </row>
    <row x14ac:dyDescent="0.25" r="448" customHeight="1" ht="18.75">
      <c r="A448" s="1"/>
      <c r="B448" s="799">
        <f>+DATE(YEAR(B447),MONTH(B447)+1,DAY(B447))</f>
        <v>25569.041666666668</v>
      </c>
      <c r="C448" s="799">
        <f>+B449-1</f>
        <v>25569.041666666668</v>
      </c>
      <c r="D448" s="791">
        <f>-_xlfn.DAYS($C$3,C448)/365.25</f>
      </c>
      <c r="E448" s="800">
        <f>IF($D$17+40&lt;=D448,(1+$D$7)^-(D448-$C$5),(1+$C$7)^-(D448-$C$5))</f>
      </c>
      <c r="F448" s="801">
        <f>IF($C$4="Hombre",(+VLOOKUP(INT(D448)+1,Tablas!$G$9:$K$1240,5,0)*(D448-INT(D448))+VLOOKUP(INT(D448),Tablas!$G$9:$K$1240,5,0)*(INT(D448)+1-D448))/(VLOOKUP(INT($C$5)+1,Tablas!$G$9:$K$1240,5,0)*($C$5-INT($C$5))+VLOOKUP(INT($C$5),Tablas!$G$9:$K$124,5,0)*(INT($C$5)+1-$C$5)),(+VLOOKUP(INT(D448)+1,Tablas!$G$9:$O$1240,9,0)*(D448-INT(D448))+VLOOKUP(INT(D448),Tablas!$G$9:$O$1240,9,0)*(INT(D448)+1-D448))/(VLOOKUP(INT($C$5)+1,Tablas!$G$9:$O$1240,9,0)*($C$5-INT($C$5))+VLOOKUP(INT($C$5),Tablas!$G$9:$O$124,9,0)*(INT($C$5)+1-$C$5)))</f>
      </c>
      <c r="G448" s="791">
        <f>IF($C$4="Hombre",(+VLOOKUP(INT(D448)+1,Tablas!$G$9:$K$1240,5,0)*(D448-INT(D448))+VLOOKUP(INT(D448),Tablas!$G$9:$K$1240,5,0)*(INT(D448)+1-D448)),+VLOOKUP(INT(D448)+1,Tablas!$G$9:$O$1240,9,0)*(D448-INT(D448))+VLOOKUP(INT(D448),Tablas!$G$9:$O$1240,9,0)*(INT(D448)+1-D448))</f>
      </c>
      <c r="H448" s="801">
        <f>+IF(MONTH(B448)=1,H447*(1+$C$9),H447)</f>
      </c>
      <c r="I448" s="791">
        <f>IF(B448&lt;$C$10,0,IF(B448&lt;$C$11,$C$8/12*E448*F448*H448,0))</f>
      </c>
      <c r="J448" s="791">
        <f>I448*12/14+IF(OR(MONTH(C448)=6,MONTH(C448)=12),I448*12/14,0)</f>
      </c>
      <c r="K448" s="801">
        <f>G448/$G$15</f>
      </c>
      <c r="L448" s="760"/>
      <c r="M448" s="767"/>
      <c r="N448" s="168"/>
      <c r="O448" s="768"/>
      <c r="P448" s="170"/>
      <c r="Q448" s="7"/>
      <c r="R448" s="766"/>
      <c r="S448" s="170"/>
      <c r="T448" s="168"/>
      <c r="U448" s="170"/>
    </row>
    <row x14ac:dyDescent="0.25" r="449" customHeight="1" ht="18.75">
      <c r="A449" s="1"/>
      <c r="B449" s="799">
        <f>+DATE(YEAR(B448),MONTH(B448)+1,DAY(B448))</f>
        <v>25569.041666666668</v>
      </c>
      <c r="C449" s="799">
        <f>+B450-1</f>
        <v>25569.041666666668</v>
      </c>
      <c r="D449" s="791">
        <f>-_xlfn.DAYS($C$3,C449)/365.25</f>
      </c>
      <c r="E449" s="800">
        <f>IF($D$17+40&lt;=D449,(1+$D$7)^-(D449-$C$5),(1+$C$7)^-(D449-$C$5))</f>
      </c>
      <c r="F449" s="801">
        <f>IF($C$4="Hombre",(+VLOOKUP(INT(D449)+1,Tablas!$G$9:$K$1240,5,0)*(D449-INT(D449))+VLOOKUP(INT(D449),Tablas!$G$9:$K$1240,5,0)*(INT(D449)+1-D449))/(VLOOKUP(INT($C$5)+1,Tablas!$G$9:$K$1240,5,0)*($C$5-INT($C$5))+VLOOKUP(INT($C$5),Tablas!$G$9:$K$124,5,0)*(INT($C$5)+1-$C$5)),(+VLOOKUP(INT(D449)+1,Tablas!$G$9:$O$1240,9,0)*(D449-INT(D449))+VLOOKUP(INT(D449),Tablas!$G$9:$O$1240,9,0)*(INT(D449)+1-D449))/(VLOOKUP(INT($C$5)+1,Tablas!$G$9:$O$1240,9,0)*($C$5-INT($C$5))+VLOOKUP(INT($C$5),Tablas!$G$9:$O$124,9,0)*(INT($C$5)+1-$C$5)))</f>
      </c>
      <c r="G449" s="791">
        <f>IF($C$4="Hombre",(+VLOOKUP(INT(D449)+1,Tablas!$G$9:$K$1240,5,0)*(D449-INT(D449))+VLOOKUP(INT(D449),Tablas!$G$9:$K$1240,5,0)*(INT(D449)+1-D449)),+VLOOKUP(INT(D449)+1,Tablas!$G$9:$O$1240,9,0)*(D449-INT(D449))+VLOOKUP(INT(D449),Tablas!$G$9:$O$1240,9,0)*(INT(D449)+1-D449))</f>
      </c>
      <c r="H449" s="801">
        <f>+IF(MONTH(B449)=1,H448*(1+$C$9),H448)</f>
      </c>
      <c r="I449" s="791">
        <f>IF(B449&lt;$C$10,0,IF(B449&lt;$C$11,$C$8/12*E449*F449*H449,0))</f>
      </c>
      <c r="J449" s="791">
        <f>I449*12/14+IF(OR(MONTH(C449)=6,MONTH(C449)=12),I449*12/14,0)</f>
      </c>
      <c r="K449" s="801">
        <f>G449/$G$15</f>
      </c>
      <c r="L449" s="760"/>
      <c r="M449" s="767"/>
      <c r="N449" s="168"/>
      <c r="O449" s="768"/>
      <c r="P449" s="170"/>
      <c r="Q449" s="7"/>
      <c r="R449" s="766"/>
      <c r="S449" s="170"/>
      <c r="T449" s="168"/>
      <c r="U449" s="170"/>
    </row>
    <row x14ac:dyDescent="0.25" r="450" customHeight="1" ht="18.75">
      <c r="A450" s="1"/>
      <c r="B450" s="799">
        <f>+DATE(YEAR(B449),MONTH(B449)+1,DAY(B449))</f>
        <v>25569.041666666668</v>
      </c>
      <c r="C450" s="799">
        <f>+B451-1</f>
        <v>25569.041666666668</v>
      </c>
      <c r="D450" s="791">
        <f>-_xlfn.DAYS($C$3,C450)/365.25</f>
      </c>
      <c r="E450" s="800">
        <f>IF($D$17+40&lt;=D450,(1+$D$7)^-(D450-$C$5),(1+$C$7)^-(D450-$C$5))</f>
      </c>
      <c r="F450" s="801">
        <f>IF($C$4="Hombre",(+VLOOKUP(INT(D450)+1,Tablas!$G$9:$K$1240,5,0)*(D450-INT(D450))+VLOOKUP(INT(D450),Tablas!$G$9:$K$1240,5,0)*(INT(D450)+1-D450))/(VLOOKUP(INT($C$5)+1,Tablas!$G$9:$K$1240,5,0)*($C$5-INT($C$5))+VLOOKUP(INT($C$5),Tablas!$G$9:$K$124,5,0)*(INT($C$5)+1-$C$5)),(+VLOOKUP(INT(D450)+1,Tablas!$G$9:$O$1240,9,0)*(D450-INT(D450))+VLOOKUP(INT(D450),Tablas!$G$9:$O$1240,9,0)*(INT(D450)+1-D450))/(VLOOKUP(INT($C$5)+1,Tablas!$G$9:$O$1240,9,0)*($C$5-INT($C$5))+VLOOKUP(INT($C$5),Tablas!$G$9:$O$124,9,0)*(INT($C$5)+1-$C$5)))</f>
      </c>
      <c r="G450" s="791">
        <f>IF($C$4="Hombre",(+VLOOKUP(INT(D450)+1,Tablas!$G$9:$K$1240,5,0)*(D450-INT(D450))+VLOOKUP(INT(D450),Tablas!$G$9:$K$1240,5,0)*(INT(D450)+1-D450)),+VLOOKUP(INT(D450)+1,Tablas!$G$9:$O$1240,9,0)*(D450-INT(D450))+VLOOKUP(INT(D450),Tablas!$G$9:$O$1240,9,0)*(INT(D450)+1-D450))</f>
      </c>
      <c r="H450" s="801">
        <f>+IF(MONTH(B450)=1,H449*(1+$C$9),H449)</f>
      </c>
      <c r="I450" s="791">
        <f>IF(B450&lt;$C$10,0,IF(B450&lt;$C$11,$C$8/12*E450*F450*H450,0))</f>
      </c>
      <c r="J450" s="791">
        <f>I450*12/14+IF(OR(MONTH(C450)=6,MONTH(C450)=12),I450*12/14,0)</f>
      </c>
      <c r="K450" s="801">
        <f>G450/$G$15</f>
      </c>
      <c r="L450" s="760"/>
      <c r="M450" s="767"/>
      <c r="N450" s="168"/>
      <c r="O450" s="768"/>
      <c r="P450" s="170"/>
      <c r="Q450" s="7"/>
      <c r="R450" s="766"/>
      <c r="S450" s="170"/>
      <c r="T450" s="168"/>
      <c r="U450" s="170"/>
    </row>
    <row x14ac:dyDescent="0.25" r="451" customHeight="1" ht="18.75">
      <c r="A451" s="1"/>
      <c r="B451" s="799">
        <f>+DATE(YEAR(B450),MONTH(B450)+1,DAY(B450))</f>
        <v>25569.041666666668</v>
      </c>
      <c r="C451" s="799">
        <f>+B452-1</f>
        <v>25569.041666666668</v>
      </c>
      <c r="D451" s="791">
        <f>-_xlfn.DAYS($C$3,C451)/365.25</f>
      </c>
      <c r="E451" s="800">
        <f>IF($D$17+40&lt;=D451,(1+$D$7)^-(D451-$C$5),(1+$C$7)^-(D451-$C$5))</f>
      </c>
      <c r="F451" s="801">
        <f>IF($C$4="Hombre",(+VLOOKUP(INT(D451)+1,Tablas!$G$9:$K$1240,5,0)*(D451-INT(D451))+VLOOKUP(INT(D451),Tablas!$G$9:$K$1240,5,0)*(INT(D451)+1-D451))/(VLOOKUP(INT($C$5)+1,Tablas!$G$9:$K$1240,5,0)*($C$5-INT($C$5))+VLOOKUP(INT($C$5),Tablas!$G$9:$K$124,5,0)*(INT($C$5)+1-$C$5)),(+VLOOKUP(INT(D451)+1,Tablas!$G$9:$O$1240,9,0)*(D451-INT(D451))+VLOOKUP(INT(D451),Tablas!$G$9:$O$1240,9,0)*(INT(D451)+1-D451))/(VLOOKUP(INT($C$5)+1,Tablas!$G$9:$O$1240,9,0)*($C$5-INT($C$5))+VLOOKUP(INT($C$5),Tablas!$G$9:$O$124,9,0)*(INT($C$5)+1-$C$5)))</f>
      </c>
      <c r="G451" s="791">
        <f>IF($C$4="Hombre",(+VLOOKUP(INT(D451)+1,Tablas!$G$9:$K$1240,5,0)*(D451-INT(D451))+VLOOKUP(INT(D451),Tablas!$G$9:$K$1240,5,0)*(INT(D451)+1-D451)),+VLOOKUP(INT(D451)+1,Tablas!$G$9:$O$1240,9,0)*(D451-INT(D451))+VLOOKUP(INT(D451),Tablas!$G$9:$O$1240,9,0)*(INT(D451)+1-D451))</f>
      </c>
      <c r="H451" s="801">
        <f>+IF(MONTH(B451)=1,H450*(1+$C$9),H450)</f>
      </c>
      <c r="I451" s="791">
        <f>IF(B451&lt;$C$10,0,IF(B451&lt;$C$11,$C$8/12*E451*F451*H451,0))</f>
      </c>
      <c r="J451" s="791">
        <f>I451*12/14+IF(OR(MONTH(C451)=6,MONTH(C451)=12),I451*12/14,0)</f>
      </c>
      <c r="K451" s="801">
        <f>G451/$G$15</f>
      </c>
      <c r="L451" s="760"/>
      <c r="M451" s="767"/>
      <c r="N451" s="168"/>
      <c r="O451" s="768"/>
      <c r="P451" s="170"/>
      <c r="Q451" s="7"/>
      <c r="R451" s="766"/>
      <c r="S451" s="170"/>
      <c r="T451" s="168"/>
      <c r="U451" s="170"/>
    </row>
    <row x14ac:dyDescent="0.25" r="452" customHeight="1" ht="18.75">
      <c r="A452" s="1"/>
      <c r="B452" s="799">
        <f>+DATE(YEAR(B451),MONTH(B451)+1,DAY(B451))</f>
        <v>25569.041666666668</v>
      </c>
      <c r="C452" s="799">
        <f>+B453-1</f>
        <v>25569.041666666668</v>
      </c>
      <c r="D452" s="791">
        <f>-_xlfn.DAYS($C$3,C452)/365.25</f>
      </c>
      <c r="E452" s="800">
        <f>IF($D$17+40&lt;=D452,(1+$D$7)^-(D452-$C$5),(1+$C$7)^-(D452-$C$5))</f>
      </c>
      <c r="F452" s="801">
        <f>IF($C$4="Hombre",(+VLOOKUP(INT(D452)+1,Tablas!$G$9:$K$1240,5,0)*(D452-INT(D452))+VLOOKUP(INT(D452),Tablas!$G$9:$K$1240,5,0)*(INT(D452)+1-D452))/(VLOOKUP(INT($C$5)+1,Tablas!$G$9:$K$1240,5,0)*($C$5-INT($C$5))+VLOOKUP(INT($C$5),Tablas!$G$9:$K$124,5,0)*(INT($C$5)+1-$C$5)),(+VLOOKUP(INT(D452)+1,Tablas!$G$9:$O$1240,9,0)*(D452-INT(D452))+VLOOKUP(INT(D452),Tablas!$G$9:$O$1240,9,0)*(INT(D452)+1-D452))/(VLOOKUP(INT($C$5)+1,Tablas!$G$9:$O$1240,9,0)*($C$5-INT($C$5))+VLOOKUP(INT($C$5),Tablas!$G$9:$O$124,9,0)*(INT($C$5)+1-$C$5)))</f>
      </c>
      <c r="G452" s="791">
        <f>IF($C$4="Hombre",(+VLOOKUP(INT(D452)+1,Tablas!$G$9:$K$1240,5,0)*(D452-INT(D452))+VLOOKUP(INT(D452),Tablas!$G$9:$K$1240,5,0)*(INT(D452)+1-D452)),+VLOOKUP(INT(D452)+1,Tablas!$G$9:$O$1240,9,0)*(D452-INT(D452))+VLOOKUP(INT(D452),Tablas!$G$9:$O$1240,9,0)*(INT(D452)+1-D452))</f>
      </c>
      <c r="H452" s="801">
        <f>+IF(MONTH(B452)=1,H451*(1+$C$9),H451)</f>
      </c>
      <c r="I452" s="791">
        <f>IF(B452&lt;$C$10,0,IF(B452&lt;$C$11,$C$8/12*E452*F452*H452,0))</f>
      </c>
      <c r="J452" s="791">
        <f>I452*12/14+IF(OR(MONTH(C452)=6,MONTH(C452)=12),I452*12/14,0)</f>
      </c>
      <c r="K452" s="801">
        <f>G452/$G$15</f>
      </c>
      <c r="L452" s="760"/>
      <c r="M452" s="767"/>
      <c r="N452" s="168"/>
      <c r="O452" s="768"/>
      <c r="P452" s="170"/>
      <c r="Q452" s="7"/>
      <c r="R452" s="766"/>
      <c r="S452" s="170"/>
      <c r="T452" s="168"/>
      <c r="U452" s="170"/>
    </row>
    <row x14ac:dyDescent="0.25" r="453" customHeight="1" ht="18.75">
      <c r="A453" s="1"/>
      <c r="B453" s="799">
        <f>+DATE(YEAR(B452),MONTH(B452)+1,DAY(B452))</f>
        <v>25569.041666666668</v>
      </c>
      <c r="C453" s="799">
        <f>+B454-1</f>
        <v>25569.041666666668</v>
      </c>
      <c r="D453" s="791">
        <f>-_xlfn.DAYS($C$3,C453)/365.25</f>
      </c>
      <c r="E453" s="800">
        <f>IF($D$17+40&lt;=D453,(1+$D$7)^-(D453-$C$5),(1+$C$7)^-(D453-$C$5))</f>
      </c>
      <c r="F453" s="801">
        <f>IF($C$4="Hombre",(+VLOOKUP(INT(D453)+1,Tablas!$G$9:$K$1240,5,0)*(D453-INT(D453))+VLOOKUP(INT(D453),Tablas!$G$9:$K$1240,5,0)*(INT(D453)+1-D453))/(VLOOKUP(INT($C$5)+1,Tablas!$G$9:$K$1240,5,0)*($C$5-INT($C$5))+VLOOKUP(INT($C$5),Tablas!$G$9:$K$124,5,0)*(INT($C$5)+1-$C$5)),(+VLOOKUP(INT(D453)+1,Tablas!$G$9:$O$1240,9,0)*(D453-INT(D453))+VLOOKUP(INT(D453),Tablas!$G$9:$O$1240,9,0)*(INT(D453)+1-D453))/(VLOOKUP(INT($C$5)+1,Tablas!$G$9:$O$1240,9,0)*($C$5-INT($C$5))+VLOOKUP(INT($C$5),Tablas!$G$9:$O$124,9,0)*(INT($C$5)+1-$C$5)))</f>
      </c>
      <c r="G453" s="791">
        <f>IF($C$4="Hombre",(+VLOOKUP(INT(D453)+1,Tablas!$G$9:$K$1240,5,0)*(D453-INT(D453))+VLOOKUP(INT(D453),Tablas!$G$9:$K$1240,5,0)*(INT(D453)+1-D453)),+VLOOKUP(INT(D453)+1,Tablas!$G$9:$O$1240,9,0)*(D453-INT(D453))+VLOOKUP(INT(D453),Tablas!$G$9:$O$1240,9,0)*(INT(D453)+1-D453))</f>
      </c>
      <c r="H453" s="801">
        <f>+IF(MONTH(B453)=1,H452*(1+$C$9),H452)</f>
      </c>
      <c r="I453" s="791">
        <f>IF(B453&lt;$C$10,0,IF(B453&lt;$C$11,$C$8/12*E453*F453*H453,0))</f>
      </c>
      <c r="J453" s="791">
        <f>I453*12/14+IF(OR(MONTH(C453)=6,MONTH(C453)=12),I453*12/14,0)</f>
      </c>
      <c r="K453" s="801">
        <f>G453/$G$15</f>
      </c>
      <c r="L453" s="760"/>
      <c r="M453" s="767"/>
      <c r="N453" s="168"/>
      <c r="O453" s="768"/>
      <c r="P453" s="170"/>
      <c r="Q453" s="7"/>
      <c r="R453" s="766"/>
      <c r="S453" s="170"/>
      <c r="T453" s="168"/>
      <c r="U453" s="170"/>
    </row>
    <row x14ac:dyDescent="0.25" r="454" customHeight="1" ht="18.75">
      <c r="A454" s="1"/>
      <c r="B454" s="799">
        <f>+DATE(YEAR(B453),MONTH(B453)+1,DAY(B453))</f>
        <v>25569.041666666668</v>
      </c>
      <c r="C454" s="799">
        <f>+B455-1</f>
        <v>25569.041666666668</v>
      </c>
      <c r="D454" s="791">
        <f>-_xlfn.DAYS($C$3,C454)/365.25</f>
      </c>
      <c r="E454" s="800">
        <f>IF($D$17+40&lt;=D454,(1+$D$7)^-(D454-$C$5),(1+$C$7)^-(D454-$C$5))</f>
      </c>
      <c r="F454" s="801">
        <f>IF($C$4="Hombre",(+VLOOKUP(INT(D454)+1,Tablas!$G$9:$K$1240,5,0)*(D454-INT(D454))+VLOOKUP(INT(D454),Tablas!$G$9:$K$1240,5,0)*(INT(D454)+1-D454))/(VLOOKUP(INT($C$5)+1,Tablas!$G$9:$K$1240,5,0)*($C$5-INT($C$5))+VLOOKUP(INT($C$5),Tablas!$G$9:$K$124,5,0)*(INT($C$5)+1-$C$5)),(+VLOOKUP(INT(D454)+1,Tablas!$G$9:$O$1240,9,0)*(D454-INT(D454))+VLOOKUP(INT(D454),Tablas!$G$9:$O$1240,9,0)*(INT(D454)+1-D454))/(VLOOKUP(INT($C$5)+1,Tablas!$G$9:$O$1240,9,0)*($C$5-INT($C$5))+VLOOKUP(INT($C$5),Tablas!$G$9:$O$124,9,0)*(INT($C$5)+1-$C$5)))</f>
      </c>
      <c r="G454" s="791">
        <f>IF($C$4="Hombre",(+VLOOKUP(INT(D454)+1,Tablas!$G$9:$K$1240,5,0)*(D454-INT(D454))+VLOOKUP(INT(D454),Tablas!$G$9:$K$1240,5,0)*(INT(D454)+1-D454)),+VLOOKUP(INT(D454)+1,Tablas!$G$9:$O$1240,9,0)*(D454-INT(D454))+VLOOKUP(INT(D454),Tablas!$G$9:$O$1240,9,0)*(INT(D454)+1-D454))</f>
      </c>
      <c r="H454" s="801">
        <f>+IF(MONTH(B454)=1,H453*(1+$C$9),H453)</f>
      </c>
      <c r="I454" s="791">
        <f>IF(B454&lt;$C$10,0,IF(B454&lt;$C$11,$C$8/12*E454*F454*H454,0))</f>
      </c>
      <c r="J454" s="791">
        <f>I454*12/14+IF(OR(MONTH(C454)=6,MONTH(C454)=12),I454*12/14,0)</f>
      </c>
      <c r="K454" s="801">
        <f>G454/$G$15</f>
      </c>
      <c r="L454" s="760"/>
      <c r="M454" s="767"/>
      <c r="N454" s="168"/>
      <c r="O454" s="768"/>
      <c r="P454" s="170"/>
      <c r="Q454" s="7"/>
      <c r="R454" s="766"/>
      <c r="S454" s="170"/>
      <c r="T454" s="168"/>
      <c r="U454" s="170"/>
    </row>
    <row x14ac:dyDescent="0.25" r="455" customHeight="1" ht="18.75">
      <c r="A455" s="1"/>
      <c r="B455" s="799">
        <f>+DATE(YEAR(B454),MONTH(B454)+1,DAY(B454))</f>
        <v>25569.041666666668</v>
      </c>
      <c r="C455" s="799">
        <f>+B456-1</f>
        <v>25569.041666666668</v>
      </c>
      <c r="D455" s="791">
        <f>-_xlfn.DAYS($C$3,C455)/365.25</f>
      </c>
      <c r="E455" s="800">
        <f>IF($D$17+40&lt;=D455,(1+$D$7)^-(D455-$C$5),(1+$C$7)^-(D455-$C$5))</f>
      </c>
      <c r="F455" s="801">
        <f>IF($C$4="Hombre",(+VLOOKUP(INT(D455)+1,Tablas!$G$9:$K$1240,5,0)*(D455-INT(D455))+VLOOKUP(INT(D455),Tablas!$G$9:$K$1240,5,0)*(INT(D455)+1-D455))/(VLOOKUP(INT($C$5)+1,Tablas!$G$9:$K$1240,5,0)*($C$5-INT($C$5))+VLOOKUP(INT($C$5),Tablas!$G$9:$K$124,5,0)*(INT($C$5)+1-$C$5)),(+VLOOKUP(INT(D455)+1,Tablas!$G$9:$O$1240,9,0)*(D455-INT(D455))+VLOOKUP(INT(D455),Tablas!$G$9:$O$1240,9,0)*(INT(D455)+1-D455))/(VLOOKUP(INT($C$5)+1,Tablas!$G$9:$O$1240,9,0)*($C$5-INT($C$5))+VLOOKUP(INT($C$5),Tablas!$G$9:$O$124,9,0)*(INT($C$5)+1-$C$5)))</f>
      </c>
      <c r="G455" s="791">
        <f>IF($C$4="Hombre",(+VLOOKUP(INT(D455)+1,Tablas!$G$9:$K$1240,5,0)*(D455-INT(D455))+VLOOKUP(INT(D455),Tablas!$G$9:$K$1240,5,0)*(INT(D455)+1-D455)),+VLOOKUP(INT(D455)+1,Tablas!$G$9:$O$1240,9,0)*(D455-INT(D455))+VLOOKUP(INT(D455),Tablas!$G$9:$O$1240,9,0)*(INT(D455)+1-D455))</f>
      </c>
      <c r="H455" s="801">
        <f>+IF(MONTH(B455)=1,H454*(1+$C$9),H454)</f>
      </c>
      <c r="I455" s="791">
        <f>IF(B455&lt;$C$10,0,IF(B455&lt;$C$11,$C$8/12*E455*F455*H455,0))</f>
      </c>
      <c r="J455" s="791">
        <f>I455*12/14+IF(OR(MONTH(C455)=6,MONTH(C455)=12),I455*12/14,0)</f>
      </c>
      <c r="K455" s="801">
        <f>G455/$G$15</f>
      </c>
      <c r="L455" s="760"/>
      <c r="M455" s="767"/>
      <c r="N455" s="168"/>
      <c r="O455" s="768"/>
      <c r="P455" s="170"/>
      <c r="Q455" s="7"/>
      <c r="R455" s="766"/>
      <c r="S455" s="170"/>
      <c r="T455" s="168"/>
      <c r="U455" s="170"/>
    </row>
    <row x14ac:dyDescent="0.25" r="456" customHeight="1" ht="18.75">
      <c r="A456" s="1"/>
      <c r="B456" s="799">
        <f>+DATE(YEAR(B455),MONTH(B455)+1,DAY(B455))</f>
        <v>25569.041666666668</v>
      </c>
      <c r="C456" s="799">
        <f>+B457-1</f>
        <v>25569.041666666668</v>
      </c>
      <c r="D456" s="791">
        <f>-_xlfn.DAYS($C$3,C456)/365.25</f>
      </c>
      <c r="E456" s="800">
        <f>IF($D$17+40&lt;=D456,(1+$D$7)^-(D456-$C$5),(1+$C$7)^-(D456-$C$5))</f>
      </c>
      <c r="F456" s="801">
        <f>IF($C$4="Hombre",(+VLOOKUP(INT(D456)+1,Tablas!$G$9:$K$1240,5,0)*(D456-INT(D456))+VLOOKUP(INT(D456),Tablas!$G$9:$K$1240,5,0)*(INT(D456)+1-D456))/(VLOOKUP(INT($C$5)+1,Tablas!$G$9:$K$1240,5,0)*($C$5-INT($C$5))+VLOOKUP(INT($C$5),Tablas!$G$9:$K$124,5,0)*(INT($C$5)+1-$C$5)),(+VLOOKUP(INT(D456)+1,Tablas!$G$9:$O$1240,9,0)*(D456-INT(D456))+VLOOKUP(INT(D456),Tablas!$G$9:$O$1240,9,0)*(INT(D456)+1-D456))/(VLOOKUP(INT($C$5)+1,Tablas!$G$9:$O$1240,9,0)*($C$5-INT($C$5))+VLOOKUP(INT($C$5),Tablas!$G$9:$O$124,9,0)*(INT($C$5)+1-$C$5)))</f>
      </c>
      <c r="G456" s="791">
        <f>IF($C$4="Hombre",(+VLOOKUP(INT(D456)+1,Tablas!$G$9:$K$1240,5,0)*(D456-INT(D456))+VLOOKUP(INT(D456),Tablas!$G$9:$K$1240,5,0)*(INT(D456)+1-D456)),+VLOOKUP(INT(D456)+1,Tablas!$G$9:$O$1240,9,0)*(D456-INT(D456))+VLOOKUP(INT(D456),Tablas!$G$9:$O$1240,9,0)*(INT(D456)+1-D456))</f>
      </c>
      <c r="H456" s="801">
        <f>+IF(MONTH(B456)=1,H455*(1+$C$9),H455)</f>
      </c>
      <c r="I456" s="791">
        <f>IF(B456&lt;$C$10,0,IF(B456&lt;$C$11,$C$8/12*E456*F456*H456,0))</f>
      </c>
      <c r="J456" s="791">
        <f>I456*12/14+IF(OR(MONTH(C456)=6,MONTH(C456)=12),I456*12/14,0)</f>
      </c>
      <c r="K456" s="801">
        <f>G456/$G$15</f>
      </c>
      <c r="L456" s="760"/>
      <c r="M456" s="767"/>
      <c r="N456" s="168"/>
      <c r="O456" s="768"/>
      <c r="P456" s="170"/>
      <c r="Q456" s="7"/>
      <c r="R456" s="766"/>
      <c r="S456" s="170"/>
      <c r="T456" s="168"/>
      <c r="U456" s="170"/>
    </row>
    <row x14ac:dyDescent="0.25" r="457" customHeight="1" ht="18.75">
      <c r="A457" s="1"/>
      <c r="B457" s="799">
        <f>+DATE(YEAR(B456),MONTH(B456)+1,DAY(B456))</f>
        <v>25569.041666666668</v>
      </c>
      <c r="C457" s="799">
        <f>+B458-1</f>
        <v>25569.041666666668</v>
      </c>
      <c r="D457" s="791">
        <f>-_xlfn.DAYS($C$3,C457)/365.25</f>
      </c>
      <c r="E457" s="800">
        <f>IF($D$17+40&lt;=D457,(1+$D$7)^-(D457-$C$5),(1+$C$7)^-(D457-$C$5))</f>
      </c>
      <c r="F457" s="801">
        <f>IF($C$4="Hombre",(+VLOOKUP(INT(D457)+1,Tablas!$G$9:$K$1240,5,0)*(D457-INT(D457))+VLOOKUP(INT(D457),Tablas!$G$9:$K$1240,5,0)*(INT(D457)+1-D457))/(VLOOKUP(INT($C$5)+1,Tablas!$G$9:$K$1240,5,0)*($C$5-INT($C$5))+VLOOKUP(INT($C$5),Tablas!$G$9:$K$124,5,0)*(INT($C$5)+1-$C$5)),(+VLOOKUP(INT(D457)+1,Tablas!$G$9:$O$1240,9,0)*(D457-INT(D457))+VLOOKUP(INT(D457),Tablas!$G$9:$O$1240,9,0)*(INT(D457)+1-D457))/(VLOOKUP(INT($C$5)+1,Tablas!$G$9:$O$1240,9,0)*($C$5-INT($C$5))+VLOOKUP(INT($C$5),Tablas!$G$9:$O$124,9,0)*(INT($C$5)+1-$C$5)))</f>
      </c>
      <c r="G457" s="791">
        <f>IF($C$4="Hombre",(+VLOOKUP(INT(D457)+1,Tablas!$G$9:$K$1240,5,0)*(D457-INT(D457))+VLOOKUP(INT(D457),Tablas!$G$9:$K$1240,5,0)*(INT(D457)+1-D457)),+VLOOKUP(INT(D457)+1,Tablas!$G$9:$O$1240,9,0)*(D457-INT(D457))+VLOOKUP(INT(D457),Tablas!$G$9:$O$1240,9,0)*(INT(D457)+1-D457))</f>
      </c>
      <c r="H457" s="801">
        <f>+IF(MONTH(B457)=1,H456*(1+$C$9),H456)</f>
      </c>
      <c r="I457" s="791">
        <f>IF(B457&lt;$C$10,0,IF(B457&lt;$C$11,$C$8/12*E457*F457*H457,0))</f>
      </c>
      <c r="J457" s="791">
        <f>I457*12/14+IF(OR(MONTH(C457)=6,MONTH(C457)=12),I457*12/14,0)</f>
      </c>
      <c r="K457" s="801">
        <f>G457/$G$15</f>
      </c>
      <c r="L457" s="760"/>
      <c r="M457" s="767"/>
      <c r="N457" s="168"/>
      <c r="O457" s="768"/>
      <c r="P457" s="170"/>
      <c r="Q457" s="7"/>
      <c r="R457" s="766"/>
      <c r="S457" s="170"/>
      <c r="T457" s="168"/>
      <c r="U457" s="170"/>
    </row>
    <row x14ac:dyDescent="0.25" r="458" customHeight="1" ht="18.75">
      <c r="A458" s="1"/>
      <c r="B458" s="799">
        <f>+DATE(YEAR(B457),MONTH(B457)+1,DAY(B457))</f>
        <v>25569.041666666668</v>
      </c>
      <c r="C458" s="799">
        <f>+B459-1</f>
        <v>25569.041666666668</v>
      </c>
      <c r="D458" s="791">
        <f>-_xlfn.DAYS($C$3,C458)/365.25</f>
      </c>
      <c r="E458" s="800">
        <f>IF($D$17+40&lt;=D458,(1+$D$7)^-(D458-$C$5),(1+$C$7)^-(D458-$C$5))</f>
      </c>
      <c r="F458" s="801">
        <f>IF($C$4="Hombre",(+VLOOKUP(INT(D458)+1,Tablas!$G$9:$K$1240,5,0)*(D458-INT(D458))+VLOOKUP(INT(D458),Tablas!$G$9:$K$1240,5,0)*(INT(D458)+1-D458))/(VLOOKUP(INT($C$5)+1,Tablas!$G$9:$K$1240,5,0)*($C$5-INT($C$5))+VLOOKUP(INT($C$5),Tablas!$G$9:$K$124,5,0)*(INT($C$5)+1-$C$5)),(+VLOOKUP(INT(D458)+1,Tablas!$G$9:$O$1240,9,0)*(D458-INT(D458))+VLOOKUP(INT(D458),Tablas!$G$9:$O$1240,9,0)*(INT(D458)+1-D458))/(VLOOKUP(INT($C$5)+1,Tablas!$G$9:$O$1240,9,0)*($C$5-INT($C$5))+VLOOKUP(INT($C$5),Tablas!$G$9:$O$124,9,0)*(INT($C$5)+1-$C$5)))</f>
      </c>
      <c r="G458" s="791">
        <f>IF($C$4="Hombre",(+VLOOKUP(INT(D458)+1,Tablas!$G$9:$K$1240,5,0)*(D458-INT(D458))+VLOOKUP(INT(D458),Tablas!$G$9:$K$1240,5,0)*(INT(D458)+1-D458)),+VLOOKUP(INT(D458)+1,Tablas!$G$9:$O$1240,9,0)*(D458-INT(D458))+VLOOKUP(INT(D458),Tablas!$G$9:$O$1240,9,0)*(INT(D458)+1-D458))</f>
      </c>
      <c r="H458" s="801">
        <f>+IF(MONTH(B458)=1,H457*(1+$C$9),H457)</f>
      </c>
      <c r="I458" s="791">
        <f>IF(B458&lt;$C$10,0,IF(B458&lt;$C$11,$C$8/12*E458*F458*H458,0))</f>
      </c>
      <c r="J458" s="791">
        <f>I458*12/14+IF(OR(MONTH(C458)=6,MONTH(C458)=12),I458*12/14,0)</f>
      </c>
      <c r="K458" s="801">
        <f>G458/$G$15</f>
      </c>
      <c r="L458" s="760"/>
      <c r="M458" s="767"/>
      <c r="N458" s="168"/>
      <c r="O458" s="768"/>
      <c r="P458" s="170"/>
      <c r="Q458" s="7"/>
      <c r="R458" s="766"/>
      <c r="S458" s="170"/>
      <c r="T458" s="168"/>
      <c r="U458" s="170"/>
    </row>
    <row x14ac:dyDescent="0.25" r="459" customHeight="1" ht="18.75">
      <c r="A459" s="1"/>
      <c r="B459" s="799">
        <f>+DATE(YEAR(B458),MONTH(B458)+1,DAY(B458))</f>
        <v>25569.041666666668</v>
      </c>
      <c r="C459" s="799">
        <f>+B460-1</f>
        <v>25569.041666666668</v>
      </c>
      <c r="D459" s="791">
        <f>-_xlfn.DAYS($C$3,C459)/365.25</f>
      </c>
      <c r="E459" s="800">
        <f>IF($D$17+40&lt;=D459,(1+$D$7)^-(D459-$C$5),(1+$C$7)^-(D459-$C$5))</f>
      </c>
      <c r="F459" s="801">
        <f>IF($C$4="Hombre",(+VLOOKUP(INT(D459)+1,Tablas!$G$9:$K$1240,5,0)*(D459-INT(D459))+VLOOKUP(INT(D459),Tablas!$G$9:$K$1240,5,0)*(INT(D459)+1-D459))/(VLOOKUP(INT($C$5)+1,Tablas!$G$9:$K$1240,5,0)*($C$5-INT($C$5))+VLOOKUP(INT($C$5),Tablas!$G$9:$K$124,5,0)*(INT($C$5)+1-$C$5)),(+VLOOKUP(INT(D459)+1,Tablas!$G$9:$O$1240,9,0)*(D459-INT(D459))+VLOOKUP(INT(D459),Tablas!$G$9:$O$1240,9,0)*(INT(D459)+1-D459))/(VLOOKUP(INT($C$5)+1,Tablas!$G$9:$O$1240,9,0)*($C$5-INT($C$5))+VLOOKUP(INT($C$5),Tablas!$G$9:$O$124,9,0)*(INT($C$5)+1-$C$5)))</f>
      </c>
      <c r="G459" s="791">
        <f>IF($C$4="Hombre",(+VLOOKUP(INT(D459)+1,Tablas!$G$9:$K$1240,5,0)*(D459-INT(D459))+VLOOKUP(INT(D459),Tablas!$G$9:$K$1240,5,0)*(INT(D459)+1-D459)),+VLOOKUP(INT(D459)+1,Tablas!$G$9:$O$1240,9,0)*(D459-INT(D459))+VLOOKUP(INT(D459),Tablas!$G$9:$O$1240,9,0)*(INT(D459)+1-D459))</f>
      </c>
      <c r="H459" s="801">
        <f>+IF(MONTH(B459)=1,H458*(1+$C$9),H458)</f>
      </c>
      <c r="I459" s="791">
        <f>IF(B459&lt;$C$10,0,IF(B459&lt;$C$11,$C$8/12*E459*F459*H459,0))</f>
      </c>
      <c r="J459" s="791">
        <f>I459*12/14+IF(OR(MONTH(C459)=6,MONTH(C459)=12),I459*12/14,0)</f>
      </c>
      <c r="K459" s="801">
        <f>G459/$G$15</f>
      </c>
      <c r="L459" s="760"/>
      <c r="M459" s="767"/>
      <c r="N459" s="168"/>
      <c r="O459" s="768"/>
      <c r="P459" s="170"/>
      <c r="Q459" s="7"/>
      <c r="R459" s="766"/>
      <c r="S459" s="170"/>
      <c r="T459" s="168"/>
      <c r="U459" s="170"/>
    </row>
    <row x14ac:dyDescent="0.25" r="460" customHeight="1" ht="18.75">
      <c r="A460" s="1"/>
      <c r="B460" s="799">
        <f>+DATE(YEAR(B459),MONTH(B459)+1,DAY(B459))</f>
        <v>25569.041666666668</v>
      </c>
      <c r="C460" s="799">
        <f>+B461-1</f>
        <v>25569.041666666668</v>
      </c>
      <c r="D460" s="791">
        <f>-_xlfn.DAYS($C$3,C460)/365.25</f>
      </c>
      <c r="E460" s="800">
        <f>IF($D$17+40&lt;=D460,(1+$D$7)^-(D460-$C$5),(1+$C$7)^-(D460-$C$5))</f>
      </c>
      <c r="F460" s="801">
        <f>IF($C$4="Hombre",(+VLOOKUP(INT(D460)+1,Tablas!$G$9:$K$1240,5,0)*(D460-INT(D460))+VLOOKUP(INT(D460),Tablas!$G$9:$K$1240,5,0)*(INT(D460)+1-D460))/(VLOOKUP(INT($C$5)+1,Tablas!$G$9:$K$1240,5,0)*($C$5-INT($C$5))+VLOOKUP(INT($C$5),Tablas!$G$9:$K$124,5,0)*(INT($C$5)+1-$C$5)),(+VLOOKUP(INT(D460)+1,Tablas!$G$9:$O$1240,9,0)*(D460-INT(D460))+VLOOKUP(INT(D460),Tablas!$G$9:$O$1240,9,0)*(INT(D460)+1-D460))/(VLOOKUP(INT($C$5)+1,Tablas!$G$9:$O$1240,9,0)*($C$5-INT($C$5))+VLOOKUP(INT($C$5),Tablas!$G$9:$O$124,9,0)*(INT($C$5)+1-$C$5)))</f>
      </c>
      <c r="G460" s="791">
        <f>IF($C$4="Hombre",(+VLOOKUP(INT(D460)+1,Tablas!$G$9:$K$1240,5,0)*(D460-INT(D460))+VLOOKUP(INT(D460),Tablas!$G$9:$K$1240,5,0)*(INT(D460)+1-D460)),+VLOOKUP(INT(D460)+1,Tablas!$G$9:$O$1240,9,0)*(D460-INT(D460))+VLOOKUP(INT(D460),Tablas!$G$9:$O$1240,9,0)*(INT(D460)+1-D460))</f>
      </c>
      <c r="H460" s="801">
        <f>+IF(MONTH(B460)=1,H459*(1+$C$9),H459)</f>
      </c>
      <c r="I460" s="791">
        <f>IF(B460&lt;$C$10,0,IF(B460&lt;$C$11,$C$8/12*E460*F460*H460,0))</f>
      </c>
      <c r="J460" s="791">
        <f>I460*12/14+IF(OR(MONTH(C460)=6,MONTH(C460)=12),I460*12/14,0)</f>
      </c>
      <c r="K460" s="801">
        <f>G460/$G$15</f>
      </c>
      <c r="L460" s="760"/>
      <c r="M460" s="767"/>
      <c r="N460" s="168"/>
      <c r="O460" s="768"/>
      <c r="P460" s="170"/>
      <c r="Q460" s="7"/>
      <c r="R460" s="766"/>
      <c r="S460" s="170"/>
      <c r="T460" s="168"/>
      <c r="U460" s="170"/>
    </row>
    <row x14ac:dyDescent="0.25" r="461" customHeight="1" ht="18.75">
      <c r="A461" s="1"/>
      <c r="B461" s="799">
        <f>+DATE(YEAR(B460),MONTH(B460)+1,DAY(B460))</f>
        <v>25569.041666666668</v>
      </c>
      <c r="C461" s="799">
        <f>+B462-1</f>
        <v>25569.041666666668</v>
      </c>
      <c r="D461" s="791">
        <f>-_xlfn.DAYS($C$3,C461)/365.25</f>
      </c>
      <c r="E461" s="800">
        <f>IF($D$17+40&lt;=D461,(1+$D$7)^-(D461-$C$5),(1+$C$7)^-(D461-$C$5))</f>
      </c>
      <c r="F461" s="801">
        <f>IF($C$4="Hombre",(+VLOOKUP(INT(D461)+1,Tablas!$G$9:$K$1240,5,0)*(D461-INT(D461))+VLOOKUP(INT(D461),Tablas!$G$9:$K$1240,5,0)*(INT(D461)+1-D461))/(VLOOKUP(INT($C$5)+1,Tablas!$G$9:$K$1240,5,0)*($C$5-INT($C$5))+VLOOKUP(INT($C$5),Tablas!$G$9:$K$124,5,0)*(INT($C$5)+1-$C$5)),(+VLOOKUP(INT(D461)+1,Tablas!$G$9:$O$1240,9,0)*(D461-INT(D461))+VLOOKUP(INT(D461),Tablas!$G$9:$O$1240,9,0)*(INT(D461)+1-D461))/(VLOOKUP(INT($C$5)+1,Tablas!$G$9:$O$1240,9,0)*($C$5-INT($C$5))+VLOOKUP(INT($C$5),Tablas!$G$9:$O$124,9,0)*(INT($C$5)+1-$C$5)))</f>
      </c>
      <c r="G461" s="791">
        <f>IF($C$4="Hombre",(+VLOOKUP(INT(D461)+1,Tablas!$G$9:$K$1240,5,0)*(D461-INT(D461))+VLOOKUP(INT(D461),Tablas!$G$9:$K$1240,5,0)*(INT(D461)+1-D461)),+VLOOKUP(INT(D461)+1,Tablas!$G$9:$O$1240,9,0)*(D461-INT(D461))+VLOOKUP(INT(D461),Tablas!$G$9:$O$1240,9,0)*(INT(D461)+1-D461))</f>
      </c>
      <c r="H461" s="801">
        <f>+IF(MONTH(B461)=1,H460*(1+$C$9),H460)</f>
      </c>
      <c r="I461" s="791">
        <f>IF(B461&lt;$C$10,0,IF(B461&lt;$C$11,$C$8/12*E461*F461*H461,0))</f>
      </c>
      <c r="J461" s="791">
        <f>I461*12/14+IF(OR(MONTH(C461)=6,MONTH(C461)=12),I461*12/14,0)</f>
      </c>
      <c r="K461" s="801">
        <f>G461/$G$15</f>
      </c>
      <c r="L461" s="760"/>
      <c r="M461" s="767"/>
      <c r="N461" s="168"/>
      <c r="O461" s="768"/>
      <c r="P461" s="170"/>
      <c r="Q461" s="7"/>
      <c r="R461" s="766"/>
      <c r="S461" s="170"/>
      <c r="T461" s="168"/>
      <c r="U461" s="170"/>
    </row>
    <row x14ac:dyDescent="0.25" r="462" customHeight="1" ht="18.75">
      <c r="A462" s="1"/>
      <c r="B462" s="799">
        <f>+DATE(YEAR(B461),MONTH(B461)+1,DAY(B461))</f>
        <v>25569.041666666668</v>
      </c>
      <c r="C462" s="799">
        <f>+B463-1</f>
        <v>25569.041666666668</v>
      </c>
      <c r="D462" s="791">
        <f>-_xlfn.DAYS($C$3,C462)/365.25</f>
      </c>
      <c r="E462" s="800">
        <f>IF($D$17+40&lt;=D462,(1+$D$7)^-(D462-$C$5),(1+$C$7)^-(D462-$C$5))</f>
      </c>
      <c r="F462" s="801">
        <f>IF($C$4="Hombre",(+VLOOKUP(INT(D462)+1,Tablas!$G$9:$K$1240,5,0)*(D462-INT(D462))+VLOOKUP(INT(D462),Tablas!$G$9:$K$1240,5,0)*(INT(D462)+1-D462))/(VLOOKUP(INT($C$5)+1,Tablas!$G$9:$K$1240,5,0)*($C$5-INT($C$5))+VLOOKUP(INT($C$5),Tablas!$G$9:$K$124,5,0)*(INT($C$5)+1-$C$5)),(+VLOOKUP(INT(D462)+1,Tablas!$G$9:$O$1240,9,0)*(D462-INT(D462))+VLOOKUP(INT(D462),Tablas!$G$9:$O$1240,9,0)*(INT(D462)+1-D462))/(VLOOKUP(INT($C$5)+1,Tablas!$G$9:$O$1240,9,0)*($C$5-INT($C$5))+VLOOKUP(INT($C$5),Tablas!$G$9:$O$124,9,0)*(INT($C$5)+1-$C$5)))</f>
      </c>
      <c r="G462" s="791">
        <f>IF($C$4="Hombre",(+VLOOKUP(INT(D462)+1,Tablas!$G$9:$K$1240,5,0)*(D462-INT(D462))+VLOOKUP(INT(D462),Tablas!$G$9:$K$1240,5,0)*(INT(D462)+1-D462)),+VLOOKUP(INT(D462)+1,Tablas!$G$9:$O$1240,9,0)*(D462-INT(D462))+VLOOKUP(INT(D462),Tablas!$G$9:$O$1240,9,0)*(INT(D462)+1-D462))</f>
      </c>
      <c r="H462" s="801">
        <f>+IF(MONTH(B462)=1,H461*(1+$C$9),H461)</f>
      </c>
      <c r="I462" s="791">
        <f>IF(B462&lt;$C$10,0,IF(B462&lt;$C$11,$C$8/12*E462*F462*H462,0))</f>
      </c>
      <c r="J462" s="791">
        <f>I462*12/14+IF(OR(MONTH(C462)=6,MONTH(C462)=12),I462*12/14,0)</f>
      </c>
      <c r="K462" s="801">
        <f>G462/$G$15</f>
      </c>
      <c r="L462" s="760"/>
      <c r="M462" s="767"/>
      <c r="N462" s="168"/>
      <c r="O462" s="768"/>
      <c r="P462" s="170"/>
      <c r="Q462" s="7"/>
      <c r="R462" s="766"/>
      <c r="S462" s="170"/>
      <c r="T462" s="168"/>
      <c r="U462" s="170"/>
    </row>
    <row x14ac:dyDescent="0.25" r="463" customHeight="1" ht="18.75">
      <c r="A463" s="1"/>
      <c r="B463" s="799">
        <f>+DATE(YEAR(B462),MONTH(B462)+1,DAY(B462))</f>
        <v>25569.041666666668</v>
      </c>
      <c r="C463" s="799">
        <f>+B464-1</f>
        <v>25569.041666666668</v>
      </c>
      <c r="D463" s="791">
        <f>-_xlfn.DAYS($C$3,C463)/365.25</f>
      </c>
      <c r="E463" s="800">
        <f>IF($D$17+40&lt;=D463,(1+$D$7)^-(D463-$C$5),(1+$C$7)^-(D463-$C$5))</f>
      </c>
      <c r="F463" s="801">
        <f>IF($C$4="Hombre",(+VLOOKUP(INT(D463)+1,Tablas!$G$9:$K$1240,5,0)*(D463-INT(D463))+VLOOKUP(INT(D463),Tablas!$G$9:$K$1240,5,0)*(INT(D463)+1-D463))/(VLOOKUP(INT($C$5)+1,Tablas!$G$9:$K$1240,5,0)*($C$5-INT($C$5))+VLOOKUP(INT($C$5),Tablas!$G$9:$K$124,5,0)*(INT($C$5)+1-$C$5)),(+VLOOKUP(INT(D463)+1,Tablas!$G$9:$O$1240,9,0)*(D463-INT(D463))+VLOOKUP(INT(D463),Tablas!$G$9:$O$1240,9,0)*(INT(D463)+1-D463))/(VLOOKUP(INT($C$5)+1,Tablas!$G$9:$O$1240,9,0)*($C$5-INT($C$5))+VLOOKUP(INT($C$5),Tablas!$G$9:$O$124,9,0)*(INT($C$5)+1-$C$5)))</f>
      </c>
      <c r="G463" s="791">
        <f>IF($C$4="Hombre",(+VLOOKUP(INT(D463)+1,Tablas!$G$9:$K$1240,5,0)*(D463-INT(D463))+VLOOKUP(INT(D463),Tablas!$G$9:$K$1240,5,0)*(INT(D463)+1-D463)),+VLOOKUP(INT(D463)+1,Tablas!$G$9:$O$1240,9,0)*(D463-INT(D463))+VLOOKUP(INT(D463),Tablas!$G$9:$O$1240,9,0)*(INT(D463)+1-D463))</f>
      </c>
      <c r="H463" s="801">
        <f>+IF(MONTH(B463)=1,H462*(1+$C$9),H462)</f>
      </c>
      <c r="I463" s="791">
        <f>IF(B463&lt;$C$10,0,IF(B463&lt;$C$11,$C$8/12*E463*F463*H463,0))</f>
      </c>
      <c r="J463" s="791">
        <f>I463*12/14+IF(OR(MONTH(C463)=6,MONTH(C463)=12),I463*12/14,0)</f>
      </c>
      <c r="K463" s="801">
        <f>G463/$G$15</f>
      </c>
      <c r="L463" s="760"/>
      <c r="M463" s="767"/>
      <c r="N463" s="168"/>
      <c r="O463" s="768"/>
      <c r="P463" s="170"/>
      <c r="Q463" s="7"/>
      <c r="R463" s="766"/>
      <c r="S463" s="170"/>
      <c r="T463" s="168"/>
      <c r="U463" s="170"/>
    </row>
    <row x14ac:dyDescent="0.25" r="464" customHeight="1" ht="18.75">
      <c r="A464" s="1"/>
      <c r="B464" s="799">
        <f>+DATE(YEAR(B463),MONTH(B463)+1,DAY(B463))</f>
        <v>25569.041666666668</v>
      </c>
      <c r="C464" s="799">
        <f>+B465-1</f>
        <v>25569.041666666668</v>
      </c>
      <c r="D464" s="791">
        <f>-_xlfn.DAYS($C$3,C464)/365.25</f>
      </c>
      <c r="E464" s="800">
        <f>IF($D$17+40&lt;=D464,(1+$D$7)^-(D464-$C$5),(1+$C$7)^-(D464-$C$5))</f>
      </c>
      <c r="F464" s="801">
        <f>IF($C$4="Hombre",(+VLOOKUP(INT(D464)+1,Tablas!$G$9:$K$1240,5,0)*(D464-INT(D464))+VLOOKUP(INT(D464),Tablas!$G$9:$K$1240,5,0)*(INT(D464)+1-D464))/(VLOOKUP(INT($C$5)+1,Tablas!$G$9:$K$1240,5,0)*($C$5-INT($C$5))+VLOOKUP(INT($C$5),Tablas!$G$9:$K$124,5,0)*(INT($C$5)+1-$C$5)),(+VLOOKUP(INT(D464)+1,Tablas!$G$9:$O$1240,9,0)*(D464-INT(D464))+VLOOKUP(INT(D464),Tablas!$G$9:$O$1240,9,0)*(INT(D464)+1-D464))/(VLOOKUP(INT($C$5)+1,Tablas!$G$9:$O$1240,9,0)*($C$5-INT($C$5))+VLOOKUP(INT($C$5),Tablas!$G$9:$O$124,9,0)*(INT($C$5)+1-$C$5)))</f>
      </c>
      <c r="G464" s="791">
        <f>IF($C$4="Hombre",(+VLOOKUP(INT(D464)+1,Tablas!$G$9:$K$1240,5,0)*(D464-INT(D464))+VLOOKUP(INT(D464),Tablas!$G$9:$K$1240,5,0)*(INT(D464)+1-D464)),+VLOOKUP(INT(D464)+1,Tablas!$G$9:$O$1240,9,0)*(D464-INT(D464))+VLOOKUP(INT(D464),Tablas!$G$9:$O$1240,9,0)*(INT(D464)+1-D464))</f>
      </c>
      <c r="H464" s="801">
        <f>+IF(MONTH(B464)=1,H463*(1+$C$9),H463)</f>
      </c>
      <c r="I464" s="791">
        <f>IF(B464&lt;$C$10,0,IF(B464&lt;$C$11,$C$8/12*E464*F464*H464,0))</f>
      </c>
      <c r="J464" s="791">
        <f>I464*12/14+IF(OR(MONTH(C464)=6,MONTH(C464)=12),I464*12/14,0)</f>
      </c>
      <c r="K464" s="801">
        <f>G464/$G$15</f>
      </c>
      <c r="L464" s="760"/>
      <c r="M464" s="767"/>
      <c r="N464" s="168"/>
      <c r="O464" s="768"/>
      <c r="P464" s="170"/>
      <c r="Q464" s="7"/>
      <c r="R464" s="766"/>
      <c r="S464" s="170"/>
      <c r="T464" s="168"/>
      <c r="U464" s="170"/>
    </row>
    <row x14ac:dyDescent="0.25" r="465" customHeight="1" ht="18.75">
      <c r="A465" s="1"/>
      <c r="B465" s="799">
        <f>+DATE(YEAR(B464),MONTH(B464)+1,DAY(B464))</f>
        <v>25569.041666666668</v>
      </c>
      <c r="C465" s="799">
        <f>+B466-1</f>
        <v>25569.041666666668</v>
      </c>
      <c r="D465" s="791">
        <f>-_xlfn.DAYS($C$3,C465)/365.25</f>
      </c>
      <c r="E465" s="800">
        <f>IF($D$17+40&lt;=D465,(1+$D$7)^-(D465-$C$5),(1+$C$7)^-(D465-$C$5))</f>
      </c>
      <c r="F465" s="801">
        <f>IF($C$4="Hombre",(+VLOOKUP(INT(D465)+1,Tablas!$G$9:$K$1240,5,0)*(D465-INT(D465))+VLOOKUP(INT(D465),Tablas!$G$9:$K$1240,5,0)*(INT(D465)+1-D465))/(VLOOKUP(INT($C$5)+1,Tablas!$G$9:$K$1240,5,0)*($C$5-INT($C$5))+VLOOKUP(INT($C$5),Tablas!$G$9:$K$124,5,0)*(INT($C$5)+1-$C$5)),(+VLOOKUP(INT(D465)+1,Tablas!$G$9:$O$1240,9,0)*(D465-INT(D465))+VLOOKUP(INT(D465),Tablas!$G$9:$O$1240,9,0)*(INT(D465)+1-D465))/(VLOOKUP(INT($C$5)+1,Tablas!$G$9:$O$1240,9,0)*($C$5-INT($C$5))+VLOOKUP(INT($C$5),Tablas!$G$9:$O$124,9,0)*(INT($C$5)+1-$C$5)))</f>
      </c>
      <c r="G465" s="791">
        <f>IF($C$4="Hombre",(+VLOOKUP(INT(D465)+1,Tablas!$G$9:$K$1240,5,0)*(D465-INT(D465))+VLOOKUP(INT(D465),Tablas!$G$9:$K$1240,5,0)*(INT(D465)+1-D465)),+VLOOKUP(INT(D465)+1,Tablas!$G$9:$O$1240,9,0)*(D465-INT(D465))+VLOOKUP(INT(D465),Tablas!$G$9:$O$1240,9,0)*(INT(D465)+1-D465))</f>
      </c>
      <c r="H465" s="801">
        <f>+IF(MONTH(B465)=1,H464*(1+$C$9),H464)</f>
      </c>
      <c r="I465" s="791">
        <f>IF(B465&lt;$C$10,0,IF(B465&lt;$C$11,$C$8/12*E465*F465*H465,0))</f>
      </c>
      <c r="J465" s="791">
        <f>I465*12/14+IF(OR(MONTH(C465)=6,MONTH(C465)=12),I465*12/14,0)</f>
      </c>
      <c r="K465" s="801">
        <f>G465/$G$15</f>
      </c>
      <c r="L465" s="760"/>
      <c r="M465" s="767"/>
      <c r="N465" s="168"/>
      <c r="O465" s="768"/>
      <c r="P465" s="170"/>
      <c r="Q465" s="7"/>
      <c r="R465" s="766"/>
      <c r="S465" s="170"/>
      <c r="T465" s="168"/>
      <c r="U465" s="170"/>
    </row>
    <row x14ac:dyDescent="0.25" r="466" customHeight="1" ht="18.75">
      <c r="A466" s="1"/>
      <c r="B466" s="799">
        <f>+DATE(YEAR(B465),MONTH(B465)+1,DAY(B465))</f>
        <v>25569.041666666668</v>
      </c>
      <c r="C466" s="799">
        <f>+B467-1</f>
        <v>25569.041666666668</v>
      </c>
      <c r="D466" s="791">
        <f>-_xlfn.DAYS($C$3,C466)/365.25</f>
      </c>
      <c r="E466" s="800">
        <f>IF($D$17+40&lt;=D466,(1+$D$7)^-(D466-$C$5),(1+$C$7)^-(D466-$C$5))</f>
      </c>
      <c r="F466" s="801">
        <f>IF($C$4="Hombre",(+VLOOKUP(INT(D466)+1,Tablas!$G$9:$K$1240,5,0)*(D466-INT(D466))+VLOOKUP(INT(D466),Tablas!$G$9:$K$1240,5,0)*(INT(D466)+1-D466))/(VLOOKUP(INT($C$5)+1,Tablas!$G$9:$K$1240,5,0)*($C$5-INT($C$5))+VLOOKUP(INT($C$5),Tablas!$G$9:$K$124,5,0)*(INT($C$5)+1-$C$5)),(+VLOOKUP(INT(D466)+1,Tablas!$G$9:$O$1240,9,0)*(D466-INT(D466))+VLOOKUP(INT(D466),Tablas!$G$9:$O$1240,9,0)*(INT(D466)+1-D466))/(VLOOKUP(INT($C$5)+1,Tablas!$G$9:$O$1240,9,0)*($C$5-INT($C$5))+VLOOKUP(INT($C$5),Tablas!$G$9:$O$124,9,0)*(INT($C$5)+1-$C$5)))</f>
      </c>
      <c r="G466" s="791">
        <f>IF($C$4="Hombre",(+VLOOKUP(INT(D466)+1,Tablas!$G$9:$K$1240,5,0)*(D466-INT(D466))+VLOOKUP(INT(D466),Tablas!$G$9:$K$1240,5,0)*(INT(D466)+1-D466)),+VLOOKUP(INT(D466)+1,Tablas!$G$9:$O$1240,9,0)*(D466-INT(D466))+VLOOKUP(INT(D466),Tablas!$G$9:$O$1240,9,0)*(INT(D466)+1-D466))</f>
      </c>
      <c r="H466" s="801">
        <f>+IF(MONTH(B466)=1,H465*(1+$C$9),H465)</f>
      </c>
      <c r="I466" s="791">
        <f>IF(B466&lt;$C$10,0,IF(B466&lt;$C$11,$C$8/12*E466*F466*H466,0))</f>
      </c>
      <c r="J466" s="791">
        <f>I466*12/14+IF(OR(MONTH(C466)=6,MONTH(C466)=12),I466*12/14,0)</f>
      </c>
      <c r="K466" s="801">
        <f>G466/$G$15</f>
      </c>
      <c r="L466" s="760"/>
      <c r="M466" s="767"/>
      <c r="N466" s="168"/>
      <c r="O466" s="768"/>
      <c r="P466" s="170"/>
      <c r="Q466" s="7"/>
      <c r="R466" s="766"/>
      <c r="S466" s="170"/>
      <c r="T466" s="168"/>
      <c r="U466" s="170"/>
    </row>
    <row x14ac:dyDescent="0.25" r="467" customHeight="1" ht="18.75">
      <c r="A467" s="1"/>
      <c r="B467" s="799">
        <f>+DATE(YEAR(B466),MONTH(B466)+1,DAY(B466))</f>
        <v>25569.041666666668</v>
      </c>
      <c r="C467" s="799">
        <f>+B468-1</f>
        <v>25569.041666666668</v>
      </c>
      <c r="D467" s="791">
        <f>-_xlfn.DAYS($C$3,C467)/365.25</f>
      </c>
      <c r="E467" s="800">
        <f>IF($D$17+40&lt;=D467,(1+$D$7)^-(D467-$C$5),(1+$C$7)^-(D467-$C$5))</f>
      </c>
      <c r="F467" s="801">
        <f>IF($C$4="Hombre",(+VLOOKUP(INT(D467)+1,Tablas!$G$9:$K$1240,5,0)*(D467-INT(D467))+VLOOKUP(INT(D467),Tablas!$G$9:$K$1240,5,0)*(INT(D467)+1-D467))/(VLOOKUP(INT($C$5)+1,Tablas!$G$9:$K$1240,5,0)*($C$5-INT($C$5))+VLOOKUP(INT($C$5),Tablas!$G$9:$K$124,5,0)*(INT($C$5)+1-$C$5)),(+VLOOKUP(INT(D467)+1,Tablas!$G$9:$O$1240,9,0)*(D467-INT(D467))+VLOOKUP(INT(D467),Tablas!$G$9:$O$1240,9,0)*(INT(D467)+1-D467))/(VLOOKUP(INT($C$5)+1,Tablas!$G$9:$O$1240,9,0)*($C$5-INT($C$5))+VLOOKUP(INT($C$5),Tablas!$G$9:$O$124,9,0)*(INT($C$5)+1-$C$5)))</f>
      </c>
      <c r="G467" s="791">
        <f>IF($C$4="Hombre",(+VLOOKUP(INT(D467)+1,Tablas!$G$9:$K$1240,5,0)*(D467-INT(D467))+VLOOKUP(INT(D467),Tablas!$G$9:$K$1240,5,0)*(INT(D467)+1-D467)),+VLOOKUP(INT(D467)+1,Tablas!$G$9:$O$1240,9,0)*(D467-INT(D467))+VLOOKUP(INT(D467),Tablas!$G$9:$O$1240,9,0)*(INT(D467)+1-D467))</f>
      </c>
      <c r="H467" s="801">
        <f>+IF(MONTH(B467)=1,H466*(1+$C$9),H466)</f>
      </c>
      <c r="I467" s="791">
        <f>IF(B467&lt;$C$10,0,IF(B467&lt;$C$11,$C$8/12*E467*F467*H467,0))</f>
      </c>
      <c r="J467" s="791">
        <f>I467*12/14+IF(OR(MONTH(C467)=6,MONTH(C467)=12),I467*12/14,0)</f>
      </c>
      <c r="K467" s="801">
        <f>G467/$G$15</f>
      </c>
      <c r="L467" s="760"/>
      <c r="M467" s="767"/>
      <c r="N467" s="168"/>
      <c r="O467" s="768"/>
      <c r="P467" s="170"/>
      <c r="Q467" s="7"/>
      <c r="R467" s="766"/>
      <c r="S467" s="170"/>
      <c r="T467" s="168"/>
      <c r="U467" s="170"/>
    </row>
    <row x14ac:dyDescent="0.25" r="468" customHeight="1" ht="18.75">
      <c r="A468" s="1"/>
      <c r="B468" s="799">
        <f>+DATE(YEAR(B467),MONTH(B467)+1,DAY(B467))</f>
        <v>25569.041666666668</v>
      </c>
      <c r="C468" s="799">
        <f>+B469-1</f>
        <v>25569.041666666668</v>
      </c>
      <c r="D468" s="791">
        <f>-_xlfn.DAYS($C$3,C468)/365.25</f>
      </c>
      <c r="E468" s="800">
        <f>IF($D$17+40&lt;=D468,(1+$D$7)^-(D468-$C$5),(1+$C$7)^-(D468-$C$5))</f>
      </c>
      <c r="F468" s="801">
        <f>IF($C$4="Hombre",(+VLOOKUP(INT(D468)+1,Tablas!$G$9:$K$1240,5,0)*(D468-INT(D468))+VLOOKUP(INT(D468),Tablas!$G$9:$K$1240,5,0)*(INT(D468)+1-D468))/(VLOOKUP(INT($C$5)+1,Tablas!$G$9:$K$1240,5,0)*($C$5-INT($C$5))+VLOOKUP(INT($C$5),Tablas!$G$9:$K$124,5,0)*(INT($C$5)+1-$C$5)),(+VLOOKUP(INT(D468)+1,Tablas!$G$9:$O$1240,9,0)*(D468-INT(D468))+VLOOKUP(INT(D468),Tablas!$G$9:$O$1240,9,0)*(INT(D468)+1-D468))/(VLOOKUP(INT($C$5)+1,Tablas!$G$9:$O$1240,9,0)*($C$5-INT($C$5))+VLOOKUP(INT($C$5),Tablas!$G$9:$O$124,9,0)*(INT($C$5)+1-$C$5)))</f>
      </c>
      <c r="G468" s="791">
        <f>IF($C$4="Hombre",(+VLOOKUP(INT(D468)+1,Tablas!$G$9:$K$1240,5,0)*(D468-INT(D468))+VLOOKUP(INT(D468),Tablas!$G$9:$K$1240,5,0)*(INT(D468)+1-D468)),+VLOOKUP(INT(D468)+1,Tablas!$G$9:$O$1240,9,0)*(D468-INT(D468))+VLOOKUP(INT(D468),Tablas!$G$9:$O$1240,9,0)*(INT(D468)+1-D468))</f>
      </c>
      <c r="H468" s="801">
        <f>+IF(MONTH(B468)=1,H467*(1+$C$9),H467)</f>
      </c>
      <c r="I468" s="791">
        <f>IF(B468&lt;$C$10,0,IF(B468&lt;$C$11,$C$8/12*E468*F468*H468,0))</f>
      </c>
      <c r="J468" s="791">
        <f>I468*12/14+IF(OR(MONTH(C468)=6,MONTH(C468)=12),I468*12/14,0)</f>
      </c>
      <c r="K468" s="801">
        <f>G468/$G$15</f>
      </c>
      <c r="L468" s="760"/>
      <c r="M468" s="767"/>
      <c r="N468" s="168"/>
      <c r="O468" s="768"/>
      <c r="P468" s="170"/>
      <c r="Q468" s="7"/>
      <c r="R468" s="766"/>
      <c r="S468" s="170"/>
      <c r="T468" s="168"/>
      <c r="U468" s="170"/>
    </row>
    <row x14ac:dyDescent="0.25" r="469" customHeight="1" ht="18.75">
      <c r="A469" s="1"/>
      <c r="B469" s="799">
        <f>+DATE(YEAR(B468),MONTH(B468)+1,DAY(B468))</f>
        <v>25569.041666666668</v>
      </c>
      <c r="C469" s="799">
        <f>+B470-1</f>
        <v>25569.041666666668</v>
      </c>
      <c r="D469" s="791">
        <f>-_xlfn.DAYS($C$3,C469)/365.25</f>
      </c>
      <c r="E469" s="800">
        <f>IF($D$17+40&lt;=D469,(1+$D$7)^-(D469-$C$5),(1+$C$7)^-(D469-$C$5))</f>
      </c>
      <c r="F469" s="801">
        <f>IF($C$4="Hombre",(+VLOOKUP(INT(D469)+1,Tablas!$G$9:$K$1240,5,0)*(D469-INT(D469))+VLOOKUP(INT(D469),Tablas!$G$9:$K$1240,5,0)*(INT(D469)+1-D469))/(VLOOKUP(INT($C$5)+1,Tablas!$G$9:$K$1240,5,0)*($C$5-INT($C$5))+VLOOKUP(INT($C$5),Tablas!$G$9:$K$124,5,0)*(INT($C$5)+1-$C$5)),(+VLOOKUP(INT(D469)+1,Tablas!$G$9:$O$1240,9,0)*(D469-INT(D469))+VLOOKUP(INT(D469),Tablas!$G$9:$O$1240,9,0)*(INT(D469)+1-D469))/(VLOOKUP(INT($C$5)+1,Tablas!$G$9:$O$1240,9,0)*($C$5-INT($C$5))+VLOOKUP(INT($C$5),Tablas!$G$9:$O$124,9,0)*(INT($C$5)+1-$C$5)))</f>
      </c>
      <c r="G469" s="791">
        <f>IF($C$4="Hombre",(+VLOOKUP(INT(D469)+1,Tablas!$G$9:$K$1240,5,0)*(D469-INT(D469))+VLOOKUP(INT(D469),Tablas!$G$9:$K$1240,5,0)*(INT(D469)+1-D469)),+VLOOKUP(INT(D469)+1,Tablas!$G$9:$O$1240,9,0)*(D469-INT(D469))+VLOOKUP(INT(D469),Tablas!$G$9:$O$1240,9,0)*(INT(D469)+1-D469))</f>
      </c>
      <c r="H469" s="801">
        <f>+IF(MONTH(B469)=1,H468*(1+$C$9),H468)</f>
      </c>
      <c r="I469" s="791">
        <f>IF(B469&lt;$C$10,0,IF(B469&lt;$C$11,$C$8/12*E469*F469*H469,0))</f>
      </c>
      <c r="J469" s="791">
        <f>I469*12/14+IF(OR(MONTH(C469)=6,MONTH(C469)=12),I469*12/14,0)</f>
      </c>
      <c r="K469" s="801">
        <f>G469/$G$15</f>
      </c>
      <c r="L469" s="760"/>
      <c r="M469" s="767"/>
      <c r="N469" s="168"/>
      <c r="O469" s="768"/>
      <c r="P469" s="170"/>
      <c r="Q469" s="7"/>
      <c r="R469" s="766"/>
      <c r="S469" s="170"/>
      <c r="T469" s="168"/>
      <c r="U469" s="170"/>
    </row>
    <row x14ac:dyDescent="0.25" r="470" customHeight="1" ht="18.75">
      <c r="A470" s="1"/>
      <c r="B470" s="799">
        <f>+DATE(YEAR(B469),MONTH(B469)+1,DAY(B469))</f>
        <v>25569.041666666668</v>
      </c>
      <c r="C470" s="799">
        <f>+B471-1</f>
        <v>25569.041666666668</v>
      </c>
      <c r="D470" s="791">
        <f>-_xlfn.DAYS($C$3,C470)/365.25</f>
      </c>
      <c r="E470" s="800">
        <f>IF($D$17+40&lt;=D470,(1+$D$7)^-(D470-$C$5),(1+$C$7)^-(D470-$C$5))</f>
      </c>
      <c r="F470" s="801">
        <f>IF($C$4="Hombre",(+VLOOKUP(INT(D470)+1,Tablas!$G$9:$K$1240,5,0)*(D470-INT(D470))+VLOOKUP(INT(D470),Tablas!$G$9:$K$1240,5,0)*(INT(D470)+1-D470))/(VLOOKUP(INT($C$5)+1,Tablas!$G$9:$K$1240,5,0)*($C$5-INT($C$5))+VLOOKUP(INT($C$5),Tablas!$G$9:$K$124,5,0)*(INT($C$5)+1-$C$5)),(+VLOOKUP(INT(D470)+1,Tablas!$G$9:$O$1240,9,0)*(D470-INT(D470))+VLOOKUP(INT(D470),Tablas!$G$9:$O$1240,9,0)*(INT(D470)+1-D470))/(VLOOKUP(INT($C$5)+1,Tablas!$G$9:$O$1240,9,0)*($C$5-INT($C$5))+VLOOKUP(INT($C$5),Tablas!$G$9:$O$124,9,0)*(INT($C$5)+1-$C$5)))</f>
      </c>
      <c r="G470" s="791">
        <f>IF($C$4="Hombre",(+VLOOKUP(INT(D470)+1,Tablas!$G$9:$K$1240,5,0)*(D470-INT(D470))+VLOOKUP(INT(D470),Tablas!$G$9:$K$1240,5,0)*(INT(D470)+1-D470)),+VLOOKUP(INT(D470)+1,Tablas!$G$9:$O$1240,9,0)*(D470-INT(D470))+VLOOKUP(INT(D470),Tablas!$G$9:$O$1240,9,0)*(INT(D470)+1-D470))</f>
      </c>
      <c r="H470" s="801">
        <f>+IF(MONTH(B470)=1,H469*(1+$C$9),H469)</f>
      </c>
      <c r="I470" s="791">
        <f>IF(B470&lt;$C$10,0,IF(B470&lt;$C$11,$C$8/12*E470*F470*H470,0))</f>
      </c>
      <c r="J470" s="791">
        <f>I470*12/14+IF(OR(MONTH(C470)=6,MONTH(C470)=12),I470*12/14,0)</f>
      </c>
      <c r="K470" s="801">
        <f>G470/$G$15</f>
      </c>
      <c r="L470" s="760"/>
      <c r="M470" s="767"/>
      <c r="N470" s="168"/>
      <c r="O470" s="768"/>
      <c r="P470" s="170"/>
      <c r="Q470" s="7"/>
      <c r="R470" s="766"/>
      <c r="S470" s="170"/>
      <c r="T470" s="168"/>
      <c r="U470" s="170"/>
    </row>
    <row x14ac:dyDescent="0.25" r="471" customHeight="1" ht="18.75">
      <c r="A471" s="1"/>
      <c r="B471" s="799">
        <f>+DATE(YEAR(B470),MONTH(B470)+1,DAY(B470))</f>
        <v>25569.041666666668</v>
      </c>
      <c r="C471" s="799">
        <f>+B472-1</f>
        <v>25569.041666666668</v>
      </c>
      <c r="D471" s="791">
        <f>-_xlfn.DAYS($C$3,C471)/365.25</f>
      </c>
      <c r="E471" s="800">
        <f>IF($D$17+40&lt;=D471,(1+$D$7)^-(D471-$C$5),(1+$C$7)^-(D471-$C$5))</f>
      </c>
      <c r="F471" s="801">
        <f>IF($C$4="Hombre",(+VLOOKUP(INT(D471)+1,Tablas!$G$9:$K$1240,5,0)*(D471-INT(D471))+VLOOKUP(INT(D471),Tablas!$G$9:$K$1240,5,0)*(INT(D471)+1-D471))/(VLOOKUP(INT($C$5)+1,Tablas!$G$9:$K$1240,5,0)*($C$5-INT($C$5))+VLOOKUP(INT($C$5),Tablas!$G$9:$K$124,5,0)*(INT($C$5)+1-$C$5)),(+VLOOKUP(INT(D471)+1,Tablas!$G$9:$O$1240,9,0)*(D471-INT(D471))+VLOOKUP(INT(D471),Tablas!$G$9:$O$1240,9,0)*(INT(D471)+1-D471))/(VLOOKUP(INT($C$5)+1,Tablas!$G$9:$O$1240,9,0)*($C$5-INT($C$5))+VLOOKUP(INT($C$5),Tablas!$G$9:$O$124,9,0)*(INT($C$5)+1-$C$5)))</f>
      </c>
      <c r="G471" s="791">
        <f>IF($C$4="Hombre",(+VLOOKUP(INT(D471)+1,Tablas!$G$9:$K$1240,5,0)*(D471-INT(D471))+VLOOKUP(INT(D471),Tablas!$G$9:$K$1240,5,0)*(INT(D471)+1-D471)),+VLOOKUP(INT(D471)+1,Tablas!$G$9:$O$1240,9,0)*(D471-INT(D471))+VLOOKUP(INT(D471),Tablas!$G$9:$O$1240,9,0)*(INT(D471)+1-D471))</f>
      </c>
      <c r="H471" s="801">
        <f>+IF(MONTH(B471)=1,H470*(1+$C$9),H470)</f>
      </c>
      <c r="I471" s="791">
        <f>IF(B471&lt;$C$10,0,IF(B471&lt;$C$11,$C$8/12*E471*F471*H471,0))</f>
      </c>
      <c r="J471" s="791">
        <f>I471*12/14+IF(OR(MONTH(C471)=6,MONTH(C471)=12),I471*12/14,0)</f>
      </c>
      <c r="K471" s="801">
        <f>G471/$G$15</f>
      </c>
      <c r="L471" s="760"/>
      <c r="M471" s="767"/>
      <c r="N471" s="168"/>
      <c r="O471" s="768"/>
      <c r="P471" s="170"/>
      <c r="Q471" s="7"/>
      <c r="R471" s="766"/>
      <c r="S471" s="170"/>
      <c r="T471" s="168"/>
      <c r="U471" s="170"/>
    </row>
    <row x14ac:dyDescent="0.25" r="472" customHeight="1" ht="18.75">
      <c r="A472" s="1"/>
      <c r="B472" s="799">
        <f>+DATE(YEAR(B471),MONTH(B471)+1,DAY(B471))</f>
        <v>25569.041666666668</v>
      </c>
      <c r="C472" s="799">
        <f>+B473-1</f>
        <v>25569.041666666668</v>
      </c>
      <c r="D472" s="791">
        <f>-_xlfn.DAYS($C$3,C472)/365.25</f>
      </c>
      <c r="E472" s="800">
        <f>IF($D$17+40&lt;=D472,(1+$D$7)^-(D472-$C$5),(1+$C$7)^-(D472-$C$5))</f>
      </c>
      <c r="F472" s="801">
        <f>IF($C$4="Hombre",(+VLOOKUP(INT(D472)+1,Tablas!$G$9:$K$1240,5,0)*(D472-INT(D472))+VLOOKUP(INT(D472),Tablas!$G$9:$K$1240,5,0)*(INT(D472)+1-D472))/(VLOOKUP(INT($C$5)+1,Tablas!$G$9:$K$1240,5,0)*($C$5-INT($C$5))+VLOOKUP(INT($C$5),Tablas!$G$9:$K$124,5,0)*(INT($C$5)+1-$C$5)),(+VLOOKUP(INT(D472)+1,Tablas!$G$9:$O$1240,9,0)*(D472-INT(D472))+VLOOKUP(INT(D472),Tablas!$G$9:$O$1240,9,0)*(INT(D472)+1-D472))/(VLOOKUP(INT($C$5)+1,Tablas!$G$9:$O$1240,9,0)*($C$5-INT($C$5))+VLOOKUP(INT($C$5),Tablas!$G$9:$O$124,9,0)*(INT($C$5)+1-$C$5)))</f>
      </c>
      <c r="G472" s="791">
        <f>IF($C$4="Hombre",(+VLOOKUP(INT(D472)+1,Tablas!$G$9:$K$1240,5,0)*(D472-INT(D472))+VLOOKUP(INT(D472),Tablas!$G$9:$K$1240,5,0)*(INT(D472)+1-D472)),+VLOOKUP(INT(D472)+1,Tablas!$G$9:$O$1240,9,0)*(D472-INT(D472))+VLOOKUP(INT(D472),Tablas!$G$9:$O$1240,9,0)*(INT(D472)+1-D472))</f>
      </c>
      <c r="H472" s="801">
        <f>+IF(MONTH(B472)=1,H471*(1+$C$9),H471)</f>
      </c>
      <c r="I472" s="791">
        <f>IF(B472&lt;$C$10,0,IF(B472&lt;$C$11,$C$8/12*E472*F472*H472,0))</f>
      </c>
      <c r="J472" s="791">
        <f>I472*12/14+IF(OR(MONTH(C472)=6,MONTH(C472)=12),I472*12/14,0)</f>
      </c>
      <c r="K472" s="801">
        <f>G472/$G$15</f>
      </c>
      <c r="L472" s="760"/>
      <c r="M472" s="767"/>
      <c r="N472" s="168"/>
      <c r="O472" s="768"/>
      <c r="P472" s="170"/>
      <c r="Q472" s="7"/>
      <c r="R472" s="766"/>
      <c r="S472" s="170"/>
      <c r="T472" s="168"/>
      <c r="U472" s="170"/>
    </row>
    <row x14ac:dyDescent="0.25" r="473" customHeight="1" ht="18.75">
      <c r="A473" s="1"/>
      <c r="B473" s="799">
        <f>+DATE(YEAR(B472),MONTH(B472)+1,DAY(B472))</f>
        <v>25569.041666666668</v>
      </c>
      <c r="C473" s="799">
        <f>+B474-1</f>
        <v>25569.041666666668</v>
      </c>
      <c r="D473" s="791">
        <f>-_xlfn.DAYS($C$3,C473)/365.25</f>
      </c>
      <c r="E473" s="800">
        <f>IF($D$17+40&lt;=D473,(1+$D$7)^-(D473-$C$5),(1+$C$7)^-(D473-$C$5))</f>
      </c>
      <c r="F473" s="801">
        <f>IF($C$4="Hombre",(+VLOOKUP(INT(D473)+1,Tablas!$G$9:$K$1240,5,0)*(D473-INT(D473))+VLOOKUP(INT(D473),Tablas!$G$9:$K$1240,5,0)*(INT(D473)+1-D473))/(VLOOKUP(INT($C$5)+1,Tablas!$G$9:$K$1240,5,0)*($C$5-INT($C$5))+VLOOKUP(INT($C$5),Tablas!$G$9:$K$124,5,0)*(INT($C$5)+1-$C$5)),(+VLOOKUP(INT(D473)+1,Tablas!$G$9:$O$1240,9,0)*(D473-INT(D473))+VLOOKUP(INT(D473),Tablas!$G$9:$O$1240,9,0)*(INT(D473)+1-D473))/(VLOOKUP(INT($C$5)+1,Tablas!$G$9:$O$1240,9,0)*($C$5-INT($C$5))+VLOOKUP(INT($C$5),Tablas!$G$9:$O$124,9,0)*(INT($C$5)+1-$C$5)))</f>
      </c>
      <c r="G473" s="791">
        <f>IF($C$4="Hombre",(+VLOOKUP(INT(D473)+1,Tablas!$G$9:$K$1240,5,0)*(D473-INT(D473))+VLOOKUP(INT(D473),Tablas!$G$9:$K$1240,5,0)*(INT(D473)+1-D473)),+VLOOKUP(INT(D473)+1,Tablas!$G$9:$O$1240,9,0)*(D473-INT(D473))+VLOOKUP(INT(D473),Tablas!$G$9:$O$1240,9,0)*(INT(D473)+1-D473))</f>
      </c>
      <c r="H473" s="801">
        <f>+IF(MONTH(B473)=1,H472*(1+$C$9),H472)</f>
      </c>
      <c r="I473" s="791">
        <f>IF(B473&lt;$C$10,0,IF(B473&lt;$C$11,$C$8/12*E473*F473*H473,0))</f>
      </c>
      <c r="J473" s="791">
        <f>I473*12/14+IF(OR(MONTH(C473)=6,MONTH(C473)=12),I473*12/14,0)</f>
      </c>
      <c r="K473" s="801">
        <f>G473/$G$15</f>
      </c>
      <c r="L473" s="760"/>
      <c r="M473" s="767"/>
      <c r="N473" s="168"/>
      <c r="O473" s="768"/>
      <c r="P473" s="170"/>
      <c r="Q473" s="7"/>
      <c r="R473" s="766"/>
      <c r="S473" s="170"/>
      <c r="T473" s="168"/>
      <c r="U473" s="170"/>
    </row>
    <row x14ac:dyDescent="0.25" r="474" customHeight="1" ht="18.75">
      <c r="A474" s="1"/>
      <c r="B474" s="799">
        <f>+DATE(YEAR(B473),MONTH(B473)+1,DAY(B473))</f>
        <v>25569.041666666668</v>
      </c>
      <c r="C474" s="799">
        <f>+B475-1</f>
        <v>25569.041666666668</v>
      </c>
      <c r="D474" s="791">
        <f>-_xlfn.DAYS($C$3,C474)/365.25</f>
      </c>
      <c r="E474" s="800">
        <f>IF($D$17+40&lt;=D474,(1+$D$7)^-(D474-$C$5),(1+$C$7)^-(D474-$C$5))</f>
      </c>
      <c r="F474" s="801">
        <f>IF($C$4="Hombre",(+VLOOKUP(INT(D474)+1,Tablas!$G$9:$K$1240,5,0)*(D474-INT(D474))+VLOOKUP(INT(D474),Tablas!$G$9:$K$1240,5,0)*(INT(D474)+1-D474))/(VLOOKUP(INT($C$5)+1,Tablas!$G$9:$K$1240,5,0)*($C$5-INT($C$5))+VLOOKUP(INT($C$5),Tablas!$G$9:$K$124,5,0)*(INT($C$5)+1-$C$5)),(+VLOOKUP(INT(D474)+1,Tablas!$G$9:$O$1240,9,0)*(D474-INT(D474))+VLOOKUP(INT(D474),Tablas!$G$9:$O$1240,9,0)*(INT(D474)+1-D474))/(VLOOKUP(INT($C$5)+1,Tablas!$G$9:$O$1240,9,0)*($C$5-INT($C$5))+VLOOKUP(INT($C$5),Tablas!$G$9:$O$124,9,0)*(INT($C$5)+1-$C$5)))</f>
      </c>
      <c r="G474" s="791">
        <f>IF($C$4="Hombre",(+VLOOKUP(INT(D474)+1,Tablas!$G$9:$K$1240,5,0)*(D474-INT(D474))+VLOOKUP(INT(D474),Tablas!$G$9:$K$1240,5,0)*(INT(D474)+1-D474)),+VLOOKUP(INT(D474)+1,Tablas!$G$9:$O$1240,9,0)*(D474-INT(D474))+VLOOKUP(INT(D474),Tablas!$G$9:$O$1240,9,0)*(INT(D474)+1-D474))</f>
      </c>
      <c r="H474" s="801">
        <f>+IF(MONTH(B474)=1,H473*(1+$C$9),H473)</f>
      </c>
      <c r="I474" s="791">
        <f>IF(B474&lt;$C$10,0,IF(B474&lt;$C$11,$C$8/12*E474*F474*H474,0))</f>
      </c>
      <c r="J474" s="791">
        <f>I474*12/14+IF(OR(MONTH(C474)=6,MONTH(C474)=12),I474*12/14,0)</f>
      </c>
      <c r="K474" s="801">
        <f>G474/$G$15</f>
      </c>
      <c r="L474" s="760"/>
      <c r="M474" s="767"/>
      <c r="N474" s="168"/>
      <c r="O474" s="768"/>
      <c r="P474" s="170"/>
      <c r="Q474" s="7"/>
      <c r="R474" s="766"/>
      <c r="S474" s="170"/>
      <c r="T474" s="168"/>
      <c r="U474" s="170"/>
    </row>
    <row x14ac:dyDescent="0.25" r="475" customHeight="1" ht="18.75">
      <c r="A475" s="1"/>
      <c r="B475" s="799">
        <f>+DATE(YEAR(B474),MONTH(B474)+1,DAY(B474))</f>
        <v>25569.041666666668</v>
      </c>
      <c r="C475" s="799">
        <f>+B476-1</f>
        <v>25569.041666666668</v>
      </c>
      <c r="D475" s="791">
        <f>-_xlfn.DAYS($C$3,C475)/365.25</f>
      </c>
      <c r="E475" s="800">
        <f>IF($D$17+40&lt;=D475,(1+$D$7)^-(D475-$C$5),(1+$C$7)^-(D475-$C$5))</f>
      </c>
      <c r="F475" s="801">
        <f>IF($C$4="Hombre",(+VLOOKUP(INT(D475)+1,Tablas!$G$9:$K$1240,5,0)*(D475-INT(D475))+VLOOKUP(INT(D475),Tablas!$G$9:$K$1240,5,0)*(INT(D475)+1-D475))/(VLOOKUP(INT($C$5)+1,Tablas!$G$9:$K$1240,5,0)*($C$5-INT($C$5))+VLOOKUP(INT($C$5),Tablas!$G$9:$K$124,5,0)*(INT($C$5)+1-$C$5)),(+VLOOKUP(INT(D475)+1,Tablas!$G$9:$O$1240,9,0)*(D475-INT(D475))+VLOOKUP(INT(D475),Tablas!$G$9:$O$1240,9,0)*(INT(D475)+1-D475))/(VLOOKUP(INT($C$5)+1,Tablas!$G$9:$O$1240,9,0)*($C$5-INT($C$5))+VLOOKUP(INT($C$5),Tablas!$G$9:$O$124,9,0)*(INT($C$5)+1-$C$5)))</f>
      </c>
      <c r="G475" s="791">
        <f>IF($C$4="Hombre",(+VLOOKUP(INT(D475)+1,Tablas!$G$9:$K$1240,5,0)*(D475-INT(D475))+VLOOKUP(INT(D475),Tablas!$G$9:$K$1240,5,0)*(INT(D475)+1-D475)),+VLOOKUP(INT(D475)+1,Tablas!$G$9:$O$1240,9,0)*(D475-INT(D475))+VLOOKUP(INT(D475),Tablas!$G$9:$O$1240,9,0)*(INT(D475)+1-D475))</f>
      </c>
      <c r="H475" s="801">
        <f>+IF(MONTH(B475)=1,H474*(1+$C$9),H474)</f>
      </c>
      <c r="I475" s="791">
        <f>IF(B475&lt;$C$10,0,IF(B475&lt;$C$11,$C$8/12*E475*F475*H475,0))</f>
      </c>
      <c r="J475" s="791">
        <f>I475*12/14+IF(OR(MONTH(C475)=6,MONTH(C475)=12),I475*12/14,0)</f>
      </c>
      <c r="K475" s="801">
        <f>G475/$G$15</f>
      </c>
      <c r="L475" s="760"/>
      <c r="M475" s="767"/>
      <c r="N475" s="168"/>
      <c r="O475" s="768"/>
      <c r="P475" s="170"/>
      <c r="Q475" s="7"/>
      <c r="R475" s="766"/>
      <c r="S475" s="170"/>
      <c r="T475" s="168"/>
      <c r="U475" s="170"/>
    </row>
    <row x14ac:dyDescent="0.25" r="476" customHeight="1" ht="18.75">
      <c r="A476" s="1"/>
      <c r="B476" s="799">
        <f>+DATE(YEAR(B475),MONTH(B475)+1,DAY(B475))</f>
        <v>25569.041666666668</v>
      </c>
      <c r="C476" s="799">
        <f>+B477-1</f>
        <v>25569.041666666668</v>
      </c>
      <c r="D476" s="791">
        <f>-_xlfn.DAYS($C$3,C476)/365.25</f>
      </c>
      <c r="E476" s="800">
        <f>IF($D$17+40&lt;=D476,(1+$D$7)^-(D476-$C$5),(1+$C$7)^-(D476-$C$5))</f>
      </c>
      <c r="F476" s="801">
        <f>IF($C$4="Hombre",(+VLOOKUP(INT(D476)+1,Tablas!$G$9:$K$1240,5,0)*(D476-INT(D476))+VLOOKUP(INT(D476),Tablas!$G$9:$K$1240,5,0)*(INT(D476)+1-D476))/(VLOOKUP(INT($C$5)+1,Tablas!$G$9:$K$1240,5,0)*($C$5-INT($C$5))+VLOOKUP(INT($C$5),Tablas!$G$9:$K$124,5,0)*(INT($C$5)+1-$C$5)),(+VLOOKUP(INT(D476)+1,Tablas!$G$9:$O$1240,9,0)*(D476-INT(D476))+VLOOKUP(INT(D476),Tablas!$G$9:$O$1240,9,0)*(INT(D476)+1-D476))/(VLOOKUP(INT($C$5)+1,Tablas!$G$9:$O$1240,9,0)*($C$5-INT($C$5))+VLOOKUP(INT($C$5),Tablas!$G$9:$O$124,9,0)*(INT($C$5)+1-$C$5)))</f>
      </c>
      <c r="G476" s="791">
        <f>IF($C$4="Hombre",(+VLOOKUP(INT(D476)+1,Tablas!$G$9:$K$1240,5,0)*(D476-INT(D476))+VLOOKUP(INT(D476),Tablas!$G$9:$K$1240,5,0)*(INT(D476)+1-D476)),+VLOOKUP(INT(D476)+1,Tablas!$G$9:$O$1240,9,0)*(D476-INT(D476))+VLOOKUP(INT(D476),Tablas!$G$9:$O$1240,9,0)*(INT(D476)+1-D476))</f>
      </c>
      <c r="H476" s="801">
        <f>+IF(MONTH(B476)=1,H475*(1+$C$9),H475)</f>
      </c>
      <c r="I476" s="791">
        <f>IF(B476&lt;$C$10,0,IF(B476&lt;$C$11,$C$8/12*E476*F476*H476,0))</f>
      </c>
      <c r="J476" s="791">
        <f>I476*12/14+IF(OR(MONTH(C476)=6,MONTH(C476)=12),I476*12/14,0)</f>
      </c>
      <c r="K476" s="801">
        <f>G476/$G$15</f>
      </c>
      <c r="L476" s="760"/>
      <c r="M476" s="767"/>
      <c r="N476" s="168"/>
      <c r="O476" s="768"/>
      <c r="P476" s="170"/>
      <c r="Q476" s="7"/>
      <c r="R476" s="766"/>
      <c r="S476" s="170"/>
      <c r="T476" s="168"/>
      <c r="U476" s="170"/>
    </row>
    <row x14ac:dyDescent="0.25" r="477" customHeight="1" ht="18.75">
      <c r="A477" s="1"/>
      <c r="B477" s="799">
        <f>+DATE(YEAR(B476),MONTH(B476)+1,DAY(B476))</f>
        <v>25569.041666666668</v>
      </c>
      <c r="C477" s="799">
        <f>+B478-1</f>
        <v>25569.041666666668</v>
      </c>
      <c r="D477" s="791">
        <f>-_xlfn.DAYS($C$3,C477)/365.25</f>
      </c>
      <c r="E477" s="800">
        <f>IF($D$17+40&lt;=D477,(1+$D$7)^-(D477-$C$5),(1+$C$7)^-(D477-$C$5))</f>
      </c>
      <c r="F477" s="801">
        <f>IF($C$4="Hombre",(+VLOOKUP(INT(D477)+1,Tablas!$G$9:$K$1240,5,0)*(D477-INT(D477))+VLOOKUP(INT(D477),Tablas!$G$9:$K$1240,5,0)*(INT(D477)+1-D477))/(VLOOKUP(INT($C$5)+1,Tablas!$G$9:$K$1240,5,0)*($C$5-INT($C$5))+VLOOKUP(INT($C$5),Tablas!$G$9:$K$124,5,0)*(INT($C$5)+1-$C$5)),(+VLOOKUP(INT(D477)+1,Tablas!$G$9:$O$1240,9,0)*(D477-INT(D477))+VLOOKUP(INT(D477),Tablas!$G$9:$O$1240,9,0)*(INT(D477)+1-D477))/(VLOOKUP(INT($C$5)+1,Tablas!$G$9:$O$1240,9,0)*($C$5-INT($C$5))+VLOOKUP(INT($C$5),Tablas!$G$9:$O$124,9,0)*(INT($C$5)+1-$C$5)))</f>
      </c>
      <c r="G477" s="791">
        <f>IF($C$4="Hombre",(+VLOOKUP(INT(D477)+1,Tablas!$G$9:$K$1240,5,0)*(D477-INT(D477))+VLOOKUP(INT(D477),Tablas!$G$9:$K$1240,5,0)*(INT(D477)+1-D477)),+VLOOKUP(INT(D477)+1,Tablas!$G$9:$O$1240,9,0)*(D477-INT(D477))+VLOOKUP(INT(D477),Tablas!$G$9:$O$1240,9,0)*(INT(D477)+1-D477))</f>
      </c>
      <c r="H477" s="801">
        <f>+IF(MONTH(B477)=1,H476*(1+$C$9),H476)</f>
      </c>
      <c r="I477" s="791">
        <f>IF(B477&lt;$C$10,0,IF(B477&lt;$C$11,$C$8/12*E477*F477*H477,0))</f>
      </c>
      <c r="J477" s="791">
        <f>I477*12/14+IF(OR(MONTH(C477)=6,MONTH(C477)=12),I477*12/14,0)</f>
      </c>
      <c r="K477" s="801">
        <f>G477/$G$15</f>
      </c>
      <c r="L477" s="760"/>
      <c r="M477" s="767"/>
      <c r="N477" s="168"/>
      <c r="O477" s="768"/>
      <c r="P477" s="170"/>
      <c r="Q477" s="7"/>
      <c r="R477" s="766"/>
      <c r="S477" s="170"/>
      <c r="T477" s="168"/>
      <c r="U477" s="170"/>
    </row>
    <row x14ac:dyDescent="0.25" r="478" customHeight="1" ht="18.75">
      <c r="A478" s="1"/>
      <c r="B478" s="799">
        <f>+DATE(YEAR(B477),MONTH(B477)+1,DAY(B477))</f>
        <v>25569.041666666668</v>
      </c>
      <c r="C478" s="799">
        <f>+B479-1</f>
        <v>25569.041666666668</v>
      </c>
      <c r="D478" s="791">
        <f>-_xlfn.DAYS($C$3,C478)/365.25</f>
      </c>
      <c r="E478" s="800">
        <f>IF($D$17+40&lt;=D478,(1+$D$7)^-(D478-$C$5),(1+$C$7)^-(D478-$C$5))</f>
      </c>
      <c r="F478" s="801">
        <f>IF($C$4="Hombre",(+VLOOKUP(INT(D478)+1,Tablas!$G$9:$K$1240,5,0)*(D478-INT(D478))+VLOOKUP(INT(D478),Tablas!$G$9:$K$1240,5,0)*(INT(D478)+1-D478))/(VLOOKUP(INT($C$5)+1,Tablas!$G$9:$K$1240,5,0)*($C$5-INT($C$5))+VLOOKUP(INT($C$5),Tablas!$G$9:$K$124,5,0)*(INT($C$5)+1-$C$5)),(+VLOOKUP(INT(D478)+1,Tablas!$G$9:$O$1240,9,0)*(D478-INT(D478))+VLOOKUP(INT(D478),Tablas!$G$9:$O$1240,9,0)*(INT(D478)+1-D478))/(VLOOKUP(INT($C$5)+1,Tablas!$G$9:$O$1240,9,0)*($C$5-INT($C$5))+VLOOKUP(INT($C$5),Tablas!$G$9:$O$124,9,0)*(INT($C$5)+1-$C$5)))</f>
      </c>
      <c r="G478" s="791">
        <f>IF($C$4="Hombre",(+VLOOKUP(INT(D478)+1,Tablas!$G$9:$K$1240,5,0)*(D478-INT(D478))+VLOOKUP(INT(D478),Tablas!$G$9:$K$1240,5,0)*(INT(D478)+1-D478)),+VLOOKUP(INT(D478)+1,Tablas!$G$9:$O$1240,9,0)*(D478-INT(D478))+VLOOKUP(INT(D478),Tablas!$G$9:$O$1240,9,0)*(INT(D478)+1-D478))</f>
      </c>
      <c r="H478" s="801">
        <f>+IF(MONTH(B478)=1,H477*(1+$C$9),H477)</f>
      </c>
      <c r="I478" s="791">
        <f>IF(B478&lt;$C$10,0,IF(B478&lt;$C$11,$C$8/12*E478*F478*H478,0))</f>
      </c>
      <c r="J478" s="791">
        <f>I478*12/14+IF(OR(MONTH(C478)=6,MONTH(C478)=12),I478*12/14,0)</f>
      </c>
      <c r="K478" s="801">
        <f>G478/$G$15</f>
      </c>
      <c r="L478" s="760"/>
      <c r="M478" s="767"/>
      <c r="N478" s="168"/>
      <c r="O478" s="768"/>
      <c r="P478" s="170"/>
      <c r="Q478" s="7"/>
      <c r="R478" s="766"/>
      <c r="S478" s="170"/>
      <c r="T478" s="168"/>
      <c r="U478" s="170"/>
    </row>
    <row x14ac:dyDescent="0.25" r="479" customHeight="1" ht="18.75">
      <c r="A479" s="1"/>
      <c r="B479" s="799">
        <f>+DATE(YEAR(B478),MONTH(B478)+1,DAY(B478))</f>
        <v>25569.041666666668</v>
      </c>
      <c r="C479" s="799">
        <f>+B480-1</f>
        <v>25569.041666666668</v>
      </c>
      <c r="D479" s="791">
        <f>-_xlfn.DAYS($C$3,C479)/365.25</f>
      </c>
      <c r="E479" s="800">
        <f>IF($D$17+40&lt;=D479,(1+$D$7)^-(D479-$C$5),(1+$C$7)^-(D479-$C$5))</f>
      </c>
      <c r="F479" s="801">
        <f>IF($C$4="Hombre",(+VLOOKUP(INT(D479)+1,Tablas!$G$9:$K$1240,5,0)*(D479-INT(D479))+VLOOKUP(INT(D479),Tablas!$G$9:$K$1240,5,0)*(INT(D479)+1-D479))/(VLOOKUP(INT($C$5)+1,Tablas!$G$9:$K$1240,5,0)*($C$5-INT($C$5))+VLOOKUP(INT($C$5),Tablas!$G$9:$K$124,5,0)*(INT($C$5)+1-$C$5)),(+VLOOKUP(INT(D479)+1,Tablas!$G$9:$O$1240,9,0)*(D479-INT(D479))+VLOOKUP(INT(D479),Tablas!$G$9:$O$1240,9,0)*(INT(D479)+1-D479))/(VLOOKUP(INT($C$5)+1,Tablas!$G$9:$O$1240,9,0)*($C$5-INT($C$5))+VLOOKUP(INT($C$5),Tablas!$G$9:$O$124,9,0)*(INT($C$5)+1-$C$5)))</f>
      </c>
      <c r="G479" s="791">
        <f>IF($C$4="Hombre",(+VLOOKUP(INT(D479)+1,Tablas!$G$9:$K$1240,5,0)*(D479-INT(D479))+VLOOKUP(INT(D479),Tablas!$G$9:$K$1240,5,0)*(INT(D479)+1-D479)),+VLOOKUP(INT(D479)+1,Tablas!$G$9:$O$1240,9,0)*(D479-INT(D479))+VLOOKUP(INT(D479),Tablas!$G$9:$O$1240,9,0)*(INT(D479)+1-D479))</f>
      </c>
      <c r="H479" s="801">
        <f>+IF(MONTH(B479)=1,H478*(1+$C$9),H478)</f>
      </c>
      <c r="I479" s="791">
        <f>IF(B479&lt;$C$10,0,IF(B479&lt;$C$11,$C$8/12*E479*F479*H479,0))</f>
      </c>
      <c r="J479" s="791">
        <f>I479*12/14+IF(OR(MONTH(C479)=6,MONTH(C479)=12),I479*12/14,0)</f>
      </c>
      <c r="K479" s="801">
        <f>G479/$G$15</f>
      </c>
      <c r="L479" s="760"/>
      <c r="M479" s="767"/>
      <c r="N479" s="168"/>
      <c r="O479" s="768"/>
      <c r="P479" s="170"/>
      <c r="Q479" s="7"/>
      <c r="R479" s="766"/>
      <c r="S479" s="170"/>
      <c r="T479" s="168"/>
      <c r="U479" s="170"/>
    </row>
    <row x14ac:dyDescent="0.25" r="480" customHeight="1" ht="18.75">
      <c r="A480" s="1"/>
      <c r="B480" s="799">
        <f>+DATE(YEAR(B479),MONTH(B479)+1,DAY(B479))</f>
        <v>25569.041666666668</v>
      </c>
      <c r="C480" s="799">
        <f>+B481-1</f>
        <v>25569.041666666668</v>
      </c>
      <c r="D480" s="791">
        <f>-_xlfn.DAYS($C$3,C480)/365.25</f>
      </c>
      <c r="E480" s="800">
        <f>IF($D$17+40&lt;=D480,(1+$D$7)^-(D480-$C$5),(1+$C$7)^-(D480-$C$5))</f>
      </c>
      <c r="F480" s="801">
        <f>IF($C$4="Hombre",(+VLOOKUP(INT(D480)+1,Tablas!$G$9:$K$1240,5,0)*(D480-INT(D480))+VLOOKUP(INT(D480),Tablas!$G$9:$K$1240,5,0)*(INT(D480)+1-D480))/(VLOOKUP(INT($C$5)+1,Tablas!$G$9:$K$1240,5,0)*($C$5-INT($C$5))+VLOOKUP(INT($C$5),Tablas!$G$9:$K$124,5,0)*(INT($C$5)+1-$C$5)),(+VLOOKUP(INT(D480)+1,Tablas!$G$9:$O$1240,9,0)*(D480-INT(D480))+VLOOKUP(INT(D480),Tablas!$G$9:$O$1240,9,0)*(INT(D480)+1-D480))/(VLOOKUP(INT($C$5)+1,Tablas!$G$9:$O$1240,9,0)*($C$5-INT($C$5))+VLOOKUP(INT($C$5),Tablas!$G$9:$O$124,9,0)*(INT($C$5)+1-$C$5)))</f>
      </c>
      <c r="G480" s="791">
        <f>IF($C$4="Hombre",(+VLOOKUP(INT(D480)+1,Tablas!$G$9:$K$1240,5,0)*(D480-INT(D480))+VLOOKUP(INT(D480),Tablas!$G$9:$K$1240,5,0)*(INT(D480)+1-D480)),+VLOOKUP(INT(D480)+1,Tablas!$G$9:$O$1240,9,0)*(D480-INT(D480))+VLOOKUP(INT(D480),Tablas!$G$9:$O$1240,9,0)*(INT(D480)+1-D480))</f>
      </c>
      <c r="H480" s="801">
        <f>+IF(MONTH(B480)=1,H479*(1+$C$9),H479)</f>
      </c>
      <c r="I480" s="791">
        <f>IF(B480&lt;$C$10,0,IF(B480&lt;$C$11,$C$8/12*E480*F480*H480,0))</f>
      </c>
      <c r="J480" s="791">
        <f>I480*12/14+IF(OR(MONTH(C480)=6,MONTH(C480)=12),I480*12/14,0)</f>
      </c>
      <c r="K480" s="801">
        <f>G480/$G$15</f>
      </c>
      <c r="L480" s="760"/>
      <c r="M480" s="767"/>
      <c r="N480" s="168"/>
      <c r="O480" s="768"/>
      <c r="P480" s="170"/>
      <c r="Q480" s="7"/>
      <c r="R480" s="766"/>
      <c r="S480" s="170"/>
      <c r="T480" s="168"/>
      <c r="U480" s="170"/>
    </row>
    <row x14ac:dyDescent="0.25" r="481" customHeight="1" ht="18.75">
      <c r="A481" s="1"/>
      <c r="B481" s="799">
        <f>+DATE(YEAR(B480),MONTH(B480)+1,DAY(B480))</f>
        <v>25569.041666666668</v>
      </c>
      <c r="C481" s="799">
        <f>+B482-1</f>
        <v>25569.041666666668</v>
      </c>
      <c r="D481" s="791">
        <f>-_xlfn.DAYS($C$3,C481)/365.25</f>
      </c>
      <c r="E481" s="800">
        <f>IF($D$17+40&lt;=D481,(1+$D$7)^-(D481-$C$5),(1+$C$7)^-(D481-$C$5))</f>
      </c>
      <c r="F481" s="801">
        <f>IF($C$4="Hombre",(+VLOOKUP(INT(D481)+1,Tablas!$G$9:$K$1240,5,0)*(D481-INT(D481))+VLOOKUP(INT(D481),Tablas!$G$9:$K$1240,5,0)*(INT(D481)+1-D481))/(VLOOKUP(INT($C$5)+1,Tablas!$G$9:$K$1240,5,0)*($C$5-INT($C$5))+VLOOKUP(INT($C$5),Tablas!$G$9:$K$124,5,0)*(INT($C$5)+1-$C$5)),(+VLOOKUP(INT(D481)+1,Tablas!$G$9:$O$1240,9,0)*(D481-INT(D481))+VLOOKUP(INT(D481),Tablas!$G$9:$O$1240,9,0)*(INT(D481)+1-D481))/(VLOOKUP(INT($C$5)+1,Tablas!$G$9:$O$1240,9,0)*($C$5-INT($C$5))+VLOOKUP(INT($C$5),Tablas!$G$9:$O$124,9,0)*(INT($C$5)+1-$C$5)))</f>
      </c>
      <c r="G481" s="791">
        <f>IF($C$4="Hombre",(+VLOOKUP(INT(D481)+1,Tablas!$G$9:$K$1240,5,0)*(D481-INT(D481))+VLOOKUP(INT(D481),Tablas!$G$9:$K$1240,5,0)*(INT(D481)+1-D481)),+VLOOKUP(INT(D481)+1,Tablas!$G$9:$O$1240,9,0)*(D481-INT(D481))+VLOOKUP(INT(D481),Tablas!$G$9:$O$1240,9,0)*(INT(D481)+1-D481))</f>
      </c>
      <c r="H481" s="801">
        <f>+IF(MONTH(B481)=1,H480*(1+$C$9),H480)</f>
      </c>
      <c r="I481" s="791">
        <f>IF(B481&lt;$C$10,0,IF(B481&lt;$C$11,$C$8/12*E481*F481*H481,0))</f>
      </c>
      <c r="J481" s="791">
        <f>I481*12/14+IF(OR(MONTH(C481)=6,MONTH(C481)=12),I481*12/14,0)</f>
      </c>
      <c r="K481" s="801">
        <f>G481/$G$15</f>
      </c>
      <c r="L481" s="760"/>
      <c r="M481" s="767"/>
      <c r="N481" s="168"/>
      <c r="O481" s="768"/>
      <c r="P481" s="170"/>
      <c r="Q481" s="7"/>
      <c r="R481" s="766"/>
      <c r="S481" s="170"/>
      <c r="T481" s="168"/>
      <c r="U481" s="170"/>
    </row>
    <row x14ac:dyDescent="0.25" r="482" customHeight="1" ht="18.75">
      <c r="A482" s="1"/>
      <c r="B482" s="799">
        <f>+DATE(YEAR(B481),MONTH(B481)+1,DAY(B481))</f>
        <v>25569.041666666668</v>
      </c>
      <c r="C482" s="799">
        <f>+B483-1</f>
        <v>25569.041666666668</v>
      </c>
      <c r="D482" s="791">
        <f>-_xlfn.DAYS($C$3,C482)/365.25</f>
      </c>
      <c r="E482" s="800">
        <f>IF($D$17+40&lt;=D482,(1+$D$7)^-(D482-$C$5),(1+$C$7)^-(D482-$C$5))</f>
      </c>
      <c r="F482" s="801">
        <f>IF($C$4="Hombre",(+VLOOKUP(INT(D482)+1,Tablas!$G$9:$K$1240,5,0)*(D482-INT(D482))+VLOOKUP(INT(D482),Tablas!$G$9:$K$1240,5,0)*(INT(D482)+1-D482))/(VLOOKUP(INT($C$5)+1,Tablas!$G$9:$K$1240,5,0)*($C$5-INT($C$5))+VLOOKUP(INT($C$5),Tablas!$G$9:$K$124,5,0)*(INT($C$5)+1-$C$5)),(+VLOOKUP(INT(D482)+1,Tablas!$G$9:$O$1240,9,0)*(D482-INT(D482))+VLOOKUP(INT(D482),Tablas!$G$9:$O$1240,9,0)*(INT(D482)+1-D482))/(VLOOKUP(INT($C$5)+1,Tablas!$G$9:$O$1240,9,0)*($C$5-INT($C$5))+VLOOKUP(INT($C$5),Tablas!$G$9:$O$124,9,0)*(INT($C$5)+1-$C$5)))</f>
      </c>
      <c r="G482" s="791">
        <f>IF($C$4="Hombre",(+VLOOKUP(INT(D482)+1,Tablas!$G$9:$K$1240,5,0)*(D482-INT(D482))+VLOOKUP(INT(D482),Tablas!$G$9:$K$1240,5,0)*(INT(D482)+1-D482)),+VLOOKUP(INT(D482)+1,Tablas!$G$9:$O$1240,9,0)*(D482-INT(D482))+VLOOKUP(INT(D482),Tablas!$G$9:$O$1240,9,0)*(INT(D482)+1-D482))</f>
      </c>
      <c r="H482" s="801">
        <f>+IF(MONTH(B482)=1,H481*(1+$C$9),H481)</f>
      </c>
      <c r="I482" s="791">
        <f>IF(B482&lt;$C$10,0,IF(B482&lt;$C$11,$C$8/12*E482*F482*H482,0))</f>
      </c>
      <c r="J482" s="791">
        <f>I482*12/14+IF(OR(MONTH(C482)=6,MONTH(C482)=12),I482*12/14,0)</f>
      </c>
      <c r="K482" s="801">
        <f>G482/$G$15</f>
      </c>
      <c r="L482" s="760"/>
      <c r="M482" s="767"/>
      <c r="N482" s="168"/>
      <c r="O482" s="768"/>
      <c r="P482" s="170"/>
      <c r="Q482" s="7"/>
      <c r="R482" s="766"/>
      <c r="S482" s="170"/>
      <c r="T482" s="168"/>
      <c r="U482" s="170"/>
    </row>
    <row x14ac:dyDescent="0.25" r="483" customHeight="1" ht="18.75">
      <c r="A483" s="1"/>
      <c r="B483" s="799">
        <f>+DATE(YEAR(B482),MONTH(B482)+1,DAY(B482))</f>
        <v>25569.041666666668</v>
      </c>
      <c r="C483" s="799">
        <f>+B484-1</f>
        <v>25569.041666666668</v>
      </c>
      <c r="D483" s="791">
        <f>-_xlfn.DAYS($C$3,C483)/365.25</f>
      </c>
      <c r="E483" s="800">
        <f>IF($D$17+40&lt;=D483,(1+$D$7)^-(D483-$C$5),(1+$C$7)^-(D483-$C$5))</f>
      </c>
      <c r="F483" s="801">
        <f>IF($C$4="Hombre",(+VLOOKUP(INT(D483)+1,Tablas!$G$9:$K$1240,5,0)*(D483-INT(D483))+VLOOKUP(INT(D483),Tablas!$G$9:$K$1240,5,0)*(INT(D483)+1-D483))/(VLOOKUP(INT($C$5)+1,Tablas!$G$9:$K$1240,5,0)*($C$5-INT($C$5))+VLOOKUP(INT($C$5),Tablas!$G$9:$K$124,5,0)*(INT($C$5)+1-$C$5)),(+VLOOKUP(INT(D483)+1,Tablas!$G$9:$O$1240,9,0)*(D483-INT(D483))+VLOOKUP(INT(D483),Tablas!$G$9:$O$1240,9,0)*(INT(D483)+1-D483))/(VLOOKUP(INT($C$5)+1,Tablas!$G$9:$O$1240,9,0)*($C$5-INT($C$5))+VLOOKUP(INT($C$5),Tablas!$G$9:$O$124,9,0)*(INT($C$5)+1-$C$5)))</f>
      </c>
      <c r="G483" s="791">
        <f>IF($C$4="Hombre",(+VLOOKUP(INT(D483)+1,Tablas!$G$9:$K$1240,5,0)*(D483-INT(D483))+VLOOKUP(INT(D483),Tablas!$G$9:$K$1240,5,0)*(INT(D483)+1-D483)),+VLOOKUP(INT(D483)+1,Tablas!$G$9:$O$1240,9,0)*(D483-INT(D483))+VLOOKUP(INT(D483),Tablas!$G$9:$O$1240,9,0)*(INT(D483)+1-D483))</f>
      </c>
      <c r="H483" s="801">
        <f>+IF(MONTH(B483)=1,H482*(1+$C$9),H482)</f>
      </c>
      <c r="I483" s="791">
        <f>IF(B483&lt;$C$10,0,IF(B483&lt;$C$11,$C$8/12*E483*F483*H483,0))</f>
      </c>
      <c r="J483" s="791">
        <f>I483*12/14+IF(OR(MONTH(C483)=6,MONTH(C483)=12),I483*12/14,0)</f>
      </c>
      <c r="K483" s="801">
        <f>G483/$G$15</f>
      </c>
      <c r="L483" s="760"/>
      <c r="M483" s="767"/>
      <c r="N483" s="168"/>
      <c r="O483" s="768"/>
      <c r="P483" s="170"/>
      <c r="Q483" s="7"/>
      <c r="R483" s="766"/>
      <c r="S483" s="170"/>
      <c r="T483" s="168"/>
      <c r="U483" s="170"/>
    </row>
    <row x14ac:dyDescent="0.25" r="484" customHeight="1" ht="18.75">
      <c r="A484" s="1"/>
      <c r="B484" s="799">
        <f>+DATE(YEAR(B483),MONTH(B483)+1,DAY(B483))</f>
        <v>25569.041666666668</v>
      </c>
      <c r="C484" s="799">
        <f>+B485-1</f>
        <v>25569.041666666668</v>
      </c>
      <c r="D484" s="791">
        <f>-_xlfn.DAYS($C$3,C484)/365.25</f>
      </c>
      <c r="E484" s="800">
        <f>IF($D$17+40&lt;=D484,(1+$D$7)^-(D484-$C$5),(1+$C$7)^-(D484-$C$5))</f>
      </c>
      <c r="F484" s="801">
        <f>IF($C$4="Hombre",(+VLOOKUP(INT(D484)+1,Tablas!$G$9:$K$1240,5,0)*(D484-INT(D484))+VLOOKUP(INT(D484),Tablas!$G$9:$K$1240,5,0)*(INT(D484)+1-D484))/(VLOOKUP(INT($C$5)+1,Tablas!$G$9:$K$1240,5,0)*($C$5-INT($C$5))+VLOOKUP(INT($C$5),Tablas!$G$9:$K$124,5,0)*(INT($C$5)+1-$C$5)),(+VLOOKUP(INT(D484)+1,Tablas!$G$9:$O$1240,9,0)*(D484-INT(D484))+VLOOKUP(INT(D484),Tablas!$G$9:$O$1240,9,0)*(INT(D484)+1-D484))/(VLOOKUP(INT($C$5)+1,Tablas!$G$9:$O$1240,9,0)*($C$5-INT($C$5))+VLOOKUP(INT($C$5),Tablas!$G$9:$O$124,9,0)*(INT($C$5)+1-$C$5)))</f>
      </c>
      <c r="G484" s="791">
        <f>IF($C$4="Hombre",(+VLOOKUP(INT(D484)+1,Tablas!$G$9:$K$1240,5,0)*(D484-INT(D484))+VLOOKUP(INT(D484),Tablas!$G$9:$K$1240,5,0)*(INT(D484)+1-D484)),+VLOOKUP(INT(D484)+1,Tablas!$G$9:$O$1240,9,0)*(D484-INT(D484))+VLOOKUP(INT(D484),Tablas!$G$9:$O$1240,9,0)*(INT(D484)+1-D484))</f>
      </c>
      <c r="H484" s="801">
        <f>+IF(MONTH(B484)=1,H483*(1+$C$9),H483)</f>
      </c>
      <c r="I484" s="791">
        <f>IF(B484&lt;$C$10,0,IF(B484&lt;$C$11,$C$8/12*E484*F484*H484,0))</f>
      </c>
      <c r="J484" s="791">
        <f>I484*12/14+IF(OR(MONTH(C484)=6,MONTH(C484)=12),I484*12/14,0)</f>
      </c>
      <c r="K484" s="801">
        <f>G484/$G$15</f>
      </c>
      <c r="L484" s="760"/>
      <c r="M484" s="767"/>
      <c r="N484" s="168"/>
      <c r="O484" s="768"/>
      <c r="P484" s="170"/>
      <c r="Q484" s="7"/>
      <c r="R484" s="766"/>
      <c r="S484" s="170"/>
      <c r="T484" s="168"/>
      <c r="U484" s="170"/>
    </row>
    <row x14ac:dyDescent="0.25" r="485" customHeight="1" ht="18.75">
      <c r="A485" s="1"/>
      <c r="B485" s="799">
        <f>+DATE(YEAR(B484),MONTH(B484)+1,DAY(B484))</f>
        <v>25569.041666666668</v>
      </c>
      <c r="C485" s="799">
        <f>+B486-1</f>
        <v>25569.041666666668</v>
      </c>
      <c r="D485" s="791">
        <f>-_xlfn.DAYS($C$3,C485)/365.25</f>
      </c>
      <c r="E485" s="800">
        <f>IF($D$17+40&lt;=D485,(1+$D$7)^-(D485-$C$5),(1+$C$7)^-(D485-$C$5))</f>
      </c>
      <c r="F485" s="801">
        <f>IF($C$4="Hombre",(+VLOOKUP(INT(D485)+1,Tablas!$G$9:$K$1240,5,0)*(D485-INT(D485))+VLOOKUP(INT(D485),Tablas!$G$9:$K$1240,5,0)*(INT(D485)+1-D485))/(VLOOKUP(INT($C$5)+1,Tablas!$G$9:$K$1240,5,0)*($C$5-INT($C$5))+VLOOKUP(INT($C$5),Tablas!$G$9:$K$124,5,0)*(INT($C$5)+1-$C$5)),(+VLOOKUP(INT(D485)+1,Tablas!$G$9:$O$1240,9,0)*(D485-INT(D485))+VLOOKUP(INT(D485),Tablas!$G$9:$O$1240,9,0)*(INT(D485)+1-D485))/(VLOOKUP(INT($C$5)+1,Tablas!$G$9:$O$1240,9,0)*($C$5-INT($C$5))+VLOOKUP(INT($C$5),Tablas!$G$9:$O$124,9,0)*(INT($C$5)+1-$C$5)))</f>
      </c>
      <c r="G485" s="791">
        <f>IF($C$4="Hombre",(+VLOOKUP(INT(D485)+1,Tablas!$G$9:$K$1240,5,0)*(D485-INT(D485))+VLOOKUP(INT(D485),Tablas!$G$9:$K$1240,5,0)*(INT(D485)+1-D485)),+VLOOKUP(INT(D485)+1,Tablas!$G$9:$O$1240,9,0)*(D485-INT(D485))+VLOOKUP(INT(D485),Tablas!$G$9:$O$1240,9,0)*(INT(D485)+1-D485))</f>
      </c>
      <c r="H485" s="801">
        <f>+IF(MONTH(B485)=1,H484*(1+$C$9),H484)</f>
      </c>
      <c r="I485" s="791">
        <f>IF(B485&lt;$C$10,0,IF(B485&lt;$C$11,$C$8/12*E485*F485*H485,0))</f>
      </c>
      <c r="J485" s="791">
        <f>I485*12/14+IF(OR(MONTH(C485)=6,MONTH(C485)=12),I485*12/14,0)</f>
      </c>
      <c r="K485" s="801">
        <f>G485/$G$15</f>
      </c>
      <c r="L485" s="760"/>
      <c r="M485" s="767"/>
      <c r="N485" s="168"/>
      <c r="O485" s="768"/>
      <c r="P485" s="170"/>
      <c r="Q485" s="7"/>
      <c r="R485" s="766"/>
      <c r="S485" s="170"/>
      <c r="T485" s="168"/>
      <c r="U485" s="170"/>
    </row>
    <row x14ac:dyDescent="0.25" r="486" customHeight="1" ht="18.75">
      <c r="A486" s="1"/>
      <c r="B486" s="799">
        <f>+DATE(YEAR(B485),MONTH(B485)+1,DAY(B485))</f>
        <v>25569.041666666668</v>
      </c>
      <c r="C486" s="799">
        <f>+B487-1</f>
        <v>25569.041666666668</v>
      </c>
      <c r="D486" s="791">
        <f>-_xlfn.DAYS($C$3,C486)/365.25</f>
      </c>
      <c r="E486" s="800">
        <f>IF($D$17+40&lt;=D486,(1+$D$7)^-(D486-$C$5),(1+$C$7)^-(D486-$C$5))</f>
      </c>
      <c r="F486" s="801">
        <f>IF($C$4="Hombre",(+VLOOKUP(INT(D486)+1,Tablas!$G$9:$K$1240,5,0)*(D486-INT(D486))+VLOOKUP(INT(D486),Tablas!$G$9:$K$1240,5,0)*(INT(D486)+1-D486))/(VLOOKUP(INT($C$5)+1,Tablas!$G$9:$K$1240,5,0)*($C$5-INT($C$5))+VLOOKUP(INT($C$5),Tablas!$G$9:$K$124,5,0)*(INT($C$5)+1-$C$5)),(+VLOOKUP(INT(D486)+1,Tablas!$G$9:$O$1240,9,0)*(D486-INT(D486))+VLOOKUP(INT(D486),Tablas!$G$9:$O$1240,9,0)*(INT(D486)+1-D486))/(VLOOKUP(INT($C$5)+1,Tablas!$G$9:$O$1240,9,0)*($C$5-INT($C$5))+VLOOKUP(INT($C$5),Tablas!$G$9:$O$124,9,0)*(INT($C$5)+1-$C$5)))</f>
      </c>
      <c r="G486" s="791">
        <f>IF($C$4="Hombre",(+VLOOKUP(INT(D486)+1,Tablas!$G$9:$K$1240,5,0)*(D486-INT(D486))+VLOOKUP(INT(D486),Tablas!$G$9:$K$1240,5,0)*(INT(D486)+1-D486)),+VLOOKUP(INT(D486)+1,Tablas!$G$9:$O$1240,9,0)*(D486-INT(D486))+VLOOKUP(INT(D486),Tablas!$G$9:$O$1240,9,0)*(INT(D486)+1-D486))</f>
      </c>
      <c r="H486" s="801">
        <f>+IF(MONTH(B486)=1,H485*(1+$C$9),H485)</f>
      </c>
      <c r="I486" s="791">
        <f>IF(B486&lt;$C$10,0,IF(B486&lt;$C$11,$C$8/12*E486*F486*H486,0))</f>
      </c>
      <c r="J486" s="791">
        <f>I486*12/14+IF(OR(MONTH(C486)=6,MONTH(C486)=12),I486*12/14,0)</f>
      </c>
      <c r="K486" s="801">
        <f>G486/$G$15</f>
      </c>
      <c r="L486" s="760"/>
      <c r="M486" s="767"/>
      <c r="N486" s="168"/>
      <c r="O486" s="768"/>
      <c r="P486" s="170"/>
      <c r="Q486" s="7"/>
      <c r="R486" s="766"/>
      <c r="S486" s="170"/>
      <c r="T486" s="168"/>
      <c r="U486" s="170"/>
    </row>
    <row x14ac:dyDescent="0.25" r="487" customHeight="1" ht="18.75">
      <c r="A487" s="1"/>
      <c r="B487" s="799">
        <f>+DATE(YEAR(B486),MONTH(B486)+1,DAY(B486))</f>
        <v>25569.041666666668</v>
      </c>
      <c r="C487" s="799">
        <f>+B488-1</f>
        <v>25569.041666666668</v>
      </c>
      <c r="D487" s="791">
        <f>-_xlfn.DAYS($C$3,C487)/365.25</f>
      </c>
      <c r="E487" s="800">
        <f>IF($D$17+40&lt;=D487,(1+$D$7)^-(D487-$C$5),(1+$C$7)^-(D487-$C$5))</f>
      </c>
      <c r="F487" s="801">
        <f>IF($C$4="Hombre",(+VLOOKUP(INT(D487)+1,Tablas!$G$9:$K$1240,5,0)*(D487-INT(D487))+VLOOKUP(INT(D487),Tablas!$G$9:$K$1240,5,0)*(INT(D487)+1-D487))/(VLOOKUP(INT($C$5)+1,Tablas!$G$9:$K$1240,5,0)*($C$5-INT($C$5))+VLOOKUP(INT($C$5),Tablas!$G$9:$K$124,5,0)*(INT($C$5)+1-$C$5)),(+VLOOKUP(INT(D487)+1,Tablas!$G$9:$O$1240,9,0)*(D487-INT(D487))+VLOOKUP(INT(D487),Tablas!$G$9:$O$1240,9,0)*(INT(D487)+1-D487))/(VLOOKUP(INT($C$5)+1,Tablas!$G$9:$O$1240,9,0)*($C$5-INT($C$5))+VLOOKUP(INT($C$5),Tablas!$G$9:$O$124,9,0)*(INT($C$5)+1-$C$5)))</f>
      </c>
      <c r="G487" s="791">
        <f>IF($C$4="Hombre",(+VLOOKUP(INT(D487)+1,Tablas!$G$9:$K$1240,5,0)*(D487-INT(D487))+VLOOKUP(INT(D487),Tablas!$G$9:$K$1240,5,0)*(INT(D487)+1-D487)),+VLOOKUP(INT(D487)+1,Tablas!$G$9:$O$1240,9,0)*(D487-INT(D487))+VLOOKUP(INT(D487),Tablas!$G$9:$O$1240,9,0)*(INT(D487)+1-D487))</f>
      </c>
      <c r="H487" s="801">
        <f>+IF(MONTH(B487)=1,H486*(1+$C$9),H486)</f>
      </c>
      <c r="I487" s="791">
        <f>IF(B487&lt;$C$10,0,IF(B487&lt;$C$11,$C$8/12*E487*F487*H487,0))</f>
      </c>
      <c r="J487" s="791">
        <f>I487*12/14+IF(OR(MONTH(C487)=6,MONTH(C487)=12),I487*12/14,0)</f>
      </c>
      <c r="K487" s="801">
        <f>G487/$G$15</f>
      </c>
      <c r="L487" s="760"/>
      <c r="M487" s="767"/>
      <c r="N487" s="168"/>
      <c r="O487" s="768"/>
      <c r="P487" s="170"/>
      <c r="Q487" s="7"/>
      <c r="R487" s="766"/>
      <c r="S487" s="170"/>
      <c r="T487" s="168"/>
      <c r="U487" s="170"/>
    </row>
    <row x14ac:dyDescent="0.25" r="488" customHeight="1" ht="18.75">
      <c r="A488" s="1"/>
      <c r="B488" s="799">
        <f>+DATE(YEAR(B487),MONTH(B487)+1,DAY(B487))</f>
        <v>25569.041666666668</v>
      </c>
      <c r="C488" s="799">
        <f>+B489-1</f>
        <v>25569.041666666668</v>
      </c>
      <c r="D488" s="791">
        <f>-_xlfn.DAYS($C$3,C488)/365.25</f>
      </c>
      <c r="E488" s="800">
        <f>IF($D$17+40&lt;=D488,(1+$D$7)^-(D488-$C$5),(1+$C$7)^-(D488-$C$5))</f>
      </c>
      <c r="F488" s="801">
        <f>IF($C$4="Hombre",(+VLOOKUP(INT(D488)+1,Tablas!$G$9:$K$1240,5,0)*(D488-INT(D488))+VLOOKUP(INT(D488),Tablas!$G$9:$K$1240,5,0)*(INT(D488)+1-D488))/(VLOOKUP(INT($C$5)+1,Tablas!$G$9:$K$1240,5,0)*($C$5-INT($C$5))+VLOOKUP(INT($C$5),Tablas!$G$9:$K$124,5,0)*(INT($C$5)+1-$C$5)),(+VLOOKUP(INT(D488)+1,Tablas!$G$9:$O$1240,9,0)*(D488-INT(D488))+VLOOKUP(INT(D488),Tablas!$G$9:$O$1240,9,0)*(INT(D488)+1-D488))/(VLOOKUP(INT($C$5)+1,Tablas!$G$9:$O$1240,9,0)*($C$5-INT($C$5))+VLOOKUP(INT($C$5),Tablas!$G$9:$O$124,9,0)*(INT($C$5)+1-$C$5)))</f>
      </c>
      <c r="G488" s="791">
        <f>IF($C$4="Hombre",(+VLOOKUP(INT(D488)+1,Tablas!$G$9:$K$1240,5,0)*(D488-INT(D488))+VLOOKUP(INT(D488),Tablas!$G$9:$K$1240,5,0)*(INT(D488)+1-D488)),+VLOOKUP(INT(D488)+1,Tablas!$G$9:$O$1240,9,0)*(D488-INT(D488))+VLOOKUP(INT(D488),Tablas!$G$9:$O$1240,9,0)*(INT(D488)+1-D488))</f>
      </c>
      <c r="H488" s="801">
        <f>+IF(MONTH(B488)=1,H487*(1+$C$9),H487)</f>
      </c>
      <c r="I488" s="791">
        <f>IF(B488&lt;$C$10,0,IF(B488&lt;$C$11,$C$8/12*E488*F488*H488,0))</f>
      </c>
      <c r="J488" s="791">
        <f>I488*12/14+IF(OR(MONTH(C488)=6,MONTH(C488)=12),I488*12/14,0)</f>
      </c>
      <c r="K488" s="801">
        <f>G488/$G$15</f>
      </c>
      <c r="L488" s="760"/>
      <c r="M488" s="767"/>
      <c r="N488" s="168"/>
      <c r="O488" s="768"/>
      <c r="P488" s="170"/>
      <c r="Q488" s="7"/>
      <c r="R488" s="766"/>
      <c r="S488" s="170"/>
      <c r="T488" s="168"/>
      <c r="U488" s="170"/>
    </row>
    <row x14ac:dyDescent="0.25" r="489" customHeight="1" ht="18.75">
      <c r="A489" s="1"/>
      <c r="B489" s="799">
        <f>+DATE(YEAR(B488),MONTH(B488)+1,DAY(B488))</f>
        <v>25569.041666666668</v>
      </c>
      <c r="C489" s="799">
        <f>+B490-1</f>
        <v>25569.041666666668</v>
      </c>
      <c r="D489" s="791">
        <f>-_xlfn.DAYS($C$3,C489)/365.25</f>
      </c>
      <c r="E489" s="800">
        <f>IF($D$17+40&lt;=D489,(1+$D$7)^-(D489-$C$5),(1+$C$7)^-(D489-$C$5))</f>
      </c>
      <c r="F489" s="801">
        <f>IF($C$4="Hombre",(+VLOOKUP(INT(D489)+1,Tablas!$G$9:$K$1240,5,0)*(D489-INT(D489))+VLOOKUP(INT(D489),Tablas!$G$9:$K$1240,5,0)*(INT(D489)+1-D489))/(VLOOKUP(INT($C$5)+1,Tablas!$G$9:$K$1240,5,0)*($C$5-INT($C$5))+VLOOKUP(INT($C$5),Tablas!$G$9:$K$124,5,0)*(INT($C$5)+1-$C$5)),(+VLOOKUP(INT(D489)+1,Tablas!$G$9:$O$1240,9,0)*(D489-INT(D489))+VLOOKUP(INT(D489),Tablas!$G$9:$O$1240,9,0)*(INT(D489)+1-D489))/(VLOOKUP(INT($C$5)+1,Tablas!$G$9:$O$1240,9,0)*($C$5-INT($C$5))+VLOOKUP(INT($C$5),Tablas!$G$9:$O$124,9,0)*(INT($C$5)+1-$C$5)))</f>
      </c>
      <c r="G489" s="791">
        <f>IF($C$4="Hombre",(+VLOOKUP(INT(D489)+1,Tablas!$G$9:$K$1240,5,0)*(D489-INT(D489))+VLOOKUP(INT(D489),Tablas!$G$9:$K$1240,5,0)*(INT(D489)+1-D489)),+VLOOKUP(INT(D489)+1,Tablas!$G$9:$O$1240,9,0)*(D489-INT(D489))+VLOOKUP(INT(D489),Tablas!$G$9:$O$1240,9,0)*(INT(D489)+1-D489))</f>
      </c>
      <c r="H489" s="801">
        <f>+IF(MONTH(B489)=1,H488*(1+$C$9),H488)</f>
      </c>
      <c r="I489" s="791">
        <f>IF(B489&lt;$C$10,0,IF(B489&lt;$C$11,$C$8/12*E489*F489*H489,0))</f>
      </c>
      <c r="J489" s="791">
        <f>I489*12/14+IF(OR(MONTH(C489)=6,MONTH(C489)=12),I489*12/14,0)</f>
      </c>
      <c r="K489" s="801">
        <f>G489/$G$15</f>
      </c>
      <c r="L489" s="760"/>
      <c r="M489" s="767"/>
      <c r="N489" s="168"/>
      <c r="O489" s="768"/>
      <c r="P489" s="170"/>
      <c r="Q489" s="7"/>
      <c r="R489" s="766"/>
      <c r="S489" s="170"/>
      <c r="T489" s="168"/>
      <c r="U489" s="170"/>
    </row>
    <row x14ac:dyDescent="0.25" r="490" customHeight="1" ht="18.75">
      <c r="A490" s="1"/>
      <c r="B490" s="799">
        <f>+DATE(YEAR(B489),MONTH(B489)+1,DAY(B489))</f>
        <v>25569.041666666668</v>
      </c>
      <c r="C490" s="799">
        <f>+B491-1</f>
        <v>25569.041666666668</v>
      </c>
      <c r="D490" s="791">
        <f>-_xlfn.DAYS($C$3,C490)/365.25</f>
      </c>
      <c r="E490" s="800">
        <f>IF($D$17+40&lt;=D490,(1+$D$7)^-(D490-$C$5),(1+$C$7)^-(D490-$C$5))</f>
      </c>
      <c r="F490" s="801">
        <f>IF($C$4="Hombre",(+VLOOKUP(INT(D490)+1,Tablas!$G$9:$K$1240,5,0)*(D490-INT(D490))+VLOOKUP(INT(D490),Tablas!$G$9:$K$1240,5,0)*(INT(D490)+1-D490))/(VLOOKUP(INT($C$5)+1,Tablas!$G$9:$K$1240,5,0)*($C$5-INT($C$5))+VLOOKUP(INT($C$5),Tablas!$G$9:$K$124,5,0)*(INT($C$5)+1-$C$5)),(+VLOOKUP(INT(D490)+1,Tablas!$G$9:$O$1240,9,0)*(D490-INT(D490))+VLOOKUP(INT(D490),Tablas!$G$9:$O$1240,9,0)*(INT(D490)+1-D490))/(VLOOKUP(INT($C$5)+1,Tablas!$G$9:$O$1240,9,0)*($C$5-INT($C$5))+VLOOKUP(INT($C$5),Tablas!$G$9:$O$124,9,0)*(INT($C$5)+1-$C$5)))</f>
      </c>
      <c r="G490" s="791">
        <f>IF($C$4="Hombre",(+VLOOKUP(INT(D490)+1,Tablas!$G$9:$K$1240,5,0)*(D490-INT(D490))+VLOOKUP(INT(D490),Tablas!$G$9:$K$1240,5,0)*(INT(D490)+1-D490)),+VLOOKUP(INT(D490)+1,Tablas!$G$9:$O$1240,9,0)*(D490-INT(D490))+VLOOKUP(INT(D490),Tablas!$G$9:$O$1240,9,0)*(INT(D490)+1-D490))</f>
      </c>
      <c r="H490" s="801">
        <f>+IF(MONTH(B490)=1,H489*(1+$C$9),H489)</f>
      </c>
      <c r="I490" s="791">
        <f>IF(B490&lt;$C$10,0,IF(B490&lt;$C$11,$C$8/12*E490*F490*H490,0))</f>
      </c>
      <c r="J490" s="791">
        <f>I490*12/14+IF(OR(MONTH(C490)=6,MONTH(C490)=12),I490*12/14,0)</f>
      </c>
      <c r="K490" s="801">
        <f>G490/$G$15</f>
      </c>
      <c r="L490" s="760"/>
      <c r="M490" s="767"/>
      <c r="N490" s="168"/>
      <c r="O490" s="768"/>
      <c r="P490" s="170"/>
      <c r="Q490" s="7"/>
      <c r="R490" s="766"/>
      <c r="S490" s="170"/>
      <c r="T490" s="168"/>
      <c r="U490" s="170"/>
    </row>
    <row x14ac:dyDescent="0.25" r="491" customHeight="1" ht="18.75">
      <c r="A491" s="1"/>
      <c r="B491" s="799">
        <f>+DATE(YEAR(B490),MONTH(B490)+1,DAY(B490))</f>
        <v>25569.041666666668</v>
      </c>
      <c r="C491" s="799">
        <f>+B492-1</f>
        <v>25569.041666666668</v>
      </c>
      <c r="D491" s="791">
        <f>-_xlfn.DAYS($C$3,C491)/365.25</f>
      </c>
      <c r="E491" s="800">
        <f>IF($D$17+40&lt;=D491,(1+$D$7)^-(D491-$C$5),(1+$C$7)^-(D491-$C$5))</f>
      </c>
      <c r="F491" s="801">
        <f>IF($C$4="Hombre",(+VLOOKUP(INT(D491)+1,Tablas!$G$9:$K$1240,5,0)*(D491-INT(D491))+VLOOKUP(INT(D491),Tablas!$G$9:$K$1240,5,0)*(INT(D491)+1-D491))/(VLOOKUP(INT($C$5)+1,Tablas!$G$9:$K$1240,5,0)*($C$5-INT($C$5))+VLOOKUP(INT($C$5),Tablas!$G$9:$K$124,5,0)*(INT($C$5)+1-$C$5)),(+VLOOKUP(INT(D491)+1,Tablas!$G$9:$O$1240,9,0)*(D491-INT(D491))+VLOOKUP(INT(D491),Tablas!$G$9:$O$1240,9,0)*(INT(D491)+1-D491))/(VLOOKUP(INT($C$5)+1,Tablas!$G$9:$O$1240,9,0)*($C$5-INT($C$5))+VLOOKUP(INT($C$5),Tablas!$G$9:$O$124,9,0)*(INT($C$5)+1-$C$5)))</f>
      </c>
      <c r="G491" s="791">
        <f>IF($C$4="Hombre",(+VLOOKUP(INT(D491)+1,Tablas!$G$9:$K$1240,5,0)*(D491-INT(D491))+VLOOKUP(INT(D491),Tablas!$G$9:$K$1240,5,0)*(INT(D491)+1-D491)),+VLOOKUP(INT(D491)+1,Tablas!$G$9:$O$1240,9,0)*(D491-INT(D491))+VLOOKUP(INT(D491),Tablas!$G$9:$O$1240,9,0)*(INT(D491)+1-D491))</f>
      </c>
      <c r="H491" s="801">
        <f>+IF(MONTH(B491)=1,H490*(1+$C$9),H490)</f>
      </c>
      <c r="I491" s="791">
        <f>IF(B491&lt;$C$10,0,IF(B491&lt;$C$11,$C$8/12*E491*F491*H491,0))</f>
      </c>
      <c r="J491" s="791">
        <f>I491*12/14+IF(OR(MONTH(C491)=6,MONTH(C491)=12),I491*12/14,0)</f>
      </c>
      <c r="K491" s="801">
        <f>G491/$G$15</f>
      </c>
      <c r="L491" s="760"/>
      <c r="M491" s="767"/>
      <c r="N491" s="168"/>
      <c r="O491" s="768"/>
      <c r="P491" s="170"/>
      <c r="Q491" s="7"/>
      <c r="R491" s="766"/>
      <c r="S491" s="170"/>
      <c r="T491" s="168"/>
      <c r="U491" s="170"/>
    </row>
    <row x14ac:dyDescent="0.25" r="492" customHeight="1" ht="18.75">
      <c r="A492" s="1"/>
      <c r="B492" s="799">
        <f>+DATE(YEAR(B491),MONTH(B491)+1,DAY(B491))</f>
        <v>25569.041666666668</v>
      </c>
      <c r="C492" s="799">
        <f>+B493-1</f>
        <v>25569.041666666668</v>
      </c>
      <c r="D492" s="791">
        <f>-_xlfn.DAYS($C$3,C492)/365.25</f>
      </c>
      <c r="E492" s="800">
        <f>IF($D$17+40&lt;=D492,(1+$D$7)^-(D492-$C$5),(1+$C$7)^-(D492-$C$5))</f>
      </c>
      <c r="F492" s="801">
        <f>IF($C$4="Hombre",(+VLOOKUP(INT(D492)+1,Tablas!$G$9:$K$1240,5,0)*(D492-INT(D492))+VLOOKUP(INT(D492),Tablas!$G$9:$K$1240,5,0)*(INT(D492)+1-D492))/(VLOOKUP(INT($C$5)+1,Tablas!$G$9:$K$1240,5,0)*($C$5-INT($C$5))+VLOOKUP(INT($C$5),Tablas!$G$9:$K$124,5,0)*(INT($C$5)+1-$C$5)),(+VLOOKUP(INT(D492)+1,Tablas!$G$9:$O$1240,9,0)*(D492-INT(D492))+VLOOKUP(INT(D492),Tablas!$G$9:$O$1240,9,0)*(INT(D492)+1-D492))/(VLOOKUP(INT($C$5)+1,Tablas!$G$9:$O$1240,9,0)*($C$5-INT($C$5))+VLOOKUP(INT($C$5),Tablas!$G$9:$O$124,9,0)*(INT($C$5)+1-$C$5)))</f>
      </c>
      <c r="G492" s="791">
        <f>IF($C$4="Hombre",(+VLOOKUP(INT(D492)+1,Tablas!$G$9:$K$1240,5,0)*(D492-INT(D492))+VLOOKUP(INT(D492),Tablas!$G$9:$K$1240,5,0)*(INT(D492)+1-D492)),+VLOOKUP(INT(D492)+1,Tablas!$G$9:$O$1240,9,0)*(D492-INT(D492))+VLOOKUP(INT(D492),Tablas!$G$9:$O$1240,9,0)*(INT(D492)+1-D492))</f>
      </c>
      <c r="H492" s="801">
        <f>+IF(MONTH(B492)=1,H491*(1+$C$9),H491)</f>
      </c>
      <c r="I492" s="791">
        <f>IF(B492&lt;$C$10,0,IF(B492&lt;$C$11,$C$8/12*E492*F492*H492,0))</f>
      </c>
      <c r="J492" s="791">
        <f>I492*12/14+IF(OR(MONTH(C492)=6,MONTH(C492)=12),I492*12/14,0)</f>
      </c>
      <c r="K492" s="801">
        <f>G492/$G$15</f>
      </c>
      <c r="L492" s="760"/>
      <c r="M492" s="767"/>
      <c r="N492" s="168"/>
      <c r="O492" s="768"/>
      <c r="P492" s="170"/>
      <c r="Q492" s="7"/>
      <c r="R492" s="766"/>
      <c r="S492" s="170"/>
      <c r="T492" s="168"/>
      <c r="U492" s="170"/>
    </row>
    <row x14ac:dyDescent="0.25" r="493" customHeight="1" ht="18.75">
      <c r="A493" s="1"/>
      <c r="B493" s="799">
        <f>+DATE(YEAR(B492),MONTH(B492)+1,DAY(B492))</f>
        <v>25569.041666666668</v>
      </c>
      <c r="C493" s="799">
        <f>+B494-1</f>
        <v>25569.041666666668</v>
      </c>
      <c r="D493" s="791">
        <f>-_xlfn.DAYS($C$3,C493)/365.25</f>
      </c>
      <c r="E493" s="800">
        <f>IF($D$17+40&lt;=D493,(1+$D$7)^-(D493-$C$5),(1+$C$7)^-(D493-$C$5))</f>
      </c>
      <c r="F493" s="801">
        <f>IF($C$4="Hombre",(+VLOOKUP(INT(D493)+1,Tablas!$G$9:$K$1240,5,0)*(D493-INT(D493))+VLOOKUP(INT(D493),Tablas!$G$9:$K$1240,5,0)*(INT(D493)+1-D493))/(VLOOKUP(INT($C$5)+1,Tablas!$G$9:$K$1240,5,0)*($C$5-INT($C$5))+VLOOKUP(INT($C$5),Tablas!$G$9:$K$124,5,0)*(INT($C$5)+1-$C$5)),(+VLOOKUP(INT(D493)+1,Tablas!$G$9:$O$1240,9,0)*(D493-INT(D493))+VLOOKUP(INT(D493),Tablas!$G$9:$O$1240,9,0)*(INT(D493)+1-D493))/(VLOOKUP(INT($C$5)+1,Tablas!$G$9:$O$1240,9,0)*($C$5-INT($C$5))+VLOOKUP(INT($C$5),Tablas!$G$9:$O$124,9,0)*(INT($C$5)+1-$C$5)))</f>
      </c>
      <c r="G493" s="791">
        <f>IF($C$4="Hombre",(+VLOOKUP(INT(D493)+1,Tablas!$G$9:$K$1240,5,0)*(D493-INT(D493))+VLOOKUP(INT(D493),Tablas!$G$9:$K$1240,5,0)*(INT(D493)+1-D493)),+VLOOKUP(INT(D493)+1,Tablas!$G$9:$O$1240,9,0)*(D493-INT(D493))+VLOOKUP(INT(D493),Tablas!$G$9:$O$1240,9,0)*(INT(D493)+1-D493))</f>
      </c>
      <c r="H493" s="801">
        <f>+IF(MONTH(B493)=1,H492*(1+$C$9),H492)</f>
      </c>
      <c r="I493" s="791">
        <f>IF(B493&lt;$C$10,0,IF(B493&lt;$C$11,$C$8/12*E493*F493*H493,0))</f>
      </c>
      <c r="J493" s="791">
        <f>I493*12/14+IF(OR(MONTH(C493)=6,MONTH(C493)=12),I493*12/14,0)</f>
      </c>
      <c r="K493" s="801">
        <f>G493/$G$15</f>
      </c>
      <c r="L493" s="760"/>
      <c r="M493" s="767"/>
      <c r="N493" s="168"/>
      <c r="O493" s="768"/>
      <c r="P493" s="170"/>
      <c r="Q493" s="7"/>
      <c r="R493" s="766"/>
      <c r="S493" s="170"/>
      <c r="T493" s="168"/>
      <c r="U493" s="170"/>
    </row>
    <row x14ac:dyDescent="0.25" r="494" customHeight="1" ht="18.75">
      <c r="A494" s="1"/>
      <c r="B494" s="799">
        <f>+DATE(YEAR(B493),MONTH(B493)+1,DAY(B493))</f>
        <v>25569.041666666668</v>
      </c>
      <c r="C494" s="799">
        <f>+B495-1</f>
        <v>25569.041666666668</v>
      </c>
      <c r="D494" s="791">
        <f>-_xlfn.DAYS($C$3,C494)/365.25</f>
      </c>
      <c r="E494" s="800">
        <f>IF($D$17+40&lt;=D494,(1+$D$7)^-(D494-$C$5),(1+$C$7)^-(D494-$C$5))</f>
      </c>
      <c r="F494" s="801">
        <f>IF($C$4="Hombre",(+VLOOKUP(INT(D494)+1,Tablas!$G$9:$K$1240,5,0)*(D494-INT(D494))+VLOOKUP(INT(D494),Tablas!$G$9:$K$1240,5,0)*(INT(D494)+1-D494))/(VLOOKUP(INT($C$5)+1,Tablas!$G$9:$K$1240,5,0)*($C$5-INT($C$5))+VLOOKUP(INT($C$5),Tablas!$G$9:$K$124,5,0)*(INT($C$5)+1-$C$5)),(+VLOOKUP(INT(D494)+1,Tablas!$G$9:$O$1240,9,0)*(D494-INT(D494))+VLOOKUP(INT(D494),Tablas!$G$9:$O$1240,9,0)*(INT(D494)+1-D494))/(VLOOKUP(INT($C$5)+1,Tablas!$G$9:$O$1240,9,0)*($C$5-INT($C$5))+VLOOKUP(INT($C$5),Tablas!$G$9:$O$124,9,0)*(INT($C$5)+1-$C$5)))</f>
      </c>
      <c r="G494" s="791">
        <f>IF($C$4="Hombre",(+VLOOKUP(INT(D494)+1,Tablas!$G$9:$K$1240,5,0)*(D494-INT(D494))+VLOOKUP(INT(D494),Tablas!$G$9:$K$1240,5,0)*(INT(D494)+1-D494)),+VLOOKUP(INT(D494)+1,Tablas!$G$9:$O$1240,9,0)*(D494-INT(D494))+VLOOKUP(INT(D494),Tablas!$G$9:$O$1240,9,0)*(INT(D494)+1-D494))</f>
      </c>
      <c r="H494" s="801">
        <f>+IF(MONTH(B494)=1,H493*(1+$C$9),H493)</f>
      </c>
      <c r="I494" s="791">
        <f>IF(B494&lt;$C$10,0,IF(B494&lt;$C$11,$C$8/12*E494*F494*H494,0))</f>
      </c>
      <c r="J494" s="791">
        <f>I494*12/14+IF(OR(MONTH(C494)=6,MONTH(C494)=12),I494*12/14,0)</f>
      </c>
      <c r="K494" s="801">
        <f>G494/$G$15</f>
      </c>
      <c r="L494" s="760"/>
      <c r="M494" s="767"/>
      <c r="N494" s="168"/>
      <c r="O494" s="768"/>
      <c r="P494" s="170"/>
      <c r="Q494" s="7"/>
      <c r="R494" s="766"/>
      <c r="S494" s="170"/>
      <c r="T494" s="168"/>
      <c r="U494" s="170"/>
    </row>
    <row x14ac:dyDescent="0.25" r="495" customHeight="1" ht="18.75">
      <c r="A495" s="1"/>
      <c r="B495" s="799">
        <f>+DATE(YEAR(B494),MONTH(B494)+1,DAY(B494))</f>
        <v>25569.041666666668</v>
      </c>
      <c r="C495" s="799">
        <f>+B496-1</f>
        <v>25569.041666666668</v>
      </c>
      <c r="D495" s="791">
        <f>-_xlfn.DAYS($C$3,C495)/365.25</f>
      </c>
      <c r="E495" s="800">
        <f>IF($D$17+40&lt;=D495,(1+$D$7)^-(D495-$C$5),(1+$C$7)^-(D495-$C$5))</f>
      </c>
      <c r="F495" s="801">
        <f>IF($C$4="Hombre",(+VLOOKUP(INT(D495)+1,Tablas!$G$9:$K$1240,5,0)*(D495-INT(D495))+VLOOKUP(INT(D495),Tablas!$G$9:$K$1240,5,0)*(INT(D495)+1-D495))/(VLOOKUP(INT($C$5)+1,Tablas!$G$9:$K$1240,5,0)*($C$5-INT($C$5))+VLOOKUP(INT($C$5),Tablas!$G$9:$K$124,5,0)*(INT($C$5)+1-$C$5)),(+VLOOKUP(INT(D495)+1,Tablas!$G$9:$O$1240,9,0)*(D495-INT(D495))+VLOOKUP(INT(D495),Tablas!$G$9:$O$1240,9,0)*(INT(D495)+1-D495))/(VLOOKUP(INT($C$5)+1,Tablas!$G$9:$O$1240,9,0)*($C$5-INT($C$5))+VLOOKUP(INT($C$5),Tablas!$G$9:$O$124,9,0)*(INT($C$5)+1-$C$5)))</f>
      </c>
      <c r="G495" s="791">
        <f>IF($C$4="Hombre",(+VLOOKUP(INT(D495)+1,Tablas!$G$9:$K$1240,5,0)*(D495-INT(D495))+VLOOKUP(INT(D495),Tablas!$G$9:$K$1240,5,0)*(INT(D495)+1-D495)),+VLOOKUP(INT(D495)+1,Tablas!$G$9:$O$1240,9,0)*(D495-INT(D495))+VLOOKUP(INT(D495),Tablas!$G$9:$O$1240,9,0)*(INT(D495)+1-D495))</f>
      </c>
      <c r="H495" s="801">
        <f>+IF(MONTH(B495)=1,H494*(1+$C$9),H494)</f>
      </c>
      <c r="I495" s="791">
        <f>IF(B495&lt;$C$10,0,IF(B495&lt;$C$11,$C$8/12*E495*F495*H495,0))</f>
      </c>
      <c r="J495" s="791">
        <f>I495*12/14+IF(OR(MONTH(C495)=6,MONTH(C495)=12),I495*12/14,0)</f>
      </c>
      <c r="K495" s="801">
        <f>G495/$G$15</f>
      </c>
      <c r="L495" s="760"/>
      <c r="M495" s="767"/>
      <c r="N495" s="168"/>
      <c r="O495" s="768"/>
      <c r="P495" s="170"/>
      <c r="Q495" s="7"/>
      <c r="R495" s="766"/>
      <c r="S495" s="170"/>
      <c r="T495" s="168"/>
      <c r="U495" s="170"/>
    </row>
    <row x14ac:dyDescent="0.25" r="496" customHeight="1" ht="18.75">
      <c r="A496" s="1"/>
      <c r="B496" s="799">
        <f>+DATE(YEAR(B495),MONTH(B495)+1,DAY(B495))</f>
        <v>25569.041666666668</v>
      </c>
      <c r="C496" s="799">
        <f>+B497-1</f>
        <v>25569.041666666668</v>
      </c>
      <c r="D496" s="791">
        <f>-_xlfn.DAYS($C$3,C496)/365.25</f>
      </c>
      <c r="E496" s="800">
        <f>IF($D$17+40&lt;=D496,(1+$D$7)^-(D496-$C$5),(1+$C$7)^-(D496-$C$5))</f>
      </c>
      <c r="F496" s="801">
        <f>IF($C$4="Hombre",(+VLOOKUP(INT(D496)+1,Tablas!$G$9:$K$1240,5,0)*(D496-INT(D496))+VLOOKUP(INT(D496),Tablas!$G$9:$K$1240,5,0)*(INT(D496)+1-D496))/(VLOOKUP(INT($C$5)+1,Tablas!$G$9:$K$1240,5,0)*($C$5-INT($C$5))+VLOOKUP(INT($C$5),Tablas!$G$9:$K$124,5,0)*(INT($C$5)+1-$C$5)),(+VLOOKUP(INT(D496)+1,Tablas!$G$9:$O$1240,9,0)*(D496-INT(D496))+VLOOKUP(INT(D496),Tablas!$G$9:$O$1240,9,0)*(INT(D496)+1-D496))/(VLOOKUP(INT($C$5)+1,Tablas!$G$9:$O$1240,9,0)*($C$5-INT($C$5))+VLOOKUP(INT($C$5),Tablas!$G$9:$O$124,9,0)*(INT($C$5)+1-$C$5)))</f>
      </c>
      <c r="G496" s="791">
        <f>IF($C$4="Hombre",(+VLOOKUP(INT(D496)+1,Tablas!$G$9:$K$1240,5,0)*(D496-INT(D496))+VLOOKUP(INT(D496),Tablas!$G$9:$K$1240,5,0)*(INT(D496)+1-D496)),+VLOOKUP(INT(D496)+1,Tablas!$G$9:$O$1240,9,0)*(D496-INT(D496))+VLOOKUP(INT(D496),Tablas!$G$9:$O$1240,9,0)*(INT(D496)+1-D496))</f>
      </c>
      <c r="H496" s="801">
        <f>+IF(MONTH(B496)=1,H495*(1+$C$9),H495)</f>
      </c>
      <c r="I496" s="791">
        <f>IF(B496&lt;$C$10,0,IF(B496&lt;$C$11,$C$8/12*E496*F496*H496,0))</f>
      </c>
      <c r="J496" s="791">
        <f>I496*12/14+IF(OR(MONTH(C496)=6,MONTH(C496)=12),I496*12/14,0)</f>
      </c>
      <c r="K496" s="801">
        <f>G496/$G$15</f>
      </c>
      <c r="L496" s="760"/>
      <c r="M496" s="767"/>
      <c r="N496" s="168"/>
      <c r="O496" s="768"/>
      <c r="P496" s="170"/>
      <c r="Q496" s="7"/>
      <c r="R496" s="766"/>
      <c r="S496" s="170"/>
      <c r="T496" s="168"/>
      <c r="U496" s="170"/>
    </row>
    <row x14ac:dyDescent="0.25" r="497" customHeight="1" ht="18.75">
      <c r="A497" s="1"/>
      <c r="B497" s="799">
        <f>+DATE(YEAR(B496),MONTH(B496)+1,DAY(B496))</f>
        <v>25569.041666666668</v>
      </c>
      <c r="C497" s="799">
        <f>+B498-1</f>
        <v>25569.041666666668</v>
      </c>
      <c r="D497" s="791">
        <f>-_xlfn.DAYS($C$3,C497)/365.25</f>
      </c>
      <c r="E497" s="800">
        <f>IF($D$17+40&lt;=D497,(1+$D$7)^-(D497-$C$5),(1+$C$7)^-(D497-$C$5))</f>
      </c>
      <c r="F497" s="801">
        <f>IF($C$4="Hombre",(+VLOOKUP(INT(D497)+1,Tablas!$G$9:$K$1240,5,0)*(D497-INT(D497))+VLOOKUP(INT(D497),Tablas!$G$9:$K$1240,5,0)*(INT(D497)+1-D497))/(VLOOKUP(INT($C$5)+1,Tablas!$G$9:$K$1240,5,0)*($C$5-INT($C$5))+VLOOKUP(INT($C$5),Tablas!$G$9:$K$124,5,0)*(INT($C$5)+1-$C$5)),(+VLOOKUP(INT(D497)+1,Tablas!$G$9:$O$1240,9,0)*(D497-INT(D497))+VLOOKUP(INT(D497),Tablas!$G$9:$O$1240,9,0)*(INT(D497)+1-D497))/(VLOOKUP(INT($C$5)+1,Tablas!$G$9:$O$1240,9,0)*($C$5-INT($C$5))+VLOOKUP(INT($C$5),Tablas!$G$9:$O$124,9,0)*(INT($C$5)+1-$C$5)))</f>
      </c>
      <c r="G497" s="791">
        <f>IF($C$4="Hombre",(+VLOOKUP(INT(D497)+1,Tablas!$G$9:$K$1240,5,0)*(D497-INT(D497))+VLOOKUP(INT(D497),Tablas!$G$9:$K$1240,5,0)*(INT(D497)+1-D497)),+VLOOKUP(INT(D497)+1,Tablas!$G$9:$O$1240,9,0)*(D497-INT(D497))+VLOOKUP(INT(D497),Tablas!$G$9:$O$1240,9,0)*(INT(D497)+1-D497))</f>
      </c>
      <c r="H497" s="801">
        <f>+IF(MONTH(B497)=1,H496*(1+$C$9),H496)</f>
      </c>
      <c r="I497" s="791">
        <f>IF(B497&lt;$C$10,0,IF(B497&lt;$C$11,$C$8/12*E497*F497*H497,0))</f>
      </c>
      <c r="J497" s="791">
        <f>I497*12/14+IF(OR(MONTH(C497)=6,MONTH(C497)=12),I497*12/14,0)</f>
      </c>
      <c r="K497" s="801">
        <f>G497/$G$15</f>
      </c>
      <c r="L497" s="760"/>
      <c r="M497" s="767"/>
      <c r="N497" s="168"/>
      <c r="O497" s="768"/>
      <c r="P497" s="170"/>
      <c r="Q497" s="7"/>
      <c r="R497" s="766"/>
      <c r="S497" s="170"/>
      <c r="T497" s="168"/>
      <c r="U497" s="170"/>
    </row>
    <row x14ac:dyDescent="0.25" r="498" customHeight="1" ht="18.75">
      <c r="A498" s="1"/>
      <c r="B498" s="799">
        <f>+DATE(YEAR(B497),MONTH(B497)+1,DAY(B497))</f>
        <v>25569.041666666668</v>
      </c>
      <c r="C498" s="799">
        <f>+B499-1</f>
        <v>25569.041666666668</v>
      </c>
      <c r="D498" s="791">
        <f>-_xlfn.DAYS($C$3,C498)/365.25</f>
      </c>
      <c r="E498" s="800">
        <f>IF($D$17+40&lt;=D498,(1+$D$7)^-(D498-$C$5),(1+$C$7)^-(D498-$C$5))</f>
      </c>
      <c r="F498" s="801">
        <f>IF($C$4="Hombre",(+VLOOKUP(INT(D498)+1,Tablas!$G$9:$K$1240,5,0)*(D498-INT(D498))+VLOOKUP(INT(D498),Tablas!$G$9:$K$1240,5,0)*(INT(D498)+1-D498))/(VLOOKUP(INT($C$5)+1,Tablas!$G$9:$K$1240,5,0)*($C$5-INT($C$5))+VLOOKUP(INT($C$5),Tablas!$G$9:$K$124,5,0)*(INT($C$5)+1-$C$5)),(+VLOOKUP(INT(D498)+1,Tablas!$G$9:$O$1240,9,0)*(D498-INT(D498))+VLOOKUP(INT(D498),Tablas!$G$9:$O$1240,9,0)*(INT(D498)+1-D498))/(VLOOKUP(INT($C$5)+1,Tablas!$G$9:$O$1240,9,0)*($C$5-INT($C$5))+VLOOKUP(INT($C$5),Tablas!$G$9:$O$124,9,0)*(INT($C$5)+1-$C$5)))</f>
      </c>
      <c r="G498" s="791">
        <f>IF($C$4="Hombre",(+VLOOKUP(INT(D498)+1,Tablas!$G$9:$K$1240,5,0)*(D498-INT(D498))+VLOOKUP(INT(D498),Tablas!$G$9:$K$1240,5,0)*(INT(D498)+1-D498)),+VLOOKUP(INT(D498)+1,Tablas!$G$9:$O$1240,9,0)*(D498-INT(D498))+VLOOKUP(INT(D498),Tablas!$G$9:$O$1240,9,0)*(INT(D498)+1-D498))</f>
      </c>
      <c r="H498" s="801">
        <f>+IF(MONTH(B498)=1,H497*(1+$C$9),H497)</f>
      </c>
      <c r="I498" s="791">
        <f>IF(B498&lt;$C$10,0,IF(B498&lt;$C$11,$C$8/12*E498*F498*H498,0))</f>
      </c>
      <c r="J498" s="791">
        <f>I498*12/14+IF(OR(MONTH(C498)=6,MONTH(C498)=12),I498*12/14,0)</f>
      </c>
      <c r="K498" s="801">
        <f>G498/$G$15</f>
      </c>
      <c r="L498" s="760"/>
      <c r="M498" s="767"/>
      <c r="N498" s="168"/>
      <c r="O498" s="768"/>
      <c r="P498" s="170"/>
      <c r="Q498" s="7"/>
      <c r="R498" s="766"/>
      <c r="S498" s="170"/>
      <c r="T498" s="168"/>
      <c r="U498" s="170"/>
    </row>
    <row x14ac:dyDescent="0.25" r="499" customHeight="1" ht="18.75">
      <c r="A499" s="1"/>
      <c r="B499" s="799">
        <f>+DATE(YEAR(B498),MONTH(B498)+1,DAY(B498))</f>
        <v>25569.041666666668</v>
      </c>
      <c r="C499" s="799">
        <f>+B500-1</f>
        <v>25569.041666666668</v>
      </c>
      <c r="D499" s="791">
        <f>-_xlfn.DAYS($C$3,C499)/365.25</f>
      </c>
      <c r="E499" s="800">
        <f>IF($D$17+40&lt;=D499,(1+$D$7)^-(D499-$C$5),(1+$C$7)^-(D499-$C$5))</f>
      </c>
      <c r="F499" s="801">
        <f>IF($C$4="Hombre",(+VLOOKUP(INT(D499)+1,Tablas!$G$9:$K$1240,5,0)*(D499-INT(D499))+VLOOKUP(INT(D499),Tablas!$G$9:$K$1240,5,0)*(INT(D499)+1-D499))/(VLOOKUP(INT($C$5)+1,Tablas!$G$9:$K$1240,5,0)*($C$5-INT($C$5))+VLOOKUP(INT($C$5),Tablas!$G$9:$K$124,5,0)*(INT($C$5)+1-$C$5)),(+VLOOKUP(INT(D499)+1,Tablas!$G$9:$O$1240,9,0)*(D499-INT(D499))+VLOOKUP(INT(D499),Tablas!$G$9:$O$1240,9,0)*(INT(D499)+1-D499))/(VLOOKUP(INT($C$5)+1,Tablas!$G$9:$O$1240,9,0)*($C$5-INT($C$5))+VLOOKUP(INT($C$5),Tablas!$G$9:$O$124,9,0)*(INT($C$5)+1-$C$5)))</f>
      </c>
      <c r="G499" s="791">
        <f>IF($C$4="Hombre",(+VLOOKUP(INT(D499)+1,Tablas!$G$9:$K$1240,5,0)*(D499-INT(D499))+VLOOKUP(INT(D499),Tablas!$G$9:$K$1240,5,0)*(INT(D499)+1-D499)),+VLOOKUP(INT(D499)+1,Tablas!$G$9:$O$1240,9,0)*(D499-INT(D499))+VLOOKUP(INT(D499),Tablas!$G$9:$O$1240,9,0)*(INT(D499)+1-D499))</f>
      </c>
      <c r="H499" s="801">
        <f>+IF(MONTH(B499)=1,H498*(1+$C$9),H498)</f>
      </c>
      <c r="I499" s="791">
        <f>IF(B499&lt;$C$10,0,IF(B499&lt;$C$11,$C$8/12*E499*F499*H499,0))</f>
      </c>
      <c r="J499" s="791">
        <f>I499*12/14+IF(OR(MONTH(C499)=6,MONTH(C499)=12),I499*12/14,0)</f>
      </c>
      <c r="K499" s="801">
        <f>G499/$G$15</f>
      </c>
      <c r="L499" s="760"/>
      <c r="M499" s="767"/>
      <c r="N499" s="168"/>
      <c r="O499" s="768"/>
      <c r="P499" s="170"/>
      <c r="Q499" s="7"/>
      <c r="R499" s="766"/>
      <c r="S499" s="170"/>
      <c r="T499" s="168"/>
      <c r="U499" s="170"/>
    </row>
    <row x14ac:dyDescent="0.25" r="500" customHeight="1" ht="18.75">
      <c r="A500" s="1"/>
      <c r="B500" s="799">
        <f>+DATE(YEAR(B499),MONTH(B499)+1,DAY(B499))</f>
        <v>25569.041666666668</v>
      </c>
      <c r="C500" s="799">
        <f>+B501-1</f>
        <v>25569.041666666668</v>
      </c>
      <c r="D500" s="791">
        <f>-_xlfn.DAYS($C$3,C500)/365.25</f>
      </c>
      <c r="E500" s="800">
        <f>IF($D$17+40&lt;=D500,(1+$D$7)^-(D500-$C$5),(1+$C$7)^-(D500-$C$5))</f>
      </c>
      <c r="F500" s="801">
        <f>IF($C$4="Hombre",(+VLOOKUP(INT(D500)+1,Tablas!$G$9:$K$1240,5,0)*(D500-INT(D500))+VLOOKUP(INT(D500),Tablas!$G$9:$K$1240,5,0)*(INT(D500)+1-D500))/(VLOOKUP(INT($C$5)+1,Tablas!$G$9:$K$1240,5,0)*($C$5-INT($C$5))+VLOOKUP(INT($C$5),Tablas!$G$9:$K$124,5,0)*(INT($C$5)+1-$C$5)),(+VLOOKUP(INT(D500)+1,Tablas!$G$9:$O$1240,9,0)*(D500-INT(D500))+VLOOKUP(INT(D500),Tablas!$G$9:$O$1240,9,0)*(INT(D500)+1-D500))/(VLOOKUP(INT($C$5)+1,Tablas!$G$9:$O$1240,9,0)*($C$5-INT($C$5))+VLOOKUP(INT($C$5),Tablas!$G$9:$O$124,9,0)*(INT($C$5)+1-$C$5)))</f>
      </c>
      <c r="G500" s="791">
        <f>IF($C$4="Hombre",(+VLOOKUP(INT(D500)+1,Tablas!$G$9:$K$1240,5,0)*(D500-INT(D500))+VLOOKUP(INT(D500),Tablas!$G$9:$K$1240,5,0)*(INT(D500)+1-D500)),+VLOOKUP(INT(D500)+1,Tablas!$G$9:$O$1240,9,0)*(D500-INT(D500))+VLOOKUP(INT(D500),Tablas!$G$9:$O$1240,9,0)*(INT(D500)+1-D500))</f>
      </c>
      <c r="H500" s="801">
        <f>+IF(MONTH(B500)=1,H499*(1+$C$9),H499)</f>
      </c>
      <c r="I500" s="791">
        <f>IF(B500&lt;$C$10,0,IF(B500&lt;$C$11,$C$8/12*E500*F500*H500,0))</f>
      </c>
      <c r="J500" s="791">
        <f>I500*12/14+IF(OR(MONTH(C500)=6,MONTH(C500)=12),I500*12/14,0)</f>
      </c>
      <c r="K500" s="801">
        <f>G500/$G$15</f>
      </c>
      <c r="L500" s="760"/>
      <c r="M500" s="767"/>
      <c r="N500" s="168"/>
      <c r="O500" s="768"/>
      <c r="P500" s="170"/>
      <c r="Q500" s="7"/>
      <c r="R500" s="766"/>
      <c r="S500" s="170"/>
      <c r="T500" s="168"/>
      <c r="U500" s="170"/>
    </row>
    <row x14ac:dyDescent="0.25" r="501" customHeight="1" ht="18.75">
      <c r="A501" s="1"/>
      <c r="B501" s="799">
        <f>+DATE(YEAR(B500),MONTH(B500)+1,DAY(B500))</f>
        <v>25569.041666666668</v>
      </c>
      <c r="C501" s="799">
        <f>+B502-1</f>
        <v>25569.041666666668</v>
      </c>
      <c r="D501" s="791">
        <f>-_xlfn.DAYS($C$3,C501)/365.25</f>
      </c>
      <c r="E501" s="800">
        <f>IF($D$17+40&lt;=D501,(1+$D$7)^-(D501-$C$5),(1+$C$7)^-(D501-$C$5))</f>
      </c>
      <c r="F501" s="801">
        <f>IF($C$4="Hombre",(+VLOOKUP(INT(D501)+1,Tablas!$G$9:$K$1240,5,0)*(D501-INT(D501))+VLOOKUP(INT(D501),Tablas!$G$9:$K$1240,5,0)*(INT(D501)+1-D501))/(VLOOKUP(INT($C$5)+1,Tablas!$G$9:$K$1240,5,0)*($C$5-INT($C$5))+VLOOKUP(INT($C$5),Tablas!$G$9:$K$124,5,0)*(INT($C$5)+1-$C$5)),(+VLOOKUP(INT(D501)+1,Tablas!$G$9:$O$1240,9,0)*(D501-INT(D501))+VLOOKUP(INT(D501),Tablas!$G$9:$O$1240,9,0)*(INT(D501)+1-D501))/(VLOOKUP(INT($C$5)+1,Tablas!$G$9:$O$1240,9,0)*($C$5-INT($C$5))+VLOOKUP(INT($C$5),Tablas!$G$9:$O$124,9,0)*(INT($C$5)+1-$C$5)))</f>
      </c>
      <c r="G501" s="791">
        <f>IF($C$4="Hombre",(+VLOOKUP(INT(D501)+1,Tablas!$G$9:$K$1240,5,0)*(D501-INT(D501))+VLOOKUP(INT(D501),Tablas!$G$9:$K$1240,5,0)*(INT(D501)+1-D501)),+VLOOKUP(INT(D501)+1,Tablas!$G$9:$O$1240,9,0)*(D501-INT(D501))+VLOOKUP(INT(D501),Tablas!$G$9:$O$1240,9,0)*(INT(D501)+1-D501))</f>
      </c>
      <c r="H501" s="801">
        <f>+IF(MONTH(B501)=1,H500*(1+$C$9),H500)</f>
      </c>
      <c r="I501" s="791">
        <f>IF(B501&lt;$C$10,0,IF(B501&lt;$C$11,$C$8/12*E501*F501*H501,0))</f>
      </c>
      <c r="J501" s="791">
        <f>I501*12/14+IF(OR(MONTH(C501)=6,MONTH(C501)=12),I501*12/14,0)</f>
      </c>
      <c r="K501" s="801">
        <f>G501/$G$15</f>
      </c>
      <c r="L501" s="760"/>
      <c r="M501" s="767"/>
      <c r="N501" s="168"/>
      <c r="O501" s="768"/>
      <c r="P501" s="170"/>
      <c r="Q501" s="7"/>
      <c r="R501" s="766"/>
      <c r="S501" s="170"/>
      <c r="T501" s="168"/>
      <c r="U501" s="170"/>
    </row>
    <row x14ac:dyDescent="0.25" r="502" customHeight="1" ht="18.75">
      <c r="A502" s="1"/>
      <c r="B502" s="799">
        <f>+DATE(YEAR(B501),MONTH(B501)+1,DAY(B501))</f>
        <v>25569.041666666668</v>
      </c>
      <c r="C502" s="799">
        <f>+B503-1</f>
        <v>25569.041666666668</v>
      </c>
      <c r="D502" s="791">
        <f>-_xlfn.DAYS($C$3,C502)/365.25</f>
      </c>
      <c r="E502" s="800">
        <f>IF($D$17+40&lt;=D502,(1+$D$7)^-(D502-$C$5),(1+$C$7)^-(D502-$C$5))</f>
      </c>
      <c r="F502" s="801">
        <f>IF($C$4="Hombre",(+VLOOKUP(INT(D502)+1,Tablas!$G$9:$K$1240,5,0)*(D502-INT(D502))+VLOOKUP(INT(D502),Tablas!$G$9:$K$1240,5,0)*(INT(D502)+1-D502))/(VLOOKUP(INT($C$5)+1,Tablas!$G$9:$K$1240,5,0)*($C$5-INT($C$5))+VLOOKUP(INT($C$5),Tablas!$G$9:$K$124,5,0)*(INT($C$5)+1-$C$5)),(+VLOOKUP(INT(D502)+1,Tablas!$G$9:$O$1240,9,0)*(D502-INT(D502))+VLOOKUP(INT(D502),Tablas!$G$9:$O$1240,9,0)*(INT(D502)+1-D502))/(VLOOKUP(INT($C$5)+1,Tablas!$G$9:$O$1240,9,0)*($C$5-INT($C$5))+VLOOKUP(INT($C$5),Tablas!$G$9:$O$124,9,0)*(INT($C$5)+1-$C$5)))</f>
      </c>
      <c r="G502" s="791">
        <f>IF($C$4="Hombre",(+VLOOKUP(INT(D502)+1,Tablas!$G$9:$K$1240,5,0)*(D502-INT(D502))+VLOOKUP(INT(D502),Tablas!$G$9:$K$1240,5,0)*(INT(D502)+1-D502)),+VLOOKUP(INT(D502)+1,Tablas!$G$9:$O$1240,9,0)*(D502-INT(D502))+VLOOKUP(INT(D502),Tablas!$G$9:$O$1240,9,0)*(INT(D502)+1-D502))</f>
      </c>
      <c r="H502" s="801">
        <f>+IF(MONTH(B502)=1,H501*(1+$C$9),H501)</f>
      </c>
      <c r="I502" s="791">
        <f>IF(B502&lt;$C$10,0,IF(B502&lt;$C$11,$C$8/12*E502*F502*H502,0))</f>
      </c>
      <c r="J502" s="791">
        <f>I502*12/14+IF(OR(MONTH(C502)=6,MONTH(C502)=12),I502*12/14,0)</f>
      </c>
      <c r="K502" s="801">
        <f>G502/$G$15</f>
      </c>
      <c r="L502" s="760"/>
      <c r="M502" s="767"/>
      <c r="N502" s="168"/>
      <c r="O502" s="768"/>
      <c r="P502" s="170"/>
      <c r="Q502" s="7"/>
      <c r="R502" s="766"/>
      <c r="S502" s="170"/>
      <c r="T502" s="168"/>
      <c r="U502" s="170"/>
    </row>
    <row x14ac:dyDescent="0.25" r="503" customHeight="1" ht="18.75">
      <c r="A503" s="1"/>
      <c r="B503" s="799">
        <f>+DATE(YEAR(B502),MONTH(B502)+1,DAY(B502))</f>
        <v>25569.041666666668</v>
      </c>
      <c r="C503" s="799">
        <f>+B504-1</f>
        <v>25569.041666666668</v>
      </c>
      <c r="D503" s="791">
        <f>-_xlfn.DAYS($C$3,C503)/365.25</f>
      </c>
      <c r="E503" s="800">
        <f>IF($D$17+40&lt;=D503,(1+$D$7)^-(D503-$C$5),(1+$C$7)^-(D503-$C$5))</f>
      </c>
      <c r="F503" s="801">
        <f>IF($C$4="Hombre",(+VLOOKUP(INT(D503)+1,Tablas!$G$9:$K$1240,5,0)*(D503-INT(D503))+VLOOKUP(INT(D503),Tablas!$G$9:$K$1240,5,0)*(INT(D503)+1-D503))/(VLOOKUP(INT($C$5)+1,Tablas!$G$9:$K$1240,5,0)*($C$5-INT($C$5))+VLOOKUP(INT($C$5),Tablas!$G$9:$K$124,5,0)*(INT($C$5)+1-$C$5)),(+VLOOKUP(INT(D503)+1,Tablas!$G$9:$O$1240,9,0)*(D503-INT(D503))+VLOOKUP(INT(D503),Tablas!$G$9:$O$1240,9,0)*(INT(D503)+1-D503))/(VLOOKUP(INT($C$5)+1,Tablas!$G$9:$O$1240,9,0)*($C$5-INT($C$5))+VLOOKUP(INT($C$5),Tablas!$G$9:$O$124,9,0)*(INT($C$5)+1-$C$5)))</f>
      </c>
      <c r="G503" s="791">
        <f>IF($C$4="Hombre",(+VLOOKUP(INT(D503)+1,Tablas!$G$9:$K$1240,5,0)*(D503-INT(D503))+VLOOKUP(INT(D503),Tablas!$G$9:$K$1240,5,0)*(INT(D503)+1-D503)),+VLOOKUP(INT(D503)+1,Tablas!$G$9:$O$1240,9,0)*(D503-INT(D503))+VLOOKUP(INT(D503),Tablas!$G$9:$O$1240,9,0)*(INT(D503)+1-D503))</f>
      </c>
      <c r="H503" s="801">
        <f>+IF(MONTH(B503)=1,H502*(1+$C$9),H502)</f>
      </c>
      <c r="I503" s="791">
        <f>IF(B503&lt;$C$10,0,IF(B503&lt;$C$11,$C$8/12*E503*F503*H503,0))</f>
      </c>
      <c r="J503" s="791">
        <f>I503*12/14+IF(OR(MONTH(C503)=6,MONTH(C503)=12),I503*12/14,0)</f>
      </c>
      <c r="K503" s="801">
        <f>G503/$G$15</f>
      </c>
      <c r="L503" s="760"/>
      <c r="M503" s="767"/>
      <c r="N503" s="168"/>
      <c r="O503" s="768"/>
      <c r="P503" s="170"/>
      <c r="Q503" s="7"/>
      <c r="R503" s="766"/>
      <c r="S503" s="170"/>
      <c r="T503" s="168"/>
      <c r="U503" s="170"/>
    </row>
    <row x14ac:dyDescent="0.25" r="504" customHeight="1" ht="18.75">
      <c r="A504" s="1"/>
      <c r="B504" s="799">
        <f>+DATE(YEAR(B503),MONTH(B503)+1,DAY(B503))</f>
        <v>25569.041666666668</v>
      </c>
      <c r="C504" s="799">
        <f>+B505-1</f>
        <v>25569.041666666668</v>
      </c>
      <c r="D504" s="791">
        <f>-_xlfn.DAYS($C$3,C504)/365.25</f>
      </c>
      <c r="E504" s="800">
        <f>IF($D$17+40&lt;=D504,(1+$D$7)^-(D504-$C$5),(1+$C$7)^-(D504-$C$5))</f>
      </c>
      <c r="F504" s="801">
        <f>IF($C$4="Hombre",(+VLOOKUP(INT(D504)+1,Tablas!$G$9:$K$1240,5,0)*(D504-INT(D504))+VLOOKUP(INT(D504),Tablas!$G$9:$K$1240,5,0)*(INT(D504)+1-D504))/(VLOOKUP(INT($C$5)+1,Tablas!$G$9:$K$1240,5,0)*($C$5-INT($C$5))+VLOOKUP(INT($C$5),Tablas!$G$9:$K$124,5,0)*(INT($C$5)+1-$C$5)),(+VLOOKUP(INT(D504)+1,Tablas!$G$9:$O$1240,9,0)*(D504-INT(D504))+VLOOKUP(INT(D504),Tablas!$G$9:$O$1240,9,0)*(INT(D504)+1-D504))/(VLOOKUP(INT($C$5)+1,Tablas!$G$9:$O$1240,9,0)*($C$5-INT($C$5))+VLOOKUP(INT($C$5),Tablas!$G$9:$O$124,9,0)*(INT($C$5)+1-$C$5)))</f>
      </c>
      <c r="G504" s="791">
        <f>IF($C$4="Hombre",(+VLOOKUP(INT(D504)+1,Tablas!$G$9:$K$1240,5,0)*(D504-INT(D504))+VLOOKUP(INT(D504),Tablas!$G$9:$K$1240,5,0)*(INT(D504)+1-D504)),+VLOOKUP(INT(D504)+1,Tablas!$G$9:$O$1240,9,0)*(D504-INT(D504))+VLOOKUP(INT(D504),Tablas!$G$9:$O$1240,9,0)*(INT(D504)+1-D504))</f>
      </c>
      <c r="H504" s="801">
        <f>+IF(MONTH(B504)=1,H503*(1+$C$9),H503)</f>
      </c>
      <c r="I504" s="791">
        <f>IF(B504&lt;$C$10,0,IF(B504&lt;$C$11,$C$8/12*E504*F504*H504,0))</f>
      </c>
      <c r="J504" s="791">
        <f>I504*12/14+IF(OR(MONTH(C504)=6,MONTH(C504)=12),I504*12/14,0)</f>
      </c>
      <c r="K504" s="801">
        <f>G504/$G$15</f>
      </c>
      <c r="L504" s="760"/>
      <c r="M504" s="767"/>
      <c r="N504" s="168"/>
      <c r="O504" s="768"/>
      <c r="P504" s="170"/>
      <c r="Q504" s="7"/>
      <c r="R504" s="766"/>
      <c r="S504" s="170"/>
      <c r="T504" s="168"/>
      <c r="U504" s="170"/>
    </row>
    <row x14ac:dyDescent="0.25" r="505" customHeight="1" ht="18.75">
      <c r="A505" s="1"/>
      <c r="B505" s="799">
        <f>+DATE(YEAR(B504),MONTH(B504)+1,DAY(B504))</f>
        <v>25569.041666666668</v>
      </c>
      <c r="C505" s="799">
        <f>+B506-1</f>
        <v>25569.041666666668</v>
      </c>
      <c r="D505" s="791">
        <f>-_xlfn.DAYS($C$3,C505)/365.25</f>
      </c>
      <c r="E505" s="800">
        <f>IF($D$17+40&lt;=D505,(1+$D$7)^-(D505-$C$5),(1+$C$7)^-(D505-$C$5))</f>
      </c>
      <c r="F505" s="801">
        <f>IF($C$4="Hombre",(+VLOOKUP(INT(D505)+1,Tablas!$G$9:$K$1240,5,0)*(D505-INT(D505))+VLOOKUP(INT(D505),Tablas!$G$9:$K$1240,5,0)*(INT(D505)+1-D505))/(VLOOKUP(INT($C$5)+1,Tablas!$G$9:$K$1240,5,0)*($C$5-INT($C$5))+VLOOKUP(INT($C$5),Tablas!$G$9:$K$124,5,0)*(INT($C$5)+1-$C$5)),(+VLOOKUP(INT(D505)+1,Tablas!$G$9:$O$1240,9,0)*(D505-INT(D505))+VLOOKUP(INT(D505),Tablas!$G$9:$O$1240,9,0)*(INT(D505)+1-D505))/(VLOOKUP(INT($C$5)+1,Tablas!$G$9:$O$1240,9,0)*($C$5-INT($C$5))+VLOOKUP(INT($C$5),Tablas!$G$9:$O$124,9,0)*(INT($C$5)+1-$C$5)))</f>
      </c>
      <c r="G505" s="791">
        <f>IF($C$4="Hombre",(+VLOOKUP(INT(D505)+1,Tablas!$G$9:$K$1240,5,0)*(D505-INT(D505))+VLOOKUP(INT(D505),Tablas!$G$9:$K$1240,5,0)*(INT(D505)+1-D505)),+VLOOKUP(INT(D505)+1,Tablas!$G$9:$O$1240,9,0)*(D505-INT(D505))+VLOOKUP(INT(D505),Tablas!$G$9:$O$1240,9,0)*(INT(D505)+1-D505))</f>
      </c>
      <c r="H505" s="801">
        <f>+IF(MONTH(B505)=1,H504*(1+$C$9),H504)</f>
      </c>
      <c r="I505" s="791">
        <f>IF(B505&lt;$C$10,0,IF(B505&lt;$C$11,$C$8/12*E505*F505*H505,0))</f>
      </c>
      <c r="J505" s="791">
        <f>I505*12/14+IF(OR(MONTH(C505)=6,MONTH(C505)=12),I505*12/14,0)</f>
      </c>
      <c r="K505" s="801">
        <f>G505/$G$15</f>
      </c>
      <c r="L505" s="760"/>
      <c r="M505" s="767"/>
      <c r="N505" s="168"/>
      <c r="O505" s="768"/>
      <c r="P505" s="170"/>
      <c r="Q505" s="7"/>
      <c r="R505" s="766"/>
      <c r="S505" s="170"/>
      <c r="T505" s="168"/>
      <c r="U505" s="170"/>
    </row>
    <row x14ac:dyDescent="0.25" r="506" customHeight="1" ht="18.75">
      <c r="A506" s="1"/>
      <c r="B506" s="799">
        <f>+DATE(YEAR(B505),MONTH(B505)+1,DAY(B505))</f>
        <v>25569.041666666668</v>
      </c>
      <c r="C506" s="799">
        <f>+B507-1</f>
        <v>25569.041666666668</v>
      </c>
      <c r="D506" s="791">
        <f>-_xlfn.DAYS($C$3,C506)/365.25</f>
      </c>
      <c r="E506" s="800">
        <f>IF($D$17+40&lt;=D506,(1+$D$7)^-(D506-$C$5),(1+$C$7)^-(D506-$C$5))</f>
      </c>
      <c r="F506" s="801">
        <f>IF($C$4="Hombre",(+VLOOKUP(INT(D506)+1,Tablas!$G$9:$K$1240,5,0)*(D506-INT(D506))+VLOOKUP(INT(D506),Tablas!$G$9:$K$1240,5,0)*(INT(D506)+1-D506))/(VLOOKUP(INT($C$5)+1,Tablas!$G$9:$K$1240,5,0)*($C$5-INT($C$5))+VLOOKUP(INT($C$5),Tablas!$G$9:$K$124,5,0)*(INT($C$5)+1-$C$5)),(+VLOOKUP(INT(D506)+1,Tablas!$G$9:$O$1240,9,0)*(D506-INT(D506))+VLOOKUP(INT(D506),Tablas!$G$9:$O$1240,9,0)*(INT(D506)+1-D506))/(VLOOKUP(INT($C$5)+1,Tablas!$G$9:$O$1240,9,0)*($C$5-INT($C$5))+VLOOKUP(INT($C$5),Tablas!$G$9:$O$124,9,0)*(INT($C$5)+1-$C$5)))</f>
      </c>
      <c r="G506" s="791">
        <f>IF($C$4="Hombre",(+VLOOKUP(INT(D506)+1,Tablas!$G$9:$K$1240,5,0)*(D506-INT(D506))+VLOOKUP(INT(D506),Tablas!$G$9:$K$1240,5,0)*(INT(D506)+1-D506)),+VLOOKUP(INT(D506)+1,Tablas!$G$9:$O$1240,9,0)*(D506-INT(D506))+VLOOKUP(INT(D506),Tablas!$G$9:$O$1240,9,0)*(INT(D506)+1-D506))</f>
      </c>
      <c r="H506" s="801">
        <f>+IF(MONTH(B506)=1,H505*(1+$C$9),H505)</f>
      </c>
      <c r="I506" s="791">
        <f>IF(B506&lt;$C$10,0,IF(B506&lt;$C$11,$C$8/12*E506*F506*H506,0))</f>
      </c>
      <c r="J506" s="791">
        <f>I506*12/14+IF(OR(MONTH(C506)=6,MONTH(C506)=12),I506*12/14,0)</f>
      </c>
      <c r="K506" s="801">
        <f>G506/$G$15</f>
      </c>
      <c r="L506" s="760"/>
      <c r="M506" s="767"/>
      <c r="N506" s="168"/>
      <c r="O506" s="768"/>
      <c r="P506" s="170"/>
      <c r="Q506" s="7"/>
      <c r="R506" s="766"/>
      <c r="S506" s="170"/>
      <c r="T506" s="168"/>
      <c r="U506" s="170"/>
    </row>
    <row x14ac:dyDescent="0.25" r="507" customHeight="1" ht="18.75">
      <c r="A507" s="1"/>
      <c r="B507" s="799">
        <f>+DATE(YEAR(B506),MONTH(B506)+1,DAY(B506))</f>
        <v>25569.041666666668</v>
      </c>
      <c r="C507" s="799">
        <f>+B508-1</f>
        <v>25569.041666666668</v>
      </c>
      <c r="D507" s="791">
        <f>-_xlfn.DAYS($C$3,C507)/365.25</f>
      </c>
      <c r="E507" s="800">
        <f>IF($D$17+40&lt;=D507,(1+$D$7)^-(D507-$C$5),(1+$C$7)^-(D507-$C$5))</f>
      </c>
      <c r="F507" s="801">
        <f>IF($C$4="Hombre",(+VLOOKUP(INT(D507)+1,Tablas!$G$9:$K$1240,5,0)*(D507-INT(D507))+VLOOKUP(INT(D507),Tablas!$G$9:$K$1240,5,0)*(INT(D507)+1-D507))/(VLOOKUP(INT($C$5)+1,Tablas!$G$9:$K$1240,5,0)*($C$5-INT($C$5))+VLOOKUP(INT($C$5),Tablas!$G$9:$K$124,5,0)*(INT($C$5)+1-$C$5)),(+VLOOKUP(INT(D507)+1,Tablas!$G$9:$O$1240,9,0)*(D507-INT(D507))+VLOOKUP(INT(D507),Tablas!$G$9:$O$1240,9,0)*(INT(D507)+1-D507))/(VLOOKUP(INT($C$5)+1,Tablas!$G$9:$O$1240,9,0)*($C$5-INT($C$5))+VLOOKUP(INT($C$5),Tablas!$G$9:$O$124,9,0)*(INT($C$5)+1-$C$5)))</f>
      </c>
      <c r="G507" s="791">
        <f>IF($C$4="Hombre",(+VLOOKUP(INT(D507)+1,Tablas!$G$9:$K$1240,5,0)*(D507-INT(D507))+VLOOKUP(INT(D507),Tablas!$G$9:$K$1240,5,0)*(INT(D507)+1-D507)),+VLOOKUP(INT(D507)+1,Tablas!$G$9:$O$1240,9,0)*(D507-INT(D507))+VLOOKUP(INT(D507),Tablas!$G$9:$O$1240,9,0)*(INT(D507)+1-D507))</f>
      </c>
      <c r="H507" s="801">
        <f>+IF(MONTH(B507)=1,H506*(1+$C$9),H506)</f>
      </c>
      <c r="I507" s="791">
        <f>IF(B507&lt;$C$10,0,IF(B507&lt;$C$11,$C$8/12*E507*F507*H507,0))</f>
      </c>
      <c r="J507" s="791">
        <f>I507*12/14+IF(OR(MONTH(C507)=6,MONTH(C507)=12),I507*12/14,0)</f>
      </c>
      <c r="K507" s="801">
        <f>G507/$G$15</f>
      </c>
      <c r="L507" s="760"/>
      <c r="M507" s="767"/>
      <c r="N507" s="168"/>
      <c r="O507" s="768"/>
      <c r="P507" s="170"/>
      <c r="Q507" s="7"/>
      <c r="R507" s="766"/>
      <c r="S507" s="170"/>
      <c r="T507" s="168"/>
      <c r="U507" s="170"/>
    </row>
    <row x14ac:dyDescent="0.25" r="508" customHeight="1" ht="18.75">
      <c r="A508" s="1"/>
      <c r="B508" s="799">
        <f>+DATE(YEAR(B507),MONTH(B507)+1,DAY(B507))</f>
        <v>25569.041666666668</v>
      </c>
      <c r="C508" s="799">
        <f>+B509-1</f>
        <v>25569.041666666668</v>
      </c>
      <c r="D508" s="791">
        <f>-_xlfn.DAYS($C$3,C508)/365.25</f>
      </c>
      <c r="E508" s="800">
        <f>IF($D$17+40&lt;=D508,(1+$D$7)^-(D508-$C$5),(1+$C$7)^-(D508-$C$5))</f>
      </c>
      <c r="F508" s="801">
        <f>IF($C$4="Hombre",(+VLOOKUP(INT(D508)+1,Tablas!$G$9:$K$1240,5,0)*(D508-INT(D508))+VLOOKUP(INT(D508),Tablas!$G$9:$K$1240,5,0)*(INT(D508)+1-D508))/(VLOOKUP(INT($C$5)+1,Tablas!$G$9:$K$1240,5,0)*($C$5-INT($C$5))+VLOOKUP(INT($C$5),Tablas!$G$9:$K$124,5,0)*(INT($C$5)+1-$C$5)),(+VLOOKUP(INT(D508)+1,Tablas!$G$9:$O$1240,9,0)*(D508-INT(D508))+VLOOKUP(INT(D508),Tablas!$G$9:$O$1240,9,0)*(INT(D508)+1-D508))/(VLOOKUP(INT($C$5)+1,Tablas!$G$9:$O$1240,9,0)*($C$5-INT($C$5))+VLOOKUP(INT($C$5),Tablas!$G$9:$O$124,9,0)*(INT($C$5)+1-$C$5)))</f>
      </c>
      <c r="G508" s="791">
        <f>IF($C$4="Hombre",(+VLOOKUP(INT(D508)+1,Tablas!$G$9:$K$1240,5,0)*(D508-INT(D508))+VLOOKUP(INT(D508),Tablas!$G$9:$K$1240,5,0)*(INT(D508)+1-D508)),+VLOOKUP(INT(D508)+1,Tablas!$G$9:$O$1240,9,0)*(D508-INT(D508))+VLOOKUP(INT(D508),Tablas!$G$9:$O$1240,9,0)*(INT(D508)+1-D508))</f>
      </c>
      <c r="H508" s="801">
        <f>+IF(MONTH(B508)=1,H507*(1+$C$9),H507)</f>
      </c>
      <c r="I508" s="791">
        <f>IF(B508&lt;$C$10,0,IF(B508&lt;$C$11,$C$8/12*E508*F508*H508,0))</f>
      </c>
      <c r="J508" s="791">
        <f>I508*12/14+IF(OR(MONTH(C508)=6,MONTH(C508)=12),I508*12/14,0)</f>
      </c>
      <c r="K508" s="801">
        <f>G508/$G$15</f>
      </c>
      <c r="L508" s="760"/>
      <c r="M508" s="767"/>
      <c r="N508" s="168"/>
      <c r="O508" s="768"/>
      <c r="P508" s="170"/>
      <c r="Q508" s="7"/>
      <c r="R508" s="766"/>
      <c r="S508" s="170"/>
      <c r="T508" s="168"/>
      <c r="U508" s="170"/>
    </row>
    <row x14ac:dyDescent="0.25" r="509" customHeight="1" ht="18.75">
      <c r="A509" s="1"/>
      <c r="B509" s="799">
        <f>+DATE(YEAR(B508),MONTH(B508)+1,DAY(B508))</f>
        <v>25569.041666666668</v>
      </c>
      <c r="C509" s="799">
        <f>+B510-1</f>
        <v>25569.041666666668</v>
      </c>
      <c r="D509" s="791">
        <f>-_xlfn.DAYS($C$3,C509)/365.25</f>
      </c>
      <c r="E509" s="800">
        <f>IF($D$17+40&lt;=D509,(1+$D$7)^-(D509-$C$5),(1+$C$7)^-(D509-$C$5))</f>
      </c>
      <c r="F509" s="801">
        <f>IF($C$4="Hombre",(+VLOOKUP(INT(D509)+1,Tablas!$G$9:$K$1240,5,0)*(D509-INT(D509))+VLOOKUP(INT(D509),Tablas!$G$9:$K$1240,5,0)*(INT(D509)+1-D509))/(VLOOKUP(INT($C$5)+1,Tablas!$G$9:$K$1240,5,0)*($C$5-INT($C$5))+VLOOKUP(INT($C$5),Tablas!$G$9:$K$124,5,0)*(INT($C$5)+1-$C$5)),(+VLOOKUP(INT(D509)+1,Tablas!$G$9:$O$1240,9,0)*(D509-INT(D509))+VLOOKUP(INT(D509),Tablas!$G$9:$O$1240,9,0)*(INT(D509)+1-D509))/(VLOOKUP(INT($C$5)+1,Tablas!$G$9:$O$1240,9,0)*($C$5-INT($C$5))+VLOOKUP(INT($C$5),Tablas!$G$9:$O$124,9,0)*(INT($C$5)+1-$C$5)))</f>
      </c>
      <c r="G509" s="791">
        <f>IF($C$4="Hombre",(+VLOOKUP(INT(D509)+1,Tablas!$G$9:$K$1240,5,0)*(D509-INT(D509))+VLOOKUP(INT(D509),Tablas!$G$9:$K$1240,5,0)*(INT(D509)+1-D509)),+VLOOKUP(INT(D509)+1,Tablas!$G$9:$O$1240,9,0)*(D509-INT(D509))+VLOOKUP(INT(D509),Tablas!$G$9:$O$1240,9,0)*(INT(D509)+1-D509))</f>
      </c>
      <c r="H509" s="801">
        <f>+IF(MONTH(B509)=1,H508*(1+$C$9),H508)</f>
      </c>
      <c r="I509" s="791">
        <f>IF(B509&lt;$C$10,0,IF(B509&lt;$C$11,$C$8/12*E509*F509*H509,0))</f>
      </c>
      <c r="J509" s="791">
        <f>I509*12/14+IF(OR(MONTH(C509)=6,MONTH(C509)=12),I509*12/14,0)</f>
      </c>
      <c r="K509" s="801">
        <f>G509/$G$15</f>
      </c>
      <c r="L509" s="760"/>
      <c r="M509" s="767"/>
      <c r="N509" s="168"/>
      <c r="O509" s="768"/>
      <c r="P509" s="170"/>
      <c r="Q509" s="7"/>
      <c r="R509" s="766"/>
      <c r="S509" s="170"/>
      <c r="T509" s="168"/>
      <c r="U509" s="170"/>
    </row>
    <row x14ac:dyDescent="0.25" r="510" customHeight="1" ht="18.75">
      <c r="A510" s="1"/>
      <c r="B510" s="799">
        <f>+DATE(YEAR(B509),MONTH(B509)+1,DAY(B509))</f>
        <v>25569.041666666668</v>
      </c>
      <c r="C510" s="799">
        <f>+B511-1</f>
        <v>25569.041666666668</v>
      </c>
      <c r="D510" s="791">
        <f>-_xlfn.DAYS($C$3,C510)/365.25</f>
      </c>
      <c r="E510" s="800">
        <f>IF($D$17+40&lt;=D510,(1+$D$7)^-(D510-$C$5),(1+$C$7)^-(D510-$C$5))</f>
      </c>
      <c r="F510" s="801">
        <f>IF($C$4="Hombre",(+VLOOKUP(INT(D510)+1,Tablas!$G$9:$K$1240,5,0)*(D510-INT(D510))+VLOOKUP(INT(D510),Tablas!$G$9:$K$1240,5,0)*(INT(D510)+1-D510))/(VLOOKUP(INT($C$5)+1,Tablas!$G$9:$K$1240,5,0)*($C$5-INT($C$5))+VLOOKUP(INT($C$5),Tablas!$G$9:$K$124,5,0)*(INT($C$5)+1-$C$5)),(+VLOOKUP(INT(D510)+1,Tablas!$G$9:$O$1240,9,0)*(D510-INT(D510))+VLOOKUP(INT(D510),Tablas!$G$9:$O$1240,9,0)*(INT(D510)+1-D510))/(VLOOKUP(INT($C$5)+1,Tablas!$G$9:$O$1240,9,0)*($C$5-INT($C$5))+VLOOKUP(INT($C$5),Tablas!$G$9:$O$124,9,0)*(INT($C$5)+1-$C$5)))</f>
      </c>
      <c r="G510" s="791">
        <f>IF($C$4="Hombre",(+VLOOKUP(INT(D510)+1,Tablas!$G$9:$K$1240,5,0)*(D510-INT(D510))+VLOOKUP(INT(D510),Tablas!$G$9:$K$1240,5,0)*(INT(D510)+1-D510)),+VLOOKUP(INT(D510)+1,Tablas!$G$9:$O$1240,9,0)*(D510-INT(D510))+VLOOKUP(INT(D510),Tablas!$G$9:$O$1240,9,0)*(INT(D510)+1-D510))</f>
      </c>
      <c r="H510" s="801">
        <f>+IF(MONTH(B510)=1,H509*(1+$C$9),H509)</f>
      </c>
      <c r="I510" s="791">
        <f>IF(B510&lt;$C$10,0,IF(B510&lt;$C$11,$C$8/12*E510*F510*H510,0))</f>
      </c>
      <c r="J510" s="791">
        <f>I510*12/14+IF(OR(MONTH(C510)=6,MONTH(C510)=12),I510*12/14,0)</f>
      </c>
      <c r="K510" s="801">
        <f>G510/$G$15</f>
      </c>
      <c r="L510" s="760"/>
      <c r="M510" s="767"/>
      <c r="N510" s="168"/>
      <c r="O510" s="768"/>
      <c r="P510" s="170"/>
      <c r="Q510" s="7"/>
      <c r="R510" s="766"/>
      <c r="S510" s="170"/>
      <c r="T510" s="168"/>
      <c r="U510" s="170"/>
    </row>
    <row x14ac:dyDescent="0.25" r="511" customHeight="1" ht="18.75">
      <c r="A511" s="1"/>
      <c r="B511" s="799">
        <f>+DATE(YEAR(B510),MONTH(B510)+1,DAY(B510))</f>
        <v>25569.041666666668</v>
      </c>
      <c r="C511" s="799">
        <f>+B512-1</f>
        <v>25569.041666666668</v>
      </c>
      <c r="D511" s="791">
        <f>-_xlfn.DAYS($C$3,C511)/365.25</f>
      </c>
      <c r="E511" s="800">
        <f>IF($D$17+40&lt;=D511,(1+$D$7)^-(D511-$C$5),(1+$C$7)^-(D511-$C$5))</f>
      </c>
      <c r="F511" s="801">
        <f>IF($C$4="Hombre",(+VLOOKUP(INT(D511)+1,Tablas!$G$9:$K$1240,5,0)*(D511-INT(D511))+VLOOKUP(INT(D511),Tablas!$G$9:$K$1240,5,0)*(INT(D511)+1-D511))/(VLOOKUP(INT($C$5)+1,Tablas!$G$9:$K$1240,5,0)*($C$5-INT($C$5))+VLOOKUP(INT($C$5),Tablas!$G$9:$K$124,5,0)*(INT($C$5)+1-$C$5)),(+VLOOKUP(INT(D511)+1,Tablas!$G$9:$O$1240,9,0)*(D511-INT(D511))+VLOOKUP(INT(D511),Tablas!$G$9:$O$1240,9,0)*(INT(D511)+1-D511))/(VLOOKUP(INT($C$5)+1,Tablas!$G$9:$O$1240,9,0)*($C$5-INT($C$5))+VLOOKUP(INT($C$5),Tablas!$G$9:$O$124,9,0)*(INT($C$5)+1-$C$5)))</f>
      </c>
      <c r="G511" s="791">
        <f>IF($C$4="Hombre",(+VLOOKUP(INT(D511)+1,Tablas!$G$9:$K$1240,5,0)*(D511-INT(D511))+VLOOKUP(INT(D511),Tablas!$G$9:$K$1240,5,0)*(INT(D511)+1-D511)),+VLOOKUP(INT(D511)+1,Tablas!$G$9:$O$1240,9,0)*(D511-INT(D511))+VLOOKUP(INT(D511),Tablas!$G$9:$O$1240,9,0)*(INT(D511)+1-D511))</f>
      </c>
      <c r="H511" s="801">
        <f>+IF(MONTH(B511)=1,H510*(1+$C$9),H510)</f>
      </c>
      <c r="I511" s="791">
        <f>IF(B511&lt;$C$10,0,IF(B511&lt;$C$11,$C$8/12*E511*F511*H511,0))</f>
      </c>
      <c r="J511" s="791">
        <f>I511*12/14+IF(OR(MONTH(C511)=6,MONTH(C511)=12),I511*12/14,0)</f>
      </c>
      <c r="K511" s="801">
        <f>G511/$G$15</f>
      </c>
      <c r="L511" s="760"/>
      <c r="M511" s="767"/>
      <c r="N511" s="168"/>
      <c r="O511" s="768"/>
      <c r="P511" s="170"/>
      <c r="Q511" s="7"/>
      <c r="R511" s="766"/>
      <c r="S511" s="170"/>
      <c r="T511" s="168"/>
      <c r="U511" s="170"/>
    </row>
    <row x14ac:dyDescent="0.25" r="512" customHeight="1" ht="18.75">
      <c r="A512" s="1"/>
      <c r="B512" s="799">
        <f>+DATE(YEAR(B511),MONTH(B511)+1,DAY(B511))</f>
        <v>25569.041666666668</v>
      </c>
      <c r="C512" s="799">
        <f>+B513-1</f>
        <v>25569.041666666668</v>
      </c>
      <c r="D512" s="791">
        <f>-_xlfn.DAYS($C$3,C512)/365.25</f>
      </c>
      <c r="E512" s="800">
        <f>IF($D$17+40&lt;=D512,(1+$D$7)^-(D512-$C$5),(1+$C$7)^-(D512-$C$5))</f>
      </c>
      <c r="F512" s="801">
        <f>IF($C$4="Hombre",(+VLOOKUP(INT(D512)+1,Tablas!$G$9:$K$1240,5,0)*(D512-INT(D512))+VLOOKUP(INT(D512),Tablas!$G$9:$K$1240,5,0)*(INT(D512)+1-D512))/(VLOOKUP(INT($C$5)+1,Tablas!$G$9:$K$1240,5,0)*($C$5-INT($C$5))+VLOOKUP(INT($C$5),Tablas!$G$9:$K$124,5,0)*(INT($C$5)+1-$C$5)),(+VLOOKUP(INT(D512)+1,Tablas!$G$9:$O$1240,9,0)*(D512-INT(D512))+VLOOKUP(INT(D512),Tablas!$G$9:$O$1240,9,0)*(INT(D512)+1-D512))/(VLOOKUP(INT($C$5)+1,Tablas!$G$9:$O$1240,9,0)*($C$5-INT($C$5))+VLOOKUP(INT($C$5),Tablas!$G$9:$O$124,9,0)*(INT($C$5)+1-$C$5)))</f>
      </c>
      <c r="G512" s="791">
        <f>IF($C$4="Hombre",(+VLOOKUP(INT(D512)+1,Tablas!$G$9:$K$1240,5,0)*(D512-INT(D512))+VLOOKUP(INT(D512),Tablas!$G$9:$K$1240,5,0)*(INT(D512)+1-D512)),+VLOOKUP(INT(D512)+1,Tablas!$G$9:$O$1240,9,0)*(D512-INT(D512))+VLOOKUP(INT(D512),Tablas!$G$9:$O$1240,9,0)*(INT(D512)+1-D512))</f>
      </c>
      <c r="H512" s="801">
        <f>+IF(MONTH(B512)=1,H511*(1+$C$9),H511)</f>
      </c>
      <c r="I512" s="791">
        <f>IF(B512&lt;$C$10,0,IF(B512&lt;$C$11,$C$8/12*E512*F512*H512,0))</f>
      </c>
      <c r="J512" s="791">
        <f>I512*12/14+IF(OR(MONTH(C512)=6,MONTH(C512)=12),I512*12/14,0)</f>
      </c>
      <c r="K512" s="801">
        <f>G512/$G$15</f>
      </c>
      <c r="L512" s="760"/>
      <c r="M512" s="767"/>
      <c r="N512" s="168"/>
      <c r="O512" s="768"/>
      <c r="P512" s="170"/>
      <c r="Q512" s="7"/>
      <c r="R512" s="766"/>
      <c r="S512" s="170"/>
      <c r="T512" s="168"/>
      <c r="U512" s="170"/>
    </row>
    <row x14ac:dyDescent="0.25" r="513" customHeight="1" ht="18.75">
      <c r="A513" s="1"/>
      <c r="B513" s="799">
        <f>+DATE(YEAR(B512),MONTH(B512)+1,DAY(B512))</f>
        <v>25569.041666666668</v>
      </c>
      <c r="C513" s="799">
        <f>+B514-1</f>
        <v>25569.041666666668</v>
      </c>
      <c r="D513" s="791">
        <f>-_xlfn.DAYS($C$3,C513)/365.25</f>
      </c>
      <c r="E513" s="800">
        <f>IF($D$17+40&lt;=D513,(1+$D$7)^-(D513-$C$5),(1+$C$7)^-(D513-$C$5))</f>
      </c>
      <c r="F513" s="801">
        <f>IF($C$4="Hombre",(+VLOOKUP(INT(D513)+1,Tablas!$G$9:$K$1240,5,0)*(D513-INT(D513))+VLOOKUP(INT(D513),Tablas!$G$9:$K$1240,5,0)*(INT(D513)+1-D513))/(VLOOKUP(INT($C$5)+1,Tablas!$G$9:$K$1240,5,0)*($C$5-INT($C$5))+VLOOKUP(INT($C$5),Tablas!$G$9:$K$124,5,0)*(INT($C$5)+1-$C$5)),(+VLOOKUP(INT(D513)+1,Tablas!$G$9:$O$1240,9,0)*(D513-INT(D513))+VLOOKUP(INT(D513),Tablas!$G$9:$O$1240,9,0)*(INT(D513)+1-D513))/(VLOOKUP(INT($C$5)+1,Tablas!$G$9:$O$1240,9,0)*($C$5-INT($C$5))+VLOOKUP(INT($C$5),Tablas!$G$9:$O$124,9,0)*(INT($C$5)+1-$C$5)))</f>
      </c>
      <c r="G513" s="791">
        <f>IF($C$4="Hombre",(+VLOOKUP(INT(D513)+1,Tablas!$G$9:$K$1240,5,0)*(D513-INT(D513))+VLOOKUP(INT(D513),Tablas!$G$9:$K$1240,5,0)*(INT(D513)+1-D513)),+VLOOKUP(INT(D513)+1,Tablas!$G$9:$O$1240,9,0)*(D513-INT(D513))+VLOOKUP(INT(D513),Tablas!$G$9:$O$1240,9,0)*(INT(D513)+1-D513))</f>
      </c>
      <c r="H513" s="801">
        <f>+IF(MONTH(B513)=1,H512*(1+$C$9),H512)</f>
      </c>
      <c r="I513" s="791">
        <f>IF(B513&lt;$C$10,0,IF(B513&lt;$C$11,$C$8/12*E513*F513*H513,0))</f>
      </c>
      <c r="J513" s="791">
        <f>I513*12/14+IF(OR(MONTH(C513)=6,MONTH(C513)=12),I513*12/14,0)</f>
      </c>
      <c r="K513" s="801">
        <f>G513/$G$15</f>
      </c>
      <c r="L513" s="760"/>
      <c r="M513" s="767"/>
      <c r="N513" s="168"/>
      <c r="O513" s="768"/>
      <c r="P513" s="170"/>
      <c r="Q513" s="7"/>
      <c r="R513" s="766"/>
      <c r="S513" s="170"/>
      <c r="T513" s="168"/>
      <c r="U513" s="170"/>
    </row>
    <row x14ac:dyDescent="0.25" r="514" customHeight="1" ht="18.75">
      <c r="A514" s="1"/>
      <c r="B514" s="799">
        <f>+DATE(YEAR(B513),MONTH(B513)+1,DAY(B513))</f>
        <v>25569.041666666668</v>
      </c>
      <c r="C514" s="799">
        <f>+B515-1</f>
        <v>25569.041666666668</v>
      </c>
      <c r="D514" s="791">
        <f>-_xlfn.DAYS($C$3,C514)/365.25</f>
      </c>
      <c r="E514" s="800">
        <f>IF($D$17+40&lt;=D514,(1+$D$7)^-(D514-$C$5),(1+$C$7)^-(D514-$C$5))</f>
      </c>
      <c r="F514" s="801">
        <f>IF($C$4="Hombre",(+VLOOKUP(INT(D514)+1,Tablas!$G$9:$K$1240,5,0)*(D514-INT(D514))+VLOOKUP(INT(D514),Tablas!$G$9:$K$1240,5,0)*(INT(D514)+1-D514))/(VLOOKUP(INT($C$5)+1,Tablas!$G$9:$K$1240,5,0)*($C$5-INT($C$5))+VLOOKUP(INT($C$5),Tablas!$G$9:$K$124,5,0)*(INT($C$5)+1-$C$5)),(+VLOOKUP(INT(D514)+1,Tablas!$G$9:$O$1240,9,0)*(D514-INT(D514))+VLOOKUP(INT(D514),Tablas!$G$9:$O$1240,9,0)*(INT(D514)+1-D514))/(VLOOKUP(INT($C$5)+1,Tablas!$G$9:$O$1240,9,0)*($C$5-INT($C$5))+VLOOKUP(INT($C$5),Tablas!$G$9:$O$124,9,0)*(INT($C$5)+1-$C$5)))</f>
      </c>
      <c r="G514" s="791">
        <f>IF($C$4="Hombre",(+VLOOKUP(INT(D514)+1,Tablas!$G$9:$K$1240,5,0)*(D514-INT(D514))+VLOOKUP(INT(D514),Tablas!$G$9:$K$1240,5,0)*(INT(D514)+1-D514)),+VLOOKUP(INT(D514)+1,Tablas!$G$9:$O$1240,9,0)*(D514-INT(D514))+VLOOKUP(INT(D514),Tablas!$G$9:$O$1240,9,0)*(INT(D514)+1-D514))</f>
      </c>
      <c r="H514" s="801">
        <f>+IF(MONTH(B514)=1,H513*(1+$C$9),H513)</f>
      </c>
      <c r="I514" s="791">
        <f>IF(B514&lt;$C$10,0,IF(B514&lt;$C$11,$C$8/12*E514*F514*H514,0))</f>
      </c>
      <c r="J514" s="791">
        <f>I514*12/14+IF(OR(MONTH(C514)=6,MONTH(C514)=12),I514*12/14,0)</f>
      </c>
      <c r="K514" s="801">
        <f>G514/$G$15</f>
      </c>
      <c r="L514" s="760"/>
      <c r="M514" s="767"/>
      <c r="N514" s="168"/>
      <c r="O514" s="768"/>
      <c r="P514" s="170"/>
      <c r="Q514" s="7"/>
      <c r="R514" s="766"/>
      <c r="S514" s="170"/>
      <c r="T514" s="168"/>
      <c r="U514" s="170"/>
    </row>
    <row x14ac:dyDescent="0.25" r="515" customHeight="1" ht="18.75">
      <c r="A515" s="1"/>
      <c r="B515" s="799">
        <f>+DATE(YEAR(B514),MONTH(B514)+1,DAY(B514))</f>
        <v>25569.041666666668</v>
      </c>
      <c r="C515" s="799">
        <f>+B516-1</f>
        <v>25569.041666666668</v>
      </c>
      <c r="D515" s="791">
        <f>-_xlfn.DAYS($C$3,C515)/365.25</f>
      </c>
      <c r="E515" s="800">
        <f>IF($D$17+40&lt;=D515,(1+$D$7)^-(D515-$C$5),(1+$C$7)^-(D515-$C$5))</f>
      </c>
      <c r="F515" s="801">
        <f>IF($C$4="Hombre",(+VLOOKUP(INT(D515)+1,Tablas!$G$9:$K$1240,5,0)*(D515-INT(D515))+VLOOKUP(INT(D515),Tablas!$G$9:$K$1240,5,0)*(INT(D515)+1-D515))/(VLOOKUP(INT($C$5)+1,Tablas!$G$9:$K$1240,5,0)*($C$5-INT($C$5))+VLOOKUP(INT($C$5),Tablas!$G$9:$K$124,5,0)*(INT($C$5)+1-$C$5)),(+VLOOKUP(INT(D515)+1,Tablas!$G$9:$O$1240,9,0)*(D515-INT(D515))+VLOOKUP(INT(D515),Tablas!$G$9:$O$1240,9,0)*(INT(D515)+1-D515))/(VLOOKUP(INT($C$5)+1,Tablas!$G$9:$O$1240,9,0)*($C$5-INT($C$5))+VLOOKUP(INT($C$5),Tablas!$G$9:$O$124,9,0)*(INT($C$5)+1-$C$5)))</f>
      </c>
      <c r="G515" s="791">
        <f>IF($C$4="Hombre",(+VLOOKUP(INT(D515)+1,Tablas!$G$9:$K$1240,5,0)*(D515-INT(D515))+VLOOKUP(INT(D515),Tablas!$G$9:$K$1240,5,0)*(INT(D515)+1-D515)),+VLOOKUP(INT(D515)+1,Tablas!$G$9:$O$1240,9,0)*(D515-INT(D515))+VLOOKUP(INT(D515),Tablas!$G$9:$O$1240,9,0)*(INT(D515)+1-D515))</f>
      </c>
      <c r="H515" s="801">
        <f>+IF(MONTH(B515)=1,H514*(1+$C$9),H514)</f>
      </c>
      <c r="I515" s="791">
        <f>IF(B515&lt;$C$10,0,IF(B515&lt;$C$11,$C$8/12*E515*F515*H515,0))</f>
      </c>
      <c r="J515" s="791">
        <f>I515*12/14+IF(OR(MONTH(C515)=6,MONTH(C515)=12),I515*12/14,0)</f>
      </c>
      <c r="K515" s="801">
        <f>G515/$G$15</f>
      </c>
      <c r="L515" s="760"/>
      <c r="M515" s="767"/>
      <c r="N515" s="168"/>
      <c r="O515" s="768"/>
      <c r="P515" s="170"/>
      <c r="Q515" s="7"/>
      <c r="R515" s="766"/>
      <c r="S515" s="170"/>
      <c r="T515" s="168"/>
      <c r="U515" s="170"/>
    </row>
    <row x14ac:dyDescent="0.25" r="516" customHeight="1" ht="18.75">
      <c r="A516" s="1"/>
      <c r="B516" s="799">
        <f>+DATE(YEAR(B515),MONTH(B515)+1,DAY(B515))</f>
        <v>25569.041666666668</v>
      </c>
      <c r="C516" s="799">
        <f>+B517-1</f>
        <v>25569.041666666668</v>
      </c>
      <c r="D516" s="791">
        <f>-_xlfn.DAYS($C$3,C516)/365.25</f>
      </c>
      <c r="E516" s="800">
        <f>IF($D$17+40&lt;=D516,(1+$D$7)^-(D516-$C$5),(1+$C$7)^-(D516-$C$5))</f>
      </c>
      <c r="F516" s="801">
        <f>IF($C$4="Hombre",(+VLOOKUP(INT(D516)+1,Tablas!$G$9:$K$1240,5,0)*(D516-INT(D516))+VLOOKUP(INT(D516),Tablas!$G$9:$K$1240,5,0)*(INT(D516)+1-D516))/(VLOOKUP(INT($C$5)+1,Tablas!$G$9:$K$1240,5,0)*($C$5-INT($C$5))+VLOOKUP(INT($C$5),Tablas!$G$9:$K$124,5,0)*(INT($C$5)+1-$C$5)),(+VLOOKUP(INT(D516)+1,Tablas!$G$9:$O$1240,9,0)*(D516-INT(D516))+VLOOKUP(INT(D516),Tablas!$G$9:$O$1240,9,0)*(INT(D516)+1-D516))/(VLOOKUP(INT($C$5)+1,Tablas!$G$9:$O$1240,9,0)*($C$5-INT($C$5))+VLOOKUP(INT($C$5),Tablas!$G$9:$O$124,9,0)*(INT($C$5)+1-$C$5)))</f>
      </c>
      <c r="G516" s="791">
        <f>IF($C$4="Hombre",(+VLOOKUP(INT(D516)+1,Tablas!$G$9:$K$1240,5,0)*(D516-INT(D516))+VLOOKUP(INT(D516),Tablas!$G$9:$K$1240,5,0)*(INT(D516)+1-D516)),+VLOOKUP(INT(D516)+1,Tablas!$G$9:$O$1240,9,0)*(D516-INT(D516))+VLOOKUP(INT(D516),Tablas!$G$9:$O$1240,9,0)*(INT(D516)+1-D516))</f>
      </c>
      <c r="H516" s="801">
        <f>+IF(MONTH(B516)=1,H515*(1+$C$9),H515)</f>
      </c>
      <c r="I516" s="791">
        <f>IF(B516&lt;$C$10,0,IF(B516&lt;$C$11,$C$8/12*E516*F516*H516,0))</f>
      </c>
      <c r="J516" s="791">
        <f>I516*12/14+IF(OR(MONTH(C516)=6,MONTH(C516)=12),I516*12/14,0)</f>
      </c>
      <c r="K516" s="801">
        <f>G516/$G$15</f>
      </c>
      <c r="L516" s="760"/>
      <c r="M516" s="767"/>
      <c r="N516" s="168"/>
      <c r="O516" s="768"/>
      <c r="P516" s="170"/>
      <c r="Q516" s="7"/>
      <c r="R516" s="766"/>
      <c r="S516" s="170"/>
      <c r="T516" s="168"/>
      <c r="U516" s="170"/>
    </row>
    <row x14ac:dyDescent="0.25" r="517" customHeight="1" ht="18.75">
      <c r="A517" s="1"/>
      <c r="B517" s="799">
        <f>+DATE(YEAR(B516),MONTH(B516)+1,DAY(B516))</f>
        <v>25569.041666666668</v>
      </c>
      <c r="C517" s="799">
        <f>+B518-1</f>
        <v>25569.041666666668</v>
      </c>
      <c r="D517" s="791">
        <f>-_xlfn.DAYS($C$3,C517)/365.25</f>
      </c>
      <c r="E517" s="800">
        <f>IF($D$17+40&lt;=D517,(1+$D$7)^-(D517-$C$5),(1+$C$7)^-(D517-$C$5))</f>
      </c>
      <c r="F517" s="801">
        <f>IF($C$4="Hombre",(+VLOOKUP(INT(D517)+1,Tablas!$G$9:$K$1240,5,0)*(D517-INT(D517))+VLOOKUP(INT(D517),Tablas!$G$9:$K$1240,5,0)*(INT(D517)+1-D517))/(VLOOKUP(INT($C$5)+1,Tablas!$G$9:$K$1240,5,0)*($C$5-INT($C$5))+VLOOKUP(INT($C$5),Tablas!$G$9:$K$124,5,0)*(INT($C$5)+1-$C$5)),(+VLOOKUP(INT(D517)+1,Tablas!$G$9:$O$1240,9,0)*(D517-INT(D517))+VLOOKUP(INT(D517),Tablas!$G$9:$O$1240,9,0)*(INT(D517)+1-D517))/(VLOOKUP(INT($C$5)+1,Tablas!$G$9:$O$1240,9,0)*($C$5-INT($C$5))+VLOOKUP(INT($C$5),Tablas!$G$9:$O$124,9,0)*(INT($C$5)+1-$C$5)))</f>
      </c>
      <c r="G517" s="791">
        <f>IF($C$4="Hombre",(+VLOOKUP(INT(D517)+1,Tablas!$G$9:$K$1240,5,0)*(D517-INT(D517))+VLOOKUP(INT(D517),Tablas!$G$9:$K$1240,5,0)*(INT(D517)+1-D517)),+VLOOKUP(INT(D517)+1,Tablas!$G$9:$O$1240,9,0)*(D517-INT(D517))+VLOOKUP(INT(D517),Tablas!$G$9:$O$1240,9,0)*(INT(D517)+1-D517))</f>
      </c>
      <c r="H517" s="801">
        <f>+IF(MONTH(B517)=1,H516*(1+$C$9),H516)</f>
      </c>
      <c r="I517" s="791">
        <f>IF(B517&lt;$C$10,0,IF(B517&lt;$C$11,$C$8/12*E517*F517*H517,0))</f>
      </c>
      <c r="J517" s="791">
        <f>I517*12/14+IF(OR(MONTH(C517)=6,MONTH(C517)=12),I517*12/14,0)</f>
      </c>
      <c r="K517" s="801">
        <f>G517/$G$15</f>
      </c>
      <c r="L517" s="760"/>
      <c r="M517" s="767"/>
      <c r="N517" s="168"/>
      <c r="O517" s="768"/>
      <c r="P517" s="170"/>
      <c r="Q517" s="7"/>
      <c r="R517" s="766"/>
      <c r="S517" s="170"/>
      <c r="T517" s="168"/>
      <c r="U517" s="170"/>
    </row>
    <row x14ac:dyDescent="0.25" r="518" customHeight="1" ht="18.75">
      <c r="A518" s="1"/>
      <c r="B518" s="799">
        <f>+DATE(YEAR(B517),MONTH(B517)+1,DAY(B517))</f>
        <v>25569.041666666668</v>
      </c>
      <c r="C518" s="799">
        <f>+B519-1</f>
        <v>25569.041666666668</v>
      </c>
      <c r="D518" s="791">
        <f>-_xlfn.DAYS($C$3,C518)/365.25</f>
      </c>
      <c r="E518" s="800">
        <f>IF($D$17+40&lt;=D518,(1+$D$7)^-(D518-$C$5),(1+$C$7)^-(D518-$C$5))</f>
      </c>
      <c r="F518" s="801">
        <f>IF($C$4="Hombre",(+VLOOKUP(INT(D518)+1,Tablas!$G$9:$K$1240,5,0)*(D518-INT(D518))+VLOOKUP(INT(D518),Tablas!$G$9:$K$1240,5,0)*(INT(D518)+1-D518))/(VLOOKUP(INT($C$5)+1,Tablas!$G$9:$K$1240,5,0)*($C$5-INT($C$5))+VLOOKUP(INT($C$5),Tablas!$G$9:$K$124,5,0)*(INT($C$5)+1-$C$5)),(+VLOOKUP(INT(D518)+1,Tablas!$G$9:$O$1240,9,0)*(D518-INT(D518))+VLOOKUP(INT(D518),Tablas!$G$9:$O$1240,9,0)*(INT(D518)+1-D518))/(VLOOKUP(INT($C$5)+1,Tablas!$G$9:$O$1240,9,0)*($C$5-INT($C$5))+VLOOKUP(INT($C$5),Tablas!$G$9:$O$124,9,0)*(INT($C$5)+1-$C$5)))</f>
      </c>
      <c r="G518" s="791">
        <f>IF($C$4="Hombre",(+VLOOKUP(INT(D518)+1,Tablas!$G$9:$K$1240,5,0)*(D518-INT(D518))+VLOOKUP(INT(D518),Tablas!$G$9:$K$1240,5,0)*(INT(D518)+1-D518)),+VLOOKUP(INT(D518)+1,Tablas!$G$9:$O$1240,9,0)*(D518-INT(D518))+VLOOKUP(INT(D518),Tablas!$G$9:$O$1240,9,0)*(INT(D518)+1-D518))</f>
      </c>
      <c r="H518" s="801">
        <f>+IF(MONTH(B518)=1,H517*(1+$C$9),H517)</f>
      </c>
      <c r="I518" s="791">
        <f>IF(B518&lt;$C$10,0,IF(B518&lt;$C$11,$C$8/12*E518*F518*H518,0))</f>
      </c>
      <c r="J518" s="791">
        <f>I518*12/14+IF(OR(MONTH(C518)=6,MONTH(C518)=12),I518*12/14,0)</f>
      </c>
      <c r="K518" s="801">
        <f>G518/$G$15</f>
      </c>
      <c r="L518" s="760"/>
      <c r="M518" s="767"/>
      <c r="N518" s="168"/>
      <c r="O518" s="768"/>
      <c r="P518" s="170"/>
      <c r="Q518" s="7"/>
      <c r="R518" s="766"/>
      <c r="S518" s="170"/>
      <c r="T518" s="168"/>
      <c r="U518" s="170"/>
    </row>
    <row x14ac:dyDescent="0.25" r="519" customHeight="1" ht="18.75">
      <c r="A519" s="1"/>
      <c r="B519" s="799">
        <f>+DATE(YEAR(B518),MONTH(B518)+1,DAY(B518))</f>
        <v>25569.041666666668</v>
      </c>
      <c r="C519" s="799">
        <f>+B520-1</f>
        <v>25569.041666666668</v>
      </c>
      <c r="D519" s="791">
        <f>-_xlfn.DAYS($C$3,C519)/365.25</f>
      </c>
      <c r="E519" s="800">
        <f>IF($D$17+40&lt;=D519,(1+$D$7)^-(D519-$C$5),(1+$C$7)^-(D519-$C$5))</f>
      </c>
      <c r="F519" s="801">
        <f>IF($C$4="Hombre",(+VLOOKUP(INT(D519)+1,Tablas!$G$9:$K$1240,5,0)*(D519-INT(D519))+VLOOKUP(INT(D519),Tablas!$G$9:$K$1240,5,0)*(INT(D519)+1-D519))/(VLOOKUP(INT($C$5)+1,Tablas!$G$9:$K$1240,5,0)*($C$5-INT($C$5))+VLOOKUP(INT($C$5),Tablas!$G$9:$K$124,5,0)*(INT($C$5)+1-$C$5)),(+VLOOKUP(INT(D519)+1,Tablas!$G$9:$O$1240,9,0)*(D519-INT(D519))+VLOOKUP(INT(D519),Tablas!$G$9:$O$1240,9,0)*(INT(D519)+1-D519))/(VLOOKUP(INT($C$5)+1,Tablas!$G$9:$O$1240,9,0)*($C$5-INT($C$5))+VLOOKUP(INT($C$5),Tablas!$G$9:$O$124,9,0)*(INT($C$5)+1-$C$5)))</f>
      </c>
      <c r="G519" s="791">
        <f>IF($C$4="Hombre",(+VLOOKUP(INT(D519)+1,Tablas!$G$9:$K$1240,5,0)*(D519-INT(D519))+VLOOKUP(INT(D519),Tablas!$G$9:$K$1240,5,0)*(INT(D519)+1-D519)),+VLOOKUP(INT(D519)+1,Tablas!$G$9:$O$1240,9,0)*(D519-INT(D519))+VLOOKUP(INT(D519),Tablas!$G$9:$O$1240,9,0)*(INT(D519)+1-D519))</f>
      </c>
      <c r="H519" s="801">
        <f>+IF(MONTH(B519)=1,H518*(1+$C$9),H518)</f>
      </c>
      <c r="I519" s="791">
        <f>IF(B519&lt;$C$10,0,IF(B519&lt;$C$11,$C$8/12*E519*F519*H519,0))</f>
      </c>
      <c r="J519" s="791">
        <f>I519*12/14+IF(OR(MONTH(C519)=6,MONTH(C519)=12),I519*12/14,0)</f>
      </c>
      <c r="K519" s="801">
        <f>G519/$G$15</f>
      </c>
      <c r="L519" s="760"/>
      <c r="M519" s="767"/>
      <c r="N519" s="168"/>
      <c r="O519" s="768"/>
      <c r="P519" s="170"/>
      <c r="Q519" s="7"/>
      <c r="R519" s="766"/>
      <c r="S519" s="170"/>
      <c r="T519" s="168"/>
      <c r="U519" s="170"/>
    </row>
    <row x14ac:dyDescent="0.25" r="520" customHeight="1" ht="18.75">
      <c r="A520" s="1"/>
      <c r="B520" s="799">
        <f>+DATE(YEAR(B519),MONTH(B519)+1,DAY(B519))</f>
        <v>25569.041666666668</v>
      </c>
      <c r="C520" s="799">
        <f>+B521-1</f>
        <v>25569.041666666668</v>
      </c>
      <c r="D520" s="791">
        <f>-_xlfn.DAYS($C$3,C520)/365.25</f>
      </c>
      <c r="E520" s="800">
        <f>IF($D$17+40&lt;=D520,(1+$D$7)^-(D520-$C$5),(1+$C$7)^-(D520-$C$5))</f>
      </c>
      <c r="F520" s="801">
        <f>IF($C$4="Hombre",(+VLOOKUP(INT(D520)+1,Tablas!$G$9:$K$1240,5,0)*(D520-INT(D520))+VLOOKUP(INT(D520),Tablas!$G$9:$K$1240,5,0)*(INT(D520)+1-D520))/(VLOOKUP(INT($C$5)+1,Tablas!$G$9:$K$1240,5,0)*($C$5-INT($C$5))+VLOOKUP(INT($C$5),Tablas!$G$9:$K$124,5,0)*(INT($C$5)+1-$C$5)),(+VLOOKUP(INT(D520)+1,Tablas!$G$9:$O$1240,9,0)*(D520-INT(D520))+VLOOKUP(INT(D520),Tablas!$G$9:$O$1240,9,0)*(INT(D520)+1-D520))/(VLOOKUP(INT($C$5)+1,Tablas!$G$9:$O$1240,9,0)*($C$5-INT($C$5))+VLOOKUP(INT($C$5),Tablas!$G$9:$O$124,9,0)*(INT($C$5)+1-$C$5)))</f>
      </c>
      <c r="G520" s="791">
        <f>IF($C$4="Hombre",(+VLOOKUP(INT(D520)+1,Tablas!$G$9:$K$1240,5,0)*(D520-INT(D520))+VLOOKUP(INT(D520),Tablas!$G$9:$K$1240,5,0)*(INT(D520)+1-D520)),+VLOOKUP(INT(D520)+1,Tablas!$G$9:$O$1240,9,0)*(D520-INT(D520))+VLOOKUP(INT(D520),Tablas!$G$9:$O$1240,9,0)*(INT(D520)+1-D520))</f>
      </c>
      <c r="H520" s="801">
        <f>+IF(MONTH(B520)=1,H519*(1+$C$9),H519)</f>
      </c>
      <c r="I520" s="791">
        <f>IF(B520&lt;$C$10,0,IF(B520&lt;$C$11,$C$8/12*E520*F520*H520,0))</f>
      </c>
      <c r="J520" s="791">
        <f>I520*12/14+IF(OR(MONTH(C520)=6,MONTH(C520)=12),I520*12/14,0)</f>
      </c>
      <c r="K520" s="801">
        <f>G520/$G$15</f>
      </c>
      <c r="L520" s="760"/>
      <c r="M520" s="767"/>
      <c r="N520" s="168"/>
      <c r="O520" s="768"/>
      <c r="P520" s="170"/>
      <c r="Q520" s="7"/>
      <c r="R520" s="766"/>
      <c r="S520" s="170"/>
      <c r="T520" s="168"/>
      <c r="U520" s="170"/>
    </row>
    <row x14ac:dyDescent="0.25" r="521" customHeight="1" ht="18.75">
      <c r="A521" s="1"/>
      <c r="B521" s="799">
        <f>+DATE(YEAR(B520),MONTH(B520)+1,DAY(B520))</f>
        <v>25569.041666666668</v>
      </c>
      <c r="C521" s="799">
        <f>+B522-1</f>
        <v>25569.041666666668</v>
      </c>
      <c r="D521" s="791">
        <f>-_xlfn.DAYS($C$3,C521)/365.25</f>
      </c>
      <c r="E521" s="800">
        <f>IF($D$17+40&lt;=D521,(1+$D$7)^-(D521-$C$5),(1+$C$7)^-(D521-$C$5))</f>
      </c>
      <c r="F521" s="801">
        <f>IF($C$4="Hombre",(+VLOOKUP(INT(D521)+1,Tablas!$G$9:$K$1240,5,0)*(D521-INT(D521))+VLOOKUP(INT(D521),Tablas!$G$9:$K$1240,5,0)*(INT(D521)+1-D521))/(VLOOKUP(INT($C$5)+1,Tablas!$G$9:$K$1240,5,0)*($C$5-INT($C$5))+VLOOKUP(INT($C$5),Tablas!$G$9:$K$124,5,0)*(INT($C$5)+1-$C$5)),(+VLOOKUP(INT(D521)+1,Tablas!$G$9:$O$1240,9,0)*(D521-INT(D521))+VLOOKUP(INT(D521),Tablas!$G$9:$O$1240,9,0)*(INT(D521)+1-D521))/(VLOOKUP(INT($C$5)+1,Tablas!$G$9:$O$1240,9,0)*($C$5-INT($C$5))+VLOOKUP(INT($C$5),Tablas!$G$9:$O$124,9,0)*(INT($C$5)+1-$C$5)))</f>
      </c>
      <c r="G521" s="791">
        <f>IF($C$4="Hombre",(+VLOOKUP(INT(D521)+1,Tablas!$G$9:$K$1240,5,0)*(D521-INT(D521))+VLOOKUP(INT(D521),Tablas!$G$9:$K$1240,5,0)*(INT(D521)+1-D521)),+VLOOKUP(INT(D521)+1,Tablas!$G$9:$O$1240,9,0)*(D521-INT(D521))+VLOOKUP(INT(D521),Tablas!$G$9:$O$1240,9,0)*(INT(D521)+1-D521))</f>
      </c>
      <c r="H521" s="801">
        <f>+IF(MONTH(B521)=1,H520*(1+$C$9),H520)</f>
      </c>
      <c r="I521" s="791">
        <f>IF(B521&lt;$C$10,0,IF(B521&lt;$C$11,$C$8/12*E521*F521*H521,0))</f>
      </c>
      <c r="J521" s="791">
        <f>I521*12/14+IF(OR(MONTH(C521)=6,MONTH(C521)=12),I521*12/14,0)</f>
      </c>
      <c r="K521" s="801">
        <f>G521/$G$15</f>
      </c>
      <c r="L521" s="760"/>
      <c r="M521" s="767"/>
      <c r="N521" s="168"/>
      <c r="O521" s="768"/>
      <c r="P521" s="170"/>
      <c r="Q521" s="7"/>
      <c r="R521" s="766"/>
      <c r="S521" s="170"/>
      <c r="T521" s="168"/>
      <c r="U521" s="170"/>
    </row>
    <row x14ac:dyDescent="0.25" r="522" customHeight="1" ht="18.75">
      <c r="A522" s="1"/>
      <c r="B522" s="799">
        <f>+DATE(YEAR(B521),MONTH(B521)+1,DAY(B521))</f>
        <v>25569.041666666668</v>
      </c>
      <c r="C522" s="799">
        <f>+B523-1</f>
        <v>25569.041666666668</v>
      </c>
      <c r="D522" s="791">
        <f>-_xlfn.DAYS($C$3,C522)/365.25</f>
      </c>
      <c r="E522" s="800">
        <f>IF($D$17+40&lt;=D522,(1+$D$7)^-(D522-$C$5),(1+$C$7)^-(D522-$C$5))</f>
      </c>
      <c r="F522" s="801">
        <f>IF($C$4="Hombre",(+VLOOKUP(INT(D522)+1,Tablas!$G$9:$K$1240,5,0)*(D522-INT(D522))+VLOOKUP(INT(D522),Tablas!$G$9:$K$1240,5,0)*(INT(D522)+1-D522))/(VLOOKUP(INT($C$5)+1,Tablas!$G$9:$K$1240,5,0)*($C$5-INT($C$5))+VLOOKUP(INT($C$5),Tablas!$G$9:$K$124,5,0)*(INT($C$5)+1-$C$5)),(+VLOOKUP(INT(D522)+1,Tablas!$G$9:$O$1240,9,0)*(D522-INT(D522))+VLOOKUP(INT(D522),Tablas!$G$9:$O$1240,9,0)*(INT(D522)+1-D522))/(VLOOKUP(INT($C$5)+1,Tablas!$G$9:$O$1240,9,0)*($C$5-INT($C$5))+VLOOKUP(INT($C$5),Tablas!$G$9:$O$124,9,0)*(INT($C$5)+1-$C$5)))</f>
      </c>
      <c r="G522" s="791">
        <f>IF($C$4="Hombre",(+VLOOKUP(INT(D522)+1,Tablas!$G$9:$K$1240,5,0)*(D522-INT(D522))+VLOOKUP(INT(D522),Tablas!$G$9:$K$1240,5,0)*(INT(D522)+1-D522)),+VLOOKUP(INT(D522)+1,Tablas!$G$9:$O$1240,9,0)*(D522-INT(D522))+VLOOKUP(INT(D522),Tablas!$G$9:$O$1240,9,0)*(INT(D522)+1-D522))</f>
      </c>
      <c r="H522" s="801">
        <f>+IF(MONTH(B522)=1,H521*(1+$C$9),H521)</f>
      </c>
      <c r="I522" s="791">
        <f>IF(B522&lt;$C$10,0,IF(B522&lt;$C$11,$C$8/12*E522*F522*H522,0))</f>
      </c>
      <c r="J522" s="791">
        <f>I522*12/14+IF(OR(MONTH(C522)=6,MONTH(C522)=12),I522*12/14,0)</f>
      </c>
      <c r="K522" s="801">
        <f>G522/$G$15</f>
      </c>
      <c r="L522" s="760"/>
      <c r="M522" s="767"/>
      <c r="N522" s="168"/>
      <c r="O522" s="768"/>
      <c r="P522" s="170"/>
      <c r="Q522" s="7"/>
      <c r="R522" s="766"/>
      <c r="S522" s="170"/>
      <c r="T522" s="168"/>
      <c r="U522" s="170"/>
    </row>
    <row x14ac:dyDescent="0.25" r="523" customHeight="1" ht="18.75">
      <c r="A523" s="1"/>
      <c r="B523" s="799">
        <f>+DATE(YEAR(B522),MONTH(B522)+1,DAY(B522))</f>
        <v>25569.041666666668</v>
      </c>
      <c r="C523" s="799">
        <f>+B524-1</f>
        <v>25569.041666666668</v>
      </c>
      <c r="D523" s="791">
        <f>-_xlfn.DAYS($C$3,C523)/365.25</f>
      </c>
      <c r="E523" s="800">
        <f>IF($D$17+40&lt;=D523,(1+$D$7)^-(D523-$C$5),(1+$C$7)^-(D523-$C$5))</f>
      </c>
      <c r="F523" s="801">
        <f>IF($C$4="Hombre",(+VLOOKUP(INT(D523)+1,Tablas!$G$9:$K$1240,5,0)*(D523-INT(D523))+VLOOKUP(INT(D523),Tablas!$G$9:$K$1240,5,0)*(INT(D523)+1-D523))/(VLOOKUP(INT($C$5)+1,Tablas!$G$9:$K$1240,5,0)*($C$5-INT($C$5))+VLOOKUP(INT($C$5),Tablas!$G$9:$K$124,5,0)*(INT($C$5)+1-$C$5)),(+VLOOKUP(INT(D523)+1,Tablas!$G$9:$O$1240,9,0)*(D523-INT(D523))+VLOOKUP(INT(D523),Tablas!$G$9:$O$1240,9,0)*(INT(D523)+1-D523))/(VLOOKUP(INT($C$5)+1,Tablas!$G$9:$O$1240,9,0)*($C$5-INT($C$5))+VLOOKUP(INT($C$5),Tablas!$G$9:$O$124,9,0)*(INT($C$5)+1-$C$5)))</f>
      </c>
      <c r="G523" s="791">
        <f>IF($C$4="Hombre",(+VLOOKUP(INT(D523)+1,Tablas!$G$9:$K$1240,5,0)*(D523-INT(D523))+VLOOKUP(INT(D523),Tablas!$G$9:$K$1240,5,0)*(INT(D523)+1-D523)),+VLOOKUP(INT(D523)+1,Tablas!$G$9:$O$1240,9,0)*(D523-INT(D523))+VLOOKUP(INT(D523),Tablas!$G$9:$O$1240,9,0)*(INT(D523)+1-D523))</f>
      </c>
      <c r="H523" s="801">
        <f>+IF(MONTH(B523)=1,H522*(1+$C$9),H522)</f>
      </c>
      <c r="I523" s="791">
        <f>IF(B523&lt;$C$10,0,IF(B523&lt;$C$11,$C$8/12*E523*F523*H523,0))</f>
      </c>
      <c r="J523" s="791">
        <f>I523*12/14+IF(OR(MONTH(C523)=6,MONTH(C523)=12),I523*12/14,0)</f>
      </c>
      <c r="K523" s="801">
        <f>G523/$G$15</f>
      </c>
      <c r="L523" s="760"/>
      <c r="M523" s="767"/>
      <c r="N523" s="168"/>
      <c r="O523" s="768"/>
      <c r="P523" s="170"/>
      <c r="Q523" s="7"/>
      <c r="R523" s="766"/>
      <c r="S523" s="170"/>
      <c r="T523" s="168"/>
      <c r="U523" s="170"/>
    </row>
    <row x14ac:dyDescent="0.25" r="524" customHeight="1" ht="18.75">
      <c r="A524" s="1"/>
      <c r="B524" s="799">
        <f>+DATE(YEAR(B523),MONTH(B523)+1,DAY(B523))</f>
        <v>25569.041666666668</v>
      </c>
      <c r="C524" s="799">
        <f>+B525-1</f>
        <v>25569.041666666668</v>
      </c>
      <c r="D524" s="791">
        <f>-_xlfn.DAYS($C$3,C524)/365.25</f>
      </c>
      <c r="E524" s="800">
        <f>IF($D$17+40&lt;=D524,(1+$D$7)^-(D524-$C$5),(1+$C$7)^-(D524-$C$5))</f>
      </c>
      <c r="F524" s="801">
        <f>IF($C$4="Hombre",(+VLOOKUP(INT(D524)+1,Tablas!$G$9:$K$1240,5,0)*(D524-INT(D524))+VLOOKUP(INT(D524),Tablas!$G$9:$K$1240,5,0)*(INT(D524)+1-D524))/(VLOOKUP(INT($C$5)+1,Tablas!$G$9:$K$1240,5,0)*($C$5-INT($C$5))+VLOOKUP(INT($C$5),Tablas!$G$9:$K$124,5,0)*(INT($C$5)+1-$C$5)),(+VLOOKUP(INT(D524)+1,Tablas!$G$9:$O$1240,9,0)*(D524-INT(D524))+VLOOKUP(INT(D524),Tablas!$G$9:$O$1240,9,0)*(INT(D524)+1-D524))/(VLOOKUP(INT($C$5)+1,Tablas!$G$9:$O$1240,9,0)*($C$5-INT($C$5))+VLOOKUP(INT($C$5),Tablas!$G$9:$O$124,9,0)*(INT($C$5)+1-$C$5)))</f>
      </c>
      <c r="G524" s="791">
        <f>IF($C$4="Hombre",(+VLOOKUP(INT(D524)+1,Tablas!$G$9:$K$1240,5,0)*(D524-INT(D524))+VLOOKUP(INT(D524),Tablas!$G$9:$K$1240,5,0)*(INT(D524)+1-D524)),+VLOOKUP(INT(D524)+1,Tablas!$G$9:$O$1240,9,0)*(D524-INT(D524))+VLOOKUP(INT(D524),Tablas!$G$9:$O$1240,9,0)*(INT(D524)+1-D524))</f>
      </c>
      <c r="H524" s="801">
        <f>+IF(MONTH(B524)=1,H523*(1+$C$9),H523)</f>
      </c>
      <c r="I524" s="791">
        <f>IF(B524&lt;$C$10,0,IF(B524&lt;$C$11,$C$8/12*E524*F524*H524,0))</f>
      </c>
      <c r="J524" s="791">
        <f>I524*12/14+IF(OR(MONTH(C524)=6,MONTH(C524)=12),I524*12/14,0)</f>
      </c>
      <c r="K524" s="801">
        <f>G524/$G$15</f>
      </c>
      <c r="L524" s="760"/>
      <c r="M524" s="767"/>
      <c r="N524" s="168"/>
      <c r="O524" s="768"/>
      <c r="P524" s="170"/>
      <c r="Q524" s="7"/>
      <c r="R524" s="766"/>
      <c r="S524" s="170"/>
      <c r="T524" s="168"/>
      <c r="U524" s="170"/>
    </row>
    <row x14ac:dyDescent="0.25" r="525" customHeight="1" ht="18.75">
      <c r="A525" s="1"/>
      <c r="B525" s="799">
        <f>+DATE(YEAR(B524),MONTH(B524)+1,DAY(B524))</f>
        <v>25569.041666666668</v>
      </c>
      <c r="C525" s="799">
        <f>+B526-1</f>
        <v>25569.041666666668</v>
      </c>
      <c r="D525" s="791">
        <f>-_xlfn.DAYS($C$3,C525)/365.25</f>
      </c>
      <c r="E525" s="800">
        <f>IF($D$17+40&lt;=D525,(1+$D$7)^-(D525-$C$5),(1+$C$7)^-(D525-$C$5))</f>
      </c>
      <c r="F525" s="801">
        <f>IF($C$4="Hombre",(+VLOOKUP(INT(D525)+1,Tablas!$G$9:$K$1240,5,0)*(D525-INT(D525))+VLOOKUP(INT(D525),Tablas!$G$9:$K$1240,5,0)*(INT(D525)+1-D525))/(VLOOKUP(INT($C$5)+1,Tablas!$G$9:$K$1240,5,0)*($C$5-INT($C$5))+VLOOKUP(INT($C$5),Tablas!$G$9:$K$124,5,0)*(INT($C$5)+1-$C$5)),(+VLOOKUP(INT(D525)+1,Tablas!$G$9:$O$1240,9,0)*(D525-INT(D525))+VLOOKUP(INT(D525),Tablas!$G$9:$O$1240,9,0)*(INT(D525)+1-D525))/(VLOOKUP(INT($C$5)+1,Tablas!$G$9:$O$1240,9,0)*($C$5-INT($C$5))+VLOOKUP(INT($C$5),Tablas!$G$9:$O$124,9,0)*(INT($C$5)+1-$C$5)))</f>
      </c>
      <c r="G525" s="791">
        <f>IF($C$4="Hombre",(+VLOOKUP(INT(D525)+1,Tablas!$G$9:$K$1240,5,0)*(D525-INT(D525))+VLOOKUP(INT(D525),Tablas!$G$9:$K$1240,5,0)*(INT(D525)+1-D525)),+VLOOKUP(INT(D525)+1,Tablas!$G$9:$O$1240,9,0)*(D525-INT(D525))+VLOOKUP(INT(D525),Tablas!$G$9:$O$1240,9,0)*(INT(D525)+1-D525))</f>
      </c>
      <c r="H525" s="801">
        <f>+IF(MONTH(B525)=1,H524*(1+$C$9),H524)</f>
      </c>
      <c r="I525" s="791">
        <f>IF(B525&lt;$C$10,0,IF(B525&lt;$C$11,$C$8/12*E525*F525*H525,0))</f>
      </c>
      <c r="J525" s="791">
        <f>I525*12/14+IF(OR(MONTH(C525)=6,MONTH(C525)=12),I525*12/14,0)</f>
      </c>
      <c r="K525" s="801">
        <f>G525/$G$15</f>
      </c>
      <c r="L525" s="760"/>
      <c r="M525" s="767"/>
      <c r="N525" s="168"/>
      <c r="O525" s="768"/>
      <c r="P525" s="170"/>
      <c r="Q525" s="7"/>
      <c r="R525" s="766"/>
      <c r="S525" s="170"/>
      <c r="T525" s="168"/>
      <c r="U525" s="170"/>
    </row>
    <row x14ac:dyDescent="0.25" r="526" customHeight="1" ht="18.75">
      <c r="A526" s="1"/>
      <c r="B526" s="799">
        <f>+DATE(YEAR(B525),MONTH(B525)+1,DAY(B525))</f>
        <v>25569.041666666668</v>
      </c>
      <c r="C526" s="799">
        <f>+B527-1</f>
        <v>25569.041666666668</v>
      </c>
      <c r="D526" s="791">
        <f>-_xlfn.DAYS($C$3,C526)/365.25</f>
      </c>
      <c r="E526" s="800">
        <f>IF($D$17+40&lt;=D526,(1+$D$7)^-(D526-$C$5),(1+$C$7)^-(D526-$C$5))</f>
      </c>
      <c r="F526" s="801">
        <f>IF($C$4="Hombre",(+VLOOKUP(INT(D526)+1,Tablas!$G$9:$K$1240,5,0)*(D526-INT(D526))+VLOOKUP(INT(D526),Tablas!$G$9:$K$1240,5,0)*(INT(D526)+1-D526))/(VLOOKUP(INT($C$5)+1,Tablas!$G$9:$K$1240,5,0)*($C$5-INT($C$5))+VLOOKUP(INT($C$5),Tablas!$G$9:$K$124,5,0)*(INT($C$5)+1-$C$5)),(+VLOOKUP(INT(D526)+1,Tablas!$G$9:$O$1240,9,0)*(D526-INT(D526))+VLOOKUP(INT(D526),Tablas!$G$9:$O$1240,9,0)*(INT(D526)+1-D526))/(VLOOKUP(INT($C$5)+1,Tablas!$G$9:$O$1240,9,0)*($C$5-INT($C$5))+VLOOKUP(INT($C$5),Tablas!$G$9:$O$124,9,0)*(INT($C$5)+1-$C$5)))</f>
      </c>
      <c r="G526" s="791">
        <f>IF($C$4="Hombre",(+VLOOKUP(INT(D526)+1,Tablas!$G$9:$K$1240,5,0)*(D526-INT(D526))+VLOOKUP(INT(D526),Tablas!$G$9:$K$1240,5,0)*(INT(D526)+1-D526)),+VLOOKUP(INT(D526)+1,Tablas!$G$9:$O$1240,9,0)*(D526-INT(D526))+VLOOKUP(INT(D526),Tablas!$G$9:$O$1240,9,0)*(INT(D526)+1-D526))</f>
      </c>
      <c r="H526" s="801">
        <f>+IF(MONTH(B526)=1,H525*(1+$C$9),H525)</f>
      </c>
      <c r="I526" s="791">
        <f>IF(B526&lt;$C$10,0,IF(B526&lt;$C$11,$C$8/12*E526*F526*H526,0))</f>
      </c>
      <c r="J526" s="791">
        <f>I526*12/14+IF(OR(MONTH(C526)=6,MONTH(C526)=12),I526*12/14,0)</f>
      </c>
      <c r="K526" s="801">
        <f>G526/$G$15</f>
      </c>
      <c r="L526" s="760"/>
      <c r="M526" s="767"/>
      <c r="N526" s="168"/>
      <c r="O526" s="768"/>
      <c r="P526" s="170"/>
      <c r="Q526" s="7"/>
      <c r="R526" s="766"/>
      <c r="S526" s="170"/>
      <c r="T526" s="168"/>
      <c r="U526" s="170"/>
    </row>
    <row x14ac:dyDescent="0.25" r="527" customHeight="1" ht="18.75">
      <c r="A527" s="1"/>
      <c r="B527" s="799">
        <f>+DATE(YEAR(B526),MONTH(B526)+1,DAY(B526))</f>
        <v>25569.041666666668</v>
      </c>
      <c r="C527" s="799">
        <f>+B528-1</f>
        <v>25569.041666666668</v>
      </c>
      <c r="D527" s="791">
        <f>-_xlfn.DAYS($C$3,C527)/365.25</f>
      </c>
      <c r="E527" s="800">
        <f>IF($D$17+40&lt;=D527,(1+$D$7)^-(D527-$C$5),(1+$C$7)^-(D527-$C$5))</f>
      </c>
      <c r="F527" s="801">
        <f>IF($C$4="Hombre",(+VLOOKUP(INT(D527)+1,Tablas!$G$9:$K$1240,5,0)*(D527-INT(D527))+VLOOKUP(INT(D527),Tablas!$G$9:$K$1240,5,0)*(INT(D527)+1-D527))/(VLOOKUP(INT($C$5)+1,Tablas!$G$9:$K$1240,5,0)*($C$5-INT($C$5))+VLOOKUP(INT($C$5),Tablas!$G$9:$K$124,5,0)*(INT($C$5)+1-$C$5)),(+VLOOKUP(INT(D527)+1,Tablas!$G$9:$O$1240,9,0)*(D527-INT(D527))+VLOOKUP(INT(D527),Tablas!$G$9:$O$1240,9,0)*(INT(D527)+1-D527))/(VLOOKUP(INT($C$5)+1,Tablas!$G$9:$O$1240,9,0)*($C$5-INT($C$5))+VLOOKUP(INT($C$5),Tablas!$G$9:$O$124,9,0)*(INT($C$5)+1-$C$5)))</f>
      </c>
      <c r="G527" s="791">
        <f>IF($C$4="Hombre",(+VLOOKUP(INT(D527)+1,Tablas!$G$9:$K$1240,5,0)*(D527-INT(D527))+VLOOKUP(INT(D527),Tablas!$G$9:$K$1240,5,0)*(INT(D527)+1-D527)),+VLOOKUP(INT(D527)+1,Tablas!$G$9:$O$1240,9,0)*(D527-INT(D527))+VLOOKUP(INT(D527),Tablas!$G$9:$O$1240,9,0)*(INT(D527)+1-D527))</f>
      </c>
      <c r="H527" s="801">
        <f>+IF(MONTH(B527)=1,H526*(1+$C$9),H526)</f>
      </c>
      <c r="I527" s="791">
        <f>IF(B527&lt;$C$10,0,IF(B527&lt;$C$11,$C$8/12*E527*F527*H527,0))</f>
      </c>
      <c r="J527" s="791">
        <f>I527*12/14+IF(OR(MONTH(C527)=6,MONTH(C527)=12),I527*12/14,0)</f>
      </c>
      <c r="K527" s="801">
        <f>G527/$G$15</f>
      </c>
      <c r="L527" s="760"/>
      <c r="M527" s="767"/>
      <c r="N527" s="168"/>
      <c r="O527" s="768"/>
      <c r="P527" s="170"/>
      <c r="Q527" s="7"/>
      <c r="R527" s="766"/>
      <c r="S527" s="170"/>
      <c r="T527" s="168"/>
      <c r="U527" s="170"/>
    </row>
    <row x14ac:dyDescent="0.25" r="528" customHeight="1" ht="18.75">
      <c r="A528" s="1"/>
      <c r="B528" s="799">
        <f>+DATE(YEAR(B527),MONTH(B527)+1,DAY(B527))</f>
        <v>25569.041666666668</v>
      </c>
      <c r="C528" s="799">
        <f>+B529-1</f>
        <v>25569.041666666668</v>
      </c>
      <c r="D528" s="791">
        <f>-_xlfn.DAYS($C$3,C528)/365.25</f>
      </c>
      <c r="E528" s="800">
        <f>IF($D$17+40&lt;=D528,(1+$D$7)^-(D528-$C$5),(1+$C$7)^-(D528-$C$5))</f>
      </c>
      <c r="F528" s="801">
        <f>IF($C$4="Hombre",(+VLOOKUP(INT(D528)+1,Tablas!$G$9:$K$1240,5,0)*(D528-INT(D528))+VLOOKUP(INT(D528),Tablas!$G$9:$K$1240,5,0)*(INT(D528)+1-D528))/(VLOOKUP(INT($C$5)+1,Tablas!$G$9:$K$1240,5,0)*($C$5-INT($C$5))+VLOOKUP(INT($C$5),Tablas!$G$9:$K$124,5,0)*(INT($C$5)+1-$C$5)),(+VLOOKUP(INT(D528)+1,Tablas!$G$9:$O$1240,9,0)*(D528-INT(D528))+VLOOKUP(INT(D528),Tablas!$G$9:$O$1240,9,0)*(INT(D528)+1-D528))/(VLOOKUP(INT($C$5)+1,Tablas!$G$9:$O$1240,9,0)*($C$5-INT($C$5))+VLOOKUP(INT($C$5),Tablas!$G$9:$O$124,9,0)*(INT($C$5)+1-$C$5)))</f>
      </c>
      <c r="G528" s="791">
        <f>IF($C$4="Hombre",(+VLOOKUP(INT(D528)+1,Tablas!$G$9:$K$1240,5,0)*(D528-INT(D528))+VLOOKUP(INT(D528),Tablas!$G$9:$K$1240,5,0)*(INT(D528)+1-D528)),+VLOOKUP(INT(D528)+1,Tablas!$G$9:$O$1240,9,0)*(D528-INT(D528))+VLOOKUP(INT(D528),Tablas!$G$9:$O$1240,9,0)*(INT(D528)+1-D528))</f>
      </c>
      <c r="H528" s="801">
        <f>+IF(MONTH(B528)=1,H527*(1+$C$9),H527)</f>
      </c>
      <c r="I528" s="791">
        <f>IF(B528&lt;$C$10,0,IF(B528&lt;$C$11,$C$8/12*E528*F528*H528,0))</f>
      </c>
      <c r="J528" s="791">
        <f>I528*12/14+IF(OR(MONTH(C528)=6,MONTH(C528)=12),I528*12/14,0)</f>
      </c>
      <c r="K528" s="801">
        <f>G528/$G$15</f>
      </c>
      <c r="L528" s="760"/>
      <c r="M528" s="767"/>
      <c r="N528" s="168"/>
      <c r="O528" s="768"/>
      <c r="P528" s="170"/>
      <c r="Q528" s="7"/>
      <c r="R528" s="766"/>
      <c r="S528" s="170"/>
      <c r="T528" s="168"/>
      <c r="U528" s="170"/>
    </row>
    <row x14ac:dyDescent="0.25" r="529" customHeight="1" ht="18.75">
      <c r="A529" s="1"/>
      <c r="B529" s="799">
        <f>+DATE(YEAR(B528),MONTH(B528)+1,DAY(B528))</f>
        <v>25569.041666666668</v>
      </c>
      <c r="C529" s="799">
        <f>+B530-1</f>
        <v>25569.041666666668</v>
      </c>
      <c r="D529" s="791">
        <f>-_xlfn.DAYS($C$3,C529)/365.25</f>
      </c>
      <c r="E529" s="800">
        <f>IF($D$17+40&lt;=D529,(1+$D$7)^-(D529-$C$5),(1+$C$7)^-(D529-$C$5))</f>
      </c>
      <c r="F529" s="801">
        <f>IF($C$4="Hombre",(+VLOOKUP(INT(D529)+1,Tablas!$G$9:$K$1240,5,0)*(D529-INT(D529))+VLOOKUP(INT(D529),Tablas!$G$9:$K$1240,5,0)*(INT(D529)+1-D529))/(VLOOKUP(INT($C$5)+1,Tablas!$G$9:$K$1240,5,0)*($C$5-INT($C$5))+VLOOKUP(INT($C$5),Tablas!$G$9:$K$124,5,0)*(INT($C$5)+1-$C$5)),(+VLOOKUP(INT(D529)+1,Tablas!$G$9:$O$1240,9,0)*(D529-INT(D529))+VLOOKUP(INT(D529),Tablas!$G$9:$O$1240,9,0)*(INT(D529)+1-D529))/(VLOOKUP(INT($C$5)+1,Tablas!$G$9:$O$1240,9,0)*($C$5-INT($C$5))+VLOOKUP(INT($C$5),Tablas!$G$9:$O$124,9,0)*(INT($C$5)+1-$C$5)))</f>
      </c>
      <c r="G529" s="791">
        <f>IF($C$4="Hombre",(+VLOOKUP(INT(D529)+1,Tablas!$G$9:$K$1240,5,0)*(D529-INT(D529))+VLOOKUP(INT(D529),Tablas!$G$9:$K$1240,5,0)*(INT(D529)+1-D529)),+VLOOKUP(INT(D529)+1,Tablas!$G$9:$O$1240,9,0)*(D529-INT(D529))+VLOOKUP(INT(D529),Tablas!$G$9:$O$1240,9,0)*(INT(D529)+1-D529))</f>
      </c>
      <c r="H529" s="801">
        <f>+IF(MONTH(B529)=1,H528*(1+$C$9),H528)</f>
      </c>
      <c r="I529" s="791">
        <f>IF(B529&lt;$C$10,0,IF(B529&lt;$C$11,$C$8/12*E529*F529*H529,0))</f>
      </c>
      <c r="J529" s="791">
        <f>I529*12/14+IF(OR(MONTH(C529)=6,MONTH(C529)=12),I529*12/14,0)</f>
      </c>
      <c r="K529" s="801">
        <f>G529/$G$15</f>
      </c>
      <c r="L529" s="760"/>
      <c r="M529" s="767"/>
      <c r="N529" s="168"/>
      <c r="O529" s="768"/>
      <c r="P529" s="170"/>
      <c r="Q529" s="7"/>
      <c r="R529" s="766"/>
      <c r="S529" s="170"/>
      <c r="T529" s="168"/>
      <c r="U529" s="170"/>
    </row>
    <row x14ac:dyDescent="0.25" r="530" customHeight="1" ht="18.75">
      <c r="A530" s="1"/>
      <c r="B530" s="799">
        <f>+DATE(YEAR(B529),MONTH(B529)+1,DAY(B529))</f>
        <v>25569.041666666668</v>
      </c>
      <c r="C530" s="799">
        <f>+B531-1</f>
        <v>25569.041666666668</v>
      </c>
      <c r="D530" s="791">
        <f>-_xlfn.DAYS($C$3,C530)/365.25</f>
      </c>
      <c r="E530" s="800">
        <f>IF($D$17+40&lt;=D530,(1+$D$7)^-(D530-$C$5),(1+$C$7)^-(D530-$C$5))</f>
      </c>
      <c r="F530" s="801">
        <f>IF($C$4="Hombre",(+VLOOKUP(INT(D530)+1,Tablas!$G$9:$K$1240,5,0)*(D530-INT(D530))+VLOOKUP(INT(D530),Tablas!$G$9:$K$1240,5,0)*(INT(D530)+1-D530))/(VLOOKUP(INT($C$5)+1,Tablas!$G$9:$K$1240,5,0)*($C$5-INT($C$5))+VLOOKUP(INT($C$5),Tablas!$G$9:$K$124,5,0)*(INT($C$5)+1-$C$5)),(+VLOOKUP(INT(D530)+1,Tablas!$G$9:$O$1240,9,0)*(D530-INT(D530))+VLOOKUP(INT(D530),Tablas!$G$9:$O$1240,9,0)*(INT(D530)+1-D530))/(VLOOKUP(INT($C$5)+1,Tablas!$G$9:$O$1240,9,0)*($C$5-INT($C$5))+VLOOKUP(INT($C$5),Tablas!$G$9:$O$124,9,0)*(INT($C$5)+1-$C$5)))</f>
      </c>
      <c r="G530" s="791">
        <f>IF($C$4="Hombre",(+VLOOKUP(INT(D530)+1,Tablas!$G$9:$K$1240,5,0)*(D530-INT(D530))+VLOOKUP(INT(D530),Tablas!$G$9:$K$1240,5,0)*(INT(D530)+1-D530)),+VLOOKUP(INT(D530)+1,Tablas!$G$9:$O$1240,9,0)*(D530-INT(D530))+VLOOKUP(INT(D530),Tablas!$G$9:$O$1240,9,0)*(INT(D530)+1-D530))</f>
      </c>
      <c r="H530" s="801">
        <f>+IF(MONTH(B530)=1,H529*(1+$C$9),H529)</f>
      </c>
      <c r="I530" s="791">
        <f>IF(B530&lt;$C$10,0,IF(B530&lt;$C$11,$C$8/12*E530*F530*H530,0))</f>
      </c>
      <c r="J530" s="791">
        <f>I530*12/14+IF(OR(MONTH(C530)=6,MONTH(C530)=12),I530*12/14,0)</f>
      </c>
      <c r="K530" s="801">
        <f>G530/$G$15</f>
      </c>
      <c r="L530" s="760"/>
      <c r="M530" s="767"/>
      <c r="N530" s="168"/>
      <c r="O530" s="768"/>
      <c r="P530" s="170"/>
      <c r="Q530" s="7"/>
      <c r="R530" s="766"/>
      <c r="S530" s="170"/>
      <c r="T530" s="168"/>
      <c r="U530" s="170"/>
    </row>
    <row x14ac:dyDescent="0.25" r="531" customHeight="1" ht="18.75">
      <c r="A531" s="1"/>
      <c r="B531" s="799">
        <f>+DATE(YEAR(B530),MONTH(B530)+1,DAY(B530))</f>
        <v>25569.041666666668</v>
      </c>
      <c r="C531" s="799">
        <f>+B532-1</f>
        <v>25569.041666666668</v>
      </c>
      <c r="D531" s="791">
        <f>-_xlfn.DAYS($C$3,C531)/365.25</f>
      </c>
      <c r="E531" s="800">
        <f>IF($D$17+40&lt;=D531,(1+$D$7)^-(D531-$C$5),(1+$C$7)^-(D531-$C$5))</f>
      </c>
      <c r="F531" s="801">
        <f>IF($C$4="Hombre",(+VLOOKUP(INT(D531)+1,Tablas!$G$9:$K$1240,5,0)*(D531-INT(D531))+VLOOKUP(INT(D531),Tablas!$G$9:$K$1240,5,0)*(INT(D531)+1-D531))/(VLOOKUP(INT($C$5)+1,Tablas!$G$9:$K$1240,5,0)*($C$5-INT($C$5))+VLOOKUP(INT($C$5),Tablas!$G$9:$K$124,5,0)*(INT($C$5)+1-$C$5)),(+VLOOKUP(INT(D531)+1,Tablas!$G$9:$O$1240,9,0)*(D531-INT(D531))+VLOOKUP(INT(D531),Tablas!$G$9:$O$1240,9,0)*(INT(D531)+1-D531))/(VLOOKUP(INT($C$5)+1,Tablas!$G$9:$O$1240,9,0)*($C$5-INT($C$5))+VLOOKUP(INT($C$5),Tablas!$G$9:$O$124,9,0)*(INT($C$5)+1-$C$5)))</f>
      </c>
      <c r="G531" s="791">
        <f>IF($C$4="Hombre",(+VLOOKUP(INT(D531)+1,Tablas!$G$9:$K$1240,5,0)*(D531-INT(D531))+VLOOKUP(INT(D531),Tablas!$G$9:$K$1240,5,0)*(INT(D531)+1-D531)),+VLOOKUP(INT(D531)+1,Tablas!$G$9:$O$1240,9,0)*(D531-INT(D531))+VLOOKUP(INT(D531),Tablas!$G$9:$O$1240,9,0)*(INT(D531)+1-D531))</f>
      </c>
      <c r="H531" s="801">
        <f>+IF(MONTH(B531)=1,H530*(1+$C$9),H530)</f>
      </c>
      <c r="I531" s="791">
        <f>IF(B531&lt;$C$10,0,IF(B531&lt;$C$11,$C$8/12*E531*F531*H531,0))</f>
      </c>
      <c r="J531" s="791">
        <f>I531*12/14+IF(OR(MONTH(C531)=6,MONTH(C531)=12),I531*12/14,0)</f>
      </c>
      <c r="K531" s="801">
        <f>G531/$G$15</f>
      </c>
      <c r="L531" s="760"/>
      <c r="M531" s="767"/>
      <c r="N531" s="168"/>
      <c r="O531" s="768"/>
      <c r="P531" s="170"/>
      <c r="Q531" s="7"/>
      <c r="R531" s="766"/>
      <c r="S531" s="170"/>
      <c r="T531" s="168"/>
      <c r="U531" s="170"/>
    </row>
    <row x14ac:dyDescent="0.25" r="532" customHeight="1" ht="18.75">
      <c r="A532" s="1"/>
      <c r="B532" s="799">
        <f>+DATE(YEAR(B531),MONTH(B531)+1,DAY(B531))</f>
        <v>25569.041666666668</v>
      </c>
      <c r="C532" s="799">
        <f>+B533-1</f>
        <v>25569.041666666668</v>
      </c>
      <c r="D532" s="791">
        <f>-_xlfn.DAYS($C$3,C532)/365.25</f>
      </c>
      <c r="E532" s="800">
        <f>IF($D$17+40&lt;=D532,(1+$D$7)^-(D532-$C$5),(1+$C$7)^-(D532-$C$5))</f>
      </c>
      <c r="F532" s="801">
        <f>IF($C$4="Hombre",(+VLOOKUP(INT(D532)+1,Tablas!$G$9:$K$1240,5,0)*(D532-INT(D532))+VLOOKUP(INT(D532),Tablas!$G$9:$K$1240,5,0)*(INT(D532)+1-D532))/(VLOOKUP(INT($C$5)+1,Tablas!$G$9:$K$1240,5,0)*($C$5-INT($C$5))+VLOOKUP(INT($C$5),Tablas!$G$9:$K$124,5,0)*(INT($C$5)+1-$C$5)),(+VLOOKUP(INT(D532)+1,Tablas!$G$9:$O$1240,9,0)*(D532-INT(D532))+VLOOKUP(INT(D532),Tablas!$G$9:$O$1240,9,0)*(INT(D532)+1-D532))/(VLOOKUP(INT($C$5)+1,Tablas!$G$9:$O$1240,9,0)*($C$5-INT($C$5))+VLOOKUP(INT($C$5),Tablas!$G$9:$O$124,9,0)*(INT($C$5)+1-$C$5)))</f>
      </c>
      <c r="G532" s="791">
        <f>IF($C$4="Hombre",(+VLOOKUP(INT(D532)+1,Tablas!$G$9:$K$1240,5,0)*(D532-INT(D532))+VLOOKUP(INT(D532),Tablas!$G$9:$K$1240,5,0)*(INT(D532)+1-D532)),+VLOOKUP(INT(D532)+1,Tablas!$G$9:$O$1240,9,0)*(D532-INT(D532))+VLOOKUP(INT(D532),Tablas!$G$9:$O$1240,9,0)*(INT(D532)+1-D532))</f>
      </c>
      <c r="H532" s="801">
        <f>+IF(MONTH(B532)=1,H531*(1+$C$9),H531)</f>
      </c>
      <c r="I532" s="791">
        <f>IF(B532&lt;$C$10,0,IF(B532&lt;$C$11,$C$8/12*E532*F532*H532,0))</f>
      </c>
      <c r="J532" s="791">
        <f>I532*12/14+IF(OR(MONTH(C532)=6,MONTH(C532)=12),I532*12/14,0)</f>
      </c>
      <c r="K532" s="801">
        <f>G532/$G$15</f>
      </c>
      <c r="L532" s="760"/>
      <c r="M532" s="767"/>
      <c r="N532" s="168"/>
      <c r="O532" s="768"/>
      <c r="P532" s="170"/>
      <c r="Q532" s="7"/>
      <c r="R532" s="766"/>
      <c r="S532" s="170"/>
      <c r="T532" s="168"/>
      <c r="U532" s="170"/>
    </row>
    <row x14ac:dyDescent="0.25" r="533" customHeight="1" ht="18.75">
      <c r="A533" s="1"/>
      <c r="B533" s="799">
        <f>+DATE(YEAR(B532),MONTH(B532)+1,DAY(B532))</f>
        <v>25569.041666666668</v>
      </c>
      <c r="C533" s="799">
        <f>+B534-1</f>
        <v>25569.041666666668</v>
      </c>
      <c r="D533" s="791">
        <f>-_xlfn.DAYS($C$3,C533)/365.25</f>
      </c>
      <c r="E533" s="800">
        <f>IF($D$17+40&lt;=D533,(1+$D$7)^-(D533-$C$5),(1+$C$7)^-(D533-$C$5))</f>
      </c>
      <c r="F533" s="801">
        <f>IF($C$4="Hombre",(+VLOOKUP(INT(D533)+1,Tablas!$G$9:$K$1240,5,0)*(D533-INT(D533))+VLOOKUP(INT(D533),Tablas!$G$9:$K$1240,5,0)*(INT(D533)+1-D533))/(VLOOKUP(INT($C$5)+1,Tablas!$G$9:$K$1240,5,0)*($C$5-INT($C$5))+VLOOKUP(INT($C$5),Tablas!$G$9:$K$124,5,0)*(INT($C$5)+1-$C$5)),(+VLOOKUP(INT(D533)+1,Tablas!$G$9:$O$1240,9,0)*(D533-INT(D533))+VLOOKUP(INT(D533),Tablas!$G$9:$O$1240,9,0)*(INT(D533)+1-D533))/(VLOOKUP(INT($C$5)+1,Tablas!$G$9:$O$1240,9,0)*($C$5-INT($C$5))+VLOOKUP(INT($C$5),Tablas!$G$9:$O$124,9,0)*(INT($C$5)+1-$C$5)))</f>
      </c>
      <c r="G533" s="791">
        <f>IF($C$4="Hombre",(+VLOOKUP(INT(D533)+1,Tablas!$G$9:$K$1240,5,0)*(D533-INT(D533))+VLOOKUP(INT(D533),Tablas!$G$9:$K$1240,5,0)*(INT(D533)+1-D533)),+VLOOKUP(INT(D533)+1,Tablas!$G$9:$O$1240,9,0)*(D533-INT(D533))+VLOOKUP(INT(D533),Tablas!$G$9:$O$1240,9,0)*(INT(D533)+1-D533))</f>
      </c>
      <c r="H533" s="801">
        <f>+IF(MONTH(B533)=1,H532*(1+$C$9),H532)</f>
      </c>
      <c r="I533" s="791">
        <f>IF(B533&lt;$C$10,0,IF(B533&lt;$C$11,$C$8/12*E533*F533*H533,0))</f>
      </c>
      <c r="J533" s="791">
        <f>I533*12/14+IF(OR(MONTH(C533)=6,MONTH(C533)=12),I533*12/14,0)</f>
      </c>
      <c r="K533" s="801">
        <f>G533/$G$15</f>
      </c>
      <c r="L533" s="760"/>
      <c r="M533" s="767"/>
      <c r="N533" s="168"/>
      <c r="O533" s="768"/>
      <c r="P533" s="170"/>
      <c r="Q533" s="7"/>
      <c r="R533" s="766"/>
      <c r="S533" s="170"/>
      <c r="T533" s="168"/>
      <c r="U533" s="170"/>
    </row>
    <row x14ac:dyDescent="0.25" r="534" customHeight="1" ht="18.75">
      <c r="A534" s="1"/>
      <c r="B534" s="799">
        <f>+DATE(YEAR(B533),MONTH(B533)+1,DAY(B533))</f>
        <v>25569.041666666668</v>
      </c>
      <c r="C534" s="799">
        <f>+B535-1</f>
        <v>25569.041666666668</v>
      </c>
      <c r="D534" s="791">
        <f>-_xlfn.DAYS($C$3,C534)/365.25</f>
      </c>
      <c r="E534" s="800">
        <f>IF($D$17+40&lt;=D534,(1+$D$7)^-(D534-$C$5),(1+$C$7)^-(D534-$C$5))</f>
      </c>
      <c r="F534" s="801">
        <f>IF($C$4="Hombre",(+VLOOKUP(INT(D534)+1,Tablas!$G$9:$K$1240,5,0)*(D534-INT(D534))+VLOOKUP(INT(D534),Tablas!$G$9:$K$1240,5,0)*(INT(D534)+1-D534))/(VLOOKUP(INT($C$5)+1,Tablas!$G$9:$K$1240,5,0)*($C$5-INT($C$5))+VLOOKUP(INT($C$5),Tablas!$G$9:$K$124,5,0)*(INT($C$5)+1-$C$5)),(+VLOOKUP(INT(D534)+1,Tablas!$G$9:$O$1240,9,0)*(D534-INT(D534))+VLOOKUP(INT(D534),Tablas!$G$9:$O$1240,9,0)*(INT(D534)+1-D534))/(VLOOKUP(INT($C$5)+1,Tablas!$G$9:$O$1240,9,0)*($C$5-INT($C$5))+VLOOKUP(INT($C$5),Tablas!$G$9:$O$124,9,0)*(INT($C$5)+1-$C$5)))</f>
      </c>
      <c r="G534" s="791">
        <f>IF($C$4="Hombre",(+VLOOKUP(INT(D534)+1,Tablas!$G$9:$K$1240,5,0)*(D534-INT(D534))+VLOOKUP(INT(D534),Tablas!$G$9:$K$1240,5,0)*(INT(D534)+1-D534)),+VLOOKUP(INT(D534)+1,Tablas!$G$9:$O$1240,9,0)*(D534-INT(D534))+VLOOKUP(INT(D534),Tablas!$G$9:$O$1240,9,0)*(INT(D534)+1-D534))</f>
      </c>
      <c r="H534" s="801">
        <f>+IF(MONTH(B534)=1,H533*(1+$C$9),H533)</f>
      </c>
      <c r="I534" s="791">
        <f>IF(B534&lt;$C$10,0,IF(B534&lt;$C$11,$C$8/12*E534*F534*H534,0))</f>
      </c>
      <c r="J534" s="791">
        <f>I534*12/14+IF(OR(MONTH(C534)=6,MONTH(C534)=12),I534*12/14,0)</f>
      </c>
      <c r="K534" s="801">
        <f>G534/$G$15</f>
      </c>
      <c r="L534" s="760"/>
      <c r="M534" s="767"/>
      <c r="N534" s="168"/>
      <c r="O534" s="768"/>
      <c r="P534" s="170"/>
      <c r="Q534" s="7"/>
      <c r="R534" s="766"/>
      <c r="S534" s="170"/>
      <c r="T534" s="168"/>
      <c r="U534" s="170"/>
    </row>
    <row x14ac:dyDescent="0.25" r="535" customHeight="1" ht="18.75">
      <c r="A535" s="1"/>
      <c r="B535" s="799">
        <f>+DATE(YEAR(B534),MONTH(B534)+1,DAY(B534))</f>
        <v>25569.041666666668</v>
      </c>
      <c r="C535" s="799">
        <f>+B536-1</f>
        <v>25569.041666666668</v>
      </c>
      <c r="D535" s="791">
        <f>-_xlfn.DAYS($C$3,C535)/365.25</f>
      </c>
      <c r="E535" s="800">
        <f>IF($D$17+40&lt;=D535,(1+$D$7)^-(D535-$C$5),(1+$C$7)^-(D535-$C$5))</f>
      </c>
      <c r="F535" s="801">
        <f>IF($C$4="Hombre",(+VLOOKUP(INT(D535)+1,Tablas!$G$9:$K$1240,5,0)*(D535-INT(D535))+VLOOKUP(INT(D535),Tablas!$G$9:$K$1240,5,0)*(INT(D535)+1-D535))/(VLOOKUP(INT($C$5)+1,Tablas!$G$9:$K$1240,5,0)*($C$5-INT($C$5))+VLOOKUP(INT($C$5),Tablas!$G$9:$K$124,5,0)*(INT($C$5)+1-$C$5)),(+VLOOKUP(INT(D535)+1,Tablas!$G$9:$O$1240,9,0)*(D535-INT(D535))+VLOOKUP(INT(D535),Tablas!$G$9:$O$1240,9,0)*(INT(D535)+1-D535))/(VLOOKUP(INT($C$5)+1,Tablas!$G$9:$O$1240,9,0)*($C$5-INT($C$5))+VLOOKUP(INT($C$5),Tablas!$G$9:$O$124,9,0)*(INT($C$5)+1-$C$5)))</f>
      </c>
      <c r="G535" s="791">
        <f>IF($C$4="Hombre",(+VLOOKUP(INT(D535)+1,Tablas!$G$9:$K$1240,5,0)*(D535-INT(D535))+VLOOKUP(INT(D535),Tablas!$G$9:$K$1240,5,0)*(INT(D535)+1-D535)),+VLOOKUP(INT(D535)+1,Tablas!$G$9:$O$1240,9,0)*(D535-INT(D535))+VLOOKUP(INT(D535),Tablas!$G$9:$O$1240,9,0)*(INT(D535)+1-D535))</f>
      </c>
      <c r="H535" s="801">
        <f>+IF(MONTH(B535)=1,H534*(1+$C$9),H534)</f>
      </c>
      <c r="I535" s="791">
        <f>IF(B535&lt;$C$10,0,IF(B535&lt;$C$11,$C$8/12*E535*F535*H535,0))</f>
      </c>
      <c r="J535" s="791">
        <f>I535*12/14+IF(OR(MONTH(C535)=6,MONTH(C535)=12),I535*12/14,0)</f>
      </c>
      <c r="K535" s="801">
        <f>G535/$G$15</f>
      </c>
      <c r="L535" s="760"/>
      <c r="M535" s="767"/>
      <c r="N535" s="168"/>
      <c r="O535" s="768"/>
      <c r="P535" s="170"/>
      <c r="Q535" s="7"/>
      <c r="R535" s="766"/>
      <c r="S535" s="170"/>
      <c r="T535" s="168"/>
      <c r="U535" s="170"/>
    </row>
    <row x14ac:dyDescent="0.25" r="536" customHeight="1" ht="18.75">
      <c r="A536" s="1"/>
      <c r="B536" s="799">
        <f>+DATE(YEAR(B535),MONTH(B535)+1,DAY(B535))</f>
        <v>25569.041666666668</v>
      </c>
      <c r="C536" s="799">
        <f>+B537-1</f>
        <v>25569.041666666668</v>
      </c>
      <c r="D536" s="791">
        <f>-_xlfn.DAYS($C$3,C536)/365.25</f>
      </c>
      <c r="E536" s="800">
        <f>IF($D$17+40&lt;=D536,(1+$D$7)^-(D536-$C$5),(1+$C$7)^-(D536-$C$5))</f>
      </c>
      <c r="F536" s="801">
        <f>IF($C$4="Hombre",(+VLOOKUP(INT(D536)+1,Tablas!$G$9:$K$1240,5,0)*(D536-INT(D536))+VLOOKUP(INT(D536),Tablas!$G$9:$K$1240,5,0)*(INT(D536)+1-D536))/(VLOOKUP(INT($C$5)+1,Tablas!$G$9:$K$1240,5,0)*($C$5-INT($C$5))+VLOOKUP(INT($C$5),Tablas!$G$9:$K$124,5,0)*(INT($C$5)+1-$C$5)),(+VLOOKUP(INT(D536)+1,Tablas!$G$9:$O$1240,9,0)*(D536-INT(D536))+VLOOKUP(INT(D536),Tablas!$G$9:$O$1240,9,0)*(INT(D536)+1-D536))/(VLOOKUP(INT($C$5)+1,Tablas!$G$9:$O$1240,9,0)*($C$5-INT($C$5))+VLOOKUP(INT($C$5),Tablas!$G$9:$O$124,9,0)*(INT($C$5)+1-$C$5)))</f>
      </c>
      <c r="G536" s="791">
        <f>IF($C$4="Hombre",(+VLOOKUP(INT(D536)+1,Tablas!$G$9:$K$1240,5,0)*(D536-INT(D536))+VLOOKUP(INT(D536),Tablas!$G$9:$K$1240,5,0)*(INT(D536)+1-D536)),+VLOOKUP(INT(D536)+1,Tablas!$G$9:$O$1240,9,0)*(D536-INT(D536))+VLOOKUP(INT(D536),Tablas!$G$9:$O$1240,9,0)*(INT(D536)+1-D536))</f>
      </c>
      <c r="H536" s="801">
        <f>+IF(MONTH(B536)=1,H535*(1+$C$9),H535)</f>
      </c>
      <c r="I536" s="791">
        <f>IF(B536&lt;$C$10,0,IF(B536&lt;$C$11,$C$8/12*E536*F536*H536,0))</f>
      </c>
      <c r="J536" s="791">
        <f>I536*12/14+IF(OR(MONTH(C536)=6,MONTH(C536)=12),I536*12/14,0)</f>
      </c>
      <c r="K536" s="801">
        <f>G536/$G$15</f>
      </c>
      <c r="L536" s="760"/>
      <c r="M536" s="767"/>
      <c r="N536" s="168"/>
      <c r="O536" s="768"/>
      <c r="P536" s="170"/>
      <c r="Q536" s="7"/>
      <c r="R536" s="766"/>
      <c r="S536" s="170"/>
      <c r="T536" s="168"/>
      <c r="U536" s="170"/>
    </row>
    <row x14ac:dyDescent="0.25" r="537" customHeight="1" ht="18.75">
      <c r="A537" s="1"/>
      <c r="B537" s="799">
        <f>+DATE(YEAR(B536),MONTH(B536)+1,DAY(B536))</f>
        <v>25569.041666666668</v>
      </c>
      <c r="C537" s="799">
        <f>+B538-1</f>
        <v>25569.041666666668</v>
      </c>
      <c r="D537" s="791">
        <f>-_xlfn.DAYS($C$3,C537)/365.25</f>
      </c>
      <c r="E537" s="800">
        <f>IF($D$17+40&lt;=D537,(1+$D$7)^-(D537-$C$5),(1+$C$7)^-(D537-$C$5))</f>
      </c>
      <c r="F537" s="801">
        <f>IF($C$4="Hombre",(+VLOOKUP(INT(D537)+1,Tablas!$G$9:$K$1240,5,0)*(D537-INT(D537))+VLOOKUP(INT(D537),Tablas!$G$9:$K$1240,5,0)*(INT(D537)+1-D537))/(VLOOKUP(INT($C$5)+1,Tablas!$G$9:$K$1240,5,0)*($C$5-INT($C$5))+VLOOKUP(INT($C$5),Tablas!$G$9:$K$124,5,0)*(INT($C$5)+1-$C$5)),(+VLOOKUP(INT(D537)+1,Tablas!$G$9:$O$1240,9,0)*(D537-INT(D537))+VLOOKUP(INT(D537),Tablas!$G$9:$O$1240,9,0)*(INT(D537)+1-D537))/(VLOOKUP(INT($C$5)+1,Tablas!$G$9:$O$1240,9,0)*($C$5-INT($C$5))+VLOOKUP(INT($C$5),Tablas!$G$9:$O$124,9,0)*(INT($C$5)+1-$C$5)))</f>
      </c>
      <c r="G537" s="791">
        <f>IF($C$4="Hombre",(+VLOOKUP(INT(D537)+1,Tablas!$G$9:$K$1240,5,0)*(D537-INT(D537))+VLOOKUP(INT(D537),Tablas!$G$9:$K$1240,5,0)*(INT(D537)+1-D537)),+VLOOKUP(INT(D537)+1,Tablas!$G$9:$O$1240,9,0)*(D537-INT(D537))+VLOOKUP(INT(D537),Tablas!$G$9:$O$1240,9,0)*(INT(D537)+1-D537))</f>
      </c>
      <c r="H537" s="801">
        <f>+IF(MONTH(B537)=1,H536*(1+$C$9),H536)</f>
      </c>
      <c r="I537" s="791">
        <f>IF(B537&lt;$C$10,0,IF(B537&lt;$C$11,$C$8/12*E537*F537*H537,0))</f>
      </c>
      <c r="J537" s="791">
        <f>I537*12/14+IF(OR(MONTH(C537)=6,MONTH(C537)=12),I537*12/14,0)</f>
      </c>
      <c r="K537" s="801">
        <f>G537/$G$15</f>
      </c>
      <c r="L537" s="760"/>
      <c r="M537" s="767"/>
      <c r="N537" s="168"/>
      <c r="O537" s="768"/>
      <c r="P537" s="170"/>
      <c r="Q537" s="7"/>
      <c r="R537" s="766"/>
      <c r="S537" s="170"/>
      <c r="T537" s="168"/>
      <c r="U537" s="170"/>
    </row>
    <row x14ac:dyDescent="0.25" r="538" customHeight="1" ht="18.75">
      <c r="A538" s="1"/>
      <c r="B538" s="799">
        <f>+DATE(YEAR(B537),MONTH(B537)+1,DAY(B537))</f>
        <v>25569.041666666668</v>
      </c>
      <c r="C538" s="799">
        <f>+B539-1</f>
        <v>25569.041666666668</v>
      </c>
      <c r="D538" s="791">
        <f>-_xlfn.DAYS($C$3,C538)/365.25</f>
      </c>
      <c r="E538" s="800">
        <f>IF($D$17+40&lt;=D538,(1+$D$7)^-(D538-$C$5),(1+$C$7)^-(D538-$C$5))</f>
      </c>
      <c r="F538" s="801">
        <f>IF($C$4="Hombre",(+VLOOKUP(INT(D538)+1,Tablas!$G$9:$K$1240,5,0)*(D538-INT(D538))+VLOOKUP(INT(D538),Tablas!$G$9:$K$1240,5,0)*(INT(D538)+1-D538))/(VLOOKUP(INT($C$5)+1,Tablas!$G$9:$K$1240,5,0)*($C$5-INT($C$5))+VLOOKUP(INT($C$5),Tablas!$G$9:$K$124,5,0)*(INT($C$5)+1-$C$5)),(+VLOOKUP(INT(D538)+1,Tablas!$G$9:$O$1240,9,0)*(D538-INT(D538))+VLOOKUP(INT(D538),Tablas!$G$9:$O$1240,9,0)*(INT(D538)+1-D538))/(VLOOKUP(INT($C$5)+1,Tablas!$G$9:$O$1240,9,0)*($C$5-INT($C$5))+VLOOKUP(INT($C$5),Tablas!$G$9:$O$124,9,0)*(INT($C$5)+1-$C$5)))</f>
      </c>
      <c r="G538" s="791">
        <f>IF($C$4="Hombre",(+VLOOKUP(INT(D538)+1,Tablas!$G$9:$K$1240,5,0)*(D538-INT(D538))+VLOOKUP(INT(D538),Tablas!$G$9:$K$1240,5,0)*(INT(D538)+1-D538)),+VLOOKUP(INT(D538)+1,Tablas!$G$9:$O$1240,9,0)*(D538-INT(D538))+VLOOKUP(INT(D538),Tablas!$G$9:$O$1240,9,0)*(INT(D538)+1-D538))</f>
      </c>
      <c r="H538" s="801">
        <f>+IF(MONTH(B538)=1,H537*(1+$C$9),H537)</f>
      </c>
      <c r="I538" s="791">
        <f>IF(B538&lt;$C$10,0,IF(B538&lt;$C$11,$C$8/12*E538*F538*H538,0))</f>
      </c>
      <c r="J538" s="791">
        <f>I538*12/14+IF(OR(MONTH(C538)=6,MONTH(C538)=12),I538*12/14,0)</f>
      </c>
      <c r="K538" s="801">
        <f>G538/$G$15</f>
      </c>
      <c r="L538" s="760"/>
      <c r="M538" s="767"/>
      <c r="N538" s="168"/>
      <c r="O538" s="768"/>
      <c r="P538" s="170"/>
      <c r="Q538" s="7"/>
      <c r="R538" s="766"/>
      <c r="S538" s="170"/>
      <c r="T538" s="168"/>
      <c r="U538" s="170"/>
    </row>
    <row x14ac:dyDescent="0.25" r="539" customHeight="1" ht="18.75">
      <c r="A539" s="1"/>
      <c r="B539" s="799">
        <f>+DATE(YEAR(B538),MONTH(B538)+1,DAY(B538))</f>
        <v>25569.041666666668</v>
      </c>
      <c r="C539" s="799">
        <f>+B540-1</f>
        <v>25569.041666666668</v>
      </c>
      <c r="D539" s="791">
        <f>-_xlfn.DAYS($C$3,C539)/365.25</f>
      </c>
      <c r="E539" s="800">
        <f>IF($D$17+40&lt;=D539,(1+$D$7)^-(D539-$C$5),(1+$C$7)^-(D539-$C$5))</f>
      </c>
      <c r="F539" s="801">
        <f>IF($C$4="Hombre",(+VLOOKUP(INT(D539)+1,Tablas!$G$9:$K$1240,5,0)*(D539-INT(D539))+VLOOKUP(INT(D539),Tablas!$G$9:$K$1240,5,0)*(INT(D539)+1-D539))/(VLOOKUP(INT($C$5)+1,Tablas!$G$9:$K$1240,5,0)*($C$5-INT($C$5))+VLOOKUP(INT($C$5),Tablas!$G$9:$K$124,5,0)*(INT($C$5)+1-$C$5)),(+VLOOKUP(INT(D539)+1,Tablas!$G$9:$O$1240,9,0)*(D539-INT(D539))+VLOOKUP(INT(D539),Tablas!$G$9:$O$1240,9,0)*(INT(D539)+1-D539))/(VLOOKUP(INT($C$5)+1,Tablas!$G$9:$O$1240,9,0)*($C$5-INT($C$5))+VLOOKUP(INT($C$5),Tablas!$G$9:$O$124,9,0)*(INT($C$5)+1-$C$5)))</f>
      </c>
      <c r="G539" s="791">
        <f>IF($C$4="Hombre",(+VLOOKUP(INT(D539)+1,Tablas!$G$9:$K$1240,5,0)*(D539-INT(D539))+VLOOKUP(INT(D539),Tablas!$G$9:$K$1240,5,0)*(INT(D539)+1-D539)),+VLOOKUP(INT(D539)+1,Tablas!$G$9:$O$1240,9,0)*(D539-INT(D539))+VLOOKUP(INT(D539),Tablas!$G$9:$O$1240,9,0)*(INT(D539)+1-D539))</f>
      </c>
      <c r="H539" s="801">
        <f>+IF(MONTH(B539)=1,H538*(1+$C$9),H538)</f>
      </c>
      <c r="I539" s="791">
        <f>IF(B539&lt;$C$10,0,IF(B539&lt;$C$11,$C$8/12*E539*F539*H539,0))</f>
      </c>
      <c r="J539" s="791">
        <f>I539*12/14+IF(OR(MONTH(C539)=6,MONTH(C539)=12),I539*12/14,0)</f>
      </c>
      <c r="K539" s="801">
        <f>G539/$G$15</f>
      </c>
      <c r="L539" s="760"/>
      <c r="M539" s="767"/>
      <c r="N539" s="168"/>
      <c r="O539" s="768"/>
      <c r="P539" s="170"/>
      <c r="Q539" s="7"/>
      <c r="R539" s="766"/>
      <c r="S539" s="170"/>
      <c r="T539" s="168"/>
      <c r="U539" s="170"/>
    </row>
    <row x14ac:dyDescent="0.25" r="540" customHeight="1" ht="18.75">
      <c r="A540" s="1"/>
      <c r="B540" s="799">
        <f>+DATE(YEAR(B539),MONTH(B539)+1,DAY(B539))</f>
        <v>25569.041666666668</v>
      </c>
      <c r="C540" s="799">
        <f>+B541-1</f>
        <v>25569.041666666668</v>
      </c>
      <c r="D540" s="791">
        <f>-_xlfn.DAYS($C$3,C540)/365.25</f>
      </c>
      <c r="E540" s="800">
        <f>IF($D$17+40&lt;=D540,(1+$D$7)^-(D540-$C$5),(1+$C$7)^-(D540-$C$5))</f>
      </c>
      <c r="F540" s="801">
        <f>IF($C$4="Hombre",(+VLOOKUP(INT(D540)+1,Tablas!$G$9:$K$1240,5,0)*(D540-INT(D540))+VLOOKUP(INT(D540),Tablas!$G$9:$K$1240,5,0)*(INT(D540)+1-D540))/(VLOOKUP(INT($C$5)+1,Tablas!$G$9:$K$1240,5,0)*($C$5-INT($C$5))+VLOOKUP(INT($C$5),Tablas!$G$9:$K$124,5,0)*(INT($C$5)+1-$C$5)),(+VLOOKUP(INT(D540)+1,Tablas!$G$9:$O$1240,9,0)*(D540-INT(D540))+VLOOKUP(INT(D540),Tablas!$G$9:$O$1240,9,0)*(INT(D540)+1-D540))/(VLOOKUP(INT($C$5)+1,Tablas!$G$9:$O$1240,9,0)*($C$5-INT($C$5))+VLOOKUP(INT($C$5),Tablas!$G$9:$O$124,9,0)*(INT($C$5)+1-$C$5)))</f>
      </c>
      <c r="G540" s="791">
        <f>IF($C$4="Hombre",(+VLOOKUP(INT(D540)+1,Tablas!$G$9:$K$1240,5,0)*(D540-INT(D540))+VLOOKUP(INT(D540),Tablas!$G$9:$K$1240,5,0)*(INT(D540)+1-D540)),+VLOOKUP(INT(D540)+1,Tablas!$G$9:$O$1240,9,0)*(D540-INT(D540))+VLOOKUP(INT(D540),Tablas!$G$9:$O$1240,9,0)*(INT(D540)+1-D540))</f>
      </c>
      <c r="H540" s="801">
        <f>+IF(MONTH(B540)=1,H539*(1+$C$9),H539)</f>
      </c>
      <c r="I540" s="791">
        <f>IF(B540&lt;$C$10,0,IF(B540&lt;$C$11,$C$8/12*E540*F540*H540,0))</f>
      </c>
      <c r="J540" s="791">
        <f>I540*12/14+IF(OR(MONTH(C540)=6,MONTH(C540)=12),I540*12/14,0)</f>
      </c>
      <c r="K540" s="801">
        <f>G540/$G$15</f>
      </c>
      <c r="L540" s="760"/>
      <c r="M540" s="767"/>
      <c r="N540" s="168"/>
      <c r="O540" s="768"/>
      <c r="P540" s="170"/>
      <c r="Q540" s="7"/>
      <c r="R540" s="766"/>
      <c r="S540" s="170"/>
      <c r="T540" s="168"/>
      <c r="U540" s="170"/>
    </row>
    <row x14ac:dyDescent="0.25" r="541" customHeight="1" ht="18.75">
      <c r="A541" s="1"/>
      <c r="B541" s="799">
        <f>+DATE(YEAR(B540),MONTH(B540)+1,DAY(B540))</f>
        <v>25569.041666666668</v>
      </c>
      <c r="C541" s="799">
        <f>+B542-1</f>
        <v>25569.041666666668</v>
      </c>
      <c r="D541" s="791">
        <f>-_xlfn.DAYS($C$3,C541)/365.25</f>
      </c>
      <c r="E541" s="800">
        <f>IF($D$17+40&lt;=D541,(1+$D$7)^-(D541-$C$5),(1+$C$7)^-(D541-$C$5))</f>
      </c>
      <c r="F541" s="801">
        <f>IF($C$4="Hombre",(+VLOOKUP(INT(D541)+1,Tablas!$G$9:$K$1240,5,0)*(D541-INT(D541))+VLOOKUP(INT(D541),Tablas!$G$9:$K$1240,5,0)*(INT(D541)+1-D541))/(VLOOKUP(INT($C$5)+1,Tablas!$G$9:$K$1240,5,0)*($C$5-INT($C$5))+VLOOKUP(INT($C$5),Tablas!$G$9:$K$124,5,0)*(INT($C$5)+1-$C$5)),(+VLOOKUP(INT(D541)+1,Tablas!$G$9:$O$1240,9,0)*(D541-INT(D541))+VLOOKUP(INT(D541),Tablas!$G$9:$O$1240,9,0)*(INT(D541)+1-D541))/(VLOOKUP(INT($C$5)+1,Tablas!$G$9:$O$1240,9,0)*($C$5-INT($C$5))+VLOOKUP(INT($C$5),Tablas!$G$9:$O$124,9,0)*(INT($C$5)+1-$C$5)))</f>
      </c>
      <c r="G541" s="791">
        <f>IF($C$4="Hombre",(+VLOOKUP(INT(D541)+1,Tablas!$G$9:$K$1240,5,0)*(D541-INT(D541))+VLOOKUP(INT(D541),Tablas!$G$9:$K$1240,5,0)*(INT(D541)+1-D541)),+VLOOKUP(INT(D541)+1,Tablas!$G$9:$O$1240,9,0)*(D541-INT(D541))+VLOOKUP(INT(D541),Tablas!$G$9:$O$1240,9,0)*(INT(D541)+1-D541))</f>
      </c>
      <c r="H541" s="801">
        <f>+IF(MONTH(B541)=1,H540*(1+$C$9),H540)</f>
      </c>
      <c r="I541" s="791">
        <f>IF(B541&lt;$C$10,0,IF(B541&lt;$C$11,$C$8/12*E541*F541*H541,0))</f>
      </c>
      <c r="J541" s="791">
        <f>I541*12/14+IF(OR(MONTH(C541)=6,MONTH(C541)=12),I541*12/14,0)</f>
      </c>
      <c r="K541" s="801">
        <f>G541/$G$15</f>
      </c>
      <c r="L541" s="760"/>
      <c r="M541" s="767"/>
      <c r="N541" s="168"/>
      <c r="O541" s="768"/>
      <c r="P541" s="170"/>
      <c r="Q541" s="7"/>
      <c r="R541" s="766"/>
      <c r="S541" s="170"/>
      <c r="T541" s="168"/>
      <c r="U541" s="170"/>
    </row>
    <row x14ac:dyDescent="0.25" r="542" customHeight="1" ht="18.75">
      <c r="A542" s="1"/>
      <c r="B542" s="799">
        <f>+DATE(YEAR(B541),MONTH(B541)+1,DAY(B541))</f>
        <v>25569.041666666668</v>
      </c>
      <c r="C542" s="799">
        <f>+B543-1</f>
        <v>25569.041666666668</v>
      </c>
      <c r="D542" s="791">
        <f>-_xlfn.DAYS($C$3,C542)/365.25</f>
      </c>
      <c r="E542" s="800">
        <f>IF($D$17+40&lt;=D542,(1+$D$7)^-(D542-$C$5),(1+$C$7)^-(D542-$C$5))</f>
      </c>
      <c r="F542" s="801">
        <f>IF($C$4="Hombre",(+VLOOKUP(INT(D542)+1,Tablas!$G$9:$K$1240,5,0)*(D542-INT(D542))+VLOOKUP(INT(D542),Tablas!$G$9:$K$1240,5,0)*(INT(D542)+1-D542))/(VLOOKUP(INT($C$5)+1,Tablas!$G$9:$K$1240,5,0)*($C$5-INT($C$5))+VLOOKUP(INT($C$5),Tablas!$G$9:$K$124,5,0)*(INT($C$5)+1-$C$5)),(+VLOOKUP(INT(D542)+1,Tablas!$G$9:$O$1240,9,0)*(D542-INT(D542))+VLOOKUP(INT(D542),Tablas!$G$9:$O$1240,9,0)*(INT(D542)+1-D542))/(VLOOKUP(INT($C$5)+1,Tablas!$G$9:$O$1240,9,0)*($C$5-INT($C$5))+VLOOKUP(INT($C$5),Tablas!$G$9:$O$124,9,0)*(INT($C$5)+1-$C$5)))</f>
      </c>
      <c r="G542" s="791">
        <f>IF($C$4="Hombre",(+VLOOKUP(INT(D542)+1,Tablas!$G$9:$K$1240,5,0)*(D542-INT(D542))+VLOOKUP(INT(D542),Tablas!$G$9:$K$1240,5,0)*(INT(D542)+1-D542)),+VLOOKUP(INT(D542)+1,Tablas!$G$9:$O$1240,9,0)*(D542-INT(D542))+VLOOKUP(INT(D542),Tablas!$G$9:$O$1240,9,0)*(INT(D542)+1-D542))</f>
      </c>
      <c r="H542" s="801">
        <f>+IF(MONTH(B542)=1,H541*(1+$C$9),H541)</f>
      </c>
      <c r="I542" s="791">
        <f>IF(B542&lt;$C$10,0,IF(B542&lt;$C$11,$C$8/12*E542*F542*H542,0))</f>
      </c>
      <c r="J542" s="791">
        <f>I542*12/14+IF(OR(MONTH(C542)=6,MONTH(C542)=12),I542*12/14,0)</f>
      </c>
      <c r="K542" s="801">
        <f>G542/$G$15</f>
      </c>
      <c r="L542" s="760"/>
      <c r="M542" s="767"/>
      <c r="N542" s="168"/>
      <c r="O542" s="768"/>
      <c r="P542" s="170"/>
      <c r="Q542" s="7"/>
      <c r="R542" s="766"/>
      <c r="S542" s="170"/>
      <c r="T542" s="168"/>
      <c r="U542" s="170"/>
    </row>
    <row x14ac:dyDescent="0.25" r="543" customHeight="1" ht="18.75">
      <c r="A543" s="1"/>
      <c r="B543" s="799">
        <f>+DATE(YEAR(B542),MONTH(B542)+1,DAY(B542))</f>
        <v>25569.041666666668</v>
      </c>
      <c r="C543" s="799">
        <f>+B544-1</f>
        <v>25569.041666666668</v>
      </c>
      <c r="D543" s="791">
        <f>-_xlfn.DAYS($C$3,C543)/365.25</f>
      </c>
      <c r="E543" s="800">
        <f>IF($D$17+40&lt;=D543,(1+$D$7)^-(D543-$C$5),(1+$C$7)^-(D543-$C$5))</f>
      </c>
      <c r="F543" s="801">
        <f>IF($C$4="Hombre",(+VLOOKUP(INT(D543)+1,Tablas!$G$9:$K$1240,5,0)*(D543-INT(D543))+VLOOKUP(INT(D543),Tablas!$G$9:$K$1240,5,0)*(INT(D543)+1-D543))/(VLOOKUP(INT($C$5)+1,Tablas!$G$9:$K$1240,5,0)*($C$5-INT($C$5))+VLOOKUP(INT($C$5),Tablas!$G$9:$K$124,5,0)*(INT($C$5)+1-$C$5)),(+VLOOKUP(INT(D543)+1,Tablas!$G$9:$O$1240,9,0)*(D543-INT(D543))+VLOOKUP(INT(D543),Tablas!$G$9:$O$1240,9,0)*(INT(D543)+1-D543))/(VLOOKUP(INT($C$5)+1,Tablas!$G$9:$O$1240,9,0)*($C$5-INT($C$5))+VLOOKUP(INT($C$5),Tablas!$G$9:$O$124,9,0)*(INT($C$5)+1-$C$5)))</f>
      </c>
      <c r="G543" s="791">
        <f>IF($C$4="Hombre",(+VLOOKUP(INT(D543)+1,Tablas!$G$9:$K$1240,5,0)*(D543-INT(D543))+VLOOKUP(INT(D543),Tablas!$G$9:$K$1240,5,0)*(INT(D543)+1-D543)),+VLOOKUP(INT(D543)+1,Tablas!$G$9:$O$1240,9,0)*(D543-INT(D543))+VLOOKUP(INT(D543),Tablas!$G$9:$O$1240,9,0)*(INT(D543)+1-D543))</f>
      </c>
      <c r="H543" s="801">
        <f>+IF(MONTH(B543)=1,H542*(1+$C$9),H542)</f>
      </c>
      <c r="I543" s="791">
        <f>IF(B543&lt;$C$10,0,IF(B543&lt;$C$11,$C$8/12*E543*F543*H543,0))</f>
      </c>
      <c r="J543" s="791">
        <f>I543*12/14+IF(OR(MONTH(C543)=6,MONTH(C543)=12),I543*12/14,0)</f>
      </c>
      <c r="K543" s="801">
        <f>G543/$G$15</f>
      </c>
      <c r="L543" s="760"/>
      <c r="M543" s="767"/>
      <c r="N543" s="168"/>
      <c r="O543" s="768"/>
      <c r="P543" s="170"/>
      <c r="Q543" s="7"/>
      <c r="R543" s="766"/>
      <c r="S543" s="170"/>
      <c r="T543" s="168"/>
      <c r="U543" s="170"/>
    </row>
    <row x14ac:dyDescent="0.25" r="544" customHeight="1" ht="18.75">
      <c r="A544" s="1"/>
      <c r="B544" s="799">
        <f>+DATE(YEAR(B543),MONTH(B543)+1,DAY(B543))</f>
        <v>25569.041666666668</v>
      </c>
      <c r="C544" s="799">
        <f>+B545-1</f>
        <v>25569.041666666668</v>
      </c>
      <c r="D544" s="791">
        <f>-_xlfn.DAYS($C$3,C544)/365.25</f>
      </c>
      <c r="E544" s="800">
        <f>IF($D$17+40&lt;=D544,(1+$D$7)^-(D544-$C$5),(1+$C$7)^-(D544-$C$5))</f>
      </c>
      <c r="F544" s="801">
        <f>IF($C$4="Hombre",(+VLOOKUP(INT(D544)+1,Tablas!$G$9:$K$1240,5,0)*(D544-INT(D544))+VLOOKUP(INT(D544),Tablas!$G$9:$K$1240,5,0)*(INT(D544)+1-D544))/(VLOOKUP(INT($C$5)+1,Tablas!$G$9:$K$1240,5,0)*($C$5-INT($C$5))+VLOOKUP(INT($C$5),Tablas!$G$9:$K$124,5,0)*(INT($C$5)+1-$C$5)),(+VLOOKUP(INT(D544)+1,Tablas!$G$9:$O$1240,9,0)*(D544-INT(D544))+VLOOKUP(INT(D544),Tablas!$G$9:$O$1240,9,0)*(INT(D544)+1-D544))/(VLOOKUP(INT($C$5)+1,Tablas!$G$9:$O$1240,9,0)*($C$5-INT($C$5))+VLOOKUP(INT($C$5),Tablas!$G$9:$O$124,9,0)*(INT($C$5)+1-$C$5)))</f>
      </c>
      <c r="G544" s="791">
        <f>IF($C$4="Hombre",(+VLOOKUP(INT(D544)+1,Tablas!$G$9:$K$1240,5,0)*(D544-INT(D544))+VLOOKUP(INT(D544),Tablas!$G$9:$K$1240,5,0)*(INT(D544)+1-D544)),+VLOOKUP(INT(D544)+1,Tablas!$G$9:$O$1240,9,0)*(D544-INT(D544))+VLOOKUP(INT(D544),Tablas!$G$9:$O$1240,9,0)*(INT(D544)+1-D544))</f>
      </c>
      <c r="H544" s="801">
        <f>+IF(MONTH(B544)=1,H543*(1+$C$9),H543)</f>
      </c>
      <c r="I544" s="791">
        <f>IF(B544&lt;$C$10,0,IF(B544&lt;$C$11,$C$8/12*E544*F544*H544,0))</f>
      </c>
      <c r="J544" s="791">
        <f>I544*12/14+IF(OR(MONTH(C544)=6,MONTH(C544)=12),I544*12/14,0)</f>
      </c>
      <c r="K544" s="801">
        <f>G544/$G$15</f>
      </c>
      <c r="L544" s="760"/>
      <c r="M544" s="767"/>
      <c r="N544" s="168"/>
      <c r="O544" s="768"/>
      <c r="P544" s="170"/>
      <c r="Q544" s="7"/>
      <c r="R544" s="766"/>
      <c r="S544" s="170"/>
      <c r="T544" s="168"/>
      <c r="U544" s="170"/>
    </row>
    <row x14ac:dyDescent="0.25" r="545" customHeight="1" ht="18.75">
      <c r="A545" s="1"/>
      <c r="B545" s="799">
        <f>+DATE(YEAR(B544),MONTH(B544)+1,DAY(B544))</f>
        <v>25569.041666666668</v>
      </c>
      <c r="C545" s="799">
        <f>+B546-1</f>
        <v>25569.041666666668</v>
      </c>
      <c r="D545" s="791">
        <f>-_xlfn.DAYS($C$3,C545)/365.25</f>
      </c>
      <c r="E545" s="800">
        <f>IF($D$17+40&lt;=D545,(1+$D$7)^-(D545-$C$5),(1+$C$7)^-(D545-$C$5))</f>
      </c>
      <c r="F545" s="801">
        <f>IF($C$4="Hombre",(+VLOOKUP(INT(D545)+1,Tablas!$G$9:$K$1240,5,0)*(D545-INT(D545))+VLOOKUP(INT(D545),Tablas!$G$9:$K$1240,5,0)*(INT(D545)+1-D545))/(VLOOKUP(INT($C$5)+1,Tablas!$G$9:$K$1240,5,0)*($C$5-INT($C$5))+VLOOKUP(INT($C$5),Tablas!$G$9:$K$124,5,0)*(INT($C$5)+1-$C$5)),(+VLOOKUP(INT(D545)+1,Tablas!$G$9:$O$1240,9,0)*(D545-INT(D545))+VLOOKUP(INT(D545),Tablas!$G$9:$O$1240,9,0)*(INT(D545)+1-D545))/(VLOOKUP(INT($C$5)+1,Tablas!$G$9:$O$1240,9,0)*($C$5-INT($C$5))+VLOOKUP(INT($C$5),Tablas!$G$9:$O$124,9,0)*(INT($C$5)+1-$C$5)))</f>
      </c>
      <c r="G545" s="791">
        <f>IF($C$4="Hombre",(+VLOOKUP(INT(D545)+1,Tablas!$G$9:$K$1240,5,0)*(D545-INT(D545))+VLOOKUP(INT(D545),Tablas!$G$9:$K$1240,5,0)*(INT(D545)+1-D545)),+VLOOKUP(INT(D545)+1,Tablas!$G$9:$O$1240,9,0)*(D545-INT(D545))+VLOOKUP(INT(D545),Tablas!$G$9:$O$1240,9,0)*(INT(D545)+1-D545))</f>
      </c>
      <c r="H545" s="801">
        <f>+IF(MONTH(B545)=1,H544*(1+$C$9),H544)</f>
      </c>
      <c r="I545" s="791">
        <f>IF(B545&lt;$C$10,0,IF(B545&lt;$C$11,$C$8/12*E545*F545*H545,0))</f>
      </c>
      <c r="J545" s="791">
        <f>I545*12/14+IF(OR(MONTH(C545)=6,MONTH(C545)=12),I545*12/14,0)</f>
      </c>
      <c r="K545" s="801">
        <f>G545/$G$15</f>
      </c>
      <c r="L545" s="760"/>
      <c r="M545" s="767"/>
      <c r="N545" s="168"/>
      <c r="O545" s="768"/>
      <c r="P545" s="170"/>
      <c r="Q545" s="7"/>
      <c r="R545" s="766"/>
      <c r="S545" s="170"/>
      <c r="T545" s="168"/>
      <c r="U545" s="170"/>
    </row>
    <row x14ac:dyDescent="0.25" r="546" customHeight="1" ht="18.75">
      <c r="A546" s="1"/>
      <c r="B546" s="799">
        <f>+DATE(YEAR(B545),MONTH(B545)+1,DAY(B545))</f>
        <v>25569.041666666668</v>
      </c>
      <c r="C546" s="799">
        <f>+B547-1</f>
        <v>25569.041666666668</v>
      </c>
      <c r="D546" s="791">
        <f>-_xlfn.DAYS($C$3,C546)/365.25</f>
      </c>
      <c r="E546" s="800">
        <f>IF($D$17+40&lt;=D546,(1+$D$7)^-(D546-$C$5),(1+$C$7)^-(D546-$C$5))</f>
      </c>
      <c r="F546" s="801">
        <f>IF($C$4="Hombre",(+VLOOKUP(INT(D546)+1,Tablas!$G$9:$K$1240,5,0)*(D546-INT(D546))+VLOOKUP(INT(D546),Tablas!$G$9:$K$1240,5,0)*(INT(D546)+1-D546))/(VLOOKUP(INT($C$5)+1,Tablas!$G$9:$K$1240,5,0)*($C$5-INT($C$5))+VLOOKUP(INT($C$5),Tablas!$G$9:$K$124,5,0)*(INT($C$5)+1-$C$5)),(+VLOOKUP(INT(D546)+1,Tablas!$G$9:$O$1240,9,0)*(D546-INT(D546))+VLOOKUP(INT(D546),Tablas!$G$9:$O$1240,9,0)*(INT(D546)+1-D546))/(VLOOKUP(INT($C$5)+1,Tablas!$G$9:$O$1240,9,0)*($C$5-INT($C$5))+VLOOKUP(INT($C$5),Tablas!$G$9:$O$124,9,0)*(INT($C$5)+1-$C$5)))</f>
      </c>
      <c r="G546" s="791">
        <f>IF($C$4="Hombre",(+VLOOKUP(INT(D546)+1,Tablas!$G$9:$K$1240,5,0)*(D546-INT(D546))+VLOOKUP(INT(D546),Tablas!$G$9:$K$1240,5,0)*(INT(D546)+1-D546)),+VLOOKUP(INT(D546)+1,Tablas!$G$9:$O$1240,9,0)*(D546-INT(D546))+VLOOKUP(INT(D546),Tablas!$G$9:$O$1240,9,0)*(INT(D546)+1-D546))</f>
      </c>
      <c r="H546" s="801">
        <f>+IF(MONTH(B546)=1,H545*(1+$C$9),H545)</f>
      </c>
      <c r="I546" s="791">
        <f>IF(B546&lt;$C$10,0,IF(B546&lt;$C$11,$C$8/12*E546*F546*H546,0))</f>
      </c>
      <c r="J546" s="791">
        <f>I546*12/14+IF(OR(MONTH(C546)=6,MONTH(C546)=12),I546*12/14,0)</f>
      </c>
      <c r="K546" s="801">
        <f>G546/$G$15</f>
      </c>
      <c r="L546" s="760"/>
      <c r="M546" s="767"/>
      <c r="N546" s="168"/>
      <c r="O546" s="768"/>
      <c r="P546" s="170"/>
      <c r="Q546" s="7"/>
      <c r="R546" s="766"/>
      <c r="S546" s="170"/>
      <c r="T546" s="168"/>
      <c r="U546" s="170"/>
    </row>
    <row x14ac:dyDescent="0.25" r="547" customHeight="1" ht="18.75">
      <c r="A547" s="1"/>
      <c r="B547" s="799">
        <f>+DATE(YEAR(B546),MONTH(B546)+1,DAY(B546))</f>
        <v>25569.041666666668</v>
      </c>
      <c r="C547" s="799">
        <f>+B548-1</f>
        <v>25569.041666666668</v>
      </c>
      <c r="D547" s="791">
        <f>-_xlfn.DAYS($C$3,C547)/365.25</f>
      </c>
      <c r="E547" s="800">
        <f>IF($D$17+40&lt;=D547,(1+$D$7)^-(D547-$C$5),(1+$C$7)^-(D547-$C$5))</f>
      </c>
      <c r="F547" s="801">
        <f>IF($C$4="Hombre",(+VLOOKUP(INT(D547)+1,Tablas!$G$9:$K$1240,5,0)*(D547-INT(D547))+VLOOKUP(INT(D547),Tablas!$G$9:$K$1240,5,0)*(INT(D547)+1-D547))/(VLOOKUP(INT($C$5)+1,Tablas!$G$9:$K$1240,5,0)*($C$5-INT($C$5))+VLOOKUP(INT($C$5),Tablas!$G$9:$K$124,5,0)*(INT($C$5)+1-$C$5)),(+VLOOKUP(INT(D547)+1,Tablas!$G$9:$O$1240,9,0)*(D547-INT(D547))+VLOOKUP(INT(D547),Tablas!$G$9:$O$1240,9,0)*(INT(D547)+1-D547))/(VLOOKUP(INT($C$5)+1,Tablas!$G$9:$O$1240,9,0)*($C$5-INT($C$5))+VLOOKUP(INT($C$5),Tablas!$G$9:$O$124,9,0)*(INT($C$5)+1-$C$5)))</f>
      </c>
      <c r="G547" s="791">
        <f>IF($C$4="Hombre",(+VLOOKUP(INT(D547)+1,Tablas!$G$9:$K$1240,5,0)*(D547-INT(D547))+VLOOKUP(INT(D547),Tablas!$G$9:$K$1240,5,0)*(INT(D547)+1-D547)),+VLOOKUP(INT(D547)+1,Tablas!$G$9:$O$1240,9,0)*(D547-INT(D547))+VLOOKUP(INT(D547),Tablas!$G$9:$O$1240,9,0)*(INT(D547)+1-D547))</f>
      </c>
      <c r="H547" s="801">
        <f>+IF(MONTH(B547)=1,H546*(1+$C$9),H546)</f>
      </c>
      <c r="I547" s="791">
        <f>IF(B547&lt;$C$10,0,IF(B547&lt;$C$11,$C$8/12*E547*F547*H547,0))</f>
      </c>
      <c r="J547" s="791">
        <f>I547*12/14+IF(OR(MONTH(C547)=6,MONTH(C547)=12),I547*12/14,0)</f>
      </c>
      <c r="K547" s="801">
        <f>G547/$G$15</f>
      </c>
      <c r="L547" s="760"/>
      <c r="M547" s="767"/>
      <c r="N547" s="168"/>
      <c r="O547" s="768"/>
      <c r="P547" s="170"/>
      <c r="Q547" s="7"/>
      <c r="R547" s="766"/>
      <c r="S547" s="170"/>
      <c r="T547" s="168"/>
      <c r="U547" s="170"/>
    </row>
    <row x14ac:dyDescent="0.25" r="548" customHeight="1" ht="18.75">
      <c r="A548" s="1"/>
      <c r="B548" s="799">
        <f>+DATE(YEAR(B547),MONTH(B547)+1,DAY(B547))</f>
        <v>25569.041666666668</v>
      </c>
      <c r="C548" s="799">
        <f>+B549-1</f>
        <v>25569.041666666668</v>
      </c>
      <c r="D548" s="791">
        <f>-_xlfn.DAYS($C$3,C548)/365.25</f>
      </c>
      <c r="E548" s="800">
        <f>IF($D$17+40&lt;=D548,(1+$D$7)^-(D548-$C$5),(1+$C$7)^-(D548-$C$5))</f>
      </c>
      <c r="F548" s="801">
        <f>IF($C$4="Hombre",(+VLOOKUP(INT(D548)+1,Tablas!$G$9:$K$1240,5,0)*(D548-INT(D548))+VLOOKUP(INT(D548),Tablas!$G$9:$K$1240,5,0)*(INT(D548)+1-D548))/(VLOOKUP(INT($C$5)+1,Tablas!$G$9:$K$1240,5,0)*($C$5-INT($C$5))+VLOOKUP(INT($C$5),Tablas!$G$9:$K$124,5,0)*(INT($C$5)+1-$C$5)),(+VLOOKUP(INT(D548)+1,Tablas!$G$9:$O$1240,9,0)*(D548-INT(D548))+VLOOKUP(INT(D548),Tablas!$G$9:$O$1240,9,0)*(INT(D548)+1-D548))/(VLOOKUP(INT($C$5)+1,Tablas!$G$9:$O$1240,9,0)*($C$5-INT($C$5))+VLOOKUP(INT($C$5),Tablas!$G$9:$O$124,9,0)*(INT($C$5)+1-$C$5)))</f>
      </c>
      <c r="G548" s="791">
        <f>IF($C$4="Hombre",(+VLOOKUP(INT(D548)+1,Tablas!$G$9:$K$1240,5,0)*(D548-INT(D548))+VLOOKUP(INT(D548),Tablas!$G$9:$K$1240,5,0)*(INT(D548)+1-D548)),+VLOOKUP(INT(D548)+1,Tablas!$G$9:$O$1240,9,0)*(D548-INT(D548))+VLOOKUP(INT(D548),Tablas!$G$9:$O$1240,9,0)*(INT(D548)+1-D548))</f>
      </c>
      <c r="H548" s="801">
        <f>+IF(MONTH(B548)=1,H547*(1+$C$9),H547)</f>
      </c>
      <c r="I548" s="791">
        <f>IF(B548&lt;$C$10,0,IF(B548&lt;$C$11,$C$8/12*E548*F548*H548,0))</f>
      </c>
      <c r="J548" s="791">
        <f>I548*12/14+IF(OR(MONTH(C548)=6,MONTH(C548)=12),I548*12/14,0)</f>
      </c>
      <c r="K548" s="801">
        <f>G548/$G$15</f>
      </c>
      <c r="L548" s="760"/>
      <c r="M548" s="767"/>
      <c r="N548" s="168"/>
      <c r="O548" s="768"/>
      <c r="P548" s="170"/>
      <c r="Q548" s="7"/>
      <c r="R548" s="766"/>
      <c r="S548" s="170"/>
      <c r="T548" s="168"/>
      <c r="U548" s="170"/>
    </row>
    <row x14ac:dyDescent="0.25" r="549" customHeight="1" ht="18.75">
      <c r="A549" s="1"/>
      <c r="B549" s="799">
        <f>+DATE(YEAR(B548),MONTH(B548)+1,DAY(B548))</f>
        <v>25569.041666666668</v>
      </c>
      <c r="C549" s="799">
        <f>+B550-1</f>
        <v>25569.041666666668</v>
      </c>
      <c r="D549" s="791">
        <f>-_xlfn.DAYS($C$3,C549)/365.25</f>
      </c>
      <c r="E549" s="800">
        <f>IF($D$17+40&lt;=D549,(1+$D$7)^-(D549-$C$5),(1+$C$7)^-(D549-$C$5))</f>
      </c>
      <c r="F549" s="801">
        <f>IF($C$4="Hombre",(+VLOOKUP(INT(D549)+1,Tablas!$G$9:$K$1240,5,0)*(D549-INT(D549))+VLOOKUP(INT(D549),Tablas!$G$9:$K$1240,5,0)*(INT(D549)+1-D549))/(VLOOKUP(INT($C$5)+1,Tablas!$G$9:$K$1240,5,0)*($C$5-INT($C$5))+VLOOKUP(INT($C$5),Tablas!$G$9:$K$124,5,0)*(INT($C$5)+1-$C$5)),(+VLOOKUP(INT(D549)+1,Tablas!$G$9:$O$1240,9,0)*(D549-INT(D549))+VLOOKUP(INT(D549),Tablas!$G$9:$O$1240,9,0)*(INT(D549)+1-D549))/(VLOOKUP(INT($C$5)+1,Tablas!$G$9:$O$1240,9,0)*($C$5-INT($C$5))+VLOOKUP(INT($C$5),Tablas!$G$9:$O$124,9,0)*(INT($C$5)+1-$C$5)))</f>
      </c>
      <c r="G549" s="791">
        <f>IF($C$4="Hombre",(+VLOOKUP(INT(D549)+1,Tablas!$G$9:$K$1240,5,0)*(D549-INT(D549))+VLOOKUP(INT(D549),Tablas!$G$9:$K$1240,5,0)*(INT(D549)+1-D549)),+VLOOKUP(INT(D549)+1,Tablas!$G$9:$O$1240,9,0)*(D549-INT(D549))+VLOOKUP(INT(D549),Tablas!$G$9:$O$1240,9,0)*(INT(D549)+1-D549))</f>
      </c>
      <c r="H549" s="801">
        <f>+IF(MONTH(B549)=1,H548*(1+$C$9),H548)</f>
      </c>
      <c r="I549" s="791">
        <f>IF(B549&lt;$C$10,0,IF(B549&lt;$C$11,$C$8/12*E549*F549*H549,0))</f>
      </c>
      <c r="J549" s="791">
        <f>I549*12/14+IF(OR(MONTH(C549)=6,MONTH(C549)=12),I549*12/14,0)</f>
      </c>
      <c r="K549" s="801">
        <f>G549/$G$15</f>
      </c>
      <c r="L549" s="760"/>
      <c r="M549" s="767"/>
      <c r="N549" s="168"/>
      <c r="O549" s="768"/>
      <c r="P549" s="170"/>
      <c r="Q549" s="7"/>
      <c r="R549" s="766"/>
      <c r="S549" s="170"/>
      <c r="T549" s="168"/>
      <c r="U549" s="170"/>
    </row>
    <row x14ac:dyDescent="0.25" r="550" customHeight="1" ht="18.75">
      <c r="A550" s="1"/>
      <c r="B550" s="799">
        <f>+DATE(YEAR(B549),MONTH(B549)+1,DAY(B549))</f>
        <v>25569.041666666668</v>
      </c>
      <c r="C550" s="799">
        <f>+B551-1</f>
        <v>25569.041666666668</v>
      </c>
      <c r="D550" s="791">
        <f>-_xlfn.DAYS($C$3,C550)/365.25</f>
      </c>
      <c r="E550" s="800">
        <f>IF($D$17+40&lt;=D550,(1+$D$7)^-(D550-$C$5),(1+$C$7)^-(D550-$C$5))</f>
      </c>
      <c r="F550" s="801">
        <f>IF($C$4="Hombre",(+VLOOKUP(INT(D550)+1,Tablas!$G$9:$K$1240,5,0)*(D550-INT(D550))+VLOOKUP(INT(D550),Tablas!$G$9:$K$1240,5,0)*(INT(D550)+1-D550))/(VLOOKUP(INT($C$5)+1,Tablas!$G$9:$K$1240,5,0)*($C$5-INT($C$5))+VLOOKUP(INT($C$5),Tablas!$G$9:$K$124,5,0)*(INT($C$5)+1-$C$5)),(+VLOOKUP(INT(D550)+1,Tablas!$G$9:$O$1240,9,0)*(D550-INT(D550))+VLOOKUP(INT(D550),Tablas!$G$9:$O$1240,9,0)*(INT(D550)+1-D550))/(VLOOKUP(INT($C$5)+1,Tablas!$G$9:$O$1240,9,0)*($C$5-INT($C$5))+VLOOKUP(INT($C$5),Tablas!$G$9:$O$124,9,0)*(INT($C$5)+1-$C$5)))</f>
      </c>
      <c r="G550" s="791">
        <f>IF($C$4="Hombre",(+VLOOKUP(INT(D550)+1,Tablas!$G$9:$K$1240,5,0)*(D550-INT(D550))+VLOOKUP(INT(D550),Tablas!$G$9:$K$1240,5,0)*(INT(D550)+1-D550)),+VLOOKUP(INT(D550)+1,Tablas!$G$9:$O$1240,9,0)*(D550-INT(D550))+VLOOKUP(INT(D550),Tablas!$G$9:$O$1240,9,0)*(INT(D550)+1-D550))</f>
      </c>
      <c r="H550" s="801">
        <f>+IF(MONTH(B550)=1,H549*(1+$C$9),H549)</f>
      </c>
      <c r="I550" s="791">
        <f>IF(B550&lt;$C$10,0,IF(B550&lt;$C$11,$C$8/12*E550*F550*H550,0))</f>
      </c>
      <c r="J550" s="791">
        <f>I550*12/14+IF(OR(MONTH(C550)=6,MONTH(C550)=12),I550*12/14,0)</f>
      </c>
      <c r="K550" s="801">
        <f>G550/$G$15</f>
      </c>
      <c r="L550" s="760"/>
      <c r="M550" s="767"/>
      <c r="N550" s="168"/>
      <c r="O550" s="768"/>
      <c r="P550" s="170"/>
      <c r="Q550" s="7"/>
      <c r="R550" s="766"/>
      <c r="S550" s="170"/>
      <c r="T550" s="168"/>
      <c r="U550" s="170"/>
    </row>
    <row x14ac:dyDescent="0.25" r="551" customHeight="1" ht="18.75">
      <c r="A551" s="1"/>
      <c r="B551" s="799">
        <f>+DATE(YEAR(B550),MONTH(B550)+1,DAY(B550))</f>
        <v>25569.041666666668</v>
      </c>
      <c r="C551" s="799">
        <f>+B552-1</f>
        <v>25569.041666666668</v>
      </c>
      <c r="D551" s="791">
        <f>-_xlfn.DAYS($C$3,C551)/365.25</f>
      </c>
      <c r="E551" s="800">
        <f>IF($D$17+40&lt;=D551,(1+$D$7)^-(D551-$C$5),(1+$C$7)^-(D551-$C$5))</f>
      </c>
      <c r="F551" s="801">
        <f>IF($C$4="Hombre",(+VLOOKUP(INT(D551)+1,Tablas!$G$9:$K$1240,5,0)*(D551-INT(D551))+VLOOKUP(INT(D551),Tablas!$G$9:$K$1240,5,0)*(INT(D551)+1-D551))/(VLOOKUP(INT($C$5)+1,Tablas!$G$9:$K$1240,5,0)*($C$5-INT($C$5))+VLOOKUP(INT($C$5),Tablas!$G$9:$K$124,5,0)*(INT($C$5)+1-$C$5)),(+VLOOKUP(INT(D551)+1,Tablas!$G$9:$O$1240,9,0)*(D551-INT(D551))+VLOOKUP(INT(D551),Tablas!$G$9:$O$1240,9,0)*(INT(D551)+1-D551))/(VLOOKUP(INT($C$5)+1,Tablas!$G$9:$O$1240,9,0)*($C$5-INT($C$5))+VLOOKUP(INT($C$5),Tablas!$G$9:$O$124,9,0)*(INT($C$5)+1-$C$5)))</f>
      </c>
      <c r="G551" s="791">
        <f>IF($C$4="Hombre",(+VLOOKUP(INT(D551)+1,Tablas!$G$9:$K$1240,5,0)*(D551-INT(D551))+VLOOKUP(INT(D551),Tablas!$G$9:$K$1240,5,0)*(INT(D551)+1-D551)),+VLOOKUP(INT(D551)+1,Tablas!$G$9:$O$1240,9,0)*(D551-INT(D551))+VLOOKUP(INT(D551),Tablas!$G$9:$O$1240,9,0)*(INT(D551)+1-D551))</f>
      </c>
      <c r="H551" s="801">
        <f>+IF(MONTH(B551)=1,H550*(1+$C$9),H550)</f>
      </c>
      <c r="I551" s="791">
        <f>IF(B551&lt;$C$10,0,IF(B551&lt;$C$11,$C$8/12*E551*F551*H551,0))</f>
      </c>
      <c r="J551" s="791">
        <f>I551*12/14+IF(OR(MONTH(C551)=6,MONTH(C551)=12),I551*12/14,0)</f>
      </c>
      <c r="K551" s="801">
        <f>G551/$G$15</f>
      </c>
      <c r="L551" s="760"/>
      <c r="M551" s="767"/>
      <c r="N551" s="168"/>
      <c r="O551" s="768"/>
      <c r="P551" s="170"/>
      <c r="Q551" s="7"/>
      <c r="R551" s="766"/>
      <c r="S551" s="170"/>
      <c r="T551" s="168"/>
      <c r="U551" s="170"/>
    </row>
    <row x14ac:dyDescent="0.25" r="552" customHeight="1" ht="18.75">
      <c r="A552" s="1"/>
      <c r="B552" s="799">
        <f>+DATE(YEAR(B551),MONTH(B551)+1,DAY(B551))</f>
        <v>25569.041666666668</v>
      </c>
      <c r="C552" s="799">
        <f>+B553-1</f>
        <v>25569.041666666668</v>
      </c>
      <c r="D552" s="791">
        <f>-_xlfn.DAYS($C$3,C552)/365.25</f>
      </c>
      <c r="E552" s="800">
        <f>IF($D$17+40&lt;=D552,(1+$D$7)^-(D552-$C$5),(1+$C$7)^-(D552-$C$5))</f>
      </c>
      <c r="F552" s="801">
        <f>IF($C$4="Hombre",(+VLOOKUP(INT(D552)+1,Tablas!$G$9:$K$1240,5,0)*(D552-INT(D552))+VLOOKUP(INT(D552),Tablas!$G$9:$K$1240,5,0)*(INT(D552)+1-D552))/(VLOOKUP(INT($C$5)+1,Tablas!$G$9:$K$1240,5,0)*($C$5-INT($C$5))+VLOOKUP(INT($C$5),Tablas!$G$9:$K$124,5,0)*(INT($C$5)+1-$C$5)),(+VLOOKUP(INT(D552)+1,Tablas!$G$9:$O$1240,9,0)*(D552-INT(D552))+VLOOKUP(INT(D552),Tablas!$G$9:$O$1240,9,0)*(INT(D552)+1-D552))/(VLOOKUP(INT($C$5)+1,Tablas!$G$9:$O$1240,9,0)*($C$5-INT($C$5))+VLOOKUP(INT($C$5),Tablas!$G$9:$O$124,9,0)*(INT($C$5)+1-$C$5)))</f>
      </c>
      <c r="G552" s="791">
        <f>IF($C$4="Hombre",(+VLOOKUP(INT(D552)+1,Tablas!$G$9:$K$1240,5,0)*(D552-INT(D552))+VLOOKUP(INT(D552),Tablas!$G$9:$K$1240,5,0)*(INT(D552)+1-D552)),+VLOOKUP(INT(D552)+1,Tablas!$G$9:$O$1240,9,0)*(D552-INT(D552))+VLOOKUP(INT(D552),Tablas!$G$9:$O$1240,9,0)*(INT(D552)+1-D552))</f>
      </c>
      <c r="H552" s="801">
        <f>+IF(MONTH(B552)=1,H551*(1+$C$9),H551)</f>
      </c>
      <c r="I552" s="791">
        <f>IF(B552&lt;$C$10,0,IF(B552&lt;$C$11,$C$8/12*E552*F552*H552,0))</f>
      </c>
      <c r="J552" s="791">
        <f>I552*12/14+IF(OR(MONTH(C552)=6,MONTH(C552)=12),I552*12/14,0)</f>
      </c>
      <c r="K552" s="801">
        <f>G552/$G$15</f>
      </c>
      <c r="L552" s="760"/>
      <c r="M552" s="767"/>
      <c r="N552" s="168"/>
      <c r="O552" s="768"/>
      <c r="P552" s="170"/>
      <c r="Q552" s="7"/>
      <c r="R552" s="766"/>
      <c r="S552" s="170"/>
      <c r="T552" s="168"/>
      <c r="U552" s="170"/>
    </row>
    <row x14ac:dyDescent="0.25" r="553" customHeight="1" ht="18.75">
      <c r="A553" s="1"/>
      <c r="B553" s="799">
        <f>+DATE(YEAR(B552),MONTH(B552)+1,DAY(B552))</f>
        <v>25569.041666666668</v>
      </c>
      <c r="C553" s="799">
        <f>+B554-1</f>
        <v>25569.041666666668</v>
      </c>
      <c r="D553" s="791">
        <f>-_xlfn.DAYS($C$3,C553)/365.25</f>
      </c>
      <c r="E553" s="800">
        <f>IF($D$17+40&lt;=D553,(1+$D$7)^-(D553-$C$5),(1+$C$7)^-(D553-$C$5))</f>
      </c>
      <c r="F553" s="801">
        <f>IF($C$4="Hombre",(+VLOOKUP(INT(D553)+1,Tablas!$G$9:$K$1240,5,0)*(D553-INT(D553))+VLOOKUP(INT(D553),Tablas!$G$9:$K$1240,5,0)*(INT(D553)+1-D553))/(VLOOKUP(INT($C$5)+1,Tablas!$G$9:$K$1240,5,0)*($C$5-INT($C$5))+VLOOKUP(INT($C$5),Tablas!$G$9:$K$124,5,0)*(INT($C$5)+1-$C$5)),(+VLOOKUP(INT(D553)+1,Tablas!$G$9:$O$1240,9,0)*(D553-INT(D553))+VLOOKUP(INT(D553),Tablas!$G$9:$O$1240,9,0)*(INT(D553)+1-D553))/(VLOOKUP(INT($C$5)+1,Tablas!$G$9:$O$1240,9,0)*($C$5-INT($C$5))+VLOOKUP(INT($C$5),Tablas!$G$9:$O$124,9,0)*(INT($C$5)+1-$C$5)))</f>
      </c>
      <c r="G553" s="791">
        <f>IF($C$4="Hombre",(+VLOOKUP(INT(D553)+1,Tablas!$G$9:$K$1240,5,0)*(D553-INT(D553))+VLOOKUP(INT(D553),Tablas!$G$9:$K$1240,5,0)*(INT(D553)+1-D553)),+VLOOKUP(INT(D553)+1,Tablas!$G$9:$O$1240,9,0)*(D553-INT(D553))+VLOOKUP(INT(D553),Tablas!$G$9:$O$1240,9,0)*(INT(D553)+1-D553))</f>
      </c>
      <c r="H553" s="801">
        <f>+IF(MONTH(B553)=1,H552*(1+$C$9),H552)</f>
      </c>
      <c r="I553" s="791">
        <f>IF(B553&lt;$C$10,0,IF(B553&lt;$C$11,$C$8/12*E553*F553*H553,0))</f>
      </c>
      <c r="J553" s="791">
        <f>I553*12/14+IF(OR(MONTH(C553)=6,MONTH(C553)=12),I553*12/14,0)</f>
      </c>
      <c r="K553" s="801">
        <f>G553/$G$15</f>
      </c>
      <c r="L553" s="760"/>
      <c r="M553" s="767"/>
      <c r="N553" s="168"/>
      <c r="O553" s="768"/>
      <c r="P553" s="170"/>
      <c r="Q553" s="7"/>
      <c r="R553" s="766"/>
      <c r="S553" s="170"/>
      <c r="T553" s="168"/>
      <c r="U553" s="170"/>
    </row>
    <row x14ac:dyDescent="0.25" r="554" customHeight="1" ht="18.75">
      <c r="A554" s="1"/>
      <c r="B554" s="799">
        <f>+DATE(YEAR(B553),MONTH(B553)+1,DAY(B553))</f>
        <v>25569.041666666668</v>
      </c>
      <c r="C554" s="799">
        <f>+B555-1</f>
        <v>25569.041666666668</v>
      </c>
      <c r="D554" s="791">
        <f>-_xlfn.DAYS($C$3,C554)/365.25</f>
      </c>
      <c r="E554" s="800">
        <f>IF($D$17+40&lt;=D554,(1+$D$7)^-(D554-$C$5),(1+$C$7)^-(D554-$C$5))</f>
      </c>
      <c r="F554" s="801">
        <f>IF($C$4="Hombre",(+VLOOKUP(INT(D554)+1,Tablas!$G$9:$K$1240,5,0)*(D554-INT(D554))+VLOOKUP(INT(D554),Tablas!$G$9:$K$1240,5,0)*(INT(D554)+1-D554))/(VLOOKUP(INT($C$5)+1,Tablas!$G$9:$K$1240,5,0)*($C$5-INT($C$5))+VLOOKUP(INT($C$5),Tablas!$G$9:$K$124,5,0)*(INT($C$5)+1-$C$5)),(+VLOOKUP(INT(D554)+1,Tablas!$G$9:$O$1240,9,0)*(D554-INT(D554))+VLOOKUP(INT(D554),Tablas!$G$9:$O$1240,9,0)*(INT(D554)+1-D554))/(VLOOKUP(INT($C$5)+1,Tablas!$G$9:$O$1240,9,0)*($C$5-INT($C$5))+VLOOKUP(INT($C$5),Tablas!$G$9:$O$124,9,0)*(INT($C$5)+1-$C$5)))</f>
      </c>
      <c r="G554" s="791">
        <f>IF($C$4="Hombre",(+VLOOKUP(INT(D554)+1,Tablas!$G$9:$K$1240,5,0)*(D554-INT(D554))+VLOOKUP(INT(D554),Tablas!$G$9:$K$1240,5,0)*(INT(D554)+1-D554)),+VLOOKUP(INT(D554)+1,Tablas!$G$9:$O$1240,9,0)*(D554-INT(D554))+VLOOKUP(INT(D554),Tablas!$G$9:$O$1240,9,0)*(INT(D554)+1-D554))</f>
      </c>
      <c r="H554" s="801">
        <f>+IF(MONTH(B554)=1,H553*(1+$C$9),H553)</f>
      </c>
      <c r="I554" s="791">
        <f>IF(B554&lt;$C$10,0,IF(B554&lt;$C$11,$C$8/12*E554*F554*H554,0))</f>
      </c>
      <c r="J554" s="791">
        <f>I554*12/14+IF(OR(MONTH(C554)=6,MONTH(C554)=12),I554*12/14,0)</f>
      </c>
      <c r="K554" s="801">
        <f>G554/$G$15</f>
      </c>
      <c r="L554" s="760"/>
      <c r="M554" s="767"/>
      <c r="N554" s="168"/>
      <c r="O554" s="768"/>
      <c r="P554" s="170"/>
      <c r="Q554" s="7"/>
      <c r="R554" s="766"/>
      <c r="S554" s="170"/>
      <c r="T554" s="168"/>
      <c r="U554" s="170"/>
    </row>
    <row x14ac:dyDescent="0.25" r="555" customHeight="1" ht="18.75">
      <c r="A555" s="1"/>
      <c r="B555" s="799">
        <f>+DATE(YEAR(B554),MONTH(B554)+1,DAY(B554))</f>
        <v>25569.041666666668</v>
      </c>
      <c r="C555" s="799">
        <f>+B556-1</f>
        <v>25569.041666666668</v>
      </c>
      <c r="D555" s="791">
        <f>-_xlfn.DAYS($C$3,C555)/365.25</f>
      </c>
      <c r="E555" s="800">
        <f>IF($D$17+40&lt;=D555,(1+$D$7)^-(D555-$C$5),(1+$C$7)^-(D555-$C$5))</f>
      </c>
      <c r="F555" s="801">
        <f>IF($C$4="Hombre",(+VLOOKUP(INT(D555)+1,Tablas!$G$9:$K$1240,5,0)*(D555-INT(D555))+VLOOKUP(INT(D555),Tablas!$G$9:$K$1240,5,0)*(INT(D555)+1-D555))/(VLOOKUP(INT($C$5)+1,Tablas!$G$9:$K$1240,5,0)*($C$5-INT($C$5))+VLOOKUP(INT($C$5),Tablas!$G$9:$K$124,5,0)*(INT($C$5)+1-$C$5)),(+VLOOKUP(INT(D555)+1,Tablas!$G$9:$O$1240,9,0)*(D555-INT(D555))+VLOOKUP(INT(D555),Tablas!$G$9:$O$1240,9,0)*(INT(D555)+1-D555))/(VLOOKUP(INT($C$5)+1,Tablas!$G$9:$O$1240,9,0)*($C$5-INT($C$5))+VLOOKUP(INT($C$5),Tablas!$G$9:$O$124,9,0)*(INT($C$5)+1-$C$5)))</f>
      </c>
      <c r="G555" s="791">
        <f>IF($C$4="Hombre",(+VLOOKUP(INT(D555)+1,Tablas!$G$9:$K$1240,5,0)*(D555-INT(D555))+VLOOKUP(INT(D555),Tablas!$G$9:$K$1240,5,0)*(INT(D555)+1-D555)),+VLOOKUP(INT(D555)+1,Tablas!$G$9:$O$1240,9,0)*(D555-INT(D555))+VLOOKUP(INT(D555),Tablas!$G$9:$O$1240,9,0)*(INT(D555)+1-D555))</f>
      </c>
      <c r="H555" s="801">
        <f>+IF(MONTH(B555)=1,H554*(1+$C$9),H554)</f>
      </c>
      <c r="I555" s="791">
        <f>IF(B555&lt;$C$10,0,IF(B555&lt;$C$11,$C$8/12*E555*F555*H555,0))</f>
      </c>
      <c r="J555" s="791">
        <f>I555*12/14+IF(OR(MONTH(C555)=6,MONTH(C555)=12),I555*12/14,0)</f>
      </c>
      <c r="K555" s="801">
        <f>G555/$G$15</f>
      </c>
      <c r="L555" s="760"/>
      <c r="M555" s="767"/>
      <c r="N555" s="168"/>
      <c r="O555" s="768"/>
      <c r="P555" s="170"/>
      <c r="Q555" s="7"/>
      <c r="R555" s="766"/>
      <c r="S555" s="170"/>
      <c r="T555" s="168"/>
      <c r="U555" s="170"/>
    </row>
    <row x14ac:dyDescent="0.25" r="556" customHeight="1" ht="18.75">
      <c r="A556" s="1"/>
      <c r="B556" s="799">
        <f>+DATE(YEAR(B555),MONTH(B555)+1,DAY(B555))</f>
        <v>25569.041666666668</v>
      </c>
      <c r="C556" s="799">
        <f>+B557-1</f>
        <v>25569.041666666668</v>
      </c>
      <c r="D556" s="791">
        <f>-_xlfn.DAYS($C$3,C556)/365.25</f>
      </c>
      <c r="E556" s="800">
        <f>IF($D$17+40&lt;=D556,(1+$D$7)^-(D556-$C$5),(1+$C$7)^-(D556-$C$5))</f>
      </c>
      <c r="F556" s="801">
        <f>IF($C$4="Hombre",(+VLOOKUP(INT(D556)+1,Tablas!$G$9:$K$1240,5,0)*(D556-INT(D556))+VLOOKUP(INT(D556),Tablas!$G$9:$K$1240,5,0)*(INT(D556)+1-D556))/(VLOOKUP(INT($C$5)+1,Tablas!$G$9:$K$1240,5,0)*($C$5-INT($C$5))+VLOOKUP(INT($C$5),Tablas!$G$9:$K$124,5,0)*(INT($C$5)+1-$C$5)),(+VLOOKUP(INT(D556)+1,Tablas!$G$9:$O$1240,9,0)*(D556-INT(D556))+VLOOKUP(INT(D556),Tablas!$G$9:$O$1240,9,0)*(INT(D556)+1-D556))/(VLOOKUP(INT($C$5)+1,Tablas!$G$9:$O$1240,9,0)*($C$5-INT($C$5))+VLOOKUP(INT($C$5),Tablas!$G$9:$O$124,9,0)*(INT($C$5)+1-$C$5)))</f>
      </c>
      <c r="G556" s="791">
        <f>IF($C$4="Hombre",(+VLOOKUP(INT(D556)+1,Tablas!$G$9:$K$1240,5,0)*(D556-INT(D556))+VLOOKUP(INT(D556),Tablas!$G$9:$K$1240,5,0)*(INT(D556)+1-D556)),+VLOOKUP(INT(D556)+1,Tablas!$G$9:$O$1240,9,0)*(D556-INT(D556))+VLOOKUP(INT(D556),Tablas!$G$9:$O$1240,9,0)*(INT(D556)+1-D556))</f>
      </c>
      <c r="H556" s="801">
        <f>+IF(MONTH(B556)=1,H555*(1+$C$9),H555)</f>
      </c>
      <c r="I556" s="791">
        <f>IF(B556&lt;$C$10,0,IF(B556&lt;$C$11,$C$8/12*E556*F556*H556,0))</f>
      </c>
      <c r="J556" s="791">
        <f>I556*12/14+IF(OR(MONTH(C556)=6,MONTH(C556)=12),I556*12/14,0)</f>
      </c>
      <c r="K556" s="801">
        <f>G556/$G$15</f>
      </c>
      <c r="L556" s="760"/>
      <c r="M556" s="767"/>
      <c r="N556" s="168"/>
      <c r="O556" s="768"/>
      <c r="P556" s="170"/>
      <c r="Q556" s="7"/>
      <c r="R556" s="766"/>
      <c r="S556" s="170"/>
      <c r="T556" s="168"/>
      <c r="U556" s="170"/>
    </row>
    <row x14ac:dyDescent="0.25" r="557" customHeight="1" ht="18.75">
      <c r="A557" s="1"/>
      <c r="B557" s="799">
        <f>+DATE(YEAR(B556),MONTH(B556)+1,DAY(B556))</f>
        <v>25569.041666666668</v>
      </c>
      <c r="C557" s="799">
        <f>+B558-1</f>
        <v>25569.041666666668</v>
      </c>
      <c r="D557" s="791">
        <f>-_xlfn.DAYS($C$3,C557)/365.25</f>
      </c>
      <c r="E557" s="800">
        <f>IF($D$17+40&lt;=D557,(1+$D$7)^-(D557-$C$5),(1+$C$7)^-(D557-$C$5))</f>
      </c>
      <c r="F557" s="801">
        <f>IF($C$4="Hombre",(+VLOOKUP(INT(D557)+1,Tablas!$G$9:$K$1240,5,0)*(D557-INT(D557))+VLOOKUP(INT(D557),Tablas!$G$9:$K$1240,5,0)*(INT(D557)+1-D557))/(VLOOKUP(INT($C$5)+1,Tablas!$G$9:$K$1240,5,0)*($C$5-INT($C$5))+VLOOKUP(INT($C$5),Tablas!$G$9:$K$124,5,0)*(INT($C$5)+1-$C$5)),(+VLOOKUP(INT(D557)+1,Tablas!$G$9:$O$1240,9,0)*(D557-INT(D557))+VLOOKUP(INT(D557),Tablas!$G$9:$O$1240,9,0)*(INT(D557)+1-D557))/(VLOOKUP(INT($C$5)+1,Tablas!$G$9:$O$1240,9,0)*($C$5-INT($C$5))+VLOOKUP(INT($C$5),Tablas!$G$9:$O$124,9,0)*(INT($C$5)+1-$C$5)))</f>
      </c>
      <c r="G557" s="791">
        <f>IF($C$4="Hombre",(+VLOOKUP(INT(D557)+1,Tablas!$G$9:$K$1240,5,0)*(D557-INT(D557))+VLOOKUP(INT(D557),Tablas!$G$9:$K$1240,5,0)*(INT(D557)+1-D557)),+VLOOKUP(INT(D557)+1,Tablas!$G$9:$O$1240,9,0)*(D557-INT(D557))+VLOOKUP(INT(D557),Tablas!$G$9:$O$1240,9,0)*(INT(D557)+1-D557))</f>
      </c>
      <c r="H557" s="801">
        <f>+IF(MONTH(B557)=1,H556*(1+$C$9),H556)</f>
      </c>
      <c r="I557" s="791">
        <f>IF(B557&lt;$C$10,0,IF(B557&lt;$C$11,$C$8/12*E557*F557*H557,0))</f>
      </c>
      <c r="J557" s="791">
        <f>I557*12/14+IF(OR(MONTH(C557)=6,MONTH(C557)=12),I557*12/14,0)</f>
      </c>
      <c r="K557" s="801">
        <f>G557/$G$15</f>
      </c>
      <c r="L557" s="760"/>
      <c r="M557" s="767"/>
      <c r="N557" s="168"/>
      <c r="O557" s="768"/>
      <c r="P557" s="170"/>
      <c r="Q557" s="7"/>
      <c r="R557" s="766"/>
      <c r="S557" s="170"/>
      <c r="T557" s="168"/>
      <c r="U557" s="170"/>
    </row>
    <row x14ac:dyDescent="0.25" r="558" customHeight="1" ht="18.75">
      <c r="A558" s="1"/>
      <c r="B558" s="799">
        <f>+DATE(YEAR(B557),MONTH(B557)+1,DAY(B557))</f>
        <v>25569.041666666668</v>
      </c>
      <c r="C558" s="799">
        <f>+B559-1</f>
        <v>25569.041666666668</v>
      </c>
      <c r="D558" s="791">
        <f>-_xlfn.DAYS($C$3,C558)/365.25</f>
      </c>
      <c r="E558" s="800">
        <f>IF($D$17+40&lt;=D558,(1+$D$7)^-(D558-$C$5),(1+$C$7)^-(D558-$C$5))</f>
      </c>
      <c r="F558" s="801">
        <f>IF($C$4="Hombre",(+VLOOKUP(INT(D558)+1,Tablas!$G$9:$K$1240,5,0)*(D558-INT(D558))+VLOOKUP(INT(D558),Tablas!$G$9:$K$1240,5,0)*(INT(D558)+1-D558))/(VLOOKUP(INT($C$5)+1,Tablas!$G$9:$K$1240,5,0)*($C$5-INT($C$5))+VLOOKUP(INT($C$5),Tablas!$G$9:$K$124,5,0)*(INT($C$5)+1-$C$5)),(+VLOOKUP(INT(D558)+1,Tablas!$G$9:$O$1240,9,0)*(D558-INT(D558))+VLOOKUP(INT(D558),Tablas!$G$9:$O$1240,9,0)*(INT(D558)+1-D558))/(VLOOKUP(INT($C$5)+1,Tablas!$G$9:$O$1240,9,0)*($C$5-INT($C$5))+VLOOKUP(INT($C$5),Tablas!$G$9:$O$124,9,0)*(INT($C$5)+1-$C$5)))</f>
      </c>
      <c r="G558" s="791">
        <f>IF($C$4="Hombre",(+VLOOKUP(INT(D558)+1,Tablas!$G$9:$K$1240,5,0)*(D558-INT(D558))+VLOOKUP(INT(D558),Tablas!$G$9:$K$1240,5,0)*(INT(D558)+1-D558)),+VLOOKUP(INT(D558)+1,Tablas!$G$9:$O$1240,9,0)*(D558-INT(D558))+VLOOKUP(INT(D558),Tablas!$G$9:$O$1240,9,0)*(INT(D558)+1-D558))</f>
      </c>
      <c r="H558" s="801">
        <f>+IF(MONTH(B558)=1,H557*(1+$C$9),H557)</f>
      </c>
      <c r="I558" s="791">
        <f>IF(B558&lt;$C$10,0,IF(B558&lt;$C$11,$C$8/12*E558*F558*H558,0))</f>
      </c>
      <c r="J558" s="791">
        <f>I558*12/14+IF(OR(MONTH(C558)=6,MONTH(C558)=12),I558*12/14,0)</f>
      </c>
      <c r="K558" s="801">
        <f>G558/$G$15</f>
      </c>
      <c r="L558" s="760"/>
      <c r="M558" s="767"/>
      <c r="N558" s="168"/>
      <c r="O558" s="768"/>
      <c r="P558" s="170"/>
      <c r="Q558" s="7"/>
      <c r="R558" s="766"/>
      <c r="S558" s="170"/>
      <c r="T558" s="168"/>
      <c r="U558" s="170"/>
    </row>
    <row x14ac:dyDescent="0.25" r="559" customHeight="1" ht="18.75">
      <c r="A559" s="1"/>
      <c r="B559" s="799">
        <f>+DATE(YEAR(B558),MONTH(B558)+1,DAY(B558))</f>
        <v>25569.041666666668</v>
      </c>
      <c r="C559" s="799">
        <f>+B560-1</f>
        <v>25569.041666666668</v>
      </c>
      <c r="D559" s="791">
        <f>-_xlfn.DAYS($C$3,C559)/365.25</f>
      </c>
      <c r="E559" s="800">
        <f>IF($D$17+40&lt;=D559,(1+$D$7)^-(D559-$C$5),(1+$C$7)^-(D559-$C$5))</f>
      </c>
      <c r="F559" s="801">
        <f>IF($C$4="Hombre",(+VLOOKUP(INT(D559)+1,Tablas!$G$9:$K$1240,5,0)*(D559-INT(D559))+VLOOKUP(INT(D559),Tablas!$G$9:$K$1240,5,0)*(INT(D559)+1-D559))/(VLOOKUP(INT($C$5)+1,Tablas!$G$9:$K$1240,5,0)*($C$5-INT($C$5))+VLOOKUP(INT($C$5),Tablas!$G$9:$K$124,5,0)*(INT($C$5)+1-$C$5)),(+VLOOKUP(INT(D559)+1,Tablas!$G$9:$O$1240,9,0)*(D559-INT(D559))+VLOOKUP(INT(D559),Tablas!$G$9:$O$1240,9,0)*(INT(D559)+1-D559))/(VLOOKUP(INT($C$5)+1,Tablas!$G$9:$O$1240,9,0)*($C$5-INT($C$5))+VLOOKUP(INT($C$5),Tablas!$G$9:$O$124,9,0)*(INT($C$5)+1-$C$5)))</f>
      </c>
      <c r="G559" s="791">
        <f>IF($C$4="Hombre",(+VLOOKUP(INT(D559)+1,Tablas!$G$9:$K$1240,5,0)*(D559-INT(D559))+VLOOKUP(INT(D559),Tablas!$G$9:$K$1240,5,0)*(INT(D559)+1-D559)),+VLOOKUP(INT(D559)+1,Tablas!$G$9:$O$1240,9,0)*(D559-INT(D559))+VLOOKUP(INT(D559),Tablas!$G$9:$O$1240,9,0)*(INT(D559)+1-D559))</f>
      </c>
      <c r="H559" s="801">
        <f>+IF(MONTH(B559)=1,H558*(1+$C$9),H558)</f>
      </c>
      <c r="I559" s="791">
        <f>IF(B559&lt;$C$10,0,IF(B559&lt;$C$11,$C$8/12*E559*F559*H559,0))</f>
      </c>
      <c r="J559" s="791">
        <f>I559*12/14+IF(OR(MONTH(C559)=6,MONTH(C559)=12),I559*12/14,0)</f>
      </c>
      <c r="K559" s="801">
        <f>G559/$G$15</f>
      </c>
      <c r="L559" s="760"/>
      <c r="M559" s="767"/>
      <c r="N559" s="168"/>
      <c r="O559" s="768"/>
      <c r="P559" s="170"/>
      <c r="Q559" s="7"/>
      <c r="R559" s="766"/>
      <c r="S559" s="170"/>
      <c r="T559" s="168"/>
      <c r="U559" s="170"/>
    </row>
    <row x14ac:dyDescent="0.25" r="560" customHeight="1" ht="18.75">
      <c r="A560" s="1"/>
      <c r="B560" s="799">
        <f>+DATE(YEAR(B559),MONTH(B559)+1,DAY(B559))</f>
        <v>25569.041666666668</v>
      </c>
      <c r="C560" s="799">
        <f>+B561-1</f>
        <v>25569.041666666668</v>
      </c>
      <c r="D560" s="791">
        <f>-_xlfn.DAYS($C$3,C560)/365.25</f>
      </c>
      <c r="E560" s="800">
        <f>IF($D$17+40&lt;=D560,(1+$D$7)^-(D560-$C$5),(1+$C$7)^-(D560-$C$5))</f>
      </c>
      <c r="F560" s="801">
        <f>IF($C$4="Hombre",(+VLOOKUP(INT(D560)+1,Tablas!$G$9:$K$1240,5,0)*(D560-INT(D560))+VLOOKUP(INT(D560),Tablas!$G$9:$K$1240,5,0)*(INT(D560)+1-D560))/(VLOOKUP(INT($C$5)+1,Tablas!$G$9:$K$1240,5,0)*($C$5-INT($C$5))+VLOOKUP(INT($C$5),Tablas!$G$9:$K$124,5,0)*(INT($C$5)+1-$C$5)),(+VLOOKUP(INT(D560)+1,Tablas!$G$9:$O$1240,9,0)*(D560-INT(D560))+VLOOKUP(INT(D560),Tablas!$G$9:$O$1240,9,0)*(INT(D560)+1-D560))/(VLOOKUP(INT($C$5)+1,Tablas!$G$9:$O$1240,9,0)*($C$5-INT($C$5))+VLOOKUP(INT($C$5),Tablas!$G$9:$O$124,9,0)*(INT($C$5)+1-$C$5)))</f>
      </c>
      <c r="G560" s="791">
        <f>IF($C$4="Hombre",(+VLOOKUP(INT(D560)+1,Tablas!$G$9:$K$1240,5,0)*(D560-INT(D560))+VLOOKUP(INT(D560),Tablas!$G$9:$K$1240,5,0)*(INT(D560)+1-D560)),+VLOOKUP(INT(D560)+1,Tablas!$G$9:$O$1240,9,0)*(D560-INT(D560))+VLOOKUP(INT(D560),Tablas!$G$9:$O$1240,9,0)*(INT(D560)+1-D560))</f>
      </c>
      <c r="H560" s="801">
        <f>+IF(MONTH(B560)=1,H559*(1+$C$9),H559)</f>
      </c>
      <c r="I560" s="791">
        <f>IF(B560&lt;$C$10,0,IF(B560&lt;$C$11,$C$8/12*E560*F560*H560,0))</f>
      </c>
      <c r="J560" s="791">
        <f>I560*12/14+IF(OR(MONTH(C560)=6,MONTH(C560)=12),I560*12/14,0)</f>
      </c>
      <c r="K560" s="801">
        <f>G560/$G$15</f>
      </c>
      <c r="L560" s="760"/>
      <c r="M560" s="767"/>
      <c r="N560" s="168"/>
      <c r="O560" s="768"/>
      <c r="P560" s="170"/>
      <c r="Q560" s="7"/>
      <c r="R560" s="766"/>
      <c r="S560" s="170"/>
      <c r="T560" s="168"/>
      <c r="U560" s="170"/>
    </row>
    <row x14ac:dyDescent="0.25" r="561" customHeight="1" ht="18.75">
      <c r="A561" s="1"/>
      <c r="B561" s="799">
        <f>+DATE(YEAR(B560),MONTH(B560)+1,DAY(B560))</f>
        <v>25569.041666666668</v>
      </c>
      <c r="C561" s="799">
        <f>+B562-1</f>
        <v>25569.041666666668</v>
      </c>
      <c r="D561" s="791">
        <f>-_xlfn.DAYS($C$3,C561)/365.25</f>
      </c>
      <c r="E561" s="800">
        <f>IF($D$17+40&lt;=D561,(1+$D$7)^-(D561-$C$5),(1+$C$7)^-(D561-$C$5))</f>
      </c>
      <c r="F561" s="801">
        <f>IF($C$4="Hombre",(+VLOOKUP(INT(D561)+1,Tablas!$G$9:$K$1240,5,0)*(D561-INT(D561))+VLOOKUP(INT(D561),Tablas!$G$9:$K$1240,5,0)*(INT(D561)+1-D561))/(VLOOKUP(INT($C$5)+1,Tablas!$G$9:$K$1240,5,0)*($C$5-INT($C$5))+VLOOKUP(INT($C$5),Tablas!$G$9:$K$124,5,0)*(INT($C$5)+1-$C$5)),(+VLOOKUP(INT(D561)+1,Tablas!$G$9:$O$1240,9,0)*(D561-INT(D561))+VLOOKUP(INT(D561),Tablas!$G$9:$O$1240,9,0)*(INT(D561)+1-D561))/(VLOOKUP(INT($C$5)+1,Tablas!$G$9:$O$1240,9,0)*($C$5-INT($C$5))+VLOOKUP(INT($C$5),Tablas!$G$9:$O$124,9,0)*(INT($C$5)+1-$C$5)))</f>
      </c>
      <c r="G561" s="791">
        <f>IF($C$4="Hombre",(+VLOOKUP(INT(D561)+1,Tablas!$G$9:$K$1240,5,0)*(D561-INT(D561))+VLOOKUP(INT(D561),Tablas!$G$9:$K$1240,5,0)*(INT(D561)+1-D561)),+VLOOKUP(INT(D561)+1,Tablas!$G$9:$O$1240,9,0)*(D561-INT(D561))+VLOOKUP(INT(D561),Tablas!$G$9:$O$1240,9,0)*(INT(D561)+1-D561))</f>
      </c>
      <c r="H561" s="801">
        <f>+IF(MONTH(B561)=1,H560*(1+$C$9),H560)</f>
      </c>
      <c r="I561" s="791">
        <f>IF(B561&lt;$C$10,0,IF(B561&lt;$C$11,$C$8/12*E561*F561*H561,0))</f>
      </c>
      <c r="J561" s="791">
        <f>I561*12/14+IF(OR(MONTH(C561)=6,MONTH(C561)=12),I561*12/14,0)</f>
      </c>
      <c r="K561" s="801">
        <f>G561/$G$15</f>
      </c>
      <c r="L561" s="760"/>
      <c r="M561" s="767"/>
      <c r="N561" s="168"/>
      <c r="O561" s="768"/>
      <c r="P561" s="170"/>
      <c r="Q561" s="7"/>
      <c r="R561" s="766"/>
      <c r="S561" s="170"/>
      <c r="T561" s="168"/>
      <c r="U561" s="170"/>
    </row>
    <row x14ac:dyDescent="0.25" r="562" customHeight="1" ht="18.75">
      <c r="A562" s="1"/>
      <c r="B562" s="799">
        <f>+DATE(YEAR(B561),MONTH(B561)+1,DAY(B561))</f>
        <v>25569.041666666668</v>
      </c>
      <c r="C562" s="799">
        <f>+B563-1</f>
        <v>25569.041666666668</v>
      </c>
      <c r="D562" s="791">
        <f>-_xlfn.DAYS($C$3,C562)/365.25</f>
      </c>
      <c r="E562" s="800">
        <f>IF($D$17+40&lt;=D562,(1+$D$7)^-(D562-$C$5),(1+$C$7)^-(D562-$C$5))</f>
      </c>
      <c r="F562" s="801">
        <f>IF($C$4="Hombre",(+VLOOKUP(INT(D562)+1,Tablas!$G$9:$K$1240,5,0)*(D562-INT(D562))+VLOOKUP(INT(D562),Tablas!$G$9:$K$1240,5,0)*(INT(D562)+1-D562))/(VLOOKUP(INT($C$5)+1,Tablas!$G$9:$K$1240,5,0)*($C$5-INT($C$5))+VLOOKUP(INT($C$5),Tablas!$G$9:$K$124,5,0)*(INT($C$5)+1-$C$5)),(+VLOOKUP(INT(D562)+1,Tablas!$G$9:$O$1240,9,0)*(D562-INT(D562))+VLOOKUP(INT(D562),Tablas!$G$9:$O$1240,9,0)*(INT(D562)+1-D562))/(VLOOKUP(INT($C$5)+1,Tablas!$G$9:$O$1240,9,0)*($C$5-INT($C$5))+VLOOKUP(INT($C$5),Tablas!$G$9:$O$124,9,0)*(INT($C$5)+1-$C$5)))</f>
      </c>
      <c r="G562" s="791">
        <f>IF($C$4="Hombre",(+VLOOKUP(INT(D562)+1,Tablas!$G$9:$K$1240,5,0)*(D562-INT(D562))+VLOOKUP(INT(D562),Tablas!$G$9:$K$1240,5,0)*(INT(D562)+1-D562)),+VLOOKUP(INT(D562)+1,Tablas!$G$9:$O$1240,9,0)*(D562-INT(D562))+VLOOKUP(INT(D562),Tablas!$G$9:$O$1240,9,0)*(INT(D562)+1-D562))</f>
      </c>
      <c r="H562" s="801">
        <f>+IF(MONTH(B562)=1,H561*(1+$C$9),H561)</f>
      </c>
      <c r="I562" s="791">
        <f>IF(B562&lt;$C$10,0,IF(B562&lt;$C$11,$C$8/12*E562*F562*H562,0))</f>
      </c>
      <c r="J562" s="791">
        <f>I562*12/14+IF(OR(MONTH(C562)=6,MONTH(C562)=12),I562*12/14,0)</f>
      </c>
      <c r="K562" s="801">
        <f>G562/$G$15</f>
      </c>
      <c r="L562" s="760"/>
      <c r="M562" s="767"/>
      <c r="N562" s="168"/>
      <c r="O562" s="768"/>
      <c r="P562" s="170"/>
      <c r="Q562" s="7"/>
      <c r="R562" s="766"/>
      <c r="S562" s="170"/>
      <c r="T562" s="168"/>
      <c r="U562" s="170"/>
    </row>
    <row x14ac:dyDescent="0.25" r="563" customHeight="1" ht="18.75">
      <c r="A563" s="1"/>
      <c r="B563" s="799">
        <f>+DATE(YEAR(B562),MONTH(B562)+1,DAY(B562))</f>
        <v>25569.041666666668</v>
      </c>
      <c r="C563" s="799">
        <f>+B564-1</f>
        <v>25569.041666666668</v>
      </c>
      <c r="D563" s="791">
        <f>-_xlfn.DAYS($C$3,C563)/365.25</f>
      </c>
      <c r="E563" s="800">
        <f>IF($D$17+40&lt;=D563,(1+$D$7)^-(D563-$C$5),(1+$C$7)^-(D563-$C$5))</f>
      </c>
      <c r="F563" s="801">
        <f>IF($C$4="Hombre",(+VLOOKUP(INT(D563)+1,Tablas!$G$9:$K$1240,5,0)*(D563-INT(D563))+VLOOKUP(INT(D563),Tablas!$G$9:$K$1240,5,0)*(INT(D563)+1-D563))/(VLOOKUP(INT($C$5)+1,Tablas!$G$9:$K$1240,5,0)*($C$5-INT($C$5))+VLOOKUP(INT($C$5),Tablas!$G$9:$K$124,5,0)*(INT($C$5)+1-$C$5)),(+VLOOKUP(INT(D563)+1,Tablas!$G$9:$O$1240,9,0)*(D563-INT(D563))+VLOOKUP(INT(D563),Tablas!$G$9:$O$1240,9,0)*(INT(D563)+1-D563))/(VLOOKUP(INT($C$5)+1,Tablas!$G$9:$O$1240,9,0)*($C$5-INT($C$5))+VLOOKUP(INT($C$5),Tablas!$G$9:$O$124,9,0)*(INT($C$5)+1-$C$5)))</f>
      </c>
      <c r="G563" s="791">
        <f>IF($C$4="Hombre",(+VLOOKUP(INT(D563)+1,Tablas!$G$9:$K$1240,5,0)*(D563-INT(D563))+VLOOKUP(INT(D563),Tablas!$G$9:$K$1240,5,0)*(INT(D563)+1-D563)),+VLOOKUP(INT(D563)+1,Tablas!$G$9:$O$1240,9,0)*(D563-INT(D563))+VLOOKUP(INT(D563),Tablas!$G$9:$O$1240,9,0)*(INT(D563)+1-D563))</f>
      </c>
      <c r="H563" s="801">
        <f>+IF(MONTH(B563)=1,H562*(1+$C$9),H562)</f>
      </c>
      <c r="I563" s="791">
        <f>IF(B563&lt;$C$10,0,IF(B563&lt;$C$11,$C$8/12*E563*F563*H563,0))</f>
      </c>
      <c r="J563" s="791">
        <f>I563*12/14+IF(OR(MONTH(C563)=6,MONTH(C563)=12),I563*12/14,0)</f>
      </c>
      <c r="K563" s="801">
        <f>G563/$G$15</f>
      </c>
      <c r="L563" s="760"/>
      <c r="M563" s="767"/>
      <c r="N563" s="168"/>
      <c r="O563" s="768"/>
      <c r="P563" s="170"/>
      <c r="Q563" s="7"/>
      <c r="R563" s="766"/>
      <c r="S563" s="170"/>
      <c r="T563" s="168"/>
      <c r="U563" s="170"/>
    </row>
    <row x14ac:dyDescent="0.25" r="564" customHeight="1" ht="18.75">
      <c r="A564" s="1"/>
      <c r="B564" s="799">
        <f>+DATE(YEAR(B563),MONTH(B563)+1,DAY(B563))</f>
        <v>25569.041666666668</v>
      </c>
      <c r="C564" s="799">
        <f>+B565-1</f>
        <v>25569.041666666668</v>
      </c>
      <c r="D564" s="791">
        <f>-_xlfn.DAYS($C$3,C564)/365.25</f>
      </c>
      <c r="E564" s="800">
        <f>IF($D$17+40&lt;=D564,(1+$D$7)^-(D564-$C$5),(1+$C$7)^-(D564-$C$5))</f>
      </c>
      <c r="F564" s="801">
        <f>IF($C$4="Hombre",(+VLOOKUP(INT(D564)+1,Tablas!$G$9:$K$1240,5,0)*(D564-INT(D564))+VLOOKUP(INT(D564),Tablas!$G$9:$K$1240,5,0)*(INT(D564)+1-D564))/(VLOOKUP(INT($C$5)+1,Tablas!$G$9:$K$1240,5,0)*($C$5-INT($C$5))+VLOOKUP(INT($C$5),Tablas!$G$9:$K$124,5,0)*(INT($C$5)+1-$C$5)),(+VLOOKUP(INT(D564)+1,Tablas!$G$9:$O$1240,9,0)*(D564-INT(D564))+VLOOKUP(INT(D564),Tablas!$G$9:$O$1240,9,0)*(INT(D564)+1-D564))/(VLOOKUP(INT($C$5)+1,Tablas!$G$9:$O$1240,9,0)*($C$5-INT($C$5))+VLOOKUP(INT($C$5),Tablas!$G$9:$O$124,9,0)*(INT($C$5)+1-$C$5)))</f>
      </c>
      <c r="G564" s="791">
        <f>IF($C$4="Hombre",(+VLOOKUP(INT(D564)+1,Tablas!$G$9:$K$1240,5,0)*(D564-INT(D564))+VLOOKUP(INT(D564),Tablas!$G$9:$K$1240,5,0)*(INT(D564)+1-D564)),+VLOOKUP(INT(D564)+1,Tablas!$G$9:$O$1240,9,0)*(D564-INT(D564))+VLOOKUP(INT(D564),Tablas!$G$9:$O$1240,9,0)*(INT(D564)+1-D564))</f>
      </c>
      <c r="H564" s="801">
        <f>+IF(MONTH(B564)=1,H563*(1+$C$9),H563)</f>
      </c>
      <c r="I564" s="791">
        <f>IF(B564&lt;$C$10,0,IF(B564&lt;$C$11,$C$8/12*E564*F564*H564,0))</f>
      </c>
      <c r="J564" s="791">
        <f>I564*12/14+IF(OR(MONTH(C564)=6,MONTH(C564)=12),I564*12/14,0)</f>
      </c>
      <c r="K564" s="801">
        <f>G564/$G$15</f>
      </c>
      <c r="L564" s="760"/>
      <c r="M564" s="767"/>
      <c r="N564" s="168"/>
      <c r="O564" s="768"/>
      <c r="P564" s="170"/>
      <c r="Q564" s="7"/>
      <c r="R564" s="766"/>
      <c r="S564" s="170"/>
      <c r="T564" s="168"/>
      <c r="U564" s="170"/>
    </row>
    <row x14ac:dyDescent="0.25" r="565" customHeight="1" ht="18.75">
      <c r="A565" s="1"/>
      <c r="B565" s="799">
        <f>+DATE(YEAR(B564),MONTH(B564)+1,DAY(B564))</f>
        <v>25569.041666666668</v>
      </c>
      <c r="C565" s="799">
        <f>+B566-1</f>
        <v>25569.041666666668</v>
      </c>
      <c r="D565" s="791">
        <f>-_xlfn.DAYS($C$3,C565)/365.25</f>
      </c>
      <c r="E565" s="800">
        <f>IF($D$17+40&lt;=D565,(1+$D$7)^-(D565-$C$5),(1+$C$7)^-(D565-$C$5))</f>
      </c>
      <c r="F565" s="801">
        <f>IF($C$4="Hombre",(+VLOOKUP(INT(D565)+1,Tablas!$G$9:$K$1240,5,0)*(D565-INT(D565))+VLOOKUP(INT(D565),Tablas!$G$9:$K$1240,5,0)*(INT(D565)+1-D565))/(VLOOKUP(INT($C$5)+1,Tablas!$G$9:$K$1240,5,0)*($C$5-INT($C$5))+VLOOKUP(INT($C$5),Tablas!$G$9:$K$124,5,0)*(INT($C$5)+1-$C$5)),(+VLOOKUP(INT(D565)+1,Tablas!$G$9:$O$1240,9,0)*(D565-INT(D565))+VLOOKUP(INT(D565),Tablas!$G$9:$O$1240,9,0)*(INT(D565)+1-D565))/(VLOOKUP(INT($C$5)+1,Tablas!$G$9:$O$1240,9,0)*($C$5-INT($C$5))+VLOOKUP(INT($C$5),Tablas!$G$9:$O$124,9,0)*(INT($C$5)+1-$C$5)))</f>
      </c>
      <c r="G565" s="791">
        <f>IF($C$4="Hombre",(+VLOOKUP(INT(D565)+1,Tablas!$G$9:$K$1240,5,0)*(D565-INT(D565))+VLOOKUP(INT(D565),Tablas!$G$9:$K$1240,5,0)*(INT(D565)+1-D565)),+VLOOKUP(INT(D565)+1,Tablas!$G$9:$O$1240,9,0)*(D565-INT(D565))+VLOOKUP(INT(D565),Tablas!$G$9:$O$1240,9,0)*(INT(D565)+1-D565))</f>
      </c>
      <c r="H565" s="801">
        <f>+IF(MONTH(B565)=1,H564*(1+$C$9),H564)</f>
      </c>
      <c r="I565" s="791">
        <f>IF(B565&lt;$C$10,0,IF(B565&lt;$C$11,$C$8/12*E565*F565*H565,0))</f>
      </c>
      <c r="J565" s="791">
        <f>I565*12/14+IF(OR(MONTH(C565)=6,MONTH(C565)=12),I565*12/14,0)</f>
      </c>
      <c r="K565" s="801">
        <f>G565/$G$15</f>
      </c>
      <c r="L565" s="760"/>
      <c r="M565" s="767"/>
      <c r="N565" s="168"/>
      <c r="O565" s="768"/>
      <c r="P565" s="170"/>
      <c r="Q565" s="7"/>
      <c r="R565" s="766"/>
      <c r="S565" s="170"/>
      <c r="T565" s="168"/>
      <c r="U565" s="170"/>
    </row>
    <row x14ac:dyDescent="0.25" r="566" customHeight="1" ht="18.75">
      <c r="A566" s="1"/>
      <c r="B566" s="799">
        <f>+DATE(YEAR(B565),MONTH(B565)+1,DAY(B565))</f>
        <v>25569.041666666668</v>
      </c>
      <c r="C566" s="799">
        <f>+B567-1</f>
        <v>25569.041666666668</v>
      </c>
      <c r="D566" s="791">
        <f>-_xlfn.DAYS($C$3,C566)/365.25</f>
      </c>
      <c r="E566" s="800">
        <f>IF($D$17+40&lt;=D566,(1+$D$7)^-(D566-$C$5),(1+$C$7)^-(D566-$C$5))</f>
      </c>
      <c r="F566" s="801">
        <f>IF($C$4="Hombre",(+VLOOKUP(INT(D566)+1,Tablas!$G$9:$K$1240,5,0)*(D566-INT(D566))+VLOOKUP(INT(D566),Tablas!$G$9:$K$1240,5,0)*(INT(D566)+1-D566))/(VLOOKUP(INT($C$5)+1,Tablas!$G$9:$K$1240,5,0)*($C$5-INT($C$5))+VLOOKUP(INT($C$5),Tablas!$G$9:$K$124,5,0)*(INT($C$5)+1-$C$5)),(+VLOOKUP(INT(D566)+1,Tablas!$G$9:$O$1240,9,0)*(D566-INT(D566))+VLOOKUP(INT(D566),Tablas!$G$9:$O$1240,9,0)*(INT(D566)+1-D566))/(VLOOKUP(INT($C$5)+1,Tablas!$G$9:$O$1240,9,0)*($C$5-INT($C$5))+VLOOKUP(INT($C$5),Tablas!$G$9:$O$124,9,0)*(INT($C$5)+1-$C$5)))</f>
      </c>
      <c r="G566" s="791">
        <f>IF($C$4="Hombre",(+VLOOKUP(INT(D566)+1,Tablas!$G$9:$K$1240,5,0)*(D566-INT(D566))+VLOOKUP(INT(D566),Tablas!$G$9:$K$1240,5,0)*(INT(D566)+1-D566)),+VLOOKUP(INT(D566)+1,Tablas!$G$9:$O$1240,9,0)*(D566-INT(D566))+VLOOKUP(INT(D566),Tablas!$G$9:$O$1240,9,0)*(INT(D566)+1-D566))</f>
      </c>
      <c r="H566" s="801">
        <f>+IF(MONTH(B566)=1,H565*(1+$C$9),H565)</f>
      </c>
      <c r="I566" s="791">
        <f>IF(B566&lt;$C$10,0,IF(B566&lt;$C$11,$C$8/12*E566*F566*H566,0))</f>
      </c>
      <c r="J566" s="791">
        <f>I566*12/14+IF(OR(MONTH(C566)=6,MONTH(C566)=12),I566*12/14,0)</f>
      </c>
      <c r="K566" s="801">
        <f>G566/$G$15</f>
      </c>
      <c r="L566" s="760"/>
      <c r="M566" s="767"/>
      <c r="N566" s="168"/>
      <c r="O566" s="768"/>
      <c r="P566" s="170"/>
      <c r="Q566" s="7"/>
      <c r="R566" s="766"/>
      <c r="S566" s="170"/>
      <c r="T566" s="168"/>
      <c r="U566" s="170"/>
    </row>
    <row x14ac:dyDescent="0.25" r="567" customHeight="1" ht="18.75">
      <c r="A567" s="1"/>
      <c r="B567" s="799">
        <f>+DATE(YEAR(B566),MONTH(B566)+1,DAY(B566))</f>
        <v>25569.041666666668</v>
      </c>
      <c r="C567" s="799">
        <f>+B568-1</f>
        <v>25569.041666666668</v>
      </c>
      <c r="D567" s="791">
        <f>-_xlfn.DAYS($C$3,C567)/365.25</f>
      </c>
      <c r="E567" s="800">
        <f>IF($D$17+40&lt;=D567,(1+$D$7)^-(D567-$C$5),(1+$C$7)^-(D567-$C$5))</f>
      </c>
      <c r="F567" s="801">
        <f>IF($C$4="Hombre",(+VLOOKUP(INT(D567)+1,Tablas!$G$9:$K$1240,5,0)*(D567-INT(D567))+VLOOKUP(INT(D567),Tablas!$G$9:$K$1240,5,0)*(INT(D567)+1-D567))/(VLOOKUP(INT($C$5)+1,Tablas!$G$9:$K$1240,5,0)*($C$5-INT($C$5))+VLOOKUP(INT($C$5),Tablas!$G$9:$K$124,5,0)*(INT($C$5)+1-$C$5)),(+VLOOKUP(INT(D567)+1,Tablas!$G$9:$O$1240,9,0)*(D567-INT(D567))+VLOOKUP(INT(D567),Tablas!$G$9:$O$1240,9,0)*(INT(D567)+1-D567))/(VLOOKUP(INT($C$5)+1,Tablas!$G$9:$O$1240,9,0)*($C$5-INT($C$5))+VLOOKUP(INT($C$5),Tablas!$G$9:$O$124,9,0)*(INT($C$5)+1-$C$5)))</f>
      </c>
      <c r="G567" s="791">
        <f>IF($C$4="Hombre",(+VLOOKUP(INT(D567)+1,Tablas!$G$9:$K$1240,5,0)*(D567-INT(D567))+VLOOKUP(INT(D567),Tablas!$G$9:$K$1240,5,0)*(INT(D567)+1-D567)),+VLOOKUP(INT(D567)+1,Tablas!$G$9:$O$1240,9,0)*(D567-INT(D567))+VLOOKUP(INT(D567),Tablas!$G$9:$O$1240,9,0)*(INT(D567)+1-D567))</f>
      </c>
      <c r="H567" s="801">
        <f>+IF(MONTH(B567)=1,H566*(1+$C$9),H566)</f>
      </c>
      <c r="I567" s="791">
        <f>IF(B567&lt;$C$10,0,IF(B567&lt;$C$11,$C$8/12*E567*F567*H567,0))</f>
      </c>
      <c r="J567" s="791">
        <f>I567*12/14+IF(OR(MONTH(C567)=6,MONTH(C567)=12),I567*12/14,0)</f>
      </c>
      <c r="K567" s="801">
        <f>G567/$G$15</f>
      </c>
      <c r="L567" s="760"/>
      <c r="M567" s="767"/>
      <c r="N567" s="168"/>
      <c r="O567" s="768"/>
      <c r="P567" s="170"/>
      <c r="Q567" s="7"/>
      <c r="R567" s="766"/>
      <c r="S567" s="170"/>
      <c r="T567" s="168"/>
      <c r="U567" s="170"/>
    </row>
    <row x14ac:dyDescent="0.25" r="568" customHeight="1" ht="18.75">
      <c r="A568" s="1"/>
      <c r="B568" s="799">
        <f>+DATE(YEAR(B567),MONTH(B567)+1,DAY(B567))</f>
        <v>25569.041666666668</v>
      </c>
      <c r="C568" s="799">
        <f>+B569-1</f>
        <v>25569.041666666668</v>
      </c>
      <c r="D568" s="791">
        <f>-_xlfn.DAYS($C$3,C568)/365.25</f>
      </c>
      <c r="E568" s="800">
        <f>IF($D$17+40&lt;=D568,(1+$D$7)^-(D568-$C$5),(1+$C$7)^-(D568-$C$5))</f>
      </c>
      <c r="F568" s="801">
        <f>IF($C$4="Hombre",(+VLOOKUP(INT(D568)+1,Tablas!$G$9:$K$1240,5,0)*(D568-INT(D568))+VLOOKUP(INT(D568),Tablas!$G$9:$K$1240,5,0)*(INT(D568)+1-D568))/(VLOOKUP(INT($C$5)+1,Tablas!$G$9:$K$1240,5,0)*($C$5-INT($C$5))+VLOOKUP(INT($C$5),Tablas!$G$9:$K$124,5,0)*(INT($C$5)+1-$C$5)),(+VLOOKUP(INT(D568)+1,Tablas!$G$9:$O$1240,9,0)*(D568-INT(D568))+VLOOKUP(INT(D568),Tablas!$G$9:$O$1240,9,0)*(INT(D568)+1-D568))/(VLOOKUP(INT($C$5)+1,Tablas!$G$9:$O$1240,9,0)*($C$5-INT($C$5))+VLOOKUP(INT($C$5),Tablas!$G$9:$O$124,9,0)*(INT($C$5)+1-$C$5)))</f>
      </c>
      <c r="G568" s="791">
        <f>IF($C$4="Hombre",(+VLOOKUP(INT(D568)+1,Tablas!$G$9:$K$1240,5,0)*(D568-INT(D568))+VLOOKUP(INT(D568),Tablas!$G$9:$K$1240,5,0)*(INT(D568)+1-D568)),+VLOOKUP(INT(D568)+1,Tablas!$G$9:$O$1240,9,0)*(D568-INT(D568))+VLOOKUP(INT(D568),Tablas!$G$9:$O$1240,9,0)*(INT(D568)+1-D568))</f>
      </c>
      <c r="H568" s="801">
        <f>+IF(MONTH(B568)=1,H567*(1+$C$9),H567)</f>
      </c>
      <c r="I568" s="791">
        <f>IF(B568&lt;$C$10,0,IF(B568&lt;$C$11,$C$8/12*E568*F568*H568,0))</f>
      </c>
      <c r="J568" s="791">
        <f>I568*12/14+IF(OR(MONTH(C568)=6,MONTH(C568)=12),I568*12/14,0)</f>
      </c>
      <c r="K568" s="801">
        <f>G568/$G$15</f>
      </c>
      <c r="L568" s="760"/>
      <c r="M568" s="767"/>
      <c r="N568" s="168"/>
      <c r="O568" s="768"/>
      <c r="P568" s="170"/>
      <c r="Q568" s="7"/>
      <c r="R568" s="766"/>
      <c r="S568" s="170"/>
      <c r="T568" s="168"/>
      <c r="U568" s="170"/>
    </row>
    <row x14ac:dyDescent="0.25" r="569" customHeight="1" ht="18.75">
      <c r="A569" s="1"/>
      <c r="B569" s="799">
        <f>+DATE(YEAR(B568),MONTH(B568)+1,DAY(B568))</f>
        <v>25569.041666666668</v>
      </c>
      <c r="C569" s="799">
        <f>+B570-1</f>
        <v>25569.041666666668</v>
      </c>
      <c r="D569" s="791">
        <f>-_xlfn.DAYS($C$3,C569)/365.25</f>
      </c>
      <c r="E569" s="800">
        <f>IF($D$17+40&lt;=D569,(1+$D$7)^-(D569-$C$5),(1+$C$7)^-(D569-$C$5))</f>
      </c>
      <c r="F569" s="801">
        <f>IF($C$4="Hombre",(+VLOOKUP(INT(D569)+1,Tablas!$G$9:$K$1240,5,0)*(D569-INT(D569))+VLOOKUP(INT(D569),Tablas!$G$9:$K$1240,5,0)*(INT(D569)+1-D569))/(VLOOKUP(INT($C$5)+1,Tablas!$G$9:$K$1240,5,0)*($C$5-INT($C$5))+VLOOKUP(INT($C$5),Tablas!$G$9:$K$124,5,0)*(INT($C$5)+1-$C$5)),(+VLOOKUP(INT(D569)+1,Tablas!$G$9:$O$1240,9,0)*(D569-INT(D569))+VLOOKUP(INT(D569),Tablas!$G$9:$O$1240,9,0)*(INT(D569)+1-D569))/(VLOOKUP(INT($C$5)+1,Tablas!$G$9:$O$1240,9,0)*($C$5-INT($C$5))+VLOOKUP(INT($C$5),Tablas!$G$9:$O$124,9,0)*(INT($C$5)+1-$C$5)))</f>
      </c>
      <c r="G569" s="791">
        <f>IF($C$4="Hombre",(+VLOOKUP(INT(D569)+1,Tablas!$G$9:$K$1240,5,0)*(D569-INT(D569))+VLOOKUP(INT(D569),Tablas!$G$9:$K$1240,5,0)*(INT(D569)+1-D569)),+VLOOKUP(INT(D569)+1,Tablas!$G$9:$O$1240,9,0)*(D569-INT(D569))+VLOOKUP(INT(D569),Tablas!$G$9:$O$1240,9,0)*(INT(D569)+1-D569))</f>
      </c>
      <c r="H569" s="801">
        <f>+IF(MONTH(B569)=1,H568*(1+$C$9),H568)</f>
      </c>
      <c r="I569" s="791">
        <f>IF(B569&lt;$C$10,0,IF(B569&lt;$C$11,$C$8/12*E569*F569*H569,0))</f>
      </c>
      <c r="J569" s="791">
        <f>I569*12/14+IF(OR(MONTH(C569)=6,MONTH(C569)=12),I569*12/14,0)</f>
      </c>
      <c r="K569" s="801">
        <f>G569/$G$15</f>
      </c>
      <c r="L569" s="760"/>
      <c r="M569" s="767"/>
      <c r="N569" s="168"/>
      <c r="O569" s="768"/>
      <c r="P569" s="170"/>
      <c r="Q569" s="7"/>
      <c r="R569" s="766"/>
      <c r="S569" s="170"/>
      <c r="T569" s="168"/>
      <c r="U569" s="170"/>
    </row>
    <row x14ac:dyDescent="0.25" r="570" customHeight="1" ht="18.75">
      <c r="A570" s="1"/>
      <c r="B570" s="799">
        <f>+DATE(YEAR(B569),MONTH(B569)+1,DAY(B569))</f>
        <v>25569.041666666668</v>
      </c>
      <c r="C570" s="799">
        <f>+B571-1</f>
        <v>25569.041666666668</v>
      </c>
      <c r="D570" s="791">
        <f>-_xlfn.DAYS($C$3,C570)/365.25</f>
      </c>
      <c r="E570" s="800">
        <f>IF($D$17+40&lt;=D570,(1+$D$7)^-(D570-$C$5),(1+$C$7)^-(D570-$C$5))</f>
      </c>
      <c r="F570" s="801">
        <f>IF($C$4="Hombre",(+VLOOKUP(INT(D570)+1,Tablas!$G$9:$K$1240,5,0)*(D570-INT(D570))+VLOOKUP(INT(D570),Tablas!$G$9:$K$1240,5,0)*(INT(D570)+1-D570))/(VLOOKUP(INT($C$5)+1,Tablas!$G$9:$K$1240,5,0)*($C$5-INT($C$5))+VLOOKUP(INT($C$5),Tablas!$G$9:$K$124,5,0)*(INT($C$5)+1-$C$5)),(+VLOOKUP(INT(D570)+1,Tablas!$G$9:$O$1240,9,0)*(D570-INT(D570))+VLOOKUP(INT(D570),Tablas!$G$9:$O$1240,9,0)*(INT(D570)+1-D570))/(VLOOKUP(INT($C$5)+1,Tablas!$G$9:$O$1240,9,0)*($C$5-INT($C$5))+VLOOKUP(INT($C$5),Tablas!$G$9:$O$124,9,0)*(INT($C$5)+1-$C$5)))</f>
      </c>
      <c r="G570" s="791">
        <f>IF($C$4="Hombre",(+VLOOKUP(INT(D570)+1,Tablas!$G$9:$K$1240,5,0)*(D570-INT(D570))+VLOOKUP(INT(D570),Tablas!$G$9:$K$1240,5,0)*(INT(D570)+1-D570)),+VLOOKUP(INT(D570)+1,Tablas!$G$9:$O$1240,9,0)*(D570-INT(D570))+VLOOKUP(INT(D570),Tablas!$G$9:$O$1240,9,0)*(INT(D570)+1-D570))</f>
      </c>
      <c r="H570" s="801">
        <f>+IF(MONTH(B570)=1,H569*(1+$C$9),H569)</f>
      </c>
      <c r="I570" s="791">
        <f>IF(B570&lt;$C$10,0,IF(B570&lt;$C$11,$C$8/12*E570*F570*H570,0))</f>
      </c>
      <c r="J570" s="791">
        <f>I570*12/14+IF(OR(MONTH(C570)=6,MONTH(C570)=12),I570*12/14,0)</f>
      </c>
      <c r="K570" s="801">
        <f>G570/$G$15</f>
      </c>
      <c r="L570" s="760"/>
      <c r="M570" s="767"/>
      <c r="N570" s="168"/>
      <c r="O570" s="768"/>
      <c r="P570" s="170"/>
      <c r="Q570" s="7"/>
      <c r="R570" s="766"/>
      <c r="S570" s="170"/>
      <c r="T570" s="168"/>
      <c r="U570" s="170"/>
    </row>
    <row x14ac:dyDescent="0.25" r="571" customHeight="1" ht="18.75">
      <c r="A571" s="1"/>
      <c r="B571" s="799">
        <f>+DATE(YEAR(B570),MONTH(B570)+1,DAY(B570))</f>
        <v>25569.041666666668</v>
      </c>
      <c r="C571" s="799">
        <f>+B572-1</f>
        <v>25569.041666666668</v>
      </c>
      <c r="D571" s="791">
        <f>-_xlfn.DAYS($C$3,C571)/365.25</f>
      </c>
      <c r="E571" s="800">
        <f>IF($D$17+40&lt;=D571,(1+$D$7)^-(D571-$C$5),(1+$C$7)^-(D571-$C$5))</f>
      </c>
      <c r="F571" s="801">
        <f>IF($C$4="Hombre",(+VLOOKUP(INT(D571)+1,Tablas!$G$9:$K$1240,5,0)*(D571-INT(D571))+VLOOKUP(INT(D571),Tablas!$G$9:$K$1240,5,0)*(INT(D571)+1-D571))/(VLOOKUP(INT($C$5)+1,Tablas!$G$9:$K$1240,5,0)*($C$5-INT($C$5))+VLOOKUP(INT($C$5),Tablas!$G$9:$K$124,5,0)*(INT($C$5)+1-$C$5)),(+VLOOKUP(INT(D571)+1,Tablas!$G$9:$O$1240,9,0)*(D571-INT(D571))+VLOOKUP(INT(D571),Tablas!$G$9:$O$1240,9,0)*(INT(D571)+1-D571))/(VLOOKUP(INT($C$5)+1,Tablas!$G$9:$O$1240,9,0)*($C$5-INT($C$5))+VLOOKUP(INT($C$5),Tablas!$G$9:$O$124,9,0)*(INT($C$5)+1-$C$5)))</f>
      </c>
      <c r="G571" s="791">
        <f>IF($C$4="Hombre",(+VLOOKUP(INT(D571)+1,Tablas!$G$9:$K$1240,5,0)*(D571-INT(D571))+VLOOKUP(INT(D571),Tablas!$G$9:$K$1240,5,0)*(INT(D571)+1-D571)),+VLOOKUP(INT(D571)+1,Tablas!$G$9:$O$1240,9,0)*(D571-INT(D571))+VLOOKUP(INT(D571),Tablas!$G$9:$O$1240,9,0)*(INT(D571)+1-D571))</f>
      </c>
      <c r="H571" s="801">
        <f>+IF(MONTH(B571)=1,H570*(1+$C$9),H570)</f>
      </c>
      <c r="I571" s="791">
        <f>IF(B571&lt;$C$10,0,IF(B571&lt;$C$11,$C$8/12*E571*F571*H571,0))</f>
      </c>
      <c r="J571" s="791">
        <f>I571*12/14+IF(OR(MONTH(C571)=6,MONTH(C571)=12),I571*12/14,0)</f>
      </c>
      <c r="K571" s="801">
        <f>G571/$G$15</f>
      </c>
      <c r="L571" s="760"/>
      <c r="M571" s="767"/>
      <c r="N571" s="168"/>
      <c r="O571" s="768"/>
      <c r="P571" s="170"/>
      <c r="Q571" s="7"/>
      <c r="R571" s="766"/>
      <c r="S571" s="170"/>
      <c r="T571" s="168"/>
      <c r="U571" s="170"/>
    </row>
    <row x14ac:dyDescent="0.25" r="572" customHeight="1" ht="18.75">
      <c r="A572" s="1"/>
      <c r="B572" s="799">
        <f>+DATE(YEAR(B571),MONTH(B571)+1,DAY(B571))</f>
        <v>25569.041666666668</v>
      </c>
      <c r="C572" s="799">
        <f>+B573-1</f>
        <v>25569.041666666668</v>
      </c>
      <c r="D572" s="791">
        <f>-_xlfn.DAYS($C$3,C572)/365.25</f>
      </c>
      <c r="E572" s="800">
        <f>IF($D$17+40&lt;=D572,(1+$D$7)^-(D572-$C$5),(1+$C$7)^-(D572-$C$5))</f>
      </c>
      <c r="F572" s="801">
        <f>IF($C$4="Hombre",(+VLOOKUP(INT(D572)+1,Tablas!$G$9:$K$1240,5,0)*(D572-INT(D572))+VLOOKUP(INT(D572),Tablas!$G$9:$K$1240,5,0)*(INT(D572)+1-D572))/(VLOOKUP(INT($C$5)+1,Tablas!$G$9:$K$1240,5,0)*($C$5-INT($C$5))+VLOOKUP(INT($C$5),Tablas!$G$9:$K$124,5,0)*(INT($C$5)+1-$C$5)),(+VLOOKUP(INT(D572)+1,Tablas!$G$9:$O$1240,9,0)*(D572-INT(D572))+VLOOKUP(INT(D572),Tablas!$G$9:$O$1240,9,0)*(INT(D572)+1-D572))/(VLOOKUP(INT($C$5)+1,Tablas!$G$9:$O$1240,9,0)*($C$5-INT($C$5))+VLOOKUP(INT($C$5),Tablas!$G$9:$O$124,9,0)*(INT($C$5)+1-$C$5)))</f>
      </c>
      <c r="G572" s="791">
        <f>IF($C$4="Hombre",(+VLOOKUP(INT(D572)+1,Tablas!$G$9:$K$1240,5,0)*(D572-INT(D572))+VLOOKUP(INT(D572),Tablas!$G$9:$K$1240,5,0)*(INT(D572)+1-D572)),+VLOOKUP(INT(D572)+1,Tablas!$G$9:$O$1240,9,0)*(D572-INT(D572))+VLOOKUP(INT(D572),Tablas!$G$9:$O$1240,9,0)*(INT(D572)+1-D572))</f>
      </c>
      <c r="H572" s="801">
        <f>+IF(MONTH(B572)=1,H571*(1+$C$9),H571)</f>
      </c>
      <c r="I572" s="791">
        <f>IF(B572&lt;$C$10,0,IF(B572&lt;$C$11,$C$8/12*E572*F572*H572,0))</f>
      </c>
      <c r="J572" s="791">
        <f>I572*12/14+IF(OR(MONTH(C572)=6,MONTH(C572)=12),I572*12/14,0)</f>
      </c>
      <c r="K572" s="801">
        <f>G572/$G$15</f>
      </c>
      <c r="L572" s="760"/>
      <c r="M572" s="767"/>
      <c r="N572" s="168"/>
      <c r="O572" s="768"/>
      <c r="P572" s="170"/>
      <c r="Q572" s="7"/>
      <c r="R572" s="766"/>
      <c r="S572" s="170"/>
      <c r="T572" s="168"/>
      <c r="U572" s="170"/>
    </row>
    <row x14ac:dyDescent="0.25" r="573" customHeight="1" ht="18.75">
      <c r="A573" s="1"/>
      <c r="B573" s="799">
        <f>+DATE(YEAR(B572),MONTH(B572)+1,DAY(B572))</f>
        <v>25569.041666666668</v>
      </c>
      <c r="C573" s="799">
        <f>+B574-1</f>
        <v>25569.041666666668</v>
      </c>
      <c r="D573" s="791">
        <f>-_xlfn.DAYS($C$3,C573)/365.25</f>
      </c>
      <c r="E573" s="800">
        <f>IF($D$17+40&lt;=D573,(1+$D$7)^-(D573-$C$5),(1+$C$7)^-(D573-$C$5))</f>
      </c>
      <c r="F573" s="801">
        <f>IF($C$4="Hombre",(+VLOOKUP(INT(D573)+1,Tablas!$G$9:$K$1240,5,0)*(D573-INT(D573))+VLOOKUP(INT(D573),Tablas!$G$9:$K$1240,5,0)*(INT(D573)+1-D573))/(VLOOKUP(INT($C$5)+1,Tablas!$G$9:$K$1240,5,0)*($C$5-INT($C$5))+VLOOKUP(INT($C$5),Tablas!$G$9:$K$124,5,0)*(INT($C$5)+1-$C$5)),(+VLOOKUP(INT(D573)+1,Tablas!$G$9:$O$1240,9,0)*(D573-INT(D573))+VLOOKUP(INT(D573),Tablas!$G$9:$O$1240,9,0)*(INT(D573)+1-D573))/(VLOOKUP(INT($C$5)+1,Tablas!$G$9:$O$1240,9,0)*($C$5-INT($C$5))+VLOOKUP(INT($C$5),Tablas!$G$9:$O$124,9,0)*(INT($C$5)+1-$C$5)))</f>
      </c>
      <c r="G573" s="791">
        <f>IF($C$4="Hombre",(+VLOOKUP(INT(D573)+1,Tablas!$G$9:$K$1240,5,0)*(D573-INT(D573))+VLOOKUP(INT(D573),Tablas!$G$9:$K$1240,5,0)*(INT(D573)+1-D573)),+VLOOKUP(INT(D573)+1,Tablas!$G$9:$O$1240,9,0)*(D573-INT(D573))+VLOOKUP(INT(D573),Tablas!$G$9:$O$1240,9,0)*(INT(D573)+1-D573))</f>
      </c>
      <c r="H573" s="801">
        <f>+IF(MONTH(B573)=1,H572*(1+$C$9),H572)</f>
      </c>
      <c r="I573" s="791">
        <f>IF(B573&lt;$C$10,0,IF(B573&lt;$C$11,$C$8/12*E573*F573*H573,0))</f>
      </c>
      <c r="J573" s="791">
        <f>I573*12/14+IF(OR(MONTH(C573)=6,MONTH(C573)=12),I573*12/14,0)</f>
      </c>
      <c r="K573" s="801">
        <f>G573/$G$15</f>
      </c>
      <c r="L573" s="760"/>
      <c r="M573" s="767"/>
      <c r="N573" s="168"/>
      <c r="O573" s="768"/>
      <c r="P573" s="170"/>
      <c r="Q573" s="7"/>
      <c r="R573" s="766"/>
      <c r="S573" s="170"/>
      <c r="T573" s="168"/>
      <c r="U573" s="170"/>
    </row>
    <row x14ac:dyDescent="0.25" r="574" customHeight="1" ht="18.75">
      <c r="A574" s="1"/>
      <c r="B574" s="799">
        <f>+DATE(YEAR(B573),MONTH(B573)+1,DAY(B573))</f>
        <v>25569.041666666668</v>
      </c>
      <c r="C574" s="799">
        <f>+B575-1</f>
        <v>25569.041666666668</v>
      </c>
      <c r="D574" s="791">
        <f>-_xlfn.DAYS($C$3,C574)/365.25</f>
      </c>
      <c r="E574" s="800">
        <f>IF($D$17+40&lt;=D574,(1+$D$7)^-(D574-$C$5),(1+$C$7)^-(D574-$C$5))</f>
      </c>
      <c r="F574" s="801">
        <f>IF($C$4="Hombre",(+VLOOKUP(INT(D574)+1,Tablas!$G$9:$K$1240,5,0)*(D574-INT(D574))+VLOOKUP(INT(D574),Tablas!$G$9:$K$1240,5,0)*(INT(D574)+1-D574))/(VLOOKUP(INT($C$5)+1,Tablas!$G$9:$K$1240,5,0)*($C$5-INT($C$5))+VLOOKUP(INT($C$5),Tablas!$G$9:$K$124,5,0)*(INT($C$5)+1-$C$5)),(+VLOOKUP(INT(D574)+1,Tablas!$G$9:$O$1240,9,0)*(D574-INT(D574))+VLOOKUP(INT(D574),Tablas!$G$9:$O$1240,9,0)*(INT(D574)+1-D574))/(VLOOKUP(INT($C$5)+1,Tablas!$G$9:$O$1240,9,0)*($C$5-INT($C$5))+VLOOKUP(INT($C$5),Tablas!$G$9:$O$124,9,0)*(INT($C$5)+1-$C$5)))</f>
      </c>
      <c r="G574" s="791">
        <f>IF($C$4="Hombre",(+VLOOKUP(INT(D574)+1,Tablas!$G$9:$K$1240,5,0)*(D574-INT(D574))+VLOOKUP(INT(D574),Tablas!$G$9:$K$1240,5,0)*(INT(D574)+1-D574)),+VLOOKUP(INT(D574)+1,Tablas!$G$9:$O$1240,9,0)*(D574-INT(D574))+VLOOKUP(INT(D574),Tablas!$G$9:$O$1240,9,0)*(INT(D574)+1-D574))</f>
      </c>
      <c r="H574" s="801">
        <f>+IF(MONTH(B574)=1,H573*(1+$C$9),H573)</f>
      </c>
      <c r="I574" s="791">
        <f>IF(B574&lt;$C$10,0,IF(B574&lt;$C$11,$C$8/12*E574*F574*H574,0))</f>
      </c>
      <c r="J574" s="791">
        <f>I574*12/14+IF(OR(MONTH(C574)=6,MONTH(C574)=12),I574*12/14,0)</f>
      </c>
      <c r="K574" s="801">
        <f>G574/$G$15</f>
      </c>
      <c r="L574" s="760"/>
      <c r="M574" s="767"/>
      <c r="N574" s="168"/>
      <c r="O574" s="768"/>
      <c r="P574" s="170"/>
      <c r="Q574" s="7"/>
      <c r="R574" s="766"/>
      <c r="S574" s="170"/>
      <c r="T574" s="168"/>
      <c r="U574" s="170"/>
    </row>
    <row x14ac:dyDescent="0.25" r="575" customHeight="1" ht="18.75">
      <c r="A575" s="1"/>
      <c r="B575" s="799">
        <f>+DATE(YEAR(B574),MONTH(B574)+1,DAY(B574))</f>
        <v>25569.041666666668</v>
      </c>
      <c r="C575" s="799">
        <f>+B576-1</f>
        <v>25569.041666666668</v>
      </c>
      <c r="D575" s="791">
        <f>-_xlfn.DAYS($C$3,C575)/365.25</f>
      </c>
      <c r="E575" s="800">
        <f>IF($D$17+40&lt;=D575,(1+$D$7)^-(D575-$C$5),(1+$C$7)^-(D575-$C$5))</f>
      </c>
      <c r="F575" s="801">
        <f>IF($C$4="Hombre",(+VLOOKUP(INT(D575)+1,Tablas!$G$9:$K$1240,5,0)*(D575-INT(D575))+VLOOKUP(INT(D575),Tablas!$G$9:$K$1240,5,0)*(INT(D575)+1-D575))/(VLOOKUP(INT($C$5)+1,Tablas!$G$9:$K$1240,5,0)*($C$5-INT($C$5))+VLOOKUP(INT($C$5),Tablas!$G$9:$K$124,5,0)*(INT($C$5)+1-$C$5)),(+VLOOKUP(INT(D575)+1,Tablas!$G$9:$O$1240,9,0)*(D575-INT(D575))+VLOOKUP(INT(D575),Tablas!$G$9:$O$1240,9,0)*(INT(D575)+1-D575))/(VLOOKUP(INT($C$5)+1,Tablas!$G$9:$O$1240,9,0)*($C$5-INT($C$5))+VLOOKUP(INT($C$5),Tablas!$G$9:$O$124,9,0)*(INT($C$5)+1-$C$5)))</f>
      </c>
      <c r="G575" s="791">
        <f>IF($C$4="Hombre",(+VLOOKUP(INT(D575)+1,Tablas!$G$9:$K$1240,5,0)*(D575-INT(D575))+VLOOKUP(INT(D575),Tablas!$G$9:$K$1240,5,0)*(INT(D575)+1-D575)),+VLOOKUP(INT(D575)+1,Tablas!$G$9:$O$1240,9,0)*(D575-INT(D575))+VLOOKUP(INT(D575),Tablas!$G$9:$O$1240,9,0)*(INT(D575)+1-D575))</f>
      </c>
      <c r="H575" s="801">
        <f>+IF(MONTH(B575)=1,H574*(1+$C$9),H574)</f>
      </c>
      <c r="I575" s="791">
        <f>IF(B575&lt;$C$10,0,IF(B575&lt;$C$11,$C$8/12*E575*F575*H575,0))</f>
      </c>
      <c r="J575" s="791">
        <f>I575*12/14+IF(OR(MONTH(C575)=6,MONTH(C575)=12),I575*12/14,0)</f>
      </c>
      <c r="K575" s="801">
        <f>G575/$G$15</f>
      </c>
      <c r="L575" s="760"/>
      <c r="M575" s="767"/>
      <c r="N575" s="168"/>
      <c r="O575" s="768"/>
      <c r="P575" s="170"/>
      <c r="Q575" s="7"/>
      <c r="R575" s="766"/>
      <c r="S575" s="170"/>
      <c r="T575" s="168"/>
      <c r="U575" s="170"/>
    </row>
    <row x14ac:dyDescent="0.25" r="576" customHeight="1" ht="18.75">
      <c r="A576" s="1"/>
      <c r="B576" s="799">
        <f>+DATE(YEAR(B575),MONTH(B575)+1,DAY(B575))</f>
        <v>25569.041666666668</v>
      </c>
      <c r="C576" s="799">
        <f>+B577-1</f>
        <v>25569.041666666668</v>
      </c>
      <c r="D576" s="791">
        <f>-_xlfn.DAYS($C$3,C576)/365.25</f>
      </c>
      <c r="E576" s="800">
        <f>IF($D$17+40&lt;=D576,(1+$D$7)^-(D576-$C$5),(1+$C$7)^-(D576-$C$5))</f>
      </c>
      <c r="F576" s="801">
        <f>IF($C$4="Hombre",(+VLOOKUP(INT(D576)+1,Tablas!$G$9:$K$1240,5,0)*(D576-INT(D576))+VLOOKUP(INT(D576),Tablas!$G$9:$K$1240,5,0)*(INT(D576)+1-D576))/(VLOOKUP(INT($C$5)+1,Tablas!$G$9:$K$1240,5,0)*($C$5-INT($C$5))+VLOOKUP(INT($C$5),Tablas!$G$9:$K$124,5,0)*(INT($C$5)+1-$C$5)),(+VLOOKUP(INT(D576)+1,Tablas!$G$9:$O$1240,9,0)*(D576-INT(D576))+VLOOKUP(INT(D576),Tablas!$G$9:$O$1240,9,0)*(INT(D576)+1-D576))/(VLOOKUP(INT($C$5)+1,Tablas!$G$9:$O$1240,9,0)*($C$5-INT($C$5))+VLOOKUP(INT($C$5),Tablas!$G$9:$O$124,9,0)*(INT($C$5)+1-$C$5)))</f>
      </c>
      <c r="G576" s="791">
        <f>IF($C$4="Hombre",(+VLOOKUP(INT(D576)+1,Tablas!$G$9:$K$1240,5,0)*(D576-INT(D576))+VLOOKUP(INT(D576),Tablas!$G$9:$K$1240,5,0)*(INT(D576)+1-D576)),+VLOOKUP(INT(D576)+1,Tablas!$G$9:$O$1240,9,0)*(D576-INT(D576))+VLOOKUP(INT(D576),Tablas!$G$9:$O$1240,9,0)*(INT(D576)+1-D576))</f>
      </c>
      <c r="H576" s="801">
        <f>+IF(MONTH(B576)=1,H575*(1+$C$9),H575)</f>
      </c>
      <c r="I576" s="791">
        <f>IF(B576&lt;$C$10,0,IF(B576&lt;$C$11,$C$8/12*E576*F576*H576,0))</f>
      </c>
      <c r="J576" s="791">
        <f>I576*12/14+IF(OR(MONTH(C576)=6,MONTH(C576)=12),I576*12/14,0)</f>
      </c>
      <c r="K576" s="801">
        <f>G576/$G$15</f>
      </c>
      <c r="L576" s="760"/>
      <c r="M576" s="767"/>
      <c r="N576" s="168"/>
      <c r="O576" s="768"/>
      <c r="P576" s="170"/>
      <c r="Q576" s="7"/>
      <c r="R576" s="766"/>
      <c r="S576" s="170"/>
      <c r="T576" s="168"/>
      <c r="U576" s="170"/>
    </row>
    <row x14ac:dyDescent="0.25" r="577" customHeight="1" ht="18.75">
      <c r="A577" s="1"/>
      <c r="B577" s="799">
        <f>+DATE(YEAR(B576),MONTH(B576)+1,DAY(B576))</f>
        <v>25569.041666666668</v>
      </c>
      <c r="C577" s="799">
        <f>+B578-1</f>
        <v>25569.041666666668</v>
      </c>
      <c r="D577" s="791">
        <f>-_xlfn.DAYS($C$3,C577)/365.25</f>
      </c>
      <c r="E577" s="800">
        <f>IF($D$17+40&lt;=D577,(1+$D$7)^-(D577-$C$5),(1+$C$7)^-(D577-$C$5))</f>
      </c>
      <c r="F577" s="801">
        <f>IF($C$4="Hombre",(+VLOOKUP(INT(D577)+1,Tablas!$G$9:$K$1240,5,0)*(D577-INT(D577))+VLOOKUP(INT(D577),Tablas!$G$9:$K$1240,5,0)*(INT(D577)+1-D577))/(VLOOKUP(INT($C$5)+1,Tablas!$G$9:$K$1240,5,0)*($C$5-INT($C$5))+VLOOKUP(INT($C$5),Tablas!$G$9:$K$124,5,0)*(INT($C$5)+1-$C$5)),(+VLOOKUP(INT(D577)+1,Tablas!$G$9:$O$1240,9,0)*(D577-INT(D577))+VLOOKUP(INT(D577),Tablas!$G$9:$O$1240,9,0)*(INT(D577)+1-D577))/(VLOOKUP(INT($C$5)+1,Tablas!$G$9:$O$1240,9,0)*($C$5-INT($C$5))+VLOOKUP(INT($C$5),Tablas!$G$9:$O$124,9,0)*(INT($C$5)+1-$C$5)))</f>
      </c>
      <c r="G577" s="791">
        <f>IF($C$4="Hombre",(+VLOOKUP(INT(D577)+1,Tablas!$G$9:$K$1240,5,0)*(D577-INT(D577))+VLOOKUP(INT(D577),Tablas!$G$9:$K$1240,5,0)*(INT(D577)+1-D577)),+VLOOKUP(INT(D577)+1,Tablas!$G$9:$O$1240,9,0)*(D577-INT(D577))+VLOOKUP(INT(D577),Tablas!$G$9:$O$1240,9,0)*(INT(D577)+1-D577))</f>
      </c>
      <c r="H577" s="801">
        <f>+IF(MONTH(B577)=1,H576*(1+$C$9),H576)</f>
      </c>
      <c r="I577" s="791">
        <f>IF(B577&lt;$C$10,0,IF(B577&lt;$C$11,$C$8/12*E577*F577*H577,0))</f>
      </c>
      <c r="J577" s="791">
        <f>I577*12/14+IF(OR(MONTH(C577)=6,MONTH(C577)=12),I577*12/14,0)</f>
      </c>
      <c r="K577" s="801">
        <f>G577/$G$15</f>
      </c>
      <c r="L577" s="760"/>
      <c r="M577" s="767"/>
      <c r="N577" s="168"/>
      <c r="O577" s="768"/>
      <c r="P577" s="170"/>
      <c r="Q577" s="7"/>
      <c r="R577" s="766"/>
      <c r="S577" s="170"/>
      <c r="T577" s="168"/>
      <c r="U577" s="170"/>
    </row>
    <row x14ac:dyDescent="0.25" r="578" customHeight="1" ht="18.75">
      <c r="A578" s="1"/>
      <c r="B578" s="799">
        <f>+DATE(YEAR(B577),MONTH(B577)+1,DAY(B577))</f>
        <v>25569.041666666668</v>
      </c>
      <c r="C578" s="799">
        <f>+B579-1</f>
        <v>25569.041666666668</v>
      </c>
      <c r="D578" s="791">
        <f>-_xlfn.DAYS($C$3,C578)/365.25</f>
      </c>
      <c r="E578" s="800">
        <f>IF($D$17+40&lt;=D578,(1+$D$7)^-(D578-$C$5),(1+$C$7)^-(D578-$C$5))</f>
      </c>
      <c r="F578" s="801">
        <f>IF($C$4="Hombre",(+VLOOKUP(INT(D578)+1,Tablas!$G$9:$K$1240,5,0)*(D578-INT(D578))+VLOOKUP(INT(D578),Tablas!$G$9:$K$1240,5,0)*(INT(D578)+1-D578))/(VLOOKUP(INT($C$5)+1,Tablas!$G$9:$K$1240,5,0)*($C$5-INT($C$5))+VLOOKUP(INT($C$5),Tablas!$G$9:$K$124,5,0)*(INT($C$5)+1-$C$5)),(+VLOOKUP(INT(D578)+1,Tablas!$G$9:$O$1240,9,0)*(D578-INT(D578))+VLOOKUP(INT(D578),Tablas!$G$9:$O$1240,9,0)*(INT(D578)+1-D578))/(VLOOKUP(INT($C$5)+1,Tablas!$G$9:$O$1240,9,0)*($C$5-INT($C$5))+VLOOKUP(INT($C$5),Tablas!$G$9:$O$124,9,0)*(INT($C$5)+1-$C$5)))</f>
      </c>
      <c r="G578" s="791">
        <f>IF($C$4="Hombre",(+VLOOKUP(INT(D578)+1,Tablas!$G$9:$K$1240,5,0)*(D578-INT(D578))+VLOOKUP(INT(D578),Tablas!$G$9:$K$1240,5,0)*(INT(D578)+1-D578)),+VLOOKUP(INT(D578)+1,Tablas!$G$9:$O$1240,9,0)*(D578-INT(D578))+VLOOKUP(INT(D578),Tablas!$G$9:$O$1240,9,0)*(INT(D578)+1-D578))</f>
      </c>
      <c r="H578" s="801">
        <f>+IF(MONTH(B578)=1,H577*(1+$C$9),H577)</f>
      </c>
      <c r="I578" s="791">
        <f>IF(B578&lt;$C$10,0,IF(B578&lt;$C$11,$C$8/12*E578*F578*H578,0))</f>
      </c>
      <c r="J578" s="791">
        <f>I578*12/14+IF(OR(MONTH(C578)=6,MONTH(C578)=12),I578*12/14,0)</f>
      </c>
      <c r="K578" s="801">
        <f>G578/$G$15</f>
      </c>
      <c r="L578" s="760"/>
      <c r="M578" s="767"/>
      <c r="N578" s="168"/>
      <c r="O578" s="768"/>
      <c r="P578" s="170"/>
      <c r="Q578" s="7"/>
      <c r="R578" s="766"/>
      <c r="S578" s="170"/>
      <c r="T578" s="168"/>
      <c r="U578" s="170"/>
    </row>
    <row x14ac:dyDescent="0.25" r="579" customHeight="1" ht="18.75">
      <c r="A579" s="1"/>
      <c r="B579" s="799">
        <f>+DATE(YEAR(B578),MONTH(B578)+1,DAY(B578))</f>
        <v>25569.041666666668</v>
      </c>
      <c r="C579" s="799">
        <f>+B580-1</f>
        <v>25569.041666666668</v>
      </c>
      <c r="D579" s="791">
        <f>-_xlfn.DAYS($C$3,C579)/365.25</f>
      </c>
      <c r="E579" s="800">
        <f>IF($D$17+40&lt;=D579,(1+$D$7)^-(D579-$C$5),(1+$C$7)^-(D579-$C$5))</f>
      </c>
      <c r="F579" s="801">
        <f>IF($C$4="Hombre",(+VLOOKUP(INT(D579)+1,Tablas!$G$9:$K$1240,5,0)*(D579-INT(D579))+VLOOKUP(INT(D579),Tablas!$G$9:$K$1240,5,0)*(INT(D579)+1-D579))/(VLOOKUP(INT($C$5)+1,Tablas!$G$9:$K$1240,5,0)*($C$5-INT($C$5))+VLOOKUP(INT($C$5),Tablas!$G$9:$K$124,5,0)*(INT($C$5)+1-$C$5)),(+VLOOKUP(INT(D579)+1,Tablas!$G$9:$O$1240,9,0)*(D579-INT(D579))+VLOOKUP(INT(D579),Tablas!$G$9:$O$1240,9,0)*(INT(D579)+1-D579))/(VLOOKUP(INT($C$5)+1,Tablas!$G$9:$O$1240,9,0)*($C$5-INT($C$5))+VLOOKUP(INT($C$5),Tablas!$G$9:$O$124,9,0)*(INT($C$5)+1-$C$5)))</f>
      </c>
      <c r="G579" s="791">
        <f>IF($C$4="Hombre",(+VLOOKUP(INT(D579)+1,Tablas!$G$9:$K$1240,5,0)*(D579-INT(D579))+VLOOKUP(INT(D579),Tablas!$G$9:$K$1240,5,0)*(INT(D579)+1-D579)),+VLOOKUP(INT(D579)+1,Tablas!$G$9:$O$1240,9,0)*(D579-INT(D579))+VLOOKUP(INT(D579),Tablas!$G$9:$O$1240,9,0)*(INT(D579)+1-D579))</f>
      </c>
      <c r="H579" s="801">
        <f>+IF(MONTH(B579)=1,H578*(1+$C$9),H578)</f>
      </c>
      <c r="I579" s="791">
        <f>IF(B579&lt;$C$10,0,IF(B579&lt;$C$11,$C$8/12*E579*F579*H579,0))</f>
      </c>
      <c r="J579" s="791">
        <f>I579*12/14+IF(OR(MONTH(C579)=6,MONTH(C579)=12),I579*12/14,0)</f>
      </c>
      <c r="K579" s="801">
        <f>G579/$G$15</f>
      </c>
      <c r="L579" s="760"/>
      <c r="M579" s="767"/>
      <c r="N579" s="168"/>
      <c r="O579" s="768"/>
      <c r="P579" s="170"/>
      <c r="Q579" s="7"/>
      <c r="R579" s="766"/>
      <c r="S579" s="170"/>
      <c r="T579" s="168"/>
      <c r="U579" s="170"/>
    </row>
    <row x14ac:dyDescent="0.25" r="580" customHeight="1" ht="18.75">
      <c r="A580" s="1"/>
      <c r="B580" s="799">
        <f>+DATE(YEAR(B579),MONTH(B579)+1,DAY(B579))</f>
        <v>25569.041666666668</v>
      </c>
      <c r="C580" s="799">
        <f>+B581-1</f>
        <v>25569.041666666668</v>
      </c>
      <c r="D580" s="791">
        <f>-_xlfn.DAYS($C$3,C580)/365.25</f>
      </c>
      <c r="E580" s="800">
        <f>IF($D$17+40&lt;=D580,(1+$D$7)^-(D580-$C$5),(1+$C$7)^-(D580-$C$5))</f>
      </c>
      <c r="F580" s="801">
        <f>IF($C$4="Hombre",(+VLOOKUP(INT(D580)+1,Tablas!$G$9:$K$1240,5,0)*(D580-INT(D580))+VLOOKUP(INT(D580),Tablas!$G$9:$K$1240,5,0)*(INT(D580)+1-D580))/(VLOOKUP(INT($C$5)+1,Tablas!$G$9:$K$1240,5,0)*($C$5-INT($C$5))+VLOOKUP(INT($C$5),Tablas!$G$9:$K$124,5,0)*(INT($C$5)+1-$C$5)),(+VLOOKUP(INT(D580)+1,Tablas!$G$9:$O$1240,9,0)*(D580-INT(D580))+VLOOKUP(INT(D580),Tablas!$G$9:$O$1240,9,0)*(INT(D580)+1-D580))/(VLOOKUP(INT($C$5)+1,Tablas!$G$9:$O$1240,9,0)*($C$5-INT($C$5))+VLOOKUP(INT($C$5),Tablas!$G$9:$O$124,9,0)*(INT($C$5)+1-$C$5)))</f>
      </c>
      <c r="G580" s="791">
        <f>IF($C$4="Hombre",(+VLOOKUP(INT(D580)+1,Tablas!$G$9:$K$1240,5,0)*(D580-INT(D580))+VLOOKUP(INT(D580),Tablas!$G$9:$K$1240,5,0)*(INT(D580)+1-D580)),+VLOOKUP(INT(D580)+1,Tablas!$G$9:$O$1240,9,0)*(D580-INT(D580))+VLOOKUP(INT(D580),Tablas!$G$9:$O$1240,9,0)*(INT(D580)+1-D580))</f>
      </c>
      <c r="H580" s="801">
        <f>+IF(MONTH(B580)=1,H579*(1+$C$9),H579)</f>
      </c>
      <c r="I580" s="791">
        <f>IF(B580&lt;$C$10,0,IF(B580&lt;$C$11,$C$8/12*E580*F580*H580,0))</f>
      </c>
      <c r="J580" s="791">
        <f>I580*12/14+IF(OR(MONTH(C580)=6,MONTH(C580)=12),I580*12/14,0)</f>
      </c>
      <c r="K580" s="801">
        <f>G580/$G$15</f>
      </c>
      <c r="L580" s="760"/>
      <c r="M580" s="767"/>
      <c r="N580" s="168"/>
      <c r="O580" s="768"/>
      <c r="P580" s="170"/>
      <c r="Q580" s="7"/>
      <c r="R580" s="766"/>
      <c r="S580" s="170"/>
      <c r="T580" s="168"/>
      <c r="U580" s="170"/>
    </row>
    <row x14ac:dyDescent="0.25" r="581" customHeight="1" ht="18.75">
      <c r="A581" s="1"/>
      <c r="B581" s="799">
        <f>+DATE(YEAR(B580),MONTH(B580)+1,DAY(B580))</f>
        <v>25569.041666666668</v>
      </c>
      <c r="C581" s="799">
        <f>+B582-1</f>
        <v>25569.041666666668</v>
      </c>
      <c r="D581" s="791">
        <f>-_xlfn.DAYS($C$3,C581)/365.25</f>
      </c>
      <c r="E581" s="800">
        <f>IF($D$17+40&lt;=D581,(1+$D$7)^-(D581-$C$5),(1+$C$7)^-(D581-$C$5))</f>
      </c>
      <c r="F581" s="801">
        <f>IF($C$4="Hombre",(+VLOOKUP(INT(D581)+1,Tablas!$G$9:$K$1240,5,0)*(D581-INT(D581))+VLOOKUP(INT(D581),Tablas!$G$9:$K$1240,5,0)*(INT(D581)+1-D581))/(VLOOKUP(INT($C$5)+1,Tablas!$G$9:$K$1240,5,0)*($C$5-INT($C$5))+VLOOKUP(INT($C$5),Tablas!$G$9:$K$124,5,0)*(INT($C$5)+1-$C$5)),(+VLOOKUP(INT(D581)+1,Tablas!$G$9:$O$1240,9,0)*(D581-INT(D581))+VLOOKUP(INT(D581),Tablas!$G$9:$O$1240,9,0)*(INT(D581)+1-D581))/(VLOOKUP(INT($C$5)+1,Tablas!$G$9:$O$1240,9,0)*($C$5-INT($C$5))+VLOOKUP(INT($C$5),Tablas!$G$9:$O$124,9,0)*(INT($C$5)+1-$C$5)))</f>
      </c>
      <c r="G581" s="791">
        <f>IF($C$4="Hombre",(+VLOOKUP(INT(D581)+1,Tablas!$G$9:$K$1240,5,0)*(D581-INT(D581))+VLOOKUP(INT(D581),Tablas!$G$9:$K$1240,5,0)*(INT(D581)+1-D581)),+VLOOKUP(INT(D581)+1,Tablas!$G$9:$O$1240,9,0)*(D581-INT(D581))+VLOOKUP(INT(D581),Tablas!$G$9:$O$1240,9,0)*(INT(D581)+1-D581))</f>
      </c>
      <c r="H581" s="801">
        <f>+IF(MONTH(B581)=1,H580*(1+$C$9),H580)</f>
      </c>
      <c r="I581" s="791">
        <f>IF(B581&lt;$C$10,0,IF(B581&lt;$C$11,$C$8/12*E581*F581*H581,0))</f>
      </c>
      <c r="J581" s="791">
        <f>I581*12/14+IF(OR(MONTH(C581)=6,MONTH(C581)=12),I581*12/14,0)</f>
      </c>
      <c r="K581" s="801">
        <f>G581/$G$15</f>
      </c>
      <c r="L581" s="760"/>
      <c r="M581" s="767"/>
      <c r="N581" s="168"/>
      <c r="O581" s="768"/>
      <c r="P581" s="170"/>
      <c r="Q581" s="7"/>
      <c r="R581" s="766"/>
      <c r="S581" s="170"/>
      <c r="T581" s="168"/>
      <c r="U581" s="170"/>
    </row>
    <row x14ac:dyDescent="0.25" r="582" customHeight="1" ht="18.75">
      <c r="A582" s="1"/>
      <c r="B582" s="799">
        <f>+DATE(YEAR(B581),MONTH(B581)+1,DAY(B581))</f>
        <v>25569.041666666668</v>
      </c>
      <c r="C582" s="799">
        <f>+B583-1</f>
        <v>25569.041666666668</v>
      </c>
      <c r="D582" s="791">
        <f>-_xlfn.DAYS($C$3,C582)/365.25</f>
      </c>
      <c r="E582" s="800">
        <f>IF($D$17+40&lt;=D582,(1+$D$7)^-(D582-$C$5),(1+$C$7)^-(D582-$C$5))</f>
      </c>
      <c r="F582" s="801">
        <f>IF($C$4="Hombre",(+VLOOKUP(INT(D582)+1,Tablas!$G$9:$K$1240,5,0)*(D582-INT(D582))+VLOOKUP(INT(D582),Tablas!$G$9:$K$1240,5,0)*(INT(D582)+1-D582))/(VLOOKUP(INT($C$5)+1,Tablas!$G$9:$K$1240,5,0)*($C$5-INT($C$5))+VLOOKUP(INT($C$5),Tablas!$G$9:$K$124,5,0)*(INT($C$5)+1-$C$5)),(+VLOOKUP(INT(D582)+1,Tablas!$G$9:$O$1240,9,0)*(D582-INT(D582))+VLOOKUP(INT(D582),Tablas!$G$9:$O$1240,9,0)*(INT(D582)+1-D582))/(VLOOKUP(INT($C$5)+1,Tablas!$G$9:$O$1240,9,0)*($C$5-INT($C$5))+VLOOKUP(INT($C$5),Tablas!$G$9:$O$124,9,0)*(INT($C$5)+1-$C$5)))</f>
      </c>
      <c r="G582" s="791">
        <f>IF($C$4="Hombre",(+VLOOKUP(INT(D582)+1,Tablas!$G$9:$K$1240,5,0)*(D582-INT(D582))+VLOOKUP(INT(D582),Tablas!$G$9:$K$1240,5,0)*(INT(D582)+1-D582)),+VLOOKUP(INT(D582)+1,Tablas!$G$9:$O$1240,9,0)*(D582-INT(D582))+VLOOKUP(INT(D582),Tablas!$G$9:$O$1240,9,0)*(INT(D582)+1-D582))</f>
      </c>
      <c r="H582" s="801">
        <f>+IF(MONTH(B582)=1,H581*(1+$C$9),H581)</f>
      </c>
      <c r="I582" s="791">
        <f>IF(B582&lt;$C$10,0,IF(B582&lt;$C$11,$C$8/12*E582*F582*H582,0))</f>
      </c>
      <c r="J582" s="791">
        <f>I582*12/14+IF(OR(MONTH(C582)=6,MONTH(C582)=12),I582*12/14,0)</f>
      </c>
      <c r="K582" s="801">
        <f>G582/$G$15</f>
      </c>
      <c r="L582" s="760"/>
      <c r="M582" s="767"/>
      <c r="N582" s="168"/>
      <c r="O582" s="768"/>
      <c r="P582" s="170"/>
      <c r="Q582" s="7"/>
      <c r="R582" s="766"/>
      <c r="S582" s="170"/>
      <c r="T582" s="168"/>
      <c r="U582" s="170"/>
    </row>
    <row x14ac:dyDescent="0.25" r="583" customHeight="1" ht="18.75">
      <c r="A583" s="1"/>
      <c r="B583" s="799">
        <f>+DATE(YEAR(B582),MONTH(B582)+1,DAY(B582))</f>
        <v>25569.041666666668</v>
      </c>
      <c r="C583" s="799">
        <f>+B584-1</f>
        <v>25569.041666666668</v>
      </c>
      <c r="D583" s="791">
        <f>-_xlfn.DAYS($C$3,C583)/365.25</f>
      </c>
      <c r="E583" s="800">
        <f>IF($D$17+40&lt;=D583,(1+$D$7)^-(D583-$C$5),(1+$C$7)^-(D583-$C$5))</f>
      </c>
      <c r="F583" s="801">
        <f>IF($C$4="Hombre",(+VLOOKUP(INT(D583)+1,Tablas!$G$9:$K$1240,5,0)*(D583-INT(D583))+VLOOKUP(INT(D583),Tablas!$G$9:$K$1240,5,0)*(INT(D583)+1-D583))/(VLOOKUP(INT($C$5)+1,Tablas!$G$9:$K$1240,5,0)*($C$5-INT($C$5))+VLOOKUP(INT($C$5),Tablas!$G$9:$K$124,5,0)*(INT($C$5)+1-$C$5)),(+VLOOKUP(INT(D583)+1,Tablas!$G$9:$O$1240,9,0)*(D583-INT(D583))+VLOOKUP(INT(D583),Tablas!$G$9:$O$1240,9,0)*(INT(D583)+1-D583))/(VLOOKUP(INT($C$5)+1,Tablas!$G$9:$O$1240,9,0)*($C$5-INT($C$5))+VLOOKUP(INT($C$5),Tablas!$G$9:$O$124,9,0)*(INT($C$5)+1-$C$5)))</f>
      </c>
      <c r="G583" s="791">
        <f>IF($C$4="Hombre",(+VLOOKUP(INT(D583)+1,Tablas!$G$9:$K$1240,5,0)*(D583-INT(D583))+VLOOKUP(INT(D583),Tablas!$G$9:$K$1240,5,0)*(INT(D583)+1-D583)),+VLOOKUP(INT(D583)+1,Tablas!$G$9:$O$1240,9,0)*(D583-INT(D583))+VLOOKUP(INT(D583),Tablas!$G$9:$O$1240,9,0)*(INT(D583)+1-D583))</f>
      </c>
      <c r="H583" s="801">
        <f>+IF(MONTH(B583)=1,H582*(1+$C$9),H582)</f>
      </c>
      <c r="I583" s="791">
        <f>IF(B583&lt;$C$10,0,IF(B583&lt;$C$11,$C$8/12*E583*F583*H583,0))</f>
      </c>
      <c r="J583" s="791">
        <f>I583*12/14+IF(OR(MONTH(C583)=6,MONTH(C583)=12),I583*12/14,0)</f>
      </c>
      <c r="K583" s="801">
        <f>G583/$G$15</f>
      </c>
      <c r="L583" s="760"/>
      <c r="M583" s="767"/>
      <c r="N583" s="168"/>
      <c r="O583" s="768"/>
      <c r="P583" s="170"/>
      <c r="Q583" s="7"/>
      <c r="R583" s="766"/>
      <c r="S583" s="170"/>
      <c r="T583" s="168"/>
      <c r="U583" s="170"/>
    </row>
    <row x14ac:dyDescent="0.25" r="584" customHeight="1" ht="18.75">
      <c r="A584" s="1"/>
      <c r="B584" s="799">
        <f>+DATE(YEAR(B583),MONTH(B583)+1,DAY(B583))</f>
        <v>25569.041666666668</v>
      </c>
      <c r="C584" s="799">
        <f>+B585-1</f>
        <v>25569.041666666668</v>
      </c>
      <c r="D584" s="791">
        <f>-_xlfn.DAYS($C$3,C584)/365.25</f>
      </c>
      <c r="E584" s="800">
        <f>IF($D$17+40&lt;=D584,(1+$D$7)^-(D584-$C$5),(1+$C$7)^-(D584-$C$5))</f>
      </c>
      <c r="F584" s="801">
        <f>IF($C$4="Hombre",(+VLOOKUP(INT(D584)+1,Tablas!$G$9:$K$1240,5,0)*(D584-INT(D584))+VLOOKUP(INT(D584),Tablas!$G$9:$K$1240,5,0)*(INT(D584)+1-D584))/(VLOOKUP(INT($C$5)+1,Tablas!$G$9:$K$1240,5,0)*($C$5-INT($C$5))+VLOOKUP(INT($C$5),Tablas!$G$9:$K$124,5,0)*(INT($C$5)+1-$C$5)),(+VLOOKUP(INT(D584)+1,Tablas!$G$9:$O$1240,9,0)*(D584-INT(D584))+VLOOKUP(INT(D584),Tablas!$G$9:$O$1240,9,0)*(INT(D584)+1-D584))/(VLOOKUP(INT($C$5)+1,Tablas!$G$9:$O$1240,9,0)*($C$5-INT($C$5))+VLOOKUP(INT($C$5),Tablas!$G$9:$O$124,9,0)*(INT($C$5)+1-$C$5)))</f>
      </c>
      <c r="G584" s="791">
        <f>IF($C$4="Hombre",(+VLOOKUP(INT(D584)+1,Tablas!$G$9:$K$1240,5,0)*(D584-INT(D584))+VLOOKUP(INT(D584),Tablas!$G$9:$K$1240,5,0)*(INT(D584)+1-D584)),+VLOOKUP(INT(D584)+1,Tablas!$G$9:$O$1240,9,0)*(D584-INT(D584))+VLOOKUP(INT(D584),Tablas!$G$9:$O$1240,9,0)*(INT(D584)+1-D584))</f>
      </c>
      <c r="H584" s="801">
        <f>+IF(MONTH(B584)=1,H583*(1+$C$9),H583)</f>
      </c>
      <c r="I584" s="791">
        <f>IF(B584&lt;$C$10,0,IF(B584&lt;$C$11,$C$8/12*E584*F584*H584,0))</f>
      </c>
      <c r="J584" s="791">
        <f>I584*12/14+IF(OR(MONTH(C584)=6,MONTH(C584)=12),I584*12/14,0)</f>
      </c>
      <c r="K584" s="801">
        <f>G584/$G$15</f>
      </c>
      <c r="L584" s="760"/>
      <c r="M584" s="767"/>
      <c r="N584" s="168"/>
      <c r="O584" s="768"/>
      <c r="P584" s="170"/>
      <c r="Q584" s="7"/>
      <c r="R584" s="766"/>
      <c r="S584" s="170"/>
      <c r="T584" s="168"/>
      <c r="U584" s="170"/>
    </row>
    <row x14ac:dyDescent="0.25" r="585" customHeight="1" ht="18.75">
      <c r="A585" s="1"/>
      <c r="B585" s="799">
        <f>+DATE(YEAR(B584),MONTH(B584)+1,DAY(B584))</f>
        <v>25569.041666666668</v>
      </c>
      <c r="C585" s="799">
        <f>+B586-1</f>
        <v>25569.041666666668</v>
      </c>
      <c r="D585" s="791">
        <f>-_xlfn.DAYS($C$3,C585)/365.25</f>
      </c>
      <c r="E585" s="800">
        <f>IF($D$17+40&lt;=D585,(1+$D$7)^-(D585-$C$5),(1+$C$7)^-(D585-$C$5))</f>
      </c>
      <c r="F585" s="801">
        <f>IF($C$4="Hombre",(+VLOOKUP(INT(D585)+1,Tablas!$G$9:$K$1240,5,0)*(D585-INT(D585))+VLOOKUP(INT(D585),Tablas!$G$9:$K$1240,5,0)*(INT(D585)+1-D585))/(VLOOKUP(INT($C$5)+1,Tablas!$G$9:$K$1240,5,0)*($C$5-INT($C$5))+VLOOKUP(INT($C$5),Tablas!$G$9:$K$124,5,0)*(INT($C$5)+1-$C$5)),(+VLOOKUP(INT(D585)+1,Tablas!$G$9:$O$1240,9,0)*(D585-INT(D585))+VLOOKUP(INT(D585),Tablas!$G$9:$O$1240,9,0)*(INT(D585)+1-D585))/(VLOOKUP(INT($C$5)+1,Tablas!$G$9:$O$1240,9,0)*($C$5-INT($C$5))+VLOOKUP(INT($C$5),Tablas!$G$9:$O$124,9,0)*(INT($C$5)+1-$C$5)))</f>
      </c>
      <c r="G585" s="791">
        <f>IF($C$4="Hombre",(+VLOOKUP(INT(D585)+1,Tablas!$G$9:$K$1240,5,0)*(D585-INT(D585))+VLOOKUP(INT(D585),Tablas!$G$9:$K$1240,5,0)*(INT(D585)+1-D585)),+VLOOKUP(INT(D585)+1,Tablas!$G$9:$O$1240,9,0)*(D585-INT(D585))+VLOOKUP(INT(D585),Tablas!$G$9:$O$1240,9,0)*(INT(D585)+1-D585))</f>
      </c>
      <c r="H585" s="801">
        <f>+IF(MONTH(B585)=1,H584*(1+$C$9),H584)</f>
      </c>
      <c r="I585" s="791">
        <f>IF(B585&lt;$C$10,0,IF(B585&lt;$C$11,$C$8/12*E585*F585*H585,0))</f>
      </c>
      <c r="J585" s="791">
        <f>I585*12/14+IF(OR(MONTH(C585)=6,MONTH(C585)=12),I585*12/14,0)</f>
      </c>
      <c r="K585" s="801">
        <f>G585/$G$15</f>
      </c>
      <c r="L585" s="760"/>
      <c r="M585" s="767"/>
      <c r="N585" s="168"/>
      <c r="O585" s="768"/>
      <c r="P585" s="170"/>
      <c r="Q585" s="7"/>
      <c r="R585" s="766"/>
      <c r="S585" s="170"/>
      <c r="T585" s="168"/>
      <c r="U585" s="170"/>
    </row>
    <row x14ac:dyDescent="0.25" r="586" customHeight="1" ht="18.75">
      <c r="A586" s="1"/>
      <c r="B586" s="799">
        <f>+DATE(YEAR(B585),MONTH(B585)+1,DAY(B585))</f>
        <v>25569.041666666668</v>
      </c>
      <c r="C586" s="799">
        <f>+B587-1</f>
        <v>25569.041666666668</v>
      </c>
      <c r="D586" s="791">
        <f>-_xlfn.DAYS($C$3,C586)/365.25</f>
      </c>
      <c r="E586" s="800">
        <f>IF($D$17+40&lt;=D586,(1+$D$7)^-(D586-$C$5),(1+$C$7)^-(D586-$C$5))</f>
      </c>
      <c r="F586" s="801">
        <f>IF($C$4="Hombre",(+VLOOKUP(INT(D586)+1,Tablas!$G$9:$K$1240,5,0)*(D586-INT(D586))+VLOOKUP(INT(D586),Tablas!$G$9:$K$1240,5,0)*(INT(D586)+1-D586))/(VLOOKUP(INT($C$5)+1,Tablas!$G$9:$K$1240,5,0)*($C$5-INT($C$5))+VLOOKUP(INT($C$5),Tablas!$G$9:$K$124,5,0)*(INT($C$5)+1-$C$5)),(+VLOOKUP(INT(D586)+1,Tablas!$G$9:$O$1240,9,0)*(D586-INT(D586))+VLOOKUP(INT(D586),Tablas!$G$9:$O$1240,9,0)*(INT(D586)+1-D586))/(VLOOKUP(INT($C$5)+1,Tablas!$G$9:$O$1240,9,0)*($C$5-INT($C$5))+VLOOKUP(INT($C$5),Tablas!$G$9:$O$124,9,0)*(INT($C$5)+1-$C$5)))</f>
      </c>
      <c r="G586" s="791">
        <f>IF($C$4="Hombre",(+VLOOKUP(INT(D586)+1,Tablas!$G$9:$K$1240,5,0)*(D586-INT(D586))+VLOOKUP(INT(D586),Tablas!$G$9:$K$1240,5,0)*(INT(D586)+1-D586)),+VLOOKUP(INT(D586)+1,Tablas!$G$9:$O$1240,9,0)*(D586-INT(D586))+VLOOKUP(INT(D586),Tablas!$G$9:$O$1240,9,0)*(INT(D586)+1-D586))</f>
      </c>
      <c r="H586" s="801">
        <f>+IF(MONTH(B586)=1,H585*(1+$C$9),H585)</f>
      </c>
      <c r="I586" s="791">
        <f>IF(B586&lt;$C$10,0,IF(B586&lt;$C$11,$C$8/12*E586*F586*H586,0))</f>
      </c>
      <c r="J586" s="791">
        <f>I586*12/14+IF(OR(MONTH(C586)=6,MONTH(C586)=12),I586*12/14,0)</f>
      </c>
      <c r="K586" s="801">
        <f>G586/$G$15</f>
      </c>
      <c r="L586" s="760"/>
      <c r="M586" s="767"/>
      <c r="N586" s="168"/>
      <c r="O586" s="768"/>
      <c r="P586" s="170"/>
      <c r="Q586" s="7"/>
      <c r="R586" s="766"/>
      <c r="S586" s="170"/>
      <c r="T586" s="168"/>
      <c r="U586" s="170"/>
    </row>
    <row x14ac:dyDescent="0.25" r="587" customHeight="1" ht="18.75">
      <c r="A587" s="1"/>
      <c r="B587" s="799">
        <f>+DATE(YEAR(B586),MONTH(B586)+1,DAY(B586))</f>
        <v>25569.041666666668</v>
      </c>
      <c r="C587" s="799">
        <f>+B588-1</f>
        <v>25569.041666666668</v>
      </c>
      <c r="D587" s="791">
        <f>-_xlfn.DAYS($C$3,C587)/365.25</f>
      </c>
      <c r="E587" s="800">
        <f>IF($D$17+40&lt;=D587,(1+$D$7)^-(D587-$C$5),(1+$C$7)^-(D587-$C$5))</f>
      </c>
      <c r="F587" s="801">
        <f>IF($C$4="Hombre",(+VLOOKUP(INT(D587)+1,Tablas!$G$9:$K$1240,5,0)*(D587-INT(D587))+VLOOKUP(INT(D587),Tablas!$G$9:$K$1240,5,0)*(INT(D587)+1-D587))/(VLOOKUP(INT($C$5)+1,Tablas!$G$9:$K$1240,5,0)*($C$5-INT($C$5))+VLOOKUP(INT($C$5),Tablas!$G$9:$K$124,5,0)*(INT($C$5)+1-$C$5)),(+VLOOKUP(INT(D587)+1,Tablas!$G$9:$O$1240,9,0)*(D587-INT(D587))+VLOOKUP(INT(D587),Tablas!$G$9:$O$1240,9,0)*(INT(D587)+1-D587))/(VLOOKUP(INT($C$5)+1,Tablas!$G$9:$O$1240,9,0)*($C$5-INT($C$5))+VLOOKUP(INT($C$5),Tablas!$G$9:$O$124,9,0)*(INT($C$5)+1-$C$5)))</f>
      </c>
      <c r="G587" s="791">
        <f>IF($C$4="Hombre",(+VLOOKUP(INT(D587)+1,Tablas!$G$9:$K$1240,5,0)*(D587-INT(D587))+VLOOKUP(INT(D587),Tablas!$G$9:$K$1240,5,0)*(INT(D587)+1-D587)),+VLOOKUP(INT(D587)+1,Tablas!$G$9:$O$1240,9,0)*(D587-INT(D587))+VLOOKUP(INT(D587),Tablas!$G$9:$O$1240,9,0)*(INT(D587)+1-D587))</f>
      </c>
      <c r="H587" s="801">
        <f>+IF(MONTH(B587)=1,H586*(1+$C$9),H586)</f>
      </c>
      <c r="I587" s="791">
        <f>IF(B587&lt;$C$10,0,IF(B587&lt;$C$11,$C$8/12*E587*F587*H587,0))</f>
      </c>
      <c r="J587" s="791">
        <f>I587*12/14+IF(OR(MONTH(C587)=6,MONTH(C587)=12),I587*12/14,0)</f>
      </c>
      <c r="K587" s="801">
        <f>G587/$G$15</f>
      </c>
      <c r="L587" s="760"/>
      <c r="M587" s="767"/>
      <c r="N587" s="168"/>
      <c r="O587" s="768"/>
      <c r="P587" s="170"/>
      <c r="Q587" s="7"/>
      <c r="R587" s="766"/>
      <c r="S587" s="170"/>
      <c r="T587" s="168"/>
      <c r="U587" s="170"/>
    </row>
    <row x14ac:dyDescent="0.25" r="588" customHeight="1" ht="18.75">
      <c r="A588" s="1"/>
      <c r="B588" s="799">
        <f>+DATE(YEAR(B587),MONTH(B587)+1,DAY(B587))</f>
        <v>25569.041666666668</v>
      </c>
      <c r="C588" s="799">
        <f>+B589-1</f>
        <v>25569.041666666668</v>
      </c>
      <c r="D588" s="791">
        <f>-_xlfn.DAYS($C$3,C588)/365.25</f>
      </c>
      <c r="E588" s="800">
        <f>IF($D$17+40&lt;=D588,(1+$D$7)^-(D588-$C$5),(1+$C$7)^-(D588-$C$5))</f>
      </c>
      <c r="F588" s="801">
        <f>IF($C$4="Hombre",(+VLOOKUP(INT(D588)+1,Tablas!$G$9:$K$1240,5,0)*(D588-INT(D588))+VLOOKUP(INT(D588),Tablas!$G$9:$K$1240,5,0)*(INT(D588)+1-D588))/(VLOOKUP(INT($C$5)+1,Tablas!$G$9:$K$1240,5,0)*($C$5-INT($C$5))+VLOOKUP(INT($C$5),Tablas!$G$9:$K$124,5,0)*(INT($C$5)+1-$C$5)),(+VLOOKUP(INT(D588)+1,Tablas!$G$9:$O$1240,9,0)*(D588-INT(D588))+VLOOKUP(INT(D588),Tablas!$G$9:$O$1240,9,0)*(INT(D588)+1-D588))/(VLOOKUP(INT($C$5)+1,Tablas!$G$9:$O$1240,9,0)*($C$5-INT($C$5))+VLOOKUP(INT($C$5),Tablas!$G$9:$O$124,9,0)*(INT($C$5)+1-$C$5)))</f>
      </c>
      <c r="G588" s="791">
        <f>IF($C$4="Hombre",(+VLOOKUP(INT(D588)+1,Tablas!$G$9:$K$1240,5,0)*(D588-INT(D588))+VLOOKUP(INT(D588),Tablas!$G$9:$K$1240,5,0)*(INT(D588)+1-D588)),+VLOOKUP(INT(D588)+1,Tablas!$G$9:$O$1240,9,0)*(D588-INT(D588))+VLOOKUP(INT(D588),Tablas!$G$9:$O$1240,9,0)*(INT(D588)+1-D588))</f>
      </c>
      <c r="H588" s="801">
        <f>+IF(MONTH(B588)=1,H587*(1+$C$9),H587)</f>
      </c>
      <c r="I588" s="791">
        <f>IF(B588&lt;$C$10,0,IF(B588&lt;$C$11,$C$8/12*E588*F588*H588,0))</f>
      </c>
      <c r="J588" s="791">
        <f>I588*12/14+IF(OR(MONTH(C588)=6,MONTH(C588)=12),I588*12/14,0)</f>
      </c>
      <c r="K588" s="801">
        <f>G588/$G$15</f>
      </c>
      <c r="L588" s="760"/>
      <c r="M588" s="767"/>
      <c r="N588" s="168"/>
      <c r="O588" s="768"/>
      <c r="P588" s="170"/>
      <c r="Q588" s="7"/>
      <c r="R588" s="766"/>
      <c r="S588" s="170"/>
      <c r="T588" s="168"/>
      <c r="U588" s="170"/>
    </row>
    <row x14ac:dyDescent="0.25" r="589" customHeight="1" ht="18.75">
      <c r="A589" s="1"/>
      <c r="B589" s="799">
        <f>+DATE(YEAR(B588),MONTH(B588)+1,DAY(B588))</f>
        <v>25569.041666666668</v>
      </c>
      <c r="C589" s="799">
        <f>+B590-1</f>
        <v>25569.041666666668</v>
      </c>
      <c r="D589" s="791">
        <f>-_xlfn.DAYS($C$3,C589)/365.25</f>
      </c>
      <c r="E589" s="800">
        <f>IF($D$17+40&lt;=D589,(1+$D$7)^-(D589-$C$5),(1+$C$7)^-(D589-$C$5))</f>
      </c>
      <c r="F589" s="801">
        <f>IF($C$4="Hombre",(+VLOOKUP(INT(D589)+1,Tablas!$G$9:$K$1240,5,0)*(D589-INT(D589))+VLOOKUP(INT(D589),Tablas!$G$9:$K$1240,5,0)*(INT(D589)+1-D589))/(VLOOKUP(INT($C$5)+1,Tablas!$G$9:$K$1240,5,0)*($C$5-INT($C$5))+VLOOKUP(INT($C$5),Tablas!$G$9:$K$124,5,0)*(INT($C$5)+1-$C$5)),(+VLOOKUP(INT(D589)+1,Tablas!$G$9:$O$1240,9,0)*(D589-INT(D589))+VLOOKUP(INT(D589),Tablas!$G$9:$O$1240,9,0)*(INT(D589)+1-D589))/(VLOOKUP(INT($C$5)+1,Tablas!$G$9:$O$1240,9,0)*($C$5-INT($C$5))+VLOOKUP(INT($C$5),Tablas!$G$9:$O$124,9,0)*(INT($C$5)+1-$C$5)))</f>
      </c>
      <c r="G589" s="791">
        <f>IF($C$4="Hombre",(+VLOOKUP(INT(D589)+1,Tablas!$G$9:$K$1240,5,0)*(D589-INT(D589))+VLOOKUP(INT(D589),Tablas!$G$9:$K$1240,5,0)*(INT(D589)+1-D589)),+VLOOKUP(INT(D589)+1,Tablas!$G$9:$O$1240,9,0)*(D589-INT(D589))+VLOOKUP(INT(D589),Tablas!$G$9:$O$1240,9,0)*(INT(D589)+1-D589))</f>
      </c>
      <c r="H589" s="801">
        <f>+IF(MONTH(B589)=1,H588*(1+$C$9),H588)</f>
      </c>
      <c r="I589" s="791">
        <f>IF(B589&lt;$C$10,0,IF(B589&lt;$C$11,$C$8/12*E589*F589*H589,0))</f>
      </c>
      <c r="J589" s="791">
        <f>I589*12/14+IF(OR(MONTH(C589)=6,MONTH(C589)=12),I589*12/14,0)</f>
      </c>
      <c r="K589" s="801">
        <f>G589/$G$15</f>
      </c>
      <c r="L589" s="760"/>
      <c r="M589" s="767"/>
      <c r="N589" s="168"/>
      <c r="O589" s="768"/>
      <c r="P589" s="170"/>
      <c r="Q589" s="7"/>
      <c r="R589" s="766"/>
      <c r="S589" s="170"/>
      <c r="T589" s="168"/>
      <c r="U589" s="170"/>
    </row>
    <row x14ac:dyDescent="0.25" r="590" customHeight="1" ht="18.75">
      <c r="A590" s="1"/>
      <c r="B590" s="799">
        <f>+DATE(YEAR(B589),MONTH(B589)+1,DAY(B589))</f>
        <v>25569.041666666668</v>
      </c>
      <c r="C590" s="799">
        <f>+B591-1</f>
        <v>25569.041666666668</v>
      </c>
      <c r="D590" s="791">
        <f>-_xlfn.DAYS($C$3,C590)/365.25</f>
      </c>
      <c r="E590" s="800">
        <f>IF($D$17+40&lt;=D590,(1+$D$7)^-(D590-$C$5),(1+$C$7)^-(D590-$C$5))</f>
      </c>
      <c r="F590" s="801">
        <f>IF($C$4="Hombre",(+VLOOKUP(INT(D590)+1,Tablas!$G$9:$K$1240,5,0)*(D590-INT(D590))+VLOOKUP(INT(D590),Tablas!$G$9:$K$1240,5,0)*(INT(D590)+1-D590))/(VLOOKUP(INT($C$5)+1,Tablas!$G$9:$K$1240,5,0)*($C$5-INT($C$5))+VLOOKUP(INT($C$5),Tablas!$G$9:$K$124,5,0)*(INT($C$5)+1-$C$5)),(+VLOOKUP(INT(D590)+1,Tablas!$G$9:$O$1240,9,0)*(D590-INT(D590))+VLOOKUP(INT(D590),Tablas!$G$9:$O$1240,9,0)*(INT(D590)+1-D590))/(VLOOKUP(INT($C$5)+1,Tablas!$G$9:$O$1240,9,0)*($C$5-INT($C$5))+VLOOKUP(INT($C$5),Tablas!$G$9:$O$124,9,0)*(INT($C$5)+1-$C$5)))</f>
      </c>
      <c r="G590" s="791">
        <f>IF($C$4="Hombre",(+VLOOKUP(INT(D590)+1,Tablas!$G$9:$K$1240,5,0)*(D590-INT(D590))+VLOOKUP(INT(D590),Tablas!$G$9:$K$1240,5,0)*(INT(D590)+1-D590)),+VLOOKUP(INT(D590)+1,Tablas!$G$9:$O$1240,9,0)*(D590-INT(D590))+VLOOKUP(INT(D590),Tablas!$G$9:$O$1240,9,0)*(INT(D590)+1-D590))</f>
      </c>
      <c r="H590" s="801">
        <f>+IF(MONTH(B590)=1,H589*(1+$C$9),H589)</f>
      </c>
      <c r="I590" s="791">
        <f>IF(B590&lt;$C$10,0,IF(B590&lt;$C$11,$C$8/12*E590*F590*H590,0))</f>
      </c>
      <c r="J590" s="791">
        <f>I590*12/14+IF(OR(MONTH(C590)=6,MONTH(C590)=12),I590*12/14,0)</f>
      </c>
      <c r="K590" s="801">
        <f>G590/$G$15</f>
      </c>
      <c r="L590" s="760"/>
      <c r="M590" s="767"/>
      <c r="N590" s="168"/>
      <c r="O590" s="768"/>
      <c r="P590" s="170"/>
      <c r="Q590" s="7"/>
      <c r="R590" s="766"/>
      <c r="S590" s="170"/>
      <c r="T590" s="168"/>
      <c r="U590" s="170"/>
    </row>
    <row x14ac:dyDescent="0.25" r="591" customHeight="1" ht="18.75">
      <c r="A591" s="1"/>
      <c r="B591" s="799">
        <f>+DATE(YEAR(B590),MONTH(B590)+1,DAY(B590))</f>
        <v>25569.041666666668</v>
      </c>
      <c r="C591" s="799">
        <f>+B592-1</f>
        <v>25569.041666666668</v>
      </c>
      <c r="D591" s="791">
        <f>-_xlfn.DAYS($C$3,C591)/365.25</f>
      </c>
      <c r="E591" s="800">
        <f>IF($D$17+40&lt;=D591,(1+$D$7)^-(D591-$C$5),(1+$C$7)^-(D591-$C$5))</f>
      </c>
      <c r="F591" s="801">
        <f>IF($C$4="Hombre",(+VLOOKUP(INT(D591)+1,Tablas!$G$9:$K$1240,5,0)*(D591-INT(D591))+VLOOKUP(INT(D591),Tablas!$G$9:$K$1240,5,0)*(INT(D591)+1-D591))/(VLOOKUP(INT($C$5)+1,Tablas!$G$9:$K$1240,5,0)*($C$5-INT($C$5))+VLOOKUP(INT($C$5),Tablas!$G$9:$K$124,5,0)*(INT($C$5)+1-$C$5)),(+VLOOKUP(INT(D591)+1,Tablas!$G$9:$O$1240,9,0)*(D591-INT(D591))+VLOOKUP(INT(D591),Tablas!$G$9:$O$1240,9,0)*(INT(D591)+1-D591))/(VLOOKUP(INT($C$5)+1,Tablas!$G$9:$O$1240,9,0)*($C$5-INT($C$5))+VLOOKUP(INT($C$5),Tablas!$G$9:$O$124,9,0)*(INT($C$5)+1-$C$5)))</f>
      </c>
      <c r="G591" s="791">
        <f>IF($C$4="Hombre",(+VLOOKUP(INT(D591)+1,Tablas!$G$9:$K$1240,5,0)*(D591-INT(D591))+VLOOKUP(INT(D591),Tablas!$G$9:$K$1240,5,0)*(INT(D591)+1-D591)),+VLOOKUP(INT(D591)+1,Tablas!$G$9:$O$1240,9,0)*(D591-INT(D591))+VLOOKUP(INT(D591),Tablas!$G$9:$O$1240,9,0)*(INT(D591)+1-D591))</f>
      </c>
      <c r="H591" s="801">
        <f>+IF(MONTH(B591)=1,H590*(1+$C$9),H590)</f>
      </c>
      <c r="I591" s="791">
        <f>IF(B591&lt;$C$10,0,IF(B591&lt;$C$11,$C$8/12*E591*F591*H591,0))</f>
      </c>
      <c r="J591" s="791">
        <f>I591*12/14+IF(OR(MONTH(C591)=6,MONTH(C591)=12),I591*12/14,0)</f>
      </c>
      <c r="K591" s="801">
        <f>G591/$G$15</f>
      </c>
      <c r="L591" s="760"/>
      <c r="M591" s="767"/>
      <c r="N591" s="168"/>
      <c r="O591" s="768"/>
      <c r="P591" s="170"/>
      <c r="Q591" s="7"/>
      <c r="R591" s="766"/>
      <c r="S591" s="170"/>
      <c r="T591" s="168"/>
      <c r="U591" s="170"/>
    </row>
    <row x14ac:dyDescent="0.25" r="592" customHeight="1" ht="18.75">
      <c r="A592" s="1"/>
      <c r="B592" s="799">
        <f>+DATE(YEAR(B591),MONTH(B591)+1,DAY(B591))</f>
        <v>25569.041666666668</v>
      </c>
      <c r="C592" s="799">
        <f>+B593-1</f>
        <v>25569.041666666668</v>
      </c>
      <c r="D592" s="791">
        <f>-_xlfn.DAYS($C$3,C592)/365.25</f>
      </c>
      <c r="E592" s="800">
        <f>IF($D$17+40&lt;=D592,(1+$D$7)^-(D592-$C$5),(1+$C$7)^-(D592-$C$5))</f>
      </c>
      <c r="F592" s="801">
        <f>IF($C$4="Hombre",(+VLOOKUP(INT(D592)+1,Tablas!$G$9:$K$1240,5,0)*(D592-INT(D592))+VLOOKUP(INT(D592),Tablas!$G$9:$K$1240,5,0)*(INT(D592)+1-D592))/(VLOOKUP(INT($C$5)+1,Tablas!$G$9:$K$1240,5,0)*($C$5-INT($C$5))+VLOOKUP(INT($C$5),Tablas!$G$9:$K$124,5,0)*(INT($C$5)+1-$C$5)),(+VLOOKUP(INT(D592)+1,Tablas!$G$9:$O$1240,9,0)*(D592-INT(D592))+VLOOKUP(INT(D592),Tablas!$G$9:$O$1240,9,0)*(INT(D592)+1-D592))/(VLOOKUP(INT($C$5)+1,Tablas!$G$9:$O$1240,9,0)*($C$5-INT($C$5))+VLOOKUP(INT($C$5),Tablas!$G$9:$O$124,9,0)*(INT($C$5)+1-$C$5)))</f>
      </c>
      <c r="G592" s="791">
        <f>IF($C$4="Hombre",(+VLOOKUP(INT(D592)+1,Tablas!$G$9:$K$1240,5,0)*(D592-INT(D592))+VLOOKUP(INT(D592),Tablas!$G$9:$K$1240,5,0)*(INT(D592)+1-D592)),+VLOOKUP(INT(D592)+1,Tablas!$G$9:$O$1240,9,0)*(D592-INT(D592))+VLOOKUP(INT(D592),Tablas!$G$9:$O$1240,9,0)*(INT(D592)+1-D592))</f>
      </c>
      <c r="H592" s="801">
        <f>+IF(MONTH(B592)=1,H591*(1+$C$9),H591)</f>
      </c>
      <c r="I592" s="791">
        <f>IF(B592&lt;$C$10,0,IF(B592&lt;$C$11,$C$8/12*E592*F592*H592,0))</f>
      </c>
      <c r="J592" s="791">
        <f>I592*12/14+IF(OR(MONTH(C592)=6,MONTH(C592)=12),I592*12/14,0)</f>
      </c>
      <c r="K592" s="801">
        <f>G592/$G$15</f>
      </c>
      <c r="L592" s="760"/>
      <c r="M592" s="767"/>
      <c r="N592" s="168"/>
      <c r="O592" s="768"/>
      <c r="P592" s="170"/>
      <c r="Q592" s="7"/>
      <c r="R592" s="766"/>
      <c r="S592" s="170"/>
      <c r="T592" s="168"/>
      <c r="U592" s="170"/>
    </row>
    <row x14ac:dyDescent="0.25" r="593" customHeight="1" ht="18.75">
      <c r="A593" s="1"/>
      <c r="B593" s="799">
        <f>+DATE(YEAR(B592),MONTH(B592)+1,DAY(B592))</f>
        <v>25569.041666666668</v>
      </c>
      <c r="C593" s="799">
        <f>+B594-1</f>
        <v>25569.041666666668</v>
      </c>
      <c r="D593" s="791">
        <f>-_xlfn.DAYS($C$3,C593)/365.25</f>
      </c>
      <c r="E593" s="800">
        <f>IF($D$17+40&lt;=D593,(1+$D$7)^-(D593-$C$5),(1+$C$7)^-(D593-$C$5))</f>
      </c>
      <c r="F593" s="801">
        <f>IF($C$4="Hombre",(+VLOOKUP(INT(D593)+1,Tablas!$G$9:$K$1240,5,0)*(D593-INT(D593))+VLOOKUP(INT(D593),Tablas!$G$9:$K$1240,5,0)*(INT(D593)+1-D593))/(VLOOKUP(INT($C$5)+1,Tablas!$G$9:$K$1240,5,0)*($C$5-INT($C$5))+VLOOKUP(INT($C$5),Tablas!$G$9:$K$124,5,0)*(INT($C$5)+1-$C$5)),(+VLOOKUP(INT(D593)+1,Tablas!$G$9:$O$1240,9,0)*(D593-INT(D593))+VLOOKUP(INT(D593),Tablas!$G$9:$O$1240,9,0)*(INT(D593)+1-D593))/(VLOOKUP(INT($C$5)+1,Tablas!$G$9:$O$1240,9,0)*($C$5-INT($C$5))+VLOOKUP(INT($C$5),Tablas!$G$9:$O$124,9,0)*(INT($C$5)+1-$C$5)))</f>
      </c>
      <c r="G593" s="791">
        <f>IF($C$4="Hombre",(+VLOOKUP(INT(D593)+1,Tablas!$G$9:$K$1240,5,0)*(D593-INT(D593))+VLOOKUP(INT(D593),Tablas!$G$9:$K$1240,5,0)*(INT(D593)+1-D593)),+VLOOKUP(INT(D593)+1,Tablas!$G$9:$O$1240,9,0)*(D593-INT(D593))+VLOOKUP(INT(D593),Tablas!$G$9:$O$1240,9,0)*(INT(D593)+1-D593))</f>
      </c>
      <c r="H593" s="801">
        <f>+IF(MONTH(B593)=1,H592*(1+$C$9),H592)</f>
      </c>
      <c r="I593" s="791">
        <f>IF(B593&lt;$C$10,0,IF(B593&lt;$C$11,$C$8/12*E593*F593*H593,0))</f>
      </c>
      <c r="J593" s="791">
        <f>I593*12/14+IF(OR(MONTH(C593)=6,MONTH(C593)=12),I593*12/14,0)</f>
      </c>
      <c r="K593" s="801">
        <f>G593/$G$15</f>
      </c>
      <c r="L593" s="760"/>
      <c r="M593" s="767"/>
      <c r="N593" s="168"/>
      <c r="O593" s="768"/>
      <c r="P593" s="170"/>
      <c r="Q593" s="7"/>
      <c r="R593" s="766"/>
      <c r="S593" s="170"/>
      <c r="T593" s="168"/>
      <c r="U593" s="170"/>
    </row>
    <row x14ac:dyDescent="0.25" r="594" customHeight="1" ht="18.75">
      <c r="A594" s="1"/>
      <c r="B594" s="799">
        <f>+DATE(YEAR(B593),MONTH(B593)+1,DAY(B593))</f>
        <v>25569.041666666668</v>
      </c>
      <c r="C594" s="799">
        <f>+B595-1</f>
        <v>25569.041666666668</v>
      </c>
      <c r="D594" s="791">
        <f>-_xlfn.DAYS($C$3,C594)/365.25</f>
      </c>
      <c r="E594" s="800">
        <f>IF($D$17+40&lt;=D594,(1+$D$7)^-(D594-$C$5),(1+$C$7)^-(D594-$C$5))</f>
      </c>
      <c r="F594" s="801">
        <f>IF($C$4="Hombre",(+VLOOKUP(INT(D594)+1,Tablas!$G$9:$K$1240,5,0)*(D594-INT(D594))+VLOOKUP(INT(D594),Tablas!$G$9:$K$1240,5,0)*(INT(D594)+1-D594))/(VLOOKUP(INT($C$5)+1,Tablas!$G$9:$K$1240,5,0)*($C$5-INT($C$5))+VLOOKUP(INT($C$5),Tablas!$G$9:$K$124,5,0)*(INT($C$5)+1-$C$5)),(+VLOOKUP(INT(D594)+1,Tablas!$G$9:$O$1240,9,0)*(D594-INT(D594))+VLOOKUP(INT(D594),Tablas!$G$9:$O$1240,9,0)*(INT(D594)+1-D594))/(VLOOKUP(INT($C$5)+1,Tablas!$G$9:$O$1240,9,0)*($C$5-INT($C$5))+VLOOKUP(INT($C$5),Tablas!$G$9:$O$124,9,0)*(INT($C$5)+1-$C$5)))</f>
      </c>
      <c r="G594" s="791">
        <f>IF($C$4="Hombre",(+VLOOKUP(INT(D594)+1,Tablas!$G$9:$K$1240,5,0)*(D594-INT(D594))+VLOOKUP(INT(D594),Tablas!$G$9:$K$1240,5,0)*(INT(D594)+1-D594)),+VLOOKUP(INT(D594)+1,Tablas!$G$9:$O$1240,9,0)*(D594-INT(D594))+VLOOKUP(INT(D594),Tablas!$G$9:$O$1240,9,0)*(INT(D594)+1-D594))</f>
      </c>
      <c r="H594" s="801">
        <f>+IF(MONTH(B594)=1,H593*(1+$C$9),H593)</f>
      </c>
      <c r="I594" s="791">
        <f>IF(B594&lt;$C$10,0,IF(B594&lt;$C$11,$C$8/12*E594*F594*H594,0))</f>
      </c>
      <c r="J594" s="791">
        <f>I594*12/14+IF(OR(MONTH(C594)=6,MONTH(C594)=12),I594*12/14,0)</f>
      </c>
      <c r="K594" s="801">
        <f>G594/$G$15</f>
      </c>
      <c r="L594" s="760"/>
      <c r="M594" s="767"/>
      <c r="N594" s="168"/>
      <c r="O594" s="768"/>
      <c r="P594" s="170"/>
      <c r="Q594" s="7"/>
      <c r="R594" s="766"/>
      <c r="S594" s="170"/>
      <c r="T594" s="168"/>
      <c r="U594" s="170"/>
    </row>
    <row x14ac:dyDescent="0.25" r="595" customHeight="1" ht="18.75">
      <c r="A595" s="1"/>
      <c r="B595" s="799">
        <f>+DATE(YEAR(B594),MONTH(B594)+1,DAY(B594))</f>
        <v>25569.041666666668</v>
      </c>
      <c r="C595" s="799">
        <f>+B596-1</f>
        <v>25569.041666666668</v>
      </c>
      <c r="D595" s="791">
        <f>-_xlfn.DAYS($C$3,C595)/365.25</f>
      </c>
      <c r="E595" s="800">
        <f>IF($D$17+40&lt;=D595,(1+$D$7)^-(D595-$C$5),(1+$C$7)^-(D595-$C$5))</f>
      </c>
      <c r="F595" s="801">
        <f>IF($C$4="Hombre",(+VLOOKUP(INT(D595)+1,Tablas!$G$9:$K$1240,5,0)*(D595-INT(D595))+VLOOKUP(INT(D595),Tablas!$G$9:$K$1240,5,0)*(INT(D595)+1-D595))/(VLOOKUP(INT($C$5)+1,Tablas!$G$9:$K$1240,5,0)*($C$5-INT($C$5))+VLOOKUP(INT($C$5),Tablas!$G$9:$K$124,5,0)*(INT($C$5)+1-$C$5)),(+VLOOKUP(INT(D595)+1,Tablas!$G$9:$O$1240,9,0)*(D595-INT(D595))+VLOOKUP(INT(D595),Tablas!$G$9:$O$1240,9,0)*(INT(D595)+1-D595))/(VLOOKUP(INT($C$5)+1,Tablas!$G$9:$O$1240,9,0)*($C$5-INT($C$5))+VLOOKUP(INT($C$5),Tablas!$G$9:$O$124,9,0)*(INT($C$5)+1-$C$5)))</f>
      </c>
      <c r="G595" s="791">
        <f>IF($C$4="Hombre",(+VLOOKUP(INT(D595)+1,Tablas!$G$9:$K$1240,5,0)*(D595-INT(D595))+VLOOKUP(INT(D595),Tablas!$G$9:$K$1240,5,0)*(INT(D595)+1-D595)),+VLOOKUP(INT(D595)+1,Tablas!$G$9:$O$1240,9,0)*(D595-INT(D595))+VLOOKUP(INT(D595),Tablas!$G$9:$O$1240,9,0)*(INT(D595)+1-D595))</f>
      </c>
      <c r="H595" s="801">
        <f>+IF(MONTH(B595)=1,H594*(1+$C$9),H594)</f>
      </c>
      <c r="I595" s="791">
        <f>IF(B595&lt;$C$10,0,IF(B595&lt;$C$11,$C$8/12*E595*F595*H595,0))</f>
      </c>
      <c r="J595" s="791">
        <f>I595*12/14+IF(OR(MONTH(C595)=6,MONTH(C595)=12),I595*12/14,0)</f>
      </c>
      <c r="K595" s="801">
        <f>G595/$G$15</f>
      </c>
      <c r="L595" s="760"/>
      <c r="M595" s="767"/>
      <c r="N595" s="168"/>
      <c r="O595" s="768"/>
      <c r="P595" s="170"/>
      <c r="Q595" s="7"/>
      <c r="R595" s="766"/>
      <c r="S595" s="170"/>
      <c r="T595" s="168"/>
      <c r="U595" s="170"/>
    </row>
    <row x14ac:dyDescent="0.25" r="596" customHeight="1" ht="18.75">
      <c r="A596" s="1"/>
      <c r="B596" s="799">
        <f>+DATE(YEAR(B595),MONTH(B595)+1,DAY(B595))</f>
        <v>25569.041666666668</v>
      </c>
      <c r="C596" s="799">
        <f>+B597-1</f>
        <v>25569.041666666668</v>
      </c>
      <c r="D596" s="791">
        <f>-_xlfn.DAYS($C$3,C596)/365.25</f>
      </c>
      <c r="E596" s="800">
        <f>IF($D$17+40&lt;=D596,(1+$D$7)^-(D596-$C$5),(1+$C$7)^-(D596-$C$5))</f>
      </c>
      <c r="F596" s="801">
        <f>IF($C$4="Hombre",(+VLOOKUP(INT(D596)+1,Tablas!$G$9:$K$1240,5,0)*(D596-INT(D596))+VLOOKUP(INT(D596),Tablas!$G$9:$K$1240,5,0)*(INT(D596)+1-D596))/(VLOOKUP(INT($C$5)+1,Tablas!$G$9:$K$1240,5,0)*($C$5-INT($C$5))+VLOOKUP(INT($C$5),Tablas!$G$9:$K$124,5,0)*(INT($C$5)+1-$C$5)),(+VLOOKUP(INT(D596)+1,Tablas!$G$9:$O$1240,9,0)*(D596-INT(D596))+VLOOKUP(INT(D596),Tablas!$G$9:$O$1240,9,0)*(INT(D596)+1-D596))/(VLOOKUP(INT($C$5)+1,Tablas!$G$9:$O$1240,9,0)*($C$5-INT($C$5))+VLOOKUP(INT($C$5),Tablas!$G$9:$O$124,9,0)*(INT($C$5)+1-$C$5)))</f>
      </c>
      <c r="G596" s="791">
        <f>IF($C$4="Hombre",(+VLOOKUP(INT(D596)+1,Tablas!$G$9:$K$1240,5,0)*(D596-INT(D596))+VLOOKUP(INT(D596),Tablas!$G$9:$K$1240,5,0)*(INT(D596)+1-D596)),+VLOOKUP(INT(D596)+1,Tablas!$G$9:$O$1240,9,0)*(D596-INT(D596))+VLOOKUP(INT(D596),Tablas!$G$9:$O$1240,9,0)*(INT(D596)+1-D596))</f>
      </c>
      <c r="H596" s="801">
        <f>+IF(MONTH(B596)=1,H595*(1+$C$9),H595)</f>
      </c>
      <c r="I596" s="791">
        <f>IF(B596&lt;$C$10,0,IF(B596&lt;$C$11,$C$8/12*E596*F596*H596,0))</f>
      </c>
      <c r="J596" s="791">
        <f>I596*12/14+IF(OR(MONTH(C596)=6,MONTH(C596)=12),I596*12/14,0)</f>
      </c>
      <c r="K596" s="801">
        <f>G596/$G$15</f>
      </c>
      <c r="L596" s="760"/>
      <c r="M596" s="767"/>
      <c r="N596" s="168"/>
      <c r="O596" s="768"/>
      <c r="P596" s="170"/>
      <c r="Q596" s="7"/>
      <c r="R596" s="766"/>
      <c r="S596" s="170"/>
      <c r="T596" s="168"/>
      <c r="U596" s="170"/>
    </row>
    <row x14ac:dyDescent="0.25" r="597" customHeight="1" ht="18.75">
      <c r="A597" s="1"/>
      <c r="B597" s="799">
        <f>+DATE(YEAR(B596),MONTH(B596)+1,DAY(B596))</f>
        <v>25569.041666666668</v>
      </c>
      <c r="C597" s="799">
        <f>+B598-1</f>
        <v>25569.041666666668</v>
      </c>
      <c r="D597" s="791">
        <f>-_xlfn.DAYS($C$3,C597)/365.25</f>
      </c>
      <c r="E597" s="800">
        <f>IF($D$17+40&lt;=D597,(1+$D$7)^-(D597-$C$5),(1+$C$7)^-(D597-$C$5))</f>
      </c>
      <c r="F597" s="801">
        <f>IF($C$4="Hombre",(+VLOOKUP(INT(D597)+1,Tablas!$G$9:$K$1240,5,0)*(D597-INT(D597))+VLOOKUP(INT(D597),Tablas!$G$9:$K$1240,5,0)*(INT(D597)+1-D597))/(VLOOKUP(INT($C$5)+1,Tablas!$G$9:$K$1240,5,0)*($C$5-INT($C$5))+VLOOKUP(INT($C$5),Tablas!$G$9:$K$124,5,0)*(INT($C$5)+1-$C$5)),(+VLOOKUP(INT(D597)+1,Tablas!$G$9:$O$1240,9,0)*(D597-INT(D597))+VLOOKUP(INT(D597),Tablas!$G$9:$O$1240,9,0)*(INT(D597)+1-D597))/(VLOOKUP(INT($C$5)+1,Tablas!$G$9:$O$1240,9,0)*($C$5-INT($C$5))+VLOOKUP(INT($C$5),Tablas!$G$9:$O$124,9,0)*(INT($C$5)+1-$C$5)))</f>
      </c>
      <c r="G597" s="791">
        <f>IF($C$4="Hombre",(+VLOOKUP(INT(D597)+1,Tablas!$G$9:$K$1240,5,0)*(D597-INT(D597))+VLOOKUP(INT(D597),Tablas!$G$9:$K$1240,5,0)*(INT(D597)+1-D597)),+VLOOKUP(INT(D597)+1,Tablas!$G$9:$O$1240,9,0)*(D597-INT(D597))+VLOOKUP(INT(D597),Tablas!$G$9:$O$1240,9,0)*(INT(D597)+1-D597))</f>
      </c>
      <c r="H597" s="801">
        <f>+IF(MONTH(B597)=1,H596*(1+$C$9),H596)</f>
      </c>
      <c r="I597" s="791">
        <f>IF(B597&lt;$C$10,0,IF(B597&lt;$C$11,$C$8/12*E597*F597*H597,0))</f>
      </c>
      <c r="J597" s="791">
        <f>I597*12/14+IF(OR(MONTH(C597)=6,MONTH(C597)=12),I597*12/14,0)</f>
      </c>
      <c r="K597" s="801">
        <f>G597/$G$15</f>
      </c>
      <c r="L597" s="760"/>
      <c r="M597" s="767"/>
      <c r="N597" s="168"/>
      <c r="O597" s="768"/>
      <c r="P597" s="170"/>
      <c r="Q597" s="7"/>
      <c r="R597" s="766"/>
      <c r="S597" s="170"/>
      <c r="T597" s="168"/>
      <c r="U597" s="170"/>
    </row>
    <row x14ac:dyDescent="0.25" r="598" customHeight="1" ht="18.75">
      <c r="A598" s="1"/>
      <c r="B598" s="799">
        <f>+DATE(YEAR(B597),MONTH(B597)+1,DAY(B597))</f>
        <v>25569.041666666668</v>
      </c>
      <c r="C598" s="799">
        <f>+B599-1</f>
        <v>25569.041666666668</v>
      </c>
      <c r="D598" s="791">
        <f>-_xlfn.DAYS($C$3,C598)/365.25</f>
      </c>
      <c r="E598" s="800">
        <f>IF($D$17+40&lt;=D598,(1+$D$7)^-(D598-$C$5),(1+$C$7)^-(D598-$C$5))</f>
      </c>
      <c r="F598" s="801">
        <f>IF($C$4="Hombre",(+VLOOKUP(INT(D598)+1,Tablas!$G$9:$K$1240,5,0)*(D598-INT(D598))+VLOOKUP(INT(D598),Tablas!$G$9:$K$1240,5,0)*(INT(D598)+1-D598))/(VLOOKUP(INT($C$5)+1,Tablas!$G$9:$K$1240,5,0)*($C$5-INT($C$5))+VLOOKUP(INT($C$5),Tablas!$G$9:$K$124,5,0)*(INT($C$5)+1-$C$5)),(+VLOOKUP(INT(D598)+1,Tablas!$G$9:$O$1240,9,0)*(D598-INT(D598))+VLOOKUP(INT(D598),Tablas!$G$9:$O$1240,9,0)*(INT(D598)+1-D598))/(VLOOKUP(INT($C$5)+1,Tablas!$G$9:$O$1240,9,0)*($C$5-INT($C$5))+VLOOKUP(INT($C$5),Tablas!$G$9:$O$124,9,0)*(INT($C$5)+1-$C$5)))</f>
      </c>
      <c r="G598" s="791">
        <f>IF($C$4="Hombre",(+VLOOKUP(INT(D598)+1,Tablas!$G$9:$K$1240,5,0)*(D598-INT(D598))+VLOOKUP(INT(D598),Tablas!$G$9:$K$1240,5,0)*(INT(D598)+1-D598)),+VLOOKUP(INT(D598)+1,Tablas!$G$9:$O$1240,9,0)*(D598-INT(D598))+VLOOKUP(INT(D598),Tablas!$G$9:$O$1240,9,0)*(INT(D598)+1-D598))</f>
      </c>
      <c r="H598" s="801">
        <f>+IF(MONTH(B598)=1,H597*(1+$C$9),H597)</f>
      </c>
      <c r="I598" s="791">
        <f>IF(B598&lt;$C$10,0,IF(B598&lt;$C$11,$C$8/12*E598*F598*H598,0))</f>
      </c>
      <c r="J598" s="791">
        <f>I598*12/14+IF(OR(MONTH(C598)=6,MONTH(C598)=12),I598*12/14,0)</f>
      </c>
      <c r="K598" s="801">
        <f>G598/$G$15</f>
      </c>
      <c r="L598" s="760"/>
      <c r="M598" s="767"/>
      <c r="N598" s="168"/>
      <c r="O598" s="768"/>
      <c r="P598" s="170"/>
      <c r="Q598" s="7"/>
      <c r="R598" s="766"/>
      <c r="S598" s="170"/>
      <c r="T598" s="168"/>
      <c r="U598" s="170"/>
    </row>
    <row x14ac:dyDescent="0.25" r="599" customHeight="1" ht="18.75">
      <c r="A599" s="1"/>
      <c r="B599" s="799">
        <f>+DATE(YEAR(B598),MONTH(B598)+1,DAY(B598))</f>
        <v>25569.041666666668</v>
      </c>
      <c r="C599" s="799">
        <f>+B600-1</f>
        <v>25569.041666666668</v>
      </c>
      <c r="D599" s="791">
        <f>-_xlfn.DAYS($C$3,C599)/365.25</f>
      </c>
      <c r="E599" s="800">
        <f>IF($D$17+40&lt;=D599,(1+$D$7)^-(D599-$C$5),(1+$C$7)^-(D599-$C$5))</f>
      </c>
      <c r="F599" s="801">
        <f>IF($C$4="Hombre",(+VLOOKUP(INT(D599)+1,Tablas!$G$9:$K$1240,5,0)*(D599-INT(D599))+VLOOKUP(INT(D599),Tablas!$G$9:$K$1240,5,0)*(INT(D599)+1-D599))/(VLOOKUP(INT($C$5)+1,Tablas!$G$9:$K$1240,5,0)*($C$5-INT($C$5))+VLOOKUP(INT($C$5),Tablas!$G$9:$K$124,5,0)*(INT($C$5)+1-$C$5)),(+VLOOKUP(INT(D599)+1,Tablas!$G$9:$O$1240,9,0)*(D599-INT(D599))+VLOOKUP(INT(D599),Tablas!$G$9:$O$1240,9,0)*(INT(D599)+1-D599))/(VLOOKUP(INT($C$5)+1,Tablas!$G$9:$O$1240,9,0)*($C$5-INT($C$5))+VLOOKUP(INT($C$5),Tablas!$G$9:$O$124,9,0)*(INT($C$5)+1-$C$5)))</f>
      </c>
      <c r="G599" s="791">
        <f>IF($C$4="Hombre",(+VLOOKUP(INT(D599)+1,Tablas!$G$9:$K$1240,5,0)*(D599-INT(D599))+VLOOKUP(INT(D599),Tablas!$G$9:$K$1240,5,0)*(INT(D599)+1-D599)),+VLOOKUP(INT(D599)+1,Tablas!$G$9:$O$1240,9,0)*(D599-INT(D599))+VLOOKUP(INT(D599),Tablas!$G$9:$O$1240,9,0)*(INT(D599)+1-D599))</f>
      </c>
      <c r="H599" s="801">
        <f>+IF(MONTH(B599)=1,H598*(1+$C$9),H598)</f>
      </c>
      <c r="I599" s="791">
        <f>IF(B599&lt;$C$10,0,IF(B599&lt;$C$11,$C$8/12*E599*F599*H599,0))</f>
      </c>
      <c r="J599" s="791">
        <f>I599*12/14+IF(OR(MONTH(C599)=6,MONTH(C599)=12),I599*12/14,0)</f>
      </c>
      <c r="K599" s="801">
        <f>G599/$G$15</f>
      </c>
      <c r="L599" s="760"/>
      <c r="M599" s="767"/>
      <c r="N599" s="168"/>
      <c r="O599" s="768"/>
      <c r="P599" s="170"/>
      <c r="Q599" s="7"/>
      <c r="R599" s="766"/>
      <c r="S599" s="170"/>
      <c r="T599" s="168"/>
      <c r="U599" s="170"/>
    </row>
    <row x14ac:dyDescent="0.25" r="600" customHeight="1" ht="18.75">
      <c r="A600" s="1"/>
      <c r="B600" s="799">
        <f>+DATE(YEAR(B599),MONTH(B599)+1,DAY(B599))</f>
        <v>25569.041666666668</v>
      </c>
      <c r="C600" s="799">
        <f>+B601-1</f>
        <v>25569.041666666668</v>
      </c>
      <c r="D600" s="791">
        <f>-_xlfn.DAYS($C$3,C600)/365.25</f>
      </c>
      <c r="E600" s="800">
        <f>IF($D$17+40&lt;=D600,(1+$D$7)^-(D600-$C$5),(1+$C$7)^-(D600-$C$5))</f>
      </c>
      <c r="F600" s="801">
        <f>IF($C$4="Hombre",(+VLOOKUP(INT(D600)+1,Tablas!$G$9:$K$1240,5,0)*(D600-INT(D600))+VLOOKUP(INT(D600),Tablas!$G$9:$K$1240,5,0)*(INT(D600)+1-D600))/(VLOOKUP(INT($C$5)+1,Tablas!$G$9:$K$1240,5,0)*($C$5-INT($C$5))+VLOOKUP(INT($C$5),Tablas!$G$9:$K$124,5,0)*(INT($C$5)+1-$C$5)),(+VLOOKUP(INT(D600)+1,Tablas!$G$9:$O$1240,9,0)*(D600-INT(D600))+VLOOKUP(INT(D600),Tablas!$G$9:$O$1240,9,0)*(INT(D600)+1-D600))/(VLOOKUP(INT($C$5)+1,Tablas!$G$9:$O$1240,9,0)*($C$5-INT($C$5))+VLOOKUP(INT($C$5),Tablas!$G$9:$O$124,9,0)*(INT($C$5)+1-$C$5)))</f>
      </c>
      <c r="G600" s="791">
        <f>IF($C$4="Hombre",(+VLOOKUP(INT(D600)+1,Tablas!$G$9:$K$1240,5,0)*(D600-INT(D600))+VLOOKUP(INT(D600),Tablas!$G$9:$K$1240,5,0)*(INT(D600)+1-D600)),+VLOOKUP(INT(D600)+1,Tablas!$G$9:$O$1240,9,0)*(D600-INT(D600))+VLOOKUP(INT(D600),Tablas!$G$9:$O$1240,9,0)*(INT(D600)+1-D600))</f>
      </c>
      <c r="H600" s="801">
        <f>+IF(MONTH(B600)=1,H599*(1+$C$9),H599)</f>
      </c>
      <c r="I600" s="791">
        <f>IF(B600&lt;$C$10,0,IF(B600&lt;$C$11,$C$8/12*E600*F600*H600,0))</f>
      </c>
      <c r="J600" s="791">
        <f>I600*12/14+IF(OR(MONTH(C600)=6,MONTH(C600)=12),I600*12/14,0)</f>
      </c>
      <c r="K600" s="801">
        <f>G600/$G$15</f>
      </c>
      <c r="L600" s="760"/>
      <c r="M600" s="767"/>
      <c r="N600" s="168"/>
      <c r="O600" s="768"/>
      <c r="P600" s="170"/>
      <c r="Q600" s="7"/>
      <c r="R600" s="766"/>
      <c r="S600" s="170"/>
      <c r="T600" s="168"/>
      <c r="U600" s="170"/>
    </row>
    <row x14ac:dyDescent="0.25" r="601" customHeight="1" ht="18.75">
      <c r="A601" s="1"/>
      <c r="B601" s="799">
        <f>+DATE(YEAR(B600),MONTH(B600)+1,DAY(B600))</f>
        <v>25569.041666666668</v>
      </c>
      <c r="C601" s="799">
        <f>+B602-1</f>
        <v>25569.041666666668</v>
      </c>
      <c r="D601" s="791">
        <f>-_xlfn.DAYS($C$3,C601)/365.25</f>
      </c>
      <c r="E601" s="800">
        <f>IF($D$17+40&lt;=D601,(1+$D$7)^-(D601-$C$5),(1+$C$7)^-(D601-$C$5))</f>
      </c>
      <c r="F601" s="801">
        <f>IF($C$4="Hombre",(+VLOOKUP(INT(D601)+1,Tablas!$G$9:$K$1240,5,0)*(D601-INT(D601))+VLOOKUP(INT(D601),Tablas!$G$9:$K$1240,5,0)*(INT(D601)+1-D601))/(VLOOKUP(INT($C$5)+1,Tablas!$G$9:$K$1240,5,0)*($C$5-INT($C$5))+VLOOKUP(INT($C$5),Tablas!$G$9:$K$124,5,0)*(INT($C$5)+1-$C$5)),(+VLOOKUP(INT(D601)+1,Tablas!$G$9:$O$1240,9,0)*(D601-INT(D601))+VLOOKUP(INT(D601),Tablas!$G$9:$O$1240,9,0)*(INT(D601)+1-D601))/(VLOOKUP(INT($C$5)+1,Tablas!$G$9:$O$1240,9,0)*($C$5-INT($C$5))+VLOOKUP(INT($C$5),Tablas!$G$9:$O$124,9,0)*(INT($C$5)+1-$C$5)))</f>
      </c>
      <c r="G601" s="791">
        <f>IF($C$4="Hombre",(+VLOOKUP(INT(D601)+1,Tablas!$G$9:$K$1240,5,0)*(D601-INT(D601))+VLOOKUP(INT(D601),Tablas!$G$9:$K$1240,5,0)*(INT(D601)+1-D601)),+VLOOKUP(INT(D601)+1,Tablas!$G$9:$O$1240,9,0)*(D601-INT(D601))+VLOOKUP(INT(D601),Tablas!$G$9:$O$1240,9,0)*(INT(D601)+1-D601))</f>
      </c>
      <c r="H601" s="801">
        <f>+IF(MONTH(B601)=1,H600*(1+$C$9),H600)</f>
      </c>
      <c r="I601" s="791">
        <f>IF(B601&lt;$C$10,0,IF(B601&lt;$C$11,$C$8/12*E601*F601*H601,0))</f>
      </c>
      <c r="J601" s="791">
        <f>I601*12/14+IF(OR(MONTH(C601)=6,MONTH(C601)=12),I601*12/14,0)</f>
      </c>
      <c r="K601" s="801">
        <f>G601/$G$15</f>
      </c>
      <c r="L601" s="760"/>
      <c r="M601" s="767"/>
      <c r="N601" s="168"/>
      <c r="O601" s="768"/>
      <c r="P601" s="170"/>
      <c r="Q601" s="7"/>
      <c r="R601" s="766"/>
      <c r="S601" s="170"/>
      <c r="T601" s="168"/>
      <c r="U601" s="170"/>
    </row>
    <row x14ac:dyDescent="0.25" r="602" customHeight="1" ht="18.75">
      <c r="A602" s="1"/>
      <c r="B602" s="799">
        <f>+DATE(YEAR(B601),MONTH(B601)+1,DAY(B601))</f>
        <v>25569.041666666668</v>
      </c>
      <c r="C602" s="799">
        <f>+B603-1</f>
        <v>25569.041666666668</v>
      </c>
      <c r="D602" s="791">
        <f>-_xlfn.DAYS($C$3,C602)/365.25</f>
      </c>
      <c r="E602" s="800">
        <f>IF($D$17+40&lt;=D602,(1+$D$7)^-(D602-$C$5),(1+$C$7)^-(D602-$C$5))</f>
      </c>
      <c r="F602" s="801">
        <f>IF($C$4="Hombre",(+VLOOKUP(INT(D602)+1,Tablas!$G$9:$K$1240,5,0)*(D602-INT(D602))+VLOOKUP(INT(D602),Tablas!$G$9:$K$1240,5,0)*(INT(D602)+1-D602))/(VLOOKUP(INT($C$5)+1,Tablas!$G$9:$K$1240,5,0)*($C$5-INT($C$5))+VLOOKUP(INT($C$5),Tablas!$G$9:$K$124,5,0)*(INT($C$5)+1-$C$5)),(+VLOOKUP(INT(D602)+1,Tablas!$G$9:$O$1240,9,0)*(D602-INT(D602))+VLOOKUP(INT(D602),Tablas!$G$9:$O$1240,9,0)*(INT(D602)+1-D602))/(VLOOKUP(INT($C$5)+1,Tablas!$G$9:$O$1240,9,0)*($C$5-INT($C$5))+VLOOKUP(INT($C$5),Tablas!$G$9:$O$124,9,0)*(INT($C$5)+1-$C$5)))</f>
      </c>
      <c r="G602" s="791">
        <f>IF($C$4="Hombre",(+VLOOKUP(INT(D602)+1,Tablas!$G$9:$K$1240,5,0)*(D602-INT(D602))+VLOOKUP(INT(D602),Tablas!$G$9:$K$1240,5,0)*(INT(D602)+1-D602)),+VLOOKUP(INT(D602)+1,Tablas!$G$9:$O$1240,9,0)*(D602-INT(D602))+VLOOKUP(INT(D602),Tablas!$G$9:$O$1240,9,0)*(INT(D602)+1-D602))</f>
      </c>
      <c r="H602" s="801">
        <f>+IF(MONTH(B602)=1,H601*(1+$C$9),H601)</f>
      </c>
      <c r="I602" s="791">
        <f>IF(B602&lt;$C$10,0,IF(B602&lt;$C$11,$C$8/12*E602*F602*H602,0))</f>
      </c>
      <c r="J602" s="791">
        <f>I602*12/14+IF(OR(MONTH(C602)=6,MONTH(C602)=12),I602*12/14,0)</f>
      </c>
      <c r="K602" s="801">
        <f>G602/$G$15</f>
      </c>
      <c r="L602" s="760"/>
      <c r="M602" s="767"/>
      <c r="N602" s="168"/>
      <c r="O602" s="768"/>
      <c r="P602" s="170"/>
      <c r="Q602" s="7"/>
      <c r="R602" s="766"/>
      <c r="S602" s="170"/>
      <c r="T602" s="168"/>
      <c r="U602" s="170"/>
    </row>
    <row x14ac:dyDescent="0.25" r="603" customHeight="1" ht="18.75">
      <c r="A603" s="1"/>
      <c r="B603" s="799">
        <f>+DATE(YEAR(B602),MONTH(B602)+1,DAY(B602))</f>
        <v>25569.041666666668</v>
      </c>
      <c r="C603" s="799">
        <f>+B604-1</f>
        <v>25569.041666666668</v>
      </c>
      <c r="D603" s="791">
        <f>-_xlfn.DAYS($C$3,C603)/365.25</f>
      </c>
      <c r="E603" s="800">
        <f>IF($D$17+40&lt;=D603,(1+$D$7)^-(D603-$C$5),(1+$C$7)^-(D603-$C$5))</f>
      </c>
      <c r="F603" s="801">
        <f>IF($C$4="Hombre",(+VLOOKUP(INT(D603)+1,Tablas!$G$9:$K$1240,5,0)*(D603-INT(D603))+VLOOKUP(INT(D603),Tablas!$G$9:$K$1240,5,0)*(INT(D603)+1-D603))/(VLOOKUP(INT($C$5)+1,Tablas!$G$9:$K$1240,5,0)*($C$5-INT($C$5))+VLOOKUP(INT($C$5),Tablas!$G$9:$K$124,5,0)*(INT($C$5)+1-$C$5)),(+VLOOKUP(INT(D603)+1,Tablas!$G$9:$O$1240,9,0)*(D603-INT(D603))+VLOOKUP(INT(D603),Tablas!$G$9:$O$1240,9,0)*(INT(D603)+1-D603))/(VLOOKUP(INT($C$5)+1,Tablas!$G$9:$O$1240,9,0)*($C$5-INT($C$5))+VLOOKUP(INT($C$5),Tablas!$G$9:$O$124,9,0)*(INT($C$5)+1-$C$5)))</f>
      </c>
      <c r="G603" s="791">
        <f>IF($C$4="Hombre",(+VLOOKUP(INT(D603)+1,Tablas!$G$9:$K$1240,5,0)*(D603-INT(D603))+VLOOKUP(INT(D603),Tablas!$G$9:$K$1240,5,0)*(INT(D603)+1-D603)),+VLOOKUP(INT(D603)+1,Tablas!$G$9:$O$1240,9,0)*(D603-INT(D603))+VLOOKUP(INT(D603),Tablas!$G$9:$O$1240,9,0)*(INT(D603)+1-D603))</f>
      </c>
      <c r="H603" s="801">
        <f>+IF(MONTH(B603)=1,H602*(1+$C$9),H602)</f>
      </c>
      <c r="I603" s="791">
        <f>IF(B603&lt;$C$10,0,IF(B603&lt;$C$11,$C$8/12*E603*F603*H603,0))</f>
      </c>
      <c r="J603" s="791">
        <f>I603*12/14+IF(OR(MONTH(C603)=6,MONTH(C603)=12),I603*12/14,0)</f>
      </c>
      <c r="K603" s="801">
        <f>G603/$G$15</f>
      </c>
      <c r="L603" s="760"/>
      <c r="M603" s="767"/>
      <c r="N603" s="168"/>
      <c r="O603" s="768"/>
      <c r="P603" s="170"/>
      <c r="Q603" s="7"/>
      <c r="R603" s="766"/>
      <c r="S603" s="170"/>
      <c r="T603" s="168"/>
      <c r="U603" s="170"/>
    </row>
    <row x14ac:dyDescent="0.25" r="604" customHeight="1" ht="18.75">
      <c r="A604" s="1"/>
      <c r="B604" s="799">
        <f>+DATE(YEAR(B603),MONTH(B603)+1,DAY(B603))</f>
        <v>25569.041666666668</v>
      </c>
      <c r="C604" s="799">
        <f>+B605-1</f>
        <v>25569.041666666668</v>
      </c>
      <c r="D604" s="791">
        <f>-_xlfn.DAYS($C$3,C604)/365.25</f>
      </c>
      <c r="E604" s="800">
        <f>IF($D$17+40&lt;=D604,(1+$D$7)^-(D604-$C$5),(1+$C$7)^-(D604-$C$5))</f>
      </c>
      <c r="F604" s="801">
        <f>IF($C$4="Hombre",(+VLOOKUP(INT(D604)+1,Tablas!$G$9:$K$1240,5,0)*(D604-INT(D604))+VLOOKUP(INT(D604),Tablas!$G$9:$K$1240,5,0)*(INT(D604)+1-D604))/(VLOOKUP(INT($C$5)+1,Tablas!$G$9:$K$1240,5,0)*($C$5-INT($C$5))+VLOOKUP(INT($C$5),Tablas!$G$9:$K$124,5,0)*(INT($C$5)+1-$C$5)),(+VLOOKUP(INT(D604)+1,Tablas!$G$9:$O$1240,9,0)*(D604-INT(D604))+VLOOKUP(INT(D604),Tablas!$G$9:$O$1240,9,0)*(INT(D604)+1-D604))/(VLOOKUP(INT($C$5)+1,Tablas!$G$9:$O$1240,9,0)*($C$5-INT($C$5))+VLOOKUP(INT($C$5),Tablas!$G$9:$O$124,9,0)*(INT($C$5)+1-$C$5)))</f>
      </c>
      <c r="G604" s="791">
        <f>IF($C$4="Hombre",(+VLOOKUP(INT(D604)+1,Tablas!$G$9:$K$1240,5,0)*(D604-INT(D604))+VLOOKUP(INT(D604),Tablas!$G$9:$K$1240,5,0)*(INT(D604)+1-D604)),+VLOOKUP(INT(D604)+1,Tablas!$G$9:$O$1240,9,0)*(D604-INT(D604))+VLOOKUP(INT(D604),Tablas!$G$9:$O$1240,9,0)*(INT(D604)+1-D604))</f>
      </c>
      <c r="H604" s="801">
        <f>+IF(MONTH(B604)=1,H603*(1+$C$9),H603)</f>
      </c>
      <c r="I604" s="791">
        <f>IF(B604&lt;$C$10,0,IF(B604&lt;$C$11,$C$8/12*E604*F604*H604,0))</f>
      </c>
      <c r="J604" s="791">
        <f>I604*12/14+IF(OR(MONTH(C604)=6,MONTH(C604)=12),I604*12/14,0)</f>
      </c>
      <c r="K604" s="801">
        <f>G604/$G$15</f>
      </c>
      <c r="L604" s="760"/>
      <c r="M604" s="767"/>
      <c r="N604" s="168"/>
      <c r="O604" s="768"/>
      <c r="P604" s="170"/>
      <c r="Q604" s="7"/>
      <c r="R604" s="766"/>
      <c r="S604" s="170"/>
      <c r="T604" s="168"/>
      <c r="U604" s="170"/>
    </row>
    <row x14ac:dyDescent="0.25" r="605" customHeight="1" ht="18.75">
      <c r="A605" s="1"/>
      <c r="B605" s="799">
        <f>+DATE(YEAR(B604),MONTH(B604)+1,DAY(B604))</f>
        <v>25569.041666666668</v>
      </c>
      <c r="C605" s="799">
        <f>+B606-1</f>
        <v>25569.041666666668</v>
      </c>
      <c r="D605" s="791">
        <f>-_xlfn.DAYS($C$3,C605)/365.25</f>
      </c>
      <c r="E605" s="800">
        <f>IF($D$17+40&lt;=D605,(1+$D$7)^-(D605-$C$5),(1+$C$7)^-(D605-$C$5))</f>
      </c>
      <c r="F605" s="801">
        <f>IF($C$4="Hombre",(+VLOOKUP(INT(D605)+1,Tablas!$G$9:$K$1240,5,0)*(D605-INT(D605))+VLOOKUP(INT(D605),Tablas!$G$9:$K$1240,5,0)*(INT(D605)+1-D605))/(VLOOKUP(INT($C$5)+1,Tablas!$G$9:$K$1240,5,0)*($C$5-INT($C$5))+VLOOKUP(INT($C$5),Tablas!$G$9:$K$124,5,0)*(INT($C$5)+1-$C$5)),(+VLOOKUP(INT(D605)+1,Tablas!$G$9:$O$1240,9,0)*(D605-INT(D605))+VLOOKUP(INT(D605),Tablas!$G$9:$O$1240,9,0)*(INT(D605)+1-D605))/(VLOOKUP(INT($C$5)+1,Tablas!$G$9:$O$1240,9,0)*($C$5-INT($C$5))+VLOOKUP(INT($C$5),Tablas!$G$9:$O$124,9,0)*(INT($C$5)+1-$C$5)))</f>
      </c>
      <c r="G605" s="791">
        <f>IF($C$4="Hombre",(+VLOOKUP(INT(D605)+1,Tablas!$G$9:$K$1240,5,0)*(D605-INT(D605))+VLOOKUP(INT(D605),Tablas!$G$9:$K$1240,5,0)*(INT(D605)+1-D605)),+VLOOKUP(INT(D605)+1,Tablas!$G$9:$O$1240,9,0)*(D605-INT(D605))+VLOOKUP(INT(D605),Tablas!$G$9:$O$1240,9,0)*(INT(D605)+1-D605))</f>
      </c>
      <c r="H605" s="801">
        <f>+IF(MONTH(B605)=1,H604*(1+$C$9),H604)</f>
      </c>
      <c r="I605" s="791">
        <f>IF(B605&lt;$C$10,0,IF(B605&lt;$C$11,$C$8/12*E605*F605*H605,0))</f>
      </c>
      <c r="J605" s="791">
        <f>I605*12/14+IF(OR(MONTH(C605)=6,MONTH(C605)=12),I605*12/14,0)</f>
      </c>
      <c r="K605" s="801">
        <f>G605/$G$15</f>
      </c>
      <c r="L605" s="760"/>
      <c r="M605" s="767"/>
      <c r="N605" s="168"/>
      <c r="O605" s="768"/>
      <c r="P605" s="170"/>
      <c r="Q605" s="7"/>
      <c r="R605" s="766"/>
      <c r="S605" s="170"/>
      <c r="T605" s="168"/>
      <c r="U605" s="170"/>
    </row>
    <row x14ac:dyDescent="0.25" r="606" customHeight="1" ht="18.75">
      <c r="A606" s="1"/>
      <c r="B606" s="799">
        <f>+DATE(YEAR(B605),MONTH(B605)+1,DAY(B605))</f>
        <v>25569.041666666668</v>
      </c>
      <c r="C606" s="799">
        <f>+B607-1</f>
        <v>25569.041666666668</v>
      </c>
      <c r="D606" s="791">
        <f>-_xlfn.DAYS($C$3,C606)/365.25</f>
      </c>
      <c r="E606" s="800">
        <f>IF($D$17+40&lt;=D606,(1+$D$7)^-(D606-$C$5),(1+$C$7)^-(D606-$C$5))</f>
      </c>
      <c r="F606" s="801">
        <f>IF($C$4="Hombre",(+VLOOKUP(INT(D606)+1,Tablas!$G$9:$K$1240,5,0)*(D606-INT(D606))+VLOOKUP(INT(D606),Tablas!$G$9:$K$1240,5,0)*(INT(D606)+1-D606))/(VLOOKUP(INT($C$5)+1,Tablas!$G$9:$K$1240,5,0)*($C$5-INT($C$5))+VLOOKUP(INT($C$5),Tablas!$G$9:$K$124,5,0)*(INT($C$5)+1-$C$5)),(+VLOOKUP(INT(D606)+1,Tablas!$G$9:$O$1240,9,0)*(D606-INT(D606))+VLOOKUP(INT(D606),Tablas!$G$9:$O$1240,9,0)*(INT(D606)+1-D606))/(VLOOKUP(INT($C$5)+1,Tablas!$G$9:$O$1240,9,0)*($C$5-INT($C$5))+VLOOKUP(INT($C$5),Tablas!$G$9:$O$124,9,0)*(INT($C$5)+1-$C$5)))</f>
      </c>
      <c r="G606" s="791">
        <f>IF($C$4="Hombre",(+VLOOKUP(INT(D606)+1,Tablas!$G$9:$K$1240,5,0)*(D606-INT(D606))+VLOOKUP(INT(D606),Tablas!$G$9:$K$1240,5,0)*(INT(D606)+1-D606)),+VLOOKUP(INT(D606)+1,Tablas!$G$9:$O$1240,9,0)*(D606-INT(D606))+VLOOKUP(INT(D606),Tablas!$G$9:$O$1240,9,0)*(INT(D606)+1-D606))</f>
      </c>
      <c r="H606" s="801">
        <f>+IF(MONTH(B606)=1,H605*(1+$C$9),H605)</f>
      </c>
      <c r="I606" s="791">
        <f>IF(B606&lt;$C$10,0,IF(B606&lt;$C$11,$C$8/12*E606*F606*H606,0))</f>
      </c>
      <c r="J606" s="791">
        <f>I606*12/14+IF(OR(MONTH(C606)=6,MONTH(C606)=12),I606*12/14,0)</f>
      </c>
      <c r="K606" s="801">
        <f>G606/$G$15</f>
      </c>
      <c r="L606" s="760"/>
      <c r="M606" s="767"/>
      <c r="N606" s="168"/>
      <c r="O606" s="768"/>
      <c r="P606" s="170"/>
      <c r="Q606" s="7"/>
      <c r="R606" s="766"/>
      <c r="S606" s="170"/>
      <c r="T606" s="168"/>
      <c r="U606" s="170"/>
    </row>
    <row x14ac:dyDescent="0.25" r="607" customHeight="1" ht="18.75">
      <c r="A607" s="1"/>
      <c r="B607" s="799">
        <f>+DATE(YEAR(B606),MONTH(B606)+1,DAY(B606))</f>
        <v>25569.041666666668</v>
      </c>
      <c r="C607" s="799">
        <f>+B608-1</f>
        <v>25569.041666666668</v>
      </c>
      <c r="D607" s="791">
        <f>-_xlfn.DAYS($C$3,C607)/365.25</f>
      </c>
      <c r="E607" s="800">
        <f>IF($D$17+40&lt;=D607,(1+$D$7)^-(D607-$C$5),(1+$C$7)^-(D607-$C$5))</f>
      </c>
      <c r="F607" s="801">
        <f>IF($C$4="Hombre",(+VLOOKUP(INT(D607)+1,Tablas!$G$9:$K$1240,5,0)*(D607-INT(D607))+VLOOKUP(INT(D607),Tablas!$G$9:$K$1240,5,0)*(INT(D607)+1-D607))/(VLOOKUP(INT($C$5)+1,Tablas!$G$9:$K$1240,5,0)*($C$5-INT($C$5))+VLOOKUP(INT($C$5),Tablas!$G$9:$K$124,5,0)*(INT($C$5)+1-$C$5)),(+VLOOKUP(INT(D607)+1,Tablas!$G$9:$O$1240,9,0)*(D607-INT(D607))+VLOOKUP(INT(D607),Tablas!$G$9:$O$1240,9,0)*(INT(D607)+1-D607))/(VLOOKUP(INT($C$5)+1,Tablas!$G$9:$O$1240,9,0)*($C$5-INT($C$5))+VLOOKUP(INT($C$5),Tablas!$G$9:$O$124,9,0)*(INT($C$5)+1-$C$5)))</f>
      </c>
      <c r="G607" s="791">
        <f>IF($C$4="Hombre",(+VLOOKUP(INT(D607)+1,Tablas!$G$9:$K$1240,5,0)*(D607-INT(D607))+VLOOKUP(INT(D607),Tablas!$G$9:$K$1240,5,0)*(INT(D607)+1-D607)),+VLOOKUP(INT(D607)+1,Tablas!$G$9:$O$1240,9,0)*(D607-INT(D607))+VLOOKUP(INT(D607),Tablas!$G$9:$O$1240,9,0)*(INT(D607)+1-D607))</f>
      </c>
      <c r="H607" s="801">
        <f>+IF(MONTH(B607)=1,H606*(1+$C$9),H606)</f>
      </c>
      <c r="I607" s="791">
        <f>IF(B607&lt;$C$10,0,IF(B607&lt;$C$11,$C$8/12*E607*F607*H607,0))</f>
      </c>
      <c r="J607" s="791">
        <f>I607*12/14+IF(OR(MONTH(C607)=6,MONTH(C607)=12),I607*12/14,0)</f>
      </c>
      <c r="K607" s="801">
        <f>G607/$G$15</f>
      </c>
      <c r="L607" s="760"/>
      <c r="M607" s="767"/>
      <c r="N607" s="168"/>
      <c r="O607" s="768"/>
      <c r="P607" s="170"/>
      <c r="Q607" s="7"/>
      <c r="R607" s="766"/>
      <c r="S607" s="170"/>
      <c r="T607" s="168"/>
      <c r="U607" s="170"/>
    </row>
    <row x14ac:dyDescent="0.25" r="608" customHeight="1" ht="18.75">
      <c r="A608" s="1"/>
      <c r="B608" s="799">
        <f>+DATE(YEAR(B607),MONTH(B607)+1,DAY(B607))</f>
        <v>25569.041666666668</v>
      </c>
      <c r="C608" s="799">
        <f>+B609-1</f>
        <v>25569.041666666668</v>
      </c>
      <c r="D608" s="791">
        <f>-_xlfn.DAYS($C$3,C608)/365.25</f>
      </c>
      <c r="E608" s="800">
        <f>IF($D$17+40&lt;=D608,(1+$D$7)^-(D608-$C$5),(1+$C$7)^-(D608-$C$5))</f>
      </c>
      <c r="F608" s="801">
        <f>IF($C$4="Hombre",(+VLOOKUP(INT(D608)+1,Tablas!$G$9:$K$1240,5,0)*(D608-INT(D608))+VLOOKUP(INT(D608),Tablas!$G$9:$K$1240,5,0)*(INT(D608)+1-D608))/(VLOOKUP(INT($C$5)+1,Tablas!$G$9:$K$1240,5,0)*($C$5-INT($C$5))+VLOOKUP(INT($C$5),Tablas!$G$9:$K$124,5,0)*(INT($C$5)+1-$C$5)),(+VLOOKUP(INT(D608)+1,Tablas!$G$9:$O$1240,9,0)*(D608-INT(D608))+VLOOKUP(INT(D608),Tablas!$G$9:$O$1240,9,0)*(INT(D608)+1-D608))/(VLOOKUP(INT($C$5)+1,Tablas!$G$9:$O$1240,9,0)*($C$5-INT($C$5))+VLOOKUP(INT($C$5),Tablas!$G$9:$O$124,9,0)*(INT($C$5)+1-$C$5)))</f>
      </c>
      <c r="G608" s="791">
        <f>IF($C$4="Hombre",(+VLOOKUP(INT(D608)+1,Tablas!$G$9:$K$1240,5,0)*(D608-INT(D608))+VLOOKUP(INT(D608),Tablas!$G$9:$K$1240,5,0)*(INT(D608)+1-D608)),+VLOOKUP(INT(D608)+1,Tablas!$G$9:$O$1240,9,0)*(D608-INT(D608))+VLOOKUP(INT(D608),Tablas!$G$9:$O$1240,9,0)*(INT(D608)+1-D608))</f>
      </c>
      <c r="H608" s="801">
        <f>+IF(MONTH(B608)=1,H607*(1+$C$9),H607)</f>
      </c>
      <c r="I608" s="791">
        <f>IF(B608&lt;$C$10,0,IF(B608&lt;$C$11,$C$8/12*E608*F608*H608,0))</f>
      </c>
      <c r="J608" s="791">
        <f>I608*12/14+IF(OR(MONTH(C608)=6,MONTH(C608)=12),I608*12/14,0)</f>
      </c>
      <c r="K608" s="801">
        <f>G608/$G$15</f>
      </c>
      <c r="L608" s="760"/>
      <c r="M608" s="767"/>
      <c r="N608" s="168"/>
      <c r="O608" s="768"/>
      <c r="P608" s="170"/>
      <c r="Q608" s="7"/>
      <c r="R608" s="766"/>
      <c r="S608" s="170"/>
      <c r="T608" s="168"/>
      <c r="U608" s="170"/>
    </row>
    <row x14ac:dyDescent="0.25" r="609" customHeight="1" ht="18.75">
      <c r="A609" s="1"/>
      <c r="B609" s="799">
        <f>+DATE(YEAR(B608),MONTH(B608)+1,DAY(B608))</f>
        <v>25569.041666666668</v>
      </c>
      <c r="C609" s="799">
        <f>+B610-1</f>
        <v>25569.041666666668</v>
      </c>
      <c r="D609" s="791">
        <f>-_xlfn.DAYS($C$3,C609)/365.25</f>
      </c>
      <c r="E609" s="800">
        <f>IF($D$17+40&lt;=D609,(1+$D$7)^-(D609-$C$5),(1+$C$7)^-(D609-$C$5))</f>
      </c>
      <c r="F609" s="801">
        <f>IF($C$4="Hombre",(+VLOOKUP(INT(D609)+1,Tablas!$G$9:$K$1240,5,0)*(D609-INT(D609))+VLOOKUP(INT(D609),Tablas!$G$9:$K$1240,5,0)*(INT(D609)+1-D609))/(VLOOKUP(INT($C$5)+1,Tablas!$G$9:$K$1240,5,0)*($C$5-INT($C$5))+VLOOKUP(INT($C$5),Tablas!$G$9:$K$124,5,0)*(INT($C$5)+1-$C$5)),(+VLOOKUP(INT(D609)+1,Tablas!$G$9:$O$1240,9,0)*(D609-INT(D609))+VLOOKUP(INT(D609),Tablas!$G$9:$O$1240,9,0)*(INT(D609)+1-D609))/(VLOOKUP(INT($C$5)+1,Tablas!$G$9:$O$1240,9,0)*($C$5-INT($C$5))+VLOOKUP(INT($C$5),Tablas!$G$9:$O$124,9,0)*(INT($C$5)+1-$C$5)))</f>
      </c>
      <c r="G609" s="791">
        <f>IF($C$4="Hombre",(+VLOOKUP(INT(D609)+1,Tablas!$G$9:$K$1240,5,0)*(D609-INT(D609))+VLOOKUP(INT(D609),Tablas!$G$9:$K$1240,5,0)*(INT(D609)+1-D609)),+VLOOKUP(INT(D609)+1,Tablas!$G$9:$O$1240,9,0)*(D609-INT(D609))+VLOOKUP(INT(D609),Tablas!$G$9:$O$1240,9,0)*(INT(D609)+1-D609))</f>
      </c>
      <c r="H609" s="801">
        <f>+IF(MONTH(B609)=1,H608*(1+$C$9),H608)</f>
      </c>
      <c r="I609" s="791">
        <f>IF(B609&lt;$C$10,0,IF(B609&lt;$C$11,$C$8/12*E609*F609*H609,0))</f>
      </c>
      <c r="J609" s="791">
        <f>I609*12/14+IF(OR(MONTH(C609)=6,MONTH(C609)=12),I609*12/14,0)</f>
      </c>
      <c r="K609" s="801">
        <f>G609/$G$15</f>
      </c>
      <c r="L609" s="760"/>
      <c r="M609" s="767"/>
      <c r="N609" s="168"/>
      <c r="O609" s="768"/>
      <c r="P609" s="170"/>
      <c r="Q609" s="7"/>
      <c r="R609" s="766"/>
      <c r="S609" s="170"/>
      <c r="T609" s="168"/>
      <c r="U609" s="170"/>
    </row>
    <row x14ac:dyDescent="0.25" r="610" customHeight="1" ht="18.75">
      <c r="A610" s="1"/>
      <c r="B610" s="799">
        <f>+DATE(YEAR(B609),MONTH(B609)+1,DAY(B609))</f>
        <v>25569.041666666668</v>
      </c>
      <c r="C610" s="799">
        <f>+B611-1</f>
        <v>25569.041666666668</v>
      </c>
      <c r="D610" s="791">
        <f>-_xlfn.DAYS($C$3,C610)/365.25</f>
      </c>
      <c r="E610" s="800">
        <f>IF($D$17+40&lt;=D610,(1+$D$7)^-(D610-$C$5),(1+$C$7)^-(D610-$C$5))</f>
      </c>
      <c r="F610" s="801">
        <f>IF($C$4="Hombre",(+VLOOKUP(INT(D610)+1,Tablas!$G$9:$K$1240,5,0)*(D610-INT(D610))+VLOOKUP(INT(D610),Tablas!$G$9:$K$1240,5,0)*(INT(D610)+1-D610))/(VLOOKUP(INT($C$5)+1,Tablas!$G$9:$K$1240,5,0)*($C$5-INT($C$5))+VLOOKUP(INT($C$5),Tablas!$G$9:$K$124,5,0)*(INT($C$5)+1-$C$5)),(+VLOOKUP(INT(D610)+1,Tablas!$G$9:$O$1240,9,0)*(D610-INT(D610))+VLOOKUP(INT(D610),Tablas!$G$9:$O$1240,9,0)*(INT(D610)+1-D610))/(VLOOKUP(INT($C$5)+1,Tablas!$G$9:$O$1240,9,0)*($C$5-INT($C$5))+VLOOKUP(INT($C$5),Tablas!$G$9:$O$124,9,0)*(INT($C$5)+1-$C$5)))</f>
      </c>
      <c r="G610" s="791">
        <f>IF($C$4="Hombre",(+VLOOKUP(INT(D610)+1,Tablas!$G$9:$K$1240,5,0)*(D610-INT(D610))+VLOOKUP(INT(D610),Tablas!$G$9:$K$1240,5,0)*(INT(D610)+1-D610)),+VLOOKUP(INT(D610)+1,Tablas!$G$9:$O$1240,9,0)*(D610-INT(D610))+VLOOKUP(INT(D610),Tablas!$G$9:$O$1240,9,0)*(INT(D610)+1-D610))</f>
      </c>
      <c r="H610" s="801">
        <f>+IF(MONTH(B610)=1,H609*(1+$C$9),H609)</f>
      </c>
      <c r="I610" s="791">
        <f>IF(B610&lt;$C$10,0,IF(B610&lt;$C$11,$C$8/12*E610*F610*H610,0))</f>
      </c>
      <c r="J610" s="791">
        <f>I610*12/14+IF(OR(MONTH(C610)=6,MONTH(C610)=12),I610*12/14,0)</f>
      </c>
      <c r="K610" s="801">
        <f>G610/$G$15</f>
      </c>
      <c r="L610" s="760"/>
      <c r="M610" s="767"/>
      <c r="N610" s="168"/>
      <c r="O610" s="768"/>
      <c r="P610" s="170"/>
      <c r="Q610" s="7"/>
      <c r="R610" s="766"/>
      <c r="S610" s="170"/>
      <c r="T610" s="168"/>
      <c r="U610" s="170"/>
    </row>
    <row x14ac:dyDescent="0.25" r="611" customHeight="1" ht="18.75">
      <c r="A611" s="1"/>
      <c r="B611" s="799">
        <f>+DATE(YEAR(B610),MONTH(B610)+1,DAY(B610))</f>
        <v>25569.041666666668</v>
      </c>
      <c r="C611" s="799">
        <f>+B612-1</f>
        <v>25569.041666666668</v>
      </c>
      <c r="D611" s="791">
        <f>-_xlfn.DAYS($C$3,C611)/365.25</f>
      </c>
      <c r="E611" s="800">
        <f>IF($D$17+40&lt;=D611,(1+$D$7)^-(D611-$C$5),(1+$C$7)^-(D611-$C$5))</f>
      </c>
      <c r="F611" s="801">
        <f>IF($C$4="Hombre",(+VLOOKUP(INT(D611)+1,Tablas!$G$9:$K$1240,5,0)*(D611-INT(D611))+VLOOKUP(INT(D611),Tablas!$G$9:$K$1240,5,0)*(INT(D611)+1-D611))/(VLOOKUP(INT($C$5)+1,Tablas!$G$9:$K$1240,5,0)*($C$5-INT($C$5))+VLOOKUP(INT($C$5),Tablas!$G$9:$K$124,5,0)*(INT($C$5)+1-$C$5)),(+VLOOKUP(INT(D611)+1,Tablas!$G$9:$O$1240,9,0)*(D611-INT(D611))+VLOOKUP(INT(D611),Tablas!$G$9:$O$1240,9,0)*(INT(D611)+1-D611))/(VLOOKUP(INT($C$5)+1,Tablas!$G$9:$O$1240,9,0)*($C$5-INT($C$5))+VLOOKUP(INT($C$5),Tablas!$G$9:$O$124,9,0)*(INT($C$5)+1-$C$5)))</f>
      </c>
      <c r="G611" s="791">
        <f>IF($C$4="Hombre",(+VLOOKUP(INT(D611)+1,Tablas!$G$9:$K$1240,5,0)*(D611-INT(D611))+VLOOKUP(INT(D611),Tablas!$G$9:$K$1240,5,0)*(INT(D611)+1-D611)),+VLOOKUP(INT(D611)+1,Tablas!$G$9:$O$1240,9,0)*(D611-INT(D611))+VLOOKUP(INT(D611),Tablas!$G$9:$O$1240,9,0)*(INT(D611)+1-D611))</f>
      </c>
      <c r="H611" s="801">
        <f>+IF(MONTH(B611)=1,H610*(1+$C$9),H610)</f>
      </c>
      <c r="I611" s="791">
        <f>IF(B611&lt;$C$10,0,IF(B611&lt;$C$11,$C$8/12*E611*F611*H611,0))</f>
      </c>
      <c r="J611" s="791">
        <f>I611*12/14+IF(OR(MONTH(C611)=6,MONTH(C611)=12),I611*12/14,0)</f>
      </c>
      <c r="K611" s="801">
        <f>G611/$G$15</f>
      </c>
      <c r="L611" s="760"/>
      <c r="M611" s="767"/>
      <c r="N611" s="168"/>
      <c r="O611" s="768"/>
      <c r="P611" s="170"/>
      <c r="Q611" s="7"/>
      <c r="R611" s="766"/>
      <c r="S611" s="170"/>
      <c r="T611" s="168"/>
      <c r="U611" s="170"/>
    </row>
    <row x14ac:dyDescent="0.25" r="612" customHeight="1" ht="18.75">
      <c r="A612" s="1"/>
      <c r="B612" s="799">
        <f>+DATE(YEAR(B611),MONTH(B611)+1,DAY(B611))</f>
        <v>25569.041666666668</v>
      </c>
      <c r="C612" s="799">
        <f>+B613-1</f>
        <v>25569.041666666668</v>
      </c>
      <c r="D612" s="791">
        <f>-_xlfn.DAYS($C$3,C612)/365.25</f>
      </c>
      <c r="E612" s="800">
        <f>IF($D$17+40&lt;=D612,(1+$D$7)^-(D612-$C$5),(1+$C$7)^-(D612-$C$5))</f>
      </c>
      <c r="F612" s="801">
        <f>IF($C$4="Hombre",(+VLOOKUP(INT(D612)+1,Tablas!$G$9:$K$1240,5,0)*(D612-INT(D612))+VLOOKUP(INT(D612),Tablas!$G$9:$K$1240,5,0)*(INT(D612)+1-D612))/(VLOOKUP(INT($C$5)+1,Tablas!$G$9:$K$1240,5,0)*($C$5-INT($C$5))+VLOOKUP(INT($C$5),Tablas!$G$9:$K$124,5,0)*(INT($C$5)+1-$C$5)),(+VLOOKUP(INT(D612)+1,Tablas!$G$9:$O$1240,9,0)*(D612-INT(D612))+VLOOKUP(INT(D612),Tablas!$G$9:$O$1240,9,0)*(INT(D612)+1-D612))/(VLOOKUP(INT($C$5)+1,Tablas!$G$9:$O$1240,9,0)*($C$5-INT($C$5))+VLOOKUP(INT($C$5),Tablas!$G$9:$O$124,9,0)*(INT($C$5)+1-$C$5)))</f>
      </c>
      <c r="G612" s="791">
        <f>IF($C$4="Hombre",(+VLOOKUP(INT(D612)+1,Tablas!$G$9:$K$1240,5,0)*(D612-INT(D612))+VLOOKUP(INT(D612),Tablas!$G$9:$K$1240,5,0)*(INT(D612)+1-D612)),+VLOOKUP(INT(D612)+1,Tablas!$G$9:$O$1240,9,0)*(D612-INT(D612))+VLOOKUP(INT(D612),Tablas!$G$9:$O$1240,9,0)*(INT(D612)+1-D612))</f>
      </c>
      <c r="H612" s="801">
        <f>+IF(MONTH(B612)=1,H611*(1+$C$9),H611)</f>
      </c>
      <c r="I612" s="791">
        <f>IF(B612&lt;$C$10,0,IF(B612&lt;$C$11,$C$8/12*E612*F612*H612,0))</f>
      </c>
      <c r="J612" s="791">
        <f>I612*12/14+IF(OR(MONTH(C612)=6,MONTH(C612)=12),I612*12/14,0)</f>
      </c>
      <c r="K612" s="801">
        <f>G612/$G$15</f>
      </c>
      <c r="L612" s="760"/>
      <c r="M612" s="767"/>
      <c r="N612" s="168"/>
      <c r="O612" s="768"/>
      <c r="P612" s="170"/>
      <c r="Q612" s="7"/>
      <c r="R612" s="766"/>
      <c r="S612" s="170"/>
      <c r="T612" s="168"/>
      <c r="U612" s="170"/>
    </row>
    <row x14ac:dyDescent="0.25" r="613" customHeight="1" ht="18.75">
      <c r="A613" s="1"/>
      <c r="B613" s="799">
        <f>+DATE(YEAR(B612),MONTH(B612)+1,DAY(B612))</f>
        <v>25569.041666666668</v>
      </c>
      <c r="C613" s="799">
        <f>+B614-1</f>
        <v>25569.041666666668</v>
      </c>
      <c r="D613" s="791">
        <f>-_xlfn.DAYS($C$3,C613)/365.25</f>
      </c>
      <c r="E613" s="800">
        <f>IF($D$17+40&lt;=D613,(1+$D$7)^-(D613-$C$5),(1+$C$7)^-(D613-$C$5))</f>
      </c>
      <c r="F613" s="801">
        <f>IF($C$4="Hombre",(+VLOOKUP(INT(D613)+1,Tablas!$G$9:$K$1240,5,0)*(D613-INT(D613))+VLOOKUP(INT(D613),Tablas!$G$9:$K$1240,5,0)*(INT(D613)+1-D613))/(VLOOKUP(INT($C$5)+1,Tablas!$G$9:$K$1240,5,0)*($C$5-INT($C$5))+VLOOKUP(INT($C$5),Tablas!$G$9:$K$124,5,0)*(INT($C$5)+1-$C$5)),(+VLOOKUP(INT(D613)+1,Tablas!$G$9:$O$1240,9,0)*(D613-INT(D613))+VLOOKUP(INT(D613),Tablas!$G$9:$O$1240,9,0)*(INT(D613)+1-D613))/(VLOOKUP(INT($C$5)+1,Tablas!$G$9:$O$1240,9,0)*($C$5-INT($C$5))+VLOOKUP(INT($C$5),Tablas!$G$9:$O$124,9,0)*(INT($C$5)+1-$C$5)))</f>
      </c>
      <c r="G613" s="791">
        <f>IF($C$4="Hombre",(+VLOOKUP(INT(D613)+1,Tablas!$G$9:$K$1240,5,0)*(D613-INT(D613))+VLOOKUP(INT(D613),Tablas!$G$9:$K$1240,5,0)*(INT(D613)+1-D613)),+VLOOKUP(INT(D613)+1,Tablas!$G$9:$O$1240,9,0)*(D613-INT(D613))+VLOOKUP(INT(D613),Tablas!$G$9:$O$1240,9,0)*(INT(D613)+1-D613))</f>
      </c>
      <c r="H613" s="801">
        <f>+IF(MONTH(B613)=1,H612*(1+$C$9),H612)</f>
      </c>
      <c r="I613" s="791">
        <f>IF(B613&lt;$C$10,0,IF(B613&lt;$C$11,$C$8/12*E613*F613*H613,0))</f>
      </c>
      <c r="J613" s="791">
        <f>I613*12/14+IF(OR(MONTH(C613)=6,MONTH(C613)=12),I613*12/14,0)</f>
      </c>
      <c r="K613" s="801">
        <f>G613/$G$15</f>
      </c>
      <c r="L613" s="760"/>
      <c r="M613" s="767"/>
      <c r="N613" s="168"/>
      <c r="O613" s="768"/>
      <c r="P613" s="170"/>
      <c r="Q613" s="7"/>
      <c r="R613" s="766"/>
      <c r="S613" s="170"/>
      <c r="T613" s="168"/>
      <c r="U613" s="170"/>
    </row>
    <row x14ac:dyDescent="0.25" r="614" customHeight="1" ht="18.75">
      <c r="A614" s="1"/>
      <c r="B614" s="799">
        <f>+DATE(YEAR(B613),MONTH(B613)+1,DAY(B613))</f>
        <v>25569.041666666668</v>
      </c>
      <c r="C614" s="799">
        <f>+B615-1</f>
        <v>25569.041666666668</v>
      </c>
      <c r="D614" s="791">
        <f>-_xlfn.DAYS($C$3,C614)/365.25</f>
      </c>
      <c r="E614" s="800">
        <f>IF($D$17+40&lt;=D614,(1+$D$7)^-(D614-$C$5),(1+$C$7)^-(D614-$C$5))</f>
      </c>
      <c r="F614" s="801">
        <f>IF($C$4="Hombre",(+VLOOKUP(INT(D614)+1,Tablas!$G$9:$K$1240,5,0)*(D614-INT(D614))+VLOOKUP(INT(D614),Tablas!$G$9:$K$1240,5,0)*(INT(D614)+1-D614))/(VLOOKUP(INT($C$5)+1,Tablas!$G$9:$K$1240,5,0)*($C$5-INT($C$5))+VLOOKUP(INT($C$5),Tablas!$G$9:$K$124,5,0)*(INT($C$5)+1-$C$5)),(+VLOOKUP(INT(D614)+1,Tablas!$G$9:$O$1240,9,0)*(D614-INT(D614))+VLOOKUP(INT(D614),Tablas!$G$9:$O$1240,9,0)*(INT(D614)+1-D614))/(VLOOKUP(INT($C$5)+1,Tablas!$G$9:$O$1240,9,0)*($C$5-INT($C$5))+VLOOKUP(INT($C$5),Tablas!$G$9:$O$124,9,0)*(INT($C$5)+1-$C$5)))</f>
      </c>
      <c r="G614" s="791">
        <f>IF($C$4="Hombre",(+VLOOKUP(INT(D614)+1,Tablas!$G$9:$K$1240,5,0)*(D614-INT(D614))+VLOOKUP(INT(D614),Tablas!$G$9:$K$1240,5,0)*(INT(D614)+1-D614)),+VLOOKUP(INT(D614)+1,Tablas!$G$9:$O$1240,9,0)*(D614-INT(D614))+VLOOKUP(INT(D614),Tablas!$G$9:$O$1240,9,0)*(INT(D614)+1-D614))</f>
      </c>
      <c r="H614" s="801">
        <f>+IF(MONTH(B614)=1,H613*(1+$C$9),H613)</f>
      </c>
      <c r="I614" s="791">
        <f>IF(B614&lt;$C$10,0,IF(B614&lt;$C$11,$C$8/12*E614*F614*H614,0))</f>
      </c>
      <c r="J614" s="791">
        <f>I614*12/14+IF(OR(MONTH(C614)=6,MONTH(C614)=12),I614*12/14,0)</f>
      </c>
      <c r="K614" s="801">
        <f>G614/$G$15</f>
      </c>
      <c r="L614" s="760"/>
      <c r="M614" s="767"/>
      <c r="N614" s="168"/>
      <c r="O614" s="768"/>
      <c r="P614" s="170"/>
      <c r="Q614" s="7"/>
      <c r="R614" s="766"/>
      <c r="S614" s="170"/>
      <c r="T614" s="168"/>
      <c r="U614" s="170"/>
    </row>
    <row x14ac:dyDescent="0.25" r="615" customHeight="1" ht="18.75">
      <c r="A615" s="1"/>
      <c r="B615" s="799">
        <f>+DATE(YEAR(B614),MONTH(B614)+1,DAY(B614))</f>
        <v>25569.041666666668</v>
      </c>
      <c r="C615" s="799">
        <f>+B616-1</f>
        <v>25569.041666666668</v>
      </c>
      <c r="D615" s="791">
        <f>-_xlfn.DAYS($C$3,C615)/365.25</f>
      </c>
      <c r="E615" s="800">
        <f>IF($D$17+40&lt;=D615,(1+$D$7)^-(D615-$C$5),(1+$C$7)^-(D615-$C$5))</f>
      </c>
      <c r="F615" s="801">
        <f>IF($C$4="Hombre",(+VLOOKUP(INT(D615)+1,Tablas!$G$9:$K$1240,5,0)*(D615-INT(D615))+VLOOKUP(INT(D615),Tablas!$G$9:$K$1240,5,0)*(INT(D615)+1-D615))/(VLOOKUP(INT($C$5)+1,Tablas!$G$9:$K$1240,5,0)*($C$5-INT($C$5))+VLOOKUP(INT($C$5),Tablas!$G$9:$K$124,5,0)*(INT($C$5)+1-$C$5)),(+VLOOKUP(INT(D615)+1,Tablas!$G$9:$O$1240,9,0)*(D615-INT(D615))+VLOOKUP(INT(D615),Tablas!$G$9:$O$1240,9,0)*(INT(D615)+1-D615))/(VLOOKUP(INT($C$5)+1,Tablas!$G$9:$O$1240,9,0)*($C$5-INT($C$5))+VLOOKUP(INT($C$5),Tablas!$G$9:$O$124,9,0)*(INT($C$5)+1-$C$5)))</f>
      </c>
      <c r="G615" s="791">
        <f>IF($C$4="Hombre",(+VLOOKUP(INT(D615)+1,Tablas!$G$9:$K$1240,5,0)*(D615-INT(D615))+VLOOKUP(INT(D615),Tablas!$G$9:$K$1240,5,0)*(INT(D615)+1-D615)),+VLOOKUP(INT(D615)+1,Tablas!$G$9:$O$1240,9,0)*(D615-INT(D615))+VLOOKUP(INT(D615),Tablas!$G$9:$O$1240,9,0)*(INT(D615)+1-D615))</f>
      </c>
      <c r="H615" s="801">
        <f>+IF(MONTH(B615)=1,H614*(1+$C$9),H614)</f>
      </c>
      <c r="I615" s="791">
        <f>IF(B615&lt;$C$10,0,IF(B615&lt;$C$11,$C$8/12*E615*F615*H615,0))</f>
      </c>
      <c r="J615" s="791">
        <f>I615*12/14+IF(OR(MONTH(C615)=6,MONTH(C615)=12),I615*12/14,0)</f>
      </c>
      <c r="K615" s="801">
        <f>G615/$G$15</f>
      </c>
      <c r="L615" s="760"/>
      <c r="M615" s="767"/>
      <c r="N615" s="168"/>
      <c r="O615" s="768"/>
      <c r="P615" s="170"/>
      <c r="Q615" s="7"/>
      <c r="R615" s="766"/>
      <c r="S615" s="170"/>
      <c r="T615" s="168"/>
      <c r="U615" s="170"/>
    </row>
    <row x14ac:dyDescent="0.25" r="616" customHeight="1" ht="18.75">
      <c r="A616" s="1"/>
      <c r="B616" s="799">
        <f>+DATE(YEAR(B615),MONTH(B615)+1,DAY(B615))</f>
        <v>25569.041666666668</v>
      </c>
      <c r="C616" s="799">
        <f>+B617-1</f>
        <v>25569.041666666668</v>
      </c>
      <c r="D616" s="791">
        <f>-_xlfn.DAYS($C$3,C616)/365.25</f>
      </c>
      <c r="E616" s="800">
        <f>IF($D$17+40&lt;=D616,(1+$D$7)^-(D616-$C$5),(1+$C$7)^-(D616-$C$5))</f>
      </c>
      <c r="F616" s="801">
        <f>IF($C$4="Hombre",(+VLOOKUP(INT(D616)+1,Tablas!$G$9:$K$1240,5,0)*(D616-INT(D616))+VLOOKUP(INT(D616),Tablas!$G$9:$K$1240,5,0)*(INT(D616)+1-D616))/(VLOOKUP(INT($C$5)+1,Tablas!$G$9:$K$1240,5,0)*($C$5-INT($C$5))+VLOOKUP(INT($C$5),Tablas!$G$9:$K$124,5,0)*(INT($C$5)+1-$C$5)),(+VLOOKUP(INT(D616)+1,Tablas!$G$9:$O$1240,9,0)*(D616-INT(D616))+VLOOKUP(INT(D616),Tablas!$G$9:$O$1240,9,0)*(INT(D616)+1-D616))/(VLOOKUP(INT($C$5)+1,Tablas!$G$9:$O$1240,9,0)*($C$5-INT($C$5))+VLOOKUP(INT($C$5),Tablas!$G$9:$O$124,9,0)*(INT($C$5)+1-$C$5)))</f>
      </c>
      <c r="G616" s="791">
        <f>IF($C$4="Hombre",(+VLOOKUP(INT(D616)+1,Tablas!$G$9:$K$1240,5,0)*(D616-INT(D616))+VLOOKUP(INT(D616),Tablas!$G$9:$K$1240,5,0)*(INT(D616)+1-D616)),+VLOOKUP(INT(D616)+1,Tablas!$G$9:$O$1240,9,0)*(D616-INT(D616))+VLOOKUP(INT(D616),Tablas!$G$9:$O$1240,9,0)*(INT(D616)+1-D616))</f>
      </c>
      <c r="H616" s="801">
        <f>+IF(MONTH(B616)=1,H615*(1+$C$9),H615)</f>
      </c>
      <c r="I616" s="791">
        <f>IF(B616&lt;$C$10,0,IF(B616&lt;$C$11,$C$8/12*E616*F616*H616,0))</f>
      </c>
      <c r="J616" s="791">
        <f>I616*12/14+IF(OR(MONTH(C616)=6,MONTH(C616)=12),I616*12/14,0)</f>
      </c>
      <c r="K616" s="801">
        <f>G616/$G$15</f>
      </c>
      <c r="L616" s="760"/>
      <c r="M616" s="767"/>
      <c r="N616" s="168"/>
      <c r="O616" s="768"/>
      <c r="P616" s="170"/>
      <c r="Q616" s="7"/>
      <c r="R616" s="766"/>
      <c r="S616" s="170"/>
      <c r="T616" s="168"/>
      <c r="U616" s="170"/>
    </row>
    <row x14ac:dyDescent="0.25" r="617" customHeight="1" ht="18.75">
      <c r="A617" s="1"/>
      <c r="B617" s="799">
        <f>+DATE(YEAR(B616),MONTH(B616)+1,DAY(B616))</f>
        <v>25569.041666666668</v>
      </c>
      <c r="C617" s="799">
        <f>+B618-1</f>
        <v>25569.041666666668</v>
      </c>
      <c r="D617" s="791">
        <f>-_xlfn.DAYS($C$3,C617)/365.25</f>
      </c>
      <c r="E617" s="800">
        <f>IF($D$17+40&lt;=D617,(1+$D$7)^-(D617-$C$5),(1+$C$7)^-(D617-$C$5))</f>
      </c>
      <c r="F617" s="801">
        <f>IF($C$4="Hombre",(+VLOOKUP(INT(D617)+1,Tablas!$G$9:$K$1240,5,0)*(D617-INT(D617))+VLOOKUP(INT(D617),Tablas!$G$9:$K$1240,5,0)*(INT(D617)+1-D617))/(VLOOKUP(INT($C$5)+1,Tablas!$G$9:$K$1240,5,0)*($C$5-INT($C$5))+VLOOKUP(INT($C$5),Tablas!$G$9:$K$124,5,0)*(INT($C$5)+1-$C$5)),(+VLOOKUP(INT(D617)+1,Tablas!$G$9:$O$1240,9,0)*(D617-INT(D617))+VLOOKUP(INT(D617),Tablas!$G$9:$O$1240,9,0)*(INT(D617)+1-D617))/(VLOOKUP(INT($C$5)+1,Tablas!$G$9:$O$1240,9,0)*($C$5-INT($C$5))+VLOOKUP(INT($C$5),Tablas!$G$9:$O$124,9,0)*(INT($C$5)+1-$C$5)))</f>
      </c>
      <c r="G617" s="791">
        <f>IF($C$4="Hombre",(+VLOOKUP(INT(D617)+1,Tablas!$G$9:$K$1240,5,0)*(D617-INT(D617))+VLOOKUP(INT(D617),Tablas!$G$9:$K$1240,5,0)*(INT(D617)+1-D617)),+VLOOKUP(INT(D617)+1,Tablas!$G$9:$O$1240,9,0)*(D617-INT(D617))+VLOOKUP(INT(D617),Tablas!$G$9:$O$1240,9,0)*(INT(D617)+1-D617))</f>
      </c>
      <c r="H617" s="801">
        <f>+IF(MONTH(B617)=1,H616*(1+$C$9),H616)</f>
      </c>
      <c r="I617" s="791">
        <f>IF(B617&lt;$C$10,0,IF(B617&lt;$C$11,$C$8/12*E617*F617*H617,0))</f>
      </c>
      <c r="J617" s="791">
        <f>I617*12/14+IF(OR(MONTH(C617)=6,MONTH(C617)=12),I617*12/14,0)</f>
      </c>
      <c r="K617" s="801">
        <f>G617/$G$15</f>
      </c>
      <c r="L617" s="760"/>
      <c r="M617" s="767"/>
      <c r="N617" s="168"/>
      <c r="O617" s="768"/>
      <c r="P617" s="170"/>
      <c r="Q617" s="7"/>
      <c r="R617" s="766"/>
      <c r="S617" s="170"/>
      <c r="T617" s="168"/>
      <c r="U617" s="170"/>
    </row>
    <row x14ac:dyDescent="0.25" r="618" customHeight="1" ht="18.75">
      <c r="A618" s="1"/>
      <c r="B618" s="799">
        <f>+DATE(YEAR(B617),MONTH(B617)+1,DAY(B617))</f>
        <v>25569.041666666668</v>
      </c>
      <c r="C618" s="799">
        <f>+B619-1</f>
        <v>25569.041666666668</v>
      </c>
      <c r="D618" s="791">
        <f>-_xlfn.DAYS($C$3,C618)/365.25</f>
      </c>
      <c r="E618" s="800">
        <f>IF($D$17+40&lt;=D618,(1+$D$7)^-(D618-$C$5),(1+$C$7)^-(D618-$C$5))</f>
      </c>
      <c r="F618" s="801">
        <f>IF($C$4="Hombre",(+VLOOKUP(INT(D618)+1,Tablas!$G$9:$K$1240,5,0)*(D618-INT(D618))+VLOOKUP(INT(D618),Tablas!$G$9:$K$1240,5,0)*(INT(D618)+1-D618))/(VLOOKUP(INT($C$5)+1,Tablas!$G$9:$K$1240,5,0)*($C$5-INT($C$5))+VLOOKUP(INT($C$5),Tablas!$G$9:$K$124,5,0)*(INT($C$5)+1-$C$5)),(+VLOOKUP(INT(D618)+1,Tablas!$G$9:$O$1240,9,0)*(D618-INT(D618))+VLOOKUP(INT(D618),Tablas!$G$9:$O$1240,9,0)*(INT(D618)+1-D618))/(VLOOKUP(INT($C$5)+1,Tablas!$G$9:$O$1240,9,0)*($C$5-INT($C$5))+VLOOKUP(INT($C$5),Tablas!$G$9:$O$124,9,0)*(INT($C$5)+1-$C$5)))</f>
      </c>
      <c r="G618" s="791">
        <f>IF($C$4="Hombre",(+VLOOKUP(INT(D618)+1,Tablas!$G$9:$K$1240,5,0)*(D618-INT(D618))+VLOOKUP(INT(D618),Tablas!$G$9:$K$1240,5,0)*(INT(D618)+1-D618)),+VLOOKUP(INT(D618)+1,Tablas!$G$9:$O$1240,9,0)*(D618-INT(D618))+VLOOKUP(INT(D618),Tablas!$G$9:$O$1240,9,0)*(INT(D618)+1-D618))</f>
      </c>
      <c r="H618" s="801">
        <f>+IF(MONTH(B618)=1,H617*(1+$C$9),H617)</f>
      </c>
      <c r="I618" s="791">
        <f>IF(B618&lt;$C$10,0,IF(B618&lt;$C$11,$C$8/12*E618*F618*H618,0))</f>
      </c>
      <c r="J618" s="791">
        <f>I618*12/14+IF(OR(MONTH(C618)=6,MONTH(C618)=12),I618*12/14,0)</f>
      </c>
      <c r="K618" s="801">
        <f>G618/$G$15</f>
      </c>
      <c r="L618" s="760"/>
      <c r="M618" s="767"/>
      <c r="N618" s="168"/>
      <c r="O618" s="768"/>
      <c r="P618" s="170"/>
      <c r="Q618" s="7"/>
      <c r="R618" s="766"/>
      <c r="S618" s="170"/>
      <c r="T618" s="168"/>
      <c r="U618" s="170"/>
    </row>
    <row x14ac:dyDescent="0.25" r="619" customHeight="1" ht="18.75">
      <c r="A619" s="1"/>
      <c r="B619" s="799">
        <f>+DATE(YEAR(B618),MONTH(B618)+1,DAY(B618))</f>
        <v>25569.041666666668</v>
      </c>
      <c r="C619" s="799">
        <f>+B620-1</f>
        <v>25569.041666666668</v>
      </c>
      <c r="D619" s="791">
        <f>-_xlfn.DAYS($C$3,C619)/365.25</f>
      </c>
      <c r="E619" s="800">
        <f>IF($D$17+40&lt;=D619,(1+$D$7)^-(D619-$C$5),(1+$C$7)^-(D619-$C$5))</f>
      </c>
      <c r="F619" s="801">
        <f>IF($C$4="Hombre",(+VLOOKUP(INT(D619)+1,Tablas!$G$9:$K$1240,5,0)*(D619-INT(D619))+VLOOKUP(INT(D619),Tablas!$G$9:$K$1240,5,0)*(INT(D619)+1-D619))/(VLOOKUP(INT($C$5)+1,Tablas!$G$9:$K$1240,5,0)*($C$5-INT($C$5))+VLOOKUP(INT($C$5),Tablas!$G$9:$K$124,5,0)*(INT($C$5)+1-$C$5)),(+VLOOKUP(INT(D619)+1,Tablas!$G$9:$O$1240,9,0)*(D619-INT(D619))+VLOOKUP(INT(D619),Tablas!$G$9:$O$1240,9,0)*(INT(D619)+1-D619))/(VLOOKUP(INT($C$5)+1,Tablas!$G$9:$O$1240,9,0)*($C$5-INT($C$5))+VLOOKUP(INT($C$5),Tablas!$G$9:$O$124,9,0)*(INT($C$5)+1-$C$5)))</f>
      </c>
      <c r="G619" s="791">
        <f>IF($C$4="Hombre",(+VLOOKUP(INT(D619)+1,Tablas!$G$9:$K$1240,5,0)*(D619-INT(D619))+VLOOKUP(INT(D619),Tablas!$G$9:$K$1240,5,0)*(INT(D619)+1-D619)),+VLOOKUP(INT(D619)+1,Tablas!$G$9:$O$1240,9,0)*(D619-INT(D619))+VLOOKUP(INT(D619),Tablas!$G$9:$O$1240,9,0)*(INT(D619)+1-D619))</f>
      </c>
      <c r="H619" s="801">
        <f>+IF(MONTH(B619)=1,H618*(1+$C$9),H618)</f>
      </c>
      <c r="I619" s="791">
        <f>IF(B619&lt;$C$10,0,IF(B619&lt;$C$11,$C$8/12*E619*F619*H619,0))</f>
      </c>
      <c r="J619" s="791">
        <f>I619*12/14+IF(OR(MONTH(C619)=6,MONTH(C619)=12),I619*12/14,0)</f>
      </c>
      <c r="K619" s="801">
        <f>G619/$G$15</f>
      </c>
      <c r="L619" s="760"/>
      <c r="M619" s="767"/>
      <c r="N619" s="168"/>
      <c r="O619" s="768"/>
      <c r="P619" s="170"/>
      <c r="Q619" s="7"/>
      <c r="R619" s="766"/>
      <c r="S619" s="170"/>
      <c r="T619" s="168"/>
      <c r="U619" s="170"/>
    </row>
    <row x14ac:dyDescent="0.25" r="620" customHeight="1" ht="18.75">
      <c r="A620" s="1"/>
      <c r="B620" s="799">
        <f>+DATE(YEAR(B619),MONTH(B619)+1,DAY(B619))</f>
        <v>25569.041666666668</v>
      </c>
      <c r="C620" s="799">
        <f>+B621-1</f>
        <v>25569.041666666668</v>
      </c>
      <c r="D620" s="791">
        <f>-_xlfn.DAYS($C$3,C620)/365.25</f>
      </c>
      <c r="E620" s="800">
        <f>IF($D$17+40&lt;=D620,(1+$D$7)^-(D620-$C$5),(1+$C$7)^-(D620-$C$5))</f>
      </c>
      <c r="F620" s="801">
        <f>IF($C$4="Hombre",(+VLOOKUP(INT(D620)+1,Tablas!$G$9:$K$1240,5,0)*(D620-INT(D620))+VLOOKUP(INT(D620),Tablas!$G$9:$K$1240,5,0)*(INT(D620)+1-D620))/(VLOOKUP(INT($C$5)+1,Tablas!$G$9:$K$1240,5,0)*($C$5-INT($C$5))+VLOOKUP(INT($C$5),Tablas!$G$9:$K$124,5,0)*(INT($C$5)+1-$C$5)),(+VLOOKUP(INT(D620)+1,Tablas!$G$9:$O$1240,9,0)*(D620-INT(D620))+VLOOKUP(INT(D620),Tablas!$G$9:$O$1240,9,0)*(INT(D620)+1-D620))/(VLOOKUP(INT($C$5)+1,Tablas!$G$9:$O$1240,9,0)*($C$5-INT($C$5))+VLOOKUP(INT($C$5),Tablas!$G$9:$O$124,9,0)*(INT($C$5)+1-$C$5)))</f>
      </c>
      <c r="G620" s="791">
        <f>IF($C$4="Hombre",(+VLOOKUP(INT(D620)+1,Tablas!$G$9:$K$1240,5,0)*(D620-INT(D620))+VLOOKUP(INT(D620),Tablas!$G$9:$K$1240,5,0)*(INT(D620)+1-D620)),+VLOOKUP(INT(D620)+1,Tablas!$G$9:$O$1240,9,0)*(D620-INT(D620))+VLOOKUP(INT(D620),Tablas!$G$9:$O$1240,9,0)*(INT(D620)+1-D620))</f>
      </c>
      <c r="H620" s="801">
        <f>+IF(MONTH(B620)=1,H619*(1+$C$9),H619)</f>
      </c>
      <c r="I620" s="791">
        <f>IF(B620&lt;$C$10,0,IF(B620&lt;$C$11,$C$8/12*E620*F620*H620,0))</f>
      </c>
      <c r="J620" s="791">
        <f>I620*12/14+IF(OR(MONTH(C620)=6,MONTH(C620)=12),I620*12/14,0)</f>
      </c>
      <c r="K620" s="801">
        <f>G620/$G$15</f>
      </c>
      <c r="L620" s="760"/>
      <c r="M620" s="767"/>
      <c r="N620" s="168"/>
      <c r="O620" s="768"/>
      <c r="P620" s="170"/>
      <c r="Q620" s="7"/>
      <c r="R620" s="766"/>
      <c r="S620" s="170"/>
      <c r="T620" s="168"/>
      <c r="U620" s="170"/>
    </row>
    <row x14ac:dyDescent="0.25" r="621" customHeight="1" ht="18.75">
      <c r="A621" s="1"/>
      <c r="B621" s="799">
        <f>+DATE(YEAR(B620),MONTH(B620)+1,DAY(B620))</f>
        <v>25569.041666666668</v>
      </c>
      <c r="C621" s="799">
        <f>+B622-1</f>
        <v>25569.041666666668</v>
      </c>
      <c r="D621" s="791">
        <f>-_xlfn.DAYS($C$3,C621)/365.25</f>
      </c>
      <c r="E621" s="800">
        <f>IF($D$17+40&lt;=D621,(1+$D$7)^-(D621-$C$5),(1+$C$7)^-(D621-$C$5))</f>
      </c>
      <c r="F621" s="801">
        <f>IF($C$4="Hombre",(+VLOOKUP(INT(D621)+1,Tablas!$G$9:$K$1240,5,0)*(D621-INT(D621))+VLOOKUP(INT(D621),Tablas!$G$9:$K$1240,5,0)*(INT(D621)+1-D621))/(VLOOKUP(INT($C$5)+1,Tablas!$G$9:$K$1240,5,0)*($C$5-INT($C$5))+VLOOKUP(INT($C$5),Tablas!$G$9:$K$124,5,0)*(INT($C$5)+1-$C$5)),(+VLOOKUP(INT(D621)+1,Tablas!$G$9:$O$1240,9,0)*(D621-INT(D621))+VLOOKUP(INT(D621),Tablas!$G$9:$O$1240,9,0)*(INT(D621)+1-D621))/(VLOOKUP(INT($C$5)+1,Tablas!$G$9:$O$1240,9,0)*($C$5-INT($C$5))+VLOOKUP(INT($C$5),Tablas!$G$9:$O$124,9,0)*(INT($C$5)+1-$C$5)))</f>
      </c>
      <c r="G621" s="791">
        <f>IF($C$4="Hombre",(+VLOOKUP(INT(D621)+1,Tablas!$G$9:$K$1240,5,0)*(D621-INT(D621))+VLOOKUP(INT(D621),Tablas!$G$9:$K$1240,5,0)*(INT(D621)+1-D621)),+VLOOKUP(INT(D621)+1,Tablas!$G$9:$O$1240,9,0)*(D621-INT(D621))+VLOOKUP(INT(D621),Tablas!$G$9:$O$1240,9,0)*(INT(D621)+1-D621))</f>
      </c>
      <c r="H621" s="801">
        <f>+IF(MONTH(B621)=1,H620*(1+$C$9),H620)</f>
      </c>
      <c r="I621" s="791">
        <f>IF(B621&lt;$C$10,0,IF(B621&lt;$C$11,$C$8/12*E621*F621*H621,0))</f>
      </c>
      <c r="J621" s="791">
        <f>I621*12/14+IF(OR(MONTH(C621)=6,MONTH(C621)=12),I621*12/14,0)</f>
      </c>
      <c r="K621" s="801">
        <f>G621/$G$15</f>
      </c>
      <c r="L621" s="760"/>
      <c r="M621" s="767"/>
      <c r="N621" s="168"/>
      <c r="O621" s="768"/>
      <c r="P621" s="170"/>
      <c r="Q621" s="7"/>
      <c r="R621" s="766"/>
      <c r="S621" s="170"/>
      <c r="T621" s="168"/>
      <c r="U621" s="170"/>
    </row>
    <row x14ac:dyDescent="0.25" r="622" customHeight="1" ht="18.75">
      <c r="A622" s="1"/>
      <c r="B622" s="799">
        <f>+DATE(YEAR(B621),MONTH(B621)+1,DAY(B621))</f>
        <v>25569.041666666668</v>
      </c>
      <c r="C622" s="799">
        <f>+B623-1</f>
        <v>25569.041666666668</v>
      </c>
      <c r="D622" s="791">
        <f>-_xlfn.DAYS($C$3,C622)/365.25</f>
      </c>
      <c r="E622" s="800">
        <f>IF($D$17+40&lt;=D622,(1+$D$7)^-(D622-$C$5),(1+$C$7)^-(D622-$C$5))</f>
      </c>
      <c r="F622" s="801">
        <f>IF($C$4="Hombre",(+VLOOKUP(INT(D622)+1,Tablas!$G$9:$K$1240,5,0)*(D622-INT(D622))+VLOOKUP(INT(D622),Tablas!$G$9:$K$1240,5,0)*(INT(D622)+1-D622))/(VLOOKUP(INT($C$5)+1,Tablas!$G$9:$K$1240,5,0)*($C$5-INT($C$5))+VLOOKUP(INT($C$5),Tablas!$G$9:$K$124,5,0)*(INT($C$5)+1-$C$5)),(+VLOOKUP(INT(D622)+1,Tablas!$G$9:$O$1240,9,0)*(D622-INT(D622))+VLOOKUP(INT(D622),Tablas!$G$9:$O$1240,9,0)*(INT(D622)+1-D622))/(VLOOKUP(INT($C$5)+1,Tablas!$G$9:$O$1240,9,0)*($C$5-INT($C$5))+VLOOKUP(INT($C$5),Tablas!$G$9:$O$124,9,0)*(INT($C$5)+1-$C$5)))</f>
      </c>
      <c r="G622" s="791">
        <f>IF($C$4="Hombre",(+VLOOKUP(INT(D622)+1,Tablas!$G$9:$K$1240,5,0)*(D622-INT(D622))+VLOOKUP(INT(D622),Tablas!$G$9:$K$1240,5,0)*(INT(D622)+1-D622)),+VLOOKUP(INT(D622)+1,Tablas!$G$9:$O$1240,9,0)*(D622-INT(D622))+VLOOKUP(INT(D622),Tablas!$G$9:$O$1240,9,0)*(INT(D622)+1-D622))</f>
      </c>
      <c r="H622" s="801">
        <f>+IF(MONTH(B622)=1,H621*(1+$C$9),H621)</f>
      </c>
      <c r="I622" s="791">
        <f>IF(B622&lt;$C$10,0,IF(B622&lt;$C$11,$C$8/12*E622*F622*H622,0))</f>
      </c>
      <c r="J622" s="791">
        <f>I622*12/14+IF(OR(MONTH(C622)=6,MONTH(C622)=12),I622*12/14,0)</f>
      </c>
      <c r="K622" s="801">
        <f>G622/$G$15</f>
      </c>
      <c r="L622" s="760"/>
      <c r="M622" s="767"/>
      <c r="N622" s="168"/>
      <c r="O622" s="768"/>
      <c r="P622" s="170"/>
      <c r="Q622" s="7"/>
      <c r="R622" s="766"/>
      <c r="S622" s="170"/>
      <c r="T622" s="168"/>
      <c r="U622" s="170"/>
    </row>
    <row x14ac:dyDescent="0.25" r="623" customHeight="1" ht="18.75">
      <c r="A623" s="1"/>
      <c r="B623" s="799">
        <f>+DATE(YEAR(B622),MONTH(B622)+1,DAY(B622))</f>
        <v>25569.041666666668</v>
      </c>
      <c r="C623" s="799">
        <f>+B624-1</f>
        <v>25569.041666666668</v>
      </c>
      <c r="D623" s="791">
        <f>-_xlfn.DAYS($C$3,C623)/365.25</f>
      </c>
      <c r="E623" s="800">
        <f>IF($D$17+40&lt;=D623,(1+$D$7)^-(D623-$C$5),(1+$C$7)^-(D623-$C$5))</f>
      </c>
      <c r="F623" s="801">
        <f>IF($C$4="Hombre",(+VLOOKUP(INT(D623)+1,Tablas!$G$9:$K$1240,5,0)*(D623-INT(D623))+VLOOKUP(INT(D623),Tablas!$G$9:$K$1240,5,0)*(INT(D623)+1-D623))/(VLOOKUP(INT($C$5)+1,Tablas!$G$9:$K$1240,5,0)*($C$5-INT($C$5))+VLOOKUP(INT($C$5),Tablas!$G$9:$K$124,5,0)*(INT($C$5)+1-$C$5)),(+VLOOKUP(INT(D623)+1,Tablas!$G$9:$O$1240,9,0)*(D623-INT(D623))+VLOOKUP(INT(D623),Tablas!$G$9:$O$1240,9,0)*(INT(D623)+1-D623))/(VLOOKUP(INT($C$5)+1,Tablas!$G$9:$O$1240,9,0)*($C$5-INT($C$5))+VLOOKUP(INT($C$5),Tablas!$G$9:$O$124,9,0)*(INT($C$5)+1-$C$5)))</f>
      </c>
      <c r="G623" s="791">
        <f>IF($C$4="Hombre",(+VLOOKUP(INT(D623)+1,Tablas!$G$9:$K$1240,5,0)*(D623-INT(D623))+VLOOKUP(INT(D623),Tablas!$G$9:$K$1240,5,0)*(INT(D623)+1-D623)),+VLOOKUP(INT(D623)+1,Tablas!$G$9:$O$1240,9,0)*(D623-INT(D623))+VLOOKUP(INT(D623),Tablas!$G$9:$O$1240,9,0)*(INT(D623)+1-D623))</f>
      </c>
      <c r="H623" s="801">
        <f>+IF(MONTH(B623)=1,H622*(1+$C$9),H622)</f>
      </c>
      <c r="I623" s="791">
        <f>IF(B623&lt;$C$10,0,IF(B623&lt;$C$11,$C$8/12*E623*F623*H623,0))</f>
      </c>
      <c r="J623" s="791">
        <f>I623*12/14+IF(OR(MONTH(C623)=6,MONTH(C623)=12),I623*12/14,0)</f>
      </c>
      <c r="K623" s="801">
        <f>G623/$G$15</f>
      </c>
      <c r="L623" s="760"/>
      <c r="M623" s="767"/>
      <c r="N623" s="168"/>
      <c r="O623" s="768"/>
      <c r="P623" s="170"/>
      <c r="Q623" s="7"/>
      <c r="R623" s="766"/>
      <c r="S623" s="170"/>
      <c r="T623" s="168"/>
      <c r="U623" s="170"/>
    </row>
    <row x14ac:dyDescent="0.25" r="624" customHeight="1" ht="18.75">
      <c r="A624" s="1"/>
      <c r="B624" s="799">
        <f>+DATE(YEAR(B623),MONTH(B623)+1,DAY(B623))</f>
        <v>25569.041666666668</v>
      </c>
      <c r="C624" s="799">
        <f>+B625-1</f>
        <v>25569.041666666668</v>
      </c>
      <c r="D624" s="791">
        <f>-_xlfn.DAYS($C$3,C624)/365.25</f>
      </c>
      <c r="E624" s="800">
        <f>IF($D$17+40&lt;=D624,(1+$D$7)^-(D624-$C$5),(1+$C$7)^-(D624-$C$5))</f>
      </c>
      <c r="F624" s="801">
        <f>IF($C$4="Hombre",(+VLOOKUP(INT(D624)+1,Tablas!$G$9:$K$1240,5,0)*(D624-INT(D624))+VLOOKUP(INT(D624),Tablas!$G$9:$K$1240,5,0)*(INT(D624)+1-D624))/(VLOOKUP(INT($C$5)+1,Tablas!$G$9:$K$1240,5,0)*($C$5-INT($C$5))+VLOOKUP(INT($C$5),Tablas!$G$9:$K$124,5,0)*(INT($C$5)+1-$C$5)),(+VLOOKUP(INT(D624)+1,Tablas!$G$9:$O$1240,9,0)*(D624-INT(D624))+VLOOKUP(INT(D624),Tablas!$G$9:$O$1240,9,0)*(INT(D624)+1-D624))/(VLOOKUP(INT($C$5)+1,Tablas!$G$9:$O$1240,9,0)*($C$5-INT($C$5))+VLOOKUP(INT($C$5),Tablas!$G$9:$O$124,9,0)*(INT($C$5)+1-$C$5)))</f>
      </c>
      <c r="G624" s="791">
        <f>IF($C$4="Hombre",(+VLOOKUP(INT(D624)+1,Tablas!$G$9:$K$1240,5,0)*(D624-INT(D624))+VLOOKUP(INT(D624),Tablas!$G$9:$K$1240,5,0)*(INT(D624)+1-D624)),+VLOOKUP(INT(D624)+1,Tablas!$G$9:$O$1240,9,0)*(D624-INT(D624))+VLOOKUP(INT(D624),Tablas!$G$9:$O$1240,9,0)*(INT(D624)+1-D624))</f>
      </c>
      <c r="H624" s="801">
        <f>+IF(MONTH(B624)=1,H623*(1+$C$9),H623)</f>
      </c>
      <c r="I624" s="791">
        <f>IF(B624&lt;$C$10,0,IF(B624&lt;$C$11,$C$8/12*E624*F624*H624,0))</f>
      </c>
      <c r="J624" s="791">
        <f>I624*12/14+IF(OR(MONTH(C624)=6,MONTH(C624)=12),I624*12/14,0)</f>
      </c>
      <c r="K624" s="801">
        <f>G624/$G$15</f>
      </c>
      <c r="L624" s="760"/>
      <c r="M624" s="767"/>
      <c r="N624" s="168"/>
      <c r="O624" s="768"/>
      <c r="P624" s="170"/>
      <c r="Q624" s="7"/>
      <c r="R624" s="766"/>
      <c r="S624" s="170"/>
      <c r="T624" s="168"/>
      <c r="U624" s="170"/>
    </row>
    <row x14ac:dyDescent="0.25" r="625" customHeight="1" ht="18.75">
      <c r="A625" s="1"/>
      <c r="B625" s="799">
        <f>+DATE(YEAR(B624),MONTH(B624)+1,DAY(B624))</f>
        <v>25569.041666666668</v>
      </c>
      <c r="C625" s="799">
        <f>+B626-1</f>
        <v>25569.041666666668</v>
      </c>
      <c r="D625" s="791">
        <f>-_xlfn.DAYS($C$3,C625)/365.25</f>
      </c>
      <c r="E625" s="800">
        <f>IF($D$17+40&lt;=D625,(1+$D$7)^-(D625-$C$5),(1+$C$7)^-(D625-$C$5))</f>
      </c>
      <c r="F625" s="801">
        <f>IF($C$4="Hombre",(+VLOOKUP(INT(D625)+1,Tablas!$G$9:$K$1240,5,0)*(D625-INT(D625))+VLOOKUP(INT(D625),Tablas!$G$9:$K$1240,5,0)*(INT(D625)+1-D625))/(VLOOKUP(INT($C$5)+1,Tablas!$G$9:$K$1240,5,0)*($C$5-INT($C$5))+VLOOKUP(INT($C$5),Tablas!$G$9:$K$124,5,0)*(INT($C$5)+1-$C$5)),(+VLOOKUP(INT(D625)+1,Tablas!$G$9:$O$1240,9,0)*(D625-INT(D625))+VLOOKUP(INT(D625),Tablas!$G$9:$O$1240,9,0)*(INT(D625)+1-D625))/(VLOOKUP(INT($C$5)+1,Tablas!$G$9:$O$1240,9,0)*($C$5-INT($C$5))+VLOOKUP(INT($C$5),Tablas!$G$9:$O$124,9,0)*(INT($C$5)+1-$C$5)))</f>
      </c>
      <c r="G625" s="791">
        <f>IF($C$4="Hombre",(+VLOOKUP(INT(D625)+1,Tablas!$G$9:$K$1240,5,0)*(D625-INT(D625))+VLOOKUP(INT(D625),Tablas!$G$9:$K$1240,5,0)*(INT(D625)+1-D625)),+VLOOKUP(INT(D625)+1,Tablas!$G$9:$O$1240,9,0)*(D625-INT(D625))+VLOOKUP(INT(D625),Tablas!$G$9:$O$1240,9,0)*(INT(D625)+1-D625))</f>
      </c>
      <c r="H625" s="801">
        <f>+IF(MONTH(B625)=1,H624*(1+$C$9),H624)</f>
      </c>
      <c r="I625" s="791">
        <f>IF(B625&lt;$C$10,0,IF(B625&lt;$C$11,$C$8/12*E625*F625*H625,0))</f>
      </c>
      <c r="J625" s="791">
        <f>I625*12/14+IF(OR(MONTH(C625)=6,MONTH(C625)=12),I625*12/14,0)</f>
      </c>
      <c r="K625" s="801">
        <f>G625/$G$15</f>
      </c>
      <c r="L625" s="760"/>
      <c r="M625" s="767"/>
      <c r="N625" s="168"/>
      <c r="O625" s="768"/>
      <c r="P625" s="170"/>
      <c r="Q625" s="7"/>
      <c r="R625" s="766"/>
      <c r="S625" s="170"/>
      <c r="T625" s="168"/>
      <c r="U625" s="170"/>
    </row>
    <row x14ac:dyDescent="0.25" r="626" customHeight="1" ht="18.75">
      <c r="A626" s="1"/>
      <c r="B626" s="799">
        <f>+DATE(YEAR(B625),MONTH(B625)+1,DAY(B625))</f>
        <v>25569.041666666668</v>
      </c>
      <c r="C626" s="799">
        <f>+B627-1</f>
        <v>25569.041666666668</v>
      </c>
      <c r="D626" s="791">
        <f>-_xlfn.DAYS($C$3,C626)/365.25</f>
      </c>
      <c r="E626" s="800">
        <f>IF($D$17+40&lt;=D626,(1+$D$7)^-(D626-$C$5),(1+$C$7)^-(D626-$C$5))</f>
      </c>
      <c r="F626" s="801">
        <f>IF($C$4="Hombre",(+VLOOKUP(INT(D626)+1,Tablas!$G$9:$K$1240,5,0)*(D626-INT(D626))+VLOOKUP(INT(D626),Tablas!$G$9:$K$1240,5,0)*(INT(D626)+1-D626))/(VLOOKUP(INT($C$5)+1,Tablas!$G$9:$K$1240,5,0)*($C$5-INT($C$5))+VLOOKUP(INT($C$5),Tablas!$G$9:$K$124,5,0)*(INT($C$5)+1-$C$5)),(+VLOOKUP(INT(D626)+1,Tablas!$G$9:$O$1240,9,0)*(D626-INT(D626))+VLOOKUP(INT(D626),Tablas!$G$9:$O$1240,9,0)*(INT(D626)+1-D626))/(VLOOKUP(INT($C$5)+1,Tablas!$G$9:$O$1240,9,0)*($C$5-INT($C$5))+VLOOKUP(INT($C$5),Tablas!$G$9:$O$124,9,0)*(INT($C$5)+1-$C$5)))</f>
      </c>
      <c r="G626" s="791">
        <f>IF($C$4="Hombre",(+VLOOKUP(INT(D626)+1,Tablas!$G$9:$K$1240,5,0)*(D626-INT(D626))+VLOOKUP(INT(D626),Tablas!$G$9:$K$1240,5,0)*(INT(D626)+1-D626)),+VLOOKUP(INT(D626)+1,Tablas!$G$9:$O$1240,9,0)*(D626-INT(D626))+VLOOKUP(INT(D626),Tablas!$G$9:$O$1240,9,0)*(INT(D626)+1-D626))</f>
      </c>
      <c r="H626" s="801">
        <f>+IF(MONTH(B626)=1,H625*(1+$C$9),H625)</f>
      </c>
      <c r="I626" s="791">
        <f>IF(B626&lt;$C$10,0,IF(B626&lt;$C$11,$C$8/12*E626*F626*H626,0))</f>
      </c>
      <c r="J626" s="791">
        <f>I626*12/14+IF(OR(MONTH(C626)=6,MONTH(C626)=12),I626*12/14,0)</f>
      </c>
      <c r="K626" s="801">
        <f>G626/$G$15</f>
      </c>
      <c r="L626" s="760"/>
      <c r="M626" s="767"/>
      <c r="N626" s="168"/>
      <c r="O626" s="768"/>
      <c r="P626" s="170"/>
      <c r="Q626" s="7"/>
      <c r="R626" s="766"/>
      <c r="S626" s="170"/>
      <c r="T626" s="168"/>
      <c r="U626" s="170"/>
    </row>
    <row x14ac:dyDescent="0.25" r="627" customHeight="1" ht="18.75">
      <c r="A627" s="1"/>
      <c r="B627" s="799">
        <f>+DATE(YEAR(B626),MONTH(B626)+1,DAY(B626))</f>
        <v>25569.041666666668</v>
      </c>
      <c r="C627" s="799">
        <f>+B628-1</f>
        <v>25569.041666666668</v>
      </c>
      <c r="D627" s="791">
        <f>-_xlfn.DAYS($C$3,C627)/365.25</f>
      </c>
      <c r="E627" s="800">
        <f>IF($D$17+40&lt;=D627,(1+$D$7)^-(D627-$C$5),(1+$C$7)^-(D627-$C$5))</f>
      </c>
      <c r="F627" s="801">
        <f>IF($C$4="Hombre",(+VLOOKUP(INT(D627)+1,Tablas!$G$9:$K$1240,5,0)*(D627-INT(D627))+VLOOKUP(INT(D627),Tablas!$G$9:$K$1240,5,0)*(INT(D627)+1-D627))/(VLOOKUP(INT($C$5)+1,Tablas!$G$9:$K$1240,5,0)*($C$5-INT($C$5))+VLOOKUP(INT($C$5),Tablas!$G$9:$K$124,5,0)*(INT($C$5)+1-$C$5)),(+VLOOKUP(INT(D627)+1,Tablas!$G$9:$O$1240,9,0)*(D627-INT(D627))+VLOOKUP(INT(D627),Tablas!$G$9:$O$1240,9,0)*(INT(D627)+1-D627))/(VLOOKUP(INT($C$5)+1,Tablas!$G$9:$O$1240,9,0)*($C$5-INT($C$5))+VLOOKUP(INT($C$5),Tablas!$G$9:$O$124,9,0)*(INT($C$5)+1-$C$5)))</f>
      </c>
      <c r="G627" s="791">
        <f>IF($C$4="Hombre",(+VLOOKUP(INT(D627)+1,Tablas!$G$9:$K$1240,5,0)*(D627-INT(D627))+VLOOKUP(INT(D627),Tablas!$G$9:$K$1240,5,0)*(INT(D627)+1-D627)),+VLOOKUP(INT(D627)+1,Tablas!$G$9:$O$1240,9,0)*(D627-INT(D627))+VLOOKUP(INT(D627),Tablas!$G$9:$O$1240,9,0)*(INT(D627)+1-D627))</f>
      </c>
      <c r="H627" s="801">
        <f>+IF(MONTH(B627)=1,H626*(1+$C$9),H626)</f>
      </c>
      <c r="I627" s="791">
        <f>IF(B627&lt;$C$10,0,IF(B627&lt;$C$11,$C$8/12*E627*F627*H627,0))</f>
      </c>
      <c r="J627" s="791">
        <f>I627*12/14+IF(OR(MONTH(C627)=6,MONTH(C627)=12),I627*12/14,0)</f>
      </c>
      <c r="K627" s="801">
        <f>G627/$G$15</f>
      </c>
      <c r="L627" s="760"/>
      <c r="M627" s="767"/>
      <c r="N627" s="168"/>
      <c r="O627" s="768"/>
      <c r="P627" s="170"/>
      <c r="Q627" s="7"/>
      <c r="R627" s="766"/>
      <c r="S627" s="170"/>
      <c r="T627" s="168"/>
      <c r="U627" s="170"/>
    </row>
    <row x14ac:dyDescent="0.25" r="628" customHeight="1" ht="18.75">
      <c r="A628" s="1"/>
      <c r="B628" s="799">
        <f>+DATE(YEAR(B627),MONTH(B627)+1,DAY(B627))</f>
        <v>25569.041666666668</v>
      </c>
      <c r="C628" s="799">
        <f>+B629-1</f>
        <v>25569.041666666668</v>
      </c>
      <c r="D628" s="791">
        <f>-_xlfn.DAYS($C$3,C628)/365.25</f>
      </c>
      <c r="E628" s="800">
        <f>IF($D$17+40&lt;=D628,(1+$D$7)^-(D628-$C$5),(1+$C$7)^-(D628-$C$5))</f>
      </c>
      <c r="F628" s="801">
        <f>IF($C$4="Hombre",(+VLOOKUP(INT(D628)+1,Tablas!$G$9:$K$1240,5,0)*(D628-INT(D628))+VLOOKUP(INT(D628),Tablas!$G$9:$K$1240,5,0)*(INT(D628)+1-D628))/(VLOOKUP(INT($C$5)+1,Tablas!$G$9:$K$1240,5,0)*($C$5-INT($C$5))+VLOOKUP(INT($C$5),Tablas!$G$9:$K$124,5,0)*(INT($C$5)+1-$C$5)),(+VLOOKUP(INT(D628)+1,Tablas!$G$9:$O$1240,9,0)*(D628-INT(D628))+VLOOKUP(INT(D628),Tablas!$G$9:$O$1240,9,0)*(INT(D628)+1-D628))/(VLOOKUP(INT($C$5)+1,Tablas!$G$9:$O$1240,9,0)*($C$5-INT($C$5))+VLOOKUP(INT($C$5),Tablas!$G$9:$O$124,9,0)*(INT($C$5)+1-$C$5)))</f>
      </c>
      <c r="G628" s="791">
        <f>IF($C$4="Hombre",(+VLOOKUP(INT(D628)+1,Tablas!$G$9:$K$1240,5,0)*(D628-INT(D628))+VLOOKUP(INT(D628),Tablas!$G$9:$K$1240,5,0)*(INT(D628)+1-D628)),+VLOOKUP(INT(D628)+1,Tablas!$G$9:$O$1240,9,0)*(D628-INT(D628))+VLOOKUP(INT(D628),Tablas!$G$9:$O$1240,9,0)*(INT(D628)+1-D628))</f>
      </c>
      <c r="H628" s="801">
        <f>+IF(MONTH(B628)=1,H627*(1+$C$9),H627)</f>
      </c>
      <c r="I628" s="791">
        <f>IF(B628&lt;$C$10,0,IF(B628&lt;$C$11,$C$8/12*E628*F628*H628,0))</f>
      </c>
      <c r="J628" s="791">
        <f>I628*12/14+IF(OR(MONTH(C628)=6,MONTH(C628)=12),I628*12/14,0)</f>
      </c>
      <c r="K628" s="801">
        <f>G628/$G$15</f>
      </c>
      <c r="L628" s="760"/>
      <c r="M628" s="767"/>
      <c r="N628" s="168"/>
      <c r="O628" s="768"/>
      <c r="P628" s="170"/>
      <c r="Q628" s="7"/>
      <c r="R628" s="766"/>
      <c r="S628" s="170"/>
      <c r="T628" s="168"/>
      <c r="U628" s="170"/>
    </row>
    <row x14ac:dyDescent="0.25" r="629" customHeight="1" ht="18.75">
      <c r="A629" s="1"/>
      <c r="B629" s="799">
        <f>+DATE(YEAR(B628),MONTH(B628)+1,DAY(B628))</f>
        <v>25569.041666666668</v>
      </c>
      <c r="C629" s="799">
        <f>+B630-1</f>
        <v>25569.041666666668</v>
      </c>
      <c r="D629" s="791">
        <f>-_xlfn.DAYS($C$3,C629)/365.25</f>
      </c>
      <c r="E629" s="800">
        <f>IF($D$17+40&lt;=D629,(1+$D$7)^-(D629-$C$5),(1+$C$7)^-(D629-$C$5))</f>
      </c>
      <c r="F629" s="801">
        <f>IF($C$4="Hombre",(+VLOOKUP(INT(D629)+1,Tablas!$G$9:$K$1240,5,0)*(D629-INT(D629))+VLOOKUP(INT(D629),Tablas!$G$9:$K$1240,5,0)*(INT(D629)+1-D629))/(VLOOKUP(INT($C$5)+1,Tablas!$G$9:$K$1240,5,0)*($C$5-INT($C$5))+VLOOKUP(INT($C$5),Tablas!$G$9:$K$124,5,0)*(INT($C$5)+1-$C$5)),(+VLOOKUP(INT(D629)+1,Tablas!$G$9:$O$1240,9,0)*(D629-INT(D629))+VLOOKUP(INT(D629),Tablas!$G$9:$O$1240,9,0)*(INT(D629)+1-D629))/(VLOOKUP(INT($C$5)+1,Tablas!$G$9:$O$1240,9,0)*($C$5-INT($C$5))+VLOOKUP(INT($C$5),Tablas!$G$9:$O$124,9,0)*(INT($C$5)+1-$C$5)))</f>
      </c>
      <c r="G629" s="791">
        <f>IF($C$4="Hombre",(+VLOOKUP(INT(D629)+1,Tablas!$G$9:$K$1240,5,0)*(D629-INT(D629))+VLOOKUP(INT(D629),Tablas!$G$9:$K$1240,5,0)*(INT(D629)+1-D629)),+VLOOKUP(INT(D629)+1,Tablas!$G$9:$O$1240,9,0)*(D629-INT(D629))+VLOOKUP(INT(D629),Tablas!$G$9:$O$1240,9,0)*(INT(D629)+1-D629))</f>
      </c>
      <c r="H629" s="801">
        <f>+IF(MONTH(B629)=1,H628*(1+$C$9),H628)</f>
      </c>
      <c r="I629" s="791">
        <f>IF(B629&lt;$C$10,0,IF(B629&lt;$C$11,$C$8/12*E629*F629*H629,0))</f>
      </c>
      <c r="J629" s="791">
        <f>I629*12/14+IF(OR(MONTH(C629)=6,MONTH(C629)=12),I629*12/14,0)</f>
      </c>
      <c r="K629" s="801">
        <f>G629/$G$15</f>
      </c>
      <c r="L629" s="760"/>
      <c r="M629" s="767"/>
      <c r="N629" s="168"/>
      <c r="O629" s="768"/>
      <c r="P629" s="170"/>
      <c r="Q629" s="7"/>
      <c r="R629" s="766"/>
      <c r="S629" s="170"/>
      <c r="T629" s="168"/>
      <c r="U629" s="170"/>
    </row>
    <row x14ac:dyDescent="0.25" r="630" customHeight="1" ht="18.75">
      <c r="A630" s="1"/>
      <c r="B630" s="799">
        <f>+DATE(YEAR(B629),MONTH(B629)+1,DAY(B629))</f>
        <v>25569.041666666668</v>
      </c>
      <c r="C630" s="799">
        <f>+B631-1</f>
        <v>25569.041666666668</v>
      </c>
      <c r="D630" s="791">
        <f>-_xlfn.DAYS($C$3,C630)/365.25</f>
      </c>
      <c r="E630" s="800">
        <f>IF($D$17+40&lt;=D630,(1+$D$7)^-(D630-$C$5),(1+$C$7)^-(D630-$C$5))</f>
      </c>
      <c r="F630" s="801">
        <f>IF($C$4="Hombre",(+VLOOKUP(INT(D630)+1,Tablas!$G$9:$K$1240,5,0)*(D630-INT(D630))+VLOOKUP(INT(D630),Tablas!$G$9:$K$1240,5,0)*(INT(D630)+1-D630))/(VLOOKUP(INT($C$5)+1,Tablas!$G$9:$K$1240,5,0)*($C$5-INT($C$5))+VLOOKUP(INT($C$5),Tablas!$G$9:$K$124,5,0)*(INT($C$5)+1-$C$5)),(+VLOOKUP(INT(D630)+1,Tablas!$G$9:$O$1240,9,0)*(D630-INT(D630))+VLOOKUP(INT(D630),Tablas!$G$9:$O$1240,9,0)*(INT(D630)+1-D630))/(VLOOKUP(INT($C$5)+1,Tablas!$G$9:$O$1240,9,0)*($C$5-INT($C$5))+VLOOKUP(INT($C$5),Tablas!$G$9:$O$124,9,0)*(INT($C$5)+1-$C$5)))</f>
      </c>
      <c r="G630" s="791">
        <f>IF($C$4="Hombre",(+VLOOKUP(INT(D630)+1,Tablas!$G$9:$K$1240,5,0)*(D630-INT(D630))+VLOOKUP(INT(D630),Tablas!$G$9:$K$1240,5,0)*(INT(D630)+1-D630)),+VLOOKUP(INT(D630)+1,Tablas!$G$9:$O$1240,9,0)*(D630-INT(D630))+VLOOKUP(INT(D630),Tablas!$G$9:$O$1240,9,0)*(INT(D630)+1-D630))</f>
      </c>
      <c r="H630" s="801">
        <f>+IF(MONTH(B630)=1,H629*(1+$C$9),H629)</f>
      </c>
      <c r="I630" s="791">
        <f>IF(B630&lt;$C$10,0,IF(B630&lt;$C$11,$C$8/12*E630*F630*H630,0))</f>
      </c>
      <c r="J630" s="791">
        <f>I630*12/14+IF(OR(MONTH(C630)=6,MONTH(C630)=12),I630*12/14,0)</f>
      </c>
      <c r="K630" s="801">
        <f>G630/$G$15</f>
      </c>
      <c r="L630" s="760"/>
      <c r="M630" s="767"/>
      <c r="N630" s="168"/>
      <c r="O630" s="768"/>
      <c r="P630" s="170"/>
      <c r="Q630" s="7"/>
      <c r="R630" s="766"/>
      <c r="S630" s="170"/>
      <c r="T630" s="168"/>
      <c r="U630" s="170"/>
    </row>
    <row x14ac:dyDescent="0.25" r="631" customHeight="1" ht="18.75">
      <c r="A631" s="1"/>
      <c r="B631" s="799">
        <f>+DATE(YEAR(B630),MONTH(B630)+1,DAY(B630))</f>
        <v>25569.041666666668</v>
      </c>
      <c r="C631" s="799">
        <f>+B632-1</f>
        <v>25569.041666666668</v>
      </c>
      <c r="D631" s="791">
        <f>-_xlfn.DAYS($C$3,C631)/365.25</f>
      </c>
      <c r="E631" s="800">
        <f>IF($D$17+40&lt;=D631,(1+$D$7)^-(D631-$C$5),(1+$C$7)^-(D631-$C$5))</f>
      </c>
      <c r="F631" s="801">
        <f>IF($C$4="Hombre",(+VLOOKUP(INT(D631)+1,Tablas!$G$9:$K$1240,5,0)*(D631-INT(D631))+VLOOKUP(INT(D631),Tablas!$G$9:$K$1240,5,0)*(INT(D631)+1-D631))/(VLOOKUP(INT($C$5)+1,Tablas!$G$9:$K$1240,5,0)*($C$5-INT($C$5))+VLOOKUP(INT($C$5),Tablas!$G$9:$K$124,5,0)*(INT($C$5)+1-$C$5)),(+VLOOKUP(INT(D631)+1,Tablas!$G$9:$O$1240,9,0)*(D631-INT(D631))+VLOOKUP(INT(D631),Tablas!$G$9:$O$1240,9,0)*(INT(D631)+1-D631))/(VLOOKUP(INT($C$5)+1,Tablas!$G$9:$O$1240,9,0)*($C$5-INT($C$5))+VLOOKUP(INT($C$5),Tablas!$G$9:$O$124,9,0)*(INT($C$5)+1-$C$5)))</f>
      </c>
      <c r="G631" s="791">
        <f>IF($C$4="Hombre",(+VLOOKUP(INT(D631)+1,Tablas!$G$9:$K$1240,5,0)*(D631-INT(D631))+VLOOKUP(INT(D631),Tablas!$G$9:$K$1240,5,0)*(INT(D631)+1-D631)),+VLOOKUP(INT(D631)+1,Tablas!$G$9:$O$1240,9,0)*(D631-INT(D631))+VLOOKUP(INT(D631),Tablas!$G$9:$O$1240,9,0)*(INT(D631)+1-D631))</f>
      </c>
      <c r="H631" s="801">
        <f>+IF(MONTH(B631)=1,H630*(1+$C$9),H630)</f>
      </c>
      <c r="I631" s="791">
        <f>IF(B631&lt;$C$10,0,IF(B631&lt;$C$11,$C$8/12*E631*F631*H631,0))</f>
      </c>
      <c r="J631" s="791">
        <f>I631*12/14+IF(OR(MONTH(C631)=6,MONTH(C631)=12),I631*12/14,0)</f>
      </c>
      <c r="K631" s="801">
        <f>G631/$G$15</f>
      </c>
      <c r="L631" s="760"/>
      <c r="M631" s="767"/>
      <c r="N631" s="168"/>
      <c r="O631" s="768"/>
      <c r="P631" s="170"/>
      <c r="Q631" s="7"/>
      <c r="R631" s="766"/>
      <c r="S631" s="170"/>
      <c r="T631" s="168"/>
      <c r="U631" s="170"/>
    </row>
    <row x14ac:dyDescent="0.25" r="632" customHeight="1" ht="18.75">
      <c r="A632" s="1"/>
      <c r="B632" s="799">
        <f>+DATE(YEAR(B631),MONTH(B631)+1,DAY(B631))</f>
        <v>25569.041666666668</v>
      </c>
      <c r="C632" s="799">
        <f>+B633-1</f>
        <v>25569.041666666668</v>
      </c>
      <c r="D632" s="791">
        <f>-_xlfn.DAYS($C$3,C632)/365.25</f>
      </c>
      <c r="E632" s="800">
        <f>IF($D$17+40&lt;=D632,(1+$D$7)^-(D632-$C$5),(1+$C$7)^-(D632-$C$5))</f>
      </c>
      <c r="F632" s="801">
        <f>IF($C$4="Hombre",(+VLOOKUP(INT(D632)+1,Tablas!$G$9:$K$1240,5,0)*(D632-INT(D632))+VLOOKUP(INT(D632),Tablas!$G$9:$K$1240,5,0)*(INT(D632)+1-D632))/(VLOOKUP(INT($C$5)+1,Tablas!$G$9:$K$1240,5,0)*($C$5-INT($C$5))+VLOOKUP(INT($C$5),Tablas!$G$9:$K$124,5,0)*(INT($C$5)+1-$C$5)),(+VLOOKUP(INT(D632)+1,Tablas!$G$9:$O$1240,9,0)*(D632-INT(D632))+VLOOKUP(INT(D632),Tablas!$G$9:$O$1240,9,0)*(INT(D632)+1-D632))/(VLOOKUP(INT($C$5)+1,Tablas!$G$9:$O$1240,9,0)*($C$5-INT($C$5))+VLOOKUP(INT($C$5),Tablas!$G$9:$O$124,9,0)*(INT($C$5)+1-$C$5)))</f>
      </c>
      <c r="G632" s="791">
        <f>IF($C$4="Hombre",(+VLOOKUP(INT(D632)+1,Tablas!$G$9:$K$1240,5,0)*(D632-INT(D632))+VLOOKUP(INT(D632),Tablas!$G$9:$K$1240,5,0)*(INT(D632)+1-D632)),+VLOOKUP(INT(D632)+1,Tablas!$G$9:$O$1240,9,0)*(D632-INT(D632))+VLOOKUP(INT(D632),Tablas!$G$9:$O$1240,9,0)*(INT(D632)+1-D632))</f>
      </c>
      <c r="H632" s="801">
        <f>+IF(MONTH(B632)=1,H631*(1+$C$9),H631)</f>
      </c>
      <c r="I632" s="791">
        <f>IF(B632&lt;$C$10,0,IF(B632&lt;$C$11,$C$8/12*E632*F632*H632,0))</f>
      </c>
      <c r="J632" s="791">
        <f>I632*12/14+IF(OR(MONTH(C632)=6,MONTH(C632)=12),I632*12/14,0)</f>
      </c>
      <c r="K632" s="801">
        <f>G632/$G$15</f>
      </c>
      <c r="L632" s="760"/>
      <c r="M632" s="767"/>
      <c r="N632" s="168"/>
      <c r="O632" s="768"/>
      <c r="P632" s="170"/>
      <c r="Q632" s="7"/>
      <c r="R632" s="766"/>
      <c r="S632" s="170"/>
      <c r="T632" s="168"/>
      <c r="U632" s="170"/>
    </row>
    <row x14ac:dyDescent="0.25" r="633" customHeight="1" ht="18.75">
      <c r="A633" s="1"/>
      <c r="B633" s="799">
        <f>+DATE(YEAR(B632),MONTH(B632)+1,DAY(B632))</f>
        <v>25569.041666666668</v>
      </c>
      <c r="C633" s="799">
        <f>+B634-1</f>
        <v>25569.041666666668</v>
      </c>
      <c r="D633" s="791">
        <f>-_xlfn.DAYS($C$3,C633)/365.25</f>
      </c>
      <c r="E633" s="800">
        <f>IF($D$17+40&lt;=D633,(1+$D$7)^-(D633-$C$5),(1+$C$7)^-(D633-$C$5))</f>
      </c>
      <c r="F633" s="801">
        <f>IF($C$4="Hombre",(+VLOOKUP(INT(D633)+1,Tablas!$G$9:$K$1240,5,0)*(D633-INT(D633))+VLOOKUP(INT(D633),Tablas!$G$9:$K$1240,5,0)*(INT(D633)+1-D633))/(VLOOKUP(INT($C$5)+1,Tablas!$G$9:$K$1240,5,0)*($C$5-INT($C$5))+VLOOKUP(INT($C$5),Tablas!$G$9:$K$124,5,0)*(INT($C$5)+1-$C$5)),(+VLOOKUP(INT(D633)+1,Tablas!$G$9:$O$1240,9,0)*(D633-INT(D633))+VLOOKUP(INT(D633),Tablas!$G$9:$O$1240,9,0)*(INT(D633)+1-D633))/(VLOOKUP(INT($C$5)+1,Tablas!$G$9:$O$1240,9,0)*($C$5-INT($C$5))+VLOOKUP(INT($C$5),Tablas!$G$9:$O$124,9,0)*(INT($C$5)+1-$C$5)))</f>
      </c>
      <c r="G633" s="791">
        <f>IF($C$4="Hombre",(+VLOOKUP(INT(D633)+1,Tablas!$G$9:$K$1240,5,0)*(D633-INT(D633))+VLOOKUP(INT(D633),Tablas!$G$9:$K$1240,5,0)*(INT(D633)+1-D633)),+VLOOKUP(INT(D633)+1,Tablas!$G$9:$O$1240,9,0)*(D633-INT(D633))+VLOOKUP(INT(D633),Tablas!$G$9:$O$1240,9,0)*(INT(D633)+1-D633))</f>
      </c>
      <c r="H633" s="801">
        <f>+IF(MONTH(B633)=1,H632*(1+$C$9),H632)</f>
      </c>
      <c r="I633" s="791">
        <f>IF(B633&lt;$C$10,0,IF(B633&lt;$C$11,$C$8/12*E633*F633*H633,0))</f>
      </c>
      <c r="J633" s="791">
        <f>I633*12/14+IF(OR(MONTH(C633)=6,MONTH(C633)=12),I633*12/14,0)</f>
      </c>
      <c r="K633" s="801">
        <f>G633/$G$15</f>
      </c>
      <c r="L633" s="760"/>
      <c r="M633" s="767"/>
      <c r="N633" s="168"/>
      <c r="O633" s="768"/>
      <c r="P633" s="170"/>
      <c r="Q633" s="7"/>
      <c r="R633" s="766"/>
      <c r="S633" s="170"/>
      <c r="T633" s="168"/>
      <c r="U633" s="170"/>
    </row>
    <row x14ac:dyDescent="0.25" r="634" customHeight="1" ht="18.75">
      <c r="A634" s="1"/>
      <c r="B634" s="799">
        <f>+DATE(YEAR(B633),MONTH(B633)+1,DAY(B633))</f>
        <v>25569.041666666668</v>
      </c>
      <c r="C634" s="799">
        <f>+B635-1</f>
        <v>25569.041666666668</v>
      </c>
      <c r="D634" s="791">
        <f>-_xlfn.DAYS($C$3,C634)/365.25</f>
      </c>
      <c r="E634" s="800">
        <f>IF($D$17+40&lt;=D634,(1+$D$7)^-(D634-$C$5),(1+$C$7)^-(D634-$C$5))</f>
      </c>
      <c r="F634" s="801">
        <f>IF($C$4="Hombre",(+VLOOKUP(INT(D634)+1,Tablas!$G$9:$K$1240,5,0)*(D634-INT(D634))+VLOOKUP(INT(D634),Tablas!$G$9:$K$1240,5,0)*(INT(D634)+1-D634))/(VLOOKUP(INT($C$5)+1,Tablas!$G$9:$K$1240,5,0)*($C$5-INT($C$5))+VLOOKUP(INT($C$5),Tablas!$G$9:$K$124,5,0)*(INT($C$5)+1-$C$5)),(+VLOOKUP(INT(D634)+1,Tablas!$G$9:$O$1240,9,0)*(D634-INT(D634))+VLOOKUP(INT(D634),Tablas!$G$9:$O$1240,9,0)*(INT(D634)+1-D634))/(VLOOKUP(INT($C$5)+1,Tablas!$G$9:$O$1240,9,0)*($C$5-INT($C$5))+VLOOKUP(INT($C$5),Tablas!$G$9:$O$124,9,0)*(INT($C$5)+1-$C$5)))</f>
      </c>
      <c r="G634" s="791">
        <f>IF($C$4="Hombre",(+VLOOKUP(INT(D634)+1,Tablas!$G$9:$K$1240,5,0)*(D634-INT(D634))+VLOOKUP(INT(D634),Tablas!$G$9:$K$1240,5,0)*(INT(D634)+1-D634)),+VLOOKUP(INT(D634)+1,Tablas!$G$9:$O$1240,9,0)*(D634-INT(D634))+VLOOKUP(INT(D634),Tablas!$G$9:$O$1240,9,0)*(INT(D634)+1-D634))</f>
      </c>
      <c r="H634" s="801">
        <f>+IF(MONTH(B634)=1,H633*(1+$C$9),H633)</f>
      </c>
      <c r="I634" s="791">
        <f>IF(B634&lt;$C$10,0,IF(B634&lt;$C$11,$C$8/12*E634*F634*H634,0))</f>
      </c>
      <c r="J634" s="791">
        <f>I634*12/14+IF(OR(MONTH(C634)=6,MONTH(C634)=12),I634*12/14,0)</f>
      </c>
      <c r="K634" s="801">
        <f>G634/$G$15</f>
      </c>
      <c r="L634" s="760"/>
      <c r="M634" s="767"/>
      <c r="N634" s="168"/>
      <c r="O634" s="768"/>
      <c r="P634" s="170"/>
      <c r="Q634" s="7"/>
      <c r="R634" s="766"/>
      <c r="S634" s="170"/>
      <c r="T634" s="168"/>
      <c r="U634" s="170"/>
    </row>
    <row x14ac:dyDescent="0.25" r="635" customHeight="1" ht="18.75">
      <c r="A635" s="1"/>
      <c r="B635" s="799">
        <f>+DATE(YEAR(B634),MONTH(B634)+1,DAY(B634))</f>
        <v>25569.041666666668</v>
      </c>
      <c r="C635" s="799">
        <f>+B636-1</f>
        <v>25569.041666666668</v>
      </c>
      <c r="D635" s="791">
        <f>-_xlfn.DAYS($C$3,C635)/365.25</f>
      </c>
      <c r="E635" s="800">
        <f>IF($D$17+40&lt;=D635,(1+$D$7)^-(D635-$C$5),(1+$C$7)^-(D635-$C$5))</f>
      </c>
      <c r="F635" s="801">
        <f>IF($C$4="Hombre",(+VLOOKUP(INT(D635)+1,Tablas!$G$9:$K$1240,5,0)*(D635-INT(D635))+VLOOKUP(INT(D635),Tablas!$G$9:$K$1240,5,0)*(INT(D635)+1-D635))/(VLOOKUP(INT($C$5)+1,Tablas!$G$9:$K$1240,5,0)*($C$5-INT($C$5))+VLOOKUP(INT($C$5),Tablas!$G$9:$K$124,5,0)*(INT($C$5)+1-$C$5)),(+VLOOKUP(INT(D635)+1,Tablas!$G$9:$O$1240,9,0)*(D635-INT(D635))+VLOOKUP(INT(D635),Tablas!$G$9:$O$1240,9,0)*(INT(D635)+1-D635))/(VLOOKUP(INT($C$5)+1,Tablas!$G$9:$O$1240,9,0)*($C$5-INT($C$5))+VLOOKUP(INT($C$5),Tablas!$G$9:$O$124,9,0)*(INT($C$5)+1-$C$5)))</f>
      </c>
      <c r="G635" s="791">
        <f>IF($C$4="Hombre",(+VLOOKUP(INT(D635)+1,Tablas!$G$9:$K$1240,5,0)*(D635-INT(D635))+VLOOKUP(INT(D635),Tablas!$G$9:$K$1240,5,0)*(INT(D635)+1-D635)),+VLOOKUP(INT(D635)+1,Tablas!$G$9:$O$1240,9,0)*(D635-INT(D635))+VLOOKUP(INT(D635),Tablas!$G$9:$O$1240,9,0)*(INT(D635)+1-D635))</f>
      </c>
      <c r="H635" s="801">
        <f>+IF(MONTH(B635)=1,H634*(1+$C$9),H634)</f>
      </c>
      <c r="I635" s="791">
        <f>IF(B635&lt;$C$10,0,IF(B635&lt;$C$11,$C$8/12*E635*F635*H635,0))</f>
      </c>
      <c r="J635" s="791">
        <f>I635*12/14+IF(OR(MONTH(C635)=6,MONTH(C635)=12),I635*12/14,0)</f>
      </c>
      <c r="K635" s="801">
        <f>G635/$G$15</f>
      </c>
      <c r="L635" s="760"/>
      <c r="M635" s="767"/>
      <c r="N635" s="168"/>
      <c r="O635" s="768"/>
      <c r="P635" s="170"/>
      <c r="Q635" s="7"/>
      <c r="R635" s="766"/>
      <c r="S635" s="170"/>
      <c r="T635" s="168"/>
      <c r="U635" s="170"/>
    </row>
    <row x14ac:dyDescent="0.25" r="636" customHeight="1" ht="18.75">
      <c r="A636" s="1"/>
      <c r="B636" s="799">
        <f>+DATE(YEAR(B635),MONTH(B635)+1,DAY(B635))</f>
        <v>25569.041666666668</v>
      </c>
      <c r="C636" s="799">
        <f>+B637-1</f>
        <v>25569.041666666668</v>
      </c>
      <c r="D636" s="791">
        <f>-_xlfn.DAYS($C$3,C636)/365.25</f>
      </c>
      <c r="E636" s="800">
        <f>IF($D$17+40&lt;=D636,(1+$D$7)^-(D636-$C$5),(1+$C$7)^-(D636-$C$5))</f>
      </c>
      <c r="F636" s="801">
        <f>IF($C$4="Hombre",(+VLOOKUP(INT(D636)+1,Tablas!$G$9:$K$1240,5,0)*(D636-INT(D636))+VLOOKUP(INT(D636),Tablas!$G$9:$K$1240,5,0)*(INT(D636)+1-D636))/(VLOOKUP(INT($C$5)+1,Tablas!$G$9:$K$1240,5,0)*($C$5-INT($C$5))+VLOOKUP(INT($C$5),Tablas!$G$9:$K$124,5,0)*(INT($C$5)+1-$C$5)),(+VLOOKUP(INT(D636)+1,Tablas!$G$9:$O$1240,9,0)*(D636-INT(D636))+VLOOKUP(INT(D636),Tablas!$G$9:$O$1240,9,0)*(INT(D636)+1-D636))/(VLOOKUP(INT($C$5)+1,Tablas!$G$9:$O$1240,9,0)*($C$5-INT($C$5))+VLOOKUP(INT($C$5),Tablas!$G$9:$O$124,9,0)*(INT($C$5)+1-$C$5)))</f>
      </c>
      <c r="G636" s="791">
        <f>IF($C$4="Hombre",(+VLOOKUP(INT(D636)+1,Tablas!$G$9:$K$1240,5,0)*(D636-INT(D636))+VLOOKUP(INT(D636),Tablas!$G$9:$K$1240,5,0)*(INT(D636)+1-D636)),+VLOOKUP(INT(D636)+1,Tablas!$G$9:$O$1240,9,0)*(D636-INT(D636))+VLOOKUP(INT(D636),Tablas!$G$9:$O$1240,9,0)*(INT(D636)+1-D636))</f>
      </c>
      <c r="H636" s="801">
        <f>+IF(MONTH(B636)=1,H635*(1+$C$9),H635)</f>
      </c>
      <c r="I636" s="791">
        <f>IF(B636&lt;$C$10,0,IF(B636&lt;$C$11,$C$8/12*E636*F636*H636,0))</f>
      </c>
      <c r="J636" s="791">
        <f>I636*12/14+IF(OR(MONTH(C636)=6,MONTH(C636)=12),I636*12/14,0)</f>
      </c>
      <c r="K636" s="801">
        <f>G636/$G$15</f>
      </c>
      <c r="L636" s="760"/>
      <c r="M636" s="767"/>
      <c r="N636" s="168"/>
      <c r="O636" s="768"/>
      <c r="P636" s="170"/>
      <c r="Q636" s="7"/>
      <c r="R636" s="766"/>
      <c r="S636" s="170"/>
      <c r="T636" s="168"/>
      <c r="U636" s="170"/>
    </row>
    <row x14ac:dyDescent="0.25" r="637" customHeight="1" ht="18.75">
      <c r="A637" s="1"/>
      <c r="B637" s="799">
        <f>+DATE(YEAR(B636),MONTH(B636)+1,DAY(B636))</f>
        <v>25569.041666666668</v>
      </c>
      <c r="C637" s="799">
        <f>+B638-1</f>
        <v>25569.041666666668</v>
      </c>
      <c r="D637" s="791">
        <f>-_xlfn.DAYS($C$3,C637)/365.25</f>
      </c>
      <c r="E637" s="800">
        <f>IF($D$17+40&lt;=D637,(1+$D$7)^-(D637-$C$5),(1+$C$7)^-(D637-$C$5))</f>
      </c>
      <c r="F637" s="801">
        <f>IF($C$4="Hombre",(+VLOOKUP(INT(D637)+1,Tablas!$G$9:$K$1240,5,0)*(D637-INT(D637))+VLOOKUP(INT(D637),Tablas!$G$9:$K$1240,5,0)*(INT(D637)+1-D637))/(VLOOKUP(INT($C$5)+1,Tablas!$G$9:$K$1240,5,0)*($C$5-INT($C$5))+VLOOKUP(INT($C$5),Tablas!$G$9:$K$124,5,0)*(INT($C$5)+1-$C$5)),(+VLOOKUP(INT(D637)+1,Tablas!$G$9:$O$1240,9,0)*(D637-INT(D637))+VLOOKUP(INT(D637),Tablas!$G$9:$O$1240,9,0)*(INT(D637)+1-D637))/(VLOOKUP(INT($C$5)+1,Tablas!$G$9:$O$1240,9,0)*($C$5-INT($C$5))+VLOOKUP(INT($C$5),Tablas!$G$9:$O$124,9,0)*(INT($C$5)+1-$C$5)))</f>
      </c>
      <c r="G637" s="791">
        <f>IF($C$4="Hombre",(+VLOOKUP(INT(D637)+1,Tablas!$G$9:$K$1240,5,0)*(D637-INT(D637))+VLOOKUP(INT(D637),Tablas!$G$9:$K$1240,5,0)*(INT(D637)+1-D637)),+VLOOKUP(INT(D637)+1,Tablas!$G$9:$O$1240,9,0)*(D637-INT(D637))+VLOOKUP(INT(D637),Tablas!$G$9:$O$1240,9,0)*(INT(D637)+1-D637))</f>
      </c>
      <c r="H637" s="801">
        <f>+IF(MONTH(B637)=1,H636*(1+$C$9),H636)</f>
      </c>
      <c r="I637" s="791">
        <f>IF(B637&lt;$C$10,0,IF(B637&lt;$C$11,$C$8/12*E637*F637*H637,0))</f>
      </c>
      <c r="J637" s="791">
        <f>I637*12/14+IF(OR(MONTH(C637)=6,MONTH(C637)=12),I637*12/14,0)</f>
      </c>
      <c r="K637" s="801">
        <f>G637/$G$15</f>
      </c>
      <c r="L637" s="760"/>
      <c r="M637" s="767"/>
      <c r="N637" s="168"/>
      <c r="O637" s="768"/>
      <c r="P637" s="170"/>
      <c r="Q637" s="7"/>
      <c r="R637" s="766"/>
      <c r="S637" s="170"/>
      <c r="T637" s="168"/>
      <c r="U637" s="170"/>
    </row>
    <row x14ac:dyDescent="0.25" r="638" customHeight="1" ht="18.75">
      <c r="A638" s="1"/>
      <c r="B638" s="799">
        <f>+DATE(YEAR(B637),MONTH(B637)+1,DAY(B637))</f>
        <v>25569.041666666668</v>
      </c>
      <c r="C638" s="799">
        <f>+B639-1</f>
        <v>25569.041666666668</v>
      </c>
      <c r="D638" s="791">
        <f>-_xlfn.DAYS($C$3,C638)/365.25</f>
      </c>
      <c r="E638" s="800">
        <f>IF($D$17+40&lt;=D638,(1+$D$7)^-(D638-$C$5),(1+$C$7)^-(D638-$C$5))</f>
      </c>
      <c r="F638" s="801">
        <f>IF($C$4="Hombre",(+VLOOKUP(INT(D638)+1,Tablas!$G$9:$K$1240,5,0)*(D638-INT(D638))+VLOOKUP(INT(D638),Tablas!$G$9:$K$1240,5,0)*(INT(D638)+1-D638))/(VLOOKUP(INT($C$5)+1,Tablas!$G$9:$K$1240,5,0)*($C$5-INT($C$5))+VLOOKUP(INT($C$5),Tablas!$G$9:$K$124,5,0)*(INT($C$5)+1-$C$5)),(+VLOOKUP(INT(D638)+1,Tablas!$G$9:$O$1240,9,0)*(D638-INT(D638))+VLOOKUP(INT(D638),Tablas!$G$9:$O$1240,9,0)*(INT(D638)+1-D638))/(VLOOKUP(INT($C$5)+1,Tablas!$G$9:$O$1240,9,0)*($C$5-INT($C$5))+VLOOKUP(INT($C$5),Tablas!$G$9:$O$124,9,0)*(INT($C$5)+1-$C$5)))</f>
      </c>
      <c r="G638" s="791">
        <f>IF($C$4="Hombre",(+VLOOKUP(INT(D638)+1,Tablas!$G$9:$K$1240,5,0)*(D638-INT(D638))+VLOOKUP(INT(D638),Tablas!$G$9:$K$1240,5,0)*(INT(D638)+1-D638)),+VLOOKUP(INT(D638)+1,Tablas!$G$9:$O$1240,9,0)*(D638-INT(D638))+VLOOKUP(INT(D638),Tablas!$G$9:$O$1240,9,0)*(INT(D638)+1-D638))</f>
      </c>
      <c r="H638" s="801">
        <f>+IF(MONTH(B638)=1,H637*(1+$C$9),H637)</f>
      </c>
      <c r="I638" s="791">
        <f>IF(B638&lt;$C$10,0,IF(B638&lt;$C$11,$C$8/12*E638*F638*H638,0))</f>
      </c>
      <c r="J638" s="791">
        <f>I638*12/14+IF(OR(MONTH(C638)=6,MONTH(C638)=12),I638*12/14,0)</f>
      </c>
      <c r="K638" s="801">
        <f>G638/$G$15</f>
      </c>
      <c r="L638" s="760"/>
      <c r="M638" s="767"/>
      <c r="N638" s="168"/>
      <c r="O638" s="768"/>
      <c r="P638" s="170"/>
      <c r="Q638" s="7"/>
      <c r="R638" s="766"/>
      <c r="S638" s="170"/>
      <c r="T638" s="168"/>
      <c r="U638" s="170"/>
    </row>
    <row x14ac:dyDescent="0.25" r="639" customHeight="1" ht="18.75">
      <c r="A639" s="1"/>
      <c r="B639" s="799">
        <f>+DATE(YEAR(B638),MONTH(B638)+1,DAY(B638))</f>
        <v>25569.041666666668</v>
      </c>
      <c r="C639" s="799">
        <f>+B640-1</f>
        <v>25569.041666666668</v>
      </c>
      <c r="D639" s="791">
        <f>-_xlfn.DAYS($C$3,C639)/365.25</f>
      </c>
      <c r="E639" s="800">
        <f>IF($D$17+40&lt;=D639,(1+$D$7)^-(D639-$C$5),(1+$C$7)^-(D639-$C$5))</f>
      </c>
      <c r="F639" s="801">
        <f>IF($C$4="Hombre",(+VLOOKUP(INT(D639)+1,Tablas!$G$9:$K$1240,5,0)*(D639-INT(D639))+VLOOKUP(INT(D639),Tablas!$G$9:$K$1240,5,0)*(INT(D639)+1-D639))/(VLOOKUP(INT($C$5)+1,Tablas!$G$9:$K$1240,5,0)*($C$5-INT($C$5))+VLOOKUP(INT($C$5),Tablas!$G$9:$K$124,5,0)*(INT($C$5)+1-$C$5)),(+VLOOKUP(INT(D639)+1,Tablas!$G$9:$O$1240,9,0)*(D639-INT(D639))+VLOOKUP(INT(D639),Tablas!$G$9:$O$1240,9,0)*(INT(D639)+1-D639))/(VLOOKUP(INT($C$5)+1,Tablas!$G$9:$O$1240,9,0)*($C$5-INT($C$5))+VLOOKUP(INT($C$5),Tablas!$G$9:$O$124,9,0)*(INT($C$5)+1-$C$5)))</f>
      </c>
      <c r="G639" s="791">
        <f>IF($C$4="Hombre",(+VLOOKUP(INT(D639)+1,Tablas!$G$9:$K$1240,5,0)*(D639-INT(D639))+VLOOKUP(INT(D639),Tablas!$G$9:$K$1240,5,0)*(INT(D639)+1-D639)),+VLOOKUP(INT(D639)+1,Tablas!$G$9:$O$1240,9,0)*(D639-INT(D639))+VLOOKUP(INT(D639),Tablas!$G$9:$O$1240,9,0)*(INT(D639)+1-D639))</f>
      </c>
      <c r="H639" s="801">
        <f>+IF(MONTH(B639)=1,H638*(1+$C$9),H638)</f>
      </c>
      <c r="I639" s="791">
        <f>IF(B639&lt;$C$10,0,IF(B639&lt;$C$11,$C$8/12*E639*F639*H639,0))</f>
      </c>
      <c r="J639" s="791">
        <f>I639*12/14+IF(OR(MONTH(C639)=6,MONTH(C639)=12),I639*12/14,0)</f>
      </c>
      <c r="K639" s="801">
        <f>G639/$G$15</f>
      </c>
      <c r="L639" s="760"/>
      <c r="M639" s="767"/>
      <c r="N639" s="168"/>
      <c r="O639" s="768"/>
      <c r="P639" s="170"/>
      <c r="Q639" s="7"/>
      <c r="R639" s="766"/>
      <c r="S639" s="170"/>
      <c r="T639" s="168"/>
      <c r="U639" s="170"/>
    </row>
    <row x14ac:dyDescent="0.25" r="640" customHeight="1" ht="18.75">
      <c r="A640" s="1"/>
      <c r="B640" s="799">
        <f>+DATE(YEAR(B639),MONTH(B639)+1,DAY(B639))</f>
        <v>25569.041666666668</v>
      </c>
      <c r="C640" s="799">
        <f>+B641-1</f>
        <v>25569.041666666668</v>
      </c>
      <c r="D640" s="791">
        <f>-_xlfn.DAYS($C$3,C640)/365.25</f>
      </c>
      <c r="E640" s="800">
        <f>IF($D$17+40&lt;=D640,(1+$D$7)^-(D640-$C$5),(1+$C$7)^-(D640-$C$5))</f>
      </c>
      <c r="F640" s="801">
        <f>IF($C$4="Hombre",(+VLOOKUP(INT(D640)+1,Tablas!$G$9:$K$1240,5,0)*(D640-INT(D640))+VLOOKUP(INT(D640),Tablas!$G$9:$K$1240,5,0)*(INT(D640)+1-D640))/(VLOOKUP(INT($C$5)+1,Tablas!$G$9:$K$1240,5,0)*($C$5-INT($C$5))+VLOOKUP(INT($C$5),Tablas!$G$9:$K$124,5,0)*(INT($C$5)+1-$C$5)),(+VLOOKUP(INT(D640)+1,Tablas!$G$9:$O$1240,9,0)*(D640-INT(D640))+VLOOKUP(INT(D640),Tablas!$G$9:$O$1240,9,0)*(INT(D640)+1-D640))/(VLOOKUP(INT($C$5)+1,Tablas!$G$9:$O$1240,9,0)*($C$5-INT($C$5))+VLOOKUP(INT($C$5),Tablas!$G$9:$O$124,9,0)*(INT($C$5)+1-$C$5)))</f>
      </c>
      <c r="G640" s="791">
        <f>IF($C$4="Hombre",(+VLOOKUP(INT(D640)+1,Tablas!$G$9:$K$1240,5,0)*(D640-INT(D640))+VLOOKUP(INT(D640),Tablas!$G$9:$K$1240,5,0)*(INT(D640)+1-D640)),+VLOOKUP(INT(D640)+1,Tablas!$G$9:$O$1240,9,0)*(D640-INT(D640))+VLOOKUP(INT(D640),Tablas!$G$9:$O$1240,9,0)*(INT(D640)+1-D640))</f>
      </c>
      <c r="H640" s="801">
        <f>+IF(MONTH(B640)=1,H639*(1+$C$9),H639)</f>
      </c>
      <c r="I640" s="791">
        <f>IF(B640&lt;$C$10,0,IF(B640&lt;$C$11,$C$8/12*E640*F640*H640,0))</f>
      </c>
      <c r="J640" s="791">
        <f>I640*12/14+IF(OR(MONTH(C640)=6,MONTH(C640)=12),I640*12/14,0)</f>
      </c>
      <c r="K640" s="801">
        <f>G640/$G$15</f>
      </c>
      <c r="L640" s="760"/>
      <c r="M640" s="767"/>
      <c r="N640" s="168"/>
      <c r="O640" s="768"/>
      <c r="P640" s="170"/>
      <c r="Q640" s="7"/>
      <c r="R640" s="766"/>
      <c r="S640" s="170"/>
      <c r="T640" s="168"/>
      <c r="U640" s="170"/>
    </row>
    <row x14ac:dyDescent="0.25" r="641" customHeight="1" ht="18.75">
      <c r="A641" s="1"/>
      <c r="B641" s="799">
        <f>+DATE(YEAR(B640),MONTH(B640)+1,DAY(B640))</f>
        <v>25569.041666666668</v>
      </c>
      <c r="C641" s="799">
        <f>+B642-1</f>
        <v>25569.041666666668</v>
      </c>
      <c r="D641" s="791">
        <f>-_xlfn.DAYS($C$3,C641)/365.25</f>
      </c>
      <c r="E641" s="800">
        <f>IF($D$17+40&lt;=D641,(1+$D$7)^-(D641-$C$5),(1+$C$7)^-(D641-$C$5))</f>
      </c>
      <c r="F641" s="801">
        <f>IF($C$4="Hombre",(+VLOOKUP(INT(D641)+1,Tablas!$G$9:$K$1240,5,0)*(D641-INT(D641))+VLOOKUP(INT(D641),Tablas!$G$9:$K$1240,5,0)*(INT(D641)+1-D641))/(VLOOKUP(INT($C$5)+1,Tablas!$G$9:$K$1240,5,0)*($C$5-INT($C$5))+VLOOKUP(INT($C$5),Tablas!$G$9:$K$124,5,0)*(INT($C$5)+1-$C$5)),(+VLOOKUP(INT(D641)+1,Tablas!$G$9:$O$1240,9,0)*(D641-INT(D641))+VLOOKUP(INT(D641),Tablas!$G$9:$O$1240,9,0)*(INT(D641)+1-D641))/(VLOOKUP(INT($C$5)+1,Tablas!$G$9:$O$1240,9,0)*($C$5-INT($C$5))+VLOOKUP(INT($C$5),Tablas!$G$9:$O$124,9,0)*(INT($C$5)+1-$C$5)))</f>
      </c>
      <c r="G641" s="791">
        <f>IF($C$4="Hombre",(+VLOOKUP(INT(D641)+1,Tablas!$G$9:$K$1240,5,0)*(D641-INT(D641))+VLOOKUP(INT(D641),Tablas!$G$9:$K$1240,5,0)*(INT(D641)+1-D641)),+VLOOKUP(INT(D641)+1,Tablas!$G$9:$O$1240,9,0)*(D641-INT(D641))+VLOOKUP(INT(D641),Tablas!$G$9:$O$1240,9,0)*(INT(D641)+1-D641))</f>
      </c>
      <c r="H641" s="801">
        <f>+IF(MONTH(B641)=1,H640*(1+$C$9),H640)</f>
      </c>
      <c r="I641" s="791">
        <f>IF(B641&lt;$C$10,0,IF(B641&lt;$C$11,$C$8/12*E641*F641*H641,0))</f>
      </c>
      <c r="J641" s="791">
        <f>I641*12/14+IF(OR(MONTH(C641)=6,MONTH(C641)=12),I641*12/14,0)</f>
      </c>
      <c r="K641" s="801">
        <f>G641/$G$15</f>
      </c>
      <c r="L641" s="760"/>
      <c r="M641" s="767"/>
      <c r="N641" s="168"/>
      <c r="O641" s="768"/>
      <c r="P641" s="170"/>
      <c r="Q641" s="7"/>
      <c r="R641" s="766"/>
      <c r="S641" s="170"/>
      <c r="T641" s="168"/>
      <c r="U641" s="170"/>
    </row>
    <row x14ac:dyDescent="0.25" r="642" customHeight="1" ht="18.75">
      <c r="A642" s="1"/>
      <c r="B642" s="799">
        <f>+DATE(YEAR(B641),MONTH(B641)+1,DAY(B641))</f>
        <v>25569.041666666668</v>
      </c>
      <c r="C642" s="799">
        <f>+B643-1</f>
        <v>25569.041666666668</v>
      </c>
      <c r="D642" s="791">
        <f>-_xlfn.DAYS($C$3,C642)/365.25</f>
      </c>
      <c r="E642" s="800">
        <f>IF($D$17+40&lt;=D642,(1+$D$7)^-(D642-$C$5),(1+$C$7)^-(D642-$C$5))</f>
      </c>
      <c r="F642" s="801">
        <f>IF($C$4="Hombre",(+VLOOKUP(INT(D642)+1,Tablas!$G$9:$K$1240,5,0)*(D642-INT(D642))+VLOOKUP(INT(D642),Tablas!$G$9:$K$1240,5,0)*(INT(D642)+1-D642))/(VLOOKUP(INT($C$5)+1,Tablas!$G$9:$K$1240,5,0)*($C$5-INT($C$5))+VLOOKUP(INT($C$5),Tablas!$G$9:$K$124,5,0)*(INT($C$5)+1-$C$5)),(+VLOOKUP(INT(D642)+1,Tablas!$G$9:$O$1240,9,0)*(D642-INT(D642))+VLOOKUP(INT(D642),Tablas!$G$9:$O$1240,9,0)*(INT(D642)+1-D642))/(VLOOKUP(INT($C$5)+1,Tablas!$G$9:$O$1240,9,0)*($C$5-INT($C$5))+VLOOKUP(INT($C$5),Tablas!$G$9:$O$124,9,0)*(INT($C$5)+1-$C$5)))</f>
      </c>
      <c r="G642" s="791">
        <f>IF($C$4="Hombre",(+VLOOKUP(INT(D642)+1,Tablas!$G$9:$K$1240,5,0)*(D642-INT(D642))+VLOOKUP(INT(D642),Tablas!$G$9:$K$1240,5,0)*(INT(D642)+1-D642)),+VLOOKUP(INT(D642)+1,Tablas!$G$9:$O$1240,9,0)*(D642-INT(D642))+VLOOKUP(INT(D642),Tablas!$G$9:$O$1240,9,0)*(INT(D642)+1-D642))</f>
      </c>
      <c r="H642" s="801">
        <f>+IF(MONTH(B642)=1,H641*(1+$C$9),H641)</f>
      </c>
      <c r="I642" s="791">
        <f>IF(B642&lt;$C$10,0,IF(B642&lt;$C$11,$C$8/12*E642*F642*H642,0))</f>
      </c>
      <c r="J642" s="791">
        <f>I642*12/14+IF(OR(MONTH(C642)=6,MONTH(C642)=12),I642*12/14,0)</f>
      </c>
      <c r="K642" s="801">
        <f>G642/$G$15</f>
      </c>
      <c r="L642" s="760"/>
      <c r="M642" s="767"/>
      <c r="N642" s="168"/>
      <c r="O642" s="768"/>
      <c r="P642" s="170"/>
      <c r="Q642" s="7"/>
      <c r="R642" s="766"/>
      <c r="S642" s="170"/>
      <c r="T642" s="168"/>
      <c r="U642" s="170"/>
    </row>
    <row x14ac:dyDescent="0.25" r="643" customHeight="1" ht="18.75">
      <c r="A643" s="1"/>
      <c r="B643" s="799">
        <f>+DATE(YEAR(B642),MONTH(B642)+1,DAY(B642))</f>
        <v>25569.041666666668</v>
      </c>
      <c r="C643" s="799">
        <f>+B644-1</f>
        <v>25569.041666666668</v>
      </c>
      <c r="D643" s="791">
        <f>-_xlfn.DAYS($C$3,C643)/365.25</f>
      </c>
      <c r="E643" s="800">
        <f>IF($D$17+40&lt;=D643,(1+$D$7)^-(D643-$C$5),(1+$C$7)^-(D643-$C$5))</f>
      </c>
      <c r="F643" s="801">
        <f>IF($C$4="Hombre",(+VLOOKUP(INT(D643)+1,Tablas!$G$9:$K$1240,5,0)*(D643-INT(D643))+VLOOKUP(INT(D643),Tablas!$G$9:$K$1240,5,0)*(INT(D643)+1-D643))/(VLOOKUP(INT($C$5)+1,Tablas!$G$9:$K$1240,5,0)*($C$5-INT($C$5))+VLOOKUP(INT($C$5),Tablas!$G$9:$K$124,5,0)*(INT($C$5)+1-$C$5)),(+VLOOKUP(INT(D643)+1,Tablas!$G$9:$O$1240,9,0)*(D643-INT(D643))+VLOOKUP(INT(D643),Tablas!$G$9:$O$1240,9,0)*(INT(D643)+1-D643))/(VLOOKUP(INT($C$5)+1,Tablas!$G$9:$O$1240,9,0)*($C$5-INT($C$5))+VLOOKUP(INT($C$5),Tablas!$G$9:$O$124,9,0)*(INT($C$5)+1-$C$5)))</f>
      </c>
      <c r="G643" s="791">
        <f>IF($C$4="Hombre",(+VLOOKUP(INT(D643)+1,Tablas!$G$9:$K$1240,5,0)*(D643-INT(D643))+VLOOKUP(INT(D643),Tablas!$G$9:$K$1240,5,0)*(INT(D643)+1-D643)),+VLOOKUP(INT(D643)+1,Tablas!$G$9:$O$1240,9,0)*(D643-INT(D643))+VLOOKUP(INT(D643),Tablas!$G$9:$O$1240,9,0)*(INT(D643)+1-D643))</f>
      </c>
      <c r="H643" s="801">
        <f>+IF(MONTH(B643)=1,H642*(1+$C$9),H642)</f>
      </c>
      <c r="I643" s="791">
        <f>IF(B643&lt;$C$10,0,IF(B643&lt;$C$11,$C$8/12*E643*F643*H643,0))</f>
      </c>
      <c r="J643" s="791">
        <f>I643*12/14+IF(OR(MONTH(C643)=6,MONTH(C643)=12),I643*12/14,0)</f>
      </c>
      <c r="K643" s="801">
        <f>G643/$G$15</f>
      </c>
      <c r="L643" s="760"/>
      <c r="M643" s="767"/>
      <c r="N643" s="168"/>
      <c r="O643" s="768"/>
      <c r="P643" s="170"/>
      <c r="Q643" s="7"/>
      <c r="R643" s="766"/>
      <c r="S643" s="170"/>
      <c r="T643" s="168"/>
      <c r="U643" s="170"/>
    </row>
    <row x14ac:dyDescent="0.25" r="644" customHeight="1" ht="18.75">
      <c r="A644" s="1"/>
      <c r="B644" s="799">
        <f>+DATE(YEAR(B643),MONTH(B643)+1,DAY(B643))</f>
        <v>25569.041666666668</v>
      </c>
      <c r="C644" s="799">
        <f>+B645-1</f>
        <v>25569.041666666668</v>
      </c>
      <c r="D644" s="791">
        <f>-_xlfn.DAYS($C$3,C644)/365.25</f>
      </c>
      <c r="E644" s="800">
        <f>IF($D$17+40&lt;=D644,(1+$D$7)^-(D644-$C$5),(1+$C$7)^-(D644-$C$5))</f>
      </c>
      <c r="F644" s="801">
        <f>IF($C$4="Hombre",(+VLOOKUP(INT(D644)+1,Tablas!$G$9:$K$1240,5,0)*(D644-INT(D644))+VLOOKUP(INT(D644),Tablas!$G$9:$K$1240,5,0)*(INT(D644)+1-D644))/(VLOOKUP(INT($C$5)+1,Tablas!$G$9:$K$1240,5,0)*($C$5-INT($C$5))+VLOOKUP(INT($C$5),Tablas!$G$9:$K$124,5,0)*(INT($C$5)+1-$C$5)),(+VLOOKUP(INT(D644)+1,Tablas!$G$9:$O$1240,9,0)*(D644-INT(D644))+VLOOKUP(INT(D644),Tablas!$G$9:$O$1240,9,0)*(INT(D644)+1-D644))/(VLOOKUP(INT($C$5)+1,Tablas!$G$9:$O$1240,9,0)*($C$5-INT($C$5))+VLOOKUP(INT($C$5),Tablas!$G$9:$O$124,9,0)*(INT($C$5)+1-$C$5)))</f>
      </c>
      <c r="G644" s="791">
        <f>IF($C$4="Hombre",(+VLOOKUP(INT(D644)+1,Tablas!$G$9:$K$1240,5,0)*(D644-INT(D644))+VLOOKUP(INT(D644),Tablas!$G$9:$K$1240,5,0)*(INT(D644)+1-D644)),+VLOOKUP(INT(D644)+1,Tablas!$G$9:$O$1240,9,0)*(D644-INT(D644))+VLOOKUP(INT(D644),Tablas!$G$9:$O$1240,9,0)*(INT(D644)+1-D644))</f>
      </c>
      <c r="H644" s="801">
        <f>+IF(MONTH(B644)=1,H643*(1+$C$9),H643)</f>
      </c>
      <c r="I644" s="791">
        <f>IF(B644&lt;$C$10,0,IF(B644&lt;$C$11,$C$8/12*E644*F644*H644,0))</f>
      </c>
      <c r="J644" s="791">
        <f>I644*12/14+IF(OR(MONTH(C644)=6,MONTH(C644)=12),I644*12/14,0)</f>
      </c>
      <c r="K644" s="801">
        <f>G644/$G$15</f>
      </c>
      <c r="L644" s="760"/>
      <c r="M644" s="767"/>
      <c r="N644" s="168"/>
      <c r="O644" s="768"/>
      <c r="P644" s="170"/>
      <c r="Q644" s="7"/>
      <c r="R644" s="766"/>
      <c r="S644" s="170"/>
      <c r="T644" s="168"/>
      <c r="U644" s="170"/>
    </row>
    <row x14ac:dyDescent="0.25" r="645" customHeight="1" ht="18.75">
      <c r="A645" s="1"/>
      <c r="B645" s="799">
        <f>+DATE(YEAR(B644),MONTH(B644)+1,DAY(B644))</f>
        <v>25569.041666666668</v>
      </c>
      <c r="C645" s="799">
        <f>+B646-1</f>
        <v>25569.041666666668</v>
      </c>
      <c r="D645" s="791">
        <f>-_xlfn.DAYS($C$3,C645)/365.25</f>
      </c>
      <c r="E645" s="800">
        <f>IF($D$17+40&lt;=D645,(1+$D$7)^-(D645-$C$5),(1+$C$7)^-(D645-$C$5))</f>
      </c>
      <c r="F645" s="801">
        <f>IF($C$4="Hombre",(+VLOOKUP(INT(D645)+1,Tablas!$G$9:$K$1240,5,0)*(D645-INT(D645))+VLOOKUP(INT(D645),Tablas!$G$9:$K$1240,5,0)*(INT(D645)+1-D645))/(VLOOKUP(INT($C$5)+1,Tablas!$G$9:$K$1240,5,0)*($C$5-INT($C$5))+VLOOKUP(INT($C$5),Tablas!$G$9:$K$124,5,0)*(INT($C$5)+1-$C$5)),(+VLOOKUP(INT(D645)+1,Tablas!$G$9:$O$1240,9,0)*(D645-INT(D645))+VLOOKUP(INT(D645),Tablas!$G$9:$O$1240,9,0)*(INT(D645)+1-D645))/(VLOOKUP(INT($C$5)+1,Tablas!$G$9:$O$1240,9,0)*($C$5-INT($C$5))+VLOOKUP(INT($C$5),Tablas!$G$9:$O$124,9,0)*(INT($C$5)+1-$C$5)))</f>
      </c>
      <c r="G645" s="791">
        <f>IF($C$4="Hombre",(+VLOOKUP(INT(D645)+1,Tablas!$G$9:$K$1240,5,0)*(D645-INT(D645))+VLOOKUP(INT(D645),Tablas!$G$9:$K$1240,5,0)*(INT(D645)+1-D645)),+VLOOKUP(INT(D645)+1,Tablas!$G$9:$O$1240,9,0)*(D645-INT(D645))+VLOOKUP(INT(D645),Tablas!$G$9:$O$1240,9,0)*(INT(D645)+1-D645))</f>
      </c>
      <c r="H645" s="801">
        <f>+IF(MONTH(B645)=1,H644*(1+$C$9),H644)</f>
      </c>
      <c r="I645" s="791">
        <f>IF(B645&lt;$C$10,0,IF(B645&lt;$C$11,$C$8/12*E645*F645*H645,0))</f>
      </c>
      <c r="J645" s="791">
        <f>I645*12/14+IF(OR(MONTH(C645)=6,MONTH(C645)=12),I645*12/14,0)</f>
      </c>
      <c r="K645" s="801">
        <f>G645/$G$15</f>
      </c>
      <c r="L645" s="760"/>
      <c r="M645" s="767"/>
      <c r="N645" s="168"/>
      <c r="O645" s="768"/>
      <c r="P645" s="170"/>
      <c r="Q645" s="7"/>
      <c r="R645" s="766"/>
      <c r="S645" s="170"/>
      <c r="T645" s="168"/>
      <c r="U645" s="170"/>
    </row>
    <row x14ac:dyDescent="0.25" r="646" customHeight="1" ht="18.75">
      <c r="A646" s="1"/>
      <c r="B646" s="799">
        <f>+DATE(YEAR(B645),MONTH(B645)+1,DAY(B645))</f>
        <v>25569.041666666668</v>
      </c>
      <c r="C646" s="799">
        <f>+B647-1</f>
        <v>25569.041666666668</v>
      </c>
      <c r="D646" s="791">
        <f>-_xlfn.DAYS($C$3,C646)/365.25</f>
      </c>
      <c r="E646" s="800">
        <f>IF($D$17+40&lt;=D646,(1+$D$7)^-(D646-$C$5),(1+$C$7)^-(D646-$C$5))</f>
      </c>
      <c r="F646" s="801">
        <f>IF($C$4="Hombre",(+VLOOKUP(INT(D646)+1,Tablas!$G$9:$K$1240,5,0)*(D646-INT(D646))+VLOOKUP(INT(D646),Tablas!$G$9:$K$1240,5,0)*(INT(D646)+1-D646))/(VLOOKUP(INT($C$5)+1,Tablas!$G$9:$K$1240,5,0)*($C$5-INT($C$5))+VLOOKUP(INT($C$5),Tablas!$G$9:$K$124,5,0)*(INT($C$5)+1-$C$5)),(+VLOOKUP(INT(D646)+1,Tablas!$G$9:$O$1240,9,0)*(D646-INT(D646))+VLOOKUP(INT(D646),Tablas!$G$9:$O$1240,9,0)*(INT(D646)+1-D646))/(VLOOKUP(INT($C$5)+1,Tablas!$G$9:$O$1240,9,0)*($C$5-INT($C$5))+VLOOKUP(INT($C$5),Tablas!$G$9:$O$124,9,0)*(INT($C$5)+1-$C$5)))</f>
      </c>
      <c r="G646" s="791">
        <f>IF($C$4="Hombre",(+VLOOKUP(INT(D646)+1,Tablas!$G$9:$K$1240,5,0)*(D646-INT(D646))+VLOOKUP(INT(D646),Tablas!$G$9:$K$1240,5,0)*(INT(D646)+1-D646)),+VLOOKUP(INT(D646)+1,Tablas!$G$9:$O$1240,9,0)*(D646-INT(D646))+VLOOKUP(INT(D646),Tablas!$G$9:$O$1240,9,0)*(INT(D646)+1-D646))</f>
      </c>
      <c r="H646" s="801">
        <f>+IF(MONTH(B646)=1,H645*(1+$C$9),H645)</f>
      </c>
      <c r="I646" s="791">
        <f>IF(B646&lt;$C$10,0,IF(B646&lt;$C$11,$C$8/12*E646*F646*H646,0))</f>
      </c>
      <c r="J646" s="791">
        <f>I646*12/14+IF(OR(MONTH(C646)=6,MONTH(C646)=12),I646*12/14,0)</f>
      </c>
      <c r="K646" s="801">
        <f>G646/$G$15</f>
      </c>
      <c r="L646" s="760"/>
      <c r="M646" s="767"/>
      <c r="N646" s="168"/>
      <c r="O646" s="768"/>
      <c r="P646" s="170"/>
      <c r="Q646" s="7"/>
      <c r="R646" s="766"/>
      <c r="S646" s="170"/>
      <c r="T646" s="168"/>
      <c r="U646" s="170"/>
    </row>
    <row x14ac:dyDescent="0.25" r="647" customHeight="1" ht="18.75">
      <c r="A647" s="1"/>
      <c r="B647" s="799">
        <f>+DATE(YEAR(B646),MONTH(B646)+1,DAY(B646))</f>
        <v>25569.041666666668</v>
      </c>
      <c r="C647" s="799">
        <f>+B648-1</f>
        <v>25569.041666666668</v>
      </c>
      <c r="D647" s="791">
        <f>-_xlfn.DAYS($C$3,C647)/365.25</f>
      </c>
      <c r="E647" s="800">
        <f>IF($D$17+40&lt;=D647,(1+$D$7)^-(D647-$C$5),(1+$C$7)^-(D647-$C$5))</f>
      </c>
      <c r="F647" s="801">
        <f>IF($C$4="Hombre",(+VLOOKUP(INT(D647)+1,Tablas!$G$9:$K$1240,5,0)*(D647-INT(D647))+VLOOKUP(INT(D647),Tablas!$G$9:$K$1240,5,0)*(INT(D647)+1-D647))/(VLOOKUP(INT($C$5)+1,Tablas!$G$9:$K$1240,5,0)*($C$5-INT($C$5))+VLOOKUP(INT($C$5),Tablas!$G$9:$K$124,5,0)*(INT($C$5)+1-$C$5)),(+VLOOKUP(INT(D647)+1,Tablas!$G$9:$O$1240,9,0)*(D647-INT(D647))+VLOOKUP(INT(D647),Tablas!$G$9:$O$1240,9,0)*(INT(D647)+1-D647))/(VLOOKUP(INT($C$5)+1,Tablas!$G$9:$O$1240,9,0)*($C$5-INT($C$5))+VLOOKUP(INT($C$5),Tablas!$G$9:$O$124,9,0)*(INT($C$5)+1-$C$5)))</f>
      </c>
      <c r="G647" s="791">
        <f>IF($C$4="Hombre",(+VLOOKUP(INT(D647)+1,Tablas!$G$9:$K$1240,5,0)*(D647-INT(D647))+VLOOKUP(INT(D647),Tablas!$G$9:$K$1240,5,0)*(INT(D647)+1-D647)),+VLOOKUP(INT(D647)+1,Tablas!$G$9:$O$1240,9,0)*(D647-INT(D647))+VLOOKUP(INT(D647),Tablas!$G$9:$O$1240,9,0)*(INT(D647)+1-D647))</f>
      </c>
      <c r="H647" s="801">
        <f>+IF(MONTH(B647)=1,H646*(1+$C$9),H646)</f>
      </c>
      <c r="I647" s="791">
        <f>IF(B647&lt;$C$10,0,IF(B647&lt;$C$11,$C$8/12*E647*F647*H647,0))</f>
      </c>
      <c r="J647" s="791">
        <f>I647*12/14+IF(OR(MONTH(C647)=6,MONTH(C647)=12),I647*12/14,0)</f>
      </c>
      <c r="K647" s="801">
        <f>G647/$G$15</f>
      </c>
      <c r="L647" s="760"/>
      <c r="M647" s="767"/>
      <c r="N647" s="168"/>
      <c r="O647" s="768"/>
      <c r="P647" s="170"/>
      <c r="Q647" s="7"/>
      <c r="R647" s="766"/>
      <c r="S647" s="170"/>
      <c r="T647" s="168"/>
      <c r="U647" s="170"/>
    </row>
    <row x14ac:dyDescent="0.25" r="648" customHeight="1" ht="18.75">
      <c r="A648" s="1"/>
      <c r="B648" s="799">
        <f>+DATE(YEAR(B647),MONTH(B647)+1,DAY(B647))</f>
        <v>25569.041666666668</v>
      </c>
      <c r="C648" s="799">
        <f>+B649-1</f>
        <v>25569.041666666668</v>
      </c>
      <c r="D648" s="791">
        <f>-_xlfn.DAYS($C$3,C648)/365.25</f>
      </c>
      <c r="E648" s="800">
        <f>IF($D$17+40&lt;=D648,(1+$D$7)^-(D648-$C$5),(1+$C$7)^-(D648-$C$5))</f>
      </c>
      <c r="F648" s="801">
        <f>IF($C$4="Hombre",(+VLOOKUP(INT(D648)+1,Tablas!$G$9:$K$1240,5,0)*(D648-INT(D648))+VLOOKUP(INT(D648),Tablas!$G$9:$K$1240,5,0)*(INT(D648)+1-D648))/(VLOOKUP(INT($C$5)+1,Tablas!$G$9:$K$1240,5,0)*($C$5-INT($C$5))+VLOOKUP(INT($C$5),Tablas!$G$9:$K$124,5,0)*(INT($C$5)+1-$C$5)),(+VLOOKUP(INT(D648)+1,Tablas!$G$9:$O$1240,9,0)*(D648-INT(D648))+VLOOKUP(INT(D648),Tablas!$G$9:$O$1240,9,0)*(INT(D648)+1-D648))/(VLOOKUP(INT($C$5)+1,Tablas!$G$9:$O$1240,9,0)*($C$5-INT($C$5))+VLOOKUP(INT($C$5),Tablas!$G$9:$O$124,9,0)*(INT($C$5)+1-$C$5)))</f>
      </c>
      <c r="G648" s="791">
        <f>IF($C$4="Hombre",(+VLOOKUP(INT(D648)+1,Tablas!$G$9:$K$1240,5,0)*(D648-INT(D648))+VLOOKUP(INT(D648),Tablas!$G$9:$K$1240,5,0)*(INT(D648)+1-D648)),+VLOOKUP(INT(D648)+1,Tablas!$G$9:$O$1240,9,0)*(D648-INT(D648))+VLOOKUP(INT(D648),Tablas!$G$9:$O$1240,9,0)*(INT(D648)+1-D648))</f>
      </c>
      <c r="H648" s="801">
        <f>+IF(MONTH(B648)=1,H647*(1+$C$9),H647)</f>
      </c>
      <c r="I648" s="791">
        <f>IF(B648&lt;$C$10,0,IF(B648&lt;$C$11,$C$8/12*E648*F648*H648,0))</f>
      </c>
      <c r="J648" s="791">
        <f>I648*12/14+IF(OR(MONTH(C648)=6,MONTH(C648)=12),I648*12/14,0)</f>
      </c>
      <c r="K648" s="801">
        <f>G648/$G$15</f>
      </c>
      <c r="L648" s="760"/>
      <c r="M648" s="767"/>
      <c r="N648" s="168"/>
      <c r="O648" s="768"/>
      <c r="P648" s="170"/>
      <c r="Q648" s="7"/>
      <c r="R648" s="766"/>
      <c r="S648" s="170"/>
      <c r="T648" s="168"/>
      <c r="U648" s="170"/>
    </row>
    <row x14ac:dyDescent="0.25" r="649" customHeight="1" ht="18.75">
      <c r="A649" s="1"/>
      <c r="B649" s="799">
        <f>+DATE(YEAR(B648),MONTH(B648)+1,DAY(B648))</f>
        <v>25569.041666666668</v>
      </c>
      <c r="C649" s="799">
        <f>+B650-1</f>
        <v>25569.041666666668</v>
      </c>
      <c r="D649" s="791">
        <f>-_xlfn.DAYS($C$3,C649)/365.25</f>
      </c>
      <c r="E649" s="800">
        <f>IF($D$17+40&lt;=D649,(1+$D$7)^-(D649-$C$5),(1+$C$7)^-(D649-$C$5))</f>
      </c>
      <c r="F649" s="801">
        <f>IF($C$4="Hombre",(+VLOOKUP(INT(D649)+1,Tablas!$G$9:$K$1240,5,0)*(D649-INT(D649))+VLOOKUP(INT(D649),Tablas!$G$9:$K$1240,5,0)*(INT(D649)+1-D649))/(VLOOKUP(INT($C$5)+1,Tablas!$G$9:$K$1240,5,0)*($C$5-INT($C$5))+VLOOKUP(INT($C$5),Tablas!$G$9:$K$124,5,0)*(INT($C$5)+1-$C$5)),(+VLOOKUP(INT(D649)+1,Tablas!$G$9:$O$1240,9,0)*(D649-INT(D649))+VLOOKUP(INT(D649),Tablas!$G$9:$O$1240,9,0)*(INT(D649)+1-D649))/(VLOOKUP(INT($C$5)+1,Tablas!$G$9:$O$1240,9,0)*($C$5-INT($C$5))+VLOOKUP(INT($C$5),Tablas!$G$9:$O$124,9,0)*(INT($C$5)+1-$C$5)))</f>
      </c>
      <c r="G649" s="791">
        <f>IF($C$4="Hombre",(+VLOOKUP(INT(D649)+1,Tablas!$G$9:$K$1240,5,0)*(D649-INT(D649))+VLOOKUP(INT(D649),Tablas!$G$9:$K$1240,5,0)*(INT(D649)+1-D649)),+VLOOKUP(INT(D649)+1,Tablas!$G$9:$O$1240,9,0)*(D649-INT(D649))+VLOOKUP(INT(D649),Tablas!$G$9:$O$1240,9,0)*(INT(D649)+1-D649))</f>
      </c>
      <c r="H649" s="801">
        <f>+IF(MONTH(B649)=1,H648*(1+$C$9),H648)</f>
      </c>
      <c r="I649" s="791">
        <f>IF(B649&lt;$C$10,0,IF(B649&lt;$C$11,$C$8/12*E649*F649*H649,0))</f>
      </c>
      <c r="J649" s="791">
        <f>I649*12/14+IF(OR(MONTH(C649)=6,MONTH(C649)=12),I649*12/14,0)</f>
      </c>
      <c r="K649" s="801">
        <f>G649/$G$15</f>
      </c>
      <c r="L649" s="760"/>
      <c r="M649" s="767"/>
      <c r="N649" s="168"/>
      <c r="O649" s="768"/>
      <c r="P649" s="170"/>
      <c r="Q649" s="7"/>
      <c r="R649" s="766"/>
      <c r="S649" s="170"/>
      <c r="T649" s="168"/>
      <c r="U649" s="170"/>
    </row>
    <row x14ac:dyDescent="0.25" r="650" customHeight="1" ht="18.75">
      <c r="A650" s="1"/>
      <c r="B650" s="799">
        <f>+DATE(YEAR(B649),MONTH(B649)+1,DAY(B649))</f>
        <v>25569.041666666668</v>
      </c>
      <c r="C650" s="799">
        <f>+B651-1</f>
        <v>25569.041666666668</v>
      </c>
      <c r="D650" s="791">
        <f>-_xlfn.DAYS($C$3,C650)/365.25</f>
      </c>
      <c r="E650" s="800">
        <f>IF($D$17+40&lt;=D650,(1+$D$7)^-(D650-$C$5),(1+$C$7)^-(D650-$C$5))</f>
      </c>
      <c r="F650" s="801">
        <f>IF($C$4="Hombre",(+VLOOKUP(INT(D650)+1,Tablas!$G$9:$K$1240,5,0)*(D650-INT(D650))+VLOOKUP(INT(D650),Tablas!$G$9:$K$1240,5,0)*(INT(D650)+1-D650))/(VLOOKUP(INT($C$5)+1,Tablas!$G$9:$K$1240,5,0)*($C$5-INT($C$5))+VLOOKUP(INT($C$5),Tablas!$G$9:$K$124,5,0)*(INT($C$5)+1-$C$5)),(+VLOOKUP(INT(D650)+1,Tablas!$G$9:$O$1240,9,0)*(D650-INT(D650))+VLOOKUP(INT(D650),Tablas!$G$9:$O$1240,9,0)*(INT(D650)+1-D650))/(VLOOKUP(INT($C$5)+1,Tablas!$G$9:$O$1240,9,0)*($C$5-INT($C$5))+VLOOKUP(INT($C$5),Tablas!$G$9:$O$124,9,0)*(INT($C$5)+1-$C$5)))</f>
      </c>
      <c r="G650" s="791">
        <f>IF($C$4="Hombre",(+VLOOKUP(INT(D650)+1,Tablas!$G$9:$K$1240,5,0)*(D650-INT(D650))+VLOOKUP(INT(D650),Tablas!$G$9:$K$1240,5,0)*(INT(D650)+1-D650)),+VLOOKUP(INT(D650)+1,Tablas!$G$9:$O$1240,9,0)*(D650-INT(D650))+VLOOKUP(INT(D650),Tablas!$G$9:$O$1240,9,0)*(INT(D650)+1-D650))</f>
      </c>
      <c r="H650" s="801">
        <f>+IF(MONTH(B650)=1,H649*(1+$C$9),H649)</f>
      </c>
      <c r="I650" s="791">
        <f>IF(B650&lt;$C$10,0,IF(B650&lt;$C$11,$C$8/12*E650*F650*H650,0))</f>
      </c>
      <c r="J650" s="791">
        <f>I650*12/14+IF(OR(MONTH(C650)=6,MONTH(C650)=12),I650*12/14,0)</f>
      </c>
      <c r="K650" s="801">
        <f>G650/$G$15</f>
      </c>
      <c r="L650" s="760"/>
      <c r="M650" s="767"/>
      <c r="N650" s="168"/>
      <c r="O650" s="768"/>
      <c r="P650" s="170"/>
      <c r="Q650" s="7"/>
      <c r="R650" s="766"/>
      <c r="S650" s="170"/>
      <c r="T650" s="168"/>
      <c r="U650" s="170"/>
    </row>
    <row x14ac:dyDescent="0.25" r="651" customHeight="1" ht="18.75">
      <c r="A651" s="1"/>
      <c r="B651" s="799">
        <f>+DATE(YEAR(B650),MONTH(B650)+1,DAY(B650))</f>
        <v>25569.041666666668</v>
      </c>
      <c r="C651" s="799">
        <f>+B652-1</f>
        <v>25569.041666666668</v>
      </c>
      <c r="D651" s="791">
        <f>-_xlfn.DAYS($C$3,C651)/365.25</f>
      </c>
      <c r="E651" s="800">
        <f>IF($D$17+40&lt;=D651,(1+$D$7)^-(D651-$C$5),(1+$C$7)^-(D651-$C$5))</f>
      </c>
      <c r="F651" s="801">
        <f>IF($C$4="Hombre",(+VLOOKUP(INT(D651)+1,Tablas!$G$9:$K$1240,5,0)*(D651-INT(D651))+VLOOKUP(INT(D651),Tablas!$G$9:$K$1240,5,0)*(INT(D651)+1-D651))/(VLOOKUP(INT($C$5)+1,Tablas!$G$9:$K$1240,5,0)*($C$5-INT($C$5))+VLOOKUP(INT($C$5),Tablas!$G$9:$K$124,5,0)*(INT($C$5)+1-$C$5)),(+VLOOKUP(INT(D651)+1,Tablas!$G$9:$O$1240,9,0)*(D651-INT(D651))+VLOOKUP(INT(D651),Tablas!$G$9:$O$1240,9,0)*(INT(D651)+1-D651))/(VLOOKUP(INT($C$5)+1,Tablas!$G$9:$O$1240,9,0)*($C$5-INT($C$5))+VLOOKUP(INT($C$5),Tablas!$G$9:$O$124,9,0)*(INT($C$5)+1-$C$5)))</f>
      </c>
      <c r="G651" s="791">
        <f>IF($C$4="Hombre",(+VLOOKUP(INT(D651)+1,Tablas!$G$9:$K$1240,5,0)*(D651-INT(D651))+VLOOKUP(INT(D651),Tablas!$G$9:$K$1240,5,0)*(INT(D651)+1-D651)),+VLOOKUP(INT(D651)+1,Tablas!$G$9:$O$1240,9,0)*(D651-INT(D651))+VLOOKUP(INT(D651),Tablas!$G$9:$O$1240,9,0)*(INT(D651)+1-D651))</f>
      </c>
      <c r="H651" s="801">
        <f>+IF(MONTH(B651)=1,H650*(1+$C$9),H650)</f>
      </c>
      <c r="I651" s="791">
        <f>IF(B651&lt;$C$10,0,IF(B651&lt;$C$11,$C$8/12*E651*F651*H651,0))</f>
      </c>
      <c r="J651" s="791">
        <f>I651*12/14+IF(OR(MONTH(C651)=6,MONTH(C651)=12),I651*12/14,0)</f>
      </c>
      <c r="K651" s="801">
        <f>G651/$G$15</f>
      </c>
      <c r="L651" s="760"/>
      <c r="M651" s="767"/>
      <c r="N651" s="168"/>
      <c r="O651" s="768"/>
      <c r="P651" s="170"/>
      <c r="Q651" s="7"/>
      <c r="R651" s="766"/>
      <c r="S651" s="170"/>
      <c r="T651" s="168"/>
      <c r="U651" s="170"/>
    </row>
    <row x14ac:dyDescent="0.25" r="652" customHeight="1" ht="18.75">
      <c r="A652" s="1"/>
      <c r="B652" s="799">
        <f>+DATE(YEAR(B651),MONTH(B651)+1,DAY(B651))</f>
        <v>25569.041666666668</v>
      </c>
      <c r="C652" s="799">
        <f>+B653-1</f>
        <v>25569.041666666668</v>
      </c>
      <c r="D652" s="791">
        <f>-_xlfn.DAYS($C$3,C652)/365.25</f>
      </c>
      <c r="E652" s="800">
        <f>IF($D$17+40&lt;=D652,(1+$D$7)^-(D652-$C$5),(1+$C$7)^-(D652-$C$5))</f>
      </c>
      <c r="F652" s="801">
        <f>IF($C$4="Hombre",(+VLOOKUP(INT(D652)+1,Tablas!$G$9:$K$1240,5,0)*(D652-INT(D652))+VLOOKUP(INT(D652),Tablas!$G$9:$K$1240,5,0)*(INT(D652)+1-D652))/(VLOOKUP(INT($C$5)+1,Tablas!$G$9:$K$1240,5,0)*($C$5-INT($C$5))+VLOOKUP(INT($C$5),Tablas!$G$9:$K$124,5,0)*(INT($C$5)+1-$C$5)),(+VLOOKUP(INT(D652)+1,Tablas!$G$9:$O$1240,9,0)*(D652-INT(D652))+VLOOKUP(INT(D652),Tablas!$G$9:$O$1240,9,0)*(INT(D652)+1-D652))/(VLOOKUP(INT($C$5)+1,Tablas!$G$9:$O$1240,9,0)*($C$5-INT($C$5))+VLOOKUP(INT($C$5),Tablas!$G$9:$O$124,9,0)*(INT($C$5)+1-$C$5)))</f>
      </c>
      <c r="G652" s="791">
        <f>IF($C$4="Hombre",(+VLOOKUP(INT(D652)+1,Tablas!$G$9:$K$1240,5,0)*(D652-INT(D652))+VLOOKUP(INT(D652),Tablas!$G$9:$K$1240,5,0)*(INT(D652)+1-D652)),+VLOOKUP(INT(D652)+1,Tablas!$G$9:$O$1240,9,0)*(D652-INT(D652))+VLOOKUP(INT(D652),Tablas!$G$9:$O$1240,9,0)*(INT(D652)+1-D652))</f>
      </c>
      <c r="H652" s="801">
        <f>+IF(MONTH(B652)=1,H651*(1+$C$9),H651)</f>
      </c>
      <c r="I652" s="791">
        <f>IF(B652&lt;$C$10,0,IF(B652&lt;$C$11,$C$8/12*E652*F652*H652,0))</f>
      </c>
      <c r="J652" s="791">
        <f>I652*12/14+IF(OR(MONTH(C652)=6,MONTH(C652)=12),I652*12/14,0)</f>
      </c>
      <c r="K652" s="801">
        <f>G652/$G$15</f>
      </c>
      <c r="L652" s="760"/>
      <c r="M652" s="767"/>
      <c r="N652" s="168"/>
      <c r="O652" s="768"/>
      <c r="P652" s="170"/>
      <c r="Q652" s="7"/>
      <c r="R652" s="766"/>
      <c r="S652" s="170"/>
      <c r="T652" s="168"/>
      <c r="U652" s="170"/>
    </row>
    <row x14ac:dyDescent="0.25" r="653" customHeight="1" ht="18.75">
      <c r="A653" s="1"/>
      <c r="B653" s="799">
        <f>+DATE(YEAR(B652),MONTH(B652)+1,DAY(B652))</f>
        <v>25569.041666666668</v>
      </c>
      <c r="C653" s="799">
        <f>+B654-1</f>
        <v>25569.041666666668</v>
      </c>
      <c r="D653" s="791">
        <f>-_xlfn.DAYS($C$3,C653)/365.25</f>
      </c>
      <c r="E653" s="800">
        <f>IF($D$17+40&lt;=D653,(1+$D$7)^-(D653-$C$5),(1+$C$7)^-(D653-$C$5))</f>
      </c>
      <c r="F653" s="801">
        <f>IF($C$4="Hombre",(+VLOOKUP(INT(D653)+1,Tablas!$G$9:$K$1240,5,0)*(D653-INT(D653))+VLOOKUP(INT(D653),Tablas!$G$9:$K$1240,5,0)*(INT(D653)+1-D653))/(VLOOKUP(INT($C$5)+1,Tablas!$G$9:$K$1240,5,0)*($C$5-INT($C$5))+VLOOKUP(INT($C$5),Tablas!$G$9:$K$124,5,0)*(INT($C$5)+1-$C$5)),(+VLOOKUP(INT(D653)+1,Tablas!$G$9:$O$1240,9,0)*(D653-INT(D653))+VLOOKUP(INT(D653),Tablas!$G$9:$O$1240,9,0)*(INT(D653)+1-D653))/(VLOOKUP(INT($C$5)+1,Tablas!$G$9:$O$1240,9,0)*($C$5-INT($C$5))+VLOOKUP(INT($C$5),Tablas!$G$9:$O$124,9,0)*(INT($C$5)+1-$C$5)))</f>
      </c>
      <c r="G653" s="791">
        <f>IF($C$4="Hombre",(+VLOOKUP(INT(D653)+1,Tablas!$G$9:$K$1240,5,0)*(D653-INT(D653))+VLOOKUP(INT(D653),Tablas!$G$9:$K$1240,5,0)*(INT(D653)+1-D653)),+VLOOKUP(INT(D653)+1,Tablas!$G$9:$O$1240,9,0)*(D653-INT(D653))+VLOOKUP(INT(D653),Tablas!$G$9:$O$1240,9,0)*(INT(D653)+1-D653))</f>
      </c>
      <c r="H653" s="801">
        <f>+IF(MONTH(B653)=1,H652*(1+$C$9),H652)</f>
      </c>
      <c r="I653" s="689">
        <f>IF(B653&lt;$C$10,0,IF(B653&lt;$C$11,$C$8/12*E653*F653*H653,0))</f>
      </c>
      <c r="J653" s="689">
        <f>I653*12/14+IF(OR(MONTH(C653)=6,MONTH(C653)=12),I653*12/14,0)</f>
      </c>
      <c r="K653" s="801">
        <f>G653/$G$15</f>
      </c>
      <c r="L653" s="760"/>
      <c r="M653" s="767"/>
      <c r="N653" s="168"/>
      <c r="O653" s="768"/>
      <c r="P653" s="170"/>
      <c r="Q653" s="7"/>
      <c r="R653" s="766"/>
      <c r="S653" s="170"/>
      <c r="T653" s="168"/>
      <c r="U653" s="170"/>
    </row>
    <row x14ac:dyDescent="0.25" r="654" customHeight="1" ht="18.75">
      <c r="A654" s="1"/>
      <c r="B654" s="799">
        <f>+DATE(YEAR(B653),MONTH(B653)+1,DAY(B653))</f>
        <v>25569.041666666668</v>
      </c>
      <c r="C654" s="799">
        <f>+B655-1</f>
        <v>25569.041666666668</v>
      </c>
      <c r="D654" s="791">
        <f>-_xlfn.DAYS($C$3,C654)/365.25</f>
      </c>
      <c r="E654" s="800">
        <f>IF($D$17+40&lt;=D654,(1+$D$7)^-(D654-$C$5),(1+$C$7)^-(D654-$C$5))</f>
      </c>
      <c r="F654" s="801">
        <f>IF($C$4="Hombre",(+VLOOKUP(INT(D654)+1,Tablas!$G$9:$K$1240,5,0)*(D654-INT(D654))+VLOOKUP(INT(D654),Tablas!$G$9:$K$1240,5,0)*(INT(D654)+1-D654))/(VLOOKUP(INT($C$5)+1,Tablas!$G$9:$K$1240,5,0)*($C$5-INT($C$5))+VLOOKUP(INT($C$5),Tablas!$G$9:$K$124,5,0)*(INT($C$5)+1-$C$5)),(+VLOOKUP(INT(D654)+1,Tablas!$G$9:$O$1240,9,0)*(D654-INT(D654))+VLOOKUP(INT(D654),Tablas!$G$9:$O$1240,9,0)*(INT(D654)+1-D654))/(VLOOKUP(INT($C$5)+1,Tablas!$G$9:$O$1240,9,0)*($C$5-INT($C$5))+VLOOKUP(INT($C$5),Tablas!$G$9:$O$124,9,0)*(INT($C$5)+1-$C$5)))</f>
      </c>
      <c r="G654" s="791">
        <f>IF($C$4="Hombre",(+VLOOKUP(INT(D654)+1,Tablas!$G$9:$K$1240,5,0)*(D654-INT(D654))+VLOOKUP(INT(D654),Tablas!$G$9:$K$1240,5,0)*(INT(D654)+1-D654)),+VLOOKUP(INT(D654)+1,Tablas!$G$9:$O$1240,9,0)*(D654-INT(D654))+VLOOKUP(INT(D654),Tablas!$G$9:$O$1240,9,0)*(INT(D654)+1-D654))</f>
      </c>
      <c r="H654" s="801">
        <f>+IF(MONTH(B654)=1,H653*(1+$C$9),H653)</f>
      </c>
      <c r="I654" s="689">
        <f>IF(B654&lt;$C$10,0,IF(B654&lt;$C$11,$C$8/12*E654*F654*H654,0))</f>
      </c>
      <c r="J654" s="689">
        <f>I654*12/14+IF(OR(MONTH(C654)=6,MONTH(C654)=12),I654*12/14,0)</f>
      </c>
      <c r="K654" s="801">
        <f>G654/$G$15</f>
      </c>
      <c r="L654" s="760"/>
      <c r="M654" s="767"/>
      <c r="N654" s="168"/>
      <c r="O654" s="768"/>
      <c r="P654" s="170"/>
      <c r="Q654" s="7"/>
      <c r="R654" s="766"/>
      <c r="S654" s="170"/>
      <c r="T654" s="168"/>
      <c r="U654" s="170"/>
    </row>
    <row x14ac:dyDescent="0.25" r="655" customHeight="1" ht="18.75">
      <c r="A655" s="1"/>
      <c r="B655" s="799">
        <f>+DATE(YEAR(B654),MONTH(B654)+1,DAY(B654))</f>
        <v>25569.041666666668</v>
      </c>
      <c r="C655" s="799">
        <f>+B656-1</f>
        <v>25569.041666666668</v>
      </c>
      <c r="D655" s="791">
        <f>-_xlfn.DAYS($C$3,C655)/365.25</f>
      </c>
      <c r="E655" s="800">
        <f>IF($D$17+40&lt;=D655,(1+$D$7)^-(D655-$C$5),(1+$C$7)^-(D655-$C$5))</f>
      </c>
      <c r="F655" s="801">
        <f>IF($C$4="Hombre",(+VLOOKUP(INT(D655)+1,Tablas!$G$9:$K$1240,5,0)*(D655-INT(D655))+VLOOKUP(INT(D655),Tablas!$G$9:$K$1240,5,0)*(INT(D655)+1-D655))/(VLOOKUP(INT($C$5)+1,Tablas!$G$9:$K$1240,5,0)*($C$5-INT($C$5))+VLOOKUP(INT($C$5),Tablas!$G$9:$K$124,5,0)*(INT($C$5)+1-$C$5)),(+VLOOKUP(INT(D655)+1,Tablas!$G$9:$O$1240,9,0)*(D655-INT(D655))+VLOOKUP(INT(D655),Tablas!$G$9:$O$1240,9,0)*(INT(D655)+1-D655))/(VLOOKUP(INT($C$5)+1,Tablas!$G$9:$O$1240,9,0)*($C$5-INT($C$5))+VLOOKUP(INT($C$5),Tablas!$G$9:$O$124,9,0)*(INT($C$5)+1-$C$5)))</f>
      </c>
      <c r="G655" s="791">
        <f>IF($C$4="Hombre",(+VLOOKUP(INT(D655)+1,Tablas!$G$9:$K$1240,5,0)*(D655-INT(D655))+VLOOKUP(INT(D655),Tablas!$G$9:$K$1240,5,0)*(INT(D655)+1-D655)),+VLOOKUP(INT(D655)+1,Tablas!$G$9:$O$1240,9,0)*(D655-INT(D655))+VLOOKUP(INT(D655),Tablas!$G$9:$O$1240,9,0)*(INT(D655)+1-D655))</f>
      </c>
      <c r="H655" s="801">
        <f>+IF(MONTH(B655)=1,H654*(1+$C$9),H654)</f>
      </c>
      <c r="I655" s="689">
        <f>IF(B655&lt;$C$10,0,IF(B655&lt;$C$11,$C$8/12*E655*F655*H655,0))</f>
      </c>
      <c r="J655" s="689">
        <f>I655*12/14+IF(OR(MONTH(C655)=6,MONTH(C655)=12),I655*12/14,0)</f>
      </c>
      <c r="K655" s="801">
        <f>G655/$G$15</f>
      </c>
      <c r="L655" s="760"/>
      <c r="M655" s="767"/>
      <c r="N655" s="168"/>
      <c r="O655" s="768"/>
      <c r="P655" s="170"/>
      <c r="Q655" s="7"/>
      <c r="R655" s="766"/>
      <c r="S655" s="170"/>
      <c r="T655" s="168"/>
      <c r="U655" s="170"/>
    </row>
    <row x14ac:dyDescent="0.25" r="656" customHeight="1" ht="18.75">
      <c r="A656" s="1"/>
      <c r="B656" s="799">
        <f>+DATE(YEAR(B655),MONTH(B655)+1,DAY(B655))</f>
        <v>25569.041666666668</v>
      </c>
      <c r="C656" s="799">
        <f>+B657-1</f>
        <v>25569.041666666668</v>
      </c>
      <c r="D656" s="791">
        <f>-_xlfn.DAYS($C$3,C656)/365.25</f>
      </c>
      <c r="E656" s="800">
        <f>IF($D$17+40&lt;=D656,(1+$D$7)^-(D656-$C$5),(1+$C$7)^-(D656-$C$5))</f>
      </c>
      <c r="F656" s="801">
        <f>IF($C$4="Hombre",(+VLOOKUP(INT(D656)+1,Tablas!$G$9:$K$1240,5,0)*(D656-INT(D656))+VLOOKUP(INT(D656),Tablas!$G$9:$K$1240,5,0)*(INT(D656)+1-D656))/(VLOOKUP(INT($C$5)+1,Tablas!$G$9:$K$1240,5,0)*($C$5-INT($C$5))+VLOOKUP(INT($C$5),Tablas!$G$9:$K$124,5,0)*(INT($C$5)+1-$C$5)),(+VLOOKUP(INT(D656)+1,Tablas!$G$9:$O$1240,9,0)*(D656-INT(D656))+VLOOKUP(INT(D656),Tablas!$G$9:$O$1240,9,0)*(INT(D656)+1-D656))/(VLOOKUP(INT($C$5)+1,Tablas!$G$9:$O$1240,9,0)*($C$5-INT($C$5))+VLOOKUP(INT($C$5),Tablas!$G$9:$O$124,9,0)*(INT($C$5)+1-$C$5)))</f>
      </c>
      <c r="G656" s="791">
        <f>IF($C$4="Hombre",(+VLOOKUP(INT(D656)+1,Tablas!$G$9:$K$1240,5,0)*(D656-INT(D656))+VLOOKUP(INT(D656),Tablas!$G$9:$K$1240,5,0)*(INT(D656)+1-D656)),+VLOOKUP(INT(D656)+1,Tablas!$G$9:$O$1240,9,0)*(D656-INT(D656))+VLOOKUP(INT(D656),Tablas!$G$9:$O$1240,9,0)*(INT(D656)+1-D656))</f>
      </c>
      <c r="H656" s="801">
        <f>+IF(MONTH(B656)=1,H655*(1+$C$9),H655)</f>
      </c>
      <c r="I656" s="689">
        <f>IF(B656&lt;$C$10,0,IF(B656&lt;$C$11,$C$8/12*E656*F656*H656,0))</f>
      </c>
      <c r="J656" s="689">
        <f>I656*12/14+IF(OR(MONTH(C656)=6,MONTH(C656)=12),I656*12/14,0)</f>
      </c>
      <c r="K656" s="801">
        <f>G656/$G$15</f>
      </c>
      <c r="L656" s="760"/>
      <c r="M656" s="767"/>
      <c r="N656" s="168"/>
      <c r="O656" s="768"/>
      <c r="P656" s="170"/>
      <c r="Q656" s="7"/>
      <c r="R656" s="766"/>
      <c r="S656" s="170"/>
      <c r="T656" s="168"/>
      <c r="U656" s="170"/>
    </row>
    <row x14ac:dyDescent="0.25" r="657" customHeight="1" ht="18.75">
      <c r="A657" s="1"/>
      <c r="B657" s="799">
        <f>+DATE(YEAR(B656),MONTH(B656)+1,DAY(B656))</f>
        <v>25569.041666666668</v>
      </c>
      <c r="C657" s="799">
        <f>+B658-1</f>
        <v>25569.041666666668</v>
      </c>
      <c r="D657" s="791">
        <f>-_xlfn.DAYS($C$3,C657)/365.25</f>
      </c>
      <c r="E657" s="800">
        <f>IF($D$17+40&lt;=D657,(1+$D$7)^-(D657-$C$5),(1+$C$7)^-(D657-$C$5))</f>
      </c>
      <c r="F657" s="801">
        <f>IF($C$4="Hombre",(+VLOOKUP(INT(D657)+1,Tablas!$G$9:$K$1240,5,0)*(D657-INT(D657))+VLOOKUP(INT(D657),Tablas!$G$9:$K$1240,5,0)*(INT(D657)+1-D657))/(VLOOKUP(INT($C$5)+1,Tablas!$G$9:$K$1240,5,0)*($C$5-INT($C$5))+VLOOKUP(INT($C$5),Tablas!$G$9:$K$124,5,0)*(INT($C$5)+1-$C$5)),(+VLOOKUP(INT(D657)+1,Tablas!$G$9:$O$1240,9,0)*(D657-INT(D657))+VLOOKUP(INT(D657),Tablas!$G$9:$O$1240,9,0)*(INT(D657)+1-D657))/(VLOOKUP(INT($C$5)+1,Tablas!$G$9:$O$1240,9,0)*($C$5-INT($C$5))+VLOOKUP(INT($C$5),Tablas!$G$9:$O$124,9,0)*(INT($C$5)+1-$C$5)))</f>
      </c>
      <c r="G657" s="791">
        <f>IF($C$4="Hombre",(+VLOOKUP(INT(D657)+1,Tablas!$G$9:$K$1240,5,0)*(D657-INT(D657))+VLOOKUP(INT(D657),Tablas!$G$9:$K$1240,5,0)*(INT(D657)+1-D657)),+VLOOKUP(INT(D657)+1,Tablas!$G$9:$O$1240,9,0)*(D657-INT(D657))+VLOOKUP(INT(D657),Tablas!$G$9:$O$1240,9,0)*(INT(D657)+1-D657))</f>
      </c>
      <c r="H657" s="801">
        <f>+IF(MONTH(B657)=1,H656*(1+$C$9),H656)</f>
      </c>
      <c r="I657" s="689">
        <f>IF(B657&lt;$C$10,0,IF(B657&lt;$C$11,$C$8/12*E657*F657*H657,0))</f>
      </c>
      <c r="J657" s="689">
        <f>I657*12/14+IF(OR(MONTH(C657)=6,MONTH(C657)=12),I657*12/14,0)</f>
      </c>
      <c r="K657" s="801">
        <f>G657/$G$15</f>
      </c>
      <c r="L657" s="760"/>
      <c r="M657" s="767"/>
      <c r="N657" s="168"/>
      <c r="O657" s="768"/>
      <c r="P657" s="170"/>
      <c r="Q657" s="7"/>
      <c r="R657" s="766"/>
      <c r="S657" s="170"/>
      <c r="T657" s="168"/>
      <c r="U657" s="170"/>
    </row>
    <row x14ac:dyDescent="0.25" r="658" customHeight="1" ht="18.75">
      <c r="A658" s="1"/>
      <c r="B658" s="799">
        <f>+DATE(YEAR(B657),MONTH(B657)+1,DAY(B657))</f>
        <v>25569.041666666668</v>
      </c>
      <c r="C658" s="799">
        <f>+B659-1</f>
        <v>25569.041666666668</v>
      </c>
      <c r="D658" s="791">
        <f>-_xlfn.DAYS($C$3,C658)/365.25</f>
      </c>
      <c r="E658" s="800">
        <f>IF($D$17+40&lt;=D658,(1+$D$7)^-(D658-$C$5),(1+$C$7)^-(D658-$C$5))</f>
      </c>
      <c r="F658" s="801">
        <f>IF($C$4="Hombre",(+VLOOKUP(INT(D658)+1,Tablas!$G$9:$K$1240,5,0)*(D658-INT(D658))+VLOOKUP(INT(D658),Tablas!$G$9:$K$1240,5,0)*(INT(D658)+1-D658))/(VLOOKUP(INT($C$5)+1,Tablas!$G$9:$K$1240,5,0)*($C$5-INT($C$5))+VLOOKUP(INT($C$5),Tablas!$G$9:$K$124,5,0)*(INT($C$5)+1-$C$5)),(+VLOOKUP(INT(D658)+1,Tablas!$G$9:$O$1240,9,0)*(D658-INT(D658))+VLOOKUP(INT(D658),Tablas!$G$9:$O$1240,9,0)*(INT(D658)+1-D658))/(VLOOKUP(INT($C$5)+1,Tablas!$G$9:$O$1240,9,0)*($C$5-INT($C$5))+VLOOKUP(INT($C$5),Tablas!$G$9:$O$124,9,0)*(INT($C$5)+1-$C$5)))</f>
      </c>
      <c r="G658" s="791">
        <f>IF($C$4="Hombre",(+VLOOKUP(INT(D658)+1,Tablas!$G$9:$K$1240,5,0)*(D658-INT(D658))+VLOOKUP(INT(D658),Tablas!$G$9:$K$1240,5,0)*(INT(D658)+1-D658)),+VLOOKUP(INT(D658)+1,Tablas!$G$9:$O$1240,9,0)*(D658-INT(D658))+VLOOKUP(INT(D658),Tablas!$G$9:$O$1240,9,0)*(INT(D658)+1-D658))</f>
      </c>
      <c r="H658" s="801">
        <f>+IF(MONTH(B658)=1,H657*(1+$C$9),H657)</f>
      </c>
      <c r="I658" s="689">
        <f>IF(B658&lt;$C$10,0,IF(B658&lt;$C$11,$C$8/12*E658*F658*H658,0))</f>
      </c>
      <c r="J658" s="689">
        <f>I658*12/14+IF(OR(MONTH(C658)=6,MONTH(C658)=12),I658*12/14,0)</f>
      </c>
      <c r="K658" s="801">
        <f>G658/$G$15</f>
      </c>
      <c r="L658" s="760"/>
      <c r="M658" s="767"/>
      <c r="N658" s="168"/>
      <c r="O658" s="768"/>
      <c r="P658" s="170"/>
      <c r="Q658" s="7"/>
      <c r="R658" s="766"/>
      <c r="S658" s="170"/>
      <c r="T658" s="168"/>
      <c r="U658" s="170"/>
    </row>
    <row x14ac:dyDescent="0.25" r="659" customHeight="1" ht="18.75">
      <c r="A659" s="1"/>
      <c r="B659" s="799">
        <f>+DATE(YEAR(B658),MONTH(B658)+1,DAY(B658))</f>
        <v>25569.041666666668</v>
      </c>
      <c r="C659" s="799">
        <f>+B660-1</f>
        <v>25569.041666666668</v>
      </c>
      <c r="D659" s="791">
        <f>-_xlfn.DAYS($C$3,C659)/365.25</f>
      </c>
      <c r="E659" s="800">
        <f>IF($D$17+40&lt;=D659,(1+$D$7)^-(D659-$C$5),(1+$C$7)^-(D659-$C$5))</f>
      </c>
      <c r="F659" s="801">
        <f>IF($C$4="Hombre",(+VLOOKUP(INT(D659)+1,Tablas!$G$9:$K$1240,5,0)*(D659-INT(D659))+VLOOKUP(INT(D659),Tablas!$G$9:$K$1240,5,0)*(INT(D659)+1-D659))/(VLOOKUP(INT($C$5)+1,Tablas!$G$9:$K$1240,5,0)*($C$5-INT($C$5))+VLOOKUP(INT($C$5),Tablas!$G$9:$K$124,5,0)*(INT($C$5)+1-$C$5)),(+VLOOKUP(INT(D659)+1,Tablas!$G$9:$O$1240,9,0)*(D659-INT(D659))+VLOOKUP(INT(D659),Tablas!$G$9:$O$1240,9,0)*(INT(D659)+1-D659))/(VLOOKUP(INT($C$5)+1,Tablas!$G$9:$O$1240,9,0)*($C$5-INT($C$5))+VLOOKUP(INT($C$5),Tablas!$G$9:$O$124,9,0)*(INT($C$5)+1-$C$5)))</f>
      </c>
      <c r="G659" s="791">
        <f>IF($C$4="Hombre",(+VLOOKUP(INT(D659)+1,Tablas!$G$9:$K$1240,5,0)*(D659-INT(D659))+VLOOKUP(INT(D659),Tablas!$G$9:$K$1240,5,0)*(INT(D659)+1-D659)),+VLOOKUP(INT(D659)+1,Tablas!$G$9:$O$1240,9,0)*(D659-INT(D659))+VLOOKUP(INT(D659),Tablas!$G$9:$O$1240,9,0)*(INT(D659)+1-D659))</f>
      </c>
      <c r="H659" s="801">
        <f>+IF(MONTH(B659)=1,H658*(1+$C$9),H658)</f>
      </c>
      <c r="I659" s="689">
        <f>IF(B659&lt;$C$10,0,IF(B659&lt;$C$11,$C$8/12*E659*F659*H659,0))</f>
      </c>
      <c r="J659" s="689">
        <f>I659*12/14+IF(OR(MONTH(C659)=6,MONTH(C659)=12),I659*12/14,0)</f>
      </c>
      <c r="K659" s="801">
        <f>G659/$G$15</f>
      </c>
      <c r="L659" s="760"/>
      <c r="M659" s="767"/>
      <c r="N659" s="168"/>
      <c r="O659" s="768"/>
      <c r="P659" s="170"/>
      <c r="Q659" s="7"/>
      <c r="R659" s="766"/>
      <c r="S659" s="170"/>
      <c r="T659" s="168"/>
      <c r="U659" s="170"/>
    </row>
    <row x14ac:dyDescent="0.25" r="660" customHeight="1" ht="18.75">
      <c r="A660" s="1"/>
      <c r="B660" s="799">
        <f>+DATE(YEAR(B659),MONTH(B659)+1,DAY(B659))</f>
        <v>25569.041666666668</v>
      </c>
      <c r="C660" s="799">
        <f>+B661-1</f>
        <v>25569.041666666668</v>
      </c>
      <c r="D660" s="791">
        <f>-_xlfn.DAYS($C$3,C660)/365.25</f>
      </c>
      <c r="E660" s="800">
        <f>IF($D$17+40&lt;=D660,(1+$D$7)^-(D660-$C$5),(1+$C$7)^-(D660-$C$5))</f>
      </c>
      <c r="F660" s="801">
        <f>IF($C$4="Hombre",(+VLOOKUP(INT(D660)+1,Tablas!$G$9:$K$1240,5,0)*(D660-INT(D660))+VLOOKUP(INT(D660),Tablas!$G$9:$K$1240,5,0)*(INT(D660)+1-D660))/(VLOOKUP(INT($C$5)+1,Tablas!$G$9:$K$1240,5,0)*($C$5-INT($C$5))+VLOOKUP(INT($C$5),Tablas!$G$9:$K$124,5,0)*(INT($C$5)+1-$C$5)),(+VLOOKUP(INT(D660)+1,Tablas!$G$9:$O$1240,9,0)*(D660-INT(D660))+VLOOKUP(INT(D660),Tablas!$G$9:$O$1240,9,0)*(INT(D660)+1-D660))/(VLOOKUP(INT($C$5)+1,Tablas!$G$9:$O$1240,9,0)*($C$5-INT($C$5))+VLOOKUP(INT($C$5),Tablas!$G$9:$O$124,9,0)*(INT($C$5)+1-$C$5)))</f>
      </c>
      <c r="G660" s="791">
        <f>IF($C$4="Hombre",(+VLOOKUP(INT(D660)+1,Tablas!$G$9:$K$1240,5,0)*(D660-INT(D660))+VLOOKUP(INT(D660),Tablas!$G$9:$K$1240,5,0)*(INT(D660)+1-D660)),+VLOOKUP(INT(D660)+1,Tablas!$G$9:$O$1240,9,0)*(D660-INT(D660))+VLOOKUP(INT(D660),Tablas!$G$9:$O$1240,9,0)*(INT(D660)+1-D660))</f>
      </c>
      <c r="H660" s="801">
        <f>+IF(MONTH(B660)=1,H659*(1+$C$9),H659)</f>
      </c>
      <c r="I660" s="689">
        <f>IF(B660&lt;$C$10,0,IF(B660&lt;$C$11,$C$8/12*E660*F660*H660,0))</f>
      </c>
      <c r="J660" s="689">
        <f>I660*12/14+IF(OR(MONTH(C660)=6,MONTH(C660)=12),I660*12/14,0)</f>
      </c>
      <c r="K660" s="801">
        <f>G660/$G$15</f>
      </c>
      <c r="L660" s="760"/>
      <c r="M660" s="767"/>
      <c r="N660" s="168"/>
      <c r="O660" s="768"/>
      <c r="P660" s="170"/>
      <c r="Q660" s="7"/>
      <c r="R660" s="766"/>
      <c r="S660" s="170"/>
      <c r="T660" s="168"/>
      <c r="U660" s="170"/>
    </row>
    <row x14ac:dyDescent="0.25" r="661" customHeight="1" ht="18.75">
      <c r="A661" s="1"/>
      <c r="B661" s="799">
        <f>+DATE(YEAR(B660),MONTH(B660)+1,DAY(B660))</f>
        <v>25569.041666666668</v>
      </c>
      <c r="C661" s="799">
        <f>+B662-1</f>
        <v>25569.041666666668</v>
      </c>
      <c r="D661" s="791">
        <f>-_xlfn.DAYS($C$3,C661)/365.25</f>
      </c>
      <c r="E661" s="800">
        <f>IF($D$17+40&lt;=D661,(1+$D$7)^-(D661-$C$5),(1+$C$7)^-(D661-$C$5))</f>
      </c>
      <c r="F661" s="801">
        <f>IF($C$4="Hombre",(+VLOOKUP(INT(D661)+1,Tablas!$G$9:$K$1240,5,0)*(D661-INT(D661))+VLOOKUP(INT(D661),Tablas!$G$9:$K$1240,5,0)*(INT(D661)+1-D661))/(VLOOKUP(INT($C$5)+1,Tablas!$G$9:$K$1240,5,0)*($C$5-INT($C$5))+VLOOKUP(INT($C$5),Tablas!$G$9:$K$124,5,0)*(INT($C$5)+1-$C$5)),(+VLOOKUP(INT(D661)+1,Tablas!$G$9:$O$1240,9,0)*(D661-INT(D661))+VLOOKUP(INT(D661),Tablas!$G$9:$O$1240,9,0)*(INT(D661)+1-D661))/(VLOOKUP(INT($C$5)+1,Tablas!$G$9:$O$1240,9,0)*($C$5-INT($C$5))+VLOOKUP(INT($C$5),Tablas!$G$9:$O$124,9,0)*(INT($C$5)+1-$C$5)))</f>
      </c>
      <c r="G661" s="791">
        <f>IF($C$4="Hombre",(+VLOOKUP(INT(D661)+1,Tablas!$G$9:$K$1240,5,0)*(D661-INT(D661))+VLOOKUP(INT(D661),Tablas!$G$9:$K$1240,5,0)*(INT(D661)+1-D661)),+VLOOKUP(INT(D661)+1,Tablas!$G$9:$O$1240,9,0)*(D661-INT(D661))+VLOOKUP(INT(D661),Tablas!$G$9:$O$1240,9,0)*(INT(D661)+1-D661))</f>
      </c>
      <c r="H661" s="801">
        <f>+IF(MONTH(B661)=1,H660*(1+$C$9),H660)</f>
      </c>
      <c r="I661" s="689">
        <f>IF(B661&lt;$C$10,0,IF(B661&lt;$C$11,$C$8/12*E661*F661*H661,0))</f>
      </c>
      <c r="J661" s="689">
        <f>I661*12/14+IF(OR(MONTH(C661)=6,MONTH(C661)=12),I661*12/14,0)</f>
      </c>
      <c r="K661" s="801">
        <f>G661/$G$15</f>
      </c>
      <c r="L661" s="760"/>
      <c r="M661" s="767"/>
      <c r="N661" s="168"/>
      <c r="O661" s="768"/>
      <c r="P661" s="170"/>
      <c r="Q661" s="7"/>
      <c r="R661" s="766"/>
      <c r="S661" s="170"/>
      <c r="T661" s="168"/>
      <c r="U661" s="170"/>
    </row>
    <row x14ac:dyDescent="0.25" r="662" customHeight="1" ht="18.75">
      <c r="A662" s="1"/>
      <c r="B662" s="799">
        <f>+DATE(YEAR(B661),MONTH(B661)+1,DAY(B661))</f>
        <v>25569.041666666668</v>
      </c>
      <c r="C662" s="799">
        <f>+B663-1</f>
        <v>25569.041666666668</v>
      </c>
      <c r="D662" s="791">
        <f>-_xlfn.DAYS($C$3,C662)/365.25</f>
      </c>
      <c r="E662" s="800">
        <f>IF($D$17+40&lt;=D662,(1+$D$7)^-(D662-$C$5),(1+$C$7)^-(D662-$C$5))</f>
      </c>
      <c r="F662" s="801">
        <f>IF($C$4="Hombre",(+VLOOKUP(INT(D662)+1,Tablas!$G$9:$K$1240,5,0)*(D662-INT(D662))+VLOOKUP(INT(D662),Tablas!$G$9:$K$1240,5,0)*(INT(D662)+1-D662))/(VLOOKUP(INT($C$5)+1,Tablas!$G$9:$K$1240,5,0)*($C$5-INT($C$5))+VLOOKUP(INT($C$5),Tablas!$G$9:$K$124,5,0)*(INT($C$5)+1-$C$5)),(+VLOOKUP(INT(D662)+1,Tablas!$G$9:$O$1240,9,0)*(D662-INT(D662))+VLOOKUP(INT(D662),Tablas!$G$9:$O$1240,9,0)*(INT(D662)+1-D662))/(VLOOKUP(INT($C$5)+1,Tablas!$G$9:$O$1240,9,0)*($C$5-INT($C$5))+VLOOKUP(INT($C$5),Tablas!$G$9:$O$124,9,0)*(INT($C$5)+1-$C$5)))</f>
      </c>
      <c r="G662" s="791">
        <f>IF($C$4="Hombre",(+VLOOKUP(INT(D662)+1,Tablas!$G$9:$K$1240,5,0)*(D662-INT(D662))+VLOOKUP(INT(D662),Tablas!$G$9:$K$1240,5,0)*(INT(D662)+1-D662)),+VLOOKUP(INT(D662)+1,Tablas!$G$9:$O$1240,9,0)*(D662-INT(D662))+VLOOKUP(INT(D662),Tablas!$G$9:$O$1240,9,0)*(INT(D662)+1-D662))</f>
      </c>
      <c r="H662" s="801">
        <f>+IF(MONTH(B662)=1,H661*(1+$C$9),H661)</f>
      </c>
      <c r="I662" s="689">
        <f>IF(B662&lt;$C$10,0,IF(B662&lt;$C$11,$C$8/12*E662*F662*H662,0))</f>
      </c>
      <c r="J662" s="689">
        <f>I662*12/14+IF(OR(MONTH(C662)=6,MONTH(C662)=12),I662*12/14,0)</f>
      </c>
      <c r="K662" s="801">
        <f>G662/$G$15</f>
      </c>
      <c r="L662" s="760"/>
      <c r="M662" s="767"/>
      <c r="N662" s="168"/>
      <c r="O662" s="768"/>
      <c r="P662" s="170"/>
      <c r="Q662" s="7"/>
      <c r="R662" s="766"/>
      <c r="S662" s="170"/>
      <c r="T662" s="168"/>
      <c r="U662" s="170"/>
    </row>
    <row x14ac:dyDescent="0.25" r="663" customHeight="1" ht="18.75">
      <c r="A663" s="1"/>
      <c r="B663" s="799">
        <f>+DATE(YEAR(B662),MONTH(B662)+1,DAY(B662))</f>
        <v>25569.041666666668</v>
      </c>
      <c r="C663" s="799">
        <f>+B664-1</f>
        <v>25569.041666666668</v>
      </c>
      <c r="D663" s="791">
        <f>-_xlfn.DAYS($C$3,C663)/365.25</f>
      </c>
      <c r="E663" s="800">
        <f>IF($D$17+40&lt;=D663,(1+$D$7)^-(D663-$C$5),(1+$C$7)^-(D663-$C$5))</f>
      </c>
      <c r="F663" s="801">
        <f>IF($C$4="Hombre",(+VLOOKUP(INT(D663)+1,Tablas!$G$9:$K$1240,5,0)*(D663-INT(D663))+VLOOKUP(INT(D663),Tablas!$G$9:$K$1240,5,0)*(INT(D663)+1-D663))/(VLOOKUP(INT($C$5)+1,Tablas!$G$9:$K$1240,5,0)*($C$5-INT($C$5))+VLOOKUP(INT($C$5),Tablas!$G$9:$K$124,5,0)*(INT($C$5)+1-$C$5)),(+VLOOKUP(INT(D663)+1,Tablas!$G$9:$O$1240,9,0)*(D663-INT(D663))+VLOOKUP(INT(D663),Tablas!$G$9:$O$1240,9,0)*(INT(D663)+1-D663))/(VLOOKUP(INT($C$5)+1,Tablas!$G$9:$O$1240,9,0)*($C$5-INT($C$5))+VLOOKUP(INT($C$5),Tablas!$G$9:$O$124,9,0)*(INT($C$5)+1-$C$5)))</f>
      </c>
      <c r="G663" s="791">
        <f>IF($C$4="Hombre",(+VLOOKUP(INT(D663)+1,Tablas!$G$9:$K$1240,5,0)*(D663-INT(D663))+VLOOKUP(INT(D663),Tablas!$G$9:$K$1240,5,0)*(INT(D663)+1-D663)),+VLOOKUP(INT(D663)+1,Tablas!$G$9:$O$1240,9,0)*(D663-INT(D663))+VLOOKUP(INT(D663),Tablas!$G$9:$O$1240,9,0)*(INT(D663)+1-D663))</f>
      </c>
      <c r="H663" s="801">
        <f>+IF(MONTH(B663)=1,H662*(1+$C$9),H662)</f>
      </c>
      <c r="I663" s="689">
        <f>IF(B663&lt;$C$10,0,IF(B663&lt;$C$11,$C$8/12*E663*F663*H663,0))</f>
      </c>
      <c r="J663" s="689">
        <f>I663*12/14+IF(OR(MONTH(C663)=6,MONTH(C663)=12),I663*12/14,0)</f>
      </c>
      <c r="K663" s="801">
        <f>G663/$G$15</f>
      </c>
      <c r="L663" s="760"/>
      <c r="M663" s="767"/>
      <c r="N663" s="168"/>
      <c r="O663" s="768"/>
      <c r="P663" s="170"/>
      <c r="Q663" s="7"/>
      <c r="R663" s="766"/>
      <c r="S663" s="170"/>
      <c r="T663" s="168"/>
      <c r="U663" s="170"/>
    </row>
    <row x14ac:dyDescent="0.25" r="664" customHeight="1" ht="18.75">
      <c r="A664" s="1"/>
      <c r="B664" s="799">
        <f>+DATE(YEAR(B663),MONTH(B663)+1,DAY(B663))</f>
        <v>25569.041666666668</v>
      </c>
      <c r="C664" s="799">
        <f>+B665-1</f>
        <v>25569.041666666668</v>
      </c>
      <c r="D664" s="791">
        <f>-_xlfn.DAYS($C$3,C664)/365.25</f>
      </c>
      <c r="E664" s="800">
        <f>IF($D$17+40&lt;=D664,(1+$D$7)^-(D664-$C$5),(1+$C$7)^-(D664-$C$5))</f>
      </c>
      <c r="F664" s="801">
        <f>IF($C$4="Hombre",(+VLOOKUP(INT(D664)+1,Tablas!$G$9:$K$1240,5,0)*(D664-INT(D664))+VLOOKUP(INT(D664),Tablas!$G$9:$K$1240,5,0)*(INT(D664)+1-D664))/(VLOOKUP(INT($C$5)+1,Tablas!$G$9:$K$1240,5,0)*($C$5-INT($C$5))+VLOOKUP(INT($C$5),Tablas!$G$9:$K$124,5,0)*(INT($C$5)+1-$C$5)),(+VLOOKUP(INT(D664)+1,Tablas!$G$9:$O$1240,9,0)*(D664-INT(D664))+VLOOKUP(INT(D664),Tablas!$G$9:$O$1240,9,0)*(INT(D664)+1-D664))/(VLOOKUP(INT($C$5)+1,Tablas!$G$9:$O$1240,9,0)*($C$5-INT($C$5))+VLOOKUP(INT($C$5),Tablas!$G$9:$O$124,9,0)*(INT($C$5)+1-$C$5)))</f>
      </c>
      <c r="G664" s="791">
        <f>IF($C$4="Hombre",(+VLOOKUP(INT(D664)+1,Tablas!$G$9:$K$1240,5,0)*(D664-INT(D664))+VLOOKUP(INT(D664),Tablas!$G$9:$K$1240,5,0)*(INT(D664)+1-D664)),+VLOOKUP(INT(D664)+1,Tablas!$G$9:$O$1240,9,0)*(D664-INT(D664))+VLOOKUP(INT(D664),Tablas!$G$9:$O$1240,9,0)*(INT(D664)+1-D664))</f>
      </c>
      <c r="H664" s="801">
        <f>+IF(MONTH(B664)=1,H663*(1+$C$9),H663)</f>
      </c>
      <c r="I664" s="689">
        <f>IF(B664&lt;$C$10,0,IF(B664&lt;$C$11,$C$8/12*E664*F664*H664,0))</f>
      </c>
      <c r="J664" s="689">
        <f>I664*12/14+IF(OR(MONTH(C664)=6,MONTH(C664)=12),I664*12/14,0)</f>
      </c>
      <c r="K664" s="801">
        <f>G664/$G$15</f>
      </c>
      <c r="L664" s="760"/>
      <c r="M664" s="767"/>
      <c r="N664" s="168"/>
      <c r="O664" s="768"/>
      <c r="P664" s="170"/>
      <c r="Q664" s="7"/>
      <c r="R664" s="766"/>
      <c r="S664" s="170"/>
      <c r="T664" s="168"/>
      <c r="U664" s="170"/>
    </row>
    <row x14ac:dyDescent="0.25" r="665" customHeight="1" ht="18.75">
      <c r="A665" s="1"/>
      <c r="B665" s="799">
        <f>+DATE(YEAR(B664),MONTH(B664)+1,DAY(B664))</f>
        <v>25569.041666666668</v>
      </c>
      <c r="C665" s="799">
        <f>+B666-1</f>
        <v>25569.041666666668</v>
      </c>
      <c r="D665" s="791">
        <f>-_xlfn.DAYS($C$3,C665)/365.25</f>
      </c>
      <c r="E665" s="800">
        <f>IF($D$17+40&lt;=D665,(1+$D$7)^-(D665-$C$5),(1+$C$7)^-(D665-$C$5))</f>
      </c>
      <c r="F665" s="801">
        <f>IF($C$4="Hombre",(+VLOOKUP(INT(D665)+1,Tablas!$G$9:$K$1240,5,0)*(D665-INT(D665))+VLOOKUP(INT(D665),Tablas!$G$9:$K$1240,5,0)*(INT(D665)+1-D665))/(VLOOKUP(INT($C$5)+1,Tablas!$G$9:$K$1240,5,0)*($C$5-INT($C$5))+VLOOKUP(INT($C$5),Tablas!$G$9:$K$124,5,0)*(INT($C$5)+1-$C$5)),(+VLOOKUP(INT(D665)+1,Tablas!$G$9:$O$1240,9,0)*(D665-INT(D665))+VLOOKUP(INT(D665),Tablas!$G$9:$O$1240,9,0)*(INT(D665)+1-D665))/(VLOOKUP(INT($C$5)+1,Tablas!$G$9:$O$1240,9,0)*($C$5-INT($C$5))+VLOOKUP(INT($C$5),Tablas!$G$9:$O$124,9,0)*(INT($C$5)+1-$C$5)))</f>
      </c>
      <c r="G665" s="791">
        <f>IF($C$4="Hombre",(+VLOOKUP(INT(D665)+1,Tablas!$G$9:$K$1240,5,0)*(D665-INT(D665))+VLOOKUP(INT(D665),Tablas!$G$9:$K$1240,5,0)*(INT(D665)+1-D665)),+VLOOKUP(INT(D665)+1,Tablas!$G$9:$O$1240,9,0)*(D665-INT(D665))+VLOOKUP(INT(D665),Tablas!$G$9:$O$1240,9,0)*(INT(D665)+1-D665))</f>
      </c>
      <c r="H665" s="801">
        <f>+IF(MONTH(B665)=1,H664*(1+$C$9),H664)</f>
      </c>
      <c r="I665" s="689">
        <f>IF(B665&lt;$C$10,0,IF(B665&lt;$C$11,$C$8/12*E665*F665*H665,0))</f>
      </c>
      <c r="J665" s="689">
        <f>I665*12/14+IF(OR(MONTH(C665)=6,MONTH(C665)=12),I665*12/14,0)</f>
      </c>
      <c r="K665" s="801">
        <f>G665/$G$15</f>
      </c>
      <c r="L665" s="760"/>
      <c r="M665" s="767"/>
      <c r="N665" s="168"/>
      <c r="O665" s="768"/>
      <c r="P665" s="170"/>
      <c r="Q665" s="7"/>
      <c r="R665" s="766"/>
      <c r="S665" s="170"/>
      <c r="T665" s="168"/>
      <c r="U665" s="170"/>
    </row>
    <row x14ac:dyDescent="0.25" r="666" customHeight="1" ht="18.75">
      <c r="A666" s="1"/>
      <c r="B666" s="799">
        <f>+DATE(YEAR(B665),MONTH(B665)+1,DAY(B665))</f>
        <v>25569.041666666668</v>
      </c>
      <c r="C666" s="799">
        <f>+B667-1</f>
        <v>25569.041666666668</v>
      </c>
      <c r="D666" s="791">
        <f>-_xlfn.DAYS($C$3,C666)/365.25</f>
      </c>
      <c r="E666" s="800">
        <f>IF($D$17+40&lt;=D666,(1+$D$7)^-(D666-$C$5),(1+$C$7)^-(D666-$C$5))</f>
      </c>
      <c r="F666" s="801">
        <f>IF($C$4="Hombre",(+VLOOKUP(INT(D666)+1,Tablas!$G$9:$K$1240,5,0)*(D666-INT(D666))+VLOOKUP(INT(D666),Tablas!$G$9:$K$1240,5,0)*(INT(D666)+1-D666))/(VLOOKUP(INT($C$5)+1,Tablas!$G$9:$K$1240,5,0)*($C$5-INT($C$5))+VLOOKUP(INT($C$5),Tablas!$G$9:$K$124,5,0)*(INT($C$5)+1-$C$5)),(+VLOOKUP(INT(D666)+1,Tablas!$G$9:$O$1240,9,0)*(D666-INT(D666))+VLOOKUP(INT(D666),Tablas!$G$9:$O$1240,9,0)*(INT(D666)+1-D666))/(VLOOKUP(INT($C$5)+1,Tablas!$G$9:$O$1240,9,0)*($C$5-INT($C$5))+VLOOKUP(INT($C$5),Tablas!$G$9:$O$124,9,0)*(INT($C$5)+1-$C$5)))</f>
      </c>
      <c r="G666" s="791">
        <f>IF($C$4="Hombre",(+VLOOKUP(INT(D666)+1,Tablas!$G$9:$K$1240,5,0)*(D666-INT(D666))+VLOOKUP(INT(D666),Tablas!$G$9:$K$1240,5,0)*(INT(D666)+1-D666)),+VLOOKUP(INT(D666)+1,Tablas!$G$9:$O$1240,9,0)*(D666-INT(D666))+VLOOKUP(INT(D666),Tablas!$G$9:$O$1240,9,0)*(INT(D666)+1-D666))</f>
      </c>
      <c r="H666" s="801">
        <f>+IF(MONTH(B666)=1,H665*(1+$C$9),H665)</f>
      </c>
      <c r="I666" s="689">
        <f>IF(B666&lt;$C$10,0,IF(B666&lt;$C$11,$C$8/12*E666*F666*H666,0))</f>
      </c>
      <c r="J666" s="689">
        <f>I666*12/14+IF(OR(MONTH(C666)=6,MONTH(C666)=12),I666*12/14,0)</f>
      </c>
      <c r="K666" s="801">
        <f>G666/$G$15</f>
      </c>
      <c r="L666" s="760"/>
      <c r="M666" s="767"/>
      <c r="N666" s="168"/>
      <c r="O666" s="768"/>
      <c r="P666" s="170"/>
      <c r="Q666" s="7"/>
      <c r="R666" s="766"/>
      <c r="S666" s="170"/>
      <c r="T666" s="168"/>
      <c r="U666" s="170"/>
    </row>
    <row x14ac:dyDescent="0.25" r="667" customHeight="1" ht="18.75">
      <c r="A667" s="1"/>
      <c r="B667" s="799">
        <f>+DATE(YEAR(B666),MONTH(B666)+1,DAY(B666))</f>
        <v>25569.041666666668</v>
      </c>
      <c r="C667" s="799">
        <f>+B668-1</f>
        <v>25569.041666666668</v>
      </c>
      <c r="D667" s="791">
        <f>-_xlfn.DAYS($C$3,C667)/365.25</f>
      </c>
      <c r="E667" s="800">
        <f>IF($D$17+40&lt;=D667,(1+$D$7)^-(D667-$C$5),(1+$C$7)^-(D667-$C$5))</f>
      </c>
      <c r="F667" s="801">
        <f>IF($C$4="Hombre",(+VLOOKUP(INT(D667)+1,Tablas!$G$9:$K$1240,5,0)*(D667-INT(D667))+VLOOKUP(INT(D667),Tablas!$G$9:$K$1240,5,0)*(INT(D667)+1-D667))/(VLOOKUP(INT($C$5)+1,Tablas!$G$9:$K$1240,5,0)*($C$5-INT($C$5))+VLOOKUP(INT($C$5),Tablas!$G$9:$K$124,5,0)*(INT($C$5)+1-$C$5)),(+VLOOKUP(INT(D667)+1,Tablas!$G$9:$O$1240,9,0)*(D667-INT(D667))+VLOOKUP(INT(D667),Tablas!$G$9:$O$1240,9,0)*(INT(D667)+1-D667))/(VLOOKUP(INT($C$5)+1,Tablas!$G$9:$O$1240,9,0)*($C$5-INT($C$5))+VLOOKUP(INT($C$5),Tablas!$G$9:$O$124,9,0)*(INT($C$5)+1-$C$5)))</f>
      </c>
      <c r="G667" s="791">
        <f>IF($C$4="Hombre",(+VLOOKUP(INT(D667)+1,Tablas!$G$9:$K$1240,5,0)*(D667-INT(D667))+VLOOKUP(INT(D667),Tablas!$G$9:$K$1240,5,0)*(INT(D667)+1-D667)),+VLOOKUP(INT(D667)+1,Tablas!$G$9:$O$1240,9,0)*(D667-INT(D667))+VLOOKUP(INT(D667),Tablas!$G$9:$O$1240,9,0)*(INT(D667)+1-D667))</f>
      </c>
      <c r="H667" s="801">
        <f>+IF(MONTH(B667)=1,H666*(1+$C$9),H666)</f>
      </c>
      <c r="I667" s="689">
        <f>IF(B667&lt;$C$10,0,IF(B667&lt;$C$11,$C$8/12*E667*F667*H667,0))</f>
      </c>
      <c r="J667" s="689">
        <f>I667*12/14+IF(OR(MONTH(C667)=6,MONTH(C667)=12),I667*12/14,0)</f>
      </c>
      <c r="K667" s="801">
        <f>G667/$G$15</f>
      </c>
      <c r="L667" s="760"/>
      <c r="M667" s="767"/>
      <c r="N667" s="168"/>
      <c r="O667" s="768"/>
      <c r="P667" s="170"/>
      <c r="Q667" s="7"/>
      <c r="R667" s="766"/>
      <c r="S667" s="170"/>
      <c r="T667" s="168"/>
      <c r="U667" s="170"/>
    </row>
    <row x14ac:dyDescent="0.25" r="668" customHeight="1" ht="18.75">
      <c r="A668" s="1"/>
      <c r="B668" s="799">
        <f>+DATE(YEAR(B667),MONTH(B667)+1,DAY(B667))</f>
        <v>25569.041666666668</v>
      </c>
      <c r="C668" s="799">
        <f>+B669-1</f>
        <v>25569.041666666668</v>
      </c>
      <c r="D668" s="791">
        <f>-_xlfn.DAYS($C$3,C668)/365.25</f>
      </c>
      <c r="E668" s="800">
        <f>IF($D$17+40&lt;=D668,(1+$D$7)^-(D668-$C$5),(1+$C$7)^-(D668-$C$5))</f>
      </c>
      <c r="F668" s="801">
        <f>IF($C$4="Hombre",(+VLOOKUP(INT(D668)+1,Tablas!$G$9:$K$1240,5,0)*(D668-INT(D668))+VLOOKUP(INT(D668),Tablas!$G$9:$K$1240,5,0)*(INT(D668)+1-D668))/(VLOOKUP(INT($C$5)+1,Tablas!$G$9:$K$1240,5,0)*($C$5-INT($C$5))+VLOOKUP(INT($C$5),Tablas!$G$9:$K$124,5,0)*(INT($C$5)+1-$C$5)),(+VLOOKUP(INT(D668)+1,Tablas!$G$9:$O$1240,9,0)*(D668-INT(D668))+VLOOKUP(INT(D668),Tablas!$G$9:$O$1240,9,0)*(INT(D668)+1-D668))/(VLOOKUP(INT($C$5)+1,Tablas!$G$9:$O$1240,9,0)*($C$5-INT($C$5))+VLOOKUP(INT($C$5),Tablas!$G$9:$O$124,9,0)*(INT($C$5)+1-$C$5)))</f>
      </c>
      <c r="G668" s="791">
        <f>IF($C$4="Hombre",(+VLOOKUP(INT(D668)+1,Tablas!$G$9:$K$1240,5,0)*(D668-INT(D668))+VLOOKUP(INT(D668),Tablas!$G$9:$K$1240,5,0)*(INT(D668)+1-D668)),+VLOOKUP(INT(D668)+1,Tablas!$G$9:$O$1240,9,0)*(D668-INT(D668))+VLOOKUP(INT(D668),Tablas!$G$9:$O$1240,9,0)*(INT(D668)+1-D668))</f>
      </c>
      <c r="H668" s="801">
        <f>+IF(MONTH(B668)=1,H667*(1+$C$9),H667)</f>
      </c>
      <c r="I668" s="689">
        <f>IF(B668&lt;$C$10,0,IF(B668&lt;$C$11,$C$8/12*E668*F668*H668,0))</f>
      </c>
      <c r="J668" s="689">
        <f>I668*12/14+IF(OR(MONTH(C668)=6,MONTH(C668)=12),I668*12/14,0)</f>
      </c>
      <c r="K668" s="801">
        <f>G668/$G$15</f>
      </c>
      <c r="L668" s="760"/>
      <c r="M668" s="767"/>
      <c r="N668" s="168"/>
      <c r="O668" s="768"/>
      <c r="P668" s="170"/>
      <c r="Q668" s="7"/>
      <c r="R668" s="766"/>
      <c r="S668" s="170"/>
      <c r="T668" s="168"/>
      <c r="U668" s="170"/>
    </row>
    <row x14ac:dyDescent="0.25" r="669" customHeight="1" ht="18.75">
      <c r="A669" s="1"/>
      <c r="B669" s="799">
        <f>+DATE(YEAR(B668),MONTH(B668)+1,DAY(B668))</f>
        <v>25569.041666666668</v>
      </c>
      <c r="C669" s="799">
        <f>+B670-1</f>
        <v>25569.041666666668</v>
      </c>
      <c r="D669" s="791">
        <f>-_xlfn.DAYS($C$3,C669)/365.25</f>
      </c>
      <c r="E669" s="800">
        <f>IF($D$17+40&lt;=D669,(1+$D$7)^-(D669-$C$5),(1+$C$7)^-(D669-$C$5))</f>
      </c>
      <c r="F669" s="801">
        <f>IF($C$4="Hombre",(+VLOOKUP(INT(D669)+1,Tablas!$G$9:$K$1240,5,0)*(D669-INT(D669))+VLOOKUP(INT(D669),Tablas!$G$9:$K$1240,5,0)*(INT(D669)+1-D669))/(VLOOKUP(INT($C$5)+1,Tablas!$G$9:$K$1240,5,0)*($C$5-INT($C$5))+VLOOKUP(INT($C$5),Tablas!$G$9:$K$124,5,0)*(INT($C$5)+1-$C$5)),(+VLOOKUP(INT(D669)+1,Tablas!$G$9:$O$1240,9,0)*(D669-INT(D669))+VLOOKUP(INT(D669),Tablas!$G$9:$O$1240,9,0)*(INT(D669)+1-D669))/(VLOOKUP(INT($C$5)+1,Tablas!$G$9:$O$1240,9,0)*($C$5-INT($C$5))+VLOOKUP(INT($C$5),Tablas!$G$9:$O$124,9,0)*(INT($C$5)+1-$C$5)))</f>
      </c>
      <c r="G669" s="791">
        <f>IF($C$4="Hombre",(+VLOOKUP(INT(D669)+1,Tablas!$G$9:$K$1240,5,0)*(D669-INT(D669))+VLOOKUP(INT(D669),Tablas!$G$9:$K$1240,5,0)*(INT(D669)+1-D669)),+VLOOKUP(INT(D669)+1,Tablas!$G$9:$O$1240,9,0)*(D669-INT(D669))+VLOOKUP(INT(D669),Tablas!$G$9:$O$1240,9,0)*(INT(D669)+1-D669))</f>
      </c>
      <c r="H669" s="801">
        <f>+IF(MONTH(B669)=1,H668*(1+$C$9),H668)</f>
      </c>
      <c r="I669" s="689">
        <f>IF(B669&lt;$C$10,0,IF(B669&lt;$C$11,$C$8/12*E669*F669*H669,0))</f>
      </c>
      <c r="J669" s="689">
        <f>I669*12/14+IF(OR(MONTH(C669)=6,MONTH(C669)=12),I669*12/14,0)</f>
      </c>
      <c r="K669" s="801">
        <f>G669/$G$15</f>
      </c>
      <c r="L669" s="760"/>
      <c r="M669" s="767"/>
      <c r="N669" s="168"/>
      <c r="O669" s="768"/>
      <c r="P669" s="170"/>
      <c r="Q669" s="7"/>
      <c r="R669" s="766"/>
      <c r="S669" s="170"/>
      <c r="T669" s="168"/>
      <c r="U669" s="170"/>
    </row>
    <row x14ac:dyDescent="0.25" r="670" customHeight="1" ht="18.75">
      <c r="A670" s="1"/>
      <c r="B670" s="799">
        <f>+DATE(YEAR(B669),MONTH(B669)+1,DAY(B669))</f>
        <v>25569.041666666668</v>
      </c>
      <c r="C670" s="799">
        <f>+B671-1</f>
        <v>25569.041666666668</v>
      </c>
      <c r="D670" s="791">
        <f>-_xlfn.DAYS($C$3,C670)/365.25</f>
      </c>
      <c r="E670" s="800">
        <f>IF($D$17+40&lt;=D670,(1+$D$7)^-(D670-$C$5),(1+$C$7)^-(D670-$C$5))</f>
      </c>
      <c r="F670" s="801">
        <f>IF($C$4="Hombre",(+VLOOKUP(INT(D670)+1,Tablas!$G$9:$K$1240,5,0)*(D670-INT(D670))+VLOOKUP(INT(D670),Tablas!$G$9:$K$1240,5,0)*(INT(D670)+1-D670))/(VLOOKUP(INT($C$5)+1,Tablas!$G$9:$K$1240,5,0)*($C$5-INT($C$5))+VLOOKUP(INT($C$5),Tablas!$G$9:$K$124,5,0)*(INT($C$5)+1-$C$5)),(+VLOOKUP(INT(D670)+1,Tablas!$G$9:$O$1240,9,0)*(D670-INT(D670))+VLOOKUP(INT(D670),Tablas!$G$9:$O$1240,9,0)*(INT(D670)+1-D670))/(VLOOKUP(INT($C$5)+1,Tablas!$G$9:$O$1240,9,0)*($C$5-INT($C$5))+VLOOKUP(INT($C$5),Tablas!$G$9:$O$124,9,0)*(INT($C$5)+1-$C$5)))</f>
      </c>
      <c r="G670" s="791">
        <f>IF($C$4="Hombre",(+VLOOKUP(INT(D670)+1,Tablas!$G$9:$K$1240,5,0)*(D670-INT(D670))+VLOOKUP(INT(D670),Tablas!$G$9:$K$1240,5,0)*(INT(D670)+1-D670)),+VLOOKUP(INT(D670)+1,Tablas!$G$9:$O$1240,9,0)*(D670-INT(D670))+VLOOKUP(INT(D670),Tablas!$G$9:$O$1240,9,0)*(INT(D670)+1-D670))</f>
      </c>
      <c r="H670" s="801">
        <f>+IF(MONTH(B670)=1,H669*(1+$C$9),H669)</f>
      </c>
      <c r="I670" s="689">
        <f>IF(B670&lt;$C$10,0,IF(B670&lt;$C$11,$C$8/12*E670*F670*H670,0))</f>
      </c>
      <c r="J670" s="689">
        <f>I670*12/14+IF(OR(MONTH(C670)=6,MONTH(C670)=12),I670*12/14,0)</f>
      </c>
      <c r="K670" s="801">
        <f>G670/$G$15</f>
      </c>
      <c r="L670" s="760"/>
      <c r="M670" s="767"/>
      <c r="N670" s="168"/>
      <c r="O670" s="768"/>
      <c r="P670" s="170"/>
      <c r="Q670" s="7"/>
      <c r="R670" s="766"/>
      <c r="S670" s="170"/>
      <c r="T670" s="168"/>
      <c r="U670" s="170"/>
    </row>
    <row x14ac:dyDescent="0.25" r="671" customHeight="1" ht="18.75">
      <c r="A671" s="1"/>
      <c r="B671" s="799">
        <f>+DATE(YEAR(B670),MONTH(B670)+1,DAY(B670))</f>
        <v>25569.041666666668</v>
      </c>
      <c r="C671" s="799">
        <f>+B672-1</f>
        <v>25569.041666666668</v>
      </c>
      <c r="D671" s="791">
        <f>-_xlfn.DAYS($C$3,C671)/365.25</f>
      </c>
      <c r="E671" s="800">
        <f>IF($D$17+40&lt;=D671,(1+$D$7)^-(D671-$C$5),(1+$C$7)^-(D671-$C$5))</f>
      </c>
      <c r="F671" s="801">
        <f>IF($C$4="Hombre",(+VLOOKUP(INT(D671)+1,Tablas!$G$9:$K$1240,5,0)*(D671-INT(D671))+VLOOKUP(INT(D671),Tablas!$G$9:$K$1240,5,0)*(INT(D671)+1-D671))/(VLOOKUP(INT($C$5)+1,Tablas!$G$9:$K$1240,5,0)*($C$5-INT($C$5))+VLOOKUP(INT($C$5),Tablas!$G$9:$K$124,5,0)*(INT($C$5)+1-$C$5)),(+VLOOKUP(INT(D671)+1,Tablas!$G$9:$O$1240,9,0)*(D671-INT(D671))+VLOOKUP(INT(D671),Tablas!$G$9:$O$1240,9,0)*(INT(D671)+1-D671))/(VLOOKUP(INT($C$5)+1,Tablas!$G$9:$O$1240,9,0)*($C$5-INT($C$5))+VLOOKUP(INT($C$5),Tablas!$G$9:$O$124,9,0)*(INT($C$5)+1-$C$5)))</f>
      </c>
      <c r="G671" s="791">
        <f>IF($C$4="Hombre",(+VLOOKUP(INT(D671)+1,Tablas!$G$9:$K$1240,5,0)*(D671-INT(D671))+VLOOKUP(INT(D671),Tablas!$G$9:$K$1240,5,0)*(INT(D671)+1-D671)),+VLOOKUP(INT(D671)+1,Tablas!$G$9:$O$1240,9,0)*(D671-INT(D671))+VLOOKUP(INT(D671),Tablas!$G$9:$O$1240,9,0)*(INT(D671)+1-D671))</f>
      </c>
      <c r="H671" s="801">
        <f>+IF(MONTH(B671)=1,H670*(1+$C$9),H670)</f>
      </c>
      <c r="I671" s="689">
        <f>IF(B671&lt;$C$10,0,IF(B671&lt;$C$11,$C$8/12*E671*F671*H671,0))</f>
      </c>
      <c r="J671" s="689">
        <f>I671*12/14+IF(OR(MONTH(C671)=6,MONTH(C671)=12),I671*12/14,0)</f>
      </c>
      <c r="K671" s="801">
        <f>G671/$G$15</f>
      </c>
      <c r="L671" s="760"/>
      <c r="M671" s="767"/>
      <c r="N671" s="168"/>
      <c r="O671" s="768"/>
      <c r="P671" s="170"/>
      <c r="Q671" s="7"/>
      <c r="R671" s="766"/>
      <c r="S671" s="170"/>
      <c r="T671" s="168"/>
      <c r="U671" s="170"/>
    </row>
    <row x14ac:dyDescent="0.25" r="672" customHeight="1" ht="18.75">
      <c r="A672" s="1"/>
      <c r="B672" s="799">
        <f>+DATE(YEAR(B671),MONTH(B671)+1,DAY(B671))</f>
        <v>25569.041666666668</v>
      </c>
      <c r="C672" s="799">
        <f>+B673-1</f>
        <v>25569.041666666668</v>
      </c>
      <c r="D672" s="791">
        <f>-_xlfn.DAYS($C$3,C672)/365.25</f>
      </c>
      <c r="E672" s="800">
        <f>IF($D$17+40&lt;=D672,(1+$D$7)^-(D672-$C$5),(1+$C$7)^-(D672-$C$5))</f>
      </c>
      <c r="F672" s="801">
        <f>IF($C$4="Hombre",(+VLOOKUP(INT(D672)+1,Tablas!$G$9:$K$1240,5,0)*(D672-INT(D672))+VLOOKUP(INT(D672),Tablas!$G$9:$K$1240,5,0)*(INT(D672)+1-D672))/(VLOOKUP(INT($C$5)+1,Tablas!$G$9:$K$1240,5,0)*($C$5-INT($C$5))+VLOOKUP(INT($C$5),Tablas!$G$9:$K$124,5,0)*(INT($C$5)+1-$C$5)),(+VLOOKUP(INT(D672)+1,Tablas!$G$9:$O$1240,9,0)*(D672-INT(D672))+VLOOKUP(INT(D672),Tablas!$G$9:$O$1240,9,0)*(INT(D672)+1-D672))/(VLOOKUP(INT($C$5)+1,Tablas!$G$9:$O$1240,9,0)*($C$5-INT($C$5))+VLOOKUP(INT($C$5),Tablas!$G$9:$O$124,9,0)*(INT($C$5)+1-$C$5)))</f>
      </c>
      <c r="G672" s="791">
        <f>IF($C$4="Hombre",(+VLOOKUP(INT(D672)+1,Tablas!$G$9:$K$1240,5,0)*(D672-INT(D672))+VLOOKUP(INT(D672),Tablas!$G$9:$K$1240,5,0)*(INT(D672)+1-D672)),+VLOOKUP(INT(D672)+1,Tablas!$G$9:$O$1240,9,0)*(D672-INT(D672))+VLOOKUP(INT(D672),Tablas!$G$9:$O$1240,9,0)*(INT(D672)+1-D672))</f>
      </c>
      <c r="H672" s="801">
        <f>+IF(MONTH(B672)=1,H671*(1+$C$9),H671)</f>
      </c>
      <c r="I672" s="689">
        <f>IF(B672&lt;$C$10,0,IF(B672&lt;$C$11,$C$8/12*E672*F672*H672,0))</f>
      </c>
      <c r="J672" s="689">
        <f>I672*12/14+IF(OR(MONTH(C672)=6,MONTH(C672)=12),I672*12/14,0)</f>
      </c>
      <c r="K672" s="801">
        <f>G672/$G$15</f>
      </c>
      <c r="L672" s="760"/>
      <c r="M672" s="767"/>
      <c r="N672" s="168"/>
      <c r="O672" s="768"/>
      <c r="P672" s="170"/>
      <c r="Q672" s="7"/>
      <c r="R672" s="766"/>
      <c r="S672" s="170"/>
      <c r="T672" s="168"/>
      <c r="U672" s="170"/>
    </row>
    <row x14ac:dyDescent="0.25" r="673" customHeight="1" ht="18.75">
      <c r="A673" s="1"/>
      <c r="B673" s="799">
        <f>+DATE(YEAR(B672),MONTH(B672)+1,DAY(B672))</f>
        <v>25569.041666666668</v>
      </c>
      <c r="C673" s="799">
        <f>+B674-1</f>
        <v>25569.041666666668</v>
      </c>
      <c r="D673" s="791">
        <f>-_xlfn.DAYS($C$3,C673)/365.25</f>
      </c>
      <c r="E673" s="800">
        <f>IF($D$17+40&lt;=D673,(1+$D$7)^-(D673-$C$5),(1+$C$7)^-(D673-$C$5))</f>
      </c>
      <c r="F673" s="801">
        <f>IF($C$4="Hombre",(+VLOOKUP(INT(D673)+1,Tablas!$G$9:$K$1240,5,0)*(D673-INT(D673))+VLOOKUP(INT(D673),Tablas!$G$9:$K$1240,5,0)*(INT(D673)+1-D673))/(VLOOKUP(INT($C$5)+1,Tablas!$G$9:$K$1240,5,0)*($C$5-INT($C$5))+VLOOKUP(INT($C$5),Tablas!$G$9:$K$124,5,0)*(INT($C$5)+1-$C$5)),(+VLOOKUP(INT(D673)+1,Tablas!$G$9:$O$1240,9,0)*(D673-INT(D673))+VLOOKUP(INT(D673),Tablas!$G$9:$O$1240,9,0)*(INT(D673)+1-D673))/(VLOOKUP(INT($C$5)+1,Tablas!$G$9:$O$1240,9,0)*($C$5-INT($C$5))+VLOOKUP(INT($C$5),Tablas!$G$9:$O$124,9,0)*(INT($C$5)+1-$C$5)))</f>
      </c>
      <c r="G673" s="791">
        <f>IF($C$4="Hombre",(+VLOOKUP(INT(D673)+1,Tablas!$G$9:$K$1240,5,0)*(D673-INT(D673))+VLOOKUP(INT(D673),Tablas!$G$9:$K$1240,5,0)*(INT(D673)+1-D673)),+VLOOKUP(INT(D673)+1,Tablas!$G$9:$O$1240,9,0)*(D673-INT(D673))+VLOOKUP(INT(D673),Tablas!$G$9:$O$1240,9,0)*(INT(D673)+1-D673))</f>
      </c>
      <c r="H673" s="801">
        <f>+IF(MONTH(B673)=1,H672*(1+$C$9),H672)</f>
      </c>
      <c r="I673" s="689">
        <f>IF(B673&lt;$C$10,0,IF(B673&lt;$C$11,$C$8/12*E673*F673*H673,0))</f>
      </c>
      <c r="J673" s="689">
        <f>I673*12/14+IF(OR(MONTH(C673)=6,MONTH(C673)=12),I673*12/14,0)</f>
      </c>
      <c r="K673" s="801">
        <f>G673/$G$15</f>
      </c>
      <c r="L673" s="760"/>
      <c r="M673" s="767"/>
      <c r="N673" s="168"/>
      <c r="O673" s="768"/>
      <c r="P673" s="170"/>
      <c r="Q673" s="7"/>
      <c r="R673" s="766"/>
      <c r="S673" s="170"/>
      <c r="T673" s="168"/>
      <c r="U673" s="170"/>
    </row>
    <row x14ac:dyDescent="0.25" r="674" customHeight="1" ht="18.75">
      <c r="A674" s="1"/>
      <c r="B674" s="799">
        <f>+DATE(YEAR(B673),MONTH(B673)+1,DAY(B673))</f>
        <v>25569.041666666668</v>
      </c>
      <c r="C674" s="799">
        <f>+B675-1</f>
        <v>25569.041666666668</v>
      </c>
      <c r="D674" s="791">
        <f>-_xlfn.DAYS($C$3,C674)/365.25</f>
      </c>
      <c r="E674" s="800">
        <f>IF($D$17+40&lt;=D674,(1+$D$7)^-(D674-$C$5),(1+$C$7)^-(D674-$C$5))</f>
      </c>
      <c r="F674" s="801">
        <f>IF($C$4="Hombre",(+VLOOKUP(INT(D674)+1,Tablas!$G$9:$K$1240,5,0)*(D674-INT(D674))+VLOOKUP(INT(D674),Tablas!$G$9:$K$1240,5,0)*(INT(D674)+1-D674))/(VLOOKUP(INT($C$5)+1,Tablas!$G$9:$K$1240,5,0)*($C$5-INT($C$5))+VLOOKUP(INT($C$5),Tablas!$G$9:$K$124,5,0)*(INT($C$5)+1-$C$5)),(+VLOOKUP(INT(D674)+1,Tablas!$G$9:$O$1240,9,0)*(D674-INT(D674))+VLOOKUP(INT(D674),Tablas!$G$9:$O$1240,9,0)*(INT(D674)+1-D674))/(VLOOKUP(INT($C$5)+1,Tablas!$G$9:$O$1240,9,0)*($C$5-INT($C$5))+VLOOKUP(INT($C$5),Tablas!$G$9:$O$124,9,0)*(INT($C$5)+1-$C$5)))</f>
      </c>
      <c r="G674" s="791">
        <f>IF($C$4="Hombre",(+VLOOKUP(INT(D674)+1,Tablas!$G$9:$K$1240,5,0)*(D674-INT(D674))+VLOOKUP(INT(D674),Tablas!$G$9:$K$1240,5,0)*(INT(D674)+1-D674)),+VLOOKUP(INT(D674)+1,Tablas!$G$9:$O$1240,9,0)*(D674-INT(D674))+VLOOKUP(INT(D674),Tablas!$G$9:$O$1240,9,0)*(INT(D674)+1-D674))</f>
      </c>
      <c r="H674" s="801">
        <f>+IF(MONTH(B674)=1,H673*(1+$C$9),H673)</f>
      </c>
      <c r="I674" s="689">
        <f>IF(B674&lt;$C$10,0,IF(B674&lt;$C$11,$C$8/12*E674*F674*H674,0))</f>
      </c>
      <c r="J674" s="689">
        <f>I674*12/14+IF(OR(MONTH(C674)=6,MONTH(C674)=12),I674*12/14,0)</f>
      </c>
      <c r="K674" s="801">
        <f>G674/$G$15</f>
      </c>
      <c r="L674" s="760"/>
      <c r="M674" s="767"/>
      <c r="N674" s="168"/>
      <c r="O674" s="768"/>
      <c r="P674" s="170"/>
      <c r="Q674" s="7"/>
      <c r="R674" s="766"/>
      <c r="S674" s="170"/>
      <c r="T674" s="168"/>
      <c r="U674" s="170"/>
    </row>
    <row x14ac:dyDescent="0.25" r="675" customHeight="1" ht="18.75">
      <c r="A675" s="1"/>
      <c r="B675" s="799">
        <f>+DATE(YEAR(B674),MONTH(B674)+1,DAY(B674))</f>
        <v>25569.041666666668</v>
      </c>
      <c r="C675" s="799">
        <f>+B676-1</f>
        <v>25569.041666666668</v>
      </c>
      <c r="D675" s="791">
        <f>-_xlfn.DAYS($C$3,C675)/365.25</f>
      </c>
      <c r="E675" s="800">
        <f>IF($D$17+40&lt;=D675,(1+$D$7)^-(D675-$C$5),(1+$C$7)^-(D675-$C$5))</f>
      </c>
      <c r="F675" s="801">
        <f>IF($C$4="Hombre",(+VLOOKUP(INT(D675)+1,Tablas!$G$9:$K$1240,5,0)*(D675-INT(D675))+VLOOKUP(INT(D675),Tablas!$G$9:$K$1240,5,0)*(INT(D675)+1-D675))/(VLOOKUP(INT($C$5)+1,Tablas!$G$9:$K$1240,5,0)*($C$5-INT($C$5))+VLOOKUP(INT($C$5),Tablas!$G$9:$K$124,5,0)*(INT($C$5)+1-$C$5)),(+VLOOKUP(INT(D675)+1,Tablas!$G$9:$O$1240,9,0)*(D675-INT(D675))+VLOOKUP(INT(D675),Tablas!$G$9:$O$1240,9,0)*(INT(D675)+1-D675))/(VLOOKUP(INT($C$5)+1,Tablas!$G$9:$O$1240,9,0)*($C$5-INT($C$5))+VLOOKUP(INT($C$5),Tablas!$G$9:$O$124,9,0)*(INT($C$5)+1-$C$5)))</f>
      </c>
      <c r="G675" s="791">
        <f>IF($C$4="Hombre",(+VLOOKUP(INT(D675)+1,Tablas!$G$9:$K$1240,5,0)*(D675-INT(D675))+VLOOKUP(INT(D675),Tablas!$G$9:$K$1240,5,0)*(INT(D675)+1-D675)),+VLOOKUP(INT(D675)+1,Tablas!$G$9:$O$1240,9,0)*(D675-INT(D675))+VLOOKUP(INT(D675),Tablas!$G$9:$O$1240,9,0)*(INT(D675)+1-D675))</f>
      </c>
      <c r="H675" s="801">
        <f>+IF(MONTH(B675)=1,H674*(1+$C$9),H674)</f>
      </c>
      <c r="I675" s="689">
        <f>IF(B675&lt;$C$10,0,IF(B675&lt;$C$11,$C$8/12*E675*F675*H675,0))</f>
      </c>
      <c r="J675" s="689">
        <f>I675*12/14+IF(OR(MONTH(C675)=6,MONTH(C675)=12),I675*12/14,0)</f>
      </c>
      <c r="K675" s="801">
        <f>G675/$G$15</f>
      </c>
      <c r="L675" s="760"/>
      <c r="M675" s="767"/>
      <c r="N675" s="168"/>
      <c r="O675" s="768"/>
      <c r="P675" s="170"/>
      <c r="Q675" s="7"/>
      <c r="R675" s="766"/>
      <c r="S675" s="170"/>
      <c r="T675" s="168"/>
      <c r="U675" s="170"/>
    </row>
    <row x14ac:dyDescent="0.25" r="676" customHeight="1" ht="18.75">
      <c r="A676" s="1"/>
      <c r="B676" s="799">
        <f>+DATE(YEAR(B675),MONTH(B675)+1,DAY(B675))</f>
        <v>25569.041666666668</v>
      </c>
      <c r="C676" s="799">
        <f>+B677-1</f>
        <v>25569.041666666668</v>
      </c>
      <c r="D676" s="791">
        <f>-_xlfn.DAYS($C$3,C676)/365.25</f>
      </c>
      <c r="E676" s="800">
        <f>IF($D$17+40&lt;=D676,(1+$D$7)^-(D676-$C$5),(1+$C$7)^-(D676-$C$5))</f>
      </c>
      <c r="F676" s="801">
        <f>IF($C$4="Hombre",(+VLOOKUP(INT(D676)+1,Tablas!$G$9:$K$1240,5,0)*(D676-INT(D676))+VLOOKUP(INT(D676),Tablas!$G$9:$K$1240,5,0)*(INT(D676)+1-D676))/(VLOOKUP(INT($C$5)+1,Tablas!$G$9:$K$1240,5,0)*($C$5-INT($C$5))+VLOOKUP(INT($C$5),Tablas!$G$9:$K$124,5,0)*(INT($C$5)+1-$C$5)),(+VLOOKUP(INT(D676)+1,Tablas!$G$9:$O$1240,9,0)*(D676-INT(D676))+VLOOKUP(INT(D676),Tablas!$G$9:$O$1240,9,0)*(INT(D676)+1-D676))/(VLOOKUP(INT($C$5)+1,Tablas!$G$9:$O$1240,9,0)*($C$5-INT($C$5))+VLOOKUP(INT($C$5),Tablas!$G$9:$O$124,9,0)*(INT($C$5)+1-$C$5)))</f>
      </c>
      <c r="G676" s="791">
        <f>IF($C$4="Hombre",(+VLOOKUP(INT(D676)+1,Tablas!$G$9:$K$1240,5,0)*(D676-INT(D676))+VLOOKUP(INT(D676),Tablas!$G$9:$K$1240,5,0)*(INT(D676)+1-D676)),+VLOOKUP(INT(D676)+1,Tablas!$G$9:$O$1240,9,0)*(D676-INT(D676))+VLOOKUP(INT(D676),Tablas!$G$9:$O$1240,9,0)*(INT(D676)+1-D676))</f>
      </c>
      <c r="H676" s="801">
        <f>+IF(MONTH(B676)=1,H675*(1+$C$9),H675)</f>
      </c>
      <c r="I676" s="689">
        <f>IF(B676&lt;$C$10,0,IF(B676&lt;$C$11,$C$8/12*E676*F676*H676,0))</f>
      </c>
      <c r="J676" s="689">
        <f>I676*12/14+IF(OR(MONTH(C676)=6,MONTH(C676)=12),I676*12/14,0)</f>
      </c>
      <c r="K676" s="801">
        <f>G676/$G$15</f>
      </c>
      <c r="L676" s="760"/>
      <c r="M676" s="767"/>
      <c r="N676" s="168"/>
      <c r="O676" s="768"/>
      <c r="P676" s="170"/>
      <c r="Q676" s="7"/>
      <c r="R676" s="766"/>
      <c r="S676" s="170"/>
      <c r="T676" s="168"/>
      <c r="U676" s="170"/>
    </row>
    <row x14ac:dyDescent="0.25" r="677" customHeight="1" ht="18.75">
      <c r="A677" s="1"/>
      <c r="B677" s="799">
        <f>+DATE(YEAR(B676),MONTH(B676)+1,DAY(B676))</f>
        <v>25569.041666666668</v>
      </c>
      <c r="C677" s="799">
        <f>+B678-1</f>
        <v>25569.041666666668</v>
      </c>
      <c r="D677" s="791">
        <f>-_xlfn.DAYS($C$3,C677)/365.25</f>
      </c>
      <c r="E677" s="800">
        <f>IF($D$17+40&lt;=D677,(1+$D$7)^-(D677-$C$5),(1+$C$7)^-(D677-$C$5))</f>
      </c>
      <c r="F677" s="801">
        <f>IF($C$4="Hombre",(+VLOOKUP(INT(D677)+1,Tablas!$G$9:$K$1240,5,0)*(D677-INT(D677))+VLOOKUP(INT(D677),Tablas!$G$9:$K$1240,5,0)*(INT(D677)+1-D677))/(VLOOKUP(INT($C$5)+1,Tablas!$G$9:$K$1240,5,0)*($C$5-INT($C$5))+VLOOKUP(INT($C$5),Tablas!$G$9:$K$124,5,0)*(INT($C$5)+1-$C$5)),(+VLOOKUP(INT(D677)+1,Tablas!$G$9:$O$1240,9,0)*(D677-INT(D677))+VLOOKUP(INT(D677),Tablas!$G$9:$O$1240,9,0)*(INT(D677)+1-D677))/(VLOOKUP(INT($C$5)+1,Tablas!$G$9:$O$1240,9,0)*($C$5-INT($C$5))+VLOOKUP(INT($C$5),Tablas!$G$9:$O$124,9,0)*(INT($C$5)+1-$C$5)))</f>
      </c>
      <c r="G677" s="791">
        <f>IF($C$4="Hombre",(+VLOOKUP(INT(D677)+1,Tablas!$G$9:$K$1240,5,0)*(D677-INT(D677))+VLOOKUP(INT(D677),Tablas!$G$9:$K$1240,5,0)*(INT(D677)+1-D677)),+VLOOKUP(INT(D677)+1,Tablas!$G$9:$O$1240,9,0)*(D677-INT(D677))+VLOOKUP(INT(D677),Tablas!$G$9:$O$1240,9,0)*(INT(D677)+1-D677))</f>
      </c>
      <c r="H677" s="801">
        <f>+IF(MONTH(B677)=1,H676*(1+$C$9),H676)</f>
      </c>
      <c r="I677" s="689">
        <f>IF(B677&lt;$C$10,0,IF(B677&lt;$C$11,$C$8/12*E677*F677*H677,0))</f>
      </c>
      <c r="J677" s="689">
        <f>I677*12/14+IF(OR(MONTH(C677)=6,MONTH(C677)=12),I677*12/14,0)</f>
      </c>
      <c r="K677" s="801">
        <f>G677/$G$15</f>
      </c>
      <c r="L677" s="760"/>
      <c r="M677" s="767"/>
      <c r="N677" s="168"/>
      <c r="O677" s="768"/>
      <c r="P677" s="170"/>
      <c r="Q677" s="7"/>
      <c r="R677" s="766"/>
      <c r="S677" s="170"/>
      <c r="T677" s="168"/>
      <c r="U677" s="170"/>
    </row>
    <row x14ac:dyDescent="0.25" r="678" customHeight="1" ht="18.75">
      <c r="A678" s="1"/>
      <c r="B678" s="799">
        <f>+DATE(YEAR(B677),MONTH(B677)+1,DAY(B677))</f>
        <v>25569.041666666668</v>
      </c>
      <c r="C678" s="799">
        <f>+B679-1</f>
        <v>25569.041666666668</v>
      </c>
      <c r="D678" s="791">
        <f>-_xlfn.DAYS($C$3,C678)/365.25</f>
      </c>
      <c r="E678" s="800">
        <f>IF($D$17+40&lt;=D678,(1+$D$7)^-(D678-$C$5),(1+$C$7)^-(D678-$C$5))</f>
      </c>
      <c r="F678" s="801">
        <f>IF($C$4="Hombre",(+VLOOKUP(INT(D678)+1,Tablas!$G$9:$K$1240,5,0)*(D678-INT(D678))+VLOOKUP(INT(D678),Tablas!$G$9:$K$1240,5,0)*(INT(D678)+1-D678))/(VLOOKUP(INT($C$5)+1,Tablas!$G$9:$K$1240,5,0)*($C$5-INT($C$5))+VLOOKUP(INT($C$5),Tablas!$G$9:$K$124,5,0)*(INT($C$5)+1-$C$5)),(+VLOOKUP(INT(D678)+1,Tablas!$G$9:$O$1240,9,0)*(D678-INT(D678))+VLOOKUP(INT(D678),Tablas!$G$9:$O$1240,9,0)*(INT(D678)+1-D678))/(VLOOKUP(INT($C$5)+1,Tablas!$G$9:$O$1240,9,0)*($C$5-INT($C$5))+VLOOKUP(INT($C$5),Tablas!$G$9:$O$124,9,0)*(INT($C$5)+1-$C$5)))</f>
      </c>
      <c r="G678" s="791">
        <f>IF($C$4="Hombre",(+VLOOKUP(INT(D678)+1,Tablas!$G$9:$K$1240,5,0)*(D678-INT(D678))+VLOOKUP(INT(D678),Tablas!$G$9:$K$1240,5,0)*(INT(D678)+1-D678)),+VLOOKUP(INT(D678)+1,Tablas!$G$9:$O$1240,9,0)*(D678-INT(D678))+VLOOKUP(INT(D678),Tablas!$G$9:$O$1240,9,0)*(INT(D678)+1-D678))</f>
      </c>
      <c r="H678" s="801">
        <f>+IF(MONTH(B678)=1,H677*(1+$C$9),H677)</f>
      </c>
      <c r="I678" s="689">
        <f>IF(B678&lt;$C$10,0,IF(B678&lt;$C$11,$C$8/12*E678*F678*H678,0))</f>
      </c>
      <c r="J678" s="689">
        <f>I678*12/14+IF(OR(MONTH(C678)=6,MONTH(C678)=12),I678*12/14,0)</f>
      </c>
      <c r="K678" s="801">
        <f>G678/$G$15</f>
      </c>
      <c r="L678" s="760"/>
      <c r="M678" s="767"/>
      <c r="N678" s="168"/>
      <c r="O678" s="768"/>
      <c r="P678" s="170"/>
      <c r="Q678" s="7"/>
      <c r="R678" s="766"/>
      <c r="S678" s="170"/>
      <c r="T678" s="168"/>
      <c r="U678" s="170"/>
    </row>
    <row x14ac:dyDescent="0.25" r="679" customHeight="1" ht="18.75">
      <c r="A679" s="1"/>
      <c r="B679" s="799">
        <f>+DATE(YEAR(B678),MONTH(B678)+1,DAY(B678))</f>
        <v>25569.041666666668</v>
      </c>
      <c r="C679" s="799">
        <f>+B680-1</f>
        <v>25569.041666666668</v>
      </c>
      <c r="D679" s="791">
        <f>-_xlfn.DAYS($C$3,C679)/365.25</f>
      </c>
      <c r="E679" s="800">
        <f>IF($D$17+40&lt;=D679,(1+$D$7)^-(D679-$C$5),(1+$C$7)^-(D679-$C$5))</f>
      </c>
      <c r="F679" s="801">
        <f>IF($C$4="Hombre",(+VLOOKUP(INT(D679)+1,Tablas!$G$9:$K$1240,5,0)*(D679-INT(D679))+VLOOKUP(INT(D679),Tablas!$G$9:$K$1240,5,0)*(INT(D679)+1-D679))/(VLOOKUP(INT($C$5)+1,Tablas!$G$9:$K$1240,5,0)*($C$5-INT($C$5))+VLOOKUP(INT($C$5),Tablas!$G$9:$K$124,5,0)*(INT($C$5)+1-$C$5)),(+VLOOKUP(INT(D679)+1,Tablas!$G$9:$O$1240,9,0)*(D679-INT(D679))+VLOOKUP(INT(D679),Tablas!$G$9:$O$1240,9,0)*(INT(D679)+1-D679))/(VLOOKUP(INT($C$5)+1,Tablas!$G$9:$O$1240,9,0)*($C$5-INT($C$5))+VLOOKUP(INT($C$5),Tablas!$G$9:$O$124,9,0)*(INT($C$5)+1-$C$5)))</f>
      </c>
      <c r="G679" s="791">
        <f>IF($C$4="Hombre",(+VLOOKUP(INT(D679)+1,Tablas!$G$9:$K$1240,5,0)*(D679-INT(D679))+VLOOKUP(INT(D679),Tablas!$G$9:$K$1240,5,0)*(INT(D679)+1-D679)),+VLOOKUP(INT(D679)+1,Tablas!$G$9:$O$1240,9,0)*(D679-INT(D679))+VLOOKUP(INT(D679),Tablas!$G$9:$O$1240,9,0)*(INT(D679)+1-D679))</f>
      </c>
      <c r="H679" s="801">
        <f>+IF(MONTH(B679)=1,H678*(1+$C$9),H678)</f>
      </c>
      <c r="I679" s="689">
        <f>IF(B679&lt;$C$10,0,IF(B679&lt;$C$11,$C$8/12*E679*F679*H679,0))</f>
      </c>
      <c r="J679" s="689">
        <f>I679*12/14+IF(OR(MONTH(C679)=6,MONTH(C679)=12),I679*12/14,0)</f>
      </c>
      <c r="K679" s="801">
        <f>G679/$G$15</f>
      </c>
      <c r="L679" s="760"/>
      <c r="M679" s="767"/>
      <c r="N679" s="168"/>
      <c r="O679" s="768"/>
      <c r="P679" s="170"/>
      <c r="Q679" s="7"/>
      <c r="R679" s="766"/>
      <c r="S679" s="170"/>
      <c r="T679" s="168"/>
      <c r="U679" s="170"/>
    </row>
    <row x14ac:dyDescent="0.25" r="680" customHeight="1" ht="18.75">
      <c r="A680" s="1"/>
      <c r="B680" s="799">
        <f>+DATE(YEAR(B679),MONTH(B679)+1,DAY(B679))</f>
        <v>25569.041666666668</v>
      </c>
      <c r="C680" s="799">
        <f>+B681-1</f>
        <v>25569.041666666668</v>
      </c>
      <c r="D680" s="791">
        <f>-_xlfn.DAYS($C$3,C680)/365.25</f>
      </c>
      <c r="E680" s="800">
        <f>IF($D$17+40&lt;=D680,(1+$D$7)^-(D680-$C$5),(1+$C$7)^-(D680-$C$5))</f>
      </c>
      <c r="F680" s="801">
        <f>IF($C$4="Hombre",(+VLOOKUP(INT(D680)+1,Tablas!$G$9:$K$1240,5,0)*(D680-INT(D680))+VLOOKUP(INT(D680),Tablas!$G$9:$K$1240,5,0)*(INT(D680)+1-D680))/(VLOOKUP(INT($C$5)+1,Tablas!$G$9:$K$1240,5,0)*($C$5-INT($C$5))+VLOOKUP(INT($C$5),Tablas!$G$9:$K$124,5,0)*(INT($C$5)+1-$C$5)),(+VLOOKUP(INT(D680)+1,Tablas!$G$9:$O$1240,9,0)*(D680-INT(D680))+VLOOKUP(INT(D680),Tablas!$G$9:$O$1240,9,0)*(INT(D680)+1-D680))/(VLOOKUP(INT($C$5)+1,Tablas!$G$9:$O$1240,9,0)*($C$5-INT($C$5))+VLOOKUP(INT($C$5),Tablas!$G$9:$O$124,9,0)*(INT($C$5)+1-$C$5)))</f>
      </c>
      <c r="G680" s="791">
        <f>IF($C$4="Hombre",(+VLOOKUP(INT(D680)+1,Tablas!$G$9:$K$1240,5,0)*(D680-INT(D680))+VLOOKUP(INT(D680),Tablas!$G$9:$K$1240,5,0)*(INT(D680)+1-D680)),+VLOOKUP(INT(D680)+1,Tablas!$G$9:$O$1240,9,0)*(D680-INT(D680))+VLOOKUP(INT(D680),Tablas!$G$9:$O$1240,9,0)*(INT(D680)+1-D680))</f>
      </c>
      <c r="H680" s="801">
        <f>+IF(MONTH(B680)=1,H679*(1+$C$9),H679)</f>
      </c>
      <c r="I680" s="689">
        <f>IF(B680&lt;$C$10,0,IF(B680&lt;$C$11,$C$8/12*E680*F680*H680,0))</f>
      </c>
      <c r="J680" s="689">
        <f>I680*12/14+IF(OR(MONTH(C680)=6,MONTH(C680)=12),I680*12/14,0)</f>
      </c>
      <c r="K680" s="801">
        <f>G680/$G$15</f>
      </c>
      <c r="L680" s="760"/>
      <c r="M680" s="767"/>
      <c r="N680" s="168"/>
      <c r="O680" s="768"/>
      <c r="P680" s="170"/>
      <c r="Q680" s="7"/>
      <c r="R680" s="766"/>
      <c r="S680" s="170"/>
      <c r="T680" s="168"/>
      <c r="U680" s="170"/>
    </row>
    <row x14ac:dyDescent="0.25" r="681" customHeight="1" ht="18.75">
      <c r="A681" s="1"/>
      <c r="B681" s="799">
        <f>+DATE(YEAR(B680),MONTH(B680)+1,DAY(B680))</f>
        <v>25569.041666666668</v>
      </c>
      <c r="C681" s="799">
        <f>+B682-1</f>
        <v>25569.041666666668</v>
      </c>
      <c r="D681" s="791">
        <f>-_xlfn.DAYS($C$3,C681)/365.25</f>
      </c>
      <c r="E681" s="800">
        <f>IF($D$17+40&lt;=D681,(1+$D$7)^-(D681-$C$5),(1+$C$7)^-(D681-$C$5))</f>
      </c>
      <c r="F681" s="801">
        <f>IF($C$4="Hombre",(+VLOOKUP(INT(D681)+1,Tablas!$G$9:$K$1240,5,0)*(D681-INT(D681))+VLOOKUP(INT(D681),Tablas!$G$9:$K$1240,5,0)*(INT(D681)+1-D681))/(VLOOKUP(INT($C$5)+1,Tablas!$G$9:$K$1240,5,0)*($C$5-INT($C$5))+VLOOKUP(INT($C$5),Tablas!$G$9:$K$124,5,0)*(INT($C$5)+1-$C$5)),(+VLOOKUP(INT(D681)+1,Tablas!$G$9:$O$1240,9,0)*(D681-INT(D681))+VLOOKUP(INT(D681),Tablas!$G$9:$O$1240,9,0)*(INT(D681)+1-D681))/(VLOOKUP(INT($C$5)+1,Tablas!$G$9:$O$1240,9,0)*($C$5-INT($C$5))+VLOOKUP(INT($C$5),Tablas!$G$9:$O$124,9,0)*(INT($C$5)+1-$C$5)))</f>
      </c>
      <c r="G681" s="791">
        <f>IF($C$4="Hombre",(+VLOOKUP(INT(D681)+1,Tablas!$G$9:$K$1240,5,0)*(D681-INT(D681))+VLOOKUP(INT(D681),Tablas!$G$9:$K$1240,5,0)*(INT(D681)+1-D681)),+VLOOKUP(INT(D681)+1,Tablas!$G$9:$O$1240,9,0)*(D681-INT(D681))+VLOOKUP(INT(D681),Tablas!$G$9:$O$1240,9,0)*(INT(D681)+1-D681))</f>
      </c>
      <c r="H681" s="801">
        <f>+IF(MONTH(B681)=1,H680*(1+$C$9),H680)</f>
      </c>
      <c r="I681" s="689">
        <f>IF(B681&lt;$C$10,0,IF(B681&lt;$C$11,$C$8/12*E681*F681*H681,0))</f>
      </c>
      <c r="J681" s="689">
        <f>I681*12/14+IF(OR(MONTH(C681)=6,MONTH(C681)=12),I681*12/14,0)</f>
      </c>
      <c r="K681" s="801">
        <f>G681/$G$15</f>
      </c>
      <c r="L681" s="760"/>
      <c r="M681" s="767"/>
      <c r="N681" s="168"/>
      <c r="O681" s="768"/>
      <c r="P681" s="170"/>
      <c r="Q681" s="7"/>
      <c r="R681" s="766"/>
      <c r="S681" s="170"/>
      <c r="T681" s="168"/>
      <c r="U681" s="170"/>
    </row>
    <row x14ac:dyDescent="0.25" r="682" customHeight="1" ht="18.75">
      <c r="A682" s="1"/>
      <c r="B682" s="799">
        <f>+DATE(YEAR(B681),MONTH(B681)+1,DAY(B681))</f>
        <v>25569.041666666668</v>
      </c>
      <c r="C682" s="799">
        <f>+B683-1</f>
        <v>25569.041666666668</v>
      </c>
      <c r="D682" s="791">
        <f>-_xlfn.DAYS($C$3,C682)/365.25</f>
      </c>
      <c r="E682" s="800">
        <f>IF($D$17+40&lt;=D682,(1+$D$7)^-(D682-$C$5),(1+$C$7)^-(D682-$C$5))</f>
      </c>
      <c r="F682" s="801">
        <f>IF($C$4="Hombre",(+VLOOKUP(INT(D682)+1,Tablas!$G$9:$K$1240,5,0)*(D682-INT(D682))+VLOOKUP(INT(D682),Tablas!$G$9:$K$1240,5,0)*(INT(D682)+1-D682))/(VLOOKUP(INT($C$5)+1,Tablas!$G$9:$K$1240,5,0)*($C$5-INT($C$5))+VLOOKUP(INT($C$5),Tablas!$G$9:$K$124,5,0)*(INT($C$5)+1-$C$5)),(+VLOOKUP(INT(D682)+1,Tablas!$G$9:$O$1240,9,0)*(D682-INT(D682))+VLOOKUP(INT(D682),Tablas!$G$9:$O$1240,9,0)*(INT(D682)+1-D682))/(VLOOKUP(INT($C$5)+1,Tablas!$G$9:$O$1240,9,0)*($C$5-INT($C$5))+VLOOKUP(INT($C$5),Tablas!$G$9:$O$124,9,0)*(INT($C$5)+1-$C$5)))</f>
      </c>
      <c r="G682" s="791">
        <f>IF($C$4="Hombre",(+VLOOKUP(INT(D682)+1,Tablas!$G$9:$K$1240,5,0)*(D682-INT(D682))+VLOOKUP(INT(D682),Tablas!$G$9:$K$1240,5,0)*(INT(D682)+1-D682)),+VLOOKUP(INT(D682)+1,Tablas!$G$9:$O$1240,9,0)*(D682-INT(D682))+VLOOKUP(INT(D682),Tablas!$G$9:$O$1240,9,0)*(INT(D682)+1-D682))</f>
      </c>
      <c r="H682" s="801">
        <f>+IF(MONTH(B682)=1,H681*(1+$C$9),H681)</f>
      </c>
      <c r="I682" s="689">
        <f>IF(B682&lt;$C$10,0,IF(B682&lt;$C$11,$C$8/12*E682*F682*H682,0))</f>
      </c>
      <c r="J682" s="689">
        <f>I682*12/14+IF(OR(MONTH(C682)=6,MONTH(C682)=12),I682*12/14,0)</f>
      </c>
      <c r="K682" s="801">
        <f>G682/$G$15</f>
      </c>
      <c r="L682" s="760"/>
      <c r="M682" s="767"/>
      <c r="N682" s="168"/>
      <c r="O682" s="768"/>
      <c r="P682" s="170"/>
      <c r="Q682" s="7"/>
      <c r="R682" s="766"/>
      <c r="S682" s="170"/>
      <c r="T682" s="168"/>
      <c r="U682" s="170"/>
    </row>
    <row x14ac:dyDescent="0.25" r="683" customHeight="1" ht="18.75">
      <c r="A683" s="1"/>
      <c r="B683" s="799">
        <f>+DATE(YEAR(B682),MONTH(B682)+1,DAY(B682))</f>
        <v>25569.041666666668</v>
      </c>
      <c r="C683" s="799">
        <f>+B684-1</f>
        <v>25569.041666666668</v>
      </c>
      <c r="D683" s="791">
        <f>-_xlfn.DAYS($C$3,C683)/365.25</f>
      </c>
      <c r="E683" s="800">
        <f>IF($D$17+40&lt;=D683,(1+$D$7)^-(D683-$C$5),(1+$C$7)^-(D683-$C$5))</f>
      </c>
      <c r="F683" s="801">
        <f>IF($C$4="Hombre",(+VLOOKUP(INT(D683)+1,Tablas!$G$9:$K$1240,5,0)*(D683-INT(D683))+VLOOKUP(INT(D683),Tablas!$G$9:$K$1240,5,0)*(INT(D683)+1-D683))/(VLOOKUP(INT($C$5)+1,Tablas!$G$9:$K$1240,5,0)*($C$5-INT($C$5))+VLOOKUP(INT($C$5),Tablas!$G$9:$K$124,5,0)*(INT($C$5)+1-$C$5)),(+VLOOKUP(INT(D683)+1,Tablas!$G$9:$O$1240,9,0)*(D683-INT(D683))+VLOOKUP(INT(D683),Tablas!$G$9:$O$1240,9,0)*(INT(D683)+1-D683))/(VLOOKUP(INT($C$5)+1,Tablas!$G$9:$O$1240,9,0)*($C$5-INT($C$5))+VLOOKUP(INT($C$5),Tablas!$G$9:$O$124,9,0)*(INT($C$5)+1-$C$5)))</f>
      </c>
      <c r="G683" s="791">
        <f>IF($C$4="Hombre",(+VLOOKUP(INT(D683)+1,Tablas!$G$9:$K$1240,5,0)*(D683-INT(D683))+VLOOKUP(INT(D683),Tablas!$G$9:$K$1240,5,0)*(INT(D683)+1-D683)),+VLOOKUP(INT(D683)+1,Tablas!$G$9:$O$1240,9,0)*(D683-INT(D683))+VLOOKUP(INT(D683),Tablas!$G$9:$O$1240,9,0)*(INT(D683)+1-D683))</f>
      </c>
      <c r="H683" s="801">
        <f>+IF(MONTH(B683)=1,H682*(1+$C$9),H682)</f>
      </c>
      <c r="I683" s="689">
        <f>IF(B683&lt;$C$10,0,IF(B683&lt;$C$11,$C$8/12*E683*F683*H683,0))</f>
      </c>
      <c r="J683" s="689">
        <f>I683*12/14+IF(OR(MONTH(C683)=6,MONTH(C683)=12),I683*12/14,0)</f>
      </c>
      <c r="K683" s="801">
        <f>G683/$G$15</f>
      </c>
      <c r="L683" s="760"/>
      <c r="M683" s="767"/>
      <c r="N683" s="168"/>
      <c r="O683" s="768"/>
      <c r="P683" s="170"/>
      <c r="Q683" s="7"/>
      <c r="R683" s="766"/>
      <c r="S683" s="170"/>
      <c r="T683" s="168"/>
      <c r="U683" s="170"/>
    </row>
    <row x14ac:dyDescent="0.25" r="684" customHeight="1" ht="18.75">
      <c r="A684" s="1"/>
      <c r="B684" s="799">
        <f>+DATE(YEAR(B683),MONTH(B683)+1,DAY(B683))</f>
        <v>25569.041666666668</v>
      </c>
      <c r="C684" s="799">
        <f>+B685-1</f>
        <v>25569.041666666668</v>
      </c>
      <c r="D684" s="791">
        <f>-_xlfn.DAYS($C$3,C684)/365.25</f>
      </c>
      <c r="E684" s="800">
        <f>IF($D$17+40&lt;=D684,(1+$D$7)^-(D684-$C$5),(1+$C$7)^-(D684-$C$5))</f>
      </c>
      <c r="F684" s="801">
        <f>IF($C$4="Hombre",(+VLOOKUP(INT(D684)+1,Tablas!$G$9:$K$1240,5,0)*(D684-INT(D684))+VLOOKUP(INT(D684),Tablas!$G$9:$K$1240,5,0)*(INT(D684)+1-D684))/(VLOOKUP(INT($C$5)+1,Tablas!$G$9:$K$1240,5,0)*($C$5-INT($C$5))+VLOOKUP(INT($C$5),Tablas!$G$9:$K$124,5,0)*(INT($C$5)+1-$C$5)),(+VLOOKUP(INT(D684)+1,Tablas!$G$9:$O$1240,9,0)*(D684-INT(D684))+VLOOKUP(INT(D684),Tablas!$G$9:$O$1240,9,0)*(INT(D684)+1-D684))/(VLOOKUP(INT($C$5)+1,Tablas!$G$9:$O$1240,9,0)*($C$5-INT($C$5))+VLOOKUP(INT($C$5),Tablas!$G$9:$O$124,9,0)*(INT($C$5)+1-$C$5)))</f>
      </c>
      <c r="G684" s="791">
        <f>IF($C$4="Hombre",(+VLOOKUP(INT(D684)+1,Tablas!$G$9:$K$1240,5,0)*(D684-INT(D684))+VLOOKUP(INT(D684),Tablas!$G$9:$K$1240,5,0)*(INT(D684)+1-D684)),+VLOOKUP(INT(D684)+1,Tablas!$G$9:$O$1240,9,0)*(D684-INT(D684))+VLOOKUP(INT(D684),Tablas!$G$9:$O$1240,9,0)*(INT(D684)+1-D684))</f>
      </c>
      <c r="H684" s="801">
        <f>+IF(MONTH(B684)=1,H683*(1+$C$9),H683)</f>
      </c>
      <c r="I684" s="689">
        <f>IF(B684&lt;$C$10,0,IF(B684&lt;$C$11,$C$8/12*E684*F684*H684,0))</f>
      </c>
      <c r="J684" s="689">
        <f>I684*12/14+IF(OR(MONTH(C684)=6,MONTH(C684)=12),I684*12/14,0)</f>
      </c>
      <c r="K684" s="801">
        <f>G684/$G$15</f>
      </c>
      <c r="L684" s="760"/>
      <c r="M684" s="767"/>
      <c r="N684" s="168"/>
      <c r="O684" s="768"/>
      <c r="P684" s="170"/>
      <c r="Q684" s="7"/>
      <c r="R684" s="766"/>
      <c r="S684" s="170"/>
      <c r="T684" s="168"/>
      <c r="U684" s="170"/>
    </row>
    <row x14ac:dyDescent="0.25" r="685" customHeight="1" ht="18.75">
      <c r="A685" s="1"/>
      <c r="B685" s="799">
        <f>+DATE(YEAR(B684),MONTH(B684)+1,DAY(B684))</f>
        <v>25569.041666666668</v>
      </c>
      <c r="C685" s="799">
        <f>+B686-1</f>
        <v>25569.041666666668</v>
      </c>
      <c r="D685" s="791">
        <f>-_xlfn.DAYS($C$3,C685)/365.25</f>
      </c>
      <c r="E685" s="800">
        <f>IF($D$17+40&lt;=D685,(1+$D$7)^-(D685-$C$5),(1+$C$7)^-(D685-$C$5))</f>
      </c>
      <c r="F685" s="801">
        <f>IF($C$4="Hombre",(+VLOOKUP(INT(D685)+1,Tablas!$G$9:$K$1240,5,0)*(D685-INT(D685))+VLOOKUP(INT(D685),Tablas!$G$9:$K$1240,5,0)*(INT(D685)+1-D685))/(VLOOKUP(INT($C$5)+1,Tablas!$G$9:$K$1240,5,0)*($C$5-INT($C$5))+VLOOKUP(INT($C$5),Tablas!$G$9:$K$124,5,0)*(INT($C$5)+1-$C$5)),(+VLOOKUP(INT(D685)+1,Tablas!$G$9:$O$1240,9,0)*(D685-INT(D685))+VLOOKUP(INT(D685),Tablas!$G$9:$O$1240,9,0)*(INT(D685)+1-D685))/(VLOOKUP(INT($C$5)+1,Tablas!$G$9:$O$1240,9,0)*($C$5-INT($C$5))+VLOOKUP(INT($C$5),Tablas!$G$9:$O$124,9,0)*(INT($C$5)+1-$C$5)))</f>
      </c>
      <c r="G685" s="791">
        <f>IF($C$4="Hombre",(+VLOOKUP(INT(D685)+1,Tablas!$G$9:$K$1240,5,0)*(D685-INT(D685))+VLOOKUP(INT(D685),Tablas!$G$9:$K$1240,5,0)*(INT(D685)+1-D685)),+VLOOKUP(INT(D685)+1,Tablas!$G$9:$O$1240,9,0)*(D685-INT(D685))+VLOOKUP(INT(D685),Tablas!$G$9:$O$1240,9,0)*(INT(D685)+1-D685))</f>
      </c>
      <c r="H685" s="801">
        <f>+IF(MONTH(B685)=1,H684*(1+$C$9),H684)</f>
      </c>
      <c r="I685" s="689">
        <f>IF(B685&lt;$C$10,0,IF(B685&lt;$C$11,$C$8/12*E685*F685*H685,0))</f>
      </c>
      <c r="J685" s="689">
        <f>I685*12/14+IF(OR(MONTH(C685)=6,MONTH(C685)=12),I685*12/14,0)</f>
      </c>
      <c r="K685" s="801">
        <f>G685/$G$15</f>
      </c>
      <c r="L685" s="760"/>
      <c r="M685" s="767"/>
      <c r="N685" s="168"/>
      <c r="O685" s="768"/>
      <c r="P685" s="170"/>
      <c r="Q685" s="7"/>
      <c r="R685" s="766"/>
      <c r="S685" s="170"/>
      <c r="T685" s="168"/>
      <c r="U685" s="170"/>
    </row>
    <row x14ac:dyDescent="0.25" r="686" customHeight="1" ht="18.75">
      <c r="A686" s="1"/>
      <c r="B686" s="799">
        <f>+DATE(YEAR(B685),MONTH(B685)+1,DAY(B685))</f>
        <v>25569.041666666668</v>
      </c>
      <c r="C686" s="799">
        <f>+B687-1</f>
        <v>25569.041666666668</v>
      </c>
      <c r="D686" s="791">
        <f>-_xlfn.DAYS($C$3,C686)/365.25</f>
      </c>
      <c r="E686" s="800">
        <f>IF($D$17+40&lt;=D686,(1+$D$7)^-(D686-$C$5),(1+$C$7)^-(D686-$C$5))</f>
      </c>
      <c r="F686" s="801">
        <f>IF($C$4="Hombre",(+VLOOKUP(INT(D686)+1,Tablas!$G$9:$K$1240,5,0)*(D686-INT(D686))+VLOOKUP(INT(D686),Tablas!$G$9:$K$1240,5,0)*(INT(D686)+1-D686))/(VLOOKUP(INT($C$5)+1,Tablas!$G$9:$K$1240,5,0)*($C$5-INT($C$5))+VLOOKUP(INT($C$5),Tablas!$G$9:$K$124,5,0)*(INT($C$5)+1-$C$5)),(+VLOOKUP(INT(D686)+1,Tablas!$G$9:$O$1240,9,0)*(D686-INT(D686))+VLOOKUP(INT(D686),Tablas!$G$9:$O$1240,9,0)*(INT(D686)+1-D686))/(VLOOKUP(INT($C$5)+1,Tablas!$G$9:$O$1240,9,0)*($C$5-INT($C$5))+VLOOKUP(INT($C$5),Tablas!$G$9:$O$124,9,0)*(INT($C$5)+1-$C$5)))</f>
      </c>
      <c r="G686" s="791">
        <f>IF($C$4="Hombre",(+VLOOKUP(INT(D686)+1,Tablas!$G$9:$K$1240,5,0)*(D686-INT(D686))+VLOOKUP(INT(D686),Tablas!$G$9:$K$1240,5,0)*(INT(D686)+1-D686)),+VLOOKUP(INT(D686)+1,Tablas!$G$9:$O$1240,9,0)*(D686-INT(D686))+VLOOKUP(INT(D686),Tablas!$G$9:$O$1240,9,0)*(INT(D686)+1-D686))</f>
      </c>
      <c r="H686" s="801">
        <f>+IF(MONTH(B686)=1,H685*(1+$C$9),H685)</f>
      </c>
      <c r="I686" s="689">
        <f>IF(B686&lt;$C$10,0,IF(B686&lt;$C$11,$C$8/12*E686*F686*H686,0))</f>
      </c>
      <c r="J686" s="689">
        <f>I686*12/14+IF(OR(MONTH(C686)=6,MONTH(C686)=12),I686*12/14,0)</f>
      </c>
      <c r="K686" s="801">
        <f>G686/$G$15</f>
      </c>
      <c r="L686" s="760"/>
      <c r="M686" s="767"/>
      <c r="N686" s="168"/>
      <c r="O686" s="768"/>
      <c r="P686" s="170"/>
      <c r="Q686" s="7"/>
      <c r="R686" s="766"/>
      <c r="S686" s="170"/>
      <c r="T686" s="168"/>
      <c r="U686" s="170"/>
    </row>
    <row x14ac:dyDescent="0.25" r="687" customHeight="1" ht="18.75">
      <c r="A687" s="1"/>
      <c r="B687" s="799">
        <f>+DATE(YEAR(B686),MONTH(B686)+1,DAY(B686))</f>
        <v>25569.041666666668</v>
      </c>
      <c r="C687" s="799">
        <f>+B688-1</f>
        <v>25569.041666666668</v>
      </c>
      <c r="D687" s="791">
        <f>-_xlfn.DAYS($C$3,C687)/365.25</f>
      </c>
      <c r="E687" s="800">
        <f>IF($D$17+40&lt;=D687,(1+$D$7)^-(D687-$C$5),(1+$C$7)^-(D687-$C$5))</f>
      </c>
      <c r="F687" s="801">
        <f>IF($C$4="Hombre",(+VLOOKUP(INT(D687)+1,Tablas!$G$9:$K$1240,5,0)*(D687-INT(D687))+VLOOKUP(INT(D687),Tablas!$G$9:$K$1240,5,0)*(INT(D687)+1-D687))/(VLOOKUP(INT($C$5)+1,Tablas!$G$9:$K$1240,5,0)*($C$5-INT($C$5))+VLOOKUP(INT($C$5),Tablas!$G$9:$K$124,5,0)*(INT($C$5)+1-$C$5)),(+VLOOKUP(INT(D687)+1,Tablas!$G$9:$O$1240,9,0)*(D687-INT(D687))+VLOOKUP(INT(D687),Tablas!$G$9:$O$1240,9,0)*(INT(D687)+1-D687))/(VLOOKUP(INT($C$5)+1,Tablas!$G$9:$O$1240,9,0)*($C$5-INT($C$5))+VLOOKUP(INT($C$5),Tablas!$G$9:$O$124,9,0)*(INT($C$5)+1-$C$5)))</f>
      </c>
      <c r="G687" s="791">
        <f>IF($C$4="Hombre",(+VLOOKUP(INT(D687)+1,Tablas!$G$9:$K$1240,5,0)*(D687-INT(D687))+VLOOKUP(INT(D687),Tablas!$G$9:$K$1240,5,0)*(INT(D687)+1-D687)),+VLOOKUP(INT(D687)+1,Tablas!$G$9:$O$1240,9,0)*(D687-INT(D687))+VLOOKUP(INT(D687),Tablas!$G$9:$O$1240,9,0)*(INT(D687)+1-D687))</f>
      </c>
      <c r="H687" s="801">
        <f>+IF(MONTH(B687)=1,H686*(1+$C$9),H686)</f>
      </c>
      <c r="I687" s="689">
        <f>IF(B687&lt;$C$10,0,IF(B687&lt;$C$11,$C$8/12*E687*F687*H687,0))</f>
      </c>
      <c r="J687" s="689">
        <f>I687*12/14+IF(OR(MONTH(C687)=6,MONTH(C687)=12),I687*12/14,0)</f>
      </c>
      <c r="K687" s="801">
        <f>G687/$G$15</f>
      </c>
      <c r="L687" s="760"/>
      <c r="M687" s="767"/>
      <c r="N687" s="168"/>
      <c r="O687" s="768"/>
      <c r="P687" s="170"/>
      <c r="Q687" s="7"/>
      <c r="R687" s="766"/>
      <c r="S687" s="170"/>
      <c r="T687" s="168"/>
      <c r="U687" s="170"/>
    </row>
    <row x14ac:dyDescent="0.25" r="688" customHeight="1" ht="18.75">
      <c r="A688" s="1"/>
      <c r="B688" s="799">
        <f>+DATE(YEAR(B687),MONTH(B687)+1,DAY(B687))</f>
        <v>25569.041666666668</v>
      </c>
      <c r="C688" s="799">
        <f>+B689-1</f>
        <v>25569.041666666668</v>
      </c>
      <c r="D688" s="791">
        <f>-_xlfn.DAYS($C$3,C688)/365.25</f>
      </c>
      <c r="E688" s="800">
        <f>IF($D$17+40&lt;=D688,(1+$D$7)^-(D688-$C$5),(1+$C$7)^-(D688-$C$5))</f>
      </c>
      <c r="F688" s="801">
        <f>IF($C$4="Hombre",(+VLOOKUP(INT(D688)+1,Tablas!$G$9:$K$1240,5,0)*(D688-INT(D688))+VLOOKUP(INT(D688),Tablas!$G$9:$K$1240,5,0)*(INT(D688)+1-D688))/(VLOOKUP(INT($C$5)+1,Tablas!$G$9:$K$1240,5,0)*($C$5-INT($C$5))+VLOOKUP(INT($C$5),Tablas!$G$9:$K$124,5,0)*(INT($C$5)+1-$C$5)),(+VLOOKUP(INT(D688)+1,Tablas!$G$9:$O$1240,9,0)*(D688-INT(D688))+VLOOKUP(INT(D688),Tablas!$G$9:$O$1240,9,0)*(INT(D688)+1-D688))/(VLOOKUP(INT($C$5)+1,Tablas!$G$9:$O$1240,9,0)*($C$5-INT($C$5))+VLOOKUP(INT($C$5),Tablas!$G$9:$O$124,9,0)*(INT($C$5)+1-$C$5)))</f>
      </c>
      <c r="G688" s="791">
        <f>IF($C$4="Hombre",(+VLOOKUP(INT(D688)+1,Tablas!$G$9:$K$1240,5,0)*(D688-INT(D688))+VLOOKUP(INT(D688),Tablas!$G$9:$K$1240,5,0)*(INT(D688)+1-D688)),+VLOOKUP(INT(D688)+1,Tablas!$G$9:$O$1240,9,0)*(D688-INT(D688))+VLOOKUP(INT(D688),Tablas!$G$9:$O$1240,9,0)*(INT(D688)+1-D688))</f>
      </c>
      <c r="H688" s="801">
        <f>+IF(MONTH(B688)=1,H687*(1+$C$9),H687)</f>
      </c>
      <c r="I688" s="689">
        <f>IF(B688&lt;$C$10,0,IF(B688&lt;$C$11,$C$8/12*E688*F688*H688,0))</f>
      </c>
      <c r="J688" s="689">
        <f>I688*12/14+IF(OR(MONTH(C688)=6,MONTH(C688)=12),I688*12/14,0)</f>
      </c>
      <c r="K688" s="801">
        <f>G688/$G$15</f>
      </c>
      <c r="L688" s="760"/>
      <c r="M688" s="767"/>
      <c r="N688" s="168"/>
      <c r="O688" s="768"/>
      <c r="P688" s="170"/>
      <c r="Q688" s="7"/>
      <c r="R688" s="766"/>
      <c r="S688" s="170"/>
      <c r="T688" s="168"/>
      <c r="U688" s="170"/>
    </row>
    <row x14ac:dyDescent="0.25" r="689" customHeight="1" ht="18.75">
      <c r="A689" s="1"/>
      <c r="B689" s="799">
        <f>+DATE(YEAR(B688),MONTH(B688)+1,DAY(B688))</f>
        <v>25569.041666666668</v>
      </c>
      <c r="C689" s="799">
        <f>+B690-1</f>
        <v>25569.041666666668</v>
      </c>
      <c r="D689" s="791">
        <f>-_xlfn.DAYS($C$3,C689)/365.25</f>
      </c>
      <c r="E689" s="800">
        <f>IF($D$17+40&lt;=D689,(1+$D$7)^-(D689-$C$5),(1+$C$7)^-(D689-$C$5))</f>
      </c>
      <c r="F689" s="801">
        <f>IF($C$4="Hombre",(+VLOOKUP(INT(D689)+1,Tablas!$G$9:$K$1240,5,0)*(D689-INT(D689))+VLOOKUP(INT(D689),Tablas!$G$9:$K$1240,5,0)*(INT(D689)+1-D689))/(VLOOKUP(INT($C$5)+1,Tablas!$G$9:$K$1240,5,0)*($C$5-INT($C$5))+VLOOKUP(INT($C$5),Tablas!$G$9:$K$124,5,0)*(INT($C$5)+1-$C$5)),(+VLOOKUP(INT(D689)+1,Tablas!$G$9:$O$1240,9,0)*(D689-INT(D689))+VLOOKUP(INT(D689),Tablas!$G$9:$O$1240,9,0)*(INT(D689)+1-D689))/(VLOOKUP(INT($C$5)+1,Tablas!$G$9:$O$1240,9,0)*($C$5-INT($C$5))+VLOOKUP(INT($C$5),Tablas!$G$9:$O$124,9,0)*(INT($C$5)+1-$C$5)))</f>
      </c>
      <c r="G689" s="791">
        <f>IF($C$4="Hombre",(+VLOOKUP(INT(D689)+1,Tablas!$G$9:$K$1240,5,0)*(D689-INT(D689))+VLOOKUP(INT(D689),Tablas!$G$9:$K$1240,5,0)*(INT(D689)+1-D689)),+VLOOKUP(INT(D689)+1,Tablas!$G$9:$O$1240,9,0)*(D689-INT(D689))+VLOOKUP(INT(D689),Tablas!$G$9:$O$1240,9,0)*(INT(D689)+1-D689))</f>
      </c>
      <c r="H689" s="801">
        <f>+IF(MONTH(B689)=1,H688*(1+$C$9),H688)</f>
      </c>
      <c r="I689" s="689">
        <f>IF(B689&lt;$C$10,0,IF(B689&lt;$C$11,$C$8/12*E689*F689*H689,0))</f>
      </c>
      <c r="J689" s="689">
        <f>I689*12/14+IF(OR(MONTH(C689)=6,MONTH(C689)=12),I689*12/14,0)</f>
      </c>
      <c r="K689" s="801">
        <f>G689/$G$15</f>
      </c>
      <c r="L689" s="760"/>
      <c r="M689" s="767"/>
      <c r="N689" s="168"/>
      <c r="O689" s="768"/>
      <c r="P689" s="170"/>
      <c r="Q689" s="7"/>
      <c r="R689" s="766"/>
      <c r="S689" s="170"/>
      <c r="T689" s="168"/>
      <c r="U689" s="170"/>
    </row>
    <row x14ac:dyDescent="0.25" r="690" customHeight="1" ht="18.75">
      <c r="A690" s="1"/>
      <c r="B690" s="799">
        <f>+DATE(YEAR(B689),MONTH(B689)+1,DAY(B689))</f>
        <v>25569.041666666668</v>
      </c>
      <c r="C690" s="799">
        <f>+B691-1</f>
        <v>25569.041666666668</v>
      </c>
      <c r="D690" s="791">
        <f>-_xlfn.DAYS($C$3,C690)/365.25</f>
      </c>
      <c r="E690" s="800">
        <f>IF($D$17+40&lt;=D690,(1+$D$7)^-(D690-$C$5),(1+$C$7)^-(D690-$C$5))</f>
      </c>
      <c r="F690" s="801">
        <f>IF($C$4="Hombre",(+VLOOKUP(INT(D690)+1,Tablas!$G$9:$K$1240,5,0)*(D690-INT(D690))+VLOOKUP(INT(D690),Tablas!$G$9:$K$1240,5,0)*(INT(D690)+1-D690))/(VLOOKUP(INT($C$5)+1,Tablas!$G$9:$K$1240,5,0)*($C$5-INT($C$5))+VLOOKUP(INT($C$5),Tablas!$G$9:$K$124,5,0)*(INT($C$5)+1-$C$5)),(+VLOOKUP(INT(D690)+1,Tablas!$G$9:$O$1240,9,0)*(D690-INT(D690))+VLOOKUP(INT(D690),Tablas!$G$9:$O$1240,9,0)*(INT(D690)+1-D690))/(VLOOKUP(INT($C$5)+1,Tablas!$G$9:$O$1240,9,0)*($C$5-INT($C$5))+VLOOKUP(INT($C$5),Tablas!$G$9:$O$124,9,0)*(INT($C$5)+1-$C$5)))</f>
      </c>
      <c r="G690" s="791">
        <f>IF($C$4="Hombre",(+VLOOKUP(INT(D690)+1,Tablas!$G$9:$K$1240,5,0)*(D690-INT(D690))+VLOOKUP(INT(D690),Tablas!$G$9:$K$1240,5,0)*(INT(D690)+1-D690)),+VLOOKUP(INT(D690)+1,Tablas!$G$9:$O$1240,9,0)*(D690-INT(D690))+VLOOKUP(INT(D690),Tablas!$G$9:$O$1240,9,0)*(INT(D690)+1-D690))</f>
      </c>
      <c r="H690" s="801">
        <f>+IF(MONTH(B690)=1,H689*(1+$C$9),H689)</f>
      </c>
      <c r="I690" s="689">
        <f>IF(B690&lt;$C$10,0,IF(B690&lt;$C$11,$C$8/12*E690*F690*H690,0))</f>
      </c>
      <c r="J690" s="689">
        <f>I690*12/14+IF(OR(MONTH(C690)=6,MONTH(C690)=12),I690*12/14,0)</f>
      </c>
      <c r="K690" s="801">
        <f>G690/$G$15</f>
      </c>
      <c r="L690" s="760"/>
      <c r="M690" s="767"/>
      <c r="N690" s="168"/>
      <c r="O690" s="768"/>
      <c r="P690" s="170"/>
      <c r="Q690" s="7"/>
      <c r="R690" s="766"/>
      <c r="S690" s="170"/>
      <c r="T690" s="168"/>
      <c r="U690" s="170"/>
    </row>
    <row x14ac:dyDescent="0.25" r="691" customHeight="1" ht="18.75">
      <c r="A691" s="1"/>
      <c r="B691" s="799">
        <f>+DATE(YEAR(B690),MONTH(B690)+1,DAY(B690))</f>
        <v>25569.041666666668</v>
      </c>
      <c r="C691" s="799">
        <f>+B692-1</f>
        <v>25569.041666666668</v>
      </c>
      <c r="D691" s="791">
        <f>-_xlfn.DAYS($C$3,C691)/365.25</f>
      </c>
      <c r="E691" s="800">
        <f>IF($D$17+40&lt;=D691,(1+$D$7)^-(D691-$C$5),(1+$C$7)^-(D691-$C$5))</f>
      </c>
      <c r="F691" s="801">
        <f>IF($C$4="Hombre",(+VLOOKUP(INT(D691)+1,Tablas!$G$9:$K$1240,5,0)*(D691-INT(D691))+VLOOKUP(INT(D691),Tablas!$G$9:$K$1240,5,0)*(INT(D691)+1-D691))/(VLOOKUP(INT($C$5)+1,Tablas!$G$9:$K$1240,5,0)*($C$5-INT($C$5))+VLOOKUP(INT($C$5),Tablas!$G$9:$K$124,5,0)*(INT($C$5)+1-$C$5)),(+VLOOKUP(INT(D691)+1,Tablas!$G$9:$O$1240,9,0)*(D691-INT(D691))+VLOOKUP(INT(D691),Tablas!$G$9:$O$1240,9,0)*(INT(D691)+1-D691))/(VLOOKUP(INT($C$5)+1,Tablas!$G$9:$O$1240,9,0)*($C$5-INT($C$5))+VLOOKUP(INT($C$5),Tablas!$G$9:$O$124,9,0)*(INT($C$5)+1-$C$5)))</f>
      </c>
      <c r="G691" s="791">
        <f>IF($C$4="Hombre",(+VLOOKUP(INT(D691)+1,Tablas!$G$9:$K$1240,5,0)*(D691-INT(D691))+VLOOKUP(INT(D691),Tablas!$G$9:$K$1240,5,0)*(INT(D691)+1-D691)),+VLOOKUP(INT(D691)+1,Tablas!$G$9:$O$1240,9,0)*(D691-INT(D691))+VLOOKUP(INT(D691),Tablas!$G$9:$O$1240,9,0)*(INT(D691)+1-D691))</f>
      </c>
      <c r="H691" s="801">
        <f>+IF(MONTH(B691)=1,H690*(1+$C$9),H690)</f>
      </c>
      <c r="I691" s="689">
        <f>IF(B691&lt;$C$10,0,IF(B691&lt;$C$11,$C$8/12*E691*F691*H691,0))</f>
      </c>
      <c r="J691" s="689">
        <f>I691*12/14+IF(OR(MONTH(C691)=6,MONTH(C691)=12),I691*12/14,0)</f>
      </c>
      <c r="K691" s="801">
        <f>G691/$G$15</f>
      </c>
      <c r="L691" s="760"/>
      <c r="M691" s="767"/>
      <c r="N691" s="168"/>
      <c r="O691" s="768"/>
      <c r="P691" s="170"/>
      <c r="Q691" s="7"/>
      <c r="R691" s="766"/>
      <c r="S691" s="170"/>
      <c r="T691" s="168"/>
      <c r="U691" s="170"/>
    </row>
    <row x14ac:dyDescent="0.25" r="692" customHeight="1" ht="18.75">
      <c r="A692" s="1"/>
      <c r="B692" s="799">
        <f>+DATE(YEAR(B691),MONTH(B691)+1,DAY(B691))</f>
        <v>25569.041666666668</v>
      </c>
      <c r="C692" s="799">
        <f>+B693-1</f>
        <v>25569.041666666668</v>
      </c>
      <c r="D692" s="791">
        <f>-_xlfn.DAYS($C$3,C692)/365.25</f>
      </c>
      <c r="E692" s="800">
        <f>IF($D$17+40&lt;=D692,(1+$D$7)^-(D692-$C$5),(1+$C$7)^-(D692-$C$5))</f>
      </c>
      <c r="F692" s="801">
        <f>IF($C$4="Hombre",(+VLOOKUP(INT(D692)+1,Tablas!$G$9:$K$1240,5,0)*(D692-INT(D692))+VLOOKUP(INT(D692),Tablas!$G$9:$K$1240,5,0)*(INT(D692)+1-D692))/(VLOOKUP(INT($C$5)+1,Tablas!$G$9:$K$1240,5,0)*($C$5-INT($C$5))+VLOOKUP(INT($C$5),Tablas!$G$9:$K$124,5,0)*(INT($C$5)+1-$C$5)),(+VLOOKUP(INT(D692)+1,Tablas!$G$9:$O$1240,9,0)*(D692-INT(D692))+VLOOKUP(INT(D692),Tablas!$G$9:$O$1240,9,0)*(INT(D692)+1-D692))/(VLOOKUP(INT($C$5)+1,Tablas!$G$9:$O$1240,9,0)*($C$5-INT($C$5))+VLOOKUP(INT($C$5),Tablas!$G$9:$O$124,9,0)*(INT($C$5)+1-$C$5)))</f>
      </c>
      <c r="G692" s="791">
        <f>IF($C$4="Hombre",(+VLOOKUP(INT(D692)+1,Tablas!$G$9:$K$1240,5,0)*(D692-INT(D692))+VLOOKUP(INT(D692),Tablas!$G$9:$K$1240,5,0)*(INT(D692)+1-D692)),+VLOOKUP(INT(D692)+1,Tablas!$G$9:$O$1240,9,0)*(D692-INT(D692))+VLOOKUP(INT(D692),Tablas!$G$9:$O$1240,9,0)*(INT(D692)+1-D692))</f>
      </c>
      <c r="H692" s="801">
        <f>+IF(MONTH(B692)=1,H691*(1+$C$9),H691)</f>
      </c>
      <c r="I692" s="689">
        <f>IF(B692&lt;$C$10,0,IF(B692&lt;$C$11,$C$8/12*E692*F692*H692,0))</f>
      </c>
      <c r="J692" s="689">
        <f>I692*12/14+IF(OR(MONTH(C692)=6,MONTH(C692)=12),I692*12/14,0)</f>
      </c>
      <c r="K692" s="801">
        <f>G692/$G$15</f>
      </c>
      <c r="L692" s="760"/>
      <c r="M692" s="767"/>
      <c r="N692" s="168"/>
      <c r="O692" s="768"/>
      <c r="P692" s="170"/>
      <c r="Q692" s="7"/>
      <c r="R692" s="766"/>
      <c r="S692" s="170"/>
      <c r="T692" s="168"/>
      <c r="U692" s="170"/>
    </row>
    <row x14ac:dyDescent="0.25" r="693" customHeight="1" ht="18.75">
      <c r="A693" s="1"/>
      <c r="B693" s="799">
        <f>+DATE(YEAR(B692),MONTH(B692)+1,DAY(B692))</f>
        <v>25569.041666666668</v>
      </c>
      <c r="C693" s="799">
        <f>+B694-1</f>
        <v>25569.041666666668</v>
      </c>
      <c r="D693" s="791">
        <f>-_xlfn.DAYS($C$3,C693)/365.25</f>
      </c>
      <c r="E693" s="800">
        <f>IF($D$17+40&lt;=D693,(1+$D$7)^-(D693-$C$5),(1+$C$7)^-(D693-$C$5))</f>
      </c>
      <c r="F693" s="801">
        <f>IF($C$4="Hombre",(+VLOOKUP(INT(D693)+1,Tablas!$G$9:$K$1240,5,0)*(D693-INT(D693))+VLOOKUP(INT(D693),Tablas!$G$9:$K$1240,5,0)*(INT(D693)+1-D693))/(VLOOKUP(INT($C$5)+1,Tablas!$G$9:$K$1240,5,0)*($C$5-INT($C$5))+VLOOKUP(INT($C$5),Tablas!$G$9:$K$124,5,0)*(INT($C$5)+1-$C$5)),(+VLOOKUP(INT(D693)+1,Tablas!$G$9:$O$1240,9,0)*(D693-INT(D693))+VLOOKUP(INT(D693),Tablas!$G$9:$O$1240,9,0)*(INT(D693)+1-D693))/(VLOOKUP(INT($C$5)+1,Tablas!$G$9:$O$1240,9,0)*($C$5-INT($C$5))+VLOOKUP(INT($C$5),Tablas!$G$9:$O$124,9,0)*(INT($C$5)+1-$C$5)))</f>
      </c>
      <c r="G693" s="791">
        <f>IF($C$4="Hombre",(+VLOOKUP(INT(D693)+1,Tablas!$G$9:$K$1240,5,0)*(D693-INT(D693))+VLOOKUP(INT(D693),Tablas!$G$9:$K$1240,5,0)*(INT(D693)+1-D693)),+VLOOKUP(INT(D693)+1,Tablas!$G$9:$O$1240,9,0)*(D693-INT(D693))+VLOOKUP(INT(D693),Tablas!$G$9:$O$1240,9,0)*(INT(D693)+1-D693))</f>
      </c>
      <c r="H693" s="801">
        <f>+IF(MONTH(B693)=1,H692*(1+$C$9),H692)</f>
      </c>
      <c r="I693" s="689">
        <f>IF(B693&lt;$C$10,0,IF(B693&lt;$C$11,$C$8/12*E693*F693*H693,0))</f>
      </c>
      <c r="J693" s="689">
        <f>I693*12/14+IF(OR(MONTH(C693)=6,MONTH(C693)=12),I693*12/14,0)</f>
      </c>
      <c r="K693" s="801">
        <f>G693/$G$15</f>
      </c>
      <c r="L693" s="760"/>
      <c r="M693" s="767"/>
      <c r="N693" s="168"/>
      <c r="O693" s="768"/>
      <c r="P693" s="170"/>
      <c r="Q693" s="7"/>
      <c r="R693" s="766"/>
      <c r="S693" s="170"/>
      <c r="T693" s="168"/>
      <c r="U693" s="170"/>
    </row>
    <row x14ac:dyDescent="0.25" r="694" customHeight="1" ht="18.75">
      <c r="A694" s="1"/>
      <c r="B694" s="799">
        <f>+DATE(YEAR(B693),MONTH(B693)+1,DAY(B693))</f>
        <v>25569.041666666668</v>
      </c>
      <c r="C694" s="799">
        <f>+B695-1</f>
        <v>25569.041666666668</v>
      </c>
      <c r="D694" s="791">
        <f>-_xlfn.DAYS($C$3,C694)/365.25</f>
      </c>
      <c r="E694" s="800">
        <f>IF($D$17+40&lt;=D694,(1+$D$7)^-(D694-$C$5),(1+$C$7)^-(D694-$C$5))</f>
      </c>
      <c r="F694" s="801">
        <f>IF($C$4="Hombre",(+VLOOKUP(INT(D694)+1,Tablas!$G$9:$K$1240,5,0)*(D694-INT(D694))+VLOOKUP(INT(D694),Tablas!$G$9:$K$1240,5,0)*(INT(D694)+1-D694))/(VLOOKUP(INT($C$5)+1,Tablas!$G$9:$K$1240,5,0)*($C$5-INT($C$5))+VLOOKUP(INT($C$5),Tablas!$G$9:$K$124,5,0)*(INT($C$5)+1-$C$5)),(+VLOOKUP(INT(D694)+1,Tablas!$G$9:$O$1240,9,0)*(D694-INT(D694))+VLOOKUP(INT(D694),Tablas!$G$9:$O$1240,9,0)*(INT(D694)+1-D694))/(VLOOKUP(INT($C$5)+1,Tablas!$G$9:$O$1240,9,0)*($C$5-INT($C$5))+VLOOKUP(INT($C$5),Tablas!$G$9:$O$124,9,0)*(INT($C$5)+1-$C$5)))</f>
      </c>
      <c r="G694" s="791">
        <f>IF($C$4="Hombre",(+VLOOKUP(INT(D694)+1,Tablas!$G$9:$K$1240,5,0)*(D694-INT(D694))+VLOOKUP(INT(D694),Tablas!$G$9:$K$1240,5,0)*(INT(D694)+1-D694)),+VLOOKUP(INT(D694)+1,Tablas!$G$9:$O$1240,9,0)*(D694-INT(D694))+VLOOKUP(INT(D694),Tablas!$G$9:$O$1240,9,0)*(INT(D694)+1-D694))</f>
      </c>
      <c r="H694" s="801">
        <f>+IF(MONTH(B694)=1,H693*(1+$C$9),H693)</f>
      </c>
      <c r="I694" s="689">
        <f>IF(B694&lt;$C$10,0,IF(B694&lt;$C$11,$C$8/12*E694*F694*H694,0))</f>
      </c>
      <c r="J694" s="689">
        <f>I694*12/14+IF(OR(MONTH(C694)=6,MONTH(C694)=12),I694*12/14,0)</f>
      </c>
      <c r="K694" s="801">
        <f>G694/$G$15</f>
      </c>
      <c r="L694" s="760"/>
      <c r="M694" s="767"/>
      <c r="N694" s="168"/>
      <c r="O694" s="768"/>
      <c r="P694" s="170"/>
      <c r="Q694" s="7"/>
      <c r="R694" s="766"/>
      <c r="S694" s="170"/>
      <c r="T694" s="168"/>
      <c r="U694" s="170"/>
    </row>
    <row x14ac:dyDescent="0.25" r="695" customHeight="1" ht="18.75">
      <c r="A695" s="1"/>
      <c r="B695" s="799">
        <f>+DATE(YEAR(B694),MONTH(B694)+1,DAY(B694))</f>
        <v>25569.041666666668</v>
      </c>
      <c r="C695" s="799">
        <f>+B696-1</f>
        <v>25569.041666666668</v>
      </c>
      <c r="D695" s="791">
        <f>-_xlfn.DAYS($C$3,C695)/365.25</f>
      </c>
      <c r="E695" s="800">
        <f>IF($D$17+40&lt;=D695,(1+$D$7)^-(D695-$C$5),(1+$C$7)^-(D695-$C$5))</f>
      </c>
      <c r="F695" s="801">
        <f>IF($C$4="Hombre",(+VLOOKUP(INT(D695)+1,Tablas!$G$9:$K$1240,5,0)*(D695-INT(D695))+VLOOKUP(INT(D695),Tablas!$G$9:$K$1240,5,0)*(INT(D695)+1-D695))/(VLOOKUP(INT($C$5)+1,Tablas!$G$9:$K$1240,5,0)*($C$5-INT($C$5))+VLOOKUP(INT($C$5),Tablas!$G$9:$K$124,5,0)*(INT($C$5)+1-$C$5)),(+VLOOKUP(INT(D695)+1,Tablas!$G$9:$O$1240,9,0)*(D695-INT(D695))+VLOOKUP(INT(D695),Tablas!$G$9:$O$1240,9,0)*(INT(D695)+1-D695))/(VLOOKUP(INT($C$5)+1,Tablas!$G$9:$O$1240,9,0)*($C$5-INT($C$5))+VLOOKUP(INT($C$5),Tablas!$G$9:$O$124,9,0)*(INT($C$5)+1-$C$5)))</f>
      </c>
      <c r="G695" s="791">
        <f>IF($C$4="Hombre",(+VLOOKUP(INT(D695)+1,Tablas!$G$9:$K$1240,5,0)*(D695-INT(D695))+VLOOKUP(INT(D695),Tablas!$G$9:$K$1240,5,0)*(INT(D695)+1-D695)),+VLOOKUP(INT(D695)+1,Tablas!$G$9:$O$1240,9,0)*(D695-INT(D695))+VLOOKUP(INT(D695),Tablas!$G$9:$O$1240,9,0)*(INT(D695)+1-D695))</f>
      </c>
      <c r="H695" s="801">
        <f>+IF(MONTH(B695)=1,H694*(1+$C$9),H694)</f>
      </c>
      <c r="I695" s="689">
        <f>IF(B695&lt;$C$10,0,IF(B695&lt;$C$11,$C$8/12*E695*F695*H695,0))</f>
      </c>
      <c r="J695" s="689">
        <f>I695*12/14+IF(OR(MONTH(C695)=6,MONTH(C695)=12),I695*12/14,0)</f>
      </c>
      <c r="K695" s="801">
        <f>G695/$G$15</f>
      </c>
      <c r="L695" s="760"/>
      <c r="M695" s="767"/>
      <c r="N695" s="168"/>
      <c r="O695" s="768"/>
      <c r="P695" s="170"/>
      <c r="Q695" s="7"/>
      <c r="R695" s="766"/>
      <c r="S695" s="170"/>
      <c r="T695" s="168"/>
      <c r="U695" s="170"/>
    </row>
    <row x14ac:dyDescent="0.25" r="696" customHeight="1" ht="18.75">
      <c r="A696" s="1"/>
      <c r="B696" s="799">
        <f>+DATE(YEAR(B695),MONTH(B695)+1,DAY(B695))</f>
        <v>25569.041666666668</v>
      </c>
      <c r="C696" s="799">
        <f>+B697-1</f>
        <v>25569.041666666668</v>
      </c>
      <c r="D696" s="791">
        <f>-_xlfn.DAYS($C$3,C696)/365.25</f>
      </c>
      <c r="E696" s="800">
        <f>IF($D$17+40&lt;=D696,(1+$D$7)^-(D696-$C$5),(1+$C$7)^-(D696-$C$5))</f>
      </c>
      <c r="F696" s="801">
        <f>IF($C$4="Hombre",(+VLOOKUP(INT(D696)+1,Tablas!$G$9:$K$1240,5,0)*(D696-INT(D696))+VLOOKUP(INT(D696),Tablas!$G$9:$K$1240,5,0)*(INT(D696)+1-D696))/(VLOOKUP(INT($C$5)+1,Tablas!$G$9:$K$1240,5,0)*($C$5-INT($C$5))+VLOOKUP(INT($C$5),Tablas!$G$9:$K$124,5,0)*(INT($C$5)+1-$C$5)),(+VLOOKUP(INT(D696)+1,Tablas!$G$9:$O$1240,9,0)*(D696-INT(D696))+VLOOKUP(INT(D696),Tablas!$G$9:$O$1240,9,0)*(INT(D696)+1-D696))/(VLOOKUP(INT($C$5)+1,Tablas!$G$9:$O$1240,9,0)*($C$5-INT($C$5))+VLOOKUP(INT($C$5),Tablas!$G$9:$O$124,9,0)*(INT($C$5)+1-$C$5)))</f>
      </c>
      <c r="G696" s="791">
        <f>IF($C$4="Hombre",(+VLOOKUP(INT(D696)+1,Tablas!$G$9:$K$1240,5,0)*(D696-INT(D696))+VLOOKUP(INT(D696),Tablas!$G$9:$K$1240,5,0)*(INT(D696)+1-D696)),+VLOOKUP(INT(D696)+1,Tablas!$G$9:$O$1240,9,0)*(D696-INT(D696))+VLOOKUP(INT(D696),Tablas!$G$9:$O$1240,9,0)*(INT(D696)+1-D696))</f>
      </c>
      <c r="H696" s="801">
        <f>+IF(MONTH(B696)=1,H695*(1+$C$9),H695)</f>
      </c>
      <c r="I696" s="689">
        <f>IF(B696&lt;$C$10,0,IF(B696&lt;$C$11,$C$8/12*E696*F696*H696,0))</f>
      </c>
      <c r="J696" s="689">
        <f>I696*12/14+IF(OR(MONTH(C696)=6,MONTH(C696)=12),I696*12/14,0)</f>
      </c>
      <c r="K696" s="801">
        <f>G696/$G$15</f>
      </c>
      <c r="L696" s="760"/>
      <c r="M696" s="767"/>
      <c r="N696" s="168"/>
      <c r="O696" s="768"/>
      <c r="P696" s="170"/>
      <c r="Q696" s="7"/>
      <c r="R696" s="766"/>
      <c r="S696" s="170"/>
      <c r="T696" s="168"/>
      <c r="U696" s="170"/>
    </row>
    <row x14ac:dyDescent="0.25" r="697" customHeight="1" ht="18.75">
      <c r="A697" s="1"/>
      <c r="B697" s="799">
        <f>+DATE(YEAR(B696),MONTH(B696)+1,DAY(B696))</f>
        <v>25569.041666666668</v>
      </c>
      <c r="C697" s="799">
        <f>+B698-1</f>
        <v>25569.041666666668</v>
      </c>
      <c r="D697" s="791">
        <f>-_xlfn.DAYS($C$3,C697)/365.25</f>
      </c>
      <c r="E697" s="800">
        <f>IF($D$17+40&lt;=D697,(1+$D$7)^-(D697-$C$5),(1+$C$7)^-(D697-$C$5))</f>
      </c>
      <c r="F697" s="801">
        <f>IF($C$4="Hombre",(+VLOOKUP(INT(D697)+1,Tablas!$G$9:$K$1240,5,0)*(D697-INT(D697))+VLOOKUP(INT(D697),Tablas!$G$9:$K$1240,5,0)*(INT(D697)+1-D697))/(VLOOKUP(INT($C$5)+1,Tablas!$G$9:$K$1240,5,0)*($C$5-INT($C$5))+VLOOKUP(INT($C$5),Tablas!$G$9:$K$124,5,0)*(INT($C$5)+1-$C$5)),(+VLOOKUP(INT(D697)+1,Tablas!$G$9:$O$1240,9,0)*(D697-INT(D697))+VLOOKUP(INT(D697),Tablas!$G$9:$O$1240,9,0)*(INT(D697)+1-D697))/(VLOOKUP(INT($C$5)+1,Tablas!$G$9:$O$1240,9,0)*($C$5-INT($C$5))+VLOOKUP(INT($C$5),Tablas!$G$9:$O$124,9,0)*(INT($C$5)+1-$C$5)))</f>
      </c>
      <c r="G697" s="791">
        <f>IF($C$4="Hombre",(+VLOOKUP(INT(D697)+1,Tablas!$G$9:$K$1240,5,0)*(D697-INT(D697))+VLOOKUP(INT(D697),Tablas!$G$9:$K$1240,5,0)*(INT(D697)+1-D697)),+VLOOKUP(INT(D697)+1,Tablas!$G$9:$O$1240,9,0)*(D697-INT(D697))+VLOOKUP(INT(D697),Tablas!$G$9:$O$1240,9,0)*(INT(D697)+1-D697))</f>
      </c>
      <c r="H697" s="801">
        <f>+IF(MONTH(B697)=1,H696*(1+$C$9),H696)</f>
      </c>
      <c r="I697" s="689">
        <f>IF(B697&lt;$C$10,0,IF(B697&lt;$C$11,$C$8/12*E697*F697*H697,0))</f>
      </c>
      <c r="J697" s="689">
        <f>I697*12/14+IF(OR(MONTH(C697)=6,MONTH(C697)=12),I697*12/14,0)</f>
      </c>
      <c r="K697" s="801">
        <f>G697/$G$15</f>
      </c>
      <c r="L697" s="760"/>
      <c r="M697" s="767"/>
      <c r="N697" s="168"/>
      <c r="O697" s="768"/>
      <c r="P697" s="170"/>
      <c r="Q697" s="7"/>
      <c r="R697" s="766"/>
      <c r="S697" s="170"/>
      <c r="T697" s="168"/>
      <c r="U697" s="170"/>
    </row>
    <row x14ac:dyDescent="0.25" r="698" customHeight="1" ht="18.75">
      <c r="A698" s="1"/>
      <c r="B698" s="799">
        <f>+DATE(YEAR(B697),MONTH(B697)+1,DAY(B697))</f>
        <v>25569.041666666668</v>
      </c>
      <c r="C698" s="799">
        <f>+B699-1</f>
        <v>25569.041666666668</v>
      </c>
      <c r="D698" s="791">
        <f>-_xlfn.DAYS($C$3,C698)/365.25</f>
      </c>
      <c r="E698" s="800">
        <f>IF($D$17+40&lt;=D698,(1+$D$7)^-(D698-$C$5),(1+$C$7)^-(D698-$C$5))</f>
      </c>
      <c r="F698" s="801">
        <f>IF($C$4="Hombre",(+VLOOKUP(INT(D698)+1,Tablas!$G$9:$K$1240,5,0)*(D698-INT(D698))+VLOOKUP(INT(D698),Tablas!$G$9:$K$1240,5,0)*(INT(D698)+1-D698))/(VLOOKUP(INT($C$5)+1,Tablas!$G$9:$K$1240,5,0)*($C$5-INT($C$5))+VLOOKUP(INT($C$5),Tablas!$G$9:$K$124,5,0)*(INT($C$5)+1-$C$5)),(+VLOOKUP(INT(D698)+1,Tablas!$G$9:$O$1240,9,0)*(D698-INT(D698))+VLOOKUP(INT(D698),Tablas!$G$9:$O$1240,9,0)*(INT(D698)+1-D698))/(VLOOKUP(INT($C$5)+1,Tablas!$G$9:$O$1240,9,0)*($C$5-INT($C$5))+VLOOKUP(INT($C$5),Tablas!$G$9:$O$124,9,0)*(INT($C$5)+1-$C$5)))</f>
      </c>
      <c r="G698" s="791">
        <f>IF($C$4="Hombre",(+VLOOKUP(INT(D698)+1,Tablas!$G$9:$K$1240,5,0)*(D698-INT(D698))+VLOOKUP(INT(D698),Tablas!$G$9:$K$1240,5,0)*(INT(D698)+1-D698)),+VLOOKUP(INT(D698)+1,Tablas!$G$9:$O$1240,9,0)*(D698-INT(D698))+VLOOKUP(INT(D698),Tablas!$G$9:$O$1240,9,0)*(INT(D698)+1-D698))</f>
      </c>
      <c r="H698" s="801">
        <f>+IF(MONTH(B698)=1,H697*(1+$C$9),H697)</f>
      </c>
      <c r="I698" s="689">
        <f>IF(B698&lt;$C$10,0,IF(B698&lt;$C$11,$C$8/12*E698*F698*H698,0))</f>
      </c>
      <c r="J698" s="689">
        <f>I698*12/14+IF(OR(MONTH(C698)=6,MONTH(C698)=12),I698*12/14,0)</f>
      </c>
      <c r="K698" s="801">
        <f>G698/$G$15</f>
      </c>
      <c r="L698" s="760"/>
      <c r="M698" s="767"/>
      <c r="N698" s="168"/>
      <c r="O698" s="768"/>
      <c r="P698" s="170"/>
      <c r="Q698" s="7"/>
      <c r="R698" s="766"/>
      <c r="S698" s="170"/>
      <c r="T698" s="168"/>
      <c r="U698" s="170"/>
    </row>
    <row x14ac:dyDescent="0.25" r="699" customHeight="1" ht="18.75">
      <c r="A699" s="1"/>
      <c r="B699" s="799">
        <f>+DATE(YEAR(B698),MONTH(B698)+1,DAY(B698))</f>
        <v>25569.041666666668</v>
      </c>
      <c r="C699" s="799">
        <f>+B700-1</f>
        <v>25569.041666666668</v>
      </c>
      <c r="D699" s="791">
        <f>-_xlfn.DAYS($C$3,C699)/365.25</f>
      </c>
      <c r="E699" s="800">
        <f>IF($D$17+40&lt;=D699,(1+$D$7)^-(D699-$C$5),(1+$C$7)^-(D699-$C$5))</f>
      </c>
      <c r="F699" s="801">
        <f>IF($C$4="Hombre",(+VLOOKUP(INT(D699)+1,Tablas!$G$9:$K$1240,5,0)*(D699-INT(D699))+VLOOKUP(INT(D699),Tablas!$G$9:$K$1240,5,0)*(INT(D699)+1-D699))/(VLOOKUP(INT($C$5)+1,Tablas!$G$9:$K$1240,5,0)*($C$5-INT($C$5))+VLOOKUP(INT($C$5),Tablas!$G$9:$K$124,5,0)*(INT($C$5)+1-$C$5)),(+VLOOKUP(INT(D699)+1,Tablas!$G$9:$O$1240,9,0)*(D699-INT(D699))+VLOOKUP(INT(D699),Tablas!$G$9:$O$1240,9,0)*(INT(D699)+1-D699))/(VLOOKUP(INT($C$5)+1,Tablas!$G$9:$O$1240,9,0)*($C$5-INT($C$5))+VLOOKUP(INT($C$5),Tablas!$G$9:$O$124,9,0)*(INT($C$5)+1-$C$5)))</f>
      </c>
      <c r="G699" s="791">
        <f>IF($C$4="Hombre",(+VLOOKUP(INT(D699)+1,Tablas!$G$9:$K$1240,5,0)*(D699-INT(D699))+VLOOKUP(INT(D699),Tablas!$G$9:$K$1240,5,0)*(INT(D699)+1-D699)),+VLOOKUP(INT(D699)+1,Tablas!$G$9:$O$1240,9,0)*(D699-INT(D699))+VLOOKUP(INT(D699),Tablas!$G$9:$O$1240,9,0)*(INT(D699)+1-D699))</f>
      </c>
      <c r="H699" s="801">
        <f>+IF(MONTH(B699)=1,H698*(1+$C$9),H698)</f>
      </c>
      <c r="I699" s="689">
        <f>IF(B699&lt;$C$10,0,IF(B699&lt;$C$11,$C$8/12*E699*F699*H699,0))</f>
      </c>
      <c r="J699" s="689">
        <f>I699*12/14+IF(OR(MONTH(C699)=6,MONTH(C699)=12),I699*12/14,0)</f>
      </c>
      <c r="K699" s="801">
        <f>G699/$G$15</f>
      </c>
      <c r="L699" s="760"/>
      <c r="M699" s="767"/>
      <c r="N699" s="168"/>
      <c r="O699" s="768"/>
      <c r="P699" s="170"/>
      <c r="Q699" s="7"/>
      <c r="R699" s="766"/>
      <c r="S699" s="170"/>
      <c r="T699" s="168"/>
      <c r="U699" s="170"/>
    </row>
    <row x14ac:dyDescent="0.25" r="700" customHeight="1" ht="18.75">
      <c r="A700" s="1"/>
      <c r="B700" s="799">
        <f>+DATE(YEAR(B699),MONTH(B699)+1,DAY(B699))</f>
        <v>25569.041666666668</v>
      </c>
      <c r="C700" s="799">
        <f>+B701-1</f>
        <v>25569.041666666668</v>
      </c>
      <c r="D700" s="791">
        <f>-_xlfn.DAYS($C$3,C700)/365.25</f>
      </c>
      <c r="E700" s="800">
        <f>IF($D$17+40&lt;=D700,(1+$D$7)^-(D700-$C$5),(1+$C$7)^-(D700-$C$5))</f>
      </c>
      <c r="F700" s="801">
        <f>IF($C$4="Hombre",(+VLOOKUP(INT(D700)+1,Tablas!$G$9:$K$1240,5,0)*(D700-INT(D700))+VLOOKUP(INT(D700),Tablas!$G$9:$K$1240,5,0)*(INT(D700)+1-D700))/(VLOOKUP(INT($C$5)+1,Tablas!$G$9:$K$1240,5,0)*($C$5-INT($C$5))+VLOOKUP(INT($C$5),Tablas!$G$9:$K$124,5,0)*(INT($C$5)+1-$C$5)),(+VLOOKUP(INT(D700)+1,Tablas!$G$9:$O$1240,9,0)*(D700-INT(D700))+VLOOKUP(INT(D700),Tablas!$G$9:$O$1240,9,0)*(INT(D700)+1-D700))/(VLOOKUP(INT($C$5)+1,Tablas!$G$9:$O$1240,9,0)*($C$5-INT($C$5))+VLOOKUP(INT($C$5),Tablas!$G$9:$O$124,9,0)*(INT($C$5)+1-$C$5)))</f>
      </c>
      <c r="G700" s="791">
        <f>IF($C$4="Hombre",(+VLOOKUP(INT(D700)+1,Tablas!$G$9:$K$1240,5,0)*(D700-INT(D700))+VLOOKUP(INT(D700),Tablas!$G$9:$K$1240,5,0)*(INT(D700)+1-D700)),+VLOOKUP(INT(D700)+1,Tablas!$G$9:$O$1240,9,0)*(D700-INT(D700))+VLOOKUP(INT(D700),Tablas!$G$9:$O$1240,9,0)*(INT(D700)+1-D700))</f>
      </c>
      <c r="H700" s="801">
        <f>+IF(MONTH(B700)=1,H699*(1+$C$9),H699)</f>
      </c>
      <c r="I700" s="689">
        <f>IF(B700&lt;$C$10,0,IF(B700&lt;$C$11,$C$8/12*E700*F700*H700,0))</f>
      </c>
      <c r="J700" s="689">
        <f>I700*12/14+IF(OR(MONTH(C700)=6,MONTH(C700)=12),I700*12/14,0)</f>
      </c>
      <c r="K700" s="801">
        <f>G700/$G$15</f>
      </c>
      <c r="L700" s="760"/>
      <c r="M700" s="767"/>
      <c r="N700" s="168"/>
      <c r="O700" s="768"/>
      <c r="P700" s="170"/>
      <c r="Q700" s="7"/>
      <c r="R700" s="766"/>
      <c r="S700" s="170"/>
      <c r="T700" s="168"/>
      <c r="U700" s="170"/>
    </row>
    <row x14ac:dyDescent="0.25" r="701" customHeight="1" ht="18.75">
      <c r="A701" s="1"/>
      <c r="B701" s="799">
        <f>+DATE(YEAR(B700),MONTH(B700)+1,DAY(B700))</f>
        <v>25569.041666666668</v>
      </c>
      <c r="C701" s="799">
        <f>+B702-1</f>
        <v>25569.041666666668</v>
      </c>
      <c r="D701" s="791">
        <f>-_xlfn.DAYS($C$3,C701)/365.25</f>
      </c>
      <c r="E701" s="800">
        <f>IF($D$17+40&lt;=D701,(1+$D$7)^-(D701-$C$5),(1+$C$7)^-(D701-$C$5))</f>
      </c>
      <c r="F701" s="801">
        <f>IF($C$4="Hombre",(+VLOOKUP(INT(D701)+1,Tablas!$G$9:$K$1240,5,0)*(D701-INT(D701))+VLOOKUP(INT(D701),Tablas!$G$9:$K$1240,5,0)*(INT(D701)+1-D701))/(VLOOKUP(INT($C$5)+1,Tablas!$G$9:$K$1240,5,0)*($C$5-INT($C$5))+VLOOKUP(INT($C$5),Tablas!$G$9:$K$124,5,0)*(INT($C$5)+1-$C$5)),(+VLOOKUP(INT(D701)+1,Tablas!$G$9:$O$1240,9,0)*(D701-INT(D701))+VLOOKUP(INT(D701),Tablas!$G$9:$O$1240,9,0)*(INT(D701)+1-D701))/(VLOOKUP(INT($C$5)+1,Tablas!$G$9:$O$1240,9,0)*($C$5-INT($C$5))+VLOOKUP(INT($C$5),Tablas!$G$9:$O$124,9,0)*(INT($C$5)+1-$C$5)))</f>
      </c>
      <c r="G701" s="791">
        <f>IF($C$4="Hombre",(+VLOOKUP(INT(D701)+1,Tablas!$G$9:$K$1240,5,0)*(D701-INT(D701))+VLOOKUP(INT(D701),Tablas!$G$9:$K$1240,5,0)*(INT(D701)+1-D701)),+VLOOKUP(INT(D701)+1,Tablas!$G$9:$O$1240,9,0)*(D701-INT(D701))+VLOOKUP(INT(D701),Tablas!$G$9:$O$1240,9,0)*(INT(D701)+1-D701))</f>
      </c>
      <c r="H701" s="801">
        <f>+IF(MONTH(B701)=1,H700*(1+$C$9),H700)</f>
      </c>
      <c r="I701" s="689">
        <f>IF(B701&lt;$C$10,0,IF(B701&lt;$C$11,$C$8/12*E701*F701*H701,0))</f>
      </c>
      <c r="J701" s="689">
        <f>I701*12/14+IF(OR(MONTH(C701)=6,MONTH(C701)=12),I701*12/14,0)</f>
      </c>
      <c r="K701" s="801">
        <f>G701/$G$15</f>
      </c>
      <c r="L701" s="760"/>
      <c r="M701" s="767"/>
      <c r="N701" s="168"/>
      <c r="O701" s="768"/>
      <c r="P701" s="170"/>
      <c r="Q701" s="7"/>
      <c r="R701" s="766"/>
      <c r="S701" s="170"/>
      <c r="T701" s="168"/>
      <c r="U701" s="170"/>
    </row>
    <row x14ac:dyDescent="0.25" r="702" customHeight="1" ht="18.75">
      <c r="A702" s="1"/>
      <c r="B702" s="799">
        <f>+DATE(YEAR(B701),MONTH(B701)+1,DAY(B701))</f>
        <v>25569.041666666668</v>
      </c>
      <c r="C702" s="799">
        <f>+B703-1</f>
        <v>25569.041666666668</v>
      </c>
      <c r="D702" s="791">
        <f>-_xlfn.DAYS($C$3,C702)/365.25</f>
      </c>
      <c r="E702" s="800">
        <f>IF($D$17+40&lt;=D702,(1+$D$7)^-(D702-$C$5),(1+$C$7)^-(D702-$C$5))</f>
      </c>
      <c r="F702" s="801">
        <f>IF($C$4="Hombre",(+VLOOKUP(INT(D702)+1,Tablas!$G$9:$K$1240,5,0)*(D702-INT(D702))+VLOOKUP(INT(D702),Tablas!$G$9:$K$1240,5,0)*(INT(D702)+1-D702))/(VLOOKUP(INT($C$5)+1,Tablas!$G$9:$K$1240,5,0)*($C$5-INT($C$5))+VLOOKUP(INT($C$5),Tablas!$G$9:$K$124,5,0)*(INT($C$5)+1-$C$5)),(+VLOOKUP(INT(D702)+1,Tablas!$G$9:$O$1240,9,0)*(D702-INT(D702))+VLOOKUP(INT(D702),Tablas!$G$9:$O$1240,9,0)*(INT(D702)+1-D702))/(VLOOKUP(INT($C$5)+1,Tablas!$G$9:$O$1240,9,0)*($C$5-INT($C$5))+VLOOKUP(INT($C$5),Tablas!$G$9:$O$124,9,0)*(INT($C$5)+1-$C$5)))</f>
      </c>
      <c r="G702" s="791">
        <f>IF($C$4="Hombre",(+VLOOKUP(INT(D702)+1,Tablas!$G$9:$K$1240,5,0)*(D702-INT(D702))+VLOOKUP(INT(D702),Tablas!$G$9:$K$1240,5,0)*(INT(D702)+1-D702)),+VLOOKUP(INT(D702)+1,Tablas!$G$9:$O$1240,9,0)*(D702-INT(D702))+VLOOKUP(INT(D702),Tablas!$G$9:$O$1240,9,0)*(INT(D702)+1-D702))</f>
      </c>
      <c r="H702" s="801">
        <f>+IF(MONTH(B702)=1,H701*(1+$C$9),H701)</f>
      </c>
      <c r="I702" s="689">
        <f>IF(B702&lt;$C$10,0,IF(B702&lt;$C$11,$C$8/12*E702*F702*H702,0))</f>
      </c>
      <c r="J702" s="689">
        <f>I702*12/14+IF(OR(MONTH(C702)=6,MONTH(C702)=12),I702*12/14,0)</f>
      </c>
      <c r="K702" s="801">
        <f>G702/$G$15</f>
      </c>
      <c r="L702" s="760"/>
      <c r="M702" s="767"/>
      <c r="N702" s="168"/>
      <c r="O702" s="768"/>
      <c r="P702" s="170"/>
      <c r="Q702" s="7"/>
      <c r="R702" s="766"/>
      <c r="S702" s="170"/>
      <c r="T702" s="168"/>
      <c r="U702" s="170"/>
    </row>
    <row x14ac:dyDescent="0.25" r="703" customHeight="1" ht="18.75">
      <c r="A703" s="1"/>
      <c r="B703" s="799">
        <f>+DATE(YEAR(B702),MONTH(B702)+1,DAY(B702))</f>
        <v>25569.041666666668</v>
      </c>
      <c r="C703" s="799">
        <f>+B704-1</f>
        <v>25569.041666666668</v>
      </c>
      <c r="D703" s="791">
        <f>-_xlfn.DAYS($C$3,C703)/365.25</f>
      </c>
      <c r="E703" s="800">
        <f>IF($D$17+40&lt;=D703,(1+$D$7)^-(D703-$C$5),(1+$C$7)^-(D703-$C$5))</f>
      </c>
      <c r="F703" s="801">
        <f>IF($C$4="Hombre",(+VLOOKUP(INT(D703)+1,Tablas!$G$9:$K$1240,5,0)*(D703-INT(D703))+VLOOKUP(INT(D703),Tablas!$G$9:$K$1240,5,0)*(INT(D703)+1-D703))/(VLOOKUP(INT($C$5)+1,Tablas!$G$9:$K$1240,5,0)*($C$5-INT($C$5))+VLOOKUP(INT($C$5),Tablas!$G$9:$K$124,5,0)*(INT($C$5)+1-$C$5)),(+VLOOKUP(INT(D703)+1,Tablas!$G$9:$O$1240,9,0)*(D703-INT(D703))+VLOOKUP(INT(D703),Tablas!$G$9:$O$1240,9,0)*(INT(D703)+1-D703))/(VLOOKUP(INT($C$5)+1,Tablas!$G$9:$O$1240,9,0)*($C$5-INT($C$5))+VLOOKUP(INT($C$5),Tablas!$G$9:$O$124,9,0)*(INT($C$5)+1-$C$5)))</f>
      </c>
      <c r="G703" s="791">
        <f>IF($C$4="Hombre",(+VLOOKUP(INT(D703)+1,Tablas!$G$9:$K$1240,5,0)*(D703-INT(D703))+VLOOKUP(INT(D703),Tablas!$G$9:$K$1240,5,0)*(INT(D703)+1-D703)),+VLOOKUP(INT(D703)+1,Tablas!$G$9:$O$1240,9,0)*(D703-INT(D703))+VLOOKUP(INT(D703),Tablas!$G$9:$O$1240,9,0)*(INT(D703)+1-D703))</f>
      </c>
      <c r="H703" s="801">
        <f>+IF(MONTH(B703)=1,H702*(1+$C$9),H702)</f>
      </c>
      <c r="I703" s="689">
        <f>IF(B703&lt;$C$10,0,IF(B703&lt;$C$11,$C$8/12*E703*F703*H703,0))</f>
      </c>
      <c r="J703" s="689">
        <f>I703*12/14+IF(OR(MONTH(C703)=6,MONTH(C703)=12),I703*12/14,0)</f>
      </c>
      <c r="K703" s="801">
        <f>G703/$G$15</f>
      </c>
      <c r="L703" s="760"/>
      <c r="M703" s="767"/>
      <c r="N703" s="168"/>
      <c r="O703" s="768"/>
      <c r="P703" s="170"/>
      <c r="Q703" s="7"/>
      <c r="R703" s="766"/>
      <c r="S703" s="170"/>
      <c r="T703" s="168"/>
      <c r="U703" s="170"/>
    </row>
    <row x14ac:dyDescent="0.25" r="704" customHeight="1" ht="18.75">
      <c r="A704" s="1"/>
      <c r="B704" s="799">
        <f>+DATE(YEAR(B703),MONTH(B703)+1,DAY(B703))</f>
        <v>25569.041666666668</v>
      </c>
      <c r="C704" s="799">
        <f>+B705-1</f>
        <v>25569.041666666668</v>
      </c>
      <c r="D704" s="791">
        <f>-_xlfn.DAYS($C$3,C704)/365.25</f>
      </c>
      <c r="E704" s="800">
        <f>IF($D$17+40&lt;=D704,(1+$D$7)^-(D704-$C$5),(1+$C$7)^-(D704-$C$5))</f>
      </c>
      <c r="F704" s="801">
        <f>IF($C$4="Hombre",(+VLOOKUP(INT(D704)+1,Tablas!$G$9:$K$1240,5,0)*(D704-INT(D704))+VLOOKUP(INT(D704),Tablas!$G$9:$K$1240,5,0)*(INT(D704)+1-D704))/(VLOOKUP(INT($C$5)+1,Tablas!$G$9:$K$1240,5,0)*($C$5-INT($C$5))+VLOOKUP(INT($C$5),Tablas!$G$9:$K$124,5,0)*(INT($C$5)+1-$C$5)),(+VLOOKUP(INT(D704)+1,Tablas!$G$9:$O$1240,9,0)*(D704-INT(D704))+VLOOKUP(INT(D704),Tablas!$G$9:$O$1240,9,0)*(INT(D704)+1-D704))/(VLOOKUP(INT($C$5)+1,Tablas!$G$9:$O$1240,9,0)*($C$5-INT($C$5))+VLOOKUP(INT($C$5),Tablas!$G$9:$O$124,9,0)*(INT($C$5)+1-$C$5)))</f>
      </c>
      <c r="G704" s="791">
        <f>IF($C$4="Hombre",(+VLOOKUP(INT(D704)+1,Tablas!$G$9:$K$1240,5,0)*(D704-INT(D704))+VLOOKUP(INT(D704),Tablas!$G$9:$K$1240,5,0)*(INT(D704)+1-D704)),+VLOOKUP(INT(D704)+1,Tablas!$G$9:$O$1240,9,0)*(D704-INT(D704))+VLOOKUP(INT(D704),Tablas!$G$9:$O$1240,9,0)*(INT(D704)+1-D704))</f>
      </c>
      <c r="H704" s="801">
        <f>+IF(MONTH(B704)=1,H703*(1+$C$9),H703)</f>
      </c>
      <c r="I704" s="689">
        <f>IF(B704&lt;$C$10,0,IF(B704&lt;$C$11,$C$8/12*E704*F704*H704,0))</f>
      </c>
      <c r="J704" s="689">
        <f>I704*12/14+IF(OR(MONTH(C704)=6,MONTH(C704)=12),I704*12/14,0)</f>
      </c>
      <c r="K704" s="801">
        <f>G704/$G$15</f>
      </c>
      <c r="L704" s="760"/>
      <c r="M704" s="767"/>
      <c r="N704" s="168"/>
      <c r="O704" s="768"/>
      <c r="P704" s="170"/>
      <c r="Q704" s="7"/>
      <c r="R704" s="766"/>
      <c r="S704" s="170"/>
      <c r="T704" s="168"/>
      <c r="U704" s="170"/>
    </row>
    <row x14ac:dyDescent="0.25" r="705" customHeight="1" ht="18.75">
      <c r="A705" s="1"/>
      <c r="B705" s="799">
        <f>+DATE(YEAR(B704),MONTH(B704)+1,DAY(B704))</f>
        <v>25569.041666666668</v>
      </c>
      <c r="C705" s="799">
        <f>+B706-1</f>
        <v>25569.041666666668</v>
      </c>
      <c r="D705" s="791">
        <f>-_xlfn.DAYS($C$3,C705)/365.25</f>
      </c>
      <c r="E705" s="800">
        <f>IF($D$17+40&lt;=D705,(1+$D$7)^-(D705-$C$5),(1+$C$7)^-(D705-$C$5))</f>
      </c>
      <c r="F705" s="801">
        <f>IF($C$4="Hombre",(+VLOOKUP(INT(D705)+1,Tablas!$G$9:$K$1240,5,0)*(D705-INT(D705))+VLOOKUP(INT(D705),Tablas!$G$9:$K$1240,5,0)*(INT(D705)+1-D705))/(VLOOKUP(INT($C$5)+1,Tablas!$G$9:$K$1240,5,0)*($C$5-INT($C$5))+VLOOKUP(INT($C$5),Tablas!$G$9:$K$124,5,0)*(INT($C$5)+1-$C$5)),(+VLOOKUP(INT(D705)+1,Tablas!$G$9:$O$1240,9,0)*(D705-INT(D705))+VLOOKUP(INT(D705),Tablas!$G$9:$O$1240,9,0)*(INT(D705)+1-D705))/(VLOOKUP(INT($C$5)+1,Tablas!$G$9:$O$1240,9,0)*($C$5-INT($C$5))+VLOOKUP(INT($C$5),Tablas!$G$9:$O$124,9,0)*(INT($C$5)+1-$C$5)))</f>
      </c>
      <c r="G705" s="791">
        <f>IF($C$4="Hombre",(+VLOOKUP(INT(D705)+1,Tablas!$G$9:$K$1240,5,0)*(D705-INT(D705))+VLOOKUP(INT(D705),Tablas!$G$9:$K$1240,5,0)*(INT(D705)+1-D705)),+VLOOKUP(INT(D705)+1,Tablas!$G$9:$O$1240,9,0)*(D705-INT(D705))+VLOOKUP(INT(D705),Tablas!$G$9:$O$1240,9,0)*(INT(D705)+1-D705))</f>
      </c>
      <c r="H705" s="801">
        <f>+IF(MONTH(B705)=1,H704*(1+$C$9),H704)</f>
      </c>
      <c r="I705" s="689">
        <f>IF(B705&lt;$C$10,0,IF(B705&lt;$C$11,$C$8/12*E705*F705*H705,0))</f>
      </c>
      <c r="J705" s="689">
        <f>I705*12/14+IF(OR(MONTH(C705)=6,MONTH(C705)=12),I705*12/14,0)</f>
      </c>
      <c r="K705" s="801">
        <f>G705/$G$15</f>
      </c>
      <c r="L705" s="760"/>
      <c r="M705" s="767"/>
      <c r="N705" s="168"/>
      <c r="O705" s="768"/>
      <c r="P705" s="170"/>
      <c r="Q705" s="7"/>
      <c r="R705" s="766"/>
      <c r="S705" s="170"/>
      <c r="T705" s="168"/>
      <c r="U705" s="170"/>
    </row>
    <row x14ac:dyDescent="0.25" r="706" customHeight="1" ht="18.75">
      <c r="A706" s="1"/>
      <c r="B706" s="799">
        <f>+DATE(YEAR(B705),MONTH(B705)+1,DAY(B705))</f>
        <v>25569.041666666668</v>
      </c>
      <c r="C706" s="799">
        <f>+B707-1</f>
        <v>25569.041666666668</v>
      </c>
      <c r="D706" s="791">
        <f>-_xlfn.DAYS($C$3,C706)/365.25</f>
      </c>
      <c r="E706" s="800">
        <f>IF($D$17+40&lt;=D706,(1+$D$7)^-(D706-$C$5),(1+$C$7)^-(D706-$C$5))</f>
      </c>
      <c r="F706" s="801">
        <f>IF($C$4="Hombre",(+VLOOKUP(INT(D706)+1,Tablas!$G$9:$K$1240,5,0)*(D706-INT(D706))+VLOOKUP(INT(D706),Tablas!$G$9:$K$1240,5,0)*(INT(D706)+1-D706))/(VLOOKUP(INT($C$5)+1,Tablas!$G$9:$K$1240,5,0)*($C$5-INT($C$5))+VLOOKUP(INT($C$5),Tablas!$G$9:$K$124,5,0)*(INT($C$5)+1-$C$5)),(+VLOOKUP(INT(D706)+1,Tablas!$G$9:$O$1240,9,0)*(D706-INT(D706))+VLOOKUP(INT(D706),Tablas!$G$9:$O$1240,9,0)*(INT(D706)+1-D706))/(VLOOKUP(INT($C$5)+1,Tablas!$G$9:$O$1240,9,0)*($C$5-INT($C$5))+VLOOKUP(INT($C$5),Tablas!$G$9:$O$124,9,0)*(INT($C$5)+1-$C$5)))</f>
      </c>
      <c r="G706" s="791">
        <f>IF($C$4="Hombre",(+VLOOKUP(INT(D706)+1,Tablas!$G$9:$K$1240,5,0)*(D706-INT(D706))+VLOOKUP(INT(D706),Tablas!$G$9:$K$1240,5,0)*(INT(D706)+1-D706)),+VLOOKUP(INT(D706)+1,Tablas!$G$9:$O$1240,9,0)*(D706-INT(D706))+VLOOKUP(INT(D706),Tablas!$G$9:$O$1240,9,0)*(INT(D706)+1-D706))</f>
      </c>
      <c r="H706" s="801">
        <f>+IF(MONTH(B706)=1,H705*(1+$C$9),H705)</f>
      </c>
      <c r="I706" s="689">
        <f>IF(B706&lt;$C$10,0,IF(B706&lt;$C$11,$C$8/12*E706*F706*H706,0))</f>
      </c>
      <c r="J706" s="689">
        <f>I706*12/14+IF(OR(MONTH(C706)=6,MONTH(C706)=12),I706*12/14,0)</f>
      </c>
      <c r="K706" s="801">
        <f>G706/$G$15</f>
      </c>
      <c r="L706" s="760"/>
      <c r="M706" s="767"/>
      <c r="N706" s="168"/>
      <c r="O706" s="768"/>
      <c r="P706" s="170"/>
      <c r="Q706" s="7"/>
      <c r="R706" s="766"/>
      <c r="S706" s="170"/>
      <c r="T706" s="168"/>
      <c r="U706" s="170"/>
    </row>
    <row x14ac:dyDescent="0.25" r="707" customHeight="1" ht="18.75">
      <c r="A707" s="1"/>
      <c r="B707" s="799">
        <f>+DATE(YEAR(B706),MONTH(B706)+1,DAY(B706))</f>
        <v>25569.041666666668</v>
      </c>
      <c r="C707" s="799">
        <f>+B708-1</f>
        <v>25569.041666666668</v>
      </c>
      <c r="D707" s="791">
        <f>-_xlfn.DAYS($C$3,C707)/365.25</f>
      </c>
      <c r="E707" s="800">
        <f>IF($D$17+40&lt;=D707,(1+$D$7)^-(D707-$C$5),(1+$C$7)^-(D707-$C$5))</f>
      </c>
      <c r="F707" s="801">
        <f>IF($C$4="Hombre",(+VLOOKUP(INT(D707)+1,Tablas!$G$9:$K$1240,5,0)*(D707-INT(D707))+VLOOKUP(INT(D707),Tablas!$G$9:$K$1240,5,0)*(INT(D707)+1-D707))/(VLOOKUP(INT($C$5)+1,Tablas!$G$9:$K$1240,5,0)*($C$5-INT($C$5))+VLOOKUP(INT($C$5),Tablas!$G$9:$K$124,5,0)*(INT($C$5)+1-$C$5)),(+VLOOKUP(INT(D707)+1,Tablas!$G$9:$O$1240,9,0)*(D707-INT(D707))+VLOOKUP(INT(D707),Tablas!$G$9:$O$1240,9,0)*(INT(D707)+1-D707))/(VLOOKUP(INT($C$5)+1,Tablas!$G$9:$O$1240,9,0)*($C$5-INT($C$5))+VLOOKUP(INT($C$5),Tablas!$G$9:$O$124,9,0)*(INT($C$5)+1-$C$5)))</f>
      </c>
      <c r="G707" s="791">
        <f>IF($C$4="Hombre",(+VLOOKUP(INT(D707)+1,Tablas!$G$9:$K$1240,5,0)*(D707-INT(D707))+VLOOKUP(INT(D707),Tablas!$G$9:$K$1240,5,0)*(INT(D707)+1-D707)),+VLOOKUP(INT(D707)+1,Tablas!$G$9:$O$1240,9,0)*(D707-INT(D707))+VLOOKUP(INT(D707),Tablas!$G$9:$O$1240,9,0)*(INT(D707)+1-D707))</f>
      </c>
      <c r="H707" s="801">
        <f>+IF(MONTH(B707)=1,H706*(1+$C$9),H706)</f>
      </c>
      <c r="I707" s="689">
        <f>IF(B707&lt;$C$10,0,IF(B707&lt;$C$11,$C$8/12*E707*F707*H707,0))</f>
      </c>
      <c r="J707" s="689">
        <f>I707*12/14+IF(OR(MONTH(C707)=6,MONTH(C707)=12),I707*12/14,0)</f>
      </c>
      <c r="K707" s="801">
        <f>G707/$G$15</f>
      </c>
      <c r="L707" s="760"/>
      <c r="M707" s="767"/>
      <c r="N707" s="168"/>
      <c r="O707" s="768"/>
      <c r="P707" s="170"/>
      <c r="Q707" s="7"/>
      <c r="R707" s="766"/>
      <c r="S707" s="170"/>
      <c r="T707" s="168"/>
      <c r="U707" s="170"/>
    </row>
    <row x14ac:dyDescent="0.25" r="708" customHeight="1" ht="18.75">
      <c r="A708" s="1"/>
      <c r="B708" s="799">
        <f>+DATE(YEAR(B707),MONTH(B707)+1,DAY(B707))</f>
        <v>25569.041666666668</v>
      </c>
      <c r="C708" s="799">
        <f>+B709-1</f>
        <v>25569.041666666668</v>
      </c>
      <c r="D708" s="791">
        <f>-_xlfn.DAYS($C$3,C708)/365.25</f>
      </c>
      <c r="E708" s="800">
        <f>IF($D$17+40&lt;=D708,(1+$D$7)^-(D708-$C$5),(1+$C$7)^-(D708-$C$5))</f>
      </c>
      <c r="F708" s="801">
        <f>IF($C$4="Hombre",(+VLOOKUP(INT(D708)+1,Tablas!$G$9:$K$1240,5,0)*(D708-INT(D708))+VLOOKUP(INT(D708),Tablas!$G$9:$K$1240,5,0)*(INT(D708)+1-D708))/(VLOOKUP(INT($C$5)+1,Tablas!$G$9:$K$1240,5,0)*($C$5-INT($C$5))+VLOOKUP(INT($C$5),Tablas!$G$9:$K$124,5,0)*(INT($C$5)+1-$C$5)),(+VLOOKUP(INT(D708)+1,Tablas!$G$9:$O$1240,9,0)*(D708-INT(D708))+VLOOKUP(INT(D708),Tablas!$G$9:$O$1240,9,0)*(INT(D708)+1-D708))/(VLOOKUP(INT($C$5)+1,Tablas!$G$9:$O$1240,9,0)*($C$5-INT($C$5))+VLOOKUP(INT($C$5),Tablas!$G$9:$O$124,9,0)*(INT($C$5)+1-$C$5)))</f>
      </c>
      <c r="G708" s="791">
        <f>IF($C$4="Hombre",(+VLOOKUP(INT(D708)+1,Tablas!$G$9:$K$1240,5,0)*(D708-INT(D708))+VLOOKUP(INT(D708),Tablas!$G$9:$K$1240,5,0)*(INT(D708)+1-D708)),+VLOOKUP(INT(D708)+1,Tablas!$G$9:$O$1240,9,0)*(D708-INT(D708))+VLOOKUP(INT(D708),Tablas!$G$9:$O$1240,9,0)*(INT(D708)+1-D708))</f>
      </c>
      <c r="H708" s="801">
        <f>+IF(MONTH(B708)=1,H707*(1+$C$9),H707)</f>
      </c>
      <c r="I708" s="689">
        <f>IF(B708&lt;$C$10,0,IF(B708&lt;$C$11,$C$8/12*E708*F708*H708,0))</f>
      </c>
      <c r="J708" s="689">
        <f>I708*12/14+IF(OR(MONTH(C708)=6,MONTH(C708)=12),I708*12/14,0)</f>
      </c>
      <c r="K708" s="801">
        <f>G708/$G$15</f>
      </c>
      <c r="L708" s="760"/>
      <c r="M708" s="767"/>
      <c r="N708" s="168"/>
      <c r="O708" s="768"/>
      <c r="P708" s="170"/>
      <c r="Q708" s="7"/>
      <c r="R708" s="766"/>
      <c r="S708" s="170"/>
      <c r="T708" s="168"/>
      <c r="U708" s="170"/>
    </row>
    <row x14ac:dyDescent="0.25" r="709" customHeight="1" ht="18.75">
      <c r="A709" s="1"/>
      <c r="B709" s="799">
        <f>+DATE(YEAR(B708),MONTH(B708)+1,DAY(B708))</f>
        <v>25569.041666666668</v>
      </c>
      <c r="C709" s="799">
        <f>+B710-1</f>
        <v>25569.041666666668</v>
      </c>
      <c r="D709" s="791">
        <f>-_xlfn.DAYS($C$3,C709)/365.25</f>
      </c>
      <c r="E709" s="800">
        <f>IF($D$17+40&lt;=D709,(1+$D$7)^-(D709-$C$5),(1+$C$7)^-(D709-$C$5))</f>
      </c>
      <c r="F709" s="801">
        <f>IF($C$4="Hombre",(+VLOOKUP(INT(D709)+1,Tablas!$G$9:$K$1240,5,0)*(D709-INT(D709))+VLOOKUP(INT(D709),Tablas!$G$9:$K$1240,5,0)*(INT(D709)+1-D709))/(VLOOKUP(INT($C$5)+1,Tablas!$G$9:$K$1240,5,0)*($C$5-INT($C$5))+VLOOKUP(INT($C$5),Tablas!$G$9:$K$124,5,0)*(INT($C$5)+1-$C$5)),(+VLOOKUP(INT(D709)+1,Tablas!$G$9:$O$1240,9,0)*(D709-INT(D709))+VLOOKUP(INT(D709),Tablas!$G$9:$O$1240,9,0)*(INT(D709)+1-D709))/(VLOOKUP(INT($C$5)+1,Tablas!$G$9:$O$1240,9,0)*($C$5-INT($C$5))+VLOOKUP(INT($C$5),Tablas!$G$9:$O$124,9,0)*(INT($C$5)+1-$C$5)))</f>
      </c>
      <c r="G709" s="791">
        <f>IF($C$4="Hombre",(+VLOOKUP(INT(D709)+1,Tablas!$G$9:$K$1240,5,0)*(D709-INT(D709))+VLOOKUP(INT(D709),Tablas!$G$9:$K$1240,5,0)*(INT(D709)+1-D709)),+VLOOKUP(INT(D709)+1,Tablas!$G$9:$O$1240,9,0)*(D709-INT(D709))+VLOOKUP(INT(D709),Tablas!$G$9:$O$1240,9,0)*(INT(D709)+1-D709))</f>
      </c>
      <c r="H709" s="801">
        <f>+IF(MONTH(B709)=1,H708*(1+$C$9),H708)</f>
      </c>
      <c r="I709" s="689">
        <f>IF(B709&lt;$C$10,0,IF(B709&lt;$C$11,$C$8/12*E709*F709*H709,0))</f>
      </c>
      <c r="J709" s="689">
        <f>I709*12/14+IF(OR(MONTH(C709)=6,MONTH(C709)=12),I709*12/14,0)</f>
      </c>
      <c r="K709" s="801">
        <f>G709/$G$15</f>
      </c>
      <c r="L709" s="760"/>
      <c r="M709" s="767"/>
      <c r="N709" s="168"/>
      <c r="O709" s="768"/>
      <c r="P709" s="170"/>
      <c r="Q709" s="7"/>
      <c r="R709" s="766"/>
      <c r="S709" s="170"/>
      <c r="T709" s="168"/>
      <c r="U709" s="170"/>
    </row>
    <row x14ac:dyDescent="0.25" r="710" customHeight="1" ht="18.75">
      <c r="A710" s="1"/>
      <c r="B710" s="799">
        <f>+DATE(YEAR(B709),MONTH(B709)+1,DAY(B709))</f>
        <v>25569.041666666668</v>
      </c>
      <c r="C710" s="799">
        <f>+B711-1</f>
        <v>25569.041666666668</v>
      </c>
      <c r="D710" s="791">
        <f>-_xlfn.DAYS($C$3,C710)/365.25</f>
      </c>
      <c r="E710" s="800">
        <f>IF($D$17+40&lt;=D710,(1+$D$7)^-(D710-$C$5),(1+$C$7)^-(D710-$C$5))</f>
      </c>
      <c r="F710" s="801">
        <f>IF($C$4="Hombre",(+VLOOKUP(INT(D710)+1,Tablas!$G$9:$K$1240,5,0)*(D710-INT(D710))+VLOOKUP(INT(D710),Tablas!$G$9:$K$1240,5,0)*(INT(D710)+1-D710))/(VLOOKUP(INT($C$5)+1,Tablas!$G$9:$K$1240,5,0)*($C$5-INT($C$5))+VLOOKUP(INT($C$5),Tablas!$G$9:$K$124,5,0)*(INT($C$5)+1-$C$5)),(+VLOOKUP(INT(D710)+1,Tablas!$G$9:$O$1240,9,0)*(D710-INT(D710))+VLOOKUP(INT(D710),Tablas!$G$9:$O$1240,9,0)*(INT(D710)+1-D710))/(VLOOKUP(INT($C$5)+1,Tablas!$G$9:$O$1240,9,0)*($C$5-INT($C$5))+VLOOKUP(INT($C$5),Tablas!$G$9:$O$124,9,0)*(INT($C$5)+1-$C$5)))</f>
      </c>
      <c r="G710" s="791">
        <f>IF($C$4="Hombre",(+VLOOKUP(INT(D710)+1,Tablas!$G$9:$K$1240,5,0)*(D710-INT(D710))+VLOOKUP(INT(D710),Tablas!$G$9:$K$1240,5,0)*(INT(D710)+1-D710)),+VLOOKUP(INT(D710)+1,Tablas!$G$9:$O$1240,9,0)*(D710-INT(D710))+VLOOKUP(INT(D710),Tablas!$G$9:$O$1240,9,0)*(INT(D710)+1-D710))</f>
      </c>
      <c r="H710" s="801">
        <f>+IF(MONTH(B710)=1,H709*(1+$C$9),H709)</f>
      </c>
      <c r="I710" s="689">
        <f>IF(B710&lt;$C$10,0,IF(B710&lt;$C$11,$C$8/12*E710*F710*H710,0))</f>
      </c>
      <c r="J710" s="689">
        <f>I710*12/14+IF(OR(MONTH(C710)=6,MONTH(C710)=12),I710*12/14,0)</f>
      </c>
      <c r="K710" s="801">
        <f>G710/$G$15</f>
      </c>
      <c r="L710" s="760"/>
      <c r="M710" s="767"/>
      <c r="N710" s="168"/>
      <c r="O710" s="768"/>
      <c r="P710" s="170"/>
      <c r="Q710" s="7"/>
      <c r="R710" s="766"/>
      <c r="S710" s="170"/>
      <c r="T710" s="168"/>
      <c r="U710" s="170"/>
    </row>
    <row x14ac:dyDescent="0.25" r="711" customHeight="1" ht="18.75">
      <c r="A711" s="1"/>
      <c r="B711" s="799">
        <f>+DATE(YEAR(B710),MONTH(B710)+1,DAY(B710))</f>
        <v>25569.041666666668</v>
      </c>
      <c r="C711" s="799">
        <f>+B712-1</f>
        <v>25569.041666666668</v>
      </c>
      <c r="D711" s="791">
        <f>-_xlfn.DAYS($C$3,C711)/365.25</f>
      </c>
      <c r="E711" s="800">
        <f>IF($D$17+40&lt;=D711,(1+$D$7)^-(D711-$C$5),(1+$C$7)^-(D711-$C$5))</f>
      </c>
      <c r="F711" s="801">
        <f>IF($C$4="Hombre",(+VLOOKUP(INT(D711)+1,Tablas!$G$9:$K$1240,5,0)*(D711-INT(D711))+VLOOKUP(INT(D711),Tablas!$G$9:$K$1240,5,0)*(INT(D711)+1-D711))/(VLOOKUP(INT($C$5)+1,Tablas!$G$9:$K$1240,5,0)*($C$5-INT($C$5))+VLOOKUP(INT($C$5),Tablas!$G$9:$K$124,5,0)*(INT($C$5)+1-$C$5)),(+VLOOKUP(INT(D711)+1,Tablas!$G$9:$O$1240,9,0)*(D711-INT(D711))+VLOOKUP(INT(D711),Tablas!$G$9:$O$1240,9,0)*(INT(D711)+1-D711))/(VLOOKUP(INT($C$5)+1,Tablas!$G$9:$O$1240,9,0)*($C$5-INT($C$5))+VLOOKUP(INT($C$5),Tablas!$G$9:$O$124,9,0)*(INT($C$5)+1-$C$5)))</f>
      </c>
      <c r="G711" s="791">
        <f>IF($C$4="Hombre",(+VLOOKUP(INT(D711)+1,Tablas!$G$9:$K$1240,5,0)*(D711-INT(D711))+VLOOKUP(INT(D711),Tablas!$G$9:$K$1240,5,0)*(INT(D711)+1-D711)),+VLOOKUP(INT(D711)+1,Tablas!$G$9:$O$1240,9,0)*(D711-INT(D711))+VLOOKUP(INT(D711),Tablas!$G$9:$O$1240,9,0)*(INT(D711)+1-D711))</f>
      </c>
      <c r="H711" s="801">
        <f>+IF(MONTH(B711)=1,H710*(1+$C$9),H710)</f>
      </c>
      <c r="I711" s="689">
        <f>IF(B711&lt;$C$10,0,IF(B711&lt;$C$11,$C$8/12*E711*F711*H711,0))</f>
      </c>
      <c r="J711" s="689">
        <f>I711*12/14+IF(OR(MONTH(C711)=6,MONTH(C711)=12),I711*12/14,0)</f>
      </c>
      <c r="K711" s="801">
        <f>G711/$G$15</f>
      </c>
      <c r="L711" s="760"/>
      <c r="M711" s="767"/>
      <c r="N711" s="168"/>
      <c r="O711" s="768"/>
      <c r="P711" s="170"/>
      <c r="Q711" s="7"/>
      <c r="R711" s="766"/>
      <c r="S711" s="170"/>
      <c r="T711" s="168"/>
      <c r="U711" s="170"/>
    </row>
    <row x14ac:dyDescent="0.25" r="712" customHeight="1" ht="18.75">
      <c r="A712" s="1"/>
      <c r="B712" s="799">
        <f>+DATE(YEAR(B711),MONTH(B711)+1,DAY(B711))</f>
        <v>25569.041666666668</v>
      </c>
      <c r="C712" s="799">
        <f>+B713-1</f>
        <v>25569.041666666668</v>
      </c>
      <c r="D712" s="791">
        <f>-_xlfn.DAYS($C$3,C712)/365.25</f>
      </c>
      <c r="E712" s="800">
        <f>IF($D$17+40&lt;=D712,(1+$D$7)^-(D712-$C$5),(1+$C$7)^-(D712-$C$5))</f>
      </c>
      <c r="F712" s="801">
        <f>IF($C$4="Hombre",(+VLOOKUP(INT(D712)+1,Tablas!$G$9:$K$1240,5,0)*(D712-INT(D712))+VLOOKUP(INT(D712),Tablas!$G$9:$K$1240,5,0)*(INT(D712)+1-D712))/(VLOOKUP(INT($C$5)+1,Tablas!$G$9:$K$1240,5,0)*($C$5-INT($C$5))+VLOOKUP(INT($C$5),Tablas!$G$9:$K$124,5,0)*(INT($C$5)+1-$C$5)),(+VLOOKUP(INT(D712)+1,Tablas!$G$9:$O$1240,9,0)*(D712-INT(D712))+VLOOKUP(INT(D712),Tablas!$G$9:$O$1240,9,0)*(INT(D712)+1-D712))/(VLOOKUP(INT($C$5)+1,Tablas!$G$9:$O$1240,9,0)*($C$5-INT($C$5))+VLOOKUP(INT($C$5),Tablas!$G$9:$O$124,9,0)*(INT($C$5)+1-$C$5)))</f>
      </c>
      <c r="G712" s="791">
        <f>IF($C$4="Hombre",(+VLOOKUP(INT(D712)+1,Tablas!$G$9:$K$1240,5,0)*(D712-INT(D712))+VLOOKUP(INT(D712),Tablas!$G$9:$K$1240,5,0)*(INT(D712)+1-D712)),+VLOOKUP(INT(D712)+1,Tablas!$G$9:$O$1240,9,0)*(D712-INT(D712))+VLOOKUP(INT(D712),Tablas!$G$9:$O$1240,9,0)*(INT(D712)+1-D712))</f>
      </c>
      <c r="H712" s="801">
        <f>+IF(MONTH(B712)=1,H711*(1+$C$9),H711)</f>
      </c>
      <c r="I712" s="689">
        <f>IF(B712&lt;$C$10,0,IF(B712&lt;$C$11,$C$8/12*E712*F712*H712,0))</f>
      </c>
      <c r="J712" s="689">
        <f>I712*12/14+IF(OR(MONTH(C712)=6,MONTH(C712)=12),I712*12/14,0)</f>
      </c>
      <c r="K712" s="801">
        <f>G712/$G$15</f>
      </c>
      <c r="L712" s="760"/>
      <c r="M712" s="767"/>
      <c r="N712" s="168"/>
      <c r="O712" s="768"/>
      <c r="P712" s="170"/>
      <c r="Q712" s="7"/>
      <c r="R712" s="766"/>
      <c r="S712" s="170"/>
      <c r="T712" s="168"/>
      <c r="U712" s="170"/>
    </row>
    <row x14ac:dyDescent="0.25" r="713" customHeight="1" ht="18.75">
      <c r="A713" s="1"/>
      <c r="B713" s="799">
        <f>+DATE(YEAR(B712),MONTH(B712)+1,DAY(B712))</f>
        <v>25569.041666666668</v>
      </c>
      <c r="C713" s="799">
        <f>+B714-1</f>
        <v>25569.041666666668</v>
      </c>
      <c r="D713" s="791">
        <f>-_xlfn.DAYS($C$3,C713)/365.25</f>
      </c>
      <c r="E713" s="800">
        <f>IF($D$17+40&lt;=D713,(1+$D$7)^-(D713-$C$5),(1+$C$7)^-(D713-$C$5))</f>
      </c>
      <c r="F713" s="801">
        <f>IF($C$4="Hombre",(+VLOOKUP(INT(D713)+1,Tablas!$G$9:$K$1240,5,0)*(D713-INT(D713))+VLOOKUP(INT(D713),Tablas!$G$9:$K$1240,5,0)*(INT(D713)+1-D713))/(VLOOKUP(INT($C$5)+1,Tablas!$G$9:$K$1240,5,0)*($C$5-INT($C$5))+VLOOKUP(INT($C$5),Tablas!$G$9:$K$124,5,0)*(INT($C$5)+1-$C$5)),(+VLOOKUP(INT(D713)+1,Tablas!$G$9:$O$1240,9,0)*(D713-INT(D713))+VLOOKUP(INT(D713),Tablas!$G$9:$O$1240,9,0)*(INT(D713)+1-D713))/(VLOOKUP(INT($C$5)+1,Tablas!$G$9:$O$1240,9,0)*($C$5-INT($C$5))+VLOOKUP(INT($C$5),Tablas!$G$9:$O$124,9,0)*(INT($C$5)+1-$C$5)))</f>
      </c>
      <c r="G713" s="791">
        <f>IF($C$4="Hombre",(+VLOOKUP(INT(D713)+1,Tablas!$G$9:$K$1240,5,0)*(D713-INT(D713))+VLOOKUP(INT(D713),Tablas!$G$9:$K$1240,5,0)*(INT(D713)+1-D713)),+VLOOKUP(INT(D713)+1,Tablas!$G$9:$O$1240,9,0)*(D713-INT(D713))+VLOOKUP(INT(D713),Tablas!$G$9:$O$1240,9,0)*(INT(D713)+1-D713))</f>
      </c>
      <c r="H713" s="801">
        <f>+IF(MONTH(B713)=1,H712*(1+$C$9),H712)</f>
      </c>
      <c r="I713" s="689">
        <f>IF(B713&lt;$C$10,0,IF(B713&lt;$C$11,$C$8/12*E713*F713*H713,0))</f>
      </c>
      <c r="J713" s="689">
        <f>I713*12/14+IF(OR(MONTH(C713)=6,MONTH(C713)=12),I713*12/14,0)</f>
      </c>
      <c r="K713" s="801">
        <f>G713/$G$15</f>
      </c>
      <c r="L713" s="760"/>
      <c r="M713" s="767"/>
      <c r="N713" s="168"/>
      <c r="O713" s="768"/>
      <c r="P713" s="170"/>
      <c r="Q713" s="7"/>
      <c r="R713" s="766"/>
      <c r="S713" s="170"/>
      <c r="T713" s="168"/>
      <c r="U713" s="170"/>
    </row>
    <row x14ac:dyDescent="0.25" r="714" customHeight="1" ht="18.75">
      <c r="A714" s="1"/>
      <c r="B714" s="799">
        <f>+DATE(YEAR(B713),MONTH(B713)+1,DAY(B713))</f>
        <v>25569.041666666668</v>
      </c>
      <c r="C714" s="799">
        <f>+B715-1</f>
        <v>25569.041666666668</v>
      </c>
      <c r="D714" s="791">
        <f>-_xlfn.DAYS($C$3,C714)/365.25</f>
      </c>
      <c r="E714" s="800">
        <f>IF($D$17+40&lt;=D714,(1+$D$7)^-(D714-$C$5),(1+$C$7)^-(D714-$C$5))</f>
      </c>
      <c r="F714" s="801">
        <f>IF($C$4="Hombre",(+VLOOKUP(INT(D714)+1,Tablas!$G$9:$K$1240,5,0)*(D714-INT(D714))+VLOOKUP(INT(D714),Tablas!$G$9:$K$1240,5,0)*(INT(D714)+1-D714))/(VLOOKUP(INT($C$5)+1,Tablas!$G$9:$K$1240,5,0)*($C$5-INT($C$5))+VLOOKUP(INT($C$5),Tablas!$G$9:$K$124,5,0)*(INT($C$5)+1-$C$5)),(+VLOOKUP(INT(D714)+1,Tablas!$G$9:$O$1240,9,0)*(D714-INT(D714))+VLOOKUP(INT(D714),Tablas!$G$9:$O$1240,9,0)*(INT(D714)+1-D714))/(VLOOKUP(INT($C$5)+1,Tablas!$G$9:$O$1240,9,0)*($C$5-INT($C$5))+VLOOKUP(INT($C$5),Tablas!$G$9:$O$124,9,0)*(INT($C$5)+1-$C$5)))</f>
      </c>
      <c r="G714" s="791">
        <f>IF($C$4="Hombre",(+VLOOKUP(INT(D714)+1,Tablas!$G$9:$K$1240,5,0)*(D714-INT(D714))+VLOOKUP(INT(D714),Tablas!$G$9:$K$1240,5,0)*(INT(D714)+1-D714)),+VLOOKUP(INT(D714)+1,Tablas!$G$9:$O$1240,9,0)*(D714-INT(D714))+VLOOKUP(INT(D714),Tablas!$G$9:$O$1240,9,0)*(INT(D714)+1-D714))</f>
      </c>
      <c r="H714" s="801">
        <f>+IF(MONTH(B714)=1,H713*(1+$C$9),H713)</f>
      </c>
      <c r="I714" s="689">
        <f>IF(B714&lt;$C$10,0,IF(B714&lt;$C$11,$C$8/12*E714*F714*H714,0))</f>
      </c>
      <c r="J714" s="689">
        <f>I714*12/14+IF(OR(MONTH(C714)=6,MONTH(C714)=12),I714*12/14,0)</f>
      </c>
      <c r="K714" s="801">
        <f>G714/$G$15</f>
      </c>
      <c r="L714" s="760"/>
      <c r="M714" s="767"/>
      <c r="N714" s="168"/>
      <c r="O714" s="768"/>
      <c r="P714" s="170"/>
      <c r="Q714" s="7"/>
      <c r="R714" s="766"/>
      <c r="S714" s="170"/>
      <c r="T714" s="168"/>
      <c r="U714" s="170"/>
    </row>
    <row x14ac:dyDescent="0.25" r="715" customHeight="1" ht="18.75">
      <c r="A715" s="1"/>
      <c r="B715" s="799">
        <f>+DATE(YEAR(B714),MONTH(B714)+1,DAY(B714))</f>
        <v>25569.041666666668</v>
      </c>
      <c r="C715" s="799">
        <f>+B716-1</f>
        <v>25569.041666666668</v>
      </c>
      <c r="D715" s="791">
        <f>-_xlfn.DAYS($C$3,C715)/365.25</f>
      </c>
      <c r="E715" s="800">
        <f>IF($D$17+40&lt;=D715,(1+$D$7)^-(D715-$C$5),(1+$C$7)^-(D715-$C$5))</f>
      </c>
      <c r="F715" s="801">
        <f>IF($C$4="Hombre",(+VLOOKUP(INT(D715)+1,Tablas!$G$9:$K$1240,5,0)*(D715-INT(D715))+VLOOKUP(INT(D715),Tablas!$G$9:$K$1240,5,0)*(INT(D715)+1-D715))/(VLOOKUP(INT($C$5)+1,Tablas!$G$9:$K$1240,5,0)*($C$5-INT($C$5))+VLOOKUP(INT($C$5),Tablas!$G$9:$K$124,5,0)*(INT($C$5)+1-$C$5)),(+VLOOKUP(INT(D715)+1,Tablas!$G$9:$O$1240,9,0)*(D715-INT(D715))+VLOOKUP(INT(D715),Tablas!$G$9:$O$1240,9,0)*(INT(D715)+1-D715))/(VLOOKUP(INT($C$5)+1,Tablas!$G$9:$O$1240,9,0)*($C$5-INT($C$5))+VLOOKUP(INT($C$5),Tablas!$G$9:$O$124,9,0)*(INT($C$5)+1-$C$5)))</f>
      </c>
      <c r="G715" s="791">
        <f>IF($C$4="Hombre",(+VLOOKUP(INT(D715)+1,Tablas!$G$9:$K$1240,5,0)*(D715-INT(D715))+VLOOKUP(INT(D715),Tablas!$G$9:$K$1240,5,0)*(INT(D715)+1-D715)),+VLOOKUP(INT(D715)+1,Tablas!$G$9:$O$1240,9,0)*(D715-INT(D715))+VLOOKUP(INT(D715),Tablas!$G$9:$O$1240,9,0)*(INT(D715)+1-D715))</f>
      </c>
      <c r="H715" s="801">
        <f>+IF(MONTH(B715)=1,H714*(1+$C$9),H714)</f>
      </c>
      <c r="I715" s="689">
        <f>IF(B715&lt;$C$10,0,IF(B715&lt;$C$11,$C$8/12*E715*F715*H715,0))</f>
      </c>
      <c r="J715" s="689">
        <f>I715*12/14+IF(OR(MONTH(C715)=6,MONTH(C715)=12),I715*12/14,0)</f>
      </c>
      <c r="K715" s="801">
        <f>G715/$G$15</f>
      </c>
      <c r="L715" s="760"/>
      <c r="M715" s="767"/>
      <c r="N715" s="168"/>
      <c r="O715" s="768"/>
      <c r="P715" s="170"/>
      <c r="Q715" s="7"/>
      <c r="R715" s="766"/>
      <c r="S715" s="170"/>
      <c r="T715" s="168"/>
      <c r="U715" s="170"/>
    </row>
    <row x14ac:dyDescent="0.25" r="716" customHeight="1" ht="18.75">
      <c r="A716" s="1"/>
      <c r="B716" s="799">
        <f>+DATE(YEAR(B715),MONTH(B715)+1,DAY(B715))</f>
        <v>25569.041666666668</v>
      </c>
      <c r="C716" s="799">
        <f>+B717-1</f>
        <v>25569.041666666668</v>
      </c>
      <c r="D716" s="791">
        <f>-_xlfn.DAYS($C$3,C716)/365.25</f>
      </c>
      <c r="E716" s="800">
        <f>IF($D$17+40&lt;=D716,(1+$D$7)^-(D716-$C$5),(1+$C$7)^-(D716-$C$5))</f>
      </c>
      <c r="F716" s="801">
        <f>IF($C$4="Hombre",(+VLOOKUP(INT(D716)+1,Tablas!$G$9:$K$1240,5,0)*(D716-INT(D716))+VLOOKUP(INT(D716),Tablas!$G$9:$K$1240,5,0)*(INT(D716)+1-D716))/(VLOOKUP(INT($C$5)+1,Tablas!$G$9:$K$1240,5,0)*($C$5-INT($C$5))+VLOOKUP(INT($C$5),Tablas!$G$9:$K$124,5,0)*(INT($C$5)+1-$C$5)),(+VLOOKUP(INT(D716)+1,Tablas!$G$9:$O$1240,9,0)*(D716-INT(D716))+VLOOKUP(INT(D716),Tablas!$G$9:$O$1240,9,0)*(INT(D716)+1-D716))/(VLOOKUP(INT($C$5)+1,Tablas!$G$9:$O$1240,9,0)*($C$5-INT($C$5))+VLOOKUP(INT($C$5),Tablas!$G$9:$O$124,9,0)*(INT($C$5)+1-$C$5)))</f>
      </c>
      <c r="G716" s="791">
        <f>IF($C$4="Hombre",(+VLOOKUP(INT(D716)+1,Tablas!$G$9:$K$1240,5,0)*(D716-INT(D716))+VLOOKUP(INT(D716),Tablas!$G$9:$K$1240,5,0)*(INT(D716)+1-D716)),+VLOOKUP(INT(D716)+1,Tablas!$G$9:$O$1240,9,0)*(D716-INT(D716))+VLOOKUP(INT(D716),Tablas!$G$9:$O$1240,9,0)*(INT(D716)+1-D716))</f>
      </c>
      <c r="H716" s="801">
        <f>+IF(MONTH(B716)=1,H715*(1+$C$9),H715)</f>
      </c>
      <c r="I716" s="689">
        <f>IF(B716&lt;$C$10,0,IF(B716&lt;$C$11,$C$8/12*E716*F716*H716,0))</f>
      </c>
      <c r="J716" s="689">
        <f>I716*12/14+IF(OR(MONTH(C716)=6,MONTH(C716)=12),I716*12/14,0)</f>
      </c>
      <c r="K716" s="801">
        <f>G716/$G$15</f>
      </c>
      <c r="L716" s="760"/>
      <c r="M716" s="767"/>
      <c r="N716" s="168"/>
      <c r="O716" s="768"/>
      <c r="P716" s="170"/>
      <c r="Q716" s="7"/>
      <c r="R716" s="766"/>
      <c r="S716" s="170"/>
      <c r="T716" s="168"/>
      <c r="U716" s="170"/>
    </row>
    <row x14ac:dyDescent="0.25" r="717" customHeight="1" ht="18.75">
      <c r="A717" s="1"/>
      <c r="B717" s="799">
        <f>+DATE(YEAR(B716),MONTH(B716)+1,DAY(B716))</f>
        <v>25569.041666666668</v>
      </c>
      <c r="C717" s="799">
        <f>+B718-1</f>
        <v>25569.041666666668</v>
      </c>
      <c r="D717" s="791">
        <f>-_xlfn.DAYS($C$3,C717)/365.25</f>
      </c>
      <c r="E717" s="800">
        <f>IF($D$17+40&lt;=D717,(1+$D$7)^-(D717-$C$5),(1+$C$7)^-(D717-$C$5))</f>
      </c>
      <c r="F717" s="801">
        <f>IF($C$4="Hombre",(+VLOOKUP(INT(D717)+1,Tablas!$G$9:$K$1240,5,0)*(D717-INT(D717))+VLOOKUP(INT(D717),Tablas!$G$9:$K$1240,5,0)*(INT(D717)+1-D717))/(VLOOKUP(INT($C$5)+1,Tablas!$G$9:$K$1240,5,0)*($C$5-INT($C$5))+VLOOKUP(INT($C$5),Tablas!$G$9:$K$124,5,0)*(INT($C$5)+1-$C$5)),(+VLOOKUP(INT(D717)+1,Tablas!$G$9:$O$1240,9,0)*(D717-INT(D717))+VLOOKUP(INT(D717),Tablas!$G$9:$O$1240,9,0)*(INT(D717)+1-D717))/(VLOOKUP(INT($C$5)+1,Tablas!$G$9:$O$1240,9,0)*($C$5-INT($C$5))+VLOOKUP(INT($C$5),Tablas!$G$9:$O$124,9,0)*(INT($C$5)+1-$C$5)))</f>
      </c>
      <c r="G717" s="791">
        <f>IF($C$4="Hombre",(+VLOOKUP(INT(D717)+1,Tablas!$G$9:$K$1240,5,0)*(D717-INT(D717))+VLOOKUP(INT(D717),Tablas!$G$9:$K$1240,5,0)*(INT(D717)+1-D717)),+VLOOKUP(INT(D717)+1,Tablas!$G$9:$O$1240,9,0)*(D717-INT(D717))+VLOOKUP(INT(D717),Tablas!$G$9:$O$1240,9,0)*(INT(D717)+1-D717))</f>
      </c>
      <c r="H717" s="801">
        <f>+IF(MONTH(B717)=1,H716*(1+$C$9),H716)</f>
      </c>
      <c r="I717" s="689">
        <f>IF(B717&lt;$C$10,0,IF(B717&lt;$C$11,$C$8/12*E717*F717*H717,0))</f>
      </c>
      <c r="J717" s="689">
        <f>I717*12/14+IF(OR(MONTH(C717)=6,MONTH(C717)=12),I717*12/14,0)</f>
      </c>
      <c r="K717" s="801">
        <f>G717/$G$15</f>
      </c>
      <c r="L717" s="760"/>
      <c r="M717" s="767"/>
      <c r="N717" s="168"/>
      <c r="O717" s="768"/>
      <c r="P717" s="170"/>
      <c r="Q717" s="7"/>
      <c r="R717" s="766"/>
      <c r="S717" s="170"/>
      <c r="T717" s="168"/>
      <c r="U717" s="170"/>
    </row>
    <row x14ac:dyDescent="0.25" r="718" customHeight="1" ht="18.75">
      <c r="A718" s="1"/>
      <c r="B718" s="799">
        <f>+DATE(YEAR(B717),MONTH(B717)+1,DAY(B717))</f>
        <v>25569.041666666668</v>
      </c>
      <c r="C718" s="799">
        <f>+B719-1</f>
        <v>25569.041666666668</v>
      </c>
      <c r="D718" s="791">
        <f>-_xlfn.DAYS($C$3,C718)/365.25</f>
      </c>
      <c r="E718" s="800">
        <f>IF($D$17+40&lt;=D718,(1+$D$7)^-(D718-$C$5),(1+$C$7)^-(D718-$C$5))</f>
      </c>
      <c r="F718" s="801">
        <f>IF($C$4="Hombre",(+VLOOKUP(INT(D718)+1,Tablas!$G$9:$K$1240,5,0)*(D718-INT(D718))+VLOOKUP(INT(D718),Tablas!$G$9:$K$1240,5,0)*(INT(D718)+1-D718))/(VLOOKUP(INT($C$5)+1,Tablas!$G$9:$K$1240,5,0)*($C$5-INT($C$5))+VLOOKUP(INT($C$5),Tablas!$G$9:$K$124,5,0)*(INT($C$5)+1-$C$5)),(+VLOOKUP(INT(D718)+1,Tablas!$G$9:$O$1240,9,0)*(D718-INT(D718))+VLOOKUP(INT(D718),Tablas!$G$9:$O$1240,9,0)*(INT(D718)+1-D718))/(VLOOKUP(INT($C$5)+1,Tablas!$G$9:$O$1240,9,0)*($C$5-INT($C$5))+VLOOKUP(INT($C$5),Tablas!$G$9:$O$124,9,0)*(INT($C$5)+1-$C$5)))</f>
      </c>
      <c r="G718" s="791">
        <f>IF($C$4="Hombre",(+VLOOKUP(INT(D718)+1,Tablas!$G$9:$K$1240,5,0)*(D718-INT(D718))+VLOOKUP(INT(D718),Tablas!$G$9:$K$1240,5,0)*(INT(D718)+1-D718)),+VLOOKUP(INT(D718)+1,Tablas!$G$9:$O$1240,9,0)*(D718-INT(D718))+VLOOKUP(INT(D718),Tablas!$G$9:$O$1240,9,0)*(INT(D718)+1-D718))</f>
      </c>
      <c r="H718" s="801">
        <f>+IF(MONTH(B718)=1,H717*(1+$C$9),H717)</f>
      </c>
      <c r="I718" s="689">
        <f>IF(B718&lt;$C$10,0,IF(B718&lt;$C$11,$C$8/12*E718*F718*H718,0))</f>
      </c>
      <c r="J718" s="689">
        <f>I718*12/14+IF(OR(MONTH(C718)=6,MONTH(C718)=12),I718*12/14,0)</f>
      </c>
      <c r="K718" s="801">
        <f>G718/$G$15</f>
      </c>
      <c r="L718" s="760"/>
      <c r="M718" s="767"/>
      <c r="N718" s="168"/>
      <c r="O718" s="768"/>
      <c r="P718" s="170"/>
      <c r="Q718" s="7"/>
      <c r="R718" s="766"/>
      <c r="S718" s="170"/>
      <c r="T718" s="168"/>
      <c r="U718" s="170"/>
    </row>
    <row x14ac:dyDescent="0.25" r="719" customHeight="1" ht="18.75">
      <c r="A719" s="1"/>
      <c r="B719" s="799">
        <f>+DATE(YEAR(B718),MONTH(B718)+1,DAY(B718))</f>
        <v>25569.041666666668</v>
      </c>
      <c r="C719" s="799">
        <f>+B720-1</f>
        <v>25569.041666666668</v>
      </c>
      <c r="D719" s="791">
        <f>-_xlfn.DAYS($C$3,C719)/365.25</f>
      </c>
      <c r="E719" s="800">
        <f>IF($D$17+40&lt;=D719,(1+$D$7)^-(D719-$C$5),(1+$C$7)^-(D719-$C$5))</f>
      </c>
      <c r="F719" s="801">
        <f>IF($C$4="Hombre",(+VLOOKUP(INT(D719)+1,Tablas!$G$9:$K$1240,5,0)*(D719-INT(D719))+VLOOKUP(INT(D719),Tablas!$G$9:$K$1240,5,0)*(INT(D719)+1-D719))/(VLOOKUP(INT($C$5)+1,Tablas!$G$9:$K$1240,5,0)*($C$5-INT($C$5))+VLOOKUP(INT($C$5),Tablas!$G$9:$K$124,5,0)*(INT($C$5)+1-$C$5)),(+VLOOKUP(INT(D719)+1,Tablas!$G$9:$O$1240,9,0)*(D719-INT(D719))+VLOOKUP(INT(D719),Tablas!$G$9:$O$1240,9,0)*(INT(D719)+1-D719))/(VLOOKUP(INT($C$5)+1,Tablas!$G$9:$O$1240,9,0)*($C$5-INT($C$5))+VLOOKUP(INT($C$5),Tablas!$G$9:$O$124,9,0)*(INT($C$5)+1-$C$5)))</f>
      </c>
      <c r="G719" s="791">
        <f>IF($C$4="Hombre",(+VLOOKUP(INT(D719)+1,Tablas!$G$9:$K$1240,5,0)*(D719-INT(D719))+VLOOKUP(INT(D719),Tablas!$G$9:$K$1240,5,0)*(INT(D719)+1-D719)),+VLOOKUP(INT(D719)+1,Tablas!$G$9:$O$1240,9,0)*(D719-INT(D719))+VLOOKUP(INT(D719),Tablas!$G$9:$O$1240,9,0)*(INT(D719)+1-D719))</f>
      </c>
      <c r="H719" s="801">
        <f>+IF(MONTH(B719)=1,H718*(1+$C$9),H718)</f>
      </c>
      <c r="I719" s="689">
        <f>IF(B719&lt;$C$10,0,IF(B719&lt;$C$11,$C$8/12*E719*F719*H719,0))</f>
      </c>
      <c r="J719" s="689">
        <f>I719*12/14+IF(OR(MONTH(C719)=6,MONTH(C719)=12),I719*12/14,0)</f>
      </c>
      <c r="K719" s="801">
        <f>G719/$G$15</f>
      </c>
      <c r="L719" s="760"/>
      <c r="M719" s="767"/>
      <c r="N719" s="168"/>
      <c r="O719" s="768"/>
      <c r="P719" s="170"/>
      <c r="Q719" s="7"/>
      <c r="R719" s="766"/>
      <c r="S719" s="170"/>
      <c r="T719" s="168"/>
      <c r="U719" s="170"/>
    </row>
    <row x14ac:dyDescent="0.25" r="720" customHeight="1" ht="18.75">
      <c r="A720" s="1"/>
      <c r="B720" s="799">
        <f>+DATE(YEAR(B719),MONTH(B719)+1,DAY(B719))</f>
        <v>25569.041666666668</v>
      </c>
      <c r="C720" s="799">
        <f>+B721-1</f>
        <v>25569.041666666668</v>
      </c>
      <c r="D720" s="791">
        <f>-_xlfn.DAYS($C$3,C720)/365.25</f>
      </c>
      <c r="E720" s="800">
        <f>IF($D$17+40&lt;=D720,(1+$D$7)^-(D720-$C$5),(1+$C$7)^-(D720-$C$5))</f>
      </c>
      <c r="F720" s="801">
        <f>IF($C$4="Hombre",(+VLOOKUP(INT(D720)+1,Tablas!$G$9:$K$1240,5,0)*(D720-INT(D720))+VLOOKUP(INT(D720),Tablas!$G$9:$K$1240,5,0)*(INT(D720)+1-D720))/(VLOOKUP(INT($C$5)+1,Tablas!$G$9:$K$1240,5,0)*($C$5-INT($C$5))+VLOOKUP(INT($C$5),Tablas!$G$9:$K$124,5,0)*(INT($C$5)+1-$C$5)),(+VLOOKUP(INT(D720)+1,Tablas!$G$9:$O$1240,9,0)*(D720-INT(D720))+VLOOKUP(INT(D720),Tablas!$G$9:$O$1240,9,0)*(INT(D720)+1-D720))/(VLOOKUP(INT($C$5)+1,Tablas!$G$9:$O$1240,9,0)*($C$5-INT($C$5))+VLOOKUP(INT($C$5),Tablas!$G$9:$O$124,9,0)*(INT($C$5)+1-$C$5)))</f>
      </c>
      <c r="G720" s="791">
        <f>IF($C$4="Hombre",(+VLOOKUP(INT(D720)+1,Tablas!$G$9:$K$1240,5,0)*(D720-INT(D720))+VLOOKUP(INT(D720),Tablas!$G$9:$K$1240,5,0)*(INT(D720)+1-D720)),+VLOOKUP(INT(D720)+1,Tablas!$G$9:$O$1240,9,0)*(D720-INT(D720))+VLOOKUP(INT(D720),Tablas!$G$9:$O$1240,9,0)*(INT(D720)+1-D720))</f>
      </c>
      <c r="H720" s="801">
        <f>+IF(MONTH(B720)=1,H719*(1+$C$9),H719)</f>
      </c>
      <c r="I720" s="689">
        <f>IF(B720&lt;$C$10,0,IF(B720&lt;$C$11,$C$8/12*E720*F720*H720,0))</f>
      </c>
      <c r="J720" s="689">
        <f>I720*12/14+IF(OR(MONTH(C720)=6,MONTH(C720)=12),I720*12/14,0)</f>
      </c>
      <c r="K720" s="801">
        <f>G720/$G$15</f>
      </c>
      <c r="L720" s="760"/>
      <c r="M720" s="767"/>
      <c r="N720" s="168"/>
      <c r="O720" s="768"/>
      <c r="P720" s="170"/>
      <c r="Q720" s="7"/>
      <c r="R720" s="766"/>
      <c r="S720" s="170"/>
      <c r="T720" s="168"/>
      <c r="U720" s="170"/>
    </row>
    <row x14ac:dyDescent="0.25" r="721" customHeight="1" ht="18.75">
      <c r="A721" s="1"/>
      <c r="B721" s="799">
        <f>+DATE(YEAR(B720),MONTH(B720)+1,DAY(B720))</f>
        <v>25569.041666666668</v>
      </c>
      <c r="C721" s="799">
        <f>+B722-1</f>
        <v>25569.041666666668</v>
      </c>
      <c r="D721" s="791">
        <f>-_xlfn.DAYS($C$3,C721)/365.25</f>
      </c>
      <c r="E721" s="800">
        <f>IF($D$17+40&lt;=D721,(1+$D$7)^-(D721-$C$5),(1+$C$7)^-(D721-$C$5))</f>
      </c>
      <c r="F721" s="801">
        <f>IF($C$4="Hombre",(+VLOOKUP(INT(D721)+1,Tablas!$G$9:$K$1240,5,0)*(D721-INT(D721))+VLOOKUP(INT(D721),Tablas!$G$9:$K$1240,5,0)*(INT(D721)+1-D721))/(VLOOKUP(INT($C$5)+1,Tablas!$G$9:$K$1240,5,0)*($C$5-INT($C$5))+VLOOKUP(INT($C$5),Tablas!$G$9:$K$124,5,0)*(INT($C$5)+1-$C$5)),(+VLOOKUP(INT(D721)+1,Tablas!$G$9:$O$1240,9,0)*(D721-INT(D721))+VLOOKUP(INT(D721),Tablas!$G$9:$O$1240,9,0)*(INT(D721)+1-D721))/(VLOOKUP(INT($C$5)+1,Tablas!$G$9:$O$1240,9,0)*($C$5-INT($C$5))+VLOOKUP(INT($C$5),Tablas!$G$9:$O$124,9,0)*(INT($C$5)+1-$C$5)))</f>
      </c>
      <c r="G721" s="791">
        <f>IF($C$4="Hombre",(+VLOOKUP(INT(D721)+1,Tablas!$G$9:$K$1240,5,0)*(D721-INT(D721))+VLOOKUP(INT(D721),Tablas!$G$9:$K$1240,5,0)*(INT(D721)+1-D721)),+VLOOKUP(INT(D721)+1,Tablas!$G$9:$O$1240,9,0)*(D721-INT(D721))+VLOOKUP(INT(D721),Tablas!$G$9:$O$1240,9,0)*(INT(D721)+1-D721))</f>
      </c>
      <c r="H721" s="801">
        <f>+IF(MONTH(B721)=1,H720*(1+$C$9),H720)</f>
      </c>
      <c r="I721" s="689">
        <f>IF(B721&lt;$C$10,0,IF(B721&lt;$C$11,$C$8/12*E721*F721*H721,0))</f>
      </c>
      <c r="J721" s="689">
        <f>I721*12/14+IF(OR(MONTH(C721)=6,MONTH(C721)=12),I721*12/14,0)</f>
      </c>
      <c r="K721" s="801">
        <f>G721/$G$15</f>
      </c>
      <c r="L721" s="760"/>
      <c r="M721" s="767"/>
      <c r="N721" s="168"/>
      <c r="O721" s="768"/>
      <c r="P721" s="170"/>
      <c r="Q721" s="7"/>
      <c r="R721" s="766"/>
      <c r="S721" s="170"/>
      <c r="T721" s="168"/>
      <c r="U721" s="170"/>
    </row>
    <row x14ac:dyDescent="0.25" r="722" customHeight="1" ht="18.75">
      <c r="A722" s="1"/>
      <c r="B722" s="799">
        <f>+DATE(YEAR(B721),MONTH(B721)+1,DAY(B721))</f>
        <v>25569.041666666668</v>
      </c>
      <c r="C722" s="799">
        <f>+B723-1</f>
        <v>25569.041666666668</v>
      </c>
      <c r="D722" s="791">
        <f>-_xlfn.DAYS($C$3,C722)/365.25</f>
      </c>
      <c r="E722" s="800">
        <f>IF($D$17+40&lt;=D722,(1+$D$7)^-(D722-$C$5),(1+$C$7)^-(D722-$C$5))</f>
      </c>
      <c r="F722" s="801">
        <f>IF($C$4="Hombre",(+VLOOKUP(INT(D722)+1,Tablas!$G$9:$K$1240,5,0)*(D722-INT(D722))+VLOOKUP(INT(D722),Tablas!$G$9:$K$1240,5,0)*(INT(D722)+1-D722))/(VLOOKUP(INT($C$5)+1,Tablas!$G$9:$K$1240,5,0)*($C$5-INT($C$5))+VLOOKUP(INT($C$5),Tablas!$G$9:$K$124,5,0)*(INT($C$5)+1-$C$5)),(+VLOOKUP(INT(D722)+1,Tablas!$G$9:$O$1240,9,0)*(D722-INT(D722))+VLOOKUP(INT(D722),Tablas!$G$9:$O$1240,9,0)*(INT(D722)+1-D722))/(VLOOKUP(INT($C$5)+1,Tablas!$G$9:$O$1240,9,0)*($C$5-INT($C$5))+VLOOKUP(INT($C$5),Tablas!$G$9:$O$124,9,0)*(INT($C$5)+1-$C$5)))</f>
      </c>
      <c r="G722" s="791">
        <f>IF($C$4="Hombre",(+VLOOKUP(INT(D722)+1,Tablas!$G$9:$K$1240,5,0)*(D722-INT(D722))+VLOOKUP(INT(D722),Tablas!$G$9:$K$1240,5,0)*(INT(D722)+1-D722)),+VLOOKUP(INT(D722)+1,Tablas!$G$9:$O$1240,9,0)*(D722-INT(D722))+VLOOKUP(INT(D722),Tablas!$G$9:$O$1240,9,0)*(INT(D722)+1-D722))</f>
      </c>
      <c r="H722" s="801">
        <f>+IF(MONTH(B722)=1,H721*(1+$C$9),H721)</f>
      </c>
      <c r="I722" s="689">
        <f>IF(B722&lt;$C$10,0,IF(B722&lt;$C$11,$C$8/12*E722*F722*H722,0))</f>
      </c>
      <c r="J722" s="689">
        <f>I722*12/14+IF(OR(MONTH(C722)=6,MONTH(C722)=12),I722*12/14,0)</f>
      </c>
      <c r="K722" s="801">
        <f>G722/$G$15</f>
      </c>
      <c r="L722" s="760"/>
      <c r="M722" s="767"/>
      <c r="N722" s="168"/>
      <c r="O722" s="768"/>
      <c r="P722" s="170"/>
      <c r="Q722" s="7"/>
      <c r="R722" s="766"/>
      <c r="S722" s="170"/>
      <c r="T722" s="168"/>
      <c r="U722" s="170"/>
    </row>
    <row x14ac:dyDescent="0.25" r="723" customHeight="1" ht="18.75">
      <c r="A723" s="1"/>
      <c r="B723" s="799">
        <f>+DATE(YEAR(B722),MONTH(B722)+1,DAY(B722))</f>
        <v>25569.041666666668</v>
      </c>
      <c r="C723" s="799">
        <f>+B724-1</f>
        <v>25569.041666666668</v>
      </c>
      <c r="D723" s="791">
        <f>-_xlfn.DAYS($C$3,C723)/365.25</f>
      </c>
      <c r="E723" s="800">
        <f>IF($D$17+40&lt;=D723,(1+$D$7)^-(D723-$C$5),(1+$C$7)^-(D723-$C$5))</f>
      </c>
      <c r="F723" s="801">
        <f>IF($C$4="Hombre",(+VLOOKUP(INT(D723)+1,Tablas!$G$9:$K$1240,5,0)*(D723-INT(D723))+VLOOKUP(INT(D723),Tablas!$G$9:$K$1240,5,0)*(INT(D723)+1-D723))/(VLOOKUP(INT($C$5)+1,Tablas!$G$9:$K$1240,5,0)*($C$5-INT($C$5))+VLOOKUP(INT($C$5),Tablas!$G$9:$K$124,5,0)*(INT($C$5)+1-$C$5)),(+VLOOKUP(INT(D723)+1,Tablas!$G$9:$O$1240,9,0)*(D723-INT(D723))+VLOOKUP(INT(D723),Tablas!$G$9:$O$1240,9,0)*(INT(D723)+1-D723))/(VLOOKUP(INT($C$5)+1,Tablas!$G$9:$O$1240,9,0)*($C$5-INT($C$5))+VLOOKUP(INT($C$5),Tablas!$G$9:$O$124,9,0)*(INT($C$5)+1-$C$5)))</f>
      </c>
      <c r="G723" s="791">
        <f>IF($C$4="Hombre",(+VLOOKUP(INT(D723)+1,Tablas!$G$9:$K$1240,5,0)*(D723-INT(D723))+VLOOKUP(INT(D723),Tablas!$G$9:$K$1240,5,0)*(INT(D723)+1-D723)),+VLOOKUP(INT(D723)+1,Tablas!$G$9:$O$1240,9,0)*(D723-INT(D723))+VLOOKUP(INT(D723),Tablas!$G$9:$O$1240,9,0)*(INT(D723)+1-D723))</f>
      </c>
      <c r="H723" s="801">
        <f>+IF(MONTH(B723)=1,H722*(1+$C$9),H722)</f>
      </c>
      <c r="I723" s="689">
        <f>IF(B723&lt;$C$10,0,IF(B723&lt;$C$11,$C$8/12*E723*F723*H723,0))</f>
      </c>
      <c r="J723" s="689">
        <f>I723*12/14+IF(OR(MONTH(C723)=6,MONTH(C723)=12),I723*12/14,0)</f>
      </c>
      <c r="K723" s="801">
        <f>G723/$G$15</f>
      </c>
      <c r="L723" s="760"/>
      <c r="M723" s="767"/>
      <c r="N723" s="168"/>
      <c r="O723" s="768"/>
      <c r="P723" s="170"/>
      <c r="Q723" s="7"/>
      <c r="R723" s="766"/>
      <c r="S723" s="170"/>
      <c r="T723" s="168"/>
      <c r="U723" s="170"/>
    </row>
    <row x14ac:dyDescent="0.25" r="724" customHeight="1" ht="18.75">
      <c r="A724" s="1"/>
      <c r="B724" s="799">
        <f>+DATE(YEAR(B723),MONTH(B723)+1,DAY(B723))</f>
        <v>25569.041666666668</v>
      </c>
      <c r="C724" s="799">
        <f>+B725-1</f>
        <v>25569.041666666668</v>
      </c>
      <c r="D724" s="791">
        <f>-_xlfn.DAYS($C$3,C724)/365.25</f>
      </c>
      <c r="E724" s="800">
        <f>IF($D$17+40&lt;=D724,(1+$D$7)^-(D724-$C$5),(1+$C$7)^-(D724-$C$5))</f>
      </c>
      <c r="F724" s="801">
        <f>IF($C$4="Hombre",(+VLOOKUP(INT(D724)+1,Tablas!$G$9:$K$1240,5,0)*(D724-INT(D724))+VLOOKUP(INT(D724),Tablas!$G$9:$K$1240,5,0)*(INT(D724)+1-D724))/(VLOOKUP(INT($C$5)+1,Tablas!$G$9:$K$1240,5,0)*($C$5-INT($C$5))+VLOOKUP(INT($C$5),Tablas!$G$9:$K$124,5,0)*(INT($C$5)+1-$C$5)),(+VLOOKUP(INT(D724)+1,Tablas!$G$9:$O$1240,9,0)*(D724-INT(D724))+VLOOKUP(INT(D724),Tablas!$G$9:$O$1240,9,0)*(INT(D724)+1-D724))/(VLOOKUP(INT($C$5)+1,Tablas!$G$9:$O$1240,9,0)*($C$5-INT($C$5))+VLOOKUP(INT($C$5),Tablas!$G$9:$O$124,9,0)*(INT($C$5)+1-$C$5)))</f>
      </c>
      <c r="G724" s="791">
        <f>IF($C$4="Hombre",(+VLOOKUP(INT(D724)+1,Tablas!$G$9:$K$1240,5,0)*(D724-INT(D724))+VLOOKUP(INT(D724),Tablas!$G$9:$K$1240,5,0)*(INT(D724)+1-D724)),+VLOOKUP(INT(D724)+1,Tablas!$G$9:$O$1240,9,0)*(D724-INT(D724))+VLOOKUP(INT(D724),Tablas!$G$9:$O$1240,9,0)*(INT(D724)+1-D724))</f>
      </c>
      <c r="H724" s="801">
        <f>+IF(MONTH(B724)=1,H723*(1+$C$9),H723)</f>
      </c>
      <c r="I724" s="689">
        <f>IF(B724&lt;$C$10,0,IF(B724&lt;$C$11,$C$8/12*E724*F724*H724,0))</f>
      </c>
      <c r="J724" s="689">
        <f>I724*12/14+IF(OR(MONTH(C724)=6,MONTH(C724)=12),I724*12/14,0)</f>
      </c>
      <c r="K724" s="801">
        <f>G724/$G$15</f>
      </c>
      <c r="L724" s="760"/>
      <c r="M724" s="767"/>
      <c r="N724" s="168"/>
      <c r="O724" s="768"/>
      <c r="P724" s="170"/>
      <c r="Q724" s="7"/>
      <c r="R724" s="766"/>
      <c r="S724" s="170"/>
      <c r="T724" s="168"/>
      <c r="U724" s="170"/>
    </row>
    <row x14ac:dyDescent="0.25" r="725" customHeight="1" ht="18.75">
      <c r="A725" s="1"/>
      <c r="B725" s="799">
        <f>+DATE(YEAR(B724),MONTH(B724)+1,DAY(B724))</f>
        <v>25569.041666666668</v>
      </c>
      <c r="C725" s="799">
        <f>+B726-1</f>
        <v>25569.041666666668</v>
      </c>
      <c r="D725" s="791">
        <f>-_xlfn.DAYS($C$3,C725)/365.25</f>
      </c>
      <c r="E725" s="800">
        <f>IF($D$17+40&lt;=D725,(1+$D$7)^-(D725-$C$5),(1+$C$7)^-(D725-$C$5))</f>
      </c>
      <c r="F725" s="801">
        <f>IF($C$4="Hombre",(+VLOOKUP(INT(D725)+1,Tablas!$G$9:$K$1240,5,0)*(D725-INT(D725))+VLOOKUP(INT(D725),Tablas!$G$9:$K$1240,5,0)*(INT(D725)+1-D725))/(VLOOKUP(INT($C$5)+1,Tablas!$G$9:$K$1240,5,0)*($C$5-INT($C$5))+VLOOKUP(INT($C$5),Tablas!$G$9:$K$124,5,0)*(INT($C$5)+1-$C$5)),(+VLOOKUP(INT(D725)+1,Tablas!$G$9:$O$1240,9,0)*(D725-INT(D725))+VLOOKUP(INT(D725),Tablas!$G$9:$O$1240,9,0)*(INT(D725)+1-D725))/(VLOOKUP(INT($C$5)+1,Tablas!$G$9:$O$1240,9,0)*($C$5-INT($C$5))+VLOOKUP(INT($C$5),Tablas!$G$9:$O$124,9,0)*(INT($C$5)+1-$C$5)))</f>
      </c>
      <c r="G725" s="791">
        <f>IF($C$4="Hombre",(+VLOOKUP(INT(D725)+1,Tablas!$G$9:$K$1240,5,0)*(D725-INT(D725))+VLOOKUP(INT(D725),Tablas!$G$9:$K$1240,5,0)*(INT(D725)+1-D725)),+VLOOKUP(INT(D725)+1,Tablas!$G$9:$O$1240,9,0)*(D725-INT(D725))+VLOOKUP(INT(D725),Tablas!$G$9:$O$1240,9,0)*(INT(D725)+1-D725))</f>
      </c>
      <c r="H725" s="801">
        <f>+IF(MONTH(B725)=1,H724*(1+$C$9),H724)</f>
      </c>
      <c r="I725" s="689">
        <f>IF(B725&lt;$C$10,0,IF(B725&lt;$C$11,$C$8/12*E725*F725*H725,0))</f>
      </c>
      <c r="J725" s="689">
        <f>I725*12/14+IF(OR(MONTH(C725)=6,MONTH(C725)=12),I725*12/14,0)</f>
      </c>
      <c r="K725" s="801">
        <f>G725/$G$15</f>
      </c>
      <c r="L725" s="760"/>
      <c r="M725" s="767"/>
      <c r="N725" s="168"/>
      <c r="O725" s="768"/>
      <c r="P725" s="170"/>
      <c r="Q725" s="7"/>
      <c r="R725" s="766"/>
      <c r="S725" s="170"/>
      <c r="T725" s="168"/>
      <c r="U725" s="170"/>
    </row>
    <row x14ac:dyDescent="0.25" r="726" customHeight="1" ht="18.75">
      <c r="A726" s="1"/>
      <c r="B726" s="799">
        <f>+DATE(YEAR(B725),MONTH(B725)+1,DAY(B725))</f>
        <v>25569.041666666668</v>
      </c>
      <c r="C726" s="799">
        <f>+B727-1</f>
        <v>25569.041666666668</v>
      </c>
      <c r="D726" s="791">
        <f>-_xlfn.DAYS($C$3,C726)/365.25</f>
      </c>
      <c r="E726" s="800">
        <f>IF($D$17+40&lt;=D726,(1+$D$7)^-(D726-$C$5),(1+$C$7)^-(D726-$C$5))</f>
      </c>
      <c r="F726" s="801">
        <f>IF($C$4="Hombre",(+VLOOKUP(INT(D726)+1,Tablas!$G$9:$K$1240,5,0)*(D726-INT(D726))+VLOOKUP(INT(D726),Tablas!$G$9:$K$1240,5,0)*(INT(D726)+1-D726))/(VLOOKUP(INT($C$5)+1,Tablas!$G$9:$K$1240,5,0)*($C$5-INT($C$5))+VLOOKUP(INT($C$5),Tablas!$G$9:$K$124,5,0)*(INT($C$5)+1-$C$5)),(+VLOOKUP(INT(D726)+1,Tablas!$G$9:$O$1240,9,0)*(D726-INT(D726))+VLOOKUP(INT(D726),Tablas!$G$9:$O$1240,9,0)*(INT(D726)+1-D726))/(VLOOKUP(INT($C$5)+1,Tablas!$G$9:$O$1240,9,0)*($C$5-INT($C$5))+VLOOKUP(INT($C$5),Tablas!$G$9:$O$124,9,0)*(INT($C$5)+1-$C$5)))</f>
      </c>
      <c r="G726" s="791">
        <f>IF($C$4="Hombre",(+VLOOKUP(INT(D726)+1,Tablas!$G$9:$K$1240,5,0)*(D726-INT(D726))+VLOOKUP(INT(D726),Tablas!$G$9:$K$1240,5,0)*(INT(D726)+1-D726)),+VLOOKUP(INT(D726)+1,Tablas!$G$9:$O$1240,9,0)*(D726-INT(D726))+VLOOKUP(INT(D726),Tablas!$G$9:$O$1240,9,0)*(INT(D726)+1-D726))</f>
      </c>
      <c r="H726" s="801">
        <f>+IF(MONTH(B726)=1,H725*(1+$C$9),H725)</f>
      </c>
      <c r="I726" s="689">
        <f>IF(B726&lt;$C$10,0,IF(B726&lt;$C$11,$C$8/12*E726*F726*H726,0))</f>
      </c>
      <c r="J726" s="689">
        <f>I726*12/14+IF(OR(MONTH(C726)=6,MONTH(C726)=12),I726*12/14,0)</f>
      </c>
      <c r="K726" s="801">
        <f>G726/$G$15</f>
      </c>
      <c r="L726" s="760"/>
      <c r="M726" s="767"/>
      <c r="N726" s="168"/>
      <c r="O726" s="768"/>
      <c r="P726" s="170"/>
      <c r="Q726" s="7"/>
      <c r="R726" s="766"/>
      <c r="S726" s="170"/>
      <c r="T726" s="168"/>
      <c r="U726" s="170"/>
    </row>
    <row x14ac:dyDescent="0.25" r="727" customHeight="1" ht="18.75">
      <c r="A727" s="1"/>
      <c r="B727" s="799">
        <f>+DATE(YEAR(B726),MONTH(B726)+1,DAY(B726))</f>
        <v>25569.041666666668</v>
      </c>
      <c r="C727" s="799">
        <f>+B728-1</f>
        <v>25569.041666666668</v>
      </c>
      <c r="D727" s="791">
        <f>-_xlfn.DAYS($C$3,C727)/365.25</f>
      </c>
      <c r="E727" s="800">
        <f>IF($D$17+40&lt;=D727,(1+$D$7)^-(D727-$C$5),(1+$C$7)^-(D727-$C$5))</f>
      </c>
      <c r="F727" s="801">
        <f>IF($C$4="Hombre",(+VLOOKUP(INT(D727)+1,Tablas!$G$9:$K$1240,5,0)*(D727-INT(D727))+VLOOKUP(INT(D727),Tablas!$G$9:$K$1240,5,0)*(INT(D727)+1-D727))/(VLOOKUP(INT($C$5)+1,Tablas!$G$9:$K$1240,5,0)*($C$5-INT($C$5))+VLOOKUP(INT($C$5),Tablas!$G$9:$K$124,5,0)*(INT($C$5)+1-$C$5)),(+VLOOKUP(INT(D727)+1,Tablas!$G$9:$O$1240,9,0)*(D727-INT(D727))+VLOOKUP(INT(D727),Tablas!$G$9:$O$1240,9,0)*(INT(D727)+1-D727))/(VLOOKUP(INT($C$5)+1,Tablas!$G$9:$O$1240,9,0)*($C$5-INT($C$5))+VLOOKUP(INT($C$5),Tablas!$G$9:$O$124,9,0)*(INT($C$5)+1-$C$5)))</f>
      </c>
      <c r="G727" s="791">
        <f>IF($C$4="Hombre",(+VLOOKUP(INT(D727)+1,Tablas!$G$9:$K$1240,5,0)*(D727-INT(D727))+VLOOKUP(INT(D727),Tablas!$G$9:$K$1240,5,0)*(INT(D727)+1-D727)),+VLOOKUP(INT(D727)+1,Tablas!$G$9:$O$1240,9,0)*(D727-INT(D727))+VLOOKUP(INT(D727),Tablas!$G$9:$O$1240,9,0)*(INT(D727)+1-D727))</f>
      </c>
      <c r="H727" s="801">
        <f>+IF(MONTH(B727)=1,H726*(1+$C$9),H726)</f>
      </c>
      <c r="I727" s="689">
        <f>IF(B727&lt;$C$10,0,IF(B727&lt;$C$11,$C$8/12*E727*F727*H727,0))</f>
      </c>
      <c r="J727" s="689">
        <f>I727*12/14+IF(OR(MONTH(C727)=6,MONTH(C727)=12),I727*12/14,0)</f>
      </c>
      <c r="K727" s="801">
        <f>G727/$G$15</f>
      </c>
      <c r="L727" s="760"/>
      <c r="M727" s="767"/>
      <c r="N727" s="168"/>
      <c r="O727" s="768"/>
      <c r="P727" s="170"/>
      <c r="Q727" s="7"/>
      <c r="R727" s="766"/>
      <c r="S727" s="170"/>
      <c r="T727" s="168"/>
      <c r="U727" s="170"/>
    </row>
    <row x14ac:dyDescent="0.25" r="728" customHeight="1" ht="18.75">
      <c r="A728" s="1"/>
      <c r="B728" s="799">
        <f>+DATE(YEAR(B727),MONTH(B727)+1,DAY(B727))</f>
        <v>25569.041666666668</v>
      </c>
      <c r="C728" s="799">
        <f>+B729-1</f>
        <v>25569.041666666668</v>
      </c>
      <c r="D728" s="791">
        <f>-_xlfn.DAYS($C$3,C728)/365.25</f>
      </c>
      <c r="E728" s="800">
        <f>IF($D$17+40&lt;=D728,(1+$D$7)^-(D728-$C$5),(1+$C$7)^-(D728-$C$5))</f>
      </c>
      <c r="F728" s="801">
        <f>IF($C$4="Hombre",(+VLOOKUP(INT(D728)+1,Tablas!$G$9:$K$1240,5,0)*(D728-INT(D728))+VLOOKUP(INT(D728),Tablas!$G$9:$K$1240,5,0)*(INT(D728)+1-D728))/(VLOOKUP(INT($C$5)+1,Tablas!$G$9:$K$1240,5,0)*($C$5-INT($C$5))+VLOOKUP(INT($C$5),Tablas!$G$9:$K$124,5,0)*(INT($C$5)+1-$C$5)),(+VLOOKUP(INT(D728)+1,Tablas!$G$9:$O$1240,9,0)*(D728-INT(D728))+VLOOKUP(INT(D728),Tablas!$G$9:$O$1240,9,0)*(INT(D728)+1-D728))/(VLOOKUP(INT($C$5)+1,Tablas!$G$9:$O$1240,9,0)*($C$5-INT($C$5))+VLOOKUP(INT($C$5),Tablas!$G$9:$O$124,9,0)*(INT($C$5)+1-$C$5)))</f>
      </c>
      <c r="G728" s="791">
        <f>IF($C$4="Hombre",(+VLOOKUP(INT(D728)+1,Tablas!$G$9:$K$1240,5,0)*(D728-INT(D728))+VLOOKUP(INT(D728),Tablas!$G$9:$K$1240,5,0)*(INT(D728)+1-D728)),+VLOOKUP(INT(D728)+1,Tablas!$G$9:$O$1240,9,0)*(D728-INT(D728))+VLOOKUP(INT(D728),Tablas!$G$9:$O$1240,9,0)*(INT(D728)+1-D728))</f>
      </c>
      <c r="H728" s="801">
        <f>+IF(MONTH(B728)=1,H727*(1+$C$9),H727)</f>
      </c>
      <c r="I728" s="689">
        <f>IF(B728&lt;$C$10,0,IF(B728&lt;$C$11,$C$8/12*E728*F728*H728,0))</f>
      </c>
      <c r="J728" s="689">
        <f>I728*12/14+IF(OR(MONTH(C728)=6,MONTH(C728)=12),I728*12/14,0)</f>
      </c>
      <c r="K728" s="801">
        <f>G728/$G$15</f>
      </c>
      <c r="L728" s="760"/>
      <c r="M728" s="767"/>
      <c r="N728" s="168"/>
      <c r="O728" s="768"/>
      <c r="P728" s="170"/>
      <c r="Q728" s="7"/>
      <c r="R728" s="766"/>
      <c r="S728" s="170"/>
      <c r="T728" s="168"/>
      <c r="U728" s="170"/>
    </row>
    <row x14ac:dyDescent="0.25" r="729" customHeight="1" ht="18.75">
      <c r="A729" s="1"/>
      <c r="B729" s="799">
        <f>+DATE(YEAR(B728),MONTH(B728)+1,DAY(B728))</f>
        <v>25569.041666666668</v>
      </c>
      <c r="C729" s="799">
        <f>+B730-1</f>
        <v>25569.041666666668</v>
      </c>
      <c r="D729" s="791">
        <f>-_xlfn.DAYS($C$3,C729)/365.25</f>
      </c>
      <c r="E729" s="800">
        <f>IF($D$17+40&lt;=D729,(1+$D$7)^-(D729-$C$5),(1+$C$7)^-(D729-$C$5))</f>
      </c>
      <c r="F729" s="801">
        <f>IF($C$4="Hombre",(+VLOOKUP(INT(D729)+1,Tablas!$G$9:$K$1240,5,0)*(D729-INT(D729))+VLOOKUP(INT(D729),Tablas!$G$9:$K$1240,5,0)*(INT(D729)+1-D729))/(VLOOKUP(INT($C$5)+1,Tablas!$G$9:$K$1240,5,0)*($C$5-INT($C$5))+VLOOKUP(INT($C$5),Tablas!$G$9:$K$124,5,0)*(INT($C$5)+1-$C$5)),(+VLOOKUP(INT(D729)+1,Tablas!$G$9:$O$1240,9,0)*(D729-INT(D729))+VLOOKUP(INT(D729),Tablas!$G$9:$O$1240,9,0)*(INT(D729)+1-D729))/(VLOOKUP(INT($C$5)+1,Tablas!$G$9:$O$1240,9,0)*($C$5-INT($C$5))+VLOOKUP(INT($C$5),Tablas!$G$9:$O$124,9,0)*(INT($C$5)+1-$C$5)))</f>
      </c>
      <c r="G729" s="791">
        <f>IF($C$4="Hombre",(+VLOOKUP(INT(D729)+1,Tablas!$G$9:$K$1240,5,0)*(D729-INT(D729))+VLOOKUP(INT(D729),Tablas!$G$9:$K$1240,5,0)*(INT(D729)+1-D729)),+VLOOKUP(INT(D729)+1,Tablas!$G$9:$O$1240,9,0)*(D729-INT(D729))+VLOOKUP(INT(D729),Tablas!$G$9:$O$1240,9,0)*(INT(D729)+1-D729))</f>
      </c>
      <c r="H729" s="801">
        <f>+IF(MONTH(B729)=1,H728*(1+$C$9),H728)</f>
      </c>
      <c r="I729" s="689">
        <f>IF(B729&lt;$C$10,0,IF(B729&lt;$C$11,$C$8/12*E729*F729*H729,0))</f>
      </c>
      <c r="J729" s="689">
        <f>I729*12/14+IF(OR(MONTH(C729)=6,MONTH(C729)=12),I729*12/14,0)</f>
      </c>
      <c r="K729" s="801">
        <f>G729/$G$15</f>
      </c>
      <c r="L729" s="760"/>
      <c r="M729" s="767"/>
      <c r="N729" s="168"/>
      <c r="O729" s="768"/>
      <c r="P729" s="170"/>
      <c r="Q729" s="7"/>
      <c r="R729" s="766"/>
      <c r="S729" s="170"/>
      <c r="T729" s="168"/>
      <c r="U729" s="170"/>
    </row>
    <row x14ac:dyDescent="0.25" r="730" customHeight="1" ht="18.75">
      <c r="A730" s="1"/>
      <c r="B730" s="799">
        <f>+DATE(YEAR(B729),MONTH(B729)+1,DAY(B729))</f>
        <v>25569.041666666668</v>
      </c>
      <c r="C730" s="799">
        <f>+B731-1</f>
        <v>25569.041666666668</v>
      </c>
      <c r="D730" s="791">
        <f>-_xlfn.DAYS($C$3,C730)/365.25</f>
      </c>
      <c r="E730" s="800">
        <f>IF($D$17+40&lt;=D730,(1+$D$7)^-(D730-$C$5),(1+$C$7)^-(D730-$C$5))</f>
      </c>
      <c r="F730" s="801">
        <f>IF($C$4="Hombre",(+VLOOKUP(INT(D730)+1,Tablas!$G$9:$K$1240,5,0)*(D730-INT(D730))+VLOOKUP(INT(D730),Tablas!$G$9:$K$1240,5,0)*(INT(D730)+1-D730))/(VLOOKUP(INT($C$5)+1,Tablas!$G$9:$K$1240,5,0)*($C$5-INT($C$5))+VLOOKUP(INT($C$5),Tablas!$G$9:$K$124,5,0)*(INT($C$5)+1-$C$5)),(+VLOOKUP(INT(D730)+1,Tablas!$G$9:$O$1240,9,0)*(D730-INT(D730))+VLOOKUP(INT(D730),Tablas!$G$9:$O$1240,9,0)*(INT(D730)+1-D730))/(VLOOKUP(INT($C$5)+1,Tablas!$G$9:$O$1240,9,0)*($C$5-INT($C$5))+VLOOKUP(INT($C$5),Tablas!$G$9:$O$124,9,0)*(INT($C$5)+1-$C$5)))</f>
      </c>
      <c r="G730" s="791">
        <f>IF($C$4="Hombre",(+VLOOKUP(INT(D730)+1,Tablas!$G$9:$K$1240,5,0)*(D730-INT(D730))+VLOOKUP(INT(D730),Tablas!$G$9:$K$1240,5,0)*(INT(D730)+1-D730)),+VLOOKUP(INT(D730)+1,Tablas!$G$9:$O$1240,9,0)*(D730-INT(D730))+VLOOKUP(INT(D730),Tablas!$G$9:$O$1240,9,0)*(INT(D730)+1-D730))</f>
      </c>
      <c r="H730" s="801">
        <f>+IF(MONTH(B730)=1,H729*(1+$C$9),H729)</f>
      </c>
      <c r="I730" s="689">
        <f>IF(B730&lt;$C$10,0,IF(B730&lt;$C$11,$C$8/12*E730*F730*H730,0))</f>
      </c>
      <c r="J730" s="689">
        <f>I730*12/14+IF(OR(MONTH(C730)=6,MONTH(C730)=12),I730*12/14,0)</f>
      </c>
      <c r="K730" s="801">
        <f>G730/$G$15</f>
      </c>
      <c r="L730" s="760"/>
      <c r="M730" s="767"/>
      <c r="N730" s="168"/>
      <c r="O730" s="768"/>
      <c r="P730" s="170"/>
      <c r="Q730" s="7"/>
      <c r="R730" s="766"/>
      <c r="S730" s="170"/>
      <c r="T730" s="168"/>
      <c r="U730" s="170"/>
    </row>
    <row x14ac:dyDescent="0.25" r="731" customHeight="1" ht="18.75">
      <c r="A731" s="1"/>
      <c r="B731" s="799">
        <f>+DATE(YEAR(B730),MONTH(B730)+1,DAY(B730))</f>
        <v>25569.041666666668</v>
      </c>
      <c r="C731" s="799">
        <f>+B732-1</f>
        <v>25569.041666666668</v>
      </c>
      <c r="D731" s="791">
        <f>-_xlfn.DAYS($C$3,C731)/365.25</f>
      </c>
      <c r="E731" s="800">
        <f>IF($D$17+40&lt;=D731,(1+$D$7)^-(D731-$C$5),(1+$C$7)^-(D731-$C$5))</f>
      </c>
      <c r="F731" s="801">
        <f>IF($C$4="Hombre",(+VLOOKUP(INT(D731)+1,Tablas!$G$9:$K$1240,5,0)*(D731-INT(D731))+VLOOKUP(INT(D731),Tablas!$G$9:$K$1240,5,0)*(INT(D731)+1-D731))/(VLOOKUP(INT($C$5)+1,Tablas!$G$9:$K$1240,5,0)*($C$5-INT($C$5))+VLOOKUP(INT($C$5),Tablas!$G$9:$K$124,5,0)*(INT($C$5)+1-$C$5)),(+VLOOKUP(INT(D731)+1,Tablas!$G$9:$O$1240,9,0)*(D731-INT(D731))+VLOOKUP(INT(D731),Tablas!$G$9:$O$1240,9,0)*(INT(D731)+1-D731))/(VLOOKUP(INT($C$5)+1,Tablas!$G$9:$O$1240,9,0)*($C$5-INT($C$5))+VLOOKUP(INT($C$5),Tablas!$G$9:$O$124,9,0)*(INT($C$5)+1-$C$5)))</f>
      </c>
      <c r="G731" s="791">
        <f>IF($C$4="Hombre",(+VLOOKUP(INT(D731)+1,Tablas!$G$9:$K$1240,5,0)*(D731-INT(D731))+VLOOKUP(INT(D731),Tablas!$G$9:$K$1240,5,0)*(INT(D731)+1-D731)),+VLOOKUP(INT(D731)+1,Tablas!$G$9:$O$1240,9,0)*(D731-INT(D731))+VLOOKUP(INT(D731),Tablas!$G$9:$O$1240,9,0)*(INT(D731)+1-D731))</f>
      </c>
      <c r="H731" s="801">
        <f>+IF(MONTH(B731)=1,H730*(1+$C$9),H730)</f>
      </c>
      <c r="I731" s="689">
        <f>IF(B731&lt;$C$10,0,IF(B731&lt;$C$11,$C$8/12*E731*F731*H731,0))</f>
      </c>
      <c r="J731" s="689">
        <f>I731*12/14+IF(OR(MONTH(C731)=6,MONTH(C731)=12),I731*12/14,0)</f>
      </c>
      <c r="K731" s="801">
        <f>G731/$G$15</f>
      </c>
      <c r="L731" s="760"/>
      <c r="M731" s="767"/>
      <c r="N731" s="168"/>
      <c r="O731" s="768"/>
      <c r="P731" s="170"/>
      <c r="Q731" s="7"/>
      <c r="R731" s="766"/>
      <c r="S731" s="170"/>
      <c r="T731" s="168"/>
      <c r="U731" s="170"/>
    </row>
    <row x14ac:dyDescent="0.25" r="732" customHeight="1" ht="18.75">
      <c r="A732" s="1"/>
      <c r="B732" s="799">
        <f>+DATE(YEAR(B731),MONTH(B731)+1,DAY(B731))</f>
        <v>25569.041666666668</v>
      </c>
      <c r="C732" s="799">
        <f>+B733-1</f>
        <v>25569.041666666668</v>
      </c>
      <c r="D732" s="791">
        <f>-_xlfn.DAYS($C$3,C732)/365.25</f>
      </c>
      <c r="E732" s="800">
        <f>IF($D$17+40&lt;=D732,(1+$D$7)^-(D732-$C$5),(1+$C$7)^-(D732-$C$5))</f>
      </c>
      <c r="F732" s="801">
        <f>IF($C$4="Hombre",(+VLOOKUP(INT(D732)+1,Tablas!$G$9:$K$1240,5,0)*(D732-INT(D732))+VLOOKUP(INT(D732),Tablas!$G$9:$K$1240,5,0)*(INT(D732)+1-D732))/(VLOOKUP(INT($C$5)+1,Tablas!$G$9:$K$1240,5,0)*($C$5-INT($C$5))+VLOOKUP(INT($C$5),Tablas!$G$9:$K$124,5,0)*(INT($C$5)+1-$C$5)),(+VLOOKUP(INT(D732)+1,Tablas!$G$9:$O$1240,9,0)*(D732-INT(D732))+VLOOKUP(INT(D732),Tablas!$G$9:$O$1240,9,0)*(INT(D732)+1-D732))/(VLOOKUP(INT($C$5)+1,Tablas!$G$9:$O$1240,9,0)*($C$5-INT($C$5))+VLOOKUP(INT($C$5),Tablas!$G$9:$O$124,9,0)*(INT($C$5)+1-$C$5)))</f>
      </c>
      <c r="G732" s="791">
        <f>IF($C$4="Hombre",(+VLOOKUP(INT(D732)+1,Tablas!$G$9:$K$1240,5,0)*(D732-INT(D732))+VLOOKUP(INT(D732),Tablas!$G$9:$K$1240,5,0)*(INT(D732)+1-D732)),+VLOOKUP(INT(D732)+1,Tablas!$G$9:$O$1240,9,0)*(D732-INT(D732))+VLOOKUP(INT(D732),Tablas!$G$9:$O$1240,9,0)*(INT(D732)+1-D732))</f>
      </c>
      <c r="H732" s="801">
        <f>+IF(MONTH(B732)=1,H731*(1+$C$9),H731)</f>
      </c>
      <c r="I732" s="689">
        <f>IF(B732&lt;$C$10,0,IF(B732&lt;$C$11,$C$8/12*E732*F732*H732,0))</f>
      </c>
      <c r="J732" s="689">
        <f>I732*12/14+IF(OR(MONTH(C732)=6,MONTH(C732)=12),I732*12/14,0)</f>
      </c>
      <c r="K732" s="801">
        <f>G732/$G$15</f>
      </c>
      <c r="L732" s="760"/>
      <c r="M732" s="767"/>
      <c r="N732" s="168"/>
      <c r="O732" s="768"/>
      <c r="P732" s="170"/>
      <c r="Q732" s="7"/>
      <c r="R732" s="766"/>
      <c r="S732" s="170"/>
      <c r="T732" s="168"/>
      <c r="U732" s="170"/>
    </row>
    <row x14ac:dyDescent="0.25" r="733" customHeight="1" ht="18.75">
      <c r="A733" s="1"/>
      <c r="B733" s="799">
        <f>+DATE(YEAR(B732),MONTH(B732)+1,DAY(B732))</f>
        <v>25569.041666666668</v>
      </c>
      <c r="C733" s="799">
        <f>+B734-1</f>
        <v>25569.041666666668</v>
      </c>
      <c r="D733" s="791">
        <f>-_xlfn.DAYS($C$3,C733)/365.25</f>
      </c>
      <c r="E733" s="800">
        <f>IF($D$17+40&lt;=D733,(1+$D$7)^-(D733-$C$5),(1+$C$7)^-(D733-$C$5))</f>
      </c>
      <c r="F733" s="801">
        <f>IF($C$4="Hombre",(+VLOOKUP(INT(D733)+1,Tablas!$G$9:$K$1240,5,0)*(D733-INT(D733))+VLOOKUP(INT(D733),Tablas!$G$9:$K$1240,5,0)*(INT(D733)+1-D733))/(VLOOKUP(INT($C$5)+1,Tablas!$G$9:$K$1240,5,0)*($C$5-INT($C$5))+VLOOKUP(INT($C$5),Tablas!$G$9:$K$124,5,0)*(INT($C$5)+1-$C$5)),(+VLOOKUP(INT(D733)+1,Tablas!$G$9:$O$1240,9,0)*(D733-INT(D733))+VLOOKUP(INT(D733),Tablas!$G$9:$O$1240,9,0)*(INT(D733)+1-D733))/(VLOOKUP(INT($C$5)+1,Tablas!$G$9:$O$1240,9,0)*($C$5-INT($C$5))+VLOOKUP(INT($C$5),Tablas!$G$9:$O$124,9,0)*(INT($C$5)+1-$C$5)))</f>
      </c>
      <c r="G733" s="791">
        <f>IF($C$4="Hombre",(+VLOOKUP(INT(D733)+1,Tablas!$G$9:$K$1240,5,0)*(D733-INT(D733))+VLOOKUP(INT(D733),Tablas!$G$9:$K$1240,5,0)*(INT(D733)+1-D733)),+VLOOKUP(INT(D733)+1,Tablas!$G$9:$O$1240,9,0)*(D733-INT(D733))+VLOOKUP(INT(D733),Tablas!$G$9:$O$1240,9,0)*(INT(D733)+1-D733))</f>
      </c>
      <c r="H733" s="801">
        <f>+IF(MONTH(B733)=1,H732*(1+$C$9),H732)</f>
      </c>
      <c r="I733" s="689">
        <f>IF(B733&lt;$C$10,0,IF(B733&lt;$C$11,$C$8/12*E733*F733*H733,0))</f>
      </c>
      <c r="J733" s="689">
        <f>I733*12/14+IF(OR(MONTH(C733)=6,MONTH(C733)=12),I733*12/14,0)</f>
      </c>
      <c r="K733" s="801">
        <f>G733/$G$15</f>
      </c>
      <c r="L733" s="760"/>
      <c r="M733" s="767"/>
      <c r="N733" s="168"/>
      <c r="O733" s="768"/>
      <c r="P733" s="170"/>
      <c r="Q733" s="7"/>
      <c r="R733" s="766"/>
      <c r="S733" s="170"/>
      <c r="T733" s="168"/>
      <c r="U733" s="170"/>
    </row>
    <row x14ac:dyDescent="0.25" r="734" customHeight="1" ht="18.75">
      <c r="A734" s="1"/>
      <c r="B734" s="799">
        <f>+DATE(YEAR(B733),MONTH(B733)+1,DAY(B733))</f>
        <v>25569.041666666668</v>
      </c>
      <c r="C734" s="799">
        <f>+B735-1</f>
        <v>25569.041666666668</v>
      </c>
      <c r="D734" s="791">
        <f>-_xlfn.DAYS($C$3,C734)/365.25</f>
      </c>
      <c r="E734" s="800">
        <f>IF($D$17+40&lt;=D734,(1+$D$7)^-(D734-$C$5),(1+$C$7)^-(D734-$C$5))</f>
      </c>
      <c r="F734" s="801">
        <f>IF($C$4="Hombre",(+VLOOKUP(INT(D734)+1,Tablas!$G$9:$K$1240,5,0)*(D734-INT(D734))+VLOOKUP(INT(D734),Tablas!$G$9:$K$1240,5,0)*(INT(D734)+1-D734))/(VLOOKUP(INT($C$5)+1,Tablas!$G$9:$K$1240,5,0)*($C$5-INT($C$5))+VLOOKUP(INT($C$5),Tablas!$G$9:$K$124,5,0)*(INT($C$5)+1-$C$5)),(+VLOOKUP(INT(D734)+1,Tablas!$G$9:$O$1240,9,0)*(D734-INT(D734))+VLOOKUP(INT(D734),Tablas!$G$9:$O$1240,9,0)*(INT(D734)+1-D734))/(VLOOKUP(INT($C$5)+1,Tablas!$G$9:$O$1240,9,0)*($C$5-INT($C$5))+VLOOKUP(INT($C$5),Tablas!$G$9:$O$124,9,0)*(INT($C$5)+1-$C$5)))</f>
      </c>
      <c r="G734" s="791">
        <f>IF($C$4="Hombre",(+VLOOKUP(INT(D734)+1,Tablas!$G$9:$K$1240,5,0)*(D734-INT(D734))+VLOOKUP(INT(D734),Tablas!$G$9:$K$1240,5,0)*(INT(D734)+1-D734)),+VLOOKUP(INT(D734)+1,Tablas!$G$9:$O$1240,9,0)*(D734-INT(D734))+VLOOKUP(INT(D734),Tablas!$G$9:$O$1240,9,0)*(INT(D734)+1-D734))</f>
      </c>
      <c r="H734" s="801">
        <f>+IF(MONTH(B734)=1,H733*(1+$C$9),H733)</f>
      </c>
      <c r="I734" s="689">
        <f>IF(B734&lt;$C$10,0,IF(B734&lt;$C$11,$C$8/12*E734*F734*H734,0))</f>
      </c>
      <c r="J734" s="689">
        <f>I734*12/14+IF(OR(MONTH(C734)=6,MONTH(C734)=12),I734*12/14,0)</f>
      </c>
      <c r="K734" s="801">
        <f>G734/$G$15</f>
      </c>
      <c r="L734" s="760"/>
      <c r="M734" s="767"/>
      <c r="N734" s="168"/>
      <c r="O734" s="768"/>
      <c r="P734" s="170"/>
      <c r="Q734" s="7"/>
      <c r="R734" s="766"/>
      <c r="S734" s="170"/>
      <c r="T734" s="168"/>
      <c r="U734" s="170"/>
    </row>
    <row x14ac:dyDescent="0.25" r="735" customHeight="1" ht="18.75">
      <c r="A735" s="1"/>
      <c r="B735" s="799">
        <f>+DATE(YEAR(B734),MONTH(B734)+1,DAY(B734))</f>
        <v>25569.041666666668</v>
      </c>
      <c r="C735" s="799">
        <f>+B736-1</f>
        <v>25569.041666666668</v>
      </c>
      <c r="D735" s="791">
        <f>-_xlfn.DAYS($C$3,C735)/365.25</f>
      </c>
      <c r="E735" s="800">
        <f>IF($D$17+40&lt;=D735,(1+$D$7)^-(D735-$C$5),(1+$C$7)^-(D735-$C$5))</f>
      </c>
      <c r="F735" s="801">
        <f>IF($C$4="Hombre",(+VLOOKUP(INT(D735)+1,Tablas!$G$9:$K$1240,5,0)*(D735-INT(D735))+VLOOKUP(INT(D735),Tablas!$G$9:$K$1240,5,0)*(INT(D735)+1-D735))/(VLOOKUP(INT($C$5)+1,Tablas!$G$9:$K$1240,5,0)*($C$5-INT($C$5))+VLOOKUP(INT($C$5),Tablas!$G$9:$K$124,5,0)*(INT($C$5)+1-$C$5)),(+VLOOKUP(INT(D735)+1,Tablas!$G$9:$O$1240,9,0)*(D735-INT(D735))+VLOOKUP(INT(D735),Tablas!$G$9:$O$1240,9,0)*(INT(D735)+1-D735))/(VLOOKUP(INT($C$5)+1,Tablas!$G$9:$O$1240,9,0)*($C$5-INT($C$5))+VLOOKUP(INT($C$5),Tablas!$G$9:$O$124,9,0)*(INT($C$5)+1-$C$5)))</f>
      </c>
      <c r="G735" s="791">
        <f>IF($C$4="Hombre",(+VLOOKUP(INT(D735)+1,Tablas!$G$9:$K$1240,5,0)*(D735-INT(D735))+VLOOKUP(INT(D735),Tablas!$G$9:$K$1240,5,0)*(INT(D735)+1-D735)),+VLOOKUP(INT(D735)+1,Tablas!$G$9:$O$1240,9,0)*(D735-INT(D735))+VLOOKUP(INT(D735),Tablas!$G$9:$O$1240,9,0)*(INT(D735)+1-D735))</f>
      </c>
      <c r="H735" s="801">
        <f>+IF(MONTH(B735)=1,H734*(1+$C$9),H734)</f>
      </c>
      <c r="I735" s="689">
        <f>IF(B735&lt;$C$10,0,IF(B735&lt;$C$11,$C$8/12*E735*F735*H735,0))</f>
      </c>
      <c r="J735" s="689">
        <f>I735*12/14+IF(OR(MONTH(C735)=6,MONTH(C735)=12),I735*12/14,0)</f>
      </c>
      <c r="K735" s="801">
        <f>G735/$G$15</f>
      </c>
      <c r="L735" s="760"/>
      <c r="M735" s="767"/>
      <c r="N735" s="168"/>
      <c r="O735" s="768"/>
      <c r="P735" s="170"/>
      <c r="Q735" s="7"/>
      <c r="R735" s="766"/>
      <c r="S735" s="170"/>
      <c r="T735" s="168"/>
      <c r="U735" s="170"/>
    </row>
    <row x14ac:dyDescent="0.25" r="736" customHeight="1" ht="18.75">
      <c r="A736" s="1"/>
      <c r="B736" s="799">
        <f>+DATE(YEAR(B735),MONTH(B735)+1,DAY(B735))</f>
        <v>25569.041666666668</v>
      </c>
      <c r="C736" s="799">
        <f>+B737-1</f>
        <v>25569.041666666668</v>
      </c>
      <c r="D736" s="791">
        <f>-_xlfn.DAYS($C$3,C736)/365.25</f>
      </c>
      <c r="E736" s="800">
        <f>IF($D$17+40&lt;=D736,(1+$D$7)^-(D736-$C$5),(1+$C$7)^-(D736-$C$5))</f>
      </c>
      <c r="F736" s="801">
        <f>IF($C$4="Hombre",(+VLOOKUP(INT(D736)+1,Tablas!$G$9:$K$1240,5,0)*(D736-INT(D736))+VLOOKUP(INT(D736),Tablas!$G$9:$K$1240,5,0)*(INT(D736)+1-D736))/(VLOOKUP(INT($C$5)+1,Tablas!$G$9:$K$1240,5,0)*($C$5-INT($C$5))+VLOOKUP(INT($C$5),Tablas!$G$9:$K$124,5,0)*(INT($C$5)+1-$C$5)),(+VLOOKUP(INT(D736)+1,Tablas!$G$9:$O$1240,9,0)*(D736-INT(D736))+VLOOKUP(INT(D736),Tablas!$G$9:$O$1240,9,0)*(INT(D736)+1-D736))/(VLOOKUP(INT($C$5)+1,Tablas!$G$9:$O$1240,9,0)*($C$5-INT($C$5))+VLOOKUP(INT($C$5),Tablas!$G$9:$O$124,9,0)*(INT($C$5)+1-$C$5)))</f>
      </c>
      <c r="G736" s="791">
        <f>IF($C$4="Hombre",(+VLOOKUP(INT(D736)+1,Tablas!$G$9:$K$1240,5,0)*(D736-INT(D736))+VLOOKUP(INT(D736),Tablas!$G$9:$K$1240,5,0)*(INT(D736)+1-D736)),+VLOOKUP(INT(D736)+1,Tablas!$G$9:$O$1240,9,0)*(D736-INT(D736))+VLOOKUP(INT(D736),Tablas!$G$9:$O$1240,9,0)*(INT(D736)+1-D736))</f>
      </c>
      <c r="H736" s="801">
        <f>+IF(MONTH(B736)=1,H735*(1+$C$9),H735)</f>
      </c>
      <c r="I736" s="689">
        <f>IF(B736&lt;$C$10,0,IF(B736&lt;$C$11,$C$8/12*E736*F736*H736,0))</f>
      </c>
      <c r="J736" s="689">
        <f>I736*12/14+IF(OR(MONTH(C736)=6,MONTH(C736)=12),I736*12/14,0)</f>
      </c>
      <c r="K736" s="801">
        <f>G736/$G$15</f>
      </c>
      <c r="L736" s="760"/>
      <c r="M736" s="767"/>
      <c r="N736" s="168"/>
      <c r="O736" s="768"/>
      <c r="P736" s="170"/>
      <c r="Q736" s="7"/>
      <c r="R736" s="766"/>
      <c r="S736" s="170"/>
      <c r="T736" s="168"/>
      <c r="U736" s="170"/>
    </row>
    <row x14ac:dyDescent="0.25" r="737" customHeight="1" ht="18.75">
      <c r="A737" s="1"/>
      <c r="B737" s="799">
        <f>+DATE(YEAR(B736),MONTH(B736)+1,DAY(B736))</f>
        <v>25569.041666666668</v>
      </c>
      <c r="C737" s="799">
        <f>+B738-1</f>
        <v>25569.041666666668</v>
      </c>
      <c r="D737" s="791">
        <f>-_xlfn.DAYS($C$3,C737)/365.25</f>
      </c>
      <c r="E737" s="800">
        <f>IF($D$17+40&lt;=D737,(1+$D$7)^-(D737-$C$5),(1+$C$7)^-(D737-$C$5))</f>
      </c>
      <c r="F737" s="801">
        <f>IF($C$4="Hombre",(+VLOOKUP(INT(D737)+1,Tablas!$G$9:$K$1240,5,0)*(D737-INT(D737))+VLOOKUP(INT(D737),Tablas!$G$9:$K$1240,5,0)*(INT(D737)+1-D737))/(VLOOKUP(INT($C$5)+1,Tablas!$G$9:$K$1240,5,0)*($C$5-INT($C$5))+VLOOKUP(INT($C$5),Tablas!$G$9:$K$124,5,0)*(INT($C$5)+1-$C$5)),(+VLOOKUP(INT(D737)+1,Tablas!$G$9:$O$1240,9,0)*(D737-INT(D737))+VLOOKUP(INT(D737),Tablas!$G$9:$O$1240,9,0)*(INT(D737)+1-D737))/(VLOOKUP(INT($C$5)+1,Tablas!$G$9:$O$1240,9,0)*($C$5-INT($C$5))+VLOOKUP(INT($C$5),Tablas!$G$9:$O$124,9,0)*(INT($C$5)+1-$C$5)))</f>
      </c>
      <c r="G737" s="791">
        <f>IF($C$4="Hombre",(+VLOOKUP(INT(D737)+1,Tablas!$G$9:$K$1240,5,0)*(D737-INT(D737))+VLOOKUP(INT(D737),Tablas!$G$9:$K$1240,5,0)*(INT(D737)+1-D737)),+VLOOKUP(INT(D737)+1,Tablas!$G$9:$O$1240,9,0)*(D737-INT(D737))+VLOOKUP(INT(D737),Tablas!$G$9:$O$1240,9,0)*(INT(D737)+1-D737))</f>
      </c>
      <c r="H737" s="801">
        <f>+IF(MONTH(B737)=1,H736*(1+$C$9),H736)</f>
      </c>
      <c r="I737" s="689">
        <f>IF(B737&lt;$C$10,0,IF(B737&lt;$C$11,$C$8/12*E737*F737*H737,0))</f>
      </c>
      <c r="J737" s="689">
        <f>I737*12/14+IF(OR(MONTH(C737)=6,MONTH(C737)=12),I737*12/14,0)</f>
      </c>
      <c r="K737" s="801">
        <f>G737/$G$15</f>
      </c>
      <c r="L737" s="760"/>
      <c r="M737" s="767"/>
      <c r="N737" s="168"/>
      <c r="O737" s="768"/>
      <c r="P737" s="170"/>
      <c r="Q737" s="7"/>
      <c r="R737" s="766"/>
      <c r="S737" s="170"/>
      <c r="T737" s="168"/>
      <c r="U737" s="170"/>
    </row>
    <row x14ac:dyDescent="0.25" r="738" customHeight="1" ht="18.75">
      <c r="A738" s="1"/>
      <c r="B738" s="799">
        <f>+DATE(YEAR(B737),MONTH(B737)+1,DAY(B737))</f>
        <v>25569.041666666668</v>
      </c>
      <c r="C738" s="799">
        <f>+B739-1</f>
        <v>25569.041666666668</v>
      </c>
      <c r="D738" s="791">
        <f>-_xlfn.DAYS($C$3,C738)/365.25</f>
      </c>
      <c r="E738" s="800">
        <f>IF($D$17+40&lt;=D738,(1+$D$7)^-(D738-$C$5),(1+$C$7)^-(D738-$C$5))</f>
      </c>
      <c r="F738" s="801">
        <f>IF($C$4="Hombre",(+VLOOKUP(INT(D738)+1,Tablas!$G$9:$K$1240,5,0)*(D738-INT(D738))+VLOOKUP(INT(D738),Tablas!$G$9:$K$1240,5,0)*(INT(D738)+1-D738))/(VLOOKUP(INT($C$5)+1,Tablas!$G$9:$K$1240,5,0)*($C$5-INT($C$5))+VLOOKUP(INT($C$5),Tablas!$G$9:$K$124,5,0)*(INT($C$5)+1-$C$5)),(+VLOOKUP(INT(D738)+1,Tablas!$G$9:$O$1240,9,0)*(D738-INT(D738))+VLOOKUP(INT(D738),Tablas!$G$9:$O$1240,9,0)*(INT(D738)+1-D738))/(VLOOKUP(INT($C$5)+1,Tablas!$G$9:$O$1240,9,0)*($C$5-INT($C$5))+VLOOKUP(INT($C$5),Tablas!$G$9:$O$124,9,0)*(INT($C$5)+1-$C$5)))</f>
      </c>
      <c r="G738" s="791">
        <f>IF($C$4="Hombre",(+VLOOKUP(INT(D738)+1,Tablas!$G$9:$K$1240,5,0)*(D738-INT(D738))+VLOOKUP(INT(D738),Tablas!$G$9:$K$1240,5,0)*(INT(D738)+1-D738)),+VLOOKUP(INT(D738)+1,Tablas!$G$9:$O$1240,9,0)*(D738-INT(D738))+VLOOKUP(INT(D738),Tablas!$G$9:$O$1240,9,0)*(INT(D738)+1-D738))</f>
      </c>
      <c r="H738" s="801">
        <f>+IF(MONTH(B738)=1,H737*(1+$C$9),H737)</f>
      </c>
      <c r="I738" s="689">
        <f>IF(B738&lt;$C$10,0,IF(B738&lt;$C$11,$C$8/12*E738*F738*H738,0))</f>
      </c>
      <c r="J738" s="689">
        <f>I738*12/14+IF(OR(MONTH(C738)=6,MONTH(C738)=12),I738*12/14,0)</f>
      </c>
      <c r="K738" s="801">
        <f>G738/$G$15</f>
      </c>
      <c r="L738" s="760"/>
      <c r="M738" s="767"/>
      <c r="N738" s="168"/>
      <c r="O738" s="768"/>
      <c r="P738" s="170"/>
      <c r="Q738" s="7"/>
      <c r="R738" s="766"/>
      <c r="S738" s="170"/>
      <c r="T738" s="168"/>
      <c r="U738" s="170"/>
    </row>
    <row x14ac:dyDescent="0.25" r="739" customHeight="1" ht="18.75">
      <c r="A739" s="1"/>
      <c r="B739" s="799">
        <f>+DATE(YEAR(B738),MONTH(B738)+1,DAY(B738))</f>
        <v>25569.041666666668</v>
      </c>
      <c r="C739" s="799">
        <f>+B740-1</f>
        <v>25569.041666666668</v>
      </c>
      <c r="D739" s="791">
        <f>-_xlfn.DAYS($C$3,C739)/365.25</f>
      </c>
      <c r="E739" s="800">
        <f>IF($D$17+40&lt;=D739,(1+$D$7)^-(D739-$C$5),(1+$C$7)^-(D739-$C$5))</f>
      </c>
      <c r="F739" s="801">
        <f>IF($C$4="Hombre",(+VLOOKUP(INT(D739)+1,Tablas!$G$9:$K$1240,5,0)*(D739-INT(D739))+VLOOKUP(INT(D739),Tablas!$G$9:$K$1240,5,0)*(INT(D739)+1-D739))/(VLOOKUP(INT($C$5)+1,Tablas!$G$9:$K$1240,5,0)*($C$5-INT($C$5))+VLOOKUP(INT($C$5),Tablas!$G$9:$K$124,5,0)*(INT($C$5)+1-$C$5)),(+VLOOKUP(INT(D739)+1,Tablas!$G$9:$O$1240,9,0)*(D739-INT(D739))+VLOOKUP(INT(D739),Tablas!$G$9:$O$1240,9,0)*(INT(D739)+1-D739))/(VLOOKUP(INT($C$5)+1,Tablas!$G$9:$O$1240,9,0)*($C$5-INT($C$5))+VLOOKUP(INT($C$5),Tablas!$G$9:$O$124,9,0)*(INT($C$5)+1-$C$5)))</f>
      </c>
      <c r="G739" s="791">
        <f>IF($C$4="Hombre",(+VLOOKUP(INT(D739)+1,Tablas!$G$9:$K$1240,5,0)*(D739-INT(D739))+VLOOKUP(INT(D739),Tablas!$G$9:$K$1240,5,0)*(INT(D739)+1-D739)),+VLOOKUP(INT(D739)+1,Tablas!$G$9:$O$1240,9,0)*(D739-INT(D739))+VLOOKUP(INT(D739),Tablas!$G$9:$O$1240,9,0)*(INT(D739)+1-D739))</f>
      </c>
      <c r="H739" s="801">
        <f>+IF(MONTH(B739)=1,H738*(1+$C$9),H738)</f>
      </c>
      <c r="I739" s="689">
        <f>IF(B739&lt;$C$10,0,IF(B739&lt;$C$11,$C$8/12*E739*F739*H739,0))</f>
      </c>
      <c r="J739" s="689">
        <f>I739*12/14+IF(OR(MONTH(C739)=6,MONTH(C739)=12),I739*12/14,0)</f>
      </c>
      <c r="K739" s="801">
        <f>G739/$G$15</f>
      </c>
      <c r="L739" s="760"/>
      <c r="M739" s="767"/>
      <c r="N739" s="168"/>
      <c r="O739" s="768"/>
      <c r="P739" s="170"/>
      <c r="Q739" s="7"/>
      <c r="R739" s="766"/>
      <c r="S739" s="170"/>
      <c r="T739" s="168"/>
      <c r="U739" s="170"/>
    </row>
    <row x14ac:dyDescent="0.25" r="740" customHeight="1" ht="18.75">
      <c r="A740" s="1"/>
      <c r="B740" s="799">
        <f>+DATE(YEAR(B739),MONTH(B739)+1,DAY(B739))</f>
        <v>25569.041666666668</v>
      </c>
      <c r="C740" s="799">
        <f>+B741-1</f>
        <v>25569.041666666668</v>
      </c>
      <c r="D740" s="791">
        <f>-_xlfn.DAYS($C$3,C740)/365.25</f>
      </c>
      <c r="E740" s="800">
        <f>IF($D$17+40&lt;=D740,(1+$D$7)^-(D740-$C$5),(1+$C$7)^-(D740-$C$5))</f>
      </c>
      <c r="F740" s="801">
        <f>IF($C$4="Hombre",(+VLOOKUP(INT(D740)+1,Tablas!$G$9:$K$1240,5,0)*(D740-INT(D740))+VLOOKUP(INT(D740),Tablas!$G$9:$K$1240,5,0)*(INT(D740)+1-D740))/(VLOOKUP(INT($C$5)+1,Tablas!$G$9:$K$1240,5,0)*($C$5-INT($C$5))+VLOOKUP(INT($C$5),Tablas!$G$9:$K$124,5,0)*(INT($C$5)+1-$C$5)),(+VLOOKUP(INT(D740)+1,Tablas!$G$9:$O$1240,9,0)*(D740-INT(D740))+VLOOKUP(INT(D740),Tablas!$G$9:$O$1240,9,0)*(INT(D740)+1-D740))/(VLOOKUP(INT($C$5)+1,Tablas!$G$9:$O$1240,9,0)*($C$5-INT($C$5))+VLOOKUP(INT($C$5),Tablas!$G$9:$O$124,9,0)*(INT($C$5)+1-$C$5)))</f>
      </c>
      <c r="G740" s="791">
        <f>IF($C$4="Hombre",(+VLOOKUP(INT(D740)+1,Tablas!$G$9:$K$1240,5,0)*(D740-INT(D740))+VLOOKUP(INT(D740),Tablas!$G$9:$K$1240,5,0)*(INT(D740)+1-D740)),+VLOOKUP(INT(D740)+1,Tablas!$G$9:$O$1240,9,0)*(D740-INT(D740))+VLOOKUP(INT(D740),Tablas!$G$9:$O$1240,9,0)*(INT(D740)+1-D740))</f>
      </c>
      <c r="H740" s="801">
        <f>+IF(MONTH(B740)=1,H739*(1+$C$9),H739)</f>
      </c>
      <c r="I740" s="689">
        <f>IF(B740&lt;$C$10,0,IF(B740&lt;$C$11,$C$8/12*E740*F740*H740,0))</f>
      </c>
      <c r="J740" s="689">
        <f>I740*12/14+IF(OR(MONTH(C740)=6,MONTH(C740)=12),I740*12/14,0)</f>
      </c>
      <c r="K740" s="801">
        <f>G740/$G$15</f>
      </c>
      <c r="L740" s="760"/>
      <c r="M740" s="767"/>
      <c r="N740" s="168"/>
      <c r="O740" s="768"/>
      <c r="P740" s="170"/>
      <c r="Q740" s="7"/>
      <c r="R740" s="766"/>
      <c r="S740" s="170"/>
      <c r="T740" s="168"/>
      <c r="U740" s="170"/>
    </row>
    <row x14ac:dyDescent="0.25" r="741" customHeight="1" ht="18.75">
      <c r="A741" s="1"/>
      <c r="B741" s="799">
        <f>+DATE(YEAR(B740),MONTH(B740)+1,DAY(B740))</f>
        <v>25569.041666666668</v>
      </c>
      <c r="C741" s="799">
        <f>+B742-1</f>
        <v>25569.041666666668</v>
      </c>
      <c r="D741" s="791">
        <f>-_xlfn.DAYS($C$3,C741)/365.25</f>
      </c>
      <c r="E741" s="800">
        <f>IF($D$17+40&lt;=D741,(1+$D$7)^-(D741-$C$5),(1+$C$7)^-(D741-$C$5))</f>
      </c>
      <c r="F741" s="801">
        <f>IF($C$4="Hombre",(+VLOOKUP(INT(D741)+1,Tablas!$G$9:$K$1240,5,0)*(D741-INT(D741))+VLOOKUP(INT(D741),Tablas!$G$9:$K$1240,5,0)*(INT(D741)+1-D741))/(VLOOKUP(INT($C$5)+1,Tablas!$G$9:$K$1240,5,0)*($C$5-INT($C$5))+VLOOKUP(INT($C$5),Tablas!$G$9:$K$124,5,0)*(INT($C$5)+1-$C$5)),(+VLOOKUP(INT(D741)+1,Tablas!$G$9:$O$1240,9,0)*(D741-INT(D741))+VLOOKUP(INT(D741),Tablas!$G$9:$O$1240,9,0)*(INT(D741)+1-D741))/(VLOOKUP(INT($C$5)+1,Tablas!$G$9:$O$1240,9,0)*($C$5-INT($C$5))+VLOOKUP(INT($C$5),Tablas!$G$9:$O$124,9,0)*(INT($C$5)+1-$C$5)))</f>
      </c>
      <c r="G741" s="791">
        <f>IF($C$4="Hombre",(+VLOOKUP(INT(D741)+1,Tablas!$G$9:$K$1240,5,0)*(D741-INT(D741))+VLOOKUP(INT(D741),Tablas!$G$9:$K$1240,5,0)*(INT(D741)+1-D741)),+VLOOKUP(INT(D741)+1,Tablas!$G$9:$O$1240,9,0)*(D741-INT(D741))+VLOOKUP(INT(D741),Tablas!$G$9:$O$1240,9,0)*(INT(D741)+1-D741))</f>
      </c>
      <c r="H741" s="801">
        <f>+IF(MONTH(B741)=1,H740*(1+$C$9),H740)</f>
      </c>
      <c r="I741" s="689">
        <f>IF(B741&lt;$C$10,0,IF(B741&lt;$C$11,$C$8/12*E741*F741*H741,0))</f>
      </c>
      <c r="J741" s="689">
        <f>I741*12/14+IF(OR(MONTH(C741)=6,MONTH(C741)=12),I741*12/14,0)</f>
      </c>
      <c r="K741" s="801">
        <f>G741/$G$15</f>
      </c>
      <c r="L741" s="760"/>
      <c r="M741" s="767"/>
      <c r="N741" s="168"/>
      <c r="O741" s="768"/>
      <c r="P741" s="170"/>
      <c r="Q741" s="7"/>
      <c r="R741" s="766"/>
      <c r="S741" s="170"/>
      <c r="T741" s="168"/>
      <c r="U741" s="170"/>
    </row>
    <row x14ac:dyDescent="0.25" r="742" customHeight="1" ht="18.75">
      <c r="A742" s="1"/>
      <c r="B742" s="799">
        <f>+DATE(YEAR(B741),MONTH(B741)+1,DAY(B741))</f>
        <v>25569.041666666668</v>
      </c>
      <c r="C742" s="799">
        <f>+B743-1</f>
        <v>25569.041666666668</v>
      </c>
      <c r="D742" s="791">
        <f>-_xlfn.DAYS($C$3,C742)/365.25</f>
      </c>
      <c r="E742" s="800">
        <f>IF($D$17+40&lt;=D742,(1+$D$7)^-(D742-$C$5),(1+$C$7)^-(D742-$C$5))</f>
      </c>
      <c r="F742" s="801">
        <f>IF($C$4="Hombre",(+VLOOKUP(INT(D742)+1,Tablas!$G$9:$K$1240,5,0)*(D742-INT(D742))+VLOOKUP(INT(D742),Tablas!$G$9:$K$1240,5,0)*(INT(D742)+1-D742))/(VLOOKUP(INT($C$5)+1,Tablas!$G$9:$K$1240,5,0)*($C$5-INT($C$5))+VLOOKUP(INT($C$5),Tablas!$G$9:$K$124,5,0)*(INT($C$5)+1-$C$5)),(+VLOOKUP(INT(D742)+1,Tablas!$G$9:$O$1240,9,0)*(D742-INT(D742))+VLOOKUP(INT(D742),Tablas!$G$9:$O$1240,9,0)*(INT(D742)+1-D742))/(VLOOKUP(INT($C$5)+1,Tablas!$G$9:$O$1240,9,0)*($C$5-INT($C$5))+VLOOKUP(INT($C$5),Tablas!$G$9:$O$124,9,0)*(INT($C$5)+1-$C$5)))</f>
      </c>
      <c r="G742" s="791">
        <f>IF($C$4="Hombre",(+VLOOKUP(INT(D742)+1,Tablas!$G$9:$K$1240,5,0)*(D742-INT(D742))+VLOOKUP(INT(D742),Tablas!$G$9:$K$1240,5,0)*(INT(D742)+1-D742)),+VLOOKUP(INT(D742)+1,Tablas!$G$9:$O$1240,9,0)*(D742-INT(D742))+VLOOKUP(INT(D742),Tablas!$G$9:$O$1240,9,0)*(INT(D742)+1-D742))</f>
      </c>
      <c r="H742" s="801">
        <f>+IF(MONTH(B742)=1,H741*(1+$C$9),H741)</f>
      </c>
      <c r="I742" s="689">
        <f>IF(B742&lt;$C$10,0,IF(B742&lt;$C$11,$C$8/12*E742*F742*H742,0))</f>
      </c>
      <c r="J742" s="689">
        <f>I742*12/14+IF(OR(MONTH(C742)=6,MONTH(C742)=12),I742*12/14,0)</f>
      </c>
      <c r="K742" s="801">
        <f>G742/$G$15</f>
      </c>
      <c r="L742" s="760"/>
      <c r="M742" s="767"/>
      <c r="N742" s="168"/>
      <c r="O742" s="768"/>
      <c r="P742" s="170"/>
      <c r="Q742" s="7"/>
      <c r="R742" s="766"/>
      <c r="S742" s="170"/>
      <c r="T742" s="168"/>
      <c r="U742" s="170"/>
    </row>
    <row x14ac:dyDescent="0.25" r="743" customHeight="1" ht="18.75">
      <c r="A743" s="1"/>
      <c r="B743" s="799">
        <f>+DATE(YEAR(B742),MONTH(B742)+1,DAY(B742))</f>
        <v>25569.041666666668</v>
      </c>
      <c r="C743" s="799">
        <f>+B744-1</f>
        <v>25569.041666666668</v>
      </c>
      <c r="D743" s="791">
        <f>-_xlfn.DAYS($C$3,C743)/365.25</f>
      </c>
      <c r="E743" s="800">
        <f>IF($D$17+40&lt;=D743,(1+$D$7)^-(D743-$C$5),(1+$C$7)^-(D743-$C$5))</f>
      </c>
      <c r="F743" s="801">
        <f>IF($C$4="Hombre",(+VLOOKUP(INT(D743)+1,Tablas!$G$9:$K$1240,5,0)*(D743-INT(D743))+VLOOKUP(INT(D743),Tablas!$G$9:$K$1240,5,0)*(INT(D743)+1-D743))/(VLOOKUP(INT($C$5)+1,Tablas!$G$9:$K$1240,5,0)*($C$5-INT($C$5))+VLOOKUP(INT($C$5),Tablas!$G$9:$K$124,5,0)*(INT($C$5)+1-$C$5)),(+VLOOKUP(INT(D743)+1,Tablas!$G$9:$O$1240,9,0)*(D743-INT(D743))+VLOOKUP(INT(D743),Tablas!$G$9:$O$1240,9,0)*(INT(D743)+1-D743))/(VLOOKUP(INT($C$5)+1,Tablas!$G$9:$O$1240,9,0)*($C$5-INT($C$5))+VLOOKUP(INT($C$5),Tablas!$G$9:$O$124,9,0)*(INT($C$5)+1-$C$5)))</f>
      </c>
      <c r="G743" s="791">
        <f>IF($C$4="Hombre",(+VLOOKUP(INT(D743)+1,Tablas!$G$9:$K$1240,5,0)*(D743-INT(D743))+VLOOKUP(INT(D743),Tablas!$G$9:$K$1240,5,0)*(INT(D743)+1-D743)),+VLOOKUP(INT(D743)+1,Tablas!$G$9:$O$1240,9,0)*(D743-INT(D743))+VLOOKUP(INT(D743),Tablas!$G$9:$O$1240,9,0)*(INT(D743)+1-D743))</f>
      </c>
      <c r="H743" s="801">
        <f>+IF(MONTH(B743)=1,H742*(1+$C$9),H742)</f>
      </c>
      <c r="I743" s="689">
        <f>IF(B743&lt;$C$10,0,IF(B743&lt;$C$11,$C$8/12*E743*F743*H743,0))</f>
      </c>
      <c r="J743" s="689">
        <f>I743*12/14+IF(OR(MONTH(C743)=6,MONTH(C743)=12),I743*12/14,0)</f>
      </c>
      <c r="K743" s="801">
        <f>G743/$G$15</f>
      </c>
      <c r="L743" s="760"/>
      <c r="M743" s="767"/>
      <c r="N743" s="168"/>
      <c r="O743" s="768"/>
      <c r="P743" s="170"/>
      <c r="Q743" s="7"/>
      <c r="R743" s="766"/>
      <c r="S743" s="170"/>
      <c r="T743" s="168"/>
      <c r="U743" s="170"/>
    </row>
    <row x14ac:dyDescent="0.25" r="744" customHeight="1" ht="18.75">
      <c r="A744" s="1"/>
      <c r="B744" s="799">
        <f>+DATE(YEAR(B743),MONTH(B743)+1,DAY(B743))</f>
        <v>25569.041666666668</v>
      </c>
      <c r="C744" s="799">
        <f>+B745-1</f>
        <v>25569.041666666668</v>
      </c>
      <c r="D744" s="791">
        <f>-_xlfn.DAYS($C$3,C744)/365.25</f>
      </c>
      <c r="E744" s="800">
        <f>IF($D$17+40&lt;=D744,(1+$D$7)^-(D744-$C$5),(1+$C$7)^-(D744-$C$5))</f>
      </c>
      <c r="F744" s="801">
        <f>IF($C$4="Hombre",(+VLOOKUP(INT(D744)+1,Tablas!$G$9:$K$1240,5,0)*(D744-INT(D744))+VLOOKUP(INT(D744),Tablas!$G$9:$K$1240,5,0)*(INT(D744)+1-D744))/(VLOOKUP(INT($C$5)+1,Tablas!$G$9:$K$1240,5,0)*($C$5-INT($C$5))+VLOOKUP(INT($C$5),Tablas!$G$9:$K$124,5,0)*(INT($C$5)+1-$C$5)),(+VLOOKUP(INT(D744)+1,Tablas!$G$9:$O$1240,9,0)*(D744-INT(D744))+VLOOKUP(INT(D744),Tablas!$G$9:$O$1240,9,0)*(INT(D744)+1-D744))/(VLOOKUP(INT($C$5)+1,Tablas!$G$9:$O$1240,9,0)*($C$5-INT($C$5))+VLOOKUP(INT($C$5),Tablas!$G$9:$O$124,9,0)*(INT($C$5)+1-$C$5)))</f>
      </c>
      <c r="G744" s="791">
        <f>IF($C$4="Hombre",(+VLOOKUP(INT(D744)+1,Tablas!$G$9:$K$1240,5,0)*(D744-INT(D744))+VLOOKUP(INT(D744),Tablas!$G$9:$K$1240,5,0)*(INT(D744)+1-D744)),+VLOOKUP(INT(D744)+1,Tablas!$G$9:$O$1240,9,0)*(D744-INT(D744))+VLOOKUP(INT(D744),Tablas!$G$9:$O$1240,9,0)*(INT(D744)+1-D744))</f>
      </c>
      <c r="H744" s="801">
        <f>+IF(MONTH(B744)=1,H743*(1+$C$9),H743)</f>
      </c>
      <c r="I744" s="689">
        <f>IF(B744&lt;$C$10,0,IF(B744&lt;$C$11,$C$8/12*E744*F744*H744,0))</f>
      </c>
      <c r="J744" s="689">
        <f>I744*12/14+IF(OR(MONTH(C744)=6,MONTH(C744)=12),I744*12/14,0)</f>
      </c>
      <c r="K744" s="801">
        <f>G744/$G$15</f>
      </c>
      <c r="L744" s="760"/>
      <c r="M744" s="767"/>
      <c r="N744" s="168"/>
      <c r="O744" s="768"/>
      <c r="P744" s="170"/>
      <c r="Q744" s="7"/>
      <c r="R744" s="766"/>
      <c r="S744" s="170"/>
      <c r="T744" s="168"/>
      <c r="U744" s="170"/>
    </row>
    <row x14ac:dyDescent="0.25" r="745" customHeight="1" ht="18.75">
      <c r="A745" s="1"/>
      <c r="B745" s="799">
        <f>+DATE(YEAR(B744),MONTH(B744)+1,DAY(B744))</f>
        <v>25569.041666666668</v>
      </c>
      <c r="C745" s="799">
        <f>+B746-1</f>
        <v>25569.041666666668</v>
      </c>
      <c r="D745" s="791">
        <f>-_xlfn.DAYS($C$3,C745)/365.25</f>
      </c>
      <c r="E745" s="800">
        <f>IF($D$17+40&lt;=D745,(1+$D$7)^-(D745-$C$5),(1+$C$7)^-(D745-$C$5))</f>
      </c>
      <c r="F745" s="801">
        <f>IF($C$4="Hombre",(+VLOOKUP(INT(D745)+1,Tablas!$G$9:$K$1240,5,0)*(D745-INT(D745))+VLOOKUP(INT(D745),Tablas!$G$9:$K$1240,5,0)*(INT(D745)+1-D745))/(VLOOKUP(INT($C$5)+1,Tablas!$G$9:$K$1240,5,0)*($C$5-INT($C$5))+VLOOKUP(INT($C$5),Tablas!$G$9:$K$124,5,0)*(INT($C$5)+1-$C$5)),(+VLOOKUP(INT(D745)+1,Tablas!$G$9:$O$1240,9,0)*(D745-INT(D745))+VLOOKUP(INT(D745),Tablas!$G$9:$O$1240,9,0)*(INT(D745)+1-D745))/(VLOOKUP(INT($C$5)+1,Tablas!$G$9:$O$1240,9,0)*($C$5-INT($C$5))+VLOOKUP(INT($C$5),Tablas!$G$9:$O$124,9,0)*(INT($C$5)+1-$C$5)))</f>
      </c>
      <c r="G745" s="791">
        <f>IF($C$4="Hombre",(+VLOOKUP(INT(D745)+1,Tablas!$G$9:$K$1240,5,0)*(D745-INT(D745))+VLOOKUP(INT(D745),Tablas!$G$9:$K$1240,5,0)*(INT(D745)+1-D745)),+VLOOKUP(INT(D745)+1,Tablas!$G$9:$O$1240,9,0)*(D745-INT(D745))+VLOOKUP(INT(D745),Tablas!$G$9:$O$1240,9,0)*(INT(D745)+1-D745))</f>
      </c>
      <c r="H745" s="801">
        <f>+IF(MONTH(B745)=1,H744*(1+$C$9),H744)</f>
      </c>
      <c r="I745" s="689">
        <f>IF(B745&lt;$C$10,0,IF(B745&lt;$C$11,$C$8/12*E745*F745*H745,0))</f>
      </c>
      <c r="J745" s="689">
        <f>I745*12/14+IF(OR(MONTH(C745)=6,MONTH(C745)=12),I745*12/14,0)</f>
      </c>
      <c r="K745" s="801">
        <f>G745/$G$15</f>
      </c>
      <c r="L745" s="760"/>
      <c r="M745" s="767"/>
      <c r="N745" s="168"/>
      <c r="O745" s="768"/>
      <c r="P745" s="170"/>
      <c r="Q745" s="7"/>
      <c r="R745" s="766"/>
      <c r="S745" s="170"/>
      <c r="T745" s="168"/>
      <c r="U745" s="170"/>
    </row>
    <row x14ac:dyDescent="0.25" r="746" customHeight="1" ht="18.75">
      <c r="A746" s="1"/>
      <c r="B746" s="799">
        <f>+DATE(YEAR(B745),MONTH(B745)+1,DAY(B745))</f>
        <v>25569.041666666668</v>
      </c>
      <c r="C746" s="799">
        <f>+B747-1</f>
        <v>25569.041666666668</v>
      </c>
      <c r="D746" s="791">
        <f>-_xlfn.DAYS($C$3,C746)/365.25</f>
      </c>
      <c r="E746" s="800">
        <f>IF($D$17+40&lt;=D746,(1+$D$7)^-(D746-$C$5),(1+$C$7)^-(D746-$C$5))</f>
      </c>
      <c r="F746" s="801">
        <f>IF($C$4="Hombre",(+VLOOKUP(INT(D746)+1,Tablas!$G$9:$K$1240,5,0)*(D746-INT(D746))+VLOOKUP(INT(D746),Tablas!$G$9:$K$1240,5,0)*(INT(D746)+1-D746))/(VLOOKUP(INT($C$5)+1,Tablas!$G$9:$K$1240,5,0)*($C$5-INT($C$5))+VLOOKUP(INT($C$5),Tablas!$G$9:$K$124,5,0)*(INT($C$5)+1-$C$5)),(+VLOOKUP(INT(D746)+1,Tablas!$G$9:$O$1240,9,0)*(D746-INT(D746))+VLOOKUP(INT(D746),Tablas!$G$9:$O$1240,9,0)*(INT(D746)+1-D746))/(VLOOKUP(INT($C$5)+1,Tablas!$G$9:$O$1240,9,0)*($C$5-INT($C$5))+VLOOKUP(INT($C$5),Tablas!$G$9:$O$124,9,0)*(INT($C$5)+1-$C$5)))</f>
      </c>
      <c r="G746" s="791">
        <f>IF($C$4="Hombre",(+VLOOKUP(INT(D746)+1,Tablas!$G$9:$K$1240,5,0)*(D746-INT(D746))+VLOOKUP(INT(D746),Tablas!$G$9:$K$1240,5,0)*(INT(D746)+1-D746)),+VLOOKUP(INT(D746)+1,Tablas!$G$9:$O$1240,9,0)*(D746-INT(D746))+VLOOKUP(INT(D746),Tablas!$G$9:$O$1240,9,0)*(INT(D746)+1-D746))</f>
      </c>
      <c r="H746" s="801">
        <f>+IF(MONTH(B746)=1,H745*(1+$C$9),H745)</f>
      </c>
      <c r="I746" s="689">
        <f>IF(B746&lt;$C$10,0,IF(B746&lt;$C$11,$C$8/12*E746*F746*H746,0))</f>
      </c>
      <c r="J746" s="689">
        <f>I746*12/14+IF(OR(MONTH(C746)=6,MONTH(C746)=12),I746*12/14,0)</f>
      </c>
      <c r="K746" s="801">
        <f>G746/$G$15</f>
      </c>
      <c r="L746" s="760"/>
      <c r="M746" s="767"/>
      <c r="N746" s="168"/>
      <c r="O746" s="768"/>
      <c r="P746" s="170"/>
      <c r="Q746" s="7"/>
      <c r="R746" s="766"/>
      <c r="S746" s="170"/>
      <c r="T746" s="168"/>
      <c r="U746" s="170"/>
    </row>
    <row x14ac:dyDescent="0.25" r="747" customHeight="1" ht="18.75">
      <c r="A747" s="1"/>
      <c r="B747" s="799">
        <f>+DATE(YEAR(B746),MONTH(B746)+1,DAY(B746))</f>
        <v>25569.041666666668</v>
      </c>
      <c r="C747" s="799">
        <f>+B748-1</f>
        <v>25569.041666666668</v>
      </c>
      <c r="D747" s="791">
        <f>-_xlfn.DAYS($C$3,C747)/365.25</f>
      </c>
      <c r="E747" s="800">
        <f>IF($D$17+40&lt;=D747,(1+$D$7)^-(D747-$C$5),(1+$C$7)^-(D747-$C$5))</f>
      </c>
      <c r="F747" s="801">
        <f>IF($C$4="Hombre",(+VLOOKUP(INT(D747)+1,Tablas!$G$9:$K$1240,5,0)*(D747-INT(D747))+VLOOKUP(INT(D747),Tablas!$G$9:$K$1240,5,0)*(INT(D747)+1-D747))/(VLOOKUP(INT($C$5)+1,Tablas!$G$9:$K$1240,5,0)*($C$5-INT($C$5))+VLOOKUP(INT($C$5),Tablas!$G$9:$K$124,5,0)*(INT($C$5)+1-$C$5)),(+VLOOKUP(INT(D747)+1,Tablas!$G$9:$O$1240,9,0)*(D747-INT(D747))+VLOOKUP(INT(D747),Tablas!$G$9:$O$1240,9,0)*(INT(D747)+1-D747))/(VLOOKUP(INT($C$5)+1,Tablas!$G$9:$O$1240,9,0)*($C$5-INT($C$5))+VLOOKUP(INT($C$5),Tablas!$G$9:$O$124,9,0)*(INT($C$5)+1-$C$5)))</f>
      </c>
      <c r="G747" s="791">
        <f>IF($C$4="Hombre",(+VLOOKUP(INT(D747)+1,Tablas!$G$9:$K$1240,5,0)*(D747-INT(D747))+VLOOKUP(INT(D747),Tablas!$G$9:$K$1240,5,0)*(INT(D747)+1-D747)),+VLOOKUP(INT(D747)+1,Tablas!$G$9:$O$1240,9,0)*(D747-INT(D747))+VLOOKUP(INT(D747),Tablas!$G$9:$O$1240,9,0)*(INT(D747)+1-D747))</f>
      </c>
      <c r="H747" s="801">
        <f>+IF(MONTH(B747)=1,H746*(1+$C$9),H746)</f>
      </c>
      <c r="I747" s="689">
        <f>IF(B747&lt;$C$10,0,IF(B747&lt;$C$11,$C$8/12*E747*F747*H747,0))</f>
      </c>
      <c r="J747" s="689">
        <f>I747*12/14+IF(OR(MONTH(C747)=6,MONTH(C747)=12),I747*12/14,0)</f>
      </c>
      <c r="K747" s="801">
        <f>G747/$G$15</f>
      </c>
      <c r="L747" s="760"/>
      <c r="M747" s="767"/>
      <c r="N747" s="168"/>
      <c r="O747" s="768"/>
      <c r="P747" s="170"/>
      <c r="Q747" s="7"/>
      <c r="R747" s="766"/>
      <c r="S747" s="170"/>
      <c r="T747" s="168"/>
      <c r="U747" s="170"/>
    </row>
    <row x14ac:dyDescent="0.25" r="748" customHeight="1" ht="18.75">
      <c r="A748" s="1"/>
      <c r="B748" s="799">
        <f>+DATE(YEAR(B747),MONTH(B747)+1,DAY(B747))</f>
        <v>25569.041666666668</v>
      </c>
      <c r="C748" s="799">
        <f>+B749-1</f>
        <v>25569.041666666668</v>
      </c>
      <c r="D748" s="791">
        <f>-_xlfn.DAYS($C$3,C748)/365.25</f>
      </c>
      <c r="E748" s="800">
        <f>IF($D$17+40&lt;=D748,(1+$D$7)^-(D748-$C$5),(1+$C$7)^-(D748-$C$5))</f>
      </c>
      <c r="F748" s="801">
        <f>IF($C$4="Hombre",(+VLOOKUP(INT(D748)+1,Tablas!$G$9:$K$1240,5,0)*(D748-INT(D748))+VLOOKUP(INT(D748),Tablas!$G$9:$K$1240,5,0)*(INT(D748)+1-D748))/(VLOOKUP(INT($C$5)+1,Tablas!$G$9:$K$1240,5,0)*($C$5-INT($C$5))+VLOOKUP(INT($C$5),Tablas!$G$9:$K$124,5,0)*(INT($C$5)+1-$C$5)),(+VLOOKUP(INT(D748)+1,Tablas!$G$9:$O$1240,9,0)*(D748-INT(D748))+VLOOKUP(INT(D748),Tablas!$G$9:$O$1240,9,0)*(INT(D748)+1-D748))/(VLOOKUP(INT($C$5)+1,Tablas!$G$9:$O$1240,9,0)*($C$5-INT($C$5))+VLOOKUP(INT($C$5),Tablas!$G$9:$O$124,9,0)*(INT($C$5)+1-$C$5)))</f>
      </c>
      <c r="G748" s="791">
        <f>IF($C$4="Hombre",(+VLOOKUP(INT(D748)+1,Tablas!$G$9:$K$1240,5,0)*(D748-INT(D748))+VLOOKUP(INT(D748),Tablas!$G$9:$K$1240,5,0)*(INT(D748)+1-D748)),+VLOOKUP(INT(D748)+1,Tablas!$G$9:$O$1240,9,0)*(D748-INT(D748))+VLOOKUP(INT(D748),Tablas!$G$9:$O$1240,9,0)*(INT(D748)+1-D748))</f>
      </c>
      <c r="H748" s="801">
        <f>+IF(MONTH(B748)=1,H747*(1+$C$9),H747)</f>
      </c>
      <c r="I748" s="689">
        <f>IF(B748&lt;$C$10,0,IF(B748&lt;$C$11,$C$8/12*E748*F748*H748,0))</f>
      </c>
      <c r="J748" s="689">
        <f>I748*12/14+IF(OR(MONTH(C748)=6,MONTH(C748)=12),I748*12/14,0)</f>
      </c>
      <c r="K748" s="801">
        <f>G748/$G$15</f>
      </c>
      <c r="L748" s="760"/>
      <c r="M748" s="767"/>
      <c r="N748" s="168"/>
      <c r="O748" s="768"/>
      <c r="P748" s="170"/>
      <c r="Q748" s="7"/>
      <c r="R748" s="766"/>
      <c r="S748" s="170"/>
      <c r="T748" s="168"/>
      <c r="U748" s="170"/>
    </row>
    <row x14ac:dyDescent="0.25" r="749" customHeight="1" ht="18.75">
      <c r="A749" s="1"/>
      <c r="B749" s="799">
        <f>+DATE(YEAR(B748),MONTH(B748)+1,DAY(B748))</f>
        <v>25569.041666666668</v>
      </c>
      <c r="C749" s="799">
        <f>+B750-1</f>
        <v>25569.041666666668</v>
      </c>
      <c r="D749" s="791">
        <f>-_xlfn.DAYS($C$3,C749)/365.25</f>
      </c>
      <c r="E749" s="800">
        <f>IF($D$17+40&lt;=D749,(1+$D$7)^-(D749-$C$5),(1+$C$7)^-(D749-$C$5))</f>
      </c>
      <c r="F749" s="801">
        <f>IF($C$4="Hombre",(+VLOOKUP(INT(D749)+1,Tablas!$G$9:$K$1240,5,0)*(D749-INT(D749))+VLOOKUP(INT(D749),Tablas!$G$9:$K$1240,5,0)*(INT(D749)+1-D749))/(VLOOKUP(INT($C$5)+1,Tablas!$G$9:$K$1240,5,0)*($C$5-INT($C$5))+VLOOKUP(INT($C$5),Tablas!$G$9:$K$124,5,0)*(INT($C$5)+1-$C$5)),(+VLOOKUP(INT(D749)+1,Tablas!$G$9:$O$1240,9,0)*(D749-INT(D749))+VLOOKUP(INT(D749),Tablas!$G$9:$O$1240,9,0)*(INT(D749)+1-D749))/(VLOOKUP(INT($C$5)+1,Tablas!$G$9:$O$1240,9,0)*($C$5-INT($C$5))+VLOOKUP(INT($C$5),Tablas!$G$9:$O$124,9,0)*(INT($C$5)+1-$C$5)))</f>
      </c>
      <c r="G749" s="791">
        <f>IF($C$4="Hombre",(+VLOOKUP(INT(D749)+1,Tablas!$G$9:$K$1240,5,0)*(D749-INT(D749))+VLOOKUP(INT(D749),Tablas!$G$9:$K$1240,5,0)*(INT(D749)+1-D749)),+VLOOKUP(INT(D749)+1,Tablas!$G$9:$O$1240,9,0)*(D749-INT(D749))+VLOOKUP(INT(D749),Tablas!$G$9:$O$1240,9,0)*(INT(D749)+1-D749))</f>
      </c>
      <c r="H749" s="801">
        <f>+IF(MONTH(B749)=1,H748*(1+$C$9),H748)</f>
      </c>
      <c r="I749" s="689">
        <f>IF(B749&lt;$C$10,0,IF(B749&lt;$C$11,$C$8/12*E749*F749*H749,0))</f>
      </c>
      <c r="J749" s="689">
        <f>I749*12/14+IF(OR(MONTH(C749)=6,MONTH(C749)=12),I749*12/14,0)</f>
      </c>
      <c r="K749" s="801">
        <f>G749/$G$15</f>
      </c>
      <c r="L749" s="760"/>
      <c r="M749" s="767"/>
      <c r="N749" s="168"/>
      <c r="O749" s="768"/>
      <c r="P749" s="170"/>
      <c r="Q749" s="7"/>
      <c r="R749" s="766"/>
      <c r="S749" s="170"/>
      <c r="T749" s="168"/>
      <c r="U749" s="170"/>
    </row>
    <row x14ac:dyDescent="0.25" r="750" customHeight="1" ht="18.75">
      <c r="A750" s="1"/>
      <c r="B750" s="799">
        <f>+DATE(YEAR(B749),MONTH(B749)+1,DAY(B749))</f>
        <v>25569.041666666668</v>
      </c>
      <c r="C750" s="799">
        <f>+B751-1</f>
        <v>25569.041666666668</v>
      </c>
      <c r="D750" s="791">
        <f>-_xlfn.DAYS($C$3,C750)/365.25</f>
      </c>
      <c r="E750" s="800">
        <f>IF($D$17+40&lt;=D750,(1+$D$7)^-(D750-$C$5),(1+$C$7)^-(D750-$C$5))</f>
      </c>
      <c r="F750" s="801">
        <f>IF($C$4="Hombre",(+VLOOKUP(INT(D750)+1,Tablas!$G$9:$K$1240,5,0)*(D750-INT(D750))+VLOOKUP(INT(D750),Tablas!$G$9:$K$1240,5,0)*(INT(D750)+1-D750))/(VLOOKUP(INT($C$5)+1,Tablas!$G$9:$K$1240,5,0)*($C$5-INT($C$5))+VLOOKUP(INT($C$5),Tablas!$G$9:$K$124,5,0)*(INT($C$5)+1-$C$5)),(+VLOOKUP(INT(D750)+1,Tablas!$G$9:$O$1240,9,0)*(D750-INT(D750))+VLOOKUP(INT(D750),Tablas!$G$9:$O$1240,9,0)*(INT(D750)+1-D750))/(VLOOKUP(INT($C$5)+1,Tablas!$G$9:$O$1240,9,0)*($C$5-INT($C$5))+VLOOKUP(INT($C$5),Tablas!$G$9:$O$124,9,0)*(INT($C$5)+1-$C$5)))</f>
      </c>
      <c r="G750" s="791">
        <f>IF($C$4="Hombre",(+VLOOKUP(INT(D750)+1,Tablas!$G$9:$K$1240,5,0)*(D750-INT(D750))+VLOOKUP(INT(D750),Tablas!$G$9:$K$1240,5,0)*(INT(D750)+1-D750)),+VLOOKUP(INT(D750)+1,Tablas!$G$9:$O$1240,9,0)*(D750-INT(D750))+VLOOKUP(INT(D750),Tablas!$G$9:$O$1240,9,0)*(INT(D750)+1-D750))</f>
      </c>
      <c r="H750" s="801">
        <f>+IF(MONTH(B750)=1,H749*(1+$C$9),H749)</f>
      </c>
      <c r="I750" s="689">
        <f>IF(B750&lt;$C$10,0,IF(B750&lt;$C$11,$C$8/12*E750*F750*H750,0))</f>
      </c>
      <c r="J750" s="689">
        <f>I750*12/14+IF(OR(MONTH(C750)=6,MONTH(C750)=12),I750*12/14,0)</f>
      </c>
      <c r="K750" s="801">
        <f>G750/$G$15</f>
      </c>
      <c r="L750" s="760"/>
      <c r="M750" s="767"/>
      <c r="N750" s="168"/>
      <c r="O750" s="768"/>
      <c r="P750" s="170"/>
      <c r="Q750" s="7"/>
      <c r="R750" s="766"/>
      <c r="S750" s="170"/>
      <c r="T750" s="168"/>
      <c r="U750" s="170"/>
    </row>
    <row x14ac:dyDescent="0.25" r="751" customHeight="1" ht="18.75">
      <c r="A751" s="1"/>
      <c r="B751" s="799">
        <f>+DATE(YEAR(B750),MONTH(B750)+1,DAY(B750))</f>
        <v>25569.041666666668</v>
      </c>
      <c r="C751" s="799">
        <f>+B752-1</f>
        <v>25569.041666666668</v>
      </c>
      <c r="D751" s="791">
        <f>-_xlfn.DAYS($C$3,C751)/365.25</f>
      </c>
      <c r="E751" s="800">
        <f>IF($D$17+40&lt;=D751,(1+$D$7)^-(D751-$C$5),(1+$C$7)^-(D751-$C$5))</f>
      </c>
      <c r="F751" s="801">
        <f>IF($C$4="Hombre",(+VLOOKUP(INT(D751)+1,Tablas!$G$9:$K$1240,5,0)*(D751-INT(D751))+VLOOKUP(INT(D751),Tablas!$G$9:$K$1240,5,0)*(INT(D751)+1-D751))/(VLOOKUP(INT($C$5)+1,Tablas!$G$9:$K$1240,5,0)*($C$5-INT($C$5))+VLOOKUP(INT($C$5),Tablas!$G$9:$K$124,5,0)*(INT($C$5)+1-$C$5)),(+VLOOKUP(INT(D751)+1,Tablas!$G$9:$O$1240,9,0)*(D751-INT(D751))+VLOOKUP(INT(D751),Tablas!$G$9:$O$1240,9,0)*(INT(D751)+1-D751))/(VLOOKUP(INT($C$5)+1,Tablas!$G$9:$O$1240,9,0)*($C$5-INT($C$5))+VLOOKUP(INT($C$5),Tablas!$G$9:$O$124,9,0)*(INT($C$5)+1-$C$5)))</f>
      </c>
      <c r="G751" s="791">
        <f>IF($C$4="Hombre",(+VLOOKUP(INT(D751)+1,Tablas!$G$9:$K$1240,5,0)*(D751-INT(D751))+VLOOKUP(INT(D751),Tablas!$G$9:$K$1240,5,0)*(INT(D751)+1-D751)),+VLOOKUP(INT(D751)+1,Tablas!$G$9:$O$1240,9,0)*(D751-INT(D751))+VLOOKUP(INT(D751),Tablas!$G$9:$O$1240,9,0)*(INT(D751)+1-D751))</f>
      </c>
      <c r="H751" s="801">
        <f>+IF(MONTH(B751)=1,H750*(1+$C$9),H750)</f>
      </c>
      <c r="I751" s="689">
        <f>IF(B751&lt;$C$10,0,IF(B751&lt;$C$11,$C$8/12*E751*F751*H751,0))</f>
      </c>
      <c r="J751" s="689">
        <f>I751*12/14+IF(OR(MONTH(C751)=6,MONTH(C751)=12),I751*12/14,0)</f>
      </c>
      <c r="K751" s="801">
        <f>G751/$G$15</f>
      </c>
      <c r="L751" s="760"/>
      <c r="M751" s="767"/>
      <c r="N751" s="168"/>
      <c r="O751" s="768"/>
      <c r="P751" s="170"/>
      <c r="Q751" s="7"/>
      <c r="R751" s="766"/>
      <c r="S751" s="170"/>
      <c r="T751" s="168"/>
      <c r="U751" s="170"/>
    </row>
    <row x14ac:dyDescent="0.25" r="752" customHeight="1" ht="18.75">
      <c r="A752" s="1"/>
      <c r="B752" s="799">
        <f>+DATE(YEAR(B751),MONTH(B751)+1,DAY(B751))</f>
        <v>25569.041666666668</v>
      </c>
      <c r="C752" s="799">
        <f>+B753-1</f>
        <v>25569.041666666668</v>
      </c>
      <c r="D752" s="791">
        <f>-_xlfn.DAYS($C$3,C752)/365.25</f>
      </c>
      <c r="E752" s="800">
        <f>IF($D$17+40&lt;=D752,(1+$D$7)^-(D752-$C$5),(1+$C$7)^-(D752-$C$5))</f>
      </c>
      <c r="F752" s="801">
        <f>IF($C$4="Hombre",(+VLOOKUP(INT(D752)+1,Tablas!$G$9:$K$1240,5,0)*(D752-INT(D752))+VLOOKUP(INT(D752),Tablas!$G$9:$K$1240,5,0)*(INT(D752)+1-D752))/(VLOOKUP(INT($C$5)+1,Tablas!$G$9:$K$1240,5,0)*($C$5-INT($C$5))+VLOOKUP(INT($C$5),Tablas!$G$9:$K$124,5,0)*(INT($C$5)+1-$C$5)),(+VLOOKUP(INT(D752)+1,Tablas!$G$9:$O$1240,9,0)*(D752-INT(D752))+VLOOKUP(INT(D752),Tablas!$G$9:$O$1240,9,0)*(INT(D752)+1-D752))/(VLOOKUP(INT($C$5)+1,Tablas!$G$9:$O$1240,9,0)*($C$5-INT($C$5))+VLOOKUP(INT($C$5),Tablas!$G$9:$O$124,9,0)*(INT($C$5)+1-$C$5)))</f>
      </c>
      <c r="G752" s="791">
        <f>IF($C$4="Hombre",(+VLOOKUP(INT(D752)+1,Tablas!$G$9:$K$1240,5,0)*(D752-INT(D752))+VLOOKUP(INT(D752),Tablas!$G$9:$K$1240,5,0)*(INT(D752)+1-D752)),+VLOOKUP(INT(D752)+1,Tablas!$G$9:$O$1240,9,0)*(D752-INT(D752))+VLOOKUP(INT(D752),Tablas!$G$9:$O$1240,9,0)*(INT(D752)+1-D752))</f>
      </c>
      <c r="H752" s="801">
        <f>+IF(MONTH(B752)=1,H751*(1+$C$9),H751)</f>
      </c>
      <c r="I752" s="689">
        <f>IF(B752&lt;$C$10,0,IF(B752&lt;$C$11,$C$8/12*E752*F752*H752,0))</f>
      </c>
      <c r="J752" s="689">
        <f>I752*12/14+IF(OR(MONTH(C752)=6,MONTH(C752)=12),I752*12/14,0)</f>
      </c>
      <c r="K752" s="801">
        <f>G752/$G$15</f>
      </c>
      <c r="L752" s="760"/>
      <c r="M752" s="767"/>
      <c r="N752" s="168"/>
      <c r="O752" s="768"/>
      <c r="P752" s="170"/>
      <c r="Q752" s="7"/>
      <c r="R752" s="766"/>
      <c r="S752" s="170"/>
      <c r="T752" s="168"/>
      <c r="U752" s="170"/>
    </row>
    <row x14ac:dyDescent="0.25" r="753" customHeight="1" ht="18.75">
      <c r="A753" s="1"/>
      <c r="B753" s="799">
        <f>+DATE(YEAR(B752),MONTH(B752)+1,DAY(B752))</f>
        <v>25569.041666666668</v>
      </c>
      <c r="C753" s="799">
        <f>+B754-1</f>
        <v>25569.041666666668</v>
      </c>
      <c r="D753" s="791">
        <f>-_xlfn.DAYS($C$3,C753)/365.25</f>
      </c>
      <c r="E753" s="800">
        <f>IF($D$17+40&lt;=D753,(1+$D$7)^-(D753-$C$5),(1+$C$7)^-(D753-$C$5))</f>
      </c>
      <c r="F753" s="801">
        <f>IF($C$4="Hombre",(+VLOOKUP(INT(D753)+1,Tablas!$G$9:$K$1240,5,0)*(D753-INT(D753))+VLOOKUP(INT(D753),Tablas!$G$9:$K$1240,5,0)*(INT(D753)+1-D753))/(VLOOKUP(INT($C$5)+1,Tablas!$G$9:$K$1240,5,0)*($C$5-INT($C$5))+VLOOKUP(INT($C$5),Tablas!$G$9:$K$124,5,0)*(INT($C$5)+1-$C$5)),(+VLOOKUP(INT(D753)+1,Tablas!$G$9:$O$1240,9,0)*(D753-INT(D753))+VLOOKUP(INT(D753),Tablas!$G$9:$O$1240,9,0)*(INT(D753)+1-D753))/(VLOOKUP(INT($C$5)+1,Tablas!$G$9:$O$1240,9,0)*($C$5-INT($C$5))+VLOOKUP(INT($C$5),Tablas!$G$9:$O$124,9,0)*(INT($C$5)+1-$C$5)))</f>
      </c>
      <c r="G753" s="791">
        <f>IF($C$4="Hombre",(+VLOOKUP(INT(D753)+1,Tablas!$G$9:$K$1240,5,0)*(D753-INT(D753))+VLOOKUP(INT(D753),Tablas!$G$9:$K$1240,5,0)*(INT(D753)+1-D753)),+VLOOKUP(INT(D753)+1,Tablas!$G$9:$O$1240,9,0)*(D753-INT(D753))+VLOOKUP(INT(D753),Tablas!$G$9:$O$1240,9,0)*(INT(D753)+1-D753))</f>
      </c>
      <c r="H753" s="801">
        <f>+IF(MONTH(B753)=1,H752*(1+$C$9),H752)</f>
      </c>
      <c r="I753" s="689">
        <f>IF(B753&lt;$C$10,0,IF(B753&lt;$C$11,$C$8/12*E753*F753*H753,0))</f>
      </c>
      <c r="J753" s="689">
        <f>I753*12/14+IF(OR(MONTH(C753)=6,MONTH(C753)=12),I753*12/14,0)</f>
      </c>
      <c r="K753" s="801">
        <f>G753/$G$15</f>
      </c>
      <c r="L753" s="760"/>
      <c r="M753" s="767"/>
      <c r="N753" s="168"/>
      <c r="O753" s="768"/>
      <c r="P753" s="170"/>
      <c r="Q753" s="7"/>
      <c r="R753" s="766"/>
      <c r="S753" s="170"/>
      <c r="T753" s="168"/>
      <c r="U753" s="170"/>
    </row>
    <row x14ac:dyDescent="0.25" r="754" customHeight="1" ht="18.75">
      <c r="A754" s="1"/>
      <c r="B754" s="799">
        <f>+DATE(YEAR(B753),MONTH(B753)+1,DAY(B753))</f>
        <v>25569.041666666668</v>
      </c>
      <c r="C754" s="799">
        <f>+B755-1</f>
        <v>25569.041666666668</v>
      </c>
      <c r="D754" s="791">
        <f>-_xlfn.DAYS($C$3,C754)/365.25</f>
      </c>
      <c r="E754" s="800">
        <f>IF($D$17+40&lt;=D754,(1+$D$7)^-(D754-$C$5),(1+$C$7)^-(D754-$C$5))</f>
      </c>
      <c r="F754" s="801">
        <f>IF($C$4="Hombre",(+VLOOKUP(INT(D754)+1,Tablas!$G$9:$K$1240,5,0)*(D754-INT(D754))+VLOOKUP(INT(D754),Tablas!$G$9:$K$1240,5,0)*(INT(D754)+1-D754))/(VLOOKUP(INT($C$5)+1,Tablas!$G$9:$K$1240,5,0)*($C$5-INT($C$5))+VLOOKUP(INT($C$5),Tablas!$G$9:$K$124,5,0)*(INT($C$5)+1-$C$5)),(+VLOOKUP(INT(D754)+1,Tablas!$G$9:$O$1240,9,0)*(D754-INT(D754))+VLOOKUP(INT(D754),Tablas!$G$9:$O$1240,9,0)*(INT(D754)+1-D754))/(VLOOKUP(INT($C$5)+1,Tablas!$G$9:$O$1240,9,0)*($C$5-INT($C$5))+VLOOKUP(INT($C$5),Tablas!$G$9:$O$124,9,0)*(INT($C$5)+1-$C$5)))</f>
      </c>
      <c r="G754" s="791">
        <f>IF($C$4="Hombre",(+VLOOKUP(INT(D754)+1,Tablas!$G$9:$K$1240,5,0)*(D754-INT(D754))+VLOOKUP(INT(D754),Tablas!$G$9:$K$1240,5,0)*(INT(D754)+1-D754)),+VLOOKUP(INT(D754)+1,Tablas!$G$9:$O$1240,9,0)*(D754-INT(D754))+VLOOKUP(INT(D754),Tablas!$G$9:$O$1240,9,0)*(INT(D754)+1-D754))</f>
      </c>
      <c r="H754" s="801">
        <f>+IF(MONTH(B754)=1,H753*(1+$C$9),H753)</f>
      </c>
      <c r="I754" s="689">
        <f>IF(B754&lt;$C$10,0,IF(B754&lt;$C$11,$C$8/12*E754*F754*H754,0))</f>
      </c>
      <c r="J754" s="689">
        <f>I754*12/14+IF(OR(MONTH(C754)=6,MONTH(C754)=12),I754*12/14,0)</f>
      </c>
      <c r="K754" s="801">
        <f>G754/$G$15</f>
      </c>
      <c r="L754" s="760"/>
      <c r="M754" s="767"/>
      <c r="N754" s="168"/>
      <c r="O754" s="768"/>
      <c r="P754" s="170"/>
      <c r="Q754" s="7"/>
      <c r="R754" s="766"/>
      <c r="S754" s="170"/>
      <c r="T754" s="168"/>
      <c r="U754" s="170"/>
    </row>
    <row x14ac:dyDescent="0.25" r="755" customHeight="1" ht="18.75">
      <c r="A755" s="1"/>
      <c r="B755" s="799">
        <f>+DATE(YEAR(B754),MONTH(B754)+1,DAY(B754))</f>
        <v>25569.041666666668</v>
      </c>
      <c r="C755" s="799">
        <f>+B756-1</f>
        <v>25569.041666666668</v>
      </c>
      <c r="D755" s="791">
        <f>-_xlfn.DAYS($C$3,C755)/365.25</f>
      </c>
      <c r="E755" s="800">
        <f>IF($D$17+40&lt;=D755,(1+$D$7)^-(D755-$C$5),(1+$C$7)^-(D755-$C$5))</f>
      </c>
      <c r="F755" s="801">
        <f>IF($C$4="Hombre",(+VLOOKUP(INT(D755)+1,Tablas!$G$9:$K$1240,5,0)*(D755-INT(D755))+VLOOKUP(INT(D755),Tablas!$G$9:$K$1240,5,0)*(INT(D755)+1-D755))/(VLOOKUP(INT($C$5)+1,Tablas!$G$9:$K$1240,5,0)*($C$5-INT($C$5))+VLOOKUP(INT($C$5),Tablas!$G$9:$K$124,5,0)*(INT($C$5)+1-$C$5)),(+VLOOKUP(INT(D755)+1,Tablas!$G$9:$O$1240,9,0)*(D755-INT(D755))+VLOOKUP(INT(D755),Tablas!$G$9:$O$1240,9,0)*(INT(D755)+1-D755))/(VLOOKUP(INT($C$5)+1,Tablas!$G$9:$O$1240,9,0)*($C$5-INT($C$5))+VLOOKUP(INT($C$5),Tablas!$G$9:$O$124,9,0)*(INT($C$5)+1-$C$5)))</f>
      </c>
      <c r="G755" s="791">
        <f>IF($C$4="Hombre",(+VLOOKUP(INT(D755)+1,Tablas!$G$9:$K$1240,5,0)*(D755-INT(D755))+VLOOKUP(INT(D755),Tablas!$G$9:$K$1240,5,0)*(INT(D755)+1-D755)),+VLOOKUP(INT(D755)+1,Tablas!$G$9:$O$1240,9,0)*(D755-INT(D755))+VLOOKUP(INT(D755),Tablas!$G$9:$O$1240,9,0)*(INT(D755)+1-D755))</f>
      </c>
      <c r="H755" s="801">
        <f>+IF(MONTH(B755)=1,H754*(1+$C$9),H754)</f>
      </c>
      <c r="I755" s="689">
        <f>IF(B755&lt;$C$10,0,IF(B755&lt;$C$11,$C$8/12*E755*F755*H755,0))</f>
      </c>
      <c r="J755" s="689">
        <f>I755*12/14+IF(OR(MONTH(C755)=6,MONTH(C755)=12),I755*12/14,0)</f>
      </c>
      <c r="K755" s="801">
        <f>G755/$G$15</f>
      </c>
      <c r="L755" s="760"/>
      <c r="M755" s="767"/>
      <c r="N755" s="168"/>
      <c r="O755" s="768"/>
      <c r="P755" s="170"/>
      <c r="Q755" s="7"/>
      <c r="R755" s="766"/>
      <c r="S755" s="170"/>
      <c r="T755" s="168"/>
      <c r="U755" s="170"/>
    </row>
    <row x14ac:dyDescent="0.25" r="756" customHeight="1" ht="18.75">
      <c r="A756" s="1"/>
      <c r="B756" s="799">
        <f>+DATE(YEAR(B755),MONTH(B755)+1,DAY(B755))</f>
        <v>25569.041666666668</v>
      </c>
      <c r="C756" s="799">
        <f>+B757-1</f>
        <v>25569.041666666668</v>
      </c>
      <c r="D756" s="791">
        <f>-_xlfn.DAYS($C$3,C756)/365.25</f>
      </c>
      <c r="E756" s="800">
        <f>IF($D$17+40&lt;=D756,(1+$D$7)^-(D756-$C$5),(1+$C$7)^-(D756-$C$5))</f>
      </c>
      <c r="F756" s="801">
        <f>IF($C$4="Hombre",(+VLOOKUP(INT(D756)+1,Tablas!$G$9:$K$1240,5,0)*(D756-INT(D756))+VLOOKUP(INT(D756),Tablas!$G$9:$K$1240,5,0)*(INT(D756)+1-D756))/(VLOOKUP(INT($C$5)+1,Tablas!$G$9:$K$1240,5,0)*($C$5-INT($C$5))+VLOOKUP(INT($C$5),Tablas!$G$9:$K$124,5,0)*(INT($C$5)+1-$C$5)),(+VLOOKUP(INT(D756)+1,Tablas!$G$9:$O$1240,9,0)*(D756-INT(D756))+VLOOKUP(INT(D756),Tablas!$G$9:$O$1240,9,0)*(INT(D756)+1-D756))/(VLOOKUP(INT($C$5)+1,Tablas!$G$9:$O$1240,9,0)*($C$5-INT($C$5))+VLOOKUP(INT($C$5),Tablas!$G$9:$O$124,9,0)*(INT($C$5)+1-$C$5)))</f>
      </c>
      <c r="G756" s="791">
        <f>IF($C$4="Hombre",(+VLOOKUP(INT(D756)+1,Tablas!$G$9:$K$1240,5,0)*(D756-INT(D756))+VLOOKUP(INT(D756),Tablas!$G$9:$K$1240,5,0)*(INT(D756)+1-D756)),+VLOOKUP(INT(D756)+1,Tablas!$G$9:$O$1240,9,0)*(D756-INT(D756))+VLOOKUP(INT(D756),Tablas!$G$9:$O$1240,9,0)*(INT(D756)+1-D756))</f>
      </c>
      <c r="H756" s="801">
        <f>+IF(MONTH(B756)=1,H755*(1+$C$9),H755)</f>
      </c>
      <c r="I756" s="689">
        <f>IF(B756&lt;$C$10,0,IF(B756&lt;$C$11,$C$8/12*E756*F756*H756,0))</f>
      </c>
      <c r="J756" s="689">
        <f>I756*12/14+IF(OR(MONTH(C756)=6,MONTH(C756)=12),I756*12/14,0)</f>
      </c>
      <c r="K756" s="801">
        <f>G756/$G$15</f>
      </c>
      <c r="L756" s="760"/>
      <c r="M756" s="767"/>
      <c r="N756" s="168"/>
      <c r="O756" s="768"/>
      <c r="P756" s="170"/>
      <c r="Q756" s="7"/>
      <c r="R756" s="766"/>
      <c r="S756" s="170"/>
      <c r="T756" s="168"/>
      <c r="U756" s="170"/>
    </row>
    <row x14ac:dyDescent="0.25" r="757" customHeight="1" ht="18.75">
      <c r="A757" s="1"/>
      <c r="B757" s="799">
        <f>+DATE(YEAR(B756),MONTH(B756)+1,DAY(B756))</f>
        <v>25569.041666666668</v>
      </c>
      <c r="C757" s="799">
        <f>+B758-1</f>
        <v>25569.041666666668</v>
      </c>
      <c r="D757" s="791">
        <f>-_xlfn.DAYS($C$3,C757)/365.25</f>
      </c>
      <c r="E757" s="800">
        <f>IF($D$17+40&lt;=D757,(1+$D$7)^-(D757-$C$5),(1+$C$7)^-(D757-$C$5))</f>
      </c>
      <c r="F757" s="801">
        <f>IF($C$4="Hombre",(+VLOOKUP(INT(D757)+1,Tablas!$G$9:$K$1240,5,0)*(D757-INT(D757))+VLOOKUP(INT(D757),Tablas!$G$9:$K$1240,5,0)*(INT(D757)+1-D757))/(VLOOKUP(INT($C$5)+1,Tablas!$G$9:$K$1240,5,0)*($C$5-INT($C$5))+VLOOKUP(INT($C$5),Tablas!$G$9:$K$124,5,0)*(INT($C$5)+1-$C$5)),(+VLOOKUP(INT(D757)+1,Tablas!$G$9:$O$1240,9,0)*(D757-INT(D757))+VLOOKUP(INT(D757),Tablas!$G$9:$O$1240,9,0)*(INT(D757)+1-D757))/(VLOOKUP(INT($C$5)+1,Tablas!$G$9:$O$1240,9,0)*($C$5-INT($C$5))+VLOOKUP(INT($C$5),Tablas!$G$9:$O$124,9,0)*(INT($C$5)+1-$C$5)))</f>
      </c>
      <c r="G757" s="791">
        <f>IF($C$4="Hombre",(+VLOOKUP(INT(D757)+1,Tablas!$G$9:$K$1240,5,0)*(D757-INT(D757))+VLOOKUP(INT(D757),Tablas!$G$9:$K$1240,5,0)*(INT(D757)+1-D757)),+VLOOKUP(INT(D757)+1,Tablas!$G$9:$O$1240,9,0)*(D757-INT(D757))+VLOOKUP(INT(D757),Tablas!$G$9:$O$1240,9,0)*(INT(D757)+1-D757))</f>
      </c>
      <c r="H757" s="801">
        <f>+IF(MONTH(B757)=1,H756*(1+$C$9),H756)</f>
      </c>
      <c r="I757" s="689">
        <f>IF(B757&lt;$C$10,0,IF(B757&lt;$C$11,$C$8/12*E757*F757*H757,0))</f>
      </c>
      <c r="J757" s="689">
        <f>I757*12/14+IF(OR(MONTH(C757)=6,MONTH(C757)=12),I757*12/14,0)</f>
      </c>
      <c r="K757" s="801">
        <f>G757/$G$15</f>
      </c>
      <c r="L757" s="760"/>
      <c r="M757" s="767"/>
      <c r="N757" s="168"/>
      <c r="O757" s="768"/>
      <c r="P757" s="170"/>
      <c r="Q757" s="7"/>
      <c r="R757" s="766"/>
      <c r="S757" s="170"/>
      <c r="T757" s="168"/>
      <c r="U757" s="170"/>
    </row>
    <row x14ac:dyDescent="0.25" r="758" customHeight="1" ht="18.75">
      <c r="A758" s="1"/>
      <c r="B758" s="799">
        <f>+DATE(YEAR(B757),MONTH(B757)+1,DAY(B757))</f>
        <v>25569.041666666668</v>
      </c>
      <c r="C758" s="799">
        <f>+B759-1</f>
        <v>25569.041666666668</v>
      </c>
      <c r="D758" s="791">
        <f>-_xlfn.DAYS($C$3,C758)/365.25</f>
      </c>
      <c r="E758" s="800">
        <f>IF($D$17+40&lt;=D758,(1+$D$7)^-(D758-$C$5),(1+$C$7)^-(D758-$C$5))</f>
      </c>
      <c r="F758" s="801">
        <f>IF($C$4="Hombre",(+VLOOKUP(INT(D758)+1,Tablas!$G$9:$K$1240,5,0)*(D758-INT(D758))+VLOOKUP(INT(D758),Tablas!$G$9:$K$1240,5,0)*(INT(D758)+1-D758))/(VLOOKUP(INT($C$5)+1,Tablas!$G$9:$K$1240,5,0)*($C$5-INT($C$5))+VLOOKUP(INT($C$5),Tablas!$G$9:$K$124,5,0)*(INT($C$5)+1-$C$5)),(+VLOOKUP(INT(D758)+1,Tablas!$G$9:$O$1240,9,0)*(D758-INT(D758))+VLOOKUP(INT(D758),Tablas!$G$9:$O$1240,9,0)*(INT(D758)+1-D758))/(VLOOKUP(INT($C$5)+1,Tablas!$G$9:$O$1240,9,0)*($C$5-INT($C$5))+VLOOKUP(INT($C$5),Tablas!$G$9:$O$124,9,0)*(INT($C$5)+1-$C$5)))</f>
      </c>
      <c r="G758" s="791">
        <f>IF($C$4="Hombre",(+VLOOKUP(INT(D758)+1,Tablas!$G$9:$K$1240,5,0)*(D758-INT(D758))+VLOOKUP(INT(D758),Tablas!$G$9:$K$1240,5,0)*(INT(D758)+1-D758)),+VLOOKUP(INT(D758)+1,Tablas!$G$9:$O$1240,9,0)*(D758-INT(D758))+VLOOKUP(INT(D758),Tablas!$G$9:$O$1240,9,0)*(INT(D758)+1-D758))</f>
      </c>
      <c r="H758" s="801">
        <f>+IF(MONTH(B758)=1,H757*(1+$C$9),H757)</f>
      </c>
      <c r="I758" s="689">
        <f>IF(B758&lt;$C$10,0,IF(B758&lt;$C$11,$C$8/12*E758*F758*H758,0))</f>
      </c>
      <c r="J758" s="689">
        <f>I758*12/14+IF(OR(MONTH(C758)=6,MONTH(C758)=12),I758*12/14,0)</f>
      </c>
      <c r="K758" s="801">
        <f>G758/$G$15</f>
      </c>
      <c r="L758" s="760"/>
      <c r="M758" s="767"/>
      <c r="N758" s="168"/>
      <c r="O758" s="768"/>
      <c r="P758" s="170"/>
      <c r="Q758" s="7"/>
      <c r="R758" s="766"/>
      <c r="S758" s="170"/>
      <c r="T758" s="168"/>
      <c r="U758" s="170"/>
    </row>
    <row x14ac:dyDescent="0.25" r="759" customHeight="1" ht="18.75">
      <c r="A759" s="1"/>
      <c r="B759" s="799">
        <f>+DATE(YEAR(B758),MONTH(B758)+1,DAY(B758))</f>
        <v>25569.041666666668</v>
      </c>
      <c r="C759" s="799">
        <f>+B760-1</f>
        <v>25569.041666666668</v>
      </c>
      <c r="D759" s="791">
        <f>-_xlfn.DAYS($C$3,C759)/365.25</f>
      </c>
      <c r="E759" s="800">
        <f>IF($D$17+40&lt;=D759,(1+$D$7)^-(D759-$C$5),(1+$C$7)^-(D759-$C$5))</f>
      </c>
      <c r="F759" s="801">
        <f>IF($C$4="Hombre",(+VLOOKUP(INT(D759)+1,Tablas!$G$9:$K$1240,5,0)*(D759-INT(D759))+VLOOKUP(INT(D759),Tablas!$G$9:$K$1240,5,0)*(INT(D759)+1-D759))/(VLOOKUP(INT($C$5)+1,Tablas!$G$9:$K$1240,5,0)*($C$5-INT($C$5))+VLOOKUP(INT($C$5),Tablas!$G$9:$K$124,5,0)*(INT($C$5)+1-$C$5)),(+VLOOKUP(INT(D759)+1,Tablas!$G$9:$O$1240,9,0)*(D759-INT(D759))+VLOOKUP(INT(D759),Tablas!$G$9:$O$1240,9,0)*(INT(D759)+1-D759))/(VLOOKUP(INT($C$5)+1,Tablas!$G$9:$O$1240,9,0)*($C$5-INT($C$5))+VLOOKUP(INT($C$5),Tablas!$G$9:$O$124,9,0)*(INT($C$5)+1-$C$5)))</f>
      </c>
      <c r="G759" s="791">
        <f>IF($C$4="Hombre",(+VLOOKUP(INT(D759)+1,Tablas!$G$9:$K$1240,5,0)*(D759-INT(D759))+VLOOKUP(INT(D759),Tablas!$G$9:$K$1240,5,0)*(INT(D759)+1-D759)),+VLOOKUP(INT(D759)+1,Tablas!$G$9:$O$1240,9,0)*(D759-INT(D759))+VLOOKUP(INT(D759),Tablas!$G$9:$O$1240,9,0)*(INT(D759)+1-D759))</f>
      </c>
      <c r="H759" s="801">
        <f>+IF(MONTH(B759)=1,H758*(1+$C$9),H758)</f>
      </c>
      <c r="I759" s="689">
        <f>IF(B759&lt;$C$10,0,IF(B759&lt;$C$11,$C$8/12*E759*F759*H759,0))</f>
      </c>
      <c r="J759" s="689">
        <f>I759*12/14+IF(OR(MONTH(C759)=6,MONTH(C759)=12),I759*12/14,0)</f>
      </c>
      <c r="K759" s="801">
        <f>G759/$G$15</f>
      </c>
      <c r="L759" s="760"/>
      <c r="M759" s="767"/>
      <c r="N759" s="168"/>
      <c r="O759" s="768"/>
      <c r="P759" s="170"/>
      <c r="Q759" s="7"/>
      <c r="R759" s="766"/>
      <c r="S759" s="170"/>
      <c r="T759" s="168"/>
      <c r="U759" s="170"/>
    </row>
    <row x14ac:dyDescent="0.25" r="760" customHeight="1" ht="18.75">
      <c r="A760" s="1"/>
      <c r="B760" s="799">
        <f>+DATE(YEAR(B759),MONTH(B759)+1,DAY(B759))</f>
        <v>25569.041666666668</v>
      </c>
      <c r="C760" s="799">
        <f>+B761-1</f>
        <v>25569.041666666668</v>
      </c>
      <c r="D760" s="791">
        <f>-_xlfn.DAYS($C$3,C760)/365.25</f>
      </c>
      <c r="E760" s="800">
        <f>IF($D$17+40&lt;=D760,(1+$D$7)^-(D760-$C$5),(1+$C$7)^-(D760-$C$5))</f>
      </c>
      <c r="F760" s="801">
        <f>IF($C$4="Hombre",(+VLOOKUP(INT(D760)+1,Tablas!$G$9:$K$1240,5,0)*(D760-INT(D760))+VLOOKUP(INT(D760),Tablas!$G$9:$K$1240,5,0)*(INT(D760)+1-D760))/(VLOOKUP(INT($C$5)+1,Tablas!$G$9:$K$1240,5,0)*($C$5-INT($C$5))+VLOOKUP(INT($C$5),Tablas!$G$9:$K$124,5,0)*(INT($C$5)+1-$C$5)),(+VLOOKUP(INT(D760)+1,Tablas!$G$9:$O$1240,9,0)*(D760-INT(D760))+VLOOKUP(INT(D760),Tablas!$G$9:$O$1240,9,0)*(INT(D760)+1-D760))/(VLOOKUP(INT($C$5)+1,Tablas!$G$9:$O$1240,9,0)*($C$5-INT($C$5))+VLOOKUP(INT($C$5),Tablas!$G$9:$O$124,9,0)*(INT($C$5)+1-$C$5)))</f>
      </c>
      <c r="G760" s="791">
        <f>IF($C$4="Hombre",(+VLOOKUP(INT(D760)+1,Tablas!$G$9:$K$1240,5,0)*(D760-INT(D760))+VLOOKUP(INT(D760),Tablas!$G$9:$K$1240,5,0)*(INT(D760)+1-D760)),+VLOOKUP(INT(D760)+1,Tablas!$G$9:$O$1240,9,0)*(D760-INT(D760))+VLOOKUP(INT(D760),Tablas!$G$9:$O$1240,9,0)*(INT(D760)+1-D760))</f>
      </c>
      <c r="H760" s="801">
        <f>+IF(MONTH(B760)=1,H759*(1+$C$9),H759)</f>
      </c>
      <c r="I760" s="689">
        <f>IF(B760&lt;$C$10,0,IF(B760&lt;$C$11,$C$8/12*E760*F760*H760,0))</f>
      </c>
      <c r="J760" s="689">
        <f>I760*12/14+IF(OR(MONTH(C760)=6,MONTH(C760)=12),I760*12/14,0)</f>
      </c>
      <c r="K760" s="801">
        <f>G760/$G$15</f>
      </c>
      <c r="L760" s="760"/>
      <c r="M760" s="767"/>
      <c r="N760" s="168"/>
      <c r="O760" s="768"/>
      <c r="P760" s="170"/>
      <c r="Q760" s="7"/>
      <c r="R760" s="766"/>
      <c r="S760" s="170"/>
      <c r="T760" s="168"/>
      <c r="U760" s="170"/>
    </row>
    <row x14ac:dyDescent="0.25" r="761" customHeight="1" ht="18.75">
      <c r="A761" s="1"/>
      <c r="B761" s="799">
        <f>+DATE(YEAR(B760),MONTH(B760)+1,DAY(B760))</f>
        <v>25569.041666666668</v>
      </c>
      <c r="C761" s="799">
        <f>+B762-1</f>
        <v>25569.041666666668</v>
      </c>
      <c r="D761" s="791">
        <f>-_xlfn.DAYS($C$3,C761)/365.25</f>
      </c>
      <c r="E761" s="800">
        <f>IF($D$17+40&lt;=D761,(1+$D$7)^-(D761-$C$5),(1+$C$7)^-(D761-$C$5))</f>
      </c>
      <c r="F761" s="801">
        <f>IF($C$4="Hombre",(+VLOOKUP(INT(D761)+1,Tablas!$G$9:$K$1240,5,0)*(D761-INT(D761))+VLOOKUP(INT(D761),Tablas!$G$9:$K$1240,5,0)*(INT(D761)+1-D761))/(VLOOKUP(INT($C$5)+1,Tablas!$G$9:$K$1240,5,0)*($C$5-INT($C$5))+VLOOKUP(INT($C$5),Tablas!$G$9:$K$124,5,0)*(INT($C$5)+1-$C$5)),(+VLOOKUP(INT(D761)+1,Tablas!$G$9:$O$1240,9,0)*(D761-INT(D761))+VLOOKUP(INT(D761),Tablas!$G$9:$O$1240,9,0)*(INT(D761)+1-D761))/(VLOOKUP(INT($C$5)+1,Tablas!$G$9:$O$1240,9,0)*($C$5-INT($C$5))+VLOOKUP(INT($C$5),Tablas!$G$9:$O$124,9,0)*(INT($C$5)+1-$C$5)))</f>
      </c>
      <c r="G761" s="791">
        <f>IF($C$4="Hombre",(+VLOOKUP(INT(D761)+1,Tablas!$G$9:$K$1240,5,0)*(D761-INT(D761))+VLOOKUP(INT(D761),Tablas!$G$9:$K$1240,5,0)*(INT(D761)+1-D761)),+VLOOKUP(INT(D761)+1,Tablas!$G$9:$O$1240,9,0)*(D761-INT(D761))+VLOOKUP(INT(D761),Tablas!$G$9:$O$1240,9,0)*(INT(D761)+1-D761))</f>
      </c>
      <c r="H761" s="801">
        <f>+IF(MONTH(B761)=1,H760*(1+$C$9),H760)</f>
      </c>
      <c r="I761" s="689">
        <f>IF(B761&lt;$C$10,0,IF(B761&lt;$C$11,$C$8/12*E761*F761*H761,0))</f>
      </c>
      <c r="J761" s="689">
        <f>I761*12/14+IF(OR(MONTH(C761)=6,MONTH(C761)=12),I761*12/14,0)</f>
      </c>
      <c r="K761" s="801">
        <f>G761/$G$15</f>
      </c>
      <c r="L761" s="760"/>
      <c r="M761" s="767"/>
      <c r="N761" s="168"/>
      <c r="O761" s="768"/>
      <c r="P761" s="170"/>
      <c r="Q761" s="7"/>
      <c r="R761" s="766"/>
      <c r="S761" s="170"/>
      <c r="T761" s="168"/>
      <c r="U761" s="170"/>
    </row>
    <row x14ac:dyDescent="0.25" r="762" customHeight="1" ht="18.75">
      <c r="A762" s="1"/>
      <c r="B762" s="799">
        <f>+DATE(YEAR(B761),MONTH(B761)+1,DAY(B761))</f>
        <v>25569.041666666668</v>
      </c>
      <c r="C762" s="799">
        <f>+B763-1</f>
        <v>25569.041666666668</v>
      </c>
      <c r="D762" s="791">
        <f>-_xlfn.DAYS($C$3,C762)/365.25</f>
      </c>
      <c r="E762" s="800">
        <f>IF($D$17+40&lt;=D762,(1+$D$7)^-(D762-$C$5),(1+$C$7)^-(D762-$C$5))</f>
      </c>
      <c r="F762" s="801">
        <f>IF($C$4="Hombre",(+VLOOKUP(INT(D762)+1,Tablas!$G$9:$K$1240,5,0)*(D762-INT(D762))+VLOOKUP(INT(D762),Tablas!$G$9:$K$1240,5,0)*(INT(D762)+1-D762))/(VLOOKUP(INT($C$5)+1,Tablas!$G$9:$K$1240,5,0)*($C$5-INT($C$5))+VLOOKUP(INT($C$5),Tablas!$G$9:$K$124,5,0)*(INT($C$5)+1-$C$5)),(+VLOOKUP(INT(D762)+1,Tablas!$G$9:$O$1240,9,0)*(D762-INT(D762))+VLOOKUP(INT(D762),Tablas!$G$9:$O$1240,9,0)*(INT(D762)+1-D762))/(VLOOKUP(INT($C$5)+1,Tablas!$G$9:$O$1240,9,0)*($C$5-INT($C$5))+VLOOKUP(INT($C$5),Tablas!$G$9:$O$124,9,0)*(INT($C$5)+1-$C$5)))</f>
      </c>
      <c r="G762" s="791">
        <f>IF($C$4="Hombre",(+VLOOKUP(INT(D762)+1,Tablas!$G$9:$K$1240,5,0)*(D762-INT(D762))+VLOOKUP(INT(D762),Tablas!$G$9:$K$1240,5,0)*(INT(D762)+1-D762)),+VLOOKUP(INT(D762)+1,Tablas!$G$9:$O$1240,9,0)*(D762-INT(D762))+VLOOKUP(INT(D762),Tablas!$G$9:$O$1240,9,0)*(INT(D762)+1-D762))</f>
      </c>
      <c r="H762" s="801">
        <f>+IF(MONTH(B762)=1,H761*(1+$C$9),H761)</f>
      </c>
      <c r="I762" s="689">
        <f>IF(B762&lt;$C$10,0,IF(B762&lt;$C$11,$C$8/12*E762*F762*H762,0))</f>
      </c>
      <c r="J762" s="689">
        <f>I762*12/14+IF(OR(MONTH(C762)=6,MONTH(C762)=12),I762*12/14,0)</f>
      </c>
      <c r="K762" s="801">
        <f>G762/$G$15</f>
      </c>
      <c r="L762" s="760"/>
      <c r="M762" s="767"/>
      <c r="N762" s="168"/>
      <c r="O762" s="768"/>
      <c r="P762" s="170"/>
      <c r="Q762" s="7"/>
      <c r="R762" s="766"/>
      <c r="S762" s="170"/>
      <c r="T762" s="168"/>
      <c r="U762" s="170"/>
    </row>
    <row x14ac:dyDescent="0.25" r="763" customHeight="1" ht="18.75">
      <c r="A763" s="1"/>
      <c r="B763" s="799">
        <f>+DATE(YEAR(B762),MONTH(B762)+1,DAY(B762))</f>
        <v>25569.041666666668</v>
      </c>
      <c r="C763" s="799">
        <f>+B764-1</f>
        <v>25569.041666666668</v>
      </c>
      <c r="D763" s="791">
        <f>-_xlfn.DAYS($C$3,C763)/365.25</f>
      </c>
      <c r="E763" s="800">
        <f>IF($D$17+40&lt;=D763,(1+$D$7)^-(D763-$C$5),(1+$C$7)^-(D763-$C$5))</f>
      </c>
      <c r="F763" s="801">
        <f>IF($C$4="Hombre",(+VLOOKUP(INT(D763)+1,Tablas!$G$9:$K$1240,5,0)*(D763-INT(D763))+VLOOKUP(INT(D763),Tablas!$G$9:$K$1240,5,0)*(INT(D763)+1-D763))/(VLOOKUP(INT($C$5)+1,Tablas!$G$9:$K$1240,5,0)*($C$5-INT($C$5))+VLOOKUP(INT($C$5),Tablas!$G$9:$K$124,5,0)*(INT($C$5)+1-$C$5)),(+VLOOKUP(INT(D763)+1,Tablas!$G$9:$O$1240,9,0)*(D763-INT(D763))+VLOOKUP(INT(D763),Tablas!$G$9:$O$1240,9,0)*(INT(D763)+1-D763))/(VLOOKUP(INT($C$5)+1,Tablas!$G$9:$O$1240,9,0)*($C$5-INT($C$5))+VLOOKUP(INT($C$5),Tablas!$G$9:$O$124,9,0)*(INT($C$5)+1-$C$5)))</f>
      </c>
      <c r="G763" s="791">
        <f>IF($C$4="Hombre",(+VLOOKUP(INT(D763)+1,Tablas!$G$9:$K$1240,5,0)*(D763-INT(D763))+VLOOKUP(INT(D763),Tablas!$G$9:$K$1240,5,0)*(INT(D763)+1-D763)),+VLOOKUP(INT(D763)+1,Tablas!$G$9:$O$1240,9,0)*(D763-INT(D763))+VLOOKUP(INT(D763),Tablas!$G$9:$O$1240,9,0)*(INT(D763)+1-D763))</f>
      </c>
      <c r="H763" s="801">
        <f>+IF(MONTH(B763)=1,H762*(1+$C$9),H762)</f>
      </c>
      <c r="I763" s="689">
        <f>IF(B763&lt;$C$10,0,IF(B763&lt;$C$11,$C$8/12*E763*F763*H763,0))</f>
      </c>
      <c r="J763" s="689">
        <f>I763*12/14+IF(OR(MONTH(C763)=6,MONTH(C763)=12),I763*12/14,0)</f>
      </c>
      <c r="K763" s="801">
        <f>G763/$G$15</f>
      </c>
      <c r="L763" s="760"/>
      <c r="M763" s="767"/>
      <c r="N763" s="168"/>
      <c r="O763" s="768"/>
      <c r="P763" s="170"/>
      <c r="Q763" s="7"/>
      <c r="R763" s="766"/>
      <c r="S763" s="170"/>
      <c r="T763" s="168"/>
      <c r="U763" s="170"/>
    </row>
    <row x14ac:dyDescent="0.25" r="764" customHeight="1" ht="18.75">
      <c r="A764" s="1"/>
      <c r="B764" s="799">
        <f>+DATE(YEAR(B763),MONTH(B763)+1,DAY(B763))</f>
        <v>25569.041666666668</v>
      </c>
      <c r="C764" s="799">
        <f>+B765-1</f>
        <v>25569.041666666668</v>
      </c>
      <c r="D764" s="791">
        <f>-_xlfn.DAYS($C$3,C764)/365.25</f>
      </c>
      <c r="E764" s="800">
        <f>IF($D$17+40&lt;=D764,(1+$D$7)^-(D764-$C$5),(1+$C$7)^-(D764-$C$5))</f>
      </c>
      <c r="F764" s="801">
        <f>IF($C$4="Hombre",(+VLOOKUP(INT(D764)+1,Tablas!$G$9:$K$1240,5,0)*(D764-INT(D764))+VLOOKUP(INT(D764),Tablas!$G$9:$K$1240,5,0)*(INT(D764)+1-D764))/(VLOOKUP(INT($C$5)+1,Tablas!$G$9:$K$1240,5,0)*($C$5-INT($C$5))+VLOOKUP(INT($C$5),Tablas!$G$9:$K$124,5,0)*(INT($C$5)+1-$C$5)),(+VLOOKUP(INT(D764)+1,Tablas!$G$9:$O$1240,9,0)*(D764-INT(D764))+VLOOKUP(INT(D764),Tablas!$G$9:$O$1240,9,0)*(INT(D764)+1-D764))/(VLOOKUP(INT($C$5)+1,Tablas!$G$9:$O$1240,9,0)*($C$5-INT($C$5))+VLOOKUP(INT($C$5),Tablas!$G$9:$O$124,9,0)*(INT($C$5)+1-$C$5)))</f>
      </c>
      <c r="G764" s="791">
        <f>IF($C$4="Hombre",(+VLOOKUP(INT(D764)+1,Tablas!$G$9:$K$1240,5,0)*(D764-INT(D764))+VLOOKUP(INT(D764),Tablas!$G$9:$K$1240,5,0)*(INT(D764)+1-D764)),+VLOOKUP(INT(D764)+1,Tablas!$G$9:$O$1240,9,0)*(D764-INT(D764))+VLOOKUP(INT(D764),Tablas!$G$9:$O$1240,9,0)*(INT(D764)+1-D764))</f>
      </c>
      <c r="H764" s="801">
        <f>+IF(MONTH(B764)=1,H763*(1+$C$9),H763)</f>
      </c>
      <c r="I764" s="689">
        <f>IF(B764&lt;$C$10,0,IF(B764&lt;$C$11,$C$8/12*E764*F764*H764,0))</f>
      </c>
      <c r="J764" s="689">
        <f>I764*12/14+IF(OR(MONTH(C764)=6,MONTH(C764)=12),I764*12/14,0)</f>
      </c>
      <c r="K764" s="801">
        <f>G764/$G$15</f>
      </c>
      <c r="L764" s="760"/>
      <c r="M764" s="767"/>
      <c r="N764" s="168"/>
      <c r="O764" s="768"/>
      <c r="P764" s="170"/>
      <c r="Q764" s="7"/>
      <c r="R764" s="766"/>
      <c r="S764" s="170"/>
      <c r="T764" s="168"/>
      <c r="U764" s="170"/>
    </row>
    <row x14ac:dyDescent="0.25" r="765" customHeight="1" ht="18.75">
      <c r="A765" s="1"/>
      <c r="B765" s="799">
        <f>+DATE(YEAR(B764),MONTH(B764)+1,DAY(B764))</f>
        <v>25569.041666666668</v>
      </c>
      <c r="C765" s="799">
        <f>+B766-1</f>
        <v>25569.041666666668</v>
      </c>
      <c r="D765" s="791">
        <f>-_xlfn.DAYS($C$3,C765)/365.25</f>
      </c>
      <c r="E765" s="800">
        <f>IF($D$17+40&lt;=D765,(1+$D$7)^-(D765-$C$5),(1+$C$7)^-(D765-$C$5))</f>
      </c>
      <c r="F765" s="801">
        <f>IF($C$4="Hombre",(+VLOOKUP(INT(D765)+1,Tablas!$G$9:$K$1240,5,0)*(D765-INT(D765))+VLOOKUP(INT(D765),Tablas!$G$9:$K$1240,5,0)*(INT(D765)+1-D765))/(VLOOKUP(INT($C$5)+1,Tablas!$G$9:$K$1240,5,0)*($C$5-INT($C$5))+VLOOKUP(INT($C$5),Tablas!$G$9:$K$124,5,0)*(INT($C$5)+1-$C$5)),(+VLOOKUP(INT(D765)+1,Tablas!$G$9:$O$1240,9,0)*(D765-INT(D765))+VLOOKUP(INT(D765),Tablas!$G$9:$O$1240,9,0)*(INT(D765)+1-D765))/(VLOOKUP(INT($C$5)+1,Tablas!$G$9:$O$1240,9,0)*($C$5-INT($C$5))+VLOOKUP(INT($C$5),Tablas!$G$9:$O$124,9,0)*(INT($C$5)+1-$C$5)))</f>
      </c>
      <c r="G765" s="791">
        <f>IF($C$4="Hombre",(+VLOOKUP(INT(D765)+1,Tablas!$G$9:$K$1240,5,0)*(D765-INT(D765))+VLOOKUP(INT(D765),Tablas!$G$9:$K$1240,5,0)*(INT(D765)+1-D765)),+VLOOKUP(INT(D765)+1,Tablas!$G$9:$O$1240,9,0)*(D765-INT(D765))+VLOOKUP(INT(D765),Tablas!$G$9:$O$1240,9,0)*(INT(D765)+1-D765))</f>
      </c>
      <c r="H765" s="801">
        <f>+IF(MONTH(B765)=1,H764*(1+$C$9),H764)</f>
      </c>
      <c r="I765" s="689">
        <f>IF(B765&lt;$C$10,0,IF(B765&lt;$C$11,$C$8/12*E765*F765*H765,0))</f>
      </c>
      <c r="J765" s="689">
        <f>I765*12/14+IF(OR(MONTH(C765)=6,MONTH(C765)=12),I765*12/14,0)</f>
      </c>
      <c r="K765" s="801">
        <f>G765/$G$15</f>
      </c>
      <c r="L765" s="760"/>
      <c r="M765" s="767"/>
      <c r="N765" s="168"/>
      <c r="O765" s="768"/>
      <c r="P765" s="170"/>
      <c r="Q765" s="7"/>
      <c r="R765" s="766"/>
      <c r="S765" s="170"/>
      <c r="T765" s="168"/>
      <c r="U765" s="170"/>
    </row>
    <row x14ac:dyDescent="0.25" r="766" customHeight="1" ht="18.75">
      <c r="A766" s="1"/>
      <c r="B766" s="799">
        <f>+DATE(YEAR(B765),MONTH(B765)+1,DAY(B765))</f>
        <v>25569.041666666668</v>
      </c>
      <c r="C766" s="799">
        <f>+B767-1</f>
        <v>25569.041666666668</v>
      </c>
      <c r="D766" s="791">
        <f>-_xlfn.DAYS($C$3,C766)/365.25</f>
      </c>
      <c r="E766" s="800">
        <f>IF($D$17+40&lt;=D766,(1+$D$7)^-(D766-$C$5),(1+$C$7)^-(D766-$C$5))</f>
      </c>
      <c r="F766" s="801">
        <f>IF($C$4="Hombre",(+VLOOKUP(INT(D766)+1,Tablas!$G$9:$K$1240,5,0)*(D766-INT(D766))+VLOOKUP(INT(D766),Tablas!$G$9:$K$1240,5,0)*(INT(D766)+1-D766))/(VLOOKUP(INT($C$5)+1,Tablas!$G$9:$K$1240,5,0)*($C$5-INT($C$5))+VLOOKUP(INT($C$5),Tablas!$G$9:$K$124,5,0)*(INT($C$5)+1-$C$5)),(+VLOOKUP(INT(D766)+1,Tablas!$G$9:$O$1240,9,0)*(D766-INT(D766))+VLOOKUP(INT(D766),Tablas!$G$9:$O$1240,9,0)*(INT(D766)+1-D766))/(VLOOKUP(INT($C$5)+1,Tablas!$G$9:$O$1240,9,0)*($C$5-INT($C$5))+VLOOKUP(INT($C$5),Tablas!$G$9:$O$124,9,0)*(INT($C$5)+1-$C$5)))</f>
      </c>
      <c r="G766" s="791">
        <f>IF($C$4="Hombre",(+VLOOKUP(INT(D766)+1,Tablas!$G$9:$K$1240,5,0)*(D766-INT(D766))+VLOOKUP(INT(D766),Tablas!$G$9:$K$1240,5,0)*(INT(D766)+1-D766)),+VLOOKUP(INT(D766)+1,Tablas!$G$9:$O$1240,9,0)*(D766-INT(D766))+VLOOKUP(INT(D766),Tablas!$G$9:$O$1240,9,0)*(INT(D766)+1-D766))</f>
      </c>
      <c r="H766" s="801">
        <f>+IF(MONTH(B766)=1,H765*(1+$C$9),H765)</f>
      </c>
      <c r="I766" s="689">
        <f>IF(B766&lt;$C$10,0,IF(B766&lt;$C$11,$C$8/12*E766*F766*H766,0))</f>
      </c>
      <c r="J766" s="689">
        <f>I766*12/14+IF(OR(MONTH(C766)=6,MONTH(C766)=12),I766*12/14,0)</f>
      </c>
      <c r="K766" s="801">
        <f>G766/$G$15</f>
      </c>
      <c r="L766" s="760"/>
      <c r="M766" s="767"/>
      <c r="N766" s="168"/>
      <c r="O766" s="768"/>
      <c r="P766" s="170"/>
      <c r="Q766" s="7"/>
      <c r="R766" s="766"/>
      <c r="S766" s="170"/>
      <c r="T766" s="168"/>
      <c r="U766" s="170"/>
    </row>
    <row x14ac:dyDescent="0.25" r="767" customHeight="1" ht="18.75">
      <c r="A767" s="1"/>
      <c r="B767" s="799">
        <f>+DATE(YEAR(B766),MONTH(B766)+1,DAY(B766))</f>
        <v>25569.041666666668</v>
      </c>
      <c r="C767" s="799">
        <f>+B768-1</f>
        <v>25569.041666666668</v>
      </c>
      <c r="D767" s="791">
        <f>-_xlfn.DAYS($C$3,C767)/365.25</f>
      </c>
      <c r="E767" s="800">
        <f>IF($D$17+40&lt;=D767,(1+$D$7)^-(D767-$C$5),(1+$C$7)^-(D767-$C$5))</f>
      </c>
      <c r="F767" s="801">
        <f>IF($C$4="Hombre",(+VLOOKUP(INT(D767)+1,Tablas!$G$9:$K$1240,5,0)*(D767-INT(D767))+VLOOKUP(INT(D767),Tablas!$G$9:$K$1240,5,0)*(INT(D767)+1-D767))/(VLOOKUP(INT($C$5)+1,Tablas!$G$9:$K$1240,5,0)*($C$5-INT($C$5))+VLOOKUP(INT($C$5),Tablas!$G$9:$K$124,5,0)*(INT($C$5)+1-$C$5)),(+VLOOKUP(INT(D767)+1,Tablas!$G$9:$O$1240,9,0)*(D767-INT(D767))+VLOOKUP(INT(D767),Tablas!$G$9:$O$1240,9,0)*(INT(D767)+1-D767))/(VLOOKUP(INT($C$5)+1,Tablas!$G$9:$O$1240,9,0)*($C$5-INT($C$5))+VLOOKUP(INT($C$5),Tablas!$G$9:$O$124,9,0)*(INT($C$5)+1-$C$5)))</f>
      </c>
      <c r="G767" s="791">
        <f>IF($C$4="Hombre",(+VLOOKUP(INT(D767)+1,Tablas!$G$9:$K$1240,5,0)*(D767-INT(D767))+VLOOKUP(INT(D767),Tablas!$G$9:$K$1240,5,0)*(INT(D767)+1-D767)),+VLOOKUP(INT(D767)+1,Tablas!$G$9:$O$1240,9,0)*(D767-INT(D767))+VLOOKUP(INT(D767),Tablas!$G$9:$O$1240,9,0)*(INT(D767)+1-D767))</f>
      </c>
      <c r="H767" s="801">
        <f>+IF(MONTH(B767)=1,H766*(1+$C$9),H766)</f>
      </c>
      <c r="I767" s="689">
        <f>IF(B767&lt;$C$10,0,IF(B767&lt;$C$11,$C$8/12*E767*F767*H767,0))</f>
      </c>
      <c r="J767" s="689">
        <f>I767*12/14+IF(OR(MONTH(C767)=6,MONTH(C767)=12),I767*12/14,0)</f>
      </c>
      <c r="K767" s="801">
        <f>G767/$G$15</f>
      </c>
      <c r="L767" s="760"/>
      <c r="M767" s="767"/>
      <c r="N767" s="168"/>
      <c r="O767" s="768"/>
      <c r="P767" s="170"/>
      <c r="Q767" s="7"/>
      <c r="R767" s="766"/>
      <c r="S767" s="170"/>
      <c r="T767" s="168"/>
      <c r="U767" s="170"/>
    </row>
    <row x14ac:dyDescent="0.25" r="768" customHeight="1" ht="18.75">
      <c r="A768" s="1"/>
      <c r="B768" s="799">
        <f>+DATE(YEAR(B767),MONTH(B767)+1,DAY(B767))</f>
        <v>25569.041666666668</v>
      </c>
      <c r="C768" s="799">
        <f>+B769-1</f>
        <v>25569.041666666668</v>
      </c>
      <c r="D768" s="791">
        <f>-_xlfn.DAYS($C$3,C768)/365.25</f>
      </c>
      <c r="E768" s="800">
        <f>IF($D$17+40&lt;=D768,(1+$D$7)^-(D768-$C$5),(1+$C$7)^-(D768-$C$5))</f>
      </c>
      <c r="F768" s="801">
        <f>IF($C$4="Hombre",(+VLOOKUP(INT(D768)+1,Tablas!$G$9:$K$1240,5,0)*(D768-INT(D768))+VLOOKUP(INT(D768),Tablas!$G$9:$K$1240,5,0)*(INT(D768)+1-D768))/(VLOOKUP(INT($C$5)+1,Tablas!$G$9:$K$1240,5,0)*($C$5-INT($C$5))+VLOOKUP(INT($C$5),Tablas!$G$9:$K$124,5,0)*(INT($C$5)+1-$C$5)),(+VLOOKUP(INT(D768)+1,Tablas!$G$9:$O$1240,9,0)*(D768-INT(D768))+VLOOKUP(INT(D768),Tablas!$G$9:$O$1240,9,0)*(INT(D768)+1-D768))/(VLOOKUP(INT($C$5)+1,Tablas!$G$9:$O$1240,9,0)*($C$5-INT($C$5))+VLOOKUP(INT($C$5),Tablas!$G$9:$O$124,9,0)*(INT($C$5)+1-$C$5)))</f>
      </c>
      <c r="G768" s="791">
        <f>IF($C$4="Hombre",(+VLOOKUP(INT(D768)+1,Tablas!$G$9:$K$1240,5,0)*(D768-INT(D768))+VLOOKUP(INT(D768),Tablas!$G$9:$K$1240,5,0)*(INT(D768)+1-D768)),+VLOOKUP(INT(D768)+1,Tablas!$G$9:$O$1240,9,0)*(D768-INT(D768))+VLOOKUP(INT(D768),Tablas!$G$9:$O$1240,9,0)*(INT(D768)+1-D768))</f>
      </c>
      <c r="H768" s="801">
        <f>+IF(MONTH(B768)=1,H767*(1+$C$9),H767)</f>
      </c>
      <c r="I768" s="689">
        <f>IF(B768&lt;$C$10,0,IF(B768&lt;$C$11,$C$8/12*E768*F768*H768,0))</f>
      </c>
      <c r="J768" s="689">
        <f>I768*12/14+IF(OR(MONTH(C768)=6,MONTH(C768)=12),I768*12/14,0)</f>
      </c>
      <c r="K768" s="801">
        <f>G768/$G$15</f>
      </c>
      <c r="L768" s="760"/>
      <c r="M768" s="767"/>
      <c r="N768" s="168"/>
      <c r="O768" s="768"/>
      <c r="P768" s="170"/>
      <c r="Q768" s="7"/>
      <c r="R768" s="766"/>
      <c r="S768" s="170"/>
      <c r="T768" s="168"/>
      <c r="U768" s="170"/>
    </row>
    <row x14ac:dyDescent="0.25" r="769" customHeight="1" ht="18.75">
      <c r="A769" s="1"/>
      <c r="B769" s="799">
        <f>+DATE(YEAR(B768),MONTH(B768)+1,DAY(B768))</f>
        <v>25569.041666666668</v>
      </c>
      <c r="C769" s="799">
        <f>+B770-1</f>
        <v>25569.041666666668</v>
      </c>
      <c r="D769" s="791">
        <f>-_xlfn.DAYS($C$3,C769)/365.25</f>
      </c>
      <c r="E769" s="800">
        <f>IF($D$17+40&lt;=D769,(1+$D$7)^-(D769-$C$5),(1+$C$7)^-(D769-$C$5))</f>
      </c>
      <c r="F769" s="801">
        <f>IF($C$4="Hombre",(+VLOOKUP(INT(D769)+1,Tablas!$G$9:$K$1240,5,0)*(D769-INT(D769))+VLOOKUP(INT(D769),Tablas!$G$9:$K$1240,5,0)*(INT(D769)+1-D769))/(VLOOKUP(INT($C$5)+1,Tablas!$G$9:$K$1240,5,0)*($C$5-INT($C$5))+VLOOKUP(INT($C$5),Tablas!$G$9:$K$124,5,0)*(INT($C$5)+1-$C$5)),(+VLOOKUP(INT(D769)+1,Tablas!$G$9:$O$1240,9,0)*(D769-INT(D769))+VLOOKUP(INT(D769),Tablas!$G$9:$O$1240,9,0)*(INT(D769)+1-D769))/(VLOOKUP(INT($C$5)+1,Tablas!$G$9:$O$1240,9,0)*($C$5-INT($C$5))+VLOOKUP(INT($C$5),Tablas!$G$9:$O$124,9,0)*(INT($C$5)+1-$C$5)))</f>
      </c>
      <c r="G769" s="791">
        <f>IF($C$4="Hombre",(+VLOOKUP(INT(D769)+1,Tablas!$G$9:$K$1240,5,0)*(D769-INT(D769))+VLOOKUP(INT(D769),Tablas!$G$9:$K$1240,5,0)*(INT(D769)+1-D769)),+VLOOKUP(INT(D769)+1,Tablas!$G$9:$O$1240,9,0)*(D769-INT(D769))+VLOOKUP(INT(D769),Tablas!$G$9:$O$1240,9,0)*(INT(D769)+1-D769))</f>
      </c>
      <c r="H769" s="801">
        <f>+IF(MONTH(B769)=1,H768*(1+$C$9),H768)</f>
      </c>
      <c r="I769" s="689">
        <f>IF(B769&lt;$C$10,0,IF(B769&lt;$C$11,$C$8/12*E769*F769*H769,0))</f>
      </c>
      <c r="J769" s="689">
        <f>I769*12/14+IF(OR(MONTH(C769)=6,MONTH(C769)=12),I769*12/14,0)</f>
      </c>
      <c r="K769" s="801">
        <f>G769/$G$15</f>
      </c>
      <c r="L769" s="760"/>
      <c r="M769" s="767"/>
      <c r="N769" s="168"/>
      <c r="O769" s="768"/>
      <c r="P769" s="170"/>
      <c r="Q769" s="7"/>
      <c r="R769" s="766"/>
      <c r="S769" s="170"/>
      <c r="T769" s="168"/>
      <c r="U769" s="170"/>
    </row>
    <row x14ac:dyDescent="0.25" r="770" customHeight="1" ht="18.75">
      <c r="A770" s="1"/>
      <c r="B770" s="799">
        <f>+DATE(YEAR(B769),MONTH(B769)+1,DAY(B769))</f>
        <v>25569.041666666668</v>
      </c>
      <c r="C770" s="799">
        <f>+B771-1</f>
        <v>25569.041666666668</v>
      </c>
      <c r="D770" s="791">
        <f>-_xlfn.DAYS($C$3,C770)/365.25</f>
      </c>
      <c r="E770" s="800">
        <f>IF($D$17+40&lt;=D770,(1+$D$7)^-(D770-$C$5),(1+$C$7)^-(D770-$C$5))</f>
      </c>
      <c r="F770" s="801">
        <f>IF($C$4="Hombre",(+VLOOKUP(INT(D770)+1,Tablas!$G$9:$K$1240,5,0)*(D770-INT(D770))+VLOOKUP(INT(D770),Tablas!$G$9:$K$1240,5,0)*(INT(D770)+1-D770))/(VLOOKUP(INT($C$5)+1,Tablas!$G$9:$K$1240,5,0)*($C$5-INT($C$5))+VLOOKUP(INT($C$5),Tablas!$G$9:$K$124,5,0)*(INT($C$5)+1-$C$5)),(+VLOOKUP(INT(D770)+1,Tablas!$G$9:$O$1240,9,0)*(D770-INT(D770))+VLOOKUP(INT(D770),Tablas!$G$9:$O$1240,9,0)*(INT(D770)+1-D770))/(VLOOKUP(INT($C$5)+1,Tablas!$G$9:$O$1240,9,0)*($C$5-INT($C$5))+VLOOKUP(INT($C$5),Tablas!$G$9:$O$124,9,0)*(INT($C$5)+1-$C$5)))</f>
      </c>
      <c r="G770" s="791">
        <f>IF($C$4="Hombre",(+VLOOKUP(INT(D770)+1,Tablas!$G$9:$K$1240,5,0)*(D770-INT(D770))+VLOOKUP(INT(D770),Tablas!$G$9:$K$1240,5,0)*(INT(D770)+1-D770)),+VLOOKUP(INT(D770)+1,Tablas!$G$9:$O$1240,9,0)*(D770-INT(D770))+VLOOKUP(INT(D770),Tablas!$G$9:$O$1240,9,0)*(INT(D770)+1-D770))</f>
      </c>
      <c r="H770" s="801">
        <f>+IF(MONTH(B770)=1,H769*(1+$C$9),H769)</f>
      </c>
      <c r="I770" s="689">
        <f>IF(B770&lt;$C$10,0,IF(B770&lt;$C$11,$C$8/12*E770*F770*H770,0))</f>
      </c>
      <c r="J770" s="689">
        <f>I770*12/14+IF(OR(MONTH(C770)=6,MONTH(C770)=12),I770*12/14,0)</f>
      </c>
      <c r="K770" s="801">
        <f>G770/$G$15</f>
      </c>
      <c r="L770" s="760"/>
      <c r="M770" s="767"/>
      <c r="N770" s="168"/>
      <c r="O770" s="768"/>
      <c r="P770" s="170"/>
      <c r="Q770" s="7"/>
      <c r="R770" s="766"/>
      <c r="S770" s="170"/>
      <c r="T770" s="168"/>
      <c r="U770" s="170"/>
    </row>
    <row x14ac:dyDescent="0.25" r="771" customHeight="1" ht="18.75">
      <c r="A771" s="1"/>
      <c r="B771" s="799">
        <f>+DATE(YEAR(B770),MONTH(B770)+1,DAY(B770))</f>
        <v>25569.041666666668</v>
      </c>
      <c r="C771" s="799">
        <f>+B772-1</f>
        <v>25569.041666666668</v>
      </c>
      <c r="D771" s="791">
        <f>-_xlfn.DAYS($C$3,C771)/365.25</f>
      </c>
      <c r="E771" s="800">
        <f>IF($D$17+40&lt;=D771,(1+$D$7)^-(D771-$C$5),(1+$C$7)^-(D771-$C$5))</f>
      </c>
      <c r="F771" s="801">
        <f>IF($C$4="Hombre",(+VLOOKUP(INT(D771)+1,Tablas!$G$9:$K$1240,5,0)*(D771-INT(D771))+VLOOKUP(INT(D771),Tablas!$G$9:$K$1240,5,0)*(INT(D771)+1-D771))/(VLOOKUP(INT($C$5)+1,Tablas!$G$9:$K$1240,5,0)*($C$5-INT($C$5))+VLOOKUP(INT($C$5),Tablas!$G$9:$K$124,5,0)*(INT($C$5)+1-$C$5)),(+VLOOKUP(INT(D771)+1,Tablas!$G$9:$O$1240,9,0)*(D771-INT(D771))+VLOOKUP(INT(D771),Tablas!$G$9:$O$1240,9,0)*(INT(D771)+1-D771))/(VLOOKUP(INT($C$5)+1,Tablas!$G$9:$O$1240,9,0)*($C$5-INT($C$5))+VLOOKUP(INT($C$5),Tablas!$G$9:$O$124,9,0)*(INT($C$5)+1-$C$5)))</f>
      </c>
      <c r="G771" s="791">
        <f>IF($C$4="Hombre",(+VLOOKUP(INT(D771)+1,Tablas!$G$9:$K$1240,5,0)*(D771-INT(D771))+VLOOKUP(INT(D771),Tablas!$G$9:$K$1240,5,0)*(INT(D771)+1-D771)),+VLOOKUP(INT(D771)+1,Tablas!$G$9:$O$1240,9,0)*(D771-INT(D771))+VLOOKUP(INT(D771),Tablas!$G$9:$O$1240,9,0)*(INT(D771)+1-D771))</f>
      </c>
      <c r="H771" s="801">
        <f>+IF(MONTH(B771)=1,H770*(1+$C$9),H770)</f>
      </c>
      <c r="I771" s="689">
        <f>IF(B771&lt;$C$10,0,IF(B771&lt;$C$11,$C$8/12*E771*F771*H771,0))</f>
      </c>
      <c r="J771" s="689">
        <f>I771*12/14+IF(OR(MONTH(C771)=6,MONTH(C771)=12),I771*12/14,0)</f>
      </c>
      <c r="K771" s="801">
        <f>G771/$G$15</f>
      </c>
      <c r="L771" s="760"/>
      <c r="M771" s="767"/>
      <c r="N771" s="168"/>
      <c r="O771" s="768"/>
      <c r="P771" s="170"/>
      <c r="Q771" s="7"/>
      <c r="R771" s="766"/>
      <c r="S771" s="170"/>
      <c r="T771" s="168"/>
      <c r="U771" s="170"/>
    </row>
    <row x14ac:dyDescent="0.25" r="772" customHeight="1" ht="18.75">
      <c r="A772" s="1"/>
      <c r="B772" s="799">
        <f>+DATE(YEAR(B771),MONTH(B771)+1,DAY(B771))</f>
        <v>25569.041666666668</v>
      </c>
      <c r="C772" s="799">
        <f>+B773-1</f>
        <v>25569.041666666668</v>
      </c>
      <c r="D772" s="791">
        <f>-_xlfn.DAYS($C$3,C772)/365.25</f>
      </c>
      <c r="E772" s="800">
        <f>IF($D$17+40&lt;=D772,(1+$D$7)^-(D772-$C$5),(1+$C$7)^-(D772-$C$5))</f>
      </c>
      <c r="F772" s="801">
        <f>IF($C$4="Hombre",(+VLOOKUP(INT(D772)+1,Tablas!$G$9:$K$1240,5,0)*(D772-INT(D772))+VLOOKUP(INT(D772),Tablas!$G$9:$K$1240,5,0)*(INT(D772)+1-D772))/(VLOOKUP(INT($C$5)+1,Tablas!$G$9:$K$1240,5,0)*($C$5-INT($C$5))+VLOOKUP(INT($C$5),Tablas!$G$9:$K$124,5,0)*(INT($C$5)+1-$C$5)),(+VLOOKUP(INT(D772)+1,Tablas!$G$9:$O$1240,9,0)*(D772-INT(D772))+VLOOKUP(INT(D772),Tablas!$G$9:$O$1240,9,0)*(INT(D772)+1-D772))/(VLOOKUP(INT($C$5)+1,Tablas!$G$9:$O$1240,9,0)*($C$5-INT($C$5))+VLOOKUP(INT($C$5),Tablas!$G$9:$O$124,9,0)*(INT($C$5)+1-$C$5)))</f>
      </c>
      <c r="G772" s="791">
        <f>IF($C$4="Hombre",(+VLOOKUP(INT(D772)+1,Tablas!$G$9:$K$1240,5,0)*(D772-INT(D772))+VLOOKUP(INT(D772),Tablas!$G$9:$K$1240,5,0)*(INT(D772)+1-D772)),+VLOOKUP(INT(D772)+1,Tablas!$G$9:$O$1240,9,0)*(D772-INT(D772))+VLOOKUP(INT(D772),Tablas!$G$9:$O$1240,9,0)*(INT(D772)+1-D772))</f>
      </c>
      <c r="H772" s="801">
        <f>+IF(MONTH(B772)=1,H771*(1+$C$9),H771)</f>
      </c>
      <c r="I772" s="689">
        <f>IF(B772&lt;$C$10,0,IF(B772&lt;$C$11,$C$8/12*E772*F772*H772,0))</f>
      </c>
      <c r="J772" s="689">
        <f>I772*12/14+IF(OR(MONTH(C772)=6,MONTH(C772)=12),I772*12/14,0)</f>
      </c>
      <c r="K772" s="801">
        <f>G772/$G$15</f>
      </c>
      <c r="L772" s="760"/>
      <c r="M772" s="767"/>
      <c r="N772" s="168"/>
      <c r="O772" s="768"/>
      <c r="P772" s="170"/>
      <c r="Q772" s="7"/>
      <c r="R772" s="766"/>
      <c r="S772" s="170"/>
      <c r="T772" s="168"/>
      <c r="U772" s="170"/>
    </row>
    <row x14ac:dyDescent="0.25" r="773" customHeight="1" ht="18.75">
      <c r="A773" s="1"/>
      <c r="B773" s="799">
        <f>+DATE(YEAR(B772),MONTH(B772)+1,DAY(B772))</f>
        <v>25569.041666666668</v>
      </c>
      <c r="C773" s="799">
        <f>+B774-1</f>
        <v>25569.041666666668</v>
      </c>
      <c r="D773" s="791">
        <f>-_xlfn.DAYS($C$3,C773)/365.25</f>
      </c>
      <c r="E773" s="800">
        <f>IF($D$17+40&lt;=D773,(1+$D$7)^-(D773-$C$5),(1+$C$7)^-(D773-$C$5))</f>
      </c>
      <c r="F773" s="801">
        <f>IF($C$4="Hombre",(+VLOOKUP(INT(D773)+1,Tablas!$G$9:$K$1240,5,0)*(D773-INT(D773))+VLOOKUP(INT(D773),Tablas!$G$9:$K$1240,5,0)*(INT(D773)+1-D773))/(VLOOKUP(INT($C$5)+1,Tablas!$G$9:$K$1240,5,0)*($C$5-INT($C$5))+VLOOKUP(INT($C$5),Tablas!$G$9:$K$124,5,0)*(INT($C$5)+1-$C$5)),(+VLOOKUP(INT(D773)+1,Tablas!$G$9:$O$1240,9,0)*(D773-INT(D773))+VLOOKUP(INT(D773),Tablas!$G$9:$O$1240,9,0)*(INT(D773)+1-D773))/(VLOOKUP(INT($C$5)+1,Tablas!$G$9:$O$1240,9,0)*($C$5-INT($C$5))+VLOOKUP(INT($C$5),Tablas!$G$9:$O$124,9,0)*(INT($C$5)+1-$C$5)))</f>
      </c>
      <c r="G773" s="791">
        <f>IF($C$4="Hombre",(+VLOOKUP(INT(D773)+1,Tablas!$G$9:$K$1240,5,0)*(D773-INT(D773))+VLOOKUP(INT(D773),Tablas!$G$9:$K$1240,5,0)*(INT(D773)+1-D773)),+VLOOKUP(INT(D773)+1,Tablas!$G$9:$O$1240,9,0)*(D773-INT(D773))+VLOOKUP(INT(D773),Tablas!$G$9:$O$1240,9,0)*(INT(D773)+1-D773))</f>
      </c>
      <c r="H773" s="801">
        <f>+IF(MONTH(B773)=1,H772*(1+$C$9),H772)</f>
      </c>
      <c r="I773" s="689">
        <f>IF(B773&lt;$C$10,0,IF(B773&lt;$C$11,$C$8/12*E773*F773*H773,0))</f>
      </c>
      <c r="J773" s="689">
        <f>I773*12/14+IF(OR(MONTH(C773)=6,MONTH(C773)=12),I773*12/14,0)</f>
      </c>
      <c r="K773" s="801">
        <f>G773/$G$15</f>
      </c>
      <c r="L773" s="760"/>
      <c r="M773" s="767"/>
      <c r="N773" s="168"/>
      <c r="O773" s="768"/>
      <c r="P773" s="170"/>
      <c r="Q773" s="7"/>
      <c r="R773" s="766"/>
      <c r="S773" s="170"/>
      <c r="T773" s="168"/>
      <c r="U773" s="170"/>
    </row>
    <row x14ac:dyDescent="0.25" r="774" customHeight="1" ht="18.75">
      <c r="A774" s="1"/>
      <c r="B774" s="799">
        <f>+DATE(YEAR(B773),MONTH(B773)+1,DAY(B773))</f>
        <v>25569.041666666668</v>
      </c>
      <c r="C774" s="799">
        <f>+B775-1</f>
        <v>25569.041666666668</v>
      </c>
      <c r="D774" s="791">
        <f>-_xlfn.DAYS($C$3,C774)/365.25</f>
      </c>
      <c r="E774" s="800">
        <f>IF($D$17+40&lt;=D774,(1+$D$7)^-(D774-$C$5),(1+$C$7)^-(D774-$C$5))</f>
      </c>
      <c r="F774" s="801">
        <f>IF($C$4="Hombre",(+VLOOKUP(INT(D774)+1,Tablas!$G$9:$K$1240,5,0)*(D774-INT(D774))+VLOOKUP(INT(D774),Tablas!$G$9:$K$1240,5,0)*(INT(D774)+1-D774))/(VLOOKUP(INT($C$5)+1,Tablas!$G$9:$K$1240,5,0)*($C$5-INT($C$5))+VLOOKUP(INT($C$5),Tablas!$G$9:$K$124,5,0)*(INT($C$5)+1-$C$5)),(+VLOOKUP(INT(D774)+1,Tablas!$G$9:$O$1240,9,0)*(D774-INT(D774))+VLOOKUP(INT(D774),Tablas!$G$9:$O$1240,9,0)*(INT(D774)+1-D774))/(VLOOKUP(INT($C$5)+1,Tablas!$G$9:$O$1240,9,0)*($C$5-INT($C$5))+VLOOKUP(INT($C$5),Tablas!$G$9:$O$124,9,0)*(INT($C$5)+1-$C$5)))</f>
      </c>
      <c r="G774" s="791">
        <f>IF($C$4="Hombre",(+VLOOKUP(INT(D774)+1,Tablas!$G$9:$K$1240,5,0)*(D774-INT(D774))+VLOOKUP(INT(D774),Tablas!$G$9:$K$1240,5,0)*(INT(D774)+1-D774)),+VLOOKUP(INT(D774)+1,Tablas!$G$9:$O$1240,9,0)*(D774-INT(D774))+VLOOKUP(INT(D774),Tablas!$G$9:$O$1240,9,0)*(INT(D774)+1-D774))</f>
      </c>
      <c r="H774" s="801">
        <f>+IF(MONTH(B774)=1,H773*(1+$C$9),H773)</f>
      </c>
      <c r="I774" s="689">
        <f>IF(B774&lt;$C$10,0,IF(B774&lt;$C$11,$C$8/12*E774*F774*H774,0))</f>
      </c>
      <c r="J774" s="689">
        <f>I774*12/14+IF(OR(MONTH(C774)=6,MONTH(C774)=12),I774*12/14,0)</f>
      </c>
      <c r="K774" s="801">
        <f>G774/$G$15</f>
      </c>
      <c r="L774" s="760"/>
      <c r="M774" s="767"/>
      <c r="N774" s="168"/>
      <c r="O774" s="768"/>
      <c r="P774" s="170"/>
      <c r="Q774" s="7"/>
      <c r="R774" s="766"/>
      <c r="S774" s="170"/>
      <c r="T774" s="168"/>
      <c r="U774" s="170"/>
    </row>
    <row x14ac:dyDescent="0.25" r="775" customHeight="1" ht="18.75">
      <c r="A775" s="1"/>
      <c r="B775" s="799">
        <f>+DATE(YEAR(B774),MONTH(B774)+1,DAY(B774))</f>
        <v>25569.041666666668</v>
      </c>
      <c r="C775" s="799">
        <f>+B776-1</f>
        <v>25569.041666666668</v>
      </c>
      <c r="D775" s="791">
        <f>-_xlfn.DAYS($C$3,C775)/365.25</f>
      </c>
      <c r="E775" s="800">
        <f>IF($D$17+40&lt;=D775,(1+$D$7)^-(D775-$C$5),(1+$C$7)^-(D775-$C$5))</f>
      </c>
      <c r="F775" s="801">
        <f>IF($C$4="Hombre",(+VLOOKUP(INT(D775)+1,Tablas!$G$9:$K$1240,5,0)*(D775-INT(D775))+VLOOKUP(INT(D775),Tablas!$G$9:$K$1240,5,0)*(INT(D775)+1-D775))/(VLOOKUP(INT($C$5)+1,Tablas!$G$9:$K$1240,5,0)*($C$5-INT($C$5))+VLOOKUP(INT($C$5),Tablas!$G$9:$K$124,5,0)*(INT($C$5)+1-$C$5)),(+VLOOKUP(INT(D775)+1,Tablas!$G$9:$O$1240,9,0)*(D775-INT(D775))+VLOOKUP(INT(D775),Tablas!$G$9:$O$1240,9,0)*(INT(D775)+1-D775))/(VLOOKUP(INT($C$5)+1,Tablas!$G$9:$O$1240,9,0)*($C$5-INT($C$5))+VLOOKUP(INT($C$5),Tablas!$G$9:$O$124,9,0)*(INT($C$5)+1-$C$5)))</f>
      </c>
      <c r="G775" s="791">
        <f>IF($C$4="Hombre",(+VLOOKUP(INT(D775)+1,Tablas!$G$9:$K$1240,5,0)*(D775-INT(D775))+VLOOKUP(INT(D775),Tablas!$G$9:$K$1240,5,0)*(INT(D775)+1-D775)),+VLOOKUP(INT(D775)+1,Tablas!$G$9:$O$1240,9,0)*(D775-INT(D775))+VLOOKUP(INT(D775),Tablas!$G$9:$O$1240,9,0)*(INT(D775)+1-D775))</f>
      </c>
      <c r="H775" s="801">
        <f>+IF(MONTH(B775)=1,H774*(1+$C$9),H774)</f>
      </c>
      <c r="I775" s="689">
        <f>IF(B775&lt;$C$10,0,IF(B775&lt;$C$11,$C$8/12*E775*F775*H775,0))</f>
      </c>
      <c r="J775" s="689">
        <f>I775*12/14+IF(OR(MONTH(C775)=6,MONTH(C775)=12),I775*12/14,0)</f>
      </c>
      <c r="K775" s="801">
        <f>G775/$G$15</f>
      </c>
      <c r="L775" s="760"/>
      <c r="M775" s="767"/>
      <c r="N775" s="168"/>
      <c r="O775" s="768"/>
      <c r="P775" s="170"/>
      <c r="Q775" s="7"/>
      <c r="R775" s="766"/>
      <c r="S775" s="170"/>
      <c r="T775" s="168"/>
      <c r="U775" s="170"/>
    </row>
    <row x14ac:dyDescent="0.25" r="776" customHeight="1" ht="18.75">
      <c r="A776" s="1"/>
      <c r="B776" s="799">
        <f>+DATE(YEAR(B775),MONTH(B775)+1,DAY(B775))</f>
        <v>25569.041666666668</v>
      </c>
      <c r="C776" s="799">
        <f>+B777-1</f>
        <v>25569.041666666668</v>
      </c>
      <c r="D776" s="791">
        <f>-_xlfn.DAYS($C$3,C776)/365.25</f>
      </c>
      <c r="E776" s="800">
        <f>IF($D$17+40&lt;=D776,(1+$D$7)^-(D776-$C$5),(1+$C$7)^-(D776-$C$5))</f>
      </c>
      <c r="F776" s="801">
        <f>IF($C$4="Hombre",(+VLOOKUP(INT(D776)+1,Tablas!$G$9:$K$1240,5,0)*(D776-INT(D776))+VLOOKUP(INT(D776),Tablas!$G$9:$K$1240,5,0)*(INT(D776)+1-D776))/(VLOOKUP(INT($C$5)+1,Tablas!$G$9:$K$1240,5,0)*($C$5-INT($C$5))+VLOOKUP(INT($C$5),Tablas!$G$9:$K$124,5,0)*(INT($C$5)+1-$C$5)),(+VLOOKUP(INT(D776)+1,Tablas!$G$9:$O$1240,9,0)*(D776-INT(D776))+VLOOKUP(INT(D776),Tablas!$G$9:$O$1240,9,0)*(INT(D776)+1-D776))/(VLOOKUP(INT($C$5)+1,Tablas!$G$9:$O$1240,9,0)*($C$5-INT($C$5))+VLOOKUP(INT($C$5),Tablas!$G$9:$O$124,9,0)*(INT($C$5)+1-$C$5)))</f>
      </c>
      <c r="G776" s="791">
        <f>IF($C$4="Hombre",(+VLOOKUP(INT(D776)+1,Tablas!$G$9:$K$1240,5,0)*(D776-INT(D776))+VLOOKUP(INT(D776),Tablas!$G$9:$K$1240,5,0)*(INT(D776)+1-D776)),+VLOOKUP(INT(D776)+1,Tablas!$G$9:$O$1240,9,0)*(D776-INT(D776))+VLOOKUP(INT(D776),Tablas!$G$9:$O$1240,9,0)*(INT(D776)+1-D776))</f>
      </c>
      <c r="H776" s="801">
        <f>+IF(MONTH(B776)=1,H775*(1+$C$9),H775)</f>
      </c>
      <c r="I776" s="689">
        <f>IF(B776&lt;$C$10,0,IF(B776&lt;$C$11,$C$8/12*E776*F776*H776,0))</f>
      </c>
      <c r="J776" s="689">
        <f>I776*12/14+IF(OR(MONTH(C776)=6,MONTH(C776)=12),I776*12/14,0)</f>
      </c>
      <c r="K776" s="801">
        <f>G776/$G$15</f>
      </c>
      <c r="L776" s="760"/>
      <c r="M776" s="767"/>
      <c r="N776" s="168"/>
      <c r="O776" s="768"/>
      <c r="P776" s="170"/>
      <c r="Q776" s="7"/>
      <c r="R776" s="766"/>
      <c r="S776" s="170"/>
      <c r="T776" s="168"/>
      <c r="U776" s="170"/>
    </row>
    <row x14ac:dyDescent="0.25" r="777" customHeight="1" ht="18.75">
      <c r="A777" s="1"/>
      <c r="B777" s="799">
        <f>+DATE(YEAR(B776),MONTH(B776)+1,DAY(B776))</f>
        <v>25569.041666666668</v>
      </c>
      <c r="C777" s="799">
        <f>+B778-1</f>
        <v>25569.041666666668</v>
      </c>
      <c r="D777" s="791">
        <f>-_xlfn.DAYS($C$3,C777)/365.25</f>
      </c>
      <c r="E777" s="800">
        <f>IF($D$17+40&lt;=D777,(1+$D$7)^-(D777-$C$5),(1+$C$7)^-(D777-$C$5))</f>
      </c>
      <c r="F777" s="801">
        <f>IF($C$4="Hombre",(+VLOOKUP(INT(D777)+1,Tablas!$G$9:$K$1240,5,0)*(D777-INT(D777))+VLOOKUP(INT(D777),Tablas!$G$9:$K$1240,5,0)*(INT(D777)+1-D777))/(VLOOKUP(INT($C$5)+1,Tablas!$G$9:$K$1240,5,0)*($C$5-INT($C$5))+VLOOKUP(INT($C$5),Tablas!$G$9:$K$124,5,0)*(INT($C$5)+1-$C$5)),(+VLOOKUP(INT(D777)+1,Tablas!$G$9:$O$1240,9,0)*(D777-INT(D777))+VLOOKUP(INT(D777),Tablas!$G$9:$O$1240,9,0)*(INT(D777)+1-D777))/(VLOOKUP(INT($C$5)+1,Tablas!$G$9:$O$1240,9,0)*($C$5-INT($C$5))+VLOOKUP(INT($C$5),Tablas!$G$9:$O$124,9,0)*(INT($C$5)+1-$C$5)))</f>
      </c>
      <c r="G777" s="791">
        <f>IF($C$4="Hombre",(+VLOOKUP(INT(D777)+1,Tablas!$G$9:$K$1240,5,0)*(D777-INT(D777))+VLOOKUP(INT(D777),Tablas!$G$9:$K$1240,5,0)*(INT(D777)+1-D777)),+VLOOKUP(INT(D777)+1,Tablas!$G$9:$O$1240,9,0)*(D777-INT(D777))+VLOOKUP(INT(D777),Tablas!$G$9:$O$1240,9,0)*(INT(D777)+1-D777))</f>
      </c>
      <c r="H777" s="801">
        <f>+IF(MONTH(B777)=1,H776*(1+$C$9),H776)</f>
      </c>
      <c r="I777" s="689">
        <f>IF(B777&lt;$C$10,0,IF(B777&lt;$C$11,$C$8/12*E777*F777*H777,0))</f>
      </c>
      <c r="J777" s="689">
        <f>I777*12/14+IF(OR(MONTH(C777)=6,MONTH(C777)=12),I777*12/14,0)</f>
      </c>
      <c r="K777" s="801">
        <f>G777/$G$15</f>
      </c>
      <c r="L777" s="760"/>
      <c r="M777" s="767"/>
      <c r="N777" s="168"/>
      <c r="O777" s="768"/>
      <c r="P777" s="170"/>
      <c r="Q777" s="7"/>
      <c r="R777" s="766"/>
      <c r="S777" s="170"/>
      <c r="T777" s="168"/>
      <c r="U777" s="170"/>
    </row>
    <row x14ac:dyDescent="0.25" r="778" customHeight="1" ht="18.75">
      <c r="A778" s="1"/>
      <c r="B778" s="799">
        <f>+DATE(YEAR(B777),MONTH(B777)+1,DAY(B777))</f>
        <v>25569.041666666668</v>
      </c>
      <c r="C778" s="799">
        <f>+B779-1</f>
        <v>25569.041666666668</v>
      </c>
      <c r="D778" s="791">
        <f>-_xlfn.DAYS($C$3,C778)/365.25</f>
      </c>
      <c r="E778" s="800">
        <f>IF($D$17+40&lt;=D778,(1+$D$7)^-(D778-$C$5),(1+$C$7)^-(D778-$C$5))</f>
      </c>
      <c r="F778" s="801">
        <f>IF($C$4="Hombre",(+VLOOKUP(INT(D778)+1,Tablas!$G$9:$K$1240,5,0)*(D778-INT(D778))+VLOOKUP(INT(D778),Tablas!$G$9:$K$1240,5,0)*(INT(D778)+1-D778))/(VLOOKUP(INT($C$5)+1,Tablas!$G$9:$K$1240,5,0)*($C$5-INT($C$5))+VLOOKUP(INT($C$5),Tablas!$G$9:$K$124,5,0)*(INT($C$5)+1-$C$5)),(+VLOOKUP(INT(D778)+1,Tablas!$G$9:$O$1240,9,0)*(D778-INT(D778))+VLOOKUP(INT(D778),Tablas!$G$9:$O$1240,9,0)*(INT(D778)+1-D778))/(VLOOKUP(INT($C$5)+1,Tablas!$G$9:$O$1240,9,0)*($C$5-INT($C$5))+VLOOKUP(INT($C$5),Tablas!$G$9:$O$124,9,0)*(INT($C$5)+1-$C$5)))</f>
      </c>
      <c r="G778" s="791">
        <f>IF($C$4="Hombre",(+VLOOKUP(INT(D778)+1,Tablas!$G$9:$K$1240,5,0)*(D778-INT(D778))+VLOOKUP(INT(D778),Tablas!$G$9:$K$1240,5,0)*(INT(D778)+1-D778)),+VLOOKUP(INT(D778)+1,Tablas!$G$9:$O$1240,9,0)*(D778-INT(D778))+VLOOKUP(INT(D778),Tablas!$G$9:$O$1240,9,0)*(INT(D778)+1-D778))</f>
      </c>
      <c r="H778" s="801">
        <f>+IF(MONTH(B778)=1,H777*(1+$C$9),H777)</f>
      </c>
      <c r="I778" s="689">
        <f>IF(B778&lt;$C$10,0,IF(B778&lt;$C$11,$C$8/12*E778*F778*H778,0))</f>
      </c>
      <c r="J778" s="689">
        <f>I778*12/14+IF(OR(MONTH(C778)=6,MONTH(C778)=12),I778*12/14,0)</f>
      </c>
      <c r="K778" s="801">
        <f>G778/$G$15</f>
      </c>
      <c r="L778" s="760"/>
      <c r="M778" s="767"/>
      <c r="N778" s="168"/>
      <c r="O778" s="768"/>
      <c r="P778" s="170"/>
      <c r="Q778" s="7"/>
      <c r="R778" s="766"/>
      <c r="S778" s="170"/>
      <c r="T778" s="168"/>
      <c r="U778" s="170"/>
    </row>
    <row x14ac:dyDescent="0.25" r="779" customHeight="1" ht="18.75">
      <c r="A779" s="1"/>
      <c r="B779" s="799">
        <f>+DATE(YEAR(B778),MONTH(B778)+1,DAY(B778))</f>
        <v>25569.041666666668</v>
      </c>
      <c r="C779" s="799">
        <f>+B780-1</f>
        <v>25569.041666666668</v>
      </c>
      <c r="D779" s="791">
        <f>-_xlfn.DAYS($C$3,C779)/365.25</f>
      </c>
      <c r="E779" s="800">
        <f>IF($D$17+40&lt;=D779,(1+$D$7)^-(D779-$C$5),(1+$C$7)^-(D779-$C$5))</f>
      </c>
      <c r="F779" s="801">
        <f>IF($C$4="Hombre",(+VLOOKUP(INT(D779)+1,Tablas!$G$9:$K$1240,5,0)*(D779-INT(D779))+VLOOKUP(INT(D779),Tablas!$G$9:$K$1240,5,0)*(INT(D779)+1-D779))/(VLOOKUP(INT($C$5)+1,Tablas!$G$9:$K$1240,5,0)*($C$5-INT($C$5))+VLOOKUP(INT($C$5),Tablas!$G$9:$K$124,5,0)*(INT($C$5)+1-$C$5)),(+VLOOKUP(INT(D779)+1,Tablas!$G$9:$O$1240,9,0)*(D779-INT(D779))+VLOOKUP(INT(D779),Tablas!$G$9:$O$1240,9,0)*(INT(D779)+1-D779))/(VLOOKUP(INT($C$5)+1,Tablas!$G$9:$O$1240,9,0)*($C$5-INT($C$5))+VLOOKUP(INT($C$5),Tablas!$G$9:$O$124,9,0)*(INT($C$5)+1-$C$5)))</f>
      </c>
      <c r="G779" s="791">
        <f>IF($C$4="Hombre",(+VLOOKUP(INT(D779)+1,Tablas!$G$9:$K$1240,5,0)*(D779-INT(D779))+VLOOKUP(INT(D779),Tablas!$G$9:$K$1240,5,0)*(INT(D779)+1-D779)),+VLOOKUP(INT(D779)+1,Tablas!$G$9:$O$1240,9,0)*(D779-INT(D779))+VLOOKUP(INT(D779),Tablas!$G$9:$O$1240,9,0)*(INT(D779)+1-D779))</f>
      </c>
      <c r="H779" s="801">
        <f>+IF(MONTH(B779)=1,H778*(1+$C$9),H778)</f>
      </c>
      <c r="I779" s="689">
        <f>IF(B779&lt;$C$10,0,IF(B779&lt;$C$11,$C$8/12*E779*F779*H779,0))</f>
      </c>
      <c r="J779" s="689">
        <f>I779*12/14+IF(OR(MONTH(C779)=6,MONTH(C779)=12),I779*12/14,0)</f>
      </c>
      <c r="K779" s="801">
        <f>G779/$G$15</f>
      </c>
      <c r="L779" s="760"/>
      <c r="M779" s="767"/>
      <c r="N779" s="168"/>
      <c r="O779" s="768"/>
      <c r="P779" s="170"/>
      <c r="Q779" s="7"/>
      <c r="R779" s="766"/>
      <c r="S779" s="170"/>
      <c r="T779" s="168"/>
      <c r="U779" s="170"/>
    </row>
    <row x14ac:dyDescent="0.25" r="780" customHeight="1" ht="18.75">
      <c r="A780" s="1"/>
      <c r="B780" s="799">
        <f>+DATE(YEAR(B779),MONTH(B779)+1,DAY(B779))</f>
        <v>25569.041666666668</v>
      </c>
      <c r="C780" s="799">
        <f>+B781-1</f>
        <v>25569.041666666668</v>
      </c>
      <c r="D780" s="791">
        <f>-_xlfn.DAYS($C$3,C780)/365.25</f>
      </c>
      <c r="E780" s="800">
        <f>IF($D$17+40&lt;=D780,(1+$D$7)^-(D780-$C$5),(1+$C$7)^-(D780-$C$5))</f>
      </c>
      <c r="F780" s="801">
        <f>IF($C$4="Hombre",(+VLOOKUP(INT(D780)+1,Tablas!$G$9:$K$1240,5,0)*(D780-INT(D780))+VLOOKUP(INT(D780),Tablas!$G$9:$K$1240,5,0)*(INT(D780)+1-D780))/(VLOOKUP(INT($C$5)+1,Tablas!$G$9:$K$1240,5,0)*($C$5-INT($C$5))+VLOOKUP(INT($C$5),Tablas!$G$9:$K$124,5,0)*(INT($C$5)+1-$C$5)),(+VLOOKUP(INT(D780)+1,Tablas!$G$9:$O$1240,9,0)*(D780-INT(D780))+VLOOKUP(INT(D780),Tablas!$G$9:$O$1240,9,0)*(INT(D780)+1-D780))/(VLOOKUP(INT($C$5)+1,Tablas!$G$9:$O$1240,9,0)*($C$5-INT($C$5))+VLOOKUP(INT($C$5),Tablas!$G$9:$O$124,9,0)*(INT($C$5)+1-$C$5)))</f>
      </c>
      <c r="G780" s="791">
        <f>IF($C$4="Hombre",(+VLOOKUP(INT(D780)+1,Tablas!$G$9:$K$1240,5,0)*(D780-INT(D780))+VLOOKUP(INT(D780),Tablas!$G$9:$K$1240,5,0)*(INT(D780)+1-D780)),+VLOOKUP(INT(D780)+1,Tablas!$G$9:$O$1240,9,0)*(D780-INT(D780))+VLOOKUP(INT(D780),Tablas!$G$9:$O$1240,9,0)*(INT(D780)+1-D780))</f>
      </c>
      <c r="H780" s="801">
        <f>+IF(MONTH(B780)=1,H779*(1+$C$9),H779)</f>
      </c>
      <c r="I780" s="689">
        <f>IF(B780&lt;$C$10,0,IF(B780&lt;$C$11,$C$8/12*E780*F780*H780,0))</f>
      </c>
      <c r="J780" s="689">
        <f>I780*12/14+IF(OR(MONTH(C780)=6,MONTH(C780)=12),I780*12/14,0)</f>
      </c>
      <c r="K780" s="801">
        <f>G780/$G$15</f>
      </c>
      <c r="L780" s="760"/>
      <c r="M780" s="767"/>
      <c r="N780" s="168"/>
      <c r="O780" s="768"/>
      <c r="P780" s="170"/>
      <c r="Q780" s="7"/>
      <c r="R780" s="766"/>
      <c r="S780" s="170"/>
      <c r="T780" s="168"/>
      <c r="U780" s="170"/>
    </row>
    <row x14ac:dyDescent="0.25" r="781" customHeight="1" ht="18.75">
      <c r="A781" s="1"/>
      <c r="B781" s="799">
        <f>+DATE(YEAR(B780),MONTH(B780)+1,DAY(B780))</f>
        <v>25569.041666666668</v>
      </c>
      <c r="C781" s="799">
        <f>+B782-1</f>
        <v>25569.041666666668</v>
      </c>
      <c r="D781" s="791">
        <f>-_xlfn.DAYS($C$3,C781)/365.25</f>
      </c>
      <c r="E781" s="800">
        <f>IF($D$17+40&lt;=D781,(1+$D$7)^-(D781-$C$5),(1+$C$7)^-(D781-$C$5))</f>
      </c>
      <c r="F781" s="801">
        <f>IF($C$4="Hombre",(+VLOOKUP(INT(D781)+1,Tablas!$G$9:$K$1240,5,0)*(D781-INT(D781))+VLOOKUP(INT(D781),Tablas!$G$9:$K$1240,5,0)*(INT(D781)+1-D781))/(VLOOKUP(INT($C$5)+1,Tablas!$G$9:$K$1240,5,0)*($C$5-INT($C$5))+VLOOKUP(INT($C$5),Tablas!$G$9:$K$124,5,0)*(INT($C$5)+1-$C$5)),(+VLOOKUP(INT(D781)+1,Tablas!$G$9:$O$1240,9,0)*(D781-INT(D781))+VLOOKUP(INT(D781),Tablas!$G$9:$O$1240,9,0)*(INT(D781)+1-D781))/(VLOOKUP(INT($C$5)+1,Tablas!$G$9:$O$1240,9,0)*($C$5-INT($C$5))+VLOOKUP(INT($C$5),Tablas!$G$9:$O$124,9,0)*(INT($C$5)+1-$C$5)))</f>
      </c>
      <c r="G781" s="791">
        <f>IF($C$4="Hombre",(+VLOOKUP(INT(D781)+1,Tablas!$G$9:$K$1240,5,0)*(D781-INT(D781))+VLOOKUP(INT(D781),Tablas!$G$9:$K$1240,5,0)*(INT(D781)+1-D781)),+VLOOKUP(INT(D781)+1,Tablas!$G$9:$O$1240,9,0)*(D781-INT(D781))+VLOOKUP(INT(D781),Tablas!$G$9:$O$1240,9,0)*(INT(D781)+1-D781))</f>
      </c>
      <c r="H781" s="801">
        <f>+IF(MONTH(B781)=1,H780*(1+$C$9),H780)</f>
      </c>
      <c r="I781" s="689">
        <f>IF(B781&lt;$C$10,0,IF(B781&lt;$C$11,$C$8/12*E781*F781*H781,0))</f>
      </c>
      <c r="J781" s="689">
        <f>I781*12/14+IF(OR(MONTH(C781)=6,MONTH(C781)=12),I781*12/14,0)</f>
      </c>
      <c r="K781" s="801">
        <f>G781/$G$15</f>
      </c>
      <c r="L781" s="760"/>
      <c r="M781" s="767"/>
      <c r="N781" s="168"/>
      <c r="O781" s="768"/>
      <c r="P781" s="170"/>
      <c r="Q781" s="7"/>
      <c r="R781" s="766"/>
      <c r="S781" s="170"/>
      <c r="T781" s="168"/>
      <c r="U781" s="170"/>
    </row>
    <row x14ac:dyDescent="0.25" r="782" customHeight="1" ht="18.75">
      <c r="A782" s="1"/>
      <c r="B782" s="799">
        <f>+DATE(YEAR(B781),MONTH(B781)+1,DAY(B781))</f>
        <v>25569.041666666668</v>
      </c>
      <c r="C782" s="799">
        <f>+B783-1</f>
        <v>25569.041666666668</v>
      </c>
      <c r="D782" s="791">
        <f>-_xlfn.DAYS($C$3,C782)/365.25</f>
      </c>
      <c r="E782" s="800">
        <f>IF($D$17+40&lt;=D782,(1+$D$7)^-(D782-$C$5),(1+$C$7)^-(D782-$C$5))</f>
      </c>
      <c r="F782" s="801">
        <f>IF($C$4="Hombre",(+VLOOKUP(INT(D782)+1,Tablas!$G$9:$K$1240,5,0)*(D782-INT(D782))+VLOOKUP(INT(D782),Tablas!$G$9:$K$1240,5,0)*(INT(D782)+1-D782))/(VLOOKUP(INT($C$5)+1,Tablas!$G$9:$K$1240,5,0)*($C$5-INT($C$5))+VLOOKUP(INT($C$5),Tablas!$G$9:$K$124,5,0)*(INT($C$5)+1-$C$5)),(+VLOOKUP(INT(D782)+1,Tablas!$G$9:$O$1240,9,0)*(D782-INT(D782))+VLOOKUP(INT(D782),Tablas!$G$9:$O$1240,9,0)*(INT(D782)+1-D782))/(VLOOKUP(INT($C$5)+1,Tablas!$G$9:$O$1240,9,0)*($C$5-INT($C$5))+VLOOKUP(INT($C$5),Tablas!$G$9:$O$124,9,0)*(INT($C$5)+1-$C$5)))</f>
      </c>
      <c r="G782" s="791">
        <f>IF($C$4="Hombre",(+VLOOKUP(INT(D782)+1,Tablas!$G$9:$K$1240,5,0)*(D782-INT(D782))+VLOOKUP(INT(D782),Tablas!$G$9:$K$1240,5,0)*(INT(D782)+1-D782)),+VLOOKUP(INT(D782)+1,Tablas!$G$9:$O$1240,9,0)*(D782-INT(D782))+VLOOKUP(INT(D782),Tablas!$G$9:$O$1240,9,0)*(INT(D782)+1-D782))</f>
      </c>
      <c r="H782" s="801">
        <f>+IF(MONTH(B782)=1,H781*(1+$C$9),H781)</f>
      </c>
      <c r="I782" s="689">
        <f>IF(B782&lt;$C$10,0,IF(B782&lt;$C$11,$C$8/12*E782*F782*H782,0))</f>
      </c>
      <c r="J782" s="689">
        <f>I782*12/14+IF(OR(MONTH(C782)=6,MONTH(C782)=12),I782*12/14,0)</f>
      </c>
      <c r="K782" s="801">
        <f>G782/$G$15</f>
      </c>
      <c r="L782" s="760"/>
      <c r="M782" s="767"/>
      <c r="N782" s="168"/>
      <c r="O782" s="768"/>
      <c r="P782" s="170"/>
      <c r="Q782" s="7"/>
      <c r="R782" s="766"/>
      <c r="S782" s="170"/>
      <c r="T782" s="168"/>
      <c r="U782" s="170"/>
    </row>
    <row x14ac:dyDescent="0.25" r="783" customHeight="1" ht="18.75">
      <c r="A783" s="1"/>
      <c r="B783" s="799">
        <f>+DATE(YEAR(B782),MONTH(B782)+1,DAY(B782))</f>
        <v>25569.041666666668</v>
      </c>
      <c r="C783" s="799">
        <f>+B784-1</f>
        <v>25569.041666666668</v>
      </c>
      <c r="D783" s="791">
        <f>-_xlfn.DAYS($C$3,C783)/365.25</f>
      </c>
      <c r="E783" s="800">
        <f>IF($D$17+40&lt;=D783,(1+$D$7)^-(D783-$C$5),(1+$C$7)^-(D783-$C$5))</f>
      </c>
      <c r="F783" s="801">
        <f>IF($C$4="Hombre",(+VLOOKUP(INT(D783)+1,Tablas!$G$9:$K$1240,5,0)*(D783-INT(D783))+VLOOKUP(INT(D783),Tablas!$G$9:$K$1240,5,0)*(INT(D783)+1-D783))/(VLOOKUP(INT($C$5)+1,Tablas!$G$9:$K$1240,5,0)*($C$5-INT($C$5))+VLOOKUP(INT($C$5),Tablas!$G$9:$K$124,5,0)*(INT($C$5)+1-$C$5)),(+VLOOKUP(INT(D783)+1,Tablas!$G$9:$O$1240,9,0)*(D783-INT(D783))+VLOOKUP(INT(D783),Tablas!$G$9:$O$1240,9,0)*(INT(D783)+1-D783))/(VLOOKUP(INT($C$5)+1,Tablas!$G$9:$O$1240,9,0)*($C$5-INT($C$5))+VLOOKUP(INT($C$5),Tablas!$G$9:$O$124,9,0)*(INT($C$5)+1-$C$5)))</f>
      </c>
      <c r="G783" s="791">
        <f>IF($C$4="Hombre",(+VLOOKUP(INT(D783)+1,Tablas!$G$9:$K$1240,5,0)*(D783-INT(D783))+VLOOKUP(INT(D783),Tablas!$G$9:$K$1240,5,0)*(INT(D783)+1-D783)),+VLOOKUP(INT(D783)+1,Tablas!$G$9:$O$1240,9,0)*(D783-INT(D783))+VLOOKUP(INT(D783),Tablas!$G$9:$O$1240,9,0)*(INT(D783)+1-D783))</f>
      </c>
      <c r="H783" s="801">
        <f>+IF(MONTH(B783)=1,H782*(1+$C$9),H782)</f>
      </c>
      <c r="I783" s="689">
        <f>IF(B783&lt;$C$10,0,IF(B783&lt;$C$11,$C$8/12*E783*F783*H783,0))</f>
      </c>
      <c r="J783" s="689">
        <f>I783*12/14+IF(OR(MONTH(C783)=6,MONTH(C783)=12),I783*12/14,0)</f>
      </c>
      <c r="K783" s="801">
        <f>G783/$G$15</f>
      </c>
      <c r="L783" s="760"/>
      <c r="M783" s="767"/>
      <c r="N783" s="168"/>
      <c r="O783" s="768"/>
      <c r="P783" s="170"/>
      <c r="Q783" s="7"/>
      <c r="R783" s="766"/>
      <c r="S783" s="170"/>
      <c r="T783" s="168"/>
      <c r="U783" s="170"/>
    </row>
    <row x14ac:dyDescent="0.25" r="784" customHeight="1" ht="18.75">
      <c r="A784" s="1"/>
      <c r="B784" s="799">
        <f>+DATE(YEAR(B783),MONTH(B783)+1,DAY(B783))</f>
        <v>25569.041666666668</v>
      </c>
      <c r="C784" s="799">
        <f>+B785-1</f>
        <v>25569.041666666668</v>
      </c>
      <c r="D784" s="791">
        <f>-_xlfn.DAYS($C$3,C784)/365.25</f>
      </c>
      <c r="E784" s="800">
        <f>IF($D$17+40&lt;=D784,(1+$D$7)^-(D784-$C$5),(1+$C$7)^-(D784-$C$5))</f>
      </c>
      <c r="F784" s="801">
        <f>IF($C$4="Hombre",(+VLOOKUP(INT(D784)+1,Tablas!$G$9:$K$1240,5,0)*(D784-INT(D784))+VLOOKUP(INT(D784),Tablas!$G$9:$K$1240,5,0)*(INT(D784)+1-D784))/(VLOOKUP(INT($C$5)+1,Tablas!$G$9:$K$1240,5,0)*($C$5-INT($C$5))+VLOOKUP(INT($C$5),Tablas!$G$9:$K$124,5,0)*(INT($C$5)+1-$C$5)),(+VLOOKUP(INT(D784)+1,Tablas!$G$9:$O$1240,9,0)*(D784-INT(D784))+VLOOKUP(INT(D784),Tablas!$G$9:$O$1240,9,0)*(INT(D784)+1-D784))/(VLOOKUP(INT($C$5)+1,Tablas!$G$9:$O$1240,9,0)*($C$5-INT($C$5))+VLOOKUP(INT($C$5),Tablas!$G$9:$O$124,9,0)*(INT($C$5)+1-$C$5)))</f>
      </c>
      <c r="G784" s="791">
        <f>IF($C$4="Hombre",(+VLOOKUP(INT(D784)+1,Tablas!$G$9:$K$1240,5,0)*(D784-INT(D784))+VLOOKUP(INT(D784),Tablas!$G$9:$K$1240,5,0)*(INT(D784)+1-D784)),+VLOOKUP(INT(D784)+1,Tablas!$G$9:$O$1240,9,0)*(D784-INT(D784))+VLOOKUP(INT(D784),Tablas!$G$9:$O$1240,9,0)*(INT(D784)+1-D784))</f>
      </c>
      <c r="H784" s="801">
        <f>+IF(MONTH(B784)=1,H783*(1+$C$9),H783)</f>
      </c>
      <c r="I784" s="689">
        <f>IF(B784&lt;$C$10,0,IF(B784&lt;$C$11,$C$8/12*E784*F784*H784,0))</f>
      </c>
      <c r="J784" s="689">
        <f>I784*12/14+IF(OR(MONTH(C784)=6,MONTH(C784)=12),I784*12/14,0)</f>
      </c>
      <c r="K784" s="801">
        <f>G784/$G$15</f>
      </c>
      <c r="L784" s="760"/>
      <c r="M784" s="767"/>
      <c r="N784" s="168"/>
      <c r="O784" s="768"/>
      <c r="P784" s="170"/>
      <c r="Q784" s="7"/>
      <c r="R784" s="766"/>
      <c r="S784" s="170"/>
      <c r="T784" s="168"/>
      <c r="U784" s="170"/>
    </row>
    <row x14ac:dyDescent="0.25" r="785" customHeight="1" ht="18.75">
      <c r="A785" s="1"/>
      <c r="B785" s="799">
        <f>+DATE(YEAR(B784),MONTH(B784)+1,DAY(B784))</f>
        <v>25569.041666666668</v>
      </c>
      <c r="C785" s="799">
        <f>+B786-1</f>
        <v>25569.041666666668</v>
      </c>
      <c r="D785" s="791">
        <f>-_xlfn.DAYS($C$3,C785)/365.25</f>
      </c>
      <c r="E785" s="800">
        <f>IF($D$17+40&lt;=D785,(1+$D$7)^-(D785-$C$5),(1+$C$7)^-(D785-$C$5))</f>
      </c>
      <c r="F785" s="801">
        <f>IF($C$4="Hombre",(+VLOOKUP(INT(D785)+1,Tablas!$G$9:$K$1240,5,0)*(D785-INT(D785))+VLOOKUP(INT(D785),Tablas!$G$9:$K$1240,5,0)*(INT(D785)+1-D785))/(VLOOKUP(INT($C$5)+1,Tablas!$G$9:$K$1240,5,0)*($C$5-INT($C$5))+VLOOKUP(INT($C$5),Tablas!$G$9:$K$124,5,0)*(INT($C$5)+1-$C$5)),(+VLOOKUP(INT(D785)+1,Tablas!$G$9:$O$1240,9,0)*(D785-INT(D785))+VLOOKUP(INT(D785),Tablas!$G$9:$O$1240,9,0)*(INT(D785)+1-D785))/(VLOOKUP(INT($C$5)+1,Tablas!$G$9:$O$1240,9,0)*($C$5-INT($C$5))+VLOOKUP(INT($C$5),Tablas!$G$9:$O$124,9,0)*(INT($C$5)+1-$C$5)))</f>
      </c>
      <c r="G785" s="791">
        <f>IF($C$4="Hombre",(+VLOOKUP(INT(D785)+1,Tablas!$G$9:$K$1240,5,0)*(D785-INT(D785))+VLOOKUP(INT(D785),Tablas!$G$9:$K$1240,5,0)*(INT(D785)+1-D785)),+VLOOKUP(INT(D785)+1,Tablas!$G$9:$O$1240,9,0)*(D785-INT(D785))+VLOOKUP(INT(D785),Tablas!$G$9:$O$1240,9,0)*(INT(D785)+1-D785))</f>
      </c>
      <c r="H785" s="801">
        <f>+IF(MONTH(B785)=1,H784*(1+$C$9),H784)</f>
      </c>
      <c r="I785" s="689">
        <f>IF(B785&lt;$C$10,0,IF(B785&lt;$C$11,$C$8/12*E785*F785*H785,0))</f>
      </c>
      <c r="J785" s="689">
        <f>I785*12/14+IF(OR(MONTH(C785)=6,MONTH(C785)=12),I785*12/14,0)</f>
      </c>
      <c r="K785" s="801">
        <f>G785/$G$15</f>
      </c>
      <c r="L785" s="760"/>
      <c r="M785" s="767"/>
      <c r="N785" s="168"/>
      <c r="O785" s="768"/>
      <c r="P785" s="170"/>
      <c r="Q785" s="7"/>
      <c r="R785" s="766"/>
      <c r="S785" s="170"/>
      <c r="T785" s="168"/>
      <c r="U785" s="170"/>
    </row>
    <row x14ac:dyDescent="0.25" r="786" customHeight="1" ht="18.75">
      <c r="A786" s="1"/>
      <c r="B786" s="799">
        <f>+DATE(YEAR(B785),MONTH(B785)+1,DAY(B785))</f>
        <v>25569.041666666668</v>
      </c>
      <c r="C786" s="799">
        <f>+B787-1</f>
        <v>25569.041666666668</v>
      </c>
      <c r="D786" s="791">
        <f>-_xlfn.DAYS($C$3,C786)/365.25</f>
      </c>
      <c r="E786" s="800">
        <f>IF($D$17+40&lt;=D786,(1+$D$7)^-(D786-$C$5),(1+$C$7)^-(D786-$C$5))</f>
      </c>
      <c r="F786" s="801">
        <f>IF($C$4="Hombre",(+VLOOKUP(INT(D786)+1,Tablas!$G$9:$K$1240,5,0)*(D786-INT(D786))+VLOOKUP(INT(D786),Tablas!$G$9:$K$1240,5,0)*(INT(D786)+1-D786))/(VLOOKUP(INT($C$5)+1,Tablas!$G$9:$K$1240,5,0)*($C$5-INT($C$5))+VLOOKUP(INT($C$5),Tablas!$G$9:$K$124,5,0)*(INT($C$5)+1-$C$5)),(+VLOOKUP(INT(D786)+1,Tablas!$G$9:$O$1240,9,0)*(D786-INT(D786))+VLOOKUP(INT(D786),Tablas!$G$9:$O$1240,9,0)*(INT(D786)+1-D786))/(VLOOKUP(INT($C$5)+1,Tablas!$G$9:$O$1240,9,0)*($C$5-INT($C$5))+VLOOKUP(INT($C$5),Tablas!$G$9:$O$124,9,0)*(INT($C$5)+1-$C$5)))</f>
      </c>
      <c r="G786" s="791">
        <f>IF($C$4="Hombre",(+VLOOKUP(INT(D786)+1,Tablas!$G$9:$K$1240,5,0)*(D786-INT(D786))+VLOOKUP(INT(D786),Tablas!$G$9:$K$1240,5,0)*(INT(D786)+1-D786)),+VLOOKUP(INT(D786)+1,Tablas!$G$9:$O$1240,9,0)*(D786-INT(D786))+VLOOKUP(INT(D786),Tablas!$G$9:$O$1240,9,0)*(INT(D786)+1-D786))</f>
      </c>
      <c r="H786" s="801">
        <f>+IF(MONTH(B786)=1,H785*(1+$C$9),H785)</f>
      </c>
      <c r="I786" s="689">
        <f>IF(B786&lt;$C$10,0,IF(B786&lt;$C$11,$C$8/12*E786*F786*H786,0))</f>
      </c>
      <c r="J786" s="689">
        <f>I786*12/14+IF(OR(MONTH(C786)=6,MONTH(C786)=12),I786*12/14,0)</f>
      </c>
      <c r="K786" s="801">
        <f>G786/$G$15</f>
      </c>
      <c r="L786" s="760"/>
      <c r="M786" s="767"/>
      <c r="N786" s="168"/>
      <c r="O786" s="768"/>
      <c r="P786" s="170"/>
      <c r="Q786" s="7"/>
      <c r="R786" s="766"/>
      <c r="S786" s="170"/>
      <c r="T786" s="168"/>
      <c r="U786" s="170"/>
    </row>
    <row x14ac:dyDescent="0.25" r="787" customHeight="1" ht="18.75">
      <c r="A787" s="1"/>
      <c r="B787" s="799">
        <f>+DATE(YEAR(B786),MONTH(B786)+1,DAY(B786))</f>
        <v>25569.041666666668</v>
      </c>
      <c r="C787" s="799">
        <f>+B788-1</f>
        <v>25569.041666666668</v>
      </c>
      <c r="D787" s="791">
        <f>-_xlfn.DAYS($C$3,C787)/365.25</f>
      </c>
      <c r="E787" s="800">
        <f>IF($D$17+40&lt;=D787,(1+$D$7)^-(D787-$C$5),(1+$C$7)^-(D787-$C$5))</f>
      </c>
      <c r="F787" s="801">
        <f>IF($C$4="Hombre",(+VLOOKUP(INT(D787)+1,Tablas!$G$9:$K$1240,5,0)*(D787-INT(D787))+VLOOKUP(INT(D787),Tablas!$G$9:$K$1240,5,0)*(INT(D787)+1-D787))/(VLOOKUP(INT($C$5)+1,Tablas!$G$9:$K$1240,5,0)*($C$5-INT($C$5))+VLOOKUP(INT($C$5),Tablas!$G$9:$K$124,5,0)*(INT($C$5)+1-$C$5)),(+VLOOKUP(INT(D787)+1,Tablas!$G$9:$O$1240,9,0)*(D787-INT(D787))+VLOOKUP(INT(D787),Tablas!$G$9:$O$1240,9,0)*(INT(D787)+1-D787))/(VLOOKUP(INT($C$5)+1,Tablas!$G$9:$O$1240,9,0)*($C$5-INT($C$5))+VLOOKUP(INT($C$5),Tablas!$G$9:$O$124,9,0)*(INT($C$5)+1-$C$5)))</f>
      </c>
      <c r="G787" s="791">
        <f>IF($C$4="Hombre",(+VLOOKUP(INT(D787)+1,Tablas!$G$9:$K$1240,5,0)*(D787-INT(D787))+VLOOKUP(INT(D787),Tablas!$G$9:$K$1240,5,0)*(INT(D787)+1-D787)),+VLOOKUP(INT(D787)+1,Tablas!$G$9:$O$1240,9,0)*(D787-INT(D787))+VLOOKUP(INT(D787),Tablas!$G$9:$O$1240,9,0)*(INT(D787)+1-D787))</f>
      </c>
      <c r="H787" s="801">
        <f>+IF(MONTH(B787)=1,H786*(1+$C$9),H786)</f>
      </c>
      <c r="I787" s="689">
        <f>IF(B787&lt;$C$10,0,IF(B787&lt;$C$11,$C$8/12*E787*F787*H787,0))</f>
      </c>
      <c r="J787" s="689">
        <f>I787*12/14+IF(OR(MONTH(C787)=6,MONTH(C787)=12),I787*12/14,0)</f>
      </c>
      <c r="K787" s="801">
        <f>G787/$G$15</f>
      </c>
      <c r="L787" s="760"/>
      <c r="M787" s="767"/>
      <c r="N787" s="168"/>
      <c r="O787" s="768"/>
      <c r="P787" s="170"/>
      <c r="Q787" s="7"/>
      <c r="R787" s="766"/>
      <c r="S787" s="170"/>
      <c r="T787" s="168"/>
      <c r="U787" s="170"/>
    </row>
    <row x14ac:dyDescent="0.25" r="788" customHeight="1" ht="18.75">
      <c r="A788" s="1"/>
      <c r="B788" s="799">
        <f>+DATE(YEAR(B787),MONTH(B787)+1,DAY(B787))</f>
        <v>25569.041666666668</v>
      </c>
      <c r="C788" s="799">
        <f>+B789-1</f>
        <v>25569.041666666668</v>
      </c>
      <c r="D788" s="791">
        <f>-_xlfn.DAYS($C$3,C788)/365.25</f>
      </c>
      <c r="E788" s="800">
        <f>IF($D$17+40&lt;=D788,(1+$D$7)^-(D788-$C$5),(1+$C$7)^-(D788-$C$5))</f>
      </c>
      <c r="F788" s="801">
        <f>IF($C$4="Hombre",(+VLOOKUP(INT(D788)+1,Tablas!$G$9:$K$1240,5,0)*(D788-INT(D788))+VLOOKUP(INT(D788),Tablas!$G$9:$K$1240,5,0)*(INT(D788)+1-D788))/(VLOOKUP(INT($C$5)+1,Tablas!$G$9:$K$1240,5,0)*($C$5-INT($C$5))+VLOOKUP(INT($C$5),Tablas!$G$9:$K$124,5,0)*(INT($C$5)+1-$C$5)),(+VLOOKUP(INT(D788)+1,Tablas!$G$9:$O$1240,9,0)*(D788-INT(D788))+VLOOKUP(INT(D788),Tablas!$G$9:$O$1240,9,0)*(INT(D788)+1-D788))/(VLOOKUP(INT($C$5)+1,Tablas!$G$9:$O$1240,9,0)*($C$5-INT($C$5))+VLOOKUP(INT($C$5),Tablas!$G$9:$O$124,9,0)*(INT($C$5)+1-$C$5)))</f>
      </c>
      <c r="G788" s="791">
        <f>IF($C$4="Hombre",(+VLOOKUP(INT(D788)+1,Tablas!$G$9:$K$1240,5,0)*(D788-INT(D788))+VLOOKUP(INT(D788),Tablas!$G$9:$K$1240,5,0)*(INT(D788)+1-D788)),+VLOOKUP(INT(D788)+1,Tablas!$G$9:$O$1240,9,0)*(D788-INT(D788))+VLOOKUP(INT(D788),Tablas!$G$9:$O$1240,9,0)*(INT(D788)+1-D788))</f>
      </c>
      <c r="H788" s="801">
        <f>+IF(MONTH(B788)=1,H787*(1+$C$9),H787)</f>
      </c>
      <c r="I788" s="689">
        <f>IF(B788&lt;$C$10,0,IF(B788&lt;$C$11,$C$8/12*E788*F788*H788,0))</f>
      </c>
      <c r="J788" s="689">
        <f>I788*12/14+IF(OR(MONTH(C788)=6,MONTH(C788)=12),I788*12/14,0)</f>
      </c>
      <c r="K788" s="801">
        <f>G788/$G$15</f>
      </c>
      <c r="L788" s="760"/>
      <c r="M788" s="767"/>
      <c r="N788" s="168"/>
      <c r="O788" s="768"/>
      <c r="P788" s="170"/>
      <c r="Q788" s="7"/>
      <c r="R788" s="766"/>
      <c r="S788" s="170"/>
      <c r="T788" s="168"/>
      <c r="U788" s="170"/>
    </row>
    <row x14ac:dyDescent="0.25" r="789" customHeight="1" ht="18.75">
      <c r="A789" s="1"/>
      <c r="B789" s="799">
        <f>+DATE(YEAR(B788),MONTH(B788)+1,DAY(B788))</f>
        <v>25569.041666666668</v>
      </c>
      <c r="C789" s="799">
        <f>+B790-1</f>
        <v>25569.041666666668</v>
      </c>
      <c r="D789" s="791">
        <f>-_xlfn.DAYS($C$3,C789)/365.25</f>
      </c>
      <c r="E789" s="800">
        <f>IF($D$17+40&lt;=D789,(1+$D$7)^-(D789-$C$5),(1+$C$7)^-(D789-$C$5))</f>
      </c>
      <c r="F789" s="801">
        <f>IF($C$4="Hombre",(+VLOOKUP(INT(D789)+1,Tablas!$G$9:$K$1240,5,0)*(D789-INT(D789))+VLOOKUP(INT(D789),Tablas!$G$9:$K$1240,5,0)*(INT(D789)+1-D789))/(VLOOKUP(INT($C$5)+1,Tablas!$G$9:$K$1240,5,0)*($C$5-INT($C$5))+VLOOKUP(INT($C$5),Tablas!$G$9:$K$124,5,0)*(INT($C$5)+1-$C$5)),(+VLOOKUP(INT(D789)+1,Tablas!$G$9:$O$1240,9,0)*(D789-INT(D789))+VLOOKUP(INT(D789),Tablas!$G$9:$O$1240,9,0)*(INT(D789)+1-D789))/(VLOOKUP(INT($C$5)+1,Tablas!$G$9:$O$1240,9,0)*($C$5-INT($C$5))+VLOOKUP(INT($C$5),Tablas!$G$9:$O$124,9,0)*(INT($C$5)+1-$C$5)))</f>
      </c>
      <c r="G789" s="791">
        <f>IF($C$4="Hombre",(+VLOOKUP(INT(D789)+1,Tablas!$G$9:$K$1240,5,0)*(D789-INT(D789))+VLOOKUP(INT(D789),Tablas!$G$9:$K$1240,5,0)*(INT(D789)+1-D789)),+VLOOKUP(INT(D789)+1,Tablas!$G$9:$O$1240,9,0)*(D789-INT(D789))+VLOOKUP(INT(D789),Tablas!$G$9:$O$1240,9,0)*(INT(D789)+1-D789))</f>
      </c>
      <c r="H789" s="801">
        <f>+IF(MONTH(B789)=1,H788*(1+$C$9),H788)</f>
      </c>
      <c r="I789" s="689">
        <f>IF(B789&lt;$C$10,0,IF(B789&lt;$C$11,$C$8/12*E789*F789*H789,0))</f>
      </c>
      <c r="J789" s="689">
        <f>I789*12/14+IF(OR(MONTH(C789)=6,MONTH(C789)=12),I789*12/14,0)</f>
      </c>
      <c r="K789" s="801">
        <f>G789/$G$15</f>
      </c>
      <c r="L789" s="760"/>
      <c r="M789" s="767"/>
      <c r="N789" s="168"/>
      <c r="O789" s="768"/>
      <c r="P789" s="170"/>
      <c r="Q789" s="7"/>
      <c r="R789" s="766"/>
      <c r="S789" s="170"/>
      <c r="T789" s="168"/>
      <c r="U789" s="170"/>
    </row>
    <row x14ac:dyDescent="0.25" r="790" customHeight="1" ht="18.75">
      <c r="A790" s="1"/>
      <c r="B790" s="799">
        <f>+DATE(YEAR(B789),MONTH(B789)+1,DAY(B789))</f>
        <v>25569.041666666668</v>
      </c>
      <c r="C790" s="799">
        <f>+B791-1</f>
        <v>25569.041666666668</v>
      </c>
      <c r="D790" s="791">
        <f>-_xlfn.DAYS($C$3,C790)/365.25</f>
      </c>
      <c r="E790" s="800">
        <f>IF($D$17+40&lt;=D790,(1+$D$7)^-(D790-$C$5),(1+$C$7)^-(D790-$C$5))</f>
      </c>
      <c r="F790" s="801">
        <f>IF($C$4="Hombre",(+VLOOKUP(INT(D790)+1,Tablas!$G$9:$K$1240,5,0)*(D790-INT(D790))+VLOOKUP(INT(D790),Tablas!$G$9:$K$1240,5,0)*(INT(D790)+1-D790))/(VLOOKUP(INT($C$5)+1,Tablas!$G$9:$K$1240,5,0)*($C$5-INT($C$5))+VLOOKUP(INT($C$5),Tablas!$G$9:$K$124,5,0)*(INT($C$5)+1-$C$5)),(+VLOOKUP(INT(D790)+1,Tablas!$G$9:$O$1240,9,0)*(D790-INT(D790))+VLOOKUP(INT(D790),Tablas!$G$9:$O$1240,9,0)*(INT(D790)+1-D790))/(VLOOKUP(INT($C$5)+1,Tablas!$G$9:$O$1240,9,0)*($C$5-INT($C$5))+VLOOKUP(INT($C$5),Tablas!$G$9:$O$124,9,0)*(INT($C$5)+1-$C$5)))</f>
      </c>
      <c r="G790" s="791">
        <f>IF($C$4="Hombre",(+VLOOKUP(INT(D790)+1,Tablas!$G$9:$K$1240,5,0)*(D790-INT(D790))+VLOOKUP(INT(D790),Tablas!$G$9:$K$1240,5,0)*(INT(D790)+1-D790)),+VLOOKUP(INT(D790)+1,Tablas!$G$9:$O$1240,9,0)*(D790-INT(D790))+VLOOKUP(INT(D790),Tablas!$G$9:$O$1240,9,0)*(INT(D790)+1-D790))</f>
      </c>
      <c r="H790" s="801">
        <f>+IF(MONTH(B790)=1,H789*(1+$C$9),H789)</f>
      </c>
      <c r="I790" s="689">
        <f>IF(B790&lt;$C$10,0,IF(B790&lt;$C$11,$C$8/12*E790*F790*H790,0))</f>
      </c>
      <c r="J790" s="689">
        <f>I790*12/14+IF(OR(MONTH(C790)=6,MONTH(C790)=12),I790*12/14,0)</f>
      </c>
      <c r="K790" s="801">
        <f>G790/$G$15</f>
      </c>
      <c r="L790" s="760"/>
      <c r="M790" s="767"/>
      <c r="N790" s="168"/>
      <c r="O790" s="768"/>
      <c r="P790" s="170"/>
      <c r="Q790" s="7"/>
      <c r="R790" s="766"/>
      <c r="S790" s="170"/>
      <c r="T790" s="168"/>
      <c r="U790" s="170"/>
    </row>
    <row x14ac:dyDescent="0.25" r="791" customHeight="1" ht="18.75">
      <c r="A791" s="1"/>
      <c r="B791" s="799">
        <f>+DATE(YEAR(B790),MONTH(B790)+1,DAY(B790))</f>
        <v>25569.041666666668</v>
      </c>
      <c r="C791" s="799">
        <f>+B792-1</f>
        <v>25569.041666666668</v>
      </c>
      <c r="D791" s="791">
        <f>-_xlfn.DAYS($C$3,C791)/365.25</f>
      </c>
      <c r="E791" s="800">
        <f>IF($D$17+40&lt;=D791,(1+$D$7)^-(D791-$C$5),(1+$C$7)^-(D791-$C$5))</f>
      </c>
      <c r="F791" s="801">
        <f>IF($C$4="Hombre",(+VLOOKUP(INT(D791)+1,Tablas!$G$9:$K$1240,5,0)*(D791-INT(D791))+VLOOKUP(INT(D791),Tablas!$G$9:$K$1240,5,0)*(INT(D791)+1-D791))/(VLOOKUP(INT($C$5)+1,Tablas!$G$9:$K$1240,5,0)*($C$5-INT($C$5))+VLOOKUP(INT($C$5),Tablas!$G$9:$K$124,5,0)*(INT($C$5)+1-$C$5)),(+VLOOKUP(INT(D791)+1,Tablas!$G$9:$O$1240,9,0)*(D791-INT(D791))+VLOOKUP(INT(D791),Tablas!$G$9:$O$1240,9,0)*(INT(D791)+1-D791))/(VLOOKUP(INT($C$5)+1,Tablas!$G$9:$O$1240,9,0)*($C$5-INT($C$5))+VLOOKUP(INT($C$5),Tablas!$G$9:$O$124,9,0)*(INT($C$5)+1-$C$5)))</f>
      </c>
      <c r="G791" s="791">
        <f>IF($C$4="Hombre",(+VLOOKUP(INT(D791)+1,Tablas!$G$9:$K$1240,5,0)*(D791-INT(D791))+VLOOKUP(INT(D791),Tablas!$G$9:$K$1240,5,0)*(INT(D791)+1-D791)),+VLOOKUP(INT(D791)+1,Tablas!$G$9:$O$1240,9,0)*(D791-INT(D791))+VLOOKUP(INT(D791),Tablas!$G$9:$O$1240,9,0)*(INT(D791)+1-D791))</f>
      </c>
      <c r="H791" s="801">
        <f>+IF(MONTH(B791)=1,H790*(1+$C$9),H790)</f>
      </c>
      <c r="I791" s="689">
        <f>IF(B791&lt;$C$10,0,IF(B791&lt;$C$11,$C$8/12*E791*F791*H791,0))</f>
      </c>
      <c r="J791" s="689">
        <f>I791*12/14+IF(OR(MONTH(C791)=6,MONTH(C791)=12),I791*12/14,0)</f>
      </c>
      <c r="K791" s="801">
        <f>G791/$G$15</f>
      </c>
      <c r="L791" s="760"/>
      <c r="M791" s="767"/>
      <c r="N791" s="168"/>
      <c r="O791" s="768"/>
      <c r="P791" s="170"/>
      <c r="Q791" s="7"/>
      <c r="R791" s="766"/>
      <c r="S791" s="170"/>
      <c r="T791" s="168"/>
      <c r="U791" s="170"/>
    </row>
    <row x14ac:dyDescent="0.25" r="792" customHeight="1" ht="18.75">
      <c r="A792" s="1"/>
      <c r="B792" s="799">
        <f>+DATE(YEAR(B791),MONTH(B791)+1,DAY(B791))</f>
        <v>25569.041666666668</v>
      </c>
      <c r="C792" s="799">
        <f>+B793-1</f>
        <v>25569.041666666668</v>
      </c>
      <c r="D792" s="791">
        <f>-_xlfn.DAYS($C$3,C792)/365.25</f>
      </c>
      <c r="E792" s="800">
        <f>IF($D$17+40&lt;=D792,(1+$D$7)^-(D792-$C$5),(1+$C$7)^-(D792-$C$5))</f>
      </c>
      <c r="F792" s="801">
        <f>IF($C$4="Hombre",(+VLOOKUP(INT(D792)+1,Tablas!$G$9:$K$1240,5,0)*(D792-INT(D792))+VLOOKUP(INT(D792),Tablas!$G$9:$K$1240,5,0)*(INT(D792)+1-D792))/(VLOOKUP(INT($C$5)+1,Tablas!$G$9:$K$1240,5,0)*($C$5-INT($C$5))+VLOOKUP(INT($C$5),Tablas!$G$9:$K$124,5,0)*(INT($C$5)+1-$C$5)),(+VLOOKUP(INT(D792)+1,Tablas!$G$9:$O$1240,9,0)*(D792-INT(D792))+VLOOKUP(INT(D792),Tablas!$G$9:$O$1240,9,0)*(INT(D792)+1-D792))/(VLOOKUP(INT($C$5)+1,Tablas!$G$9:$O$1240,9,0)*($C$5-INT($C$5))+VLOOKUP(INT($C$5),Tablas!$G$9:$O$124,9,0)*(INT($C$5)+1-$C$5)))</f>
      </c>
      <c r="G792" s="791">
        <f>IF($C$4="Hombre",(+VLOOKUP(INT(D792)+1,Tablas!$G$9:$K$1240,5,0)*(D792-INT(D792))+VLOOKUP(INT(D792),Tablas!$G$9:$K$1240,5,0)*(INT(D792)+1-D792)),+VLOOKUP(INT(D792)+1,Tablas!$G$9:$O$1240,9,0)*(D792-INT(D792))+VLOOKUP(INT(D792),Tablas!$G$9:$O$1240,9,0)*(INT(D792)+1-D792))</f>
      </c>
      <c r="H792" s="801">
        <f>+IF(MONTH(B792)=1,H791*(1+$C$9),H791)</f>
      </c>
      <c r="I792" s="689">
        <f>IF(B792&lt;$C$10,0,IF(B792&lt;$C$11,$C$8/12*E792*F792*H792,0))</f>
      </c>
      <c r="J792" s="689">
        <f>I792*12/14+IF(OR(MONTH(C792)=6,MONTH(C792)=12),I792*12/14,0)</f>
      </c>
      <c r="K792" s="801">
        <f>G792/$G$15</f>
      </c>
      <c r="L792" s="760"/>
      <c r="M792" s="767"/>
      <c r="N792" s="168"/>
      <c r="O792" s="768"/>
      <c r="P792" s="170"/>
      <c r="Q792" s="7"/>
      <c r="R792" s="766"/>
      <c r="S792" s="170"/>
      <c r="T792" s="168"/>
      <c r="U792" s="170"/>
    </row>
    <row x14ac:dyDescent="0.25" r="793" customHeight="1" ht="18.75">
      <c r="A793" s="1"/>
      <c r="B793" s="799">
        <f>+DATE(YEAR(B792),MONTH(B792)+1,DAY(B792))</f>
        <v>25569.041666666668</v>
      </c>
      <c r="C793" s="799">
        <f>+B794-1</f>
        <v>25569.041666666668</v>
      </c>
      <c r="D793" s="791">
        <f>-_xlfn.DAYS($C$3,C793)/365.25</f>
      </c>
      <c r="E793" s="800">
        <f>IF($D$17+40&lt;=D793,(1+$D$7)^-(D793-$C$5),(1+$C$7)^-(D793-$C$5))</f>
      </c>
      <c r="F793" s="801">
        <f>IF($C$4="Hombre",(+VLOOKUP(INT(D793)+1,Tablas!$G$9:$K$1240,5,0)*(D793-INT(D793))+VLOOKUP(INT(D793),Tablas!$G$9:$K$1240,5,0)*(INT(D793)+1-D793))/(VLOOKUP(INT($C$5)+1,Tablas!$G$9:$K$1240,5,0)*($C$5-INT($C$5))+VLOOKUP(INT($C$5),Tablas!$G$9:$K$124,5,0)*(INT($C$5)+1-$C$5)),(+VLOOKUP(INT(D793)+1,Tablas!$G$9:$O$1240,9,0)*(D793-INT(D793))+VLOOKUP(INT(D793),Tablas!$G$9:$O$1240,9,0)*(INT(D793)+1-D793))/(VLOOKUP(INT($C$5)+1,Tablas!$G$9:$O$1240,9,0)*($C$5-INT($C$5))+VLOOKUP(INT($C$5),Tablas!$G$9:$O$124,9,0)*(INT($C$5)+1-$C$5)))</f>
      </c>
      <c r="G793" s="791">
        <f>IF($C$4="Hombre",(+VLOOKUP(INT(D793)+1,Tablas!$G$9:$K$1240,5,0)*(D793-INT(D793))+VLOOKUP(INT(D793),Tablas!$G$9:$K$1240,5,0)*(INT(D793)+1-D793)),+VLOOKUP(INT(D793)+1,Tablas!$G$9:$O$1240,9,0)*(D793-INT(D793))+VLOOKUP(INT(D793),Tablas!$G$9:$O$1240,9,0)*(INT(D793)+1-D793))</f>
      </c>
      <c r="H793" s="801">
        <f>+IF(MONTH(B793)=1,H792*(1+$C$9),H792)</f>
      </c>
      <c r="I793" s="689">
        <f>IF(B793&lt;$C$10,0,IF(B793&lt;$C$11,$C$8/12*E793*F793*H793,0))</f>
      </c>
      <c r="J793" s="689">
        <f>I793*12/14+IF(OR(MONTH(C793)=6,MONTH(C793)=12),I793*12/14,0)</f>
      </c>
      <c r="K793" s="801">
        <f>G793/$G$15</f>
      </c>
      <c r="L793" s="760"/>
      <c r="M793" s="767"/>
      <c r="N793" s="168"/>
      <c r="O793" s="768"/>
      <c r="P793" s="170"/>
      <c r="Q793" s="7"/>
      <c r="R793" s="766"/>
      <c r="S793" s="170"/>
      <c r="T793" s="168"/>
      <c r="U793" s="170"/>
    </row>
    <row x14ac:dyDescent="0.25" r="794" customHeight="1" ht="18.75">
      <c r="A794" s="1"/>
      <c r="B794" s="799">
        <f>+DATE(YEAR(B793),MONTH(B793)+1,DAY(B793))</f>
        <v>25569.041666666668</v>
      </c>
      <c r="C794" s="799">
        <f>+B795-1</f>
        <v>25569.041666666668</v>
      </c>
      <c r="D794" s="791">
        <f>-_xlfn.DAYS($C$3,C794)/365.25</f>
      </c>
      <c r="E794" s="800">
        <f>IF($D$17+40&lt;=D794,(1+$D$7)^-(D794-$C$5),(1+$C$7)^-(D794-$C$5))</f>
      </c>
      <c r="F794" s="801">
        <f>IF($C$4="Hombre",(+VLOOKUP(INT(D794)+1,Tablas!$G$9:$K$1240,5,0)*(D794-INT(D794))+VLOOKUP(INT(D794),Tablas!$G$9:$K$1240,5,0)*(INT(D794)+1-D794))/(VLOOKUP(INT($C$5)+1,Tablas!$G$9:$K$1240,5,0)*($C$5-INT($C$5))+VLOOKUP(INT($C$5),Tablas!$G$9:$K$124,5,0)*(INT($C$5)+1-$C$5)),(+VLOOKUP(INT(D794)+1,Tablas!$G$9:$O$1240,9,0)*(D794-INT(D794))+VLOOKUP(INT(D794),Tablas!$G$9:$O$1240,9,0)*(INT(D794)+1-D794))/(VLOOKUP(INT($C$5)+1,Tablas!$G$9:$O$1240,9,0)*($C$5-INT($C$5))+VLOOKUP(INT($C$5),Tablas!$G$9:$O$124,9,0)*(INT($C$5)+1-$C$5)))</f>
      </c>
      <c r="G794" s="791">
        <f>IF($C$4="Hombre",(+VLOOKUP(INT(D794)+1,Tablas!$G$9:$K$1240,5,0)*(D794-INT(D794))+VLOOKUP(INT(D794),Tablas!$G$9:$K$1240,5,0)*(INT(D794)+1-D794)),+VLOOKUP(INT(D794)+1,Tablas!$G$9:$O$1240,9,0)*(D794-INT(D794))+VLOOKUP(INT(D794),Tablas!$G$9:$O$1240,9,0)*(INT(D794)+1-D794))</f>
      </c>
      <c r="H794" s="801">
        <f>+IF(MONTH(B794)=1,H793*(1+$C$9),H793)</f>
      </c>
      <c r="I794" s="689">
        <f>IF(B794&lt;$C$10,0,IF(B794&lt;$C$11,$C$8/12*E794*F794*H794,0))</f>
      </c>
      <c r="J794" s="689">
        <f>I794*12/14+IF(OR(MONTH(C794)=6,MONTH(C794)=12),I794*12/14,0)</f>
      </c>
      <c r="K794" s="801">
        <f>G794/$G$15</f>
      </c>
      <c r="L794" s="760"/>
      <c r="M794" s="767"/>
      <c r="N794" s="168"/>
      <c r="O794" s="768"/>
      <c r="P794" s="170"/>
      <c r="Q794" s="7"/>
      <c r="R794" s="766"/>
      <c r="S794" s="170"/>
      <c r="T794" s="168"/>
      <c r="U794" s="170"/>
    </row>
    <row x14ac:dyDescent="0.25" r="795" customHeight="1" ht="18.75">
      <c r="A795" s="1"/>
      <c r="B795" s="799">
        <f>+DATE(YEAR(B794),MONTH(B794)+1,DAY(B794))</f>
        <v>25569.041666666668</v>
      </c>
      <c r="C795" s="799">
        <f>+B796-1</f>
        <v>25569.041666666668</v>
      </c>
      <c r="D795" s="791">
        <f>-_xlfn.DAYS($C$3,C795)/365.25</f>
      </c>
      <c r="E795" s="800">
        <f>IF($D$17+40&lt;=D795,(1+$D$7)^-(D795-$C$5),(1+$C$7)^-(D795-$C$5))</f>
      </c>
      <c r="F795" s="801">
        <f>IF($C$4="Hombre",(+VLOOKUP(INT(D795)+1,Tablas!$G$9:$K$1240,5,0)*(D795-INT(D795))+VLOOKUP(INT(D795),Tablas!$G$9:$K$1240,5,0)*(INT(D795)+1-D795))/(VLOOKUP(INT($C$5)+1,Tablas!$G$9:$K$1240,5,0)*($C$5-INT($C$5))+VLOOKUP(INT($C$5),Tablas!$G$9:$K$124,5,0)*(INT($C$5)+1-$C$5)),(+VLOOKUP(INT(D795)+1,Tablas!$G$9:$O$1240,9,0)*(D795-INT(D795))+VLOOKUP(INT(D795),Tablas!$G$9:$O$1240,9,0)*(INT(D795)+1-D795))/(VLOOKUP(INT($C$5)+1,Tablas!$G$9:$O$1240,9,0)*($C$5-INT($C$5))+VLOOKUP(INT($C$5),Tablas!$G$9:$O$124,9,0)*(INT($C$5)+1-$C$5)))</f>
      </c>
      <c r="G795" s="791">
        <f>IF($C$4="Hombre",(+VLOOKUP(INT(D795)+1,Tablas!$G$9:$K$1240,5,0)*(D795-INT(D795))+VLOOKUP(INT(D795),Tablas!$G$9:$K$1240,5,0)*(INT(D795)+1-D795)),+VLOOKUP(INT(D795)+1,Tablas!$G$9:$O$1240,9,0)*(D795-INT(D795))+VLOOKUP(INT(D795),Tablas!$G$9:$O$1240,9,0)*(INT(D795)+1-D795))</f>
      </c>
      <c r="H795" s="801">
        <f>+IF(MONTH(B795)=1,H794*(1+$C$9),H794)</f>
      </c>
      <c r="I795" s="689">
        <f>IF(B795&lt;$C$10,0,IF(B795&lt;$C$11,$C$8/12*E795*F795*H795,0))</f>
      </c>
      <c r="J795" s="689">
        <f>I795*12/14+IF(OR(MONTH(C795)=6,MONTH(C795)=12),I795*12/14,0)</f>
      </c>
      <c r="K795" s="801">
        <f>G795/$G$15</f>
      </c>
      <c r="L795" s="760"/>
      <c r="M795" s="767"/>
      <c r="N795" s="168"/>
      <c r="O795" s="768"/>
      <c r="P795" s="170"/>
      <c r="Q795" s="7"/>
      <c r="R795" s="766"/>
      <c r="S795" s="170"/>
      <c r="T795" s="168"/>
      <c r="U795" s="170"/>
    </row>
    <row x14ac:dyDescent="0.25" r="796" customHeight="1" ht="18.75">
      <c r="A796" s="1"/>
      <c r="B796" s="799">
        <f>+DATE(YEAR(B795),MONTH(B795)+1,DAY(B795))</f>
        <v>25569.041666666668</v>
      </c>
      <c r="C796" s="799">
        <f>+B797-1</f>
        <v>25569.041666666668</v>
      </c>
      <c r="D796" s="791">
        <f>-_xlfn.DAYS($C$3,C796)/365.25</f>
      </c>
      <c r="E796" s="800">
        <f>IF($D$17+40&lt;=D796,(1+$D$7)^-(D796-$C$5),(1+$C$7)^-(D796-$C$5))</f>
      </c>
      <c r="F796" s="801">
        <f>IF($C$4="Hombre",(+VLOOKUP(INT(D796)+1,Tablas!$G$9:$K$1240,5,0)*(D796-INT(D796))+VLOOKUP(INT(D796),Tablas!$G$9:$K$1240,5,0)*(INT(D796)+1-D796))/(VLOOKUP(INT($C$5)+1,Tablas!$G$9:$K$1240,5,0)*($C$5-INT($C$5))+VLOOKUP(INT($C$5),Tablas!$G$9:$K$124,5,0)*(INT($C$5)+1-$C$5)),(+VLOOKUP(INT(D796)+1,Tablas!$G$9:$O$1240,9,0)*(D796-INT(D796))+VLOOKUP(INT(D796),Tablas!$G$9:$O$1240,9,0)*(INT(D796)+1-D796))/(VLOOKUP(INT($C$5)+1,Tablas!$G$9:$O$1240,9,0)*($C$5-INT($C$5))+VLOOKUP(INT($C$5),Tablas!$G$9:$O$124,9,0)*(INT($C$5)+1-$C$5)))</f>
      </c>
      <c r="G796" s="791">
        <f>IF($C$4="Hombre",(+VLOOKUP(INT(D796)+1,Tablas!$G$9:$K$1240,5,0)*(D796-INT(D796))+VLOOKUP(INT(D796),Tablas!$G$9:$K$1240,5,0)*(INT(D796)+1-D796)),+VLOOKUP(INT(D796)+1,Tablas!$G$9:$O$1240,9,0)*(D796-INT(D796))+VLOOKUP(INT(D796),Tablas!$G$9:$O$1240,9,0)*(INT(D796)+1-D796))</f>
      </c>
      <c r="H796" s="801">
        <f>+IF(MONTH(B796)=1,H795*(1+$C$9),H795)</f>
      </c>
      <c r="I796" s="689">
        <f>IF(B796&lt;$C$10,0,IF(B796&lt;$C$11,$C$8/12*E796*F796*H796,0))</f>
      </c>
      <c r="J796" s="689">
        <f>I796*12/14+IF(OR(MONTH(C796)=6,MONTH(C796)=12),I796*12/14,0)</f>
      </c>
      <c r="K796" s="801">
        <f>G796/$G$15</f>
      </c>
      <c r="L796" s="760"/>
      <c r="M796" s="767"/>
      <c r="N796" s="168"/>
      <c r="O796" s="768"/>
      <c r="P796" s="170"/>
      <c r="Q796" s="7"/>
      <c r="R796" s="766"/>
      <c r="S796" s="170"/>
      <c r="T796" s="168"/>
      <c r="U796" s="170"/>
    </row>
    <row x14ac:dyDescent="0.25" r="797" customHeight="1" ht="18.75">
      <c r="A797" s="1"/>
      <c r="B797" s="799">
        <f>+DATE(YEAR(B796),MONTH(B796)+1,DAY(B796))</f>
        <v>25569.041666666668</v>
      </c>
      <c r="C797" s="799">
        <f>+B798-1</f>
        <v>25569.041666666668</v>
      </c>
      <c r="D797" s="791">
        <f>-_xlfn.DAYS($C$3,C797)/365.25</f>
      </c>
      <c r="E797" s="800">
        <f>IF($D$17+40&lt;=D797,(1+$D$7)^-(D797-$C$5),(1+$C$7)^-(D797-$C$5))</f>
      </c>
      <c r="F797" s="801">
        <f>IF($C$4="Hombre",(+VLOOKUP(INT(D797)+1,Tablas!$G$9:$K$1240,5,0)*(D797-INT(D797))+VLOOKUP(INT(D797),Tablas!$G$9:$K$1240,5,0)*(INT(D797)+1-D797))/(VLOOKUP(INT($C$5)+1,Tablas!$G$9:$K$1240,5,0)*($C$5-INT($C$5))+VLOOKUP(INT($C$5),Tablas!$G$9:$K$124,5,0)*(INT($C$5)+1-$C$5)),(+VLOOKUP(INT(D797)+1,Tablas!$G$9:$O$1240,9,0)*(D797-INT(D797))+VLOOKUP(INT(D797),Tablas!$G$9:$O$1240,9,0)*(INT(D797)+1-D797))/(VLOOKUP(INT($C$5)+1,Tablas!$G$9:$O$1240,9,0)*($C$5-INT($C$5))+VLOOKUP(INT($C$5),Tablas!$G$9:$O$124,9,0)*(INT($C$5)+1-$C$5)))</f>
      </c>
      <c r="G797" s="791">
        <f>IF($C$4="Hombre",(+VLOOKUP(INT(D797)+1,Tablas!$G$9:$K$1240,5,0)*(D797-INT(D797))+VLOOKUP(INT(D797),Tablas!$G$9:$K$1240,5,0)*(INT(D797)+1-D797)),+VLOOKUP(INT(D797)+1,Tablas!$G$9:$O$1240,9,0)*(D797-INT(D797))+VLOOKUP(INT(D797),Tablas!$G$9:$O$1240,9,0)*(INT(D797)+1-D797))</f>
      </c>
      <c r="H797" s="801">
        <f>+IF(MONTH(B797)=1,H796*(1+$C$9),H796)</f>
      </c>
      <c r="I797" s="689">
        <f>IF(B797&lt;$C$10,0,IF(B797&lt;$C$11,$C$8/12*E797*F797*H797,0))</f>
      </c>
      <c r="J797" s="689">
        <f>I797*12/14+IF(OR(MONTH(C797)=6,MONTH(C797)=12),I797*12/14,0)</f>
      </c>
      <c r="K797" s="801">
        <f>G797/$G$15</f>
      </c>
      <c r="L797" s="760"/>
      <c r="M797" s="767"/>
      <c r="N797" s="168"/>
      <c r="O797" s="768"/>
      <c r="P797" s="170"/>
      <c r="Q797" s="7"/>
      <c r="R797" s="766"/>
      <c r="S797" s="170"/>
      <c r="T797" s="168"/>
      <c r="U797" s="170"/>
    </row>
    <row x14ac:dyDescent="0.25" r="798" customHeight="1" ht="18.75">
      <c r="A798" s="1"/>
      <c r="B798" s="799">
        <f>+DATE(YEAR(B797),MONTH(B797)+1,DAY(B797))</f>
        <v>25569.041666666668</v>
      </c>
      <c r="C798" s="799">
        <f>+B799-1</f>
        <v>25569.041666666668</v>
      </c>
      <c r="D798" s="791">
        <f>-_xlfn.DAYS($C$3,C798)/365.25</f>
      </c>
      <c r="E798" s="800">
        <f>IF($D$17+40&lt;=D798,(1+$D$7)^-(D798-$C$5),(1+$C$7)^-(D798-$C$5))</f>
      </c>
      <c r="F798" s="801">
        <f>IF($C$4="Hombre",(+VLOOKUP(INT(D798)+1,Tablas!$G$9:$K$1240,5,0)*(D798-INT(D798))+VLOOKUP(INT(D798),Tablas!$G$9:$K$1240,5,0)*(INT(D798)+1-D798))/(VLOOKUP(INT($C$5)+1,Tablas!$G$9:$K$1240,5,0)*($C$5-INT($C$5))+VLOOKUP(INT($C$5),Tablas!$G$9:$K$124,5,0)*(INT($C$5)+1-$C$5)),(+VLOOKUP(INT(D798)+1,Tablas!$G$9:$O$1240,9,0)*(D798-INT(D798))+VLOOKUP(INT(D798),Tablas!$G$9:$O$1240,9,0)*(INT(D798)+1-D798))/(VLOOKUP(INT($C$5)+1,Tablas!$G$9:$O$1240,9,0)*($C$5-INT($C$5))+VLOOKUP(INT($C$5),Tablas!$G$9:$O$124,9,0)*(INT($C$5)+1-$C$5)))</f>
      </c>
      <c r="G798" s="791">
        <f>IF($C$4="Hombre",(+VLOOKUP(INT(D798)+1,Tablas!$G$9:$K$1240,5,0)*(D798-INT(D798))+VLOOKUP(INT(D798),Tablas!$G$9:$K$1240,5,0)*(INT(D798)+1-D798)),+VLOOKUP(INT(D798)+1,Tablas!$G$9:$O$1240,9,0)*(D798-INT(D798))+VLOOKUP(INT(D798),Tablas!$G$9:$O$1240,9,0)*(INT(D798)+1-D798))</f>
      </c>
      <c r="H798" s="801">
        <f>+IF(MONTH(B798)=1,H797*(1+$C$9),H797)</f>
      </c>
      <c r="I798" s="689">
        <f>IF(B798&lt;$C$10,0,IF(B798&lt;$C$11,$C$8/12*E798*F798*H798,0))</f>
      </c>
      <c r="J798" s="689">
        <f>I798*12/14+IF(OR(MONTH(C798)=6,MONTH(C798)=12),I798*12/14,0)</f>
      </c>
      <c r="K798" s="801">
        <f>G798/$G$15</f>
      </c>
      <c r="L798" s="760"/>
      <c r="M798" s="767"/>
      <c r="N798" s="168"/>
      <c r="O798" s="768"/>
      <c r="P798" s="170"/>
      <c r="Q798" s="7"/>
      <c r="R798" s="766"/>
      <c r="S798" s="170"/>
      <c r="T798" s="168"/>
      <c r="U798" s="170"/>
    </row>
    <row x14ac:dyDescent="0.25" r="799" customHeight="1" ht="18.75">
      <c r="A799" s="1"/>
      <c r="B799" s="799">
        <f>+DATE(YEAR(B798),MONTH(B798)+1,DAY(B798))</f>
        <v>25569.041666666668</v>
      </c>
      <c r="C799" s="799">
        <f>+B800-1</f>
        <v>25569.041666666668</v>
      </c>
      <c r="D799" s="791">
        <f>-_xlfn.DAYS($C$3,C799)/365.25</f>
      </c>
      <c r="E799" s="800">
        <f>IF($D$17+40&lt;=D799,(1+$D$7)^-(D799-$C$5),(1+$C$7)^-(D799-$C$5))</f>
      </c>
      <c r="F799" s="801">
        <f>IF($C$4="Hombre",(+VLOOKUP(INT(D799)+1,Tablas!$G$9:$K$1240,5,0)*(D799-INT(D799))+VLOOKUP(INT(D799),Tablas!$G$9:$K$1240,5,0)*(INT(D799)+1-D799))/(VLOOKUP(INT($C$5)+1,Tablas!$G$9:$K$1240,5,0)*($C$5-INT($C$5))+VLOOKUP(INT($C$5),Tablas!$G$9:$K$124,5,0)*(INT($C$5)+1-$C$5)),(+VLOOKUP(INT(D799)+1,Tablas!$G$9:$O$1240,9,0)*(D799-INT(D799))+VLOOKUP(INT(D799),Tablas!$G$9:$O$1240,9,0)*(INT(D799)+1-D799))/(VLOOKUP(INT($C$5)+1,Tablas!$G$9:$O$1240,9,0)*($C$5-INT($C$5))+VLOOKUP(INT($C$5),Tablas!$G$9:$O$124,9,0)*(INT($C$5)+1-$C$5)))</f>
      </c>
      <c r="G799" s="791">
        <f>IF($C$4="Hombre",(+VLOOKUP(INT(D799)+1,Tablas!$G$9:$K$1240,5,0)*(D799-INT(D799))+VLOOKUP(INT(D799),Tablas!$G$9:$K$1240,5,0)*(INT(D799)+1-D799)),+VLOOKUP(INT(D799)+1,Tablas!$G$9:$O$1240,9,0)*(D799-INT(D799))+VLOOKUP(INT(D799),Tablas!$G$9:$O$1240,9,0)*(INT(D799)+1-D799))</f>
      </c>
      <c r="H799" s="801">
        <f>+IF(MONTH(B799)=1,H798*(1+$C$9),H798)</f>
      </c>
      <c r="I799" s="689">
        <f>IF(B799&lt;$C$10,0,IF(B799&lt;$C$11,$C$8/12*E799*F799*H799,0))</f>
      </c>
      <c r="J799" s="689">
        <f>I799*12/14+IF(OR(MONTH(C799)=6,MONTH(C799)=12),I799*12/14,0)</f>
      </c>
      <c r="K799" s="801">
        <f>G799/$G$15</f>
      </c>
      <c r="L799" s="760"/>
      <c r="M799" s="767"/>
      <c r="N799" s="168"/>
      <c r="O799" s="768"/>
      <c r="P799" s="170"/>
      <c r="Q799" s="7"/>
      <c r="R799" s="766"/>
      <c r="S799" s="170"/>
      <c r="T799" s="168"/>
      <c r="U799" s="170"/>
    </row>
    <row x14ac:dyDescent="0.25" r="800" customHeight="1" ht="18.75">
      <c r="A800" s="1"/>
      <c r="B800" s="799">
        <f>+DATE(YEAR(B799),MONTH(B799)+1,DAY(B799))</f>
        <v>25569.041666666668</v>
      </c>
      <c r="C800" s="799">
        <f>+B801-1</f>
        <v>25569.041666666668</v>
      </c>
      <c r="D800" s="791">
        <f>-_xlfn.DAYS($C$3,C800)/365.25</f>
      </c>
      <c r="E800" s="800">
        <f>IF($D$17+40&lt;=D800,(1+$D$7)^-(D800-$C$5),(1+$C$7)^-(D800-$C$5))</f>
      </c>
      <c r="F800" s="801">
        <f>IF($C$4="Hombre",(+VLOOKUP(INT(D800)+1,Tablas!$G$9:$K$1240,5,0)*(D800-INT(D800))+VLOOKUP(INT(D800),Tablas!$G$9:$K$1240,5,0)*(INT(D800)+1-D800))/(VLOOKUP(INT($C$5)+1,Tablas!$G$9:$K$1240,5,0)*($C$5-INT($C$5))+VLOOKUP(INT($C$5),Tablas!$G$9:$K$124,5,0)*(INT($C$5)+1-$C$5)),(+VLOOKUP(INT(D800)+1,Tablas!$G$9:$O$1240,9,0)*(D800-INT(D800))+VLOOKUP(INT(D800),Tablas!$G$9:$O$1240,9,0)*(INT(D800)+1-D800))/(VLOOKUP(INT($C$5)+1,Tablas!$G$9:$O$1240,9,0)*($C$5-INT($C$5))+VLOOKUP(INT($C$5),Tablas!$G$9:$O$124,9,0)*(INT($C$5)+1-$C$5)))</f>
      </c>
      <c r="G800" s="791">
        <f>IF($C$4="Hombre",(+VLOOKUP(INT(D800)+1,Tablas!$G$9:$K$1240,5,0)*(D800-INT(D800))+VLOOKUP(INT(D800),Tablas!$G$9:$K$1240,5,0)*(INT(D800)+1-D800)),+VLOOKUP(INT(D800)+1,Tablas!$G$9:$O$1240,9,0)*(D800-INT(D800))+VLOOKUP(INT(D800),Tablas!$G$9:$O$1240,9,0)*(INT(D800)+1-D800))</f>
      </c>
      <c r="H800" s="801">
        <f>+IF(MONTH(B800)=1,H799*(1+$C$9),H799)</f>
      </c>
      <c r="I800" s="689">
        <f>IF(B800&lt;$C$10,0,IF(B800&lt;$C$11,$C$8/12*E800*F800*H800,0))</f>
      </c>
      <c r="J800" s="689">
        <f>I800*12/14+IF(OR(MONTH(C800)=6,MONTH(C800)=12),I800*12/14,0)</f>
      </c>
      <c r="K800" s="801">
        <f>G800/$G$15</f>
      </c>
      <c r="L800" s="760"/>
      <c r="M800" s="767"/>
      <c r="N800" s="168"/>
      <c r="O800" s="768"/>
      <c r="P800" s="170"/>
      <c r="Q800" s="7"/>
      <c r="R800" s="766"/>
      <c r="S800" s="170"/>
      <c r="T800" s="168"/>
      <c r="U800" s="170"/>
    </row>
    <row x14ac:dyDescent="0.25" r="801" customHeight="1" ht="18.75">
      <c r="A801" s="1"/>
      <c r="B801" s="799">
        <f>+DATE(YEAR(B800),MONTH(B800)+1,DAY(B800))</f>
        <v>25569.041666666668</v>
      </c>
      <c r="C801" s="799">
        <f>+B802-1</f>
        <v>25569.041666666668</v>
      </c>
      <c r="D801" s="791">
        <f>-_xlfn.DAYS($C$3,C801)/365.25</f>
      </c>
      <c r="E801" s="800">
        <f>IF($D$17+40&lt;=D801,(1+$D$7)^-(D801-$C$5),(1+$C$7)^-(D801-$C$5))</f>
      </c>
      <c r="F801" s="801">
        <f>IF($C$4="Hombre",(+VLOOKUP(INT(D801)+1,Tablas!$G$9:$K$1240,5,0)*(D801-INT(D801))+VLOOKUP(INT(D801),Tablas!$G$9:$K$1240,5,0)*(INT(D801)+1-D801))/(VLOOKUP(INT($C$5)+1,Tablas!$G$9:$K$1240,5,0)*($C$5-INT($C$5))+VLOOKUP(INT($C$5),Tablas!$G$9:$K$124,5,0)*(INT($C$5)+1-$C$5)),(+VLOOKUP(INT(D801)+1,Tablas!$G$9:$O$1240,9,0)*(D801-INT(D801))+VLOOKUP(INT(D801),Tablas!$G$9:$O$1240,9,0)*(INT(D801)+1-D801))/(VLOOKUP(INT($C$5)+1,Tablas!$G$9:$O$1240,9,0)*($C$5-INT($C$5))+VLOOKUP(INT($C$5),Tablas!$G$9:$O$124,9,0)*(INT($C$5)+1-$C$5)))</f>
      </c>
      <c r="G801" s="791">
        <f>IF($C$4="Hombre",(+VLOOKUP(INT(D801)+1,Tablas!$G$9:$K$1240,5,0)*(D801-INT(D801))+VLOOKUP(INT(D801),Tablas!$G$9:$K$1240,5,0)*(INT(D801)+1-D801)),+VLOOKUP(INT(D801)+1,Tablas!$G$9:$O$1240,9,0)*(D801-INT(D801))+VLOOKUP(INT(D801),Tablas!$G$9:$O$1240,9,0)*(INT(D801)+1-D801))</f>
      </c>
      <c r="H801" s="801">
        <f>+IF(MONTH(B801)=1,H800*(1+$C$9),H800)</f>
      </c>
      <c r="I801" s="689">
        <f>IF(B801&lt;$C$10,0,IF(B801&lt;$C$11,$C$8/12*E801*F801*H801,0))</f>
      </c>
      <c r="J801" s="689">
        <f>I801*12/14+IF(OR(MONTH(C801)=6,MONTH(C801)=12),I801*12/14,0)</f>
      </c>
      <c r="K801" s="801">
        <f>G801/$G$15</f>
      </c>
      <c r="L801" s="760"/>
      <c r="M801" s="767"/>
      <c r="N801" s="168"/>
      <c r="O801" s="768"/>
      <c r="P801" s="170"/>
      <c r="Q801" s="7"/>
      <c r="R801" s="766"/>
      <c r="S801" s="170"/>
      <c r="T801" s="168"/>
      <c r="U801" s="170"/>
    </row>
    <row x14ac:dyDescent="0.25" r="802" customHeight="1" ht="18.75">
      <c r="A802" s="1"/>
      <c r="B802" s="799">
        <f>+DATE(YEAR(B801),MONTH(B801)+1,DAY(B801))</f>
        <v>25569.041666666668</v>
      </c>
      <c r="C802" s="799">
        <f>+B803-1</f>
        <v>25569.041666666668</v>
      </c>
      <c r="D802" s="791">
        <f>-_xlfn.DAYS($C$3,C802)/365.25</f>
      </c>
      <c r="E802" s="800">
        <f>IF($D$17+40&lt;=D802,(1+$D$7)^-(D802-$C$5),(1+$C$7)^-(D802-$C$5))</f>
      </c>
      <c r="F802" s="801">
        <f>IF($C$4="Hombre",(+VLOOKUP(INT(D802)+1,Tablas!$G$9:$K$1240,5,0)*(D802-INT(D802))+VLOOKUP(INT(D802),Tablas!$G$9:$K$1240,5,0)*(INT(D802)+1-D802))/(VLOOKUP(INT($C$5)+1,Tablas!$G$9:$K$1240,5,0)*($C$5-INT($C$5))+VLOOKUP(INT($C$5),Tablas!$G$9:$K$124,5,0)*(INT($C$5)+1-$C$5)),(+VLOOKUP(INT(D802)+1,Tablas!$G$9:$O$1240,9,0)*(D802-INT(D802))+VLOOKUP(INT(D802),Tablas!$G$9:$O$1240,9,0)*(INT(D802)+1-D802))/(VLOOKUP(INT($C$5)+1,Tablas!$G$9:$O$1240,9,0)*($C$5-INT($C$5))+VLOOKUP(INT($C$5),Tablas!$G$9:$O$124,9,0)*(INT($C$5)+1-$C$5)))</f>
      </c>
      <c r="G802" s="791">
        <f>IF($C$4="Hombre",(+VLOOKUP(INT(D802)+1,Tablas!$G$9:$K$1240,5,0)*(D802-INT(D802))+VLOOKUP(INT(D802),Tablas!$G$9:$K$1240,5,0)*(INT(D802)+1-D802)),+VLOOKUP(INT(D802)+1,Tablas!$G$9:$O$1240,9,0)*(D802-INT(D802))+VLOOKUP(INT(D802),Tablas!$G$9:$O$1240,9,0)*(INT(D802)+1-D802))</f>
      </c>
      <c r="H802" s="801">
        <f>+IF(MONTH(B802)=1,H801*(1+$C$9),H801)</f>
      </c>
      <c r="I802" s="689">
        <f>IF(B802&lt;$C$10,0,IF(B802&lt;$C$11,$C$8/12*E802*F802*H802,0))</f>
      </c>
      <c r="J802" s="689">
        <f>I802*12/14+IF(OR(MONTH(C802)=6,MONTH(C802)=12),I802*12/14,0)</f>
      </c>
      <c r="K802" s="801">
        <f>G802/$G$15</f>
      </c>
      <c r="L802" s="760"/>
      <c r="M802" s="767"/>
      <c r="N802" s="168"/>
      <c r="O802" s="768"/>
      <c r="P802" s="170"/>
      <c r="Q802" s="7"/>
      <c r="R802" s="766"/>
      <c r="S802" s="170"/>
      <c r="T802" s="168"/>
      <c r="U802" s="170"/>
    </row>
    <row x14ac:dyDescent="0.25" r="803" customHeight="1" ht="18.75">
      <c r="A803" s="1"/>
      <c r="B803" s="799">
        <f>+DATE(YEAR(B802),MONTH(B802)+1,DAY(B802))</f>
        <v>25569.041666666668</v>
      </c>
      <c r="C803" s="799">
        <f>+B804-1</f>
        <v>25569.041666666668</v>
      </c>
      <c r="D803" s="791">
        <f>-_xlfn.DAYS($C$3,C803)/365.25</f>
      </c>
      <c r="E803" s="800">
        <f>IF($D$17+40&lt;=D803,(1+$D$7)^-(D803-$C$5),(1+$C$7)^-(D803-$C$5))</f>
      </c>
      <c r="F803" s="801">
        <f>IF($C$4="Hombre",(+VLOOKUP(INT(D803)+1,Tablas!$G$9:$K$1240,5,0)*(D803-INT(D803))+VLOOKUP(INT(D803),Tablas!$G$9:$K$1240,5,0)*(INT(D803)+1-D803))/(VLOOKUP(INT($C$5)+1,Tablas!$G$9:$K$1240,5,0)*($C$5-INT($C$5))+VLOOKUP(INT($C$5),Tablas!$G$9:$K$124,5,0)*(INT($C$5)+1-$C$5)),(+VLOOKUP(INT(D803)+1,Tablas!$G$9:$O$1240,9,0)*(D803-INT(D803))+VLOOKUP(INT(D803),Tablas!$G$9:$O$1240,9,0)*(INT(D803)+1-D803))/(VLOOKUP(INT($C$5)+1,Tablas!$G$9:$O$1240,9,0)*($C$5-INT($C$5))+VLOOKUP(INT($C$5),Tablas!$G$9:$O$124,9,0)*(INT($C$5)+1-$C$5)))</f>
      </c>
      <c r="G803" s="791">
        <f>IF($C$4="Hombre",(+VLOOKUP(INT(D803)+1,Tablas!$G$9:$K$1240,5,0)*(D803-INT(D803))+VLOOKUP(INT(D803),Tablas!$G$9:$K$1240,5,0)*(INT(D803)+1-D803)),+VLOOKUP(INT(D803)+1,Tablas!$G$9:$O$1240,9,0)*(D803-INT(D803))+VLOOKUP(INT(D803),Tablas!$G$9:$O$1240,9,0)*(INT(D803)+1-D803))</f>
      </c>
      <c r="H803" s="801">
        <f>+IF(MONTH(B803)=1,H802*(1+$C$9),H802)</f>
      </c>
      <c r="I803" s="689">
        <f>IF(B803&lt;$C$10,0,IF(B803&lt;$C$11,$C$8/12*E803*F803*H803,0))</f>
      </c>
      <c r="J803" s="689">
        <f>I803*12/14+IF(OR(MONTH(C803)=6,MONTH(C803)=12),I803*12/14,0)</f>
      </c>
      <c r="K803" s="801">
        <f>G803/$G$15</f>
      </c>
      <c r="L803" s="760"/>
      <c r="M803" s="767"/>
      <c r="N803" s="168"/>
      <c r="O803" s="768"/>
      <c r="P803" s="170"/>
      <c r="Q803" s="7"/>
      <c r="R803" s="766"/>
      <c r="S803" s="170"/>
      <c r="T803" s="168"/>
      <c r="U803" s="170"/>
    </row>
    <row x14ac:dyDescent="0.25" r="804" customHeight="1" ht="18.75">
      <c r="A804" s="1"/>
      <c r="B804" s="799">
        <f>+DATE(YEAR(B803),MONTH(B803)+1,DAY(B803))</f>
        <v>25569.041666666668</v>
      </c>
      <c r="C804" s="799">
        <f>+B805-1</f>
        <v>25569.041666666668</v>
      </c>
      <c r="D804" s="791">
        <f>-_xlfn.DAYS($C$3,C804)/365.25</f>
      </c>
      <c r="E804" s="800">
        <f>IF($D$17+40&lt;=D804,(1+$D$7)^-(D804-$C$5),(1+$C$7)^-(D804-$C$5))</f>
      </c>
      <c r="F804" s="801">
        <f>IF($C$4="Hombre",(+VLOOKUP(INT(D804)+1,Tablas!$G$9:$K$1240,5,0)*(D804-INT(D804))+VLOOKUP(INT(D804),Tablas!$G$9:$K$1240,5,0)*(INT(D804)+1-D804))/(VLOOKUP(INT($C$5)+1,Tablas!$G$9:$K$1240,5,0)*($C$5-INT($C$5))+VLOOKUP(INT($C$5),Tablas!$G$9:$K$124,5,0)*(INT($C$5)+1-$C$5)),(+VLOOKUP(INT(D804)+1,Tablas!$G$9:$O$1240,9,0)*(D804-INT(D804))+VLOOKUP(INT(D804),Tablas!$G$9:$O$1240,9,0)*(INT(D804)+1-D804))/(VLOOKUP(INT($C$5)+1,Tablas!$G$9:$O$1240,9,0)*($C$5-INT($C$5))+VLOOKUP(INT($C$5),Tablas!$G$9:$O$124,9,0)*(INT($C$5)+1-$C$5)))</f>
      </c>
      <c r="G804" s="791">
        <f>IF($C$4="Hombre",(+VLOOKUP(INT(D804)+1,Tablas!$G$9:$K$1240,5,0)*(D804-INT(D804))+VLOOKUP(INT(D804),Tablas!$G$9:$K$1240,5,0)*(INT(D804)+1-D804)),+VLOOKUP(INT(D804)+1,Tablas!$G$9:$O$1240,9,0)*(D804-INT(D804))+VLOOKUP(INT(D804),Tablas!$G$9:$O$1240,9,0)*(INT(D804)+1-D804))</f>
      </c>
      <c r="H804" s="801">
        <f>+IF(MONTH(B804)=1,H803*(1+$C$9),H803)</f>
      </c>
      <c r="I804" s="689">
        <f>IF(B804&lt;$C$10,0,IF(B804&lt;$C$11,$C$8/12*E804*F804*H804,0))</f>
      </c>
      <c r="J804" s="689">
        <f>I804*12/14+IF(OR(MONTH(C804)=6,MONTH(C804)=12),I804*12/14,0)</f>
      </c>
      <c r="K804" s="801">
        <f>G804/$G$15</f>
      </c>
      <c r="L804" s="760"/>
      <c r="M804" s="767"/>
      <c r="N804" s="168"/>
      <c r="O804" s="768"/>
      <c r="P804" s="170"/>
      <c r="Q804" s="7"/>
      <c r="R804" s="766"/>
      <c r="S804" s="170"/>
      <c r="T804" s="168"/>
      <c r="U804" s="170"/>
    </row>
    <row x14ac:dyDescent="0.25" r="805" customHeight="1" ht="18.75">
      <c r="A805" s="1"/>
      <c r="B805" s="799">
        <f>+DATE(YEAR(B804),MONTH(B804)+1,DAY(B804))</f>
        <v>25569.041666666668</v>
      </c>
      <c r="C805" s="799">
        <f>+B806-1</f>
        <v>25569.041666666668</v>
      </c>
      <c r="D805" s="791">
        <f>-_xlfn.DAYS($C$3,C805)/365.25</f>
      </c>
      <c r="E805" s="800">
        <f>IF($D$17+40&lt;=D805,(1+$D$7)^-(D805-$C$5),(1+$C$7)^-(D805-$C$5))</f>
      </c>
      <c r="F805" s="801">
        <f>IF($C$4="Hombre",(+VLOOKUP(INT(D805)+1,Tablas!$G$9:$K$1240,5,0)*(D805-INT(D805))+VLOOKUP(INT(D805),Tablas!$G$9:$K$1240,5,0)*(INT(D805)+1-D805))/(VLOOKUP(INT($C$5)+1,Tablas!$G$9:$K$1240,5,0)*($C$5-INT($C$5))+VLOOKUP(INT($C$5),Tablas!$G$9:$K$124,5,0)*(INT($C$5)+1-$C$5)),(+VLOOKUP(INT(D805)+1,Tablas!$G$9:$O$1240,9,0)*(D805-INT(D805))+VLOOKUP(INT(D805),Tablas!$G$9:$O$1240,9,0)*(INT(D805)+1-D805))/(VLOOKUP(INT($C$5)+1,Tablas!$G$9:$O$1240,9,0)*($C$5-INT($C$5))+VLOOKUP(INT($C$5),Tablas!$G$9:$O$124,9,0)*(INT($C$5)+1-$C$5)))</f>
      </c>
      <c r="G805" s="791">
        <f>IF($C$4="Hombre",(+VLOOKUP(INT(D805)+1,Tablas!$G$9:$K$1240,5,0)*(D805-INT(D805))+VLOOKUP(INT(D805),Tablas!$G$9:$K$1240,5,0)*(INT(D805)+1-D805)),+VLOOKUP(INT(D805)+1,Tablas!$G$9:$O$1240,9,0)*(D805-INT(D805))+VLOOKUP(INT(D805),Tablas!$G$9:$O$1240,9,0)*(INT(D805)+1-D805))</f>
      </c>
      <c r="H805" s="801">
        <f>+IF(MONTH(B805)=1,H804*(1+$C$9),H804)</f>
      </c>
      <c r="I805" s="689">
        <f>IF(B805&lt;$C$10,0,IF(B805&lt;$C$11,$C$8/12*E805*F805*H805,0))</f>
      </c>
      <c r="J805" s="689">
        <f>I805*12/14+IF(OR(MONTH(C805)=6,MONTH(C805)=12),I805*12/14,0)</f>
      </c>
      <c r="K805" s="801">
        <f>G805/$G$15</f>
      </c>
      <c r="L805" s="760"/>
      <c r="M805" s="767"/>
      <c r="N805" s="168"/>
      <c r="O805" s="768"/>
      <c r="P805" s="170"/>
      <c r="Q805" s="7"/>
      <c r="R805" s="766"/>
      <c r="S805" s="170"/>
      <c r="T805" s="168"/>
      <c r="U805" s="170"/>
    </row>
    <row x14ac:dyDescent="0.25" r="806" customHeight="1" ht="18.75">
      <c r="A806" s="1"/>
      <c r="B806" s="799">
        <f>+DATE(YEAR(B805),MONTH(B805)+1,DAY(B805))</f>
        <v>25569.041666666668</v>
      </c>
      <c r="C806" s="799">
        <f>+B807-1</f>
        <v>25569.041666666668</v>
      </c>
      <c r="D806" s="791">
        <f>-_xlfn.DAYS($C$3,C806)/365.25</f>
      </c>
      <c r="E806" s="800">
        <f>IF($D$17+40&lt;=D806,(1+$D$7)^-(D806-$C$5),(1+$C$7)^-(D806-$C$5))</f>
      </c>
      <c r="F806" s="801">
        <f>IF($C$4="Hombre",(+VLOOKUP(INT(D806)+1,Tablas!$G$9:$K$1240,5,0)*(D806-INT(D806))+VLOOKUP(INT(D806),Tablas!$G$9:$K$1240,5,0)*(INT(D806)+1-D806))/(VLOOKUP(INT($C$5)+1,Tablas!$G$9:$K$1240,5,0)*($C$5-INT($C$5))+VLOOKUP(INT($C$5),Tablas!$G$9:$K$124,5,0)*(INT($C$5)+1-$C$5)),(+VLOOKUP(INT(D806)+1,Tablas!$G$9:$O$1240,9,0)*(D806-INT(D806))+VLOOKUP(INT(D806),Tablas!$G$9:$O$1240,9,0)*(INT(D806)+1-D806))/(VLOOKUP(INT($C$5)+1,Tablas!$G$9:$O$1240,9,0)*($C$5-INT($C$5))+VLOOKUP(INT($C$5),Tablas!$G$9:$O$124,9,0)*(INT($C$5)+1-$C$5)))</f>
      </c>
      <c r="G806" s="791">
        <f>IF($C$4="Hombre",(+VLOOKUP(INT(D806)+1,Tablas!$G$9:$K$1240,5,0)*(D806-INT(D806))+VLOOKUP(INT(D806),Tablas!$G$9:$K$1240,5,0)*(INT(D806)+1-D806)),+VLOOKUP(INT(D806)+1,Tablas!$G$9:$O$1240,9,0)*(D806-INT(D806))+VLOOKUP(INT(D806),Tablas!$G$9:$O$1240,9,0)*(INT(D806)+1-D806))</f>
      </c>
      <c r="H806" s="801">
        <f>+IF(MONTH(B806)=1,H805*(1+$C$9),H805)</f>
      </c>
      <c r="I806" s="689">
        <f>IF(B806&lt;$C$10,0,IF(B806&lt;$C$11,$C$8/12*E806*F806*H806,0))</f>
      </c>
      <c r="J806" s="689">
        <f>I806*12/14+IF(OR(MONTH(C806)=6,MONTH(C806)=12),I806*12/14,0)</f>
      </c>
      <c r="K806" s="801">
        <f>G806/$G$15</f>
      </c>
      <c r="L806" s="760"/>
      <c r="M806" s="767"/>
      <c r="N806" s="168"/>
      <c r="O806" s="768"/>
      <c r="P806" s="170"/>
      <c r="Q806" s="7"/>
      <c r="R806" s="766"/>
      <c r="S806" s="170"/>
      <c r="T806" s="168"/>
      <c r="U806" s="170"/>
    </row>
    <row x14ac:dyDescent="0.25" r="807" customHeight="1" ht="18.75">
      <c r="A807" s="1"/>
      <c r="B807" s="799">
        <f>+DATE(YEAR(B806),MONTH(B806)+1,DAY(B806))</f>
        <v>25569.041666666668</v>
      </c>
      <c r="C807" s="799">
        <f>+B808-1</f>
        <v>25569.041666666668</v>
      </c>
      <c r="D807" s="791">
        <f>-_xlfn.DAYS($C$3,C807)/365.25</f>
      </c>
      <c r="E807" s="800">
        <f>IF($D$17+40&lt;=D807,(1+$D$7)^-(D807-$C$5),(1+$C$7)^-(D807-$C$5))</f>
      </c>
      <c r="F807" s="801">
        <f>IF($C$4="Hombre",(+VLOOKUP(INT(D807)+1,Tablas!$G$9:$K$1240,5,0)*(D807-INT(D807))+VLOOKUP(INT(D807),Tablas!$G$9:$K$1240,5,0)*(INT(D807)+1-D807))/(VLOOKUP(INT($C$5)+1,Tablas!$G$9:$K$1240,5,0)*($C$5-INT($C$5))+VLOOKUP(INT($C$5),Tablas!$G$9:$K$124,5,0)*(INT($C$5)+1-$C$5)),(+VLOOKUP(INT(D807)+1,Tablas!$G$9:$O$1240,9,0)*(D807-INT(D807))+VLOOKUP(INT(D807),Tablas!$G$9:$O$1240,9,0)*(INT(D807)+1-D807))/(VLOOKUP(INT($C$5)+1,Tablas!$G$9:$O$1240,9,0)*($C$5-INT($C$5))+VLOOKUP(INT($C$5),Tablas!$G$9:$O$124,9,0)*(INT($C$5)+1-$C$5)))</f>
      </c>
      <c r="G807" s="791">
        <f>IF($C$4="Hombre",(+VLOOKUP(INT(D807)+1,Tablas!$G$9:$K$1240,5,0)*(D807-INT(D807))+VLOOKUP(INT(D807),Tablas!$G$9:$K$1240,5,0)*(INT(D807)+1-D807)),+VLOOKUP(INT(D807)+1,Tablas!$G$9:$O$1240,9,0)*(D807-INT(D807))+VLOOKUP(INT(D807),Tablas!$G$9:$O$1240,9,0)*(INT(D807)+1-D807))</f>
      </c>
      <c r="H807" s="801">
        <f>+IF(MONTH(B807)=1,H806*(1+$C$9),H806)</f>
      </c>
      <c r="I807" s="689">
        <f>IF(B807&lt;$C$10,0,IF(B807&lt;$C$11,$C$8/12*E807*F807*H807,0))</f>
      </c>
      <c r="J807" s="689">
        <f>I807*12/14+IF(OR(MONTH(C807)=6,MONTH(C807)=12),I807*12/14,0)</f>
      </c>
      <c r="K807" s="801">
        <f>G807/$G$15</f>
      </c>
      <c r="L807" s="760"/>
      <c r="M807" s="767"/>
      <c r="N807" s="168"/>
      <c r="O807" s="768"/>
      <c r="P807" s="170"/>
      <c r="Q807" s="7"/>
      <c r="R807" s="766"/>
      <c r="S807" s="170"/>
      <c r="T807" s="168"/>
      <c r="U807" s="170"/>
    </row>
    <row x14ac:dyDescent="0.25" r="808" customHeight="1" ht="18.75">
      <c r="A808" s="1"/>
      <c r="B808" s="799">
        <f>+DATE(YEAR(B807),MONTH(B807)+1,DAY(B807))</f>
        <v>25569.041666666668</v>
      </c>
      <c r="C808" s="799">
        <f>+B809-1</f>
        <v>25569.041666666668</v>
      </c>
      <c r="D808" s="791">
        <f>-_xlfn.DAYS($C$3,C808)/365.25</f>
      </c>
      <c r="E808" s="800">
        <f>IF($D$17+40&lt;=D808,(1+$D$7)^-(D808-$C$5),(1+$C$7)^-(D808-$C$5))</f>
      </c>
      <c r="F808" s="801">
        <f>IF($C$4="Hombre",(+VLOOKUP(INT(D808)+1,Tablas!$G$9:$K$1240,5,0)*(D808-INT(D808))+VLOOKUP(INT(D808),Tablas!$G$9:$K$1240,5,0)*(INT(D808)+1-D808))/(VLOOKUP(INT($C$5)+1,Tablas!$G$9:$K$1240,5,0)*($C$5-INT($C$5))+VLOOKUP(INT($C$5),Tablas!$G$9:$K$124,5,0)*(INT($C$5)+1-$C$5)),(+VLOOKUP(INT(D808)+1,Tablas!$G$9:$O$1240,9,0)*(D808-INT(D808))+VLOOKUP(INT(D808),Tablas!$G$9:$O$1240,9,0)*(INT(D808)+1-D808))/(VLOOKUP(INT($C$5)+1,Tablas!$G$9:$O$1240,9,0)*($C$5-INT($C$5))+VLOOKUP(INT($C$5),Tablas!$G$9:$O$124,9,0)*(INT($C$5)+1-$C$5)))</f>
      </c>
      <c r="G808" s="791">
        <f>IF($C$4="Hombre",(+VLOOKUP(INT(D808)+1,Tablas!$G$9:$K$1240,5,0)*(D808-INT(D808))+VLOOKUP(INT(D808),Tablas!$G$9:$K$1240,5,0)*(INT(D808)+1-D808)),+VLOOKUP(INT(D808)+1,Tablas!$G$9:$O$1240,9,0)*(D808-INT(D808))+VLOOKUP(INT(D808),Tablas!$G$9:$O$1240,9,0)*(INT(D808)+1-D808))</f>
      </c>
      <c r="H808" s="801">
        <f>+IF(MONTH(B808)=1,H807*(1+$C$9),H807)</f>
      </c>
      <c r="I808" s="689">
        <f>IF(B808&lt;$C$10,0,IF(B808&lt;$C$11,$C$8/12*E808*F808*H808,0))</f>
      </c>
      <c r="J808" s="689">
        <f>I808*12/14+IF(OR(MONTH(C808)=6,MONTH(C808)=12),I808*12/14,0)</f>
      </c>
      <c r="K808" s="801">
        <f>G808/$G$15</f>
      </c>
      <c r="L808" s="760"/>
      <c r="M808" s="767"/>
      <c r="N808" s="168"/>
      <c r="O808" s="768"/>
      <c r="P808" s="170"/>
      <c r="Q808" s="7"/>
      <c r="R808" s="766"/>
      <c r="S808" s="170"/>
      <c r="T808" s="168"/>
      <c r="U808" s="170"/>
    </row>
    <row x14ac:dyDescent="0.25" r="809" customHeight="1" ht="18.75">
      <c r="A809" s="1"/>
      <c r="B809" s="799">
        <f>+DATE(YEAR(B808),MONTH(B808)+1,DAY(B808))</f>
        <v>25569.041666666668</v>
      </c>
      <c r="C809" s="799">
        <f>+B810-1</f>
        <v>25569.041666666668</v>
      </c>
      <c r="D809" s="791">
        <f>-_xlfn.DAYS($C$3,C809)/365.25</f>
      </c>
      <c r="E809" s="800">
        <f>IF($D$17+40&lt;=D809,(1+$D$7)^-(D809-$C$5),(1+$C$7)^-(D809-$C$5))</f>
      </c>
      <c r="F809" s="801">
        <f>IF($C$4="Hombre",(+VLOOKUP(INT(D809)+1,Tablas!$G$9:$K$1240,5,0)*(D809-INT(D809))+VLOOKUP(INT(D809),Tablas!$G$9:$K$1240,5,0)*(INT(D809)+1-D809))/(VLOOKUP(INT($C$5)+1,Tablas!$G$9:$K$1240,5,0)*($C$5-INT($C$5))+VLOOKUP(INT($C$5),Tablas!$G$9:$K$124,5,0)*(INT($C$5)+1-$C$5)),(+VLOOKUP(INT(D809)+1,Tablas!$G$9:$O$1240,9,0)*(D809-INT(D809))+VLOOKUP(INT(D809),Tablas!$G$9:$O$1240,9,0)*(INT(D809)+1-D809))/(VLOOKUP(INT($C$5)+1,Tablas!$G$9:$O$1240,9,0)*($C$5-INT($C$5))+VLOOKUP(INT($C$5),Tablas!$G$9:$O$124,9,0)*(INT($C$5)+1-$C$5)))</f>
      </c>
      <c r="G809" s="791">
        <f>IF($C$4="Hombre",(+VLOOKUP(INT(D809)+1,Tablas!$G$9:$K$1240,5,0)*(D809-INT(D809))+VLOOKUP(INT(D809),Tablas!$G$9:$K$1240,5,0)*(INT(D809)+1-D809)),+VLOOKUP(INT(D809)+1,Tablas!$G$9:$O$1240,9,0)*(D809-INT(D809))+VLOOKUP(INT(D809),Tablas!$G$9:$O$1240,9,0)*(INT(D809)+1-D809))</f>
      </c>
      <c r="H809" s="801">
        <f>+IF(MONTH(B809)=1,H808*(1+$C$9),H808)</f>
      </c>
      <c r="I809" s="689">
        <f>IF(B809&lt;$C$10,0,IF(B809&lt;$C$11,$C$8/12*E809*F809*H809,0))</f>
      </c>
      <c r="J809" s="689">
        <f>I809*12/14+IF(OR(MONTH(C809)=6,MONTH(C809)=12),I809*12/14,0)</f>
      </c>
      <c r="K809" s="801">
        <f>G809/$G$15</f>
      </c>
      <c r="L809" s="760"/>
      <c r="M809" s="767"/>
      <c r="N809" s="168"/>
      <c r="O809" s="768"/>
      <c r="P809" s="170"/>
      <c r="Q809" s="7"/>
      <c r="R809" s="766"/>
      <c r="S809" s="170"/>
      <c r="T809" s="168"/>
      <c r="U809" s="170"/>
    </row>
    <row x14ac:dyDescent="0.25" r="810" customHeight="1" ht="18.75">
      <c r="A810" s="1"/>
      <c r="B810" s="799">
        <f>+DATE(YEAR(B809),MONTH(B809)+1,DAY(B809))</f>
        <v>25569.041666666668</v>
      </c>
      <c r="C810" s="799">
        <f>+B811-1</f>
        <v>25569.041666666668</v>
      </c>
      <c r="D810" s="791">
        <f>-_xlfn.DAYS($C$3,C810)/365.25</f>
      </c>
      <c r="E810" s="800">
        <f>IF($D$17+40&lt;=D810,(1+$D$7)^-(D810-$C$5),(1+$C$7)^-(D810-$C$5))</f>
      </c>
      <c r="F810" s="801">
        <f>IF($C$4="Hombre",(+VLOOKUP(INT(D810)+1,Tablas!$G$9:$K$1240,5,0)*(D810-INT(D810))+VLOOKUP(INT(D810),Tablas!$G$9:$K$1240,5,0)*(INT(D810)+1-D810))/(VLOOKUP(INT($C$5)+1,Tablas!$G$9:$K$1240,5,0)*($C$5-INT($C$5))+VLOOKUP(INT($C$5),Tablas!$G$9:$K$124,5,0)*(INT($C$5)+1-$C$5)),(+VLOOKUP(INT(D810)+1,Tablas!$G$9:$O$1240,9,0)*(D810-INT(D810))+VLOOKUP(INT(D810),Tablas!$G$9:$O$1240,9,0)*(INT(D810)+1-D810))/(VLOOKUP(INT($C$5)+1,Tablas!$G$9:$O$1240,9,0)*($C$5-INT($C$5))+VLOOKUP(INT($C$5),Tablas!$G$9:$O$124,9,0)*(INT($C$5)+1-$C$5)))</f>
      </c>
      <c r="G810" s="791">
        <f>IF($C$4="Hombre",(+VLOOKUP(INT(D810)+1,Tablas!$G$9:$K$1240,5,0)*(D810-INT(D810))+VLOOKUP(INT(D810),Tablas!$G$9:$K$1240,5,0)*(INT(D810)+1-D810)),+VLOOKUP(INT(D810)+1,Tablas!$G$9:$O$1240,9,0)*(D810-INT(D810))+VLOOKUP(INT(D810),Tablas!$G$9:$O$1240,9,0)*(INT(D810)+1-D810))</f>
      </c>
      <c r="H810" s="801">
        <f>+IF(MONTH(B810)=1,H809*(1+$C$9),H809)</f>
      </c>
      <c r="I810" s="689">
        <f>IF(B810&lt;$C$10,0,IF(B810&lt;$C$11,$C$8/12*E810*F810*H810,0))</f>
      </c>
      <c r="J810" s="689">
        <f>I810*12/14+IF(OR(MONTH(C810)=6,MONTH(C810)=12),I810*12/14,0)</f>
      </c>
      <c r="K810" s="801">
        <f>G810/$G$15</f>
      </c>
      <c r="L810" s="760"/>
      <c r="M810" s="767"/>
      <c r="N810" s="168"/>
      <c r="O810" s="768"/>
      <c r="P810" s="170"/>
      <c r="Q810" s="7"/>
      <c r="R810" s="766"/>
      <c r="S810" s="170"/>
      <c r="T810" s="168"/>
      <c r="U810" s="170"/>
    </row>
    <row x14ac:dyDescent="0.25" r="811" customHeight="1" ht="18.75">
      <c r="A811" s="1"/>
      <c r="B811" s="799">
        <f>+DATE(YEAR(B810),MONTH(B810)+1,DAY(B810))</f>
        <v>25569.041666666668</v>
      </c>
      <c r="C811" s="799">
        <f>+B812-1</f>
        <v>25569.041666666668</v>
      </c>
      <c r="D811" s="791">
        <f>-_xlfn.DAYS($C$3,C811)/365.25</f>
      </c>
      <c r="E811" s="800">
        <f>IF($D$17+40&lt;=D811,(1+$D$7)^-(D811-$C$5),(1+$C$7)^-(D811-$C$5))</f>
      </c>
      <c r="F811" s="801">
        <f>IF($C$4="Hombre",(+VLOOKUP(INT(D811)+1,Tablas!$G$9:$K$1240,5,0)*(D811-INT(D811))+VLOOKUP(INT(D811),Tablas!$G$9:$K$1240,5,0)*(INT(D811)+1-D811))/(VLOOKUP(INT($C$5)+1,Tablas!$G$9:$K$1240,5,0)*($C$5-INT($C$5))+VLOOKUP(INT($C$5),Tablas!$G$9:$K$124,5,0)*(INT($C$5)+1-$C$5)),(+VLOOKUP(INT(D811)+1,Tablas!$G$9:$O$1240,9,0)*(D811-INT(D811))+VLOOKUP(INT(D811),Tablas!$G$9:$O$1240,9,0)*(INT(D811)+1-D811))/(VLOOKUP(INT($C$5)+1,Tablas!$G$9:$O$1240,9,0)*($C$5-INT($C$5))+VLOOKUP(INT($C$5),Tablas!$G$9:$O$124,9,0)*(INT($C$5)+1-$C$5)))</f>
      </c>
      <c r="G811" s="791">
        <f>IF($C$4="Hombre",(+VLOOKUP(INT(D811)+1,Tablas!$G$9:$K$1240,5,0)*(D811-INT(D811))+VLOOKUP(INT(D811),Tablas!$G$9:$K$1240,5,0)*(INT(D811)+1-D811)),+VLOOKUP(INT(D811)+1,Tablas!$G$9:$O$1240,9,0)*(D811-INT(D811))+VLOOKUP(INT(D811),Tablas!$G$9:$O$1240,9,0)*(INT(D811)+1-D811))</f>
      </c>
      <c r="H811" s="801">
        <f>+IF(MONTH(B811)=1,H810*(1+$C$9),H810)</f>
      </c>
      <c r="I811" s="689">
        <f>IF(B811&lt;$C$10,0,IF(B811&lt;$C$11,$C$8/12*E811*F811*H811,0))</f>
      </c>
      <c r="J811" s="689">
        <f>I811*12/14+IF(OR(MONTH(C811)=6,MONTH(C811)=12),I811*12/14,0)</f>
      </c>
      <c r="K811" s="801">
        <f>G811/$G$15</f>
      </c>
      <c r="L811" s="760"/>
      <c r="M811" s="767"/>
      <c r="N811" s="168"/>
      <c r="O811" s="768"/>
      <c r="P811" s="170"/>
      <c r="Q811" s="7"/>
      <c r="R811" s="766"/>
      <c r="S811" s="170"/>
      <c r="T811" s="168"/>
      <c r="U811" s="170"/>
    </row>
    <row x14ac:dyDescent="0.25" r="812" customHeight="1" ht="18.75">
      <c r="A812" s="1"/>
      <c r="B812" s="799">
        <f>+DATE(YEAR(B811),MONTH(B811)+1,DAY(B811))</f>
        <v>25569.041666666668</v>
      </c>
      <c r="C812" s="799">
        <f>+B813-1</f>
        <v>25569.041666666668</v>
      </c>
      <c r="D812" s="791">
        <f>-_xlfn.DAYS($C$3,C812)/365.25</f>
      </c>
      <c r="E812" s="800">
        <f>IF($D$17+40&lt;=D812,(1+$D$7)^-(D812-$C$5),(1+$C$7)^-(D812-$C$5))</f>
      </c>
      <c r="F812" s="801">
        <f>IF($C$4="Hombre",(+VLOOKUP(INT(D812)+1,Tablas!$G$9:$K$1240,5,0)*(D812-INT(D812))+VLOOKUP(INT(D812),Tablas!$G$9:$K$1240,5,0)*(INT(D812)+1-D812))/(VLOOKUP(INT($C$5)+1,Tablas!$G$9:$K$1240,5,0)*($C$5-INT($C$5))+VLOOKUP(INT($C$5),Tablas!$G$9:$K$124,5,0)*(INT($C$5)+1-$C$5)),(+VLOOKUP(INT(D812)+1,Tablas!$G$9:$O$1240,9,0)*(D812-INT(D812))+VLOOKUP(INT(D812),Tablas!$G$9:$O$1240,9,0)*(INT(D812)+1-D812))/(VLOOKUP(INT($C$5)+1,Tablas!$G$9:$O$1240,9,0)*($C$5-INT($C$5))+VLOOKUP(INT($C$5),Tablas!$G$9:$O$124,9,0)*(INT($C$5)+1-$C$5)))</f>
      </c>
      <c r="G812" s="791">
        <f>IF($C$4="Hombre",(+VLOOKUP(INT(D812)+1,Tablas!$G$9:$K$1240,5,0)*(D812-INT(D812))+VLOOKUP(INT(D812),Tablas!$G$9:$K$1240,5,0)*(INT(D812)+1-D812)),+VLOOKUP(INT(D812)+1,Tablas!$G$9:$O$1240,9,0)*(D812-INT(D812))+VLOOKUP(INT(D812),Tablas!$G$9:$O$1240,9,0)*(INT(D812)+1-D812))</f>
      </c>
      <c r="H812" s="801">
        <f>+IF(MONTH(B812)=1,H811*(1+$C$9),H811)</f>
      </c>
      <c r="I812" s="689">
        <f>IF(B812&lt;$C$10,0,IF(B812&lt;$C$11,$C$8/12*E812*F812*H812,0))</f>
      </c>
      <c r="J812" s="689">
        <f>I812*12/14+IF(OR(MONTH(C812)=6,MONTH(C812)=12),I812*12/14,0)</f>
      </c>
      <c r="K812" s="801">
        <f>G812/$G$15</f>
      </c>
      <c r="L812" s="760"/>
      <c r="M812" s="767"/>
      <c r="N812" s="168"/>
      <c r="O812" s="768"/>
      <c r="P812" s="170"/>
      <c r="Q812" s="7"/>
      <c r="R812" s="766"/>
      <c r="S812" s="170"/>
      <c r="T812" s="168"/>
      <c r="U812" s="170"/>
    </row>
    <row x14ac:dyDescent="0.25" r="813" customHeight="1" ht="18.75">
      <c r="A813" s="1"/>
      <c r="B813" s="799">
        <f>+DATE(YEAR(B812),MONTH(B812)+1,DAY(B812))</f>
        <v>25569.041666666668</v>
      </c>
      <c r="C813" s="799">
        <f>+B814-1</f>
        <v>25569.041666666668</v>
      </c>
      <c r="D813" s="791">
        <f>-_xlfn.DAYS($C$3,C813)/365.25</f>
      </c>
      <c r="E813" s="800">
        <f>IF($D$17+40&lt;=D813,(1+$D$7)^-(D813-$C$5),(1+$C$7)^-(D813-$C$5))</f>
      </c>
      <c r="F813" s="801">
        <f>IF($C$4="Hombre",(+VLOOKUP(INT(D813)+1,Tablas!$G$9:$K$1240,5,0)*(D813-INT(D813))+VLOOKUP(INT(D813),Tablas!$G$9:$K$1240,5,0)*(INT(D813)+1-D813))/(VLOOKUP(INT($C$5)+1,Tablas!$G$9:$K$1240,5,0)*($C$5-INT($C$5))+VLOOKUP(INT($C$5),Tablas!$G$9:$K$124,5,0)*(INT($C$5)+1-$C$5)),(+VLOOKUP(INT(D813)+1,Tablas!$G$9:$O$1240,9,0)*(D813-INT(D813))+VLOOKUP(INT(D813),Tablas!$G$9:$O$1240,9,0)*(INT(D813)+1-D813))/(VLOOKUP(INT($C$5)+1,Tablas!$G$9:$O$1240,9,0)*($C$5-INT($C$5))+VLOOKUP(INT($C$5),Tablas!$G$9:$O$124,9,0)*(INT($C$5)+1-$C$5)))</f>
      </c>
      <c r="G813" s="791">
        <f>IF($C$4="Hombre",(+VLOOKUP(INT(D813)+1,Tablas!$G$9:$K$1240,5,0)*(D813-INT(D813))+VLOOKUP(INT(D813),Tablas!$G$9:$K$1240,5,0)*(INT(D813)+1-D813)),+VLOOKUP(INT(D813)+1,Tablas!$G$9:$O$1240,9,0)*(D813-INT(D813))+VLOOKUP(INT(D813),Tablas!$G$9:$O$1240,9,0)*(INT(D813)+1-D813))</f>
      </c>
      <c r="H813" s="801">
        <f>+IF(MONTH(B813)=1,H812*(1+$C$9),H812)</f>
      </c>
      <c r="I813" s="689">
        <f>IF(B813&lt;$C$10,0,IF(B813&lt;$C$11,$C$8/12*E813*F813*H813,0))</f>
      </c>
      <c r="J813" s="689">
        <f>I813*12/14+IF(OR(MONTH(C813)=6,MONTH(C813)=12),I813*12/14,0)</f>
      </c>
      <c r="K813" s="801">
        <f>G813/$G$15</f>
      </c>
      <c r="L813" s="760"/>
      <c r="M813" s="767"/>
      <c r="N813" s="168"/>
      <c r="O813" s="768"/>
      <c r="P813" s="170"/>
      <c r="Q813" s="7"/>
      <c r="R813" s="766"/>
      <c r="S813" s="170"/>
      <c r="T813" s="168"/>
      <c r="U813" s="170"/>
    </row>
    <row x14ac:dyDescent="0.25" r="814" customHeight="1" ht="18.75">
      <c r="A814" s="1"/>
      <c r="B814" s="799">
        <f>+DATE(YEAR(B813),MONTH(B813)+1,DAY(B813))</f>
        <v>25569.041666666668</v>
      </c>
      <c r="C814" s="799">
        <f>+B815-1</f>
        <v>25569.041666666668</v>
      </c>
      <c r="D814" s="791">
        <f>-_xlfn.DAYS($C$3,C814)/365.25</f>
      </c>
      <c r="E814" s="800">
        <f>IF($D$17+40&lt;=D814,(1+$D$7)^-(D814-$C$5),(1+$C$7)^-(D814-$C$5))</f>
      </c>
      <c r="F814" s="801">
        <f>IF($C$4="Hombre",(+VLOOKUP(INT(D814)+1,Tablas!$G$9:$K$1240,5,0)*(D814-INT(D814))+VLOOKUP(INT(D814),Tablas!$G$9:$K$1240,5,0)*(INT(D814)+1-D814))/(VLOOKUP(INT($C$5)+1,Tablas!$G$9:$K$1240,5,0)*($C$5-INT($C$5))+VLOOKUP(INT($C$5),Tablas!$G$9:$K$124,5,0)*(INT($C$5)+1-$C$5)),(+VLOOKUP(INT(D814)+1,Tablas!$G$9:$O$1240,9,0)*(D814-INT(D814))+VLOOKUP(INT(D814),Tablas!$G$9:$O$1240,9,0)*(INT(D814)+1-D814))/(VLOOKUP(INT($C$5)+1,Tablas!$G$9:$O$1240,9,0)*($C$5-INT($C$5))+VLOOKUP(INT($C$5),Tablas!$G$9:$O$124,9,0)*(INT($C$5)+1-$C$5)))</f>
      </c>
      <c r="G814" s="791">
        <f>IF($C$4="Hombre",(+VLOOKUP(INT(D814)+1,Tablas!$G$9:$K$1240,5,0)*(D814-INT(D814))+VLOOKUP(INT(D814),Tablas!$G$9:$K$1240,5,0)*(INT(D814)+1-D814)),+VLOOKUP(INT(D814)+1,Tablas!$G$9:$O$1240,9,0)*(D814-INT(D814))+VLOOKUP(INT(D814),Tablas!$G$9:$O$1240,9,0)*(INT(D814)+1-D814))</f>
      </c>
      <c r="H814" s="801">
        <f>+IF(MONTH(B814)=1,H813*(1+$C$9),H813)</f>
      </c>
      <c r="I814" s="689">
        <f>IF(B814&lt;$C$10,0,IF(B814&lt;$C$11,$C$8/12*E814*F814*H814,0))</f>
      </c>
      <c r="J814" s="689">
        <f>I814*12/14+IF(OR(MONTH(C814)=6,MONTH(C814)=12),I814*12/14,0)</f>
      </c>
      <c r="K814" s="801">
        <f>G814/$G$15</f>
      </c>
      <c r="L814" s="760"/>
      <c r="M814" s="767"/>
      <c r="N814" s="168"/>
      <c r="O814" s="768"/>
      <c r="P814" s="170"/>
      <c r="Q814" s="7"/>
      <c r="R814" s="766"/>
      <c r="S814" s="170"/>
      <c r="T814" s="168"/>
      <c r="U814" s="170"/>
    </row>
    <row x14ac:dyDescent="0.25" r="815" customHeight="1" ht="18.75">
      <c r="A815" s="1"/>
      <c r="B815" s="799">
        <f>+DATE(YEAR(B814),MONTH(B814)+1,DAY(B814))</f>
        <v>25569.041666666668</v>
      </c>
      <c r="C815" s="799">
        <f>+B816-1</f>
        <v>25569.041666666668</v>
      </c>
      <c r="D815" s="791">
        <f>-_xlfn.DAYS($C$3,C815)/365.25</f>
      </c>
      <c r="E815" s="800">
        <f>IF($D$17+40&lt;=D815,(1+$D$7)^-(D815-$C$5),(1+$C$7)^-(D815-$C$5))</f>
      </c>
      <c r="F815" s="801">
        <f>IF($C$4="Hombre",(+VLOOKUP(INT(D815)+1,Tablas!$G$9:$K$1240,5,0)*(D815-INT(D815))+VLOOKUP(INT(D815),Tablas!$G$9:$K$1240,5,0)*(INT(D815)+1-D815))/(VLOOKUP(INT($C$5)+1,Tablas!$G$9:$K$1240,5,0)*($C$5-INT($C$5))+VLOOKUP(INT($C$5),Tablas!$G$9:$K$124,5,0)*(INT($C$5)+1-$C$5)),(+VLOOKUP(INT(D815)+1,Tablas!$G$9:$O$1240,9,0)*(D815-INT(D815))+VLOOKUP(INT(D815),Tablas!$G$9:$O$1240,9,0)*(INT(D815)+1-D815))/(VLOOKUP(INT($C$5)+1,Tablas!$G$9:$O$1240,9,0)*($C$5-INT($C$5))+VLOOKUP(INT($C$5),Tablas!$G$9:$O$124,9,0)*(INT($C$5)+1-$C$5)))</f>
      </c>
      <c r="G815" s="791">
        <f>IF($C$4="Hombre",(+VLOOKUP(INT(D815)+1,Tablas!$G$9:$K$1240,5,0)*(D815-INT(D815))+VLOOKUP(INT(D815),Tablas!$G$9:$K$1240,5,0)*(INT(D815)+1-D815)),+VLOOKUP(INT(D815)+1,Tablas!$G$9:$O$1240,9,0)*(D815-INT(D815))+VLOOKUP(INT(D815),Tablas!$G$9:$O$1240,9,0)*(INT(D815)+1-D815))</f>
      </c>
      <c r="H815" s="801">
        <f>+IF(MONTH(B815)=1,H814*(1+$C$9),H814)</f>
      </c>
      <c r="I815" s="689">
        <f>IF(B815&lt;$C$10,0,IF(B815&lt;$C$11,$C$8/12*E815*F815*H815,0))</f>
      </c>
      <c r="J815" s="689">
        <f>I815*12/14+IF(OR(MONTH(C815)=6,MONTH(C815)=12),I815*12/14,0)</f>
      </c>
      <c r="K815" s="801">
        <f>G815/$G$15</f>
      </c>
      <c r="L815" s="760"/>
      <c r="M815" s="767"/>
      <c r="N815" s="168"/>
      <c r="O815" s="768"/>
      <c r="P815" s="170"/>
      <c r="Q815" s="7"/>
      <c r="R815" s="766"/>
      <c r="S815" s="170"/>
      <c r="T815" s="168"/>
      <c r="U815" s="170"/>
    </row>
    <row x14ac:dyDescent="0.25" r="816" customHeight="1" ht="18.75">
      <c r="A816" s="1"/>
      <c r="B816" s="799">
        <f>+DATE(YEAR(B815),MONTH(B815)+1,DAY(B815))</f>
        <v>25569.041666666668</v>
      </c>
      <c r="C816" s="799">
        <f>+B817-1</f>
        <v>25569.041666666668</v>
      </c>
      <c r="D816" s="791">
        <f>-_xlfn.DAYS($C$3,C816)/365.25</f>
      </c>
      <c r="E816" s="800">
        <f>IF($D$17+40&lt;=D816,(1+$D$7)^-(D816-$C$5),(1+$C$7)^-(D816-$C$5))</f>
      </c>
      <c r="F816" s="801">
        <f>IF($C$4="Hombre",(+VLOOKUP(INT(D816)+1,Tablas!$G$9:$K$1240,5,0)*(D816-INT(D816))+VLOOKUP(INT(D816),Tablas!$G$9:$K$1240,5,0)*(INT(D816)+1-D816))/(VLOOKUP(INT($C$5)+1,Tablas!$G$9:$K$1240,5,0)*($C$5-INT($C$5))+VLOOKUP(INT($C$5),Tablas!$G$9:$K$124,5,0)*(INT($C$5)+1-$C$5)),(+VLOOKUP(INT(D816)+1,Tablas!$G$9:$O$1240,9,0)*(D816-INT(D816))+VLOOKUP(INT(D816),Tablas!$G$9:$O$1240,9,0)*(INT(D816)+1-D816))/(VLOOKUP(INT($C$5)+1,Tablas!$G$9:$O$1240,9,0)*($C$5-INT($C$5))+VLOOKUP(INT($C$5),Tablas!$G$9:$O$124,9,0)*(INT($C$5)+1-$C$5)))</f>
      </c>
      <c r="G816" s="791">
        <f>IF($C$4="Hombre",(+VLOOKUP(INT(D816)+1,Tablas!$G$9:$K$1240,5,0)*(D816-INT(D816))+VLOOKUP(INT(D816),Tablas!$G$9:$K$1240,5,0)*(INT(D816)+1-D816)),+VLOOKUP(INT(D816)+1,Tablas!$G$9:$O$1240,9,0)*(D816-INT(D816))+VLOOKUP(INT(D816),Tablas!$G$9:$O$1240,9,0)*(INT(D816)+1-D816))</f>
      </c>
      <c r="H816" s="801">
        <f>+IF(MONTH(B816)=1,H815*(1+$C$9),H815)</f>
      </c>
      <c r="I816" s="689">
        <f>IF(B816&lt;$C$10,0,IF(B816&lt;$C$11,$C$8/12*E816*F816*H816,0))</f>
      </c>
      <c r="J816" s="689">
        <f>I816*12/14+IF(OR(MONTH(C816)=6,MONTH(C816)=12),I816*12/14,0)</f>
      </c>
      <c r="K816" s="801">
        <f>G816/$G$15</f>
      </c>
      <c r="L816" s="760"/>
      <c r="M816" s="767"/>
      <c r="N816" s="168"/>
      <c r="O816" s="768"/>
      <c r="P816" s="170"/>
      <c r="Q816" s="7"/>
      <c r="R816" s="766"/>
      <c r="S816" s="170"/>
      <c r="T816" s="168"/>
      <c r="U816" s="170"/>
    </row>
    <row x14ac:dyDescent="0.25" r="817" customHeight="1" ht="18.75">
      <c r="A817" s="1"/>
      <c r="B817" s="799">
        <f>+DATE(YEAR(B816),MONTH(B816)+1,DAY(B816))</f>
        <v>25569.041666666668</v>
      </c>
      <c r="C817" s="799">
        <f>+B818-1</f>
        <v>25569.041666666668</v>
      </c>
      <c r="D817" s="791">
        <f>-_xlfn.DAYS($C$3,C817)/365.25</f>
      </c>
      <c r="E817" s="800">
        <f>IF($D$17+40&lt;=D817,(1+$D$7)^-(D817-$C$5),(1+$C$7)^-(D817-$C$5))</f>
      </c>
      <c r="F817" s="801">
        <f>IF($C$4="Hombre",(+VLOOKUP(INT(D817)+1,Tablas!$G$9:$K$1240,5,0)*(D817-INT(D817))+VLOOKUP(INT(D817),Tablas!$G$9:$K$1240,5,0)*(INT(D817)+1-D817))/(VLOOKUP(INT($C$5)+1,Tablas!$G$9:$K$1240,5,0)*($C$5-INT($C$5))+VLOOKUP(INT($C$5),Tablas!$G$9:$K$124,5,0)*(INT($C$5)+1-$C$5)),(+VLOOKUP(INT(D817)+1,Tablas!$G$9:$O$1240,9,0)*(D817-INT(D817))+VLOOKUP(INT(D817),Tablas!$G$9:$O$1240,9,0)*(INT(D817)+1-D817))/(VLOOKUP(INT($C$5)+1,Tablas!$G$9:$O$1240,9,0)*($C$5-INT($C$5))+VLOOKUP(INT($C$5),Tablas!$G$9:$O$124,9,0)*(INT($C$5)+1-$C$5)))</f>
      </c>
      <c r="G817" s="791">
        <f>IF($C$4="Hombre",(+VLOOKUP(INT(D817)+1,Tablas!$G$9:$K$1240,5,0)*(D817-INT(D817))+VLOOKUP(INT(D817),Tablas!$G$9:$K$1240,5,0)*(INT(D817)+1-D817)),+VLOOKUP(INT(D817)+1,Tablas!$G$9:$O$1240,9,0)*(D817-INT(D817))+VLOOKUP(INT(D817),Tablas!$G$9:$O$1240,9,0)*(INT(D817)+1-D817))</f>
      </c>
      <c r="H817" s="801">
        <f>+IF(MONTH(B817)=1,H816*(1+$C$9),H816)</f>
      </c>
      <c r="I817" s="689">
        <f>IF(B817&lt;$C$10,0,IF(B817&lt;$C$11,$C$8/12*E817*F817*H817,0))</f>
      </c>
      <c r="J817" s="689">
        <f>I817*12/14+IF(OR(MONTH(C817)=6,MONTH(C817)=12),I817*12/14,0)</f>
      </c>
      <c r="K817" s="801">
        <f>G817/$G$15</f>
      </c>
      <c r="L817" s="760"/>
      <c r="M817" s="767"/>
      <c r="N817" s="168"/>
      <c r="O817" s="768"/>
      <c r="P817" s="170"/>
      <c r="Q817" s="7"/>
      <c r="R817" s="766"/>
      <c r="S817" s="170"/>
      <c r="T817" s="168"/>
      <c r="U817" s="170"/>
    </row>
    <row x14ac:dyDescent="0.25" r="818" customHeight="1" ht="18.75">
      <c r="A818" s="1"/>
      <c r="B818" s="799">
        <f>+DATE(YEAR(B817),MONTH(B817)+1,DAY(B817))</f>
        <v>25569.041666666668</v>
      </c>
      <c r="C818" s="799">
        <f>+B819-1</f>
        <v>25569.041666666668</v>
      </c>
      <c r="D818" s="791">
        <f>-_xlfn.DAYS($C$3,C818)/365.25</f>
      </c>
      <c r="E818" s="800">
        <f>IF($D$17+40&lt;=D818,(1+$D$7)^-(D818-$C$5),(1+$C$7)^-(D818-$C$5))</f>
      </c>
      <c r="F818" s="801">
        <f>IF($C$4="Hombre",(+VLOOKUP(INT(D818)+1,Tablas!$G$9:$K$1240,5,0)*(D818-INT(D818))+VLOOKUP(INT(D818),Tablas!$G$9:$K$1240,5,0)*(INT(D818)+1-D818))/(VLOOKUP(INT($C$5)+1,Tablas!$G$9:$K$1240,5,0)*($C$5-INT($C$5))+VLOOKUP(INT($C$5),Tablas!$G$9:$K$124,5,0)*(INT($C$5)+1-$C$5)),(+VLOOKUP(INT(D818)+1,Tablas!$G$9:$O$1240,9,0)*(D818-INT(D818))+VLOOKUP(INT(D818),Tablas!$G$9:$O$1240,9,0)*(INT(D818)+1-D818))/(VLOOKUP(INT($C$5)+1,Tablas!$G$9:$O$1240,9,0)*($C$5-INT($C$5))+VLOOKUP(INT($C$5),Tablas!$G$9:$O$124,9,0)*(INT($C$5)+1-$C$5)))</f>
      </c>
      <c r="G818" s="791">
        <f>IF($C$4="Hombre",(+VLOOKUP(INT(D818)+1,Tablas!$G$9:$K$1240,5,0)*(D818-INT(D818))+VLOOKUP(INT(D818),Tablas!$G$9:$K$1240,5,0)*(INT(D818)+1-D818)),+VLOOKUP(INT(D818)+1,Tablas!$G$9:$O$1240,9,0)*(D818-INT(D818))+VLOOKUP(INT(D818),Tablas!$G$9:$O$1240,9,0)*(INT(D818)+1-D818))</f>
      </c>
      <c r="H818" s="801">
        <f>+IF(MONTH(B818)=1,H817*(1+$C$9),H817)</f>
      </c>
      <c r="I818" s="689">
        <f>IF(B818&lt;$C$10,0,IF(B818&lt;$C$11,$C$8/12*E818*F818*H818,0))</f>
      </c>
      <c r="J818" s="689">
        <f>I818*12/14+IF(OR(MONTH(C818)=6,MONTH(C818)=12),I818*12/14,0)</f>
      </c>
      <c r="K818" s="801">
        <f>G818/$G$15</f>
      </c>
      <c r="L818" s="760"/>
      <c r="M818" s="767"/>
      <c r="N818" s="168"/>
      <c r="O818" s="768"/>
      <c r="P818" s="170"/>
      <c r="Q818" s="7"/>
      <c r="R818" s="766"/>
      <c r="S818" s="170"/>
      <c r="T818" s="168"/>
      <c r="U818" s="170"/>
    </row>
    <row x14ac:dyDescent="0.25" r="819" customHeight="1" ht="18.75">
      <c r="A819" s="1"/>
      <c r="B819" s="799">
        <f>+DATE(YEAR(B818),MONTH(B818)+1,DAY(B818))</f>
        <v>25569.041666666668</v>
      </c>
      <c r="C819" s="799">
        <f>+B820-1</f>
        <v>25569.041666666668</v>
      </c>
      <c r="D819" s="791">
        <f>-_xlfn.DAYS($C$3,C819)/365.25</f>
      </c>
      <c r="E819" s="800">
        <f>IF($D$17+40&lt;=D819,(1+$D$7)^-(D819-$C$5),(1+$C$7)^-(D819-$C$5))</f>
      </c>
      <c r="F819" s="801">
        <f>IF($C$4="Hombre",(+VLOOKUP(INT(D819)+1,Tablas!$G$9:$K$1240,5,0)*(D819-INT(D819))+VLOOKUP(INT(D819),Tablas!$G$9:$K$1240,5,0)*(INT(D819)+1-D819))/(VLOOKUP(INT($C$5)+1,Tablas!$G$9:$K$1240,5,0)*($C$5-INT($C$5))+VLOOKUP(INT($C$5),Tablas!$G$9:$K$124,5,0)*(INT($C$5)+1-$C$5)),(+VLOOKUP(INT(D819)+1,Tablas!$G$9:$O$1240,9,0)*(D819-INT(D819))+VLOOKUP(INT(D819),Tablas!$G$9:$O$1240,9,0)*(INT(D819)+1-D819))/(VLOOKUP(INT($C$5)+1,Tablas!$G$9:$O$1240,9,0)*($C$5-INT($C$5))+VLOOKUP(INT($C$5),Tablas!$G$9:$O$124,9,0)*(INT($C$5)+1-$C$5)))</f>
      </c>
      <c r="G819" s="791">
        <f>IF($C$4="Hombre",(+VLOOKUP(INT(D819)+1,Tablas!$G$9:$K$1240,5,0)*(D819-INT(D819))+VLOOKUP(INT(D819),Tablas!$G$9:$K$1240,5,0)*(INT(D819)+1-D819)),+VLOOKUP(INT(D819)+1,Tablas!$G$9:$O$1240,9,0)*(D819-INT(D819))+VLOOKUP(INT(D819),Tablas!$G$9:$O$1240,9,0)*(INT(D819)+1-D819))</f>
      </c>
      <c r="H819" s="801">
        <f>+IF(MONTH(B819)=1,H818*(1+$C$9),H818)</f>
      </c>
      <c r="I819" s="689">
        <f>IF(B819&lt;$C$10,0,IF(B819&lt;$C$11,$C$8/12*E819*F819*H819,0))</f>
      </c>
      <c r="J819" s="689">
        <f>I819*12/14+IF(OR(MONTH(C819)=6,MONTH(C819)=12),I819*12/14,0)</f>
      </c>
      <c r="K819" s="801">
        <f>G819/$G$15</f>
      </c>
      <c r="L819" s="760"/>
      <c r="M819" s="767"/>
      <c r="N819" s="168"/>
      <c r="O819" s="768"/>
      <c r="P819" s="170"/>
      <c r="Q819" s="7"/>
      <c r="R819" s="766"/>
      <c r="S819" s="170"/>
      <c r="T819" s="168"/>
      <c r="U819" s="170"/>
    </row>
    <row x14ac:dyDescent="0.25" r="820" customHeight="1" ht="18.75">
      <c r="A820" s="1"/>
      <c r="B820" s="799">
        <f>+DATE(YEAR(B819),MONTH(B819)+1,DAY(B819))</f>
        <v>25569.041666666668</v>
      </c>
      <c r="C820" s="799">
        <f>+B821-1</f>
        <v>25569.041666666668</v>
      </c>
      <c r="D820" s="791">
        <f>-_xlfn.DAYS($C$3,C820)/365.25</f>
      </c>
      <c r="E820" s="800">
        <f>IF($D$17+40&lt;=D820,(1+$D$7)^-(D820-$C$5),(1+$C$7)^-(D820-$C$5))</f>
      </c>
      <c r="F820" s="801">
        <f>IF($C$4="Hombre",(+VLOOKUP(INT(D820)+1,Tablas!$G$9:$K$1240,5,0)*(D820-INT(D820))+VLOOKUP(INT(D820),Tablas!$G$9:$K$1240,5,0)*(INT(D820)+1-D820))/(VLOOKUP(INT($C$5)+1,Tablas!$G$9:$K$1240,5,0)*($C$5-INT($C$5))+VLOOKUP(INT($C$5),Tablas!$G$9:$K$124,5,0)*(INT($C$5)+1-$C$5)),(+VLOOKUP(INT(D820)+1,Tablas!$G$9:$O$1240,9,0)*(D820-INT(D820))+VLOOKUP(INT(D820),Tablas!$G$9:$O$1240,9,0)*(INT(D820)+1-D820))/(VLOOKUP(INT($C$5)+1,Tablas!$G$9:$O$1240,9,0)*($C$5-INT($C$5))+VLOOKUP(INT($C$5),Tablas!$G$9:$O$124,9,0)*(INT($C$5)+1-$C$5)))</f>
      </c>
      <c r="G820" s="791">
        <f>IF($C$4="Hombre",(+VLOOKUP(INT(D820)+1,Tablas!$G$9:$K$1240,5,0)*(D820-INT(D820))+VLOOKUP(INT(D820),Tablas!$G$9:$K$1240,5,0)*(INT(D820)+1-D820)),+VLOOKUP(INT(D820)+1,Tablas!$G$9:$O$1240,9,0)*(D820-INT(D820))+VLOOKUP(INT(D820),Tablas!$G$9:$O$1240,9,0)*(INT(D820)+1-D820))</f>
      </c>
      <c r="H820" s="801">
        <f>+IF(MONTH(B820)=1,H819*(1+$C$9),H819)</f>
      </c>
      <c r="I820" s="689">
        <f>IF(B820&lt;$C$10,0,IF(B820&lt;$C$11,$C$8/12*E820*F820*H820,0))</f>
      </c>
      <c r="J820" s="689">
        <f>I820*12/14+IF(OR(MONTH(C820)=6,MONTH(C820)=12),I820*12/14,0)</f>
      </c>
      <c r="K820" s="801">
        <f>G820/$G$15</f>
      </c>
      <c r="L820" s="760"/>
      <c r="M820" s="767"/>
      <c r="N820" s="168"/>
      <c r="O820" s="768"/>
      <c r="P820" s="170"/>
      <c r="Q820" s="7"/>
      <c r="R820" s="766"/>
      <c r="S820" s="170"/>
      <c r="T820" s="168"/>
      <c r="U820" s="170"/>
    </row>
    <row x14ac:dyDescent="0.25" r="821" customHeight="1" ht="18.75">
      <c r="A821" s="1"/>
      <c r="B821" s="799">
        <f>+DATE(YEAR(B820),MONTH(B820)+1,DAY(B820))</f>
        <v>25569.041666666668</v>
      </c>
      <c r="C821" s="799">
        <f>+B822-1</f>
        <v>25569.041666666668</v>
      </c>
      <c r="D821" s="791">
        <f>-_xlfn.DAYS($C$3,C821)/365.25</f>
      </c>
      <c r="E821" s="800">
        <f>IF($D$17+40&lt;=D821,(1+$D$7)^-(D821-$C$5),(1+$C$7)^-(D821-$C$5))</f>
      </c>
      <c r="F821" s="801">
        <f>IF($C$4="Hombre",(+VLOOKUP(INT(D821)+1,Tablas!$G$9:$K$1240,5,0)*(D821-INT(D821))+VLOOKUP(INT(D821),Tablas!$G$9:$K$1240,5,0)*(INT(D821)+1-D821))/(VLOOKUP(INT($C$5)+1,Tablas!$G$9:$K$1240,5,0)*($C$5-INT($C$5))+VLOOKUP(INT($C$5),Tablas!$G$9:$K$124,5,0)*(INT($C$5)+1-$C$5)),(+VLOOKUP(INT(D821)+1,Tablas!$G$9:$O$1240,9,0)*(D821-INT(D821))+VLOOKUP(INT(D821),Tablas!$G$9:$O$1240,9,0)*(INT(D821)+1-D821))/(VLOOKUP(INT($C$5)+1,Tablas!$G$9:$O$1240,9,0)*($C$5-INT($C$5))+VLOOKUP(INT($C$5),Tablas!$G$9:$O$124,9,0)*(INT($C$5)+1-$C$5)))</f>
      </c>
      <c r="G821" s="791">
        <f>IF($C$4="Hombre",(+VLOOKUP(INT(D821)+1,Tablas!$G$9:$K$1240,5,0)*(D821-INT(D821))+VLOOKUP(INT(D821),Tablas!$G$9:$K$1240,5,0)*(INT(D821)+1-D821)),+VLOOKUP(INT(D821)+1,Tablas!$G$9:$O$1240,9,0)*(D821-INT(D821))+VLOOKUP(INT(D821),Tablas!$G$9:$O$1240,9,0)*(INT(D821)+1-D821))</f>
      </c>
      <c r="H821" s="801">
        <f>+IF(MONTH(B821)=1,H820*(1+$C$9),H820)</f>
      </c>
      <c r="I821" s="689">
        <f>IF(B821&lt;$C$10,0,IF(B821&lt;$C$11,$C$8/12*E821*F821*H821,0))</f>
      </c>
      <c r="J821" s="689">
        <f>I821*12/14+IF(OR(MONTH(C821)=6,MONTH(C821)=12),I821*12/14,0)</f>
      </c>
      <c r="K821" s="801">
        <f>G821/$G$15</f>
      </c>
      <c r="L821" s="760"/>
      <c r="M821" s="767"/>
      <c r="N821" s="168"/>
      <c r="O821" s="768"/>
      <c r="P821" s="170"/>
      <c r="Q821" s="7"/>
      <c r="R821" s="766"/>
      <c r="S821" s="170"/>
      <c r="T821" s="168"/>
      <c r="U821" s="170"/>
    </row>
    <row x14ac:dyDescent="0.25" r="822" customHeight="1" ht="18.75">
      <c r="A822" s="1"/>
      <c r="B822" s="799">
        <f>+DATE(YEAR(B821),MONTH(B821)+1,DAY(B821))</f>
        <v>25569.041666666668</v>
      </c>
      <c r="C822" s="799">
        <f>+B823-1</f>
        <v>25569.041666666668</v>
      </c>
      <c r="D822" s="791">
        <f>-_xlfn.DAYS($C$3,C822)/365.25</f>
      </c>
      <c r="E822" s="800">
        <f>IF($D$17+40&lt;=D822,(1+$D$7)^-(D822-$C$5),(1+$C$7)^-(D822-$C$5))</f>
      </c>
      <c r="F822" s="801">
        <f>IF($C$4="Hombre",(+VLOOKUP(INT(D822)+1,Tablas!$G$9:$K$1240,5,0)*(D822-INT(D822))+VLOOKUP(INT(D822),Tablas!$G$9:$K$1240,5,0)*(INT(D822)+1-D822))/(VLOOKUP(INT($C$5)+1,Tablas!$G$9:$K$1240,5,0)*($C$5-INT($C$5))+VLOOKUP(INT($C$5),Tablas!$G$9:$K$124,5,0)*(INT($C$5)+1-$C$5)),(+VLOOKUP(INT(D822)+1,Tablas!$G$9:$O$1240,9,0)*(D822-INT(D822))+VLOOKUP(INT(D822),Tablas!$G$9:$O$1240,9,0)*(INT(D822)+1-D822))/(VLOOKUP(INT($C$5)+1,Tablas!$G$9:$O$1240,9,0)*($C$5-INT($C$5))+VLOOKUP(INT($C$5),Tablas!$G$9:$O$124,9,0)*(INT($C$5)+1-$C$5)))</f>
      </c>
      <c r="G822" s="791">
        <f>IF($C$4="Hombre",(+VLOOKUP(INT(D822)+1,Tablas!$G$9:$K$1240,5,0)*(D822-INT(D822))+VLOOKUP(INT(D822),Tablas!$G$9:$K$1240,5,0)*(INT(D822)+1-D822)),+VLOOKUP(INT(D822)+1,Tablas!$G$9:$O$1240,9,0)*(D822-INT(D822))+VLOOKUP(INT(D822),Tablas!$G$9:$O$1240,9,0)*(INT(D822)+1-D822))</f>
      </c>
      <c r="H822" s="801">
        <f>+IF(MONTH(B822)=1,H821*(1+$C$9),H821)</f>
      </c>
      <c r="I822" s="689">
        <f>IF(B822&lt;$C$10,0,IF(B822&lt;$C$11,$C$8/12*E822*F822*H822,0))</f>
      </c>
      <c r="J822" s="689">
        <f>I822*12/14+IF(OR(MONTH(C822)=6,MONTH(C822)=12),I822*12/14,0)</f>
      </c>
      <c r="K822" s="801">
        <f>G822/$G$15</f>
      </c>
      <c r="L822" s="760"/>
      <c r="M822" s="767"/>
      <c r="N822" s="168"/>
      <c r="O822" s="768"/>
      <c r="P822" s="170"/>
      <c r="Q822" s="7"/>
      <c r="R822" s="766"/>
      <c r="S822" s="170"/>
      <c r="T822" s="168"/>
      <c r="U822" s="170"/>
    </row>
    <row x14ac:dyDescent="0.25" r="823" customHeight="1" ht="18.75">
      <c r="A823" s="1"/>
      <c r="B823" s="799">
        <f>+DATE(YEAR(B822),MONTH(B822)+1,DAY(B822))</f>
        <v>25569.041666666668</v>
      </c>
      <c r="C823" s="799">
        <f>+B824-1</f>
        <v>25569.041666666668</v>
      </c>
      <c r="D823" s="791">
        <f>-_xlfn.DAYS($C$3,C823)/365.25</f>
      </c>
      <c r="E823" s="800">
        <f>IF($D$17+40&lt;=D823,(1+$D$7)^-(D823-$C$5),(1+$C$7)^-(D823-$C$5))</f>
      </c>
      <c r="F823" s="801">
        <f>IF($C$4="Hombre",(+VLOOKUP(INT(D823)+1,Tablas!$G$9:$K$1240,5,0)*(D823-INT(D823))+VLOOKUP(INT(D823),Tablas!$G$9:$K$1240,5,0)*(INT(D823)+1-D823))/(VLOOKUP(INT($C$5)+1,Tablas!$G$9:$K$1240,5,0)*($C$5-INT($C$5))+VLOOKUP(INT($C$5),Tablas!$G$9:$K$124,5,0)*(INT($C$5)+1-$C$5)),(+VLOOKUP(INT(D823)+1,Tablas!$G$9:$O$1240,9,0)*(D823-INT(D823))+VLOOKUP(INT(D823),Tablas!$G$9:$O$1240,9,0)*(INT(D823)+1-D823))/(VLOOKUP(INT($C$5)+1,Tablas!$G$9:$O$1240,9,0)*($C$5-INT($C$5))+VLOOKUP(INT($C$5),Tablas!$G$9:$O$124,9,0)*(INT($C$5)+1-$C$5)))</f>
      </c>
      <c r="G823" s="791">
        <f>IF($C$4="Hombre",(+VLOOKUP(INT(D823)+1,Tablas!$G$9:$K$1240,5,0)*(D823-INT(D823))+VLOOKUP(INT(D823),Tablas!$G$9:$K$1240,5,0)*(INT(D823)+1-D823)),+VLOOKUP(INT(D823)+1,Tablas!$G$9:$O$1240,9,0)*(D823-INT(D823))+VLOOKUP(INT(D823),Tablas!$G$9:$O$1240,9,0)*(INT(D823)+1-D823))</f>
      </c>
      <c r="H823" s="801">
        <f>+IF(MONTH(B823)=1,H822*(1+$C$9),H822)</f>
      </c>
      <c r="I823" s="689">
        <f>IF(B823&lt;$C$10,0,IF(B823&lt;$C$11,$C$8/12*E823*F823*H823,0))</f>
      </c>
      <c r="J823" s="689">
        <f>I823*12/14+IF(OR(MONTH(C823)=6,MONTH(C823)=12),I823*12/14,0)</f>
      </c>
      <c r="K823" s="801">
        <f>G823/$G$15</f>
      </c>
      <c r="L823" s="760"/>
      <c r="M823" s="767"/>
      <c r="N823" s="168"/>
      <c r="O823" s="768"/>
      <c r="P823" s="170"/>
      <c r="Q823" s="7"/>
      <c r="R823" s="766"/>
      <c r="S823" s="170"/>
      <c r="T823" s="168"/>
      <c r="U823" s="170"/>
    </row>
    <row x14ac:dyDescent="0.25" r="824" customHeight="1" ht="18.75">
      <c r="A824" s="1"/>
      <c r="B824" s="799">
        <f>+DATE(YEAR(B823),MONTH(B823)+1,DAY(B823))</f>
        <v>25569.041666666668</v>
      </c>
      <c r="C824" s="799">
        <f>+B825-1</f>
        <v>25569.041666666668</v>
      </c>
      <c r="D824" s="791">
        <f>-_xlfn.DAYS($C$3,C824)/365.25</f>
      </c>
      <c r="E824" s="800">
        <f>IF($D$17+40&lt;=D824,(1+$D$7)^-(D824-$C$5),(1+$C$7)^-(D824-$C$5))</f>
      </c>
      <c r="F824" s="801">
        <f>IF($C$4="Hombre",(+VLOOKUP(INT(D824)+1,Tablas!$G$9:$K$1240,5,0)*(D824-INT(D824))+VLOOKUP(INT(D824),Tablas!$G$9:$K$1240,5,0)*(INT(D824)+1-D824))/(VLOOKUP(INT($C$5)+1,Tablas!$G$9:$K$1240,5,0)*($C$5-INT($C$5))+VLOOKUP(INT($C$5),Tablas!$G$9:$K$124,5,0)*(INT($C$5)+1-$C$5)),(+VLOOKUP(INT(D824)+1,Tablas!$G$9:$O$1240,9,0)*(D824-INT(D824))+VLOOKUP(INT(D824),Tablas!$G$9:$O$1240,9,0)*(INT(D824)+1-D824))/(VLOOKUP(INT($C$5)+1,Tablas!$G$9:$O$1240,9,0)*($C$5-INT($C$5))+VLOOKUP(INT($C$5),Tablas!$G$9:$O$124,9,0)*(INT($C$5)+1-$C$5)))</f>
      </c>
      <c r="G824" s="791">
        <f>IF($C$4="Hombre",(+VLOOKUP(INT(D824)+1,Tablas!$G$9:$K$1240,5,0)*(D824-INT(D824))+VLOOKUP(INT(D824),Tablas!$G$9:$K$1240,5,0)*(INT(D824)+1-D824)),+VLOOKUP(INT(D824)+1,Tablas!$G$9:$O$1240,9,0)*(D824-INT(D824))+VLOOKUP(INT(D824),Tablas!$G$9:$O$1240,9,0)*(INT(D824)+1-D824))</f>
      </c>
      <c r="H824" s="801">
        <f>+IF(MONTH(B824)=1,H823*(1+$C$9),H823)</f>
      </c>
      <c r="I824" s="689">
        <f>IF(B824&lt;$C$10,0,IF(B824&lt;$C$11,$C$8/12*E824*F824*H824,0))</f>
      </c>
      <c r="J824" s="689">
        <f>I824*12/14+IF(OR(MONTH(C824)=6,MONTH(C824)=12),I824*12/14,0)</f>
      </c>
      <c r="K824" s="801">
        <f>G824/$G$15</f>
      </c>
      <c r="L824" s="760"/>
      <c r="M824" s="767"/>
      <c r="N824" s="168"/>
      <c r="O824" s="768"/>
      <c r="P824" s="170"/>
      <c r="Q824" s="7"/>
      <c r="R824" s="766"/>
      <c r="S824" s="170"/>
      <c r="T824" s="168"/>
      <c r="U824" s="170"/>
    </row>
    <row x14ac:dyDescent="0.25" r="825" customHeight="1" ht="18.75">
      <c r="A825" s="1"/>
      <c r="B825" s="799">
        <f>+DATE(YEAR(B824),MONTH(B824)+1,DAY(B824))</f>
        <v>25569.041666666668</v>
      </c>
      <c r="C825" s="799">
        <f>+B826-1</f>
        <v>25569.041666666668</v>
      </c>
      <c r="D825" s="791">
        <f>-_xlfn.DAYS($C$3,C825)/365.25</f>
      </c>
      <c r="E825" s="800">
        <f>IF($D$17+40&lt;=D825,(1+$D$7)^-(D825-$C$5),(1+$C$7)^-(D825-$C$5))</f>
      </c>
      <c r="F825" s="801">
        <f>IF($C$4="Hombre",(+VLOOKUP(INT(D825)+1,Tablas!$G$9:$K$1240,5,0)*(D825-INT(D825))+VLOOKUP(INT(D825),Tablas!$G$9:$K$1240,5,0)*(INT(D825)+1-D825))/(VLOOKUP(INT($C$5)+1,Tablas!$G$9:$K$1240,5,0)*($C$5-INT($C$5))+VLOOKUP(INT($C$5),Tablas!$G$9:$K$124,5,0)*(INT($C$5)+1-$C$5)),(+VLOOKUP(INT(D825)+1,Tablas!$G$9:$O$1240,9,0)*(D825-INT(D825))+VLOOKUP(INT(D825),Tablas!$G$9:$O$1240,9,0)*(INT(D825)+1-D825))/(VLOOKUP(INT($C$5)+1,Tablas!$G$9:$O$1240,9,0)*($C$5-INT($C$5))+VLOOKUP(INT($C$5),Tablas!$G$9:$O$124,9,0)*(INT($C$5)+1-$C$5)))</f>
      </c>
      <c r="G825" s="791">
        <f>IF($C$4="Hombre",(+VLOOKUP(INT(D825)+1,Tablas!$G$9:$K$1240,5,0)*(D825-INT(D825))+VLOOKUP(INT(D825),Tablas!$G$9:$K$1240,5,0)*(INT(D825)+1-D825)),+VLOOKUP(INT(D825)+1,Tablas!$G$9:$O$1240,9,0)*(D825-INT(D825))+VLOOKUP(INT(D825),Tablas!$G$9:$O$1240,9,0)*(INT(D825)+1-D825))</f>
      </c>
      <c r="H825" s="801">
        <f>+IF(MONTH(B825)=1,H824*(1+$C$9),H824)</f>
      </c>
      <c r="I825" s="689">
        <f>IF(B825&lt;$C$10,0,IF(B825&lt;$C$11,$C$8/12*E825*F825*H825,0))</f>
      </c>
      <c r="J825" s="689">
        <f>I825*12/14+IF(OR(MONTH(C825)=6,MONTH(C825)=12),I825*12/14,0)</f>
      </c>
      <c r="K825" s="801">
        <f>G825/$G$15</f>
      </c>
      <c r="L825" s="760"/>
      <c r="M825" s="767"/>
      <c r="N825" s="168"/>
      <c r="O825" s="768"/>
      <c r="P825" s="170"/>
      <c r="Q825" s="7"/>
      <c r="R825" s="766"/>
      <c r="S825" s="170"/>
      <c r="T825" s="168"/>
      <c r="U825" s="170"/>
    </row>
    <row x14ac:dyDescent="0.25" r="826" customHeight="1" ht="18.75">
      <c r="A826" s="1"/>
      <c r="B826" s="799">
        <f>+DATE(YEAR(B825),MONTH(B825)+1,DAY(B825))</f>
        <v>25569.041666666668</v>
      </c>
      <c r="C826" s="799">
        <f>+B827-1</f>
        <v>25569.041666666668</v>
      </c>
      <c r="D826" s="791">
        <f>-_xlfn.DAYS($C$3,C826)/365.25</f>
      </c>
      <c r="E826" s="800">
        <f>IF($D$17+40&lt;=D826,(1+$D$7)^-(D826-$C$5),(1+$C$7)^-(D826-$C$5))</f>
      </c>
      <c r="F826" s="801">
        <f>IF($C$4="Hombre",(+VLOOKUP(INT(D826)+1,Tablas!$G$9:$K$1240,5,0)*(D826-INT(D826))+VLOOKUP(INT(D826),Tablas!$G$9:$K$1240,5,0)*(INT(D826)+1-D826))/(VLOOKUP(INT($C$5)+1,Tablas!$G$9:$K$1240,5,0)*($C$5-INT($C$5))+VLOOKUP(INT($C$5),Tablas!$G$9:$K$124,5,0)*(INT($C$5)+1-$C$5)),(+VLOOKUP(INT(D826)+1,Tablas!$G$9:$O$1240,9,0)*(D826-INT(D826))+VLOOKUP(INT(D826),Tablas!$G$9:$O$1240,9,0)*(INT(D826)+1-D826))/(VLOOKUP(INT($C$5)+1,Tablas!$G$9:$O$1240,9,0)*($C$5-INT($C$5))+VLOOKUP(INT($C$5),Tablas!$G$9:$O$124,9,0)*(INT($C$5)+1-$C$5)))</f>
      </c>
      <c r="G826" s="791">
        <f>IF($C$4="Hombre",(+VLOOKUP(INT(D826)+1,Tablas!$G$9:$K$1240,5,0)*(D826-INT(D826))+VLOOKUP(INT(D826),Tablas!$G$9:$K$1240,5,0)*(INT(D826)+1-D826)),+VLOOKUP(INT(D826)+1,Tablas!$G$9:$O$1240,9,0)*(D826-INT(D826))+VLOOKUP(INT(D826),Tablas!$G$9:$O$1240,9,0)*(INT(D826)+1-D826))</f>
      </c>
      <c r="H826" s="801">
        <f>+IF(MONTH(B826)=1,H825*(1+$C$9),H825)</f>
      </c>
      <c r="I826" s="689">
        <f>IF(B826&lt;$C$10,0,IF(B826&lt;$C$11,$C$8/12*E826*F826*H826,0))</f>
      </c>
      <c r="J826" s="689">
        <f>I826*12/14+IF(OR(MONTH(C826)=6,MONTH(C826)=12),I826*12/14,0)</f>
      </c>
      <c r="K826" s="801">
        <f>G826/$G$15</f>
      </c>
      <c r="L826" s="760"/>
      <c r="M826" s="767"/>
      <c r="N826" s="168"/>
      <c r="O826" s="768"/>
      <c r="P826" s="170"/>
      <c r="Q826" s="7"/>
      <c r="R826" s="766"/>
      <c r="S826" s="170"/>
      <c r="T826" s="168"/>
      <c r="U826" s="170"/>
    </row>
    <row x14ac:dyDescent="0.25" r="827" customHeight="1" ht="18.75">
      <c r="A827" s="1"/>
      <c r="B827" s="799">
        <f>+DATE(YEAR(B826),MONTH(B826)+1,DAY(B826))</f>
        <v>25569.041666666668</v>
      </c>
      <c r="C827" s="799">
        <f>+B828-1</f>
        <v>25569.041666666668</v>
      </c>
      <c r="D827" s="791">
        <f>-_xlfn.DAYS($C$3,C827)/365.25</f>
      </c>
      <c r="E827" s="800">
        <f>IF($D$17+40&lt;=D827,(1+$D$7)^-(D827-$C$5),(1+$C$7)^-(D827-$C$5))</f>
      </c>
      <c r="F827" s="801">
        <f>IF($C$4="Hombre",(+VLOOKUP(INT(D827)+1,Tablas!$G$9:$K$1240,5,0)*(D827-INT(D827))+VLOOKUP(INT(D827),Tablas!$G$9:$K$1240,5,0)*(INT(D827)+1-D827))/(VLOOKUP(INT($C$5)+1,Tablas!$G$9:$K$1240,5,0)*($C$5-INT($C$5))+VLOOKUP(INT($C$5),Tablas!$G$9:$K$124,5,0)*(INT($C$5)+1-$C$5)),(+VLOOKUP(INT(D827)+1,Tablas!$G$9:$O$1240,9,0)*(D827-INT(D827))+VLOOKUP(INT(D827),Tablas!$G$9:$O$1240,9,0)*(INT(D827)+1-D827))/(VLOOKUP(INT($C$5)+1,Tablas!$G$9:$O$1240,9,0)*($C$5-INT($C$5))+VLOOKUP(INT($C$5),Tablas!$G$9:$O$124,9,0)*(INT($C$5)+1-$C$5)))</f>
      </c>
      <c r="G827" s="791">
        <f>IF($C$4="Hombre",(+VLOOKUP(INT(D827)+1,Tablas!$G$9:$K$1240,5,0)*(D827-INT(D827))+VLOOKUP(INT(D827),Tablas!$G$9:$K$1240,5,0)*(INT(D827)+1-D827)),+VLOOKUP(INT(D827)+1,Tablas!$G$9:$O$1240,9,0)*(D827-INT(D827))+VLOOKUP(INT(D827),Tablas!$G$9:$O$1240,9,0)*(INT(D827)+1-D827))</f>
      </c>
      <c r="H827" s="801">
        <f>+IF(MONTH(B827)=1,H826*(1+$C$9),H826)</f>
      </c>
      <c r="I827" s="689">
        <f>IF(B827&lt;$C$10,0,IF(B827&lt;$C$11,$C$8/12*E827*F827*H827,0))</f>
      </c>
      <c r="J827" s="689">
        <f>I827*12/14+IF(OR(MONTH(C827)=6,MONTH(C827)=12),I827*12/14,0)</f>
      </c>
      <c r="K827" s="801">
        <f>G827/$G$15</f>
      </c>
      <c r="L827" s="760"/>
      <c r="M827" s="767"/>
      <c r="N827" s="168"/>
      <c r="O827" s="768"/>
      <c r="P827" s="170"/>
      <c r="Q827" s="7"/>
      <c r="R827" s="766"/>
      <c r="S827" s="170"/>
      <c r="T827" s="168"/>
      <c r="U827" s="170"/>
    </row>
    <row x14ac:dyDescent="0.25" r="828" customHeight="1" ht="18.75">
      <c r="A828" s="1"/>
      <c r="B828" s="799">
        <f>+DATE(YEAR(B827),MONTH(B827)+1,DAY(B827))</f>
        <v>25569.041666666668</v>
      </c>
      <c r="C828" s="799">
        <f>+B829-1</f>
        <v>25569.041666666668</v>
      </c>
      <c r="D828" s="791">
        <f>-_xlfn.DAYS($C$3,C828)/365.25</f>
      </c>
      <c r="E828" s="800">
        <f>IF($D$17+40&lt;=D828,(1+$D$7)^-(D828-$C$5),(1+$C$7)^-(D828-$C$5))</f>
      </c>
      <c r="F828" s="801">
        <f>IF($C$4="Hombre",(+VLOOKUP(INT(D828)+1,Tablas!$G$9:$K$1240,5,0)*(D828-INT(D828))+VLOOKUP(INT(D828),Tablas!$G$9:$K$1240,5,0)*(INT(D828)+1-D828))/(VLOOKUP(INT($C$5)+1,Tablas!$G$9:$K$1240,5,0)*($C$5-INT($C$5))+VLOOKUP(INT($C$5),Tablas!$G$9:$K$124,5,0)*(INT($C$5)+1-$C$5)),(+VLOOKUP(INT(D828)+1,Tablas!$G$9:$O$1240,9,0)*(D828-INT(D828))+VLOOKUP(INT(D828),Tablas!$G$9:$O$1240,9,0)*(INT(D828)+1-D828))/(VLOOKUP(INT($C$5)+1,Tablas!$G$9:$O$1240,9,0)*($C$5-INT($C$5))+VLOOKUP(INT($C$5),Tablas!$G$9:$O$124,9,0)*(INT($C$5)+1-$C$5)))</f>
      </c>
      <c r="G828" s="791">
        <f>IF($C$4="Hombre",(+VLOOKUP(INT(D828)+1,Tablas!$G$9:$K$1240,5,0)*(D828-INT(D828))+VLOOKUP(INT(D828),Tablas!$G$9:$K$1240,5,0)*(INT(D828)+1-D828)),+VLOOKUP(INT(D828)+1,Tablas!$G$9:$O$1240,9,0)*(D828-INT(D828))+VLOOKUP(INT(D828),Tablas!$G$9:$O$1240,9,0)*(INT(D828)+1-D828))</f>
      </c>
      <c r="H828" s="801">
        <f>+IF(MONTH(B828)=1,H827*(1+$C$9),H827)</f>
      </c>
      <c r="I828" s="689">
        <f>IF(B828&lt;$C$10,0,IF(B828&lt;$C$11,$C$8/12*E828*F828*H828,0))</f>
      </c>
      <c r="J828" s="689">
        <f>I828*12/14+IF(OR(MONTH(C828)=6,MONTH(C828)=12),I828*12/14,0)</f>
      </c>
      <c r="K828" s="801">
        <f>G828/$G$15</f>
      </c>
      <c r="L828" s="760"/>
      <c r="M828" s="767"/>
      <c r="N828" s="168"/>
      <c r="O828" s="768"/>
      <c r="P828" s="170"/>
      <c r="Q828" s="7"/>
      <c r="R828" s="766"/>
      <c r="S828" s="170"/>
      <c r="T828" s="168"/>
      <c r="U828" s="170"/>
    </row>
    <row x14ac:dyDescent="0.25" r="829" customHeight="1" ht="18.75">
      <c r="A829" s="1"/>
      <c r="B829" s="799">
        <f>+DATE(YEAR(B828),MONTH(B828)+1,DAY(B828))</f>
        <v>25569.041666666668</v>
      </c>
      <c r="C829" s="799">
        <f>+B830-1</f>
        <v>25569.041666666668</v>
      </c>
      <c r="D829" s="791">
        <f>-_xlfn.DAYS($C$3,C829)/365.25</f>
      </c>
      <c r="E829" s="800">
        <f>IF($D$17+40&lt;=D829,(1+$D$7)^-(D829-$C$5),(1+$C$7)^-(D829-$C$5))</f>
      </c>
      <c r="F829" s="801">
        <f>IF($C$4="Hombre",(+VLOOKUP(INT(D829)+1,Tablas!$G$9:$K$1240,5,0)*(D829-INT(D829))+VLOOKUP(INT(D829),Tablas!$G$9:$K$1240,5,0)*(INT(D829)+1-D829))/(VLOOKUP(INT($C$5)+1,Tablas!$G$9:$K$1240,5,0)*($C$5-INT($C$5))+VLOOKUP(INT($C$5),Tablas!$G$9:$K$124,5,0)*(INT($C$5)+1-$C$5)),(+VLOOKUP(INT(D829)+1,Tablas!$G$9:$O$1240,9,0)*(D829-INT(D829))+VLOOKUP(INT(D829),Tablas!$G$9:$O$1240,9,0)*(INT(D829)+1-D829))/(VLOOKUP(INT($C$5)+1,Tablas!$G$9:$O$1240,9,0)*($C$5-INT($C$5))+VLOOKUP(INT($C$5),Tablas!$G$9:$O$124,9,0)*(INT($C$5)+1-$C$5)))</f>
      </c>
      <c r="G829" s="791">
        <f>IF($C$4="Hombre",(+VLOOKUP(INT(D829)+1,Tablas!$G$9:$K$1240,5,0)*(D829-INT(D829))+VLOOKUP(INT(D829),Tablas!$G$9:$K$1240,5,0)*(INT(D829)+1-D829)),+VLOOKUP(INT(D829)+1,Tablas!$G$9:$O$1240,9,0)*(D829-INT(D829))+VLOOKUP(INT(D829),Tablas!$G$9:$O$1240,9,0)*(INT(D829)+1-D829))</f>
      </c>
      <c r="H829" s="801">
        <f>+IF(MONTH(B829)=1,H828*(1+$C$9),H828)</f>
      </c>
      <c r="I829" s="689">
        <f>IF(B829&lt;$C$10,0,IF(B829&lt;$C$11,$C$8/12*E829*F829*H829,0))</f>
      </c>
      <c r="J829" s="689">
        <f>I829*12/14+IF(OR(MONTH(C829)=6,MONTH(C829)=12),I829*12/14,0)</f>
      </c>
      <c r="K829" s="801">
        <f>G829/$G$15</f>
      </c>
      <c r="L829" s="760"/>
      <c r="M829" s="767"/>
      <c r="N829" s="168"/>
      <c r="O829" s="768"/>
      <c r="P829" s="170"/>
      <c r="Q829" s="7"/>
      <c r="R829" s="766"/>
      <c r="S829" s="170"/>
      <c r="T829" s="168"/>
      <c r="U829" s="170"/>
    </row>
    <row x14ac:dyDescent="0.25" r="830" customHeight="1" ht="18.75">
      <c r="A830" s="1"/>
      <c r="B830" s="799">
        <f>+DATE(YEAR(B829),MONTH(B829)+1,DAY(B829))</f>
        <v>25569.041666666668</v>
      </c>
      <c r="C830" s="799">
        <f>+B831-1</f>
        <v>25569.041666666668</v>
      </c>
      <c r="D830" s="791">
        <f>-_xlfn.DAYS($C$3,C830)/365.25</f>
      </c>
      <c r="E830" s="800">
        <f>IF($D$17+40&lt;=D830,(1+$D$7)^-(D830-$C$5),(1+$C$7)^-(D830-$C$5))</f>
      </c>
      <c r="F830" s="801">
        <f>IF($C$4="Hombre",(+VLOOKUP(INT(D830)+1,Tablas!$G$9:$K$1240,5,0)*(D830-INT(D830))+VLOOKUP(INT(D830),Tablas!$G$9:$K$1240,5,0)*(INT(D830)+1-D830))/(VLOOKUP(INT($C$5)+1,Tablas!$G$9:$K$1240,5,0)*($C$5-INT($C$5))+VLOOKUP(INT($C$5),Tablas!$G$9:$K$124,5,0)*(INT($C$5)+1-$C$5)),(+VLOOKUP(INT(D830)+1,Tablas!$G$9:$O$1240,9,0)*(D830-INT(D830))+VLOOKUP(INT(D830),Tablas!$G$9:$O$1240,9,0)*(INT(D830)+1-D830))/(VLOOKUP(INT($C$5)+1,Tablas!$G$9:$O$1240,9,0)*($C$5-INT($C$5))+VLOOKUP(INT($C$5),Tablas!$G$9:$O$124,9,0)*(INT($C$5)+1-$C$5)))</f>
      </c>
      <c r="G830" s="791">
        <f>IF($C$4="Hombre",(+VLOOKUP(INT(D830)+1,Tablas!$G$9:$K$1240,5,0)*(D830-INT(D830))+VLOOKUP(INT(D830),Tablas!$G$9:$K$1240,5,0)*(INT(D830)+1-D830)),+VLOOKUP(INT(D830)+1,Tablas!$G$9:$O$1240,9,0)*(D830-INT(D830))+VLOOKUP(INT(D830),Tablas!$G$9:$O$1240,9,0)*(INT(D830)+1-D830))</f>
      </c>
      <c r="H830" s="801">
        <f>+IF(MONTH(B830)=1,H829*(1+$C$9),H829)</f>
      </c>
      <c r="I830" s="689">
        <f>IF(B830&lt;$C$10,0,IF(B830&lt;$C$11,$C$8/12*E830*F830*H830,0))</f>
      </c>
      <c r="J830" s="689">
        <f>I830*12/14+IF(OR(MONTH(C830)=6,MONTH(C830)=12),I830*12/14,0)</f>
      </c>
      <c r="K830" s="801">
        <f>G830/$G$15</f>
      </c>
      <c r="L830" s="760"/>
      <c r="M830" s="767"/>
      <c r="N830" s="168"/>
      <c r="O830" s="768"/>
      <c r="P830" s="170"/>
      <c r="Q830" s="7"/>
      <c r="R830" s="766"/>
      <c r="S830" s="170"/>
      <c r="T830" s="168"/>
      <c r="U830" s="170"/>
    </row>
    <row x14ac:dyDescent="0.25" r="831" customHeight="1" ht="18.75">
      <c r="A831" s="1"/>
      <c r="B831" s="799">
        <f>+DATE(YEAR(B830),MONTH(B830)+1,DAY(B830))</f>
        <v>25569.041666666668</v>
      </c>
      <c r="C831" s="799">
        <f>+B832-1</f>
        <v>25569.041666666668</v>
      </c>
      <c r="D831" s="791">
        <f>-_xlfn.DAYS($C$3,C831)/365.25</f>
      </c>
      <c r="E831" s="800">
        <f>IF($D$17+40&lt;=D831,(1+$D$7)^-(D831-$C$5),(1+$C$7)^-(D831-$C$5))</f>
      </c>
      <c r="F831" s="801">
        <f>IF($C$4="Hombre",(+VLOOKUP(INT(D831)+1,Tablas!$G$9:$K$1240,5,0)*(D831-INT(D831))+VLOOKUP(INT(D831),Tablas!$G$9:$K$1240,5,0)*(INT(D831)+1-D831))/(VLOOKUP(INT($C$5)+1,Tablas!$G$9:$K$1240,5,0)*($C$5-INT($C$5))+VLOOKUP(INT($C$5),Tablas!$G$9:$K$124,5,0)*(INT($C$5)+1-$C$5)),(+VLOOKUP(INT(D831)+1,Tablas!$G$9:$O$1240,9,0)*(D831-INT(D831))+VLOOKUP(INT(D831),Tablas!$G$9:$O$1240,9,0)*(INT(D831)+1-D831))/(VLOOKUP(INT($C$5)+1,Tablas!$G$9:$O$1240,9,0)*($C$5-INT($C$5))+VLOOKUP(INT($C$5),Tablas!$G$9:$O$124,9,0)*(INT($C$5)+1-$C$5)))</f>
      </c>
      <c r="G831" s="791">
        <f>IF($C$4="Hombre",(+VLOOKUP(INT(D831)+1,Tablas!$G$9:$K$1240,5,0)*(D831-INT(D831))+VLOOKUP(INT(D831),Tablas!$G$9:$K$1240,5,0)*(INT(D831)+1-D831)),+VLOOKUP(INT(D831)+1,Tablas!$G$9:$O$1240,9,0)*(D831-INT(D831))+VLOOKUP(INT(D831),Tablas!$G$9:$O$1240,9,0)*(INT(D831)+1-D831))</f>
      </c>
      <c r="H831" s="801">
        <f>+IF(MONTH(B831)=1,H830*(1+$C$9),H830)</f>
      </c>
      <c r="I831" s="689">
        <f>IF(B831&lt;$C$10,0,IF(B831&lt;$C$11,$C$8/12*E831*F831*H831,0))</f>
      </c>
      <c r="J831" s="689">
        <f>I831*12/14+IF(OR(MONTH(C831)=6,MONTH(C831)=12),I831*12/14,0)</f>
      </c>
      <c r="K831" s="801">
        <f>G831/$G$15</f>
      </c>
      <c r="L831" s="760"/>
      <c r="M831" s="767"/>
      <c r="N831" s="168"/>
      <c r="O831" s="768"/>
      <c r="P831" s="170"/>
      <c r="Q831" s="7"/>
      <c r="R831" s="766"/>
      <c r="S831" s="170"/>
      <c r="T831" s="168"/>
      <c r="U831" s="170"/>
    </row>
    <row x14ac:dyDescent="0.25" r="832" customHeight="1" ht="18.75">
      <c r="A832" s="1"/>
      <c r="B832" s="799">
        <f>+DATE(YEAR(B831),MONTH(B831)+1,DAY(B831))</f>
        <v>25569.041666666668</v>
      </c>
      <c r="C832" s="799">
        <f>+B833-1</f>
        <v>25569.041666666668</v>
      </c>
      <c r="D832" s="791">
        <f>-_xlfn.DAYS($C$3,C832)/365.25</f>
      </c>
      <c r="E832" s="800">
        <f>IF($D$17+40&lt;=D832,(1+$D$7)^-(D832-$C$5),(1+$C$7)^-(D832-$C$5))</f>
      </c>
      <c r="F832" s="801">
        <f>IF($C$4="Hombre",(+VLOOKUP(INT(D832)+1,Tablas!$G$9:$K$1240,5,0)*(D832-INT(D832))+VLOOKUP(INT(D832),Tablas!$G$9:$K$1240,5,0)*(INT(D832)+1-D832))/(VLOOKUP(INT($C$5)+1,Tablas!$G$9:$K$1240,5,0)*($C$5-INT($C$5))+VLOOKUP(INT($C$5),Tablas!$G$9:$K$124,5,0)*(INT($C$5)+1-$C$5)),(+VLOOKUP(INT(D832)+1,Tablas!$G$9:$O$1240,9,0)*(D832-INT(D832))+VLOOKUP(INT(D832),Tablas!$G$9:$O$1240,9,0)*(INT(D832)+1-D832))/(VLOOKUP(INT($C$5)+1,Tablas!$G$9:$O$1240,9,0)*($C$5-INT($C$5))+VLOOKUP(INT($C$5),Tablas!$G$9:$O$124,9,0)*(INT($C$5)+1-$C$5)))</f>
      </c>
      <c r="G832" s="791">
        <f>IF($C$4="Hombre",(+VLOOKUP(INT(D832)+1,Tablas!$G$9:$K$1240,5,0)*(D832-INT(D832))+VLOOKUP(INT(D832),Tablas!$G$9:$K$1240,5,0)*(INT(D832)+1-D832)),+VLOOKUP(INT(D832)+1,Tablas!$G$9:$O$1240,9,0)*(D832-INT(D832))+VLOOKUP(INT(D832),Tablas!$G$9:$O$1240,9,0)*(INT(D832)+1-D832))</f>
      </c>
      <c r="H832" s="801">
        <f>+IF(MONTH(B832)=1,H831*(1+$C$9),H831)</f>
      </c>
      <c r="I832" s="689">
        <f>IF(B832&lt;$C$10,0,IF(B832&lt;$C$11,$C$8/12*E832*F832*H832,0))</f>
      </c>
      <c r="J832" s="689">
        <f>I832*12/14+IF(OR(MONTH(C832)=6,MONTH(C832)=12),I832*12/14,0)</f>
      </c>
      <c r="K832" s="801">
        <f>G832/$G$15</f>
      </c>
      <c r="L832" s="760"/>
      <c r="M832" s="767"/>
      <c r="N832" s="168"/>
      <c r="O832" s="768"/>
      <c r="P832" s="170"/>
      <c r="Q832" s="7"/>
      <c r="R832" s="766"/>
      <c r="S832" s="170"/>
      <c r="T832" s="168"/>
      <c r="U832" s="170"/>
    </row>
    <row x14ac:dyDescent="0.25" r="833" customHeight="1" ht="18.75">
      <c r="A833" s="1"/>
      <c r="B833" s="799">
        <f>+DATE(YEAR(B832),MONTH(B832)+1,DAY(B832))</f>
        <v>25569.041666666668</v>
      </c>
      <c r="C833" s="799">
        <f>+B834-1</f>
        <v>25569.041666666668</v>
      </c>
      <c r="D833" s="791">
        <f>-_xlfn.DAYS($C$3,C833)/365.25</f>
      </c>
      <c r="E833" s="800">
        <f>IF($D$17+40&lt;=D833,(1+$D$7)^-(D833-$C$5),(1+$C$7)^-(D833-$C$5))</f>
      </c>
      <c r="F833" s="801">
        <f>IF($C$4="Hombre",(+VLOOKUP(INT(D833)+1,Tablas!$G$9:$K$1240,5,0)*(D833-INT(D833))+VLOOKUP(INT(D833),Tablas!$G$9:$K$1240,5,0)*(INT(D833)+1-D833))/(VLOOKUP(INT($C$5)+1,Tablas!$G$9:$K$1240,5,0)*($C$5-INT($C$5))+VLOOKUP(INT($C$5),Tablas!$G$9:$K$124,5,0)*(INT($C$5)+1-$C$5)),(+VLOOKUP(INT(D833)+1,Tablas!$G$9:$O$1240,9,0)*(D833-INT(D833))+VLOOKUP(INT(D833),Tablas!$G$9:$O$1240,9,0)*(INT(D833)+1-D833))/(VLOOKUP(INT($C$5)+1,Tablas!$G$9:$O$1240,9,0)*($C$5-INT($C$5))+VLOOKUP(INT($C$5),Tablas!$G$9:$O$124,9,0)*(INT($C$5)+1-$C$5)))</f>
      </c>
      <c r="G833" s="791">
        <f>IF($C$4="Hombre",(+VLOOKUP(INT(D833)+1,Tablas!$G$9:$K$1240,5,0)*(D833-INT(D833))+VLOOKUP(INT(D833),Tablas!$G$9:$K$1240,5,0)*(INT(D833)+1-D833)),+VLOOKUP(INT(D833)+1,Tablas!$G$9:$O$1240,9,0)*(D833-INT(D833))+VLOOKUP(INT(D833),Tablas!$G$9:$O$1240,9,0)*(INT(D833)+1-D833))</f>
      </c>
      <c r="H833" s="801">
        <f>+IF(MONTH(B833)=1,H832*(1+$C$9),H832)</f>
      </c>
      <c r="I833" s="689">
        <f>IF(B833&lt;$C$10,0,IF(B833&lt;$C$11,$C$8/12*E833*F833*H833,0))</f>
      </c>
      <c r="J833" s="689">
        <f>I833*12/14+IF(OR(MONTH(C833)=6,MONTH(C833)=12),I833*12/14,0)</f>
      </c>
      <c r="K833" s="801">
        <f>G833/$G$15</f>
      </c>
      <c r="L833" s="760"/>
      <c r="M833" s="767"/>
      <c r="N833" s="168"/>
      <c r="O833" s="768"/>
      <c r="P833" s="170"/>
      <c r="Q833" s="7"/>
      <c r="R833" s="766"/>
      <c r="S833" s="170"/>
      <c r="T833" s="168"/>
      <c r="U833" s="170"/>
    </row>
    <row x14ac:dyDescent="0.25" r="834" customHeight="1" ht="18.75">
      <c r="A834" s="1"/>
      <c r="B834" s="799">
        <f>+DATE(YEAR(B833),MONTH(B833)+1,DAY(B833))</f>
        <v>25569.041666666668</v>
      </c>
      <c r="C834" s="799">
        <f>+B835-1</f>
        <v>25569.041666666668</v>
      </c>
      <c r="D834" s="791">
        <f>-_xlfn.DAYS($C$3,C834)/365.25</f>
      </c>
      <c r="E834" s="800">
        <f>IF($D$17+40&lt;=D834,(1+$D$7)^-(D834-$C$5),(1+$C$7)^-(D834-$C$5))</f>
      </c>
      <c r="F834" s="801">
        <f>IF($C$4="Hombre",(+VLOOKUP(INT(D834)+1,Tablas!$G$9:$K$1240,5,0)*(D834-INT(D834))+VLOOKUP(INT(D834),Tablas!$G$9:$K$1240,5,0)*(INT(D834)+1-D834))/(VLOOKUP(INT($C$5)+1,Tablas!$G$9:$K$1240,5,0)*($C$5-INT($C$5))+VLOOKUP(INT($C$5),Tablas!$G$9:$K$124,5,0)*(INT($C$5)+1-$C$5)),(+VLOOKUP(INT(D834)+1,Tablas!$G$9:$O$1240,9,0)*(D834-INT(D834))+VLOOKUP(INT(D834),Tablas!$G$9:$O$1240,9,0)*(INT(D834)+1-D834))/(VLOOKUP(INT($C$5)+1,Tablas!$G$9:$O$1240,9,0)*($C$5-INT($C$5))+VLOOKUP(INT($C$5),Tablas!$G$9:$O$124,9,0)*(INT($C$5)+1-$C$5)))</f>
      </c>
      <c r="G834" s="791">
        <f>IF($C$4="Hombre",(+VLOOKUP(INT(D834)+1,Tablas!$G$9:$K$1240,5,0)*(D834-INT(D834))+VLOOKUP(INT(D834),Tablas!$G$9:$K$1240,5,0)*(INT(D834)+1-D834)),+VLOOKUP(INT(D834)+1,Tablas!$G$9:$O$1240,9,0)*(D834-INT(D834))+VLOOKUP(INT(D834),Tablas!$G$9:$O$1240,9,0)*(INT(D834)+1-D834))</f>
      </c>
      <c r="H834" s="801">
        <f>+IF(MONTH(B834)=1,H833*(1+$C$9),H833)</f>
      </c>
      <c r="I834" s="689">
        <f>IF(B834&lt;$C$10,0,IF(B834&lt;$C$11,$C$8/12*E834*F834*H834,0))</f>
      </c>
      <c r="J834" s="689">
        <f>I834*12/14+IF(OR(MONTH(C834)=6,MONTH(C834)=12),I834*12/14,0)</f>
      </c>
      <c r="K834" s="801">
        <f>G834/$G$15</f>
      </c>
      <c r="L834" s="760"/>
      <c r="M834" s="767"/>
      <c r="N834" s="168"/>
      <c r="O834" s="768"/>
      <c r="P834" s="170"/>
      <c r="Q834" s="7"/>
      <c r="R834" s="766"/>
      <c r="S834" s="170"/>
      <c r="T834" s="168"/>
      <c r="U834" s="170"/>
    </row>
    <row x14ac:dyDescent="0.25" r="835" customHeight="1" ht="18.75">
      <c r="A835" s="1"/>
      <c r="B835" s="799">
        <f>+DATE(YEAR(B834),MONTH(B834)+1,DAY(B834))</f>
        <v>25569.041666666668</v>
      </c>
      <c r="C835" s="799">
        <f>+B836-1</f>
        <v>25569.041666666668</v>
      </c>
      <c r="D835" s="791">
        <f>-_xlfn.DAYS($C$3,C835)/365.25</f>
      </c>
      <c r="E835" s="800">
        <f>IF($D$17+40&lt;=D835,(1+$D$7)^-(D835-$C$5),(1+$C$7)^-(D835-$C$5))</f>
      </c>
      <c r="F835" s="801">
        <f>IF($C$4="Hombre",(+VLOOKUP(INT(D835)+1,Tablas!$G$9:$K$1240,5,0)*(D835-INT(D835))+VLOOKUP(INT(D835),Tablas!$G$9:$K$1240,5,0)*(INT(D835)+1-D835))/(VLOOKUP(INT($C$5)+1,Tablas!$G$9:$K$1240,5,0)*($C$5-INT($C$5))+VLOOKUP(INT($C$5),Tablas!$G$9:$K$124,5,0)*(INT($C$5)+1-$C$5)),(+VLOOKUP(INT(D835)+1,Tablas!$G$9:$O$1240,9,0)*(D835-INT(D835))+VLOOKUP(INT(D835),Tablas!$G$9:$O$1240,9,0)*(INT(D835)+1-D835))/(VLOOKUP(INT($C$5)+1,Tablas!$G$9:$O$1240,9,0)*($C$5-INT($C$5))+VLOOKUP(INT($C$5),Tablas!$G$9:$O$124,9,0)*(INT($C$5)+1-$C$5)))</f>
      </c>
      <c r="G835" s="791">
        <f>IF($C$4="Hombre",(+VLOOKUP(INT(D835)+1,Tablas!$G$9:$K$1240,5,0)*(D835-INT(D835))+VLOOKUP(INT(D835),Tablas!$G$9:$K$1240,5,0)*(INT(D835)+1-D835)),+VLOOKUP(INT(D835)+1,Tablas!$G$9:$O$1240,9,0)*(D835-INT(D835))+VLOOKUP(INT(D835),Tablas!$G$9:$O$1240,9,0)*(INT(D835)+1-D835))</f>
      </c>
      <c r="H835" s="801">
        <f>+IF(MONTH(B835)=1,H834*(1+$C$9),H834)</f>
      </c>
      <c r="I835" s="689">
        <f>IF(B835&lt;$C$10,0,IF(B835&lt;$C$11,$C$8/12*E835*F835*H835,0))</f>
      </c>
      <c r="J835" s="689">
        <f>I835*12/14+IF(OR(MONTH(C835)=6,MONTH(C835)=12),I835*12/14,0)</f>
      </c>
      <c r="K835" s="801">
        <f>G835/$G$15</f>
      </c>
      <c r="L835" s="760"/>
      <c r="M835" s="767"/>
      <c r="N835" s="168"/>
      <c r="O835" s="768"/>
      <c r="P835" s="170"/>
      <c r="Q835" s="7"/>
      <c r="R835" s="766"/>
      <c r="S835" s="170"/>
      <c r="T835" s="168"/>
      <c r="U835" s="170"/>
    </row>
    <row x14ac:dyDescent="0.25" r="836" customHeight="1" ht="18.75">
      <c r="A836" s="1"/>
      <c r="B836" s="799">
        <f>+DATE(YEAR(B835),MONTH(B835)+1,DAY(B835))</f>
        <v>25569.041666666668</v>
      </c>
      <c r="C836" s="799">
        <f>+B837-1</f>
        <v>25569.041666666668</v>
      </c>
      <c r="D836" s="791">
        <f>-_xlfn.DAYS($C$3,C836)/365.25</f>
      </c>
      <c r="E836" s="800">
        <f>IF($D$17+40&lt;=D836,(1+$D$7)^-(D836-$C$5),(1+$C$7)^-(D836-$C$5))</f>
      </c>
      <c r="F836" s="801">
        <f>IF($C$4="Hombre",(+VLOOKUP(INT(D836)+1,Tablas!$G$9:$K$1240,5,0)*(D836-INT(D836))+VLOOKUP(INT(D836),Tablas!$G$9:$K$1240,5,0)*(INT(D836)+1-D836))/(VLOOKUP(INT($C$5)+1,Tablas!$G$9:$K$1240,5,0)*($C$5-INT($C$5))+VLOOKUP(INT($C$5),Tablas!$G$9:$K$124,5,0)*(INT($C$5)+1-$C$5)),(+VLOOKUP(INT(D836)+1,Tablas!$G$9:$O$1240,9,0)*(D836-INT(D836))+VLOOKUP(INT(D836),Tablas!$G$9:$O$1240,9,0)*(INT(D836)+1-D836))/(VLOOKUP(INT($C$5)+1,Tablas!$G$9:$O$1240,9,0)*($C$5-INT($C$5))+VLOOKUP(INT($C$5),Tablas!$G$9:$O$124,9,0)*(INT($C$5)+1-$C$5)))</f>
      </c>
      <c r="G836" s="791">
        <f>IF($C$4="Hombre",(+VLOOKUP(INT(D836)+1,Tablas!$G$9:$K$1240,5,0)*(D836-INT(D836))+VLOOKUP(INT(D836),Tablas!$G$9:$K$1240,5,0)*(INT(D836)+1-D836)),+VLOOKUP(INT(D836)+1,Tablas!$G$9:$O$1240,9,0)*(D836-INT(D836))+VLOOKUP(INT(D836),Tablas!$G$9:$O$1240,9,0)*(INT(D836)+1-D836))</f>
      </c>
      <c r="H836" s="801">
        <f>+IF(MONTH(B836)=1,H835*(1+$C$9),H835)</f>
      </c>
      <c r="I836" s="689">
        <f>IF(B836&lt;$C$10,0,IF(B836&lt;$C$11,$C$8/12*E836*F836*H836,0))</f>
      </c>
      <c r="J836" s="689">
        <f>I836*12/14+IF(OR(MONTH(C836)=6,MONTH(C836)=12),I836*12/14,0)</f>
      </c>
      <c r="K836" s="801">
        <f>G836/$G$15</f>
      </c>
      <c r="L836" s="760"/>
      <c r="M836" s="767"/>
      <c r="N836" s="168"/>
      <c r="O836" s="768"/>
      <c r="P836" s="170"/>
      <c r="Q836" s="7"/>
      <c r="R836" s="766"/>
      <c r="S836" s="170"/>
      <c r="T836" s="168"/>
      <c r="U836" s="170"/>
    </row>
    <row x14ac:dyDescent="0.25" r="837" customHeight="1" ht="18.75">
      <c r="A837" s="1"/>
      <c r="B837" s="799">
        <f>+DATE(YEAR(B836),MONTH(B836)+1,DAY(B836))</f>
        <v>25569.041666666668</v>
      </c>
      <c r="C837" s="799">
        <f>+B838-1</f>
        <v>25569.041666666668</v>
      </c>
      <c r="D837" s="791">
        <f>-_xlfn.DAYS($C$3,C837)/365.25</f>
      </c>
      <c r="E837" s="800">
        <f>IF($D$17+40&lt;=D837,(1+$D$7)^-(D837-$C$5),(1+$C$7)^-(D837-$C$5))</f>
      </c>
      <c r="F837" s="801">
        <f>IF($C$4="Hombre",(+VLOOKUP(INT(D837)+1,Tablas!$G$9:$K$1240,5,0)*(D837-INT(D837))+VLOOKUP(INT(D837),Tablas!$G$9:$K$1240,5,0)*(INT(D837)+1-D837))/(VLOOKUP(INT($C$5)+1,Tablas!$G$9:$K$1240,5,0)*($C$5-INT($C$5))+VLOOKUP(INT($C$5),Tablas!$G$9:$K$124,5,0)*(INT($C$5)+1-$C$5)),(+VLOOKUP(INT(D837)+1,Tablas!$G$9:$O$1240,9,0)*(D837-INT(D837))+VLOOKUP(INT(D837),Tablas!$G$9:$O$1240,9,0)*(INT(D837)+1-D837))/(VLOOKUP(INT($C$5)+1,Tablas!$G$9:$O$1240,9,0)*($C$5-INT($C$5))+VLOOKUP(INT($C$5),Tablas!$G$9:$O$124,9,0)*(INT($C$5)+1-$C$5)))</f>
      </c>
      <c r="G837" s="791">
        <f>IF($C$4="Hombre",(+VLOOKUP(INT(D837)+1,Tablas!$G$9:$K$1240,5,0)*(D837-INT(D837))+VLOOKUP(INT(D837),Tablas!$G$9:$K$1240,5,0)*(INT(D837)+1-D837)),+VLOOKUP(INT(D837)+1,Tablas!$G$9:$O$1240,9,0)*(D837-INT(D837))+VLOOKUP(INT(D837),Tablas!$G$9:$O$1240,9,0)*(INT(D837)+1-D837))</f>
      </c>
      <c r="H837" s="801">
        <f>+IF(MONTH(B837)=1,H836*(1+$C$9),H836)</f>
      </c>
      <c r="I837" s="689">
        <f>IF(B837&lt;$C$10,0,IF(B837&lt;$C$11,$C$8/12*E837*F837*H837,0))</f>
      </c>
      <c r="J837" s="689">
        <f>I837*12/14+IF(OR(MONTH(C837)=6,MONTH(C837)=12),I837*12/14,0)</f>
      </c>
      <c r="K837" s="801">
        <f>G837/$G$15</f>
      </c>
      <c r="L837" s="760"/>
      <c r="M837" s="767"/>
      <c r="N837" s="168"/>
      <c r="O837" s="768"/>
      <c r="P837" s="170"/>
      <c r="Q837" s="7"/>
      <c r="R837" s="766"/>
      <c r="S837" s="170"/>
      <c r="T837" s="168"/>
      <c r="U837" s="170"/>
    </row>
    <row x14ac:dyDescent="0.25" r="838" customHeight="1" ht="18.75">
      <c r="A838" s="1"/>
      <c r="B838" s="799">
        <f>+DATE(YEAR(B837),MONTH(B837)+1,DAY(B837))</f>
        <v>25569.041666666668</v>
      </c>
      <c r="C838" s="799">
        <f>+B839-1</f>
        <v>25569.041666666668</v>
      </c>
      <c r="D838" s="791">
        <f>-_xlfn.DAYS($C$3,C838)/365.25</f>
      </c>
      <c r="E838" s="800">
        <f>IF($D$17+40&lt;=D838,(1+$D$7)^-(D838-$C$5),(1+$C$7)^-(D838-$C$5))</f>
      </c>
      <c r="F838" s="801">
        <f>IF($C$4="Hombre",(+VLOOKUP(INT(D838)+1,Tablas!$G$9:$K$1240,5,0)*(D838-INT(D838))+VLOOKUP(INT(D838),Tablas!$G$9:$K$1240,5,0)*(INT(D838)+1-D838))/(VLOOKUP(INT($C$5)+1,Tablas!$G$9:$K$1240,5,0)*($C$5-INT($C$5))+VLOOKUP(INT($C$5),Tablas!$G$9:$K$124,5,0)*(INT($C$5)+1-$C$5)),(+VLOOKUP(INT(D838)+1,Tablas!$G$9:$O$1240,9,0)*(D838-INT(D838))+VLOOKUP(INT(D838),Tablas!$G$9:$O$1240,9,0)*(INT(D838)+1-D838))/(VLOOKUP(INT($C$5)+1,Tablas!$G$9:$O$1240,9,0)*($C$5-INT($C$5))+VLOOKUP(INT($C$5),Tablas!$G$9:$O$124,9,0)*(INT($C$5)+1-$C$5)))</f>
      </c>
      <c r="G838" s="791">
        <f>IF($C$4="Hombre",(+VLOOKUP(INT(D838)+1,Tablas!$G$9:$K$1240,5,0)*(D838-INT(D838))+VLOOKUP(INT(D838),Tablas!$G$9:$K$1240,5,0)*(INT(D838)+1-D838)),+VLOOKUP(INT(D838)+1,Tablas!$G$9:$O$1240,9,0)*(D838-INT(D838))+VLOOKUP(INT(D838),Tablas!$G$9:$O$1240,9,0)*(INT(D838)+1-D838))</f>
      </c>
      <c r="H838" s="801">
        <f>+IF(MONTH(B838)=1,H837*(1+$C$9),H837)</f>
      </c>
      <c r="I838" s="689">
        <f>IF(B838&lt;$C$10,0,IF(B838&lt;$C$11,$C$8/12*E838*F838*H838,0))</f>
      </c>
      <c r="J838" s="689">
        <f>I838*12/14+IF(OR(MONTH(C838)=6,MONTH(C838)=12),I838*12/14,0)</f>
      </c>
      <c r="K838" s="801">
        <f>G838/$G$15</f>
      </c>
      <c r="L838" s="760"/>
      <c r="M838" s="767"/>
      <c r="N838" s="168"/>
      <c r="O838" s="768"/>
      <c r="P838" s="170"/>
      <c r="Q838" s="7"/>
      <c r="R838" s="766"/>
      <c r="S838" s="170"/>
      <c r="T838" s="168"/>
      <c r="U838" s="170"/>
    </row>
    <row x14ac:dyDescent="0.25" r="839" customHeight="1" ht="18.75">
      <c r="A839" s="1"/>
      <c r="B839" s="799">
        <f>+DATE(YEAR(B838),MONTH(B838)+1,DAY(B838))</f>
        <v>25569.041666666668</v>
      </c>
      <c r="C839" s="799">
        <f>+B840-1</f>
        <v>25569.041666666668</v>
      </c>
      <c r="D839" s="791">
        <f>-_xlfn.DAYS($C$3,C839)/365.25</f>
      </c>
      <c r="E839" s="800">
        <f>IF($D$17+40&lt;=D839,(1+$D$7)^-(D839-$C$5),(1+$C$7)^-(D839-$C$5))</f>
      </c>
      <c r="F839" s="801">
        <f>IF($C$4="Hombre",(+VLOOKUP(INT(D839)+1,Tablas!$G$9:$K$1240,5,0)*(D839-INT(D839))+VLOOKUP(INT(D839),Tablas!$G$9:$K$1240,5,0)*(INT(D839)+1-D839))/(VLOOKUP(INT($C$5)+1,Tablas!$G$9:$K$1240,5,0)*($C$5-INT($C$5))+VLOOKUP(INT($C$5),Tablas!$G$9:$K$124,5,0)*(INT($C$5)+1-$C$5)),(+VLOOKUP(INT(D839)+1,Tablas!$G$9:$O$1240,9,0)*(D839-INT(D839))+VLOOKUP(INT(D839),Tablas!$G$9:$O$1240,9,0)*(INT(D839)+1-D839))/(VLOOKUP(INT($C$5)+1,Tablas!$G$9:$O$1240,9,0)*($C$5-INT($C$5))+VLOOKUP(INT($C$5),Tablas!$G$9:$O$124,9,0)*(INT($C$5)+1-$C$5)))</f>
      </c>
      <c r="G839" s="791">
        <f>IF($C$4="Hombre",(+VLOOKUP(INT(D839)+1,Tablas!$G$9:$K$1240,5,0)*(D839-INT(D839))+VLOOKUP(INT(D839),Tablas!$G$9:$K$1240,5,0)*(INT(D839)+1-D839)),+VLOOKUP(INT(D839)+1,Tablas!$G$9:$O$1240,9,0)*(D839-INT(D839))+VLOOKUP(INT(D839),Tablas!$G$9:$O$1240,9,0)*(INT(D839)+1-D839))</f>
      </c>
      <c r="H839" s="801">
        <f>+IF(MONTH(B839)=1,H838*(1+$C$9),H838)</f>
      </c>
      <c r="I839" s="689">
        <f>IF(B839&lt;$C$10,0,IF(B839&lt;$C$11,$C$8/12*E839*F839*H839,0))</f>
      </c>
      <c r="J839" s="689">
        <f>I839*12/14+IF(OR(MONTH(C839)=6,MONTH(C839)=12),I839*12/14,0)</f>
      </c>
      <c r="K839" s="801">
        <f>G839/$G$15</f>
      </c>
      <c r="L839" s="760"/>
      <c r="M839" s="767"/>
      <c r="N839" s="168"/>
      <c r="O839" s="768"/>
      <c r="P839" s="170"/>
      <c r="Q839" s="7"/>
      <c r="R839" s="766"/>
      <c r="S839" s="170"/>
      <c r="T839" s="168"/>
      <c r="U839" s="170"/>
    </row>
    <row x14ac:dyDescent="0.25" r="840" customHeight="1" ht="18.75">
      <c r="A840" s="1"/>
      <c r="B840" s="799">
        <f>+DATE(YEAR(B839),MONTH(B839)+1,DAY(B839))</f>
        <v>25569.041666666668</v>
      </c>
      <c r="C840" s="799">
        <f>+B841-1</f>
        <v>25569.041666666668</v>
      </c>
      <c r="D840" s="791">
        <f>-_xlfn.DAYS($C$3,C840)/365.25</f>
      </c>
      <c r="E840" s="800">
        <f>IF($D$17+40&lt;=D840,(1+$D$7)^-(D840-$C$5),(1+$C$7)^-(D840-$C$5))</f>
      </c>
      <c r="F840" s="801">
        <f>IF($C$4="Hombre",(+VLOOKUP(INT(D840)+1,Tablas!$G$9:$K$1240,5,0)*(D840-INT(D840))+VLOOKUP(INT(D840),Tablas!$G$9:$K$1240,5,0)*(INT(D840)+1-D840))/(VLOOKUP(INT($C$5)+1,Tablas!$G$9:$K$1240,5,0)*($C$5-INT($C$5))+VLOOKUP(INT($C$5),Tablas!$G$9:$K$124,5,0)*(INT($C$5)+1-$C$5)),(+VLOOKUP(INT(D840)+1,Tablas!$G$9:$O$1240,9,0)*(D840-INT(D840))+VLOOKUP(INT(D840),Tablas!$G$9:$O$1240,9,0)*(INT(D840)+1-D840))/(VLOOKUP(INT($C$5)+1,Tablas!$G$9:$O$1240,9,0)*($C$5-INT($C$5))+VLOOKUP(INT($C$5),Tablas!$G$9:$O$124,9,0)*(INT($C$5)+1-$C$5)))</f>
      </c>
      <c r="G840" s="791">
        <f>IF($C$4="Hombre",(+VLOOKUP(INT(D840)+1,Tablas!$G$9:$K$1240,5,0)*(D840-INT(D840))+VLOOKUP(INT(D840),Tablas!$G$9:$K$1240,5,0)*(INT(D840)+1-D840)),+VLOOKUP(INT(D840)+1,Tablas!$G$9:$O$1240,9,0)*(D840-INT(D840))+VLOOKUP(INT(D840),Tablas!$G$9:$O$1240,9,0)*(INT(D840)+1-D840))</f>
      </c>
      <c r="H840" s="801">
        <f>+IF(MONTH(B840)=1,H839*(1+$C$9),H839)</f>
      </c>
      <c r="I840" s="689">
        <f>IF(B840&lt;$C$10,0,IF(B840&lt;$C$11,$C$8/12*E840*F840*H840,0))</f>
      </c>
      <c r="J840" s="689">
        <f>I840*12/14+IF(OR(MONTH(C840)=6,MONTH(C840)=12),I840*12/14,0)</f>
      </c>
      <c r="K840" s="801">
        <f>G840/$G$15</f>
      </c>
      <c r="L840" s="760"/>
      <c r="M840" s="767"/>
      <c r="N840" s="168"/>
      <c r="O840" s="768"/>
      <c r="P840" s="170"/>
      <c r="Q840" s="7"/>
      <c r="R840" s="766"/>
      <c r="S840" s="170"/>
      <c r="T840" s="168"/>
      <c r="U840" s="170"/>
    </row>
    <row x14ac:dyDescent="0.25" r="841" customHeight="1" ht="18.75">
      <c r="A841" s="1"/>
      <c r="B841" s="799">
        <f>+DATE(YEAR(B840),MONTH(B840)+1,DAY(B840))</f>
        <v>25569.041666666668</v>
      </c>
      <c r="C841" s="799">
        <f>+B842-1</f>
        <v>25569.041666666668</v>
      </c>
      <c r="D841" s="791">
        <f>-_xlfn.DAYS($C$3,C841)/365.25</f>
      </c>
      <c r="E841" s="800">
        <f>IF($D$17+40&lt;=D841,(1+$D$7)^-(D841-$C$5),(1+$C$7)^-(D841-$C$5))</f>
      </c>
      <c r="F841" s="801">
        <f>IF($C$4="Hombre",(+VLOOKUP(INT(D841)+1,Tablas!$G$9:$K$1240,5,0)*(D841-INT(D841))+VLOOKUP(INT(D841),Tablas!$G$9:$K$1240,5,0)*(INT(D841)+1-D841))/(VLOOKUP(INT($C$5)+1,Tablas!$G$9:$K$1240,5,0)*($C$5-INT($C$5))+VLOOKUP(INT($C$5),Tablas!$G$9:$K$124,5,0)*(INT($C$5)+1-$C$5)),(+VLOOKUP(INT(D841)+1,Tablas!$G$9:$O$1240,9,0)*(D841-INT(D841))+VLOOKUP(INT(D841),Tablas!$G$9:$O$1240,9,0)*(INT(D841)+1-D841))/(VLOOKUP(INT($C$5)+1,Tablas!$G$9:$O$1240,9,0)*($C$5-INT($C$5))+VLOOKUP(INT($C$5),Tablas!$G$9:$O$124,9,0)*(INT($C$5)+1-$C$5)))</f>
      </c>
      <c r="G841" s="791">
        <f>IF($C$4="Hombre",(+VLOOKUP(INT(D841)+1,Tablas!$G$9:$K$1240,5,0)*(D841-INT(D841))+VLOOKUP(INT(D841),Tablas!$G$9:$K$1240,5,0)*(INT(D841)+1-D841)),+VLOOKUP(INT(D841)+1,Tablas!$G$9:$O$1240,9,0)*(D841-INT(D841))+VLOOKUP(INT(D841),Tablas!$G$9:$O$1240,9,0)*(INT(D841)+1-D841))</f>
      </c>
      <c r="H841" s="801">
        <f>+IF(MONTH(B841)=1,H840*(1+$C$9),H840)</f>
      </c>
      <c r="I841" s="689">
        <f>IF(B841&lt;$C$10,0,IF(B841&lt;$C$11,$C$8/12*E841*F841*H841,0))</f>
      </c>
      <c r="J841" s="689">
        <f>I841*12/14+IF(OR(MONTH(C841)=6,MONTH(C841)=12),I841*12/14,0)</f>
      </c>
      <c r="K841" s="801">
        <f>G841/$G$15</f>
      </c>
      <c r="L841" s="760"/>
      <c r="M841" s="767"/>
      <c r="N841" s="168"/>
      <c r="O841" s="768"/>
      <c r="P841" s="170"/>
      <c r="Q841" s="7"/>
      <c r="R841" s="766"/>
      <c r="S841" s="170"/>
      <c r="T841" s="168"/>
      <c r="U841" s="170"/>
    </row>
    <row x14ac:dyDescent="0.25" r="842" customHeight="1" ht="18.75">
      <c r="A842" s="1"/>
      <c r="B842" s="799">
        <f>+DATE(YEAR(B841),MONTH(B841)+1,DAY(B841))</f>
        <v>25569.041666666668</v>
      </c>
      <c r="C842" s="799">
        <f>+B843-1</f>
        <v>25569.041666666668</v>
      </c>
      <c r="D842" s="791">
        <f>-_xlfn.DAYS($C$3,C842)/365.25</f>
      </c>
      <c r="E842" s="800">
        <f>IF($D$17+40&lt;=D842,(1+$D$7)^-(D842-$C$5),(1+$C$7)^-(D842-$C$5))</f>
      </c>
      <c r="F842" s="801">
        <f>IF($C$4="Hombre",(+VLOOKUP(INT(D842)+1,Tablas!$G$9:$K$1240,5,0)*(D842-INT(D842))+VLOOKUP(INT(D842),Tablas!$G$9:$K$1240,5,0)*(INT(D842)+1-D842))/(VLOOKUP(INT($C$5)+1,Tablas!$G$9:$K$1240,5,0)*($C$5-INT($C$5))+VLOOKUP(INT($C$5),Tablas!$G$9:$K$124,5,0)*(INT($C$5)+1-$C$5)),(+VLOOKUP(INT(D842)+1,Tablas!$G$9:$O$1240,9,0)*(D842-INT(D842))+VLOOKUP(INT(D842),Tablas!$G$9:$O$1240,9,0)*(INT(D842)+1-D842))/(VLOOKUP(INT($C$5)+1,Tablas!$G$9:$O$1240,9,0)*($C$5-INT($C$5))+VLOOKUP(INT($C$5),Tablas!$G$9:$O$124,9,0)*(INT($C$5)+1-$C$5)))</f>
      </c>
      <c r="G842" s="791">
        <f>IF($C$4="Hombre",(+VLOOKUP(INT(D842)+1,Tablas!$G$9:$K$1240,5,0)*(D842-INT(D842))+VLOOKUP(INT(D842),Tablas!$G$9:$K$1240,5,0)*(INT(D842)+1-D842)),+VLOOKUP(INT(D842)+1,Tablas!$G$9:$O$1240,9,0)*(D842-INT(D842))+VLOOKUP(INT(D842),Tablas!$G$9:$O$1240,9,0)*(INT(D842)+1-D842))</f>
      </c>
      <c r="H842" s="801">
        <f>+IF(MONTH(B842)=1,H841*(1+$C$9),H841)</f>
      </c>
      <c r="I842" s="689">
        <f>IF(B842&lt;$C$10,0,IF(B842&lt;$C$11,$C$8/12*E842*F842*H842,0))</f>
      </c>
      <c r="J842" s="689">
        <f>I842*12/14+IF(OR(MONTH(C842)=6,MONTH(C842)=12),I842*12/14,0)</f>
      </c>
      <c r="K842" s="801">
        <f>G842/$G$15</f>
      </c>
      <c r="L842" s="760"/>
      <c r="M842" s="767"/>
      <c r="N842" s="168"/>
      <c r="O842" s="768"/>
      <c r="P842" s="170"/>
      <c r="Q842" s="7"/>
      <c r="R842" s="766"/>
      <c r="S842" s="170"/>
      <c r="T842" s="168"/>
      <c r="U842" s="170"/>
    </row>
    <row x14ac:dyDescent="0.25" r="843" customHeight="1" ht="18.75">
      <c r="A843" s="1"/>
      <c r="B843" s="799">
        <f>+DATE(YEAR(B842),MONTH(B842)+1,DAY(B842))</f>
        <v>25569.041666666668</v>
      </c>
      <c r="C843" s="799">
        <f>+B844-1</f>
        <v>25569.041666666668</v>
      </c>
      <c r="D843" s="791">
        <f>-_xlfn.DAYS($C$3,C843)/365.25</f>
      </c>
      <c r="E843" s="800">
        <f>IF($D$17+40&lt;=D843,(1+$D$7)^-(D843-$C$5),(1+$C$7)^-(D843-$C$5))</f>
      </c>
      <c r="F843" s="801">
        <f>IF($C$4="Hombre",(+VLOOKUP(INT(D843)+1,Tablas!$G$9:$K$1240,5,0)*(D843-INT(D843))+VLOOKUP(INT(D843),Tablas!$G$9:$K$1240,5,0)*(INT(D843)+1-D843))/(VLOOKUP(INT($C$5)+1,Tablas!$G$9:$K$1240,5,0)*($C$5-INT($C$5))+VLOOKUP(INT($C$5),Tablas!$G$9:$K$124,5,0)*(INT($C$5)+1-$C$5)),(+VLOOKUP(INT(D843)+1,Tablas!$G$9:$O$1240,9,0)*(D843-INT(D843))+VLOOKUP(INT(D843),Tablas!$G$9:$O$1240,9,0)*(INT(D843)+1-D843))/(VLOOKUP(INT($C$5)+1,Tablas!$G$9:$O$1240,9,0)*($C$5-INT($C$5))+VLOOKUP(INT($C$5),Tablas!$G$9:$O$124,9,0)*(INT($C$5)+1-$C$5)))</f>
      </c>
      <c r="G843" s="791">
        <f>IF($C$4="Hombre",(+VLOOKUP(INT(D843)+1,Tablas!$G$9:$K$1240,5,0)*(D843-INT(D843))+VLOOKUP(INT(D843),Tablas!$G$9:$K$1240,5,0)*(INT(D843)+1-D843)),+VLOOKUP(INT(D843)+1,Tablas!$G$9:$O$1240,9,0)*(D843-INT(D843))+VLOOKUP(INT(D843),Tablas!$G$9:$O$1240,9,0)*(INT(D843)+1-D843))</f>
      </c>
      <c r="H843" s="801">
        <f>+IF(MONTH(B843)=1,H842*(1+$C$9),H842)</f>
      </c>
      <c r="I843" s="689">
        <f>IF(B843&lt;$C$10,0,IF(B843&lt;$C$11,$C$8/12*E843*F843*H843,0))</f>
      </c>
      <c r="J843" s="689">
        <f>I843*12/14+IF(OR(MONTH(C843)=6,MONTH(C843)=12),I843*12/14,0)</f>
      </c>
      <c r="K843" s="801">
        <f>G843/$G$15</f>
      </c>
      <c r="L843" s="760"/>
      <c r="M843" s="767"/>
      <c r="N843" s="168"/>
      <c r="O843" s="768"/>
      <c r="P843" s="170"/>
      <c r="Q843" s="7"/>
      <c r="R843" s="766"/>
      <c r="S843" s="170"/>
      <c r="T843" s="168"/>
      <c r="U843" s="170"/>
    </row>
    <row x14ac:dyDescent="0.25" r="844" customHeight="1" ht="18.75">
      <c r="A844" s="1"/>
      <c r="B844" s="799">
        <f>+DATE(YEAR(B843),MONTH(B843)+1,DAY(B843))</f>
        <v>25569.041666666668</v>
      </c>
      <c r="C844" s="799">
        <f>+B845-1</f>
        <v>25569.041666666668</v>
      </c>
      <c r="D844" s="791">
        <f>-_xlfn.DAYS($C$3,C844)/365.25</f>
      </c>
      <c r="E844" s="800">
        <f>IF($D$17+40&lt;=D844,(1+$D$7)^-(D844-$C$5),(1+$C$7)^-(D844-$C$5))</f>
      </c>
      <c r="F844" s="801">
        <f>IF($C$4="Hombre",(+VLOOKUP(INT(D844)+1,Tablas!$G$9:$K$1240,5,0)*(D844-INT(D844))+VLOOKUP(INT(D844),Tablas!$G$9:$K$1240,5,0)*(INT(D844)+1-D844))/(VLOOKUP(INT($C$5)+1,Tablas!$G$9:$K$1240,5,0)*($C$5-INT($C$5))+VLOOKUP(INT($C$5),Tablas!$G$9:$K$124,5,0)*(INT($C$5)+1-$C$5)),(+VLOOKUP(INT(D844)+1,Tablas!$G$9:$O$1240,9,0)*(D844-INT(D844))+VLOOKUP(INT(D844),Tablas!$G$9:$O$1240,9,0)*(INT(D844)+1-D844))/(VLOOKUP(INT($C$5)+1,Tablas!$G$9:$O$1240,9,0)*($C$5-INT($C$5))+VLOOKUP(INT($C$5),Tablas!$G$9:$O$124,9,0)*(INT($C$5)+1-$C$5)))</f>
      </c>
      <c r="G844" s="791">
        <f>IF($C$4="Hombre",(+VLOOKUP(INT(D844)+1,Tablas!$G$9:$K$1240,5,0)*(D844-INT(D844))+VLOOKUP(INT(D844),Tablas!$G$9:$K$1240,5,0)*(INT(D844)+1-D844)),+VLOOKUP(INT(D844)+1,Tablas!$G$9:$O$1240,9,0)*(D844-INT(D844))+VLOOKUP(INT(D844),Tablas!$G$9:$O$1240,9,0)*(INT(D844)+1-D844))</f>
      </c>
      <c r="H844" s="801">
        <f>+IF(MONTH(B844)=1,H843*(1+$C$9),H843)</f>
      </c>
      <c r="I844" s="689">
        <f>IF(B844&lt;$C$10,0,IF(B844&lt;$C$11,$C$8/12*E844*F844*H844,0))</f>
      </c>
      <c r="J844" s="689">
        <f>I844*12/14+IF(OR(MONTH(C844)=6,MONTH(C844)=12),I844*12/14,0)</f>
      </c>
      <c r="K844" s="801">
        <f>G844/$G$15</f>
      </c>
      <c r="L844" s="760"/>
      <c r="M844" s="767"/>
      <c r="N844" s="168"/>
      <c r="O844" s="768"/>
      <c r="P844" s="170"/>
      <c r="Q844" s="7"/>
      <c r="R844" s="766"/>
      <c r="S844" s="170"/>
      <c r="T844" s="168"/>
      <c r="U844" s="170"/>
    </row>
    <row x14ac:dyDescent="0.25" r="845" customHeight="1" ht="18.75">
      <c r="A845" s="1"/>
      <c r="B845" s="799">
        <f>+DATE(YEAR(B844),MONTH(B844)+1,DAY(B844))</f>
        <v>25569.041666666668</v>
      </c>
      <c r="C845" s="799">
        <f>+B846-1</f>
        <v>25569.041666666668</v>
      </c>
      <c r="D845" s="791">
        <f>-_xlfn.DAYS($C$3,C845)/365.25</f>
      </c>
      <c r="E845" s="800">
        <f>IF($D$17+40&lt;=D845,(1+$D$7)^-(D845-$C$5),(1+$C$7)^-(D845-$C$5))</f>
      </c>
      <c r="F845" s="801">
        <f>IF($C$4="Hombre",(+VLOOKUP(INT(D845)+1,Tablas!$G$9:$K$1240,5,0)*(D845-INT(D845))+VLOOKUP(INT(D845),Tablas!$G$9:$K$1240,5,0)*(INT(D845)+1-D845))/(VLOOKUP(INT($C$5)+1,Tablas!$G$9:$K$1240,5,0)*($C$5-INT($C$5))+VLOOKUP(INT($C$5),Tablas!$G$9:$K$124,5,0)*(INT($C$5)+1-$C$5)),(+VLOOKUP(INT(D845)+1,Tablas!$G$9:$O$1240,9,0)*(D845-INT(D845))+VLOOKUP(INT(D845),Tablas!$G$9:$O$1240,9,0)*(INT(D845)+1-D845))/(VLOOKUP(INT($C$5)+1,Tablas!$G$9:$O$1240,9,0)*($C$5-INT($C$5))+VLOOKUP(INT($C$5),Tablas!$G$9:$O$124,9,0)*(INT($C$5)+1-$C$5)))</f>
      </c>
      <c r="G845" s="791">
        <f>IF($C$4="Hombre",(+VLOOKUP(INT(D845)+1,Tablas!$G$9:$K$1240,5,0)*(D845-INT(D845))+VLOOKUP(INT(D845),Tablas!$G$9:$K$1240,5,0)*(INT(D845)+1-D845)),+VLOOKUP(INT(D845)+1,Tablas!$G$9:$O$1240,9,0)*(D845-INT(D845))+VLOOKUP(INT(D845),Tablas!$G$9:$O$1240,9,0)*(INT(D845)+1-D845))</f>
      </c>
      <c r="H845" s="801">
        <f>+IF(MONTH(B845)=1,H844*(1+$C$9),H844)</f>
      </c>
      <c r="I845" s="689">
        <f>IF(B845&lt;$C$10,0,IF(B845&lt;$C$11,$C$8/12*E845*F845*H845,0))</f>
      </c>
      <c r="J845" s="689">
        <f>I845*12/14+IF(OR(MONTH(C845)=6,MONTH(C845)=12),I845*12/14,0)</f>
      </c>
      <c r="K845" s="801">
        <f>G845/$G$15</f>
      </c>
      <c r="L845" s="760"/>
      <c r="M845" s="767"/>
      <c r="N845" s="168"/>
      <c r="O845" s="768"/>
      <c r="P845" s="170"/>
      <c r="Q845" s="7"/>
      <c r="R845" s="766"/>
      <c r="S845" s="170"/>
      <c r="T845" s="168"/>
      <c r="U845" s="170"/>
    </row>
    <row x14ac:dyDescent="0.25" r="846" customHeight="1" ht="18.75">
      <c r="A846" s="1"/>
      <c r="B846" s="799">
        <f>+DATE(YEAR(B845),MONTH(B845)+1,DAY(B845))</f>
        <v>25569.041666666668</v>
      </c>
      <c r="C846" s="799">
        <f>+B847-1</f>
        <v>25569.041666666668</v>
      </c>
      <c r="D846" s="791">
        <f>-_xlfn.DAYS($C$3,C846)/365.25</f>
      </c>
      <c r="E846" s="800">
        <f>IF($D$17+40&lt;=D846,(1+$D$7)^-(D846-$C$5),(1+$C$7)^-(D846-$C$5))</f>
      </c>
      <c r="F846" s="801">
        <f>IF($C$4="Hombre",(+VLOOKUP(INT(D846)+1,Tablas!$G$9:$K$1240,5,0)*(D846-INT(D846))+VLOOKUP(INT(D846),Tablas!$G$9:$K$1240,5,0)*(INT(D846)+1-D846))/(VLOOKUP(INT($C$5)+1,Tablas!$G$9:$K$1240,5,0)*($C$5-INT($C$5))+VLOOKUP(INT($C$5),Tablas!$G$9:$K$124,5,0)*(INT($C$5)+1-$C$5)),(+VLOOKUP(INT(D846)+1,Tablas!$G$9:$O$1240,9,0)*(D846-INT(D846))+VLOOKUP(INT(D846),Tablas!$G$9:$O$1240,9,0)*(INT(D846)+1-D846))/(VLOOKUP(INT($C$5)+1,Tablas!$G$9:$O$1240,9,0)*($C$5-INT($C$5))+VLOOKUP(INT($C$5),Tablas!$G$9:$O$124,9,0)*(INT($C$5)+1-$C$5)))</f>
      </c>
      <c r="G846" s="791">
        <f>IF($C$4="Hombre",(+VLOOKUP(INT(D846)+1,Tablas!$G$9:$K$1240,5,0)*(D846-INT(D846))+VLOOKUP(INT(D846),Tablas!$G$9:$K$1240,5,0)*(INT(D846)+1-D846)),+VLOOKUP(INT(D846)+1,Tablas!$G$9:$O$1240,9,0)*(D846-INT(D846))+VLOOKUP(INT(D846),Tablas!$G$9:$O$1240,9,0)*(INT(D846)+1-D846))</f>
      </c>
      <c r="H846" s="801">
        <f>+IF(MONTH(B846)=1,H845*(1+$C$9),H845)</f>
      </c>
      <c r="I846" s="689">
        <f>IF(B846&lt;$C$10,0,IF(B846&lt;$C$11,$C$8/12*E846*F846*H846,0))</f>
      </c>
      <c r="J846" s="689">
        <f>I846*12/14+IF(OR(MONTH(C846)=6,MONTH(C846)=12),I846*12/14,0)</f>
      </c>
      <c r="K846" s="801">
        <f>G846/$G$15</f>
      </c>
      <c r="L846" s="760"/>
      <c r="M846" s="767"/>
      <c r="N846" s="168"/>
      <c r="O846" s="768"/>
      <c r="P846" s="170"/>
      <c r="Q846" s="7"/>
      <c r="R846" s="766"/>
      <c r="S846" s="170"/>
      <c r="T846" s="168"/>
      <c r="U846" s="170"/>
    </row>
    <row x14ac:dyDescent="0.25" r="847" customHeight="1" ht="18.75">
      <c r="A847" s="1"/>
      <c r="B847" s="799">
        <f>+DATE(YEAR(B846),MONTH(B846)+1,DAY(B846))</f>
        <v>25569.041666666668</v>
      </c>
      <c r="C847" s="799">
        <f>+B848-1</f>
        <v>25569.041666666668</v>
      </c>
      <c r="D847" s="791">
        <f>-_xlfn.DAYS($C$3,C847)/365.25</f>
      </c>
      <c r="E847" s="800">
        <f>IF($D$17+40&lt;=D847,(1+$D$7)^-(D847-$C$5),(1+$C$7)^-(D847-$C$5))</f>
      </c>
      <c r="F847" s="801">
        <f>IF($C$4="Hombre",(+VLOOKUP(INT(D847)+1,Tablas!$G$9:$K$1240,5,0)*(D847-INT(D847))+VLOOKUP(INT(D847),Tablas!$G$9:$K$1240,5,0)*(INT(D847)+1-D847))/(VLOOKUP(INT($C$5)+1,Tablas!$G$9:$K$1240,5,0)*($C$5-INT($C$5))+VLOOKUP(INT($C$5),Tablas!$G$9:$K$124,5,0)*(INT($C$5)+1-$C$5)),(+VLOOKUP(INT(D847)+1,Tablas!$G$9:$O$1240,9,0)*(D847-INT(D847))+VLOOKUP(INT(D847),Tablas!$G$9:$O$1240,9,0)*(INT(D847)+1-D847))/(VLOOKUP(INT($C$5)+1,Tablas!$G$9:$O$1240,9,0)*($C$5-INT($C$5))+VLOOKUP(INT($C$5),Tablas!$G$9:$O$124,9,0)*(INT($C$5)+1-$C$5)))</f>
      </c>
      <c r="G847" s="791">
        <f>IF($C$4="Hombre",(+VLOOKUP(INT(D847)+1,Tablas!$G$9:$K$1240,5,0)*(D847-INT(D847))+VLOOKUP(INT(D847),Tablas!$G$9:$K$1240,5,0)*(INT(D847)+1-D847)),+VLOOKUP(INT(D847)+1,Tablas!$G$9:$O$1240,9,0)*(D847-INT(D847))+VLOOKUP(INT(D847),Tablas!$G$9:$O$1240,9,0)*(INT(D847)+1-D847))</f>
      </c>
      <c r="H847" s="801">
        <f>+IF(MONTH(B847)=1,H846*(1+$C$9),H846)</f>
      </c>
      <c r="I847" s="689">
        <f>IF(B847&lt;$C$10,0,IF(B847&lt;$C$11,$C$8/12*E847*F847*H847,0))</f>
      </c>
      <c r="J847" s="689">
        <f>I847*12/14+IF(OR(MONTH(C847)=6,MONTH(C847)=12),I847*12/14,0)</f>
      </c>
      <c r="K847" s="801">
        <f>G847/$G$15</f>
      </c>
      <c r="L847" s="760"/>
      <c r="M847" s="767"/>
      <c r="N847" s="168"/>
      <c r="O847" s="768"/>
      <c r="P847" s="170"/>
      <c r="Q847" s="7"/>
      <c r="R847" s="766"/>
      <c r="S847" s="170"/>
      <c r="T847" s="168"/>
      <c r="U847" s="170"/>
    </row>
    <row x14ac:dyDescent="0.25" r="848" customHeight="1" ht="18.75">
      <c r="A848" s="1"/>
      <c r="B848" s="799">
        <f>+DATE(YEAR(B847),MONTH(B847)+1,DAY(B847))</f>
        <v>25569.041666666668</v>
      </c>
      <c r="C848" s="799">
        <f>+B849-1</f>
        <v>25569.041666666668</v>
      </c>
      <c r="D848" s="791">
        <f>-_xlfn.DAYS($C$3,C848)/365.25</f>
      </c>
      <c r="E848" s="800">
        <f>IF($D$17+40&lt;=D848,(1+$D$7)^-(D848-$C$5),(1+$C$7)^-(D848-$C$5))</f>
      </c>
      <c r="F848" s="801">
        <f>IF($C$4="Hombre",(+VLOOKUP(INT(D848)+1,Tablas!$G$9:$K$1240,5,0)*(D848-INT(D848))+VLOOKUP(INT(D848),Tablas!$G$9:$K$1240,5,0)*(INT(D848)+1-D848))/(VLOOKUP(INT($C$5)+1,Tablas!$G$9:$K$1240,5,0)*($C$5-INT($C$5))+VLOOKUP(INT($C$5),Tablas!$G$9:$K$124,5,0)*(INT($C$5)+1-$C$5)),(+VLOOKUP(INT(D848)+1,Tablas!$G$9:$O$1240,9,0)*(D848-INT(D848))+VLOOKUP(INT(D848),Tablas!$G$9:$O$1240,9,0)*(INT(D848)+1-D848))/(VLOOKUP(INT($C$5)+1,Tablas!$G$9:$O$1240,9,0)*($C$5-INT($C$5))+VLOOKUP(INT($C$5),Tablas!$G$9:$O$124,9,0)*(INT($C$5)+1-$C$5)))</f>
      </c>
      <c r="G848" s="791">
        <f>IF($C$4="Hombre",(+VLOOKUP(INT(D848)+1,Tablas!$G$9:$K$1240,5,0)*(D848-INT(D848))+VLOOKUP(INT(D848),Tablas!$G$9:$K$1240,5,0)*(INT(D848)+1-D848)),+VLOOKUP(INT(D848)+1,Tablas!$G$9:$O$1240,9,0)*(D848-INT(D848))+VLOOKUP(INT(D848),Tablas!$G$9:$O$1240,9,0)*(INT(D848)+1-D848))</f>
      </c>
      <c r="H848" s="801">
        <f>+IF(MONTH(B848)=1,H847*(1+$C$9),H847)</f>
      </c>
      <c r="I848" s="689">
        <f>IF(B848&lt;$C$10,0,IF(B848&lt;$C$11,$C$8/12*E848*F848*H848,0))</f>
      </c>
      <c r="J848" s="689">
        <f>I848*12/14+IF(OR(MONTH(C848)=6,MONTH(C848)=12),I848*12/14,0)</f>
      </c>
      <c r="K848" s="801">
        <f>G848/$G$15</f>
      </c>
      <c r="L848" s="760"/>
      <c r="M848" s="767"/>
      <c r="N848" s="168"/>
      <c r="O848" s="768"/>
      <c r="P848" s="170"/>
      <c r="Q848" s="7"/>
      <c r="R848" s="766"/>
      <c r="S848" s="170"/>
      <c r="T848" s="168"/>
      <c r="U848" s="170"/>
    </row>
    <row x14ac:dyDescent="0.25" r="849" customHeight="1" ht="18.75">
      <c r="A849" s="1"/>
      <c r="B849" s="799">
        <f>+DATE(YEAR(B848),MONTH(B848)+1,DAY(B848))</f>
        <v>25569.041666666668</v>
      </c>
      <c r="C849" s="799">
        <f>+B850-1</f>
        <v>25569.041666666668</v>
      </c>
      <c r="D849" s="791">
        <f>-_xlfn.DAYS($C$3,C849)/365.25</f>
      </c>
      <c r="E849" s="800">
        <f>IF($D$17+40&lt;=D849,(1+$D$7)^-(D849-$C$5),(1+$C$7)^-(D849-$C$5))</f>
      </c>
      <c r="F849" s="801">
        <f>IF($C$4="Hombre",(+VLOOKUP(INT(D849)+1,Tablas!$G$9:$K$1240,5,0)*(D849-INT(D849))+VLOOKUP(INT(D849),Tablas!$G$9:$K$1240,5,0)*(INT(D849)+1-D849))/(VLOOKUP(INT($C$5)+1,Tablas!$G$9:$K$1240,5,0)*($C$5-INT($C$5))+VLOOKUP(INT($C$5),Tablas!$G$9:$K$124,5,0)*(INT($C$5)+1-$C$5)),(+VLOOKUP(INT(D849)+1,Tablas!$G$9:$O$1240,9,0)*(D849-INT(D849))+VLOOKUP(INT(D849),Tablas!$G$9:$O$1240,9,0)*(INT(D849)+1-D849))/(VLOOKUP(INT($C$5)+1,Tablas!$G$9:$O$1240,9,0)*($C$5-INT($C$5))+VLOOKUP(INT($C$5),Tablas!$G$9:$O$124,9,0)*(INT($C$5)+1-$C$5)))</f>
      </c>
      <c r="G849" s="791">
        <f>IF($C$4="Hombre",(+VLOOKUP(INT(D849)+1,Tablas!$G$9:$K$1240,5,0)*(D849-INT(D849))+VLOOKUP(INT(D849),Tablas!$G$9:$K$1240,5,0)*(INT(D849)+1-D849)),+VLOOKUP(INT(D849)+1,Tablas!$G$9:$O$1240,9,0)*(D849-INT(D849))+VLOOKUP(INT(D849),Tablas!$G$9:$O$1240,9,0)*(INT(D849)+1-D849))</f>
      </c>
      <c r="H849" s="801">
        <f>+IF(MONTH(B849)=1,H848*(1+$C$9),H848)</f>
      </c>
      <c r="I849" s="689">
        <f>IF(B849&lt;$C$10,0,IF(B849&lt;$C$11,$C$8/12*E849*F849*H849,0))</f>
      </c>
      <c r="J849" s="689">
        <f>I849*12/14+IF(OR(MONTH(C849)=6,MONTH(C849)=12),I849*12/14,0)</f>
      </c>
      <c r="K849" s="801">
        <f>G849/$G$15</f>
      </c>
      <c r="L849" s="760"/>
      <c r="M849" s="767"/>
      <c r="N849" s="168"/>
      <c r="O849" s="768"/>
      <c r="P849" s="170"/>
      <c r="Q849" s="7"/>
      <c r="R849" s="766"/>
      <c r="S849" s="170"/>
      <c r="T849" s="168"/>
      <c r="U849" s="170"/>
    </row>
    <row x14ac:dyDescent="0.25" r="850" customHeight="1" ht="18.75">
      <c r="A850" s="1"/>
      <c r="B850" s="799">
        <f>+DATE(YEAR(B849),MONTH(B849)+1,DAY(B849))</f>
        <v>25569.041666666668</v>
      </c>
      <c r="C850" s="799">
        <f>+B851-1</f>
        <v>25569.041666666668</v>
      </c>
      <c r="D850" s="791">
        <f>-_xlfn.DAYS($C$3,C850)/365.25</f>
      </c>
      <c r="E850" s="800">
        <f>IF($D$17+40&lt;=D850,(1+$D$7)^-(D850-$C$5),(1+$C$7)^-(D850-$C$5))</f>
      </c>
      <c r="F850" s="801">
        <f>IF($C$4="Hombre",(+VLOOKUP(INT(D850)+1,Tablas!$G$9:$K$1240,5,0)*(D850-INT(D850))+VLOOKUP(INT(D850),Tablas!$G$9:$K$1240,5,0)*(INT(D850)+1-D850))/(VLOOKUP(INT($C$5)+1,Tablas!$G$9:$K$1240,5,0)*($C$5-INT($C$5))+VLOOKUP(INT($C$5),Tablas!$G$9:$K$124,5,0)*(INT($C$5)+1-$C$5)),(+VLOOKUP(INT(D850)+1,Tablas!$G$9:$O$1240,9,0)*(D850-INT(D850))+VLOOKUP(INT(D850),Tablas!$G$9:$O$1240,9,0)*(INT(D850)+1-D850))/(VLOOKUP(INT($C$5)+1,Tablas!$G$9:$O$1240,9,0)*($C$5-INT($C$5))+VLOOKUP(INT($C$5),Tablas!$G$9:$O$124,9,0)*(INT($C$5)+1-$C$5)))</f>
      </c>
      <c r="G850" s="791">
        <f>IF($C$4="Hombre",(+VLOOKUP(INT(D850)+1,Tablas!$G$9:$K$1240,5,0)*(D850-INT(D850))+VLOOKUP(INT(D850),Tablas!$G$9:$K$1240,5,0)*(INT(D850)+1-D850)),+VLOOKUP(INT(D850)+1,Tablas!$G$9:$O$1240,9,0)*(D850-INT(D850))+VLOOKUP(INT(D850),Tablas!$G$9:$O$1240,9,0)*(INT(D850)+1-D850))</f>
      </c>
      <c r="H850" s="801">
        <f>+IF(MONTH(B850)=1,H849*(1+$C$9),H849)</f>
      </c>
      <c r="I850" s="689">
        <f>IF(B850&lt;$C$10,0,IF(B850&lt;$C$11,$C$8/12*E850*F850*H850,0))</f>
      </c>
      <c r="J850" s="689">
        <f>I850*12/14+IF(OR(MONTH(C850)=6,MONTH(C850)=12),I850*12/14,0)</f>
      </c>
      <c r="K850" s="801">
        <f>G850/$G$15</f>
      </c>
      <c r="L850" s="760"/>
      <c r="M850" s="767"/>
      <c r="N850" s="168"/>
      <c r="O850" s="768"/>
      <c r="P850" s="170"/>
      <c r="Q850" s="7"/>
      <c r="R850" s="766"/>
      <c r="S850" s="170"/>
      <c r="T850" s="168"/>
      <c r="U850" s="170"/>
    </row>
    <row x14ac:dyDescent="0.25" r="851" customHeight="1" ht="18.75">
      <c r="A851" s="1"/>
      <c r="B851" s="799">
        <f>+DATE(YEAR(B850),MONTH(B850)+1,DAY(B850))</f>
        <v>25569.041666666668</v>
      </c>
      <c r="C851" s="799">
        <f>+B852-1</f>
        <v>25569.041666666668</v>
      </c>
      <c r="D851" s="791">
        <f>-_xlfn.DAYS($C$3,C851)/365.25</f>
      </c>
      <c r="E851" s="800">
        <f>IF($D$17+40&lt;=D851,(1+$D$7)^-(D851-$C$5),(1+$C$7)^-(D851-$C$5))</f>
      </c>
      <c r="F851" s="801">
        <f>IF($C$4="Hombre",(+VLOOKUP(INT(D851)+1,Tablas!$G$9:$K$1240,5,0)*(D851-INT(D851))+VLOOKUP(INT(D851),Tablas!$G$9:$K$1240,5,0)*(INT(D851)+1-D851))/(VLOOKUP(INT($C$5)+1,Tablas!$G$9:$K$1240,5,0)*($C$5-INT($C$5))+VLOOKUP(INT($C$5),Tablas!$G$9:$K$124,5,0)*(INT($C$5)+1-$C$5)),(+VLOOKUP(INT(D851)+1,Tablas!$G$9:$O$1240,9,0)*(D851-INT(D851))+VLOOKUP(INT(D851),Tablas!$G$9:$O$1240,9,0)*(INT(D851)+1-D851))/(VLOOKUP(INT($C$5)+1,Tablas!$G$9:$O$1240,9,0)*($C$5-INT($C$5))+VLOOKUP(INT($C$5),Tablas!$G$9:$O$124,9,0)*(INT($C$5)+1-$C$5)))</f>
      </c>
      <c r="G851" s="791">
        <f>IF($C$4="Hombre",(+VLOOKUP(INT(D851)+1,Tablas!$G$9:$K$1240,5,0)*(D851-INT(D851))+VLOOKUP(INT(D851),Tablas!$G$9:$K$1240,5,0)*(INT(D851)+1-D851)),+VLOOKUP(INT(D851)+1,Tablas!$G$9:$O$1240,9,0)*(D851-INT(D851))+VLOOKUP(INT(D851),Tablas!$G$9:$O$1240,9,0)*(INT(D851)+1-D851))</f>
      </c>
      <c r="H851" s="801">
        <f>+IF(MONTH(B851)=1,H850*(1+$C$9),H850)</f>
      </c>
      <c r="I851" s="689">
        <f>IF(B851&lt;$C$10,0,IF(B851&lt;$C$11,$C$8/12*E851*F851*H851,0))</f>
      </c>
      <c r="J851" s="689">
        <f>I851*12/14+IF(OR(MONTH(C851)=6,MONTH(C851)=12),I851*12/14,0)</f>
      </c>
      <c r="K851" s="801">
        <f>G851/$G$15</f>
      </c>
      <c r="L851" s="760"/>
      <c r="M851" s="767"/>
      <c r="N851" s="168"/>
      <c r="O851" s="768"/>
      <c r="P851" s="170"/>
      <c r="Q851" s="7"/>
      <c r="R851" s="766"/>
      <c r="S851" s="170"/>
      <c r="T851" s="168"/>
      <c r="U851" s="170"/>
    </row>
    <row x14ac:dyDescent="0.25" r="852" customHeight="1" ht="18.75">
      <c r="A852" s="1"/>
      <c r="B852" s="799">
        <f>+DATE(YEAR(B851),MONTH(B851)+1,DAY(B851))</f>
        <v>25569.041666666668</v>
      </c>
      <c r="C852" s="799">
        <f>+B853-1</f>
        <v>25569.041666666668</v>
      </c>
      <c r="D852" s="791">
        <f>-_xlfn.DAYS($C$3,C852)/365.25</f>
      </c>
      <c r="E852" s="800">
        <f>IF($D$17+40&lt;=D852,(1+$D$7)^-(D852-$C$5),(1+$C$7)^-(D852-$C$5))</f>
      </c>
      <c r="F852" s="801">
        <f>IF($C$4="Hombre",(+VLOOKUP(INT(D852)+1,Tablas!$G$9:$K$1240,5,0)*(D852-INT(D852))+VLOOKUP(INT(D852),Tablas!$G$9:$K$1240,5,0)*(INT(D852)+1-D852))/(VLOOKUP(INT($C$5)+1,Tablas!$G$9:$K$1240,5,0)*($C$5-INT($C$5))+VLOOKUP(INT($C$5),Tablas!$G$9:$K$124,5,0)*(INT($C$5)+1-$C$5)),(+VLOOKUP(INT(D852)+1,Tablas!$G$9:$O$1240,9,0)*(D852-INT(D852))+VLOOKUP(INT(D852),Tablas!$G$9:$O$1240,9,0)*(INT(D852)+1-D852))/(VLOOKUP(INT($C$5)+1,Tablas!$G$9:$O$1240,9,0)*($C$5-INT($C$5))+VLOOKUP(INT($C$5),Tablas!$G$9:$O$124,9,0)*(INT($C$5)+1-$C$5)))</f>
      </c>
      <c r="G852" s="791">
        <f>IF($C$4="Hombre",(+VLOOKUP(INT(D852)+1,Tablas!$G$9:$K$1240,5,0)*(D852-INT(D852))+VLOOKUP(INT(D852),Tablas!$G$9:$K$1240,5,0)*(INT(D852)+1-D852)),+VLOOKUP(INT(D852)+1,Tablas!$G$9:$O$1240,9,0)*(D852-INT(D852))+VLOOKUP(INT(D852),Tablas!$G$9:$O$1240,9,0)*(INT(D852)+1-D852))</f>
      </c>
      <c r="H852" s="801">
        <f>+IF(MONTH(B852)=1,H851*(1+$C$9),H851)</f>
      </c>
      <c r="I852" s="689">
        <f>IF(B852&lt;$C$10,0,IF(B852&lt;$C$11,$C$8/12*E852*F852*H852,0))</f>
      </c>
      <c r="J852" s="689">
        <f>I852*12/14+IF(OR(MONTH(C852)=6,MONTH(C852)=12),I852*12/14,0)</f>
      </c>
      <c r="K852" s="801">
        <f>G852/$G$15</f>
      </c>
      <c r="L852" s="760"/>
      <c r="M852" s="767"/>
      <c r="N852" s="168"/>
      <c r="O852" s="768"/>
      <c r="P852" s="170"/>
      <c r="Q852" s="7"/>
      <c r="R852" s="766"/>
      <c r="S852" s="170"/>
      <c r="T852" s="168"/>
      <c r="U852" s="170"/>
    </row>
    <row x14ac:dyDescent="0.25" r="853" customHeight="1" ht="18.75">
      <c r="A853" s="1"/>
      <c r="B853" s="799">
        <f>+DATE(YEAR(B852),MONTH(B852)+1,DAY(B852))</f>
        <v>25569.041666666668</v>
      </c>
      <c r="C853" s="799">
        <f>+B854-1</f>
        <v>25569.041666666668</v>
      </c>
      <c r="D853" s="791">
        <f>-_xlfn.DAYS($C$3,C853)/365.25</f>
      </c>
      <c r="E853" s="800">
        <f>IF($D$17+40&lt;=D853,(1+$D$7)^-(D853-$C$5),(1+$C$7)^-(D853-$C$5))</f>
      </c>
      <c r="F853" s="801">
        <f>IF($C$4="Hombre",(+VLOOKUP(INT(D853)+1,Tablas!$G$9:$K$1240,5,0)*(D853-INT(D853))+VLOOKUP(INT(D853),Tablas!$G$9:$K$1240,5,0)*(INT(D853)+1-D853))/(VLOOKUP(INT($C$5)+1,Tablas!$G$9:$K$1240,5,0)*($C$5-INT($C$5))+VLOOKUP(INT($C$5),Tablas!$G$9:$K$124,5,0)*(INT($C$5)+1-$C$5)),(+VLOOKUP(INT(D853)+1,Tablas!$G$9:$O$1240,9,0)*(D853-INT(D853))+VLOOKUP(INT(D853),Tablas!$G$9:$O$1240,9,0)*(INT(D853)+1-D853))/(VLOOKUP(INT($C$5)+1,Tablas!$G$9:$O$1240,9,0)*($C$5-INT($C$5))+VLOOKUP(INT($C$5),Tablas!$G$9:$O$124,9,0)*(INT($C$5)+1-$C$5)))</f>
      </c>
      <c r="G853" s="791">
        <f>IF($C$4="Hombre",(+VLOOKUP(INT(D853)+1,Tablas!$G$9:$K$1240,5,0)*(D853-INT(D853))+VLOOKUP(INT(D853),Tablas!$G$9:$K$1240,5,0)*(INT(D853)+1-D853)),+VLOOKUP(INT(D853)+1,Tablas!$G$9:$O$1240,9,0)*(D853-INT(D853))+VLOOKUP(INT(D853),Tablas!$G$9:$O$1240,9,0)*(INT(D853)+1-D853))</f>
      </c>
      <c r="H853" s="801">
        <f>+IF(MONTH(B853)=1,H852*(1+$C$9),H852)</f>
      </c>
      <c r="I853" s="689">
        <f>IF(B853&lt;$C$10,0,IF(B853&lt;$C$11,$C$8/12*E853*F853*H853,0))</f>
      </c>
      <c r="J853" s="689">
        <f>I853*12/14+IF(OR(MONTH(C853)=6,MONTH(C853)=12),I853*12/14,0)</f>
      </c>
      <c r="K853" s="801">
        <f>G853/$G$15</f>
      </c>
      <c r="L853" s="760"/>
      <c r="M853" s="767"/>
      <c r="N853" s="168"/>
      <c r="O853" s="768"/>
      <c r="P853" s="170"/>
      <c r="Q853" s="7"/>
      <c r="R853" s="766"/>
      <c r="S853" s="170"/>
      <c r="T853" s="168"/>
      <c r="U853" s="170"/>
    </row>
    <row x14ac:dyDescent="0.25" r="854" customHeight="1" ht="18.75">
      <c r="A854" s="1"/>
      <c r="B854" s="799">
        <f>+DATE(YEAR(B853),MONTH(B853)+1,DAY(B853))</f>
        <v>25569.041666666668</v>
      </c>
      <c r="C854" s="799">
        <f>+B855-1</f>
        <v>25569.041666666668</v>
      </c>
      <c r="D854" s="791">
        <f>-_xlfn.DAYS($C$3,C854)/365.25</f>
      </c>
      <c r="E854" s="800">
        <f>IF($D$17+40&lt;=D854,(1+$D$7)^-(D854-$C$5),(1+$C$7)^-(D854-$C$5))</f>
      </c>
      <c r="F854" s="801">
        <f>IF($C$4="Hombre",(+VLOOKUP(INT(D854)+1,Tablas!$G$9:$K$1240,5,0)*(D854-INT(D854))+VLOOKUP(INT(D854),Tablas!$G$9:$K$1240,5,0)*(INT(D854)+1-D854))/(VLOOKUP(INT($C$5)+1,Tablas!$G$9:$K$1240,5,0)*($C$5-INT($C$5))+VLOOKUP(INT($C$5),Tablas!$G$9:$K$124,5,0)*(INT($C$5)+1-$C$5)),(+VLOOKUP(INT(D854)+1,Tablas!$G$9:$O$1240,9,0)*(D854-INT(D854))+VLOOKUP(INT(D854),Tablas!$G$9:$O$1240,9,0)*(INT(D854)+1-D854))/(VLOOKUP(INT($C$5)+1,Tablas!$G$9:$O$1240,9,0)*($C$5-INT($C$5))+VLOOKUP(INT($C$5),Tablas!$G$9:$O$124,9,0)*(INT($C$5)+1-$C$5)))</f>
      </c>
      <c r="G854" s="791">
        <f>IF($C$4="Hombre",(+VLOOKUP(INT(D854)+1,Tablas!$G$9:$K$1240,5,0)*(D854-INT(D854))+VLOOKUP(INT(D854),Tablas!$G$9:$K$1240,5,0)*(INT(D854)+1-D854)),+VLOOKUP(INT(D854)+1,Tablas!$G$9:$O$1240,9,0)*(D854-INT(D854))+VLOOKUP(INT(D854),Tablas!$G$9:$O$1240,9,0)*(INT(D854)+1-D854))</f>
      </c>
      <c r="H854" s="801">
        <f>+IF(MONTH(B854)=1,H853*(1+$C$9),H853)</f>
      </c>
      <c r="I854" s="689">
        <f>IF(B854&lt;$C$10,0,IF(B854&lt;$C$11,$C$8/12*E854*F854*H854,0))</f>
      </c>
      <c r="J854" s="689">
        <f>I854*12/14+IF(OR(MONTH(C854)=6,MONTH(C854)=12),I854*12/14,0)</f>
      </c>
      <c r="K854" s="801">
        <f>G854/$G$15</f>
      </c>
      <c r="L854" s="760"/>
      <c r="M854" s="767"/>
      <c r="N854" s="168"/>
      <c r="O854" s="768"/>
      <c r="P854" s="170"/>
      <c r="Q854" s="7"/>
      <c r="R854" s="766"/>
      <c r="S854" s="170"/>
      <c r="T854" s="168"/>
      <c r="U854" s="170"/>
    </row>
    <row x14ac:dyDescent="0.25" r="855" customHeight="1" ht="18.75">
      <c r="A855" s="1"/>
      <c r="B855" s="799">
        <f>+DATE(YEAR(B854),MONTH(B854)+1,DAY(B854))</f>
        <v>25569.041666666668</v>
      </c>
      <c r="C855" s="799">
        <f>+B856-1</f>
        <v>25569.041666666668</v>
      </c>
      <c r="D855" s="791">
        <f>-_xlfn.DAYS($C$3,C855)/365.25</f>
      </c>
      <c r="E855" s="800">
        <f>IF($D$17+40&lt;=D855,(1+$D$7)^-(D855-$C$5),(1+$C$7)^-(D855-$C$5))</f>
      </c>
      <c r="F855" s="801">
        <f>IF($C$4="Hombre",(+VLOOKUP(INT(D855)+1,Tablas!$G$9:$K$1240,5,0)*(D855-INT(D855))+VLOOKUP(INT(D855),Tablas!$G$9:$K$1240,5,0)*(INT(D855)+1-D855))/(VLOOKUP(INT($C$5)+1,Tablas!$G$9:$K$1240,5,0)*($C$5-INT($C$5))+VLOOKUP(INT($C$5),Tablas!$G$9:$K$124,5,0)*(INT($C$5)+1-$C$5)),(+VLOOKUP(INT(D855)+1,Tablas!$G$9:$O$1240,9,0)*(D855-INT(D855))+VLOOKUP(INT(D855),Tablas!$G$9:$O$1240,9,0)*(INT(D855)+1-D855))/(VLOOKUP(INT($C$5)+1,Tablas!$G$9:$O$1240,9,0)*($C$5-INT($C$5))+VLOOKUP(INT($C$5),Tablas!$G$9:$O$124,9,0)*(INT($C$5)+1-$C$5)))</f>
      </c>
      <c r="G855" s="791">
        <f>IF($C$4="Hombre",(+VLOOKUP(INT(D855)+1,Tablas!$G$9:$K$1240,5,0)*(D855-INT(D855))+VLOOKUP(INT(D855),Tablas!$G$9:$K$1240,5,0)*(INT(D855)+1-D855)),+VLOOKUP(INT(D855)+1,Tablas!$G$9:$O$1240,9,0)*(D855-INT(D855))+VLOOKUP(INT(D855),Tablas!$G$9:$O$1240,9,0)*(INT(D855)+1-D855))</f>
      </c>
      <c r="H855" s="801">
        <f>+IF(MONTH(B855)=1,H854*(1+$C$9),H854)</f>
      </c>
      <c r="I855" s="689">
        <f>IF(B855&lt;$C$10,0,IF(B855&lt;$C$11,$C$8/12*E855*F855*H855,0))</f>
      </c>
      <c r="J855" s="689">
        <f>I855*12/14+IF(OR(MONTH(C855)=6,MONTH(C855)=12),I855*12/14,0)</f>
      </c>
      <c r="K855" s="801">
        <f>G855/$G$15</f>
      </c>
      <c r="L855" s="760"/>
      <c r="M855" s="767"/>
      <c r="N855" s="168"/>
      <c r="O855" s="768"/>
      <c r="P855" s="170"/>
      <c r="Q855" s="7"/>
      <c r="R855" s="766"/>
      <c r="S855" s="170"/>
      <c r="T855" s="168"/>
      <c r="U855" s="170"/>
    </row>
    <row x14ac:dyDescent="0.25" r="856" customHeight="1" ht="18.75">
      <c r="A856" s="1"/>
      <c r="B856" s="799">
        <f>+DATE(YEAR(B855),MONTH(B855)+1,DAY(B855))</f>
        <v>25569.041666666668</v>
      </c>
      <c r="C856" s="799">
        <f>+B857-1</f>
        <v>25569.041666666668</v>
      </c>
      <c r="D856" s="791">
        <f>-_xlfn.DAYS($C$3,C856)/365.25</f>
      </c>
      <c r="E856" s="800">
        <f>IF($D$17+40&lt;=D856,(1+$D$7)^-(D856-$C$5),(1+$C$7)^-(D856-$C$5))</f>
      </c>
      <c r="F856" s="801">
        <f>IF($C$4="Hombre",(+VLOOKUP(INT(D856)+1,Tablas!$G$9:$K$1240,5,0)*(D856-INT(D856))+VLOOKUP(INT(D856),Tablas!$G$9:$K$1240,5,0)*(INT(D856)+1-D856))/(VLOOKUP(INT($C$5)+1,Tablas!$G$9:$K$1240,5,0)*($C$5-INT($C$5))+VLOOKUP(INT($C$5),Tablas!$G$9:$K$124,5,0)*(INT($C$5)+1-$C$5)),(+VLOOKUP(INT(D856)+1,Tablas!$G$9:$O$1240,9,0)*(D856-INT(D856))+VLOOKUP(INT(D856),Tablas!$G$9:$O$1240,9,0)*(INT(D856)+1-D856))/(VLOOKUP(INT($C$5)+1,Tablas!$G$9:$O$1240,9,0)*($C$5-INT($C$5))+VLOOKUP(INT($C$5),Tablas!$G$9:$O$124,9,0)*(INT($C$5)+1-$C$5)))</f>
      </c>
      <c r="G856" s="791">
        <f>IF($C$4="Hombre",(+VLOOKUP(INT(D856)+1,Tablas!$G$9:$K$1240,5,0)*(D856-INT(D856))+VLOOKUP(INT(D856),Tablas!$G$9:$K$1240,5,0)*(INT(D856)+1-D856)),+VLOOKUP(INT(D856)+1,Tablas!$G$9:$O$1240,9,0)*(D856-INT(D856))+VLOOKUP(INT(D856),Tablas!$G$9:$O$1240,9,0)*(INT(D856)+1-D856))</f>
      </c>
      <c r="H856" s="801">
        <f>+IF(MONTH(B856)=1,H855*(1+$C$9),H855)</f>
      </c>
      <c r="I856" s="689">
        <f>IF(B856&lt;$C$10,0,IF(B856&lt;$C$11,$C$8/12*E856*F856*H856,0))</f>
      </c>
      <c r="J856" s="689">
        <f>I856*12/14+IF(OR(MONTH(C856)=6,MONTH(C856)=12),I856*12/14,0)</f>
      </c>
      <c r="K856" s="801">
        <f>G856/$G$15</f>
      </c>
      <c r="L856" s="760"/>
      <c r="M856" s="767"/>
      <c r="N856" s="168"/>
      <c r="O856" s="768"/>
      <c r="P856" s="170"/>
      <c r="Q856" s="7"/>
      <c r="R856" s="766"/>
      <c r="S856" s="170"/>
      <c r="T856" s="168"/>
      <c r="U856" s="170"/>
    </row>
    <row x14ac:dyDescent="0.25" r="857" customHeight="1" ht="18.75">
      <c r="A857" s="1"/>
      <c r="B857" s="799">
        <f>+DATE(YEAR(B856),MONTH(B856)+1,DAY(B856))</f>
        <v>25569.041666666668</v>
      </c>
      <c r="C857" s="799">
        <f>+B858-1</f>
        <v>25569.041666666668</v>
      </c>
      <c r="D857" s="791">
        <f>-_xlfn.DAYS($C$3,C857)/365.25</f>
      </c>
      <c r="E857" s="800">
        <f>IF($D$17+40&lt;=D857,(1+$D$7)^-(D857-$C$5),(1+$C$7)^-(D857-$C$5))</f>
      </c>
      <c r="F857" s="801">
        <f>IF($C$4="Hombre",(+VLOOKUP(INT(D857)+1,Tablas!$G$9:$K$1240,5,0)*(D857-INT(D857))+VLOOKUP(INT(D857),Tablas!$G$9:$K$1240,5,0)*(INT(D857)+1-D857))/(VLOOKUP(INT($C$5)+1,Tablas!$G$9:$K$1240,5,0)*($C$5-INT($C$5))+VLOOKUP(INT($C$5),Tablas!$G$9:$K$124,5,0)*(INT($C$5)+1-$C$5)),(+VLOOKUP(INT(D857)+1,Tablas!$G$9:$O$1240,9,0)*(D857-INT(D857))+VLOOKUP(INT(D857),Tablas!$G$9:$O$1240,9,0)*(INT(D857)+1-D857))/(VLOOKUP(INT($C$5)+1,Tablas!$G$9:$O$1240,9,0)*($C$5-INT($C$5))+VLOOKUP(INT($C$5),Tablas!$G$9:$O$124,9,0)*(INT($C$5)+1-$C$5)))</f>
      </c>
      <c r="G857" s="791">
        <f>IF($C$4="Hombre",(+VLOOKUP(INT(D857)+1,Tablas!$G$9:$K$1240,5,0)*(D857-INT(D857))+VLOOKUP(INT(D857),Tablas!$G$9:$K$1240,5,0)*(INT(D857)+1-D857)),+VLOOKUP(INT(D857)+1,Tablas!$G$9:$O$1240,9,0)*(D857-INT(D857))+VLOOKUP(INT(D857),Tablas!$G$9:$O$1240,9,0)*(INT(D857)+1-D857))</f>
      </c>
      <c r="H857" s="801">
        <f>+IF(MONTH(B857)=1,H856*(1+$C$9),H856)</f>
      </c>
      <c r="I857" s="689">
        <f>IF(B857&lt;$C$10,0,IF(B857&lt;$C$11,$C$8/12*E857*F857*H857,0))</f>
      </c>
      <c r="J857" s="689">
        <f>I857*12/14+IF(OR(MONTH(C857)=6,MONTH(C857)=12),I857*12/14,0)</f>
      </c>
      <c r="K857" s="801">
        <f>G857/$G$15</f>
      </c>
      <c r="L857" s="760"/>
      <c r="M857" s="767"/>
      <c r="N857" s="168"/>
      <c r="O857" s="768"/>
      <c r="P857" s="170"/>
      <c r="Q857" s="7"/>
      <c r="R857" s="766"/>
      <c r="S857" s="170"/>
      <c r="T857" s="168"/>
      <c r="U857" s="170"/>
    </row>
    <row x14ac:dyDescent="0.25" r="858" customHeight="1" ht="18.75">
      <c r="A858" s="1"/>
      <c r="B858" s="799">
        <f>+DATE(YEAR(B857),MONTH(B857)+1,DAY(B857))</f>
        <v>25569.041666666668</v>
      </c>
      <c r="C858" s="799">
        <f>+B859-1</f>
        <v>25569.041666666668</v>
      </c>
      <c r="D858" s="791">
        <f>-_xlfn.DAYS($C$3,C858)/365.25</f>
      </c>
      <c r="E858" s="800">
        <f>IF($D$17+40&lt;=D858,(1+$D$7)^-(D858-$C$5),(1+$C$7)^-(D858-$C$5))</f>
      </c>
      <c r="F858" s="801">
        <f>IF($C$4="Hombre",(+VLOOKUP(INT(D858)+1,Tablas!$G$9:$K$1240,5,0)*(D858-INT(D858))+VLOOKUP(INT(D858),Tablas!$G$9:$K$1240,5,0)*(INT(D858)+1-D858))/(VLOOKUP(INT($C$5)+1,Tablas!$G$9:$K$1240,5,0)*($C$5-INT($C$5))+VLOOKUP(INT($C$5),Tablas!$G$9:$K$124,5,0)*(INT($C$5)+1-$C$5)),(+VLOOKUP(INT(D858)+1,Tablas!$G$9:$O$1240,9,0)*(D858-INT(D858))+VLOOKUP(INT(D858),Tablas!$G$9:$O$1240,9,0)*(INT(D858)+1-D858))/(VLOOKUP(INT($C$5)+1,Tablas!$G$9:$O$1240,9,0)*($C$5-INT($C$5))+VLOOKUP(INT($C$5),Tablas!$G$9:$O$124,9,0)*(INT($C$5)+1-$C$5)))</f>
      </c>
      <c r="G858" s="791">
        <f>IF($C$4="Hombre",(+VLOOKUP(INT(D858)+1,Tablas!$G$9:$K$1240,5,0)*(D858-INT(D858))+VLOOKUP(INT(D858),Tablas!$G$9:$K$1240,5,0)*(INT(D858)+1-D858)),+VLOOKUP(INT(D858)+1,Tablas!$G$9:$O$1240,9,0)*(D858-INT(D858))+VLOOKUP(INT(D858),Tablas!$G$9:$O$1240,9,0)*(INT(D858)+1-D858))</f>
      </c>
      <c r="H858" s="801">
        <f>+IF(MONTH(B858)=1,H857*(1+$C$9),H857)</f>
      </c>
      <c r="I858" s="689">
        <f>IF(B858&lt;$C$10,0,IF(B858&lt;$C$11,$C$8/12*E858*F858*H858,0))</f>
      </c>
      <c r="J858" s="689">
        <f>I858*12/14+IF(OR(MONTH(C858)=6,MONTH(C858)=12),I858*12/14,0)</f>
      </c>
      <c r="K858" s="801">
        <f>G858/$G$15</f>
      </c>
      <c r="L858" s="760"/>
      <c r="M858" s="767"/>
      <c r="N858" s="168"/>
      <c r="O858" s="768"/>
      <c r="P858" s="170"/>
      <c r="Q858" s="7"/>
      <c r="R858" s="766"/>
      <c r="S858" s="170"/>
      <c r="T858" s="168"/>
      <c r="U858" s="170"/>
    </row>
    <row x14ac:dyDescent="0.25" r="859" customHeight="1" ht="18.75">
      <c r="A859" s="1"/>
      <c r="B859" s="799">
        <f>+DATE(YEAR(B858),MONTH(B858)+1,DAY(B858))</f>
        <v>25569.041666666668</v>
      </c>
      <c r="C859" s="799">
        <f>+B860-1</f>
        <v>25569.041666666668</v>
      </c>
      <c r="D859" s="791">
        <f>-_xlfn.DAYS($C$3,C859)/365.25</f>
      </c>
      <c r="E859" s="800">
        <f>IF($D$17+40&lt;=D859,(1+$D$7)^-(D859-$C$5),(1+$C$7)^-(D859-$C$5))</f>
      </c>
      <c r="F859" s="801">
        <f>IF($C$4="Hombre",(+VLOOKUP(INT(D859)+1,Tablas!$G$9:$K$1240,5,0)*(D859-INT(D859))+VLOOKUP(INT(D859),Tablas!$G$9:$K$1240,5,0)*(INT(D859)+1-D859))/(VLOOKUP(INT($C$5)+1,Tablas!$G$9:$K$1240,5,0)*($C$5-INT($C$5))+VLOOKUP(INT($C$5),Tablas!$G$9:$K$124,5,0)*(INT($C$5)+1-$C$5)),(+VLOOKUP(INT(D859)+1,Tablas!$G$9:$O$1240,9,0)*(D859-INT(D859))+VLOOKUP(INT(D859),Tablas!$G$9:$O$1240,9,0)*(INT(D859)+1-D859))/(VLOOKUP(INT($C$5)+1,Tablas!$G$9:$O$1240,9,0)*($C$5-INT($C$5))+VLOOKUP(INT($C$5),Tablas!$G$9:$O$124,9,0)*(INT($C$5)+1-$C$5)))</f>
      </c>
      <c r="G859" s="791">
        <f>IF($C$4="Hombre",(+VLOOKUP(INT(D859)+1,Tablas!$G$9:$K$1240,5,0)*(D859-INT(D859))+VLOOKUP(INT(D859),Tablas!$G$9:$K$1240,5,0)*(INT(D859)+1-D859)),+VLOOKUP(INT(D859)+1,Tablas!$G$9:$O$1240,9,0)*(D859-INT(D859))+VLOOKUP(INT(D859),Tablas!$G$9:$O$1240,9,0)*(INT(D859)+1-D859))</f>
      </c>
      <c r="H859" s="801">
        <f>+IF(MONTH(B859)=1,H858*(1+$C$9),H858)</f>
      </c>
      <c r="I859" s="689">
        <f>IF(B859&lt;$C$10,0,IF(B859&lt;$C$11,$C$8/12*E859*F859*H859,0))</f>
      </c>
      <c r="J859" s="689">
        <f>I859*12/14+IF(OR(MONTH(C859)=6,MONTH(C859)=12),I859*12/14,0)</f>
      </c>
      <c r="K859" s="801">
        <f>G859/$G$15</f>
      </c>
      <c r="L859" s="760"/>
      <c r="M859" s="767"/>
      <c r="N859" s="168"/>
      <c r="O859" s="768"/>
      <c r="P859" s="170"/>
      <c r="Q859" s="7"/>
      <c r="R859" s="766"/>
      <c r="S859" s="170"/>
      <c r="T859" s="168"/>
      <c r="U859" s="170"/>
    </row>
    <row x14ac:dyDescent="0.25" r="860" customHeight="1" ht="18.75">
      <c r="A860" s="1"/>
      <c r="B860" s="799">
        <f>+DATE(YEAR(B859),MONTH(B859)+1,DAY(B859))</f>
        <v>25569.041666666668</v>
      </c>
      <c r="C860" s="799">
        <f>+B861-1</f>
        <v>25569.041666666668</v>
      </c>
      <c r="D860" s="791">
        <f>-_xlfn.DAYS($C$3,C860)/365.25</f>
      </c>
      <c r="E860" s="800">
        <f>IF($D$17+40&lt;=D860,(1+$D$7)^-(D860-$C$5),(1+$C$7)^-(D860-$C$5))</f>
      </c>
      <c r="F860" s="801">
        <f>IF($C$4="Hombre",(+VLOOKUP(INT(D860)+1,Tablas!$G$9:$K$1240,5,0)*(D860-INT(D860))+VLOOKUP(INT(D860),Tablas!$G$9:$K$1240,5,0)*(INT(D860)+1-D860))/(VLOOKUP(INT($C$5)+1,Tablas!$G$9:$K$1240,5,0)*($C$5-INT($C$5))+VLOOKUP(INT($C$5),Tablas!$G$9:$K$124,5,0)*(INT($C$5)+1-$C$5)),(+VLOOKUP(INT(D860)+1,Tablas!$G$9:$O$1240,9,0)*(D860-INT(D860))+VLOOKUP(INT(D860),Tablas!$G$9:$O$1240,9,0)*(INT(D860)+1-D860))/(VLOOKUP(INT($C$5)+1,Tablas!$G$9:$O$1240,9,0)*($C$5-INT($C$5))+VLOOKUP(INT($C$5),Tablas!$G$9:$O$124,9,0)*(INT($C$5)+1-$C$5)))</f>
      </c>
      <c r="G860" s="791">
        <f>IF($C$4="Hombre",(+VLOOKUP(INT(D860)+1,Tablas!$G$9:$K$1240,5,0)*(D860-INT(D860))+VLOOKUP(INT(D860),Tablas!$G$9:$K$1240,5,0)*(INT(D860)+1-D860)),+VLOOKUP(INT(D860)+1,Tablas!$G$9:$O$1240,9,0)*(D860-INT(D860))+VLOOKUP(INT(D860),Tablas!$G$9:$O$1240,9,0)*(INT(D860)+1-D860))</f>
      </c>
      <c r="H860" s="801">
        <f>+IF(MONTH(B860)=1,H859*(1+$C$9),H859)</f>
      </c>
      <c r="I860" s="689">
        <f>IF(B860&lt;$C$10,0,IF(B860&lt;$C$11,$C$8/12*E860*F860*H860,0))</f>
      </c>
      <c r="J860" s="689">
        <f>I860*12/14+IF(OR(MONTH(C860)=6,MONTH(C860)=12),I860*12/14,0)</f>
      </c>
      <c r="K860" s="801">
        <f>G860/$G$15</f>
      </c>
      <c r="L860" s="760"/>
      <c r="M860" s="767"/>
      <c r="N860" s="168"/>
      <c r="O860" s="768"/>
      <c r="P860" s="170"/>
      <c r="Q860" s="7"/>
      <c r="R860" s="766"/>
      <c r="S860" s="170"/>
      <c r="T860" s="168"/>
      <c r="U860" s="170"/>
    </row>
    <row x14ac:dyDescent="0.25" r="861" customHeight="1" ht="18.75">
      <c r="A861" s="1"/>
      <c r="B861" s="799">
        <f>+DATE(YEAR(B860),MONTH(B860)+1,DAY(B860))</f>
        <v>25569.041666666668</v>
      </c>
      <c r="C861" s="799">
        <f>+B862-1</f>
        <v>25569.041666666668</v>
      </c>
      <c r="D861" s="791">
        <f>-_xlfn.DAYS($C$3,C861)/365.25</f>
      </c>
      <c r="E861" s="800">
        <f>IF($D$17+40&lt;=D861,(1+$D$7)^-(D861-$C$5),(1+$C$7)^-(D861-$C$5))</f>
      </c>
      <c r="F861" s="801">
        <f>IF($C$4="Hombre",(+VLOOKUP(INT(D861)+1,Tablas!$G$9:$K$1240,5,0)*(D861-INT(D861))+VLOOKUP(INT(D861),Tablas!$G$9:$K$1240,5,0)*(INT(D861)+1-D861))/(VLOOKUP(INT($C$5)+1,Tablas!$G$9:$K$1240,5,0)*($C$5-INT($C$5))+VLOOKUP(INT($C$5),Tablas!$G$9:$K$124,5,0)*(INT($C$5)+1-$C$5)),(+VLOOKUP(INT(D861)+1,Tablas!$G$9:$O$1240,9,0)*(D861-INT(D861))+VLOOKUP(INT(D861),Tablas!$G$9:$O$1240,9,0)*(INT(D861)+1-D861))/(VLOOKUP(INT($C$5)+1,Tablas!$G$9:$O$1240,9,0)*($C$5-INT($C$5))+VLOOKUP(INT($C$5),Tablas!$G$9:$O$124,9,0)*(INT($C$5)+1-$C$5)))</f>
      </c>
      <c r="G861" s="791">
        <f>IF($C$4="Hombre",(+VLOOKUP(INT(D861)+1,Tablas!$G$9:$K$1240,5,0)*(D861-INT(D861))+VLOOKUP(INT(D861),Tablas!$G$9:$K$1240,5,0)*(INT(D861)+1-D861)),+VLOOKUP(INT(D861)+1,Tablas!$G$9:$O$1240,9,0)*(D861-INT(D861))+VLOOKUP(INT(D861),Tablas!$G$9:$O$1240,9,0)*(INT(D861)+1-D861))</f>
      </c>
      <c r="H861" s="801">
        <f>+IF(MONTH(B861)=1,H860*(1+$C$9),H860)</f>
      </c>
      <c r="I861" s="689">
        <f>IF(B861&lt;$C$10,0,IF(B861&lt;$C$11,$C$8/12*E861*F861*H861,0))</f>
      </c>
      <c r="J861" s="689">
        <f>I861*12/14+IF(OR(MONTH(C861)=6,MONTH(C861)=12),I861*12/14,0)</f>
      </c>
      <c r="K861" s="801">
        <f>G861/$G$15</f>
      </c>
      <c r="L861" s="760"/>
      <c r="M861" s="767"/>
      <c r="N861" s="168"/>
      <c r="O861" s="768"/>
      <c r="P861" s="170"/>
      <c r="Q861" s="7"/>
      <c r="R861" s="766"/>
      <c r="S861" s="170"/>
      <c r="T861" s="168"/>
      <c r="U861" s="170"/>
    </row>
    <row x14ac:dyDescent="0.25" r="862" customHeight="1" ht="18.75">
      <c r="A862" s="1"/>
      <c r="B862" s="799">
        <f>+DATE(YEAR(B861),MONTH(B861)+1,DAY(B861))</f>
        <v>25569.041666666668</v>
      </c>
      <c r="C862" s="799">
        <f>+B863-1</f>
        <v>25569.041666666668</v>
      </c>
      <c r="D862" s="791">
        <f>-_xlfn.DAYS($C$3,C862)/365.25</f>
      </c>
      <c r="E862" s="800">
        <f>IF($D$17+40&lt;=D862,(1+$D$7)^-(D862-$C$5),(1+$C$7)^-(D862-$C$5))</f>
      </c>
      <c r="F862" s="801">
        <f>IF($C$4="Hombre",(+VLOOKUP(INT(D862)+1,Tablas!$G$9:$K$1240,5,0)*(D862-INT(D862))+VLOOKUP(INT(D862),Tablas!$G$9:$K$1240,5,0)*(INT(D862)+1-D862))/(VLOOKUP(INT($C$5)+1,Tablas!$G$9:$K$1240,5,0)*($C$5-INT($C$5))+VLOOKUP(INT($C$5),Tablas!$G$9:$K$124,5,0)*(INT($C$5)+1-$C$5)),(+VLOOKUP(INT(D862)+1,Tablas!$G$9:$O$1240,9,0)*(D862-INT(D862))+VLOOKUP(INT(D862),Tablas!$G$9:$O$1240,9,0)*(INT(D862)+1-D862))/(VLOOKUP(INT($C$5)+1,Tablas!$G$9:$O$1240,9,0)*($C$5-INT($C$5))+VLOOKUP(INT($C$5),Tablas!$G$9:$O$124,9,0)*(INT($C$5)+1-$C$5)))</f>
      </c>
      <c r="G862" s="791">
        <f>IF($C$4="Hombre",(+VLOOKUP(INT(D862)+1,Tablas!$G$9:$K$1240,5,0)*(D862-INT(D862))+VLOOKUP(INT(D862),Tablas!$G$9:$K$1240,5,0)*(INT(D862)+1-D862)),+VLOOKUP(INT(D862)+1,Tablas!$G$9:$O$1240,9,0)*(D862-INT(D862))+VLOOKUP(INT(D862),Tablas!$G$9:$O$1240,9,0)*(INT(D862)+1-D862))</f>
      </c>
      <c r="H862" s="801">
        <f>+IF(MONTH(B862)=1,H861*(1+$C$9),H861)</f>
      </c>
      <c r="I862" s="689">
        <f>IF(B862&lt;$C$10,0,IF(B862&lt;$C$11,$C$8/12*E862*F862*H862,0))</f>
      </c>
      <c r="J862" s="689">
        <f>I862*12/14+IF(OR(MONTH(C862)=6,MONTH(C862)=12),I862*12/14,0)</f>
      </c>
      <c r="K862" s="801">
        <f>G862/$G$15</f>
      </c>
      <c r="L862" s="760"/>
      <c r="M862" s="767"/>
      <c r="N862" s="168"/>
      <c r="O862" s="768"/>
      <c r="P862" s="170"/>
      <c r="Q862" s="7"/>
      <c r="R862" s="766"/>
      <c r="S862" s="170"/>
      <c r="T862" s="168"/>
      <c r="U862" s="170"/>
    </row>
    <row x14ac:dyDescent="0.25" r="863" customHeight="1" ht="18.75">
      <c r="A863" s="1"/>
      <c r="B863" s="799">
        <f>+DATE(YEAR(B862),MONTH(B862)+1,DAY(B862))</f>
        <v>25569.041666666668</v>
      </c>
      <c r="C863" s="799">
        <f>+B864-1</f>
        <v>25569.041666666668</v>
      </c>
      <c r="D863" s="791">
        <f>-_xlfn.DAYS($C$3,C863)/365.25</f>
      </c>
      <c r="E863" s="800">
        <f>IF($D$17+40&lt;=D863,(1+$D$7)^-(D863-$C$5),(1+$C$7)^-(D863-$C$5))</f>
      </c>
      <c r="F863" s="801">
        <f>IF($C$4="Hombre",(+VLOOKUP(INT(D863)+1,Tablas!$G$9:$K$1240,5,0)*(D863-INT(D863))+VLOOKUP(INT(D863),Tablas!$G$9:$K$1240,5,0)*(INT(D863)+1-D863))/(VLOOKUP(INT($C$5)+1,Tablas!$G$9:$K$1240,5,0)*($C$5-INT($C$5))+VLOOKUP(INT($C$5),Tablas!$G$9:$K$124,5,0)*(INT($C$5)+1-$C$5)),(+VLOOKUP(INT(D863)+1,Tablas!$G$9:$O$1240,9,0)*(D863-INT(D863))+VLOOKUP(INT(D863),Tablas!$G$9:$O$1240,9,0)*(INT(D863)+1-D863))/(VLOOKUP(INT($C$5)+1,Tablas!$G$9:$O$1240,9,0)*($C$5-INT($C$5))+VLOOKUP(INT($C$5),Tablas!$G$9:$O$124,9,0)*(INT($C$5)+1-$C$5)))</f>
      </c>
      <c r="G863" s="791">
        <f>IF($C$4="Hombre",(+VLOOKUP(INT(D863)+1,Tablas!$G$9:$K$1240,5,0)*(D863-INT(D863))+VLOOKUP(INT(D863),Tablas!$G$9:$K$1240,5,0)*(INT(D863)+1-D863)),+VLOOKUP(INT(D863)+1,Tablas!$G$9:$O$1240,9,0)*(D863-INT(D863))+VLOOKUP(INT(D863),Tablas!$G$9:$O$1240,9,0)*(INT(D863)+1-D863))</f>
      </c>
      <c r="H863" s="801">
        <f>+IF(MONTH(B863)=1,H862*(1+$C$9),H862)</f>
      </c>
      <c r="I863" s="689">
        <f>IF(B863&lt;$C$10,0,IF(B863&lt;$C$11,$C$8/12*E863*F863*H863,0))</f>
      </c>
      <c r="J863" s="689">
        <f>I863*12/14+IF(OR(MONTH(C863)=6,MONTH(C863)=12),I863*12/14,0)</f>
      </c>
      <c r="K863" s="801">
        <f>G863/$G$15</f>
      </c>
      <c r="L863" s="760"/>
      <c r="M863" s="767"/>
      <c r="N863" s="168"/>
      <c r="O863" s="768"/>
      <c r="P863" s="170"/>
      <c r="Q863" s="7"/>
      <c r="R863" s="766"/>
      <c r="S863" s="170"/>
      <c r="T863" s="168"/>
      <c r="U863" s="170"/>
    </row>
    <row x14ac:dyDescent="0.25" r="864" customHeight="1" ht="18.75">
      <c r="A864" s="1"/>
      <c r="B864" s="799">
        <f>+DATE(YEAR(B863),MONTH(B863)+1,DAY(B863))</f>
        <v>25569.041666666668</v>
      </c>
      <c r="C864" s="799">
        <f>+B865-1</f>
        <v>25569.041666666668</v>
      </c>
      <c r="D864" s="791">
        <f>-_xlfn.DAYS($C$3,C864)/365.25</f>
      </c>
      <c r="E864" s="800">
        <f>IF($D$17+40&lt;=D864,(1+$D$7)^-(D864-$C$5),(1+$C$7)^-(D864-$C$5))</f>
      </c>
      <c r="F864" s="801">
        <f>IF($C$4="Hombre",(+VLOOKUP(INT(D864)+1,Tablas!$G$9:$K$1240,5,0)*(D864-INT(D864))+VLOOKUP(INT(D864),Tablas!$G$9:$K$1240,5,0)*(INT(D864)+1-D864))/(VLOOKUP(INT($C$5)+1,Tablas!$G$9:$K$1240,5,0)*($C$5-INT($C$5))+VLOOKUP(INT($C$5),Tablas!$G$9:$K$124,5,0)*(INT($C$5)+1-$C$5)),(+VLOOKUP(INT(D864)+1,Tablas!$G$9:$O$1240,9,0)*(D864-INT(D864))+VLOOKUP(INT(D864),Tablas!$G$9:$O$1240,9,0)*(INT(D864)+1-D864))/(VLOOKUP(INT($C$5)+1,Tablas!$G$9:$O$1240,9,0)*($C$5-INT($C$5))+VLOOKUP(INT($C$5),Tablas!$G$9:$O$124,9,0)*(INT($C$5)+1-$C$5)))</f>
      </c>
      <c r="G864" s="791">
        <f>IF($C$4="Hombre",(+VLOOKUP(INT(D864)+1,Tablas!$G$9:$K$1240,5,0)*(D864-INT(D864))+VLOOKUP(INT(D864),Tablas!$G$9:$K$1240,5,0)*(INT(D864)+1-D864)),+VLOOKUP(INT(D864)+1,Tablas!$G$9:$O$1240,9,0)*(D864-INT(D864))+VLOOKUP(INT(D864),Tablas!$G$9:$O$1240,9,0)*(INT(D864)+1-D864))</f>
      </c>
      <c r="H864" s="801">
        <f>+IF(MONTH(B864)=1,H863*(1+$C$9),H863)</f>
      </c>
      <c r="I864" s="689">
        <f>IF(B864&lt;$C$10,0,IF(B864&lt;$C$11,$C$8/12*E864*F864*H864,0))</f>
      </c>
      <c r="J864" s="689">
        <f>I864*12/14+IF(OR(MONTH(C864)=6,MONTH(C864)=12),I864*12/14,0)</f>
      </c>
      <c r="K864" s="801">
        <f>G864/$G$15</f>
      </c>
      <c r="L864" s="760"/>
      <c r="M864" s="767"/>
      <c r="N864" s="168"/>
      <c r="O864" s="768"/>
      <c r="P864" s="170"/>
      <c r="Q864" s="7"/>
      <c r="R864" s="766"/>
      <c r="S864" s="170"/>
      <c r="T864" s="168"/>
      <c r="U864" s="170"/>
    </row>
    <row x14ac:dyDescent="0.25" r="865" customHeight="1" ht="18.75">
      <c r="A865" s="1"/>
      <c r="B865" s="799">
        <f>+DATE(YEAR(B864),MONTH(B864)+1,DAY(B864))</f>
        <v>25569.041666666668</v>
      </c>
      <c r="C865" s="799">
        <f>+B866-1</f>
        <v>25569.041666666668</v>
      </c>
      <c r="D865" s="791">
        <f>-_xlfn.DAYS($C$3,C865)/365.25</f>
      </c>
      <c r="E865" s="800">
        <f>IF($D$17+40&lt;=D865,(1+$D$7)^-(D865-$C$5),(1+$C$7)^-(D865-$C$5))</f>
      </c>
      <c r="F865" s="801">
        <f>IF($C$4="Hombre",(+VLOOKUP(INT(D865)+1,Tablas!$G$9:$K$1240,5,0)*(D865-INT(D865))+VLOOKUP(INT(D865),Tablas!$G$9:$K$1240,5,0)*(INT(D865)+1-D865))/(VLOOKUP(INT($C$5)+1,Tablas!$G$9:$K$1240,5,0)*($C$5-INT($C$5))+VLOOKUP(INT($C$5),Tablas!$G$9:$K$124,5,0)*(INT($C$5)+1-$C$5)),(+VLOOKUP(INT(D865)+1,Tablas!$G$9:$O$1240,9,0)*(D865-INT(D865))+VLOOKUP(INT(D865),Tablas!$G$9:$O$1240,9,0)*(INT(D865)+1-D865))/(VLOOKUP(INT($C$5)+1,Tablas!$G$9:$O$1240,9,0)*($C$5-INT($C$5))+VLOOKUP(INT($C$5),Tablas!$G$9:$O$124,9,0)*(INT($C$5)+1-$C$5)))</f>
      </c>
      <c r="G865" s="791">
        <f>IF($C$4="Hombre",(+VLOOKUP(INT(D865)+1,Tablas!$G$9:$K$1240,5,0)*(D865-INT(D865))+VLOOKUP(INT(D865),Tablas!$G$9:$K$1240,5,0)*(INT(D865)+1-D865)),+VLOOKUP(INT(D865)+1,Tablas!$G$9:$O$1240,9,0)*(D865-INT(D865))+VLOOKUP(INT(D865),Tablas!$G$9:$O$1240,9,0)*(INT(D865)+1-D865))</f>
      </c>
      <c r="H865" s="801">
        <f>+IF(MONTH(B865)=1,H864*(1+$C$9),H864)</f>
      </c>
      <c r="I865" s="689">
        <f>IF(B865&lt;$C$10,0,IF(B865&lt;$C$11,$C$8/12*E865*F865*H865,0))</f>
      </c>
      <c r="J865" s="689">
        <f>I865*12/14+IF(OR(MONTH(C865)=6,MONTH(C865)=12),I865*12/14,0)</f>
      </c>
      <c r="K865" s="801">
        <f>G865/$G$15</f>
      </c>
      <c r="L865" s="760"/>
      <c r="M865" s="767"/>
      <c r="N865" s="168"/>
      <c r="O865" s="768"/>
      <c r="P865" s="170"/>
      <c r="Q865" s="7"/>
      <c r="R865" s="766"/>
      <c r="S865" s="170"/>
      <c r="T865" s="168"/>
      <c r="U865" s="170"/>
    </row>
    <row x14ac:dyDescent="0.25" r="866" customHeight="1" ht="18.75">
      <c r="A866" s="1"/>
      <c r="B866" s="799">
        <f>+DATE(YEAR(B865),MONTH(B865)+1,DAY(B865))</f>
        <v>25569.041666666668</v>
      </c>
      <c r="C866" s="799">
        <f>+B867-1</f>
        <v>25569.041666666668</v>
      </c>
      <c r="D866" s="791">
        <f>-_xlfn.DAYS($C$3,C866)/365.25</f>
      </c>
      <c r="E866" s="800">
        <f>IF($D$17+40&lt;=D866,(1+$D$7)^-(D866-$C$5),(1+$C$7)^-(D866-$C$5))</f>
      </c>
      <c r="F866" s="801">
        <f>IF($C$4="Hombre",(+VLOOKUP(INT(D866)+1,Tablas!$G$9:$K$1240,5,0)*(D866-INT(D866))+VLOOKUP(INT(D866),Tablas!$G$9:$K$1240,5,0)*(INT(D866)+1-D866))/(VLOOKUP(INT($C$5)+1,Tablas!$G$9:$K$1240,5,0)*($C$5-INT($C$5))+VLOOKUP(INT($C$5),Tablas!$G$9:$K$124,5,0)*(INT($C$5)+1-$C$5)),(+VLOOKUP(INT(D866)+1,Tablas!$G$9:$O$1240,9,0)*(D866-INT(D866))+VLOOKUP(INT(D866),Tablas!$G$9:$O$1240,9,0)*(INT(D866)+1-D866))/(VLOOKUP(INT($C$5)+1,Tablas!$G$9:$O$1240,9,0)*($C$5-INT($C$5))+VLOOKUP(INT($C$5),Tablas!$G$9:$O$124,9,0)*(INT($C$5)+1-$C$5)))</f>
      </c>
      <c r="G866" s="791">
        <f>IF($C$4="Hombre",(+VLOOKUP(INT(D866)+1,Tablas!$G$9:$K$1240,5,0)*(D866-INT(D866))+VLOOKUP(INT(D866),Tablas!$G$9:$K$1240,5,0)*(INT(D866)+1-D866)),+VLOOKUP(INT(D866)+1,Tablas!$G$9:$O$1240,9,0)*(D866-INT(D866))+VLOOKUP(INT(D866),Tablas!$G$9:$O$1240,9,0)*(INT(D866)+1-D866))</f>
      </c>
      <c r="H866" s="801">
        <f>+IF(MONTH(B866)=1,H865*(1+$C$9),H865)</f>
      </c>
      <c r="I866" s="689">
        <f>IF(B866&lt;$C$10,0,IF(B866&lt;$C$11,$C$8/12*E866*F866*H866,0))</f>
      </c>
      <c r="J866" s="689">
        <f>I866*12/14+IF(OR(MONTH(C866)=6,MONTH(C866)=12),I866*12/14,0)</f>
      </c>
      <c r="K866" s="801">
        <f>G866/$G$15</f>
      </c>
      <c r="L866" s="760"/>
      <c r="M866" s="767"/>
      <c r="N866" s="168"/>
      <c r="O866" s="768"/>
      <c r="P866" s="170"/>
      <c r="Q866" s="7"/>
      <c r="R866" s="766"/>
      <c r="S866" s="170"/>
      <c r="T866" s="168"/>
      <c r="U866" s="170"/>
    </row>
    <row x14ac:dyDescent="0.25" r="867" customHeight="1" ht="18.75">
      <c r="A867" s="1"/>
      <c r="B867" s="799">
        <f>+DATE(YEAR(B866),MONTH(B866)+1,DAY(B866))</f>
        <v>25569.041666666668</v>
      </c>
      <c r="C867" s="799">
        <f>+B868-1</f>
        <v>25569.041666666668</v>
      </c>
      <c r="D867" s="791">
        <f>-_xlfn.DAYS($C$3,C867)/365.25</f>
      </c>
      <c r="E867" s="800">
        <f>IF($D$17+40&lt;=D867,(1+$D$7)^-(D867-$C$5),(1+$C$7)^-(D867-$C$5))</f>
      </c>
      <c r="F867" s="801">
        <f>IF($C$4="Hombre",(+VLOOKUP(INT(D867)+1,Tablas!$G$9:$K$1240,5,0)*(D867-INT(D867))+VLOOKUP(INT(D867),Tablas!$G$9:$K$1240,5,0)*(INT(D867)+1-D867))/(VLOOKUP(INT($C$5)+1,Tablas!$G$9:$K$1240,5,0)*($C$5-INT($C$5))+VLOOKUP(INT($C$5),Tablas!$G$9:$K$124,5,0)*(INT($C$5)+1-$C$5)),(+VLOOKUP(INT(D867)+1,Tablas!$G$9:$O$1240,9,0)*(D867-INT(D867))+VLOOKUP(INT(D867),Tablas!$G$9:$O$1240,9,0)*(INT(D867)+1-D867))/(VLOOKUP(INT($C$5)+1,Tablas!$G$9:$O$1240,9,0)*($C$5-INT($C$5))+VLOOKUP(INT($C$5),Tablas!$G$9:$O$124,9,0)*(INT($C$5)+1-$C$5)))</f>
      </c>
      <c r="G867" s="791">
        <f>IF($C$4="Hombre",(+VLOOKUP(INT(D867)+1,Tablas!$G$9:$K$1240,5,0)*(D867-INT(D867))+VLOOKUP(INT(D867),Tablas!$G$9:$K$1240,5,0)*(INT(D867)+1-D867)),+VLOOKUP(INT(D867)+1,Tablas!$G$9:$O$1240,9,0)*(D867-INT(D867))+VLOOKUP(INT(D867),Tablas!$G$9:$O$1240,9,0)*(INT(D867)+1-D867))</f>
      </c>
      <c r="H867" s="801">
        <f>+IF(MONTH(B867)=1,H866*(1+$C$9),H866)</f>
      </c>
      <c r="I867" s="689">
        <f>IF(B867&lt;$C$10,0,IF(B867&lt;$C$11,$C$8/12*E867*F867*H867,0))</f>
      </c>
      <c r="J867" s="689">
        <f>I867*12/14+IF(OR(MONTH(C867)=6,MONTH(C867)=12),I867*12/14,0)</f>
      </c>
      <c r="K867" s="801">
        <f>G867/$G$15</f>
      </c>
      <c r="L867" s="760"/>
      <c r="M867" s="767"/>
      <c r="N867" s="168"/>
      <c r="O867" s="768"/>
      <c r="P867" s="170"/>
      <c r="Q867" s="7"/>
      <c r="R867" s="766"/>
      <c r="S867" s="170"/>
      <c r="T867" s="168"/>
      <c r="U867" s="170"/>
    </row>
    <row x14ac:dyDescent="0.25" r="868" customHeight="1" ht="18.75">
      <c r="A868" s="1"/>
      <c r="B868" s="799">
        <f>+DATE(YEAR(B867),MONTH(B867)+1,DAY(B867))</f>
        <v>25569.041666666668</v>
      </c>
      <c r="C868" s="799">
        <f>+B869-1</f>
        <v>25569.041666666668</v>
      </c>
      <c r="D868" s="791">
        <f>-_xlfn.DAYS($C$3,C868)/365.25</f>
      </c>
      <c r="E868" s="800">
        <f>IF($D$17+40&lt;=D868,(1+$D$7)^-(D868-$C$5),(1+$C$7)^-(D868-$C$5))</f>
      </c>
      <c r="F868" s="801">
        <f>IF($C$4="Hombre",(+VLOOKUP(INT(D868)+1,Tablas!$G$9:$K$1240,5,0)*(D868-INT(D868))+VLOOKUP(INT(D868),Tablas!$G$9:$K$1240,5,0)*(INT(D868)+1-D868))/(VLOOKUP(INT($C$5)+1,Tablas!$G$9:$K$1240,5,0)*($C$5-INT($C$5))+VLOOKUP(INT($C$5),Tablas!$G$9:$K$124,5,0)*(INT($C$5)+1-$C$5)),(+VLOOKUP(INT(D868)+1,Tablas!$G$9:$O$1240,9,0)*(D868-INT(D868))+VLOOKUP(INT(D868),Tablas!$G$9:$O$1240,9,0)*(INT(D868)+1-D868))/(VLOOKUP(INT($C$5)+1,Tablas!$G$9:$O$1240,9,0)*($C$5-INT($C$5))+VLOOKUP(INT($C$5),Tablas!$G$9:$O$124,9,0)*(INT($C$5)+1-$C$5)))</f>
      </c>
      <c r="G868" s="791">
        <f>IF($C$4="Hombre",(+VLOOKUP(INT(D868)+1,Tablas!$G$9:$K$1240,5,0)*(D868-INT(D868))+VLOOKUP(INT(D868),Tablas!$G$9:$K$1240,5,0)*(INT(D868)+1-D868)),+VLOOKUP(INT(D868)+1,Tablas!$G$9:$O$1240,9,0)*(D868-INT(D868))+VLOOKUP(INT(D868),Tablas!$G$9:$O$1240,9,0)*(INT(D868)+1-D868))</f>
      </c>
      <c r="H868" s="801">
        <f>+IF(MONTH(B868)=1,H867*(1+$C$9),H867)</f>
      </c>
      <c r="I868" s="689">
        <f>IF(B868&lt;$C$10,0,IF(B868&lt;$C$11,$C$8/12*E868*F868*H868,0))</f>
      </c>
      <c r="J868" s="689">
        <f>I868*12/14+IF(OR(MONTH(C868)=6,MONTH(C868)=12),I868*12/14,0)</f>
      </c>
      <c r="K868" s="801">
        <f>G868/$G$15</f>
      </c>
      <c r="L868" s="760"/>
      <c r="M868" s="767"/>
      <c r="N868" s="168"/>
      <c r="O868" s="768"/>
      <c r="P868" s="170"/>
      <c r="Q868" s="7"/>
      <c r="R868" s="766"/>
      <c r="S868" s="170"/>
      <c r="T868" s="168"/>
      <c r="U868" s="170"/>
    </row>
    <row x14ac:dyDescent="0.25" r="869" customHeight="1" ht="18.75">
      <c r="A869" s="1"/>
      <c r="B869" s="799">
        <f>+DATE(YEAR(B868),MONTH(B868)+1,DAY(B868))</f>
        <v>25569.041666666668</v>
      </c>
      <c r="C869" s="799">
        <f>+B870-1</f>
        <v>25569.041666666668</v>
      </c>
      <c r="D869" s="791">
        <f>-_xlfn.DAYS($C$3,C869)/365.25</f>
      </c>
      <c r="E869" s="800">
        <f>IF($D$17+40&lt;=D869,(1+$D$7)^-(D869-$C$5),(1+$C$7)^-(D869-$C$5))</f>
      </c>
      <c r="F869" s="801">
        <f>IF($C$4="Hombre",(+VLOOKUP(INT(D869)+1,Tablas!$G$9:$K$1240,5,0)*(D869-INT(D869))+VLOOKUP(INT(D869),Tablas!$G$9:$K$1240,5,0)*(INT(D869)+1-D869))/(VLOOKUP(INT($C$5)+1,Tablas!$G$9:$K$1240,5,0)*($C$5-INT($C$5))+VLOOKUP(INT($C$5),Tablas!$G$9:$K$124,5,0)*(INT($C$5)+1-$C$5)),(+VLOOKUP(INT(D869)+1,Tablas!$G$9:$O$1240,9,0)*(D869-INT(D869))+VLOOKUP(INT(D869),Tablas!$G$9:$O$1240,9,0)*(INT(D869)+1-D869))/(VLOOKUP(INT($C$5)+1,Tablas!$G$9:$O$1240,9,0)*($C$5-INT($C$5))+VLOOKUP(INT($C$5),Tablas!$G$9:$O$124,9,0)*(INT($C$5)+1-$C$5)))</f>
      </c>
      <c r="G869" s="791">
        <f>IF($C$4="Hombre",(+VLOOKUP(INT(D869)+1,Tablas!$G$9:$K$1240,5,0)*(D869-INT(D869))+VLOOKUP(INT(D869),Tablas!$G$9:$K$1240,5,0)*(INT(D869)+1-D869)),+VLOOKUP(INT(D869)+1,Tablas!$G$9:$O$1240,9,0)*(D869-INT(D869))+VLOOKUP(INT(D869),Tablas!$G$9:$O$1240,9,0)*(INT(D869)+1-D869))</f>
      </c>
      <c r="H869" s="801">
        <f>+IF(MONTH(B869)=1,H868*(1+$C$9),H868)</f>
      </c>
      <c r="I869" s="689">
        <f>IF(B869&lt;$C$10,0,IF(B869&lt;$C$11,$C$8/12*E869*F869*H869,0))</f>
      </c>
      <c r="J869" s="689">
        <f>I869*12/14+IF(OR(MONTH(C869)=6,MONTH(C869)=12),I869*12/14,0)</f>
      </c>
      <c r="K869" s="801">
        <f>G869/$G$15</f>
      </c>
      <c r="L869" s="760"/>
      <c r="M869" s="767"/>
      <c r="N869" s="168"/>
      <c r="O869" s="768"/>
      <c r="P869" s="170"/>
      <c r="Q869" s="7"/>
      <c r="R869" s="766"/>
      <c r="S869" s="170"/>
      <c r="T869" s="168"/>
      <c r="U869" s="170"/>
    </row>
    <row x14ac:dyDescent="0.25" r="870" customHeight="1" ht="18.75">
      <c r="A870" s="1"/>
      <c r="B870" s="799">
        <f>+DATE(YEAR(B869),MONTH(B869)+1,DAY(B869))</f>
        <v>25569.041666666668</v>
      </c>
      <c r="C870" s="799">
        <f>+B871-1</f>
        <v>25569.041666666668</v>
      </c>
      <c r="D870" s="791">
        <f>-_xlfn.DAYS($C$3,C870)/365.25</f>
      </c>
      <c r="E870" s="800">
        <f>IF($D$17+40&lt;=D870,(1+$D$7)^-(D870-$C$5),(1+$C$7)^-(D870-$C$5))</f>
      </c>
      <c r="F870" s="801">
        <f>IF($C$4="Hombre",(+VLOOKUP(INT(D870)+1,Tablas!$G$9:$K$1240,5,0)*(D870-INT(D870))+VLOOKUP(INT(D870),Tablas!$G$9:$K$1240,5,0)*(INT(D870)+1-D870))/(VLOOKUP(INT($C$5)+1,Tablas!$G$9:$K$1240,5,0)*($C$5-INT($C$5))+VLOOKUP(INT($C$5),Tablas!$G$9:$K$124,5,0)*(INT($C$5)+1-$C$5)),(+VLOOKUP(INT(D870)+1,Tablas!$G$9:$O$1240,9,0)*(D870-INT(D870))+VLOOKUP(INT(D870),Tablas!$G$9:$O$1240,9,0)*(INT(D870)+1-D870))/(VLOOKUP(INT($C$5)+1,Tablas!$G$9:$O$1240,9,0)*($C$5-INT($C$5))+VLOOKUP(INT($C$5),Tablas!$G$9:$O$124,9,0)*(INT($C$5)+1-$C$5)))</f>
      </c>
      <c r="G870" s="791">
        <f>IF($C$4="Hombre",(+VLOOKUP(INT(D870)+1,Tablas!$G$9:$K$1240,5,0)*(D870-INT(D870))+VLOOKUP(INT(D870),Tablas!$G$9:$K$1240,5,0)*(INT(D870)+1-D870)),+VLOOKUP(INT(D870)+1,Tablas!$G$9:$O$1240,9,0)*(D870-INT(D870))+VLOOKUP(INT(D870),Tablas!$G$9:$O$1240,9,0)*(INT(D870)+1-D870))</f>
      </c>
      <c r="H870" s="801">
        <f>+IF(MONTH(B870)=1,H869*(1+$C$9),H869)</f>
      </c>
      <c r="I870" s="689">
        <f>IF(B870&lt;$C$10,0,IF(B870&lt;$C$11,$C$8/12*E870*F870*H870,0))</f>
      </c>
      <c r="J870" s="689">
        <f>I870*12/14+IF(OR(MONTH(C870)=6,MONTH(C870)=12),I870*12/14,0)</f>
      </c>
      <c r="K870" s="801">
        <f>G870/$G$15</f>
      </c>
      <c r="L870" s="760"/>
      <c r="M870" s="767"/>
      <c r="N870" s="168"/>
      <c r="O870" s="768"/>
      <c r="P870" s="170"/>
      <c r="Q870" s="7"/>
      <c r="R870" s="766"/>
      <c r="S870" s="170"/>
      <c r="T870" s="168"/>
      <c r="U870" s="170"/>
    </row>
    <row x14ac:dyDescent="0.25" r="871" customHeight="1" ht="18.75">
      <c r="A871" s="1"/>
      <c r="B871" s="799">
        <f>+DATE(YEAR(B870),MONTH(B870)+1,DAY(B870))</f>
        <v>25569.041666666668</v>
      </c>
      <c r="C871" s="799">
        <f>+B872-1</f>
        <v>25569.041666666668</v>
      </c>
      <c r="D871" s="791">
        <f>-_xlfn.DAYS($C$3,C871)/365.25</f>
      </c>
      <c r="E871" s="800">
        <f>IF($D$17+40&lt;=D871,(1+$D$7)^-(D871-$C$5),(1+$C$7)^-(D871-$C$5))</f>
      </c>
      <c r="F871" s="801">
        <f>IF($C$4="Hombre",(+VLOOKUP(INT(D871)+1,Tablas!$G$9:$K$1240,5,0)*(D871-INT(D871))+VLOOKUP(INT(D871),Tablas!$G$9:$K$1240,5,0)*(INT(D871)+1-D871))/(VLOOKUP(INT($C$5)+1,Tablas!$G$9:$K$1240,5,0)*($C$5-INT($C$5))+VLOOKUP(INT($C$5),Tablas!$G$9:$K$124,5,0)*(INT($C$5)+1-$C$5)),(+VLOOKUP(INT(D871)+1,Tablas!$G$9:$O$1240,9,0)*(D871-INT(D871))+VLOOKUP(INT(D871),Tablas!$G$9:$O$1240,9,0)*(INT(D871)+1-D871))/(VLOOKUP(INT($C$5)+1,Tablas!$G$9:$O$1240,9,0)*($C$5-INT($C$5))+VLOOKUP(INT($C$5),Tablas!$G$9:$O$124,9,0)*(INT($C$5)+1-$C$5)))</f>
      </c>
      <c r="G871" s="791">
        <f>IF($C$4="Hombre",(+VLOOKUP(INT(D871)+1,Tablas!$G$9:$K$1240,5,0)*(D871-INT(D871))+VLOOKUP(INT(D871),Tablas!$G$9:$K$1240,5,0)*(INT(D871)+1-D871)),+VLOOKUP(INT(D871)+1,Tablas!$G$9:$O$1240,9,0)*(D871-INT(D871))+VLOOKUP(INT(D871),Tablas!$G$9:$O$1240,9,0)*(INT(D871)+1-D871))</f>
      </c>
      <c r="H871" s="801">
        <f>+IF(MONTH(B871)=1,H870*(1+$C$9),H870)</f>
      </c>
      <c r="I871" s="689">
        <f>IF(B871&lt;$C$10,0,IF(B871&lt;$C$11,$C$8/12*E871*F871*H871,0))</f>
      </c>
      <c r="J871" s="689">
        <f>I871*12/14+IF(OR(MONTH(C871)=6,MONTH(C871)=12),I871*12/14,0)</f>
      </c>
      <c r="K871" s="801">
        <f>G871/$G$15</f>
      </c>
      <c r="L871" s="760"/>
      <c r="M871" s="767"/>
      <c r="N871" s="168"/>
      <c r="O871" s="768"/>
      <c r="P871" s="170"/>
      <c r="Q871" s="7"/>
      <c r="R871" s="766"/>
      <c r="S871" s="170"/>
      <c r="T871" s="168"/>
      <c r="U871" s="170"/>
    </row>
    <row x14ac:dyDescent="0.25" r="872" customHeight="1" ht="18.75">
      <c r="A872" s="1"/>
      <c r="B872" s="799">
        <f>+DATE(YEAR(B871),MONTH(B871)+1,DAY(B871))</f>
        <v>25569.041666666668</v>
      </c>
      <c r="C872" s="799">
        <f>+B873-1</f>
        <v>25569.041666666668</v>
      </c>
      <c r="D872" s="791">
        <f>-_xlfn.DAYS($C$3,C872)/365.25</f>
      </c>
      <c r="E872" s="800">
        <f>IF($D$17+40&lt;=D872,(1+$D$7)^-(D872-$C$5),(1+$C$7)^-(D872-$C$5))</f>
      </c>
      <c r="F872" s="801">
        <f>IF($C$4="Hombre",(+VLOOKUP(INT(D872)+1,Tablas!$G$9:$K$1240,5,0)*(D872-INT(D872))+VLOOKUP(INT(D872),Tablas!$G$9:$K$1240,5,0)*(INT(D872)+1-D872))/(VLOOKUP(INT($C$5)+1,Tablas!$G$9:$K$1240,5,0)*($C$5-INT($C$5))+VLOOKUP(INT($C$5),Tablas!$G$9:$K$124,5,0)*(INT($C$5)+1-$C$5)),(+VLOOKUP(INT(D872)+1,Tablas!$G$9:$O$1240,9,0)*(D872-INT(D872))+VLOOKUP(INT(D872),Tablas!$G$9:$O$1240,9,0)*(INT(D872)+1-D872))/(VLOOKUP(INT($C$5)+1,Tablas!$G$9:$O$1240,9,0)*($C$5-INT($C$5))+VLOOKUP(INT($C$5),Tablas!$G$9:$O$124,9,0)*(INT($C$5)+1-$C$5)))</f>
      </c>
      <c r="G872" s="791">
        <f>IF($C$4="Hombre",(+VLOOKUP(INT(D872)+1,Tablas!$G$9:$K$1240,5,0)*(D872-INT(D872))+VLOOKUP(INT(D872),Tablas!$G$9:$K$1240,5,0)*(INT(D872)+1-D872)),+VLOOKUP(INT(D872)+1,Tablas!$G$9:$O$1240,9,0)*(D872-INT(D872))+VLOOKUP(INT(D872),Tablas!$G$9:$O$1240,9,0)*(INT(D872)+1-D872))</f>
      </c>
      <c r="H872" s="801">
        <f>+IF(MONTH(B872)=1,H871*(1+$C$9),H871)</f>
      </c>
      <c r="I872" s="689">
        <f>IF(B872&lt;$C$10,0,IF(B872&lt;$C$11,$C$8/12*E872*F872*H872,0))</f>
      </c>
      <c r="J872" s="689">
        <f>I872*12/14+IF(OR(MONTH(C872)=6,MONTH(C872)=12),I872*12/14,0)</f>
      </c>
      <c r="K872" s="801">
        <f>G872/$G$15</f>
      </c>
      <c r="L872" s="760"/>
      <c r="M872" s="767"/>
      <c r="N872" s="168"/>
      <c r="O872" s="768"/>
      <c r="P872" s="170"/>
      <c r="Q872" s="7"/>
      <c r="R872" s="766"/>
      <c r="S872" s="170"/>
      <c r="T872" s="168"/>
      <c r="U872" s="170"/>
    </row>
    <row x14ac:dyDescent="0.25" r="873" customHeight="1" ht="18.75">
      <c r="A873" s="1"/>
      <c r="B873" s="799">
        <f>+DATE(YEAR(B872),MONTH(B872)+1,DAY(B872))</f>
        <v>25569.041666666668</v>
      </c>
      <c r="C873" s="799">
        <f>+B874-1</f>
        <v>25569.041666666668</v>
      </c>
      <c r="D873" s="791">
        <f>-_xlfn.DAYS($C$3,C873)/365.25</f>
      </c>
      <c r="E873" s="800">
        <f>IF($D$17+40&lt;=D873,(1+$D$7)^-(D873-$C$5),(1+$C$7)^-(D873-$C$5))</f>
      </c>
      <c r="F873" s="801">
        <f>IF($C$4="Hombre",(+VLOOKUP(INT(D873)+1,Tablas!$G$9:$K$1240,5,0)*(D873-INT(D873))+VLOOKUP(INT(D873),Tablas!$G$9:$K$1240,5,0)*(INT(D873)+1-D873))/(VLOOKUP(INT($C$5)+1,Tablas!$G$9:$K$1240,5,0)*($C$5-INT($C$5))+VLOOKUP(INT($C$5),Tablas!$G$9:$K$124,5,0)*(INT($C$5)+1-$C$5)),(+VLOOKUP(INT(D873)+1,Tablas!$G$9:$O$1240,9,0)*(D873-INT(D873))+VLOOKUP(INT(D873),Tablas!$G$9:$O$1240,9,0)*(INT(D873)+1-D873))/(VLOOKUP(INT($C$5)+1,Tablas!$G$9:$O$1240,9,0)*($C$5-INT($C$5))+VLOOKUP(INT($C$5),Tablas!$G$9:$O$124,9,0)*(INT($C$5)+1-$C$5)))</f>
      </c>
      <c r="G873" s="791">
        <f>IF($C$4="Hombre",(+VLOOKUP(INT(D873)+1,Tablas!$G$9:$K$1240,5,0)*(D873-INT(D873))+VLOOKUP(INT(D873),Tablas!$G$9:$K$1240,5,0)*(INT(D873)+1-D873)),+VLOOKUP(INT(D873)+1,Tablas!$G$9:$O$1240,9,0)*(D873-INT(D873))+VLOOKUP(INT(D873),Tablas!$G$9:$O$1240,9,0)*(INT(D873)+1-D873))</f>
      </c>
      <c r="H873" s="801">
        <f>+IF(MONTH(B873)=1,H872*(1+$C$9),H872)</f>
      </c>
      <c r="I873" s="689">
        <f>IF(B873&lt;$C$10,0,IF(B873&lt;$C$11,$C$8/12*E873*F873*H873,0))</f>
      </c>
      <c r="J873" s="689">
        <f>I873*12/14+IF(OR(MONTH(C873)=6,MONTH(C873)=12),I873*12/14,0)</f>
      </c>
      <c r="K873" s="801">
        <f>G873/$G$15</f>
      </c>
      <c r="L873" s="760"/>
      <c r="M873" s="767"/>
      <c r="N873" s="168"/>
      <c r="O873" s="768"/>
      <c r="P873" s="170"/>
      <c r="Q873" s="7"/>
      <c r="R873" s="766"/>
      <c r="S873" s="170"/>
      <c r="T873" s="168"/>
      <c r="U873" s="170"/>
    </row>
    <row x14ac:dyDescent="0.25" r="874" customHeight="1" ht="18.75">
      <c r="A874" s="1"/>
      <c r="B874" s="799">
        <f>+DATE(YEAR(B873),MONTH(B873)+1,DAY(B873))</f>
        <v>25569.041666666668</v>
      </c>
      <c r="C874" s="799">
        <f>+B875-1</f>
        <v>25569.041666666668</v>
      </c>
      <c r="D874" s="791">
        <f>-_xlfn.DAYS($C$3,C874)/365.25</f>
      </c>
      <c r="E874" s="800">
        <f>IF($D$17+40&lt;=D874,(1+$D$7)^-(D874-$C$5),(1+$C$7)^-(D874-$C$5))</f>
      </c>
      <c r="F874" s="801">
        <f>IF($C$4="Hombre",(+VLOOKUP(INT(D874)+1,Tablas!$G$9:$K$1240,5,0)*(D874-INT(D874))+VLOOKUP(INT(D874),Tablas!$G$9:$K$1240,5,0)*(INT(D874)+1-D874))/(VLOOKUP(INT($C$5)+1,Tablas!$G$9:$K$1240,5,0)*($C$5-INT($C$5))+VLOOKUP(INT($C$5),Tablas!$G$9:$K$124,5,0)*(INT($C$5)+1-$C$5)),(+VLOOKUP(INT(D874)+1,Tablas!$G$9:$O$1240,9,0)*(D874-INT(D874))+VLOOKUP(INT(D874),Tablas!$G$9:$O$1240,9,0)*(INT(D874)+1-D874))/(VLOOKUP(INT($C$5)+1,Tablas!$G$9:$O$1240,9,0)*($C$5-INT($C$5))+VLOOKUP(INT($C$5),Tablas!$G$9:$O$124,9,0)*(INT($C$5)+1-$C$5)))</f>
      </c>
      <c r="G874" s="791">
        <f>IF($C$4="Hombre",(+VLOOKUP(INT(D874)+1,Tablas!$G$9:$K$1240,5,0)*(D874-INT(D874))+VLOOKUP(INT(D874),Tablas!$G$9:$K$1240,5,0)*(INT(D874)+1-D874)),+VLOOKUP(INT(D874)+1,Tablas!$G$9:$O$1240,9,0)*(D874-INT(D874))+VLOOKUP(INT(D874),Tablas!$G$9:$O$1240,9,0)*(INT(D874)+1-D874))</f>
      </c>
      <c r="H874" s="801">
        <f>+IF(MONTH(B874)=1,H873*(1+$C$9),H873)</f>
      </c>
      <c r="I874" s="689">
        <f>IF(B874&lt;$C$10,0,IF(B874&lt;$C$11,$C$8/12*E874*F874*H874,0))</f>
      </c>
      <c r="J874" s="689">
        <f>I874*12/14+IF(OR(MONTH(C874)=6,MONTH(C874)=12),I874*12/14,0)</f>
      </c>
      <c r="K874" s="801">
        <f>G874/$G$15</f>
      </c>
      <c r="L874" s="760"/>
      <c r="M874" s="767"/>
      <c r="N874" s="168"/>
      <c r="O874" s="768"/>
      <c r="P874" s="170"/>
      <c r="Q874" s="7"/>
      <c r="R874" s="766"/>
      <c r="S874" s="170"/>
      <c r="T874" s="168"/>
      <c r="U874" s="170"/>
    </row>
    <row x14ac:dyDescent="0.25" r="875" customHeight="1" ht="18.75">
      <c r="A875" s="1"/>
      <c r="B875" s="799">
        <f>+DATE(YEAR(B874),MONTH(B874)+1,DAY(B874))</f>
        <v>25569.041666666668</v>
      </c>
      <c r="C875" s="799">
        <f>+B876-1</f>
        <v>25569.041666666668</v>
      </c>
      <c r="D875" s="791">
        <f>-_xlfn.DAYS($C$3,C875)/365.25</f>
      </c>
      <c r="E875" s="800">
        <f>IF($D$17+40&lt;=D875,(1+$D$7)^-(D875-$C$5),(1+$C$7)^-(D875-$C$5))</f>
      </c>
      <c r="F875" s="801">
        <f>IF($C$4="Hombre",(+VLOOKUP(INT(D875)+1,Tablas!$G$9:$K$1240,5,0)*(D875-INT(D875))+VLOOKUP(INT(D875),Tablas!$G$9:$K$1240,5,0)*(INT(D875)+1-D875))/(VLOOKUP(INT($C$5)+1,Tablas!$G$9:$K$1240,5,0)*($C$5-INT($C$5))+VLOOKUP(INT($C$5),Tablas!$G$9:$K$124,5,0)*(INT($C$5)+1-$C$5)),(+VLOOKUP(INT(D875)+1,Tablas!$G$9:$O$1240,9,0)*(D875-INT(D875))+VLOOKUP(INT(D875),Tablas!$G$9:$O$1240,9,0)*(INT(D875)+1-D875))/(VLOOKUP(INT($C$5)+1,Tablas!$G$9:$O$1240,9,0)*($C$5-INT($C$5))+VLOOKUP(INT($C$5),Tablas!$G$9:$O$124,9,0)*(INT($C$5)+1-$C$5)))</f>
      </c>
      <c r="G875" s="791">
        <f>IF($C$4="Hombre",(+VLOOKUP(INT(D875)+1,Tablas!$G$9:$K$1240,5,0)*(D875-INT(D875))+VLOOKUP(INT(D875),Tablas!$G$9:$K$1240,5,0)*(INT(D875)+1-D875)),+VLOOKUP(INT(D875)+1,Tablas!$G$9:$O$1240,9,0)*(D875-INT(D875))+VLOOKUP(INT(D875),Tablas!$G$9:$O$1240,9,0)*(INT(D875)+1-D875))</f>
      </c>
      <c r="H875" s="801">
        <f>+IF(MONTH(B875)=1,H874*(1+$C$9),H874)</f>
      </c>
      <c r="I875" s="689">
        <f>IF(B875&lt;$C$10,0,IF(B875&lt;$C$11,$C$8/12*E875*F875*H875,0))</f>
      </c>
      <c r="J875" s="689">
        <f>I875*12/14+IF(OR(MONTH(C875)=6,MONTH(C875)=12),I875*12/14,0)</f>
      </c>
      <c r="K875" s="801">
        <f>G875/$G$15</f>
      </c>
      <c r="L875" s="760"/>
      <c r="M875" s="767"/>
      <c r="N875" s="168"/>
      <c r="O875" s="768"/>
      <c r="P875" s="170"/>
      <c r="Q875" s="7"/>
      <c r="R875" s="766"/>
      <c r="S875" s="170"/>
      <c r="T875" s="168"/>
      <c r="U875" s="170"/>
    </row>
    <row x14ac:dyDescent="0.25" r="876" customHeight="1" ht="18.75">
      <c r="A876" s="1"/>
      <c r="B876" s="799">
        <f>+DATE(YEAR(B875),MONTH(B875)+1,DAY(B875))</f>
        <v>25569.041666666668</v>
      </c>
      <c r="C876" s="799">
        <f>+B877-1</f>
        <v>25569.041666666668</v>
      </c>
      <c r="D876" s="791">
        <f>-_xlfn.DAYS($C$3,C876)/365.25</f>
      </c>
      <c r="E876" s="800">
        <f>IF($D$17+40&lt;=D876,(1+$D$7)^-(D876-$C$5),(1+$C$7)^-(D876-$C$5))</f>
      </c>
      <c r="F876" s="801">
        <f>IF($C$4="Hombre",(+VLOOKUP(INT(D876)+1,Tablas!$G$9:$K$1240,5,0)*(D876-INT(D876))+VLOOKUP(INT(D876),Tablas!$G$9:$K$1240,5,0)*(INT(D876)+1-D876))/(VLOOKUP(INT($C$5)+1,Tablas!$G$9:$K$1240,5,0)*($C$5-INT($C$5))+VLOOKUP(INT($C$5),Tablas!$G$9:$K$124,5,0)*(INT($C$5)+1-$C$5)),(+VLOOKUP(INT(D876)+1,Tablas!$G$9:$O$1240,9,0)*(D876-INT(D876))+VLOOKUP(INT(D876),Tablas!$G$9:$O$1240,9,0)*(INT(D876)+1-D876))/(VLOOKUP(INT($C$5)+1,Tablas!$G$9:$O$1240,9,0)*($C$5-INT($C$5))+VLOOKUP(INT($C$5),Tablas!$G$9:$O$124,9,0)*(INT($C$5)+1-$C$5)))</f>
      </c>
      <c r="G876" s="791">
        <f>IF($C$4="Hombre",(+VLOOKUP(INT(D876)+1,Tablas!$G$9:$K$1240,5,0)*(D876-INT(D876))+VLOOKUP(INT(D876),Tablas!$G$9:$K$1240,5,0)*(INT(D876)+1-D876)),+VLOOKUP(INT(D876)+1,Tablas!$G$9:$O$1240,9,0)*(D876-INT(D876))+VLOOKUP(INT(D876),Tablas!$G$9:$O$1240,9,0)*(INT(D876)+1-D876))</f>
      </c>
      <c r="H876" s="801">
        <f>+IF(MONTH(B876)=1,H875*(1+$C$9),H875)</f>
      </c>
      <c r="I876" s="689">
        <f>IF(B876&lt;$C$10,0,IF(B876&lt;$C$11,$C$8/12*E876*F876*H876,0))</f>
      </c>
      <c r="J876" s="689">
        <f>I876*12/14+IF(OR(MONTH(C876)=6,MONTH(C876)=12),I876*12/14,0)</f>
      </c>
      <c r="K876" s="801">
        <f>G876/$G$15</f>
      </c>
      <c r="L876" s="760"/>
      <c r="M876" s="767"/>
      <c r="N876" s="168"/>
      <c r="O876" s="768"/>
      <c r="P876" s="170"/>
      <c r="Q876" s="7"/>
      <c r="R876" s="766"/>
      <c r="S876" s="170"/>
      <c r="T876" s="168"/>
      <c r="U876" s="170"/>
    </row>
    <row x14ac:dyDescent="0.25" r="877" customHeight="1" ht="18.75">
      <c r="A877" s="1"/>
      <c r="B877" s="799">
        <f>+DATE(YEAR(B876),MONTH(B876)+1,DAY(B876))</f>
        <v>25569.041666666668</v>
      </c>
      <c r="C877" s="799">
        <f>+B878-1</f>
        <v>25569.041666666668</v>
      </c>
      <c r="D877" s="791">
        <f>-_xlfn.DAYS($C$3,C877)/365.25</f>
      </c>
      <c r="E877" s="800">
        <f>IF($D$17+40&lt;=D877,(1+$D$7)^-(D877-$C$5),(1+$C$7)^-(D877-$C$5))</f>
      </c>
      <c r="F877" s="801">
        <f>IF($C$4="Hombre",(+VLOOKUP(INT(D877)+1,Tablas!$G$9:$K$1240,5,0)*(D877-INT(D877))+VLOOKUP(INT(D877),Tablas!$G$9:$K$1240,5,0)*(INT(D877)+1-D877))/(VLOOKUP(INT($C$5)+1,Tablas!$G$9:$K$1240,5,0)*($C$5-INT($C$5))+VLOOKUP(INT($C$5),Tablas!$G$9:$K$124,5,0)*(INT($C$5)+1-$C$5)),(+VLOOKUP(INT(D877)+1,Tablas!$G$9:$O$1240,9,0)*(D877-INT(D877))+VLOOKUP(INT(D877),Tablas!$G$9:$O$1240,9,0)*(INT(D877)+1-D877))/(VLOOKUP(INT($C$5)+1,Tablas!$G$9:$O$1240,9,0)*($C$5-INT($C$5))+VLOOKUP(INT($C$5),Tablas!$G$9:$O$124,9,0)*(INT($C$5)+1-$C$5)))</f>
      </c>
      <c r="G877" s="791">
        <f>IF($C$4="Hombre",(+VLOOKUP(INT(D877)+1,Tablas!$G$9:$K$1240,5,0)*(D877-INT(D877))+VLOOKUP(INT(D877),Tablas!$G$9:$K$1240,5,0)*(INT(D877)+1-D877)),+VLOOKUP(INT(D877)+1,Tablas!$G$9:$O$1240,9,0)*(D877-INT(D877))+VLOOKUP(INT(D877),Tablas!$G$9:$O$1240,9,0)*(INT(D877)+1-D877))</f>
      </c>
      <c r="H877" s="801">
        <f>+IF(MONTH(B877)=1,H876*(1+$C$9),H876)</f>
      </c>
      <c r="I877" s="689">
        <f>IF(B877&lt;$C$10,0,IF(B877&lt;$C$11,$C$8/12*E877*F877*H877,0))</f>
      </c>
      <c r="J877" s="689">
        <f>I877*12/14+IF(OR(MONTH(C877)=6,MONTH(C877)=12),I877*12/14,0)</f>
      </c>
      <c r="K877" s="801">
        <f>G877/$G$15</f>
      </c>
      <c r="L877" s="760"/>
      <c r="M877" s="767"/>
      <c r="N877" s="168"/>
      <c r="O877" s="768"/>
      <c r="P877" s="170"/>
      <c r="Q877" s="7"/>
      <c r="R877" s="766"/>
      <c r="S877" s="170"/>
      <c r="T877" s="168"/>
      <c r="U877" s="170"/>
    </row>
    <row x14ac:dyDescent="0.25" r="878" customHeight="1" ht="18.75">
      <c r="A878" s="1"/>
      <c r="B878" s="799">
        <f>+DATE(YEAR(B877),MONTH(B877)+1,DAY(B877))</f>
        <v>25569.041666666668</v>
      </c>
      <c r="C878" s="799">
        <f>+B879-1</f>
        <v>25569.041666666668</v>
      </c>
      <c r="D878" s="791">
        <f>-_xlfn.DAYS($C$3,C878)/365.25</f>
      </c>
      <c r="E878" s="800">
        <f>IF($D$17+40&lt;=D878,(1+$D$7)^-(D878-$C$5),(1+$C$7)^-(D878-$C$5))</f>
      </c>
      <c r="F878" s="801">
        <f>IF($C$4="Hombre",(+VLOOKUP(INT(D878)+1,Tablas!$G$9:$K$1240,5,0)*(D878-INT(D878))+VLOOKUP(INT(D878),Tablas!$G$9:$K$1240,5,0)*(INT(D878)+1-D878))/(VLOOKUP(INT($C$5)+1,Tablas!$G$9:$K$1240,5,0)*($C$5-INT($C$5))+VLOOKUP(INT($C$5),Tablas!$G$9:$K$124,5,0)*(INT($C$5)+1-$C$5)),(+VLOOKUP(INT(D878)+1,Tablas!$G$9:$O$1240,9,0)*(D878-INT(D878))+VLOOKUP(INT(D878),Tablas!$G$9:$O$1240,9,0)*(INT(D878)+1-D878))/(VLOOKUP(INT($C$5)+1,Tablas!$G$9:$O$1240,9,0)*($C$5-INT($C$5))+VLOOKUP(INT($C$5),Tablas!$G$9:$O$124,9,0)*(INT($C$5)+1-$C$5)))</f>
      </c>
      <c r="G878" s="791">
        <f>IF($C$4="Hombre",(+VLOOKUP(INT(D878)+1,Tablas!$G$9:$K$1240,5,0)*(D878-INT(D878))+VLOOKUP(INT(D878),Tablas!$G$9:$K$1240,5,0)*(INT(D878)+1-D878)),+VLOOKUP(INT(D878)+1,Tablas!$G$9:$O$1240,9,0)*(D878-INT(D878))+VLOOKUP(INT(D878),Tablas!$G$9:$O$1240,9,0)*(INT(D878)+1-D878))</f>
      </c>
      <c r="H878" s="801">
        <f>+IF(MONTH(B878)=1,H877*(1+$C$9),H877)</f>
      </c>
      <c r="I878" s="689">
        <f>IF(B878&lt;$C$10,0,IF(B878&lt;$C$11,$C$8/12*E878*F878*H878,0))</f>
      </c>
      <c r="J878" s="689">
        <f>I878*12/14+IF(OR(MONTH(C878)=6,MONTH(C878)=12),I878*12/14,0)</f>
      </c>
      <c r="K878" s="801">
        <f>G878/$G$15</f>
      </c>
      <c r="L878" s="760"/>
      <c r="M878" s="767"/>
      <c r="N878" s="168"/>
      <c r="O878" s="768"/>
      <c r="P878" s="170"/>
      <c r="Q878" s="7"/>
      <c r="R878" s="766"/>
      <c r="S878" s="170"/>
      <c r="T878" s="168"/>
      <c r="U878" s="170"/>
    </row>
    <row x14ac:dyDescent="0.25" r="879" customHeight="1" ht="18.75">
      <c r="A879" s="1"/>
      <c r="B879" s="799">
        <f>+DATE(YEAR(B878),MONTH(B878)+1,DAY(B878))</f>
        <v>25569.041666666668</v>
      </c>
      <c r="C879" s="799">
        <f>+B880-1</f>
        <v>25569.041666666668</v>
      </c>
      <c r="D879" s="791">
        <f>-_xlfn.DAYS($C$3,C879)/365.25</f>
      </c>
      <c r="E879" s="800">
        <f>IF($D$17+40&lt;=D879,(1+$D$7)^-(D879-$C$5),(1+$C$7)^-(D879-$C$5))</f>
      </c>
      <c r="F879" s="801">
        <f>IF($C$4="Hombre",(+VLOOKUP(INT(D879)+1,Tablas!$G$9:$K$1240,5,0)*(D879-INT(D879))+VLOOKUP(INT(D879),Tablas!$G$9:$K$1240,5,0)*(INT(D879)+1-D879))/(VLOOKUP(INT($C$5)+1,Tablas!$G$9:$K$1240,5,0)*($C$5-INT($C$5))+VLOOKUP(INT($C$5),Tablas!$G$9:$K$124,5,0)*(INT($C$5)+1-$C$5)),(+VLOOKUP(INT(D879)+1,Tablas!$G$9:$O$1240,9,0)*(D879-INT(D879))+VLOOKUP(INT(D879),Tablas!$G$9:$O$1240,9,0)*(INT(D879)+1-D879))/(VLOOKUP(INT($C$5)+1,Tablas!$G$9:$O$1240,9,0)*($C$5-INT($C$5))+VLOOKUP(INT($C$5),Tablas!$G$9:$O$124,9,0)*(INT($C$5)+1-$C$5)))</f>
      </c>
      <c r="G879" s="791">
        <f>IF($C$4="Hombre",(+VLOOKUP(INT(D879)+1,Tablas!$G$9:$K$1240,5,0)*(D879-INT(D879))+VLOOKUP(INT(D879),Tablas!$G$9:$K$1240,5,0)*(INT(D879)+1-D879)),+VLOOKUP(INT(D879)+1,Tablas!$G$9:$O$1240,9,0)*(D879-INT(D879))+VLOOKUP(INT(D879),Tablas!$G$9:$O$1240,9,0)*(INT(D879)+1-D879))</f>
      </c>
      <c r="H879" s="801">
        <f>+IF(MONTH(B879)=1,H878*(1+$C$9),H878)</f>
      </c>
      <c r="I879" s="689">
        <f>IF(B879&lt;$C$10,0,IF(B879&lt;$C$11,$C$8/12*E879*F879*H879,0))</f>
      </c>
      <c r="J879" s="689">
        <f>I879*12/14+IF(OR(MONTH(C879)=6,MONTH(C879)=12),I879*12/14,0)</f>
      </c>
      <c r="K879" s="801">
        <f>G879/$G$15</f>
      </c>
      <c r="L879" s="760"/>
      <c r="M879" s="767"/>
      <c r="N879" s="168"/>
      <c r="O879" s="768"/>
      <c r="P879" s="170"/>
      <c r="Q879" s="7"/>
      <c r="R879" s="766"/>
      <c r="S879" s="170"/>
      <c r="T879" s="168"/>
      <c r="U879" s="170"/>
    </row>
    <row x14ac:dyDescent="0.25" r="880" customHeight="1" ht="18.75">
      <c r="A880" s="1"/>
      <c r="B880" s="799">
        <f>+DATE(YEAR(B879),MONTH(B879)+1,DAY(B879))</f>
        <v>25569.041666666668</v>
      </c>
      <c r="C880" s="799">
        <f>+B881-1</f>
        <v>25569.041666666668</v>
      </c>
      <c r="D880" s="791">
        <f>-_xlfn.DAYS($C$3,C880)/365.25</f>
      </c>
      <c r="E880" s="800">
        <f>IF($D$17+40&lt;=D880,(1+$D$7)^-(D880-$C$5),(1+$C$7)^-(D880-$C$5))</f>
      </c>
      <c r="F880" s="801">
        <f>IF($C$4="Hombre",(+VLOOKUP(INT(D880)+1,Tablas!$G$9:$K$1240,5,0)*(D880-INT(D880))+VLOOKUP(INT(D880),Tablas!$G$9:$K$1240,5,0)*(INT(D880)+1-D880))/(VLOOKUP(INT($C$5)+1,Tablas!$G$9:$K$1240,5,0)*($C$5-INT($C$5))+VLOOKUP(INT($C$5),Tablas!$G$9:$K$124,5,0)*(INT($C$5)+1-$C$5)),(+VLOOKUP(INT(D880)+1,Tablas!$G$9:$O$1240,9,0)*(D880-INT(D880))+VLOOKUP(INT(D880),Tablas!$G$9:$O$1240,9,0)*(INT(D880)+1-D880))/(VLOOKUP(INT($C$5)+1,Tablas!$G$9:$O$1240,9,0)*($C$5-INT($C$5))+VLOOKUP(INT($C$5),Tablas!$G$9:$O$124,9,0)*(INT($C$5)+1-$C$5)))</f>
      </c>
      <c r="G880" s="791">
        <f>IF($C$4="Hombre",(+VLOOKUP(INT(D880)+1,Tablas!$G$9:$K$1240,5,0)*(D880-INT(D880))+VLOOKUP(INT(D880),Tablas!$G$9:$K$1240,5,0)*(INT(D880)+1-D880)),+VLOOKUP(INT(D880)+1,Tablas!$G$9:$O$1240,9,0)*(D880-INT(D880))+VLOOKUP(INT(D880),Tablas!$G$9:$O$1240,9,0)*(INT(D880)+1-D880))</f>
      </c>
      <c r="H880" s="801">
        <f>+IF(MONTH(B880)=1,H879*(1+$C$9),H879)</f>
      </c>
      <c r="I880" s="689">
        <f>IF(B880&lt;$C$10,0,IF(B880&lt;$C$11,$C$8/12*E880*F880*H880,0))</f>
      </c>
      <c r="J880" s="689">
        <f>I880*12/14+IF(OR(MONTH(C880)=6,MONTH(C880)=12),I880*12/14,0)</f>
      </c>
      <c r="K880" s="801">
        <f>G880/$G$15</f>
      </c>
      <c r="L880" s="760"/>
      <c r="M880" s="767"/>
      <c r="N880" s="168"/>
      <c r="O880" s="768"/>
      <c r="P880" s="170"/>
      <c r="Q880" s="7"/>
      <c r="R880" s="766"/>
      <c r="S880" s="170"/>
      <c r="T880" s="168"/>
      <c r="U880" s="170"/>
    </row>
    <row x14ac:dyDescent="0.25" r="881" customHeight="1" ht="18.75">
      <c r="A881" s="1"/>
      <c r="B881" s="799">
        <f>+DATE(YEAR(B880),MONTH(B880)+1,DAY(B880))</f>
        <v>25569.041666666668</v>
      </c>
      <c r="C881" s="799">
        <f>+B882-1</f>
        <v>25569.041666666668</v>
      </c>
      <c r="D881" s="791">
        <f>-_xlfn.DAYS($C$3,C881)/365.25</f>
      </c>
      <c r="E881" s="800">
        <f>IF($D$17+40&lt;=D881,(1+$D$7)^-(D881-$C$5),(1+$C$7)^-(D881-$C$5))</f>
      </c>
      <c r="F881" s="801">
        <f>IF($C$4="Hombre",(+VLOOKUP(INT(D881)+1,Tablas!$G$9:$K$1240,5,0)*(D881-INT(D881))+VLOOKUP(INT(D881),Tablas!$G$9:$K$1240,5,0)*(INT(D881)+1-D881))/(VLOOKUP(INT($C$5)+1,Tablas!$G$9:$K$1240,5,0)*($C$5-INT($C$5))+VLOOKUP(INT($C$5),Tablas!$G$9:$K$124,5,0)*(INT($C$5)+1-$C$5)),(+VLOOKUP(INT(D881)+1,Tablas!$G$9:$O$1240,9,0)*(D881-INT(D881))+VLOOKUP(INT(D881),Tablas!$G$9:$O$1240,9,0)*(INT(D881)+1-D881))/(VLOOKUP(INT($C$5)+1,Tablas!$G$9:$O$1240,9,0)*($C$5-INT($C$5))+VLOOKUP(INT($C$5),Tablas!$G$9:$O$124,9,0)*(INT($C$5)+1-$C$5)))</f>
      </c>
      <c r="G881" s="791">
        <f>IF($C$4="Hombre",(+VLOOKUP(INT(D881)+1,Tablas!$G$9:$K$1240,5,0)*(D881-INT(D881))+VLOOKUP(INT(D881),Tablas!$G$9:$K$1240,5,0)*(INT(D881)+1-D881)),+VLOOKUP(INT(D881)+1,Tablas!$G$9:$O$1240,9,0)*(D881-INT(D881))+VLOOKUP(INT(D881),Tablas!$G$9:$O$1240,9,0)*(INT(D881)+1-D881))</f>
      </c>
      <c r="H881" s="801">
        <f>+IF(MONTH(B881)=1,H880*(1+$C$9),H880)</f>
      </c>
      <c r="I881" s="689">
        <f>IF(B881&lt;$C$10,0,IF(B881&lt;$C$11,$C$8/12*E881*F881*H881,0))</f>
      </c>
      <c r="J881" s="689">
        <f>I881*12/14+IF(OR(MONTH(C881)=6,MONTH(C881)=12),I881*12/14,0)</f>
      </c>
      <c r="K881" s="801">
        <f>G881/$G$15</f>
      </c>
      <c r="L881" s="760"/>
      <c r="M881" s="767"/>
      <c r="N881" s="168"/>
      <c r="O881" s="768"/>
      <c r="P881" s="170"/>
      <c r="Q881" s="7"/>
      <c r="R881" s="766"/>
      <c r="S881" s="170"/>
      <c r="T881" s="168"/>
      <c r="U881" s="170"/>
    </row>
    <row x14ac:dyDescent="0.25" r="882" customHeight="1" ht="18.75">
      <c r="A882" s="1"/>
      <c r="B882" s="799">
        <f>+DATE(YEAR(B881),MONTH(B881)+1,DAY(B881))</f>
        <v>25569.041666666668</v>
      </c>
      <c r="C882" s="799">
        <f>+B883-1</f>
        <v>25569.041666666668</v>
      </c>
      <c r="D882" s="791">
        <f>-_xlfn.DAYS($C$3,C882)/365.25</f>
      </c>
      <c r="E882" s="800">
        <f>IF($D$17+40&lt;=D882,(1+$D$7)^-(D882-$C$5),(1+$C$7)^-(D882-$C$5))</f>
      </c>
      <c r="F882" s="801">
        <f>IF($C$4="Hombre",(+VLOOKUP(INT(D882)+1,Tablas!$G$9:$K$1240,5,0)*(D882-INT(D882))+VLOOKUP(INT(D882),Tablas!$G$9:$K$1240,5,0)*(INT(D882)+1-D882))/(VLOOKUP(INT($C$5)+1,Tablas!$G$9:$K$1240,5,0)*($C$5-INT($C$5))+VLOOKUP(INT($C$5),Tablas!$G$9:$K$124,5,0)*(INT($C$5)+1-$C$5)),(+VLOOKUP(INT(D882)+1,Tablas!$G$9:$O$1240,9,0)*(D882-INT(D882))+VLOOKUP(INT(D882),Tablas!$G$9:$O$1240,9,0)*(INT(D882)+1-D882))/(VLOOKUP(INT($C$5)+1,Tablas!$G$9:$O$1240,9,0)*($C$5-INT($C$5))+VLOOKUP(INT($C$5),Tablas!$G$9:$O$124,9,0)*(INT($C$5)+1-$C$5)))</f>
      </c>
      <c r="G882" s="791">
        <f>IF($C$4="Hombre",(+VLOOKUP(INT(D882)+1,Tablas!$G$9:$K$1240,5,0)*(D882-INT(D882))+VLOOKUP(INT(D882),Tablas!$G$9:$K$1240,5,0)*(INT(D882)+1-D882)),+VLOOKUP(INT(D882)+1,Tablas!$G$9:$O$1240,9,0)*(D882-INT(D882))+VLOOKUP(INT(D882),Tablas!$G$9:$O$1240,9,0)*(INT(D882)+1-D882))</f>
      </c>
      <c r="H882" s="801">
        <f>+IF(MONTH(B882)=1,H881*(1+$C$9),H881)</f>
      </c>
      <c r="I882" s="689">
        <f>IF(B882&lt;$C$10,0,IF(B882&lt;$C$11,$C$8/12*E882*F882*H882,0))</f>
      </c>
      <c r="J882" s="689">
        <f>I882*12/14+IF(OR(MONTH(C882)=6,MONTH(C882)=12),I882*12/14,0)</f>
      </c>
      <c r="K882" s="801">
        <f>G882/$G$15</f>
      </c>
      <c r="L882" s="760"/>
      <c r="M882" s="767"/>
      <c r="N882" s="168"/>
      <c r="O882" s="768"/>
      <c r="P882" s="170"/>
      <c r="Q882" s="7"/>
      <c r="R882" s="766"/>
      <c r="S882" s="170"/>
      <c r="T882" s="168"/>
      <c r="U882" s="170"/>
    </row>
    <row x14ac:dyDescent="0.25" r="883" customHeight="1" ht="18.75">
      <c r="A883" s="1"/>
      <c r="B883" s="799">
        <f>+DATE(YEAR(B882),MONTH(B882)+1,DAY(B882))</f>
        <v>25569.041666666668</v>
      </c>
      <c r="C883" s="799">
        <f>+B884-1</f>
        <v>25569.041666666668</v>
      </c>
      <c r="D883" s="791">
        <f>-_xlfn.DAYS($C$3,C883)/365.25</f>
      </c>
      <c r="E883" s="800">
        <f>IF($D$17+40&lt;=D883,(1+$D$7)^-(D883-$C$5),(1+$C$7)^-(D883-$C$5))</f>
      </c>
      <c r="F883" s="801">
        <f>IF($C$4="Hombre",(+VLOOKUP(INT(D883)+1,Tablas!$G$9:$K$1240,5,0)*(D883-INT(D883))+VLOOKUP(INT(D883),Tablas!$G$9:$K$1240,5,0)*(INT(D883)+1-D883))/(VLOOKUP(INT($C$5)+1,Tablas!$G$9:$K$1240,5,0)*($C$5-INT($C$5))+VLOOKUP(INT($C$5),Tablas!$G$9:$K$124,5,0)*(INT($C$5)+1-$C$5)),(+VLOOKUP(INT(D883)+1,Tablas!$G$9:$O$1240,9,0)*(D883-INT(D883))+VLOOKUP(INT(D883),Tablas!$G$9:$O$1240,9,0)*(INT(D883)+1-D883))/(VLOOKUP(INT($C$5)+1,Tablas!$G$9:$O$1240,9,0)*($C$5-INT($C$5))+VLOOKUP(INT($C$5),Tablas!$G$9:$O$124,9,0)*(INT($C$5)+1-$C$5)))</f>
      </c>
      <c r="G883" s="791">
        <f>IF($C$4="Hombre",(+VLOOKUP(INT(D883)+1,Tablas!$G$9:$K$1240,5,0)*(D883-INT(D883))+VLOOKUP(INT(D883),Tablas!$G$9:$K$1240,5,0)*(INT(D883)+1-D883)),+VLOOKUP(INT(D883)+1,Tablas!$G$9:$O$1240,9,0)*(D883-INT(D883))+VLOOKUP(INT(D883),Tablas!$G$9:$O$1240,9,0)*(INT(D883)+1-D883))</f>
      </c>
      <c r="H883" s="801">
        <f>+IF(MONTH(B883)=1,H882*(1+$C$9),H882)</f>
      </c>
      <c r="I883" s="689">
        <f>IF(B883&lt;$C$10,0,IF(B883&lt;$C$11,$C$8/12*E883*F883*H883,0))</f>
      </c>
      <c r="J883" s="689">
        <f>I883*12/14+IF(OR(MONTH(C883)=6,MONTH(C883)=12),I883*12/14,0)</f>
      </c>
      <c r="K883" s="801">
        <f>G883/$G$15</f>
      </c>
      <c r="L883" s="760"/>
      <c r="M883" s="767"/>
      <c r="N883" s="168"/>
      <c r="O883" s="768"/>
      <c r="P883" s="170"/>
      <c r="Q883" s="7"/>
      <c r="R883" s="766"/>
      <c r="S883" s="170"/>
      <c r="T883" s="168"/>
      <c r="U883" s="170"/>
    </row>
    <row x14ac:dyDescent="0.25" r="884" customHeight="1" ht="18.75">
      <c r="A884" s="1"/>
      <c r="B884" s="799">
        <f>+DATE(YEAR(B883),MONTH(B883)+1,DAY(B883))</f>
        <v>25569.041666666668</v>
      </c>
      <c r="C884" s="799">
        <f>+B885-1</f>
        <v>25569.041666666668</v>
      </c>
      <c r="D884" s="791">
        <f>-_xlfn.DAYS($C$3,C884)/365.25</f>
      </c>
      <c r="E884" s="800">
        <f>IF($D$17+40&lt;=D884,(1+$D$7)^-(D884-$C$5),(1+$C$7)^-(D884-$C$5))</f>
      </c>
      <c r="F884" s="801">
        <f>IF($C$4="Hombre",(+VLOOKUP(INT(D884)+1,Tablas!$G$9:$K$1240,5,0)*(D884-INT(D884))+VLOOKUP(INT(D884),Tablas!$G$9:$K$1240,5,0)*(INT(D884)+1-D884))/(VLOOKUP(INT($C$5)+1,Tablas!$G$9:$K$1240,5,0)*($C$5-INT($C$5))+VLOOKUP(INT($C$5),Tablas!$G$9:$K$124,5,0)*(INT($C$5)+1-$C$5)),(+VLOOKUP(INT(D884)+1,Tablas!$G$9:$O$1240,9,0)*(D884-INT(D884))+VLOOKUP(INT(D884),Tablas!$G$9:$O$1240,9,0)*(INT(D884)+1-D884))/(VLOOKUP(INT($C$5)+1,Tablas!$G$9:$O$1240,9,0)*($C$5-INT($C$5))+VLOOKUP(INT($C$5),Tablas!$G$9:$O$124,9,0)*(INT($C$5)+1-$C$5)))</f>
      </c>
      <c r="G884" s="791">
        <f>IF($C$4="Hombre",(+VLOOKUP(INT(D884)+1,Tablas!$G$9:$K$1240,5,0)*(D884-INT(D884))+VLOOKUP(INT(D884),Tablas!$G$9:$K$1240,5,0)*(INT(D884)+1-D884)),+VLOOKUP(INT(D884)+1,Tablas!$G$9:$O$1240,9,0)*(D884-INT(D884))+VLOOKUP(INT(D884),Tablas!$G$9:$O$1240,9,0)*(INT(D884)+1-D884))</f>
      </c>
      <c r="H884" s="801">
        <f>+IF(MONTH(B884)=1,H883*(1+$C$9),H883)</f>
      </c>
      <c r="I884" s="689">
        <f>IF(B884&lt;$C$10,0,IF(B884&lt;$C$11,$C$8/12*E884*F884*H884,0))</f>
      </c>
      <c r="J884" s="689">
        <f>I884*12/14+IF(OR(MONTH(C884)=6,MONTH(C884)=12),I884*12/14,0)</f>
      </c>
      <c r="K884" s="801">
        <f>G884/$G$15</f>
      </c>
      <c r="L884" s="760"/>
      <c r="M884" s="767"/>
      <c r="N884" s="168"/>
      <c r="O884" s="768"/>
      <c r="P884" s="170"/>
      <c r="Q884" s="7"/>
      <c r="R884" s="766"/>
      <c r="S884" s="170"/>
      <c r="T884" s="168"/>
      <c r="U884" s="170"/>
    </row>
    <row x14ac:dyDescent="0.25" r="885" customHeight="1" ht="18.75">
      <c r="A885" s="1"/>
      <c r="B885" s="799">
        <f>+DATE(YEAR(B884),MONTH(B884)+1,DAY(B884))</f>
        <v>25569.041666666668</v>
      </c>
      <c r="C885" s="799">
        <f>+B886-1</f>
        <v>25569.041666666668</v>
      </c>
      <c r="D885" s="791">
        <f>-_xlfn.DAYS($C$3,C885)/365.25</f>
      </c>
      <c r="E885" s="800">
        <f>IF($D$17+40&lt;=D885,(1+$D$7)^-(D885-$C$5),(1+$C$7)^-(D885-$C$5))</f>
      </c>
      <c r="F885" s="801">
        <f>IF($C$4="Hombre",(+VLOOKUP(INT(D885)+1,Tablas!$G$9:$K$1240,5,0)*(D885-INT(D885))+VLOOKUP(INT(D885),Tablas!$G$9:$K$1240,5,0)*(INT(D885)+1-D885))/(VLOOKUP(INT($C$5)+1,Tablas!$G$9:$K$1240,5,0)*($C$5-INT($C$5))+VLOOKUP(INT($C$5),Tablas!$G$9:$K$124,5,0)*(INT($C$5)+1-$C$5)),(+VLOOKUP(INT(D885)+1,Tablas!$G$9:$O$1240,9,0)*(D885-INT(D885))+VLOOKUP(INT(D885),Tablas!$G$9:$O$1240,9,0)*(INT(D885)+1-D885))/(VLOOKUP(INT($C$5)+1,Tablas!$G$9:$O$1240,9,0)*($C$5-INT($C$5))+VLOOKUP(INT($C$5),Tablas!$G$9:$O$124,9,0)*(INT($C$5)+1-$C$5)))</f>
      </c>
      <c r="G885" s="791">
        <f>IF($C$4="Hombre",(+VLOOKUP(INT(D885)+1,Tablas!$G$9:$K$1240,5,0)*(D885-INT(D885))+VLOOKUP(INT(D885),Tablas!$G$9:$K$1240,5,0)*(INT(D885)+1-D885)),+VLOOKUP(INT(D885)+1,Tablas!$G$9:$O$1240,9,0)*(D885-INT(D885))+VLOOKUP(INT(D885),Tablas!$G$9:$O$1240,9,0)*(INT(D885)+1-D885))</f>
      </c>
      <c r="H885" s="801">
        <f>+IF(MONTH(B885)=1,H884*(1+$C$9),H884)</f>
      </c>
      <c r="I885" s="689">
        <f>IF(B885&lt;$C$10,0,IF(B885&lt;$C$11,$C$8/12*E885*F885*H885,0))</f>
      </c>
      <c r="J885" s="689">
        <f>I885*12/14+IF(OR(MONTH(C885)=6,MONTH(C885)=12),I885*12/14,0)</f>
      </c>
      <c r="K885" s="801">
        <f>G885/$G$15</f>
      </c>
      <c r="L885" s="760"/>
      <c r="M885" s="767"/>
      <c r="N885" s="168"/>
      <c r="O885" s="768"/>
      <c r="P885" s="170"/>
      <c r="Q885" s="7"/>
      <c r="R885" s="766"/>
      <c r="S885" s="170"/>
      <c r="T885" s="168"/>
      <c r="U885" s="170"/>
    </row>
    <row x14ac:dyDescent="0.25" r="886" customHeight="1" ht="18.75">
      <c r="A886" s="1"/>
      <c r="B886" s="799">
        <f>+DATE(YEAR(B885),MONTH(B885)+1,DAY(B885))</f>
        <v>25569.041666666668</v>
      </c>
      <c r="C886" s="799">
        <f>+B887-1</f>
        <v>25569.041666666668</v>
      </c>
      <c r="D886" s="791">
        <f>-_xlfn.DAYS($C$3,C886)/365.25</f>
      </c>
      <c r="E886" s="800">
        <f>IF($D$17+40&lt;=D886,(1+$D$7)^-(D886-$C$5),(1+$C$7)^-(D886-$C$5))</f>
      </c>
      <c r="F886" s="801">
        <f>IF($C$4="Hombre",(+VLOOKUP(INT(D886)+1,Tablas!$G$9:$K$1240,5,0)*(D886-INT(D886))+VLOOKUP(INT(D886),Tablas!$G$9:$K$1240,5,0)*(INT(D886)+1-D886))/(VLOOKUP(INT($C$5)+1,Tablas!$G$9:$K$1240,5,0)*($C$5-INT($C$5))+VLOOKUP(INT($C$5),Tablas!$G$9:$K$124,5,0)*(INT($C$5)+1-$C$5)),(+VLOOKUP(INT(D886)+1,Tablas!$G$9:$O$1240,9,0)*(D886-INT(D886))+VLOOKUP(INT(D886),Tablas!$G$9:$O$1240,9,0)*(INT(D886)+1-D886))/(VLOOKUP(INT($C$5)+1,Tablas!$G$9:$O$1240,9,0)*($C$5-INT($C$5))+VLOOKUP(INT($C$5),Tablas!$G$9:$O$124,9,0)*(INT($C$5)+1-$C$5)))</f>
      </c>
      <c r="G886" s="791">
        <f>IF($C$4="Hombre",(+VLOOKUP(INT(D886)+1,Tablas!$G$9:$K$1240,5,0)*(D886-INT(D886))+VLOOKUP(INT(D886),Tablas!$G$9:$K$1240,5,0)*(INT(D886)+1-D886)),+VLOOKUP(INT(D886)+1,Tablas!$G$9:$O$1240,9,0)*(D886-INT(D886))+VLOOKUP(INT(D886),Tablas!$G$9:$O$1240,9,0)*(INT(D886)+1-D886))</f>
      </c>
      <c r="H886" s="801">
        <f>+IF(MONTH(B886)=1,H885*(1+$C$9),H885)</f>
      </c>
      <c r="I886" s="689">
        <f>IF(B886&lt;$C$10,0,IF(B886&lt;$C$11,$C$8/12*E886*F886*H886,0))</f>
      </c>
      <c r="J886" s="689">
        <f>I886*12/14+IF(OR(MONTH(C886)=6,MONTH(C886)=12),I886*12/14,0)</f>
      </c>
      <c r="K886" s="801">
        <f>G886/$G$15</f>
      </c>
      <c r="L886" s="760"/>
      <c r="M886" s="767"/>
      <c r="N886" s="168"/>
      <c r="O886" s="768"/>
      <c r="P886" s="170"/>
      <c r="Q886" s="7"/>
      <c r="R886" s="766"/>
      <c r="S886" s="170"/>
      <c r="T886" s="168"/>
      <c r="U886" s="170"/>
    </row>
    <row x14ac:dyDescent="0.25" r="887" customHeight="1" ht="18.75">
      <c r="A887" s="1"/>
      <c r="B887" s="799">
        <f>+DATE(YEAR(B886),MONTH(B886)+1,DAY(B886))</f>
        <v>25569.041666666668</v>
      </c>
      <c r="C887" s="799">
        <f>+B888-1</f>
        <v>25569.041666666668</v>
      </c>
      <c r="D887" s="791">
        <f>-_xlfn.DAYS($C$3,C887)/365.25</f>
      </c>
      <c r="E887" s="800">
        <f>IF($D$17+40&lt;=D887,(1+$D$7)^-(D887-$C$5),(1+$C$7)^-(D887-$C$5))</f>
      </c>
      <c r="F887" s="801">
        <f>IF($C$4="Hombre",(+VLOOKUP(INT(D887)+1,Tablas!$G$9:$K$1240,5,0)*(D887-INT(D887))+VLOOKUP(INT(D887),Tablas!$G$9:$K$1240,5,0)*(INT(D887)+1-D887))/(VLOOKUP(INT($C$5)+1,Tablas!$G$9:$K$1240,5,0)*($C$5-INT($C$5))+VLOOKUP(INT($C$5),Tablas!$G$9:$K$124,5,0)*(INT($C$5)+1-$C$5)),(+VLOOKUP(INT(D887)+1,Tablas!$G$9:$O$1240,9,0)*(D887-INT(D887))+VLOOKUP(INT(D887),Tablas!$G$9:$O$1240,9,0)*(INT(D887)+1-D887))/(VLOOKUP(INT($C$5)+1,Tablas!$G$9:$O$1240,9,0)*($C$5-INT($C$5))+VLOOKUP(INT($C$5),Tablas!$G$9:$O$124,9,0)*(INT($C$5)+1-$C$5)))</f>
      </c>
      <c r="G887" s="791">
        <f>IF($C$4="Hombre",(+VLOOKUP(INT(D887)+1,Tablas!$G$9:$K$1240,5,0)*(D887-INT(D887))+VLOOKUP(INT(D887),Tablas!$G$9:$K$1240,5,0)*(INT(D887)+1-D887)),+VLOOKUP(INT(D887)+1,Tablas!$G$9:$O$1240,9,0)*(D887-INT(D887))+VLOOKUP(INT(D887),Tablas!$G$9:$O$1240,9,0)*(INT(D887)+1-D887))</f>
      </c>
      <c r="H887" s="801">
        <f>+IF(MONTH(B887)=1,H886*(1+$C$9),H886)</f>
      </c>
      <c r="I887" s="689">
        <f>IF(B887&lt;$C$10,0,IF(B887&lt;$C$11,$C$8/12*E887*F887*H887,0))</f>
      </c>
      <c r="J887" s="689">
        <f>I887*12/14+IF(OR(MONTH(C887)=6,MONTH(C887)=12),I887*12/14,0)</f>
      </c>
      <c r="K887" s="801">
        <f>G887/$G$15</f>
      </c>
      <c r="L887" s="760"/>
      <c r="M887" s="767"/>
      <c r="N887" s="168"/>
      <c r="O887" s="768"/>
      <c r="P887" s="170"/>
      <c r="Q887" s="7"/>
      <c r="R887" s="766"/>
      <c r="S887" s="170"/>
      <c r="T887" s="168"/>
      <c r="U887" s="170"/>
    </row>
    <row x14ac:dyDescent="0.25" r="888" customHeight="1" ht="18.75">
      <c r="A888" s="1"/>
      <c r="B888" s="799">
        <f>+DATE(YEAR(B887),MONTH(B887)+1,DAY(B887))</f>
        <v>25569.041666666668</v>
      </c>
      <c r="C888" s="799">
        <f>+B889-1</f>
        <v>25569.041666666668</v>
      </c>
      <c r="D888" s="791">
        <f>-_xlfn.DAYS($C$3,C888)/365.25</f>
      </c>
      <c r="E888" s="800">
        <f>IF($D$17+40&lt;=D888,(1+$D$7)^-(D888-$C$5),(1+$C$7)^-(D888-$C$5))</f>
      </c>
      <c r="F888" s="801">
        <f>IF($C$4="Hombre",(+VLOOKUP(INT(D888)+1,Tablas!$G$9:$K$1240,5,0)*(D888-INT(D888))+VLOOKUP(INT(D888),Tablas!$G$9:$K$1240,5,0)*(INT(D888)+1-D888))/(VLOOKUP(INT($C$5)+1,Tablas!$G$9:$K$1240,5,0)*($C$5-INT($C$5))+VLOOKUP(INT($C$5),Tablas!$G$9:$K$124,5,0)*(INT($C$5)+1-$C$5)),(+VLOOKUP(INT(D888)+1,Tablas!$G$9:$O$1240,9,0)*(D888-INT(D888))+VLOOKUP(INT(D888),Tablas!$G$9:$O$1240,9,0)*(INT(D888)+1-D888))/(VLOOKUP(INT($C$5)+1,Tablas!$G$9:$O$1240,9,0)*($C$5-INT($C$5))+VLOOKUP(INT($C$5),Tablas!$G$9:$O$124,9,0)*(INT($C$5)+1-$C$5)))</f>
      </c>
      <c r="G888" s="791">
        <f>IF($C$4="Hombre",(+VLOOKUP(INT(D888)+1,Tablas!$G$9:$K$1240,5,0)*(D888-INT(D888))+VLOOKUP(INT(D888),Tablas!$G$9:$K$1240,5,0)*(INT(D888)+1-D888)),+VLOOKUP(INT(D888)+1,Tablas!$G$9:$O$1240,9,0)*(D888-INT(D888))+VLOOKUP(INT(D888),Tablas!$G$9:$O$1240,9,0)*(INT(D888)+1-D888))</f>
      </c>
      <c r="H888" s="801">
        <f>+IF(MONTH(B888)=1,H887*(1+$C$9),H887)</f>
      </c>
      <c r="I888" s="689">
        <f>IF(B888&lt;$C$10,0,IF(B888&lt;$C$11,$C$8/12*E888*F888*H888,0))</f>
      </c>
      <c r="J888" s="689">
        <f>I888*12/14+IF(OR(MONTH(C888)=6,MONTH(C888)=12),I888*12/14,0)</f>
      </c>
      <c r="K888" s="801">
        <f>G888/$G$15</f>
      </c>
      <c r="L888" s="760"/>
      <c r="M888" s="767"/>
      <c r="N888" s="168"/>
      <c r="O888" s="768"/>
      <c r="P888" s="170"/>
      <c r="Q888" s="7"/>
      <c r="R888" s="766"/>
      <c r="S888" s="170"/>
      <c r="T888" s="168"/>
      <c r="U888" s="170"/>
    </row>
    <row x14ac:dyDescent="0.25" r="889" customHeight="1" ht="18.75">
      <c r="A889" s="1"/>
      <c r="B889" s="799">
        <f>+DATE(YEAR(B888),MONTH(B888)+1,DAY(B888))</f>
        <v>25569.041666666668</v>
      </c>
      <c r="C889" s="799">
        <f>+B890-1</f>
        <v>25569.041666666668</v>
      </c>
      <c r="D889" s="791">
        <f>-_xlfn.DAYS($C$3,C889)/365.25</f>
      </c>
      <c r="E889" s="800">
        <f>IF($D$17+40&lt;=D889,(1+$D$7)^-(D889-$C$5),(1+$C$7)^-(D889-$C$5))</f>
      </c>
      <c r="F889" s="801">
        <f>IF($C$4="Hombre",(+VLOOKUP(INT(D889)+1,Tablas!$G$9:$K$1240,5,0)*(D889-INT(D889))+VLOOKUP(INT(D889),Tablas!$G$9:$K$1240,5,0)*(INT(D889)+1-D889))/(VLOOKUP(INT($C$5)+1,Tablas!$G$9:$K$1240,5,0)*($C$5-INT($C$5))+VLOOKUP(INT($C$5),Tablas!$G$9:$K$124,5,0)*(INT($C$5)+1-$C$5)),(+VLOOKUP(INT(D889)+1,Tablas!$G$9:$O$1240,9,0)*(D889-INT(D889))+VLOOKUP(INT(D889),Tablas!$G$9:$O$1240,9,0)*(INT(D889)+1-D889))/(VLOOKUP(INT($C$5)+1,Tablas!$G$9:$O$1240,9,0)*($C$5-INT($C$5))+VLOOKUP(INT($C$5),Tablas!$G$9:$O$124,9,0)*(INT($C$5)+1-$C$5)))</f>
      </c>
      <c r="G889" s="791">
        <f>IF($C$4="Hombre",(+VLOOKUP(INT(D889)+1,Tablas!$G$9:$K$1240,5,0)*(D889-INT(D889))+VLOOKUP(INT(D889),Tablas!$G$9:$K$1240,5,0)*(INT(D889)+1-D889)),+VLOOKUP(INT(D889)+1,Tablas!$G$9:$O$1240,9,0)*(D889-INT(D889))+VLOOKUP(INT(D889),Tablas!$G$9:$O$1240,9,0)*(INT(D889)+1-D889))</f>
      </c>
      <c r="H889" s="801">
        <f>+IF(MONTH(B889)=1,H888*(1+$C$9),H888)</f>
      </c>
      <c r="I889" s="689">
        <f>IF(B889&lt;$C$10,0,IF(B889&lt;$C$11,$C$8/12*E889*F889*H889,0))</f>
      </c>
      <c r="J889" s="689">
        <f>I889*12/14+IF(OR(MONTH(C889)=6,MONTH(C889)=12),I889*12/14,0)</f>
      </c>
      <c r="K889" s="801">
        <f>G889/$G$15</f>
      </c>
      <c r="L889" s="760"/>
      <c r="M889" s="767"/>
      <c r="N889" s="168"/>
      <c r="O889" s="768"/>
      <c r="P889" s="170"/>
      <c r="Q889" s="7"/>
      <c r="R889" s="766"/>
      <c r="S889" s="170"/>
      <c r="T889" s="168"/>
      <c r="U889" s="170"/>
    </row>
    <row x14ac:dyDescent="0.25" r="890" customHeight="1" ht="18.75">
      <c r="A890" s="1"/>
      <c r="B890" s="799">
        <f>+DATE(YEAR(B889),MONTH(B889)+1,DAY(B889))</f>
        <v>25569.041666666668</v>
      </c>
      <c r="C890" s="799">
        <f>+B891-1</f>
        <v>25569.041666666668</v>
      </c>
      <c r="D890" s="791">
        <f>-_xlfn.DAYS($C$3,C890)/365.25</f>
      </c>
      <c r="E890" s="800">
        <f>IF($D$17+40&lt;=D890,(1+$D$7)^-(D890-$C$5),(1+$C$7)^-(D890-$C$5))</f>
      </c>
      <c r="F890" s="801">
        <f>IF($C$4="Hombre",(+VLOOKUP(INT(D890)+1,Tablas!$G$9:$K$1240,5,0)*(D890-INT(D890))+VLOOKUP(INT(D890),Tablas!$G$9:$K$1240,5,0)*(INT(D890)+1-D890))/(VLOOKUP(INT($C$5)+1,Tablas!$G$9:$K$1240,5,0)*($C$5-INT($C$5))+VLOOKUP(INT($C$5),Tablas!$G$9:$K$124,5,0)*(INT($C$5)+1-$C$5)),(+VLOOKUP(INT(D890)+1,Tablas!$G$9:$O$1240,9,0)*(D890-INT(D890))+VLOOKUP(INT(D890),Tablas!$G$9:$O$1240,9,0)*(INT(D890)+1-D890))/(VLOOKUP(INT($C$5)+1,Tablas!$G$9:$O$1240,9,0)*($C$5-INT($C$5))+VLOOKUP(INT($C$5),Tablas!$G$9:$O$124,9,0)*(INT($C$5)+1-$C$5)))</f>
      </c>
      <c r="G890" s="791">
        <f>IF($C$4="Hombre",(+VLOOKUP(INT(D890)+1,Tablas!$G$9:$K$1240,5,0)*(D890-INT(D890))+VLOOKUP(INT(D890),Tablas!$G$9:$K$1240,5,0)*(INT(D890)+1-D890)),+VLOOKUP(INT(D890)+1,Tablas!$G$9:$O$1240,9,0)*(D890-INT(D890))+VLOOKUP(INT(D890),Tablas!$G$9:$O$1240,9,0)*(INT(D890)+1-D890))</f>
      </c>
      <c r="H890" s="801">
        <f>+IF(MONTH(B890)=1,H889*(1+$C$9),H889)</f>
      </c>
      <c r="I890" s="689">
        <f>IF(B890&lt;$C$10,0,IF(B890&lt;$C$11,$C$8/12*E890*F890*H890,0))</f>
      </c>
      <c r="J890" s="689">
        <f>I890*12/14+IF(OR(MONTH(C890)=6,MONTH(C890)=12),I890*12/14,0)</f>
      </c>
      <c r="K890" s="801">
        <f>G890/$G$15</f>
      </c>
      <c r="L890" s="760"/>
      <c r="M890" s="767"/>
      <c r="N890" s="168"/>
      <c r="O890" s="768"/>
      <c r="P890" s="170"/>
      <c r="Q890" s="7"/>
      <c r="R890" s="766"/>
      <c r="S890" s="170"/>
      <c r="T890" s="168"/>
      <c r="U890" s="170"/>
    </row>
    <row x14ac:dyDescent="0.25" r="891" customHeight="1" ht="18.75">
      <c r="A891" s="1"/>
      <c r="B891" s="799">
        <f>+DATE(YEAR(B890),MONTH(B890)+1,DAY(B890))</f>
        <v>25569.041666666668</v>
      </c>
      <c r="C891" s="799">
        <f>+B892-1</f>
        <v>25569.041666666668</v>
      </c>
      <c r="D891" s="791">
        <f>-_xlfn.DAYS($C$3,C891)/365.25</f>
      </c>
      <c r="E891" s="800">
        <f>IF($D$17+40&lt;=D891,(1+$D$7)^-(D891-$C$5),(1+$C$7)^-(D891-$C$5))</f>
      </c>
      <c r="F891" s="801">
        <f>IF($C$4="Hombre",(+VLOOKUP(INT(D891)+1,Tablas!$G$9:$K$1240,5,0)*(D891-INT(D891))+VLOOKUP(INT(D891),Tablas!$G$9:$K$1240,5,0)*(INT(D891)+1-D891))/(VLOOKUP(INT($C$5)+1,Tablas!$G$9:$K$1240,5,0)*($C$5-INT($C$5))+VLOOKUP(INT($C$5),Tablas!$G$9:$K$124,5,0)*(INT($C$5)+1-$C$5)),(+VLOOKUP(INT(D891)+1,Tablas!$G$9:$O$1240,9,0)*(D891-INT(D891))+VLOOKUP(INT(D891),Tablas!$G$9:$O$1240,9,0)*(INT(D891)+1-D891))/(VLOOKUP(INT($C$5)+1,Tablas!$G$9:$O$1240,9,0)*($C$5-INT($C$5))+VLOOKUP(INT($C$5),Tablas!$G$9:$O$124,9,0)*(INT($C$5)+1-$C$5)))</f>
      </c>
      <c r="G891" s="791">
        <f>IF($C$4="Hombre",(+VLOOKUP(INT(D891)+1,Tablas!$G$9:$K$1240,5,0)*(D891-INT(D891))+VLOOKUP(INT(D891),Tablas!$G$9:$K$1240,5,0)*(INT(D891)+1-D891)),+VLOOKUP(INT(D891)+1,Tablas!$G$9:$O$1240,9,0)*(D891-INT(D891))+VLOOKUP(INT(D891),Tablas!$G$9:$O$1240,9,0)*(INT(D891)+1-D891))</f>
      </c>
      <c r="H891" s="801">
        <f>+IF(MONTH(B891)=1,H890*(1+$C$9),H890)</f>
      </c>
      <c r="I891" s="689">
        <f>IF(B891&lt;$C$10,0,IF(B891&lt;$C$11,$C$8/12*E891*F891*H891,0))</f>
      </c>
      <c r="J891" s="689">
        <f>I891*12/14+IF(OR(MONTH(C891)=6,MONTH(C891)=12),I891*12/14,0)</f>
      </c>
      <c r="K891" s="801">
        <f>G891/$G$15</f>
      </c>
      <c r="L891" s="760"/>
      <c r="M891" s="767"/>
      <c r="N891" s="168"/>
      <c r="O891" s="768"/>
      <c r="P891" s="170"/>
      <c r="Q891" s="7"/>
      <c r="R891" s="766"/>
      <c r="S891" s="170"/>
      <c r="T891" s="168"/>
      <c r="U891" s="170"/>
    </row>
    <row x14ac:dyDescent="0.25" r="892" customHeight="1" ht="18.75">
      <c r="A892" s="1"/>
      <c r="B892" s="799">
        <f>+DATE(YEAR(B891),MONTH(B891)+1,DAY(B891))</f>
        <v>25569.041666666668</v>
      </c>
      <c r="C892" s="799">
        <f>+B893-1</f>
        <v>25569.041666666668</v>
      </c>
      <c r="D892" s="791">
        <f>-_xlfn.DAYS($C$3,C892)/365.25</f>
      </c>
      <c r="E892" s="800">
        <f>IF($D$17+40&lt;=D892,(1+$D$7)^-(D892-$C$5),(1+$C$7)^-(D892-$C$5))</f>
      </c>
      <c r="F892" s="801">
        <f>IF($C$4="Hombre",(+VLOOKUP(INT(D892)+1,Tablas!$G$9:$K$1240,5,0)*(D892-INT(D892))+VLOOKUP(INT(D892),Tablas!$G$9:$K$1240,5,0)*(INT(D892)+1-D892))/(VLOOKUP(INT($C$5)+1,Tablas!$G$9:$K$1240,5,0)*($C$5-INT($C$5))+VLOOKUP(INT($C$5),Tablas!$G$9:$K$124,5,0)*(INT($C$5)+1-$C$5)),(+VLOOKUP(INT(D892)+1,Tablas!$G$9:$O$1240,9,0)*(D892-INT(D892))+VLOOKUP(INT(D892),Tablas!$G$9:$O$1240,9,0)*(INT(D892)+1-D892))/(VLOOKUP(INT($C$5)+1,Tablas!$G$9:$O$1240,9,0)*($C$5-INT($C$5))+VLOOKUP(INT($C$5),Tablas!$G$9:$O$124,9,0)*(INT($C$5)+1-$C$5)))</f>
      </c>
      <c r="G892" s="791">
        <f>IF($C$4="Hombre",(+VLOOKUP(INT(D892)+1,Tablas!$G$9:$K$1240,5,0)*(D892-INT(D892))+VLOOKUP(INT(D892),Tablas!$G$9:$K$1240,5,0)*(INT(D892)+1-D892)),+VLOOKUP(INT(D892)+1,Tablas!$G$9:$O$1240,9,0)*(D892-INT(D892))+VLOOKUP(INT(D892),Tablas!$G$9:$O$1240,9,0)*(INT(D892)+1-D892))</f>
      </c>
      <c r="H892" s="801">
        <f>+IF(MONTH(B892)=1,H891*(1+$C$9),H891)</f>
      </c>
      <c r="I892" s="689">
        <f>IF(B892&lt;$C$10,0,IF(B892&lt;$C$11,$C$8/12*E892*F892*H892,0))</f>
      </c>
      <c r="J892" s="689">
        <f>I892*12/14+IF(OR(MONTH(C892)=6,MONTH(C892)=12),I892*12/14,0)</f>
      </c>
      <c r="K892" s="801">
        <f>G892/$G$15</f>
      </c>
      <c r="L892" s="760"/>
      <c r="M892" s="767"/>
      <c r="N892" s="168"/>
      <c r="O892" s="768"/>
      <c r="P892" s="170"/>
      <c r="Q892" s="7"/>
      <c r="R892" s="766"/>
      <c r="S892" s="170"/>
      <c r="T892" s="168"/>
      <c r="U892" s="170"/>
    </row>
    <row x14ac:dyDescent="0.25" r="893" customHeight="1" ht="18.75">
      <c r="A893" s="1"/>
      <c r="B893" s="799">
        <f>+DATE(YEAR(B892),MONTH(B892)+1,DAY(B892))</f>
        <v>25569.041666666668</v>
      </c>
      <c r="C893" s="799">
        <f>+B894-1</f>
        <v>25569.041666666668</v>
      </c>
      <c r="D893" s="791">
        <f>-_xlfn.DAYS($C$3,C893)/365.25</f>
      </c>
      <c r="E893" s="800">
        <f>IF($D$17+40&lt;=D893,(1+$D$7)^-(D893-$C$5),(1+$C$7)^-(D893-$C$5))</f>
      </c>
      <c r="F893" s="801">
        <f>IF($C$4="Hombre",(+VLOOKUP(INT(D893)+1,Tablas!$G$9:$K$1240,5,0)*(D893-INT(D893))+VLOOKUP(INT(D893),Tablas!$G$9:$K$1240,5,0)*(INT(D893)+1-D893))/(VLOOKUP(INT($C$5)+1,Tablas!$G$9:$K$1240,5,0)*($C$5-INT($C$5))+VLOOKUP(INT($C$5),Tablas!$G$9:$K$124,5,0)*(INT($C$5)+1-$C$5)),(+VLOOKUP(INT(D893)+1,Tablas!$G$9:$O$1240,9,0)*(D893-INT(D893))+VLOOKUP(INT(D893),Tablas!$G$9:$O$1240,9,0)*(INT(D893)+1-D893))/(VLOOKUP(INT($C$5)+1,Tablas!$G$9:$O$1240,9,0)*($C$5-INT($C$5))+VLOOKUP(INT($C$5),Tablas!$G$9:$O$124,9,0)*(INT($C$5)+1-$C$5)))</f>
      </c>
      <c r="G893" s="791">
        <f>IF($C$4="Hombre",(+VLOOKUP(INT(D893)+1,Tablas!$G$9:$K$1240,5,0)*(D893-INT(D893))+VLOOKUP(INT(D893),Tablas!$G$9:$K$1240,5,0)*(INT(D893)+1-D893)),+VLOOKUP(INT(D893)+1,Tablas!$G$9:$O$1240,9,0)*(D893-INT(D893))+VLOOKUP(INT(D893),Tablas!$G$9:$O$1240,9,0)*(INT(D893)+1-D893))</f>
      </c>
      <c r="H893" s="801">
        <f>+IF(MONTH(B893)=1,H892*(1+$C$9),H892)</f>
      </c>
      <c r="I893" s="689">
        <f>IF(B893&lt;$C$10,0,IF(B893&lt;$C$11,$C$8/12*E893*F893*H893,0))</f>
      </c>
      <c r="J893" s="689">
        <f>I893*12/14+IF(OR(MONTH(C893)=6,MONTH(C893)=12),I893*12/14,0)</f>
      </c>
      <c r="K893" s="801">
        <f>G893/$G$15</f>
      </c>
      <c r="L893" s="760"/>
      <c r="M893" s="767"/>
      <c r="N893" s="168"/>
      <c r="O893" s="768"/>
      <c r="P893" s="170"/>
      <c r="Q893" s="7"/>
      <c r="R893" s="766"/>
      <c r="S893" s="170"/>
      <c r="T893" s="168"/>
      <c r="U893" s="170"/>
    </row>
    <row x14ac:dyDescent="0.25" r="894" customHeight="1" ht="18.75">
      <c r="A894" s="1"/>
      <c r="B894" s="799">
        <f>+DATE(YEAR(B893),MONTH(B893)+1,DAY(B893))</f>
        <v>25569.041666666668</v>
      </c>
      <c r="C894" s="799">
        <f>+B895-1</f>
        <v>25569.041666666668</v>
      </c>
      <c r="D894" s="791">
        <f>-_xlfn.DAYS($C$3,C894)/365.25</f>
      </c>
      <c r="E894" s="800">
        <f>IF($D$17+40&lt;=D894,(1+$D$7)^-(D894-$C$5),(1+$C$7)^-(D894-$C$5))</f>
      </c>
      <c r="F894" s="801">
        <f>IF($C$4="Hombre",(+VLOOKUP(INT(D894)+1,Tablas!$G$9:$K$1240,5,0)*(D894-INT(D894))+VLOOKUP(INT(D894),Tablas!$G$9:$K$1240,5,0)*(INT(D894)+1-D894))/(VLOOKUP(INT($C$5)+1,Tablas!$G$9:$K$1240,5,0)*($C$5-INT($C$5))+VLOOKUP(INT($C$5),Tablas!$G$9:$K$124,5,0)*(INT($C$5)+1-$C$5)),(+VLOOKUP(INT(D894)+1,Tablas!$G$9:$O$1240,9,0)*(D894-INT(D894))+VLOOKUP(INT(D894),Tablas!$G$9:$O$1240,9,0)*(INT(D894)+1-D894))/(VLOOKUP(INT($C$5)+1,Tablas!$G$9:$O$1240,9,0)*($C$5-INT($C$5))+VLOOKUP(INT($C$5),Tablas!$G$9:$O$124,9,0)*(INT($C$5)+1-$C$5)))</f>
      </c>
      <c r="G894" s="791">
        <f>IF($C$4="Hombre",(+VLOOKUP(INT(D894)+1,Tablas!$G$9:$K$1240,5,0)*(D894-INT(D894))+VLOOKUP(INT(D894),Tablas!$G$9:$K$1240,5,0)*(INT(D894)+1-D894)),+VLOOKUP(INT(D894)+1,Tablas!$G$9:$O$1240,9,0)*(D894-INT(D894))+VLOOKUP(INT(D894),Tablas!$G$9:$O$1240,9,0)*(INT(D894)+1-D894))</f>
      </c>
      <c r="H894" s="801">
        <f>+IF(MONTH(B894)=1,H893*(1+$C$9),H893)</f>
      </c>
      <c r="I894" s="689">
        <f>IF(B894&lt;$C$10,0,IF(B894&lt;$C$11,$C$8/12*E894*F894*H894,0))</f>
      </c>
      <c r="J894" s="689">
        <f>I894*12/14+IF(OR(MONTH(C894)=6,MONTH(C894)=12),I894*12/14,0)</f>
      </c>
      <c r="K894" s="801">
        <f>G894/$G$15</f>
      </c>
      <c r="L894" s="760"/>
      <c r="M894" s="767"/>
      <c r="N894" s="168"/>
      <c r="O894" s="768"/>
      <c r="P894" s="170"/>
      <c r="Q894" s="7"/>
      <c r="R894" s="766"/>
      <c r="S894" s="170"/>
      <c r="T894" s="168"/>
      <c r="U894" s="170"/>
    </row>
    <row x14ac:dyDescent="0.25" r="895" customHeight="1" ht="18.75">
      <c r="A895" s="1"/>
      <c r="B895" s="799">
        <f>+DATE(YEAR(B894),MONTH(B894)+1,DAY(B894))</f>
        <v>25569.041666666668</v>
      </c>
      <c r="C895" s="799">
        <f>+B896-1</f>
        <v>25569.041666666668</v>
      </c>
      <c r="D895" s="791">
        <f>-_xlfn.DAYS($C$3,C895)/365.25</f>
      </c>
      <c r="E895" s="800">
        <f>IF($D$17+40&lt;=D895,(1+$D$7)^-(D895-$C$5),(1+$C$7)^-(D895-$C$5))</f>
      </c>
      <c r="F895" s="801">
        <f>IF($C$4="Hombre",(+VLOOKUP(INT(D895)+1,Tablas!$G$9:$K$1240,5,0)*(D895-INT(D895))+VLOOKUP(INT(D895),Tablas!$G$9:$K$1240,5,0)*(INT(D895)+1-D895))/(VLOOKUP(INT($C$5)+1,Tablas!$G$9:$K$1240,5,0)*($C$5-INT($C$5))+VLOOKUP(INT($C$5),Tablas!$G$9:$K$124,5,0)*(INT($C$5)+1-$C$5)),(+VLOOKUP(INT(D895)+1,Tablas!$G$9:$O$1240,9,0)*(D895-INT(D895))+VLOOKUP(INT(D895),Tablas!$G$9:$O$1240,9,0)*(INT(D895)+1-D895))/(VLOOKUP(INT($C$5)+1,Tablas!$G$9:$O$1240,9,0)*($C$5-INT($C$5))+VLOOKUP(INT($C$5),Tablas!$G$9:$O$124,9,0)*(INT($C$5)+1-$C$5)))</f>
      </c>
      <c r="G895" s="791">
        <f>IF($C$4="Hombre",(+VLOOKUP(INT(D895)+1,Tablas!$G$9:$K$1240,5,0)*(D895-INT(D895))+VLOOKUP(INT(D895),Tablas!$G$9:$K$1240,5,0)*(INT(D895)+1-D895)),+VLOOKUP(INT(D895)+1,Tablas!$G$9:$O$1240,9,0)*(D895-INT(D895))+VLOOKUP(INT(D895),Tablas!$G$9:$O$1240,9,0)*(INT(D895)+1-D895))</f>
      </c>
      <c r="H895" s="801">
        <f>+IF(MONTH(B895)=1,H894*(1+$C$9),H894)</f>
      </c>
      <c r="I895" s="689">
        <f>IF(B895&lt;$C$10,0,IF(B895&lt;$C$11,$C$8/12*E895*F895*H895,0))</f>
      </c>
      <c r="J895" s="689">
        <f>I895*12/14+IF(OR(MONTH(C895)=6,MONTH(C895)=12),I895*12/14,0)</f>
      </c>
      <c r="K895" s="801">
        <f>G895/$G$15</f>
      </c>
      <c r="L895" s="760"/>
      <c r="M895" s="767"/>
      <c r="N895" s="168"/>
      <c r="O895" s="768"/>
      <c r="P895" s="170"/>
      <c r="Q895" s="7"/>
      <c r="R895" s="766"/>
      <c r="S895" s="170"/>
      <c r="T895" s="168"/>
      <c r="U895" s="170"/>
    </row>
    <row x14ac:dyDescent="0.25" r="896" customHeight="1" ht="18.75">
      <c r="A896" s="1"/>
      <c r="B896" s="799">
        <f>+DATE(YEAR(B895),MONTH(B895)+1,DAY(B895))</f>
        <v>25569.041666666668</v>
      </c>
      <c r="C896" s="799">
        <f>+B897-1</f>
        <v>25569.041666666668</v>
      </c>
      <c r="D896" s="791">
        <f>-_xlfn.DAYS($C$3,C896)/365.25</f>
      </c>
      <c r="E896" s="800">
        <f>IF($D$17+40&lt;=D896,(1+$D$7)^-(D896-$C$5),(1+$C$7)^-(D896-$C$5))</f>
      </c>
      <c r="F896" s="801">
        <f>IF($C$4="Hombre",(+VLOOKUP(INT(D896)+1,Tablas!$G$9:$K$1240,5,0)*(D896-INT(D896))+VLOOKUP(INT(D896),Tablas!$G$9:$K$1240,5,0)*(INT(D896)+1-D896))/(VLOOKUP(INT($C$5)+1,Tablas!$G$9:$K$1240,5,0)*($C$5-INT($C$5))+VLOOKUP(INT($C$5),Tablas!$G$9:$K$124,5,0)*(INT($C$5)+1-$C$5)),(+VLOOKUP(INT(D896)+1,Tablas!$G$9:$O$1240,9,0)*(D896-INT(D896))+VLOOKUP(INT(D896),Tablas!$G$9:$O$1240,9,0)*(INT(D896)+1-D896))/(VLOOKUP(INT($C$5)+1,Tablas!$G$9:$O$1240,9,0)*($C$5-INT($C$5))+VLOOKUP(INT($C$5),Tablas!$G$9:$O$124,9,0)*(INT($C$5)+1-$C$5)))</f>
      </c>
      <c r="G896" s="791">
        <f>IF($C$4="Hombre",(+VLOOKUP(INT(D896)+1,Tablas!$G$9:$K$1240,5,0)*(D896-INT(D896))+VLOOKUP(INT(D896),Tablas!$G$9:$K$1240,5,0)*(INT(D896)+1-D896)),+VLOOKUP(INT(D896)+1,Tablas!$G$9:$O$1240,9,0)*(D896-INT(D896))+VLOOKUP(INT(D896),Tablas!$G$9:$O$1240,9,0)*(INT(D896)+1-D896))</f>
      </c>
      <c r="H896" s="801">
        <f>+IF(MONTH(B896)=1,H895*(1+$C$9),H895)</f>
      </c>
      <c r="I896" s="689">
        <f>IF(B896&lt;$C$10,0,IF(B896&lt;$C$11,$C$8/12*E896*F896*H896,0))</f>
      </c>
      <c r="J896" s="689">
        <f>I896*12/14+IF(OR(MONTH(C896)=6,MONTH(C896)=12),I896*12/14,0)</f>
      </c>
      <c r="K896" s="801">
        <f>G896/$G$15</f>
      </c>
      <c r="L896" s="760"/>
      <c r="M896" s="767"/>
      <c r="N896" s="168"/>
      <c r="O896" s="768"/>
      <c r="P896" s="170"/>
      <c r="Q896" s="7"/>
      <c r="R896" s="766"/>
      <c r="S896" s="170"/>
      <c r="T896" s="168"/>
      <c r="U896" s="170"/>
    </row>
    <row x14ac:dyDescent="0.25" r="897" customHeight="1" ht="18.75">
      <c r="A897" s="1"/>
      <c r="B897" s="799">
        <f>+DATE(YEAR(B896),MONTH(B896)+1,DAY(B896))</f>
        <v>25569.041666666668</v>
      </c>
      <c r="C897" s="799">
        <f>+B898-1</f>
        <v>25569.041666666668</v>
      </c>
      <c r="D897" s="791">
        <f>-_xlfn.DAYS($C$3,C897)/365.25</f>
      </c>
      <c r="E897" s="800">
        <f>IF($D$17+40&lt;=D897,(1+$D$7)^-(D897-$C$5),(1+$C$7)^-(D897-$C$5))</f>
      </c>
      <c r="F897" s="801">
        <f>IF($C$4="Hombre",(+VLOOKUP(INT(D897)+1,Tablas!$G$9:$K$1240,5,0)*(D897-INT(D897))+VLOOKUP(INT(D897),Tablas!$G$9:$K$1240,5,0)*(INT(D897)+1-D897))/(VLOOKUP(INT($C$5)+1,Tablas!$G$9:$K$1240,5,0)*($C$5-INT($C$5))+VLOOKUP(INT($C$5),Tablas!$G$9:$K$124,5,0)*(INT($C$5)+1-$C$5)),(+VLOOKUP(INT(D897)+1,Tablas!$G$9:$O$1240,9,0)*(D897-INT(D897))+VLOOKUP(INT(D897),Tablas!$G$9:$O$1240,9,0)*(INT(D897)+1-D897))/(VLOOKUP(INT($C$5)+1,Tablas!$G$9:$O$1240,9,0)*($C$5-INT($C$5))+VLOOKUP(INT($C$5),Tablas!$G$9:$O$124,9,0)*(INT($C$5)+1-$C$5)))</f>
      </c>
      <c r="G897" s="791">
        <f>IF($C$4="Hombre",(+VLOOKUP(INT(D897)+1,Tablas!$G$9:$K$1240,5,0)*(D897-INT(D897))+VLOOKUP(INT(D897),Tablas!$G$9:$K$1240,5,0)*(INT(D897)+1-D897)),+VLOOKUP(INT(D897)+1,Tablas!$G$9:$O$1240,9,0)*(D897-INT(D897))+VLOOKUP(INT(D897),Tablas!$G$9:$O$1240,9,0)*(INT(D897)+1-D897))</f>
      </c>
      <c r="H897" s="801">
        <f>+IF(MONTH(B897)=1,H896*(1+$C$9),H896)</f>
      </c>
      <c r="I897" s="689">
        <f>IF(B897&lt;$C$10,0,IF(B897&lt;$C$11,$C$8/12*E897*F897*H897,0))</f>
      </c>
      <c r="J897" s="689">
        <f>I897*12/14+IF(OR(MONTH(C897)=6,MONTH(C897)=12),I897*12/14,0)</f>
      </c>
      <c r="K897" s="801">
        <f>G897/$G$15</f>
      </c>
      <c r="L897" s="760"/>
      <c r="M897" s="767"/>
      <c r="N897" s="168"/>
      <c r="O897" s="768"/>
      <c r="P897" s="170"/>
      <c r="Q897" s="7"/>
      <c r="R897" s="766"/>
      <c r="S897" s="170"/>
      <c r="T897" s="168"/>
      <c r="U897" s="170"/>
    </row>
    <row x14ac:dyDescent="0.25" r="898" customHeight="1" ht="18.75">
      <c r="A898" s="1"/>
      <c r="B898" s="799">
        <f>+DATE(YEAR(B897),MONTH(B897)+1,DAY(B897))</f>
        <v>25569.041666666668</v>
      </c>
      <c r="C898" s="799">
        <f>+B899-1</f>
        <v>25569.041666666668</v>
      </c>
      <c r="D898" s="791">
        <f>-_xlfn.DAYS($C$3,C898)/365.25</f>
      </c>
      <c r="E898" s="800">
        <f>IF($D$17+40&lt;=D898,(1+$D$7)^-(D898-$C$5),(1+$C$7)^-(D898-$C$5))</f>
      </c>
      <c r="F898" s="801">
        <f>IF($C$4="Hombre",(+VLOOKUP(INT(D898)+1,Tablas!$G$9:$K$1240,5,0)*(D898-INT(D898))+VLOOKUP(INT(D898),Tablas!$G$9:$K$1240,5,0)*(INT(D898)+1-D898))/(VLOOKUP(INT($C$5)+1,Tablas!$G$9:$K$1240,5,0)*($C$5-INT($C$5))+VLOOKUP(INT($C$5),Tablas!$G$9:$K$124,5,0)*(INT($C$5)+1-$C$5)),(+VLOOKUP(INT(D898)+1,Tablas!$G$9:$O$1240,9,0)*(D898-INT(D898))+VLOOKUP(INT(D898),Tablas!$G$9:$O$1240,9,0)*(INT(D898)+1-D898))/(VLOOKUP(INT($C$5)+1,Tablas!$G$9:$O$1240,9,0)*($C$5-INT($C$5))+VLOOKUP(INT($C$5),Tablas!$G$9:$O$124,9,0)*(INT($C$5)+1-$C$5)))</f>
      </c>
      <c r="G898" s="791">
        <f>IF($C$4="Hombre",(+VLOOKUP(INT(D898)+1,Tablas!$G$9:$K$1240,5,0)*(D898-INT(D898))+VLOOKUP(INT(D898),Tablas!$G$9:$K$1240,5,0)*(INT(D898)+1-D898)),+VLOOKUP(INT(D898)+1,Tablas!$G$9:$O$1240,9,0)*(D898-INT(D898))+VLOOKUP(INT(D898),Tablas!$G$9:$O$1240,9,0)*(INT(D898)+1-D898))</f>
      </c>
      <c r="H898" s="801">
        <f>+IF(MONTH(B898)=1,H897*(1+$C$9),H897)</f>
      </c>
      <c r="I898" s="689">
        <f>IF(B898&lt;$C$10,0,IF(B898&lt;$C$11,$C$8/12*E898*F898*H898,0))</f>
      </c>
      <c r="J898" s="689">
        <f>I898*12/14+IF(OR(MONTH(C898)=6,MONTH(C898)=12),I898*12/14,0)</f>
      </c>
      <c r="K898" s="801">
        <f>G898/$G$15</f>
      </c>
      <c r="L898" s="760"/>
      <c r="M898" s="767"/>
      <c r="N898" s="168"/>
      <c r="O898" s="768"/>
      <c r="P898" s="170"/>
      <c r="Q898" s="7"/>
      <c r="R898" s="766"/>
      <c r="S898" s="170"/>
      <c r="T898" s="168"/>
      <c r="U898" s="170"/>
    </row>
    <row x14ac:dyDescent="0.25" r="899" customHeight="1" ht="18.75">
      <c r="A899" s="1"/>
      <c r="B899" s="799">
        <f>+DATE(YEAR(B898),MONTH(B898)+1,DAY(B898))</f>
        <v>25569.041666666668</v>
      </c>
      <c r="C899" s="799">
        <f>+B900-1</f>
        <v>25569.041666666668</v>
      </c>
      <c r="D899" s="791">
        <f>-_xlfn.DAYS($C$3,C899)/365.25</f>
      </c>
      <c r="E899" s="800">
        <f>IF($D$17+40&lt;=D899,(1+$D$7)^-(D899-$C$5),(1+$C$7)^-(D899-$C$5))</f>
      </c>
      <c r="F899" s="801">
        <f>IF($C$4="Hombre",(+VLOOKUP(INT(D899)+1,Tablas!$G$9:$K$1240,5,0)*(D899-INT(D899))+VLOOKUP(INT(D899),Tablas!$G$9:$K$1240,5,0)*(INT(D899)+1-D899))/(VLOOKUP(INT($C$5)+1,Tablas!$G$9:$K$1240,5,0)*($C$5-INT($C$5))+VLOOKUP(INT($C$5),Tablas!$G$9:$K$124,5,0)*(INT($C$5)+1-$C$5)),(+VLOOKUP(INT(D899)+1,Tablas!$G$9:$O$1240,9,0)*(D899-INT(D899))+VLOOKUP(INT(D899),Tablas!$G$9:$O$1240,9,0)*(INT(D899)+1-D899))/(VLOOKUP(INT($C$5)+1,Tablas!$G$9:$O$1240,9,0)*($C$5-INT($C$5))+VLOOKUP(INT($C$5),Tablas!$G$9:$O$124,9,0)*(INT($C$5)+1-$C$5)))</f>
      </c>
      <c r="G899" s="791">
        <f>IF($C$4="Hombre",(+VLOOKUP(INT(D899)+1,Tablas!$G$9:$K$1240,5,0)*(D899-INT(D899))+VLOOKUP(INT(D899),Tablas!$G$9:$K$1240,5,0)*(INT(D899)+1-D899)),+VLOOKUP(INT(D899)+1,Tablas!$G$9:$O$1240,9,0)*(D899-INT(D899))+VLOOKUP(INT(D899),Tablas!$G$9:$O$1240,9,0)*(INT(D899)+1-D899))</f>
      </c>
      <c r="H899" s="801">
        <f>+IF(MONTH(B899)=1,H898*(1+$C$9),H898)</f>
      </c>
      <c r="I899" s="689">
        <f>IF(B899&lt;$C$10,0,IF(B899&lt;$C$11,$C$8/12*E899*F899*H899,0))</f>
      </c>
      <c r="J899" s="689">
        <f>I899*12/14+IF(OR(MONTH(C899)=6,MONTH(C899)=12),I899*12/14,0)</f>
      </c>
      <c r="K899" s="801">
        <f>G899/$G$15</f>
      </c>
      <c r="L899" s="760"/>
      <c r="M899" s="767"/>
      <c r="N899" s="168"/>
      <c r="O899" s="768"/>
      <c r="P899" s="170"/>
      <c r="Q899" s="7"/>
      <c r="R899" s="766"/>
      <c r="S899" s="170"/>
      <c r="T899" s="168"/>
      <c r="U899" s="170"/>
    </row>
    <row x14ac:dyDescent="0.25" r="900" customHeight="1" ht="18.75">
      <c r="A900" s="1"/>
      <c r="B900" s="799">
        <f>+DATE(YEAR(B899),MONTH(B899)+1,DAY(B899))</f>
        <v>25569.041666666668</v>
      </c>
      <c r="C900" s="799">
        <f>+B901-1</f>
        <v>25569.041666666668</v>
      </c>
      <c r="D900" s="791">
        <f>-_xlfn.DAYS($C$3,C900)/365.25</f>
      </c>
      <c r="E900" s="800">
        <f>IF($D$17+40&lt;=D900,(1+$D$7)^-(D900-$C$5),(1+$C$7)^-(D900-$C$5))</f>
      </c>
      <c r="F900" s="801">
        <f>IF($C$4="Hombre",(+VLOOKUP(INT(D900)+1,Tablas!$G$9:$K$1240,5,0)*(D900-INT(D900))+VLOOKUP(INT(D900),Tablas!$G$9:$K$1240,5,0)*(INT(D900)+1-D900))/(VLOOKUP(INT($C$5)+1,Tablas!$G$9:$K$1240,5,0)*($C$5-INT($C$5))+VLOOKUP(INT($C$5),Tablas!$G$9:$K$124,5,0)*(INT($C$5)+1-$C$5)),(+VLOOKUP(INT(D900)+1,Tablas!$G$9:$O$1240,9,0)*(D900-INT(D900))+VLOOKUP(INT(D900),Tablas!$G$9:$O$1240,9,0)*(INT(D900)+1-D900))/(VLOOKUP(INT($C$5)+1,Tablas!$G$9:$O$1240,9,0)*($C$5-INT($C$5))+VLOOKUP(INT($C$5),Tablas!$G$9:$O$124,9,0)*(INT($C$5)+1-$C$5)))</f>
      </c>
      <c r="G900" s="791">
        <f>IF($C$4="Hombre",(+VLOOKUP(INT(D900)+1,Tablas!$G$9:$K$1240,5,0)*(D900-INT(D900))+VLOOKUP(INT(D900),Tablas!$G$9:$K$1240,5,0)*(INT(D900)+1-D900)),+VLOOKUP(INT(D900)+1,Tablas!$G$9:$O$1240,9,0)*(D900-INT(D900))+VLOOKUP(INT(D900),Tablas!$G$9:$O$1240,9,0)*(INT(D900)+1-D900))</f>
      </c>
      <c r="H900" s="801">
        <f>+IF(MONTH(B900)=1,H899*(1+$C$9),H899)</f>
      </c>
      <c r="I900" s="689">
        <f>IF(B900&lt;$C$10,0,IF(B900&lt;$C$11,$C$8/12*E900*F900*H900,0))</f>
      </c>
      <c r="J900" s="689">
        <f>I900*12/14+IF(OR(MONTH(C900)=6,MONTH(C900)=12),I900*12/14,0)</f>
      </c>
      <c r="K900" s="801">
        <f>G900/$G$15</f>
      </c>
      <c r="L900" s="760"/>
      <c r="M900" s="767"/>
      <c r="N900" s="168"/>
      <c r="O900" s="768"/>
      <c r="P900" s="170"/>
      <c r="Q900" s="7"/>
      <c r="R900" s="766"/>
      <c r="S900" s="170"/>
      <c r="T900" s="168"/>
      <c r="U900" s="170"/>
    </row>
    <row x14ac:dyDescent="0.25" r="901" customHeight="1" ht="18.75">
      <c r="A901" s="1"/>
      <c r="B901" s="799">
        <f>+DATE(YEAR(B900),MONTH(B900)+1,DAY(B900))</f>
        <v>25569.041666666668</v>
      </c>
      <c r="C901" s="799">
        <f>+B902-1</f>
        <v>25569.041666666668</v>
      </c>
      <c r="D901" s="791">
        <f>-_xlfn.DAYS($C$3,C901)/365.25</f>
      </c>
      <c r="E901" s="800">
        <f>IF($D$17+40&lt;=D901,(1+$D$7)^-(D901-$C$5),(1+$C$7)^-(D901-$C$5))</f>
      </c>
      <c r="F901" s="801">
        <f>IF($C$4="Hombre",(+VLOOKUP(INT(D901)+1,Tablas!$G$9:$K$1240,5,0)*(D901-INT(D901))+VLOOKUP(INT(D901),Tablas!$G$9:$K$1240,5,0)*(INT(D901)+1-D901))/(VLOOKUP(INT($C$5)+1,Tablas!$G$9:$K$1240,5,0)*($C$5-INT($C$5))+VLOOKUP(INT($C$5),Tablas!$G$9:$K$124,5,0)*(INT($C$5)+1-$C$5)),(+VLOOKUP(INT(D901)+1,Tablas!$G$9:$O$1240,9,0)*(D901-INT(D901))+VLOOKUP(INT(D901),Tablas!$G$9:$O$1240,9,0)*(INT(D901)+1-D901))/(VLOOKUP(INT($C$5)+1,Tablas!$G$9:$O$1240,9,0)*($C$5-INT($C$5))+VLOOKUP(INT($C$5),Tablas!$G$9:$O$124,9,0)*(INT($C$5)+1-$C$5)))</f>
      </c>
      <c r="G901" s="791">
        <f>IF($C$4="Hombre",(+VLOOKUP(INT(D901)+1,Tablas!$G$9:$K$1240,5,0)*(D901-INT(D901))+VLOOKUP(INT(D901),Tablas!$G$9:$K$1240,5,0)*(INT(D901)+1-D901)),+VLOOKUP(INT(D901)+1,Tablas!$G$9:$O$1240,9,0)*(D901-INT(D901))+VLOOKUP(INT(D901),Tablas!$G$9:$O$1240,9,0)*(INT(D901)+1-D901))</f>
      </c>
      <c r="H901" s="801">
        <f>+IF(MONTH(B901)=1,H900*(1+$C$9),H900)</f>
      </c>
      <c r="I901" s="689">
        <f>IF(B901&lt;$C$10,0,IF(B901&lt;$C$11,$C$8/12*E901*F901*H901,0))</f>
      </c>
      <c r="J901" s="689">
        <f>I901*12/14+IF(OR(MONTH(C901)=6,MONTH(C901)=12),I901*12/14,0)</f>
      </c>
      <c r="K901" s="801">
        <f>G901/$G$15</f>
      </c>
      <c r="L901" s="760"/>
      <c r="M901" s="767"/>
      <c r="N901" s="168"/>
      <c r="O901" s="768"/>
      <c r="P901" s="170"/>
      <c r="Q901" s="7"/>
      <c r="R901" s="766"/>
      <c r="S901" s="170"/>
      <c r="T901" s="168"/>
      <c r="U901" s="170"/>
    </row>
    <row x14ac:dyDescent="0.25" r="902" customHeight="1" ht="18.75">
      <c r="A902" s="1"/>
      <c r="B902" s="799">
        <f>+DATE(YEAR(B901),MONTH(B901)+1,DAY(B901))</f>
        <v>25569.041666666668</v>
      </c>
      <c r="C902" s="799">
        <f>+B903-1</f>
        <v>25569.041666666668</v>
      </c>
      <c r="D902" s="791">
        <f>-_xlfn.DAYS($C$3,C902)/365.25</f>
      </c>
      <c r="E902" s="800">
        <f>IF($D$17+40&lt;=D902,(1+$D$7)^-(D902-$C$5),(1+$C$7)^-(D902-$C$5))</f>
      </c>
      <c r="F902" s="801">
        <f>IF($C$4="Hombre",(+VLOOKUP(INT(D902)+1,Tablas!$G$9:$K$1240,5,0)*(D902-INT(D902))+VLOOKUP(INT(D902),Tablas!$G$9:$K$1240,5,0)*(INT(D902)+1-D902))/(VLOOKUP(INT($C$5)+1,Tablas!$G$9:$K$1240,5,0)*($C$5-INT($C$5))+VLOOKUP(INT($C$5),Tablas!$G$9:$K$124,5,0)*(INT($C$5)+1-$C$5)),(+VLOOKUP(INT(D902)+1,Tablas!$G$9:$O$1240,9,0)*(D902-INT(D902))+VLOOKUP(INT(D902),Tablas!$G$9:$O$1240,9,0)*(INT(D902)+1-D902))/(VLOOKUP(INT($C$5)+1,Tablas!$G$9:$O$1240,9,0)*($C$5-INT($C$5))+VLOOKUP(INT($C$5),Tablas!$G$9:$O$124,9,0)*(INT($C$5)+1-$C$5)))</f>
      </c>
      <c r="G902" s="791">
        <f>IF($C$4="Hombre",(+VLOOKUP(INT(D902)+1,Tablas!$G$9:$K$1240,5,0)*(D902-INT(D902))+VLOOKUP(INT(D902),Tablas!$G$9:$K$1240,5,0)*(INT(D902)+1-D902)),+VLOOKUP(INT(D902)+1,Tablas!$G$9:$O$1240,9,0)*(D902-INT(D902))+VLOOKUP(INT(D902),Tablas!$G$9:$O$1240,9,0)*(INT(D902)+1-D902))</f>
      </c>
      <c r="H902" s="801">
        <f>+IF(MONTH(B902)=1,H901*(1+$C$9),H901)</f>
      </c>
      <c r="I902" s="689">
        <f>IF(B902&lt;$C$10,0,IF(B902&lt;$C$11,$C$8/12*E902*F902*H902,0))</f>
      </c>
      <c r="J902" s="689">
        <f>I902*12/14+IF(OR(MONTH(C902)=6,MONTH(C902)=12),I902*12/14,0)</f>
      </c>
      <c r="K902" s="801">
        <f>G902/$G$15</f>
      </c>
      <c r="L902" s="760"/>
      <c r="M902" s="767"/>
      <c r="N902" s="168"/>
      <c r="O902" s="768"/>
      <c r="P902" s="170"/>
      <c r="Q902" s="7"/>
      <c r="R902" s="766"/>
      <c r="S902" s="170"/>
      <c r="T902" s="168"/>
      <c r="U902" s="170"/>
    </row>
    <row x14ac:dyDescent="0.25" r="903" customHeight="1" ht="18.75">
      <c r="A903" s="1"/>
      <c r="B903" s="799">
        <f>+DATE(YEAR(B902),MONTH(B902)+1,DAY(B902))</f>
        <v>25569.041666666668</v>
      </c>
      <c r="C903" s="799">
        <f>+B904-1</f>
        <v>25569.041666666668</v>
      </c>
      <c r="D903" s="791">
        <f>-_xlfn.DAYS($C$3,C903)/365.25</f>
      </c>
      <c r="E903" s="800">
        <f>IF($D$17+40&lt;=D903,(1+$D$7)^-(D903-$C$5),(1+$C$7)^-(D903-$C$5))</f>
      </c>
      <c r="F903" s="801">
        <f>IF($C$4="Hombre",(+VLOOKUP(INT(D903)+1,Tablas!$G$9:$K$1240,5,0)*(D903-INT(D903))+VLOOKUP(INT(D903),Tablas!$G$9:$K$1240,5,0)*(INT(D903)+1-D903))/(VLOOKUP(INT($C$5)+1,Tablas!$G$9:$K$1240,5,0)*($C$5-INT($C$5))+VLOOKUP(INT($C$5),Tablas!$G$9:$K$124,5,0)*(INT($C$5)+1-$C$5)),(+VLOOKUP(INT(D903)+1,Tablas!$G$9:$O$1240,9,0)*(D903-INT(D903))+VLOOKUP(INT(D903),Tablas!$G$9:$O$1240,9,0)*(INT(D903)+1-D903))/(VLOOKUP(INT($C$5)+1,Tablas!$G$9:$O$1240,9,0)*($C$5-INT($C$5))+VLOOKUP(INT($C$5),Tablas!$G$9:$O$124,9,0)*(INT($C$5)+1-$C$5)))</f>
      </c>
      <c r="G903" s="791">
        <f>IF($C$4="Hombre",(+VLOOKUP(INT(D903)+1,Tablas!$G$9:$K$1240,5,0)*(D903-INT(D903))+VLOOKUP(INT(D903),Tablas!$G$9:$K$1240,5,0)*(INT(D903)+1-D903)),+VLOOKUP(INT(D903)+1,Tablas!$G$9:$O$1240,9,0)*(D903-INT(D903))+VLOOKUP(INT(D903),Tablas!$G$9:$O$1240,9,0)*(INT(D903)+1-D903))</f>
      </c>
      <c r="H903" s="801">
        <f>+IF(MONTH(B903)=1,H902*(1+$C$9),H902)</f>
      </c>
      <c r="I903" s="689">
        <f>IF(B903&lt;$C$10,0,IF(B903&lt;$C$11,$C$8/12*E903*F903*H903,0))</f>
      </c>
      <c r="J903" s="689">
        <f>I903*12/14+IF(OR(MONTH(C903)=6,MONTH(C903)=12),I903*12/14,0)</f>
      </c>
      <c r="K903" s="801">
        <f>G903/$G$15</f>
      </c>
      <c r="L903" s="760"/>
      <c r="M903" s="767"/>
      <c r="N903" s="168"/>
      <c r="O903" s="768"/>
      <c r="P903" s="170"/>
      <c r="Q903" s="7"/>
      <c r="R903" s="766"/>
      <c r="S903" s="170"/>
      <c r="T903" s="168"/>
      <c r="U903" s="170"/>
    </row>
    <row x14ac:dyDescent="0.25" r="904" customHeight="1" ht="18.75">
      <c r="A904" s="1"/>
      <c r="B904" s="799">
        <f>+DATE(YEAR(B903),MONTH(B903)+1,DAY(B903))</f>
        <v>25569.041666666668</v>
      </c>
      <c r="C904" s="799">
        <f>+B905-1</f>
        <v>25569.041666666668</v>
      </c>
      <c r="D904" s="791">
        <f>-_xlfn.DAYS($C$3,C904)/365.25</f>
      </c>
      <c r="E904" s="800">
        <f>IF($D$17+40&lt;=D904,(1+$D$7)^-(D904-$C$5),(1+$C$7)^-(D904-$C$5))</f>
      </c>
      <c r="F904" s="801">
        <f>IF($C$4="Hombre",(+VLOOKUP(INT(D904)+1,Tablas!$G$9:$K$1240,5,0)*(D904-INT(D904))+VLOOKUP(INT(D904),Tablas!$G$9:$K$1240,5,0)*(INT(D904)+1-D904))/(VLOOKUP(INT($C$5)+1,Tablas!$G$9:$K$1240,5,0)*($C$5-INT($C$5))+VLOOKUP(INT($C$5),Tablas!$G$9:$K$124,5,0)*(INT($C$5)+1-$C$5)),(+VLOOKUP(INT(D904)+1,Tablas!$G$9:$O$1240,9,0)*(D904-INT(D904))+VLOOKUP(INT(D904),Tablas!$G$9:$O$1240,9,0)*(INT(D904)+1-D904))/(VLOOKUP(INT($C$5)+1,Tablas!$G$9:$O$1240,9,0)*($C$5-INT($C$5))+VLOOKUP(INT($C$5),Tablas!$G$9:$O$124,9,0)*(INT($C$5)+1-$C$5)))</f>
      </c>
      <c r="G904" s="791">
        <f>IF($C$4="Hombre",(+VLOOKUP(INT(D904)+1,Tablas!$G$9:$K$1240,5,0)*(D904-INT(D904))+VLOOKUP(INT(D904),Tablas!$G$9:$K$1240,5,0)*(INT(D904)+1-D904)),+VLOOKUP(INT(D904)+1,Tablas!$G$9:$O$1240,9,0)*(D904-INT(D904))+VLOOKUP(INT(D904),Tablas!$G$9:$O$1240,9,0)*(INT(D904)+1-D904))</f>
      </c>
      <c r="H904" s="801">
        <f>+IF(MONTH(B904)=1,H903*(1+$C$9),H903)</f>
      </c>
      <c r="I904" s="689">
        <f>IF(B904&lt;$C$10,0,IF(B904&lt;$C$11,$C$8/12*E904*F904*H904,0))</f>
      </c>
      <c r="J904" s="689">
        <f>I904*12/14+IF(OR(MONTH(C904)=6,MONTH(C904)=12),I904*12/14,0)</f>
      </c>
      <c r="K904" s="801">
        <f>G904/$G$15</f>
      </c>
      <c r="L904" s="760"/>
      <c r="M904" s="767"/>
      <c r="N904" s="168"/>
      <c r="O904" s="768"/>
      <c r="P904" s="170"/>
      <c r="Q904" s="7"/>
      <c r="R904" s="766"/>
      <c r="S904" s="170"/>
      <c r="T904" s="168"/>
      <c r="U904" s="170"/>
    </row>
    <row x14ac:dyDescent="0.25" r="905" customHeight="1" ht="18.75">
      <c r="A905" s="1"/>
      <c r="B905" s="799">
        <f>+DATE(YEAR(B904),MONTH(B904)+1,DAY(B904))</f>
        <v>25569.041666666668</v>
      </c>
      <c r="C905" s="799">
        <f>+B906-1</f>
        <v>25569.041666666668</v>
      </c>
      <c r="D905" s="791">
        <f>-_xlfn.DAYS($C$3,C905)/365.25</f>
      </c>
      <c r="E905" s="800">
        <f>IF($D$17+40&lt;=D905,(1+$D$7)^-(D905-$C$5),(1+$C$7)^-(D905-$C$5))</f>
      </c>
      <c r="F905" s="801">
        <f>IF($C$4="Hombre",(+VLOOKUP(INT(D905)+1,Tablas!$G$9:$K$1240,5,0)*(D905-INT(D905))+VLOOKUP(INT(D905),Tablas!$G$9:$K$1240,5,0)*(INT(D905)+1-D905))/(VLOOKUP(INT($C$5)+1,Tablas!$G$9:$K$1240,5,0)*($C$5-INT($C$5))+VLOOKUP(INT($C$5),Tablas!$G$9:$K$124,5,0)*(INT($C$5)+1-$C$5)),(+VLOOKUP(INT(D905)+1,Tablas!$G$9:$O$1240,9,0)*(D905-INT(D905))+VLOOKUP(INT(D905),Tablas!$G$9:$O$1240,9,0)*(INT(D905)+1-D905))/(VLOOKUP(INT($C$5)+1,Tablas!$G$9:$O$1240,9,0)*($C$5-INT($C$5))+VLOOKUP(INT($C$5),Tablas!$G$9:$O$124,9,0)*(INT($C$5)+1-$C$5)))</f>
      </c>
      <c r="G905" s="791">
        <f>IF($C$4="Hombre",(+VLOOKUP(INT(D905)+1,Tablas!$G$9:$K$1240,5,0)*(D905-INT(D905))+VLOOKUP(INT(D905),Tablas!$G$9:$K$1240,5,0)*(INT(D905)+1-D905)),+VLOOKUP(INT(D905)+1,Tablas!$G$9:$O$1240,9,0)*(D905-INT(D905))+VLOOKUP(INT(D905),Tablas!$G$9:$O$1240,9,0)*(INT(D905)+1-D905))</f>
      </c>
      <c r="H905" s="801">
        <f>+IF(MONTH(B905)=1,H904*(1+$C$9),H904)</f>
      </c>
      <c r="I905" s="689">
        <f>IF(B905&lt;$C$10,0,IF(B905&lt;$C$11,$C$8/12*E905*F905*H905,0))</f>
      </c>
      <c r="J905" s="689">
        <f>I905*12/14+IF(OR(MONTH(C905)=6,MONTH(C905)=12),I905*12/14,0)</f>
      </c>
      <c r="K905" s="801">
        <f>G905/$G$15</f>
      </c>
      <c r="L905" s="760"/>
      <c r="M905" s="767"/>
      <c r="N905" s="168"/>
      <c r="O905" s="768"/>
      <c r="P905" s="170"/>
      <c r="Q905" s="7"/>
      <c r="R905" s="766"/>
      <c r="S905" s="170"/>
      <c r="T905" s="168"/>
      <c r="U905" s="170"/>
    </row>
    <row x14ac:dyDescent="0.25" r="906" customHeight="1" ht="18.75">
      <c r="A906" s="1"/>
      <c r="B906" s="799">
        <f>+DATE(YEAR(B905),MONTH(B905)+1,DAY(B905))</f>
        <v>25569.041666666668</v>
      </c>
      <c r="C906" s="799">
        <f>+B907-1</f>
        <v>25569.041666666668</v>
      </c>
      <c r="D906" s="791">
        <f>-_xlfn.DAYS($C$3,C906)/365.25</f>
      </c>
      <c r="E906" s="800">
        <f>IF($D$17+40&lt;=D906,(1+$D$7)^-(D906-$C$5),(1+$C$7)^-(D906-$C$5))</f>
      </c>
      <c r="F906" s="801">
        <f>IF($C$4="Hombre",(+VLOOKUP(INT(D906)+1,Tablas!$G$9:$K$1240,5,0)*(D906-INT(D906))+VLOOKUP(INT(D906),Tablas!$G$9:$K$1240,5,0)*(INT(D906)+1-D906))/(VLOOKUP(INT($C$5)+1,Tablas!$G$9:$K$1240,5,0)*($C$5-INT($C$5))+VLOOKUP(INT($C$5),Tablas!$G$9:$K$124,5,0)*(INT($C$5)+1-$C$5)),(+VLOOKUP(INT(D906)+1,Tablas!$G$9:$O$1240,9,0)*(D906-INT(D906))+VLOOKUP(INT(D906),Tablas!$G$9:$O$1240,9,0)*(INT(D906)+1-D906))/(VLOOKUP(INT($C$5)+1,Tablas!$G$9:$O$1240,9,0)*($C$5-INT($C$5))+VLOOKUP(INT($C$5),Tablas!$G$9:$O$124,9,0)*(INT($C$5)+1-$C$5)))</f>
      </c>
      <c r="G906" s="791">
        <f>IF($C$4="Hombre",(+VLOOKUP(INT(D906)+1,Tablas!$G$9:$K$1240,5,0)*(D906-INT(D906))+VLOOKUP(INT(D906),Tablas!$G$9:$K$1240,5,0)*(INT(D906)+1-D906)),+VLOOKUP(INT(D906)+1,Tablas!$G$9:$O$1240,9,0)*(D906-INT(D906))+VLOOKUP(INT(D906),Tablas!$G$9:$O$1240,9,0)*(INT(D906)+1-D906))</f>
      </c>
      <c r="H906" s="801">
        <f>+IF(MONTH(B906)=1,H905*(1+$C$9),H905)</f>
      </c>
      <c r="I906" s="689">
        <f>IF(B906&lt;$C$10,0,IF(B906&lt;$C$11,$C$8/12*E906*F906*H906,0))</f>
      </c>
      <c r="J906" s="689">
        <f>I906*12/14+IF(OR(MONTH(C906)=6,MONTH(C906)=12),I906*12/14,0)</f>
      </c>
      <c r="K906" s="801">
        <f>G906/$G$15</f>
      </c>
      <c r="L906" s="760"/>
      <c r="M906" s="767"/>
      <c r="N906" s="168"/>
      <c r="O906" s="768"/>
      <c r="P906" s="170"/>
      <c r="Q906" s="7"/>
      <c r="R906" s="766"/>
      <c r="S906" s="170"/>
      <c r="T906" s="168"/>
      <c r="U906" s="170"/>
    </row>
    <row x14ac:dyDescent="0.25" r="907" customHeight="1" ht="18.75">
      <c r="A907" s="1"/>
      <c r="B907" s="799">
        <f>+DATE(YEAR(B906),MONTH(B906)+1,DAY(B906))</f>
        <v>25569.041666666668</v>
      </c>
      <c r="C907" s="799">
        <f>+B908-1</f>
        <v>25569.041666666668</v>
      </c>
      <c r="D907" s="791">
        <f>-_xlfn.DAYS($C$3,C907)/365.25</f>
      </c>
      <c r="E907" s="800">
        <f>IF($D$17+40&lt;=D907,(1+$D$7)^-(D907-$C$5),(1+$C$7)^-(D907-$C$5))</f>
      </c>
      <c r="F907" s="801">
        <f>IF($C$4="Hombre",(+VLOOKUP(INT(D907)+1,Tablas!$G$9:$K$1240,5,0)*(D907-INT(D907))+VLOOKUP(INT(D907),Tablas!$G$9:$K$1240,5,0)*(INT(D907)+1-D907))/(VLOOKUP(INT($C$5)+1,Tablas!$G$9:$K$1240,5,0)*($C$5-INT($C$5))+VLOOKUP(INT($C$5),Tablas!$G$9:$K$124,5,0)*(INT($C$5)+1-$C$5)),(+VLOOKUP(INT(D907)+1,Tablas!$G$9:$O$1240,9,0)*(D907-INT(D907))+VLOOKUP(INT(D907),Tablas!$G$9:$O$1240,9,0)*(INT(D907)+1-D907))/(VLOOKUP(INT($C$5)+1,Tablas!$G$9:$O$1240,9,0)*($C$5-INT($C$5))+VLOOKUP(INT($C$5),Tablas!$G$9:$O$124,9,0)*(INT($C$5)+1-$C$5)))</f>
      </c>
      <c r="G907" s="791">
        <f>IF($C$4="Hombre",(+VLOOKUP(INT(D907)+1,Tablas!$G$9:$K$1240,5,0)*(D907-INT(D907))+VLOOKUP(INT(D907),Tablas!$G$9:$K$1240,5,0)*(INT(D907)+1-D907)),+VLOOKUP(INT(D907)+1,Tablas!$G$9:$O$1240,9,0)*(D907-INT(D907))+VLOOKUP(INT(D907),Tablas!$G$9:$O$1240,9,0)*(INT(D907)+1-D907))</f>
      </c>
      <c r="H907" s="801">
        <f>+IF(MONTH(B907)=1,H906*(1+$C$9),H906)</f>
      </c>
      <c r="I907" s="689">
        <f>IF(B907&lt;$C$10,0,IF(B907&lt;$C$11,$C$8/12*E907*F907*H907,0))</f>
      </c>
      <c r="J907" s="689">
        <f>I907*12/14+IF(OR(MONTH(C907)=6,MONTH(C907)=12),I907*12/14,0)</f>
      </c>
      <c r="K907" s="801">
        <f>G907/$G$15</f>
      </c>
      <c r="L907" s="760"/>
      <c r="M907" s="767"/>
      <c r="N907" s="168"/>
      <c r="O907" s="768"/>
      <c r="P907" s="170"/>
      <c r="Q907" s="7"/>
      <c r="R907" s="766"/>
      <c r="S907" s="170"/>
      <c r="T907" s="168"/>
      <c r="U907" s="170"/>
    </row>
    <row x14ac:dyDescent="0.25" r="908" customHeight="1" ht="18.75">
      <c r="A908" s="1"/>
      <c r="B908" s="799">
        <f>+DATE(YEAR(B907),MONTH(B907)+1,DAY(B907))</f>
        <v>25569.041666666668</v>
      </c>
      <c r="C908" s="799">
        <f>+B909-1</f>
        <v>25569.041666666668</v>
      </c>
      <c r="D908" s="791">
        <f>-_xlfn.DAYS($C$3,C908)/365.25</f>
      </c>
      <c r="E908" s="800">
        <f>IF($D$17+40&lt;=D908,(1+$D$7)^-(D908-$C$5),(1+$C$7)^-(D908-$C$5))</f>
      </c>
      <c r="F908" s="801">
        <f>IF($C$4="Hombre",(+VLOOKUP(INT(D908)+1,Tablas!$G$9:$K$1240,5,0)*(D908-INT(D908))+VLOOKUP(INT(D908),Tablas!$G$9:$K$1240,5,0)*(INT(D908)+1-D908))/(VLOOKUP(INT($C$5)+1,Tablas!$G$9:$K$1240,5,0)*($C$5-INT($C$5))+VLOOKUP(INT($C$5),Tablas!$G$9:$K$124,5,0)*(INT($C$5)+1-$C$5)),(+VLOOKUP(INT(D908)+1,Tablas!$G$9:$O$1240,9,0)*(D908-INT(D908))+VLOOKUP(INT(D908),Tablas!$G$9:$O$1240,9,0)*(INT(D908)+1-D908))/(VLOOKUP(INT($C$5)+1,Tablas!$G$9:$O$1240,9,0)*($C$5-INT($C$5))+VLOOKUP(INT($C$5),Tablas!$G$9:$O$124,9,0)*(INT($C$5)+1-$C$5)))</f>
      </c>
      <c r="G908" s="791">
        <f>IF($C$4="Hombre",(+VLOOKUP(INT(D908)+1,Tablas!$G$9:$K$1240,5,0)*(D908-INT(D908))+VLOOKUP(INT(D908),Tablas!$G$9:$K$1240,5,0)*(INT(D908)+1-D908)),+VLOOKUP(INT(D908)+1,Tablas!$G$9:$O$1240,9,0)*(D908-INT(D908))+VLOOKUP(INT(D908),Tablas!$G$9:$O$1240,9,0)*(INT(D908)+1-D908))</f>
      </c>
      <c r="H908" s="801">
        <f>+IF(MONTH(B908)=1,H907*(1+$C$9),H907)</f>
      </c>
      <c r="I908" s="689">
        <f>IF(B908&lt;$C$10,0,IF(B908&lt;$C$11,$C$8/12*E908*F908*H908,0))</f>
      </c>
      <c r="J908" s="689">
        <f>I908*12/14+IF(OR(MONTH(C908)=6,MONTH(C908)=12),I908*12/14,0)</f>
      </c>
      <c r="K908" s="801">
        <f>G908/$G$15</f>
      </c>
      <c r="L908" s="760"/>
      <c r="M908" s="767"/>
      <c r="N908" s="168"/>
      <c r="O908" s="768"/>
      <c r="P908" s="170"/>
      <c r="Q908" s="7"/>
      <c r="R908" s="766"/>
      <c r="S908" s="170"/>
      <c r="T908" s="168"/>
      <c r="U908" s="170"/>
    </row>
    <row x14ac:dyDescent="0.25" r="909" customHeight="1" ht="18.75">
      <c r="A909" s="1"/>
      <c r="B909" s="799">
        <f>+DATE(YEAR(B908),MONTH(B908)+1,DAY(B908))</f>
        <v>25569.041666666668</v>
      </c>
      <c r="C909" s="799">
        <f>+B910-1</f>
        <v>25569.041666666668</v>
      </c>
      <c r="D909" s="791">
        <f>-_xlfn.DAYS($C$3,C909)/365.25</f>
      </c>
      <c r="E909" s="800">
        <f>IF($D$17+40&lt;=D909,(1+$D$7)^-(D909-$C$5),(1+$C$7)^-(D909-$C$5))</f>
      </c>
      <c r="F909" s="801">
        <f>IF($C$4="Hombre",(+VLOOKUP(INT(D909)+1,Tablas!$G$9:$K$1240,5,0)*(D909-INT(D909))+VLOOKUP(INT(D909),Tablas!$G$9:$K$1240,5,0)*(INT(D909)+1-D909))/(VLOOKUP(INT($C$5)+1,Tablas!$G$9:$K$1240,5,0)*($C$5-INT($C$5))+VLOOKUP(INT($C$5),Tablas!$G$9:$K$124,5,0)*(INT($C$5)+1-$C$5)),(+VLOOKUP(INT(D909)+1,Tablas!$G$9:$O$1240,9,0)*(D909-INT(D909))+VLOOKUP(INT(D909),Tablas!$G$9:$O$1240,9,0)*(INT(D909)+1-D909))/(VLOOKUP(INT($C$5)+1,Tablas!$G$9:$O$1240,9,0)*($C$5-INT($C$5))+VLOOKUP(INT($C$5),Tablas!$G$9:$O$124,9,0)*(INT($C$5)+1-$C$5)))</f>
      </c>
      <c r="G909" s="791">
        <f>IF($C$4="Hombre",(+VLOOKUP(INT(D909)+1,Tablas!$G$9:$K$1240,5,0)*(D909-INT(D909))+VLOOKUP(INT(D909),Tablas!$G$9:$K$1240,5,0)*(INT(D909)+1-D909)),+VLOOKUP(INT(D909)+1,Tablas!$G$9:$O$1240,9,0)*(D909-INT(D909))+VLOOKUP(INT(D909),Tablas!$G$9:$O$1240,9,0)*(INT(D909)+1-D909))</f>
      </c>
      <c r="H909" s="801">
        <f>+IF(MONTH(B909)=1,H908*(1+$C$9),H908)</f>
      </c>
      <c r="I909" s="689">
        <f>IF(B909&lt;$C$10,0,IF(B909&lt;$C$11,$C$8/12*E909*F909*H909,0))</f>
      </c>
      <c r="J909" s="689">
        <f>I909*12/14+IF(OR(MONTH(C909)=6,MONTH(C909)=12),I909*12/14,0)</f>
      </c>
      <c r="K909" s="801">
        <f>G909/$G$15</f>
      </c>
      <c r="L909" s="760"/>
      <c r="M909" s="767"/>
      <c r="N909" s="168"/>
      <c r="O909" s="768"/>
      <c r="P909" s="170"/>
      <c r="Q909" s="7"/>
      <c r="R909" s="766"/>
      <c r="S909" s="170"/>
      <c r="T909" s="168"/>
      <c r="U909" s="170"/>
    </row>
    <row x14ac:dyDescent="0.25" r="910" customHeight="1" ht="18.75">
      <c r="A910" s="1"/>
      <c r="B910" s="799">
        <f>+DATE(YEAR(B909),MONTH(B909)+1,DAY(B909))</f>
        <v>25569.041666666668</v>
      </c>
      <c r="C910" s="799">
        <f>+B911-1</f>
        <v>25569.041666666668</v>
      </c>
      <c r="D910" s="791">
        <f>-_xlfn.DAYS($C$3,C910)/365.25</f>
      </c>
      <c r="E910" s="800">
        <f>IF($D$17+40&lt;=D910,(1+$D$7)^-(D910-$C$5),(1+$C$7)^-(D910-$C$5))</f>
      </c>
      <c r="F910" s="801">
        <f>IF($C$4="Hombre",(+VLOOKUP(INT(D910)+1,Tablas!$G$9:$K$1240,5,0)*(D910-INT(D910))+VLOOKUP(INT(D910),Tablas!$G$9:$K$1240,5,0)*(INT(D910)+1-D910))/(VLOOKUP(INT($C$5)+1,Tablas!$G$9:$K$1240,5,0)*($C$5-INT($C$5))+VLOOKUP(INT($C$5),Tablas!$G$9:$K$124,5,0)*(INT($C$5)+1-$C$5)),(+VLOOKUP(INT(D910)+1,Tablas!$G$9:$O$1240,9,0)*(D910-INT(D910))+VLOOKUP(INT(D910),Tablas!$G$9:$O$1240,9,0)*(INT(D910)+1-D910))/(VLOOKUP(INT($C$5)+1,Tablas!$G$9:$O$1240,9,0)*($C$5-INT($C$5))+VLOOKUP(INT($C$5),Tablas!$G$9:$O$124,9,0)*(INT($C$5)+1-$C$5)))</f>
      </c>
      <c r="G910" s="791">
        <f>IF($C$4="Hombre",(+VLOOKUP(INT(D910)+1,Tablas!$G$9:$K$1240,5,0)*(D910-INT(D910))+VLOOKUP(INT(D910),Tablas!$G$9:$K$1240,5,0)*(INT(D910)+1-D910)),+VLOOKUP(INT(D910)+1,Tablas!$G$9:$O$1240,9,0)*(D910-INT(D910))+VLOOKUP(INT(D910),Tablas!$G$9:$O$1240,9,0)*(INT(D910)+1-D910))</f>
      </c>
      <c r="H910" s="801">
        <f>+IF(MONTH(B910)=1,H909*(1+$C$9),H909)</f>
      </c>
      <c r="I910" s="689">
        <f>IF(B910&lt;$C$10,0,IF(B910&lt;$C$11,$C$8/12*E910*F910*H910,0))</f>
      </c>
      <c r="J910" s="689">
        <f>I910*12/14+IF(OR(MONTH(C910)=6,MONTH(C910)=12),I910*12/14,0)</f>
      </c>
      <c r="K910" s="801">
        <f>G910/$G$15</f>
      </c>
      <c r="L910" s="760"/>
      <c r="M910" s="767"/>
      <c r="N910" s="168"/>
      <c r="O910" s="768"/>
      <c r="P910" s="170"/>
      <c r="Q910" s="7"/>
      <c r="R910" s="766"/>
      <c r="S910" s="170"/>
      <c r="T910" s="168"/>
      <c r="U910" s="170"/>
    </row>
    <row x14ac:dyDescent="0.25" r="911" customHeight="1" ht="18.75">
      <c r="A911" s="1"/>
      <c r="B911" s="799">
        <f>+DATE(YEAR(B910),MONTH(B910)+1,DAY(B910))</f>
        <v>25569.041666666668</v>
      </c>
      <c r="C911" s="799">
        <f>+B912-1</f>
        <v>25569.041666666668</v>
      </c>
      <c r="D911" s="791">
        <f>-_xlfn.DAYS($C$3,C911)/365.25</f>
      </c>
      <c r="E911" s="800">
        <f>IF($D$17+40&lt;=D911,(1+$D$7)^-(D911-$C$5),(1+$C$7)^-(D911-$C$5))</f>
      </c>
      <c r="F911" s="801">
        <f>IF($C$4="Hombre",(+VLOOKUP(INT(D911)+1,Tablas!$G$9:$K$1240,5,0)*(D911-INT(D911))+VLOOKUP(INT(D911),Tablas!$G$9:$K$1240,5,0)*(INT(D911)+1-D911))/(VLOOKUP(INT($C$5)+1,Tablas!$G$9:$K$1240,5,0)*($C$5-INT($C$5))+VLOOKUP(INT($C$5),Tablas!$G$9:$K$124,5,0)*(INT($C$5)+1-$C$5)),(+VLOOKUP(INT(D911)+1,Tablas!$G$9:$O$1240,9,0)*(D911-INT(D911))+VLOOKUP(INT(D911),Tablas!$G$9:$O$1240,9,0)*(INT(D911)+1-D911))/(VLOOKUP(INT($C$5)+1,Tablas!$G$9:$O$1240,9,0)*($C$5-INT($C$5))+VLOOKUP(INT($C$5),Tablas!$G$9:$O$124,9,0)*(INT($C$5)+1-$C$5)))</f>
      </c>
      <c r="G911" s="791">
        <f>IF($C$4="Hombre",(+VLOOKUP(INT(D911)+1,Tablas!$G$9:$K$1240,5,0)*(D911-INT(D911))+VLOOKUP(INT(D911),Tablas!$G$9:$K$1240,5,0)*(INT(D911)+1-D911)),+VLOOKUP(INT(D911)+1,Tablas!$G$9:$O$1240,9,0)*(D911-INT(D911))+VLOOKUP(INT(D911),Tablas!$G$9:$O$1240,9,0)*(INT(D911)+1-D911))</f>
      </c>
      <c r="H911" s="801">
        <f>+IF(MONTH(B911)=1,H910*(1+$C$9),H910)</f>
      </c>
      <c r="I911" s="689">
        <f>IF(B911&lt;$C$10,0,IF(B911&lt;$C$11,$C$8/12*E911*F911*H911,0))</f>
      </c>
      <c r="J911" s="689">
        <f>I911*12/14+IF(OR(MONTH(C911)=6,MONTH(C911)=12),I911*12/14,0)</f>
      </c>
      <c r="K911" s="801">
        <f>G911/$G$15</f>
      </c>
      <c r="L911" s="760"/>
      <c r="M911" s="767"/>
      <c r="N911" s="168"/>
      <c r="O911" s="768"/>
      <c r="P911" s="170"/>
      <c r="Q911" s="7"/>
      <c r="R911" s="766"/>
      <c r="S911" s="170"/>
      <c r="T911" s="168"/>
      <c r="U911" s="170"/>
    </row>
    <row x14ac:dyDescent="0.25" r="912" customHeight="1" ht="18.75">
      <c r="A912" s="1"/>
      <c r="B912" s="799">
        <f>+DATE(YEAR(B911),MONTH(B911)+1,DAY(B911))</f>
        <v>25569.041666666668</v>
      </c>
      <c r="C912" s="799">
        <f>+B913-1</f>
        <v>25569.041666666668</v>
      </c>
      <c r="D912" s="791">
        <f>-_xlfn.DAYS($C$3,C912)/365.25</f>
      </c>
      <c r="E912" s="800">
        <f>IF($D$17+40&lt;=D912,(1+$D$7)^-(D912-$C$5),(1+$C$7)^-(D912-$C$5))</f>
      </c>
      <c r="F912" s="801">
        <f>IF($C$4="Hombre",(+VLOOKUP(INT(D912)+1,Tablas!$G$9:$K$1240,5,0)*(D912-INT(D912))+VLOOKUP(INT(D912),Tablas!$G$9:$K$1240,5,0)*(INT(D912)+1-D912))/(VLOOKUP(INT($C$5)+1,Tablas!$G$9:$K$1240,5,0)*($C$5-INT($C$5))+VLOOKUP(INT($C$5),Tablas!$G$9:$K$124,5,0)*(INT($C$5)+1-$C$5)),(+VLOOKUP(INT(D912)+1,Tablas!$G$9:$O$1240,9,0)*(D912-INT(D912))+VLOOKUP(INT(D912),Tablas!$G$9:$O$1240,9,0)*(INT(D912)+1-D912))/(VLOOKUP(INT($C$5)+1,Tablas!$G$9:$O$1240,9,0)*($C$5-INT($C$5))+VLOOKUP(INT($C$5),Tablas!$G$9:$O$124,9,0)*(INT($C$5)+1-$C$5)))</f>
      </c>
      <c r="G912" s="791">
        <f>IF($C$4="Hombre",(+VLOOKUP(INT(D912)+1,Tablas!$G$9:$K$1240,5,0)*(D912-INT(D912))+VLOOKUP(INT(D912),Tablas!$G$9:$K$1240,5,0)*(INT(D912)+1-D912)),+VLOOKUP(INT(D912)+1,Tablas!$G$9:$O$1240,9,0)*(D912-INT(D912))+VLOOKUP(INT(D912),Tablas!$G$9:$O$1240,9,0)*(INT(D912)+1-D912))</f>
      </c>
      <c r="H912" s="801">
        <f>+IF(MONTH(B912)=1,H911*(1+$C$9),H911)</f>
      </c>
      <c r="I912" s="689">
        <f>IF(B912&lt;$C$10,0,IF(B912&lt;$C$11,$C$8/12*E912*F912*H912,0))</f>
      </c>
      <c r="J912" s="689">
        <f>I912*12/14+IF(OR(MONTH(C912)=6,MONTH(C912)=12),I912*12/14,0)</f>
      </c>
      <c r="K912" s="801">
        <f>G912/$G$15</f>
      </c>
      <c r="L912" s="760"/>
      <c r="M912" s="767"/>
      <c r="N912" s="168"/>
      <c r="O912" s="768"/>
      <c r="P912" s="170"/>
      <c r="Q912" s="7"/>
      <c r="R912" s="766"/>
      <c r="S912" s="170"/>
      <c r="T912" s="168"/>
      <c r="U912" s="170"/>
    </row>
    <row x14ac:dyDescent="0.25" r="913" customHeight="1" ht="18.75">
      <c r="A913" s="1"/>
      <c r="B913" s="799">
        <f>+DATE(YEAR(B912),MONTH(B912)+1,DAY(B912))</f>
        <v>25569.041666666668</v>
      </c>
      <c r="C913" s="799">
        <f>+B914-1</f>
        <v>25569.041666666668</v>
      </c>
      <c r="D913" s="791">
        <f>-_xlfn.DAYS($C$3,C913)/365.25</f>
      </c>
      <c r="E913" s="800">
        <f>IF($D$17+40&lt;=D913,(1+$D$7)^-(D913-$C$5),(1+$C$7)^-(D913-$C$5))</f>
      </c>
      <c r="F913" s="801">
        <f>IF($C$4="Hombre",(+VLOOKUP(INT(D913)+1,Tablas!$G$9:$K$1240,5,0)*(D913-INT(D913))+VLOOKUP(INT(D913),Tablas!$G$9:$K$1240,5,0)*(INT(D913)+1-D913))/(VLOOKUP(INT($C$5)+1,Tablas!$G$9:$K$1240,5,0)*($C$5-INT($C$5))+VLOOKUP(INT($C$5),Tablas!$G$9:$K$124,5,0)*(INT($C$5)+1-$C$5)),(+VLOOKUP(INT(D913)+1,Tablas!$G$9:$O$1240,9,0)*(D913-INT(D913))+VLOOKUP(INT(D913),Tablas!$G$9:$O$1240,9,0)*(INT(D913)+1-D913))/(VLOOKUP(INT($C$5)+1,Tablas!$G$9:$O$1240,9,0)*($C$5-INT($C$5))+VLOOKUP(INT($C$5),Tablas!$G$9:$O$124,9,0)*(INT($C$5)+1-$C$5)))</f>
      </c>
      <c r="G913" s="791">
        <f>IF($C$4="Hombre",(+VLOOKUP(INT(D913)+1,Tablas!$G$9:$K$1240,5,0)*(D913-INT(D913))+VLOOKUP(INT(D913),Tablas!$G$9:$K$1240,5,0)*(INT(D913)+1-D913)),+VLOOKUP(INT(D913)+1,Tablas!$G$9:$O$1240,9,0)*(D913-INT(D913))+VLOOKUP(INT(D913),Tablas!$G$9:$O$1240,9,0)*(INT(D913)+1-D913))</f>
      </c>
      <c r="H913" s="801">
        <f>+IF(MONTH(B913)=1,H912*(1+$C$9),H912)</f>
      </c>
      <c r="I913" s="689">
        <f>IF(B913&lt;$C$10,0,IF(B913&lt;$C$11,$C$8/12*E913*F913*H913,0))</f>
      </c>
      <c r="J913" s="689">
        <f>I913*12/14+IF(OR(MONTH(C913)=6,MONTH(C913)=12),I913*12/14,0)</f>
      </c>
      <c r="K913" s="801">
        <f>G913/$G$15</f>
      </c>
      <c r="L913" s="760"/>
      <c r="M913" s="767"/>
      <c r="N913" s="168"/>
      <c r="O913" s="768"/>
      <c r="P913" s="170"/>
      <c r="Q913" s="7"/>
      <c r="R913" s="766"/>
      <c r="S913" s="170"/>
      <c r="T913" s="168"/>
      <c r="U913" s="170"/>
    </row>
    <row x14ac:dyDescent="0.25" r="914" customHeight="1" ht="18.75">
      <c r="A914" s="1"/>
      <c r="B914" s="799">
        <f>+DATE(YEAR(B913),MONTH(B913)+1,DAY(B913))</f>
        <v>25569.041666666668</v>
      </c>
      <c r="C914" s="799">
        <f>+B915-1</f>
        <v>25569.041666666668</v>
      </c>
      <c r="D914" s="791">
        <f>-_xlfn.DAYS($C$3,C914)/365.25</f>
      </c>
      <c r="E914" s="800">
        <f>IF($D$17+40&lt;=D914,(1+$D$7)^-(D914-$C$5),(1+$C$7)^-(D914-$C$5))</f>
      </c>
      <c r="F914" s="801">
        <f>IF($C$4="Hombre",(+VLOOKUP(INT(D914)+1,Tablas!$G$9:$K$1240,5,0)*(D914-INT(D914))+VLOOKUP(INT(D914),Tablas!$G$9:$K$1240,5,0)*(INT(D914)+1-D914))/(VLOOKUP(INT($C$5)+1,Tablas!$G$9:$K$1240,5,0)*($C$5-INT($C$5))+VLOOKUP(INT($C$5),Tablas!$G$9:$K$124,5,0)*(INT($C$5)+1-$C$5)),(+VLOOKUP(INT(D914)+1,Tablas!$G$9:$O$1240,9,0)*(D914-INT(D914))+VLOOKUP(INT(D914),Tablas!$G$9:$O$1240,9,0)*(INT(D914)+1-D914))/(VLOOKUP(INT($C$5)+1,Tablas!$G$9:$O$1240,9,0)*($C$5-INT($C$5))+VLOOKUP(INT($C$5),Tablas!$G$9:$O$124,9,0)*(INT($C$5)+1-$C$5)))</f>
      </c>
      <c r="G914" s="791">
        <f>IF($C$4="Hombre",(+VLOOKUP(INT(D914)+1,Tablas!$G$9:$K$1240,5,0)*(D914-INT(D914))+VLOOKUP(INT(D914),Tablas!$G$9:$K$1240,5,0)*(INT(D914)+1-D914)),+VLOOKUP(INT(D914)+1,Tablas!$G$9:$O$1240,9,0)*(D914-INT(D914))+VLOOKUP(INT(D914),Tablas!$G$9:$O$1240,9,0)*(INT(D914)+1-D914))</f>
      </c>
      <c r="H914" s="801">
        <f>+IF(MONTH(B914)=1,H913*(1+$C$9),H913)</f>
      </c>
      <c r="I914" s="689">
        <f>IF(B914&lt;$C$10,0,IF(B914&lt;$C$11,$C$8/12*E914*F914*H914,0))</f>
      </c>
      <c r="J914" s="689">
        <f>I914*12/14+IF(OR(MONTH(C914)=6,MONTH(C914)=12),I914*12/14,0)</f>
      </c>
      <c r="K914" s="801">
        <f>G914/$G$15</f>
      </c>
      <c r="L914" s="760"/>
      <c r="M914" s="767"/>
      <c r="N914" s="168"/>
      <c r="O914" s="768"/>
      <c r="P914" s="170"/>
      <c r="Q914" s="7"/>
      <c r="R914" s="766"/>
      <c r="S914" s="170"/>
      <c r="T914" s="168"/>
      <c r="U914" s="170"/>
    </row>
    <row x14ac:dyDescent="0.25" r="915" customHeight="1" ht="18.75">
      <c r="A915" s="1"/>
      <c r="B915" s="799">
        <f>+DATE(YEAR(B914),MONTH(B914)+1,DAY(B914))</f>
        <v>25569.041666666668</v>
      </c>
      <c r="C915" s="799">
        <f>+B916-1</f>
        <v>25569.041666666668</v>
      </c>
      <c r="D915" s="791">
        <f>-_xlfn.DAYS($C$3,C915)/365.25</f>
      </c>
      <c r="E915" s="800">
        <f>IF($D$17+40&lt;=D915,(1+$D$7)^-(D915-$C$5),(1+$C$7)^-(D915-$C$5))</f>
      </c>
      <c r="F915" s="801">
        <f>IF($C$4="Hombre",(+VLOOKUP(INT(D915)+1,Tablas!$G$9:$K$1240,5,0)*(D915-INT(D915))+VLOOKUP(INT(D915),Tablas!$G$9:$K$1240,5,0)*(INT(D915)+1-D915))/(VLOOKUP(INT($C$5)+1,Tablas!$G$9:$K$1240,5,0)*($C$5-INT($C$5))+VLOOKUP(INT($C$5),Tablas!$G$9:$K$124,5,0)*(INT($C$5)+1-$C$5)),(+VLOOKUP(INT(D915)+1,Tablas!$G$9:$O$1240,9,0)*(D915-INT(D915))+VLOOKUP(INT(D915),Tablas!$G$9:$O$1240,9,0)*(INT(D915)+1-D915))/(VLOOKUP(INT($C$5)+1,Tablas!$G$9:$O$1240,9,0)*($C$5-INT($C$5))+VLOOKUP(INT($C$5),Tablas!$G$9:$O$124,9,0)*(INT($C$5)+1-$C$5)))</f>
      </c>
      <c r="G915" s="791">
        <f>IF($C$4="Hombre",(+VLOOKUP(INT(D915)+1,Tablas!$G$9:$K$1240,5,0)*(D915-INT(D915))+VLOOKUP(INT(D915),Tablas!$G$9:$K$1240,5,0)*(INT(D915)+1-D915)),+VLOOKUP(INT(D915)+1,Tablas!$G$9:$O$1240,9,0)*(D915-INT(D915))+VLOOKUP(INT(D915),Tablas!$G$9:$O$1240,9,0)*(INT(D915)+1-D915))</f>
      </c>
      <c r="H915" s="801">
        <f>+IF(MONTH(B915)=1,H914*(1+$C$9),H914)</f>
      </c>
      <c r="I915" s="689">
        <f>IF(B915&lt;$C$10,0,IF(B915&lt;$C$11,$C$8/12*E915*F915*H915,0))</f>
      </c>
      <c r="J915" s="689">
        <f>I915*12/14+IF(OR(MONTH(C915)=6,MONTH(C915)=12),I915*12/14,0)</f>
      </c>
      <c r="K915" s="801">
        <f>G915/$G$15</f>
      </c>
      <c r="L915" s="760"/>
      <c r="M915" s="767"/>
      <c r="N915" s="168"/>
      <c r="O915" s="768"/>
      <c r="P915" s="170"/>
      <c r="Q915" s="7"/>
      <c r="R915" s="766"/>
      <c r="S915" s="170"/>
      <c r="T915" s="168"/>
      <c r="U915" s="170"/>
    </row>
    <row x14ac:dyDescent="0.25" r="916" customHeight="1" ht="18.75">
      <c r="A916" s="1"/>
      <c r="B916" s="799">
        <f>+DATE(YEAR(B915),MONTH(B915)+1,DAY(B915))</f>
        <v>25569.041666666668</v>
      </c>
      <c r="C916" s="799">
        <f>+B917-1</f>
        <v>25569.041666666668</v>
      </c>
      <c r="D916" s="791">
        <f>-_xlfn.DAYS($C$3,C916)/365.25</f>
      </c>
      <c r="E916" s="800">
        <f>IF($D$17+40&lt;=D916,(1+$D$7)^-(D916-$C$5),(1+$C$7)^-(D916-$C$5))</f>
      </c>
      <c r="F916" s="801">
        <f>IF($C$4="Hombre",(+VLOOKUP(INT(D916)+1,Tablas!$G$9:$K$1240,5,0)*(D916-INT(D916))+VLOOKUP(INT(D916),Tablas!$G$9:$K$1240,5,0)*(INT(D916)+1-D916))/(VLOOKUP(INT($C$5)+1,Tablas!$G$9:$K$1240,5,0)*($C$5-INT($C$5))+VLOOKUP(INT($C$5),Tablas!$G$9:$K$124,5,0)*(INT($C$5)+1-$C$5)),(+VLOOKUP(INT(D916)+1,Tablas!$G$9:$O$1240,9,0)*(D916-INT(D916))+VLOOKUP(INT(D916),Tablas!$G$9:$O$1240,9,0)*(INT(D916)+1-D916))/(VLOOKUP(INT($C$5)+1,Tablas!$G$9:$O$1240,9,0)*($C$5-INT($C$5))+VLOOKUP(INT($C$5),Tablas!$G$9:$O$124,9,0)*(INT($C$5)+1-$C$5)))</f>
      </c>
      <c r="G916" s="791">
        <f>IF($C$4="Hombre",(+VLOOKUP(INT(D916)+1,Tablas!$G$9:$K$1240,5,0)*(D916-INT(D916))+VLOOKUP(INT(D916),Tablas!$G$9:$K$1240,5,0)*(INT(D916)+1-D916)),+VLOOKUP(INT(D916)+1,Tablas!$G$9:$O$1240,9,0)*(D916-INT(D916))+VLOOKUP(INT(D916),Tablas!$G$9:$O$1240,9,0)*(INT(D916)+1-D916))</f>
      </c>
      <c r="H916" s="801">
        <f>+IF(MONTH(B916)=1,H915*(1+$C$9),H915)</f>
      </c>
      <c r="I916" s="689">
        <f>IF(B916&lt;$C$10,0,IF(B916&lt;$C$11,$C$8/12*E916*F916*H916,0))</f>
      </c>
      <c r="J916" s="689">
        <f>I916*12/14+IF(OR(MONTH(C916)=6,MONTH(C916)=12),I916*12/14,0)</f>
      </c>
      <c r="K916" s="801">
        <f>G916/$G$15</f>
      </c>
      <c r="L916" s="760"/>
      <c r="M916" s="767"/>
      <c r="N916" s="168"/>
      <c r="O916" s="768"/>
      <c r="P916" s="170"/>
      <c r="Q916" s="7"/>
      <c r="R916" s="766"/>
      <c r="S916" s="170"/>
      <c r="T916" s="168"/>
      <c r="U916" s="170"/>
    </row>
    <row x14ac:dyDescent="0.25" r="917" customHeight="1" ht="18.75">
      <c r="A917" s="1"/>
      <c r="B917" s="799">
        <f>+DATE(YEAR(B916),MONTH(B916)+1,DAY(B916))</f>
        <v>25569.041666666668</v>
      </c>
      <c r="C917" s="799">
        <f>+B918-1</f>
        <v>25569.041666666668</v>
      </c>
      <c r="D917" s="791">
        <f>-_xlfn.DAYS($C$3,C917)/365.25</f>
      </c>
      <c r="E917" s="800">
        <f>IF($D$17+40&lt;=D917,(1+$D$7)^-(D917-$C$5),(1+$C$7)^-(D917-$C$5))</f>
      </c>
      <c r="F917" s="801">
        <f>IF($C$4="Hombre",(+VLOOKUP(INT(D917)+1,Tablas!$G$9:$K$1240,5,0)*(D917-INT(D917))+VLOOKUP(INT(D917),Tablas!$G$9:$K$1240,5,0)*(INT(D917)+1-D917))/(VLOOKUP(INT($C$5)+1,Tablas!$G$9:$K$1240,5,0)*($C$5-INT($C$5))+VLOOKUP(INT($C$5),Tablas!$G$9:$K$124,5,0)*(INT($C$5)+1-$C$5)),(+VLOOKUP(INT(D917)+1,Tablas!$G$9:$O$1240,9,0)*(D917-INT(D917))+VLOOKUP(INT(D917),Tablas!$G$9:$O$1240,9,0)*(INT(D917)+1-D917))/(VLOOKUP(INT($C$5)+1,Tablas!$G$9:$O$1240,9,0)*($C$5-INT($C$5))+VLOOKUP(INT($C$5),Tablas!$G$9:$O$124,9,0)*(INT($C$5)+1-$C$5)))</f>
      </c>
      <c r="G917" s="791">
        <f>IF($C$4="Hombre",(+VLOOKUP(INT(D917)+1,Tablas!$G$9:$K$1240,5,0)*(D917-INT(D917))+VLOOKUP(INT(D917),Tablas!$G$9:$K$1240,5,0)*(INT(D917)+1-D917)),+VLOOKUP(INT(D917)+1,Tablas!$G$9:$O$1240,9,0)*(D917-INT(D917))+VLOOKUP(INT(D917),Tablas!$G$9:$O$1240,9,0)*(INT(D917)+1-D917))</f>
      </c>
      <c r="H917" s="801">
        <f>+IF(MONTH(B917)=1,H916*(1+$C$9),H916)</f>
      </c>
      <c r="I917" s="689">
        <f>IF(B917&lt;$C$10,0,IF(B917&lt;$C$11,$C$8/12*E917*F917*H917,0))</f>
      </c>
      <c r="J917" s="689">
        <f>I917*12/14+IF(OR(MONTH(C917)=6,MONTH(C917)=12),I917*12/14,0)</f>
      </c>
      <c r="K917" s="801">
        <f>G917/$G$15</f>
      </c>
      <c r="L917" s="760"/>
      <c r="M917" s="767"/>
      <c r="N917" s="168"/>
      <c r="O917" s="768"/>
      <c r="P917" s="170"/>
      <c r="Q917" s="7"/>
      <c r="R917" s="766"/>
      <c r="S917" s="170"/>
      <c r="T917" s="168"/>
      <c r="U917" s="170"/>
    </row>
    <row x14ac:dyDescent="0.25" r="918" customHeight="1" ht="18.75">
      <c r="A918" s="1"/>
      <c r="B918" s="799">
        <f>+DATE(YEAR(B917),MONTH(B917)+1,DAY(B917))</f>
        <v>25569.041666666668</v>
      </c>
      <c r="C918" s="799">
        <f>+B919-1</f>
        <v>25569.041666666668</v>
      </c>
      <c r="D918" s="791">
        <f>-_xlfn.DAYS($C$3,C918)/365.25</f>
      </c>
      <c r="E918" s="800">
        <f>IF($D$17+40&lt;=D918,(1+$D$7)^-(D918-$C$5),(1+$C$7)^-(D918-$C$5))</f>
      </c>
      <c r="F918" s="801">
        <f>IF($C$4="Hombre",(+VLOOKUP(INT(D918)+1,Tablas!$G$9:$K$1240,5,0)*(D918-INT(D918))+VLOOKUP(INT(D918),Tablas!$G$9:$K$1240,5,0)*(INT(D918)+1-D918))/(VLOOKUP(INT($C$5)+1,Tablas!$G$9:$K$1240,5,0)*($C$5-INT($C$5))+VLOOKUP(INT($C$5),Tablas!$G$9:$K$124,5,0)*(INT($C$5)+1-$C$5)),(+VLOOKUP(INT(D918)+1,Tablas!$G$9:$O$1240,9,0)*(D918-INT(D918))+VLOOKUP(INT(D918),Tablas!$G$9:$O$1240,9,0)*(INT(D918)+1-D918))/(VLOOKUP(INT($C$5)+1,Tablas!$G$9:$O$1240,9,0)*($C$5-INT($C$5))+VLOOKUP(INT($C$5),Tablas!$G$9:$O$124,9,0)*(INT($C$5)+1-$C$5)))</f>
      </c>
      <c r="G918" s="791">
        <f>IF($C$4="Hombre",(+VLOOKUP(INT(D918)+1,Tablas!$G$9:$K$1240,5,0)*(D918-INT(D918))+VLOOKUP(INT(D918),Tablas!$G$9:$K$1240,5,0)*(INT(D918)+1-D918)),+VLOOKUP(INT(D918)+1,Tablas!$G$9:$O$1240,9,0)*(D918-INT(D918))+VLOOKUP(INT(D918),Tablas!$G$9:$O$1240,9,0)*(INT(D918)+1-D918))</f>
      </c>
      <c r="H918" s="801">
        <f>+IF(MONTH(B918)=1,H917*(1+$C$9),H917)</f>
      </c>
      <c r="I918" s="689">
        <f>IF(B918&lt;$C$10,0,IF(B918&lt;$C$11,$C$8/12*E918*F918*H918,0))</f>
      </c>
      <c r="J918" s="689">
        <f>I918*12/14+IF(OR(MONTH(C918)=6,MONTH(C918)=12),I918*12/14,0)</f>
      </c>
      <c r="K918" s="801">
        <f>G918/$G$15</f>
      </c>
      <c r="L918" s="760"/>
      <c r="M918" s="767"/>
      <c r="N918" s="168"/>
      <c r="O918" s="768"/>
      <c r="P918" s="170"/>
      <c r="Q918" s="7"/>
      <c r="R918" s="766"/>
      <c r="S918" s="170"/>
      <c r="T918" s="168"/>
      <c r="U918" s="170"/>
    </row>
    <row x14ac:dyDescent="0.25" r="919" customHeight="1" ht="18.75">
      <c r="A919" s="1"/>
      <c r="B919" s="799">
        <f>+DATE(YEAR(B918),MONTH(B918)+1,DAY(B918))</f>
        <v>25569.041666666668</v>
      </c>
      <c r="C919" s="799">
        <f>+B920-1</f>
        <v>25569.041666666668</v>
      </c>
      <c r="D919" s="791">
        <f>-_xlfn.DAYS($C$3,C919)/365.25</f>
      </c>
      <c r="E919" s="800">
        <f>IF($D$17+40&lt;=D919,(1+$D$7)^-(D919-$C$5),(1+$C$7)^-(D919-$C$5))</f>
      </c>
      <c r="F919" s="801">
        <f>IF($C$4="Hombre",(+VLOOKUP(INT(D919)+1,Tablas!$G$9:$K$1240,5,0)*(D919-INT(D919))+VLOOKUP(INT(D919),Tablas!$G$9:$K$1240,5,0)*(INT(D919)+1-D919))/(VLOOKUP(INT($C$5)+1,Tablas!$G$9:$K$1240,5,0)*($C$5-INT($C$5))+VLOOKUP(INT($C$5),Tablas!$G$9:$K$124,5,0)*(INT($C$5)+1-$C$5)),(+VLOOKUP(INT(D919)+1,Tablas!$G$9:$O$1240,9,0)*(D919-INT(D919))+VLOOKUP(INT(D919),Tablas!$G$9:$O$1240,9,0)*(INT(D919)+1-D919))/(VLOOKUP(INT($C$5)+1,Tablas!$G$9:$O$1240,9,0)*($C$5-INT($C$5))+VLOOKUP(INT($C$5),Tablas!$G$9:$O$124,9,0)*(INT($C$5)+1-$C$5)))</f>
      </c>
      <c r="G919" s="791">
        <f>IF($C$4="Hombre",(+VLOOKUP(INT(D919)+1,Tablas!$G$9:$K$1240,5,0)*(D919-INT(D919))+VLOOKUP(INT(D919),Tablas!$G$9:$K$1240,5,0)*(INT(D919)+1-D919)),+VLOOKUP(INT(D919)+1,Tablas!$G$9:$O$1240,9,0)*(D919-INT(D919))+VLOOKUP(INT(D919),Tablas!$G$9:$O$1240,9,0)*(INT(D919)+1-D919))</f>
      </c>
      <c r="H919" s="801">
        <f>+IF(MONTH(B919)=1,H918*(1+$C$9),H918)</f>
      </c>
      <c r="I919" s="689">
        <f>IF(B919&lt;$C$10,0,IF(B919&lt;$C$11,$C$8/12*E919*F919*H919,0))</f>
      </c>
      <c r="J919" s="689">
        <f>I919*12/14+IF(OR(MONTH(C919)=6,MONTH(C919)=12),I919*12/14,0)</f>
      </c>
      <c r="K919" s="801">
        <f>G919/$G$15</f>
      </c>
      <c r="L919" s="760"/>
      <c r="M919" s="767"/>
      <c r="N919" s="168"/>
      <c r="O919" s="768"/>
      <c r="P919" s="170"/>
      <c r="Q919" s="7"/>
      <c r="R919" s="766"/>
      <c r="S919" s="170"/>
      <c r="T919" s="168"/>
      <c r="U919" s="170"/>
    </row>
    <row x14ac:dyDescent="0.25" r="920" customHeight="1" ht="18.75">
      <c r="A920" s="1"/>
      <c r="B920" s="799">
        <f>+DATE(YEAR(B919),MONTH(B919)+1,DAY(B919))</f>
        <v>25569.041666666668</v>
      </c>
      <c r="C920" s="799">
        <f>+B921-1</f>
        <v>25569.041666666668</v>
      </c>
      <c r="D920" s="791">
        <f>-_xlfn.DAYS($C$3,C920)/365.25</f>
      </c>
      <c r="E920" s="800">
        <f>IF($D$17+40&lt;=D920,(1+$D$7)^-(D920-$C$5),(1+$C$7)^-(D920-$C$5))</f>
      </c>
      <c r="F920" s="801">
        <f>IF($C$4="Hombre",(+VLOOKUP(INT(D920)+1,Tablas!$G$9:$K$1240,5,0)*(D920-INT(D920))+VLOOKUP(INT(D920),Tablas!$G$9:$K$1240,5,0)*(INT(D920)+1-D920))/(VLOOKUP(INT($C$5)+1,Tablas!$G$9:$K$1240,5,0)*($C$5-INT($C$5))+VLOOKUP(INT($C$5),Tablas!$G$9:$K$124,5,0)*(INT($C$5)+1-$C$5)),(+VLOOKUP(INT(D920)+1,Tablas!$G$9:$O$1240,9,0)*(D920-INT(D920))+VLOOKUP(INT(D920),Tablas!$G$9:$O$1240,9,0)*(INT(D920)+1-D920))/(VLOOKUP(INT($C$5)+1,Tablas!$G$9:$O$1240,9,0)*($C$5-INT($C$5))+VLOOKUP(INT($C$5),Tablas!$G$9:$O$124,9,0)*(INT($C$5)+1-$C$5)))</f>
      </c>
      <c r="G920" s="791">
        <f>IF($C$4="Hombre",(+VLOOKUP(INT(D920)+1,Tablas!$G$9:$K$1240,5,0)*(D920-INT(D920))+VLOOKUP(INT(D920),Tablas!$G$9:$K$1240,5,0)*(INT(D920)+1-D920)),+VLOOKUP(INT(D920)+1,Tablas!$G$9:$O$1240,9,0)*(D920-INT(D920))+VLOOKUP(INT(D920),Tablas!$G$9:$O$1240,9,0)*(INT(D920)+1-D920))</f>
      </c>
      <c r="H920" s="801">
        <f>+IF(MONTH(B920)=1,H919*(1+$C$9),H919)</f>
      </c>
      <c r="I920" s="689">
        <f>IF(B920&lt;$C$10,0,IF(B920&lt;$C$11,$C$8/12*E920*F920*H920,0))</f>
      </c>
      <c r="J920" s="689">
        <f>I920*12/14+IF(OR(MONTH(C920)=6,MONTH(C920)=12),I920*12/14,0)</f>
      </c>
      <c r="K920" s="801">
        <f>G920/$G$15</f>
      </c>
      <c r="L920" s="760"/>
      <c r="M920" s="767"/>
      <c r="N920" s="168"/>
      <c r="O920" s="768"/>
      <c r="P920" s="170"/>
      <c r="Q920" s="7"/>
      <c r="R920" s="766"/>
      <c r="S920" s="170"/>
      <c r="T920" s="168"/>
      <c r="U920" s="170"/>
    </row>
    <row x14ac:dyDescent="0.25" r="921" customHeight="1" ht="18.75">
      <c r="A921" s="1"/>
      <c r="B921" s="799">
        <f>+DATE(YEAR(B920),MONTH(B920)+1,DAY(B920))</f>
        <v>25569.041666666668</v>
      </c>
      <c r="C921" s="799">
        <f>+B922-1</f>
        <v>25569.041666666668</v>
      </c>
      <c r="D921" s="791">
        <f>-_xlfn.DAYS($C$3,C921)/365.25</f>
      </c>
      <c r="E921" s="800">
        <f>IF($D$17+40&lt;=D921,(1+$D$7)^-(D921-$C$5),(1+$C$7)^-(D921-$C$5))</f>
      </c>
      <c r="F921" s="801">
        <f>IF($C$4="Hombre",(+VLOOKUP(INT(D921)+1,Tablas!$G$9:$K$1240,5,0)*(D921-INT(D921))+VLOOKUP(INT(D921),Tablas!$G$9:$K$1240,5,0)*(INT(D921)+1-D921))/(VLOOKUP(INT($C$5)+1,Tablas!$G$9:$K$1240,5,0)*($C$5-INT($C$5))+VLOOKUP(INT($C$5),Tablas!$G$9:$K$124,5,0)*(INT($C$5)+1-$C$5)),(+VLOOKUP(INT(D921)+1,Tablas!$G$9:$O$1240,9,0)*(D921-INT(D921))+VLOOKUP(INT(D921),Tablas!$G$9:$O$1240,9,0)*(INT(D921)+1-D921))/(VLOOKUP(INT($C$5)+1,Tablas!$G$9:$O$1240,9,0)*($C$5-INT($C$5))+VLOOKUP(INT($C$5),Tablas!$G$9:$O$124,9,0)*(INT($C$5)+1-$C$5)))</f>
      </c>
      <c r="G921" s="791">
        <f>IF($C$4="Hombre",(+VLOOKUP(INT(D921)+1,Tablas!$G$9:$K$1240,5,0)*(D921-INT(D921))+VLOOKUP(INT(D921),Tablas!$G$9:$K$1240,5,0)*(INT(D921)+1-D921)),+VLOOKUP(INT(D921)+1,Tablas!$G$9:$O$1240,9,0)*(D921-INT(D921))+VLOOKUP(INT(D921),Tablas!$G$9:$O$1240,9,0)*(INT(D921)+1-D921))</f>
      </c>
      <c r="H921" s="801">
        <f>+IF(MONTH(B921)=1,H920*(1+$C$9),H920)</f>
      </c>
      <c r="I921" s="689">
        <f>IF(B921&lt;$C$10,0,IF(B921&lt;$C$11,$C$8/12*E921*F921*H921,0))</f>
      </c>
      <c r="J921" s="689">
        <f>I921*12/14+IF(OR(MONTH(C921)=6,MONTH(C921)=12),I921*12/14,0)</f>
      </c>
      <c r="K921" s="801">
        <f>G921/$G$15</f>
      </c>
      <c r="L921" s="760"/>
      <c r="M921" s="767"/>
      <c r="N921" s="168"/>
      <c r="O921" s="768"/>
      <c r="P921" s="170"/>
      <c r="Q921" s="7"/>
      <c r="R921" s="766"/>
      <c r="S921" s="170"/>
      <c r="T921" s="168"/>
      <c r="U921" s="170"/>
    </row>
    <row x14ac:dyDescent="0.25" r="922" customHeight="1" ht="18.75">
      <c r="A922" s="1"/>
      <c r="B922" s="799">
        <f>+DATE(YEAR(B921),MONTH(B921)+1,DAY(B921))</f>
        <v>25569.041666666668</v>
      </c>
      <c r="C922" s="799">
        <f>+B923-1</f>
        <v>25569.041666666668</v>
      </c>
      <c r="D922" s="791">
        <f>-_xlfn.DAYS($C$3,C922)/365.25</f>
      </c>
      <c r="E922" s="800">
        <f>IF($D$17+40&lt;=D922,(1+$D$7)^-(D922-$C$5),(1+$C$7)^-(D922-$C$5))</f>
      </c>
      <c r="F922" s="801">
        <f>IF($C$4="Hombre",(+VLOOKUP(INT(D922)+1,Tablas!$G$9:$K$1240,5,0)*(D922-INT(D922))+VLOOKUP(INT(D922),Tablas!$G$9:$K$1240,5,0)*(INT(D922)+1-D922))/(VLOOKUP(INT($C$5)+1,Tablas!$G$9:$K$1240,5,0)*($C$5-INT($C$5))+VLOOKUP(INT($C$5),Tablas!$G$9:$K$124,5,0)*(INT($C$5)+1-$C$5)),(+VLOOKUP(INT(D922)+1,Tablas!$G$9:$O$1240,9,0)*(D922-INT(D922))+VLOOKUP(INT(D922),Tablas!$G$9:$O$1240,9,0)*(INT(D922)+1-D922))/(VLOOKUP(INT($C$5)+1,Tablas!$G$9:$O$1240,9,0)*($C$5-INT($C$5))+VLOOKUP(INT($C$5),Tablas!$G$9:$O$124,9,0)*(INT($C$5)+1-$C$5)))</f>
      </c>
      <c r="G922" s="791">
        <f>IF($C$4="Hombre",(+VLOOKUP(INT(D922)+1,Tablas!$G$9:$K$1240,5,0)*(D922-INT(D922))+VLOOKUP(INT(D922),Tablas!$G$9:$K$1240,5,0)*(INT(D922)+1-D922)),+VLOOKUP(INT(D922)+1,Tablas!$G$9:$O$1240,9,0)*(D922-INT(D922))+VLOOKUP(INT(D922),Tablas!$G$9:$O$1240,9,0)*(INT(D922)+1-D922))</f>
      </c>
      <c r="H922" s="801">
        <f>+IF(MONTH(B922)=1,H921*(1+$C$9),H921)</f>
      </c>
      <c r="I922" s="689">
        <f>IF(B922&lt;$C$10,0,IF(B922&lt;$C$11,$C$8/12*E922*F922*H922,0))</f>
      </c>
      <c r="J922" s="689">
        <f>I922*12/14+IF(OR(MONTH(C922)=6,MONTH(C922)=12),I922*12/14,0)</f>
      </c>
      <c r="K922" s="801">
        <f>G922/$G$15</f>
      </c>
      <c r="L922" s="760"/>
      <c r="M922" s="767"/>
      <c r="N922" s="168"/>
      <c r="O922" s="768"/>
      <c r="P922" s="170"/>
      <c r="Q922" s="7"/>
      <c r="R922" s="766"/>
      <c r="S922" s="170"/>
      <c r="T922" s="168"/>
      <c r="U922" s="170"/>
    </row>
    <row x14ac:dyDescent="0.25" r="923" customHeight="1" ht="18.75">
      <c r="A923" s="1"/>
      <c r="B923" s="799">
        <f>+DATE(YEAR(B922),MONTH(B922)+1,DAY(B922))</f>
        <v>25569.041666666668</v>
      </c>
      <c r="C923" s="799">
        <f>+B924-1</f>
        <v>25569.041666666668</v>
      </c>
      <c r="D923" s="791">
        <f>-_xlfn.DAYS($C$3,C923)/365.25</f>
      </c>
      <c r="E923" s="800">
        <f>IF($D$17+40&lt;=D923,(1+$D$7)^-(D923-$C$5),(1+$C$7)^-(D923-$C$5))</f>
      </c>
      <c r="F923" s="801">
        <f>IF($C$4="Hombre",(+VLOOKUP(INT(D923)+1,Tablas!$G$9:$K$1240,5,0)*(D923-INT(D923))+VLOOKUP(INT(D923),Tablas!$G$9:$K$1240,5,0)*(INT(D923)+1-D923))/(VLOOKUP(INT($C$5)+1,Tablas!$G$9:$K$1240,5,0)*($C$5-INT($C$5))+VLOOKUP(INT($C$5),Tablas!$G$9:$K$124,5,0)*(INT($C$5)+1-$C$5)),(+VLOOKUP(INT(D923)+1,Tablas!$G$9:$O$1240,9,0)*(D923-INT(D923))+VLOOKUP(INT(D923),Tablas!$G$9:$O$1240,9,0)*(INT(D923)+1-D923))/(VLOOKUP(INT($C$5)+1,Tablas!$G$9:$O$1240,9,0)*($C$5-INT($C$5))+VLOOKUP(INT($C$5),Tablas!$G$9:$O$124,9,0)*(INT($C$5)+1-$C$5)))</f>
      </c>
      <c r="G923" s="791">
        <f>IF($C$4="Hombre",(+VLOOKUP(INT(D923)+1,Tablas!$G$9:$K$1240,5,0)*(D923-INT(D923))+VLOOKUP(INT(D923),Tablas!$G$9:$K$1240,5,0)*(INT(D923)+1-D923)),+VLOOKUP(INT(D923)+1,Tablas!$G$9:$O$1240,9,0)*(D923-INT(D923))+VLOOKUP(INT(D923),Tablas!$G$9:$O$1240,9,0)*(INT(D923)+1-D923))</f>
      </c>
      <c r="H923" s="801">
        <f>+IF(MONTH(B923)=1,H922*(1+$C$9),H922)</f>
      </c>
      <c r="I923" s="689">
        <f>IF(B923&lt;$C$10,0,IF(B923&lt;$C$11,$C$8/12*E923*F923*H923,0))</f>
      </c>
      <c r="J923" s="689">
        <f>I923*12/14+IF(OR(MONTH(C923)=6,MONTH(C923)=12),I923*12/14,0)</f>
      </c>
      <c r="K923" s="801">
        <f>G923/$G$15</f>
      </c>
      <c r="L923" s="760"/>
      <c r="M923" s="767"/>
      <c r="N923" s="168"/>
      <c r="O923" s="768"/>
      <c r="P923" s="170"/>
      <c r="Q923" s="7"/>
      <c r="R923" s="766"/>
      <c r="S923" s="170"/>
      <c r="T923" s="168"/>
      <c r="U923" s="170"/>
    </row>
    <row x14ac:dyDescent="0.25" r="924" customHeight="1" ht="18.75">
      <c r="A924" s="1"/>
      <c r="B924" s="799">
        <f>+DATE(YEAR(B923),MONTH(B923)+1,DAY(B923))</f>
        <v>25569.041666666668</v>
      </c>
      <c r="C924" s="799">
        <f>+B925-1</f>
        <v>25569.041666666668</v>
      </c>
      <c r="D924" s="791">
        <f>-_xlfn.DAYS($C$3,C924)/365.25</f>
      </c>
      <c r="E924" s="800">
        <f>IF($D$17+40&lt;=D924,(1+$D$7)^-(D924-$C$5),(1+$C$7)^-(D924-$C$5))</f>
      </c>
      <c r="F924" s="801">
        <f>IF($C$4="Hombre",(+VLOOKUP(INT(D924)+1,Tablas!$G$9:$K$1240,5,0)*(D924-INT(D924))+VLOOKUP(INT(D924),Tablas!$G$9:$K$1240,5,0)*(INT(D924)+1-D924))/(VLOOKUP(INT($C$5)+1,Tablas!$G$9:$K$1240,5,0)*($C$5-INT($C$5))+VLOOKUP(INT($C$5),Tablas!$G$9:$K$124,5,0)*(INT($C$5)+1-$C$5)),(+VLOOKUP(INT(D924)+1,Tablas!$G$9:$O$1240,9,0)*(D924-INT(D924))+VLOOKUP(INT(D924),Tablas!$G$9:$O$1240,9,0)*(INT(D924)+1-D924))/(VLOOKUP(INT($C$5)+1,Tablas!$G$9:$O$1240,9,0)*($C$5-INT($C$5))+VLOOKUP(INT($C$5),Tablas!$G$9:$O$124,9,0)*(INT($C$5)+1-$C$5)))</f>
      </c>
      <c r="G924" s="791">
        <f>IF($C$4="Hombre",(+VLOOKUP(INT(D924)+1,Tablas!$G$9:$K$1240,5,0)*(D924-INT(D924))+VLOOKUP(INT(D924),Tablas!$G$9:$K$1240,5,0)*(INT(D924)+1-D924)),+VLOOKUP(INT(D924)+1,Tablas!$G$9:$O$1240,9,0)*(D924-INT(D924))+VLOOKUP(INT(D924),Tablas!$G$9:$O$1240,9,0)*(INT(D924)+1-D924))</f>
      </c>
      <c r="H924" s="801">
        <f>+IF(MONTH(B924)=1,H923*(1+$C$9),H923)</f>
      </c>
      <c r="I924" s="689">
        <f>IF(B924&lt;$C$10,0,IF(B924&lt;$C$11,$C$8/12*E924*F924*H924,0))</f>
      </c>
      <c r="J924" s="689">
        <f>I924*12/14+IF(OR(MONTH(C924)=6,MONTH(C924)=12),I924*12/14,0)</f>
      </c>
      <c r="K924" s="801">
        <f>G924/$G$15</f>
      </c>
      <c r="L924" s="760"/>
      <c r="M924" s="767"/>
      <c r="N924" s="168"/>
      <c r="O924" s="768"/>
      <c r="P924" s="170"/>
      <c r="Q924" s="7"/>
      <c r="R924" s="766"/>
      <c r="S924" s="170"/>
      <c r="T924" s="168"/>
      <c r="U924" s="170"/>
    </row>
    <row x14ac:dyDescent="0.25" r="925" customHeight="1" ht="18.75">
      <c r="A925" s="1"/>
      <c r="B925" s="799">
        <f>+DATE(YEAR(B924),MONTH(B924)+1,DAY(B924))</f>
        <v>25569.041666666668</v>
      </c>
      <c r="C925" s="799">
        <f>+B926-1</f>
        <v>25569.041666666668</v>
      </c>
      <c r="D925" s="791">
        <f>-_xlfn.DAYS($C$3,C925)/365.25</f>
      </c>
      <c r="E925" s="800">
        <f>IF($D$17+40&lt;=D925,(1+$D$7)^-(D925-$C$5),(1+$C$7)^-(D925-$C$5))</f>
      </c>
      <c r="F925" s="801">
        <f>IF($C$4="Hombre",(+VLOOKUP(INT(D925)+1,Tablas!$G$9:$K$1240,5,0)*(D925-INT(D925))+VLOOKUP(INT(D925),Tablas!$G$9:$K$1240,5,0)*(INT(D925)+1-D925))/(VLOOKUP(INT($C$5)+1,Tablas!$G$9:$K$1240,5,0)*($C$5-INT($C$5))+VLOOKUP(INT($C$5),Tablas!$G$9:$K$124,5,0)*(INT($C$5)+1-$C$5)),(+VLOOKUP(INT(D925)+1,Tablas!$G$9:$O$1240,9,0)*(D925-INT(D925))+VLOOKUP(INT(D925),Tablas!$G$9:$O$1240,9,0)*(INT(D925)+1-D925))/(VLOOKUP(INT($C$5)+1,Tablas!$G$9:$O$1240,9,0)*($C$5-INT($C$5))+VLOOKUP(INT($C$5),Tablas!$G$9:$O$124,9,0)*(INT($C$5)+1-$C$5)))</f>
      </c>
      <c r="G925" s="791">
        <f>IF($C$4="Hombre",(+VLOOKUP(INT(D925)+1,Tablas!$G$9:$K$1240,5,0)*(D925-INT(D925))+VLOOKUP(INT(D925),Tablas!$G$9:$K$1240,5,0)*(INT(D925)+1-D925)),+VLOOKUP(INT(D925)+1,Tablas!$G$9:$O$1240,9,0)*(D925-INT(D925))+VLOOKUP(INT(D925),Tablas!$G$9:$O$1240,9,0)*(INT(D925)+1-D925))</f>
      </c>
      <c r="H925" s="801">
        <f>+IF(MONTH(B925)=1,H924*(1+$C$9),H924)</f>
      </c>
      <c r="I925" s="689">
        <f>IF(B925&lt;$C$10,0,IF(B925&lt;$C$11,$C$8/12*E925*F925*H925,0))</f>
      </c>
      <c r="J925" s="689">
        <f>I925*12/14+IF(OR(MONTH(C925)=6,MONTH(C925)=12),I925*12/14,0)</f>
      </c>
      <c r="K925" s="801">
        <f>G925/$G$15</f>
      </c>
      <c r="L925" s="760"/>
      <c r="M925" s="767"/>
      <c r="N925" s="168"/>
      <c r="O925" s="768"/>
      <c r="P925" s="170"/>
      <c r="Q925" s="7"/>
      <c r="R925" s="766"/>
      <c r="S925" s="170"/>
      <c r="T925" s="168"/>
      <c r="U925" s="170"/>
    </row>
    <row x14ac:dyDescent="0.25" r="926" customHeight="1" ht="18.75">
      <c r="A926" s="1"/>
      <c r="B926" s="799">
        <f>+DATE(YEAR(B925),MONTH(B925)+1,DAY(B925))</f>
        <v>25569.041666666668</v>
      </c>
      <c r="C926" s="799">
        <f>+B927-1</f>
        <v>25569.041666666668</v>
      </c>
      <c r="D926" s="791">
        <f>-_xlfn.DAYS($C$3,C926)/365.25</f>
      </c>
      <c r="E926" s="800">
        <f>IF($D$17+40&lt;=D926,(1+$D$7)^-(D926-$C$5),(1+$C$7)^-(D926-$C$5))</f>
      </c>
      <c r="F926" s="801">
        <f>IF($C$4="Hombre",(+VLOOKUP(INT(D926)+1,Tablas!$G$9:$K$1240,5,0)*(D926-INT(D926))+VLOOKUP(INT(D926),Tablas!$G$9:$K$1240,5,0)*(INT(D926)+1-D926))/(VLOOKUP(INT($C$5)+1,Tablas!$G$9:$K$1240,5,0)*($C$5-INT($C$5))+VLOOKUP(INT($C$5),Tablas!$G$9:$K$124,5,0)*(INT($C$5)+1-$C$5)),(+VLOOKUP(INT(D926)+1,Tablas!$G$9:$O$1240,9,0)*(D926-INT(D926))+VLOOKUP(INT(D926),Tablas!$G$9:$O$1240,9,0)*(INT(D926)+1-D926))/(VLOOKUP(INT($C$5)+1,Tablas!$G$9:$O$1240,9,0)*($C$5-INT($C$5))+VLOOKUP(INT($C$5),Tablas!$G$9:$O$124,9,0)*(INT($C$5)+1-$C$5)))</f>
      </c>
      <c r="G926" s="791">
        <f>IF($C$4="Hombre",(+VLOOKUP(INT(D926)+1,Tablas!$G$9:$K$1240,5,0)*(D926-INT(D926))+VLOOKUP(INT(D926),Tablas!$G$9:$K$1240,5,0)*(INT(D926)+1-D926)),+VLOOKUP(INT(D926)+1,Tablas!$G$9:$O$1240,9,0)*(D926-INT(D926))+VLOOKUP(INT(D926),Tablas!$G$9:$O$1240,9,0)*(INT(D926)+1-D926))</f>
      </c>
      <c r="H926" s="801">
        <f>+IF(MONTH(B926)=1,H925*(1+$C$9),H925)</f>
      </c>
      <c r="I926" s="689">
        <f>IF(B926&lt;$C$10,0,IF(B926&lt;$C$11,$C$8/12*E926*F926*H926,0))</f>
      </c>
      <c r="J926" s="689">
        <f>I926*12/14+IF(OR(MONTH(C926)=6,MONTH(C926)=12),I926*12/14,0)</f>
      </c>
      <c r="K926" s="801">
        <f>G926/$G$15</f>
      </c>
      <c r="L926" s="760"/>
      <c r="M926" s="767"/>
      <c r="N926" s="168"/>
      <c r="O926" s="768"/>
      <c r="P926" s="170"/>
      <c r="Q926" s="7"/>
      <c r="R926" s="766"/>
      <c r="S926" s="170"/>
      <c r="T926" s="168"/>
      <c r="U926" s="170"/>
    </row>
    <row x14ac:dyDescent="0.25" r="927" customHeight="1" ht="18.75">
      <c r="A927" s="1"/>
      <c r="B927" s="799">
        <f>+DATE(YEAR(B926),MONTH(B926)+1,DAY(B926))</f>
        <v>25569.041666666668</v>
      </c>
      <c r="C927" s="799">
        <f>+B928-1</f>
        <v>25569.041666666668</v>
      </c>
      <c r="D927" s="791">
        <f>-_xlfn.DAYS($C$3,C927)/365.25</f>
      </c>
      <c r="E927" s="800">
        <f>IF($D$17+40&lt;=D927,(1+$D$7)^-(D927-$C$5),(1+$C$7)^-(D927-$C$5))</f>
      </c>
      <c r="F927" s="801">
        <f>IF($C$4="Hombre",(+VLOOKUP(INT(D927)+1,Tablas!$G$9:$K$1240,5,0)*(D927-INT(D927))+VLOOKUP(INT(D927),Tablas!$G$9:$K$1240,5,0)*(INT(D927)+1-D927))/(VLOOKUP(INT($C$5)+1,Tablas!$G$9:$K$1240,5,0)*($C$5-INT($C$5))+VLOOKUP(INT($C$5),Tablas!$G$9:$K$124,5,0)*(INT($C$5)+1-$C$5)),(+VLOOKUP(INT(D927)+1,Tablas!$G$9:$O$1240,9,0)*(D927-INT(D927))+VLOOKUP(INT(D927),Tablas!$G$9:$O$1240,9,0)*(INT(D927)+1-D927))/(VLOOKUP(INT($C$5)+1,Tablas!$G$9:$O$1240,9,0)*($C$5-INT($C$5))+VLOOKUP(INT($C$5),Tablas!$G$9:$O$124,9,0)*(INT($C$5)+1-$C$5)))</f>
      </c>
      <c r="G927" s="791">
        <f>IF($C$4="Hombre",(+VLOOKUP(INT(D927)+1,Tablas!$G$9:$K$1240,5,0)*(D927-INT(D927))+VLOOKUP(INT(D927),Tablas!$G$9:$K$1240,5,0)*(INT(D927)+1-D927)),+VLOOKUP(INT(D927)+1,Tablas!$G$9:$O$1240,9,0)*(D927-INT(D927))+VLOOKUP(INT(D927),Tablas!$G$9:$O$1240,9,0)*(INT(D927)+1-D927))</f>
      </c>
      <c r="H927" s="801">
        <f>+IF(MONTH(B927)=1,H926*(1+$C$9),H926)</f>
      </c>
      <c r="I927" s="689">
        <f>IF(B927&lt;$C$10,0,IF(B927&lt;$C$11,$C$8/12*E927*F927*H927,0))</f>
      </c>
      <c r="J927" s="689">
        <f>I927*12/14+IF(OR(MONTH(C927)=6,MONTH(C927)=12),I927*12/14,0)</f>
      </c>
      <c r="K927" s="801">
        <f>G927/$G$15</f>
      </c>
      <c r="L927" s="760"/>
      <c r="M927" s="767"/>
      <c r="N927" s="168"/>
      <c r="O927" s="768"/>
      <c r="P927" s="170"/>
      <c r="Q927" s="7"/>
      <c r="R927" s="766"/>
      <c r="S927" s="170"/>
      <c r="T927" s="168"/>
      <c r="U927" s="170"/>
    </row>
    <row x14ac:dyDescent="0.25" r="928" customHeight="1" ht="18.75">
      <c r="A928" s="1"/>
      <c r="B928" s="799">
        <f>+DATE(YEAR(B927),MONTH(B927)+1,DAY(B927))</f>
        <v>25569.041666666668</v>
      </c>
      <c r="C928" s="799">
        <f>+B929-1</f>
        <v>25569.041666666668</v>
      </c>
      <c r="D928" s="791">
        <f>-_xlfn.DAYS($C$3,C928)/365.25</f>
      </c>
      <c r="E928" s="800">
        <f>IF($D$17+40&lt;=D928,(1+$D$7)^-(D928-$C$5),(1+$C$7)^-(D928-$C$5))</f>
      </c>
      <c r="F928" s="801">
        <f>IF($C$4="Hombre",(+VLOOKUP(INT(D928)+1,Tablas!$G$9:$K$1240,5,0)*(D928-INT(D928))+VLOOKUP(INT(D928),Tablas!$G$9:$K$1240,5,0)*(INT(D928)+1-D928))/(VLOOKUP(INT($C$5)+1,Tablas!$G$9:$K$1240,5,0)*($C$5-INT($C$5))+VLOOKUP(INT($C$5),Tablas!$G$9:$K$124,5,0)*(INT($C$5)+1-$C$5)),(+VLOOKUP(INT(D928)+1,Tablas!$G$9:$O$1240,9,0)*(D928-INT(D928))+VLOOKUP(INT(D928),Tablas!$G$9:$O$1240,9,0)*(INT(D928)+1-D928))/(VLOOKUP(INT($C$5)+1,Tablas!$G$9:$O$1240,9,0)*($C$5-INT($C$5))+VLOOKUP(INT($C$5),Tablas!$G$9:$O$124,9,0)*(INT($C$5)+1-$C$5)))</f>
      </c>
      <c r="G928" s="791">
        <f>IF($C$4="Hombre",(+VLOOKUP(INT(D928)+1,Tablas!$G$9:$K$1240,5,0)*(D928-INT(D928))+VLOOKUP(INT(D928),Tablas!$G$9:$K$1240,5,0)*(INT(D928)+1-D928)),+VLOOKUP(INT(D928)+1,Tablas!$G$9:$O$1240,9,0)*(D928-INT(D928))+VLOOKUP(INT(D928),Tablas!$G$9:$O$1240,9,0)*(INT(D928)+1-D928))</f>
      </c>
      <c r="H928" s="801">
        <f>+IF(MONTH(B928)=1,H927*(1+$C$9),H927)</f>
      </c>
      <c r="I928" s="689">
        <f>IF(B928&lt;$C$10,0,IF(B928&lt;$C$11,$C$8/12*E928*F928*H928,0))</f>
      </c>
      <c r="J928" s="689">
        <f>I928*12/14+IF(OR(MONTH(C928)=6,MONTH(C928)=12),I928*12/14,0)</f>
      </c>
      <c r="K928" s="801">
        <f>G928/$G$15</f>
      </c>
      <c r="L928" s="760"/>
      <c r="M928" s="767"/>
      <c r="N928" s="168"/>
      <c r="O928" s="768"/>
      <c r="P928" s="170"/>
      <c r="Q928" s="7"/>
      <c r="R928" s="766"/>
      <c r="S928" s="170"/>
      <c r="T928" s="168"/>
      <c r="U928" s="170"/>
    </row>
    <row x14ac:dyDescent="0.25" r="929" customHeight="1" ht="18.75">
      <c r="A929" s="1"/>
      <c r="B929" s="799">
        <f>+DATE(YEAR(B928),MONTH(B928)+1,DAY(B928))</f>
        <v>25569.041666666668</v>
      </c>
      <c r="C929" s="799">
        <f>+B930-1</f>
        <v>25569.041666666668</v>
      </c>
      <c r="D929" s="791">
        <f>-_xlfn.DAYS($C$3,C929)/365.25</f>
      </c>
      <c r="E929" s="800">
        <f>IF($D$17+40&lt;=D929,(1+$D$7)^-(D929-$C$5),(1+$C$7)^-(D929-$C$5))</f>
      </c>
      <c r="F929" s="801">
        <f>IF($C$4="Hombre",(+VLOOKUP(INT(D929)+1,Tablas!$G$9:$K$1240,5,0)*(D929-INT(D929))+VLOOKUP(INT(D929),Tablas!$G$9:$K$1240,5,0)*(INT(D929)+1-D929))/(VLOOKUP(INT($C$5)+1,Tablas!$G$9:$K$1240,5,0)*($C$5-INT($C$5))+VLOOKUP(INT($C$5),Tablas!$G$9:$K$124,5,0)*(INT($C$5)+1-$C$5)),(+VLOOKUP(INT(D929)+1,Tablas!$G$9:$O$1240,9,0)*(D929-INT(D929))+VLOOKUP(INT(D929),Tablas!$G$9:$O$1240,9,0)*(INT(D929)+1-D929))/(VLOOKUP(INT($C$5)+1,Tablas!$G$9:$O$1240,9,0)*($C$5-INT($C$5))+VLOOKUP(INT($C$5),Tablas!$G$9:$O$124,9,0)*(INT($C$5)+1-$C$5)))</f>
      </c>
      <c r="G929" s="791">
        <f>IF($C$4="Hombre",(+VLOOKUP(INT(D929)+1,Tablas!$G$9:$K$1240,5,0)*(D929-INT(D929))+VLOOKUP(INT(D929),Tablas!$G$9:$K$1240,5,0)*(INT(D929)+1-D929)),+VLOOKUP(INT(D929)+1,Tablas!$G$9:$O$1240,9,0)*(D929-INT(D929))+VLOOKUP(INT(D929),Tablas!$G$9:$O$1240,9,0)*(INT(D929)+1-D929))</f>
      </c>
      <c r="H929" s="801">
        <f>+IF(MONTH(B929)=1,H928*(1+$C$9),H928)</f>
      </c>
      <c r="I929" s="689">
        <f>IF(B929&lt;$C$10,0,IF(B929&lt;$C$11,$C$8/12*E929*F929*H929,0))</f>
      </c>
      <c r="J929" s="689">
        <f>I929*12/14+IF(OR(MONTH(C929)=6,MONTH(C929)=12),I929*12/14,0)</f>
      </c>
      <c r="K929" s="801">
        <f>G929/$G$15</f>
      </c>
      <c r="L929" s="760"/>
      <c r="M929" s="767"/>
      <c r="N929" s="168"/>
      <c r="O929" s="768"/>
      <c r="P929" s="170"/>
      <c r="Q929" s="7"/>
      <c r="R929" s="766"/>
      <c r="S929" s="170"/>
      <c r="T929" s="168"/>
      <c r="U929" s="170"/>
    </row>
    <row x14ac:dyDescent="0.25" r="930" customHeight="1" ht="18.75">
      <c r="A930" s="1"/>
      <c r="B930" s="799">
        <f>+DATE(YEAR(B929),MONTH(B929)+1,DAY(B929))</f>
        <v>25569.041666666668</v>
      </c>
      <c r="C930" s="799">
        <f>+B931-1</f>
        <v>25569.041666666668</v>
      </c>
      <c r="D930" s="791">
        <f>-_xlfn.DAYS($C$3,C930)/365.25</f>
      </c>
      <c r="E930" s="800">
        <f>IF($D$17+40&lt;=D930,(1+$D$7)^-(D930-$C$5),(1+$C$7)^-(D930-$C$5))</f>
      </c>
      <c r="F930" s="801">
        <f>IF($C$4="Hombre",(+VLOOKUP(INT(D930)+1,Tablas!$G$9:$K$1240,5,0)*(D930-INT(D930))+VLOOKUP(INT(D930),Tablas!$G$9:$K$1240,5,0)*(INT(D930)+1-D930))/(VLOOKUP(INT($C$5)+1,Tablas!$G$9:$K$1240,5,0)*($C$5-INT($C$5))+VLOOKUP(INT($C$5),Tablas!$G$9:$K$124,5,0)*(INT($C$5)+1-$C$5)),(+VLOOKUP(INT(D930)+1,Tablas!$G$9:$O$1240,9,0)*(D930-INT(D930))+VLOOKUP(INT(D930),Tablas!$G$9:$O$1240,9,0)*(INT(D930)+1-D930))/(VLOOKUP(INT($C$5)+1,Tablas!$G$9:$O$1240,9,0)*($C$5-INT($C$5))+VLOOKUP(INT($C$5),Tablas!$G$9:$O$124,9,0)*(INT($C$5)+1-$C$5)))</f>
      </c>
      <c r="G930" s="791">
        <f>IF($C$4="Hombre",(+VLOOKUP(INT(D930)+1,Tablas!$G$9:$K$1240,5,0)*(D930-INT(D930))+VLOOKUP(INT(D930),Tablas!$G$9:$K$1240,5,0)*(INT(D930)+1-D930)),+VLOOKUP(INT(D930)+1,Tablas!$G$9:$O$1240,9,0)*(D930-INT(D930))+VLOOKUP(INT(D930),Tablas!$G$9:$O$1240,9,0)*(INT(D930)+1-D930))</f>
      </c>
      <c r="H930" s="801">
        <f>+IF(MONTH(B930)=1,H929*(1+$C$9),H929)</f>
      </c>
      <c r="I930" s="689">
        <f>IF(B930&lt;$C$10,0,IF(B930&lt;$C$11,$C$8/12*E930*F930*H930,0))</f>
      </c>
      <c r="J930" s="689">
        <f>I930*12/14+IF(OR(MONTH(C930)=6,MONTH(C930)=12),I930*12/14,0)</f>
      </c>
      <c r="K930" s="801">
        <f>G930/$G$15</f>
      </c>
      <c r="L930" s="760"/>
      <c r="M930" s="767"/>
      <c r="N930" s="168"/>
      <c r="O930" s="768"/>
      <c r="P930" s="170"/>
      <c r="Q930" s="7"/>
      <c r="R930" s="766"/>
      <c r="S930" s="170"/>
      <c r="T930" s="168"/>
      <c r="U930" s="170"/>
    </row>
    <row x14ac:dyDescent="0.25" r="931" customHeight="1" ht="18.75">
      <c r="A931" s="1"/>
      <c r="B931" s="799">
        <f>+DATE(YEAR(B930),MONTH(B930)+1,DAY(B930))</f>
        <v>25569.041666666668</v>
      </c>
      <c r="C931" s="799">
        <f>+B932-1</f>
        <v>25569.041666666668</v>
      </c>
      <c r="D931" s="791">
        <f>-_xlfn.DAYS($C$3,C931)/365.25</f>
      </c>
      <c r="E931" s="800">
        <f>IF($D$17+40&lt;=D931,(1+$D$7)^-(D931-$C$5),(1+$C$7)^-(D931-$C$5))</f>
      </c>
      <c r="F931" s="801">
        <f>IF($C$4="Hombre",(+VLOOKUP(INT(D931)+1,Tablas!$G$9:$K$1240,5,0)*(D931-INT(D931))+VLOOKUP(INT(D931),Tablas!$G$9:$K$1240,5,0)*(INT(D931)+1-D931))/(VLOOKUP(INT($C$5)+1,Tablas!$G$9:$K$1240,5,0)*($C$5-INT($C$5))+VLOOKUP(INT($C$5),Tablas!$G$9:$K$124,5,0)*(INT($C$5)+1-$C$5)),(+VLOOKUP(INT(D931)+1,Tablas!$G$9:$O$1240,9,0)*(D931-INT(D931))+VLOOKUP(INT(D931),Tablas!$G$9:$O$1240,9,0)*(INT(D931)+1-D931))/(VLOOKUP(INT($C$5)+1,Tablas!$G$9:$O$1240,9,0)*($C$5-INT($C$5))+VLOOKUP(INT($C$5),Tablas!$G$9:$O$124,9,0)*(INT($C$5)+1-$C$5)))</f>
      </c>
      <c r="G931" s="791">
        <f>IF($C$4="Hombre",(+VLOOKUP(INT(D931)+1,Tablas!$G$9:$K$1240,5,0)*(D931-INT(D931))+VLOOKUP(INT(D931),Tablas!$G$9:$K$1240,5,0)*(INT(D931)+1-D931)),+VLOOKUP(INT(D931)+1,Tablas!$G$9:$O$1240,9,0)*(D931-INT(D931))+VLOOKUP(INT(D931),Tablas!$G$9:$O$1240,9,0)*(INT(D931)+1-D931))</f>
      </c>
      <c r="H931" s="801">
        <f>+IF(MONTH(B931)=1,H930*(1+$C$9),H930)</f>
      </c>
      <c r="I931" s="689">
        <f>IF(B931&lt;$C$10,0,IF(B931&lt;$C$11,$C$8/12*E931*F931*H931,0))</f>
      </c>
      <c r="J931" s="689">
        <f>I931*12/14+IF(OR(MONTH(C931)=6,MONTH(C931)=12),I931*12/14,0)</f>
      </c>
      <c r="K931" s="801">
        <f>G931/$G$15</f>
      </c>
      <c r="L931" s="760"/>
      <c r="M931" s="767"/>
      <c r="N931" s="168"/>
      <c r="O931" s="768"/>
      <c r="P931" s="170"/>
      <c r="Q931" s="7"/>
      <c r="R931" s="766"/>
      <c r="S931" s="170"/>
      <c r="T931" s="168"/>
      <c r="U931" s="170"/>
    </row>
    <row x14ac:dyDescent="0.25" r="932" customHeight="1" ht="18.75">
      <c r="A932" s="1"/>
      <c r="B932" s="799">
        <f>+DATE(YEAR(B931),MONTH(B931)+1,DAY(B931))</f>
        <v>25569.041666666668</v>
      </c>
      <c r="C932" s="799">
        <f>+B933-1</f>
        <v>25569.041666666668</v>
      </c>
      <c r="D932" s="791">
        <f>-_xlfn.DAYS($C$3,C932)/365.25</f>
      </c>
      <c r="E932" s="800">
        <f>IF($D$17+40&lt;=D932,(1+$D$7)^-(D932-$C$5),(1+$C$7)^-(D932-$C$5))</f>
      </c>
      <c r="F932" s="801">
        <f>IF($C$4="Hombre",(+VLOOKUP(INT(D932)+1,Tablas!$G$9:$K$1240,5,0)*(D932-INT(D932))+VLOOKUP(INT(D932),Tablas!$G$9:$K$1240,5,0)*(INT(D932)+1-D932))/(VLOOKUP(INT($C$5)+1,Tablas!$G$9:$K$1240,5,0)*($C$5-INT($C$5))+VLOOKUP(INT($C$5),Tablas!$G$9:$K$124,5,0)*(INT($C$5)+1-$C$5)),(+VLOOKUP(INT(D932)+1,Tablas!$G$9:$O$1240,9,0)*(D932-INT(D932))+VLOOKUP(INT(D932),Tablas!$G$9:$O$1240,9,0)*(INT(D932)+1-D932))/(VLOOKUP(INT($C$5)+1,Tablas!$G$9:$O$1240,9,0)*($C$5-INT($C$5))+VLOOKUP(INT($C$5),Tablas!$G$9:$O$124,9,0)*(INT($C$5)+1-$C$5)))</f>
      </c>
      <c r="G932" s="791">
        <f>IF($C$4="Hombre",(+VLOOKUP(INT(D932)+1,Tablas!$G$9:$K$1240,5,0)*(D932-INT(D932))+VLOOKUP(INT(D932),Tablas!$G$9:$K$1240,5,0)*(INT(D932)+1-D932)),+VLOOKUP(INT(D932)+1,Tablas!$G$9:$O$1240,9,0)*(D932-INT(D932))+VLOOKUP(INT(D932),Tablas!$G$9:$O$1240,9,0)*(INT(D932)+1-D932))</f>
      </c>
      <c r="H932" s="801">
        <f>+IF(MONTH(B932)=1,H931*(1+$C$9),H931)</f>
      </c>
      <c r="I932" s="689">
        <f>IF(B932&lt;$C$10,0,IF(B932&lt;$C$11,$C$8/12*E932*F932*H932,0))</f>
      </c>
      <c r="J932" s="689">
        <f>I932*12/14+IF(OR(MONTH(C932)=6,MONTH(C932)=12),I932*12/14,0)</f>
      </c>
      <c r="K932" s="801">
        <f>G932/$G$15</f>
      </c>
      <c r="L932" s="760"/>
      <c r="M932" s="767"/>
      <c r="N932" s="168"/>
      <c r="O932" s="768"/>
      <c r="P932" s="170"/>
      <c r="Q932" s="7"/>
      <c r="R932" s="766"/>
      <c r="S932" s="170"/>
      <c r="T932" s="168"/>
      <c r="U932" s="170"/>
    </row>
    <row x14ac:dyDescent="0.25" r="933" customHeight="1" ht="18.75">
      <c r="A933" s="1"/>
      <c r="B933" s="799">
        <f>+DATE(YEAR(B932),MONTH(B932)+1,DAY(B932))</f>
        <v>25569.041666666668</v>
      </c>
      <c r="C933" s="799">
        <f>+B934-1</f>
        <v>25569.041666666668</v>
      </c>
      <c r="D933" s="791">
        <f>-_xlfn.DAYS($C$3,C933)/365.25</f>
      </c>
      <c r="E933" s="800">
        <f>IF($D$17+40&lt;=D933,(1+$D$7)^-(D933-$C$5),(1+$C$7)^-(D933-$C$5))</f>
      </c>
      <c r="F933" s="801">
        <f>IF($C$4="Hombre",(+VLOOKUP(INT(D933)+1,Tablas!$G$9:$K$1240,5,0)*(D933-INT(D933))+VLOOKUP(INT(D933),Tablas!$G$9:$K$1240,5,0)*(INT(D933)+1-D933))/(VLOOKUP(INT($C$5)+1,Tablas!$G$9:$K$1240,5,0)*($C$5-INT($C$5))+VLOOKUP(INT($C$5),Tablas!$G$9:$K$124,5,0)*(INT($C$5)+1-$C$5)),(+VLOOKUP(INT(D933)+1,Tablas!$G$9:$O$1240,9,0)*(D933-INT(D933))+VLOOKUP(INT(D933),Tablas!$G$9:$O$1240,9,0)*(INT(D933)+1-D933))/(VLOOKUP(INT($C$5)+1,Tablas!$G$9:$O$1240,9,0)*($C$5-INT($C$5))+VLOOKUP(INT($C$5),Tablas!$G$9:$O$124,9,0)*(INT($C$5)+1-$C$5)))</f>
      </c>
      <c r="G933" s="791">
        <f>IF($C$4="Hombre",(+VLOOKUP(INT(D933)+1,Tablas!$G$9:$K$1240,5,0)*(D933-INT(D933))+VLOOKUP(INT(D933),Tablas!$G$9:$K$1240,5,0)*(INT(D933)+1-D933)),+VLOOKUP(INT(D933)+1,Tablas!$G$9:$O$1240,9,0)*(D933-INT(D933))+VLOOKUP(INT(D933),Tablas!$G$9:$O$1240,9,0)*(INT(D933)+1-D933))</f>
      </c>
      <c r="H933" s="801">
        <f>+IF(MONTH(B933)=1,H932*(1+$C$9),H932)</f>
      </c>
      <c r="I933" s="689">
        <f>IF(B933&lt;$C$10,0,IF(B933&lt;$C$11,$C$8/12*E933*F933*H933,0))</f>
      </c>
      <c r="J933" s="689">
        <f>I933*12/14+IF(OR(MONTH(C933)=6,MONTH(C933)=12),I933*12/14,0)</f>
      </c>
      <c r="K933" s="801">
        <f>G933/$G$15</f>
      </c>
      <c r="L933" s="760"/>
      <c r="M933" s="767"/>
      <c r="N933" s="168"/>
      <c r="O933" s="768"/>
      <c r="P933" s="170"/>
      <c r="Q933" s="7"/>
      <c r="R933" s="766"/>
      <c r="S933" s="170"/>
      <c r="T933" s="168"/>
      <c r="U933" s="170"/>
    </row>
    <row x14ac:dyDescent="0.25" r="934" customHeight="1" ht="18.75">
      <c r="A934" s="1"/>
      <c r="B934" s="799">
        <f>+DATE(YEAR(B933),MONTH(B933)+1,DAY(B933))</f>
        <v>25569.041666666668</v>
      </c>
      <c r="C934" s="799">
        <f>+B935-1</f>
        <v>25569.041666666668</v>
      </c>
      <c r="D934" s="791">
        <f>-_xlfn.DAYS($C$3,C934)/365.25</f>
      </c>
      <c r="E934" s="800">
        <f>IF($D$17+40&lt;=D934,(1+$D$7)^-(D934-$C$5),(1+$C$7)^-(D934-$C$5))</f>
      </c>
      <c r="F934" s="801">
        <f>IF($C$4="Hombre",(+VLOOKUP(INT(D934)+1,Tablas!$G$9:$K$1240,5,0)*(D934-INT(D934))+VLOOKUP(INT(D934),Tablas!$G$9:$K$1240,5,0)*(INT(D934)+1-D934))/(VLOOKUP(INT($C$5)+1,Tablas!$G$9:$K$1240,5,0)*($C$5-INT($C$5))+VLOOKUP(INT($C$5),Tablas!$G$9:$K$124,5,0)*(INT($C$5)+1-$C$5)),(+VLOOKUP(INT(D934)+1,Tablas!$G$9:$O$1240,9,0)*(D934-INT(D934))+VLOOKUP(INT(D934),Tablas!$G$9:$O$1240,9,0)*(INT(D934)+1-D934))/(VLOOKUP(INT($C$5)+1,Tablas!$G$9:$O$1240,9,0)*($C$5-INT($C$5))+VLOOKUP(INT($C$5),Tablas!$G$9:$O$124,9,0)*(INT($C$5)+1-$C$5)))</f>
      </c>
      <c r="G934" s="791">
        <f>IF($C$4="Hombre",(+VLOOKUP(INT(D934)+1,Tablas!$G$9:$K$1240,5,0)*(D934-INT(D934))+VLOOKUP(INT(D934),Tablas!$G$9:$K$1240,5,0)*(INT(D934)+1-D934)),+VLOOKUP(INT(D934)+1,Tablas!$G$9:$O$1240,9,0)*(D934-INT(D934))+VLOOKUP(INT(D934),Tablas!$G$9:$O$1240,9,0)*(INT(D934)+1-D934))</f>
      </c>
      <c r="H934" s="801">
        <f>+IF(MONTH(B934)=1,H933*(1+$C$9),H933)</f>
      </c>
      <c r="I934" s="689">
        <f>IF(B934&lt;$C$10,0,IF(B934&lt;$C$11,$C$8/12*E934*F934*H934,0))</f>
      </c>
      <c r="J934" s="689">
        <f>I934*12/14+IF(OR(MONTH(C934)=6,MONTH(C934)=12),I934*12/14,0)</f>
      </c>
      <c r="K934" s="801">
        <f>G934/$G$15</f>
      </c>
      <c r="L934" s="760"/>
      <c r="M934" s="767"/>
      <c r="N934" s="168"/>
      <c r="O934" s="768"/>
      <c r="P934" s="170"/>
      <c r="Q934" s="7"/>
      <c r="R934" s="766"/>
      <c r="S934" s="170"/>
      <c r="T934" s="168"/>
      <c r="U934" s="170"/>
    </row>
    <row x14ac:dyDescent="0.25" r="935" customHeight="1" ht="18.75">
      <c r="A935" s="1"/>
      <c r="B935" s="799">
        <f>+DATE(YEAR(B934),MONTH(B934)+1,DAY(B934))</f>
        <v>25569.041666666668</v>
      </c>
      <c r="C935" s="799">
        <f>+B936-1</f>
        <v>25569.041666666668</v>
      </c>
      <c r="D935" s="791">
        <f>-_xlfn.DAYS($C$3,C935)/365.25</f>
      </c>
      <c r="E935" s="800">
        <f>IF($D$17+40&lt;=D935,(1+$D$7)^-(D935-$C$5),(1+$C$7)^-(D935-$C$5))</f>
      </c>
      <c r="F935" s="801">
        <f>IF($C$4="Hombre",(+VLOOKUP(INT(D935)+1,Tablas!$G$9:$K$1240,5,0)*(D935-INT(D935))+VLOOKUP(INT(D935),Tablas!$G$9:$K$1240,5,0)*(INT(D935)+1-D935))/(VLOOKUP(INT($C$5)+1,Tablas!$G$9:$K$1240,5,0)*($C$5-INT($C$5))+VLOOKUP(INT($C$5),Tablas!$G$9:$K$124,5,0)*(INT($C$5)+1-$C$5)),(+VLOOKUP(INT(D935)+1,Tablas!$G$9:$O$1240,9,0)*(D935-INT(D935))+VLOOKUP(INT(D935),Tablas!$G$9:$O$1240,9,0)*(INT(D935)+1-D935))/(VLOOKUP(INT($C$5)+1,Tablas!$G$9:$O$1240,9,0)*($C$5-INT($C$5))+VLOOKUP(INT($C$5),Tablas!$G$9:$O$124,9,0)*(INT($C$5)+1-$C$5)))</f>
      </c>
      <c r="G935" s="791">
        <f>IF($C$4="Hombre",(+VLOOKUP(INT(D935)+1,Tablas!$G$9:$K$1240,5,0)*(D935-INT(D935))+VLOOKUP(INT(D935),Tablas!$G$9:$K$1240,5,0)*(INT(D935)+1-D935)),+VLOOKUP(INT(D935)+1,Tablas!$G$9:$O$1240,9,0)*(D935-INT(D935))+VLOOKUP(INT(D935),Tablas!$G$9:$O$1240,9,0)*(INT(D935)+1-D935))</f>
      </c>
      <c r="H935" s="801">
        <f>+IF(MONTH(B935)=1,H934*(1+$C$9),H934)</f>
      </c>
      <c r="I935" s="689">
        <f>IF(B935&lt;$C$10,0,IF(B935&lt;$C$11,$C$8/12*E935*F935*H935,0))</f>
      </c>
      <c r="J935" s="689">
        <f>I935*12/14+IF(OR(MONTH(C935)=6,MONTH(C935)=12),I935*12/14,0)</f>
      </c>
      <c r="K935" s="801">
        <f>G935/$G$15</f>
      </c>
      <c r="L935" s="760"/>
      <c r="M935" s="767"/>
      <c r="N935" s="168"/>
      <c r="O935" s="768"/>
      <c r="P935" s="170"/>
      <c r="Q935" s="7"/>
      <c r="R935" s="766"/>
      <c r="S935" s="170"/>
      <c r="T935" s="168"/>
      <c r="U935" s="170"/>
    </row>
    <row x14ac:dyDescent="0.25" r="936" customHeight="1" ht="18.75">
      <c r="A936" s="1"/>
      <c r="B936" s="799">
        <f>+DATE(YEAR(B935),MONTH(B935)+1,DAY(B935))</f>
        <v>25569.041666666668</v>
      </c>
      <c r="C936" s="799">
        <f>+B937-1</f>
        <v>25569.041666666668</v>
      </c>
      <c r="D936" s="791">
        <f>-_xlfn.DAYS($C$3,C936)/365.25</f>
      </c>
      <c r="E936" s="800">
        <f>IF($D$17+40&lt;=D936,(1+$D$7)^-(D936-$C$5),(1+$C$7)^-(D936-$C$5))</f>
      </c>
      <c r="F936" s="801">
        <f>IF($C$4="Hombre",(+VLOOKUP(INT(D936)+1,Tablas!$G$9:$K$1240,5,0)*(D936-INT(D936))+VLOOKUP(INT(D936),Tablas!$G$9:$K$1240,5,0)*(INT(D936)+1-D936))/(VLOOKUP(INT($C$5)+1,Tablas!$G$9:$K$1240,5,0)*($C$5-INT($C$5))+VLOOKUP(INT($C$5),Tablas!$G$9:$K$124,5,0)*(INT($C$5)+1-$C$5)),(+VLOOKUP(INT(D936)+1,Tablas!$G$9:$O$1240,9,0)*(D936-INT(D936))+VLOOKUP(INT(D936),Tablas!$G$9:$O$1240,9,0)*(INT(D936)+1-D936))/(VLOOKUP(INT($C$5)+1,Tablas!$G$9:$O$1240,9,0)*($C$5-INT($C$5))+VLOOKUP(INT($C$5),Tablas!$G$9:$O$124,9,0)*(INT($C$5)+1-$C$5)))</f>
      </c>
      <c r="G936" s="791">
        <f>IF($C$4="Hombre",(+VLOOKUP(INT(D936)+1,Tablas!$G$9:$K$1240,5,0)*(D936-INT(D936))+VLOOKUP(INT(D936),Tablas!$G$9:$K$1240,5,0)*(INT(D936)+1-D936)),+VLOOKUP(INT(D936)+1,Tablas!$G$9:$O$1240,9,0)*(D936-INT(D936))+VLOOKUP(INT(D936),Tablas!$G$9:$O$1240,9,0)*(INT(D936)+1-D936))</f>
      </c>
      <c r="H936" s="801">
        <f>+IF(MONTH(B936)=1,H935*(1+$C$9),H935)</f>
      </c>
      <c r="I936" s="689">
        <f>IF(B936&lt;$C$10,0,IF(B936&lt;$C$11,$C$8/12*E936*F936*H936,0))</f>
      </c>
      <c r="J936" s="689">
        <f>I936*12/14+IF(OR(MONTH(C936)=6,MONTH(C936)=12),I936*12/14,0)</f>
      </c>
      <c r="K936" s="801">
        <f>G936/$G$15</f>
      </c>
      <c r="L936" s="760"/>
      <c r="M936" s="767"/>
      <c r="N936" s="168"/>
      <c r="O936" s="768"/>
      <c r="P936" s="170"/>
      <c r="Q936" s="7"/>
      <c r="R936" s="766"/>
      <c r="S936" s="170"/>
      <c r="T936" s="168"/>
      <c r="U936" s="170"/>
    </row>
    <row x14ac:dyDescent="0.25" r="937" customHeight="1" ht="18.75">
      <c r="A937" s="1"/>
      <c r="B937" s="799">
        <f>+DATE(YEAR(B936),MONTH(B936)+1,DAY(B936))</f>
        <v>25569.041666666668</v>
      </c>
      <c r="C937" s="799">
        <f>+B938-1</f>
        <v>25569.041666666668</v>
      </c>
      <c r="D937" s="791">
        <f>-_xlfn.DAYS($C$3,C937)/365.25</f>
      </c>
      <c r="E937" s="800">
        <f>IF($D$17+40&lt;=D937,(1+$D$7)^-(D937-$C$5),(1+$C$7)^-(D937-$C$5))</f>
      </c>
      <c r="F937" s="801">
        <f>IF($C$4="Hombre",(+VLOOKUP(INT(D937)+1,Tablas!$G$9:$K$1240,5,0)*(D937-INT(D937))+VLOOKUP(INT(D937),Tablas!$G$9:$K$1240,5,0)*(INT(D937)+1-D937))/(VLOOKUP(INT($C$5)+1,Tablas!$G$9:$K$1240,5,0)*($C$5-INT($C$5))+VLOOKUP(INT($C$5),Tablas!$G$9:$K$124,5,0)*(INT($C$5)+1-$C$5)),(+VLOOKUP(INT(D937)+1,Tablas!$G$9:$O$1240,9,0)*(D937-INT(D937))+VLOOKUP(INT(D937),Tablas!$G$9:$O$1240,9,0)*(INT(D937)+1-D937))/(VLOOKUP(INT($C$5)+1,Tablas!$G$9:$O$1240,9,0)*($C$5-INT($C$5))+VLOOKUP(INT($C$5),Tablas!$G$9:$O$124,9,0)*(INT($C$5)+1-$C$5)))</f>
      </c>
      <c r="G937" s="791">
        <f>IF($C$4="Hombre",(+VLOOKUP(INT(D937)+1,Tablas!$G$9:$K$1240,5,0)*(D937-INT(D937))+VLOOKUP(INT(D937),Tablas!$G$9:$K$1240,5,0)*(INT(D937)+1-D937)),+VLOOKUP(INT(D937)+1,Tablas!$G$9:$O$1240,9,0)*(D937-INT(D937))+VLOOKUP(INT(D937),Tablas!$G$9:$O$1240,9,0)*(INT(D937)+1-D937))</f>
      </c>
      <c r="H937" s="801">
        <f>+IF(MONTH(B937)=1,H936*(1+$C$9),H936)</f>
      </c>
      <c r="I937" s="689">
        <f>IF(B937&lt;$C$10,0,IF(B937&lt;$C$11,$C$8/12*E937*F937*H937,0))</f>
      </c>
      <c r="J937" s="689">
        <f>I937*12/14+IF(OR(MONTH(C937)=6,MONTH(C937)=12),I937*12/14,0)</f>
      </c>
      <c r="K937" s="801">
        <f>G937/$G$15</f>
      </c>
      <c r="L937" s="760"/>
      <c r="M937" s="767"/>
      <c r="N937" s="168"/>
      <c r="O937" s="768"/>
      <c r="P937" s="170"/>
      <c r="Q937" s="7"/>
      <c r="R937" s="766"/>
      <c r="S937" s="170"/>
      <c r="T937" s="168"/>
      <c r="U937" s="170"/>
    </row>
    <row x14ac:dyDescent="0.25" r="938" customHeight="1" ht="18.75">
      <c r="A938" s="1"/>
      <c r="B938" s="799">
        <f>+DATE(YEAR(B937),MONTH(B937)+1,DAY(B937))</f>
        <v>25569.041666666668</v>
      </c>
      <c r="C938" s="799">
        <f>+B939-1</f>
        <v>25569.041666666668</v>
      </c>
      <c r="D938" s="791">
        <f>-_xlfn.DAYS($C$3,C938)/365.25</f>
      </c>
      <c r="E938" s="800">
        <f>IF($D$17+40&lt;=D938,(1+$D$7)^-(D938-$C$5),(1+$C$7)^-(D938-$C$5))</f>
      </c>
      <c r="F938" s="801">
        <f>IF($C$4="Hombre",(+VLOOKUP(INT(D938)+1,Tablas!$G$9:$K$1240,5,0)*(D938-INT(D938))+VLOOKUP(INT(D938),Tablas!$G$9:$K$1240,5,0)*(INT(D938)+1-D938))/(VLOOKUP(INT($C$5)+1,Tablas!$G$9:$K$1240,5,0)*($C$5-INT($C$5))+VLOOKUP(INT($C$5),Tablas!$G$9:$K$124,5,0)*(INT($C$5)+1-$C$5)),(+VLOOKUP(INT(D938)+1,Tablas!$G$9:$O$1240,9,0)*(D938-INT(D938))+VLOOKUP(INT(D938),Tablas!$G$9:$O$1240,9,0)*(INT(D938)+1-D938))/(VLOOKUP(INT($C$5)+1,Tablas!$G$9:$O$1240,9,0)*($C$5-INT($C$5))+VLOOKUP(INT($C$5),Tablas!$G$9:$O$124,9,0)*(INT($C$5)+1-$C$5)))</f>
      </c>
      <c r="G938" s="791">
        <f>IF($C$4="Hombre",(+VLOOKUP(INT(D938)+1,Tablas!$G$9:$K$1240,5,0)*(D938-INT(D938))+VLOOKUP(INT(D938),Tablas!$G$9:$K$1240,5,0)*(INT(D938)+1-D938)),+VLOOKUP(INT(D938)+1,Tablas!$G$9:$O$1240,9,0)*(D938-INT(D938))+VLOOKUP(INT(D938),Tablas!$G$9:$O$1240,9,0)*(INT(D938)+1-D938))</f>
      </c>
      <c r="H938" s="801">
        <f>+IF(MONTH(B938)=1,H937*(1+$C$9),H937)</f>
      </c>
      <c r="I938" s="689">
        <f>IF(B938&lt;$C$10,0,IF(B938&lt;$C$11,$C$8/12*E938*F938*H938,0))</f>
      </c>
      <c r="J938" s="689">
        <f>I938*12/14+IF(OR(MONTH(C938)=6,MONTH(C938)=12),I938*12/14,0)</f>
      </c>
      <c r="K938" s="801">
        <f>G938/$G$15</f>
      </c>
      <c r="L938" s="760"/>
      <c r="M938" s="767"/>
      <c r="N938" s="168"/>
      <c r="O938" s="768"/>
      <c r="P938" s="170"/>
      <c r="Q938" s="7"/>
      <c r="R938" s="766"/>
      <c r="S938" s="170"/>
      <c r="T938" s="168"/>
      <c r="U938" s="170"/>
    </row>
    <row x14ac:dyDescent="0.25" r="939" customHeight="1" ht="18.75">
      <c r="A939" s="1"/>
      <c r="B939" s="799">
        <f>+DATE(YEAR(B938),MONTH(B938)+1,DAY(B938))</f>
        <v>25569.041666666668</v>
      </c>
      <c r="C939" s="799">
        <f>+B940-1</f>
        <v>25569.041666666668</v>
      </c>
      <c r="D939" s="791">
        <f>-_xlfn.DAYS($C$3,C939)/365.25</f>
      </c>
      <c r="E939" s="800">
        <f>IF($D$17+40&lt;=D939,(1+$D$7)^-(D939-$C$5),(1+$C$7)^-(D939-$C$5))</f>
      </c>
      <c r="F939" s="801">
        <f>IF($C$4="Hombre",(+VLOOKUP(INT(D939)+1,Tablas!$G$9:$K$1240,5,0)*(D939-INT(D939))+VLOOKUP(INT(D939),Tablas!$G$9:$K$1240,5,0)*(INT(D939)+1-D939))/(VLOOKUP(INT($C$5)+1,Tablas!$G$9:$K$1240,5,0)*($C$5-INT($C$5))+VLOOKUP(INT($C$5),Tablas!$G$9:$K$124,5,0)*(INT($C$5)+1-$C$5)),(+VLOOKUP(INT(D939)+1,Tablas!$G$9:$O$1240,9,0)*(D939-INT(D939))+VLOOKUP(INT(D939),Tablas!$G$9:$O$1240,9,0)*(INT(D939)+1-D939))/(VLOOKUP(INT($C$5)+1,Tablas!$G$9:$O$1240,9,0)*($C$5-INT($C$5))+VLOOKUP(INT($C$5),Tablas!$G$9:$O$124,9,0)*(INT($C$5)+1-$C$5)))</f>
      </c>
      <c r="G939" s="791">
        <f>IF($C$4="Hombre",(+VLOOKUP(INT(D939)+1,Tablas!$G$9:$K$1240,5,0)*(D939-INT(D939))+VLOOKUP(INT(D939),Tablas!$G$9:$K$1240,5,0)*(INT(D939)+1-D939)),+VLOOKUP(INT(D939)+1,Tablas!$G$9:$O$1240,9,0)*(D939-INT(D939))+VLOOKUP(INT(D939),Tablas!$G$9:$O$1240,9,0)*(INT(D939)+1-D939))</f>
      </c>
      <c r="H939" s="801">
        <f>+IF(MONTH(B939)=1,H938*(1+$C$9),H938)</f>
      </c>
      <c r="I939" s="689">
        <f>IF(B939&lt;$C$10,0,IF(B939&lt;$C$11,$C$8/12*E939*F939*H939,0))</f>
      </c>
      <c r="J939" s="689">
        <f>I939*12/14+IF(OR(MONTH(C939)=6,MONTH(C939)=12),I939*12/14,0)</f>
      </c>
      <c r="K939" s="801">
        <f>G939/$G$15</f>
      </c>
      <c r="L939" s="760"/>
      <c r="M939" s="767"/>
      <c r="N939" s="168"/>
      <c r="O939" s="768"/>
      <c r="P939" s="170"/>
      <c r="Q939" s="7"/>
      <c r="R939" s="766"/>
      <c r="S939" s="170"/>
      <c r="T939" s="168"/>
      <c r="U939" s="170"/>
    </row>
    <row x14ac:dyDescent="0.25" r="940" customHeight="1" ht="18.75">
      <c r="A940" s="1"/>
      <c r="B940" s="799">
        <f>+DATE(YEAR(B939),MONTH(B939)+1,DAY(B939))</f>
        <v>25569.041666666668</v>
      </c>
      <c r="C940" s="799">
        <f>+B941-1</f>
        <v>25569.041666666668</v>
      </c>
      <c r="D940" s="791">
        <f>-_xlfn.DAYS($C$3,C940)/365.25</f>
      </c>
      <c r="E940" s="800">
        <f>IF($D$17+40&lt;=D940,(1+$D$7)^-(D940-$C$5),(1+$C$7)^-(D940-$C$5))</f>
      </c>
      <c r="F940" s="801">
        <f>IF($C$4="Hombre",(+VLOOKUP(INT(D940)+1,Tablas!$G$9:$K$1240,5,0)*(D940-INT(D940))+VLOOKUP(INT(D940),Tablas!$G$9:$K$1240,5,0)*(INT(D940)+1-D940))/(VLOOKUP(INT($C$5)+1,Tablas!$G$9:$K$1240,5,0)*($C$5-INT($C$5))+VLOOKUP(INT($C$5),Tablas!$G$9:$K$124,5,0)*(INT($C$5)+1-$C$5)),(+VLOOKUP(INT(D940)+1,Tablas!$G$9:$O$1240,9,0)*(D940-INT(D940))+VLOOKUP(INT(D940),Tablas!$G$9:$O$1240,9,0)*(INT(D940)+1-D940))/(VLOOKUP(INT($C$5)+1,Tablas!$G$9:$O$1240,9,0)*($C$5-INT($C$5))+VLOOKUP(INT($C$5),Tablas!$G$9:$O$124,9,0)*(INT($C$5)+1-$C$5)))</f>
      </c>
      <c r="G940" s="791">
        <f>IF($C$4="Hombre",(+VLOOKUP(INT(D940)+1,Tablas!$G$9:$K$1240,5,0)*(D940-INT(D940))+VLOOKUP(INT(D940),Tablas!$G$9:$K$1240,5,0)*(INT(D940)+1-D940)),+VLOOKUP(INT(D940)+1,Tablas!$G$9:$O$1240,9,0)*(D940-INT(D940))+VLOOKUP(INT(D940),Tablas!$G$9:$O$1240,9,0)*(INT(D940)+1-D940))</f>
      </c>
      <c r="H940" s="801">
        <f>+IF(MONTH(B940)=1,H939*(1+$C$9),H939)</f>
      </c>
      <c r="I940" s="689">
        <f>IF(B940&lt;$C$10,0,IF(B940&lt;$C$11,$C$8/12*E940*F940*H940,0))</f>
      </c>
      <c r="J940" s="689">
        <f>I940*12/14+IF(OR(MONTH(C940)=6,MONTH(C940)=12),I940*12/14,0)</f>
      </c>
      <c r="K940" s="801">
        <f>G940/$G$15</f>
      </c>
      <c r="L940" s="760"/>
      <c r="M940" s="767"/>
      <c r="N940" s="168"/>
      <c r="O940" s="768"/>
      <c r="P940" s="170"/>
      <c r="Q940" s="7"/>
      <c r="R940" s="766"/>
      <c r="S940" s="170"/>
      <c r="T940" s="168"/>
      <c r="U940" s="170"/>
    </row>
    <row x14ac:dyDescent="0.25" r="941" customHeight="1" ht="18.75">
      <c r="A941" s="1"/>
      <c r="B941" s="799">
        <f>+DATE(YEAR(B940),MONTH(B940)+1,DAY(B940))</f>
        <v>25569.041666666668</v>
      </c>
      <c r="C941" s="799">
        <f>+B942-1</f>
        <v>25569.041666666668</v>
      </c>
      <c r="D941" s="791">
        <f>-_xlfn.DAYS($C$3,C941)/365.25</f>
      </c>
      <c r="E941" s="800">
        <f>IF($D$17+40&lt;=D941,(1+$D$7)^-(D941-$C$5),(1+$C$7)^-(D941-$C$5))</f>
      </c>
      <c r="F941" s="801">
        <f>IF($C$4="Hombre",(+VLOOKUP(INT(D941)+1,Tablas!$G$9:$K$1240,5,0)*(D941-INT(D941))+VLOOKUP(INT(D941),Tablas!$G$9:$K$1240,5,0)*(INT(D941)+1-D941))/(VLOOKUP(INT($C$5)+1,Tablas!$G$9:$K$1240,5,0)*($C$5-INT($C$5))+VLOOKUP(INT($C$5),Tablas!$G$9:$K$124,5,0)*(INT($C$5)+1-$C$5)),(+VLOOKUP(INT(D941)+1,Tablas!$G$9:$O$1240,9,0)*(D941-INT(D941))+VLOOKUP(INT(D941),Tablas!$G$9:$O$1240,9,0)*(INT(D941)+1-D941))/(VLOOKUP(INT($C$5)+1,Tablas!$G$9:$O$1240,9,0)*($C$5-INT($C$5))+VLOOKUP(INT($C$5),Tablas!$G$9:$O$124,9,0)*(INT($C$5)+1-$C$5)))</f>
      </c>
      <c r="G941" s="791">
        <f>IF($C$4="Hombre",(+VLOOKUP(INT(D941)+1,Tablas!$G$9:$K$1240,5,0)*(D941-INT(D941))+VLOOKUP(INT(D941),Tablas!$G$9:$K$1240,5,0)*(INT(D941)+1-D941)),+VLOOKUP(INT(D941)+1,Tablas!$G$9:$O$1240,9,0)*(D941-INT(D941))+VLOOKUP(INT(D941),Tablas!$G$9:$O$1240,9,0)*(INT(D941)+1-D941))</f>
      </c>
      <c r="H941" s="801">
        <f>+IF(MONTH(B941)=1,H940*(1+$C$9),H940)</f>
      </c>
      <c r="I941" s="689">
        <f>IF(B941&lt;$C$10,0,IF(B941&lt;$C$11,$C$8/12*E941*F941*H941,0))</f>
      </c>
      <c r="J941" s="689">
        <f>I941*12/14+IF(OR(MONTH(C941)=6,MONTH(C941)=12),I941*12/14,0)</f>
      </c>
      <c r="K941" s="801">
        <f>G941/$G$15</f>
      </c>
      <c r="L941" s="760"/>
      <c r="M941" s="767"/>
      <c r="N941" s="168"/>
      <c r="O941" s="768"/>
      <c r="P941" s="170"/>
      <c r="Q941" s="7"/>
      <c r="R941" s="766"/>
      <c r="S941" s="170"/>
      <c r="T941" s="168"/>
      <c r="U941" s="170"/>
    </row>
    <row x14ac:dyDescent="0.25" r="942" customHeight="1" ht="18.75">
      <c r="A942" s="1"/>
      <c r="B942" s="799">
        <f>+DATE(YEAR(B941),MONTH(B941)+1,DAY(B941))</f>
        <v>25569.041666666668</v>
      </c>
      <c r="C942" s="799">
        <f>+B943-1</f>
        <v>25569.041666666668</v>
      </c>
      <c r="D942" s="791">
        <f>-_xlfn.DAYS($C$3,C942)/365.25</f>
      </c>
      <c r="E942" s="800">
        <f>IF($D$17+40&lt;=D942,(1+$D$7)^-(D942-$C$5),(1+$C$7)^-(D942-$C$5))</f>
      </c>
      <c r="F942" s="801">
        <f>IF($C$4="Hombre",(+VLOOKUP(INT(D942)+1,Tablas!$G$9:$K$1240,5,0)*(D942-INT(D942))+VLOOKUP(INT(D942),Tablas!$G$9:$K$1240,5,0)*(INT(D942)+1-D942))/(VLOOKUP(INT($C$5)+1,Tablas!$G$9:$K$1240,5,0)*($C$5-INT($C$5))+VLOOKUP(INT($C$5),Tablas!$G$9:$K$124,5,0)*(INT($C$5)+1-$C$5)),(+VLOOKUP(INT(D942)+1,Tablas!$G$9:$O$1240,9,0)*(D942-INT(D942))+VLOOKUP(INT(D942),Tablas!$G$9:$O$1240,9,0)*(INT(D942)+1-D942))/(VLOOKUP(INT($C$5)+1,Tablas!$G$9:$O$1240,9,0)*($C$5-INT($C$5))+VLOOKUP(INT($C$5),Tablas!$G$9:$O$124,9,0)*(INT($C$5)+1-$C$5)))</f>
      </c>
      <c r="G942" s="791">
        <f>IF($C$4="Hombre",(+VLOOKUP(INT(D942)+1,Tablas!$G$9:$K$1240,5,0)*(D942-INT(D942))+VLOOKUP(INT(D942),Tablas!$G$9:$K$1240,5,0)*(INT(D942)+1-D942)),+VLOOKUP(INT(D942)+1,Tablas!$G$9:$O$1240,9,0)*(D942-INT(D942))+VLOOKUP(INT(D942),Tablas!$G$9:$O$1240,9,0)*(INT(D942)+1-D942))</f>
      </c>
      <c r="H942" s="801">
        <f>+IF(MONTH(B942)=1,H941*(1+$C$9),H941)</f>
      </c>
      <c r="I942" s="689">
        <f>IF(B942&lt;$C$10,0,IF(B942&lt;$C$11,$C$8/12*E942*F942*H942,0))</f>
      </c>
      <c r="J942" s="689">
        <f>I942*12/14+IF(OR(MONTH(C942)=6,MONTH(C942)=12),I942*12/14,0)</f>
      </c>
      <c r="K942" s="801">
        <f>G942/$G$15</f>
      </c>
      <c r="L942" s="760"/>
      <c r="M942" s="767"/>
      <c r="N942" s="168"/>
      <c r="O942" s="768"/>
      <c r="P942" s="170"/>
      <c r="Q942" s="7"/>
      <c r="R942" s="766"/>
      <c r="S942" s="170"/>
      <c r="T942" s="168"/>
      <c r="U942" s="170"/>
    </row>
    <row x14ac:dyDescent="0.25" r="943" customHeight="1" ht="18.75">
      <c r="A943" s="1"/>
      <c r="B943" s="799">
        <f>+DATE(YEAR(B942),MONTH(B942)+1,DAY(B942))</f>
        <v>25569.041666666668</v>
      </c>
      <c r="C943" s="799">
        <f>+B944-1</f>
        <v>25569.041666666668</v>
      </c>
      <c r="D943" s="791">
        <f>-_xlfn.DAYS($C$3,C943)/365.25</f>
      </c>
      <c r="E943" s="800">
        <f>IF($D$17+40&lt;=D943,(1+$D$7)^-(D943-$C$5),(1+$C$7)^-(D943-$C$5))</f>
      </c>
      <c r="F943" s="801">
        <f>IF($C$4="Hombre",(+VLOOKUP(INT(D943)+1,Tablas!$G$9:$K$1240,5,0)*(D943-INT(D943))+VLOOKUP(INT(D943),Tablas!$G$9:$K$1240,5,0)*(INT(D943)+1-D943))/(VLOOKUP(INT($C$5)+1,Tablas!$G$9:$K$1240,5,0)*($C$5-INT($C$5))+VLOOKUP(INT($C$5),Tablas!$G$9:$K$124,5,0)*(INT($C$5)+1-$C$5)),(+VLOOKUP(INT(D943)+1,Tablas!$G$9:$O$1240,9,0)*(D943-INT(D943))+VLOOKUP(INT(D943),Tablas!$G$9:$O$1240,9,0)*(INT(D943)+1-D943))/(VLOOKUP(INT($C$5)+1,Tablas!$G$9:$O$1240,9,0)*($C$5-INT($C$5))+VLOOKUP(INT($C$5),Tablas!$G$9:$O$124,9,0)*(INT($C$5)+1-$C$5)))</f>
      </c>
      <c r="G943" s="791">
        <f>IF($C$4="Hombre",(+VLOOKUP(INT(D943)+1,Tablas!$G$9:$K$1240,5,0)*(D943-INT(D943))+VLOOKUP(INT(D943),Tablas!$G$9:$K$1240,5,0)*(INT(D943)+1-D943)),+VLOOKUP(INT(D943)+1,Tablas!$G$9:$O$1240,9,0)*(D943-INT(D943))+VLOOKUP(INT(D943),Tablas!$G$9:$O$1240,9,0)*(INT(D943)+1-D943))</f>
      </c>
      <c r="H943" s="801">
        <f>+IF(MONTH(B943)=1,H942*(1+$C$9),H942)</f>
      </c>
      <c r="I943" s="689">
        <f>IF(B943&lt;$C$10,0,IF(B943&lt;$C$11,$C$8/12*E943*F943*H943,0))</f>
      </c>
      <c r="J943" s="689">
        <f>I943*12/14+IF(OR(MONTH(C943)=6,MONTH(C943)=12),I943*12/14,0)</f>
      </c>
      <c r="K943" s="801">
        <f>G943/$G$15</f>
      </c>
      <c r="L943" s="760"/>
      <c r="M943" s="767"/>
      <c r="N943" s="168"/>
      <c r="O943" s="768"/>
      <c r="P943" s="170"/>
      <c r="Q943" s="7"/>
      <c r="R943" s="766"/>
      <c r="S943" s="170"/>
      <c r="T943" s="168"/>
      <c r="U943" s="170"/>
    </row>
    <row x14ac:dyDescent="0.25" r="944" customHeight="1" ht="18.75">
      <c r="A944" s="1"/>
      <c r="B944" s="799">
        <f>+DATE(YEAR(B943),MONTH(B943)+1,DAY(B943))</f>
        <v>25569.041666666668</v>
      </c>
      <c r="C944" s="799">
        <f>+B945-1</f>
        <v>25569.041666666668</v>
      </c>
      <c r="D944" s="791">
        <f>-_xlfn.DAYS($C$3,C944)/365.25</f>
      </c>
      <c r="E944" s="800">
        <f>IF($D$17+40&lt;=D944,(1+$D$7)^-(D944-$C$5),(1+$C$7)^-(D944-$C$5))</f>
      </c>
      <c r="F944" s="801">
        <f>IF($C$4="Hombre",(+VLOOKUP(INT(D944)+1,Tablas!$G$9:$K$1240,5,0)*(D944-INT(D944))+VLOOKUP(INT(D944),Tablas!$G$9:$K$1240,5,0)*(INT(D944)+1-D944))/(VLOOKUP(INT($C$5)+1,Tablas!$G$9:$K$1240,5,0)*($C$5-INT($C$5))+VLOOKUP(INT($C$5),Tablas!$G$9:$K$124,5,0)*(INT($C$5)+1-$C$5)),(+VLOOKUP(INT(D944)+1,Tablas!$G$9:$O$1240,9,0)*(D944-INT(D944))+VLOOKUP(INT(D944),Tablas!$G$9:$O$1240,9,0)*(INT(D944)+1-D944))/(VLOOKUP(INT($C$5)+1,Tablas!$G$9:$O$1240,9,0)*($C$5-INT($C$5))+VLOOKUP(INT($C$5),Tablas!$G$9:$O$124,9,0)*(INT($C$5)+1-$C$5)))</f>
      </c>
      <c r="G944" s="791">
        <f>IF($C$4="Hombre",(+VLOOKUP(INT(D944)+1,Tablas!$G$9:$K$1240,5,0)*(D944-INT(D944))+VLOOKUP(INT(D944),Tablas!$G$9:$K$1240,5,0)*(INT(D944)+1-D944)),+VLOOKUP(INT(D944)+1,Tablas!$G$9:$O$1240,9,0)*(D944-INT(D944))+VLOOKUP(INT(D944),Tablas!$G$9:$O$1240,9,0)*(INT(D944)+1-D944))</f>
      </c>
      <c r="H944" s="801">
        <f>+IF(MONTH(B944)=1,H943*(1+$C$9),H943)</f>
      </c>
      <c r="I944" s="689">
        <f>IF(B944&lt;$C$10,0,IF(B944&lt;$C$11,$C$8/12*E944*F944*H944,0))</f>
      </c>
      <c r="J944" s="689">
        <f>I944*12/14+IF(OR(MONTH(C944)=6,MONTH(C944)=12),I944*12/14,0)</f>
      </c>
      <c r="K944" s="801">
        <f>G944/$G$15</f>
      </c>
      <c r="L944" s="760"/>
      <c r="M944" s="767"/>
      <c r="N944" s="168"/>
      <c r="O944" s="768"/>
      <c r="P944" s="170"/>
      <c r="Q944" s="7"/>
      <c r="R944" s="766"/>
      <c r="S944" s="170"/>
      <c r="T944" s="168"/>
      <c r="U944" s="170"/>
    </row>
    <row x14ac:dyDescent="0.25" r="945" customHeight="1" ht="18.75">
      <c r="A945" s="1"/>
      <c r="B945" s="799">
        <f>+DATE(YEAR(B944),MONTH(B944)+1,DAY(B944))</f>
        <v>25569.041666666668</v>
      </c>
      <c r="C945" s="799">
        <f>+B946-1</f>
        <v>25569.041666666668</v>
      </c>
      <c r="D945" s="791">
        <f>-_xlfn.DAYS($C$3,C945)/365.25</f>
      </c>
      <c r="E945" s="800">
        <f>IF($D$17+40&lt;=D945,(1+$D$7)^-(D945-$C$5),(1+$C$7)^-(D945-$C$5))</f>
      </c>
      <c r="F945" s="801">
        <f>IF($C$4="Hombre",(+VLOOKUP(INT(D945)+1,Tablas!$G$9:$K$1240,5,0)*(D945-INT(D945))+VLOOKUP(INT(D945),Tablas!$G$9:$K$1240,5,0)*(INT(D945)+1-D945))/(VLOOKUP(INT($C$5)+1,Tablas!$G$9:$K$1240,5,0)*($C$5-INT($C$5))+VLOOKUP(INT($C$5),Tablas!$G$9:$K$124,5,0)*(INT($C$5)+1-$C$5)),(+VLOOKUP(INT(D945)+1,Tablas!$G$9:$O$1240,9,0)*(D945-INT(D945))+VLOOKUP(INT(D945),Tablas!$G$9:$O$1240,9,0)*(INT(D945)+1-D945))/(VLOOKUP(INT($C$5)+1,Tablas!$G$9:$O$1240,9,0)*($C$5-INT($C$5))+VLOOKUP(INT($C$5),Tablas!$G$9:$O$124,9,0)*(INT($C$5)+1-$C$5)))</f>
      </c>
      <c r="G945" s="791">
        <f>IF($C$4="Hombre",(+VLOOKUP(INT(D945)+1,Tablas!$G$9:$K$1240,5,0)*(D945-INT(D945))+VLOOKUP(INT(D945),Tablas!$G$9:$K$1240,5,0)*(INT(D945)+1-D945)),+VLOOKUP(INT(D945)+1,Tablas!$G$9:$O$1240,9,0)*(D945-INT(D945))+VLOOKUP(INT(D945),Tablas!$G$9:$O$1240,9,0)*(INT(D945)+1-D945))</f>
      </c>
      <c r="H945" s="801">
        <f>+IF(MONTH(B945)=1,H944*(1+$C$9),H944)</f>
      </c>
      <c r="I945" s="689">
        <f>IF(B945&lt;$C$10,0,IF(B945&lt;$C$11,$C$8/12*E945*F945*H945,0))</f>
      </c>
      <c r="J945" s="689">
        <f>I945*12/14+IF(OR(MONTH(C945)=6,MONTH(C945)=12),I945*12/14,0)</f>
      </c>
      <c r="K945" s="801">
        <f>G945/$G$15</f>
      </c>
      <c r="L945" s="760"/>
      <c r="M945" s="767"/>
      <c r="N945" s="168"/>
      <c r="O945" s="768"/>
      <c r="P945" s="170"/>
      <c r="Q945" s="7"/>
      <c r="R945" s="766"/>
      <c r="S945" s="170"/>
      <c r="T945" s="168"/>
      <c r="U945" s="170"/>
    </row>
    <row x14ac:dyDescent="0.25" r="946" customHeight="1" ht="18.75">
      <c r="A946" s="1"/>
      <c r="B946" s="799">
        <f>+DATE(YEAR(B945),MONTH(B945)+1,DAY(B945))</f>
        <v>25569.041666666668</v>
      </c>
      <c r="C946" s="799">
        <f>+B947-1</f>
        <v>25569.041666666668</v>
      </c>
      <c r="D946" s="791">
        <f>-_xlfn.DAYS($C$3,C946)/365.25</f>
      </c>
      <c r="E946" s="800">
        <f>IF($D$17+40&lt;=D946,(1+$D$7)^-(D946-$C$5),(1+$C$7)^-(D946-$C$5))</f>
      </c>
      <c r="F946" s="801">
        <f>IF($C$4="Hombre",(+VLOOKUP(INT(D946)+1,Tablas!$G$9:$K$1240,5,0)*(D946-INT(D946))+VLOOKUP(INT(D946),Tablas!$G$9:$K$1240,5,0)*(INT(D946)+1-D946))/(VLOOKUP(INT($C$5)+1,Tablas!$G$9:$K$1240,5,0)*($C$5-INT($C$5))+VLOOKUP(INT($C$5),Tablas!$G$9:$K$124,5,0)*(INT($C$5)+1-$C$5)),(+VLOOKUP(INT(D946)+1,Tablas!$G$9:$O$1240,9,0)*(D946-INT(D946))+VLOOKUP(INT(D946),Tablas!$G$9:$O$1240,9,0)*(INT(D946)+1-D946))/(VLOOKUP(INT($C$5)+1,Tablas!$G$9:$O$1240,9,0)*($C$5-INT($C$5))+VLOOKUP(INT($C$5),Tablas!$G$9:$O$124,9,0)*(INT($C$5)+1-$C$5)))</f>
      </c>
      <c r="G946" s="791">
        <f>IF($C$4="Hombre",(+VLOOKUP(INT(D946)+1,Tablas!$G$9:$K$1240,5,0)*(D946-INT(D946))+VLOOKUP(INT(D946),Tablas!$G$9:$K$1240,5,0)*(INT(D946)+1-D946)),+VLOOKUP(INT(D946)+1,Tablas!$G$9:$O$1240,9,0)*(D946-INT(D946))+VLOOKUP(INT(D946),Tablas!$G$9:$O$1240,9,0)*(INT(D946)+1-D946))</f>
      </c>
      <c r="H946" s="801">
        <f>+IF(MONTH(B946)=1,H945*(1+$C$9),H945)</f>
      </c>
      <c r="I946" s="689">
        <f>IF(B946&lt;$C$10,0,IF(B946&lt;$C$11,$C$8/12*E946*F946*H946,0))</f>
      </c>
      <c r="J946" s="689">
        <f>I946*12/14+IF(OR(MONTH(C946)=6,MONTH(C946)=12),I946*12/14,0)</f>
      </c>
      <c r="K946" s="801">
        <f>G946/$G$15</f>
      </c>
      <c r="L946" s="760"/>
      <c r="M946" s="767"/>
      <c r="N946" s="168"/>
      <c r="O946" s="768"/>
      <c r="P946" s="170"/>
      <c r="Q946" s="7"/>
      <c r="R946" s="766"/>
      <c r="S946" s="170"/>
      <c r="T946" s="168"/>
      <c r="U946" s="170"/>
    </row>
    <row x14ac:dyDescent="0.25" r="947" customHeight="1" ht="18.75">
      <c r="A947" s="1"/>
      <c r="B947" s="799">
        <f>+DATE(YEAR(B946),MONTH(B946)+1,DAY(B946))</f>
        <v>25569.041666666668</v>
      </c>
      <c r="C947" s="799">
        <f>+B948-1</f>
        <v>25569.041666666668</v>
      </c>
      <c r="D947" s="791">
        <f>-_xlfn.DAYS($C$3,C947)/365.25</f>
      </c>
      <c r="E947" s="800">
        <f>IF($D$17+40&lt;=D947,(1+$D$7)^-(D947-$C$5),(1+$C$7)^-(D947-$C$5))</f>
      </c>
      <c r="F947" s="801">
        <f>IF($C$4="Hombre",(+VLOOKUP(INT(D947)+1,Tablas!$G$9:$K$1240,5,0)*(D947-INT(D947))+VLOOKUP(INT(D947),Tablas!$G$9:$K$1240,5,0)*(INT(D947)+1-D947))/(VLOOKUP(INT($C$5)+1,Tablas!$G$9:$K$1240,5,0)*($C$5-INT($C$5))+VLOOKUP(INT($C$5),Tablas!$G$9:$K$124,5,0)*(INT($C$5)+1-$C$5)),(+VLOOKUP(INT(D947)+1,Tablas!$G$9:$O$1240,9,0)*(D947-INT(D947))+VLOOKUP(INT(D947),Tablas!$G$9:$O$1240,9,0)*(INT(D947)+1-D947))/(VLOOKUP(INT($C$5)+1,Tablas!$G$9:$O$1240,9,0)*($C$5-INT($C$5))+VLOOKUP(INT($C$5),Tablas!$G$9:$O$124,9,0)*(INT($C$5)+1-$C$5)))</f>
      </c>
      <c r="G947" s="791">
        <f>IF($C$4="Hombre",(+VLOOKUP(INT(D947)+1,Tablas!$G$9:$K$1240,5,0)*(D947-INT(D947))+VLOOKUP(INT(D947),Tablas!$G$9:$K$1240,5,0)*(INT(D947)+1-D947)),+VLOOKUP(INT(D947)+1,Tablas!$G$9:$O$1240,9,0)*(D947-INT(D947))+VLOOKUP(INT(D947),Tablas!$G$9:$O$1240,9,0)*(INT(D947)+1-D947))</f>
      </c>
      <c r="H947" s="801">
        <f>+IF(MONTH(B947)=1,H946*(1+$C$9),H946)</f>
      </c>
      <c r="I947" s="689">
        <f>IF(B947&lt;$C$10,0,IF(B947&lt;$C$11,$C$8/12*E947*F947*H947,0))</f>
      </c>
      <c r="J947" s="689">
        <f>I947*12/14+IF(OR(MONTH(C947)=6,MONTH(C947)=12),I947*12/14,0)</f>
      </c>
      <c r="K947" s="801">
        <f>G947/$G$15</f>
      </c>
      <c r="L947" s="760"/>
      <c r="M947" s="767"/>
      <c r="N947" s="168"/>
      <c r="O947" s="768"/>
      <c r="P947" s="170"/>
      <c r="Q947" s="7"/>
      <c r="R947" s="766"/>
      <c r="S947" s="170"/>
      <c r="T947" s="168"/>
      <c r="U947" s="170"/>
    </row>
    <row x14ac:dyDescent="0.25" r="948" customHeight="1" ht="18.75">
      <c r="A948" s="1"/>
      <c r="B948" s="799">
        <f>+DATE(YEAR(B947),MONTH(B947)+1,DAY(B947))</f>
        <v>25569.041666666668</v>
      </c>
      <c r="C948" s="799">
        <f>+B949-1</f>
        <v>25569.041666666668</v>
      </c>
      <c r="D948" s="791">
        <f>-_xlfn.DAYS($C$3,C948)/365.25</f>
      </c>
      <c r="E948" s="800">
        <f>IF($D$17+40&lt;=D948,(1+$D$7)^-(D948-$C$5),(1+$C$7)^-(D948-$C$5))</f>
      </c>
      <c r="F948" s="801">
        <f>IF($C$4="Hombre",(+VLOOKUP(INT(D948)+1,Tablas!$G$9:$K$1240,5,0)*(D948-INT(D948))+VLOOKUP(INT(D948),Tablas!$G$9:$K$1240,5,0)*(INT(D948)+1-D948))/(VLOOKUP(INT($C$5)+1,Tablas!$G$9:$K$1240,5,0)*($C$5-INT($C$5))+VLOOKUP(INT($C$5),Tablas!$G$9:$K$124,5,0)*(INT($C$5)+1-$C$5)),(+VLOOKUP(INT(D948)+1,Tablas!$G$9:$O$1240,9,0)*(D948-INT(D948))+VLOOKUP(INT(D948),Tablas!$G$9:$O$1240,9,0)*(INT(D948)+1-D948))/(VLOOKUP(INT($C$5)+1,Tablas!$G$9:$O$1240,9,0)*($C$5-INT($C$5))+VLOOKUP(INT($C$5),Tablas!$G$9:$O$124,9,0)*(INT($C$5)+1-$C$5)))</f>
      </c>
      <c r="G948" s="791">
        <f>IF($C$4="Hombre",(+VLOOKUP(INT(D948)+1,Tablas!$G$9:$K$1240,5,0)*(D948-INT(D948))+VLOOKUP(INT(D948),Tablas!$G$9:$K$1240,5,0)*(INT(D948)+1-D948)),+VLOOKUP(INT(D948)+1,Tablas!$G$9:$O$1240,9,0)*(D948-INT(D948))+VLOOKUP(INT(D948),Tablas!$G$9:$O$1240,9,0)*(INT(D948)+1-D948))</f>
      </c>
      <c r="H948" s="801">
        <f>+IF(MONTH(B948)=1,H947*(1+$C$9),H947)</f>
      </c>
      <c r="I948" s="689">
        <f>IF(B948&lt;$C$10,0,IF(B948&lt;$C$11,$C$8/12*E948*F948*H948,0))</f>
      </c>
      <c r="J948" s="689">
        <f>I948*12/14+IF(OR(MONTH(C948)=6,MONTH(C948)=12),I948*12/14,0)</f>
      </c>
      <c r="K948" s="801">
        <f>G948/$G$15</f>
      </c>
      <c r="L948" s="760"/>
      <c r="M948" s="767"/>
      <c r="N948" s="168"/>
      <c r="O948" s="768"/>
      <c r="P948" s="170"/>
      <c r="Q948" s="7"/>
      <c r="R948" s="766"/>
      <c r="S948" s="170"/>
      <c r="T948" s="168"/>
      <c r="U948" s="170"/>
    </row>
    <row x14ac:dyDescent="0.25" r="949" customHeight="1" ht="18.75">
      <c r="A949" s="1"/>
      <c r="B949" s="799">
        <f>+DATE(YEAR(B948),MONTH(B948)+1,DAY(B948))</f>
        <v>25569.041666666668</v>
      </c>
      <c r="C949" s="799">
        <f>+B950-1</f>
        <v>25569.041666666668</v>
      </c>
      <c r="D949" s="791">
        <f>-_xlfn.DAYS($C$3,C949)/365.25</f>
      </c>
      <c r="E949" s="800">
        <f>IF($D$17+40&lt;=D949,(1+$D$7)^-(D949-$C$5),(1+$C$7)^-(D949-$C$5))</f>
      </c>
      <c r="F949" s="801">
        <f>IF($C$4="Hombre",(+VLOOKUP(INT(D949)+1,Tablas!$G$9:$K$1240,5,0)*(D949-INT(D949))+VLOOKUP(INT(D949),Tablas!$G$9:$K$1240,5,0)*(INT(D949)+1-D949))/(VLOOKUP(INT($C$5)+1,Tablas!$G$9:$K$1240,5,0)*($C$5-INT($C$5))+VLOOKUP(INT($C$5),Tablas!$G$9:$K$124,5,0)*(INT($C$5)+1-$C$5)),(+VLOOKUP(INT(D949)+1,Tablas!$G$9:$O$1240,9,0)*(D949-INT(D949))+VLOOKUP(INT(D949),Tablas!$G$9:$O$1240,9,0)*(INT(D949)+1-D949))/(VLOOKUP(INT($C$5)+1,Tablas!$G$9:$O$1240,9,0)*($C$5-INT($C$5))+VLOOKUP(INT($C$5),Tablas!$G$9:$O$124,9,0)*(INT($C$5)+1-$C$5)))</f>
      </c>
      <c r="G949" s="791">
        <f>IF($C$4="Hombre",(+VLOOKUP(INT(D949)+1,Tablas!$G$9:$K$1240,5,0)*(D949-INT(D949))+VLOOKUP(INT(D949),Tablas!$G$9:$K$1240,5,0)*(INT(D949)+1-D949)),+VLOOKUP(INT(D949)+1,Tablas!$G$9:$O$1240,9,0)*(D949-INT(D949))+VLOOKUP(INT(D949),Tablas!$G$9:$O$1240,9,0)*(INT(D949)+1-D949))</f>
      </c>
      <c r="H949" s="801">
        <f>+IF(MONTH(B949)=1,H948*(1+$C$9),H948)</f>
      </c>
      <c r="I949" s="689">
        <f>IF(B949&lt;$C$10,0,IF(B949&lt;$C$11,$C$8/12*E949*F949*H949,0))</f>
      </c>
      <c r="J949" s="689">
        <f>I949*12/14+IF(OR(MONTH(C949)=6,MONTH(C949)=12),I949*12/14,0)</f>
      </c>
      <c r="K949" s="801">
        <f>G949/$G$15</f>
      </c>
      <c r="L949" s="760"/>
      <c r="M949" s="767"/>
      <c r="N949" s="168"/>
      <c r="O949" s="768"/>
      <c r="P949" s="170"/>
      <c r="Q949" s="7"/>
      <c r="R949" s="766"/>
      <c r="S949" s="170"/>
      <c r="T949" s="168"/>
      <c r="U949" s="170"/>
    </row>
    <row x14ac:dyDescent="0.25" r="950" customHeight="1" ht="18.75">
      <c r="A950" s="1"/>
      <c r="B950" s="799">
        <f>+DATE(YEAR(B949),MONTH(B949)+1,DAY(B949))</f>
        <v>25569.041666666668</v>
      </c>
      <c r="C950" s="799">
        <f>+B951-1</f>
        <v>25569.041666666668</v>
      </c>
      <c r="D950" s="791">
        <f>-_xlfn.DAYS($C$3,C950)/365.25</f>
      </c>
      <c r="E950" s="800">
        <f>IF($D$17+40&lt;=D950,(1+$D$7)^-(D950-$C$5),(1+$C$7)^-(D950-$C$5))</f>
      </c>
      <c r="F950" s="801">
        <f>IF($C$4="Hombre",(+VLOOKUP(INT(D950)+1,Tablas!$G$9:$K$1240,5,0)*(D950-INT(D950))+VLOOKUP(INT(D950),Tablas!$G$9:$K$1240,5,0)*(INT(D950)+1-D950))/(VLOOKUP(INT($C$5)+1,Tablas!$G$9:$K$1240,5,0)*($C$5-INT($C$5))+VLOOKUP(INT($C$5),Tablas!$G$9:$K$124,5,0)*(INT($C$5)+1-$C$5)),(+VLOOKUP(INT(D950)+1,Tablas!$G$9:$O$1240,9,0)*(D950-INT(D950))+VLOOKUP(INT(D950),Tablas!$G$9:$O$1240,9,0)*(INT(D950)+1-D950))/(VLOOKUP(INT($C$5)+1,Tablas!$G$9:$O$1240,9,0)*($C$5-INT($C$5))+VLOOKUP(INT($C$5),Tablas!$G$9:$O$124,9,0)*(INT($C$5)+1-$C$5)))</f>
      </c>
      <c r="G950" s="791">
        <f>IF($C$4="Hombre",(+VLOOKUP(INT(D950)+1,Tablas!$G$9:$K$1240,5,0)*(D950-INT(D950))+VLOOKUP(INT(D950),Tablas!$G$9:$K$1240,5,0)*(INT(D950)+1-D950)),+VLOOKUP(INT(D950)+1,Tablas!$G$9:$O$1240,9,0)*(D950-INT(D950))+VLOOKUP(INT(D950),Tablas!$G$9:$O$1240,9,0)*(INT(D950)+1-D950))</f>
      </c>
      <c r="H950" s="801">
        <f>+IF(MONTH(B950)=1,H949*(1+$C$9),H949)</f>
      </c>
      <c r="I950" s="689">
        <f>IF(B950&lt;$C$10,0,IF(B950&lt;$C$11,$C$8/12*E950*F950*H950,0))</f>
      </c>
      <c r="J950" s="689">
        <f>I950*12/14+IF(OR(MONTH(C950)=6,MONTH(C950)=12),I950*12/14,0)</f>
      </c>
      <c r="K950" s="801">
        <f>G950/$G$15</f>
      </c>
      <c r="L950" s="760"/>
      <c r="M950" s="767"/>
      <c r="N950" s="168"/>
      <c r="O950" s="768"/>
      <c r="P950" s="170"/>
      <c r="Q950" s="7"/>
      <c r="R950" s="766"/>
      <c r="S950" s="170"/>
      <c r="T950" s="168"/>
      <c r="U950" s="170"/>
    </row>
    <row x14ac:dyDescent="0.25" r="951" customHeight="1" ht="18.75">
      <c r="A951" s="1"/>
      <c r="B951" s="799">
        <f>+DATE(YEAR(B950),MONTH(B950)+1,DAY(B950))</f>
        <v>25569.041666666668</v>
      </c>
      <c r="C951" s="799">
        <f>+B952-1</f>
        <v>25569.041666666668</v>
      </c>
      <c r="D951" s="791">
        <f>-_xlfn.DAYS($C$3,C951)/365.25</f>
      </c>
      <c r="E951" s="800">
        <f>IF($D$17+40&lt;=D951,(1+$D$7)^-(D951-$C$5),(1+$C$7)^-(D951-$C$5))</f>
      </c>
      <c r="F951" s="801">
        <f>IF($C$4="Hombre",(+VLOOKUP(INT(D951)+1,Tablas!$G$9:$K$1240,5,0)*(D951-INT(D951))+VLOOKUP(INT(D951),Tablas!$G$9:$K$1240,5,0)*(INT(D951)+1-D951))/(VLOOKUP(INT($C$5)+1,Tablas!$G$9:$K$1240,5,0)*($C$5-INT($C$5))+VLOOKUP(INT($C$5),Tablas!$G$9:$K$124,5,0)*(INT($C$5)+1-$C$5)),(+VLOOKUP(INT(D951)+1,Tablas!$G$9:$O$1240,9,0)*(D951-INT(D951))+VLOOKUP(INT(D951),Tablas!$G$9:$O$1240,9,0)*(INT(D951)+1-D951))/(VLOOKUP(INT($C$5)+1,Tablas!$G$9:$O$1240,9,0)*($C$5-INT($C$5))+VLOOKUP(INT($C$5),Tablas!$G$9:$O$124,9,0)*(INT($C$5)+1-$C$5)))</f>
      </c>
      <c r="G951" s="791">
        <f>IF($C$4="Hombre",(+VLOOKUP(INT(D951)+1,Tablas!$G$9:$K$1240,5,0)*(D951-INT(D951))+VLOOKUP(INT(D951),Tablas!$G$9:$K$1240,5,0)*(INT(D951)+1-D951)),+VLOOKUP(INT(D951)+1,Tablas!$G$9:$O$1240,9,0)*(D951-INT(D951))+VLOOKUP(INT(D951),Tablas!$G$9:$O$1240,9,0)*(INT(D951)+1-D951))</f>
      </c>
      <c r="H951" s="801">
        <f>+IF(MONTH(B951)=1,H950*(1+$C$9),H950)</f>
      </c>
      <c r="I951" s="689">
        <f>IF(B951&lt;$C$10,0,IF(B951&lt;$C$11,$C$8/12*E951*F951*H951,0))</f>
      </c>
      <c r="J951" s="689">
        <f>I951*12/14+IF(OR(MONTH(C951)=6,MONTH(C951)=12),I951*12/14,0)</f>
      </c>
      <c r="K951" s="801">
        <f>G951/$G$15</f>
      </c>
      <c r="L951" s="760"/>
      <c r="M951" s="767"/>
      <c r="N951" s="168"/>
      <c r="O951" s="768"/>
      <c r="P951" s="170"/>
      <c r="Q951" s="7"/>
      <c r="R951" s="766"/>
      <c r="S951" s="170"/>
      <c r="T951" s="168"/>
      <c r="U951" s="170"/>
    </row>
    <row x14ac:dyDescent="0.25" r="952" customHeight="1" ht="18.75">
      <c r="A952" s="1"/>
      <c r="B952" s="799">
        <f>+DATE(YEAR(B951),MONTH(B951)+1,DAY(B951))</f>
        <v>25569.041666666668</v>
      </c>
      <c r="C952" s="799">
        <f>+B953-1</f>
        <v>25569.041666666668</v>
      </c>
      <c r="D952" s="791">
        <f>-_xlfn.DAYS($C$3,C952)/365.25</f>
      </c>
      <c r="E952" s="800">
        <f>IF($D$17+40&lt;=D952,(1+$D$7)^-(D952-$C$5),(1+$C$7)^-(D952-$C$5))</f>
      </c>
      <c r="F952" s="801">
        <f>IF($C$4="Hombre",(+VLOOKUP(INT(D952)+1,Tablas!$G$9:$K$1240,5,0)*(D952-INT(D952))+VLOOKUP(INT(D952),Tablas!$G$9:$K$1240,5,0)*(INT(D952)+1-D952))/(VLOOKUP(INT($C$5)+1,Tablas!$G$9:$K$1240,5,0)*($C$5-INT($C$5))+VLOOKUP(INT($C$5),Tablas!$G$9:$K$124,5,0)*(INT($C$5)+1-$C$5)),(+VLOOKUP(INT(D952)+1,Tablas!$G$9:$O$1240,9,0)*(D952-INT(D952))+VLOOKUP(INT(D952),Tablas!$G$9:$O$1240,9,0)*(INT(D952)+1-D952))/(VLOOKUP(INT($C$5)+1,Tablas!$G$9:$O$1240,9,0)*($C$5-INT($C$5))+VLOOKUP(INT($C$5),Tablas!$G$9:$O$124,9,0)*(INT($C$5)+1-$C$5)))</f>
      </c>
      <c r="G952" s="791">
        <f>IF($C$4="Hombre",(+VLOOKUP(INT(D952)+1,Tablas!$G$9:$K$1240,5,0)*(D952-INT(D952))+VLOOKUP(INT(D952),Tablas!$G$9:$K$1240,5,0)*(INT(D952)+1-D952)),+VLOOKUP(INT(D952)+1,Tablas!$G$9:$O$1240,9,0)*(D952-INT(D952))+VLOOKUP(INT(D952),Tablas!$G$9:$O$1240,9,0)*(INT(D952)+1-D952))</f>
      </c>
      <c r="H952" s="801">
        <f>+IF(MONTH(B952)=1,H951*(1+$C$9),H951)</f>
      </c>
      <c r="I952" s="689">
        <f>IF(B952&lt;$C$10,0,IF(B952&lt;$C$11,$C$8/12*E952*F952*H952,0))</f>
      </c>
      <c r="J952" s="689">
        <f>I952*12/14+IF(OR(MONTH(C952)=6,MONTH(C952)=12),I952*12/14,0)</f>
      </c>
      <c r="K952" s="801">
        <f>G952/$G$15</f>
      </c>
      <c r="L952" s="760"/>
      <c r="M952" s="767"/>
      <c r="N952" s="168"/>
      <c r="O952" s="768"/>
      <c r="P952" s="170"/>
      <c r="Q952" s="7"/>
      <c r="R952" s="766"/>
      <c r="S952" s="170"/>
      <c r="T952" s="168"/>
      <c r="U952" s="170"/>
    </row>
    <row x14ac:dyDescent="0.25" r="953" customHeight="1" ht="18.75">
      <c r="A953" s="1"/>
      <c r="B953" s="799">
        <f>+DATE(YEAR(B952),MONTH(B952)+1,DAY(B952))</f>
        <v>25569.041666666668</v>
      </c>
      <c r="C953" s="799">
        <f>+B954-1</f>
        <v>25569.041666666668</v>
      </c>
      <c r="D953" s="791">
        <f>-_xlfn.DAYS($C$3,C953)/365.25</f>
      </c>
      <c r="E953" s="800">
        <f>IF($D$17+40&lt;=D953,(1+$D$7)^-(D953-$C$5),(1+$C$7)^-(D953-$C$5))</f>
      </c>
      <c r="F953" s="801">
        <f>IF($C$4="Hombre",(+VLOOKUP(INT(D953)+1,Tablas!$G$9:$K$1240,5,0)*(D953-INT(D953))+VLOOKUP(INT(D953),Tablas!$G$9:$K$1240,5,0)*(INT(D953)+1-D953))/(VLOOKUP(INT($C$5)+1,Tablas!$G$9:$K$1240,5,0)*($C$5-INT($C$5))+VLOOKUP(INT($C$5),Tablas!$G$9:$K$124,5,0)*(INT($C$5)+1-$C$5)),(+VLOOKUP(INT(D953)+1,Tablas!$G$9:$O$1240,9,0)*(D953-INT(D953))+VLOOKUP(INT(D953),Tablas!$G$9:$O$1240,9,0)*(INT(D953)+1-D953))/(VLOOKUP(INT($C$5)+1,Tablas!$G$9:$O$1240,9,0)*($C$5-INT($C$5))+VLOOKUP(INT($C$5),Tablas!$G$9:$O$124,9,0)*(INT($C$5)+1-$C$5)))</f>
      </c>
      <c r="G953" s="791">
        <f>IF($C$4="Hombre",(+VLOOKUP(INT(D953)+1,Tablas!$G$9:$K$1240,5,0)*(D953-INT(D953))+VLOOKUP(INT(D953),Tablas!$G$9:$K$1240,5,0)*(INT(D953)+1-D953)),+VLOOKUP(INT(D953)+1,Tablas!$G$9:$O$1240,9,0)*(D953-INT(D953))+VLOOKUP(INT(D953),Tablas!$G$9:$O$1240,9,0)*(INT(D953)+1-D953))</f>
      </c>
      <c r="H953" s="801">
        <f>+IF(MONTH(B953)=1,H952*(1+$C$9),H952)</f>
      </c>
      <c r="I953" s="689">
        <f>IF(B953&lt;$C$10,0,IF(B953&lt;$C$11,$C$8/12*E953*F953*H953,0))</f>
      </c>
      <c r="J953" s="689">
        <f>I953*12/14+IF(OR(MONTH(C953)=6,MONTH(C953)=12),I953*12/14,0)</f>
      </c>
      <c r="K953" s="801">
        <f>G953/$G$15</f>
      </c>
      <c r="L953" s="760"/>
      <c r="M953" s="767"/>
      <c r="N953" s="168"/>
      <c r="O953" s="768"/>
      <c r="P953" s="170"/>
      <c r="Q953" s="7"/>
      <c r="R953" s="766"/>
      <c r="S953" s="170"/>
      <c r="T953" s="168"/>
      <c r="U953" s="170"/>
    </row>
    <row x14ac:dyDescent="0.25" r="954" customHeight="1" ht="18.75">
      <c r="A954" s="1"/>
      <c r="B954" s="799">
        <f>+DATE(YEAR(B953),MONTH(B953)+1,DAY(B953))</f>
        <v>25569.041666666668</v>
      </c>
      <c r="C954" s="799">
        <f>+B955-1</f>
        <v>25569.041666666668</v>
      </c>
      <c r="D954" s="791">
        <f>-_xlfn.DAYS($C$3,C954)/365.25</f>
      </c>
      <c r="E954" s="800">
        <f>IF($D$17+40&lt;=D954,(1+$D$7)^-(D954-$C$5),(1+$C$7)^-(D954-$C$5))</f>
      </c>
      <c r="F954" s="801">
        <f>IF($C$4="Hombre",(+VLOOKUP(INT(D954)+1,Tablas!$G$9:$K$1240,5,0)*(D954-INT(D954))+VLOOKUP(INT(D954),Tablas!$G$9:$K$1240,5,0)*(INT(D954)+1-D954))/(VLOOKUP(INT($C$5)+1,Tablas!$G$9:$K$1240,5,0)*($C$5-INT($C$5))+VLOOKUP(INT($C$5),Tablas!$G$9:$K$124,5,0)*(INT($C$5)+1-$C$5)),(+VLOOKUP(INT(D954)+1,Tablas!$G$9:$O$1240,9,0)*(D954-INT(D954))+VLOOKUP(INT(D954),Tablas!$G$9:$O$1240,9,0)*(INT(D954)+1-D954))/(VLOOKUP(INT($C$5)+1,Tablas!$G$9:$O$1240,9,0)*($C$5-INT($C$5))+VLOOKUP(INT($C$5),Tablas!$G$9:$O$124,9,0)*(INT($C$5)+1-$C$5)))</f>
      </c>
      <c r="G954" s="791">
        <f>IF($C$4="Hombre",(+VLOOKUP(INT(D954)+1,Tablas!$G$9:$K$1240,5,0)*(D954-INT(D954))+VLOOKUP(INT(D954),Tablas!$G$9:$K$1240,5,0)*(INT(D954)+1-D954)),+VLOOKUP(INT(D954)+1,Tablas!$G$9:$O$1240,9,0)*(D954-INT(D954))+VLOOKUP(INT(D954),Tablas!$G$9:$O$1240,9,0)*(INT(D954)+1-D954))</f>
      </c>
      <c r="H954" s="801">
        <f>+IF(MONTH(B954)=1,H953*(1+$C$9),H953)</f>
      </c>
      <c r="I954" s="689">
        <f>IF(B954&lt;$C$10,0,IF(B954&lt;$C$11,$C$8/12*E954*F954*H954,0))</f>
      </c>
      <c r="J954" s="689">
        <f>I954*12/14+IF(OR(MONTH(C954)=6,MONTH(C954)=12),I954*12/14,0)</f>
      </c>
      <c r="K954" s="801">
        <f>G954/$G$15</f>
      </c>
      <c r="L954" s="760"/>
      <c r="M954" s="767"/>
      <c r="N954" s="168"/>
      <c r="O954" s="768"/>
      <c r="P954" s="170"/>
      <c r="Q954" s="7"/>
      <c r="R954" s="766"/>
      <c r="S954" s="170"/>
      <c r="T954" s="168"/>
      <c r="U954" s="170"/>
    </row>
    <row x14ac:dyDescent="0.25" r="955" customHeight="1" ht="18.75">
      <c r="A955" s="1"/>
      <c r="B955" s="799">
        <f>+DATE(YEAR(B954),MONTH(B954)+1,DAY(B954))</f>
        <v>25569.041666666668</v>
      </c>
      <c r="C955" s="799">
        <f>+B956-1</f>
        <v>25569.041666666668</v>
      </c>
      <c r="D955" s="791">
        <f>-_xlfn.DAYS($C$3,C955)/365.25</f>
      </c>
      <c r="E955" s="800">
        <f>IF($D$17+40&lt;=D955,(1+$D$7)^-(D955-$C$5),(1+$C$7)^-(D955-$C$5))</f>
      </c>
      <c r="F955" s="801">
        <f>IF($C$4="Hombre",(+VLOOKUP(INT(D955)+1,Tablas!$G$9:$K$1240,5,0)*(D955-INT(D955))+VLOOKUP(INT(D955),Tablas!$G$9:$K$1240,5,0)*(INT(D955)+1-D955))/(VLOOKUP(INT($C$5)+1,Tablas!$G$9:$K$1240,5,0)*($C$5-INT($C$5))+VLOOKUP(INT($C$5),Tablas!$G$9:$K$124,5,0)*(INT($C$5)+1-$C$5)),(+VLOOKUP(INT(D955)+1,Tablas!$G$9:$O$1240,9,0)*(D955-INT(D955))+VLOOKUP(INT(D955),Tablas!$G$9:$O$1240,9,0)*(INT(D955)+1-D955))/(VLOOKUP(INT($C$5)+1,Tablas!$G$9:$O$1240,9,0)*($C$5-INT($C$5))+VLOOKUP(INT($C$5),Tablas!$G$9:$O$124,9,0)*(INT($C$5)+1-$C$5)))</f>
      </c>
      <c r="G955" s="791">
        <f>IF($C$4="Hombre",(+VLOOKUP(INT(D955)+1,Tablas!$G$9:$K$1240,5,0)*(D955-INT(D955))+VLOOKUP(INT(D955),Tablas!$G$9:$K$1240,5,0)*(INT(D955)+1-D955)),+VLOOKUP(INT(D955)+1,Tablas!$G$9:$O$1240,9,0)*(D955-INT(D955))+VLOOKUP(INT(D955),Tablas!$G$9:$O$1240,9,0)*(INT(D955)+1-D955))</f>
      </c>
      <c r="H955" s="801">
        <f>+IF(MONTH(B955)=1,H954*(1+$C$9),H954)</f>
      </c>
      <c r="I955" s="689">
        <f>IF(B955&lt;$C$10,0,IF(B955&lt;$C$11,$C$8/12*E955*F955*H955,0))</f>
      </c>
      <c r="J955" s="689">
        <f>I955*12/14+IF(OR(MONTH(C955)=6,MONTH(C955)=12),I955*12/14,0)</f>
      </c>
      <c r="K955" s="801">
        <f>G955/$G$15</f>
      </c>
      <c r="L955" s="760"/>
      <c r="M955" s="767"/>
      <c r="N955" s="168"/>
      <c r="O955" s="768"/>
      <c r="P955" s="170"/>
      <c r="Q955" s="7"/>
      <c r="R955" s="766"/>
      <c r="S955" s="170"/>
      <c r="T955" s="168"/>
      <c r="U955" s="170"/>
    </row>
    <row x14ac:dyDescent="0.25" r="956" customHeight="1" ht="18.75">
      <c r="A956" s="1"/>
      <c r="B956" s="799">
        <f>+DATE(YEAR(B955),MONTH(B955)+1,DAY(B955))</f>
        <v>25569.041666666668</v>
      </c>
      <c r="C956" s="799">
        <f>+B957-1</f>
        <v>25569.041666666668</v>
      </c>
      <c r="D956" s="791">
        <f>-_xlfn.DAYS($C$3,C956)/365.25</f>
      </c>
      <c r="E956" s="800">
        <f>IF($D$17+40&lt;=D956,(1+$D$7)^-(D956-$C$5),(1+$C$7)^-(D956-$C$5))</f>
      </c>
      <c r="F956" s="801">
        <f>IF($C$4="Hombre",(+VLOOKUP(INT(D956)+1,Tablas!$G$9:$K$1240,5,0)*(D956-INT(D956))+VLOOKUP(INT(D956),Tablas!$G$9:$K$1240,5,0)*(INT(D956)+1-D956))/(VLOOKUP(INT($C$5)+1,Tablas!$G$9:$K$1240,5,0)*($C$5-INT($C$5))+VLOOKUP(INT($C$5),Tablas!$G$9:$K$124,5,0)*(INT($C$5)+1-$C$5)),(+VLOOKUP(INT(D956)+1,Tablas!$G$9:$O$1240,9,0)*(D956-INT(D956))+VLOOKUP(INT(D956),Tablas!$G$9:$O$1240,9,0)*(INT(D956)+1-D956))/(VLOOKUP(INT($C$5)+1,Tablas!$G$9:$O$1240,9,0)*($C$5-INT($C$5))+VLOOKUP(INT($C$5),Tablas!$G$9:$O$124,9,0)*(INT($C$5)+1-$C$5)))</f>
      </c>
      <c r="G956" s="791">
        <f>IF($C$4="Hombre",(+VLOOKUP(INT(D956)+1,Tablas!$G$9:$K$1240,5,0)*(D956-INT(D956))+VLOOKUP(INT(D956),Tablas!$G$9:$K$1240,5,0)*(INT(D956)+1-D956)),+VLOOKUP(INT(D956)+1,Tablas!$G$9:$O$1240,9,0)*(D956-INT(D956))+VLOOKUP(INT(D956),Tablas!$G$9:$O$1240,9,0)*(INT(D956)+1-D956))</f>
      </c>
      <c r="H956" s="801">
        <f>+IF(MONTH(B956)=1,H955*(1+$C$9),H955)</f>
      </c>
      <c r="I956" s="689">
        <f>IF(B956&lt;$C$10,0,IF(B956&lt;$C$11,$C$8/12*E956*F956*H956,0))</f>
      </c>
      <c r="J956" s="689">
        <f>I956*12/14+IF(OR(MONTH(C956)=6,MONTH(C956)=12),I956*12/14,0)</f>
      </c>
      <c r="K956" s="801">
        <f>G956/$G$15</f>
      </c>
      <c r="L956" s="760"/>
      <c r="M956" s="767"/>
      <c r="N956" s="168"/>
      <c r="O956" s="768"/>
      <c r="P956" s="170"/>
      <c r="Q956" s="7"/>
      <c r="R956" s="766"/>
      <c r="S956" s="170"/>
      <c r="T956" s="168"/>
      <c r="U956" s="170"/>
    </row>
    <row x14ac:dyDescent="0.25" r="957" customHeight="1" ht="18.75">
      <c r="A957" s="1"/>
      <c r="B957" s="799">
        <f>+DATE(YEAR(B956),MONTH(B956)+1,DAY(B956))</f>
        <v>25569.041666666668</v>
      </c>
      <c r="C957" s="799">
        <f>+B958-1</f>
        <v>25569.041666666668</v>
      </c>
      <c r="D957" s="791">
        <f>-_xlfn.DAYS($C$3,C957)/365.25</f>
      </c>
      <c r="E957" s="800">
        <f>IF($D$17+40&lt;=D957,(1+$D$7)^-(D957-$C$5),(1+$C$7)^-(D957-$C$5))</f>
      </c>
      <c r="F957" s="801">
        <f>IF($C$4="Hombre",(+VLOOKUP(INT(D957)+1,Tablas!$G$9:$K$1240,5,0)*(D957-INT(D957))+VLOOKUP(INT(D957),Tablas!$G$9:$K$1240,5,0)*(INT(D957)+1-D957))/(VLOOKUP(INT($C$5)+1,Tablas!$G$9:$K$1240,5,0)*($C$5-INT($C$5))+VLOOKUP(INT($C$5),Tablas!$G$9:$K$124,5,0)*(INT($C$5)+1-$C$5)),(+VLOOKUP(INT(D957)+1,Tablas!$G$9:$O$1240,9,0)*(D957-INT(D957))+VLOOKUP(INT(D957),Tablas!$G$9:$O$1240,9,0)*(INT(D957)+1-D957))/(VLOOKUP(INT($C$5)+1,Tablas!$G$9:$O$1240,9,0)*($C$5-INT($C$5))+VLOOKUP(INT($C$5),Tablas!$G$9:$O$124,9,0)*(INT($C$5)+1-$C$5)))</f>
      </c>
      <c r="G957" s="791">
        <f>IF($C$4="Hombre",(+VLOOKUP(INT(D957)+1,Tablas!$G$9:$K$1240,5,0)*(D957-INT(D957))+VLOOKUP(INT(D957),Tablas!$G$9:$K$1240,5,0)*(INT(D957)+1-D957)),+VLOOKUP(INT(D957)+1,Tablas!$G$9:$O$1240,9,0)*(D957-INT(D957))+VLOOKUP(INT(D957),Tablas!$G$9:$O$1240,9,0)*(INT(D957)+1-D957))</f>
      </c>
      <c r="H957" s="801">
        <f>+IF(MONTH(B957)=1,H956*(1+$C$9),H956)</f>
      </c>
      <c r="I957" s="689">
        <f>IF(B957&lt;$C$10,0,IF(B957&lt;$C$11,$C$8/12*E957*F957*H957,0))</f>
      </c>
      <c r="J957" s="689">
        <f>I957*12/14+IF(OR(MONTH(C957)=6,MONTH(C957)=12),I957*12/14,0)</f>
      </c>
      <c r="K957" s="801">
        <f>G957/$G$15</f>
      </c>
      <c r="L957" s="760"/>
      <c r="M957" s="767"/>
      <c r="N957" s="168"/>
      <c r="O957" s="768"/>
      <c r="P957" s="170"/>
      <c r="Q957" s="7"/>
      <c r="R957" s="766"/>
      <c r="S957" s="170"/>
      <c r="T957" s="168"/>
      <c r="U957" s="170"/>
    </row>
    <row x14ac:dyDescent="0.25" r="958" customHeight="1" ht="18.75">
      <c r="A958" s="1"/>
      <c r="B958" s="799">
        <f>+DATE(YEAR(B957),MONTH(B957)+1,DAY(B957))</f>
        <v>25569.041666666668</v>
      </c>
      <c r="C958" s="799">
        <f>+B959-1</f>
        <v>25569.041666666668</v>
      </c>
      <c r="D958" s="791">
        <f>-_xlfn.DAYS($C$3,C958)/365.25</f>
      </c>
      <c r="E958" s="800">
        <f>IF($D$17+40&lt;=D958,(1+$D$7)^-(D958-$C$5),(1+$C$7)^-(D958-$C$5))</f>
      </c>
      <c r="F958" s="801">
        <f>IF($C$4="Hombre",(+VLOOKUP(INT(D958)+1,Tablas!$G$9:$K$1240,5,0)*(D958-INT(D958))+VLOOKUP(INT(D958),Tablas!$G$9:$K$1240,5,0)*(INT(D958)+1-D958))/(VLOOKUP(INT($C$5)+1,Tablas!$G$9:$K$1240,5,0)*($C$5-INT($C$5))+VLOOKUP(INT($C$5),Tablas!$G$9:$K$124,5,0)*(INT($C$5)+1-$C$5)),(+VLOOKUP(INT(D958)+1,Tablas!$G$9:$O$1240,9,0)*(D958-INT(D958))+VLOOKUP(INT(D958),Tablas!$G$9:$O$1240,9,0)*(INT(D958)+1-D958))/(VLOOKUP(INT($C$5)+1,Tablas!$G$9:$O$1240,9,0)*($C$5-INT($C$5))+VLOOKUP(INT($C$5),Tablas!$G$9:$O$124,9,0)*(INT($C$5)+1-$C$5)))</f>
      </c>
      <c r="G958" s="791">
        <f>IF($C$4="Hombre",(+VLOOKUP(INT(D958)+1,Tablas!$G$9:$K$1240,5,0)*(D958-INT(D958))+VLOOKUP(INT(D958),Tablas!$G$9:$K$1240,5,0)*(INT(D958)+1-D958)),+VLOOKUP(INT(D958)+1,Tablas!$G$9:$O$1240,9,0)*(D958-INT(D958))+VLOOKUP(INT(D958),Tablas!$G$9:$O$1240,9,0)*(INT(D958)+1-D958))</f>
      </c>
      <c r="H958" s="801">
        <f>+IF(MONTH(B958)=1,H957*(1+$C$9),H957)</f>
      </c>
      <c r="I958" s="689">
        <f>IF(B958&lt;$C$10,0,IF(B958&lt;$C$11,$C$8/12*E958*F958*H958,0))</f>
      </c>
      <c r="J958" s="689">
        <f>I958*12/14+IF(OR(MONTH(C958)=6,MONTH(C958)=12),I958*12/14,0)</f>
      </c>
      <c r="K958" s="801">
        <f>G958/$G$15</f>
      </c>
      <c r="L958" s="760"/>
      <c r="M958" s="767"/>
      <c r="N958" s="168"/>
      <c r="O958" s="768"/>
      <c r="P958" s="170"/>
      <c r="Q958" s="7"/>
      <c r="R958" s="766"/>
      <c r="S958" s="170"/>
      <c r="T958" s="168"/>
      <c r="U958" s="170"/>
    </row>
    <row x14ac:dyDescent="0.25" r="959" customHeight="1" ht="18.75">
      <c r="A959" s="1"/>
      <c r="B959" s="799">
        <f>+DATE(YEAR(B958),MONTH(B958)+1,DAY(B958))</f>
        <v>25569.041666666668</v>
      </c>
      <c r="C959" s="799">
        <f>+B960-1</f>
        <v>25569.041666666668</v>
      </c>
      <c r="D959" s="791">
        <f>-_xlfn.DAYS($C$3,C959)/365.25</f>
      </c>
      <c r="E959" s="800">
        <f>IF($D$17+40&lt;=D959,(1+$D$7)^-(D959-$C$5),(1+$C$7)^-(D959-$C$5))</f>
      </c>
      <c r="F959" s="801">
        <f>IF($C$4="Hombre",(+VLOOKUP(INT(D959)+1,Tablas!$G$9:$K$1240,5,0)*(D959-INT(D959))+VLOOKUP(INT(D959),Tablas!$G$9:$K$1240,5,0)*(INT(D959)+1-D959))/(VLOOKUP(INT($C$5)+1,Tablas!$G$9:$K$1240,5,0)*($C$5-INT($C$5))+VLOOKUP(INT($C$5),Tablas!$G$9:$K$124,5,0)*(INT($C$5)+1-$C$5)),(+VLOOKUP(INT(D959)+1,Tablas!$G$9:$O$1240,9,0)*(D959-INT(D959))+VLOOKUP(INT(D959),Tablas!$G$9:$O$1240,9,0)*(INT(D959)+1-D959))/(VLOOKUP(INT($C$5)+1,Tablas!$G$9:$O$1240,9,0)*($C$5-INT($C$5))+VLOOKUP(INT($C$5),Tablas!$G$9:$O$124,9,0)*(INT($C$5)+1-$C$5)))</f>
      </c>
      <c r="G959" s="791">
        <f>IF($C$4="Hombre",(+VLOOKUP(INT(D959)+1,Tablas!$G$9:$K$1240,5,0)*(D959-INT(D959))+VLOOKUP(INT(D959),Tablas!$G$9:$K$1240,5,0)*(INT(D959)+1-D959)),+VLOOKUP(INT(D959)+1,Tablas!$G$9:$O$1240,9,0)*(D959-INT(D959))+VLOOKUP(INT(D959),Tablas!$G$9:$O$1240,9,0)*(INT(D959)+1-D959))</f>
      </c>
      <c r="H959" s="801">
        <f>+IF(MONTH(B959)=1,H958*(1+$C$9),H958)</f>
      </c>
      <c r="I959" s="689">
        <f>IF(B959&lt;$C$10,0,IF(B959&lt;$C$11,$C$8/12*E959*F959*H959,0))</f>
      </c>
      <c r="J959" s="689">
        <f>I959*12/14+IF(OR(MONTH(C959)=6,MONTH(C959)=12),I959*12/14,0)</f>
      </c>
      <c r="K959" s="801">
        <f>G959/$G$15</f>
      </c>
      <c r="L959" s="760"/>
      <c r="M959" s="767"/>
      <c r="N959" s="168"/>
      <c r="O959" s="768"/>
      <c r="P959" s="170"/>
      <c r="Q959" s="7"/>
      <c r="R959" s="766"/>
      <c r="S959" s="170"/>
      <c r="T959" s="168"/>
      <c r="U959" s="170"/>
    </row>
    <row x14ac:dyDescent="0.25" r="960" customHeight="1" ht="18.75">
      <c r="A960" s="1"/>
      <c r="B960" s="799">
        <f>+DATE(YEAR(B959),MONTH(B959)+1,DAY(B959))</f>
        <v>25569.041666666668</v>
      </c>
      <c r="C960" s="799">
        <f>+B961-1</f>
        <v>25569.041666666668</v>
      </c>
      <c r="D960" s="791">
        <f>-_xlfn.DAYS($C$3,C960)/365.25</f>
      </c>
      <c r="E960" s="800">
        <f>IF($D$17+40&lt;=D960,(1+$D$7)^-(D960-$C$5),(1+$C$7)^-(D960-$C$5))</f>
      </c>
      <c r="F960" s="801">
        <f>IF($C$4="Hombre",(+VLOOKUP(INT(D960)+1,Tablas!$G$9:$K$1240,5,0)*(D960-INT(D960))+VLOOKUP(INT(D960),Tablas!$G$9:$K$1240,5,0)*(INT(D960)+1-D960))/(VLOOKUP(INT($C$5)+1,Tablas!$G$9:$K$1240,5,0)*($C$5-INT($C$5))+VLOOKUP(INT($C$5),Tablas!$G$9:$K$124,5,0)*(INT($C$5)+1-$C$5)),(+VLOOKUP(INT(D960)+1,Tablas!$G$9:$O$1240,9,0)*(D960-INT(D960))+VLOOKUP(INT(D960),Tablas!$G$9:$O$1240,9,0)*(INT(D960)+1-D960))/(VLOOKUP(INT($C$5)+1,Tablas!$G$9:$O$1240,9,0)*($C$5-INT($C$5))+VLOOKUP(INT($C$5),Tablas!$G$9:$O$124,9,0)*(INT($C$5)+1-$C$5)))</f>
      </c>
      <c r="G960" s="791">
        <f>IF($C$4="Hombre",(+VLOOKUP(INT(D960)+1,Tablas!$G$9:$K$1240,5,0)*(D960-INT(D960))+VLOOKUP(INT(D960),Tablas!$G$9:$K$1240,5,0)*(INT(D960)+1-D960)),+VLOOKUP(INT(D960)+1,Tablas!$G$9:$O$1240,9,0)*(D960-INT(D960))+VLOOKUP(INT(D960),Tablas!$G$9:$O$1240,9,0)*(INT(D960)+1-D960))</f>
      </c>
      <c r="H960" s="801">
        <f>+IF(MONTH(B960)=1,H959*(1+$C$9),H959)</f>
      </c>
      <c r="I960" s="689">
        <f>IF(B960&lt;$C$10,0,IF(B960&lt;$C$11,$C$8/12*E960*F960*H960,0))</f>
      </c>
      <c r="J960" s="689">
        <f>I960*12/14+IF(OR(MONTH(C960)=6,MONTH(C960)=12),I960*12/14,0)</f>
      </c>
      <c r="K960" s="801">
        <f>G960/$G$15</f>
      </c>
      <c r="L960" s="760"/>
      <c r="M960" s="767"/>
      <c r="N960" s="168"/>
      <c r="O960" s="768"/>
      <c r="P960" s="170"/>
      <c r="Q960" s="7"/>
      <c r="R960" s="766"/>
      <c r="S960" s="170"/>
      <c r="T960" s="168"/>
      <c r="U960" s="170"/>
    </row>
    <row x14ac:dyDescent="0.25" r="961" customHeight="1" ht="18.75">
      <c r="A961" s="1"/>
      <c r="B961" s="799">
        <f>+DATE(YEAR(B960),MONTH(B960)+1,DAY(B960))</f>
        <v>25569.041666666668</v>
      </c>
      <c r="C961" s="799">
        <f>+B962-1</f>
        <v>25569.041666666668</v>
      </c>
      <c r="D961" s="791">
        <f>-_xlfn.DAYS($C$3,C961)/365.25</f>
      </c>
      <c r="E961" s="800">
        <f>IF($D$17+40&lt;=D961,(1+$D$7)^-(D961-$C$5),(1+$C$7)^-(D961-$C$5))</f>
      </c>
      <c r="F961" s="801">
        <f>IF($C$4="Hombre",(+VLOOKUP(INT(D961)+1,Tablas!$G$9:$K$1240,5,0)*(D961-INT(D961))+VLOOKUP(INT(D961),Tablas!$G$9:$K$1240,5,0)*(INT(D961)+1-D961))/(VLOOKUP(INT($C$5)+1,Tablas!$G$9:$K$1240,5,0)*($C$5-INT($C$5))+VLOOKUP(INT($C$5),Tablas!$G$9:$K$124,5,0)*(INT($C$5)+1-$C$5)),(+VLOOKUP(INT(D961)+1,Tablas!$G$9:$O$1240,9,0)*(D961-INT(D961))+VLOOKUP(INT(D961),Tablas!$G$9:$O$1240,9,0)*(INT(D961)+1-D961))/(VLOOKUP(INT($C$5)+1,Tablas!$G$9:$O$1240,9,0)*($C$5-INT($C$5))+VLOOKUP(INT($C$5),Tablas!$G$9:$O$124,9,0)*(INT($C$5)+1-$C$5)))</f>
      </c>
      <c r="G961" s="791">
        <f>IF($C$4="Hombre",(+VLOOKUP(INT(D961)+1,Tablas!$G$9:$K$1240,5,0)*(D961-INT(D961))+VLOOKUP(INT(D961),Tablas!$G$9:$K$1240,5,0)*(INT(D961)+1-D961)),+VLOOKUP(INT(D961)+1,Tablas!$G$9:$O$1240,9,0)*(D961-INT(D961))+VLOOKUP(INT(D961),Tablas!$G$9:$O$1240,9,0)*(INT(D961)+1-D961))</f>
      </c>
      <c r="H961" s="801">
        <f>+IF(MONTH(B961)=1,H960*(1+$C$9),H960)</f>
      </c>
      <c r="I961" s="689">
        <f>IF(B961&lt;$C$10,0,IF(B961&lt;$C$11,$C$8/12*E961*F961*H961,0))</f>
      </c>
      <c r="J961" s="689">
        <f>I961*12/14+IF(OR(MONTH(C961)=6,MONTH(C961)=12),I961*12/14,0)</f>
      </c>
      <c r="K961" s="801">
        <f>G961/$G$15</f>
      </c>
      <c r="L961" s="760"/>
      <c r="M961" s="767"/>
      <c r="N961" s="168"/>
      <c r="O961" s="768"/>
      <c r="P961" s="170"/>
      <c r="Q961" s="7"/>
      <c r="R961" s="766"/>
      <c r="S961" s="170"/>
      <c r="T961" s="168"/>
      <c r="U961" s="170"/>
    </row>
    <row x14ac:dyDescent="0.25" r="962" customHeight="1" ht="18.75">
      <c r="A962" s="1"/>
      <c r="B962" s="799">
        <f>+DATE(YEAR(B961),MONTH(B961)+1,DAY(B961))</f>
        <v>25569.041666666668</v>
      </c>
      <c r="C962" s="799">
        <f>+B963-1</f>
        <v>25569.041666666668</v>
      </c>
      <c r="D962" s="791">
        <f>-_xlfn.DAYS($C$3,C962)/365.25</f>
      </c>
      <c r="E962" s="800">
        <f>IF($D$17+40&lt;=D962,(1+$D$7)^-(D962-$C$5),(1+$C$7)^-(D962-$C$5))</f>
      </c>
      <c r="F962" s="801">
        <f>IF($C$4="Hombre",(+VLOOKUP(INT(D962)+1,Tablas!$G$9:$K$1240,5,0)*(D962-INT(D962))+VLOOKUP(INT(D962),Tablas!$G$9:$K$1240,5,0)*(INT(D962)+1-D962))/(VLOOKUP(INT($C$5)+1,Tablas!$G$9:$K$1240,5,0)*($C$5-INT($C$5))+VLOOKUP(INT($C$5),Tablas!$G$9:$K$124,5,0)*(INT($C$5)+1-$C$5)),(+VLOOKUP(INT(D962)+1,Tablas!$G$9:$O$1240,9,0)*(D962-INT(D962))+VLOOKUP(INT(D962),Tablas!$G$9:$O$1240,9,0)*(INT(D962)+1-D962))/(VLOOKUP(INT($C$5)+1,Tablas!$G$9:$O$1240,9,0)*($C$5-INT($C$5))+VLOOKUP(INT($C$5),Tablas!$G$9:$O$124,9,0)*(INT($C$5)+1-$C$5)))</f>
      </c>
      <c r="G962" s="791">
        <f>IF($C$4="Hombre",(+VLOOKUP(INT(D962)+1,Tablas!$G$9:$K$1240,5,0)*(D962-INT(D962))+VLOOKUP(INT(D962),Tablas!$G$9:$K$1240,5,0)*(INT(D962)+1-D962)),+VLOOKUP(INT(D962)+1,Tablas!$G$9:$O$1240,9,0)*(D962-INT(D962))+VLOOKUP(INT(D962),Tablas!$G$9:$O$1240,9,0)*(INT(D962)+1-D962))</f>
      </c>
      <c r="H962" s="801">
        <f>+IF(MONTH(B962)=1,H961*(1+$C$9),H961)</f>
      </c>
      <c r="I962" s="689">
        <f>IF(B962&lt;$C$10,0,IF(B962&lt;$C$11,$C$8/12*E962*F962*H962,0))</f>
      </c>
      <c r="J962" s="689">
        <f>I962*12/14+IF(OR(MONTH(C962)=6,MONTH(C962)=12),I962*12/14,0)</f>
      </c>
      <c r="K962" s="801">
        <f>G962/$G$15</f>
      </c>
      <c r="L962" s="760"/>
      <c r="M962" s="767"/>
      <c r="N962" s="168"/>
      <c r="O962" s="768"/>
      <c r="P962" s="170"/>
      <c r="Q962" s="7"/>
      <c r="R962" s="766"/>
      <c r="S962" s="170"/>
      <c r="T962" s="168"/>
      <c r="U962" s="170"/>
    </row>
    <row x14ac:dyDescent="0.25" r="963" customHeight="1" ht="18.75">
      <c r="A963" s="1"/>
      <c r="B963" s="799">
        <f>+DATE(YEAR(B962),MONTH(B962)+1,DAY(B962))</f>
        <v>25569.041666666668</v>
      </c>
      <c r="C963" s="799">
        <f>+B964-1</f>
        <v>25569.041666666668</v>
      </c>
      <c r="D963" s="791">
        <f>-_xlfn.DAYS($C$3,C963)/365.25</f>
      </c>
      <c r="E963" s="800">
        <f>IF($D$17+40&lt;=D963,(1+$D$7)^-(D963-$C$5),(1+$C$7)^-(D963-$C$5))</f>
      </c>
      <c r="F963" s="801">
        <f>IF($C$4="Hombre",(+VLOOKUP(INT(D963)+1,Tablas!$G$9:$K$1240,5,0)*(D963-INT(D963))+VLOOKUP(INT(D963),Tablas!$G$9:$K$1240,5,0)*(INT(D963)+1-D963))/(VLOOKUP(INT($C$5)+1,Tablas!$G$9:$K$1240,5,0)*($C$5-INT($C$5))+VLOOKUP(INT($C$5),Tablas!$G$9:$K$124,5,0)*(INT($C$5)+1-$C$5)),(+VLOOKUP(INT(D963)+1,Tablas!$G$9:$O$1240,9,0)*(D963-INT(D963))+VLOOKUP(INT(D963),Tablas!$G$9:$O$1240,9,0)*(INT(D963)+1-D963))/(VLOOKUP(INT($C$5)+1,Tablas!$G$9:$O$1240,9,0)*($C$5-INT($C$5))+VLOOKUP(INT($C$5),Tablas!$G$9:$O$124,9,0)*(INT($C$5)+1-$C$5)))</f>
      </c>
      <c r="G963" s="791">
        <f>IF($C$4="Hombre",(+VLOOKUP(INT(D963)+1,Tablas!$G$9:$K$1240,5,0)*(D963-INT(D963))+VLOOKUP(INT(D963),Tablas!$G$9:$K$1240,5,0)*(INT(D963)+1-D963)),+VLOOKUP(INT(D963)+1,Tablas!$G$9:$O$1240,9,0)*(D963-INT(D963))+VLOOKUP(INT(D963),Tablas!$G$9:$O$1240,9,0)*(INT(D963)+1-D963))</f>
      </c>
      <c r="H963" s="801">
        <f>+IF(MONTH(B963)=1,H962*(1+$C$9),H962)</f>
      </c>
      <c r="I963" s="689">
        <f>IF(B963&lt;$C$10,0,IF(B963&lt;$C$11,$C$8/12*E963*F963*H963,0))</f>
      </c>
      <c r="J963" s="689">
        <f>I963*12/14+IF(OR(MONTH(C963)=6,MONTH(C963)=12),I963*12/14,0)</f>
      </c>
      <c r="K963" s="801">
        <f>G963/$G$15</f>
      </c>
      <c r="L963" s="760"/>
      <c r="M963" s="767"/>
      <c r="N963" s="168"/>
      <c r="O963" s="768"/>
      <c r="P963" s="170"/>
      <c r="Q963" s="7"/>
      <c r="R963" s="766"/>
      <c r="S963" s="170"/>
      <c r="T963" s="168"/>
      <c r="U963" s="170"/>
    </row>
    <row x14ac:dyDescent="0.25" r="964" customHeight="1" ht="18.75">
      <c r="A964" s="1"/>
      <c r="B964" s="799">
        <f>+DATE(YEAR(B963),MONTH(B963)+1,DAY(B963))</f>
        <v>25569.041666666668</v>
      </c>
      <c r="C964" s="799">
        <f>+B965-1</f>
        <v>25569.041666666668</v>
      </c>
      <c r="D964" s="791">
        <f>-_xlfn.DAYS($C$3,C964)/365.25</f>
      </c>
      <c r="E964" s="800">
        <f>IF($D$17+40&lt;=D964,(1+$D$7)^-(D964-$C$5),(1+$C$7)^-(D964-$C$5))</f>
      </c>
      <c r="F964" s="801">
        <f>IF($C$4="Hombre",(+VLOOKUP(INT(D964)+1,Tablas!$G$9:$K$1240,5,0)*(D964-INT(D964))+VLOOKUP(INT(D964),Tablas!$G$9:$K$1240,5,0)*(INT(D964)+1-D964))/(VLOOKUP(INT($C$5)+1,Tablas!$G$9:$K$1240,5,0)*($C$5-INT($C$5))+VLOOKUP(INT($C$5),Tablas!$G$9:$K$124,5,0)*(INT($C$5)+1-$C$5)),(+VLOOKUP(INT(D964)+1,Tablas!$G$9:$O$1240,9,0)*(D964-INT(D964))+VLOOKUP(INT(D964),Tablas!$G$9:$O$1240,9,0)*(INT(D964)+1-D964))/(VLOOKUP(INT($C$5)+1,Tablas!$G$9:$O$1240,9,0)*($C$5-INT($C$5))+VLOOKUP(INT($C$5),Tablas!$G$9:$O$124,9,0)*(INT($C$5)+1-$C$5)))</f>
      </c>
      <c r="G964" s="791">
        <f>IF($C$4="Hombre",(+VLOOKUP(INT(D964)+1,Tablas!$G$9:$K$1240,5,0)*(D964-INT(D964))+VLOOKUP(INT(D964),Tablas!$G$9:$K$1240,5,0)*(INT(D964)+1-D964)),+VLOOKUP(INT(D964)+1,Tablas!$G$9:$O$1240,9,0)*(D964-INT(D964))+VLOOKUP(INT(D964),Tablas!$G$9:$O$1240,9,0)*(INT(D964)+1-D964))</f>
      </c>
      <c r="H964" s="801">
        <f>+IF(MONTH(B964)=1,H963*(1+$C$9),H963)</f>
      </c>
      <c r="I964" s="689">
        <f>IF(B964&lt;$C$10,0,IF(B964&lt;$C$11,$C$8/12*E964*F964*H964,0))</f>
      </c>
      <c r="J964" s="689">
        <f>I964*12/14+IF(OR(MONTH(C964)=6,MONTH(C964)=12),I964*12/14,0)</f>
      </c>
      <c r="K964" s="801">
        <f>G964/$G$15</f>
      </c>
      <c r="L964" s="760"/>
      <c r="M964" s="767"/>
      <c r="N964" s="168"/>
      <c r="O964" s="768"/>
      <c r="P964" s="170"/>
      <c r="Q964" s="7"/>
      <c r="R964" s="766"/>
      <c r="S964" s="170"/>
      <c r="T964" s="168"/>
      <c r="U964" s="170"/>
    </row>
    <row x14ac:dyDescent="0.25" r="965" customHeight="1" ht="18.75">
      <c r="A965" s="1"/>
      <c r="B965" s="799">
        <f>+DATE(YEAR(B964),MONTH(B964)+1,DAY(B964))</f>
        <v>25569.041666666668</v>
      </c>
      <c r="C965" s="799">
        <f>+B966-1</f>
        <v>25569.041666666668</v>
      </c>
      <c r="D965" s="791">
        <f>-_xlfn.DAYS($C$3,C965)/365.25</f>
      </c>
      <c r="E965" s="800">
        <f>IF($D$17+40&lt;=D965,(1+$D$7)^-(D965-$C$5),(1+$C$7)^-(D965-$C$5))</f>
      </c>
      <c r="F965" s="801">
        <f>IF($C$4="Hombre",(+VLOOKUP(INT(D965)+1,Tablas!$G$9:$K$1240,5,0)*(D965-INT(D965))+VLOOKUP(INT(D965),Tablas!$G$9:$K$1240,5,0)*(INT(D965)+1-D965))/(VLOOKUP(INT($C$5)+1,Tablas!$G$9:$K$1240,5,0)*($C$5-INT($C$5))+VLOOKUP(INT($C$5),Tablas!$G$9:$K$124,5,0)*(INT($C$5)+1-$C$5)),(+VLOOKUP(INT(D965)+1,Tablas!$G$9:$O$1240,9,0)*(D965-INT(D965))+VLOOKUP(INT(D965),Tablas!$G$9:$O$1240,9,0)*(INT(D965)+1-D965))/(VLOOKUP(INT($C$5)+1,Tablas!$G$9:$O$1240,9,0)*($C$5-INT($C$5))+VLOOKUP(INT($C$5),Tablas!$G$9:$O$124,9,0)*(INT($C$5)+1-$C$5)))</f>
      </c>
      <c r="G965" s="791">
        <f>IF($C$4="Hombre",(+VLOOKUP(INT(D965)+1,Tablas!$G$9:$K$1240,5,0)*(D965-INT(D965))+VLOOKUP(INT(D965),Tablas!$G$9:$K$1240,5,0)*(INT(D965)+1-D965)),+VLOOKUP(INT(D965)+1,Tablas!$G$9:$O$1240,9,0)*(D965-INT(D965))+VLOOKUP(INT(D965),Tablas!$G$9:$O$1240,9,0)*(INT(D965)+1-D965))</f>
      </c>
      <c r="H965" s="801">
        <f>+IF(MONTH(B965)=1,H964*(1+$C$9),H964)</f>
      </c>
      <c r="I965" s="689">
        <f>IF(B965&lt;$C$10,0,IF(B965&lt;$C$11,$C$8/12*E965*F965*H965,0))</f>
      </c>
      <c r="J965" s="689">
        <f>I965*12/14+IF(OR(MONTH(C965)=6,MONTH(C965)=12),I965*12/14,0)</f>
      </c>
      <c r="K965" s="801">
        <f>G965/$G$15</f>
      </c>
      <c r="L965" s="760"/>
      <c r="M965" s="767"/>
      <c r="N965" s="168"/>
      <c r="O965" s="768"/>
      <c r="P965" s="170"/>
      <c r="Q965" s="7"/>
      <c r="R965" s="766"/>
      <c r="S965" s="170"/>
      <c r="T965" s="168"/>
      <c r="U965" s="170"/>
    </row>
    <row x14ac:dyDescent="0.25" r="966" customHeight="1" ht="18.75">
      <c r="A966" s="1"/>
      <c r="B966" s="799">
        <f>+DATE(YEAR(B965),MONTH(B965)+1,DAY(B965))</f>
        <v>25569.041666666668</v>
      </c>
      <c r="C966" s="799">
        <f>+B967-1</f>
        <v>25569.041666666668</v>
      </c>
      <c r="D966" s="791">
        <f>-_xlfn.DAYS($C$3,C966)/365.25</f>
      </c>
      <c r="E966" s="800">
        <f>IF($D$17+40&lt;=D966,(1+$D$7)^-(D966-$C$5),(1+$C$7)^-(D966-$C$5))</f>
      </c>
      <c r="F966" s="801">
        <f>IF($C$4="Hombre",(+VLOOKUP(INT(D966)+1,Tablas!$G$9:$K$1240,5,0)*(D966-INT(D966))+VLOOKUP(INT(D966),Tablas!$G$9:$K$1240,5,0)*(INT(D966)+1-D966))/(VLOOKUP(INT($C$5)+1,Tablas!$G$9:$K$1240,5,0)*($C$5-INT($C$5))+VLOOKUP(INT($C$5),Tablas!$G$9:$K$124,5,0)*(INT($C$5)+1-$C$5)),(+VLOOKUP(INT(D966)+1,Tablas!$G$9:$O$1240,9,0)*(D966-INT(D966))+VLOOKUP(INT(D966),Tablas!$G$9:$O$1240,9,0)*(INT(D966)+1-D966))/(VLOOKUP(INT($C$5)+1,Tablas!$G$9:$O$1240,9,0)*($C$5-INT($C$5))+VLOOKUP(INT($C$5),Tablas!$G$9:$O$124,9,0)*(INT($C$5)+1-$C$5)))</f>
      </c>
      <c r="G966" s="791">
        <f>IF($C$4="Hombre",(+VLOOKUP(INT(D966)+1,Tablas!$G$9:$K$1240,5,0)*(D966-INT(D966))+VLOOKUP(INT(D966),Tablas!$G$9:$K$1240,5,0)*(INT(D966)+1-D966)),+VLOOKUP(INT(D966)+1,Tablas!$G$9:$O$1240,9,0)*(D966-INT(D966))+VLOOKUP(INT(D966),Tablas!$G$9:$O$1240,9,0)*(INT(D966)+1-D966))</f>
      </c>
      <c r="H966" s="801">
        <f>+IF(MONTH(B966)=1,H965*(1+$C$9),H965)</f>
      </c>
      <c r="I966" s="689">
        <f>IF(B966&lt;$C$10,0,IF(B966&lt;$C$11,$C$8/12*E966*F966*H966,0))</f>
      </c>
      <c r="J966" s="689">
        <f>I966*12/14+IF(OR(MONTH(C966)=6,MONTH(C966)=12),I966*12/14,0)</f>
      </c>
      <c r="K966" s="801">
        <f>G966/$G$15</f>
      </c>
      <c r="L966" s="760"/>
      <c r="M966" s="767"/>
      <c r="N966" s="168"/>
      <c r="O966" s="768"/>
      <c r="P966" s="170"/>
      <c r="Q966" s="7"/>
      <c r="R966" s="766"/>
      <c r="S966" s="170"/>
      <c r="T966" s="168"/>
      <c r="U966" s="170"/>
    </row>
    <row x14ac:dyDescent="0.25" r="967" customHeight="1" ht="18.75">
      <c r="A967" s="1"/>
      <c r="B967" s="799">
        <f>+DATE(YEAR(B966),MONTH(B966)+1,DAY(B966))</f>
        <v>25569.041666666668</v>
      </c>
      <c r="C967" s="799">
        <f>+B968-1</f>
        <v>25569.041666666668</v>
      </c>
      <c r="D967" s="791">
        <f>-_xlfn.DAYS($C$3,C967)/365.25</f>
      </c>
      <c r="E967" s="800">
        <f>IF($D$17+40&lt;=D967,(1+$D$7)^-(D967-$C$5),(1+$C$7)^-(D967-$C$5))</f>
      </c>
      <c r="F967" s="801">
        <f>IF($C$4="Hombre",(+VLOOKUP(INT(D967)+1,Tablas!$G$9:$K$1240,5,0)*(D967-INT(D967))+VLOOKUP(INT(D967),Tablas!$G$9:$K$1240,5,0)*(INT(D967)+1-D967))/(VLOOKUP(INT($C$5)+1,Tablas!$G$9:$K$1240,5,0)*($C$5-INT($C$5))+VLOOKUP(INT($C$5),Tablas!$G$9:$K$124,5,0)*(INT($C$5)+1-$C$5)),(+VLOOKUP(INT(D967)+1,Tablas!$G$9:$O$1240,9,0)*(D967-INT(D967))+VLOOKUP(INT(D967),Tablas!$G$9:$O$1240,9,0)*(INT(D967)+1-D967))/(VLOOKUP(INT($C$5)+1,Tablas!$G$9:$O$1240,9,0)*($C$5-INT($C$5))+VLOOKUP(INT($C$5),Tablas!$G$9:$O$124,9,0)*(INT($C$5)+1-$C$5)))</f>
      </c>
      <c r="G967" s="791">
        <f>IF($C$4="Hombre",(+VLOOKUP(INT(D967)+1,Tablas!$G$9:$K$1240,5,0)*(D967-INT(D967))+VLOOKUP(INT(D967),Tablas!$G$9:$K$1240,5,0)*(INT(D967)+1-D967)),+VLOOKUP(INT(D967)+1,Tablas!$G$9:$O$1240,9,0)*(D967-INT(D967))+VLOOKUP(INT(D967),Tablas!$G$9:$O$1240,9,0)*(INT(D967)+1-D967))</f>
      </c>
      <c r="H967" s="801">
        <f>+IF(MONTH(B967)=1,H966*(1+$C$9),H966)</f>
      </c>
      <c r="I967" s="689">
        <f>IF(B967&lt;$C$10,0,IF(B967&lt;$C$11,$C$8/12*E967*F967*H967,0))</f>
      </c>
      <c r="J967" s="689">
        <f>I967*12/14+IF(OR(MONTH(C967)=6,MONTH(C967)=12),I967*12/14,0)</f>
      </c>
      <c r="K967" s="801">
        <f>G967/$G$15</f>
      </c>
      <c r="L967" s="760"/>
      <c r="M967" s="767"/>
      <c r="N967" s="168"/>
      <c r="O967" s="768"/>
      <c r="P967" s="170"/>
      <c r="Q967" s="7"/>
      <c r="R967" s="766"/>
      <c r="S967" s="170"/>
      <c r="T967" s="168"/>
      <c r="U967" s="170"/>
    </row>
    <row x14ac:dyDescent="0.25" r="968" customHeight="1" ht="18.75">
      <c r="A968" s="1"/>
      <c r="B968" s="799">
        <f>+DATE(YEAR(B967),MONTH(B967)+1,DAY(B967))</f>
        <v>25569.041666666668</v>
      </c>
      <c r="C968" s="799">
        <f>+B969-1</f>
        <v>25569.041666666668</v>
      </c>
      <c r="D968" s="791">
        <f>-_xlfn.DAYS($C$3,C968)/365.25</f>
      </c>
      <c r="E968" s="800">
        <f>IF($D$17+40&lt;=D968,(1+$D$7)^-(D968-$C$5),(1+$C$7)^-(D968-$C$5))</f>
      </c>
      <c r="F968" s="801">
        <f>IF($C$4="Hombre",(+VLOOKUP(INT(D968)+1,Tablas!$G$9:$K$1240,5,0)*(D968-INT(D968))+VLOOKUP(INT(D968),Tablas!$G$9:$K$1240,5,0)*(INT(D968)+1-D968))/(VLOOKUP(INT($C$5)+1,Tablas!$G$9:$K$1240,5,0)*($C$5-INT($C$5))+VLOOKUP(INT($C$5),Tablas!$G$9:$K$124,5,0)*(INT($C$5)+1-$C$5)),(+VLOOKUP(INT(D968)+1,Tablas!$G$9:$O$1240,9,0)*(D968-INT(D968))+VLOOKUP(INT(D968),Tablas!$G$9:$O$1240,9,0)*(INT(D968)+1-D968))/(VLOOKUP(INT($C$5)+1,Tablas!$G$9:$O$1240,9,0)*($C$5-INT($C$5))+VLOOKUP(INT($C$5),Tablas!$G$9:$O$124,9,0)*(INT($C$5)+1-$C$5)))</f>
      </c>
      <c r="G968" s="791">
        <f>IF($C$4="Hombre",(+VLOOKUP(INT(D968)+1,Tablas!$G$9:$K$1240,5,0)*(D968-INT(D968))+VLOOKUP(INT(D968),Tablas!$G$9:$K$1240,5,0)*(INT(D968)+1-D968)),+VLOOKUP(INT(D968)+1,Tablas!$G$9:$O$1240,9,0)*(D968-INT(D968))+VLOOKUP(INT(D968),Tablas!$G$9:$O$1240,9,0)*(INT(D968)+1-D968))</f>
      </c>
      <c r="H968" s="801">
        <f>+IF(MONTH(B968)=1,H967*(1+$C$9),H967)</f>
      </c>
      <c r="I968" s="689">
        <f>IF(B968&lt;$C$10,0,IF(B968&lt;$C$11,$C$8/12*E968*F968*H968,0))</f>
      </c>
      <c r="J968" s="689">
        <f>I968*12/14+IF(OR(MONTH(C968)=6,MONTH(C968)=12),I968*12/14,0)</f>
      </c>
      <c r="K968" s="801">
        <f>G968/$G$15</f>
      </c>
      <c r="L968" s="760"/>
      <c r="M968" s="767"/>
      <c r="N968" s="168"/>
      <c r="O968" s="768"/>
      <c r="P968" s="170"/>
      <c r="Q968" s="7"/>
      <c r="R968" s="766"/>
      <c r="S968" s="170"/>
      <c r="T968" s="168"/>
      <c r="U968" s="170"/>
    </row>
    <row x14ac:dyDescent="0.25" r="969" customHeight="1" ht="18.75">
      <c r="A969" s="1"/>
      <c r="B969" s="799">
        <f>+DATE(YEAR(B968),MONTH(B968)+1,DAY(B968))</f>
        <v>25569.041666666668</v>
      </c>
      <c r="C969" s="799">
        <f>+B970-1</f>
        <v>25569.041666666668</v>
      </c>
      <c r="D969" s="791">
        <f>-_xlfn.DAYS($C$3,C969)/365.25</f>
      </c>
      <c r="E969" s="800">
        <f>IF($D$17+40&lt;=D969,(1+$D$7)^-(D969-$C$5),(1+$C$7)^-(D969-$C$5))</f>
      </c>
      <c r="F969" s="801">
        <f>IF($C$4="Hombre",(+VLOOKUP(INT(D969)+1,Tablas!$G$9:$K$1240,5,0)*(D969-INT(D969))+VLOOKUP(INT(D969),Tablas!$G$9:$K$1240,5,0)*(INT(D969)+1-D969))/(VLOOKUP(INT($C$5)+1,Tablas!$G$9:$K$1240,5,0)*($C$5-INT($C$5))+VLOOKUP(INT($C$5),Tablas!$G$9:$K$124,5,0)*(INT($C$5)+1-$C$5)),(+VLOOKUP(INT(D969)+1,Tablas!$G$9:$O$1240,9,0)*(D969-INT(D969))+VLOOKUP(INT(D969),Tablas!$G$9:$O$1240,9,0)*(INT(D969)+1-D969))/(VLOOKUP(INT($C$5)+1,Tablas!$G$9:$O$1240,9,0)*($C$5-INT($C$5))+VLOOKUP(INT($C$5),Tablas!$G$9:$O$124,9,0)*(INT($C$5)+1-$C$5)))</f>
      </c>
      <c r="G969" s="791">
        <f>IF($C$4="Hombre",(+VLOOKUP(INT(D969)+1,Tablas!$G$9:$K$1240,5,0)*(D969-INT(D969))+VLOOKUP(INT(D969),Tablas!$G$9:$K$1240,5,0)*(INT(D969)+1-D969)),+VLOOKUP(INT(D969)+1,Tablas!$G$9:$O$1240,9,0)*(D969-INT(D969))+VLOOKUP(INT(D969),Tablas!$G$9:$O$1240,9,0)*(INT(D969)+1-D969))</f>
      </c>
      <c r="H969" s="801">
        <f>+IF(MONTH(B969)=1,H968*(1+$C$9),H968)</f>
      </c>
      <c r="I969" s="689">
        <f>IF(B969&lt;$C$10,0,IF(B969&lt;$C$11,$C$8/12*E969*F969*H969,0))</f>
      </c>
      <c r="J969" s="689">
        <f>I969*12/14+IF(OR(MONTH(C969)=6,MONTH(C969)=12),I969*12/14,0)</f>
      </c>
      <c r="K969" s="801">
        <f>G969/$G$15</f>
      </c>
      <c r="L969" s="760"/>
      <c r="M969" s="767"/>
      <c r="N969" s="168"/>
      <c r="O969" s="768"/>
      <c r="P969" s="170"/>
      <c r="Q969" s="7"/>
      <c r="R969" s="766"/>
      <c r="S969" s="170"/>
      <c r="T969" s="168"/>
      <c r="U969" s="170"/>
    </row>
    <row x14ac:dyDescent="0.25" r="970" customHeight="1" ht="18.75">
      <c r="A970" s="1"/>
      <c r="B970" s="799">
        <f>+DATE(YEAR(B969),MONTH(B969)+1,DAY(B969))</f>
        <v>25569.041666666668</v>
      </c>
      <c r="C970" s="799">
        <f>+B971-1</f>
        <v>25569.041666666668</v>
      </c>
      <c r="D970" s="791">
        <f>-_xlfn.DAYS($C$3,C970)/365.25</f>
      </c>
      <c r="E970" s="800">
        <f>IF($D$17+40&lt;=D970,(1+$D$7)^-(D970-$C$5),(1+$C$7)^-(D970-$C$5))</f>
      </c>
      <c r="F970" s="801">
        <f>IF($C$4="Hombre",(+VLOOKUP(INT(D970)+1,Tablas!$G$9:$K$1240,5,0)*(D970-INT(D970))+VLOOKUP(INT(D970),Tablas!$G$9:$K$1240,5,0)*(INT(D970)+1-D970))/(VLOOKUP(INT($C$5)+1,Tablas!$G$9:$K$1240,5,0)*($C$5-INT($C$5))+VLOOKUP(INT($C$5),Tablas!$G$9:$K$124,5,0)*(INT($C$5)+1-$C$5)),(+VLOOKUP(INT(D970)+1,Tablas!$G$9:$O$1240,9,0)*(D970-INT(D970))+VLOOKUP(INT(D970),Tablas!$G$9:$O$1240,9,0)*(INT(D970)+1-D970))/(VLOOKUP(INT($C$5)+1,Tablas!$G$9:$O$1240,9,0)*($C$5-INT($C$5))+VLOOKUP(INT($C$5),Tablas!$G$9:$O$124,9,0)*(INT($C$5)+1-$C$5)))</f>
      </c>
      <c r="G970" s="791">
        <f>IF($C$4="Hombre",(+VLOOKUP(INT(D970)+1,Tablas!$G$9:$K$1240,5,0)*(D970-INT(D970))+VLOOKUP(INT(D970),Tablas!$G$9:$K$1240,5,0)*(INT(D970)+1-D970)),+VLOOKUP(INT(D970)+1,Tablas!$G$9:$O$1240,9,0)*(D970-INT(D970))+VLOOKUP(INT(D970),Tablas!$G$9:$O$1240,9,0)*(INT(D970)+1-D970))</f>
      </c>
      <c r="H970" s="801">
        <f>+IF(MONTH(B970)=1,H969*(1+$C$9),H969)</f>
      </c>
      <c r="I970" s="689">
        <f>IF(B970&lt;$C$10,0,IF(B970&lt;$C$11,$C$8/12*E970*F970*H970,0))</f>
      </c>
      <c r="J970" s="689">
        <f>I970*12/14+IF(OR(MONTH(C970)=6,MONTH(C970)=12),I970*12/14,0)</f>
      </c>
      <c r="K970" s="801">
        <f>G970/$G$15</f>
      </c>
      <c r="L970" s="760"/>
      <c r="M970" s="767"/>
      <c r="N970" s="168"/>
      <c r="O970" s="768"/>
      <c r="P970" s="170"/>
      <c r="Q970" s="7"/>
      <c r="R970" s="766"/>
      <c r="S970" s="170"/>
      <c r="T970" s="168"/>
      <c r="U970" s="170"/>
    </row>
    <row x14ac:dyDescent="0.25" r="971" customHeight="1" ht="18.75">
      <c r="A971" s="1"/>
      <c r="B971" s="799">
        <f>+DATE(YEAR(B970),MONTH(B970)+1,DAY(B970))</f>
        <v>25569.041666666668</v>
      </c>
      <c r="C971" s="799">
        <f>+B972-1</f>
        <v>25569.041666666668</v>
      </c>
      <c r="D971" s="791">
        <f>-_xlfn.DAYS($C$3,C971)/365.25</f>
      </c>
      <c r="E971" s="800">
        <f>IF($D$17+40&lt;=D971,(1+$D$7)^-(D971-$C$5),(1+$C$7)^-(D971-$C$5))</f>
      </c>
      <c r="F971" s="801">
        <f>IF($C$4="Hombre",(+VLOOKUP(INT(D971)+1,Tablas!$G$9:$K$1240,5,0)*(D971-INT(D971))+VLOOKUP(INT(D971),Tablas!$G$9:$K$1240,5,0)*(INT(D971)+1-D971))/(VLOOKUP(INT($C$5)+1,Tablas!$G$9:$K$1240,5,0)*($C$5-INT($C$5))+VLOOKUP(INT($C$5),Tablas!$G$9:$K$124,5,0)*(INT($C$5)+1-$C$5)),(+VLOOKUP(INT(D971)+1,Tablas!$G$9:$O$1240,9,0)*(D971-INT(D971))+VLOOKUP(INT(D971),Tablas!$G$9:$O$1240,9,0)*(INT(D971)+1-D971))/(VLOOKUP(INT($C$5)+1,Tablas!$G$9:$O$1240,9,0)*($C$5-INT($C$5))+VLOOKUP(INT($C$5),Tablas!$G$9:$O$124,9,0)*(INT($C$5)+1-$C$5)))</f>
      </c>
      <c r="G971" s="791">
        <f>IF($C$4="Hombre",(+VLOOKUP(INT(D971)+1,Tablas!$G$9:$K$1240,5,0)*(D971-INT(D971))+VLOOKUP(INT(D971),Tablas!$G$9:$K$1240,5,0)*(INT(D971)+1-D971)),+VLOOKUP(INT(D971)+1,Tablas!$G$9:$O$1240,9,0)*(D971-INT(D971))+VLOOKUP(INT(D971),Tablas!$G$9:$O$1240,9,0)*(INT(D971)+1-D971))</f>
      </c>
      <c r="H971" s="801">
        <f>+IF(MONTH(B971)=1,H970*(1+$C$9),H970)</f>
      </c>
      <c r="I971" s="689">
        <f>IF(B971&lt;$C$10,0,IF(B971&lt;$C$11,$C$8/12*E971*F971*H971,0))</f>
      </c>
      <c r="J971" s="689">
        <f>I971*12/14+IF(OR(MONTH(C971)=6,MONTH(C971)=12),I971*12/14,0)</f>
      </c>
      <c r="K971" s="801">
        <f>G971/$G$15</f>
      </c>
      <c r="L971" s="760"/>
      <c r="M971" s="767"/>
      <c r="N971" s="168"/>
      <c r="O971" s="768"/>
      <c r="P971" s="170"/>
      <c r="Q971" s="7"/>
      <c r="R971" s="766"/>
      <c r="S971" s="170"/>
      <c r="T971" s="168"/>
      <c r="U971" s="170"/>
    </row>
    <row x14ac:dyDescent="0.25" r="972" customHeight="1" ht="18.75">
      <c r="A972" s="1"/>
      <c r="B972" s="799">
        <f>+DATE(YEAR(B971),MONTH(B971)+1,DAY(B971))</f>
        <v>25569.041666666668</v>
      </c>
      <c r="C972" s="799">
        <f>+B973-1</f>
        <v>25569.041666666668</v>
      </c>
      <c r="D972" s="791">
        <f>-_xlfn.DAYS($C$3,C972)/365.25</f>
      </c>
      <c r="E972" s="800">
        <f>IF($D$17+40&lt;=D972,(1+$D$7)^-(D972-$C$5),(1+$C$7)^-(D972-$C$5))</f>
      </c>
      <c r="F972" s="801">
        <f>IF($C$4="Hombre",(+VLOOKUP(INT(D972)+1,Tablas!$G$9:$K$1240,5,0)*(D972-INT(D972))+VLOOKUP(INT(D972),Tablas!$G$9:$K$1240,5,0)*(INT(D972)+1-D972))/(VLOOKUP(INT($C$5)+1,Tablas!$G$9:$K$1240,5,0)*($C$5-INT($C$5))+VLOOKUP(INT($C$5),Tablas!$G$9:$K$124,5,0)*(INT($C$5)+1-$C$5)),(+VLOOKUP(INT(D972)+1,Tablas!$G$9:$O$1240,9,0)*(D972-INT(D972))+VLOOKUP(INT(D972),Tablas!$G$9:$O$1240,9,0)*(INT(D972)+1-D972))/(VLOOKUP(INT($C$5)+1,Tablas!$G$9:$O$1240,9,0)*($C$5-INT($C$5))+VLOOKUP(INT($C$5),Tablas!$G$9:$O$124,9,0)*(INT($C$5)+1-$C$5)))</f>
      </c>
      <c r="G972" s="791">
        <f>IF($C$4="Hombre",(+VLOOKUP(INT(D972)+1,Tablas!$G$9:$K$1240,5,0)*(D972-INT(D972))+VLOOKUP(INT(D972),Tablas!$G$9:$K$1240,5,0)*(INT(D972)+1-D972)),+VLOOKUP(INT(D972)+1,Tablas!$G$9:$O$1240,9,0)*(D972-INT(D972))+VLOOKUP(INT(D972),Tablas!$G$9:$O$1240,9,0)*(INT(D972)+1-D972))</f>
      </c>
      <c r="H972" s="801">
        <f>+IF(MONTH(B972)=1,H971*(1+$C$9),H971)</f>
      </c>
      <c r="I972" s="689">
        <f>IF(B972&lt;$C$10,0,IF(B972&lt;$C$11,$C$8/12*E972*F972*H972,0))</f>
      </c>
      <c r="J972" s="689">
        <f>I972*12/14+IF(OR(MONTH(C972)=6,MONTH(C972)=12),I972*12/14,0)</f>
      </c>
      <c r="K972" s="801">
        <f>G972/$G$15</f>
      </c>
      <c r="L972" s="760"/>
      <c r="M972" s="767"/>
      <c r="N972" s="168"/>
      <c r="O972" s="768"/>
      <c r="P972" s="170"/>
      <c r="Q972" s="7"/>
      <c r="R972" s="766"/>
      <c r="S972" s="170"/>
      <c r="T972" s="168"/>
      <c r="U972" s="170"/>
    </row>
    <row x14ac:dyDescent="0.25" r="973" customHeight="1" ht="18.75">
      <c r="A973" s="1"/>
      <c r="B973" s="799">
        <f>+DATE(YEAR(B972),MONTH(B972)+1,DAY(B972))</f>
        <v>25569.041666666668</v>
      </c>
      <c r="C973" s="799">
        <f>+B974-1</f>
        <v>25569.041666666668</v>
      </c>
      <c r="D973" s="791">
        <f>-_xlfn.DAYS($C$3,C973)/365.25</f>
      </c>
      <c r="E973" s="800">
        <f>IF($D$17+40&lt;=D973,(1+$D$7)^-(D973-$C$5),(1+$C$7)^-(D973-$C$5))</f>
      </c>
      <c r="F973" s="801">
        <f>IF($C$4="Hombre",(+VLOOKUP(INT(D973)+1,Tablas!$G$9:$K$1240,5,0)*(D973-INT(D973))+VLOOKUP(INT(D973),Tablas!$G$9:$K$1240,5,0)*(INT(D973)+1-D973))/(VLOOKUP(INT($C$5)+1,Tablas!$G$9:$K$1240,5,0)*($C$5-INT($C$5))+VLOOKUP(INT($C$5),Tablas!$G$9:$K$124,5,0)*(INT($C$5)+1-$C$5)),(+VLOOKUP(INT(D973)+1,Tablas!$G$9:$O$1240,9,0)*(D973-INT(D973))+VLOOKUP(INT(D973),Tablas!$G$9:$O$1240,9,0)*(INT(D973)+1-D973))/(VLOOKUP(INT($C$5)+1,Tablas!$G$9:$O$1240,9,0)*($C$5-INT($C$5))+VLOOKUP(INT($C$5),Tablas!$G$9:$O$124,9,0)*(INT($C$5)+1-$C$5)))</f>
      </c>
      <c r="G973" s="791">
        <f>IF($C$4="Hombre",(+VLOOKUP(INT(D973)+1,Tablas!$G$9:$K$1240,5,0)*(D973-INT(D973))+VLOOKUP(INT(D973),Tablas!$G$9:$K$1240,5,0)*(INT(D973)+1-D973)),+VLOOKUP(INT(D973)+1,Tablas!$G$9:$O$1240,9,0)*(D973-INT(D973))+VLOOKUP(INT(D973),Tablas!$G$9:$O$1240,9,0)*(INT(D973)+1-D973))</f>
      </c>
      <c r="H973" s="801">
        <f>+IF(MONTH(B973)=1,H972*(1+$C$9),H972)</f>
      </c>
      <c r="I973" s="689">
        <f>IF(B973&lt;$C$10,0,IF(B973&lt;$C$11,$C$8/12*E973*F973*H973,0))</f>
      </c>
      <c r="J973" s="689">
        <f>I973*12/14+IF(OR(MONTH(C973)=6,MONTH(C973)=12),I973*12/14,0)</f>
      </c>
      <c r="K973" s="801">
        <f>G973/$G$15</f>
      </c>
      <c r="L973" s="760"/>
      <c r="M973" s="767"/>
      <c r="N973" s="168"/>
      <c r="O973" s="768"/>
      <c r="P973" s="170"/>
      <c r="Q973" s="7"/>
      <c r="R973" s="766"/>
      <c r="S973" s="170"/>
      <c r="T973" s="168"/>
      <c r="U973" s="170"/>
    </row>
    <row x14ac:dyDescent="0.25" r="974" customHeight="1" ht="18.75">
      <c r="A974" s="1"/>
      <c r="B974" s="799">
        <f>+DATE(YEAR(B973),MONTH(B973)+1,DAY(B973))</f>
        <v>25569.041666666668</v>
      </c>
      <c r="C974" s="799">
        <f>+B975-1</f>
        <v>25569.041666666668</v>
      </c>
      <c r="D974" s="791">
        <f>-_xlfn.DAYS($C$3,C974)/365.25</f>
      </c>
      <c r="E974" s="800">
        <f>IF($D$17+40&lt;=D974,(1+$D$7)^-(D974-$C$5),(1+$C$7)^-(D974-$C$5))</f>
      </c>
      <c r="F974" s="801">
        <f>IF($C$4="Hombre",(+VLOOKUP(INT(D974)+1,Tablas!$G$9:$K$1240,5,0)*(D974-INT(D974))+VLOOKUP(INT(D974),Tablas!$G$9:$K$1240,5,0)*(INT(D974)+1-D974))/(VLOOKUP(INT($C$5)+1,Tablas!$G$9:$K$1240,5,0)*($C$5-INT($C$5))+VLOOKUP(INT($C$5),Tablas!$G$9:$K$124,5,0)*(INT($C$5)+1-$C$5)),(+VLOOKUP(INT(D974)+1,Tablas!$G$9:$O$1240,9,0)*(D974-INT(D974))+VLOOKUP(INT(D974),Tablas!$G$9:$O$1240,9,0)*(INT(D974)+1-D974))/(VLOOKUP(INT($C$5)+1,Tablas!$G$9:$O$1240,9,0)*($C$5-INT($C$5))+VLOOKUP(INT($C$5),Tablas!$G$9:$O$124,9,0)*(INT($C$5)+1-$C$5)))</f>
      </c>
      <c r="G974" s="791">
        <f>IF($C$4="Hombre",(+VLOOKUP(INT(D974)+1,Tablas!$G$9:$K$1240,5,0)*(D974-INT(D974))+VLOOKUP(INT(D974),Tablas!$G$9:$K$1240,5,0)*(INT(D974)+1-D974)),+VLOOKUP(INT(D974)+1,Tablas!$G$9:$O$1240,9,0)*(D974-INT(D974))+VLOOKUP(INT(D974),Tablas!$G$9:$O$1240,9,0)*(INT(D974)+1-D974))</f>
      </c>
      <c r="H974" s="801">
        <f>+IF(MONTH(B974)=1,H973*(1+$C$9),H973)</f>
      </c>
      <c r="I974" s="689">
        <f>IF(B974&lt;$C$10,0,IF(B974&lt;$C$11,$C$8/12*E974*F974*H974,0))</f>
      </c>
      <c r="J974" s="689">
        <f>I974*12/14+IF(OR(MONTH(C974)=6,MONTH(C974)=12),I974*12/14,0)</f>
      </c>
      <c r="K974" s="801">
        <f>G974/$G$15</f>
      </c>
      <c r="L974" s="760"/>
      <c r="M974" s="767"/>
      <c r="N974" s="168"/>
      <c r="O974" s="768"/>
      <c r="P974" s="170"/>
      <c r="Q974" s="7"/>
      <c r="R974" s="766"/>
      <c r="S974" s="170"/>
      <c r="T974" s="168"/>
      <c r="U974" s="170"/>
    </row>
    <row x14ac:dyDescent="0.25" r="975" customHeight="1" ht="18.75">
      <c r="A975" s="1"/>
      <c r="B975" s="799">
        <f>+DATE(YEAR(B974),MONTH(B974)+1,DAY(B974))</f>
        <v>25569.041666666668</v>
      </c>
      <c r="C975" s="799">
        <f>+B976-1</f>
        <v>25569.041666666668</v>
      </c>
      <c r="D975" s="791">
        <f>-_xlfn.DAYS($C$3,C975)/365.25</f>
      </c>
      <c r="E975" s="800">
        <f>IF($D$17+40&lt;=D975,(1+$D$7)^-(D975-$C$5),(1+$C$7)^-(D975-$C$5))</f>
      </c>
      <c r="F975" s="801">
        <f>IF($C$4="Hombre",(+VLOOKUP(INT(D975)+1,Tablas!$G$9:$K$1240,5,0)*(D975-INT(D975))+VLOOKUP(INT(D975),Tablas!$G$9:$K$1240,5,0)*(INT(D975)+1-D975))/(VLOOKUP(INT($C$5)+1,Tablas!$G$9:$K$1240,5,0)*($C$5-INT($C$5))+VLOOKUP(INT($C$5),Tablas!$G$9:$K$124,5,0)*(INT($C$5)+1-$C$5)),(+VLOOKUP(INT(D975)+1,Tablas!$G$9:$O$1240,9,0)*(D975-INT(D975))+VLOOKUP(INT(D975),Tablas!$G$9:$O$1240,9,0)*(INT(D975)+1-D975))/(VLOOKUP(INT($C$5)+1,Tablas!$G$9:$O$1240,9,0)*($C$5-INT($C$5))+VLOOKUP(INT($C$5),Tablas!$G$9:$O$124,9,0)*(INT($C$5)+1-$C$5)))</f>
      </c>
      <c r="G975" s="791">
        <f>IF($C$4="Hombre",(+VLOOKUP(INT(D975)+1,Tablas!$G$9:$K$1240,5,0)*(D975-INT(D975))+VLOOKUP(INT(D975),Tablas!$G$9:$K$1240,5,0)*(INT(D975)+1-D975)),+VLOOKUP(INT(D975)+1,Tablas!$G$9:$O$1240,9,0)*(D975-INT(D975))+VLOOKUP(INT(D975),Tablas!$G$9:$O$1240,9,0)*(INT(D975)+1-D975))</f>
      </c>
      <c r="H975" s="801">
        <f>+IF(MONTH(B975)=1,H974*(1+$C$9),H974)</f>
      </c>
      <c r="I975" s="689">
        <f>IF(B975&lt;$C$10,0,IF(B975&lt;$C$11,$C$8/12*E975*F975*H975,0))</f>
      </c>
      <c r="J975" s="689">
        <f>I975*12/14+IF(OR(MONTH(C975)=6,MONTH(C975)=12),I975*12/14,0)</f>
      </c>
      <c r="K975" s="801">
        <f>G975/$G$15</f>
      </c>
      <c r="L975" s="760"/>
      <c r="M975" s="767"/>
      <c r="N975" s="168"/>
      <c r="O975" s="768"/>
      <c r="P975" s="170"/>
      <c r="Q975" s="7"/>
      <c r="R975" s="766"/>
      <c r="S975" s="170"/>
      <c r="T975" s="168"/>
      <c r="U975" s="170"/>
    </row>
    <row x14ac:dyDescent="0.25" r="976" customHeight="1" ht="18.75">
      <c r="A976" s="1"/>
      <c r="B976" s="799">
        <f>+DATE(YEAR(B975),MONTH(B975)+1,DAY(B975))</f>
        <v>25569.041666666668</v>
      </c>
      <c r="C976" s="799">
        <f>+B977-1</f>
        <v>25569.041666666668</v>
      </c>
      <c r="D976" s="791">
        <f>-_xlfn.DAYS($C$3,C976)/365.25</f>
      </c>
      <c r="E976" s="800">
        <f>IF($D$17+40&lt;=D976,(1+$D$7)^-(D976-$C$5),(1+$C$7)^-(D976-$C$5))</f>
      </c>
      <c r="F976" s="801">
        <f>IF($C$4="Hombre",(+VLOOKUP(INT(D976)+1,Tablas!$G$9:$K$1240,5,0)*(D976-INT(D976))+VLOOKUP(INT(D976),Tablas!$G$9:$K$1240,5,0)*(INT(D976)+1-D976))/(VLOOKUP(INT($C$5)+1,Tablas!$G$9:$K$1240,5,0)*($C$5-INT($C$5))+VLOOKUP(INT($C$5),Tablas!$G$9:$K$124,5,0)*(INT($C$5)+1-$C$5)),(+VLOOKUP(INT(D976)+1,Tablas!$G$9:$O$1240,9,0)*(D976-INT(D976))+VLOOKUP(INT(D976),Tablas!$G$9:$O$1240,9,0)*(INT(D976)+1-D976))/(VLOOKUP(INT($C$5)+1,Tablas!$G$9:$O$1240,9,0)*($C$5-INT($C$5))+VLOOKUP(INT($C$5),Tablas!$G$9:$O$124,9,0)*(INT($C$5)+1-$C$5)))</f>
      </c>
      <c r="G976" s="791">
        <f>IF($C$4="Hombre",(+VLOOKUP(INT(D976)+1,Tablas!$G$9:$K$1240,5,0)*(D976-INT(D976))+VLOOKUP(INT(D976),Tablas!$G$9:$K$1240,5,0)*(INT(D976)+1-D976)),+VLOOKUP(INT(D976)+1,Tablas!$G$9:$O$1240,9,0)*(D976-INT(D976))+VLOOKUP(INT(D976),Tablas!$G$9:$O$1240,9,0)*(INT(D976)+1-D976))</f>
      </c>
      <c r="H976" s="801">
        <f>+IF(MONTH(B976)=1,H975*(1+$C$9),H975)</f>
      </c>
      <c r="I976" s="689">
        <f>IF(B976&lt;$C$10,0,IF(B976&lt;$C$11,$C$8/12*E976*F976*H976,0))</f>
      </c>
      <c r="J976" s="689">
        <f>I976*12/14+IF(OR(MONTH(C976)=6,MONTH(C976)=12),I976*12/14,0)</f>
      </c>
      <c r="K976" s="801">
        <f>G976/$G$15</f>
      </c>
      <c r="L976" s="760"/>
      <c r="M976" s="767"/>
      <c r="N976" s="168"/>
      <c r="O976" s="768"/>
      <c r="P976" s="170"/>
      <c r="Q976" s="7"/>
      <c r="R976" s="766"/>
      <c r="S976" s="170"/>
      <c r="T976" s="168"/>
      <c r="U976" s="170"/>
    </row>
    <row x14ac:dyDescent="0.25" r="977" customHeight="1" ht="18.75">
      <c r="A977" s="1"/>
      <c r="B977" s="799">
        <f>+DATE(YEAR(B976),MONTH(B976)+1,DAY(B976))</f>
        <v>25569.041666666668</v>
      </c>
      <c r="C977" s="799">
        <f>+B978-1</f>
        <v>25569.041666666668</v>
      </c>
      <c r="D977" s="791">
        <f>-_xlfn.DAYS($C$3,C977)/365.25</f>
      </c>
      <c r="E977" s="800">
        <f>IF($D$17+40&lt;=D977,(1+$D$7)^-(D977-$C$5),(1+$C$7)^-(D977-$C$5))</f>
      </c>
      <c r="F977" s="801">
        <f>IF($C$4="Hombre",(+VLOOKUP(INT(D977)+1,Tablas!$G$9:$K$1240,5,0)*(D977-INT(D977))+VLOOKUP(INT(D977),Tablas!$G$9:$K$1240,5,0)*(INT(D977)+1-D977))/(VLOOKUP(INT($C$5)+1,Tablas!$G$9:$K$1240,5,0)*($C$5-INT($C$5))+VLOOKUP(INT($C$5),Tablas!$G$9:$K$124,5,0)*(INT($C$5)+1-$C$5)),(+VLOOKUP(INT(D977)+1,Tablas!$G$9:$O$1240,9,0)*(D977-INT(D977))+VLOOKUP(INT(D977),Tablas!$G$9:$O$1240,9,0)*(INT(D977)+1-D977))/(VLOOKUP(INT($C$5)+1,Tablas!$G$9:$O$1240,9,0)*($C$5-INT($C$5))+VLOOKUP(INT($C$5),Tablas!$G$9:$O$124,9,0)*(INT($C$5)+1-$C$5)))</f>
      </c>
      <c r="G977" s="791">
        <f>IF($C$4="Hombre",(+VLOOKUP(INT(D977)+1,Tablas!$G$9:$K$1240,5,0)*(D977-INT(D977))+VLOOKUP(INT(D977),Tablas!$G$9:$K$1240,5,0)*(INT(D977)+1-D977)),+VLOOKUP(INT(D977)+1,Tablas!$G$9:$O$1240,9,0)*(D977-INT(D977))+VLOOKUP(INT(D977),Tablas!$G$9:$O$1240,9,0)*(INT(D977)+1-D977))</f>
      </c>
      <c r="H977" s="801">
        <f>+IF(MONTH(B977)=1,H976*(1+$C$9),H976)</f>
      </c>
      <c r="I977" s="689">
        <f>IF(B977&lt;$C$10,0,IF(B977&lt;$C$11,$C$8/12*E977*F977*H977,0))</f>
      </c>
      <c r="J977" s="689">
        <f>I977*12/14+IF(OR(MONTH(C977)=6,MONTH(C977)=12),I977*12/14,0)</f>
      </c>
      <c r="K977" s="801">
        <f>G977/$G$15</f>
      </c>
      <c r="L977" s="760"/>
      <c r="M977" s="767"/>
      <c r="N977" s="168"/>
      <c r="O977" s="768"/>
      <c r="P977" s="170"/>
      <c r="Q977" s="7"/>
      <c r="R977" s="766"/>
      <c r="S977" s="170"/>
      <c r="T977" s="168"/>
      <c r="U977" s="170"/>
    </row>
    <row x14ac:dyDescent="0.25" r="978" customHeight="1" ht="18.75">
      <c r="A978" s="1"/>
      <c r="B978" s="799">
        <f>+DATE(YEAR(B977),MONTH(B977)+1,DAY(B977))</f>
        <v>25569.041666666668</v>
      </c>
      <c r="C978" s="799">
        <f>+B979-1</f>
        <v>25569.041666666668</v>
      </c>
      <c r="D978" s="791">
        <f>-_xlfn.DAYS($C$3,C978)/365.25</f>
      </c>
      <c r="E978" s="800">
        <f>IF($D$17+40&lt;=D978,(1+$D$7)^-(D978-$C$5),(1+$C$7)^-(D978-$C$5))</f>
      </c>
      <c r="F978" s="801">
        <f>IF($C$4="Hombre",(+VLOOKUP(INT(D978)+1,Tablas!$G$9:$K$1240,5,0)*(D978-INT(D978))+VLOOKUP(INT(D978),Tablas!$G$9:$K$1240,5,0)*(INT(D978)+1-D978))/(VLOOKUP(INT($C$5)+1,Tablas!$G$9:$K$1240,5,0)*($C$5-INT($C$5))+VLOOKUP(INT($C$5),Tablas!$G$9:$K$124,5,0)*(INT($C$5)+1-$C$5)),(+VLOOKUP(INT(D978)+1,Tablas!$G$9:$O$1240,9,0)*(D978-INT(D978))+VLOOKUP(INT(D978),Tablas!$G$9:$O$1240,9,0)*(INT(D978)+1-D978))/(VLOOKUP(INT($C$5)+1,Tablas!$G$9:$O$1240,9,0)*($C$5-INT($C$5))+VLOOKUP(INT($C$5),Tablas!$G$9:$O$124,9,0)*(INT($C$5)+1-$C$5)))</f>
      </c>
      <c r="G978" s="791">
        <f>IF($C$4="Hombre",(+VLOOKUP(INT(D978)+1,Tablas!$G$9:$K$1240,5,0)*(D978-INT(D978))+VLOOKUP(INT(D978),Tablas!$G$9:$K$1240,5,0)*(INT(D978)+1-D978)),+VLOOKUP(INT(D978)+1,Tablas!$G$9:$O$1240,9,0)*(D978-INT(D978))+VLOOKUP(INT(D978),Tablas!$G$9:$O$1240,9,0)*(INT(D978)+1-D978))</f>
      </c>
      <c r="H978" s="801">
        <f>+IF(MONTH(B978)=1,H977*(1+$C$9),H977)</f>
      </c>
      <c r="I978" s="689">
        <f>IF(B978&lt;$C$10,0,IF(B978&lt;$C$11,$C$8/12*E978*F978*H978,0))</f>
      </c>
      <c r="J978" s="689">
        <f>I978*12/14+IF(OR(MONTH(C978)=6,MONTH(C978)=12),I978*12/14,0)</f>
      </c>
      <c r="K978" s="801">
        <f>G978/$G$15</f>
      </c>
      <c r="L978" s="760"/>
      <c r="M978" s="767"/>
      <c r="N978" s="168"/>
      <c r="O978" s="768"/>
      <c r="P978" s="170"/>
      <c r="Q978" s="7"/>
      <c r="R978" s="766"/>
      <c r="S978" s="170"/>
      <c r="T978" s="168"/>
      <c r="U978" s="170"/>
    </row>
    <row x14ac:dyDescent="0.25" r="979" customHeight="1" ht="18.75">
      <c r="A979" s="1"/>
      <c r="B979" s="799">
        <f>+DATE(YEAR(B978),MONTH(B978)+1,DAY(B978))</f>
        <v>25569.041666666668</v>
      </c>
      <c r="C979" s="799">
        <f>+B980-1</f>
        <v>25569.041666666668</v>
      </c>
      <c r="D979" s="791">
        <f>-_xlfn.DAYS($C$3,C979)/365.25</f>
      </c>
      <c r="E979" s="800">
        <f>IF($D$17+40&lt;=D979,(1+$D$7)^-(D979-$C$5),(1+$C$7)^-(D979-$C$5))</f>
      </c>
      <c r="F979" s="801">
        <f>IF($C$4="Hombre",(+VLOOKUP(INT(D979)+1,Tablas!$G$9:$K$1240,5,0)*(D979-INT(D979))+VLOOKUP(INT(D979),Tablas!$G$9:$K$1240,5,0)*(INT(D979)+1-D979))/(VLOOKUP(INT($C$5)+1,Tablas!$G$9:$K$1240,5,0)*($C$5-INT($C$5))+VLOOKUP(INT($C$5),Tablas!$G$9:$K$124,5,0)*(INT($C$5)+1-$C$5)),(+VLOOKUP(INT(D979)+1,Tablas!$G$9:$O$1240,9,0)*(D979-INT(D979))+VLOOKUP(INT(D979),Tablas!$G$9:$O$1240,9,0)*(INT(D979)+1-D979))/(VLOOKUP(INT($C$5)+1,Tablas!$G$9:$O$1240,9,0)*($C$5-INT($C$5))+VLOOKUP(INT($C$5),Tablas!$G$9:$O$124,9,0)*(INT($C$5)+1-$C$5)))</f>
      </c>
      <c r="G979" s="791">
        <f>IF($C$4="Hombre",(+VLOOKUP(INT(D979)+1,Tablas!$G$9:$K$1240,5,0)*(D979-INT(D979))+VLOOKUP(INT(D979),Tablas!$G$9:$K$1240,5,0)*(INT(D979)+1-D979)),+VLOOKUP(INT(D979)+1,Tablas!$G$9:$O$1240,9,0)*(D979-INT(D979))+VLOOKUP(INT(D979),Tablas!$G$9:$O$1240,9,0)*(INT(D979)+1-D979))</f>
      </c>
      <c r="H979" s="801">
        <f>+IF(MONTH(B979)=1,H978*(1+$C$9),H978)</f>
      </c>
      <c r="I979" s="689">
        <f>IF(B979&lt;$C$10,0,IF(B979&lt;$C$11,$C$8/12*E979*F979*H979,0))</f>
      </c>
      <c r="J979" s="689">
        <f>I979*12/14+IF(OR(MONTH(C979)=6,MONTH(C979)=12),I979*12/14,0)</f>
      </c>
      <c r="K979" s="801">
        <f>G979/$G$15</f>
      </c>
      <c r="L979" s="760"/>
      <c r="M979" s="767"/>
      <c r="N979" s="168"/>
      <c r="O979" s="768"/>
      <c r="P979" s="170"/>
      <c r="Q979" s="7"/>
      <c r="R979" s="766"/>
      <c r="S979" s="170"/>
      <c r="T979" s="168"/>
      <c r="U979" s="170"/>
    </row>
    <row x14ac:dyDescent="0.25" r="980" customHeight="1" ht="18.75">
      <c r="A980" s="1"/>
      <c r="B980" s="799">
        <f>+DATE(YEAR(B979),MONTH(B979)+1,DAY(B979))</f>
        <v>25569.041666666668</v>
      </c>
      <c r="C980" s="799">
        <f>+B981-1</f>
        <v>25569.041666666668</v>
      </c>
      <c r="D980" s="791">
        <f>-_xlfn.DAYS($C$3,C980)/365.25</f>
      </c>
      <c r="E980" s="800">
        <f>IF($D$17+40&lt;=D980,(1+$D$7)^-(D980-$C$5),(1+$C$7)^-(D980-$C$5))</f>
      </c>
      <c r="F980" s="801">
        <f>IF($C$4="Hombre",(+VLOOKUP(INT(D980)+1,Tablas!$G$9:$K$1240,5,0)*(D980-INT(D980))+VLOOKUP(INT(D980),Tablas!$G$9:$K$1240,5,0)*(INT(D980)+1-D980))/(VLOOKUP(INT($C$5)+1,Tablas!$G$9:$K$1240,5,0)*($C$5-INT($C$5))+VLOOKUP(INT($C$5),Tablas!$G$9:$K$124,5,0)*(INT($C$5)+1-$C$5)),(+VLOOKUP(INT(D980)+1,Tablas!$G$9:$O$1240,9,0)*(D980-INT(D980))+VLOOKUP(INT(D980),Tablas!$G$9:$O$1240,9,0)*(INT(D980)+1-D980))/(VLOOKUP(INT($C$5)+1,Tablas!$G$9:$O$1240,9,0)*($C$5-INT($C$5))+VLOOKUP(INT($C$5),Tablas!$G$9:$O$124,9,0)*(INT($C$5)+1-$C$5)))</f>
      </c>
      <c r="G980" s="791">
        <f>IF($C$4="Hombre",(+VLOOKUP(INT(D980)+1,Tablas!$G$9:$K$1240,5,0)*(D980-INT(D980))+VLOOKUP(INT(D980),Tablas!$G$9:$K$1240,5,0)*(INT(D980)+1-D980)),+VLOOKUP(INT(D980)+1,Tablas!$G$9:$O$1240,9,0)*(D980-INT(D980))+VLOOKUP(INT(D980),Tablas!$G$9:$O$1240,9,0)*(INT(D980)+1-D980))</f>
      </c>
      <c r="H980" s="801">
        <f>+IF(MONTH(B980)=1,H979*(1+$C$9),H979)</f>
      </c>
      <c r="I980" s="689">
        <f>IF(B980&lt;$C$10,0,IF(B980&lt;$C$11,$C$8/12*E980*F980*H980,0))</f>
      </c>
      <c r="J980" s="689">
        <f>I980*12/14+IF(OR(MONTH(C980)=6,MONTH(C980)=12),I980*12/14,0)</f>
      </c>
      <c r="K980" s="801">
        <f>G980/$G$15</f>
      </c>
      <c r="L980" s="760"/>
      <c r="M980" s="767"/>
      <c r="N980" s="168"/>
      <c r="O980" s="768"/>
      <c r="P980" s="170"/>
      <c r="Q980" s="7"/>
      <c r="R980" s="766"/>
      <c r="S980" s="170"/>
      <c r="T980" s="168"/>
      <c r="U980" s="170"/>
    </row>
    <row x14ac:dyDescent="0.25" r="981" customHeight="1" ht="18.75">
      <c r="A981" s="1"/>
      <c r="B981" s="799">
        <f>+DATE(YEAR(B980),MONTH(B980)+1,DAY(B980))</f>
        <v>25569.041666666668</v>
      </c>
      <c r="C981" s="799">
        <f>+B982-1</f>
        <v>25569.041666666668</v>
      </c>
      <c r="D981" s="791">
        <f>-_xlfn.DAYS($C$3,C981)/365.25</f>
      </c>
      <c r="E981" s="800">
        <f>IF($D$17+40&lt;=D981,(1+$D$7)^-(D981-$C$5),(1+$C$7)^-(D981-$C$5))</f>
      </c>
      <c r="F981" s="801">
        <f>IF($C$4="Hombre",(+VLOOKUP(INT(D981)+1,Tablas!$G$9:$K$1240,5,0)*(D981-INT(D981))+VLOOKUP(INT(D981),Tablas!$G$9:$K$1240,5,0)*(INT(D981)+1-D981))/(VLOOKUP(INT($C$5)+1,Tablas!$G$9:$K$1240,5,0)*($C$5-INT($C$5))+VLOOKUP(INT($C$5),Tablas!$G$9:$K$124,5,0)*(INT($C$5)+1-$C$5)),(+VLOOKUP(INT(D981)+1,Tablas!$G$9:$O$1240,9,0)*(D981-INT(D981))+VLOOKUP(INT(D981),Tablas!$G$9:$O$1240,9,0)*(INT(D981)+1-D981))/(VLOOKUP(INT($C$5)+1,Tablas!$G$9:$O$1240,9,0)*($C$5-INT($C$5))+VLOOKUP(INT($C$5),Tablas!$G$9:$O$124,9,0)*(INT($C$5)+1-$C$5)))</f>
      </c>
      <c r="G981" s="791">
        <f>IF($C$4="Hombre",(+VLOOKUP(INT(D981)+1,Tablas!$G$9:$K$1240,5,0)*(D981-INT(D981))+VLOOKUP(INT(D981),Tablas!$G$9:$K$1240,5,0)*(INT(D981)+1-D981)),+VLOOKUP(INT(D981)+1,Tablas!$G$9:$O$1240,9,0)*(D981-INT(D981))+VLOOKUP(INT(D981),Tablas!$G$9:$O$1240,9,0)*(INT(D981)+1-D981))</f>
      </c>
      <c r="H981" s="801">
        <f>+IF(MONTH(B981)=1,H980*(1+$C$9),H980)</f>
      </c>
      <c r="I981" s="689">
        <f>IF(B981&lt;$C$10,0,IF(B981&lt;$C$11,$C$8/12*E981*F981*H981,0))</f>
      </c>
      <c r="J981" s="689">
        <f>I981*12/14+IF(OR(MONTH(C981)=6,MONTH(C981)=12),I981*12/14,0)</f>
      </c>
      <c r="K981" s="801">
        <f>G981/$G$15</f>
      </c>
      <c r="L981" s="760"/>
      <c r="M981" s="767"/>
      <c r="N981" s="168"/>
      <c r="O981" s="768"/>
      <c r="P981" s="170"/>
      <c r="Q981" s="7"/>
      <c r="R981" s="766"/>
      <c r="S981" s="170"/>
      <c r="T981" s="168"/>
      <c r="U981" s="170"/>
    </row>
    <row x14ac:dyDescent="0.25" r="982" customHeight="1" ht="18.75">
      <c r="A982" s="1"/>
      <c r="B982" s="799">
        <f>+DATE(YEAR(B981),MONTH(B981)+1,DAY(B981))</f>
        <v>25569.041666666668</v>
      </c>
      <c r="C982" s="799">
        <f>+B983-1</f>
        <v>25569.041666666668</v>
      </c>
      <c r="D982" s="791">
        <f>-_xlfn.DAYS($C$3,C982)/365.25</f>
      </c>
      <c r="E982" s="800">
        <f>IF($D$17+40&lt;=D982,(1+$D$7)^-(D982-$C$5),(1+$C$7)^-(D982-$C$5))</f>
      </c>
      <c r="F982" s="801">
        <f>IF($C$4="Hombre",(+VLOOKUP(INT(D982)+1,Tablas!$G$9:$K$1240,5,0)*(D982-INT(D982))+VLOOKUP(INT(D982),Tablas!$G$9:$K$1240,5,0)*(INT(D982)+1-D982))/(VLOOKUP(INT($C$5)+1,Tablas!$G$9:$K$1240,5,0)*($C$5-INT($C$5))+VLOOKUP(INT($C$5),Tablas!$G$9:$K$124,5,0)*(INT($C$5)+1-$C$5)),(+VLOOKUP(INT(D982)+1,Tablas!$G$9:$O$1240,9,0)*(D982-INT(D982))+VLOOKUP(INT(D982),Tablas!$G$9:$O$1240,9,0)*(INT(D982)+1-D982))/(VLOOKUP(INT($C$5)+1,Tablas!$G$9:$O$1240,9,0)*($C$5-INT($C$5))+VLOOKUP(INT($C$5),Tablas!$G$9:$O$124,9,0)*(INT($C$5)+1-$C$5)))</f>
      </c>
      <c r="G982" s="791">
        <f>IF($C$4="Hombre",(+VLOOKUP(INT(D982)+1,Tablas!$G$9:$K$1240,5,0)*(D982-INT(D982))+VLOOKUP(INT(D982),Tablas!$G$9:$K$1240,5,0)*(INT(D982)+1-D982)),+VLOOKUP(INT(D982)+1,Tablas!$G$9:$O$1240,9,0)*(D982-INT(D982))+VLOOKUP(INT(D982),Tablas!$G$9:$O$1240,9,0)*(INT(D982)+1-D982))</f>
      </c>
      <c r="H982" s="801">
        <f>+IF(MONTH(B982)=1,H981*(1+$C$9),H981)</f>
      </c>
      <c r="I982" s="689">
        <f>IF(B982&lt;$C$10,0,IF(B982&lt;$C$11,$C$8/12*E982*F982*H982,0))</f>
      </c>
      <c r="J982" s="689">
        <f>I982*12/14+IF(OR(MONTH(C982)=6,MONTH(C982)=12),I982*12/14,0)</f>
      </c>
      <c r="K982" s="801">
        <f>G982/$G$15</f>
      </c>
      <c r="L982" s="760"/>
      <c r="M982" s="767"/>
      <c r="N982" s="168"/>
      <c r="O982" s="768"/>
      <c r="P982" s="170"/>
      <c r="Q982" s="7"/>
      <c r="R982" s="766"/>
      <c r="S982" s="170"/>
      <c r="T982" s="168"/>
      <c r="U982" s="170"/>
    </row>
    <row x14ac:dyDescent="0.25" r="983" customHeight="1" ht="18.75">
      <c r="A983" s="1"/>
      <c r="B983" s="799">
        <f>+DATE(YEAR(B982),MONTH(B982)+1,DAY(B982))</f>
        <v>25569.041666666668</v>
      </c>
      <c r="C983" s="799">
        <f>+B984-1</f>
        <v>25569.041666666668</v>
      </c>
      <c r="D983" s="791">
        <f>-_xlfn.DAYS($C$3,C983)/365.25</f>
      </c>
      <c r="E983" s="800">
        <f>IF($D$17+40&lt;=D983,(1+$D$7)^-(D983-$C$5),(1+$C$7)^-(D983-$C$5))</f>
      </c>
      <c r="F983" s="801">
        <f>IF($C$4="Hombre",(+VLOOKUP(INT(D983)+1,Tablas!$G$9:$K$1240,5,0)*(D983-INT(D983))+VLOOKUP(INT(D983),Tablas!$G$9:$K$1240,5,0)*(INT(D983)+1-D983))/(VLOOKUP(INT($C$5)+1,Tablas!$G$9:$K$1240,5,0)*($C$5-INT($C$5))+VLOOKUP(INT($C$5),Tablas!$G$9:$K$124,5,0)*(INT($C$5)+1-$C$5)),(+VLOOKUP(INT(D983)+1,Tablas!$G$9:$O$1240,9,0)*(D983-INT(D983))+VLOOKUP(INT(D983),Tablas!$G$9:$O$1240,9,0)*(INT(D983)+1-D983))/(VLOOKUP(INT($C$5)+1,Tablas!$G$9:$O$1240,9,0)*($C$5-INT($C$5))+VLOOKUP(INT($C$5),Tablas!$G$9:$O$124,9,0)*(INT($C$5)+1-$C$5)))</f>
      </c>
      <c r="G983" s="791">
        <f>IF($C$4="Hombre",(+VLOOKUP(INT(D983)+1,Tablas!$G$9:$K$1240,5,0)*(D983-INT(D983))+VLOOKUP(INT(D983),Tablas!$G$9:$K$1240,5,0)*(INT(D983)+1-D983)),+VLOOKUP(INT(D983)+1,Tablas!$G$9:$O$1240,9,0)*(D983-INT(D983))+VLOOKUP(INT(D983),Tablas!$G$9:$O$1240,9,0)*(INT(D983)+1-D983))</f>
      </c>
      <c r="H983" s="801">
        <f>+IF(MONTH(B983)=1,H982*(1+$C$9),H982)</f>
      </c>
      <c r="I983" s="689">
        <f>IF(B983&lt;$C$10,0,IF(B983&lt;$C$11,$C$8/12*E983*F983*H983,0))</f>
      </c>
      <c r="J983" s="689">
        <f>I983*12/14+IF(OR(MONTH(C983)=6,MONTH(C983)=12),I983*12/14,0)</f>
      </c>
      <c r="K983" s="801">
        <f>G983/$G$15</f>
      </c>
      <c r="L983" s="760"/>
      <c r="M983" s="767"/>
      <c r="N983" s="168"/>
      <c r="O983" s="768"/>
      <c r="P983" s="170"/>
      <c r="Q983" s="7"/>
      <c r="R983" s="766"/>
      <c r="S983" s="170"/>
      <c r="T983" s="168"/>
      <c r="U983" s="170"/>
    </row>
    <row x14ac:dyDescent="0.25" r="984" customHeight="1" ht="18.75">
      <c r="A984" s="1"/>
      <c r="B984" s="799">
        <f>+DATE(YEAR(B983),MONTH(B983)+1,DAY(B983))</f>
        <v>25569.041666666668</v>
      </c>
      <c r="C984" s="799">
        <f>+B985-1</f>
        <v>25569.041666666668</v>
      </c>
      <c r="D984" s="791">
        <f>-_xlfn.DAYS($C$3,C984)/365.25</f>
      </c>
      <c r="E984" s="800">
        <f>IF($D$17+40&lt;=D984,(1+$D$7)^-(D984-$C$5),(1+$C$7)^-(D984-$C$5))</f>
      </c>
      <c r="F984" s="801">
        <f>IF($C$4="Hombre",(+VLOOKUP(INT(D984)+1,Tablas!$G$9:$K$1240,5,0)*(D984-INT(D984))+VLOOKUP(INT(D984),Tablas!$G$9:$K$1240,5,0)*(INT(D984)+1-D984))/(VLOOKUP(INT($C$5)+1,Tablas!$G$9:$K$1240,5,0)*($C$5-INT($C$5))+VLOOKUP(INT($C$5),Tablas!$G$9:$K$124,5,0)*(INT($C$5)+1-$C$5)),(+VLOOKUP(INT(D984)+1,Tablas!$G$9:$O$1240,9,0)*(D984-INT(D984))+VLOOKUP(INT(D984),Tablas!$G$9:$O$1240,9,0)*(INT(D984)+1-D984))/(VLOOKUP(INT($C$5)+1,Tablas!$G$9:$O$1240,9,0)*($C$5-INT($C$5))+VLOOKUP(INT($C$5),Tablas!$G$9:$O$124,9,0)*(INT($C$5)+1-$C$5)))</f>
      </c>
      <c r="G984" s="791">
        <f>IF($C$4="Hombre",(+VLOOKUP(INT(D984)+1,Tablas!$G$9:$K$1240,5,0)*(D984-INT(D984))+VLOOKUP(INT(D984),Tablas!$G$9:$K$1240,5,0)*(INT(D984)+1-D984)),+VLOOKUP(INT(D984)+1,Tablas!$G$9:$O$1240,9,0)*(D984-INT(D984))+VLOOKUP(INT(D984),Tablas!$G$9:$O$1240,9,0)*(INT(D984)+1-D984))</f>
      </c>
      <c r="H984" s="801">
        <f>+IF(MONTH(B984)=1,H983*(1+$C$9),H983)</f>
      </c>
      <c r="I984" s="689">
        <f>IF(B984&lt;$C$10,0,IF(B984&lt;$C$11,$C$8/12*E984*F984*H984,0))</f>
      </c>
      <c r="J984" s="689">
        <f>I984*12/14+IF(OR(MONTH(C984)=6,MONTH(C984)=12),I984*12/14,0)</f>
      </c>
      <c r="K984" s="801">
        <f>G984/$G$15</f>
      </c>
      <c r="L984" s="760"/>
      <c r="M984" s="767"/>
      <c r="N984" s="168"/>
      <c r="O984" s="768"/>
      <c r="P984" s="170"/>
      <c r="Q984" s="7"/>
      <c r="R984" s="766"/>
      <c r="S984" s="170"/>
      <c r="T984" s="168"/>
      <c r="U984" s="170"/>
    </row>
    <row x14ac:dyDescent="0.25" r="985" customHeight="1" ht="18.75">
      <c r="A985" s="1"/>
      <c r="B985" s="799">
        <f>+DATE(YEAR(B984),MONTH(B984)+1,DAY(B984))</f>
        <v>25569.041666666668</v>
      </c>
      <c r="C985" s="799">
        <f>+B986-1</f>
        <v>25569.041666666668</v>
      </c>
      <c r="D985" s="791">
        <f>-_xlfn.DAYS($C$3,C985)/365.25</f>
      </c>
      <c r="E985" s="800">
        <f>IF($D$17+40&lt;=D985,(1+$D$7)^-(D985-$C$5),(1+$C$7)^-(D985-$C$5))</f>
      </c>
      <c r="F985" s="801">
        <f>IF($C$4="Hombre",(+VLOOKUP(INT(D985)+1,Tablas!$G$9:$K$1240,5,0)*(D985-INT(D985))+VLOOKUP(INT(D985),Tablas!$G$9:$K$1240,5,0)*(INT(D985)+1-D985))/(VLOOKUP(INT($C$5)+1,Tablas!$G$9:$K$1240,5,0)*($C$5-INT($C$5))+VLOOKUP(INT($C$5),Tablas!$G$9:$K$124,5,0)*(INT($C$5)+1-$C$5)),(+VLOOKUP(INT(D985)+1,Tablas!$G$9:$O$1240,9,0)*(D985-INT(D985))+VLOOKUP(INT(D985),Tablas!$G$9:$O$1240,9,0)*(INT(D985)+1-D985))/(VLOOKUP(INT($C$5)+1,Tablas!$G$9:$O$1240,9,0)*($C$5-INT($C$5))+VLOOKUP(INT($C$5),Tablas!$G$9:$O$124,9,0)*(INT($C$5)+1-$C$5)))</f>
      </c>
      <c r="G985" s="791">
        <f>IF($C$4="Hombre",(+VLOOKUP(INT(D985)+1,Tablas!$G$9:$K$1240,5,0)*(D985-INT(D985))+VLOOKUP(INT(D985),Tablas!$G$9:$K$1240,5,0)*(INT(D985)+1-D985)),+VLOOKUP(INT(D985)+1,Tablas!$G$9:$O$1240,9,0)*(D985-INT(D985))+VLOOKUP(INT(D985),Tablas!$G$9:$O$1240,9,0)*(INT(D985)+1-D985))</f>
      </c>
      <c r="H985" s="801">
        <f>+IF(MONTH(B985)=1,H984*(1+$C$9),H984)</f>
      </c>
      <c r="I985" s="689">
        <f>IF(B985&lt;$C$10,0,IF(B985&lt;$C$11,$C$8/12*E985*F985*H985,0))</f>
      </c>
      <c r="J985" s="689">
        <f>I985*12/14+IF(OR(MONTH(C985)=6,MONTH(C985)=12),I985*12/14,0)</f>
      </c>
      <c r="K985" s="801">
        <f>G985/$G$15</f>
      </c>
      <c r="L985" s="760"/>
      <c r="M985" s="767"/>
      <c r="N985" s="168"/>
      <c r="O985" s="768"/>
      <c r="P985" s="170"/>
      <c r="Q985" s="7"/>
      <c r="R985" s="766"/>
      <c r="S985" s="170"/>
      <c r="T985" s="168"/>
      <c r="U985" s="170"/>
    </row>
    <row x14ac:dyDescent="0.25" r="986" customHeight="1" ht="18.75">
      <c r="A986" s="1"/>
      <c r="B986" s="799">
        <f>+DATE(YEAR(B985),MONTH(B985)+1,DAY(B985))</f>
        <v>25569.041666666668</v>
      </c>
      <c r="C986" s="799">
        <f>+B987-1</f>
        <v>25569.041666666668</v>
      </c>
      <c r="D986" s="791">
        <f>-_xlfn.DAYS($C$3,C986)/365.25</f>
      </c>
      <c r="E986" s="800">
        <f>IF($D$17+40&lt;=D986,(1+$D$7)^-(D986-$C$5),(1+$C$7)^-(D986-$C$5))</f>
      </c>
      <c r="F986" s="801">
        <f>IF($C$4="Hombre",(+VLOOKUP(INT(D986)+1,Tablas!$G$9:$K$1240,5,0)*(D986-INT(D986))+VLOOKUP(INT(D986),Tablas!$G$9:$K$1240,5,0)*(INT(D986)+1-D986))/(VLOOKUP(INT($C$5)+1,Tablas!$G$9:$K$1240,5,0)*($C$5-INT($C$5))+VLOOKUP(INT($C$5),Tablas!$G$9:$K$124,5,0)*(INT($C$5)+1-$C$5)),(+VLOOKUP(INT(D986)+1,Tablas!$G$9:$O$1240,9,0)*(D986-INT(D986))+VLOOKUP(INT(D986),Tablas!$G$9:$O$1240,9,0)*(INT(D986)+1-D986))/(VLOOKUP(INT($C$5)+1,Tablas!$G$9:$O$1240,9,0)*($C$5-INT($C$5))+VLOOKUP(INT($C$5),Tablas!$G$9:$O$124,9,0)*(INT($C$5)+1-$C$5)))</f>
      </c>
      <c r="G986" s="791">
        <f>IF($C$4="Hombre",(+VLOOKUP(INT(D986)+1,Tablas!$G$9:$K$1240,5,0)*(D986-INT(D986))+VLOOKUP(INT(D986),Tablas!$G$9:$K$1240,5,0)*(INT(D986)+1-D986)),+VLOOKUP(INT(D986)+1,Tablas!$G$9:$O$1240,9,0)*(D986-INT(D986))+VLOOKUP(INT(D986),Tablas!$G$9:$O$1240,9,0)*(INT(D986)+1-D986))</f>
      </c>
      <c r="H986" s="801">
        <f>+IF(MONTH(B986)=1,H985*(1+$C$9),H985)</f>
      </c>
      <c r="I986" s="689">
        <f>IF(B986&lt;$C$10,0,IF(B986&lt;$C$11,$C$8/12*E986*F986*H986,0))</f>
      </c>
      <c r="J986" s="689">
        <f>I986*12/14+IF(OR(MONTH(C986)=6,MONTH(C986)=12),I986*12/14,0)</f>
      </c>
      <c r="K986" s="801">
        <f>G986/$G$15</f>
      </c>
      <c r="L986" s="760"/>
      <c r="M986" s="767"/>
      <c r="N986" s="168"/>
      <c r="O986" s="768"/>
      <c r="P986" s="170"/>
      <c r="Q986" s="7"/>
      <c r="R986" s="766"/>
      <c r="S986" s="170"/>
      <c r="T986" s="168"/>
      <c r="U986" s="170"/>
    </row>
    <row x14ac:dyDescent="0.25" r="987" customHeight="1" ht="18.75">
      <c r="A987" s="1"/>
      <c r="B987" s="799">
        <f>+DATE(YEAR(B986),MONTH(B986)+1,DAY(B986))</f>
        <v>25569.041666666668</v>
      </c>
      <c r="C987" s="799">
        <f>+B988-1</f>
        <v>25569.041666666668</v>
      </c>
      <c r="D987" s="791">
        <f>-_xlfn.DAYS($C$3,C987)/365.25</f>
      </c>
      <c r="E987" s="800">
        <f>IF($D$17+40&lt;=D987,(1+$D$7)^-(D987-$C$5),(1+$C$7)^-(D987-$C$5))</f>
      </c>
      <c r="F987" s="801">
        <f>IF($C$4="Hombre",(+VLOOKUP(INT(D987)+1,Tablas!$G$9:$K$1240,5,0)*(D987-INT(D987))+VLOOKUP(INT(D987),Tablas!$G$9:$K$1240,5,0)*(INT(D987)+1-D987))/(VLOOKUP(INT($C$5)+1,Tablas!$G$9:$K$1240,5,0)*($C$5-INT($C$5))+VLOOKUP(INT($C$5),Tablas!$G$9:$K$124,5,0)*(INT($C$5)+1-$C$5)),(+VLOOKUP(INT(D987)+1,Tablas!$G$9:$O$1240,9,0)*(D987-INT(D987))+VLOOKUP(INT(D987),Tablas!$G$9:$O$1240,9,0)*(INT(D987)+1-D987))/(VLOOKUP(INT($C$5)+1,Tablas!$G$9:$O$1240,9,0)*($C$5-INT($C$5))+VLOOKUP(INT($C$5),Tablas!$G$9:$O$124,9,0)*(INT($C$5)+1-$C$5)))</f>
      </c>
      <c r="G987" s="791">
        <f>IF($C$4="Hombre",(+VLOOKUP(INT(D987)+1,Tablas!$G$9:$K$1240,5,0)*(D987-INT(D987))+VLOOKUP(INT(D987),Tablas!$G$9:$K$1240,5,0)*(INT(D987)+1-D987)),+VLOOKUP(INT(D987)+1,Tablas!$G$9:$O$1240,9,0)*(D987-INT(D987))+VLOOKUP(INT(D987),Tablas!$G$9:$O$1240,9,0)*(INT(D987)+1-D987))</f>
      </c>
      <c r="H987" s="801">
        <f>+IF(MONTH(B987)=1,H986*(1+$C$9),H986)</f>
      </c>
      <c r="I987" s="689">
        <f>IF(B987&lt;$C$10,0,IF(B987&lt;$C$11,$C$8/12*E987*F987*H987,0))</f>
      </c>
      <c r="J987" s="689">
        <f>I987*12/14+IF(OR(MONTH(C987)=6,MONTH(C987)=12),I987*12/14,0)</f>
      </c>
      <c r="K987" s="801">
        <f>G987/$G$15</f>
      </c>
      <c r="L987" s="760"/>
      <c r="M987" s="767"/>
      <c r="N987" s="168"/>
      <c r="O987" s="768"/>
      <c r="P987" s="170"/>
      <c r="Q987" s="7"/>
      <c r="R987" s="766"/>
      <c r="S987" s="170"/>
      <c r="T987" s="168"/>
      <c r="U987" s="170"/>
    </row>
    <row x14ac:dyDescent="0.25" r="988" customHeight="1" ht="18.75">
      <c r="A988" s="1"/>
      <c r="B988" s="799">
        <f>+DATE(YEAR(B987),MONTH(B987)+1,DAY(B987))</f>
        <v>25569.041666666668</v>
      </c>
      <c r="C988" s="799">
        <f>+B989-1</f>
        <v>25569.041666666668</v>
      </c>
      <c r="D988" s="791">
        <f>-_xlfn.DAYS($C$3,C988)/365.25</f>
      </c>
      <c r="E988" s="800">
        <f>IF($D$17+40&lt;=D988,(1+$D$7)^-(D988-$C$5),(1+$C$7)^-(D988-$C$5))</f>
      </c>
      <c r="F988" s="801">
        <f>IF($C$4="Hombre",(+VLOOKUP(INT(D988)+1,Tablas!$G$9:$K$1240,5,0)*(D988-INT(D988))+VLOOKUP(INT(D988),Tablas!$G$9:$K$1240,5,0)*(INT(D988)+1-D988))/(VLOOKUP(INT($C$5)+1,Tablas!$G$9:$K$1240,5,0)*($C$5-INT($C$5))+VLOOKUP(INT($C$5),Tablas!$G$9:$K$124,5,0)*(INT($C$5)+1-$C$5)),(+VLOOKUP(INT(D988)+1,Tablas!$G$9:$O$1240,9,0)*(D988-INT(D988))+VLOOKUP(INT(D988),Tablas!$G$9:$O$1240,9,0)*(INT(D988)+1-D988))/(VLOOKUP(INT($C$5)+1,Tablas!$G$9:$O$1240,9,0)*($C$5-INT($C$5))+VLOOKUP(INT($C$5),Tablas!$G$9:$O$124,9,0)*(INT($C$5)+1-$C$5)))</f>
      </c>
      <c r="G988" s="791">
        <f>IF($C$4="Hombre",(+VLOOKUP(INT(D988)+1,Tablas!$G$9:$K$1240,5,0)*(D988-INT(D988))+VLOOKUP(INT(D988),Tablas!$G$9:$K$1240,5,0)*(INT(D988)+1-D988)),+VLOOKUP(INT(D988)+1,Tablas!$G$9:$O$1240,9,0)*(D988-INT(D988))+VLOOKUP(INT(D988),Tablas!$G$9:$O$1240,9,0)*(INT(D988)+1-D988))</f>
      </c>
      <c r="H988" s="801">
        <f>+IF(MONTH(B988)=1,H987*(1+$C$9),H987)</f>
      </c>
      <c r="I988" s="689">
        <f>IF(B988&lt;$C$10,0,IF(B988&lt;$C$11,$C$8/12*E988*F988*H988,0))</f>
      </c>
      <c r="J988" s="689">
        <f>I988*12/14+IF(OR(MONTH(C988)=6,MONTH(C988)=12),I988*12/14,0)</f>
      </c>
      <c r="K988" s="801">
        <f>G988/$G$15</f>
      </c>
      <c r="L988" s="760"/>
      <c r="M988" s="767"/>
      <c r="N988" s="168"/>
      <c r="O988" s="768"/>
      <c r="P988" s="170"/>
      <c r="Q988" s="7"/>
      <c r="R988" s="766"/>
      <c r="S988" s="170"/>
      <c r="T988" s="168"/>
      <c r="U988" s="170"/>
    </row>
    <row x14ac:dyDescent="0.25" r="989" customHeight="1" ht="18.75">
      <c r="A989" s="1"/>
      <c r="B989" s="799">
        <f>+DATE(YEAR(B988),MONTH(B988)+1,DAY(B988))</f>
        <v>25569.041666666668</v>
      </c>
      <c r="C989" s="799">
        <f>+B990-1</f>
        <v>25569.041666666668</v>
      </c>
      <c r="D989" s="791">
        <f>-_xlfn.DAYS($C$3,C989)/365.25</f>
      </c>
      <c r="E989" s="800">
        <f>IF($D$17+40&lt;=D989,(1+$D$7)^-(D989-$C$5),(1+$C$7)^-(D989-$C$5))</f>
      </c>
      <c r="F989" s="801">
        <f>IF($C$4="Hombre",(+VLOOKUP(INT(D989)+1,Tablas!$G$9:$K$1240,5,0)*(D989-INT(D989))+VLOOKUP(INT(D989),Tablas!$G$9:$K$1240,5,0)*(INT(D989)+1-D989))/(VLOOKUP(INT($C$5)+1,Tablas!$G$9:$K$1240,5,0)*($C$5-INT($C$5))+VLOOKUP(INT($C$5),Tablas!$G$9:$K$124,5,0)*(INT($C$5)+1-$C$5)),(+VLOOKUP(INT(D989)+1,Tablas!$G$9:$O$1240,9,0)*(D989-INT(D989))+VLOOKUP(INT(D989),Tablas!$G$9:$O$1240,9,0)*(INT(D989)+1-D989))/(VLOOKUP(INT($C$5)+1,Tablas!$G$9:$O$1240,9,0)*($C$5-INT($C$5))+VLOOKUP(INT($C$5),Tablas!$G$9:$O$124,9,0)*(INT($C$5)+1-$C$5)))</f>
      </c>
      <c r="G989" s="791">
        <f>IF($C$4="Hombre",(+VLOOKUP(INT(D989)+1,Tablas!$G$9:$K$1240,5,0)*(D989-INT(D989))+VLOOKUP(INT(D989),Tablas!$G$9:$K$1240,5,0)*(INT(D989)+1-D989)),+VLOOKUP(INT(D989)+1,Tablas!$G$9:$O$1240,9,0)*(D989-INT(D989))+VLOOKUP(INT(D989),Tablas!$G$9:$O$1240,9,0)*(INT(D989)+1-D989))</f>
      </c>
      <c r="H989" s="801">
        <f>+IF(MONTH(B989)=1,H988*(1+$C$9),H988)</f>
      </c>
      <c r="I989" s="689">
        <f>IF(B989&lt;$C$10,0,IF(B989&lt;$C$11,$C$8/12*E989*F989*H989,0))</f>
      </c>
      <c r="J989" s="689">
        <f>I989*12/14+IF(OR(MONTH(C989)=6,MONTH(C989)=12),I989*12/14,0)</f>
      </c>
      <c r="K989" s="801">
        <f>G989/$G$15</f>
      </c>
      <c r="L989" s="760"/>
      <c r="M989" s="767"/>
      <c r="N989" s="168"/>
      <c r="O989" s="768"/>
      <c r="P989" s="170"/>
      <c r="Q989" s="7"/>
      <c r="R989" s="766"/>
      <c r="S989" s="170"/>
      <c r="T989" s="168"/>
      <c r="U989" s="170"/>
    </row>
    <row x14ac:dyDescent="0.25" r="990" customHeight="1" ht="18.75">
      <c r="A990" s="1"/>
      <c r="B990" s="799">
        <f>+DATE(YEAR(B989),MONTH(B989)+1,DAY(B989))</f>
        <v>25569.041666666668</v>
      </c>
      <c r="C990" s="799">
        <f>+B991-1</f>
        <v>25569.041666666668</v>
      </c>
      <c r="D990" s="791">
        <f>-_xlfn.DAYS($C$3,C990)/365.25</f>
      </c>
      <c r="E990" s="800">
        <f>IF($D$17+40&lt;=D990,(1+$D$7)^-(D990-$C$5),(1+$C$7)^-(D990-$C$5))</f>
      </c>
      <c r="F990" s="801">
        <f>IF($C$4="Hombre",(+VLOOKUP(INT(D990)+1,Tablas!$G$9:$K$1240,5,0)*(D990-INT(D990))+VLOOKUP(INT(D990),Tablas!$G$9:$K$1240,5,0)*(INT(D990)+1-D990))/(VLOOKUP(INT($C$5)+1,Tablas!$G$9:$K$1240,5,0)*($C$5-INT($C$5))+VLOOKUP(INT($C$5),Tablas!$G$9:$K$124,5,0)*(INT($C$5)+1-$C$5)),(+VLOOKUP(INT(D990)+1,Tablas!$G$9:$O$1240,9,0)*(D990-INT(D990))+VLOOKUP(INT(D990),Tablas!$G$9:$O$1240,9,0)*(INT(D990)+1-D990))/(VLOOKUP(INT($C$5)+1,Tablas!$G$9:$O$1240,9,0)*($C$5-INT($C$5))+VLOOKUP(INT($C$5),Tablas!$G$9:$O$124,9,0)*(INT($C$5)+1-$C$5)))</f>
      </c>
      <c r="G990" s="791">
        <f>IF($C$4="Hombre",(+VLOOKUP(INT(D990)+1,Tablas!$G$9:$K$1240,5,0)*(D990-INT(D990))+VLOOKUP(INT(D990),Tablas!$G$9:$K$1240,5,0)*(INT(D990)+1-D990)),+VLOOKUP(INT(D990)+1,Tablas!$G$9:$O$1240,9,0)*(D990-INT(D990))+VLOOKUP(INT(D990),Tablas!$G$9:$O$1240,9,0)*(INT(D990)+1-D990))</f>
      </c>
      <c r="H990" s="801">
        <f>+IF(MONTH(B990)=1,H989*(1+$C$9),H989)</f>
      </c>
      <c r="I990" s="689">
        <f>IF(B990&lt;$C$10,0,IF(B990&lt;$C$11,$C$8/12*E990*F990*H990,0))</f>
      </c>
      <c r="J990" s="689">
        <f>I990*12/14+IF(OR(MONTH(C990)=6,MONTH(C990)=12),I990*12/14,0)</f>
      </c>
      <c r="K990" s="801">
        <f>G990/$G$15</f>
      </c>
      <c r="L990" s="760"/>
      <c r="M990" s="767"/>
      <c r="N990" s="168"/>
      <c r="O990" s="768"/>
      <c r="P990" s="170"/>
      <c r="Q990" s="7"/>
      <c r="R990" s="766"/>
      <c r="S990" s="170"/>
      <c r="T990" s="168"/>
      <c r="U990" s="170"/>
    </row>
    <row x14ac:dyDescent="0.25" r="991" customHeight="1" ht="18.75">
      <c r="A991" s="1"/>
      <c r="B991" s="799">
        <f>+DATE(YEAR(B990),MONTH(B990)+1,DAY(B990))</f>
        <v>25569.041666666668</v>
      </c>
      <c r="C991" s="799">
        <f>+B992-1</f>
        <v>25569.041666666668</v>
      </c>
      <c r="D991" s="791">
        <f>-_xlfn.DAYS($C$3,C991)/365.25</f>
      </c>
      <c r="E991" s="800">
        <f>IF($D$17+40&lt;=D991,(1+$D$7)^-(D991-$C$5),(1+$C$7)^-(D991-$C$5))</f>
      </c>
      <c r="F991" s="801">
        <f>IF($C$4="Hombre",(+VLOOKUP(INT(D991)+1,Tablas!$G$9:$K$1240,5,0)*(D991-INT(D991))+VLOOKUP(INT(D991),Tablas!$G$9:$K$1240,5,0)*(INT(D991)+1-D991))/(VLOOKUP(INT($C$5)+1,Tablas!$G$9:$K$1240,5,0)*($C$5-INT($C$5))+VLOOKUP(INT($C$5),Tablas!$G$9:$K$124,5,0)*(INT($C$5)+1-$C$5)),(+VLOOKUP(INT(D991)+1,Tablas!$G$9:$O$1240,9,0)*(D991-INT(D991))+VLOOKUP(INT(D991),Tablas!$G$9:$O$1240,9,0)*(INT(D991)+1-D991))/(VLOOKUP(INT($C$5)+1,Tablas!$G$9:$O$1240,9,0)*($C$5-INT($C$5))+VLOOKUP(INT($C$5),Tablas!$G$9:$O$124,9,0)*(INT($C$5)+1-$C$5)))</f>
      </c>
      <c r="G991" s="791">
        <f>IF($C$4="Hombre",(+VLOOKUP(INT(D991)+1,Tablas!$G$9:$K$1240,5,0)*(D991-INT(D991))+VLOOKUP(INT(D991),Tablas!$G$9:$K$1240,5,0)*(INT(D991)+1-D991)),+VLOOKUP(INT(D991)+1,Tablas!$G$9:$O$1240,9,0)*(D991-INT(D991))+VLOOKUP(INT(D991),Tablas!$G$9:$O$1240,9,0)*(INT(D991)+1-D991))</f>
      </c>
      <c r="H991" s="801">
        <f>+IF(MONTH(B991)=1,H990*(1+$C$9),H990)</f>
      </c>
      <c r="I991" s="689">
        <f>IF(B991&lt;$C$10,0,IF(B991&lt;$C$11,$C$8/12*E991*F991*H991,0))</f>
      </c>
      <c r="J991" s="689">
        <f>I991*12/14+IF(OR(MONTH(C991)=6,MONTH(C991)=12),I991*12/14,0)</f>
      </c>
      <c r="K991" s="801">
        <f>G991/$G$15</f>
      </c>
      <c r="L991" s="760"/>
      <c r="M991" s="767"/>
      <c r="N991" s="168"/>
      <c r="O991" s="768"/>
      <c r="P991" s="170"/>
      <c r="Q991" s="7"/>
      <c r="R991" s="766"/>
      <c r="S991" s="170"/>
      <c r="T991" s="168"/>
      <c r="U991" s="170"/>
    </row>
    <row x14ac:dyDescent="0.25" r="992" customHeight="1" ht="18.75">
      <c r="A992" s="1"/>
      <c r="B992" s="799">
        <f>+DATE(YEAR(B991),MONTH(B991)+1,DAY(B991))</f>
        <v>25569.041666666668</v>
      </c>
      <c r="C992" s="799">
        <f>+B993-1</f>
        <v>25569.041666666668</v>
      </c>
      <c r="D992" s="791">
        <f>-_xlfn.DAYS($C$3,C992)/365.25</f>
      </c>
      <c r="E992" s="800">
        <f>IF($D$17+40&lt;=D992,(1+$D$7)^-(D992-$C$5),(1+$C$7)^-(D992-$C$5))</f>
      </c>
      <c r="F992" s="801">
        <f>IF($C$4="Hombre",(+VLOOKUP(INT(D992)+1,Tablas!$G$9:$K$1240,5,0)*(D992-INT(D992))+VLOOKUP(INT(D992),Tablas!$G$9:$K$1240,5,0)*(INT(D992)+1-D992))/(VLOOKUP(INT($C$5)+1,Tablas!$G$9:$K$1240,5,0)*($C$5-INT($C$5))+VLOOKUP(INT($C$5),Tablas!$G$9:$K$124,5,0)*(INT($C$5)+1-$C$5)),(+VLOOKUP(INT(D992)+1,Tablas!$G$9:$O$1240,9,0)*(D992-INT(D992))+VLOOKUP(INT(D992),Tablas!$G$9:$O$1240,9,0)*(INT(D992)+1-D992))/(VLOOKUP(INT($C$5)+1,Tablas!$G$9:$O$1240,9,0)*($C$5-INT($C$5))+VLOOKUP(INT($C$5),Tablas!$G$9:$O$124,9,0)*(INT($C$5)+1-$C$5)))</f>
      </c>
      <c r="G992" s="791">
        <f>IF($C$4="Hombre",(+VLOOKUP(INT(D992)+1,Tablas!$G$9:$K$1240,5,0)*(D992-INT(D992))+VLOOKUP(INT(D992),Tablas!$G$9:$K$1240,5,0)*(INT(D992)+1-D992)),+VLOOKUP(INT(D992)+1,Tablas!$G$9:$O$1240,9,0)*(D992-INT(D992))+VLOOKUP(INT(D992),Tablas!$G$9:$O$1240,9,0)*(INT(D992)+1-D992))</f>
      </c>
      <c r="H992" s="801">
        <f>+IF(MONTH(B992)=1,H991*(1+$C$9),H991)</f>
      </c>
      <c r="I992" s="689">
        <f>IF(B992&lt;$C$10,0,IF(B992&lt;$C$11,$C$8/12*E992*F992*H992,0))</f>
      </c>
      <c r="J992" s="689">
        <f>I992*12/14+IF(OR(MONTH(C992)=6,MONTH(C992)=12),I992*12/14,0)</f>
      </c>
      <c r="K992" s="801">
        <f>G992/$G$15</f>
      </c>
      <c r="L992" s="760"/>
      <c r="M992" s="767"/>
      <c r="N992" s="168"/>
      <c r="O992" s="768"/>
      <c r="P992" s="170"/>
      <c r="Q992" s="7"/>
      <c r="R992" s="766"/>
      <c r="S992" s="170"/>
      <c r="T992" s="168"/>
      <c r="U992" s="170"/>
    </row>
    <row x14ac:dyDescent="0.25" r="993" customHeight="1" ht="18.75">
      <c r="A993" s="1"/>
      <c r="B993" s="799">
        <f>+DATE(YEAR(B992),MONTH(B992)+1,DAY(B992))</f>
        <v>25569.041666666668</v>
      </c>
      <c r="C993" s="799">
        <f>+B994-1</f>
        <v>25569.041666666668</v>
      </c>
      <c r="D993" s="791">
        <f>-_xlfn.DAYS($C$3,C993)/365.25</f>
      </c>
      <c r="E993" s="800">
        <f>IF($D$17+40&lt;=D993,(1+$D$7)^-(D993-$C$5),(1+$C$7)^-(D993-$C$5))</f>
      </c>
      <c r="F993" s="801">
        <f>IF($C$4="Hombre",(+VLOOKUP(INT(D993)+1,Tablas!$G$9:$K$1240,5,0)*(D993-INT(D993))+VLOOKUP(INT(D993),Tablas!$G$9:$K$1240,5,0)*(INT(D993)+1-D993))/(VLOOKUP(INT($C$5)+1,Tablas!$G$9:$K$1240,5,0)*($C$5-INT($C$5))+VLOOKUP(INT($C$5),Tablas!$G$9:$K$124,5,0)*(INT($C$5)+1-$C$5)),(+VLOOKUP(INT(D993)+1,Tablas!$G$9:$O$1240,9,0)*(D993-INT(D993))+VLOOKUP(INT(D993),Tablas!$G$9:$O$1240,9,0)*(INT(D993)+1-D993))/(VLOOKUP(INT($C$5)+1,Tablas!$G$9:$O$1240,9,0)*($C$5-INT($C$5))+VLOOKUP(INT($C$5),Tablas!$G$9:$O$124,9,0)*(INT($C$5)+1-$C$5)))</f>
      </c>
      <c r="G993" s="791">
        <f>IF($C$4="Hombre",(+VLOOKUP(INT(D993)+1,Tablas!$G$9:$K$1240,5,0)*(D993-INT(D993))+VLOOKUP(INT(D993),Tablas!$G$9:$K$1240,5,0)*(INT(D993)+1-D993)),+VLOOKUP(INT(D993)+1,Tablas!$G$9:$O$1240,9,0)*(D993-INT(D993))+VLOOKUP(INT(D993),Tablas!$G$9:$O$1240,9,0)*(INT(D993)+1-D993))</f>
      </c>
      <c r="H993" s="801">
        <f>+IF(MONTH(B993)=1,H992*(1+$C$9),H992)</f>
      </c>
      <c r="I993" s="689">
        <f>IF(B993&lt;$C$10,0,IF(B993&lt;$C$11,$C$8/12*E993*F993*H993,0))</f>
      </c>
      <c r="J993" s="689">
        <f>I993*12/14+IF(OR(MONTH(C993)=6,MONTH(C993)=12),I993*12/14,0)</f>
      </c>
      <c r="K993" s="801">
        <f>G993/$G$15</f>
      </c>
      <c r="L993" s="760"/>
      <c r="M993" s="767"/>
      <c r="N993" s="168"/>
      <c r="O993" s="768"/>
      <c r="P993" s="170"/>
      <c r="Q993" s="7"/>
      <c r="R993" s="766"/>
      <c r="S993" s="170"/>
      <c r="T993" s="168"/>
      <c r="U993" s="170"/>
    </row>
    <row x14ac:dyDescent="0.25" r="994" customHeight="1" ht="18.75">
      <c r="A994" s="1"/>
      <c r="B994" s="799">
        <f>+DATE(YEAR(B993),MONTH(B993)+1,DAY(B993))</f>
        <v>25569.041666666668</v>
      </c>
      <c r="C994" s="799">
        <f>+B995-1</f>
        <v>25569.041666666668</v>
      </c>
      <c r="D994" s="791">
        <f>-_xlfn.DAYS($C$3,C994)/365.25</f>
      </c>
      <c r="E994" s="800">
        <f>IF($D$17+40&lt;=D994,(1+$D$7)^-(D994-$C$5),(1+$C$7)^-(D994-$C$5))</f>
      </c>
      <c r="F994" s="801">
        <f>IF($C$4="Hombre",(+VLOOKUP(INT(D994)+1,Tablas!$G$9:$K$1240,5,0)*(D994-INT(D994))+VLOOKUP(INT(D994),Tablas!$G$9:$K$1240,5,0)*(INT(D994)+1-D994))/(VLOOKUP(INT($C$5)+1,Tablas!$G$9:$K$1240,5,0)*($C$5-INT($C$5))+VLOOKUP(INT($C$5),Tablas!$G$9:$K$124,5,0)*(INT($C$5)+1-$C$5)),(+VLOOKUP(INT(D994)+1,Tablas!$G$9:$O$1240,9,0)*(D994-INT(D994))+VLOOKUP(INT(D994),Tablas!$G$9:$O$1240,9,0)*(INT(D994)+1-D994))/(VLOOKUP(INT($C$5)+1,Tablas!$G$9:$O$1240,9,0)*($C$5-INT($C$5))+VLOOKUP(INT($C$5),Tablas!$G$9:$O$124,9,0)*(INT($C$5)+1-$C$5)))</f>
      </c>
      <c r="G994" s="791">
        <f>IF($C$4="Hombre",(+VLOOKUP(INT(D994)+1,Tablas!$G$9:$K$1240,5,0)*(D994-INT(D994))+VLOOKUP(INT(D994),Tablas!$G$9:$K$1240,5,0)*(INT(D994)+1-D994)),+VLOOKUP(INT(D994)+1,Tablas!$G$9:$O$1240,9,0)*(D994-INT(D994))+VLOOKUP(INT(D994),Tablas!$G$9:$O$1240,9,0)*(INT(D994)+1-D994))</f>
      </c>
      <c r="H994" s="801">
        <f>+IF(MONTH(B994)=1,H993*(1+$C$9),H993)</f>
      </c>
      <c r="I994" s="689">
        <f>IF(B994&lt;$C$10,0,IF(B994&lt;$C$11,$C$8/12*E994*F994*H994,0))</f>
      </c>
      <c r="J994" s="689">
        <f>I994*12/14+IF(OR(MONTH(C994)=6,MONTH(C994)=12),I994*12/14,0)</f>
      </c>
      <c r="K994" s="801">
        <f>G994/$G$15</f>
      </c>
      <c r="L994" s="760"/>
      <c r="M994" s="767"/>
      <c r="N994" s="168"/>
      <c r="O994" s="768"/>
      <c r="P994" s="170"/>
      <c r="Q994" s="7"/>
      <c r="R994" s="766"/>
      <c r="S994" s="170"/>
      <c r="T994" s="168"/>
      <c r="U994" s="170"/>
    </row>
    <row x14ac:dyDescent="0.25" r="995" customHeight="1" ht="18.75">
      <c r="A995" s="1"/>
      <c r="B995" s="799">
        <f>+DATE(YEAR(B994),MONTH(B994)+1,DAY(B994))</f>
        <v>25569.041666666668</v>
      </c>
      <c r="C995" s="799">
        <f>+B996-1</f>
        <v>25569.041666666668</v>
      </c>
      <c r="D995" s="791">
        <f>-_xlfn.DAYS($C$3,C995)/365.25</f>
      </c>
      <c r="E995" s="800">
        <f>IF($D$17+40&lt;=D995,(1+$D$7)^-(D995-$C$5),(1+$C$7)^-(D995-$C$5))</f>
      </c>
      <c r="F995" s="801">
        <f>IF($C$4="Hombre",(+VLOOKUP(INT(D995)+1,Tablas!$G$9:$K$1240,5,0)*(D995-INT(D995))+VLOOKUP(INT(D995),Tablas!$G$9:$K$1240,5,0)*(INT(D995)+1-D995))/(VLOOKUP(INT($C$5)+1,Tablas!$G$9:$K$1240,5,0)*($C$5-INT($C$5))+VLOOKUP(INT($C$5),Tablas!$G$9:$K$124,5,0)*(INT($C$5)+1-$C$5)),(+VLOOKUP(INT(D995)+1,Tablas!$G$9:$O$1240,9,0)*(D995-INT(D995))+VLOOKUP(INT(D995),Tablas!$G$9:$O$1240,9,0)*(INT(D995)+1-D995))/(VLOOKUP(INT($C$5)+1,Tablas!$G$9:$O$1240,9,0)*($C$5-INT($C$5))+VLOOKUP(INT($C$5),Tablas!$G$9:$O$124,9,0)*(INT($C$5)+1-$C$5)))</f>
      </c>
      <c r="G995" s="791">
        <f>IF($C$4="Hombre",(+VLOOKUP(INT(D995)+1,Tablas!$G$9:$K$1240,5,0)*(D995-INT(D995))+VLOOKUP(INT(D995),Tablas!$G$9:$K$1240,5,0)*(INT(D995)+1-D995)),+VLOOKUP(INT(D995)+1,Tablas!$G$9:$O$1240,9,0)*(D995-INT(D995))+VLOOKUP(INT(D995),Tablas!$G$9:$O$1240,9,0)*(INT(D995)+1-D995))</f>
      </c>
      <c r="H995" s="801">
        <f>+IF(MONTH(B995)=1,H994*(1+$C$9),H994)</f>
      </c>
      <c r="I995" s="689">
        <f>IF(B995&lt;$C$10,0,IF(B995&lt;$C$11,$C$8/12*E995*F995*H995,0))</f>
      </c>
      <c r="J995" s="689">
        <f>I995*12/14+IF(OR(MONTH(C995)=6,MONTH(C995)=12),I995*12/14,0)</f>
      </c>
      <c r="K995" s="801">
        <f>G995/$G$15</f>
      </c>
      <c r="L995" s="760"/>
      <c r="M995" s="767"/>
      <c r="N995" s="168"/>
      <c r="O995" s="768"/>
      <c r="P995" s="170"/>
      <c r="Q995" s="7"/>
      <c r="R995" s="766"/>
      <c r="S995" s="170"/>
      <c r="T995" s="168"/>
      <c r="U995" s="170"/>
    </row>
    <row x14ac:dyDescent="0.25" r="996" customHeight="1" ht="18.75">
      <c r="A996" s="1"/>
      <c r="B996" s="799">
        <f>+DATE(YEAR(B995),MONTH(B995)+1,DAY(B995))</f>
        <v>25569.041666666668</v>
      </c>
      <c r="C996" s="799">
        <f>+B997-1</f>
        <v>25569.041666666668</v>
      </c>
      <c r="D996" s="791">
        <f>-_xlfn.DAYS($C$3,C996)/365.25</f>
      </c>
      <c r="E996" s="800">
        <f>IF($D$17+40&lt;=D996,(1+$D$7)^-(D996-$C$5),(1+$C$7)^-(D996-$C$5))</f>
      </c>
      <c r="F996" s="801">
        <f>IF($C$4="Hombre",(+VLOOKUP(INT(D996)+1,Tablas!$G$9:$K$1240,5,0)*(D996-INT(D996))+VLOOKUP(INT(D996),Tablas!$G$9:$K$1240,5,0)*(INT(D996)+1-D996))/(VLOOKUP(INT($C$5)+1,Tablas!$G$9:$K$1240,5,0)*($C$5-INT($C$5))+VLOOKUP(INT($C$5),Tablas!$G$9:$K$124,5,0)*(INT($C$5)+1-$C$5)),(+VLOOKUP(INT(D996)+1,Tablas!$G$9:$O$1240,9,0)*(D996-INT(D996))+VLOOKUP(INT(D996),Tablas!$G$9:$O$1240,9,0)*(INT(D996)+1-D996))/(VLOOKUP(INT($C$5)+1,Tablas!$G$9:$O$1240,9,0)*($C$5-INT($C$5))+VLOOKUP(INT($C$5),Tablas!$G$9:$O$124,9,0)*(INT($C$5)+1-$C$5)))</f>
      </c>
      <c r="G996" s="791">
        <f>IF($C$4="Hombre",(+VLOOKUP(INT(D996)+1,Tablas!$G$9:$K$1240,5,0)*(D996-INT(D996))+VLOOKUP(INT(D996),Tablas!$G$9:$K$1240,5,0)*(INT(D996)+1-D996)),+VLOOKUP(INT(D996)+1,Tablas!$G$9:$O$1240,9,0)*(D996-INT(D996))+VLOOKUP(INT(D996),Tablas!$G$9:$O$1240,9,0)*(INT(D996)+1-D996))</f>
      </c>
      <c r="H996" s="801">
        <f>+IF(MONTH(B996)=1,H995*(1+$C$9),H995)</f>
      </c>
      <c r="I996" s="689">
        <f>IF(B996&lt;$C$10,0,IF(B996&lt;$C$11,$C$8/12*E996*F996*H996,0))</f>
      </c>
      <c r="J996" s="689">
        <f>I996*12/14+IF(OR(MONTH(C996)=6,MONTH(C996)=12),I996*12/14,0)</f>
      </c>
      <c r="K996" s="801">
        <f>G996/$G$15</f>
      </c>
      <c r="L996" s="760"/>
      <c r="M996" s="767"/>
      <c r="N996" s="168"/>
      <c r="O996" s="768"/>
      <c r="P996" s="170"/>
      <c r="Q996" s="7"/>
      <c r="R996" s="766"/>
      <c r="S996" s="170"/>
      <c r="T996" s="168"/>
      <c r="U996" s="170"/>
    </row>
    <row x14ac:dyDescent="0.25" r="997" customHeight="1" ht="18.75">
      <c r="A997" s="1"/>
      <c r="B997" s="799">
        <f>+DATE(YEAR(B996),MONTH(B996)+1,DAY(B996))</f>
        <v>25569.041666666668</v>
      </c>
      <c r="C997" s="799">
        <f>+B998-1</f>
        <v>25569.041666666668</v>
      </c>
      <c r="D997" s="791">
        <f>-_xlfn.DAYS($C$3,C997)/365.25</f>
      </c>
      <c r="E997" s="800">
        <f>IF($D$17+40&lt;=D997,(1+$D$7)^-(D997-$C$5),(1+$C$7)^-(D997-$C$5))</f>
      </c>
      <c r="F997" s="801">
        <f>IF($C$4="Hombre",(+VLOOKUP(INT(D997)+1,Tablas!$G$9:$K$1240,5,0)*(D997-INT(D997))+VLOOKUP(INT(D997),Tablas!$G$9:$K$1240,5,0)*(INT(D997)+1-D997))/(VLOOKUP(INT($C$5)+1,Tablas!$G$9:$K$1240,5,0)*($C$5-INT($C$5))+VLOOKUP(INT($C$5),Tablas!$G$9:$K$124,5,0)*(INT($C$5)+1-$C$5)),(+VLOOKUP(INT(D997)+1,Tablas!$G$9:$O$1240,9,0)*(D997-INT(D997))+VLOOKUP(INT(D997),Tablas!$G$9:$O$1240,9,0)*(INT(D997)+1-D997))/(VLOOKUP(INT($C$5)+1,Tablas!$G$9:$O$1240,9,0)*($C$5-INT($C$5))+VLOOKUP(INT($C$5),Tablas!$G$9:$O$124,9,0)*(INT($C$5)+1-$C$5)))</f>
      </c>
      <c r="G997" s="791">
        <f>IF($C$4="Hombre",(+VLOOKUP(INT(D997)+1,Tablas!$G$9:$K$1240,5,0)*(D997-INT(D997))+VLOOKUP(INT(D997),Tablas!$G$9:$K$1240,5,0)*(INT(D997)+1-D997)),+VLOOKUP(INT(D997)+1,Tablas!$G$9:$O$1240,9,0)*(D997-INT(D997))+VLOOKUP(INT(D997),Tablas!$G$9:$O$1240,9,0)*(INT(D997)+1-D997))</f>
      </c>
      <c r="H997" s="801">
        <f>+IF(MONTH(B997)=1,H996*(1+$C$9),H996)</f>
      </c>
      <c r="I997" s="689">
        <f>IF(B997&lt;$C$10,0,IF(B997&lt;$C$11,$C$8/12*E997*F997*H997,0))</f>
      </c>
      <c r="J997" s="689">
        <f>I997*12/14+IF(OR(MONTH(C997)=6,MONTH(C997)=12),I997*12/14,0)</f>
      </c>
      <c r="K997" s="801">
        <f>G997/$G$15</f>
      </c>
      <c r="L997" s="760"/>
      <c r="M997" s="767"/>
      <c r="N997" s="168"/>
      <c r="O997" s="768"/>
      <c r="P997" s="170"/>
      <c r="Q997" s="7"/>
      <c r="R997" s="766"/>
      <c r="S997" s="170"/>
      <c r="T997" s="168"/>
      <c r="U997" s="170"/>
    </row>
    <row x14ac:dyDescent="0.25" r="998" customHeight="1" ht="18.75">
      <c r="A998" s="1"/>
      <c r="B998" s="799">
        <f>+DATE(YEAR(B997),MONTH(B997)+1,DAY(B997))</f>
        <v>25569.041666666668</v>
      </c>
      <c r="C998" s="799">
        <f>+B999-1</f>
        <v>25569.041666666668</v>
      </c>
      <c r="D998" s="791">
        <f>-_xlfn.DAYS($C$3,C998)/365.25</f>
      </c>
      <c r="E998" s="800">
        <f>IF($D$17+40&lt;=D998,(1+$D$7)^-(D998-$C$5),(1+$C$7)^-(D998-$C$5))</f>
      </c>
      <c r="F998" s="801">
        <f>IF($C$4="Hombre",(+VLOOKUP(INT(D998)+1,Tablas!$G$9:$K$1240,5,0)*(D998-INT(D998))+VLOOKUP(INT(D998),Tablas!$G$9:$K$1240,5,0)*(INT(D998)+1-D998))/(VLOOKUP(INT($C$5)+1,Tablas!$G$9:$K$1240,5,0)*($C$5-INT($C$5))+VLOOKUP(INT($C$5),Tablas!$G$9:$K$124,5,0)*(INT($C$5)+1-$C$5)),(+VLOOKUP(INT(D998)+1,Tablas!$G$9:$O$1240,9,0)*(D998-INT(D998))+VLOOKUP(INT(D998),Tablas!$G$9:$O$1240,9,0)*(INT(D998)+1-D998))/(VLOOKUP(INT($C$5)+1,Tablas!$G$9:$O$1240,9,0)*($C$5-INT($C$5))+VLOOKUP(INT($C$5),Tablas!$G$9:$O$124,9,0)*(INT($C$5)+1-$C$5)))</f>
      </c>
      <c r="G998" s="791">
        <f>IF($C$4="Hombre",(+VLOOKUP(INT(D998)+1,Tablas!$G$9:$K$1240,5,0)*(D998-INT(D998))+VLOOKUP(INT(D998),Tablas!$G$9:$K$1240,5,0)*(INT(D998)+1-D998)),+VLOOKUP(INT(D998)+1,Tablas!$G$9:$O$1240,9,0)*(D998-INT(D998))+VLOOKUP(INT(D998),Tablas!$G$9:$O$1240,9,0)*(INT(D998)+1-D998))</f>
      </c>
      <c r="H998" s="801">
        <f>+IF(MONTH(B998)=1,H997*(1+$C$9),H997)</f>
      </c>
      <c r="I998" s="689">
        <f>IF(B998&lt;$C$10,0,IF(B998&lt;$C$11,$C$8/12*E998*F998*H998,0))</f>
      </c>
      <c r="J998" s="689">
        <f>I998*12/14+IF(OR(MONTH(C998)=6,MONTH(C998)=12),I998*12/14,0)</f>
      </c>
      <c r="K998" s="801">
        <f>G998/$G$15</f>
      </c>
      <c r="L998" s="760"/>
      <c r="M998" s="767"/>
      <c r="N998" s="168"/>
      <c r="O998" s="768"/>
      <c r="P998" s="170"/>
      <c r="Q998" s="7"/>
      <c r="R998" s="766"/>
      <c r="S998" s="170"/>
      <c r="T998" s="168"/>
      <c r="U998" s="170"/>
    </row>
    <row x14ac:dyDescent="0.25" r="999" customHeight="1" ht="18.75">
      <c r="A999" s="1"/>
      <c r="B999" s="799">
        <f>+DATE(YEAR(B998),MONTH(B998)+1,DAY(B998))</f>
        <v>25569.041666666668</v>
      </c>
      <c r="C999" s="799">
        <f>+B1000-1</f>
        <v>25569.041666666668</v>
      </c>
      <c r="D999" s="791">
        <f>-_xlfn.DAYS($C$3,C999)/365.25</f>
      </c>
      <c r="E999" s="800">
        <f>IF($D$17+40&lt;=D999,(1+$D$7)^-(D999-$C$5),(1+$C$7)^-(D999-$C$5))</f>
      </c>
      <c r="F999" s="801">
        <f>IF($C$4="Hombre",(+VLOOKUP(INT(D999)+1,Tablas!$G$9:$K$1240,5,0)*(D999-INT(D999))+VLOOKUP(INT(D999),Tablas!$G$9:$K$1240,5,0)*(INT(D999)+1-D999))/(VLOOKUP(INT($C$5)+1,Tablas!$G$9:$K$1240,5,0)*($C$5-INT($C$5))+VLOOKUP(INT($C$5),Tablas!$G$9:$K$124,5,0)*(INT($C$5)+1-$C$5)),(+VLOOKUP(INT(D999)+1,Tablas!$G$9:$O$1240,9,0)*(D999-INT(D999))+VLOOKUP(INT(D999),Tablas!$G$9:$O$1240,9,0)*(INT(D999)+1-D999))/(VLOOKUP(INT($C$5)+1,Tablas!$G$9:$O$1240,9,0)*($C$5-INT($C$5))+VLOOKUP(INT($C$5),Tablas!$G$9:$O$124,9,0)*(INT($C$5)+1-$C$5)))</f>
      </c>
      <c r="G999" s="791">
        <f>IF($C$4="Hombre",(+VLOOKUP(INT(D999)+1,Tablas!$G$9:$K$1240,5,0)*(D999-INT(D999))+VLOOKUP(INT(D999),Tablas!$G$9:$K$1240,5,0)*(INT(D999)+1-D999)),+VLOOKUP(INT(D999)+1,Tablas!$G$9:$O$1240,9,0)*(D999-INT(D999))+VLOOKUP(INT(D999),Tablas!$G$9:$O$1240,9,0)*(INT(D999)+1-D999))</f>
      </c>
      <c r="H999" s="801">
        <f>+IF(MONTH(B999)=1,H998*(1+$C$9),H998)</f>
      </c>
      <c r="I999" s="689">
        <f>IF(B999&lt;$C$10,0,IF(B999&lt;$C$11,$C$8/12*E999*F999*H999,0))</f>
      </c>
      <c r="J999" s="689">
        <f>I999*12/14+IF(OR(MONTH(C999)=6,MONTH(C999)=12),I999*12/14,0)</f>
      </c>
      <c r="K999" s="801">
        <f>G999/$G$15</f>
      </c>
      <c r="L999" s="760"/>
      <c r="M999" s="767"/>
      <c r="N999" s="168"/>
      <c r="O999" s="768"/>
      <c r="P999" s="170"/>
      <c r="Q999" s="7"/>
      <c r="R999" s="766"/>
      <c r="S999" s="170"/>
      <c r="T999" s="168"/>
      <c r="U999" s="170"/>
    </row>
    <row x14ac:dyDescent="0.25" r="1000" customHeight="1" ht="18.75">
      <c r="A1000" s="1"/>
      <c r="B1000" s="799">
        <f>+DATE(YEAR(B999),MONTH(B999)+1,DAY(B999))</f>
        <v>25569.041666666668</v>
      </c>
      <c r="C1000" s="799">
        <f>+B1001-1</f>
        <v>25569.041666666668</v>
      </c>
      <c r="D1000" s="791">
        <f>-_xlfn.DAYS($C$3,C1000)/365.25</f>
      </c>
      <c r="E1000" s="800">
        <f>IF($D$17+40&lt;=D1000,(1+$D$7)^-(D1000-$C$5),(1+$C$7)^-(D1000-$C$5))</f>
      </c>
      <c r="F1000" s="801">
        <f>IF($C$4="Hombre",(+VLOOKUP(INT(D1000)+1,Tablas!$G$9:$K$1240,5,0)*(D1000-INT(D1000))+VLOOKUP(INT(D1000),Tablas!$G$9:$K$1240,5,0)*(INT(D1000)+1-D1000))/(VLOOKUP(INT($C$5)+1,Tablas!$G$9:$K$1240,5,0)*($C$5-INT($C$5))+VLOOKUP(INT($C$5),Tablas!$G$9:$K$124,5,0)*(INT($C$5)+1-$C$5)),(+VLOOKUP(INT(D1000)+1,Tablas!$G$9:$O$1240,9,0)*(D1000-INT(D1000))+VLOOKUP(INT(D1000),Tablas!$G$9:$O$1240,9,0)*(INT(D1000)+1-D1000))/(VLOOKUP(INT($C$5)+1,Tablas!$G$9:$O$1240,9,0)*($C$5-INT($C$5))+VLOOKUP(INT($C$5),Tablas!$G$9:$O$124,9,0)*(INT($C$5)+1-$C$5)))</f>
      </c>
      <c r="G1000" s="791">
        <f>IF($C$4="Hombre",(+VLOOKUP(INT(D1000)+1,Tablas!$G$9:$K$1240,5,0)*(D1000-INT(D1000))+VLOOKUP(INT(D1000),Tablas!$G$9:$K$1240,5,0)*(INT(D1000)+1-D1000)),+VLOOKUP(INT(D1000)+1,Tablas!$G$9:$O$1240,9,0)*(D1000-INT(D1000))+VLOOKUP(INT(D1000),Tablas!$G$9:$O$1240,9,0)*(INT(D1000)+1-D1000))</f>
      </c>
      <c r="H1000" s="801">
        <f>+IF(MONTH(B1000)=1,H999*(1+$C$9),H999)</f>
      </c>
      <c r="I1000" s="689">
        <f>IF(B1000&lt;$C$10,0,IF(B1000&lt;$C$11,$C$8/12*E1000*F1000*H1000,0))</f>
      </c>
      <c r="J1000" s="689">
        <f>I1000*12/14+IF(OR(MONTH(C1000)=6,MONTH(C1000)=12),I1000*12/14,0)</f>
      </c>
      <c r="K1000" s="801">
        <f>G1000/$G$15</f>
      </c>
      <c r="L1000" s="760"/>
      <c r="M1000" s="767"/>
      <c r="N1000" s="168"/>
      <c r="O1000" s="768"/>
      <c r="P1000" s="170"/>
      <c r="Q1000" s="7"/>
      <c r="R1000" s="766"/>
      <c r="S1000" s="170"/>
      <c r="T1000" s="168"/>
      <c r="U1000" s="170"/>
    </row>
    <row x14ac:dyDescent="0.25" r="1001" customHeight="1" ht="18.75">
      <c r="A1001" s="1"/>
      <c r="B1001" s="799">
        <f>+DATE(YEAR(B1000),MONTH(B1000)+1,DAY(B1000))</f>
        <v>25569.041666666668</v>
      </c>
      <c r="C1001" s="799">
        <f>+B1002-1</f>
        <v>25569.041666666668</v>
      </c>
      <c r="D1001" s="791">
        <f>-_xlfn.DAYS($C$3,C1001)/365.25</f>
      </c>
      <c r="E1001" s="800">
        <f>IF($D$17+40&lt;=D1001,(1+$D$7)^-(D1001-$C$5),(1+$C$7)^-(D1001-$C$5))</f>
      </c>
      <c r="F1001" s="801">
        <f>IF($C$4="Hombre",(+VLOOKUP(INT(D1001)+1,Tablas!$G$9:$K$1240,5,0)*(D1001-INT(D1001))+VLOOKUP(INT(D1001),Tablas!$G$9:$K$1240,5,0)*(INT(D1001)+1-D1001))/(VLOOKUP(INT($C$5)+1,Tablas!$G$9:$K$1240,5,0)*($C$5-INT($C$5))+VLOOKUP(INT($C$5),Tablas!$G$9:$K$124,5,0)*(INT($C$5)+1-$C$5)),(+VLOOKUP(INT(D1001)+1,Tablas!$G$9:$O$1240,9,0)*(D1001-INT(D1001))+VLOOKUP(INT(D1001),Tablas!$G$9:$O$1240,9,0)*(INT(D1001)+1-D1001))/(VLOOKUP(INT($C$5)+1,Tablas!$G$9:$O$1240,9,0)*($C$5-INT($C$5))+VLOOKUP(INT($C$5),Tablas!$G$9:$O$124,9,0)*(INT($C$5)+1-$C$5)))</f>
      </c>
      <c r="G1001" s="791">
        <f>IF($C$4="Hombre",(+VLOOKUP(INT(D1001)+1,Tablas!$G$9:$K$1240,5,0)*(D1001-INT(D1001))+VLOOKUP(INT(D1001),Tablas!$G$9:$K$1240,5,0)*(INT(D1001)+1-D1001)),+VLOOKUP(INT(D1001)+1,Tablas!$G$9:$O$1240,9,0)*(D1001-INT(D1001))+VLOOKUP(INT(D1001),Tablas!$G$9:$O$1240,9,0)*(INT(D1001)+1-D1001))</f>
      </c>
      <c r="H1001" s="801">
        <f>+IF(MONTH(B1001)=1,H1000*(1+$C$9),H1000)</f>
      </c>
      <c r="I1001" s="689">
        <f>IF(B1001&lt;$C$10,0,IF(B1001&lt;$C$11,$C$8/12*E1001*F1001*H1001,0))</f>
      </c>
      <c r="J1001" s="689">
        <f>I1001*12/14+IF(OR(MONTH(C1001)=6,MONTH(C1001)=12),I1001*12/14,0)</f>
      </c>
      <c r="K1001" s="801">
        <f>G1001/$G$15</f>
      </c>
      <c r="L1001" s="760"/>
      <c r="M1001" s="767"/>
      <c r="N1001" s="168"/>
      <c r="O1001" s="768"/>
      <c r="P1001" s="170"/>
      <c r="Q1001" s="7"/>
      <c r="R1001" s="766"/>
      <c r="S1001" s="170"/>
      <c r="T1001" s="168"/>
      <c r="U1001" s="170"/>
    </row>
    <row x14ac:dyDescent="0.25" r="1002" customHeight="1" ht="18.75">
      <c r="A1002" s="1"/>
      <c r="B1002" s="799">
        <f>+DATE(YEAR(B1001),MONTH(B1001)+1,DAY(B1001))</f>
        <v>25569.041666666668</v>
      </c>
      <c r="C1002" s="799">
        <f>+B1003-1</f>
        <v>25569.041666666668</v>
      </c>
      <c r="D1002" s="791">
        <f>-_xlfn.DAYS($C$3,C1002)/365.25</f>
      </c>
      <c r="E1002" s="800">
        <f>IF($D$17+40&lt;=D1002,(1+$D$7)^-(D1002-$C$5),(1+$C$7)^-(D1002-$C$5))</f>
      </c>
      <c r="F1002" s="801">
        <f>IF($C$4="Hombre",(+VLOOKUP(INT(D1002)+1,Tablas!$G$9:$K$1240,5,0)*(D1002-INT(D1002))+VLOOKUP(INT(D1002),Tablas!$G$9:$K$1240,5,0)*(INT(D1002)+1-D1002))/(VLOOKUP(INT($C$5)+1,Tablas!$G$9:$K$1240,5,0)*($C$5-INT($C$5))+VLOOKUP(INT($C$5),Tablas!$G$9:$K$124,5,0)*(INT($C$5)+1-$C$5)),(+VLOOKUP(INT(D1002)+1,Tablas!$G$9:$O$1240,9,0)*(D1002-INT(D1002))+VLOOKUP(INT(D1002),Tablas!$G$9:$O$1240,9,0)*(INT(D1002)+1-D1002))/(VLOOKUP(INT($C$5)+1,Tablas!$G$9:$O$1240,9,0)*($C$5-INT($C$5))+VLOOKUP(INT($C$5),Tablas!$G$9:$O$124,9,0)*(INT($C$5)+1-$C$5)))</f>
      </c>
      <c r="G1002" s="791">
        <f>IF($C$4="Hombre",(+VLOOKUP(INT(D1002)+1,Tablas!$G$9:$K$1240,5,0)*(D1002-INT(D1002))+VLOOKUP(INT(D1002),Tablas!$G$9:$K$1240,5,0)*(INT(D1002)+1-D1002)),+VLOOKUP(INT(D1002)+1,Tablas!$G$9:$O$1240,9,0)*(D1002-INT(D1002))+VLOOKUP(INT(D1002),Tablas!$G$9:$O$1240,9,0)*(INT(D1002)+1-D1002))</f>
      </c>
      <c r="H1002" s="801">
        <f>+IF(MONTH(B1002)=1,H1001*(1+$C$9),H1001)</f>
      </c>
      <c r="I1002" s="689">
        <f>IF(B1002&lt;$C$10,0,IF(B1002&lt;$C$11,$C$8/12*E1002*F1002*H1002,0))</f>
      </c>
      <c r="J1002" s="689">
        <f>I1002*12/14+IF(OR(MONTH(C1002)=6,MONTH(C1002)=12),I1002*12/14,0)</f>
      </c>
      <c r="K1002" s="801">
        <f>G1002/$G$15</f>
      </c>
      <c r="L1002" s="760"/>
      <c r="M1002" s="767"/>
      <c r="N1002" s="168"/>
      <c r="O1002" s="768"/>
      <c r="P1002" s="170"/>
      <c r="Q1002" s="7"/>
      <c r="R1002" s="766"/>
      <c r="S1002" s="170"/>
      <c r="T1002" s="168"/>
      <c r="U1002" s="170"/>
    </row>
    <row x14ac:dyDescent="0.25" r="1003" customHeight="1" ht="18.75">
      <c r="A1003" s="1"/>
      <c r="B1003" s="799">
        <f>+DATE(YEAR(B1002),MONTH(B1002)+1,DAY(B1002))</f>
        <v>25569.041666666668</v>
      </c>
      <c r="C1003" s="799">
        <f>+B1004-1</f>
        <v>25569.041666666668</v>
      </c>
      <c r="D1003" s="791">
        <f>-_xlfn.DAYS($C$3,C1003)/365.25</f>
      </c>
      <c r="E1003" s="800">
        <f>IF($D$17+40&lt;=D1003,(1+$D$7)^-(D1003-$C$5),(1+$C$7)^-(D1003-$C$5))</f>
      </c>
      <c r="F1003" s="801">
        <f>IF($C$4="Hombre",(+VLOOKUP(INT(D1003)+1,Tablas!$G$9:$K$1240,5,0)*(D1003-INT(D1003))+VLOOKUP(INT(D1003),Tablas!$G$9:$K$1240,5,0)*(INT(D1003)+1-D1003))/(VLOOKUP(INT($C$5)+1,Tablas!$G$9:$K$1240,5,0)*($C$5-INT($C$5))+VLOOKUP(INT($C$5),Tablas!$G$9:$K$124,5,0)*(INT($C$5)+1-$C$5)),(+VLOOKUP(INT(D1003)+1,Tablas!$G$9:$O$1240,9,0)*(D1003-INT(D1003))+VLOOKUP(INT(D1003),Tablas!$G$9:$O$1240,9,0)*(INT(D1003)+1-D1003))/(VLOOKUP(INT($C$5)+1,Tablas!$G$9:$O$1240,9,0)*($C$5-INT($C$5))+VLOOKUP(INT($C$5),Tablas!$G$9:$O$124,9,0)*(INT($C$5)+1-$C$5)))</f>
      </c>
      <c r="G1003" s="791">
        <f>IF($C$4="Hombre",(+VLOOKUP(INT(D1003)+1,Tablas!$G$9:$K$1240,5,0)*(D1003-INT(D1003))+VLOOKUP(INT(D1003),Tablas!$G$9:$K$1240,5,0)*(INT(D1003)+1-D1003)),+VLOOKUP(INT(D1003)+1,Tablas!$G$9:$O$1240,9,0)*(D1003-INT(D1003))+VLOOKUP(INT(D1003),Tablas!$G$9:$O$1240,9,0)*(INT(D1003)+1-D1003))</f>
      </c>
      <c r="H1003" s="801">
        <f>+IF(MONTH(B1003)=1,H1002*(1+$C$9),H1002)</f>
      </c>
      <c r="I1003" s="689">
        <f>IF(B1003&lt;$C$10,0,IF(B1003&lt;$C$11,$C$8/12*E1003*F1003*H1003,0))</f>
      </c>
      <c r="J1003" s="689">
        <f>I1003*12/14+IF(OR(MONTH(C1003)=6,MONTH(C1003)=12),I1003*12/14,0)</f>
      </c>
      <c r="K1003" s="801">
        <f>G1003/$G$15</f>
      </c>
      <c r="L1003" s="760"/>
      <c r="M1003" s="767"/>
      <c r="N1003" s="168"/>
      <c r="O1003" s="768"/>
      <c r="P1003" s="170"/>
      <c r="Q1003" s="7"/>
      <c r="R1003" s="766"/>
      <c r="S1003" s="170"/>
      <c r="T1003" s="168"/>
      <c r="U1003" s="170"/>
    </row>
    <row x14ac:dyDescent="0.25" r="1004" customHeight="1" ht="18.75">
      <c r="A1004" s="1"/>
      <c r="B1004" s="799">
        <f>+DATE(YEAR(B1003),MONTH(B1003)+1,DAY(B1003))</f>
        <v>25569.041666666668</v>
      </c>
      <c r="C1004" s="799">
        <f>+B1005-1</f>
        <v>25569.041666666668</v>
      </c>
      <c r="D1004" s="791">
        <f>-_xlfn.DAYS($C$3,C1004)/365.25</f>
      </c>
      <c r="E1004" s="800">
        <f>IF($D$17+40&lt;=D1004,(1+$D$7)^-(D1004-$C$5),(1+$C$7)^-(D1004-$C$5))</f>
      </c>
      <c r="F1004" s="801">
        <f>IF($C$4="Hombre",(+VLOOKUP(INT(D1004)+1,Tablas!$G$9:$K$1240,5,0)*(D1004-INT(D1004))+VLOOKUP(INT(D1004),Tablas!$G$9:$K$1240,5,0)*(INT(D1004)+1-D1004))/(VLOOKUP(INT($C$5)+1,Tablas!$G$9:$K$1240,5,0)*($C$5-INT($C$5))+VLOOKUP(INT($C$5),Tablas!$G$9:$K$124,5,0)*(INT($C$5)+1-$C$5)),(+VLOOKUP(INT(D1004)+1,Tablas!$G$9:$O$1240,9,0)*(D1004-INT(D1004))+VLOOKUP(INT(D1004),Tablas!$G$9:$O$1240,9,0)*(INT(D1004)+1-D1004))/(VLOOKUP(INT($C$5)+1,Tablas!$G$9:$O$1240,9,0)*($C$5-INT($C$5))+VLOOKUP(INT($C$5),Tablas!$G$9:$O$124,9,0)*(INT($C$5)+1-$C$5)))</f>
      </c>
      <c r="G1004" s="791">
        <f>IF($C$4="Hombre",(+VLOOKUP(INT(D1004)+1,Tablas!$G$9:$K$1240,5,0)*(D1004-INT(D1004))+VLOOKUP(INT(D1004),Tablas!$G$9:$K$1240,5,0)*(INT(D1004)+1-D1004)),+VLOOKUP(INT(D1004)+1,Tablas!$G$9:$O$1240,9,0)*(D1004-INT(D1004))+VLOOKUP(INT(D1004),Tablas!$G$9:$O$1240,9,0)*(INT(D1004)+1-D1004))</f>
      </c>
      <c r="H1004" s="801">
        <f>+IF(MONTH(B1004)=1,H1003*(1+$C$9),H1003)</f>
      </c>
      <c r="I1004" s="689">
        <f>IF(B1004&lt;$C$10,0,IF(B1004&lt;$C$11,$C$8/12*E1004*F1004*H1004,0))</f>
      </c>
      <c r="J1004" s="689">
        <f>I1004*12/14+IF(OR(MONTH(C1004)=6,MONTH(C1004)=12),I1004*12/14,0)</f>
      </c>
      <c r="K1004" s="801">
        <f>G1004/$G$15</f>
      </c>
      <c r="L1004" s="760"/>
      <c r="M1004" s="767"/>
      <c r="N1004" s="168"/>
      <c r="O1004" s="768"/>
      <c r="P1004" s="170"/>
      <c r="Q1004" s="7"/>
      <c r="R1004" s="766"/>
      <c r="S1004" s="170"/>
      <c r="T1004" s="168"/>
      <c r="U1004" s="170"/>
    </row>
    <row x14ac:dyDescent="0.25" r="1005" customHeight="1" ht="18.75">
      <c r="A1005" s="1"/>
      <c r="B1005" s="799">
        <f>+DATE(YEAR(B1004),MONTH(B1004)+1,DAY(B1004))</f>
        <v>25569.041666666668</v>
      </c>
      <c r="C1005" s="799">
        <f>+B1006-1</f>
        <v>25569.041666666668</v>
      </c>
      <c r="D1005" s="791">
        <f>-_xlfn.DAYS($C$3,C1005)/365.25</f>
      </c>
      <c r="E1005" s="800">
        <f>IF($D$17+40&lt;=D1005,(1+$D$7)^-(D1005-$C$5),(1+$C$7)^-(D1005-$C$5))</f>
      </c>
      <c r="F1005" s="801">
        <f>IF($C$4="Hombre",(+VLOOKUP(INT(D1005)+1,Tablas!$G$9:$K$1240,5,0)*(D1005-INT(D1005))+VLOOKUP(INT(D1005),Tablas!$G$9:$K$1240,5,0)*(INT(D1005)+1-D1005))/(VLOOKUP(INT($C$5)+1,Tablas!$G$9:$K$1240,5,0)*($C$5-INT($C$5))+VLOOKUP(INT($C$5),Tablas!$G$9:$K$124,5,0)*(INT($C$5)+1-$C$5)),(+VLOOKUP(INT(D1005)+1,Tablas!$G$9:$O$1240,9,0)*(D1005-INT(D1005))+VLOOKUP(INT(D1005),Tablas!$G$9:$O$1240,9,0)*(INT(D1005)+1-D1005))/(VLOOKUP(INT($C$5)+1,Tablas!$G$9:$O$1240,9,0)*($C$5-INT($C$5))+VLOOKUP(INT($C$5),Tablas!$G$9:$O$124,9,0)*(INT($C$5)+1-$C$5)))</f>
      </c>
      <c r="G1005" s="791">
        <f>IF($C$4="Hombre",(+VLOOKUP(INT(D1005)+1,Tablas!$G$9:$K$1240,5,0)*(D1005-INT(D1005))+VLOOKUP(INT(D1005),Tablas!$G$9:$K$1240,5,0)*(INT(D1005)+1-D1005)),+VLOOKUP(INT(D1005)+1,Tablas!$G$9:$O$1240,9,0)*(D1005-INT(D1005))+VLOOKUP(INT(D1005),Tablas!$G$9:$O$1240,9,0)*(INT(D1005)+1-D1005))</f>
      </c>
      <c r="H1005" s="801">
        <f>+IF(MONTH(B1005)=1,H1004*(1+$C$9),H1004)</f>
      </c>
      <c r="I1005" s="689">
        <f>IF(B1005&lt;$C$10,0,IF(B1005&lt;$C$11,$C$8/12*E1005*F1005*H1005,0))</f>
      </c>
      <c r="J1005" s="689">
        <f>I1005*12/14+IF(OR(MONTH(C1005)=6,MONTH(C1005)=12),I1005*12/14,0)</f>
      </c>
      <c r="K1005" s="801">
        <f>G1005/$G$15</f>
      </c>
      <c r="L1005" s="760"/>
      <c r="M1005" s="767"/>
      <c r="N1005" s="168"/>
      <c r="O1005" s="768"/>
      <c r="P1005" s="170"/>
      <c r="Q1005" s="7"/>
      <c r="R1005" s="766"/>
      <c r="S1005" s="170"/>
      <c r="T1005" s="168"/>
      <c r="U1005" s="170"/>
    </row>
    <row x14ac:dyDescent="0.25" r="1006" customHeight="1" ht="18.75">
      <c r="A1006" s="1"/>
      <c r="B1006" s="799">
        <f>+DATE(YEAR(B1005),MONTH(B1005)+1,DAY(B1005))</f>
        <v>25569.041666666668</v>
      </c>
      <c r="C1006" s="799">
        <f>+B1007-1</f>
        <v>25569.041666666668</v>
      </c>
      <c r="D1006" s="791">
        <f>-_xlfn.DAYS($C$3,C1006)/365.25</f>
      </c>
      <c r="E1006" s="800">
        <f>IF($D$17+40&lt;=D1006,(1+$D$7)^-(D1006-$C$5),(1+$C$7)^-(D1006-$C$5))</f>
      </c>
      <c r="F1006" s="801">
        <f>IF($C$4="Hombre",(+VLOOKUP(INT(D1006)+1,Tablas!$G$9:$K$1240,5,0)*(D1006-INT(D1006))+VLOOKUP(INT(D1006),Tablas!$G$9:$K$1240,5,0)*(INT(D1006)+1-D1006))/(VLOOKUP(INT($C$5)+1,Tablas!$G$9:$K$1240,5,0)*($C$5-INT($C$5))+VLOOKUP(INT($C$5),Tablas!$G$9:$K$124,5,0)*(INT($C$5)+1-$C$5)),(+VLOOKUP(INT(D1006)+1,Tablas!$G$9:$O$1240,9,0)*(D1006-INT(D1006))+VLOOKUP(INT(D1006),Tablas!$G$9:$O$1240,9,0)*(INT(D1006)+1-D1006))/(VLOOKUP(INT($C$5)+1,Tablas!$G$9:$O$1240,9,0)*($C$5-INT($C$5))+VLOOKUP(INT($C$5),Tablas!$G$9:$O$124,9,0)*(INT($C$5)+1-$C$5)))</f>
      </c>
      <c r="G1006" s="791">
        <f>IF($C$4="Hombre",(+VLOOKUP(INT(D1006)+1,Tablas!$G$9:$K$1240,5,0)*(D1006-INT(D1006))+VLOOKUP(INT(D1006),Tablas!$G$9:$K$1240,5,0)*(INT(D1006)+1-D1006)),+VLOOKUP(INT(D1006)+1,Tablas!$G$9:$O$1240,9,0)*(D1006-INT(D1006))+VLOOKUP(INT(D1006),Tablas!$G$9:$O$1240,9,0)*(INT(D1006)+1-D1006))</f>
      </c>
      <c r="H1006" s="801">
        <f>+IF(MONTH(B1006)=1,H1005*(1+$C$9),H1005)</f>
      </c>
      <c r="I1006" s="689">
        <f>IF(B1006&lt;$C$10,0,IF(B1006&lt;$C$11,$C$8/12*E1006*F1006*H1006,0))</f>
      </c>
      <c r="J1006" s="689">
        <f>I1006*12/14+IF(OR(MONTH(C1006)=6,MONTH(C1006)=12),I1006*12/14,0)</f>
      </c>
      <c r="K1006" s="801">
        <f>G1006/$G$15</f>
      </c>
      <c r="L1006" s="760"/>
      <c r="M1006" s="767"/>
      <c r="N1006" s="168"/>
      <c r="O1006" s="768"/>
      <c r="P1006" s="170"/>
      <c r="Q1006" s="7"/>
      <c r="R1006" s="766"/>
      <c r="S1006" s="170"/>
      <c r="T1006" s="168"/>
      <c r="U1006" s="170"/>
    </row>
    <row x14ac:dyDescent="0.25" r="1007" customHeight="1" ht="18.75">
      <c r="A1007" s="1"/>
      <c r="B1007" s="799">
        <f>+DATE(YEAR(B1006),MONTH(B1006)+1,DAY(B1006))</f>
        <v>25569.041666666668</v>
      </c>
      <c r="C1007" s="799">
        <f>+B1008-1</f>
        <v>25569.041666666668</v>
      </c>
      <c r="D1007" s="791">
        <f>-_xlfn.DAYS($C$3,C1007)/365.25</f>
      </c>
      <c r="E1007" s="800">
        <f>IF($D$17+40&lt;=D1007,(1+$D$7)^-(D1007-$C$5),(1+$C$7)^-(D1007-$C$5))</f>
      </c>
      <c r="F1007" s="801">
        <f>IF($C$4="Hombre",(+VLOOKUP(INT(D1007)+1,Tablas!$G$9:$K$1240,5,0)*(D1007-INT(D1007))+VLOOKUP(INT(D1007),Tablas!$G$9:$K$1240,5,0)*(INT(D1007)+1-D1007))/(VLOOKUP(INT($C$5)+1,Tablas!$G$9:$K$1240,5,0)*($C$5-INT($C$5))+VLOOKUP(INT($C$5),Tablas!$G$9:$K$124,5,0)*(INT($C$5)+1-$C$5)),(+VLOOKUP(INT(D1007)+1,Tablas!$G$9:$O$1240,9,0)*(D1007-INT(D1007))+VLOOKUP(INT(D1007),Tablas!$G$9:$O$1240,9,0)*(INT(D1007)+1-D1007))/(VLOOKUP(INT($C$5)+1,Tablas!$G$9:$O$1240,9,0)*($C$5-INT($C$5))+VLOOKUP(INT($C$5),Tablas!$G$9:$O$124,9,0)*(INT($C$5)+1-$C$5)))</f>
      </c>
      <c r="G1007" s="791">
        <f>IF($C$4="Hombre",(+VLOOKUP(INT(D1007)+1,Tablas!$G$9:$K$1240,5,0)*(D1007-INT(D1007))+VLOOKUP(INT(D1007),Tablas!$G$9:$K$1240,5,0)*(INT(D1007)+1-D1007)),+VLOOKUP(INT(D1007)+1,Tablas!$G$9:$O$1240,9,0)*(D1007-INT(D1007))+VLOOKUP(INT(D1007),Tablas!$G$9:$O$1240,9,0)*(INT(D1007)+1-D1007))</f>
      </c>
      <c r="H1007" s="801">
        <f>+IF(MONTH(B1007)=1,H1006*(1+$C$9),H1006)</f>
      </c>
      <c r="I1007" s="689">
        <f>IF(B1007&lt;$C$10,0,IF(B1007&lt;$C$11,$C$8/12*E1007*F1007*H1007,0))</f>
      </c>
      <c r="J1007" s="689">
        <f>I1007*12/14+IF(OR(MONTH(C1007)=6,MONTH(C1007)=12),I1007*12/14,0)</f>
      </c>
      <c r="K1007" s="801">
        <f>G1007/$G$15</f>
      </c>
      <c r="L1007" s="760"/>
      <c r="M1007" s="767"/>
      <c r="N1007" s="168"/>
      <c r="O1007" s="768"/>
      <c r="P1007" s="170"/>
      <c r="Q1007" s="7"/>
      <c r="R1007" s="766"/>
      <c r="S1007" s="170"/>
      <c r="T1007" s="168"/>
      <c r="U1007" s="170"/>
    </row>
    <row x14ac:dyDescent="0.25" r="1008" customHeight="1" ht="18.75">
      <c r="A1008" s="1"/>
      <c r="B1008" s="799">
        <f>+DATE(YEAR(B1007),MONTH(B1007)+1,DAY(B1007))</f>
        <v>25569.041666666668</v>
      </c>
      <c r="C1008" s="799">
        <f>+B1009-1</f>
        <v>25569.041666666668</v>
      </c>
      <c r="D1008" s="791">
        <f>-_xlfn.DAYS($C$3,C1008)/365.25</f>
      </c>
      <c r="E1008" s="800">
        <f>IF($D$17+40&lt;=D1008,(1+$D$7)^-(D1008-$C$5),(1+$C$7)^-(D1008-$C$5))</f>
      </c>
      <c r="F1008" s="801">
        <f>IF($C$4="Hombre",(+VLOOKUP(INT(D1008)+1,Tablas!$G$9:$K$1240,5,0)*(D1008-INT(D1008))+VLOOKUP(INT(D1008),Tablas!$G$9:$K$1240,5,0)*(INT(D1008)+1-D1008))/(VLOOKUP(INT($C$5)+1,Tablas!$G$9:$K$1240,5,0)*($C$5-INT($C$5))+VLOOKUP(INT($C$5),Tablas!$G$9:$K$124,5,0)*(INT($C$5)+1-$C$5)),(+VLOOKUP(INT(D1008)+1,Tablas!$G$9:$O$1240,9,0)*(D1008-INT(D1008))+VLOOKUP(INT(D1008),Tablas!$G$9:$O$1240,9,0)*(INT(D1008)+1-D1008))/(VLOOKUP(INT($C$5)+1,Tablas!$G$9:$O$1240,9,0)*($C$5-INT($C$5))+VLOOKUP(INT($C$5),Tablas!$G$9:$O$124,9,0)*(INT($C$5)+1-$C$5)))</f>
      </c>
      <c r="G1008" s="791">
        <f>IF($C$4="Hombre",(+VLOOKUP(INT(D1008)+1,Tablas!$G$9:$K$1240,5,0)*(D1008-INT(D1008))+VLOOKUP(INT(D1008),Tablas!$G$9:$K$1240,5,0)*(INT(D1008)+1-D1008)),+VLOOKUP(INT(D1008)+1,Tablas!$G$9:$O$1240,9,0)*(D1008-INT(D1008))+VLOOKUP(INT(D1008),Tablas!$G$9:$O$1240,9,0)*(INT(D1008)+1-D1008))</f>
      </c>
      <c r="H1008" s="801">
        <f>+IF(MONTH(B1008)=1,H1007*(1+$C$9),H1007)</f>
      </c>
      <c r="I1008" s="689">
        <f>IF(B1008&lt;$C$10,0,IF(B1008&lt;$C$11,$C$8/12*E1008*F1008*H1008,0))</f>
      </c>
      <c r="J1008" s="689">
        <f>I1008*12/14+IF(OR(MONTH(C1008)=6,MONTH(C1008)=12),I1008*12/14,0)</f>
      </c>
      <c r="K1008" s="801">
        <f>G1008/$G$15</f>
      </c>
      <c r="L1008" s="760"/>
      <c r="M1008" s="767"/>
      <c r="N1008" s="168"/>
      <c r="O1008" s="768"/>
      <c r="P1008" s="170"/>
      <c r="Q1008" s="7"/>
      <c r="R1008" s="766"/>
      <c r="S1008" s="170"/>
      <c r="T1008" s="168"/>
      <c r="U1008" s="170"/>
    </row>
    <row x14ac:dyDescent="0.25" r="1009" customHeight="1" ht="18.75">
      <c r="A1009" s="1"/>
      <c r="B1009" s="799">
        <f>+DATE(YEAR(B1008),MONTH(B1008)+1,DAY(B1008))</f>
        <v>25569.041666666668</v>
      </c>
      <c r="C1009" s="799">
        <f>+B1010-1</f>
        <v>25569.041666666668</v>
      </c>
      <c r="D1009" s="791">
        <f>-_xlfn.DAYS($C$3,C1009)/365.25</f>
      </c>
      <c r="E1009" s="800">
        <f>IF($D$17+40&lt;=D1009,(1+$D$7)^-(D1009-$C$5),(1+$C$7)^-(D1009-$C$5))</f>
      </c>
      <c r="F1009" s="801">
        <f>IF($C$4="Hombre",(+VLOOKUP(INT(D1009)+1,Tablas!$G$9:$K$1240,5,0)*(D1009-INT(D1009))+VLOOKUP(INT(D1009),Tablas!$G$9:$K$1240,5,0)*(INT(D1009)+1-D1009))/(VLOOKUP(INT($C$5)+1,Tablas!$G$9:$K$1240,5,0)*($C$5-INT($C$5))+VLOOKUP(INT($C$5),Tablas!$G$9:$K$124,5,0)*(INT($C$5)+1-$C$5)),(+VLOOKUP(INT(D1009)+1,Tablas!$G$9:$O$1240,9,0)*(D1009-INT(D1009))+VLOOKUP(INT(D1009),Tablas!$G$9:$O$1240,9,0)*(INT(D1009)+1-D1009))/(VLOOKUP(INT($C$5)+1,Tablas!$G$9:$O$1240,9,0)*($C$5-INT($C$5))+VLOOKUP(INT($C$5),Tablas!$G$9:$O$124,9,0)*(INT($C$5)+1-$C$5)))</f>
      </c>
      <c r="G1009" s="791">
        <f>IF($C$4="Hombre",(+VLOOKUP(INT(D1009)+1,Tablas!$G$9:$K$1240,5,0)*(D1009-INT(D1009))+VLOOKUP(INT(D1009),Tablas!$G$9:$K$1240,5,0)*(INT(D1009)+1-D1009)),+VLOOKUP(INT(D1009)+1,Tablas!$G$9:$O$1240,9,0)*(D1009-INT(D1009))+VLOOKUP(INT(D1009),Tablas!$G$9:$O$1240,9,0)*(INT(D1009)+1-D1009))</f>
      </c>
      <c r="H1009" s="801">
        <f>+IF(MONTH(B1009)=1,H1008*(1+$C$9),H1008)</f>
      </c>
      <c r="I1009" s="689">
        <f>IF(B1009&lt;$C$10,0,IF(B1009&lt;$C$11,$C$8/12*E1009*F1009*H1009,0))</f>
      </c>
      <c r="J1009" s="689">
        <f>I1009*12/14+IF(OR(MONTH(C1009)=6,MONTH(C1009)=12),I1009*12/14,0)</f>
      </c>
      <c r="K1009" s="801">
        <f>G1009/$G$15</f>
      </c>
      <c r="L1009" s="760"/>
      <c r="M1009" s="767"/>
      <c r="N1009" s="168"/>
      <c r="O1009" s="768"/>
      <c r="P1009" s="170"/>
      <c r="Q1009" s="7"/>
      <c r="R1009" s="766"/>
      <c r="S1009" s="170"/>
      <c r="T1009" s="168"/>
      <c r="U1009" s="170"/>
    </row>
    <row x14ac:dyDescent="0.25" r="1010" customHeight="1" ht="18.75">
      <c r="A1010" s="1"/>
      <c r="B1010" s="799">
        <f>+DATE(YEAR(B1009),MONTH(B1009)+1,DAY(B1009))</f>
        <v>25569.041666666668</v>
      </c>
      <c r="C1010" s="799">
        <f>+B1011-1</f>
        <v>25569.041666666668</v>
      </c>
      <c r="D1010" s="791">
        <f>-_xlfn.DAYS($C$3,C1010)/365.25</f>
      </c>
      <c r="E1010" s="800">
        <f>IF($D$17+40&lt;=D1010,(1+$D$7)^-(D1010-$C$5),(1+$C$7)^-(D1010-$C$5))</f>
      </c>
      <c r="F1010" s="801">
        <f>IF($C$4="Hombre",(+VLOOKUP(INT(D1010)+1,Tablas!$G$9:$K$1240,5,0)*(D1010-INT(D1010))+VLOOKUP(INT(D1010),Tablas!$G$9:$K$1240,5,0)*(INT(D1010)+1-D1010))/(VLOOKUP(INT($C$5)+1,Tablas!$G$9:$K$1240,5,0)*($C$5-INT($C$5))+VLOOKUP(INT($C$5),Tablas!$G$9:$K$124,5,0)*(INT($C$5)+1-$C$5)),(+VLOOKUP(INT(D1010)+1,Tablas!$G$9:$O$1240,9,0)*(D1010-INT(D1010))+VLOOKUP(INT(D1010),Tablas!$G$9:$O$1240,9,0)*(INT(D1010)+1-D1010))/(VLOOKUP(INT($C$5)+1,Tablas!$G$9:$O$1240,9,0)*($C$5-INT($C$5))+VLOOKUP(INT($C$5),Tablas!$G$9:$O$124,9,0)*(INT($C$5)+1-$C$5)))</f>
      </c>
      <c r="G1010" s="791">
        <f>IF($C$4="Hombre",(+VLOOKUP(INT(D1010)+1,Tablas!$G$9:$K$1240,5,0)*(D1010-INT(D1010))+VLOOKUP(INT(D1010),Tablas!$G$9:$K$1240,5,0)*(INT(D1010)+1-D1010)),+VLOOKUP(INT(D1010)+1,Tablas!$G$9:$O$1240,9,0)*(D1010-INT(D1010))+VLOOKUP(INT(D1010),Tablas!$G$9:$O$1240,9,0)*(INT(D1010)+1-D1010))</f>
      </c>
      <c r="H1010" s="801">
        <f>+IF(MONTH(B1010)=1,H1009*(1+$C$9),H1009)</f>
      </c>
      <c r="I1010" s="689">
        <f>IF(B1010&lt;$C$10,0,IF(B1010&lt;$C$11,$C$8/12*E1010*F1010*H1010,0))</f>
      </c>
      <c r="J1010" s="689">
        <f>I1010*12/14+IF(OR(MONTH(C1010)=6,MONTH(C1010)=12),I1010*12/14,0)</f>
      </c>
      <c r="K1010" s="801">
        <f>G1010/$G$15</f>
      </c>
      <c r="L1010" s="760"/>
      <c r="M1010" s="767"/>
      <c r="N1010" s="168"/>
      <c r="O1010" s="768"/>
      <c r="P1010" s="170"/>
      <c r="Q1010" s="7"/>
      <c r="R1010" s="766"/>
      <c r="S1010" s="170"/>
      <c r="T1010" s="168"/>
      <c r="U1010" s="170"/>
    </row>
    <row x14ac:dyDescent="0.25" r="1011" customHeight="1" ht="18.75">
      <c r="A1011" s="1"/>
      <c r="B1011" s="799">
        <f>+DATE(YEAR(B1010),MONTH(B1010)+1,DAY(B1010))</f>
        <v>25569.041666666668</v>
      </c>
      <c r="C1011" s="799">
        <f>+B1012-1</f>
        <v>25569.041666666668</v>
      </c>
      <c r="D1011" s="791">
        <f>-_xlfn.DAYS($C$3,C1011)/365.25</f>
      </c>
      <c r="E1011" s="800">
        <f>IF($D$17+40&lt;=D1011,(1+$D$7)^-(D1011-$C$5),(1+$C$7)^-(D1011-$C$5))</f>
      </c>
      <c r="F1011" s="801">
        <f>IF($C$4="Hombre",(+VLOOKUP(INT(D1011)+1,Tablas!$G$9:$K$1240,5,0)*(D1011-INT(D1011))+VLOOKUP(INT(D1011),Tablas!$G$9:$K$1240,5,0)*(INT(D1011)+1-D1011))/(VLOOKUP(INT($C$5)+1,Tablas!$G$9:$K$1240,5,0)*($C$5-INT($C$5))+VLOOKUP(INT($C$5),Tablas!$G$9:$K$124,5,0)*(INT($C$5)+1-$C$5)),(+VLOOKUP(INT(D1011)+1,Tablas!$G$9:$O$1240,9,0)*(D1011-INT(D1011))+VLOOKUP(INT(D1011),Tablas!$G$9:$O$1240,9,0)*(INT(D1011)+1-D1011))/(VLOOKUP(INT($C$5)+1,Tablas!$G$9:$O$1240,9,0)*($C$5-INT($C$5))+VLOOKUP(INT($C$5),Tablas!$G$9:$O$124,9,0)*(INT($C$5)+1-$C$5)))</f>
      </c>
      <c r="G1011" s="791">
        <f>IF($C$4="Hombre",(+VLOOKUP(INT(D1011)+1,Tablas!$G$9:$K$1240,5,0)*(D1011-INT(D1011))+VLOOKUP(INT(D1011),Tablas!$G$9:$K$1240,5,0)*(INT(D1011)+1-D1011)),+VLOOKUP(INT(D1011)+1,Tablas!$G$9:$O$1240,9,0)*(D1011-INT(D1011))+VLOOKUP(INT(D1011),Tablas!$G$9:$O$1240,9,0)*(INT(D1011)+1-D1011))</f>
      </c>
      <c r="H1011" s="801">
        <f>+IF(MONTH(B1011)=1,H1010*(1+$C$9),H1010)</f>
      </c>
      <c r="I1011" s="689">
        <f>IF(B1011&lt;$C$10,0,IF(B1011&lt;$C$11,$C$8/12*E1011*F1011*H1011,0))</f>
      </c>
      <c r="J1011" s="689">
        <f>I1011*12/14+IF(OR(MONTH(C1011)=6,MONTH(C1011)=12),I1011*12/14,0)</f>
      </c>
      <c r="K1011" s="801">
        <f>G1011/$G$15</f>
      </c>
      <c r="L1011" s="760"/>
      <c r="M1011" s="767"/>
      <c r="N1011" s="168"/>
      <c r="O1011" s="768"/>
      <c r="P1011" s="170"/>
      <c r="Q1011" s="7"/>
      <c r="R1011" s="766"/>
      <c r="S1011" s="170"/>
      <c r="T1011" s="168"/>
      <c r="U1011" s="170"/>
    </row>
    <row x14ac:dyDescent="0.25" r="1012" customHeight="1" ht="18.75">
      <c r="A1012" s="1"/>
      <c r="B1012" s="799">
        <f>+DATE(YEAR(B1011),MONTH(B1011)+1,DAY(B1011))</f>
        <v>25569.041666666668</v>
      </c>
      <c r="C1012" s="799">
        <f>+B1013-1</f>
        <v>25569.041666666668</v>
      </c>
      <c r="D1012" s="791">
        <f>-_xlfn.DAYS($C$3,C1012)/365.25</f>
      </c>
      <c r="E1012" s="800">
        <f>IF($D$17+40&lt;=D1012,(1+$D$7)^-(D1012-$C$5),(1+$C$7)^-(D1012-$C$5))</f>
      </c>
      <c r="F1012" s="801">
        <f>IF($C$4="Hombre",(+VLOOKUP(INT(D1012)+1,Tablas!$G$9:$K$1240,5,0)*(D1012-INT(D1012))+VLOOKUP(INT(D1012),Tablas!$G$9:$K$1240,5,0)*(INT(D1012)+1-D1012))/(VLOOKUP(INT($C$5)+1,Tablas!$G$9:$K$1240,5,0)*($C$5-INT($C$5))+VLOOKUP(INT($C$5),Tablas!$G$9:$K$124,5,0)*(INT($C$5)+1-$C$5)),(+VLOOKUP(INT(D1012)+1,Tablas!$G$9:$O$1240,9,0)*(D1012-INT(D1012))+VLOOKUP(INT(D1012),Tablas!$G$9:$O$1240,9,0)*(INT(D1012)+1-D1012))/(VLOOKUP(INT($C$5)+1,Tablas!$G$9:$O$1240,9,0)*($C$5-INT($C$5))+VLOOKUP(INT($C$5),Tablas!$G$9:$O$124,9,0)*(INT($C$5)+1-$C$5)))</f>
      </c>
      <c r="G1012" s="791">
        <f>IF($C$4="Hombre",(+VLOOKUP(INT(D1012)+1,Tablas!$G$9:$K$1240,5,0)*(D1012-INT(D1012))+VLOOKUP(INT(D1012),Tablas!$G$9:$K$1240,5,0)*(INT(D1012)+1-D1012)),+VLOOKUP(INT(D1012)+1,Tablas!$G$9:$O$1240,9,0)*(D1012-INT(D1012))+VLOOKUP(INT(D1012),Tablas!$G$9:$O$1240,9,0)*(INT(D1012)+1-D1012))</f>
      </c>
      <c r="H1012" s="801">
        <f>+IF(MONTH(B1012)=1,H1011*(1+$C$9),H1011)</f>
      </c>
      <c r="I1012" s="689">
        <f>IF(B1012&lt;$C$10,0,IF(B1012&lt;$C$11,$C$8/12*E1012*F1012*H1012,0))</f>
      </c>
      <c r="J1012" s="689">
        <f>I1012*12/14+IF(OR(MONTH(C1012)=6,MONTH(C1012)=12),I1012*12/14,0)</f>
      </c>
      <c r="K1012" s="801">
        <f>G1012/$G$15</f>
      </c>
      <c r="L1012" s="760"/>
      <c r="M1012" s="767"/>
      <c r="N1012" s="168"/>
      <c r="O1012" s="768"/>
      <c r="P1012" s="170"/>
      <c r="Q1012" s="7"/>
      <c r="R1012" s="766"/>
      <c r="S1012" s="170"/>
      <c r="T1012" s="168"/>
      <c r="U1012" s="170"/>
    </row>
    <row x14ac:dyDescent="0.25" r="1013" customHeight="1" ht="18.75">
      <c r="A1013" s="1"/>
      <c r="B1013" s="799">
        <f>+DATE(YEAR(B1012),MONTH(B1012)+1,DAY(B1012))</f>
        <v>25569.041666666668</v>
      </c>
      <c r="C1013" s="799">
        <f>+B1014-1</f>
        <v>25569.041666666668</v>
      </c>
      <c r="D1013" s="791">
        <f>-_xlfn.DAYS($C$3,C1013)/365.25</f>
      </c>
      <c r="E1013" s="800">
        <f>IF($D$17+40&lt;=D1013,(1+$D$7)^-(D1013-$C$5),(1+$C$7)^-(D1013-$C$5))</f>
      </c>
      <c r="F1013" s="801">
        <f>IF($C$4="Hombre",(+VLOOKUP(INT(D1013)+1,Tablas!$G$9:$K$1240,5,0)*(D1013-INT(D1013))+VLOOKUP(INT(D1013),Tablas!$G$9:$K$1240,5,0)*(INT(D1013)+1-D1013))/(VLOOKUP(INT($C$5)+1,Tablas!$G$9:$K$1240,5,0)*($C$5-INT($C$5))+VLOOKUP(INT($C$5),Tablas!$G$9:$K$124,5,0)*(INT($C$5)+1-$C$5)),(+VLOOKUP(INT(D1013)+1,Tablas!$G$9:$O$1240,9,0)*(D1013-INT(D1013))+VLOOKUP(INT(D1013),Tablas!$G$9:$O$1240,9,0)*(INT(D1013)+1-D1013))/(VLOOKUP(INT($C$5)+1,Tablas!$G$9:$O$1240,9,0)*($C$5-INT($C$5))+VLOOKUP(INT($C$5),Tablas!$G$9:$O$124,9,0)*(INT($C$5)+1-$C$5)))</f>
      </c>
      <c r="G1013" s="791">
        <f>IF($C$4="Hombre",(+VLOOKUP(INT(D1013)+1,Tablas!$G$9:$K$1240,5,0)*(D1013-INT(D1013))+VLOOKUP(INT(D1013),Tablas!$G$9:$K$1240,5,0)*(INT(D1013)+1-D1013)),+VLOOKUP(INT(D1013)+1,Tablas!$G$9:$O$1240,9,0)*(D1013-INT(D1013))+VLOOKUP(INT(D1013),Tablas!$G$9:$O$1240,9,0)*(INT(D1013)+1-D1013))</f>
      </c>
      <c r="H1013" s="801">
        <f>+IF(MONTH(B1013)=1,H1012*(1+$C$9),H1012)</f>
      </c>
      <c r="I1013" s="689">
        <f>IF(B1013&lt;$C$10,0,IF(B1013&lt;$C$11,$C$8/12*E1013*F1013*H1013,0))</f>
      </c>
      <c r="J1013" s="689">
        <f>I1013*12/14+IF(OR(MONTH(C1013)=6,MONTH(C1013)=12),I1013*12/14,0)</f>
      </c>
      <c r="K1013" s="801">
        <f>G1013/$G$15</f>
      </c>
      <c r="L1013" s="760"/>
      <c r="M1013" s="767"/>
      <c r="N1013" s="168"/>
      <c r="O1013" s="768"/>
      <c r="P1013" s="170"/>
      <c r="Q1013" s="7"/>
      <c r="R1013" s="766"/>
      <c r="S1013" s="170"/>
      <c r="T1013" s="168"/>
      <c r="U1013" s="170"/>
    </row>
    <row x14ac:dyDescent="0.25" r="1014" customHeight="1" ht="18.75">
      <c r="A1014" s="1"/>
      <c r="B1014" s="799">
        <f>+DATE(YEAR(B1013),MONTH(B1013)+1,DAY(B1013))</f>
        <v>25569.041666666668</v>
      </c>
      <c r="C1014" s="799">
        <f>+B1015-1</f>
        <v>25569.041666666668</v>
      </c>
      <c r="D1014" s="791">
        <f>-_xlfn.DAYS($C$3,C1014)/365.25</f>
      </c>
      <c r="E1014" s="800">
        <f>IF($D$17+40&lt;=D1014,(1+$D$7)^-(D1014-$C$5),(1+$C$7)^-(D1014-$C$5))</f>
      </c>
      <c r="F1014" s="801">
        <f>IF($C$4="Hombre",(+VLOOKUP(INT(D1014)+1,Tablas!$G$9:$K$1240,5,0)*(D1014-INT(D1014))+VLOOKUP(INT(D1014),Tablas!$G$9:$K$1240,5,0)*(INT(D1014)+1-D1014))/(VLOOKUP(INT($C$5)+1,Tablas!$G$9:$K$1240,5,0)*($C$5-INT($C$5))+VLOOKUP(INT($C$5),Tablas!$G$9:$K$124,5,0)*(INT($C$5)+1-$C$5)),(+VLOOKUP(INT(D1014)+1,Tablas!$G$9:$O$1240,9,0)*(D1014-INT(D1014))+VLOOKUP(INT(D1014),Tablas!$G$9:$O$1240,9,0)*(INT(D1014)+1-D1014))/(VLOOKUP(INT($C$5)+1,Tablas!$G$9:$O$1240,9,0)*($C$5-INT($C$5))+VLOOKUP(INT($C$5),Tablas!$G$9:$O$124,9,0)*(INT($C$5)+1-$C$5)))</f>
      </c>
      <c r="G1014" s="791">
        <f>IF($C$4="Hombre",(+VLOOKUP(INT(D1014)+1,Tablas!$G$9:$K$1240,5,0)*(D1014-INT(D1014))+VLOOKUP(INT(D1014),Tablas!$G$9:$K$1240,5,0)*(INT(D1014)+1-D1014)),+VLOOKUP(INT(D1014)+1,Tablas!$G$9:$O$1240,9,0)*(D1014-INT(D1014))+VLOOKUP(INT(D1014),Tablas!$G$9:$O$1240,9,0)*(INT(D1014)+1-D1014))</f>
      </c>
      <c r="H1014" s="801">
        <f>+IF(MONTH(B1014)=1,H1013*(1+$C$9),H1013)</f>
      </c>
      <c r="I1014" s="689">
        <f>IF(B1014&lt;$C$10,0,IF(B1014&lt;$C$11,$C$8/12*E1014*F1014*H1014,0))</f>
      </c>
      <c r="J1014" s="689">
        <f>I1014*12/14+IF(OR(MONTH(C1014)=6,MONTH(C1014)=12),I1014*12/14,0)</f>
      </c>
      <c r="K1014" s="801">
        <f>G1014/$G$15</f>
      </c>
      <c r="L1014" s="760"/>
      <c r="M1014" s="767"/>
      <c r="N1014" s="168"/>
      <c r="O1014" s="768"/>
      <c r="P1014" s="170"/>
      <c r="Q1014" s="7"/>
      <c r="R1014" s="766"/>
      <c r="S1014" s="170"/>
      <c r="T1014" s="168"/>
      <c r="U1014" s="170"/>
    </row>
    <row x14ac:dyDescent="0.25" r="1015" customHeight="1" ht="18.75">
      <c r="A1015" s="1"/>
      <c r="B1015" s="799">
        <f>+DATE(YEAR(B1014),MONTH(B1014)+1,DAY(B1014))</f>
        <v>25569.041666666668</v>
      </c>
      <c r="C1015" s="799">
        <f>+B1016-1</f>
        <v>25569.041666666668</v>
      </c>
      <c r="D1015" s="791">
        <f>-_xlfn.DAYS($C$3,C1015)/365.25</f>
      </c>
      <c r="E1015" s="800">
        <f>IF($D$17+40&lt;=D1015,(1+$D$7)^-(D1015-$C$5),(1+$C$7)^-(D1015-$C$5))</f>
      </c>
      <c r="F1015" s="801">
        <f>IF($C$4="Hombre",(+VLOOKUP(INT(D1015)+1,Tablas!$G$9:$K$1240,5,0)*(D1015-INT(D1015))+VLOOKUP(INT(D1015),Tablas!$G$9:$K$1240,5,0)*(INT(D1015)+1-D1015))/(VLOOKUP(INT($C$5)+1,Tablas!$G$9:$K$1240,5,0)*($C$5-INT($C$5))+VLOOKUP(INT($C$5),Tablas!$G$9:$K$124,5,0)*(INT($C$5)+1-$C$5)),(+VLOOKUP(INT(D1015)+1,Tablas!$G$9:$O$1240,9,0)*(D1015-INT(D1015))+VLOOKUP(INT(D1015),Tablas!$G$9:$O$1240,9,0)*(INT(D1015)+1-D1015))/(VLOOKUP(INT($C$5)+1,Tablas!$G$9:$O$1240,9,0)*($C$5-INT($C$5))+VLOOKUP(INT($C$5),Tablas!$G$9:$O$124,9,0)*(INT($C$5)+1-$C$5)))</f>
      </c>
      <c r="G1015" s="791">
        <f>IF($C$4="Hombre",(+VLOOKUP(INT(D1015)+1,Tablas!$G$9:$K$1240,5,0)*(D1015-INT(D1015))+VLOOKUP(INT(D1015),Tablas!$G$9:$K$1240,5,0)*(INT(D1015)+1-D1015)),+VLOOKUP(INT(D1015)+1,Tablas!$G$9:$O$1240,9,0)*(D1015-INT(D1015))+VLOOKUP(INT(D1015),Tablas!$G$9:$O$1240,9,0)*(INT(D1015)+1-D1015))</f>
      </c>
      <c r="H1015" s="801">
        <f>+IF(MONTH(B1015)=1,H1014*(1+$C$9),H1014)</f>
      </c>
      <c r="I1015" s="689">
        <f>IF(B1015&lt;$C$10,0,IF(B1015&lt;$C$11,$C$8/12*E1015*F1015*H1015,0))</f>
      </c>
      <c r="J1015" s="689">
        <f>I1015*12/14+IF(OR(MONTH(C1015)=6,MONTH(C1015)=12),I1015*12/14,0)</f>
      </c>
      <c r="K1015" s="801">
        <f>G1015/$G$15</f>
      </c>
      <c r="L1015" s="760"/>
      <c r="M1015" s="767"/>
      <c r="N1015" s="168"/>
      <c r="O1015" s="768"/>
      <c r="P1015" s="170"/>
      <c r="Q1015" s="7"/>
      <c r="R1015" s="766"/>
      <c r="S1015" s="170"/>
      <c r="T1015" s="168"/>
      <c r="U1015" s="170"/>
    </row>
    <row x14ac:dyDescent="0.25" r="1016" customHeight="1" ht="18.75">
      <c r="A1016" s="1"/>
      <c r="B1016" s="799">
        <f>+DATE(YEAR(B1015),MONTH(B1015)+1,DAY(B1015))</f>
        <v>25569.041666666668</v>
      </c>
      <c r="C1016" s="799">
        <f>+B1017-1</f>
        <v>25569.041666666668</v>
      </c>
      <c r="D1016" s="791">
        <f>-_xlfn.DAYS($C$3,C1016)/365.25</f>
      </c>
      <c r="E1016" s="800">
        <f>IF($D$17+40&lt;=D1016,(1+$D$7)^-(D1016-$C$5),(1+$C$7)^-(D1016-$C$5))</f>
      </c>
      <c r="F1016" s="801">
        <f>IF($C$4="Hombre",(+VLOOKUP(INT(D1016)+1,Tablas!$G$9:$K$1240,5,0)*(D1016-INT(D1016))+VLOOKUP(INT(D1016),Tablas!$G$9:$K$1240,5,0)*(INT(D1016)+1-D1016))/(VLOOKUP(INT($C$5)+1,Tablas!$G$9:$K$1240,5,0)*($C$5-INT($C$5))+VLOOKUP(INT($C$5),Tablas!$G$9:$K$124,5,0)*(INT($C$5)+1-$C$5)),(+VLOOKUP(INT(D1016)+1,Tablas!$G$9:$O$1240,9,0)*(D1016-INT(D1016))+VLOOKUP(INT(D1016),Tablas!$G$9:$O$1240,9,0)*(INT(D1016)+1-D1016))/(VLOOKUP(INT($C$5)+1,Tablas!$G$9:$O$1240,9,0)*($C$5-INT($C$5))+VLOOKUP(INT($C$5),Tablas!$G$9:$O$124,9,0)*(INT($C$5)+1-$C$5)))</f>
      </c>
      <c r="G1016" s="791">
        <f>IF($C$4="Hombre",(+VLOOKUP(INT(D1016)+1,Tablas!$G$9:$K$1240,5,0)*(D1016-INT(D1016))+VLOOKUP(INT(D1016),Tablas!$G$9:$K$1240,5,0)*(INT(D1016)+1-D1016)),+VLOOKUP(INT(D1016)+1,Tablas!$G$9:$O$1240,9,0)*(D1016-INT(D1016))+VLOOKUP(INT(D1016),Tablas!$G$9:$O$1240,9,0)*(INT(D1016)+1-D1016))</f>
      </c>
      <c r="H1016" s="801">
        <f>+IF(MONTH(B1016)=1,H1015*(1+$C$9),H1015)</f>
      </c>
      <c r="I1016" s="689">
        <f>IF(B1016&lt;$C$10,0,IF(B1016&lt;$C$11,$C$8/12*E1016*F1016*H1016,0))</f>
      </c>
      <c r="J1016" s="689">
        <f>I1016*12/14+IF(OR(MONTH(C1016)=6,MONTH(C1016)=12),I1016*12/14,0)</f>
      </c>
      <c r="K1016" s="801">
        <f>G1016/$G$15</f>
      </c>
      <c r="L1016" s="760"/>
      <c r="M1016" s="767"/>
      <c r="N1016" s="168"/>
      <c r="O1016" s="768"/>
      <c r="P1016" s="170"/>
      <c r="Q1016" s="7"/>
      <c r="R1016" s="766"/>
      <c r="S1016" s="170"/>
      <c r="T1016" s="168"/>
      <c r="U1016" s="170"/>
    </row>
    <row x14ac:dyDescent="0.25" r="1017" customHeight="1" ht="18.75">
      <c r="A1017" s="1"/>
      <c r="B1017" s="799">
        <f>+DATE(YEAR(B1016),MONTH(B1016)+1,DAY(B1016))</f>
        <v>25569.041666666668</v>
      </c>
      <c r="C1017" s="799">
        <f>+B1018-1</f>
        <v>25569.041666666668</v>
      </c>
      <c r="D1017" s="791">
        <f>-_xlfn.DAYS($C$3,C1017)/365.25</f>
      </c>
      <c r="E1017" s="800">
        <f>IF($D$17+40&lt;=D1017,(1+$D$7)^-(D1017-$C$5),(1+$C$7)^-(D1017-$C$5))</f>
      </c>
      <c r="F1017" s="801">
        <f>IF($C$4="Hombre",(+VLOOKUP(INT(D1017)+1,Tablas!$G$9:$K$1240,5,0)*(D1017-INT(D1017))+VLOOKUP(INT(D1017),Tablas!$G$9:$K$1240,5,0)*(INT(D1017)+1-D1017))/(VLOOKUP(INT($C$5)+1,Tablas!$G$9:$K$1240,5,0)*($C$5-INT($C$5))+VLOOKUP(INT($C$5),Tablas!$G$9:$K$124,5,0)*(INT($C$5)+1-$C$5)),(+VLOOKUP(INT(D1017)+1,Tablas!$G$9:$O$1240,9,0)*(D1017-INT(D1017))+VLOOKUP(INT(D1017),Tablas!$G$9:$O$1240,9,0)*(INT(D1017)+1-D1017))/(VLOOKUP(INT($C$5)+1,Tablas!$G$9:$O$1240,9,0)*($C$5-INT($C$5))+VLOOKUP(INT($C$5),Tablas!$G$9:$O$124,9,0)*(INT($C$5)+1-$C$5)))</f>
      </c>
      <c r="G1017" s="791">
        <f>IF($C$4="Hombre",(+VLOOKUP(INT(D1017)+1,Tablas!$G$9:$K$1240,5,0)*(D1017-INT(D1017))+VLOOKUP(INT(D1017),Tablas!$G$9:$K$1240,5,0)*(INT(D1017)+1-D1017)),+VLOOKUP(INT(D1017)+1,Tablas!$G$9:$O$1240,9,0)*(D1017-INT(D1017))+VLOOKUP(INT(D1017),Tablas!$G$9:$O$1240,9,0)*(INT(D1017)+1-D1017))</f>
      </c>
      <c r="H1017" s="801">
        <f>+IF(MONTH(B1017)=1,H1016*(1+$C$9),H1016)</f>
      </c>
      <c r="I1017" s="689">
        <f>IF(B1017&lt;$C$10,0,IF(B1017&lt;$C$11,$C$8/12*E1017*F1017*H1017,0))</f>
      </c>
      <c r="J1017" s="689">
        <f>I1017*12/14+IF(OR(MONTH(C1017)=6,MONTH(C1017)=12),I1017*12/14,0)</f>
      </c>
      <c r="K1017" s="801">
        <f>G1017/$G$15</f>
      </c>
      <c r="L1017" s="760"/>
      <c r="M1017" s="767"/>
      <c r="N1017" s="168"/>
      <c r="O1017" s="768"/>
      <c r="P1017" s="170"/>
      <c r="Q1017" s="7"/>
      <c r="R1017" s="766"/>
      <c r="S1017" s="170"/>
      <c r="T1017" s="168"/>
      <c r="U1017" s="170"/>
    </row>
    <row x14ac:dyDescent="0.25" r="1018" customHeight="1" ht="18.75">
      <c r="A1018" s="1"/>
      <c r="B1018" s="799">
        <f>+DATE(YEAR(B1017),MONTH(B1017)+1,DAY(B1017))</f>
        <v>25569.041666666668</v>
      </c>
      <c r="C1018" s="799">
        <f>+B1019-1</f>
        <v>25569.041666666668</v>
      </c>
      <c r="D1018" s="791">
        <f>-_xlfn.DAYS($C$3,C1018)/365.25</f>
      </c>
      <c r="E1018" s="800">
        <f>IF($D$17+40&lt;=D1018,(1+$D$7)^-(D1018-$C$5),(1+$C$7)^-(D1018-$C$5))</f>
      </c>
      <c r="F1018" s="801">
        <f>IF($C$4="Hombre",(+VLOOKUP(INT(D1018)+1,Tablas!$G$9:$K$1240,5,0)*(D1018-INT(D1018))+VLOOKUP(INT(D1018),Tablas!$G$9:$K$1240,5,0)*(INT(D1018)+1-D1018))/(VLOOKUP(INT($C$5)+1,Tablas!$G$9:$K$1240,5,0)*($C$5-INT($C$5))+VLOOKUP(INT($C$5),Tablas!$G$9:$K$124,5,0)*(INT($C$5)+1-$C$5)),(+VLOOKUP(INT(D1018)+1,Tablas!$G$9:$O$1240,9,0)*(D1018-INT(D1018))+VLOOKUP(INT(D1018),Tablas!$G$9:$O$1240,9,0)*(INT(D1018)+1-D1018))/(VLOOKUP(INT($C$5)+1,Tablas!$G$9:$O$1240,9,0)*($C$5-INT($C$5))+VLOOKUP(INT($C$5),Tablas!$G$9:$O$124,9,0)*(INT($C$5)+1-$C$5)))</f>
      </c>
      <c r="G1018" s="791">
        <f>IF($C$4="Hombre",(+VLOOKUP(INT(D1018)+1,Tablas!$G$9:$K$1240,5,0)*(D1018-INT(D1018))+VLOOKUP(INT(D1018),Tablas!$G$9:$K$1240,5,0)*(INT(D1018)+1-D1018)),+VLOOKUP(INT(D1018)+1,Tablas!$G$9:$O$1240,9,0)*(D1018-INT(D1018))+VLOOKUP(INT(D1018),Tablas!$G$9:$O$1240,9,0)*(INT(D1018)+1-D1018))</f>
      </c>
      <c r="H1018" s="801">
        <f>+IF(MONTH(B1018)=1,H1017*(1+$C$9),H1017)</f>
      </c>
      <c r="I1018" s="689">
        <f>IF(B1018&lt;$C$10,0,IF(B1018&lt;$C$11,$C$8/12*E1018*F1018*H1018,0))</f>
      </c>
      <c r="J1018" s="689">
        <f>I1018*12/14+IF(OR(MONTH(C1018)=6,MONTH(C1018)=12),I1018*12/14,0)</f>
      </c>
      <c r="K1018" s="801">
        <f>G1018/$G$15</f>
      </c>
      <c r="L1018" s="760"/>
      <c r="M1018" s="767"/>
      <c r="N1018" s="168"/>
      <c r="O1018" s="768"/>
      <c r="P1018" s="170"/>
      <c r="Q1018" s="7"/>
      <c r="R1018" s="766"/>
      <c r="S1018" s="170"/>
      <c r="T1018" s="168"/>
      <c r="U1018" s="170"/>
    </row>
    <row x14ac:dyDescent="0.25" r="1019" customHeight="1" ht="18.75">
      <c r="A1019" s="1"/>
      <c r="B1019" s="799">
        <f>+DATE(YEAR(B1018),MONTH(B1018)+1,DAY(B1018))</f>
        <v>25569.041666666668</v>
      </c>
      <c r="C1019" s="799">
        <f>+B1020-1</f>
        <v>25569.041666666668</v>
      </c>
      <c r="D1019" s="791">
        <f>-_xlfn.DAYS($C$3,C1019)/365.25</f>
      </c>
      <c r="E1019" s="800">
        <f>IF($D$17+40&lt;=D1019,(1+$D$7)^-(D1019-$C$5),(1+$C$7)^-(D1019-$C$5))</f>
      </c>
      <c r="F1019" s="801">
        <f>IF($C$4="Hombre",(+VLOOKUP(INT(D1019)+1,Tablas!$G$9:$K$1240,5,0)*(D1019-INT(D1019))+VLOOKUP(INT(D1019),Tablas!$G$9:$K$1240,5,0)*(INT(D1019)+1-D1019))/(VLOOKUP(INT($C$5)+1,Tablas!$G$9:$K$1240,5,0)*($C$5-INT($C$5))+VLOOKUP(INT($C$5),Tablas!$G$9:$K$124,5,0)*(INT($C$5)+1-$C$5)),(+VLOOKUP(INT(D1019)+1,Tablas!$G$9:$O$1240,9,0)*(D1019-INT(D1019))+VLOOKUP(INT(D1019),Tablas!$G$9:$O$1240,9,0)*(INT(D1019)+1-D1019))/(VLOOKUP(INT($C$5)+1,Tablas!$G$9:$O$1240,9,0)*($C$5-INT($C$5))+VLOOKUP(INT($C$5),Tablas!$G$9:$O$124,9,0)*(INT($C$5)+1-$C$5)))</f>
      </c>
      <c r="G1019" s="791">
        <f>IF($C$4="Hombre",(+VLOOKUP(INT(D1019)+1,Tablas!$G$9:$K$1240,5,0)*(D1019-INT(D1019))+VLOOKUP(INT(D1019),Tablas!$G$9:$K$1240,5,0)*(INT(D1019)+1-D1019)),+VLOOKUP(INT(D1019)+1,Tablas!$G$9:$O$1240,9,0)*(D1019-INT(D1019))+VLOOKUP(INT(D1019),Tablas!$G$9:$O$1240,9,0)*(INT(D1019)+1-D1019))</f>
      </c>
      <c r="H1019" s="801">
        <f>+IF(MONTH(B1019)=1,H1018*(1+$C$9),H1018)</f>
      </c>
      <c r="I1019" s="689">
        <f>IF(B1019&lt;$C$10,0,IF(B1019&lt;$C$11,$C$8/12*E1019*F1019*H1019,0))</f>
      </c>
      <c r="J1019" s="689">
        <f>I1019*12/14+IF(OR(MONTH(C1019)=6,MONTH(C1019)=12),I1019*12/14,0)</f>
      </c>
      <c r="K1019" s="801">
        <f>G1019/$G$15</f>
      </c>
      <c r="L1019" s="760"/>
      <c r="M1019" s="767"/>
      <c r="N1019" s="168"/>
      <c r="O1019" s="768"/>
      <c r="P1019" s="170"/>
      <c r="Q1019" s="7"/>
      <c r="R1019" s="766"/>
      <c r="S1019" s="170"/>
      <c r="T1019" s="168"/>
      <c r="U1019" s="170"/>
    </row>
    <row x14ac:dyDescent="0.25" r="1020" customHeight="1" ht="18.75">
      <c r="A1020" s="1"/>
      <c r="B1020" s="799">
        <f>+DATE(YEAR(B1019),MONTH(B1019)+1,DAY(B1019))</f>
        <v>25569.041666666668</v>
      </c>
      <c r="C1020" s="799">
        <f>+B1021-1</f>
        <v>25569.041666666668</v>
      </c>
      <c r="D1020" s="791">
        <f>-_xlfn.DAYS($C$3,C1020)/365.25</f>
      </c>
      <c r="E1020" s="800">
        <f>IF($D$17+40&lt;=D1020,(1+$D$7)^-(D1020-$C$5),(1+$C$7)^-(D1020-$C$5))</f>
      </c>
      <c r="F1020" s="801">
        <f>IF($C$4="Hombre",(+VLOOKUP(INT(D1020)+1,Tablas!$G$9:$K$1240,5,0)*(D1020-INT(D1020))+VLOOKUP(INT(D1020),Tablas!$G$9:$K$1240,5,0)*(INT(D1020)+1-D1020))/(VLOOKUP(INT($C$5)+1,Tablas!$G$9:$K$1240,5,0)*($C$5-INT($C$5))+VLOOKUP(INT($C$5),Tablas!$G$9:$K$124,5,0)*(INT($C$5)+1-$C$5)),(+VLOOKUP(INT(D1020)+1,Tablas!$G$9:$O$1240,9,0)*(D1020-INT(D1020))+VLOOKUP(INT(D1020),Tablas!$G$9:$O$1240,9,0)*(INT(D1020)+1-D1020))/(VLOOKUP(INT($C$5)+1,Tablas!$G$9:$O$1240,9,0)*($C$5-INT($C$5))+VLOOKUP(INT($C$5),Tablas!$G$9:$O$124,9,0)*(INT($C$5)+1-$C$5)))</f>
      </c>
      <c r="G1020" s="791">
        <f>IF($C$4="Hombre",(+VLOOKUP(INT(D1020)+1,Tablas!$G$9:$K$1240,5,0)*(D1020-INT(D1020))+VLOOKUP(INT(D1020),Tablas!$G$9:$K$1240,5,0)*(INT(D1020)+1-D1020)),+VLOOKUP(INT(D1020)+1,Tablas!$G$9:$O$1240,9,0)*(D1020-INT(D1020))+VLOOKUP(INT(D1020),Tablas!$G$9:$O$1240,9,0)*(INT(D1020)+1-D1020))</f>
      </c>
      <c r="H1020" s="801">
        <f>+IF(MONTH(B1020)=1,H1019*(1+$C$9),H1019)</f>
      </c>
      <c r="I1020" s="689">
        <f>IF(B1020&lt;$C$10,0,IF(B1020&lt;$C$11,$C$8/12*E1020*F1020*H1020,0))</f>
      </c>
      <c r="J1020" s="689">
        <f>I1020*12/14+IF(OR(MONTH(C1020)=6,MONTH(C1020)=12),I1020*12/14,0)</f>
      </c>
      <c r="K1020" s="801">
        <f>G1020/$G$15</f>
      </c>
      <c r="L1020" s="760"/>
      <c r="M1020" s="767"/>
      <c r="N1020" s="168"/>
      <c r="O1020" s="768"/>
      <c r="P1020" s="170"/>
      <c r="Q1020" s="7"/>
      <c r="R1020" s="766"/>
      <c r="S1020" s="170"/>
      <c r="T1020" s="168"/>
      <c r="U1020" s="170"/>
    </row>
    <row x14ac:dyDescent="0.25" r="1021" customHeight="1" ht="18.75">
      <c r="A1021" s="1"/>
      <c r="B1021" s="799">
        <f>+DATE(YEAR(B1020),MONTH(B1020)+1,DAY(B1020))</f>
        <v>25569.041666666668</v>
      </c>
      <c r="C1021" s="799">
        <f>+B1022-1</f>
        <v>25569.041666666668</v>
      </c>
      <c r="D1021" s="791">
        <f>-_xlfn.DAYS($C$3,C1021)/365.25</f>
      </c>
      <c r="E1021" s="800">
        <f>IF($D$17+40&lt;=D1021,(1+$D$7)^-(D1021-$C$5),(1+$C$7)^-(D1021-$C$5))</f>
      </c>
      <c r="F1021" s="801">
        <f>IF($C$4="Hombre",(+VLOOKUP(INT(D1021)+1,Tablas!$G$9:$K$1240,5,0)*(D1021-INT(D1021))+VLOOKUP(INT(D1021),Tablas!$G$9:$K$1240,5,0)*(INT(D1021)+1-D1021))/(VLOOKUP(INT($C$5)+1,Tablas!$G$9:$K$1240,5,0)*($C$5-INT($C$5))+VLOOKUP(INT($C$5),Tablas!$G$9:$K$124,5,0)*(INT($C$5)+1-$C$5)),(+VLOOKUP(INT(D1021)+1,Tablas!$G$9:$O$1240,9,0)*(D1021-INT(D1021))+VLOOKUP(INT(D1021),Tablas!$G$9:$O$1240,9,0)*(INT(D1021)+1-D1021))/(VLOOKUP(INT($C$5)+1,Tablas!$G$9:$O$1240,9,0)*($C$5-INT($C$5))+VLOOKUP(INT($C$5),Tablas!$G$9:$O$124,9,0)*(INT($C$5)+1-$C$5)))</f>
      </c>
      <c r="G1021" s="791">
        <f>IF($C$4="Hombre",(+VLOOKUP(INT(D1021)+1,Tablas!$G$9:$K$1240,5,0)*(D1021-INT(D1021))+VLOOKUP(INT(D1021),Tablas!$G$9:$K$1240,5,0)*(INT(D1021)+1-D1021)),+VLOOKUP(INT(D1021)+1,Tablas!$G$9:$O$1240,9,0)*(D1021-INT(D1021))+VLOOKUP(INT(D1021),Tablas!$G$9:$O$1240,9,0)*(INT(D1021)+1-D1021))</f>
      </c>
      <c r="H1021" s="801">
        <f>+IF(MONTH(B1021)=1,H1020*(1+$C$9),H1020)</f>
      </c>
      <c r="I1021" s="689">
        <f>IF(B1021&lt;$C$10,0,IF(B1021&lt;$C$11,$C$8/12*E1021*F1021*H1021,0))</f>
      </c>
      <c r="J1021" s="689">
        <f>I1021*12/14+IF(OR(MONTH(C1021)=6,MONTH(C1021)=12),I1021*12/14,0)</f>
      </c>
      <c r="K1021" s="801">
        <f>G1021/$G$15</f>
      </c>
      <c r="L1021" s="760"/>
      <c r="M1021" s="767"/>
      <c r="N1021" s="168"/>
      <c r="O1021" s="768"/>
      <c r="P1021" s="170"/>
      <c r="Q1021" s="7"/>
      <c r="R1021" s="766"/>
      <c r="S1021" s="170"/>
      <c r="T1021" s="168"/>
      <c r="U1021" s="170"/>
    </row>
    <row x14ac:dyDescent="0.25" r="1022" customHeight="1" ht="18.75">
      <c r="A1022" s="1"/>
      <c r="B1022" s="799">
        <f>+DATE(YEAR(B1021),MONTH(B1021)+1,DAY(B1021))</f>
        <v>25569.041666666668</v>
      </c>
      <c r="C1022" s="799">
        <f>+B1023-1</f>
        <v>25569.041666666668</v>
      </c>
      <c r="D1022" s="791">
        <f>-_xlfn.DAYS($C$3,C1022)/365.25</f>
      </c>
      <c r="E1022" s="800">
        <f>IF($D$17+40&lt;=D1022,(1+$D$7)^-(D1022-$C$5),(1+$C$7)^-(D1022-$C$5))</f>
      </c>
      <c r="F1022" s="801">
        <f>IF($C$4="Hombre",(+VLOOKUP(INT(D1022)+1,Tablas!$G$9:$K$1240,5,0)*(D1022-INT(D1022))+VLOOKUP(INT(D1022),Tablas!$G$9:$K$1240,5,0)*(INT(D1022)+1-D1022))/(VLOOKUP(INT($C$5)+1,Tablas!$G$9:$K$1240,5,0)*($C$5-INT($C$5))+VLOOKUP(INT($C$5),Tablas!$G$9:$K$124,5,0)*(INT($C$5)+1-$C$5)),(+VLOOKUP(INT(D1022)+1,Tablas!$G$9:$O$1240,9,0)*(D1022-INT(D1022))+VLOOKUP(INT(D1022),Tablas!$G$9:$O$1240,9,0)*(INT(D1022)+1-D1022))/(VLOOKUP(INT($C$5)+1,Tablas!$G$9:$O$1240,9,0)*($C$5-INT($C$5))+VLOOKUP(INT($C$5),Tablas!$G$9:$O$124,9,0)*(INT($C$5)+1-$C$5)))</f>
      </c>
      <c r="G1022" s="791">
        <f>IF($C$4="Hombre",(+VLOOKUP(INT(D1022)+1,Tablas!$G$9:$K$1240,5,0)*(D1022-INT(D1022))+VLOOKUP(INT(D1022),Tablas!$G$9:$K$1240,5,0)*(INT(D1022)+1-D1022)),+VLOOKUP(INT(D1022)+1,Tablas!$G$9:$O$1240,9,0)*(D1022-INT(D1022))+VLOOKUP(INT(D1022),Tablas!$G$9:$O$1240,9,0)*(INT(D1022)+1-D1022))</f>
      </c>
      <c r="H1022" s="801">
        <f>+IF(MONTH(B1022)=1,H1021*(1+$C$9),H1021)</f>
      </c>
      <c r="I1022" s="689">
        <f>IF(B1022&lt;$C$10,0,IF(B1022&lt;$C$11,$C$8/12*E1022*F1022*H1022,0))</f>
      </c>
      <c r="J1022" s="689">
        <f>I1022*12/14+IF(OR(MONTH(C1022)=6,MONTH(C1022)=12),I1022*12/14,0)</f>
      </c>
      <c r="K1022" s="801">
        <f>G1022/$G$15</f>
      </c>
      <c r="L1022" s="760"/>
      <c r="M1022" s="767"/>
      <c r="N1022" s="168"/>
      <c r="O1022" s="768"/>
      <c r="P1022" s="170"/>
      <c r="Q1022" s="7"/>
      <c r="R1022" s="766"/>
      <c r="S1022" s="170"/>
      <c r="T1022" s="168"/>
      <c r="U1022" s="170"/>
    </row>
    <row x14ac:dyDescent="0.25" r="1023" customHeight="1" ht="18.75">
      <c r="A1023" s="1"/>
      <c r="B1023" s="799">
        <f>+DATE(YEAR(B1022),MONTH(B1022)+1,DAY(B1022))</f>
        <v>25569.041666666668</v>
      </c>
      <c r="C1023" s="799">
        <f>+B1024-1</f>
        <v>25569.041666666668</v>
      </c>
      <c r="D1023" s="791">
        <f>-_xlfn.DAYS($C$3,C1023)/365.25</f>
      </c>
      <c r="E1023" s="800">
        <f>IF($D$17+40&lt;=D1023,(1+$D$7)^-(D1023-$C$5),(1+$C$7)^-(D1023-$C$5))</f>
      </c>
      <c r="F1023" s="801">
        <f>IF($C$4="Hombre",(+VLOOKUP(INT(D1023)+1,Tablas!$G$9:$K$1240,5,0)*(D1023-INT(D1023))+VLOOKUP(INT(D1023),Tablas!$G$9:$K$1240,5,0)*(INT(D1023)+1-D1023))/(VLOOKUP(INT($C$5)+1,Tablas!$G$9:$K$1240,5,0)*($C$5-INT($C$5))+VLOOKUP(INT($C$5),Tablas!$G$9:$K$124,5,0)*(INT($C$5)+1-$C$5)),(+VLOOKUP(INT(D1023)+1,Tablas!$G$9:$O$1240,9,0)*(D1023-INT(D1023))+VLOOKUP(INT(D1023),Tablas!$G$9:$O$1240,9,0)*(INT(D1023)+1-D1023))/(VLOOKUP(INT($C$5)+1,Tablas!$G$9:$O$1240,9,0)*($C$5-INT($C$5))+VLOOKUP(INT($C$5),Tablas!$G$9:$O$124,9,0)*(INT($C$5)+1-$C$5)))</f>
      </c>
      <c r="G1023" s="791">
        <f>IF($C$4="Hombre",(+VLOOKUP(INT(D1023)+1,Tablas!$G$9:$K$1240,5,0)*(D1023-INT(D1023))+VLOOKUP(INT(D1023),Tablas!$G$9:$K$1240,5,0)*(INT(D1023)+1-D1023)),+VLOOKUP(INT(D1023)+1,Tablas!$G$9:$O$1240,9,0)*(D1023-INT(D1023))+VLOOKUP(INT(D1023),Tablas!$G$9:$O$1240,9,0)*(INT(D1023)+1-D1023))</f>
      </c>
      <c r="H1023" s="801">
        <f>+IF(MONTH(B1023)=1,H1022*(1+$C$9),H1022)</f>
      </c>
      <c r="I1023" s="689">
        <f>IF(B1023&lt;$C$10,0,IF(B1023&lt;$C$11,$C$8/12*E1023*F1023*H1023,0))</f>
      </c>
      <c r="J1023" s="689">
        <f>I1023*12/14+IF(OR(MONTH(C1023)=6,MONTH(C1023)=12),I1023*12/14,0)</f>
      </c>
      <c r="K1023" s="801">
        <f>G1023/$G$15</f>
      </c>
      <c r="L1023" s="760"/>
      <c r="M1023" s="767"/>
      <c r="N1023" s="168"/>
      <c r="O1023" s="768"/>
      <c r="P1023" s="170"/>
      <c r="Q1023" s="7"/>
      <c r="R1023" s="766"/>
      <c r="S1023" s="170"/>
      <c r="T1023" s="168"/>
      <c r="U1023" s="170"/>
    </row>
    <row x14ac:dyDescent="0.25" r="1024" customHeight="1" ht="18.75">
      <c r="A1024" s="1"/>
      <c r="B1024" s="799">
        <f>+DATE(YEAR(B1023),MONTH(B1023)+1,DAY(B1023))</f>
        <v>25569.041666666668</v>
      </c>
      <c r="C1024" s="799">
        <f>+B1025-1</f>
        <v>25569.041666666668</v>
      </c>
      <c r="D1024" s="791">
        <f>-_xlfn.DAYS($C$3,C1024)/365.25</f>
      </c>
      <c r="E1024" s="800">
        <f>IF($D$17+40&lt;=D1024,(1+$D$7)^-(D1024-$C$5),(1+$C$7)^-(D1024-$C$5))</f>
      </c>
      <c r="F1024" s="801">
        <f>IF($C$4="Hombre",(+VLOOKUP(INT(D1024)+1,Tablas!$G$9:$K$1240,5,0)*(D1024-INT(D1024))+VLOOKUP(INT(D1024),Tablas!$G$9:$K$1240,5,0)*(INT(D1024)+1-D1024))/(VLOOKUP(INT($C$5)+1,Tablas!$G$9:$K$1240,5,0)*($C$5-INT($C$5))+VLOOKUP(INT($C$5),Tablas!$G$9:$K$124,5,0)*(INT($C$5)+1-$C$5)),(+VLOOKUP(INT(D1024)+1,Tablas!$G$9:$O$1240,9,0)*(D1024-INT(D1024))+VLOOKUP(INT(D1024),Tablas!$G$9:$O$1240,9,0)*(INT(D1024)+1-D1024))/(VLOOKUP(INT($C$5)+1,Tablas!$G$9:$O$1240,9,0)*($C$5-INT($C$5))+VLOOKUP(INT($C$5),Tablas!$G$9:$O$124,9,0)*(INT($C$5)+1-$C$5)))</f>
      </c>
      <c r="G1024" s="791">
        <f>IF($C$4="Hombre",(+VLOOKUP(INT(D1024)+1,Tablas!$G$9:$K$1240,5,0)*(D1024-INT(D1024))+VLOOKUP(INT(D1024),Tablas!$G$9:$K$1240,5,0)*(INT(D1024)+1-D1024)),+VLOOKUP(INT(D1024)+1,Tablas!$G$9:$O$1240,9,0)*(D1024-INT(D1024))+VLOOKUP(INT(D1024),Tablas!$G$9:$O$1240,9,0)*(INT(D1024)+1-D1024))</f>
      </c>
      <c r="H1024" s="801">
        <f>+IF(MONTH(B1024)=1,H1023*(1+$C$9),H1023)</f>
      </c>
      <c r="I1024" s="689">
        <f>IF(B1024&lt;$C$10,0,IF(B1024&lt;$C$11,$C$8/12*E1024*F1024*H1024,0))</f>
      </c>
      <c r="J1024" s="689">
        <f>I1024*12/14+IF(OR(MONTH(C1024)=6,MONTH(C1024)=12),I1024*12/14,0)</f>
      </c>
      <c r="K1024" s="801">
        <f>G1024/$G$15</f>
      </c>
      <c r="L1024" s="760"/>
      <c r="M1024" s="767"/>
      <c r="N1024" s="168"/>
      <c r="O1024" s="768"/>
      <c r="P1024" s="170"/>
      <c r="Q1024" s="7"/>
      <c r="R1024" s="766"/>
      <c r="S1024" s="170"/>
      <c r="T1024" s="168"/>
      <c r="U1024" s="170"/>
    </row>
    <row x14ac:dyDescent="0.25" r="1025" customHeight="1" ht="18.75">
      <c r="A1025" s="1"/>
      <c r="B1025" s="799">
        <f>+DATE(YEAR(B1024),MONTH(B1024)+1,DAY(B1024))</f>
        <v>25569.041666666668</v>
      </c>
      <c r="C1025" s="799">
        <f>+B1026-1</f>
        <v>25569.041666666668</v>
      </c>
      <c r="D1025" s="791">
        <f>-_xlfn.DAYS($C$3,C1025)/365.25</f>
      </c>
      <c r="E1025" s="800">
        <f>IF($D$17+40&lt;=D1025,(1+$D$7)^-(D1025-$C$5),(1+$C$7)^-(D1025-$C$5))</f>
      </c>
      <c r="F1025" s="801">
        <f>IF($C$4="Hombre",(+VLOOKUP(INT(D1025)+1,Tablas!$G$9:$K$1240,5,0)*(D1025-INT(D1025))+VLOOKUP(INT(D1025),Tablas!$G$9:$K$1240,5,0)*(INT(D1025)+1-D1025))/(VLOOKUP(INT($C$5)+1,Tablas!$G$9:$K$1240,5,0)*($C$5-INT($C$5))+VLOOKUP(INT($C$5),Tablas!$G$9:$K$124,5,0)*(INT($C$5)+1-$C$5)),(+VLOOKUP(INT(D1025)+1,Tablas!$G$9:$O$1240,9,0)*(D1025-INT(D1025))+VLOOKUP(INT(D1025),Tablas!$G$9:$O$1240,9,0)*(INT(D1025)+1-D1025))/(VLOOKUP(INT($C$5)+1,Tablas!$G$9:$O$1240,9,0)*($C$5-INT($C$5))+VLOOKUP(INT($C$5),Tablas!$G$9:$O$124,9,0)*(INT($C$5)+1-$C$5)))</f>
      </c>
      <c r="G1025" s="791">
        <f>IF($C$4="Hombre",(+VLOOKUP(INT(D1025)+1,Tablas!$G$9:$K$1240,5,0)*(D1025-INT(D1025))+VLOOKUP(INT(D1025),Tablas!$G$9:$K$1240,5,0)*(INT(D1025)+1-D1025)),+VLOOKUP(INT(D1025)+1,Tablas!$G$9:$O$1240,9,0)*(D1025-INT(D1025))+VLOOKUP(INT(D1025),Tablas!$G$9:$O$1240,9,0)*(INT(D1025)+1-D1025))</f>
      </c>
      <c r="H1025" s="801">
        <f>+IF(MONTH(B1025)=1,H1024*(1+$C$9),H1024)</f>
      </c>
      <c r="I1025" s="689">
        <f>IF(B1025&lt;$C$10,0,IF(B1025&lt;$C$11,$C$8/12*E1025*F1025*H1025,0))</f>
      </c>
      <c r="J1025" s="689">
        <f>I1025*12/14+IF(OR(MONTH(C1025)=6,MONTH(C1025)=12),I1025*12/14,0)</f>
      </c>
      <c r="K1025" s="801">
        <f>G1025/$G$15</f>
      </c>
      <c r="L1025" s="760"/>
      <c r="M1025" s="767"/>
      <c r="N1025" s="168"/>
      <c r="O1025" s="768"/>
      <c r="P1025" s="170"/>
      <c r="Q1025" s="7"/>
      <c r="R1025" s="766"/>
      <c r="S1025" s="170"/>
      <c r="T1025" s="168"/>
      <c r="U1025" s="170"/>
    </row>
    <row x14ac:dyDescent="0.25" r="1026" customHeight="1" ht="18.75">
      <c r="A1026" s="1"/>
      <c r="B1026" s="799">
        <f>+DATE(YEAR(B1025),MONTH(B1025)+1,DAY(B1025))</f>
        <v>25569.041666666668</v>
      </c>
      <c r="C1026" s="799">
        <f>+B1027-1</f>
        <v>25569.041666666668</v>
      </c>
      <c r="D1026" s="791">
        <f>-_xlfn.DAYS($C$3,C1026)/365.25</f>
      </c>
      <c r="E1026" s="800">
        <f>IF($D$17+40&lt;=D1026,(1+$D$7)^-(D1026-$C$5),(1+$C$7)^-(D1026-$C$5))</f>
      </c>
      <c r="F1026" s="801">
        <f>IF($C$4="Hombre",(+VLOOKUP(INT(D1026)+1,Tablas!$G$9:$K$1240,5,0)*(D1026-INT(D1026))+VLOOKUP(INT(D1026),Tablas!$G$9:$K$1240,5,0)*(INT(D1026)+1-D1026))/(VLOOKUP(INT($C$5)+1,Tablas!$G$9:$K$1240,5,0)*($C$5-INT($C$5))+VLOOKUP(INT($C$5),Tablas!$G$9:$K$124,5,0)*(INT($C$5)+1-$C$5)),(+VLOOKUP(INT(D1026)+1,Tablas!$G$9:$O$1240,9,0)*(D1026-INT(D1026))+VLOOKUP(INT(D1026),Tablas!$G$9:$O$1240,9,0)*(INT(D1026)+1-D1026))/(VLOOKUP(INT($C$5)+1,Tablas!$G$9:$O$1240,9,0)*($C$5-INT($C$5))+VLOOKUP(INT($C$5),Tablas!$G$9:$O$124,9,0)*(INT($C$5)+1-$C$5)))</f>
      </c>
      <c r="G1026" s="791">
        <f>IF($C$4="Hombre",(+VLOOKUP(INT(D1026)+1,Tablas!$G$9:$K$1240,5,0)*(D1026-INT(D1026))+VLOOKUP(INT(D1026),Tablas!$G$9:$K$1240,5,0)*(INT(D1026)+1-D1026)),+VLOOKUP(INT(D1026)+1,Tablas!$G$9:$O$1240,9,0)*(D1026-INT(D1026))+VLOOKUP(INT(D1026),Tablas!$G$9:$O$1240,9,0)*(INT(D1026)+1-D1026))</f>
      </c>
      <c r="H1026" s="801">
        <f>+IF(MONTH(B1026)=1,H1025*(1+$C$9),H1025)</f>
      </c>
      <c r="I1026" s="689">
        <f>IF(B1026&lt;$C$10,0,IF(B1026&lt;$C$11,$C$8/12*E1026*F1026*H1026,0))</f>
      </c>
      <c r="J1026" s="689">
        <f>I1026*12/14+IF(OR(MONTH(C1026)=6,MONTH(C1026)=12),I1026*12/14,0)</f>
      </c>
      <c r="K1026" s="801">
        <f>G1026/$G$15</f>
      </c>
      <c r="L1026" s="760"/>
      <c r="M1026" s="767"/>
      <c r="N1026" s="168"/>
      <c r="O1026" s="768"/>
      <c r="P1026" s="170"/>
      <c r="Q1026" s="7"/>
      <c r="R1026" s="766"/>
      <c r="S1026" s="170"/>
      <c r="T1026" s="168"/>
      <c r="U1026" s="170"/>
    </row>
    <row x14ac:dyDescent="0.25" r="1027" customHeight="1" ht="18.75">
      <c r="A1027" s="1"/>
      <c r="B1027" s="799">
        <f>+DATE(YEAR(B1026),MONTH(B1026)+1,DAY(B1026))</f>
        <v>25569.041666666668</v>
      </c>
      <c r="C1027" s="799">
        <f>+B1028-1</f>
        <v>25569.041666666668</v>
      </c>
      <c r="D1027" s="791">
        <f>-_xlfn.DAYS($C$3,C1027)/365.25</f>
      </c>
      <c r="E1027" s="800">
        <f>IF($D$17+40&lt;=D1027,(1+$D$7)^-(D1027-$C$5),(1+$C$7)^-(D1027-$C$5))</f>
      </c>
      <c r="F1027" s="801">
        <f>IF($C$4="Hombre",(+VLOOKUP(INT(D1027)+1,Tablas!$G$9:$K$1240,5,0)*(D1027-INT(D1027))+VLOOKUP(INT(D1027),Tablas!$G$9:$K$1240,5,0)*(INT(D1027)+1-D1027))/(VLOOKUP(INT($C$5)+1,Tablas!$G$9:$K$1240,5,0)*($C$5-INT($C$5))+VLOOKUP(INT($C$5),Tablas!$G$9:$K$124,5,0)*(INT($C$5)+1-$C$5)),(+VLOOKUP(INT(D1027)+1,Tablas!$G$9:$O$1240,9,0)*(D1027-INT(D1027))+VLOOKUP(INT(D1027),Tablas!$G$9:$O$1240,9,0)*(INT(D1027)+1-D1027))/(VLOOKUP(INT($C$5)+1,Tablas!$G$9:$O$1240,9,0)*($C$5-INT($C$5))+VLOOKUP(INT($C$5),Tablas!$G$9:$O$124,9,0)*(INT($C$5)+1-$C$5)))</f>
      </c>
      <c r="G1027" s="791">
        <f>IF($C$4="Hombre",(+VLOOKUP(INT(D1027)+1,Tablas!$G$9:$K$1240,5,0)*(D1027-INT(D1027))+VLOOKUP(INT(D1027),Tablas!$G$9:$K$1240,5,0)*(INT(D1027)+1-D1027)),+VLOOKUP(INT(D1027)+1,Tablas!$G$9:$O$1240,9,0)*(D1027-INT(D1027))+VLOOKUP(INT(D1027),Tablas!$G$9:$O$1240,9,0)*(INT(D1027)+1-D1027))</f>
      </c>
      <c r="H1027" s="801">
        <f>+IF(MONTH(B1027)=1,H1026*(1+$C$9),H1026)</f>
      </c>
      <c r="I1027" s="689">
        <f>IF(B1027&lt;$C$10,0,IF(B1027&lt;$C$11,$C$8/12*E1027*F1027*H1027,0))</f>
      </c>
      <c r="J1027" s="689">
        <f>I1027*12/14+IF(OR(MONTH(C1027)=6,MONTH(C1027)=12),I1027*12/14,0)</f>
      </c>
      <c r="K1027" s="801">
        <f>G1027/$G$15</f>
      </c>
      <c r="L1027" s="760"/>
      <c r="M1027" s="767"/>
      <c r="N1027" s="168"/>
      <c r="O1027" s="768"/>
      <c r="P1027" s="170"/>
      <c r="Q1027" s="7"/>
      <c r="R1027" s="766"/>
      <c r="S1027" s="170"/>
      <c r="T1027" s="168"/>
      <c r="U1027" s="170"/>
    </row>
    <row x14ac:dyDescent="0.25" r="1028" customHeight="1" ht="18.75">
      <c r="A1028" s="1"/>
      <c r="B1028" s="799">
        <f>+DATE(YEAR(B1027),MONTH(B1027)+1,DAY(B1027))</f>
        <v>25569.041666666668</v>
      </c>
      <c r="C1028" s="799">
        <f>+B1029-1</f>
        <v>25569.041666666668</v>
      </c>
      <c r="D1028" s="791">
        <f>-_xlfn.DAYS($C$3,C1028)/365.25</f>
      </c>
      <c r="E1028" s="800">
        <f>IF($D$17+40&lt;=D1028,(1+$D$7)^-(D1028-$C$5),(1+$C$7)^-(D1028-$C$5))</f>
      </c>
      <c r="F1028" s="801">
        <f>IF($C$4="Hombre",(+VLOOKUP(INT(D1028)+1,Tablas!$G$9:$K$1240,5,0)*(D1028-INT(D1028))+VLOOKUP(INT(D1028),Tablas!$G$9:$K$1240,5,0)*(INT(D1028)+1-D1028))/(VLOOKUP(INT($C$5)+1,Tablas!$G$9:$K$1240,5,0)*($C$5-INT($C$5))+VLOOKUP(INT($C$5),Tablas!$G$9:$K$124,5,0)*(INT($C$5)+1-$C$5)),(+VLOOKUP(INT(D1028)+1,Tablas!$G$9:$O$1240,9,0)*(D1028-INT(D1028))+VLOOKUP(INT(D1028),Tablas!$G$9:$O$1240,9,0)*(INT(D1028)+1-D1028))/(VLOOKUP(INT($C$5)+1,Tablas!$G$9:$O$1240,9,0)*($C$5-INT($C$5))+VLOOKUP(INT($C$5),Tablas!$G$9:$O$124,9,0)*(INT($C$5)+1-$C$5)))</f>
      </c>
      <c r="G1028" s="791">
        <f>IF($C$4="Hombre",(+VLOOKUP(INT(D1028)+1,Tablas!$G$9:$K$1240,5,0)*(D1028-INT(D1028))+VLOOKUP(INT(D1028),Tablas!$G$9:$K$1240,5,0)*(INT(D1028)+1-D1028)),+VLOOKUP(INT(D1028)+1,Tablas!$G$9:$O$1240,9,0)*(D1028-INT(D1028))+VLOOKUP(INT(D1028),Tablas!$G$9:$O$1240,9,0)*(INT(D1028)+1-D1028))</f>
      </c>
      <c r="H1028" s="801">
        <f>+IF(MONTH(B1028)=1,H1027*(1+$C$9),H1027)</f>
      </c>
      <c r="I1028" s="689">
        <f>IF(B1028&lt;$C$10,0,IF(B1028&lt;$C$11,$C$8/12*E1028*F1028*H1028,0))</f>
      </c>
      <c r="J1028" s="689">
        <f>I1028*12/14+IF(OR(MONTH(C1028)=6,MONTH(C1028)=12),I1028*12/14,0)</f>
      </c>
      <c r="K1028" s="801">
        <f>G1028/$G$15</f>
      </c>
      <c r="L1028" s="760"/>
      <c r="M1028" s="767"/>
      <c r="N1028" s="168"/>
      <c r="O1028" s="768"/>
      <c r="P1028" s="170"/>
      <c r="Q1028" s="7"/>
      <c r="R1028" s="766"/>
      <c r="S1028" s="170"/>
      <c r="T1028" s="168"/>
      <c r="U1028" s="170"/>
    </row>
    <row x14ac:dyDescent="0.25" r="1029" customHeight="1" ht="18.75">
      <c r="A1029" s="1"/>
      <c r="B1029" s="799">
        <f>+DATE(YEAR(B1028),MONTH(B1028)+1,DAY(B1028))</f>
        <v>25569.041666666668</v>
      </c>
      <c r="C1029" s="799">
        <f>+B1030-1</f>
        <v>25569.041666666668</v>
      </c>
      <c r="D1029" s="791">
        <f>-_xlfn.DAYS($C$3,C1029)/365.25</f>
      </c>
      <c r="E1029" s="800">
        <f>IF($D$17+40&lt;=D1029,(1+$D$7)^-(D1029-$C$5),(1+$C$7)^-(D1029-$C$5))</f>
      </c>
      <c r="F1029" s="801">
        <f>IF($C$4="Hombre",(+VLOOKUP(INT(D1029)+1,Tablas!$G$9:$K$1240,5,0)*(D1029-INT(D1029))+VLOOKUP(INT(D1029),Tablas!$G$9:$K$1240,5,0)*(INT(D1029)+1-D1029))/(VLOOKUP(INT($C$5)+1,Tablas!$G$9:$K$1240,5,0)*($C$5-INT($C$5))+VLOOKUP(INT($C$5),Tablas!$G$9:$K$124,5,0)*(INT($C$5)+1-$C$5)),(+VLOOKUP(INT(D1029)+1,Tablas!$G$9:$O$1240,9,0)*(D1029-INT(D1029))+VLOOKUP(INT(D1029),Tablas!$G$9:$O$1240,9,0)*(INT(D1029)+1-D1029))/(VLOOKUP(INT($C$5)+1,Tablas!$G$9:$O$1240,9,0)*($C$5-INT($C$5))+VLOOKUP(INT($C$5),Tablas!$G$9:$O$124,9,0)*(INT($C$5)+1-$C$5)))</f>
      </c>
      <c r="G1029" s="791">
        <f>IF($C$4="Hombre",(+VLOOKUP(INT(D1029)+1,Tablas!$G$9:$K$1240,5,0)*(D1029-INT(D1029))+VLOOKUP(INT(D1029),Tablas!$G$9:$K$1240,5,0)*(INT(D1029)+1-D1029)),+VLOOKUP(INT(D1029)+1,Tablas!$G$9:$O$1240,9,0)*(D1029-INT(D1029))+VLOOKUP(INT(D1029),Tablas!$G$9:$O$1240,9,0)*(INT(D1029)+1-D1029))</f>
      </c>
      <c r="H1029" s="801">
        <f>+IF(MONTH(B1029)=1,H1028*(1+$C$9),H1028)</f>
      </c>
      <c r="I1029" s="689">
        <f>IF(B1029&lt;$C$10,0,IF(B1029&lt;$C$11,$C$8/12*E1029*F1029*H1029,0))</f>
      </c>
      <c r="J1029" s="689">
        <f>I1029*12/14+IF(OR(MONTH(C1029)=6,MONTH(C1029)=12),I1029*12/14,0)</f>
      </c>
      <c r="K1029" s="801">
        <f>G1029/$G$15</f>
      </c>
      <c r="L1029" s="760"/>
      <c r="M1029" s="767"/>
      <c r="N1029" s="168"/>
      <c r="O1029" s="768"/>
      <c r="P1029" s="170"/>
      <c r="Q1029" s="7"/>
      <c r="R1029" s="766"/>
      <c r="S1029" s="170"/>
      <c r="T1029" s="168"/>
      <c r="U1029" s="170"/>
    </row>
    <row x14ac:dyDescent="0.25" r="1030" customHeight="1" ht="18.75">
      <c r="A1030" s="1"/>
      <c r="B1030" s="799">
        <f>+DATE(YEAR(B1029),MONTH(B1029)+1,DAY(B1029))</f>
        <v>25569.041666666668</v>
      </c>
      <c r="C1030" s="799">
        <f>+B1031-1</f>
        <v>25569.041666666668</v>
      </c>
      <c r="D1030" s="791">
        <f>-_xlfn.DAYS($C$3,C1030)/365.25</f>
      </c>
      <c r="E1030" s="800">
        <f>IF($D$17+40&lt;=D1030,(1+$D$7)^-(D1030-$C$5),(1+$C$7)^-(D1030-$C$5))</f>
      </c>
      <c r="F1030" s="801">
        <f>IF($C$4="Hombre",(+VLOOKUP(INT(D1030)+1,Tablas!$G$9:$K$1240,5,0)*(D1030-INT(D1030))+VLOOKUP(INT(D1030),Tablas!$G$9:$K$1240,5,0)*(INT(D1030)+1-D1030))/(VLOOKUP(INT($C$5)+1,Tablas!$G$9:$K$1240,5,0)*($C$5-INT($C$5))+VLOOKUP(INT($C$5),Tablas!$G$9:$K$124,5,0)*(INT($C$5)+1-$C$5)),(+VLOOKUP(INT(D1030)+1,Tablas!$G$9:$O$1240,9,0)*(D1030-INT(D1030))+VLOOKUP(INT(D1030),Tablas!$G$9:$O$1240,9,0)*(INT(D1030)+1-D1030))/(VLOOKUP(INT($C$5)+1,Tablas!$G$9:$O$1240,9,0)*($C$5-INT($C$5))+VLOOKUP(INT($C$5),Tablas!$G$9:$O$124,9,0)*(INT($C$5)+1-$C$5)))</f>
      </c>
      <c r="G1030" s="791">
        <f>IF($C$4="Hombre",(+VLOOKUP(INT(D1030)+1,Tablas!$G$9:$K$1240,5,0)*(D1030-INT(D1030))+VLOOKUP(INT(D1030),Tablas!$G$9:$K$1240,5,0)*(INT(D1030)+1-D1030)),+VLOOKUP(INT(D1030)+1,Tablas!$G$9:$O$1240,9,0)*(D1030-INT(D1030))+VLOOKUP(INT(D1030),Tablas!$G$9:$O$1240,9,0)*(INT(D1030)+1-D1030))</f>
      </c>
      <c r="H1030" s="801">
        <f>+IF(MONTH(B1030)=1,H1029*(1+$C$9),H1029)</f>
      </c>
      <c r="I1030" s="689">
        <f>IF(B1030&lt;$C$10,0,IF(B1030&lt;$C$11,$C$8/12*E1030*F1030*H1030,0))</f>
      </c>
      <c r="J1030" s="689">
        <f>I1030*12/14+IF(OR(MONTH(C1030)=6,MONTH(C1030)=12),I1030*12/14,0)</f>
      </c>
      <c r="K1030" s="801">
        <f>G1030/$G$15</f>
      </c>
      <c r="L1030" s="760"/>
      <c r="M1030" s="767"/>
      <c r="N1030" s="168"/>
      <c r="O1030" s="768"/>
      <c r="P1030" s="170"/>
      <c r="Q1030" s="7"/>
      <c r="R1030" s="766"/>
      <c r="S1030" s="170"/>
      <c r="T1030" s="168"/>
      <c r="U1030" s="170"/>
    </row>
    <row x14ac:dyDescent="0.25" r="1031" customHeight="1" ht="18.75">
      <c r="A1031" s="1"/>
      <c r="B1031" s="799">
        <f>+DATE(YEAR(B1030),MONTH(B1030)+1,DAY(B1030))</f>
        <v>25569.041666666668</v>
      </c>
      <c r="C1031" s="799">
        <f>+B1032-1</f>
        <v>25569.041666666668</v>
      </c>
      <c r="D1031" s="791">
        <f>-_xlfn.DAYS($C$3,C1031)/365.25</f>
      </c>
      <c r="E1031" s="800">
        <f>IF($D$17+40&lt;=D1031,(1+$D$7)^-(D1031-$C$5),(1+$C$7)^-(D1031-$C$5))</f>
      </c>
      <c r="F1031" s="801">
        <f>IF($C$4="Hombre",(+VLOOKUP(INT(D1031)+1,Tablas!$G$9:$K$1240,5,0)*(D1031-INT(D1031))+VLOOKUP(INT(D1031),Tablas!$G$9:$K$1240,5,0)*(INT(D1031)+1-D1031))/(VLOOKUP(INT($C$5)+1,Tablas!$G$9:$K$1240,5,0)*($C$5-INT($C$5))+VLOOKUP(INT($C$5),Tablas!$G$9:$K$124,5,0)*(INT($C$5)+1-$C$5)),(+VLOOKUP(INT(D1031)+1,Tablas!$G$9:$O$1240,9,0)*(D1031-INT(D1031))+VLOOKUP(INT(D1031),Tablas!$G$9:$O$1240,9,0)*(INT(D1031)+1-D1031))/(VLOOKUP(INT($C$5)+1,Tablas!$G$9:$O$1240,9,0)*($C$5-INT($C$5))+VLOOKUP(INT($C$5),Tablas!$G$9:$O$124,9,0)*(INT($C$5)+1-$C$5)))</f>
      </c>
      <c r="G1031" s="791">
        <f>IF($C$4="Hombre",(+VLOOKUP(INT(D1031)+1,Tablas!$G$9:$K$1240,5,0)*(D1031-INT(D1031))+VLOOKUP(INT(D1031),Tablas!$G$9:$K$1240,5,0)*(INT(D1031)+1-D1031)),+VLOOKUP(INT(D1031)+1,Tablas!$G$9:$O$1240,9,0)*(D1031-INT(D1031))+VLOOKUP(INT(D1031),Tablas!$G$9:$O$1240,9,0)*(INT(D1031)+1-D1031))</f>
      </c>
      <c r="H1031" s="801">
        <f>+IF(MONTH(B1031)=1,H1030*(1+$C$9),H1030)</f>
      </c>
      <c r="I1031" s="689">
        <f>IF(B1031&lt;$C$10,0,IF(B1031&lt;$C$11,$C$8/12*E1031*F1031*H1031,0))</f>
      </c>
      <c r="J1031" s="689">
        <f>I1031*12/14+IF(OR(MONTH(C1031)=6,MONTH(C1031)=12),I1031*12/14,0)</f>
      </c>
      <c r="K1031" s="801">
        <f>G1031/$G$15</f>
      </c>
      <c r="L1031" s="760"/>
      <c r="M1031" s="767"/>
      <c r="N1031" s="168"/>
      <c r="O1031" s="768"/>
      <c r="P1031" s="170"/>
      <c r="Q1031" s="7"/>
      <c r="R1031" s="766"/>
      <c r="S1031" s="170"/>
      <c r="T1031" s="168"/>
      <c r="U1031" s="170"/>
    </row>
    <row x14ac:dyDescent="0.25" r="1032" customHeight="1" ht="18.75">
      <c r="A1032" s="1"/>
      <c r="B1032" s="799">
        <f>+DATE(YEAR(B1031),MONTH(B1031)+1,DAY(B1031))</f>
        <v>25569.041666666668</v>
      </c>
      <c r="C1032" s="799">
        <f>+B1033-1</f>
        <v>25569.041666666668</v>
      </c>
      <c r="D1032" s="791">
        <f>-_xlfn.DAYS($C$3,C1032)/365.25</f>
      </c>
      <c r="E1032" s="800">
        <f>IF($D$17+40&lt;=D1032,(1+$D$7)^-(D1032-$C$5),(1+$C$7)^-(D1032-$C$5))</f>
      </c>
      <c r="F1032" s="801">
        <f>IF($C$4="Hombre",(+VLOOKUP(INT(D1032)+1,Tablas!$G$9:$K$1240,5,0)*(D1032-INT(D1032))+VLOOKUP(INT(D1032),Tablas!$G$9:$K$1240,5,0)*(INT(D1032)+1-D1032))/(VLOOKUP(INT($C$5)+1,Tablas!$G$9:$K$1240,5,0)*($C$5-INT($C$5))+VLOOKUP(INT($C$5),Tablas!$G$9:$K$124,5,0)*(INT($C$5)+1-$C$5)),(+VLOOKUP(INT(D1032)+1,Tablas!$G$9:$O$1240,9,0)*(D1032-INT(D1032))+VLOOKUP(INT(D1032),Tablas!$G$9:$O$1240,9,0)*(INT(D1032)+1-D1032))/(VLOOKUP(INT($C$5)+1,Tablas!$G$9:$O$1240,9,0)*($C$5-INT($C$5))+VLOOKUP(INT($C$5),Tablas!$G$9:$O$124,9,0)*(INT($C$5)+1-$C$5)))</f>
      </c>
      <c r="G1032" s="791">
        <f>IF($C$4="Hombre",(+VLOOKUP(INT(D1032)+1,Tablas!$G$9:$K$1240,5,0)*(D1032-INT(D1032))+VLOOKUP(INT(D1032),Tablas!$G$9:$K$1240,5,0)*(INT(D1032)+1-D1032)),+VLOOKUP(INT(D1032)+1,Tablas!$G$9:$O$1240,9,0)*(D1032-INT(D1032))+VLOOKUP(INT(D1032),Tablas!$G$9:$O$1240,9,0)*(INT(D1032)+1-D1032))</f>
      </c>
      <c r="H1032" s="801">
        <f>+IF(MONTH(B1032)=1,H1031*(1+$C$9),H1031)</f>
      </c>
      <c r="I1032" s="689">
        <f>IF(B1032&lt;$C$10,0,IF(B1032&lt;$C$11,$C$8/12*E1032*F1032*H1032,0))</f>
      </c>
      <c r="J1032" s="689">
        <f>I1032*12/14+IF(OR(MONTH(C1032)=6,MONTH(C1032)=12),I1032*12/14,0)</f>
      </c>
      <c r="K1032" s="801">
        <f>G1032/$G$15</f>
      </c>
      <c r="L1032" s="760"/>
      <c r="M1032" s="767"/>
      <c r="N1032" s="168"/>
      <c r="O1032" s="768"/>
      <c r="P1032" s="170"/>
      <c r="Q1032" s="7"/>
      <c r="R1032" s="766"/>
      <c r="S1032" s="170"/>
      <c r="T1032" s="168"/>
      <c r="U1032" s="170"/>
    </row>
    <row x14ac:dyDescent="0.25" r="1033" customHeight="1" ht="18.75">
      <c r="A1033" s="1"/>
      <c r="B1033" s="799">
        <f>+DATE(YEAR(B1032),MONTH(B1032)+1,DAY(B1032))</f>
        <v>25569.041666666668</v>
      </c>
      <c r="C1033" s="799">
        <f>+B1034-1</f>
        <v>25569.041666666668</v>
      </c>
      <c r="D1033" s="791">
        <f>-_xlfn.DAYS($C$3,C1033)/365.25</f>
      </c>
      <c r="E1033" s="800">
        <f>IF($D$17+40&lt;=D1033,(1+$D$7)^-(D1033-$C$5),(1+$C$7)^-(D1033-$C$5))</f>
      </c>
      <c r="F1033" s="801">
        <f>IF($C$4="Hombre",(+VLOOKUP(INT(D1033)+1,Tablas!$G$9:$K$1240,5,0)*(D1033-INT(D1033))+VLOOKUP(INT(D1033),Tablas!$G$9:$K$1240,5,0)*(INT(D1033)+1-D1033))/(VLOOKUP(INT($C$5)+1,Tablas!$G$9:$K$1240,5,0)*($C$5-INT($C$5))+VLOOKUP(INT($C$5),Tablas!$G$9:$K$124,5,0)*(INT($C$5)+1-$C$5)),(+VLOOKUP(INT(D1033)+1,Tablas!$G$9:$O$1240,9,0)*(D1033-INT(D1033))+VLOOKUP(INT(D1033),Tablas!$G$9:$O$1240,9,0)*(INT(D1033)+1-D1033))/(VLOOKUP(INT($C$5)+1,Tablas!$G$9:$O$1240,9,0)*($C$5-INT($C$5))+VLOOKUP(INT($C$5),Tablas!$G$9:$O$124,9,0)*(INT($C$5)+1-$C$5)))</f>
      </c>
      <c r="G1033" s="791">
        <f>IF($C$4="Hombre",(+VLOOKUP(INT(D1033)+1,Tablas!$G$9:$K$1240,5,0)*(D1033-INT(D1033))+VLOOKUP(INT(D1033),Tablas!$G$9:$K$1240,5,0)*(INT(D1033)+1-D1033)),+VLOOKUP(INT(D1033)+1,Tablas!$G$9:$O$1240,9,0)*(D1033-INT(D1033))+VLOOKUP(INT(D1033),Tablas!$G$9:$O$1240,9,0)*(INT(D1033)+1-D1033))</f>
      </c>
      <c r="H1033" s="801">
        <f>+IF(MONTH(B1033)=1,H1032*(1+$C$9),H1032)</f>
      </c>
      <c r="I1033" s="689">
        <f>IF(B1033&lt;$C$10,0,IF(B1033&lt;$C$11,$C$8/12*E1033*F1033*H1033,0))</f>
      </c>
      <c r="J1033" s="689">
        <f>I1033*12/14+IF(OR(MONTH(C1033)=6,MONTH(C1033)=12),I1033*12/14,0)</f>
      </c>
      <c r="K1033" s="801">
        <f>G1033/$G$15</f>
      </c>
      <c r="L1033" s="760"/>
      <c r="M1033" s="767"/>
      <c r="N1033" s="168"/>
      <c r="O1033" s="768"/>
      <c r="P1033" s="170"/>
      <c r="Q1033" s="7"/>
      <c r="R1033" s="766"/>
      <c r="S1033" s="170"/>
      <c r="T1033" s="168"/>
      <c r="U1033" s="170"/>
    </row>
    <row x14ac:dyDescent="0.25" r="1034" customHeight="1" ht="18.75">
      <c r="A1034" s="1"/>
      <c r="B1034" s="799">
        <f>+DATE(YEAR(B1033),MONTH(B1033)+1,DAY(B1033))</f>
        <v>25569.041666666668</v>
      </c>
      <c r="C1034" s="799">
        <f>+B1035-1</f>
        <v>25569.041666666668</v>
      </c>
      <c r="D1034" s="791">
        <f>-_xlfn.DAYS($C$3,C1034)/365.25</f>
      </c>
      <c r="E1034" s="800">
        <f>IF($D$17+40&lt;=D1034,(1+$D$7)^-(D1034-$C$5),(1+$C$7)^-(D1034-$C$5))</f>
      </c>
      <c r="F1034" s="801">
        <f>IF($C$4="Hombre",(+VLOOKUP(INT(D1034)+1,Tablas!$G$9:$K$1240,5,0)*(D1034-INT(D1034))+VLOOKUP(INT(D1034),Tablas!$G$9:$K$1240,5,0)*(INT(D1034)+1-D1034))/(VLOOKUP(INT($C$5)+1,Tablas!$G$9:$K$1240,5,0)*($C$5-INT($C$5))+VLOOKUP(INT($C$5),Tablas!$G$9:$K$124,5,0)*(INT($C$5)+1-$C$5)),(+VLOOKUP(INT(D1034)+1,Tablas!$G$9:$O$1240,9,0)*(D1034-INT(D1034))+VLOOKUP(INT(D1034),Tablas!$G$9:$O$1240,9,0)*(INT(D1034)+1-D1034))/(VLOOKUP(INT($C$5)+1,Tablas!$G$9:$O$1240,9,0)*($C$5-INT($C$5))+VLOOKUP(INT($C$5),Tablas!$G$9:$O$124,9,0)*(INT($C$5)+1-$C$5)))</f>
      </c>
      <c r="G1034" s="791">
        <f>IF($C$4="Hombre",(+VLOOKUP(INT(D1034)+1,Tablas!$G$9:$K$1240,5,0)*(D1034-INT(D1034))+VLOOKUP(INT(D1034),Tablas!$G$9:$K$1240,5,0)*(INT(D1034)+1-D1034)),+VLOOKUP(INT(D1034)+1,Tablas!$G$9:$O$1240,9,0)*(D1034-INT(D1034))+VLOOKUP(INT(D1034),Tablas!$G$9:$O$1240,9,0)*(INT(D1034)+1-D1034))</f>
      </c>
      <c r="H1034" s="801">
        <f>+IF(MONTH(B1034)=1,H1033*(1+$C$9),H1033)</f>
      </c>
      <c r="I1034" s="689">
        <f>IF(B1034&lt;$C$10,0,IF(B1034&lt;$C$11,$C$8/12*E1034*F1034*H1034,0))</f>
      </c>
      <c r="J1034" s="689">
        <f>I1034*12/14+IF(OR(MONTH(C1034)=6,MONTH(C1034)=12),I1034*12/14,0)</f>
      </c>
      <c r="K1034" s="801">
        <f>G1034/$G$15</f>
      </c>
      <c r="L1034" s="760"/>
      <c r="M1034" s="767"/>
      <c r="N1034" s="168"/>
      <c r="O1034" s="768"/>
      <c r="P1034" s="170"/>
      <c r="Q1034" s="7"/>
      <c r="R1034" s="766"/>
      <c r="S1034" s="170"/>
      <c r="T1034" s="168"/>
      <c r="U1034" s="170"/>
    </row>
    <row x14ac:dyDescent="0.25" r="1035" customHeight="1" ht="18.75">
      <c r="A1035" s="1"/>
      <c r="B1035" s="799">
        <f>+DATE(YEAR(B1034),MONTH(B1034)+1,DAY(B1034))</f>
        <v>25569.041666666668</v>
      </c>
      <c r="C1035" s="799">
        <f>+B1036-1</f>
        <v>25569.041666666668</v>
      </c>
      <c r="D1035" s="791">
        <f>-_xlfn.DAYS($C$3,C1035)/365.25</f>
      </c>
      <c r="E1035" s="800">
        <f>IF($D$17+40&lt;=D1035,(1+$D$7)^-(D1035-$C$5),(1+$C$7)^-(D1035-$C$5))</f>
      </c>
      <c r="F1035" s="801">
        <f>IF($C$4="Hombre",(+VLOOKUP(INT(D1035)+1,Tablas!$G$9:$K$1240,5,0)*(D1035-INT(D1035))+VLOOKUP(INT(D1035),Tablas!$G$9:$K$1240,5,0)*(INT(D1035)+1-D1035))/(VLOOKUP(INT($C$5)+1,Tablas!$G$9:$K$1240,5,0)*($C$5-INT($C$5))+VLOOKUP(INT($C$5),Tablas!$G$9:$K$124,5,0)*(INT($C$5)+1-$C$5)),(+VLOOKUP(INT(D1035)+1,Tablas!$G$9:$O$1240,9,0)*(D1035-INT(D1035))+VLOOKUP(INT(D1035),Tablas!$G$9:$O$1240,9,0)*(INT(D1035)+1-D1035))/(VLOOKUP(INT($C$5)+1,Tablas!$G$9:$O$1240,9,0)*($C$5-INT($C$5))+VLOOKUP(INT($C$5),Tablas!$G$9:$O$124,9,0)*(INT($C$5)+1-$C$5)))</f>
      </c>
      <c r="G1035" s="791">
        <f>IF($C$4="Hombre",(+VLOOKUP(INT(D1035)+1,Tablas!$G$9:$K$1240,5,0)*(D1035-INT(D1035))+VLOOKUP(INT(D1035),Tablas!$G$9:$K$1240,5,0)*(INT(D1035)+1-D1035)),+VLOOKUP(INT(D1035)+1,Tablas!$G$9:$O$1240,9,0)*(D1035-INT(D1035))+VLOOKUP(INT(D1035),Tablas!$G$9:$O$1240,9,0)*(INT(D1035)+1-D1035))</f>
      </c>
      <c r="H1035" s="801">
        <f>+IF(MONTH(B1035)=1,H1034*(1+$C$9),H1034)</f>
      </c>
      <c r="I1035" s="689">
        <f>IF(B1035&lt;$C$10,0,IF(B1035&lt;$C$11,$C$8/12*E1035*F1035*H1035,0))</f>
      </c>
      <c r="J1035" s="689">
        <f>I1035*12/14+IF(OR(MONTH(C1035)=6,MONTH(C1035)=12),I1035*12/14,0)</f>
      </c>
      <c r="K1035" s="801">
        <f>G1035/$G$15</f>
      </c>
      <c r="L1035" s="760"/>
      <c r="M1035" s="767"/>
      <c r="N1035" s="168"/>
      <c r="O1035" s="768"/>
      <c r="P1035" s="170"/>
      <c r="Q1035" s="7"/>
      <c r="R1035" s="766"/>
      <c r="S1035" s="170"/>
      <c r="T1035" s="168"/>
      <c r="U1035" s="170"/>
    </row>
    <row x14ac:dyDescent="0.25" r="1036" customHeight="1" ht="18.75">
      <c r="A1036" s="1"/>
      <c r="B1036" s="799">
        <f>+DATE(YEAR(B1035),MONTH(B1035)+1,DAY(B1035))</f>
        <v>25569.041666666668</v>
      </c>
      <c r="C1036" s="799">
        <f>+B1037-1</f>
        <v>25569.041666666668</v>
      </c>
      <c r="D1036" s="791">
        <f>-_xlfn.DAYS($C$3,C1036)/365.25</f>
      </c>
      <c r="E1036" s="800">
        <f>IF($D$17+40&lt;=D1036,(1+$D$7)^-(D1036-$C$5),(1+$C$7)^-(D1036-$C$5))</f>
      </c>
      <c r="F1036" s="801">
        <f>IF($C$4="Hombre",(+VLOOKUP(INT(D1036)+1,Tablas!$G$9:$K$1240,5,0)*(D1036-INT(D1036))+VLOOKUP(INT(D1036),Tablas!$G$9:$K$1240,5,0)*(INT(D1036)+1-D1036))/(VLOOKUP(INT($C$5)+1,Tablas!$G$9:$K$1240,5,0)*($C$5-INT($C$5))+VLOOKUP(INT($C$5),Tablas!$G$9:$K$124,5,0)*(INT($C$5)+1-$C$5)),(+VLOOKUP(INT(D1036)+1,Tablas!$G$9:$O$1240,9,0)*(D1036-INT(D1036))+VLOOKUP(INT(D1036),Tablas!$G$9:$O$1240,9,0)*(INT(D1036)+1-D1036))/(VLOOKUP(INT($C$5)+1,Tablas!$G$9:$O$1240,9,0)*($C$5-INT($C$5))+VLOOKUP(INT($C$5),Tablas!$G$9:$O$124,9,0)*(INT($C$5)+1-$C$5)))</f>
      </c>
      <c r="G1036" s="791">
        <f>IF($C$4="Hombre",(+VLOOKUP(INT(D1036)+1,Tablas!$G$9:$K$1240,5,0)*(D1036-INT(D1036))+VLOOKUP(INT(D1036),Tablas!$G$9:$K$1240,5,0)*(INT(D1036)+1-D1036)),+VLOOKUP(INT(D1036)+1,Tablas!$G$9:$O$1240,9,0)*(D1036-INT(D1036))+VLOOKUP(INT(D1036),Tablas!$G$9:$O$1240,9,0)*(INT(D1036)+1-D1036))</f>
      </c>
      <c r="H1036" s="801">
        <f>+IF(MONTH(B1036)=1,H1035*(1+$C$9),H1035)</f>
      </c>
      <c r="I1036" s="689">
        <f>IF(B1036&lt;$C$10,0,IF(B1036&lt;$C$11,$C$8/12*E1036*F1036*H1036,0))</f>
      </c>
      <c r="J1036" s="689">
        <f>I1036*12/14+IF(OR(MONTH(C1036)=6,MONTH(C1036)=12),I1036*12/14,0)</f>
      </c>
      <c r="K1036" s="801">
        <f>G1036/$G$15</f>
      </c>
      <c r="L1036" s="760"/>
      <c r="M1036" s="767"/>
      <c r="N1036" s="168"/>
      <c r="O1036" s="768"/>
      <c r="P1036" s="170"/>
      <c r="Q1036" s="7"/>
      <c r="R1036" s="766"/>
      <c r="S1036" s="170"/>
      <c r="T1036" s="168"/>
      <c r="U1036" s="170"/>
    </row>
    <row x14ac:dyDescent="0.25" r="1037" customHeight="1" ht="18.75">
      <c r="A1037" s="1"/>
      <c r="B1037" s="799">
        <f>+DATE(YEAR(B1036),MONTH(B1036)+1,DAY(B1036))</f>
        <v>25569.041666666668</v>
      </c>
      <c r="C1037" s="799">
        <f>+B1038-1</f>
        <v>25569.041666666668</v>
      </c>
      <c r="D1037" s="791">
        <f>-_xlfn.DAYS($C$3,C1037)/365.25</f>
      </c>
      <c r="E1037" s="800">
        <f>IF($D$17+40&lt;=D1037,(1+$D$7)^-(D1037-$C$5),(1+$C$7)^-(D1037-$C$5))</f>
      </c>
      <c r="F1037" s="801">
        <f>IF($C$4="Hombre",(+VLOOKUP(INT(D1037)+1,Tablas!$G$9:$K$1240,5,0)*(D1037-INT(D1037))+VLOOKUP(INT(D1037),Tablas!$G$9:$K$1240,5,0)*(INT(D1037)+1-D1037))/(VLOOKUP(INT($C$5)+1,Tablas!$G$9:$K$1240,5,0)*($C$5-INT($C$5))+VLOOKUP(INT($C$5),Tablas!$G$9:$K$124,5,0)*(INT($C$5)+1-$C$5)),(+VLOOKUP(INT(D1037)+1,Tablas!$G$9:$O$1240,9,0)*(D1037-INT(D1037))+VLOOKUP(INT(D1037),Tablas!$G$9:$O$1240,9,0)*(INT(D1037)+1-D1037))/(VLOOKUP(INT($C$5)+1,Tablas!$G$9:$O$1240,9,0)*($C$5-INT($C$5))+VLOOKUP(INT($C$5),Tablas!$G$9:$O$124,9,0)*(INT($C$5)+1-$C$5)))</f>
      </c>
      <c r="G1037" s="791">
        <f>IF($C$4="Hombre",(+VLOOKUP(INT(D1037)+1,Tablas!$G$9:$K$1240,5,0)*(D1037-INT(D1037))+VLOOKUP(INT(D1037),Tablas!$G$9:$K$1240,5,0)*(INT(D1037)+1-D1037)),+VLOOKUP(INT(D1037)+1,Tablas!$G$9:$O$1240,9,0)*(D1037-INT(D1037))+VLOOKUP(INT(D1037),Tablas!$G$9:$O$1240,9,0)*(INT(D1037)+1-D1037))</f>
      </c>
      <c r="H1037" s="801">
        <f>+IF(MONTH(B1037)=1,H1036*(1+$C$9),H1036)</f>
      </c>
      <c r="I1037" s="689">
        <f>IF(B1037&lt;$C$10,0,IF(B1037&lt;$C$11,$C$8/12*E1037*F1037*H1037,0))</f>
      </c>
      <c r="J1037" s="689">
        <f>I1037*12/14+IF(OR(MONTH(C1037)=6,MONTH(C1037)=12),I1037*12/14,0)</f>
      </c>
      <c r="K1037" s="801">
        <f>G1037/$G$15</f>
      </c>
      <c r="L1037" s="760"/>
      <c r="M1037" s="767"/>
      <c r="N1037" s="168"/>
      <c r="O1037" s="768"/>
      <c r="P1037" s="170"/>
      <c r="Q1037" s="7"/>
      <c r="R1037" s="766"/>
      <c r="S1037" s="170"/>
      <c r="T1037" s="168"/>
      <c r="U1037" s="170"/>
    </row>
    <row x14ac:dyDescent="0.25" r="1038" customHeight="1" ht="18.75">
      <c r="A1038" s="1"/>
      <c r="B1038" s="799">
        <f>+DATE(YEAR(B1037),MONTH(B1037)+1,DAY(B1037))</f>
        <v>25569.041666666668</v>
      </c>
      <c r="C1038" s="799">
        <f>+B1039-1</f>
        <v>25569.041666666668</v>
      </c>
      <c r="D1038" s="791">
        <f>-_xlfn.DAYS($C$3,C1038)/365.25</f>
      </c>
      <c r="E1038" s="800">
        <f>IF($D$17+40&lt;=D1038,(1+$D$7)^-(D1038-$C$5),(1+$C$7)^-(D1038-$C$5))</f>
      </c>
      <c r="F1038" s="801">
        <f>IF($C$4="Hombre",(+VLOOKUP(INT(D1038)+1,Tablas!$G$9:$K$1240,5,0)*(D1038-INT(D1038))+VLOOKUP(INT(D1038),Tablas!$G$9:$K$1240,5,0)*(INT(D1038)+1-D1038))/(VLOOKUP(INT($C$5)+1,Tablas!$G$9:$K$1240,5,0)*($C$5-INT($C$5))+VLOOKUP(INT($C$5),Tablas!$G$9:$K$124,5,0)*(INT($C$5)+1-$C$5)),(+VLOOKUP(INT(D1038)+1,Tablas!$G$9:$O$1240,9,0)*(D1038-INT(D1038))+VLOOKUP(INT(D1038),Tablas!$G$9:$O$1240,9,0)*(INT(D1038)+1-D1038))/(VLOOKUP(INT($C$5)+1,Tablas!$G$9:$O$1240,9,0)*($C$5-INT($C$5))+VLOOKUP(INT($C$5),Tablas!$G$9:$O$124,9,0)*(INT($C$5)+1-$C$5)))</f>
      </c>
      <c r="G1038" s="791">
        <f>IF($C$4="Hombre",(+VLOOKUP(INT(D1038)+1,Tablas!$G$9:$K$1240,5,0)*(D1038-INT(D1038))+VLOOKUP(INT(D1038),Tablas!$G$9:$K$1240,5,0)*(INT(D1038)+1-D1038)),+VLOOKUP(INT(D1038)+1,Tablas!$G$9:$O$1240,9,0)*(D1038-INT(D1038))+VLOOKUP(INT(D1038),Tablas!$G$9:$O$1240,9,0)*(INT(D1038)+1-D1038))</f>
      </c>
      <c r="H1038" s="801">
        <f>+IF(MONTH(B1038)=1,H1037*(1+$C$9),H1037)</f>
      </c>
      <c r="I1038" s="689">
        <f>IF(B1038&lt;$C$10,0,IF(B1038&lt;$C$11,$C$8/12*E1038*F1038*H1038,0))</f>
      </c>
      <c r="J1038" s="689">
        <f>I1038*12/14+IF(OR(MONTH(C1038)=6,MONTH(C1038)=12),I1038*12/14,0)</f>
      </c>
      <c r="K1038" s="801">
        <f>G1038/$G$15</f>
      </c>
      <c r="L1038" s="760"/>
      <c r="M1038" s="767"/>
      <c r="N1038" s="168"/>
      <c r="O1038" s="768"/>
      <c r="P1038" s="170"/>
      <c r="Q1038" s="7"/>
      <c r="R1038" s="766"/>
      <c r="S1038" s="170"/>
      <c r="T1038" s="168"/>
      <c r="U1038" s="170"/>
    </row>
    <row x14ac:dyDescent="0.25" r="1039" customHeight="1" ht="18.75">
      <c r="A1039" s="1"/>
      <c r="B1039" s="799">
        <f>+DATE(YEAR(B1038),MONTH(B1038)+1,DAY(B1038))</f>
        <v>25569.041666666668</v>
      </c>
      <c r="C1039" s="799">
        <f>+B1040-1</f>
        <v>25569.041666666668</v>
      </c>
      <c r="D1039" s="791">
        <f>-_xlfn.DAYS($C$3,C1039)/365.25</f>
      </c>
      <c r="E1039" s="800">
        <f>IF($D$17+40&lt;=D1039,(1+$D$7)^-(D1039-$C$5),(1+$C$7)^-(D1039-$C$5))</f>
      </c>
      <c r="F1039" s="801">
        <f>IF($C$4="Hombre",(+VLOOKUP(INT(D1039)+1,Tablas!$G$9:$K$1240,5,0)*(D1039-INT(D1039))+VLOOKUP(INT(D1039),Tablas!$G$9:$K$1240,5,0)*(INT(D1039)+1-D1039))/(VLOOKUP(INT($C$5)+1,Tablas!$G$9:$K$1240,5,0)*($C$5-INT($C$5))+VLOOKUP(INT($C$5),Tablas!$G$9:$K$124,5,0)*(INT($C$5)+1-$C$5)),(+VLOOKUP(INT(D1039)+1,Tablas!$G$9:$O$1240,9,0)*(D1039-INT(D1039))+VLOOKUP(INT(D1039),Tablas!$G$9:$O$1240,9,0)*(INT(D1039)+1-D1039))/(VLOOKUP(INT($C$5)+1,Tablas!$G$9:$O$1240,9,0)*($C$5-INT($C$5))+VLOOKUP(INT($C$5),Tablas!$G$9:$O$124,9,0)*(INT($C$5)+1-$C$5)))</f>
      </c>
      <c r="G1039" s="791">
        <f>IF($C$4="Hombre",(+VLOOKUP(INT(D1039)+1,Tablas!$G$9:$K$1240,5,0)*(D1039-INT(D1039))+VLOOKUP(INT(D1039),Tablas!$G$9:$K$1240,5,0)*(INT(D1039)+1-D1039)),+VLOOKUP(INT(D1039)+1,Tablas!$G$9:$O$1240,9,0)*(D1039-INT(D1039))+VLOOKUP(INT(D1039),Tablas!$G$9:$O$1240,9,0)*(INT(D1039)+1-D1039))</f>
      </c>
      <c r="H1039" s="801">
        <f>+IF(MONTH(B1039)=1,H1038*(1+$C$9),H1038)</f>
      </c>
      <c r="I1039" s="689">
        <f>IF(B1039&lt;$C$10,0,IF(B1039&lt;$C$11,$C$8/12*E1039*F1039*H1039,0))</f>
      </c>
      <c r="J1039" s="689">
        <f>I1039*12/14+IF(OR(MONTH(C1039)=6,MONTH(C1039)=12),I1039*12/14,0)</f>
      </c>
      <c r="K1039" s="801">
        <f>G1039/$G$15</f>
      </c>
      <c r="L1039" s="760"/>
      <c r="M1039" s="767"/>
      <c r="N1039" s="168"/>
      <c r="O1039" s="768"/>
      <c r="P1039" s="170"/>
      <c r="Q1039" s="7"/>
      <c r="R1039" s="766"/>
      <c r="S1039" s="170"/>
      <c r="T1039" s="168"/>
      <c r="U1039" s="170"/>
    </row>
    <row x14ac:dyDescent="0.25" r="1040" customHeight="1" ht="18.75">
      <c r="A1040" s="1"/>
      <c r="B1040" s="799">
        <f>+DATE(YEAR(B1039),MONTH(B1039)+1,DAY(B1039))</f>
        <v>25569.041666666668</v>
      </c>
      <c r="C1040" s="799">
        <f>+B1041-1</f>
        <v>25569.041666666668</v>
      </c>
      <c r="D1040" s="791">
        <f>-_xlfn.DAYS($C$3,C1040)/365.25</f>
      </c>
      <c r="E1040" s="800">
        <f>IF($D$17+40&lt;=D1040,(1+$D$7)^-(D1040-$C$5),(1+$C$7)^-(D1040-$C$5))</f>
      </c>
      <c r="F1040" s="801">
        <f>IF($C$4="Hombre",(+VLOOKUP(INT(D1040)+1,Tablas!$G$9:$K$1240,5,0)*(D1040-INT(D1040))+VLOOKUP(INT(D1040),Tablas!$G$9:$K$1240,5,0)*(INT(D1040)+1-D1040))/(VLOOKUP(INT($C$5)+1,Tablas!$G$9:$K$1240,5,0)*($C$5-INT($C$5))+VLOOKUP(INT($C$5),Tablas!$G$9:$K$124,5,0)*(INT($C$5)+1-$C$5)),(+VLOOKUP(INT(D1040)+1,Tablas!$G$9:$O$1240,9,0)*(D1040-INT(D1040))+VLOOKUP(INT(D1040),Tablas!$G$9:$O$1240,9,0)*(INT(D1040)+1-D1040))/(VLOOKUP(INT($C$5)+1,Tablas!$G$9:$O$1240,9,0)*($C$5-INT($C$5))+VLOOKUP(INT($C$5),Tablas!$G$9:$O$124,9,0)*(INT($C$5)+1-$C$5)))</f>
      </c>
      <c r="G1040" s="791">
        <f>IF($C$4="Hombre",(+VLOOKUP(INT(D1040)+1,Tablas!$G$9:$K$1240,5,0)*(D1040-INT(D1040))+VLOOKUP(INT(D1040),Tablas!$G$9:$K$1240,5,0)*(INT(D1040)+1-D1040)),+VLOOKUP(INT(D1040)+1,Tablas!$G$9:$O$1240,9,0)*(D1040-INT(D1040))+VLOOKUP(INT(D1040),Tablas!$G$9:$O$1240,9,0)*(INT(D1040)+1-D1040))</f>
      </c>
      <c r="H1040" s="801">
        <f>+IF(MONTH(B1040)=1,H1039*(1+$C$9),H1039)</f>
      </c>
      <c r="I1040" s="689">
        <f>IF(B1040&lt;$C$10,0,IF(B1040&lt;$C$11,$C$8/12*E1040*F1040*H1040,0))</f>
      </c>
      <c r="J1040" s="689">
        <f>I1040*12/14+IF(OR(MONTH(C1040)=6,MONTH(C1040)=12),I1040*12/14,0)</f>
      </c>
      <c r="K1040" s="801">
        <f>G1040/$G$15</f>
      </c>
      <c r="L1040" s="760"/>
      <c r="M1040" s="767"/>
      <c r="N1040" s="168"/>
      <c r="O1040" s="768"/>
      <c r="P1040" s="170"/>
      <c r="Q1040" s="7"/>
      <c r="R1040" s="766"/>
      <c r="S1040" s="170"/>
      <c r="T1040" s="168"/>
      <c r="U1040" s="170"/>
    </row>
    <row x14ac:dyDescent="0.25" r="1041" customHeight="1" ht="18.75">
      <c r="A1041" s="1"/>
      <c r="B1041" s="799">
        <f>+DATE(YEAR(B1040),MONTH(B1040)+1,DAY(B1040))</f>
        <v>25569.041666666668</v>
      </c>
      <c r="C1041" s="799">
        <f>+B1042-1</f>
        <v>25569.041666666668</v>
      </c>
      <c r="D1041" s="791">
        <f>-_xlfn.DAYS($C$3,C1041)/365.25</f>
      </c>
      <c r="E1041" s="800">
        <f>IF($D$17+40&lt;=D1041,(1+$D$7)^-(D1041-$C$5),(1+$C$7)^-(D1041-$C$5))</f>
      </c>
      <c r="F1041" s="801">
        <f>IF($C$4="Hombre",(+VLOOKUP(INT(D1041)+1,Tablas!$G$9:$K$1240,5,0)*(D1041-INT(D1041))+VLOOKUP(INT(D1041),Tablas!$G$9:$K$1240,5,0)*(INT(D1041)+1-D1041))/(VLOOKUP(INT($C$5)+1,Tablas!$G$9:$K$1240,5,0)*($C$5-INT($C$5))+VLOOKUP(INT($C$5),Tablas!$G$9:$K$124,5,0)*(INT($C$5)+1-$C$5)),(+VLOOKUP(INT(D1041)+1,Tablas!$G$9:$O$1240,9,0)*(D1041-INT(D1041))+VLOOKUP(INT(D1041),Tablas!$G$9:$O$1240,9,0)*(INT(D1041)+1-D1041))/(VLOOKUP(INT($C$5)+1,Tablas!$G$9:$O$1240,9,0)*($C$5-INT($C$5))+VLOOKUP(INT($C$5),Tablas!$G$9:$O$124,9,0)*(INT($C$5)+1-$C$5)))</f>
      </c>
      <c r="G1041" s="791">
        <f>IF($C$4="Hombre",(+VLOOKUP(INT(D1041)+1,Tablas!$G$9:$K$1240,5,0)*(D1041-INT(D1041))+VLOOKUP(INT(D1041),Tablas!$G$9:$K$1240,5,0)*(INT(D1041)+1-D1041)),+VLOOKUP(INT(D1041)+1,Tablas!$G$9:$O$1240,9,0)*(D1041-INT(D1041))+VLOOKUP(INT(D1041),Tablas!$G$9:$O$1240,9,0)*(INT(D1041)+1-D1041))</f>
      </c>
      <c r="H1041" s="801">
        <f>+IF(MONTH(B1041)=1,H1040*(1+$C$9),H1040)</f>
      </c>
      <c r="I1041" s="689">
        <f>IF(B1041&lt;$C$10,0,IF(B1041&lt;$C$11,$C$8/12*E1041*F1041*H1041,0))</f>
      </c>
      <c r="J1041" s="689">
        <f>I1041*12/14+IF(OR(MONTH(C1041)=6,MONTH(C1041)=12),I1041*12/14,0)</f>
      </c>
      <c r="K1041" s="801">
        <f>G1041/$G$15</f>
      </c>
      <c r="L1041" s="760"/>
      <c r="M1041" s="767"/>
      <c r="N1041" s="168"/>
      <c r="O1041" s="768"/>
      <c r="P1041" s="170"/>
      <c r="Q1041" s="7"/>
      <c r="R1041" s="766"/>
      <c r="S1041" s="170"/>
      <c r="T1041" s="168"/>
      <c r="U1041" s="170"/>
    </row>
    <row x14ac:dyDescent="0.25" r="1042" customHeight="1" ht="18.75">
      <c r="A1042" s="1"/>
      <c r="B1042" s="799">
        <f>+DATE(YEAR(B1041),MONTH(B1041)+1,DAY(B1041))</f>
        <v>25569.041666666668</v>
      </c>
      <c r="C1042" s="799">
        <f>+B1043-1</f>
        <v>25569.041666666668</v>
      </c>
      <c r="D1042" s="791">
        <f>-_xlfn.DAYS($C$3,C1042)/365.25</f>
      </c>
      <c r="E1042" s="800">
        <f>IF($D$17+40&lt;=D1042,(1+$D$7)^-(D1042-$C$5),(1+$C$7)^-(D1042-$C$5))</f>
      </c>
      <c r="F1042" s="801">
        <f>IF($C$4="Hombre",(+VLOOKUP(INT(D1042)+1,Tablas!$G$9:$K$1240,5,0)*(D1042-INT(D1042))+VLOOKUP(INT(D1042),Tablas!$G$9:$K$1240,5,0)*(INT(D1042)+1-D1042))/(VLOOKUP(INT($C$5)+1,Tablas!$G$9:$K$1240,5,0)*($C$5-INT($C$5))+VLOOKUP(INT($C$5),Tablas!$G$9:$K$124,5,0)*(INT($C$5)+1-$C$5)),(+VLOOKUP(INT(D1042)+1,Tablas!$G$9:$O$1240,9,0)*(D1042-INT(D1042))+VLOOKUP(INT(D1042),Tablas!$G$9:$O$1240,9,0)*(INT(D1042)+1-D1042))/(VLOOKUP(INT($C$5)+1,Tablas!$G$9:$O$1240,9,0)*($C$5-INT($C$5))+VLOOKUP(INT($C$5),Tablas!$G$9:$O$124,9,0)*(INT($C$5)+1-$C$5)))</f>
      </c>
      <c r="G1042" s="791">
        <f>IF($C$4="Hombre",(+VLOOKUP(INT(D1042)+1,Tablas!$G$9:$K$1240,5,0)*(D1042-INT(D1042))+VLOOKUP(INT(D1042),Tablas!$G$9:$K$1240,5,0)*(INT(D1042)+1-D1042)),+VLOOKUP(INT(D1042)+1,Tablas!$G$9:$O$1240,9,0)*(D1042-INT(D1042))+VLOOKUP(INT(D1042),Tablas!$G$9:$O$1240,9,0)*(INT(D1042)+1-D1042))</f>
      </c>
      <c r="H1042" s="801">
        <f>+IF(MONTH(B1042)=1,H1041*(1+$C$9),H1041)</f>
      </c>
      <c r="I1042" s="689">
        <f>IF(B1042&lt;$C$10,0,IF(B1042&lt;$C$11,$C$8/12*E1042*F1042*H1042,0))</f>
      </c>
      <c r="J1042" s="689">
        <f>I1042*12/14+IF(OR(MONTH(C1042)=6,MONTH(C1042)=12),I1042*12/14,0)</f>
      </c>
      <c r="K1042" s="801">
        <f>G1042/$G$15</f>
      </c>
      <c r="L1042" s="760"/>
      <c r="M1042" s="767"/>
      <c r="N1042" s="168"/>
      <c r="O1042" s="768"/>
      <c r="P1042" s="170"/>
      <c r="Q1042" s="7"/>
      <c r="R1042" s="766"/>
      <c r="S1042" s="170"/>
      <c r="T1042" s="168"/>
      <c r="U1042" s="170"/>
    </row>
    <row x14ac:dyDescent="0.25" r="1043" customHeight="1" ht="18.75">
      <c r="A1043" s="1"/>
      <c r="B1043" s="799">
        <f>+DATE(YEAR(B1042),MONTH(B1042)+1,DAY(B1042))</f>
        <v>25569.041666666668</v>
      </c>
      <c r="C1043" s="799">
        <f>+B1044-1</f>
        <v>25569.041666666668</v>
      </c>
      <c r="D1043" s="791">
        <f>-_xlfn.DAYS($C$3,C1043)/365.25</f>
      </c>
      <c r="E1043" s="800">
        <f>IF($D$17+40&lt;=D1043,(1+$D$7)^-(D1043-$C$5),(1+$C$7)^-(D1043-$C$5))</f>
      </c>
      <c r="F1043" s="801">
        <f>IF($C$4="Hombre",(+VLOOKUP(INT(D1043)+1,Tablas!$G$9:$K$1240,5,0)*(D1043-INT(D1043))+VLOOKUP(INT(D1043),Tablas!$G$9:$K$1240,5,0)*(INT(D1043)+1-D1043))/(VLOOKUP(INT($C$5)+1,Tablas!$G$9:$K$1240,5,0)*($C$5-INT($C$5))+VLOOKUP(INT($C$5),Tablas!$G$9:$K$124,5,0)*(INT($C$5)+1-$C$5)),(+VLOOKUP(INT(D1043)+1,Tablas!$G$9:$O$1240,9,0)*(D1043-INT(D1043))+VLOOKUP(INT(D1043),Tablas!$G$9:$O$1240,9,0)*(INT(D1043)+1-D1043))/(VLOOKUP(INT($C$5)+1,Tablas!$G$9:$O$1240,9,0)*($C$5-INT($C$5))+VLOOKUP(INT($C$5),Tablas!$G$9:$O$124,9,0)*(INT($C$5)+1-$C$5)))</f>
      </c>
      <c r="G1043" s="791">
        <f>IF($C$4="Hombre",(+VLOOKUP(INT(D1043)+1,Tablas!$G$9:$K$1240,5,0)*(D1043-INT(D1043))+VLOOKUP(INT(D1043),Tablas!$G$9:$K$1240,5,0)*(INT(D1043)+1-D1043)),+VLOOKUP(INT(D1043)+1,Tablas!$G$9:$O$1240,9,0)*(D1043-INT(D1043))+VLOOKUP(INT(D1043),Tablas!$G$9:$O$1240,9,0)*(INT(D1043)+1-D1043))</f>
      </c>
      <c r="H1043" s="801">
        <f>+IF(MONTH(B1043)=1,H1042*(1+$C$9),H1042)</f>
      </c>
      <c r="I1043" s="689">
        <f>IF(B1043&lt;$C$10,0,IF(B1043&lt;$C$11,$C$8/12*E1043*F1043*H1043,0))</f>
      </c>
      <c r="J1043" s="689">
        <f>I1043*12/14+IF(OR(MONTH(C1043)=6,MONTH(C1043)=12),I1043*12/14,0)</f>
      </c>
      <c r="K1043" s="801">
        <f>G1043/$G$15</f>
      </c>
      <c r="L1043" s="760"/>
      <c r="M1043" s="767"/>
      <c r="N1043" s="168"/>
      <c r="O1043" s="768"/>
      <c r="P1043" s="170"/>
      <c r="Q1043" s="7"/>
      <c r="R1043" s="766"/>
      <c r="S1043" s="170"/>
      <c r="T1043" s="168"/>
      <c r="U1043" s="170"/>
    </row>
    <row x14ac:dyDescent="0.25" r="1044" customHeight="1" ht="18.75">
      <c r="A1044" s="1"/>
      <c r="B1044" s="799">
        <f>+DATE(YEAR(B1043),MONTH(B1043)+1,DAY(B1043))</f>
        <v>25569.041666666668</v>
      </c>
      <c r="C1044" s="799">
        <f>+B1045-1</f>
        <v>25569.041666666668</v>
      </c>
      <c r="D1044" s="791">
        <f>-_xlfn.DAYS($C$3,C1044)/365.25</f>
      </c>
      <c r="E1044" s="800">
        <f>IF($D$17+40&lt;=D1044,(1+$D$7)^-(D1044-$C$5),(1+$C$7)^-(D1044-$C$5))</f>
      </c>
      <c r="F1044" s="801">
        <f>IF($C$4="Hombre",(+VLOOKUP(INT(D1044)+1,Tablas!$G$9:$K$1240,5,0)*(D1044-INT(D1044))+VLOOKUP(INT(D1044),Tablas!$G$9:$K$1240,5,0)*(INT(D1044)+1-D1044))/(VLOOKUP(INT($C$5)+1,Tablas!$G$9:$K$1240,5,0)*($C$5-INT($C$5))+VLOOKUP(INT($C$5),Tablas!$G$9:$K$124,5,0)*(INT($C$5)+1-$C$5)),(+VLOOKUP(INT(D1044)+1,Tablas!$G$9:$O$1240,9,0)*(D1044-INT(D1044))+VLOOKUP(INT(D1044),Tablas!$G$9:$O$1240,9,0)*(INT(D1044)+1-D1044))/(VLOOKUP(INT($C$5)+1,Tablas!$G$9:$O$1240,9,0)*($C$5-INT($C$5))+VLOOKUP(INT($C$5),Tablas!$G$9:$O$124,9,0)*(INT($C$5)+1-$C$5)))</f>
      </c>
      <c r="G1044" s="791">
        <f>IF($C$4="Hombre",(+VLOOKUP(INT(D1044)+1,Tablas!$G$9:$K$1240,5,0)*(D1044-INT(D1044))+VLOOKUP(INT(D1044),Tablas!$G$9:$K$1240,5,0)*(INT(D1044)+1-D1044)),+VLOOKUP(INT(D1044)+1,Tablas!$G$9:$O$1240,9,0)*(D1044-INT(D1044))+VLOOKUP(INT(D1044),Tablas!$G$9:$O$1240,9,0)*(INT(D1044)+1-D1044))</f>
      </c>
      <c r="H1044" s="801">
        <f>+IF(MONTH(B1044)=1,H1043*(1+$C$9),H1043)</f>
      </c>
      <c r="I1044" s="689">
        <f>IF(B1044&lt;$C$10,0,IF(B1044&lt;$C$11,$C$8/12*E1044*F1044*H1044,0))</f>
      </c>
      <c r="J1044" s="689">
        <f>I1044*12/14+IF(OR(MONTH(C1044)=6,MONTH(C1044)=12),I1044*12/14,0)</f>
      </c>
      <c r="K1044" s="801">
        <f>G1044/$G$15</f>
      </c>
      <c r="L1044" s="760"/>
      <c r="M1044" s="767"/>
      <c r="N1044" s="168"/>
      <c r="O1044" s="768"/>
      <c r="P1044" s="170"/>
      <c r="Q1044" s="7"/>
      <c r="R1044" s="766"/>
      <c r="S1044" s="170"/>
      <c r="T1044" s="168"/>
      <c r="U1044" s="170"/>
    </row>
    <row x14ac:dyDescent="0.25" r="1045" customHeight="1" ht="18.75">
      <c r="A1045" s="1"/>
      <c r="B1045" s="799">
        <f>+DATE(YEAR(B1044),MONTH(B1044)+1,DAY(B1044))</f>
        <v>25569.041666666668</v>
      </c>
      <c r="C1045" s="799">
        <f>+B1046-1</f>
        <v>25569.041666666668</v>
      </c>
      <c r="D1045" s="791">
        <f>-_xlfn.DAYS($C$3,C1045)/365.25</f>
      </c>
      <c r="E1045" s="800">
        <f>IF($D$17+40&lt;=D1045,(1+$D$7)^-(D1045-$C$5),(1+$C$7)^-(D1045-$C$5))</f>
      </c>
      <c r="F1045" s="801">
        <f>IF($C$4="Hombre",(+VLOOKUP(INT(D1045)+1,Tablas!$G$9:$K$1240,5,0)*(D1045-INT(D1045))+VLOOKUP(INT(D1045),Tablas!$G$9:$K$1240,5,0)*(INT(D1045)+1-D1045))/(VLOOKUP(INT($C$5)+1,Tablas!$G$9:$K$1240,5,0)*($C$5-INT($C$5))+VLOOKUP(INT($C$5),Tablas!$G$9:$K$124,5,0)*(INT($C$5)+1-$C$5)),(+VLOOKUP(INT(D1045)+1,Tablas!$G$9:$O$1240,9,0)*(D1045-INT(D1045))+VLOOKUP(INT(D1045),Tablas!$G$9:$O$1240,9,0)*(INT(D1045)+1-D1045))/(VLOOKUP(INT($C$5)+1,Tablas!$G$9:$O$1240,9,0)*($C$5-INT($C$5))+VLOOKUP(INT($C$5),Tablas!$G$9:$O$124,9,0)*(INT($C$5)+1-$C$5)))</f>
      </c>
      <c r="G1045" s="791">
        <f>IF($C$4="Hombre",(+VLOOKUP(INT(D1045)+1,Tablas!$G$9:$K$1240,5,0)*(D1045-INT(D1045))+VLOOKUP(INT(D1045),Tablas!$G$9:$K$1240,5,0)*(INT(D1045)+1-D1045)),+VLOOKUP(INT(D1045)+1,Tablas!$G$9:$O$1240,9,0)*(D1045-INT(D1045))+VLOOKUP(INT(D1045),Tablas!$G$9:$O$1240,9,0)*(INT(D1045)+1-D1045))</f>
      </c>
      <c r="H1045" s="801">
        <f>+IF(MONTH(B1045)=1,H1044*(1+$C$9),H1044)</f>
      </c>
      <c r="I1045" s="689">
        <f>IF(B1045&lt;$C$10,0,IF(B1045&lt;$C$11,$C$8/12*E1045*F1045*H1045,0))</f>
      </c>
      <c r="J1045" s="689">
        <f>I1045*12/14+IF(OR(MONTH(C1045)=6,MONTH(C1045)=12),I1045*12/14,0)</f>
      </c>
      <c r="K1045" s="801">
        <f>G1045/$G$15</f>
      </c>
      <c r="L1045" s="760"/>
      <c r="M1045" s="767"/>
      <c r="N1045" s="168"/>
      <c r="O1045" s="768"/>
      <c r="P1045" s="170"/>
      <c r="Q1045" s="7"/>
      <c r="R1045" s="766"/>
      <c r="S1045" s="170"/>
      <c r="T1045" s="168"/>
      <c r="U1045" s="170"/>
    </row>
    <row x14ac:dyDescent="0.25" r="1046" customHeight="1" ht="18.75">
      <c r="A1046" s="1"/>
      <c r="B1046" s="799">
        <f>+DATE(YEAR(B1045),MONTH(B1045)+1,DAY(B1045))</f>
        <v>25569.041666666668</v>
      </c>
      <c r="C1046" s="799">
        <f>+B1047-1</f>
        <v>25569.041666666668</v>
      </c>
      <c r="D1046" s="791">
        <f>-_xlfn.DAYS($C$3,C1046)/365.25</f>
      </c>
      <c r="E1046" s="800">
        <f>IF($D$17+40&lt;=D1046,(1+$D$7)^-(D1046-$C$5),(1+$C$7)^-(D1046-$C$5))</f>
      </c>
      <c r="F1046" s="801">
        <f>IF($C$4="Hombre",(+VLOOKUP(INT(D1046)+1,Tablas!$G$9:$K$1240,5,0)*(D1046-INT(D1046))+VLOOKUP(INT(D1046),Tablas!$G$9:$K$1240,5,0)*(INT(D1046)+1-D1046))/(VLOOKUP(INT($C$5)+1,Tablas!$G$9:$K$1240,5,0)*($C$5-INT($C$5))+VLOOKUP(INT($C$5),Tablas!$G$9:$K$124,5,0)*(INT($C$5)+1-$C$5)),(+VLOOKUP(INT(D1046)+1,Tablas!$G$9:$O$1240,9,0)*(D1046-INT(D1046))+VLOOKUP(INT(D1046),Tablas!$G$9:$O$1240,9,0)*(INT(D1046)+1-D1046))/(VLOOKUP(INT($C$5)+1,Tablas!$G$9:$O$1240,9,0)*($C$5-INT($C$5))+VLOOKUP(INT($C$5),Tablas!$G$9:$O$124,9,0)*(INT($C$5)+1-$C$5)))</f>
      </c>
      <c r="G1046" s="791">
        <f>IF($C$4="Hombre",(+VLOOKUP(INT(D1046)+1,Tablas!$G$9:$K$1240,5,0)*(D1046-INT(D1046))+VLOOKUP(INT(D1046),Tablas!$G$9:$K$1240,5,0)*(INT(D1046)+1-D1046)),+VLOOKUP(INT(D1046)+1,Tablas!$G$9:$O$1240,9,0)*(D1046-INT(D1046))+VLOOKUP(INT(D1046),Tablas!$G$9:$O$1240,9,0)*(INT(D1046)+1-D1046))</f>
      </c>
      <c r="H1046" s="801">
        <f>+IF(MONTH(B1046)=1,H1045*(1+$C$9),H1045)</f>
      </c>
      <c r="I1046" s="689">
        <f>IF(B1046&lt;$C$10,0,IF(B1046&lt;$C$11,$C$8/12*E1046*F1046*H1046,0))</f>
      </c>
      <c r="J1046" s="689">
        <f>I1046*12/14+IF(OR(MONTH(C1046)=6,MONTH(C1046)=12),I1046*12/14,0)</f>
      </c>
      <c r="K1046" s="801">
        <f>G1046/$G$15</f>
      </c>
      <c r="L1046" s="760"/>
      <c r="M1046" s="767"/>
      <c r="N1046" s="168"/>
      <c r="O1046" s="768"/>
      <c r="P1046" s="170"/>
      <c r="Q1046" s="7"/>
      <c r="R1046" s="766"/>
      <c r="S1046" s="170"/>
      <c r="T1046" s="168"/>
      <c r="U1046" s="170"/>
    </row>
    <row x14ac:dyDescent="0.25" r="1047" customHeight="1" ht="18.75">
      <c r="A1047" s="1"/>
      <c r="B1047" s="799">
        <f>+DATE(YEAR(B1046),MONTH(B1046)+1,DAY(B1046))</f>
        <v>25569.041666666668</v>
      </c>
      <c r="C1047" s="799">
        <f>+B1048-1</f>
        <v>25569.041666666668</v>
      </c>
      <c r="D1047" s="791">
        <f>-_xlfn.DAYS($C$3,C1047)/365.25</f>
      </c>
      <c r="E1047" s="800">
        <f>IF($D$17+40&lt;=D1047,(1+$D$7)^-(D1047-$C$5),(1+$C$7)^-(D1047-$C$5))</f>
      </c>
      <c r="F1047" s="801">
        <f>IF($C$4="Hombre",(+VLOOKUP(INT(D1047)+1,Tablas!$G$9:$K$1240,5,0)*(D1047-INT(D1047))+VLOOKUP(INT(D1047),Tablas!$G$9:$K$1240,5,0)*(INT(D1047)+1-D1047))/(VLOOKUP(INT($C$5)+1,Tablas!$G$9:$K$1240,5,0)*($C$5-INT($C$5))+VLOOKUP(INT($C$5),Tablas!$G$9:$K$124,5,0)*(INT($C$5)+1-$C$5)),(+VLOOKUP(INT(D1047)+1,Tablas!$G$9:$O$1240,9,0)*(D1047-INT(D1047))+VLOOKUP(INT(D1047),Tablas!$G$9:$O$1240,9,0)*(INT(D1047)+1-D1047))/(VLOOKUP(INT($C$5)+1,Tablas!$G$9:$O$1240,9,0)*($C$5-INT($C$5))+VLOOKUP(INT($C$5),Tablas!$G$9:$O$124,9,0)*(INT($C$5)+1-$C$5)))</f>
      </c>
      <c r="G1047" s="791">
        <f>IF($C$4="Hombre",(+VLOOKUP(INT(D1047)+1,Tablas!$G$9:$K$1240,5,0)*(D1047-INT(D1047))+VLOOKUP(INT(D1047),Tablas!$G$9:$K$1240,5,0)*(INT(D1047)+1-D1047)),+VLOOKUP(INT(D1047)+1,Tablas!$G$9:$O$1240,9,0)*(D1047-INT(D1047))+VLOOKUP(INT(D1047),Tablas!$G$9:$O$1240,9,0)*(INT(D1047)+1-D1047))</f>
      </c>
      <c r="H1047" s="801">
        <f>+IF(MONTH(B1047)=1,H1046*(1+$C$9),H1046)</f>
      </c>
      <c r="I1047" s="689">
        <f>IF(B1047&lt;$C$10,0,IF(B1047&lt;$C$11,$C$8/12*E1047*F1047*H1047,0))</f>
      </c>
      <c r="J1047" s="689">
        <f>I1047*12/14+IF(OR(MONTH(C1047)=6,MONTH(C1047)=12),I1047*12/14,0)</f>
      </c>
      <c r="K1047" s="801">
        <f>G1047/$G$15</f>
      </c>
      <c r="L1047" s="760"/>
      <c r="M1047" s="767"/>
      <c r="N1047" s="168"/>
      <c r="O1047" s="768"/>
      <c r="P1047" s="170"/>
      <c r="Q1047" s="7"/>
      <c r="R1047" s="766"/>
      <c r="S1047" s="170"/>
      <c r="T1047" s="168"/>
      <c r="U1047" s="170"/>
    </row>
    <row x14ac:dyDescent="0.25" r="1048" customHeight="1" ht="18.75">
      <c r="A1048" s="1"/>
      <c r="B1048" s="799">
        <f>+DATE(YEAR(B1047),MONTH(B1047)+1,DAY(B1047))</f>
        <v>25569.041666666668</v>
      </c>
      <c r="C1048" s="799">
        <f>+B1049-1</f>
        <v>25569.041666666668</v>
      </c>
      <c r="D1048" s="791">
        <f>-_xlfn.DAYS($C$3,C1048)/365.25</f>
      </c>
      <c r="E1048" s="800">
        <f>IF($D$17+40&lt;=D1048,(1+$D$7)^-(D1048-$C$5),(1+$C$7)^-(D1048-$C$5))</f>
      </c>
      <c r="F1048" s="801">
        <f>IF($C$4="Hombre",(+VLOOKUP(INT(D1048)+1,Tablas!$G$9:$K$1240,5,0)*(D1048-INT(D1048))+VLOOKUP(INT(D1048),Tablas!$G$9:$K$1240,5,0)*(INT(D1048)+1-D1048))/(VLOOKUP(INT($C$5)+1,Tablas!$G$9:$K$1240,5,0)*($C$5-INT($C$5))+VLOOKUP(INT($C$5),Tablas!$G$9:$K$124,5,0)*(INT($C$5)+1-$C$5)),(+VLOOKUP(INT(D1048)+1,Tablas!$G$9:$O$1240,9,0)*(D1048-INT(D1048))+VLOOKUP(INT(D1048),Tablas!$G$9:$O$1240,9,0)*(INT(D1048)+1-D1048))/(VLOOKUP(INT($C$5)+1,Tablas!$G$9:$O$1240,9,0)*($C$5-INT($C$5))+VLOOKUP(INT($C$5),Tablas!$G$9:$O$124,9,0)*(INT($C$5)+1-$C$5)))</f>
      </c>
      <c r="G1048" s="791">
        <f>IF($C$4="Hombre",(+VLOOKUP(INT(D1048)+1,Tablas!$G$9:$K$1240,5,0)*(D1048-INT(D1048))+VLOOKUP(INT(D1048),Tablas!$G$9:$K$1240,5,0)*(INT(D1048)+1-D1048)),+VLOOKUP(INT(D1048)+1,Tablas!$G$9:$O$1240,9,0)*(D1048-INT(D1048))+VLOOKUP(INT(D1048),Tablas!$G$9:$O$1240,9,0)*(INT(D1048)+1-D1048))</f>
      </c>
      <c r="H1048" s="801">
        <f>+IF(MONTH(B1048)=1,H1047*(1+$C$9),H1047)</f>
      </c>
      <c r="I1048" s="689">
        <f>IF(B1048&lt;$C$10,0,IF(B1048&lt;$C$11,$C$8/12*E1048*F1048*H1048,0))</f>
      </c>
      <c r="J1048" s="689">
        <f>I1048*12/14+IF(OR(MONTH(C1048)=6,MONTH(C1048)=12),I1048*12/14,0)</f>
      </c>
      <c r="K1048" s="801">
        <f>G1048/$G$15</f>
      </c>
      <c r="L1048" s="760"/>
      <c r="M1048" s="767"/>
      <c r="N1048" s="168"/>
      <c r="O1048" s="768"/>
      <c r="P1048" s="170"/>
      <c r="Q1048" s="7"/>
      <c r="R1048" s="766"/>
      <c r="S1048" s="170"/>
      <c r="T1048" s="168"/>
      <c r="U1048" s="170"/>
    </row>
    <row x14ac:dyDescent="0.25" r="1049" customHeight="1" ht="18.75">
      <c r="A1049" s="1"/>
      <c r="B1049" s="799">
        <f>+DATE(YEAR(B1048),MONTH(B1048)+1,DAY(B1048))</f>
        <v>25569.041666666668</v>
      </c>
      <c r="C1049" s="799">
        <f>+B1050-1</f>
        <v>25569.041666666668</v>
      </c>
      <c r="D1049" s="791">
        <f>-_xlfn.DAYS($C$3,C1049)/365.25</f>
      </c>
      <c r="E1049" s="800">
        <f>IF($D$17+40&lt;=D1049,(1+$D$7)^-(D1049-$C$5),(1+$C$7)^-(D1049-$C$5))</f>
      </c>
      <c r="F1049" s="801">
        <f>IF($C$4="Hombre",(+VLOOKUP(INT(D1049)+1,Tablas!$G$9:$K$1240,5,0)*(D1049-INT(D1049))+VLOOKUP(INT(D1049),Tablas!$G$9:$K$1240,5,0)*(INT(D1049)+1-D1049))/(VLOOKUP(INT($C$5)+1,Tablas!$G$9:$K$1240,5,0)*($C$5-INT($C$5))+VLOOKUP(INT($C$5),Tablas!$G$9:$K$124,5,0)*(INT($C$5)+1-$C$5)),(+VLOOKUP(INT(D1049)+1,Tablas!$G$9:$O$1240,9,0)*(D1049-INT(D1049))+VLOOKUP(INT(D1049),Tablas!$G$9:$O$1240,9,0)*(INT(D1049)+1-D1049))/(VLOOKUP(INT($C$5)+1,Tablas!$G$9:$O$1240,9,0)*($C$5-INT($C$5))+VLOOKUP(INT($C$5),Tablas!$G$9:$O$124,9,0)*(INT($C$5)+1-$C$5)))</f>
      </c>
      <c r="G1049" s="791">
        <f>IF($C$4="Hombre",(+VLOOKUP(INT(D1049)+1,Tablas!$G$9:$K$1240,5,0)*(D1049-INT(D1049))+VLOOKUP(INT(D1049),Tablas!$G$9:$K$1240,5,0)*(INT(D1049)+1-D1049)),+VLOOKUP(INT(D1049)+1,Tablas!$G$9:$O$1240,9,0)*(D1049-INT(D1049))+VLOOKUP(INT(D1049),Tablas!$G$9:$O$1240,9,0)*(INT(D1049)+1-D1049))</f>
      </c>
      <c r="H1049" s="801">
        <f>+IF(MONTH(B1049)=1,H1048*(1+$C$9),H1048)</f>
      </c>
      <c r="I1049" s="689">
        <f>IF(B1049&lt;$C$10,0,IF(B1049&lt;$C$11,$C$8/12*E1049*F1049*H1049,0))</f>
      </c>
      <c r="J1049" s="689">
        <f>I1049*12/14+IF(OR(MONTH(C1049)=6,MONTH(C1049)=12),I1049*12/14,0)</f>
      </c>
      <c r="K1049" s="801">
        <f>G1049/$G$15</f>
      </c>
      <c r="L1049" s="760"/>
      <c r="M1049" s="767"/>
      <c r="N1049" s="168"/>
      <c r="O1049" s="768"/>
      <c r="P1049" s="170"/>
      <c r="Q1049" s="7"/>
      <c r="R1049" s="766"/>
      <c r="S1049" s="170"/>
      <c r="T1049" s="168"/>
      <c r="U1049" s="170"/>
    </row>
    <row x14ac:dyDescent="0.25" r="1050" customHeight="1" ht="18.75">
      <c r="A1050" s="1"/>
      <c r="B1050" s="799">
        <f>+DATE(YEAR(B1049),MONTH(B1049)+1,DAY(B1049))</f>
        <v>25569.041666666668</v>
      </c>
      <c r="C1050" s="799">
        <f>+B1051-1</f>
        <v>25569.041666666668</v>
      </c>
      <c r="D1050" s="791">
        <f>-_xlfn.DAYS($C$3,C1050)/365.25</f>
      </c>
      <c r="E1050" s="800">
        <f>IF($D$17+40&lt;=D1050,(1+$D$7)^-(D1050-$C$5),(1+$C$7)^-(D1050-$C$5))</f>
      </c>
      <c r="F1050" s="801">
        <f>IF($C$4="Hombre",(+VLOOKUP(INT(D1050)+1,Tablas!$G$9:$K$1240,5,0)*(D1050-INT(D1050))+VLOOKUP(INT(D1050),Tablas!$G$9:$K$1240,5,0)*(INT(D1050)+1-D1050))/(VLOOKUP(INT($C$5)+1,Tablas!$G$9:$K$1240,5,0)*($C$5-INT($C$5))+VLOOKUP(INT($C$5),Tablas!$G$9:$K$124,5,0)*(INT($C$5)+1-$C$5)),(+VLOOKUP(INT(D1050)+1,Tablas!$G$9:$O$1240,9,0)*(D1050-INT(D1050))+VLOOKUP(INT(D1050),Tablas!$G$9:$O$1240,9,0)*(INT(D1050)+1-D1050))/(VLOOKUP(INT($C$5)+1,Tablas!$G$9:$O$1240,9,0)*($C$5-INT($C$5))+VLOOKUP(INT($C$5),Tablas!$G$9:$O$124,9,0)*(INT($C$5)+1-$C$5)))</f>
      </c>
      <c r="G1050" s="791">
        <f>IF($C$4="Hombre",(+VLOOKUP(INT(D1050)+1,Tablas!$G$9:$K$1240,5,0)*(D1050-INT(D1050))+VLOOKUP(INT(D1050),Tablas!$G$9:$K$1240,5,0)*(INT(D1050)+1-D1050)),+VLOOKUP(INT(D1050)+1,Tablas!$G$9:$O$1240,9,0)*(D1050-INT(D1050))+VLOOKUP(INT(D1050),Tablas!$G$9:$O$1240,9,0)*(INT(D1050)+1-D1050))</f>
      </c>
      <c r="H1050" s="801">
        <f>+IF(MONTH(B1050)=1,H1049*(1+$C$9),H1049)</f>
      </c>
      <c r="I1050" s="689">
        <f>IF(B1050&lt;$C$10,0,IF(B1050&lt;$C$11,$C$8/12*E1050*F1050*H1050,0))</f>
      </c>
      <c r="J1050" s="689">
        <f>I1050*12/14+IF(OR(MONTH(C1050)=6,MONTH(C1050)=12),I1050*12/14,0)</f>
      </c>
      <c r="K1050" s="801">
        <f>G1050/$G$15</f>
      </c>
      <c r="L1050" s="760"/>
      <c r="M1050" s="767"/>
      <c r="N1050" s="168"/>
      <c r="O1050" s="768"/>
      <c r="P1050" s="170"/>
      <c r="Q1050" s="7"/>
      <c r="R1050" s="766"/>
      <c r="S1050" s="170"/>
      <c r="T1050" s="168"/>
      <c r="U1050" s="170"/>
    </row>
    <row x14ac:dyDescent="0.25" r="1051" customHeight="1" ht="18.75">
      <c r="A1051" s="1"/>
      <c r="B1051" s="799">
        <f>+DATE(YEAR(B1050),MONTH(B1050)+1,DAY(B1050))</f>
        <v>25569.041666666668</v>
      </c>
      <c r="C1051" s="799">
        <f>+B1052-1</f>
        <v>25569.041666666668</v>
      </c>
      <c r="D1051" s="791">
        <f>-_xlfn.DAYS($C$3,C1051)/365.25</f>
      </c>
      <c r="E1051" s="800">
        <f>IF($D$17+40&lt;=D1051,(1+$D$7)^-(D1051-$C$5),(1+$C$7)^-(D1051-$C$5))</f>
      </c>
      <c r="F1051" s="801">
        <f>IF($C$4="Hombre",(+VLOOKUP(INT(D1051)+1,Tablas!$G$9:$K$1240,5,0)*(D1051-INT(D1051))+VLOOKUP(INT(D1051),Tablas!$G$9:$K$1240,5,0)*(INT(D1051)+1-D1051))/(VLOOKUP(INT($C$5)+1,Tablas!$G$9:$K$1240,5,0)*($C$5-INT($C$5))+VLOOKUP(INT($C$5),Tablas!$G$9:$K$124,5,0)*(INT($C$5)+1-$C$5)),(+VLOOKUP(INT(D1051)+1,Tablas!$G$9:$O$1240,9,0)*(D1051-INT(D1051))+VLOOKUP(INT(D1051),Tablas!$G$9:$O$1240,9,0)*(INT(D1051)+1-D1051))/(VLOOKUP(INT($C$5)+1,Tablas!$G$9:$O$1240,9,0)*($C$5-INT($C$5))+VLOOKUP(INT($C$5),Tablas!$G$9:$O$124,9,0)*(INT($C$5)+1-$C$5)))</f>
      </c>
      <c r="G1051" s="791">
        <f>IF($C$4="Hombre",(+VLOOKUP(INT(D1051)+1,Tablas!$G$9:$K$1240,5,0)*(D1051-INT(D1051))+VLOOKUP(INT(D1051),Tablas!$G$9:$K$1240,5,0)*(INT(D1051)+1-D1051)),+VLOOKUP(INT(D1051)+1,Tablas!$G$9:$O$1240,9,0)*(D1051-INT(D1051))+VLOOKUP(INT(D1051),Tablas!$G$9:$O$1240,9,0)*(INT(D1051)+1-D1051))</f>
      </c>
      <c r="H1051" s="801">
        <f>+IF(MONTH(B1051)=1,H1050*(1+$C$9),H1050)</f>
      </c>
      <c r="I1051" s="689">
        <f>IF(B1051&lt;$C$10,0,IF(B1051&lt;$C$11,$C$8/12*E1051*F1051*H1051,0))</f>
      </c>
      <c r="J1051" s="689">
        <f>I1051*12/14+IF(OR(MONTH(C1051)=6,MONTH(C1051)=12),I1051*12/14,0)</f>
      </c>
      <c r="K1051" s="801">
        <f>G1051/$G$15</f>
      </c>
      <c r="L1051" s="760"/>
      <c r="M1051" s="767"/>
      <c r="N1051" s="168"/>
      <c r="O1051" s="768"/>
      <c r="P1051" s="170"/>
      <c r="Q1051" s="7"/>
      <c r="R1051" s="766"/>
      <c r="S1051" s="170"/>
      <c r="T1051" s="168"/>
      <c r="U1051" s="170"/>
    </row>
    <row x14ac:dyDescent="0.25" r="1052" customHeight="1" ht="18.75">
      <c r="A1052" s="1"/>
      <c r="B1052" s="799">
        <f>+DATE(YEAR(B1051),MONTH(B1051)+1,DAY(B1051))</f>
        <v>25569.041666666668</v>
      </c>
      <c r="C1052" s="799">
        <f>+B1053-1</f>
        <v>25569.041666666668</v>
      </c>
      <c r="D1052" s="791">
        <f>-_xlfn.DAYS($C$3,C1052)/365.25</f>
      </c>
      <c r="E1052" s="800">
        <f>IF($D$17+40&lt;=D1052,(1+$D$7)^-(D1052-$C$5),(1+$C$7)^-(D1052-$C$5))</f>
      </c>
      <c r="F1052" s="801">
        <f>IF($C$4="Hombre",(+VLOOKUP(INT(D1052)+1,Tablas!$G$9:$K$1240,5,0)*(D1052-INT(D1052))+VLOOKUP(INT(D1052),Tablas!$G$9:$K$1240,5,0)*(INT(D1052)+1-D1052))/(VLOOKUP(INT($C$5)+1,Tablas!$G$9:$K$1240,5,0)*($C$5-INT($C$5))+VLOOKUP(INT($C$5),Tablas!$G$9:$K$124,5,0)*(INT($C$5)+1-$C$5)),(+VLOOKUP(INT(D1052)+1,Tablas!$G$9:$O$1240,9,0)*(D1052-INT(D1052))+VLOOKUP(INT(D1052),Tablas!$G$9:$O$1240,9,0)*(INT(D1052)+1-D1052))/(VLOOKUP(INT($C$5)+1,Tablas!$G$9:$O$1240,9,0)*($C$5-INT($C$5))+VLOOKUP(INT($C$5),Tablas!$G$9:$O$124,9,0)*(INT($C$5)+1-$C$5)))</f>
      </c>
      <c r="G1052" s="791">
        <f>IF($C$4="Hombre",(+VLOOKUP(INT(D1052)+1,Tablas!$G$9:$K$1240,5,0)*(D1052-INT(D1052))+VLOOKUP(INT(D1052),Tablas!$G$9:$K$1240,5,0)*(INT(D1052)+1-D1052)),+VLOOKUP(INT(D1052)+1,Tablas!$G$9:$O$1240,9,0)*(D1052-INT(D1052))+VLOOKUP(INT(D1052),Tablas!$G$9:$O$1240,9,0)*(INT(D1052)+1-D1052))</f>
      </c>
      <c r="H1052" s="801">
        <f>+IF(MONTH(B1052)=1,H1051*(1+$C$9),H1051)</f>
      </c>
      <c r="I1052" s="689">
        <f>IF(B1052&lt;$C$10,0,IF(B1052&lt;$C$11,$C$8/12*E1052*F1052*H1052,0))</f>
      </c>
      <c r="J1052" s="689">
        <f>I1052*12/14+IF(OR(MONTH(C1052)=6,MONTH(C1052)=12),I1052*12/14,0)</f>
      </c>
      <c r="K1052" s="801">
        <f>G1052/$G$15</f>
      </c>
      <c r="L1052" s="760"/>
      <c r="M1052" s="767"/>
      <c r="N1052" s="168"/>
      <c r="O1052" s="768"/>
      <c r="P1052" s="170"/>
      <c r="Q1052" s="7"/>
      <c r="R1052" s="766"/>
      <c r="S1052" s="170"/>
      <c r="T1052" s="168"/>
      <c r="U1052" s="170"/>
    </row>
    <row x14ac:dyDescent="0.25" r="1053" customHeight="1" ht="18.75">
      <c r="A1053" s="1"/>
      <c r="B1053" s="799">
        <f>+DATE(YEAR(B1052),MONTH(B1052)+1,DAY(B1052))</f>
        <v>25569.041666666668</v>
      </c>
      <c r="C1053" s="799">
        <f>+B1054-1</f>
        <v>25569.041666666668</v>
      </c>
      <c r="D1053" s="791">
        <f>-_xlfn.DAYS($C$3,C1053)/365.25</f>
      </c>
      <c r="E1053" s="800">
        <f>IF($D$17+40&lt;=D1053,(1+$D$7)^-(D1053-$C$5),(1+$C$7)^-(D1053-$C$5))</f>
      </c>
      <c r="F1053" s="801">
        <f>IF($C$4="Hombre",(+VLOOKUP(INT(D1053)+1,Tablas!$G$9:$K$1240,5,0)*(D1053-INT(D1053))+VLOOKUP(INT(D1053),Tablas!$G$9:$K$1240,5,0)*(INT(D1053)+1-D1053))/(VLOOKUP(INT($C$5)+1,Tablas!$G$9:$K$1240,5,0)*($C$5-INT($C$5))+VLOOKUP(INT($C$5),Tablas!$G$9:$K$124,5,0)*(INT($C$5)+1-$C$5)),(+VLOOKUP(INT(D1053)+1,Tablas!$G$9:$O$1240,9,0)*(D1053-INT(D1053))+VLOOKUP(INT(D1053),Tablas!$G$9:$O$1240,9,0)*(INT(D1053)+1-D1053))/(VLOOKUP(INT($C$5)+1,Tablas!$G$9:$O$1240,9,0)*($C$5-INT($C$5))+VLOOKUP(INT($C$5),Tablas!$G$9:$O$124,9,0)*(INT($C$5)+1-$C$5)))</f>
      </c>
      <c r="G1053" s="791">
        <f>IF($C$4="Hombre",(+VLOOKUP(INT(D1053)+1,Tablas!$G$9:$K$1240,5,0)*(D1053-INT(D1053))+VLOOKUP(INT(D1053),Tablas!$G$9:$K$1240,5,0)*(INT(D1053)+1-D1053)),+VLOOKUP(INT(D1053)+1,Tablas!$G$9:$O$1240,9,0)*(D1053-INT(D1053))+VLOOKUP(INT(D1053),Tablas!$G$9:$O$1240,9,0)*(INT(D1053)+1-D1053))</f>
      </c>
      <c r="H1053" s="801">
        <f>+IF(MONTH(B1053)=1,H1052*(1+$C$9),H1052)</f>
      </c>
      <c r="I1053" s="689">
        <f>IF(B1053&lt;$C$10,0,IF(B1053&lt;$C$11,$C$8/12*E1053*F1053*H1053,0))</f>
      </c>
      <c r="J1053" s="689">
        <f>I1053*12/14+IF(OR(MONTH(C1053)=6,MONTH(C1053)=12),I1053*12/14,0)</f>
      </c>
      <c r="K1053" s="801">
        <f>G1053/$G$15</f>
      </c>
      <c r="L1053" s="760"/>
      <c r="M1053" s="767"/>
      <c r="N1053" s="168"/>
      <c r="O1053" s="768"/>
      <c r="P1053" s="170"/>
      <c r="Q1053" s="7"/>
      <c r="R1053" s="766"/>
      <c r="S1053" s="170"/>
      <c r="T1053" s="168"/>
      <c r="U1053" s="170"/>
    </row>
    <row x14ac:dyDescent="0.25" r="1054" customHeight="1" ht="18.75">
      <c r="A1054" s="1"/>
      <c r="B1054" s="799">
        <f>+DATE(YEAR(B1053),MONTH(B1053)+1,DAY(B1053))</f>
        <v>25569.041666666668</v>
      </c>
      <c r="C1054" s="799">
        <f>+B1055-1</f>
        <v>25569.041666666668</v>
      </c>
      <c r="D1054" s="791">
        <f>-_xlfn.DAYS($C$3,C1054)/365.25</f>
      </c>
      <c r="E1054" s="800">
        <f>IF($D$17+40&lt;=D1054,(1+$D$7)^-(D1054-$C$5),(1+$C$7)^-(D1054-$C$5))</f>
      </c>
      <c r="F1054" s="801">
        <f>IF($C$4="Hombre",(+VLOOKUP(INT(D1054)+1,Tablas!$G$9:$K$1240,5,0)*(D1054-INT(D1054))+VLOOKUP(INT(D1054),Tablas!$G$9:$K$1240,5,0)*(INT(D1054)+1-D1054))/(VLOOKUP(INT($C$5)+1,Tablas!$G$9:$K$1240,5,0)*($C$5-INT($C$5))+VLOOKUP(INT($C$5),Tablas!$G$9:$K$124,5,0)*(INT($C$5)+1-$C$5)),(+VLOOKUP(INT(D1054)+1,Tablas!$G$9:$O$1240,9,0)*(D1054-INT(D1054))+VLOOKUP(INT(D1054),Tablas!$G$9:$O$1240,9,0)*(INT(D1054)+1-D1054))/(VLOOKUP(INT($C$5)+1,Tablas!$G$9:$O$1240,9,0)*($C$5-INT($C$5))+VLOOKUP(INT($C$5),Tablas!$G$9:$O$124,9,0)*(INT($C$5)+1-$C$5)))</f>
      </c>
      <c r="G1054" s="791">
        <f>IF($C$4="Hombre",(+VLOOKUP(INT(D1054)+1,Tablas!$G$9:$K$1240,5,0)*(D1054-INT(D1054))+VLOOKUP(INT(D1054),Tablas!$G$9:$K$1240,5,0)*(INT(D1054)+1-D1054)),+VLOOKUP(INT(D1054)+1,Tablas!$G$9:$O$1240,9,0)*(D1054-INT(D1054))+VLOOKUP(INT(D1054),Tablas!$G$9:$O$1240,9,0)*(INT(D1054)+1-D1054))</f>
      </c>
      <c r="H1054" s="801">
        <f>+IF(MONTH(B1054)=1,H1053*(1+$C$9),H1053)</f>
      </c>
      <c r="I1054" s="689">
        <f>IF(B1054&lt;$C$10,0,IF(B1054&lt;$C$11,$C$8/12*E1054*F1054*H1054,0))</f>
      </c>
      <c r="J1054" s="689">
        <f>I1054*12/14+IF(OR(MONTH(C1054)=6,MONTH(C1054)=12),I1054*12/14,0)</f>
      </c>
      <c r="K1054" s="801">
        <f>G1054/$G$15</f>
      </c>
      <c r="L1054" s="760"/>
      <c r="M1054" s="767"/>
      <c r="N1054" s="168"/>
      <c r="O1054" s="768"/>
      <c r="P1054" s="170"/>
      <c r="Q1054" s="7"/>
      <c r="R1054" s="766"/>
      <c r="S1054" s="170"/>
      <c r="T1054" s="168"/>
      <c r="U1054" s="170"/>
    </row>
    <row x14ac:dyDescent="0.25" r="1055" customHeight="1" ht="18.75">
      <c r="A1055" s="1"/>
      <c r="B1055" s="799">
        <f>+DATE(YEAR(B1054),MONTH(B1054)+1,DAY(B1054))</f>
        <v>25569.041666666668</v>
      </c>
      <c r="C1055" s="799">
        <f>+B1056-1</f>
        <v>25569.041666666668</v>
      </c>
      <c r="D1055" s="791">
        <f>-_xlfn.DAYS($C$3,C1055)/365.25</f>
      </c>
      <c r="E1055" s="800">
        <f>IF($D$17+40&lt;=D1055,(1+$D$7)^-(D1055-$C$5),(1+$C$7)^-(D1055-$C$5))</f>
      </c>
      <c r="F1055" s="801">
        <f>IF($C$4="Hombre",(+VLOOKUP(INT(D1055)+1,Tablas!$G$9:$K$1240,5,0)*(D1055-INT(D1055))+VLOOKUP(INT(D1055),Tablas!$G$9:$K$1240,5,0)*(INT(D1055)+1-D1055))/(VLOOKUP(INT($C$5)+1,Tablas!$G$9:$K$1240,5,0)*($C$5-INT($C$5))+VLOOKUP(INT($C$5),Tablas!$G$9:$K$124,5,0)*(INT($C$5)+1-$C$5)),(+VLOOKUP(INT(D1055)+1,Tablas!$G$9:$O$1240,9,0)*(D1055-INT(D1055))+VLOOKUP(INT(D1055),Tablas!$G$9:$O$1240,9,0)*(INT(D1055)+1-D1055))/(VLOOKUP(INT($C$5)+1,Tablas!$G$9:$O$1240,9,0)*($C$5-INT($C$5))+VLOOKUP(INT($C$5),Tablas!$G$9:$O$124,9,0)*(INT($C$5)+1-$C$5)))</f>
      </c>
      <c r="G1055" s="791">
        <f>IF($C$4="Hombre",(+VLOOKUP(INT(D1055)+1,Tablas!$G$9:$K$1240,5,0)*(D1055-INT(D1055))+VLOOKUP(INT(D1055),Tablas!$G$9:$K$1240,5,0)*(INT(D1055)+1-D1055)),+VLOOKUP(INT(D1055)+1,Tablas!$G$9:$O$1240,9,0)*(D1055-INT(D1055))+VLOOKUP(INT(D1055),Tablas!$G$9:$O$1240,9,0)*(INT(D1055)+1-D1055))</f>
      </c>
      <c r="H1055" s="801">
        <f>+IF(MONTH(B1055)=1,H1054*(1+$C$9),H1054)</f>
      </c>
      <c r="I1055" s="689">
        <f>IF(B1055&lt;$C$10,0,IF(B1055&lt;$C$11,$C$8/12*E1055*F1055*H1055,0))</f>
      </c>
      <c r="J1055" s="689">
        <f>I1055*12/14+IF(OR(MONTH(C1055)=6,MONTH(C1055)=12),I1055*12/14,0)</f>
      </c>
      <c r="K1055" s="801">
        <f>G1055/$G$15</f>
      </c>
      <c r="L1055" s="760"/>
      <c r="M1055" s="767"/>
      <c r="N1055" s="168"/>
      <c r="O1055" s="768"/>
      <c r="P1055" s="170"/>
      <c r="Q1055" s="7"/>
      <c r="R1055" s="766"/>
      <c r="S1055" s="170"/>
      <c r="T1055" s="168"/>
      <c r="U1055" s="170"/>
    </row>
    <row x14ac:dyDescent="0.25" r="1056" customHeight="1" ht="18.75">
      <c r="A1056" s="1"/>
      <c r="B1056" s="799">
        <f>+DATE(YEAR(B1055),MONTH(B1055)+1,DAY(B1055))</f>
        <v>25569.041666666668</v>
      </c>
      <c r="C1056" s="799">
        <f>+B1057-1</f>
        <v>25569.041666666668</v>
      </c>
      <c r="D1056" s="791">
        <f>-_xlfn.DAYS($C$3,C1056)/365.25</f>
      </c>
      <c r="E1056" s="800">
        <f>IF($D$17+40&lt;=D1056,(1+$D$7)^-(D1056-$C$5),(1+$C$7)^-(D1056-$C$5))</f>
      </c>
      <c r="F1056" s="801">
        <f>IF($C$4="Hombre",(+VLOOKUP(INT(D1056)+1,Tablas!$G$9:$K$1240,5,0)*(D1056-INT(D1056))+VLOOKUP(INT(D1056),Tablas!$G$9:$K$1240,5,0)*(INT(D1056)+1-D1056))/(VLOOKUP(INT($C$5)+1,Tablas!$G$9:$K$1240,5,0)*($C$5-INT($C$5))+VLOOKUP(INT($C$5),Tablas!$G$9:$K$124,5,0)*(INT($C$5)+1-$C$5)),(+VLOOKUP(INT(D1056)+1,Tablas!$G$9:$O$1240,9,0)*(D1056-INT(D1056))+VLOOKUP(INT(D1056),Tablas!$G$9:$O$1240,9,0)*(INT(D1056)+1-D1056))/(VLOOKUP(INT($C$5)+1,Tablas!$G$9:$O$1240,9,0)*($C$5-INT($C$5))+VLOOKUP(INT($C$5),Tablas!$G$9:$O$124,9,0)*(INT($C$5)+1-$C$5)))</f>
      </c>
      <c r="G1056" s="791">
        <f>IF($C$4="Hombre",(+VLOOKUP(INT(D1056)+1,Tablas!$G$9:$K$1240,5,0)*(D1056-INT(D1056))+VLOOKUP(INT(D1056),Tablas!$G$9:$K$1240,5,0)*(INT(D1056)+1-D1056)),+VLOOKUP(INT(D1056)+1,Tablas!$G$9:$O$1240,9,0)*(D1056-INT(D1056))+VLOOKUP(INT(D1056),Tablas!$G$9:$O$1240,9,0)*(INT(D1056)+1-D1056))</f>
      </c>
      <c r="H1056" s="801">
        <f>+IF(MONTH(B1056)=1,H1055*(1+$C$9),H1055)</f>
      </c>
      <c r="I1056" s="689">
        <f>IF(B1056&lt;$C$10,0,IF(B1056&lt;$C$11,$C$8/12*E1056*F1056*H1056,0))</f>
      </c>
      <c r="J1056" s="689">
        <f>I1056*12/14+IF(OR(MONTH(C1056)=6,MONTH(C1056)=12),I1056*12/14,0)</f>
      </c>
      <c r="K1056" s="801">
        <f>G1056/$G$15</f>
      </c>
      <c r="L1056" s="760"/>
      <c r="M1056" s="767"/>
      <c r="N1056" s="168"/>
      <c r="O1056" s="768"/>
      <c r="P1056" s="170"/>
      <c r="Q1056" s="7"/>
      <c r="R1056" s="766"/>
      <c r="S1056" s="170"/>
      <c r="T1056" s="168"/>
      <c r="U1056" s="170"/>
    </row>
    <row x14ac:dyDescent="0.25" r="1057" customHeight="1" ht="18.75">
      <c r="A1057" s="1"/>
      <c r="B1057" s="799">
        <f>+DATE(YEAR(B1056),MONTH(B1056)+1,DAY(B1056))</f>
        <v>25569.041666666668</v>
      </c>
      <c r="C1057" s="799">
        <f>+B1058-1</f>
        <v>25569.041666666668</v>
      </c>
      <c r="D1057" s="791">
        <f>-_xlfn.DAYS($C$3,C1057)/365.25</f>
      </c>
      <c r="E1057" s="800">
        <f>IF($D$17+40&lt;=D1057,(1+$D$7)^-(D1057-$C$5),(1+$C$7)^-(D1057-$C$5))</f>
      </c>
      <c r="F1057" s="801">
        <f>IF($C$4="Hombre",(+VLOOKUP(INT(D1057)+1,Tablas!$G$9:$K$1240,5,0)*(D1057-INT(D1057))+VLOOKUP(INT(D1057),Tablas!$G$9:$K$1240,5,0)*(INT(D1057)+1-D1057))/(VLOOKUP(INT($C$5)+1,Tablas!$G$9:$K$1240,5,0)*($C$5-INT($C$5))+VLOOKUP(INT($C$5),Tablas!$G$9:$K$124,5,0)*(INT($C$5)+1-$C$5)),(+VLOOKUP(INT(D1057)+1,Tablas!$G$9:$O$1240,9,0)*(D1057-INT(D1057))+VLOOKUP(INT(D1057),Tablas!$G$9:$O$1240,9,0)*(INT(D1057)+1-D1057))/(VLOOKUP(INT($C$5)+1,Tablas!$G$9:$O$1240,9,0)*($C$5-INT($C$5))+VLOOKUP(INT($C$5),Tablas!$G$9:$O$124,9,0)*(INT($C$5)+1-$C$5)))</f>
      </c>
      <c r="G1057" s="791">
        <f>IF($C$4="Hombre",(+VLOOKUP(INT(D1057)+1,Tablas!$G$9:$K$1240,5,0)*(D1057-INT(D1057))+VLOOKUP(INT(D1057),Tablas!$G$9:$K$1240,5,0)*(INT(D1057)+1-D1057)),+VLOOKUP(INT(D1057)+1,Tablas!$G$9:$O$1240,9,0)*(D1057-INT(D1057))+VLOOKUP(INT(D1057),Tablas!$G$9:$O$1240,9,0)*(INT(D1057)+1-D1057))</f>
      </c>
      <c r="H1057" s="801">
        <f>+IF(MONTH(B1057)=1,H1056*(1+$C$9),H1056)</f>
      </c>
      <c r="I1057" s="689">
        <f>IF(B1057&lt;$C$10,0,IF(B1057&lt;$C$11,$C$8/12*E1057*F1057*H1057,0))</f>
      </c>
      <c r="J1057" s="689">
        <f>I1057*12/14+IF(OR(MONTH(C1057)=6,MONTH(C1057)=12),I1057*12/14,0)</f>
      </c>
      <c r="K1057" s="801">
        <f>G1057/$G$15</f>
      </c>
      <c r="L1057" s="760"/>
      <c r="M1057" s="767"/>
      <c r="N1057" s="168"/>
      <c r="O1057" s="768"/>
      <c r="P1057" s="170"/>
      <c r="Q1057" s="7"/>
      <c r="R1057" s="766"/>
      <c r="S1057" s="170"/>
      <c r="T1057" s="168"/>
      <c r="U1057" s="170"/>
    </row>
    <row x14ac:dyDescent="0.25" r="1058" customHeight="1" ht="18.75">
      <c r="A1058" s="1"/>
      <c r="B1058" s="799">
        <f>+DATE(YEAR(B1057),MONTH(B1057)+1,DAY(B1057))</f>
        <v>25569.041666666668</v>
      </c>
      <c r="C1058" s="799">
        <f>+B1059-1</f>
        <v>25569.041666666668</v>
      </c>
      <c r="D1058" s="791">
        <f>-_xlfn.DAYS($C$3,C1058)/365.25</f>
      </c>
      <c r="E1058" s="800">
        <f>IF($D$17+40&lt;=D1058,(1+$D$7)^-(D1058-$C$5),(1+$C$7)^-(D1058-$C$5))</f>
      </c>
      <c r="F1058" s="801">
        <f>IF($C$4="Hombre",(+VLOOKUP(INT(D1058)+1,Tablas!$G$9:$K$1240,5,0)*(D1058-INT(D1058))+VLOOKUP(INT(D1058),Tablas!$G$9:$K$1240,5,0)*(INT(D1058)+1-D1058))/(VLOOKUP(INT($C$5)+1,Tablas!$G$9:$K$1240,5,0)*($C$5-INT($C$5))+VLOOKUP(INT($C$5),Tablas!$G$9:$K$124,5,0)*(INT($C$5)+1-$C$5)),(+VLOOKUP(INT(D1058)+1,Tablas!$G$9:$O$1240,9,0)*(D1058-INT(D1058))+VLOOKUP(INT(D1058),Tablas!$G$9:$O$1240,9,0)*(INT(D1058)+1-D1058))/(VLOOKUP(INT($C$5)+1,Tablas!$G$9:$O$1240,9,0)*($C$5-INT($C$5))+VLOOKUP(INT($C$5),Tablas!$G$9:$O$124,9,0)*(INT($C$5)+1-$C$5)))</f>
      </c>
      <c r="G1058" s="791">
        <f>IF($C$4="Hombre",(+VLOOKUP(INT(D1058)+1,Tablas!$G$9:$K$1240,5,0)*(D1058-INT(D1058))+VLOOKUP(INT(D1058),Tablas!$G$9:$K$1240,5,0)*(INT(D1058)+1-D1058)),+VLOOKUP(INT(D1058)+1,Tablas!$G$9:$O$1240,9,0)*(D1058-INT(D1058))+VLOOKUP(INT(D1058),Tablas!$G$9:$O$1240,9,0)*(INT(D1058)+1-D1058))</f>
      </c>
      <c r="H1058" s="801">
        <f>+IF(MONTH(B1058)=1,H1057*(1+$C$9),H1057)</f>
      </c>
      <c r="I1058" s="689">
        <f>IF(B1058&lt;$C$10,0,IF(B1058&lt;$C$11,$C$8/12*E1058*F1058*H1058,0))</f>
      </c>
      <c r="J1058" s="689">
        <f>I1058*12/14+IF(OR(MONTH(C1058)=6,MONTH(C1058)=12),I1058*12/14,0)</f>
      </c>
      <c r="K1058" s="801">
        <f>G1058/$G$15</f>
      </c>
      <c r="L1058" s="760"/>
      <c r="M1058" s="767"/>
      <c r="N1058" s="168"/>
      <c r="O1058" s="768"/>
      <c r="P1058" s="170"/>
      <c r="Q1058" s="7"/>
      <c r="R1058" s="766"/>
      <c r="S1058" s="170"/>
      <c r="T1058" s="168"/>
      <c r="U1058" s="170"/>
    </row>
    <row x14ac:dyDescent="0.25" r="1059" customHeight="1" ht="18.75">
      <c r="A1059" s="1"/>
      <c r="B1059" s="799">
        <f>+DATE(YEAR(B1058),MONTH(B1058)+1,DAY(B1058))</f>
        <v>25569.041666666668</v>
      </c>
      <c r="C1059" s="799">
        <f>+B1060-1</f>
        <v>25569.041666666668</v>
      </c>
      <c r="D1059" s="791">
        <f>-_xlfn.DAYS($C$3,C1059)/365.25</f>
      </c>
      <c r="E1059" s="800">
        <f>IF($D$17+40&lt;=D1059,(1+$D$7)^-(D1059-$C$5),(1+$C$7)^-(D1059-$C$5))</f>
      </c>
      <c r="F1059" s="801">
        <f>IF($C$4="Hombre",(+VLOOKUP(INT(D1059)+1,Tablas!$G$9:$K$1240,5,0)*(D1059-INT(D1059))+VLOOKUP(INT(D1059),Tablas!$G$9:$K$1240,5,0)*(INT(D1059)+1-D1059))/(VLOOKUP(INT($C$5)+1,Tablas!$G$9:$K$1240,5,0)*($C$5-INT($C$5))+VLOOKUP(INT($C$5),Tablas!$G$9:$K$124,5,0)*(INT($C$5)+1-$C$5)),(+VLOOKUP(INT(D1059)+1,Tablas!$G$9:$O$1240,9,0)*(D1059-INT(D1059))+VLOOKUP(INT(D1059),Tablas!$G$9:$O$1240,9,0)*(INT(D1059)+1-D1059))/(VLOOKUP(INT($C$5)+1,Tablas!$G$9:$O$1240,9,0)*($C$5-INT($C$5))+VLOOKUP(INT($C$5),Tablas!$G$9:$O$124,9,0)*(INT($C$5)+1-$C$5)))</f>
      </c>
      <c r="G1059" s="791">
        <f>IF($C$4="Hombre",(+VLOOKUP(INT(D1059)+1,Tablas!$G$9:$K$1240,5,0)*(D1059-INT(D1059))+VLOOKUP(INT(D1059),Tablas!$G$9:$K$1240,5,0)*(INT(D1059)+1-D1059)),+VLOOKUP(INT(D1059)+1,Tablas!$G$9:$O$1240,9,0)*(D1059-INT(D1059))+VLOOKUP(INT(D1059),Tablas!$G$9:$O$1240,9,0)*(INT(D1059)+1-D1059))</f>
      </c>
      <c r="H1059" s="801">
        <f>+IF(MONTH(B1059)=1,H1058*(1+$C$9),H1058)</f>
      </c>
      <c r="I1059" s="689">
        <f>IF(B1059&lt;$C$10,0,IF(B1059&lt;$C$11,$C$8/12*E1059*F1059*H1059,0))</f>
      </c>
      <c r="J1059" s="689">
        <f>I1059*12/14+IF(OR(MONTH(C1059)=6,MONTH(C1059)=12),I1059*12/14,0)</f>
      </c>
      <c r="K1059" s="801">
        <f>G1059/$G$15</f>
      </c>
      <c r="L1059" s="760"/>
      <c r="M1059" s="767"/>
      <c r="N1059" s="168"/>
      <c r="O1059" s="768"/>
      <c r="P1059" s="170"/>
      <c r="Q1059" s="7"/>
      <c r="R1059" s="766"/>
      <c r="S1059" s="170"/>
      <c r="T1059" s="168"/>
      <c r="U1059" s="170"/>
    </row>
    <row x14ac:dyDescent="0.25" r="1060" customHeight="1" ht="18.75">
      <c r="A1060" s="1"/>
      <c r="B1060" s="799">
        <f>+DATE(YEAR(B1059),MONTH(B1059)+1,DAY(B1059))</f>
        <v>25569.041666666668</v>
      </c>
      <c r="C1060" s="799">
        <f>+B1061-1</f>
        <v>25569.041666666668</v>
      </c>
      <c r="D1060" s="791">
        <f>-_xlfn.DAYS($C$3,C1060)/365.25</f>
      </c>
      <c r="E1060" s="800">
        <f>IF($D$17+40&lt;=D1060,(1+$D$7)^-(D1060-$C$5),(1+$C$7)^-(D1060-$C$5))</f>
      </c>
      <c r="F1060" s="801">
        <f>IF($C$4="Hombre",(+VLOOKUP(INT(D1060)+1,Tablas!$G$9:$K$1240,5,0)*(D1060-INT(D1060))+VLOOKUP(INT(D1060),Tablas!$G$9:$K$1240,5,0)*(INT(D1060)+1-D1060))/(VLOOKUP(INT($C$5)+1,Tablas!$G$9:$K$1240,5,0)*($C$5-INT($C$5))+VLOOKUP(INT($C$5),Tablas!$G$9:$K$124,5,0)*(INT($C$5)+1-$C$5)),(+VLOOKUP(INT(D1060)+1,Tablas!$G$9:$O$1240,9,0)*(D1060-INT(D1060))+VLOOKUP(INT(D1060),Tablas!$G$9:$O$1240,9,0)*(INT(D1060)+1-D1060))/(VLOOKUP(INT($C$5)+1,Tablas!$G$9:$O$1240,9,0)*($C$5-INT($C$5))+VLOOKUP(INT($C$5),Tablas!$G$9:$O$124,9,0)*(INT($C$5)+1-$C$5)))</f>
      </c>
      <c r="G1060" s="791">
        <f>IF($C$4="Hombre",(+VLOOKUP(INT(D1060)+1,Tablas!$G$9:$K$1240,5,0)*(D1060-INT(D1060))+VLOOKUP(INT(D1060),Tablas!$G$9:$K$1240,5,0)*(INT(D1060)+1-D1060)),+VLOOKUP(INT(D1060)+1,Tablas!$G$9:$O$1240,9,0)*(D1060-INT(D1060))+VLOOKUP(INT(D1060),Tablas!$G$9:$O$1240,9,0)*(INT(D1060)+1-D1060))</f>
      </c>
      <c r="H1060" s="801">
        <f>+IF(MONTH(B1060)=1,H1059*(1+$C$9),H1059)</f>
      </c>
      <c r="I1060" s="689">
        <f>IF(B1060&lt;$C$10,0,IF(B1060&lt;$C$11,$C$8/12*E1060*F1060*H1060,0))</f>
      </c>
      <c r="J1060" s="689">
        <f>I1060*12/14+IF(OR(MONTH(C1060)=6,MONTH(C1060)=12),I1060*12/14,0)</f>
      </c>
      <c r="K1060" s="801">
        <f>G1060/$G$15</f>
      </c>
      <c r="L1060" s="760"/>
      <c r="M1060" s="767"/>
      <c r="N1060" s="168"/>
      <c r="O1060" s="768"/>
      <c r="P1060" s="170"/>
      <c r="Q1060" s="7"/>
      <c r="R1060" s="766"/>
      <c r="S1060" s="170"/>
      <c r="T1060" s="168"/>
      <c r="U1060" s="170"/>
    </row>
    <row x14ac:dyDescent="0.25" r="1061" customHeight="1" ht="18.75">
      <c r="A1061" s="1"/>
      <c r="B1061" s="799">
        <f>+DATE(YEAR(B1060),MONTH(B1060)+1,DAY(B1060))</f>
        <v>25569.041666666668</v>
      </c>
      <c r="C1061" s="799">
        <f>+B1062-1</f>
        <v>25569.041666666668</v>
      </c>
      <c r="D1061" s="791">
        <f>-_xlfn.DAYS($C$3,C1061)/365.25</f>
      </c>
      <c r="E1061" s="800">
        <f>IF($D$17+40&lt;=D1061,(1+$D$7)^-(D1061-$C$5),(1+$C$7)^-(D1061-$C$5))</f>
      </c>
      <c r="F1061" s="801">
        <f>IF($C$4="Hombre",(+VLOOKUP(INT(D1061)+1,Tablas!$G$9:$K$1240,5,0)*(D1061-INT(D1061))+VLOOKUP(INT(D1061),Tablas!$G$9:$K$1240,5,0)*(INT(D1061)+1-D1061))/(VLOOKUP(INT($C$5)+1,Tablas!$G$9:$K$1240,5,0)*($C$5-INT($C$5))+VLOOKUP(INT($C$5),Tablas!$G$9:$K$124,5,0)*(INT($C$5)+1-$C$5)),(+VLOOKUP(INT(D1061)+1,Tablas!$G$9:$O$1240,9,0)*(D1061-INT(D1061))+VLOOKUP(INT(D1061),Tablas!$G$9:$O$1240,9,0)*(INT(D1061)+1-D1061))/(VLOOKUP(INT($C$5)+1,Tablas!$G$9:$O$1240,9,0)*($C$5-INT($C$5))+VLOOKUP(INT($C$5),Tablas!$G$9:$O$124,9,0)*(INT($C$5)+1-$C$5)))</f>
      </c>
      <c r="G1061" s="791">
        <f>IF($C$4="Hombre",(+VLOOKUP(INT(D1061)+1,Tablas!$G$9:$K$1240,5,0)*(D1061-INT(D1061))+VLOOKUP(INT(D1061),Tablas!$G$9:$K$1240,5,0)*(INT(D1061)+1-D1061)),+VLOOKUP(INT(D1061)+1,Tablas!$G$9:$O$1240,9,0)*(D1061-INT(D1061))+VLOOKUP(INT(D1061),Tablas!$G$9:$O$1240,9,0)*(INT(D1061)+1-D1061))</f>
      </c>
      <c r="H1061" s="801">
        <f>+IF(MONTH(B1061)=1,H1060*(1+$C$9),H1060)</f>
      </c>
      <c r="I1061" s="689">
        <f>IF(B1061&lt;$C$10,0,IF(B1061&lt;$C$11,$C$8/12*E1061*F1061*H1061,0))</f>
      </c>
      <c r="J1061" s="689">
        <f>I1061*12/14+IF(OR(MONTH(C1061)=6,MONTH(C1061)=12),I1061*12/14,0)</f>
      </c>
      <c r="K1061" s="801">
        <f>G1061/$G$15</f>
      </c>
      <c r="L1061" s="760"/>
      <c r="M1061" s="767"/>
      <c r="N1061" s="168"/>
      <c r="O1061" s="768"/>
      <c r="P1061" s="170"/>
      <c r="Q1061" s="7"/>
      <c r="R1061" s="766"/>
      <c r="S1061" s="170"/>
      <c r="T1061" s="168"/>
      <c r="U1061" s="170"/>
    </row>
    <row x14ac:dyDescent="0.25" r="1062" customHeight="1" ht="18.75">
      <c r="A1062" s="1"/>
      <c r="B1062" s="799">
        <f>+DATE(YEAR(B1061),MONTH(B1061)+1,DAY(B1061))</f>
        <v>25569.041666666668</v>
      </c>
      <c r="C1062" s="799">
        <f>+B1063-1</f>
        <v>25569.041666666668</v>
      </c>
      <c r="D1062" s="791">
        <f>-_xlfn.DAYS($C$3,C1062)/365.25</f>
      </c>
      <c r="E1062" s="800">
        <f>IF($D$17+40&lt;=D1062,(1+$D$7)^-(D1062-$C$5),(1+$C$7)^-(D1062-$C$5))</f>
      </c>
      <c r="F1062" s="801">
        <f>IF($C$4="Hombre",(+VLOOKUP(INT(D1062)+1,Tablas!$G$9:$K$1240,5,0)*(D1062-INT(D1062))+VLOOKUP(INT(D1062),Tablas!$G$9:$K$1240,5,0)*(INT(D1062)+1-D1062))/(VLOOKUP(INT($C$5)+1,Tablas!$G$9:$K$1240,5,0)*($C$5-INT($C$5))+VLOOKUP(INT($C$5),Tablas!$G$9:$K$124,5,0)*(INT($C$5)+1-$C$5)),(+VLOOKUP(INT(D1062)+1,Tablas!$G$9:$O$1240,9,0)*(D1062-INT(D1062))+VLOOKUP(INT(D1062),Tablas!$G$9:$O$1240,9,0)*(INT(D1062)+1-D1062))/(VLOOKUP(INT($C$5)+1,Tablas!$G$9:$O$1240,9,0)*($C$5-INT($C$5))+VLOOKUP(INT($C$5),Tablas!$G$9:$O$124,9,0)*(INT($C$5)+1-$C$5)))</f>
      </c>
      <c r="G1062" s="791">
        <f>IF($C$4="Hombre",(+VLOOKUP(INT(D1062)+1,Tablas!$G$9:$K$1240,5,0)*(D1062-INT(D1062))+VLOOKUP(INT(D1062),Tablas!$G$9:$K$1240,5,0)*(INT(D1062)+1-D1062)),+VLOOKUP(INT(D1062)+1,Tablas!$G$9:$O$1240,9,0)*(D1062-INT(D1062))+VLOOKUP(INT(D1062),Tablas!$G$9:$O$1240,9,0)*(INT(D1062)+1-D1062))</f>
      </c>
      <c r="H1062" s="801">
        <f>+IF(MONTH(B1062)=1,H1061*(1+$C$9),H1061)</f>
      </c>
      <c r="I1062" s="689">
        <f>IF(B1062&lt;$C$10,0,IF(B1062&lt;$C$11,$C$8/12*E1062*F1062*H1062,0))</f>
      </c>
      <c r="J1062" s="689">
        <f>I1062*12/14+IF(OR(MONTH(C1062)=6,MONTH(C1062)=12),I1062*12/14,0)</f>
      </c>
      <c r="K1062" s="801">
        <f>G1062/$G$15</f>
      </c>
      <c r="L1062" s="760"/>
      <c r="M1062" s="767"/>
      <c r="N1062" s="168"/>
      <c r="O1062" s="768"/>
      <c r="P1062" s="170"/>
      <c r="Q1062" s="7"/>
      <c r="R1062" s="766"/>
      <c r="S1062" s="170"/>
      <c r="T1062" s="168"/>
      <c r="U1062" s="170"/>
    </row>
    <row x14ac:dyDescent="0.25" r="1063" customHeight="1" ht="18.75">
      <c r="A1063" s="1"/>
      <c r="B1063" s="799">
        <f>+DATE(YEAR(B1062),MONTH(B1062)+1,DAY(B1062))</f>
        <v>25569.041666666668</v>
      </c>
      <c r="C1063" s="799">
        <f>+B1064-1</f>
        <v>25569.041666666668</v>
      </c>
      <c r="D1063" s="791">
        <f>-_xlfn.DAYS($C$3,C1063)/365.25</f>
      </c>
      <c r="E1063" s="800">
        <f>IF($D$17+40&lt;=D1063,(1+$D$7)^-(D1063-$C$5),(1+$C$7)^-(D1063-$C$5))</f>
      </c>
      <c r="F1063" s="801">
        <f>IF($C$4="Hombre",(+VLOOKUP(INT(D1063)+1,Tablas!$G$9:$K$1240,5,0)*(D1063-INT(D1063))+VLOOKUP(INT(D1063),Tablas!$G$9:$K$1240,5,0)*(INT(D1063)+1-D1063))/(VLOOKUP(INT($C$5)+1,Tablas!$G$9:$K$1240,5,0)*($C$5-INT($C$5))+VLOOKUP(INT($C$5),Tablas!$G$9:$K$124,5,0)*(INT($C$5)+1-$C$5)),(+VLOOKUP(INT(D1063)+1,Tablas!$G$9:$O$1240,9,0)*(D1063-INT(D1063))+VLOOKUP(INT(D1063),Tablas!$G$9:$O$1240,9,0)*(INT(D1063)+1-D1063))/(VLOOKUP(INT($C$5)+1,Tablas!$G$9:$O$1240,9,0)*($C$5-INT($C$5))+VLOOKUP(INT($C$5),Tablas!$G$9:$O$124,9,0)*(INT($C$5)+1-$C$5)))</f>
      </c>
      <c r="G1063" s="791">
        <f>IF($C$4="Hombre",(+VLOOKUP(INT(D1063)+1,Tablas!$G$9:$K$1240,5,0)*(D1063-INT(D1063))+VLOOKUP(INT(D1063),Tablas!$G$9:$K$1240,5,0)*(INT(D1063)+1-D1063)),+VLOOKUP(INT(D1063)+1,Tablas!$G$9:$O$1240,9,0)*(D1063-INT(D1063))+VLOOKUP(INT(D1063),Tablas!$G$9:$O$1240,9,0)*(INT(D1063)+1-D1063))</f>
      </c>
      <c r="H1063" s="801">
        <f>+IF(MONTH(B1063)=1,H1062*(1+$C$9),H1062)</f>
      </c>
      <c r="I1063" s="689">
        <f>IF(B1063&lt;$C$10,0,IF(B1063&lt;$C$11,$C$8/12*E1063*F1063*H1063,0))</f>
      </c>
      <c r="J1063" s="689">
        <f>I1063*12/14+IF(OR(MONTH(C1063)=6,MONTH(C1063)=12),I1063*12/14,0)</f>
      </c>
      <c r="K1063" s="801">
        <f>G1063/$G$15</f>
      </c>
      <c r="L1063" s="760"/>
      <c r="M1063" s="767"/>
      <c r="N1063" s="168"/>
      <c r="O1063" s="768"/>
      <c r="P1063" s="170"/>
      <c r="Q1063" s="7"/>
      <c r="R1063" s="766"/>
      <c r="S1063" s="170"/>
      <c r="T1063" s="168"/>
      <c r="U1063" s="170"/>
    </row>
    <row x14ac:dyDescent="0.25" r="1064" customHeight="1" ht="18.75">
      <c r="A1064" s="1"/>
      <c r="B1064" s="799">
        <f>+DATE(YEAR(B1063),MONTH(B1063)+1,DAY(B1063))</f>
        <v>25569.041666666668</v>
      </c>
      <c r="C1064" s="799">
        <f>+B1065-1</f>
        <v>25569.041666666668</v>
      </c>
      <c r="D1064" s="791">
        <f>-_xlfn.DAYS($C$3,C1064)/365.25</f>
      </c>
      <c r="E1064" s="800">
        <f>IF($D$17+40&lt;=D1064,(1+$D$7)^-(D1064-$C$5),(1+$C$7)^-(D1064-$C$5))</f>
      </c>
      <c r="F1064" s="801">
        <f>IF($C$4="Hombre",(+VLOOKUP(INT(D1064)+1,Tablas!$G$9:$K$1240,5,0)*(D1064-INT(D1064))+VLOOKUP(INT(D1064),Tablas!$G$9:$K$1240,5,0)*(INT(D1064)+1-D1064))/(VLOOKUP(INT($C$5)+1,Tablas!$G$9:$K$1240,5,0)*($C$5-INT($C$5))+VLOOKUP(INT($C$5),Tablas!$G$9:$K$124,5,0)*(INT($C$5)+1-$C$5)),(+VLOOKUP(INT(D1064)+1,Tablas!$G$9:$O$1240,9,0)*(D1064-INT(D1064))+VLOOKUP(INT(D1064),Tablas!$G$9:$O$1240,9,0)*(INT(D1064)+1-D1064))/(VLOOKUP(INT($C$5)+1,Tablas!$G$9:$O$1240,9,0)*($C$5-INT($C$5))+VLOOKUP(INT($C$5),Tablas!$G$9:$O$124,9,0)*(INT($C$5)+1-$C$5)))</f>
      </c>
      <c r="G1064" s="791">
        <f>IF($C$4="Hombre",(+VLOOKUP(INT(D1064)+1,Tablas!$G$9:$K$1240,5,0)*(D1064-INT(D1064))+VLOOKUP(INT(D1064),Tablas!$G$9:$K$1240,5,0)*(INT(D1064)+1-D1064)),+VLOOKUP(INT(D1064)+1,Tablas!$G$9:$O$1240,9,0)*(D1064-INT(D1064))+VLOOKUP(INT(D1064),Tablas!$G$9:$O$1240,9,0)*(INT(D1064)+1-D1064))</f>
      </c>
      <c r="H1064" s="801">
        <f>+IF(MONTH(B1064)=1,H1063*(1+$C$9),H1063)</f>
      </c>
      <c r="I1064" s="689">
        <f>IF(B1064&lt;$C$10,0,IF(B1064&lt;$C$11,$C$8/12*E1064*F1064*H1064,0))</f>
      </c>
      <c r="J1064" s="689">
        <f>I1064*12/14+IF(OR(MONTH(C1064)=6,MONTH(C1064)=12),I1064*12/14,0)</f>
      </c>
      <c r="K1064" s="801">
        <f>G1064/$G$15</f>
      </c>
      <c r="L1064" s="760"/>
      <c r="M1064" s="767"/>
      <c r="N1064" s="168"/>
      <c r="O1064" s="768"/>
      <c r="P1064" s="170"/>
      <c r="Q1064" s="7"/>
      <c r="R1064" s="766"/>
      <c r="S1064" s="170"/>
      <c r="T1064" s="168"/>
      <c r="U1064" s="170"/>
    </row>
    <row x14ac:dyDescent="0.25" r="1065" customHeight="1" ht="18.75">
      <c r="A1065" s="1"/>
      <c r="B1065" s="799">
        <f>+DATE(YEAR(B1064),MONTH(B1064)+1,DAY(B1064))</f>
        <v>25569.041666666668</v>
      </c>
      <c r="C1065" s="799">
        <f>+B1066-1</f>
        <v>25569.041666666668</v>
      </c>
      <c r="D1065" s="791">
        <f>-_xlfn.DAYS($C$3,C1065)/365.25</f>
      </c>
      <c r="E1065" s="800">
        <f>IF($D$17+40&lt;=D1065,(1+$D$7)^-(D1065-$C$5),(1+$C$7)^-(D1065-$C$5))</f>
      </c>
      <c r="F1065" s="801">
        <f>IF($C$4="Hombre",(+VLOOKUP(INT(D1065)+1,Tablas!$G$9:$K$1240,5,0)*(D1065-INT(D1065))+VLOOKUP(INT(D1065),Tablas!$G$9:$K$1240,5,0)*(INT(D1065)+1-D1065))/(VLOOKUP(INT($C$5)+1,Tablas!$G$9:$K$1240,5,0)*($C$5-INT($C$5))+VLOOKUP(INT($C$5),Tablas!$G$9:$K$124,5,0)*(INT($C$5)+1-$C$5)),(+VLOOKUP(INT(D1065)+1,Tablas!$G$9:$O$1240,9,0)*(D1065-INT(D1065))+VLOOKUP(INT(D1065),Tablas!$G$9:$O$1240,9,0)*(INT(D1065)+1-D1065))/(VLOOKUP(INT($C$5)+1,Tablas!$G$9:$O$1240,9,0)*($C$5-INT($C$5))+VLOOKUP(INT($C$5),Tablas!$G$9:$O$124,9,0)*(INT($C$5)+1-$C$5)))</f>
      </c>
      <c r="G1065" s="791">
        <f>IF($C$4="Hombre",(+VLOOKUP(INT(D1065)+1,Tablas!$G$9:$K$1240,5,0)*(D1065-INT(D1065))+VLOOKUP(INT(D1065),Tablas!$G$9:$K$1240,5,0)*(INT(D1065)+1-D1065)),+VLOOKUP(INT(D1065)+1,Tablas!$G$9:$O$1240,9,0)*(D1065-INT(D1065))+VLOOKUP(INT(D1065),Tablas!$G$9:$O$1240,9,0)*(INT(D1065)+1-D1065))</f>
      </c>
      <c r="H1065" s="801">
        <f>+IF(MONTH(B1065)=1,H1064*(1+$C$9),H1064)</f>
      </c>
      <c r="I1065" s="689">
        <f>IF(B1065&lt;$C$10,0,IF(B1065&lt;$C$11,$C$8/12*E1065*F1065*H1065,0))</f>
      </c>
      <c r="J1065" s="689">
        <f>I1065*12/14+IF(OR(MONTH(C1065)=6,MONTH(C1065)=12),I1065*12/14,0)</f>
      </c>
      <c r="K1065" s="801">
        <f>G1065/$G$15</f>
      </c>
      <c r="L1065" s="760"/>
      <c r="M1065" s="767"/>
      <c r="N1065" s="168"/>
      <c r="O1065" s="768"/>
      <c r="P1065" s="170"/>
      <c r="Q1065" s="7"/>
      <c r="R1065" s="766"/>
      <c r="S1065" s="170"/>
      <c r="T1065" s="168"/>
      <c r="U1065" s="170"/>
    </row>
    <row x14ac:dyDescent="0.25" r="1066" customHeight="1" ht="18.75">
      <c r="A1066" s="1"/>
      <c r="B1066" s="799">
        <f>+DATE(YEAR(B1065),MONTH(B1065)+1,DAY(B1065))</f>
        <v>25569.041666666668</v>
      </c>
      <c r="C1066" s="799">
        <f>+B1067-1</f>
        <v>25569.041666666668</v>
      </c>
      <c r="D1066" s="791">
        <f>-_xlfn.DAYS($C$3,C1066)/365.25</f>
      </c>
      <c r="E1066" s="800">
        <f>IF($D$17+40&lt;=D1066,(1+$D$7)^-(D1066-$C$5),(1+$C$7)^-(D1066-$C$5))</f>
      </c>
      <c r="F1066" s="801">
        <f>IF($C$4="Hombre",(+VLOOKUP(INT(D1066)+1,Tablas!$G$9:$K$1240,5,0)*(D1066-INT(D1066))+VLOOKUP(INT(D1066),Tablas!$G$9:$K$1240,5,0)*(INT(D1066)+1-D1066))/(VLOOKUP(INT($C$5)+1,Tablas!$G$9:$K$1240,5,0)*($C$5-INT($C$5))+VLOOKUP(INT($C$5),Tablas!$G$9:$K$124,5,0)*(INT($C$5)+1-$C$5)),(+VLOOKUP(INT(D1066)+1,Tablas!$G$9:$O$1240,9,0)*(D1066-INT(D1066))+VLOOKUP(INT(D1066),Tablas!$G$9:$O$1240,9,0)*(INT(D1066)+1-D1066))/(VLOOKUP(INT($C$5)+1,Tablas!$G$9:$O$1240,9,0)*($C$5-INT($C$5))+VLOOKUP(INT($C$5),Tablas!$G$9:$O$124,9,0)*(INT($C$5)+1-$C$5)))</f>
      </c>
      <c r="G1066" s="791">
        <f>IF($C$4="Hombre",(+VLOOKUP(INT(D1066)+1,Tablas!$G$9:$K$1240,5,0)*(D1066-INT(D1066))+VLOOKUP(INT(D1066),Tablas!$G$9:$K$1240,5,0)*(INT(D1066)+1-D1066)),+VLOOKUP(INT(D1066)+1,Tablas!$G$9:$O$1240,9,0)*(D1066-INT(D1066))+VLOOKUP(INT(D1066),Tablas!$G$9:$O$1240,9,0)*(INT(D1066)+1-D1066))</f>
      </c>
      <c r="H1066" s="801">
        <f>+IF(MONTH(B1066)=1,H1065*(1+$C$9),H1065)</f>
      </c>
      <c r="I1066" s="689">
        <f>IF(B1066&lt;$C$10,0,IF(B1066&lt;$C$11,$C$8/12*E1066*F1066*H1066,0))</f>
      </c>
      <c r="J1066" s="689">
        <f>I1066*12/14+IF(OR(MONTH(C1066)=6,MONTH(C1066)=12),I1066*12/14,0)</f>
      </c>
      <c r="K1066" s="801">
        <f>G1066/$G$15</f>
      </c>
      <c r="L1066" s="760"/>
      <c r="M1066" s="767"/>
      <c r="N1066" s="168"/>
      <c r="O1066" s="768"/>
      <c r="P1066" s="170"/>
      <c r="Q1066" s="7"/>
      <c r="R1066" s="766"/>
      <c r="S1066" s="170"/>
      <c r="T1066" s="168"/>
      <c r="U1066" s="170"/>
    </row>
    <row x14ac:dyDescent="0.25" r="1067" customHeight="1" ht="18.75">
      <c r="A1067" s="1"/>
      <c r="B1067" s="799">
        <f>+DATE(YEAR(B1066),MONTH(B1066)+1,DAY(B1066))</f>
        <v>25569.041666666668</v>
      </c>
      <c r="C1067" s="799">
        <f>+B1068-1</f>
        <v>25569.041666666668</v>
      </c>
      <c r="D1067" s="791">
        <f>-_xlfn.DAYS($C$3,C1067)/365.25</f>
      </c>
      <c r="E1067" s="800">
        <f>IF($D$17+40&lt;=D1067,(1+$D$7)^-(D1067-$C$5),(1+$C$7)^-(D1067-$C$5))</f>
      </c>
      <c r="F1067" s="801">
        <f>IF($C$4="Hombre",(+VLOOKUP(INT(D1067)+1,Tablas!$G$9:$K$1240,5,0)*(D1067-INT(D1067))+VLOOKUP(INT(D1067),Tablas!$G$9:$K$1240,5,0)*(INT(D1067)+1-D1067))/(VLOOKUP(INT($C$5)+1,Tablas!$G$9:$K$1240,5,0)*($C$5-INT($C$5))+VLOOKUP(INT($C$5),Tablas!$G$9:$K$124,5,0)*(INT($C$5)+1-$C$5)),(+VLOOKUP(INT(D1067)+1,Tablas!$G$9:$O$1240,9,0)*(D1067-INT(D1067))+VLOOKUP(INT(D1067),Tablas!$G$9:$O$1240,9,0)*(INT(D1067)+1-D1067))/(VLOOKUP(INT($C$5)+1,Tablas!$G$9:$O$1240,9,0)*($C$5-INT($C$5))+VLOOKUP(INT($C$5),Tablas!$G$9:$O$124,9,0)*(INT($C$5)+1-$C$5)))</f>
      </c>
      <c r="G1067" s="791">
        <f>IF($C$4="Hombre",(+VLOOKUP(INT(D1067)+1,Tablas!$G$9:$K$1240,5,0)*(D1067-INT(D1067))+VLOOKUP(INT(D1067),Tablas!$G$9:$K$1240,5,0)*(INT(D1067)+1-D1067)),+VLOOKUP(INT(D1067)+1,Tablas!$G$9:$O$1240,9,0)*(D1067-INT(D1067))+VLOOKUP(INT(D1067),Tablas!$G$9:$O$1240,9,0)*(INT(D1067)+1-D1067))</f>
      </c>
      <c r="H1067" s="801">
        <f>+IF(MONTH(B1067)=1,H1066*(1+$C$9),H1066)</f>
      </c>
      <c r="I1067" s="689">
        <f>IF(B1067&lt;$C$10,0,IF(B1067&lt;$C$11,$C$8/12*E1067*F1067*H1067,0))</f>
      </c>
      <c r="J1067" s="689">
        <f>I1067*12/14+IF(OR(MONTH(C1067)=6,MONTH(C1067)=12),I1067*12/14,0)</f>
      </c>
      <c r="K1067" s="801">
        <f>G1067/$G$15</f>
      </c>
      <c r="L1067" s="760"/>
      <c r="M1067" s="767"/>
      <c r="N1067" s="168"/>
      <c r="O1067" s="768"/>
      <c r="P1067" s="170"/>
      <c r="Q1067" s="7"/>
      <c r="R1067" s="766"/>
      <c r="S1067" s="170"/>
      <c r="T1067" s="168"/>
      <c r="U1067" s="170"/>
    </row>
    <row x14ac:dyDescent="0.25" r="1068" customHeight="1" ht="18.75">
      <c r="A1068" s="1"/>
      <c r="B1068" s="799">
        <f>+DATE(YEAR(B1067),MONTH(B1067)+1,DAY(B1067))</f>
        <v>25569.041666666668</v>
      </c>
      <c r="C1068" s="799">
        <f>+B1069-1</f>
        <v>25569.041666666668</v>
      </c>
      <c r="D1068" s="791">
        <f>-_xlfn.DAYS($C$3,C1068)/365.25</f>
      </c>
      <c r="E1068" s="800">
        <f>IF($D$17+40&lt;=D1068,(1+$D$7)^-(D1068-$C$5),(1+$C$7)^-(D1068-$C$5))</f>
      </c>
      <c r="F1068" s="801">
        <f>IF($C$4="Hombre",(+VLOOKUP(INT(D1068)+1,Tablas!$G$9:$K$1240,5,0)*(D1068-INT(D1068))+VLOOKUP(INT(D1068),Tablas!$G$9:$K$1240,5,0)*(INT(D1068)+1-D1068))/(VLOOKUP(INT($C$5)+1,Tablas!$G$9:$K$1240,5,0)*($C$5-INT($C$5))+VLOOKUP(INT($C$5),Tablas!$G$9:$K$124,5,0)*(INT($C$5)+1-$C$5)),(+VLOOKUP(INT(D1068)+1,Tablas!$G$9:$O$1240,9,0)*(D1068-INT(D1068))+VLOOKUP(INT(D1068),Tablas!$G$9:$O$1240,9,0)*(INT(D1068)+1-D1068))/(VLOOKUP(INT($C$5)+1,Tablas!$G$9:$O$1240,9,0)*($C$5-INT($C$5))+VLOOKUP(INT($C$5),Tablas!$G$9:$O$124,9,0)*(INT($C$5)+1-$C$5)))</f>
      </c>
      <c r="G1068" s="791">
        <f>IF($C$4="Hombre",(+VLOOKUP(INT(D1068)+1,Tablas!$G$9:$K$1240,5,0)*(D1068-INT(D1068))+VLOOKUP(INT(D1068),Tablas!$G$9:$K$1240,5,0)*(INT(D1068)+1-D1068)),+VLOOKUP(INT(D1068)+1,Tablas!$G$9:$O$1240,9,0)*(D1068-INT(D1068))+VLOOKUP(INT(D1068),Tablas!$G$9:$O$1240,9,0)*(INT(D1068)+1-D1068))</f>
      </c>
      <c r="H1068" s="801">
        <f>+IF(MONTH(B1068)=1,H1067*(1+$C$9),H1067)</f>
      </c>
      <c r="I1068" s="689">
        <f>IF(B1068&lt;$C$10,0,IF(B1068&lt;$C$11,$C$8/12*E1068*F1068*H1068,0))</f>
      </c>
      <c r="J1068" s="689">
        <f>I1068*12/14+IF(OR(MONTH(C1068)=6,MONTH(C1068)=12),I1068*12/14,0)</f>
      </c>
      <c r="K1068" s="801">
        <f>G1068/$G$15</f>
      </c>
      <c r="L1068" s="760"/>
      <c r="M1068" s="767"/>
      <c r="N1068" s="168"/>
      <c r="O1068" s="768"/>
      <c r="P1068" s="170"/>
      <c r="Q1068" s="7"/>
      <c r="R1068" s="766"/>
      <c r="S1068" s="170"/>
      <c r="T1068" s="168"/>
      <c r="U1068" s="170"/>
    </row>
    <row x14ac:dyDescent="0.25" r="1069" customHeight="1" ht="18.75">
      <c r="A1069" s="1"/>
      <c r="B1069" s="799">
        <f>+DATE(YEAR(B1068),MONTH(B1068)+1,DAY(B1068))</f>
        <v>25569.041666666668</v>
      </c>
      <c r="C1069" s="799">
        <f>+B1070-1</f>
        <v>25569.041666666668</v>
      </c>
      <c r="D1069" s="791">
        <f>-_xlfn.DAYS($C$3,C1069)/365.25</f>
      </c>
      <c r="E1069" s="800">
        <f>IF($D$17+40&lt;=D1069,(1+$D$7)^-(D1069-$C$5),(1+$C$7)^-(D1069-$C$5))</f>
      </c>
      <c r="F1069" s="801">
        <f>IF($C$4="Hombre",(+VLOOKUP(INT(D1069)+1,Tablas!$G$9:$K$1240,5,0)*(D1069-INT(D1069))+VLOOKUP(INT(D1069),Tablas!$G$9:$K$1240,5,0)*(INT(D1069)+1-D1069))/(VLOOKUP(INT($C$5)+1,Tablas!$G$9:$K$1240,5,0)*($C$5-INT($C$5))+VLOOKUP(INT($C$5),Tablas!$G$9:$K$124,5,0)*(INT($C$5)+1-$C$5)),(+VLOOKUP(INT(D1069)+1,Tablas!$G$9:$O$1240,9,0)*(D1069-INT(D1069))+VLOOKUP(INT(D1069),Tablas!$G$9:$O$1240,9,0)*(INT(D1069)+1-D1069))/(VLOOKUP(INT($C$5)+1,Tablas!$G$9:$O$1240,9,0)*($C$5-INT($C$5))+VLOOKUP(INT($C$5),Tablas!$G$9:$O$124,9,0)*(INT($C$5)+1-$C$5)))</f>
      </c>
      <c r="G1069" s="791">
        <f>IF($C$4="Hombre",(+VLOOKUP(INT(D1069)+1,Tablas!$G$9:$K$1240,5,0)*(D1069-INT(D1069))+VLOOKUP(INT(D1069),Tablas!$G$9:$K$1240,5,0)*(INT(D1069)+1-D1069)),+VLOOKUP(INT(D1069)+1,Tablas!$G$9:$O$1240,9,0)*(D1069-INT(D1069))+VLOOKUP(INT(D1069),Tablas!$G$9:$O$1240,9,0)*(INT(D1069)+1-D1069))</f>
      </c>
      <c r="H1069" s="801">
        <f>+IF(MONTH(B1069)=1,H1068*(1+$C$9),H1068)</f>
      </c>
      <c r="I1069" s="689">
        <f>IF(B1069&lt;$C$10,0,IF(B1069&lt;$C$11,$C$8/12*E1069*F1069*H1069,0))</f>
      </c>
      <c r="J1069" s="689">
        <f>I1069*12/14+IF(OR(MONTH(C1069)=6,MONTH(C1069)=12),I1069*12/14,0)</f>
      </c>
      <c r="K1069" s="801">
        <f>G1069/$G$15</f>
      </c>
      <c r="L1069" s="760"/>
      <c r="M1069" s="767"/>
      <c r="N1069" s="168"/>
      <c r="O1069" s="768"/>
      <c r="P1069" s="170"/>
      <c r="Q1069" s="7"/>
      <c r="R1069" s="766"/>
      <c r="S1069" s="170"/>
      <c r="T1069" s="168"/>
      <c r="U1069" s="170"/>
    </row>
    <row x14ac:dyDescent="0.25" r="1070" customHeight="1" ht="18.75">
      <c r="A1070" s="1"/>
      <c r="B1070" s="799">
        <f>+DATE(YEAR(B1069),MONTH(B1069)+1,DAY(B1069))</f>
        <v>25569.041666666668</v>
      </c>
      <c r="C1070" s="799">
        <f>+B1071-1</f>
        <v>25569.041666666668</v>
      </c>
      <c r="D1070" s="791">
        <f>-_xlfn.DAYS($C$3,C1070)/365.25</f>
      </c>
      <c r="E1070" s="800">
        <f>IF($D$17+40&lt;=D1070,(1+$D$7)^-(D1070-$C$5),(1+$C$7)^-(D1070-$C$5))</f>
      </c>
      <c r="F1070" s="801">
        <f>IF($C$4="Hombre",(+VLOOKUP(INT(D1070)+1,Tablas!$G$9:$K$1240,5,0)*(D1070-INT(D1070))+VLOOKUP(INT(D1070),Tablas!$G$9:$K$1240,5,0)*(INT(D1070)+1-D1070))/(VLOOKUP(INT($C$5)+1,Tablas!$G$9:$K$1240,5,0)*($C$5-INT($C$5))+VLOOKUP(INT($C$5),Tablas!$G$9:$K$124,5,0)*(INT($C$5)+1-$C$5)),(+VLOOKUP(INT(D1070)+1,Tablas!$G$9:$O$1240,9,0)*(D1070-INT(D1070))+VLOOKUP(INT(D1070),Tablas!$G$9:$O$1240,9,0)*(INT(D1070)+1-D1070))/(VLOOKUP(INT($C$5)+1,Tablas!$G$9:$O$1240,9,0)*($C$5-INT($C$5))+VLOOKUP(INT($C$5),Tablas!$G$9:$O$124,9,0)*(INT($C$5)+1-$C$5)))</f>
      </c>
      <c r="G1070" s="791">
        <f>IF($C$4="Hombre",(+VLOOKUP(INT(D1070)+1,Tablas!$G$9:$K$1240,5,0)*(D1070-INT(D1070))+VLOOKUP(INT(D1070),Tablas!$G$9:$K$1240,5,0)*(INT(D1070)+1-D1070)),+VLOOKUP(INT(D1070)+1,Tablas!$G$9:$O$1240,9,0)*(D1070-INT(D1070))+VLOOKUP(INT(D1070),Tablas!$G$9:$O$1240,9,0)*(INT(D1070)+1-D1070))</f>
      </c>
      <c r="H1070" s="801">
        <f>+IF(MONTH(B1070)=1,H1069*(1+$C$9),H1069)</f>
      </c>
      <c r="I1070" s="689">
        <f>IF(B1070&lt;$C$10,0,IF(B1070&lt;$C$11,$C$8/12*E1070*F1070*H1070,0))</f>
      </c>
      <c r="J1070" s="689">
        <f>I1070*12/14+IF(OR(MONTH(C1070)=6,MONTH(C1070)=12),I1070*12/14,0)</f>
      </c>
      <c r="K1070" s="801">
        <f>G1070/$G$15</f>
      </c>
      <c r="L1070" s="760"/>
      <c r="M1070" s="767"/>
      <c r="N1070" s="168"/>
      <c r="O1070" s="768"/>
      <c r="P1070" s="170"/>
      <c r="Q1070" s="7"/>
      <c r="R1070" s="766"/>
      <c r="S1070" s="170"/>
      <c r="T1070" s="168"/>
      <c r="U1070" s="170"/>
    </row>
    <row x14ac:dyDescent="0.25" r="1071" customHeight="1" ht="18.75">
      <c r="A1071" s="1"/>
      <c r="B1071" s="799">
        <f>+DATE(YEAR(B1070),MONTH(B1070)+1,DAY(B1070))</f>
        <v>25569.041666666668</v>
      </c>
      <c r="C1071" s="799">
        <f>+B1072-1</f>
        <v>25569.041666666668</v>
      </c>
      <c r="D1071" s="791">
        <f>-_xlfn.DAYS($C$3,C1071)/365.25</f>
      </c>
      <c r="E1071" s="800">
        <f>IF($D$17+40&lt;=D1071,(1+$D$7)^-(D1071-$C$5),(1+$C$7)^-(D1071-$C$5))</f>
      </c>
      <c r="F1071" s="801">
        <f>IF($C$4="Hombre",(+VLOOKUP(INT(D1071)+1,Tablas!$G$9:$K$1240,5,0)*(D1071-INT(D1071))+VLOOKUP(INT(D1071),Tablas!$G$9:$K$1240,5,0)*(INT(D1071)+1-D1071))/(VLOOKUP(INT($C$5)+1,Tablas!$G$9:$K$1240,5,0)*($C$5-INT($C$5))+VLOOKUP(INT($C$5),Tablas!$G$9:$K$124,5,0)*(INT($C$5)+1-$C$5)),(+VLOOKUP(INT(D1071)+1,Tablas!$G$9:$O$1240,9,0)*(D1071-INT(D1071))+VLOOKUP(INT(D1071),Tablas!$G$9:$O$1240,9,0)*(INT(D1071)+1-D1071))/(VLOOKUP(INT($C$5)+1,Tablas!$G$9:$O$1240,9,0)*($C$5-INT($C$5))+VLOOKUP(INT($C$5),Tablas!$G$9:$O$124,9,0)*(INT($C$5)+1-$C$5)))</f>
      </c>
      <c r="G1071" s="791">
        <f>IF($C$4="Hombre",(+VLOOKUP(INT(D1071)+1,Tablas!$G$9:$K$1240,5,0)*(D1071-INT(D1071))+VLOOKUP(INT(D1071),Tablas!$G$9:$K$1240,5,0)*(INT(D1071)+1-D1071)),+VLOOKUP(INT(D1071)+1,Tablas!$G$9:$O$1240,9,0)*(D1071-INT(D1071))+VLOOKUP(INT(D1071),Tablas!$G$9:$O$1240,9,0)*(INT(D1071)+1-D1071))</f>
      </c>
      <c r="H1071" s="801">
        <f>+IF(MONTH(B1071)=1,H1070*(1+$C$9),H1070)</f>
      </c>
      <c r="I1071" s="689">
        <f>IF(B1071&lt;$C$10,0,IF(B1071&lt;$C$11,$C$8/12*E1071*F1071*H1071,0))</f>
      </c>
      <c r="J1071" s="689">
        <f>I1071*12/14+IF(OR(MONTH(C1071)=6,MONTH(C1071)=12),I1071*12/14,0)</f>
      </c>
      <c r="K1071" s="801">
        <f>G1071/$G$15</f>
      </c>
      <c r="L1071" s="760"/>
      <c r="M1071" s="767"/>
      <c r="N1071" s="168"/>
      <c r="O1071" s="768"/>
      <c r="P1071" s="170"/>
      <c r="Q1071" s="7"/>
      <c r="R1071" s="766"/>
      <c r="S1071" s="170"/>
      <c r="T1071" s="168"/>
      <c r="U1071" s="170"/>
    </row>
    <row x14ac:dyDescent="0.25" r="1072" customHeight="1" ht="18.75">
      <c r="A1072" s="1"/>
      <c r="B1072" s="799">
        <f>+DATE(YEAR(B1071),MONTH(B1071)+1,DAY(B1071))</f>
        <v>25569.041666666668</v>
      </c>
      <c r="C1072" s="799">
        <f>+B1073-1</f>
        <v>25569.041666666668</v>
      </c>
      <c r="D1072" s="791">
        <f>-_xlfn.DAYS($C$3,C1072)/365.25</f>
      </c>
      <c r="E1072" s="800">
        <f>IF($D$17+40&lt;=D1072,(1+$D$7)^-(D1072-$C$5),(1+$C$7)^-(D1072-$C$5))</f>
      </c>
      <c r="F1072" s="801">
        <f>IF($C$4="Hombre",(+VLOOKUP(INT(D1072)+1,Tablas!$G$9:$K$1240,5,0)*(D1072-INT(D1072))+VLOOKUP(INT(D1072),Tablas!$G$9:$K$1240,5,0)*(INT(D1072)+1-D1072))/(VLOOKUP(INT($C$5)+1,Tablas!$G$9:$K$1240,5,0)*($C$5-INT($C$5))+VLOOKUP(INT($C$5),Tablas!$G$9:$K$124,5,0)*(INT($C$5)+1-$C$5)),(+VLOOKUP(INT(D1072)+1,Tablas!$G$9:$O$1240,9,0)*(D1072-INT(D1072))+VLOOKUP(INT(D1072),Tablas!$G$9:$O$1240,9,0)*(INT(D1072)+1-D1072))/(VLOOKUP(INT($C$5)+1,Tablas!$G$9:$O$1240,9,0)*($C$5-INT($C$5))+VLOOKUP(INT($C$5),Tablas!$G$9:$O$124,9,0)*(INT($C$5)+1-$C$5)))</f>
      </c>
      <c r="G1072" s="791">
        <f>IF($C$4="Hombre",(+VLOOKUP(INT(D1072)+1,Tablas!$G$9:$K$1240,5,0)*(D1072-INT(D1072))+VLOOKUP(INT(D1072),Tablas!$G$9:$K$1240,5,0)*(INT(D1072)+1-D1072)),+VLOOKUP(INT(D1072)+1,Tablas!$G$9:$O$1240,9,0)*(D1072-INT(D1072))+VLOOKUP(INT(D1072),Tablas!$G$9:$O$1240,9,0)*(INT(D1072)+1-D1072))</f>
      </c>
      <c r="H1072" s="801">
        <f>+IF(MONTH(B1072)=1,H1071*(1+$C$9),H1071)</f>
      </c>
      <c r="I1072" s="689">
        <f>IF(B1072&lt;$C$10,0,IF(B1072&lt;$C$11,$C$8/12*E1072*F1072*H1072,0))</f>
      </c>
      <c r="J1072" s="689">
        <f>I1072*12/14+IF(OR(MONTH(C1072)=6,MONTH(C1072)=12),I1072*12/14,0)</f>
      </c>
      <c r="K1072" s="801">
        <f>G1072/$G$15</f>
      </c>
      <c r="L1072" s="760"/>
      <c r="M1072" s="767"/>
      <c r="N1072" s="168"/>
      <c r="O1072" s="768"/>
      <c r="P1072" s="170"/>
      <c r="Q1072" s="7"/>
      <c r="R1072" s="766"/>
      <c r="S1072" s="170"/>
      <c r="T1072" s="168"/>
      <c r="U1072" s="170"/>
    </row>
    <row x14ac:dyDescent="0.25" r="1073" customHeight="1" ht="18.75">
      <c r="A1073" s="1"/>
      <c r="B1073" s="799">
        <f>+DATE(YEAR(B1072),MONTH(B1072)+1,DAY(B1072))</f>
        <v>25569.041666666668</v>
      </c>
      <c r="C1073" s="799">
        <f>+B1074-1</f>
        <v>25569.041666666668</v>
      </c>
      <c r="D1073" s="791">
        <f>-_xlfn.DAYS($C$3,C1073)/365.25</f>
      </c>
      <c r="E1073" s="800">
        <f>IF($D$17+40&lt;=D1073,(1+$D$7)^-(D1073-$C$5),(1+$C$7)^-(D1073-$C$5))</f>
      </c>
      <c r="F1073" s="801">
        <f>IF($C$4="Hombre",(+VLOOKUP(INT(D1073)+1,Tablas!$G$9:$K$1240,5,0)*(D1073-INT(D1073))+VLOOKUP(INT(D1073),Tablas!$G$9:$K$1240,5,0)*(INT(D1073)+1-D1073))/(VLOOKUP(INT($C$5)+1,Tablas!$G$9:$K$1240,5,0)*($C$5-INT($C$5))+VLOOKUP(INT($C$5),Tablas!$G$9:$K$124,5,0)*(INT($C$5)+1-$C$5)),(+VLOOKUP(INT(D1073)+1,Tablas!$G$9:$O$1240,9,0)*(D1073-INT(D1073))+VLOOKUP(INT(D1073),Tablas!$G$9:$O$1240,9,0)*(INT(D1073)+1-D1073))/(VLOOKUP(INT($C$5)+1,Tablas!$G$9:$O$1240,9,0)*($C$5-INT($C$5))+VLOOKUP(INT($C$5),Tablas!$G$9:$O$124,9,0)*(INT($C$5)+1-$C$5)))</f>
      </c>
      <c r="G1073" s="791">
        <f>IF($C$4="Hombre",(+VLOOKUP(INT(D1073)+1,Tablas!$G$9:$K$1240,5,0)*(D1073-INT(D1073))+VLOOKUP(INT(D1073),Tablas!$G$9:$K$1240,5,0)*(INT(D1073)+1-D1073)),+VLOOKUP(INT(D1073)+1,Tablas!$G$9:$O$1240,9,0)*(D1073-INT(D1073))+VLOOKUP(INT(D1073),Tablas!$G$9:$O$1240,9,0)*(INT(D1073)+1-D1073))</f>
      </c>
      <c r="H1073" s="801">
        <f>+IF(MONTH(B1073)=1,H1072*(1+$C$9),H1072)</f>
      </c>
      <c r="I1073" s="689">
        <f>IF(B1073&lt;$C$10,0,IF(B1073&lt;$C$11,$C$8/12*E1073*F1073*H1073,0))</f>
      </c>
      <c r="J1073" s="689">
        <f>I1073*12/14+IF(OR(MONTH(C1073)=6,MONTH(C1073)=12),I1073*12/14,0)</f>
      </c>
      <c r="K1073" s="801">
        <f>G1073/$G$15</f>
      </c>
      <c r="L1073" s="760"/>
      <c r="M1073" s="767"/>
      <c r="N1073" s="168"/>
      <c r="O1073" s="768"/>
      <c r="P1073" s="170"/>
      <c r="Q1073" s="7"/>
      <c r="R1073" s="766"/>
      <c r="S1073" s="170"/>
      <c r="T1073" s="168"/>
      <c r="U1073" s="170"/>
    </row>
    <row x14ac:dyDescent="0.25" r="1074" customHeight="1" ht="18.75">
      <c r="A1074" s="1"/>
      <c r="B1074" s="799">
        <f>+DATE(YEAR(B1073),MONTH(B1073)+1,DAY(B1073))</f>
        <v>25569.041666666668</v>
      </c>
      <c r="C1074" s="799">
        <f>+B1075-1</f>
        <v>25569.041666666668</v>
      </c>
      <c r="D1074" s="791">
        <f>-_xlfn.DAYS($C$3,C1074)/365.25</f>
      </c>
      <c r="E1074" s="800">
        <f>IF($D$17+40&lt;=D1074,(1+$D$7)^-(D1074-$C$5),(1+$C$7)^-(D1074-$C$5))</f>
      </c>
      <c r="F1074" s="801">
        <f>IF($C$4="Hombre",(+VLOOKUP(INT(D1074)+1,Tablas!$G$9:$K$1240,5,0)*(D1074-INT(D1074))+VLOOKUP(INT(D1074),Tablas!$G$9:$K$1240,5,0)*(INT(D1074)+1-D1074))/(VLOOKUP(INT($C$5)+1,Tablas!$G$9:$K$1240,5,0)*($C$5-INT($C$5))+VLOOKUP(INT($C$5),Tablas!$G$9:$K$124,5,0)*(INT($C$5)+1-$C$5)),(+VLOOKUP(INT(D1074)+1,Tablas!$G$9:$O$1240,9,0)*(D1074-INT(D1074))+VLOOKUP(INT(D1074),Tablas!$G$9:$O$1240,9,0)*(INT(D1074)+1-D1074))/(VLOOKUP(INT($C$5)+1,Tablas!$G$9:$O$1240,9,0)*($C$5-INT($C$5))+VLOOKUP(INT($C$5),Tablas!$G$9:$O$124,9,0)*(INT($C$5)+1-$C$5)))</f>
      </c>
      <c r="G1074" s="791">
        <f>IF($C$4="Hombre",(+VLOOKUP(INT(D1074)+1,Tablas!$G$9:$K$1240,5,0)*(D1074-INT(D1074))+VLOOKUP(INT(D1074),Tablas!$G$9:$K$1240,5,0)*(INT(D1074)+1-D1074)),+VLOOKUP(INT(D1074)+1,Tablas!$G$9:$O$1240,9,0)*(D1074-INT(D1074))+VLOOKUP(INT(D1074),Tablas!$G$9:$O$1240,9,0)*(INT(D1074)+1-D1074))</f>
      </c>
      <c r="H1074" s="801">
        <f>+IF(MONTH(B1074)=1,H1073*(1+$C$9),H1073)</f>
      </c>
      <c r="I1074" s="689">
        <f>IF(B1074&lt;$C$10,0,IF(B1074&lt;$C$11,$C$8/12*E1074*F1074*H1074,0))</f>
      </c>
      <c r="J1074" s="689">
        <f>I1074*12/14+IF(OR(MONTH(C1074)=6,MONTH(C1074)=12),I1074*12/14,0)</f>
      </c>
      <c r="K1074" s="801">
        <f>G1074/$G$15</f>
      </c>
      <c r="L1074" s="760"/>
      <c r="M1074" s="767"/>
      <c r="N1074" s="168"/>
      <c r="O1074" s="768"/>
      <c r="P1074" s="170"/>
      <c r="Q1074" s="7"/>
      <c r="R1074" s="766"/>
      <c r="S1074" s="170"/>
      <c r="T1074" s="168"/>
      <c r="U1074" s="170"/>
    </row>
    <row x14ac:dyDescent="0.25" r="1075" customHeight="1" ht="18.75">
      <c r="A1075" s="1"/>
      <c r="B1075" s="799">
        <f>+DATE(YEAR(B1074),MONTH(B1074)+1,DAY(B1074))</f>
        <v>25569.041666666668</v>
      </c>
      <c r="C1075" s="799">
        <f>+B1076-1</f>
        <v>25569.041666666668</v>
      </c>
      <c r="D1075" s="791">
        <f>-_xlfn.DAYS($C$3,C1075)/365.25</f>
      </c>
      <c r="E1075" s="800">
        <f>IF($D$17+40&lt;=D1075,(1+$D$7)^-(D1075-$C$5),(1+$C$7)^-(D1075-$C$5))</f>
      </c>
      <c r="F1075" s="801">
        <f>IF($C$4="Hombre",(+VLOOKUP(INT(D1075)+1,Tablas!$G$9:$K$1240,5,0)*(D1075-INT(D1075))+VLOOKUP(INT(D1075),Tablas!$G$9:$K$1240,5,0)*(INT(D1075)+1-D1075))/(VLOOKUP(INT($C$5)+1,Tablas!$G$9:$K$1240,5,0)*($C$5-INT($C$5))+VLOOKUP(INT($C$5),Tablas!$G$9:$K$124,5,0)*(INT($C$5)+1-$C$5)),(+VLOOKUP(INT(D1075)+1,Tablas!$G$9:$O$1240,9,0)*(D1075-INT(D1075))+VLOOKUP(INT(D1075),Tablas!$G$9:$O$1240,9,0)*(INT(D1075)+1-D1075))/(VLOOKUP(INT($C$5)+1,Tablas!$G$9:$O$1240,9,0)*($C$5-INT($C$5))+VLOOKUP(INT($C$5),Tablas!$G$9:$O$124,9,0)*(INT($C$5)+1-$C$5)))</f>
      </c>
      <c r="G1075" s="791">
        <f>IF($C$4="Hombre",(+VLOOKUP(INT(D1075)+1,Tablas!$G$9:$K$1240,5,0)*(D1075-INT(D1075))+VLOOKUP(INT(D1075),Tablas!$G$9:$K$1240,5,0)*(INT(D1075)+1-D1075)),+VLOOKUP(INT(D1075)+1,Tablas!$G$9:$O$1240,9,0)*(D1075-INT(D1075))+VLOOKUP(INT(D1075),Tablas!$G$9:$O$1240,9,0)*(INT(D1075)+1-D1075))</f>
      </c>
      <c r="H1075" s="801">
        <f>+IF(MONTH(B1075)=1,H1074*(1+$C$9),H1074)</f>
      </c>
      <c r="I1075" s="689">
        <f>IF(B1075&lt;$C$10,0,IF(B1075&lt;$C$11,$C$8/12*E1075*F1075*H1075,0))</f>
      </c>
      <c r="J1075" s="689">
        <f>I1075*12/14+IF(OR(MONTH(C1075)=6,MONTH(C1075)=12),I1075*12/14,0)</f>
      </c>
      <c r="K1075" s="801">
        <f>G1075/$G$15</f>
      </c>
      <c r="L1075" s="760"/>
      <c r="M1075" s="767"/>
      <c r="N1075" s="168"/>
      <c r="O1075" s="768"/>
      <c r="P1075" s="170"/>
      <c r="Q1075" s="7"/>
      <c r="R1075" s="766"/>
      <c r="S1075" s="170"/>
      <c r="T1075" s="168"/>
      <c r="U1075" s="170"/>
    </row>
    <row x14ac:dyDescent="0.25" r="1076" customHeight="1" ht="18.75">
      <c r="A1076" s="1"/>
      <c r="B1076" s="799">
        <f>+DATE(YEAR(B1075),MONTH(B1075)+1,DAY(B1075))</f>
        <v>25569.041666666668</v>
      </c>
      <c r="C1076" s="799">
        <f>+B1077-1</f>
        <v>25569.041666666668</v>
      </c>
      <c r="D1076" s="791">
        <f>-_xlfn.DAYS($C$3,C1076)/365.25</f>
      </c>
      <c r="E1076" s="800">
        <f>IF($D$17+40&lt;=D1076,(1+$D$7)^-(D1076-$C$5),(1+$C$7)^-(D1076-$C$5))</f>
      </c>
      <c r="F1076" s="801">
        <f>IF($C$4="Hombre",(+VLOOKUP(INT(D1076)+1,Tablas!$G$9:$K$1240,5,0)*(D1076-INT(D1076))+VLOOKUP(INT(D1076),Tablas!$G$9:$K$1240,5,0)*(INT(D1076)+1-D1076))/(VLOOKUP(INT($C$5)+1,Tablas!$G$9:$K$1240,5,0)*($C$5-INT($C$5))+VLOOKUP(INT($C$5),Tablas!$G$9:$K$124,5,0)*(INT($C$5)+1-$C$5)),(+VLOOKUP(INT(D1076)+1,Tablas!$G$9:$O$1240,9,0)*(D1076-INT(D1076))+VLOOKUP(INT(D1076),Tablas!$G$9:$O$1240,9,0)*(INT(D1076)+1-D1076))/(VLOOKUP(INT($C$5)+1,Tablas!$G$9:$O$1240,9,0)*($C$5-INT($C$5))+VLOOKUP(INT($C$5),Tablas!$G$9:$O$124,9,0)*(INT($C$5)+1-$C$5)))</f>
      </c>
      <c r="G1076" s="791">
        <f>IF($C$4="Hombre",(+VLOOKUP(INT(D1076)+1,Tablas!$G$9:$K$1240,5,0)*(D1076-INT(D1076))+VLOOKUP(INT(D1076),Tablas!$G$9:$K$1240,5,0)*(INT(D1076)+1-D1076)),+VLOOKUP(INT(D1076)+1,Tablas!$G$9:$O$1240,9,0)*(D1076-INT(D1076))+VLOOKUP(INT(D1076),Tablas!$G$9:$O$1240,9,0)*(INT(D1076)+1-D1076))</f>
      </c>
      <c r="H1076" s="801">
        <f>+IF(MONTH(B1076)=1,H1075*(1+$C$9),H1075)</f>
      </c>
      <c r="I1076" s="689">
        <f>IF(B1076&lt;$C$10,0,IF(B1076&lt;$C$11,$C$8/12*E1076*F1076*H1076,0))</f>
      </c>
      <c r="J1076" s="689">
        <f>I1076*12/14+IF(OR(MONTH(C1076)=6,MONTH(C1076)=12),I1076*12/14,0)</f>
      </c>
      <c r="K1076" s="801">
        <f>G1076/$G$15</f>
      </c>
      <c r="L1076" s="760"/>
      <c r="M1076" s="767"/>
      <c r="N1076" s="168"/>
      <c r="O1076" s="768"/>
      <c r="P1076" s="170"/>
      <c r="Q1076" s="7"/>
      <c r="R1076" s="766"/>
      <c r="S1076" s="170"/>
      <c r="T1076" s="168"/>
      <c r="U1076" s="170"/>
    </row>
    <row x14ac:dyDescent="0.25" r="1077" customHeight="1" ht="18.75">
      <c r="A1077" s="1"/>
      <c r="B1077" s="799">
        <f>+DATE(YEAR(B1076),MONTH(B1076)+1,DAY(B1076))</f>
        <v>25569.041666666668</v>
      </c>
      <c r="C1077" s="799">
        <f>+B1078-1</f>
        <v>25569.041666666668</v>
      </c>
      <c r="D1077" s="791">
        <f>-_xlfn.DAYS($C$3,C1077)/365.25</f>
      </c>
      <c r="E1077" s="800">
        <f>IF($D$17+40&lt;=D1077,(1+$D$7)^-(D1077-$C$5),(1+$C$7)^-(D1077-$C$5))</f>
      </c>
      <c r="F1077" s="801">
        <f>IF($C$4="Hombre",(+VLOOKUP(INT(D1077)+1,Tablas!$G$9:$K$1240,5,0)*(D1077-INT(D1077))+VLOOKUP(INT(D1077),Tablas!$G$9:$K$1240,5,0)*(INT(D1077)+1-D1077))/(VLOOKUP(INT($C$5)+1,Tablas!$G$9:$K$1240,5,0)*($C$5-INT($C$5))+VLOOKUP(INT($C$5),Tablas!$G$9:$K$124,5,0)*(INT($C$5)+1-$C$5)),(+VLOOKUP(INT(D1077)+1,Tablas!$G$9:$O$1240,9,0)*(D1077-INT(D1077))+VLOOKUP(INT(D1077),Tablas!$G$9:$O$1240,9,0)*(INT(D1077)+1-D1077))/(VLOOKUP(INT($C$5)+1,Tablas!$G$9:$O$1240,9,0)*($C$5-INT($C$5))+VLOOKUP(INT($C$5),Tablas!$G$9:$O$124,9,0)*(INT($C$5)+1-$C$5)))</f>
      </c>
      <c r="G1077" s="791">
        <f>IF($C$4="Hombre",(+VLOOKUP(INT(D1077)+1,Tablas!$G$9:$K$1240,5,0)*(D1077-INT(D1077))+VLOOKUP(INT(D1077),Tablas!$G$9:$K$1240,5,0)*(INT(D1077)+1-D1077)),+VLOOKUP(INT(D1077)+1,Tablas!$G$9:$O$1240,9,0)*(D1077-INT(D1077))+VLOOKUP(INT(D1077),Tablas!$G$9:$O$1240,9,0)*(INT(D1077)+1-D1077))</f>
      </c>
      <c r="H1077" s="801">
        <f>+IF(MONTH(B1077)=1,H1076*(1+$C$9),H1076)</f>
      </c>
      <c r="I1077" s="689">
        <f>IF(B1077&lt;$C$10,0,IF(B1077&lt;$C$11,$C$8/12*E1077*F1077*H1077,0))</f>
      </c>
      <c r="J1077" s="689">
        <f>I1077*12/14+IF(OR(MONTH(C1077)=6,MONTH(C1077)=12),I1077*12/14,0)</f>
      </c>
      <c r="K1077" s="801">
        <f>G1077/$G$15</f>
      </c>
      <c r="L1077" s="760"/>
      <c r="M1077" s="767"/>
      <c r="N1077" s="168"/>
      <c r="O1077" s="768"/>
      <c r="P1077" s="170"/>
      <c r="Q1077" s="7"/>
      <c r="R1077" s="766"/>
      <c r="S1077" s="170"/>
      <c r="T1077" s="168"/>
      <c r="U1077" s="170"/>
    </row>
    <row x14ac:dyDescent="0.25" r="1078" customHeight="1" ht="18.75">
      <c r="A1078" s="1"/>
      <c r="B1078" s="799">
        <f>+DATE(YEAR(B1077),MONTH(B1077)+1,DAY(B1077))</f>
        <v>25569.041666666668</v>
      </c>
      <c r="C1078" s="799">
        <f>+B1079-1</f>
        <v>25569.041666666668</v>
      </c>
      <c r="D1078" s="791">
        <f>-_xlfn.DAYS($C$3,C1078)/365.25</f>
      </c>
      <c r="E1078" s="800">
        <f>IF($D$17+40&lt;=D1078,(1+$D$7)^-(D1078-$C$5),(1+$C$7)^-(D1078-$C$5))</f>
      </c>
      <c r="F1078" s="801">
        <f>IF($C$4="Hombre",(+VLOOKUP(INT(D1078)+1,Tablas!$G$9:$K$1240,5,0)*(D1078-INT(D1078))+VLOOKUP(INT(D1078),Tablas!$G$9:$K$1240,5,0)*(INT(D1078)+1-D1078))/(VLOOKUP(INT($C$5)+1,Tablas!$G$9:$K$1240,5,0)*($C$5-INT($C$5))+VLOOKUP(INT($C$5),Tablas!$G$9:$K$124,5,0)*(INT($C$5)+1-$C$5)),(+VLOOKUP(INT(D1078)+1,Tablas!$G$9:$O$1240,9,0)*(D1078-INT(D1078))+VLOOKUP(INT(D1078),Tablas!$G$9:$O$1240,9,0)*(INT(D1078)+1-D1078))/(VLOOKUP(INT($C$5)+1,Tablas!$G$9:$O$1240,9,0)*($C$5-INT($C$5))+VLOOKUP(INT($C$5),Tablas!$G$9:$O$124,9,0)*(INT($C$5)+1-$C$5)))</f>
      </c>
      <c r="G1078" s="791">
        <f>IF($C$4="Hombre",(+VLOOKUP(INT(D1078)+1,Tablas!$G$9:$K$1240,5,0)*(D1078-INT(D1078))+VLOOKUP(INT(D1078),Tablas!$G$9:$K$1240,5,0)*(INT(D1078)+1-D1078)),+VLOOKUP(INT(D1078)+1,Tablas!$G$9:$O$1240,9,0)*(D1078-INT(D1078))+VLOOKUP(INT(D1078),Tablas!$G$9:$O$1240,9,0)*(INT(D1078)+1-D1078))</f>
      </c>
      <c r="H1078" s="801">
        <f>+IF(MONTH(B1078)=1,H1077*(1+$C$9),H1077)</f>
      </c>
      <c r="I1078" s="689">
        <f>IF(B1078&lt;$C$10,0,IF(B1078&lt;$C$11,$C$8/12*E1078*F1078*H1078,0))</f>
      </c>
      <c r="J1078" s="689">
        <f>I1078*12/14+IF(OR(MONTH(C1078)=6,MONTH(C1078)=12),I1078*12/14,0)</f>
      </c>
      <c r="K1078" s="801">
        <f>G1078/$G$15</f>
      </c>
      <c r="L1078" s="760"/>
      <c r="M1078" s="767"/>
      <c r="N1078" s="168"/>
      <c r="O1078" s="768"/>
      <c r="P1078" s="170"/>
      <c r="Q1078" s="7"/>
      <c r="R1078" s="766"/>
      <c r="S1078" s="170"/>
      <c r="T1078" s="168"/>
      <c r="U1078" s="170"/>
    </row>
    <row x14ac:dyDescent="0.25" r="1079" customHeight="1" ht="18.75">
      <c r="A1079" s="1"/>
      <c r="B1079" s="799">
        <f>+DATE(YEAR(B1078),MONTH(B1078)+1,DAY(B1078))</f>
        <v>25569.041666666668</v>
      </c>
      <c r="C1079" s="799">
        <f>+B1080-1</f>
        <v>25569.041666666668</v>
      </c>
      <c r="D1079" s="791">
        <f>-_xlfn.DAYS($C$3,C1079)/365.25</f>
      </c>
      <c r="E1079" s="800">
        <f>IF($D$17+40&lt;=D1079,(1+$D$7)^-(D1079-$C$5),(1+$C$7)^-(D1079-$C$5))</f>
      </c>
      <c r="F1079" s="801">
        <f>IF($C$4="Hombre",(+VLOOKUP(INT(D1079)+1,Tablas!$G$9:$K$1240,5,0)*(D1079-INT(D1079))+VLOOKUP(INT(D1079),Tablas!$G$9:$K$1240,5,0)*(INT(D1079)+1-D1079))/(VLOOKUP(INT($C$5)+1,Tablas!$G$9:$K$1240,5,0)*($C$5-INT($C$5))+VLOOKUP(INT($C$5),Tablas!$G$9:$K$124,5,0)*(INT($C$5)+1-$C$5)),(+VLOOKUP(INT(D1079)+1,Tablas!$G$9:$O$1240,9,0)*(D1079-INT(D1079))+VLOOKUP(INT(D1079),Tablas!$G$9:$O$1240,9,0)*(INT(D1079)+1-D1079))/(VLOOKUP(INT($C$5)+1,Tablas!$G$9:$O$1240,9,0)*($C$5-INT($C$5))+VLOOKUP(INT($C$5),Tablas!$G$9:$O$124,9,0)*(INT($C$5)+1-$C$5)))</f>
      </c>
      <c r="G1079" s="791">
        <f>IF($C$4="Hombre",(+VLOOKUP(INT(D1079)+1,Tablas!$G$9:$K$1240,5,0)*(D1079-INT(D1079))+VLOOKUP(INT(D1079),Tablas!$G$9:$K$1240,5,0)*(INT(D1079)+1-D1079)),+VLOOKUP(INT(D1079)+1,Tablas!$G$9:$O$1240,9,0)*(D1079-INT(D1079))+VLOOKUP(INT(D1079),Tablas!$G$9:$O$1240,9,0)*(INT(D1079)+1-D1079))</f>
      </c>
      <c r="H1079" s="801">
        <f>+IF(MONTH(B1079)=1,H1078*(1+$C$9),H1078)</f>
      </c>
      <c r="I1079" s="689">
        <f>IF(B1079&lt;$C$10,0,IF(B1079&lt;$C$11,$C$8/12*E1079*F1079*H1079,0))</f>
      </c>
      <c r="J1079" s="689">
        <f>I1079*12/14+IF(OR(MONTH(C1079)=6,MONTH(C1079)=12),I1079*12/14,0)</f>
      </c>
      <c r="K1079" s="801">
        <f>G1079/$G$15</f>
      </c>
      <c r="L1079" s="760"/>
      <c r="M1079" s="767"/>
      <c r="N1079" s="168"/>
      <c r="O1079" s="768"/>
      <c r="P1079" s="170"/>
      <c r="Q1079" s="7"/>
      <c r="R1079" s="766"/>
      <c r="S1079" s="170"/>
      <c r="T1079" s="168"/>
      <c r="U1079" s="170"/>
    </row>
    <row x14ac:dyDescent="0.25" r="1080" customHeight="1" ht="18.75">
      <c r="A1080" s="1"/>
      <c r="B1080" s="799">
        <f>+DATE(YEAR(B1079),MONTH(B1079)+1,DAY(B1079))</f>
        <v>25569.041666666668</v>
      </c>
      <c r="C1080" s="799">
        <f>+B1081-1</f>
        <v>25569.041666666668</v>
      </c>
      <c r="D1080" s="791">
        <f>-_xlfn.DAYS($C$3,C1080)/365.25</f>
      </c>
      <c r="E1080" s="800">
        <f>IF($D$17+40&lt;=D1080,(1+$D$7)^-(D1080-$C$5),(1+$C$7)^-(D1080-$C$5))</f>
      </c>
      <c r="F1080" s="801">
        <f>IF($C$4="Hombre",(+VLOOKUP(INT(D1080)+1,Tablas!$G$9:$K$1240,5,0)*(D1080-INT(D1080))+VLOOKUP(INT(D1080),Tablas!$G$9:$K$1240,5,0)*(INT(D1080)+1-D1080))/(VLOOKUP(INT($C$5)+1,Tablas!$G$9:$K$1240,5,0)*($C$5-INT($C$5))+VLOOKUP(INT($C$5),Tablas!$G$9:$K$124,5,0)*(INT($C$5)+1-$C$5)),(+VLOOKUP(INT(D1080)+1,Tablas!$G$9:$O$1240,9,0)*(D1080-INT(D1080))+VLOOKUP(INT(D1080),Tablas!$G$9:$O$1240,9,0)*(INT(D1080)+1-D1080))/(VLOOKUP(INT($C$5)+1,Tablas!$G$9:$O$1240,9,0)*($C$5-INT($C$5))+VLOOKUP(INT($C$5),Tablas!$G$9:$O$124,9,0)*(INT($C$5)+1-$C$5)))</f>
      </c>
      <c r="G1080" s="791">
        <f>IF($C$4="Hombre",(+VLOOKUP(INT(D1080)+1,Tablas!$G$9:$K$1240,5,0)*(D1080-INT(D1080))+VLOOKUP(INT(D1080),Tablas!$G$9:$K$1240,5,0)*(INT(D1080)+1-D1080)),+VLOOKUP(INT(D1080)+1,Tablas!$G$9:$O$1240,9,0)*(D1080-INT(D1080))+VLOOKUP(INT(D1080),Tablas!$G$9:$O$1240,9,0)*(INT(D1080)+1-D1080))</f>
      </c>
      <c r="H1080" s="801">
        <f>+IF(MONTH(B1080)=1,H1079*(1+$C$9),H1079)</f>
      </c>
      <c r="I1080" s="689">
        <f>IF(B1080&lt;$C$10,0,IF(B1080&lt;$C$11,$C$8/12*E1080*F1080*H1080,0))</f>
      </c>
      <c r="J1080" s="689">
        <f>I1080*12/14+IF(OR(MONTH(C1080)=6,MONTH(C1080)=12),I1080*12/14,0)</f>
      </c>
      <c r="K1080" s="801">
        <f>G1080/$G$15</f>
      </c>
      <c r="L1080" s="760"/>
      <c r="M1080" s="767"/>
      <c r="N1080" s="168"/>
      <c r="O1080" s="768"/>
      <c r="P1080" s="170"/>
      <c r="Q1080" s="7"/>
      <c r="R1080" s="766"/>
      <c r="S1080" s="170"/>
      <c r="T1080" s="168"/>
      <c r="U1080" s="170"/>
    </row>
    <row x14ac:dyDescent="0.25" r="1081" customHeight="1" ht="18.75">
      <c r="A1081" s="1"/>
      <c r="B1081" s="799">
        <f>+DATE(YEAR(B1080),MONTH(B1080)+1,DAY(B1080))</f>
        <v>25569.041666666668</v>
      </c>
      <c r="C1081" s="799">
        <f>+B1082-1</f>
        <v>25569.041666666668</v>
      </c>
      <c r="D1081" s="791">
        <f>-_xlfn.DAYS($C$3,C1081)/365.25</f>
      </c>
      <c r="E1081" s="800">
        <f>IF($D$17+40&lt;=D1081,(1+$D$7)^-(D1081-$C$5),(1+$C$7)^-(D1081-$C$5))</f>
      </c>
      <c r="F1081" s="801">
        <f>IF($C$4="Hombre",(+VLOOKUP(INT(D1081)+1,Tablas!$G$9:$K$1240,5,0)*(D1081-INT(D1081))+VLOOKUP(INT(D1081),Tablas!$G$9:$K$1240,5,0)*(INT(D1081)+1-D1081))/(VLOOKUP(INT($C$5)+1,Tablas!$G$9:$K$1240,5,0)*($C$5-INT($C$5))+VLOOKUP(INT($C$5),Tablas!$G$9:$K$124,5,0)*(INT($C$5)+1-$C$5)),(+VLOOKUP(INT(D1081)+1,Tablas!$G$9:$O$1240,9,0)*(D1081-INT(D1081))+VLOOKUP(INT(D1081),Tablas!$G$9:$O$1240,9,0)*(INT(D1081)+1-D1081))/(VLOOKUP(INT($C$5)+1,Tablas!$G$9:$O$1240,9,0)*($C$5-INT($C$5))+VLOOKUP(INT($C$5),Tablas!$G$9:$O$124,9,0)*(INT($C$5)+1-$C$5)))</f>
      </c>
      <c r="G1081" s="791">
        <f>IF($C$4="Hombre",(+VLOOKUP(INT(D1081)+1,Tablas!$G$9:$K$1240,5,0)*(D1081-INT(D1081))+VLOOKUP(INT(D1081),Tablas!$G$9:$K$1240,5,0)*(INT(D1081)+1-D1081)),+VLOOKUP(INT(D1081)+1,Tablas!$G$9:$O$1240,9,0)*(D1081-INT(D1081))+VLOOKUP(INT(D1081),Tablas!$G$9:$O$1240,9,0)*(INT(D1081)+1-D1081))</f>
      </c>
      <c r="H1081" s="801">
        <f>+IF(MONTH(B1081)=1,H1080*(1+$C$9),H1080)</f>
      </c>
      <c r="I1081" s="689">
        <f>IF(B1081&lt;$C$10,0,IF(B1081&lt;$C$11,$C$8/12*E1081*F1081*H1081,0))</f>
      </c>
      <c r="J1081" s="689">
        <f>I1081*12/14+IF(OR(MONTH(C1081)=6,MONTH(C1081)=12),I1081*12/14,0)</f>
      </c>
      <c r="K1081" s="801">
        <f>G1081/$G$15</f>
      </c>
      <c r="L1081" s="760"/>
      <c r="M1081" s="767"/>
      <c r="N1081" s="168"/>
      <c r="O1081" s="768"/>
      <c r="P1081" s="170"/>
      <c r="Q1081" s="7"/>
      <c r="R1081" s="766"/>
      <c r="S1081" s="170"/>
      <c r="T1081" s="168"/>
      <c r="U1081" s="170"/>
    </row>
    <row x14ac:dyDescent="0.25" r="1082" customHeight="1" ht="18.75">
      <c r="A1082" s="1"/>
      <c r="B1082" s="799">
        <f>+DATE(YEAR(B1081),MONTH(B1081)+1,DAY(B1081))</f>
        <v>25569.041666666668</v>
      </c>
      <c r="C1082" s="799">
        <f>+B1083-1</f>
        <v>25569.041666666668</v>
      </c>
      <c r="D1082" s="791">
        <f>-_xlfn.DAYS($C$3,C1082)/365.25</f>
      </c>
      <c r="E1082" s="800">
        <f>IF($D$17+40&lt;=D1082,(1+$D$7)^-(D1082-$C$5),(1+$C$7)^-(D1082-$C$5))</f>
      </c>
      <c r="F1082" s="801">
        <f>IF($C$4="Hombre",(+VLOOKUP(INT(D1082)+1,Tablas!$G$9:$K$1240,5,0)*(D1082-INT(D1082))+VLOOKUP(INT(D1082),Tablas!$G$9:$K$1240,5,0)*(INT(D1082)+1-D1082))/(VLOOKUP(INT($C$5)+1,Tablas!$G$9:$K$1240,5,0)*($C$5-INT($C$5))+VLOOKUP(INT($C$5),Tablas!$G$9:$K$124,5,0)*(INT($C$5)+1-$C$5)),(+VLOOKUP(INT(D1082)+1,Tablas!$G$9:$O$1240,9,0)*(D1082-INT(D1082))+VLOOKUP(INT(D1082),Tablas!$G$9:$O$1240,9,0)*(INT(D1082)+1-D1082))/(VLOOKUP(INT($C$5)+1,Tablas!$G$9:$O$1240,9,0)*($C$5-INT($C$5))+VLOOKUP(INT($C$5),Tablas!$G$9:$O$124,9,0)*(INT($C$5)+1-$C$5)))</f>
      </c>
      <c r="G1082" s="791">
        <f>IF($C$4="Hombre",(+VLOOKUP(INT(D1082)+1,Tablas!$G$9:$K$1240,5,0)*(D1082-INT(D1082))+VLOOKUP(INT(D1082),Tablas!$G$9:$K$1240,5,0)*(INT(D1082)+1-D1082)),+VLOOKUP(INT(D1082)+1,Tablas!$G$9:$O$1240,9,0)*(D1082-INT(D1082))+VLOOKUP(INT(D1082),Tablas!$G$9:$O$1240,9,0)*(INT(D1082)+1-D1082))</f>
      </c>
      <c r="H1082" s="801">
        <f>+IF(MONTH(B1082)=1,H1081*(1+$C$9),H1081)</f>
      </c>
      <c r="I1082" s="689">
        <f>IF(B1082&lt;$C$10,0,IF(B1082&lt;$C$11,$C$8/12*E1082*F1082*H1082,0))</f>
      </c>
      <c r="J1082" s="689">
        <f>I1082*12/14+IF(OR(MONTH(C1082)=6,MONTH(C1082)=12),I1082*12/14,0)</f>
      </c>
      <c r="K1082" s="801">
        <f>G1082/$G$15</f>
      </c>
      <c r="L1082" s="760"/>
      <c r="M1082" s="767"/>
      <c r="N1082" s="168"/>
      <c r="O1082" s="768"/>
      <c r="P1082" s="170"/>
      <c r="Q1082" s="7"/>
      <c r="R1082" s="766"/>
      <c r="S1082" s="170"/>
      <c r="T1082" s="168"/>
      <c r="U1082" s="170"/>
    </row>
    <row x14ac:dyDescent="0.25" r="1083" customHeight="1" ht="18.75">
      <c r="A1083" s="1"/>
      <c r="B1083" s="799">
        <f>+DATE(YEAR(B1082),MONTH(B1082)+1,DAY(B1082))</f>
        <v>25569.041666666668</v>
      </c>
      <c r="C1083" s="799">
        <f>+B1084-1</f>
        <v>25569.041666666668</v>
      </c>
      <c r="D1083" s="791">
        <f>-_xlfn.DAYS($C$3,C1083)/365.25</f>
      </c>
      <c r="E1083" s="800">
        <f>IF($D$17+40&lt;=D1083,(1+$D$7)^-(D1083-$C$5),(1+$C$7)^-(D1083-$C$5))</f>
      </c>
      <c r="F1083" s="801">
        <f>IF($C$4="Hombre",(+VLOOKUP(INT(D1083)+1,Tablas!$G$9:$K$1240,5,0)*(D1083-INT(D1083))+VLOOKUP(INT(D1083),Tablas!$G$9:$K$1240,5,0)*(INT(D1083)+1-D1083))/(VLOOKUP(INT($C$5)+1,Tablas!$G$9:$K$1240,5,0)*($C$5-INT($C$5))+VLOOKUP(INT($C$5),Tablas!$G$9:$K$124,5,0)*(INT($C$5)+1-$C$5)),(+VLOOKUP(INT(D1083)+1,Tablas!$G$9:$O$1240,9,0)*(D1083-INT(D1083))+VLOOKUP(INT(D1083),Tablas!$G$9:$O$1240,9,0)*(INT(D1083)+1-D1083))/(VLOOKUP(INT($C$5)+1,Tablas!$G$9:$O$1240,9,0)*($C$5-INT($C$5))+VLOOKUP(INT($C$5),Tablas!$G$9:$O$124,9,0)*(INT($C$5)+1-$C$5)))</f>
      </c>
      <c r="G1083" s="791">
        <f>IF($C$4="Hombre",(+VLOOKUP(INT(D1083)+1,Tablas!$G$9:$K$1240,5,0)*(D1083-INT(D1083))+VLOOKUP(INT(D1083),Tablas!$G$9:$K$1240,5,0)*(INT(D1083)+1-D1083)),+VLOOKUP(INT(D1083)+1,Tablas!$G$9:$O$1240,9,0)*(D1083-INT(D1083))+VLOOKUP(INT(D1083),Tablas!$G$9:$O$1240,9,0)*(INT(D1083)+1-D1083))</f>
      </c>
      <c r="H1083" s="801">
        <f>+IF(MONTH(B1083)=1,H1082*(1+$C$9),H1082)</f>
      </c>
      <c r="I1083" s="689">
        <f>IF(B1083&lt;$C$10,0,IF(B1083&lt;$C$11,$C$8/12*E1083*F1083*H1083,0))</f>
      </c>
      <c r="J1083" s="689">
        <f>I1083*12/14+IF(OR(MONTH(C1083)=6,MONTH(C1083)=12),I1083*12/14,0)</f>
      </c>
      <c r="K1083" s="801">
        <f>G1083/$G$15</f>
      </c>
      <c r="L1083" s="760"/>
      <c r="M1083" s="767"/>
      <c r="N1083" s="168"/>
      <c r="O1083" s="768"/>
      <c r="P1083" s="170"/>
      <c r="Q1083" s="7"/>
      <c r="R1083" s="766"/>
      <c r="S1083" s="170"/>
      <c r="T1083" s="168"/>
      <c r="U1083" s="170"/>
    </row>
    <row x14ac:dyDescent="0.25" r="1084" customHeight="1" ht="18.75">
      <c r="A1084" s="1"/>
      <c r="B1084" s="799">
        <f>+DATE(YEAR(B1083),MONTH(B1083)+1,DAY(B1083))</f>
        <v>25569.041666666668</v>
      </c>
      <c r="C1084" s="799">
        <f>+B1085-1</f>
        <v>25569.041666666668</v>
      </c>
      <c r="D1084" s="791">
        <f>-_xlfn.DAYS($C$3,C1084)/365.25</f>
      </c>
      <c r="E1084" s="800">
        <f>IF($D$17+40&lt;=D1084,(1+$D$7)^-(D1084-$C$5),(1+$C$7)^-(D1084-$C$5))</f>
      </c>
      <c r="F1084" s="801">
        <f>IF($C$4="Hombre",(+VLOOKUP(INT(D1084)+1,Tablas!$G$9:$K$1240,5,0)*(D1084-INT(D1084))+VLOOKUP(INT(D1084),Tablas!$G$9:$K$1240,5,0)*(INT(D1084)+1-D1084))/(VLOOKUP(INT($C$5)+1,Tablas!$G$9:$K$1240,5,0)*($C$5-INT($C$5))+VLOOKUP(INT($C$5),Tablas!$G$9:$K$124,5,0)*(INT($C$5)+1-$C$5)),(+VLOOKUP(INT(D1084)+1,Tablas!$G$9:$O$1240,9,0)*(D1084-INT(D1084))+VLOOKUP(INT(D1084),Tablas!$G$9:$O$1240,9,0)*(INT(D1084)+1-D1084))/(VLOOKUP(INT($C$5)+1,Tablas!$G$9:$O$1240,9,0)*($C$5-INT($C$5))+VLOOKUP(INT($C$5),Tablas!$G$9:$O$124,9,0)*(INT($C$5)+1-$C$5)))</f>
      </c>
      <c r="G1084" s="791">
        <f>IF($C$4="Hombre",(+VLOOKUP(INT(D1084)+1,Tablas!$G$9:$K$1240,5,0)*(D1084-INT(D1084))+VLOOKUP(INT(D1084),Tablas!$G$9:$K$1240,5,0)*(INT(D1084)+1-D1084)),+VLOOKUP(INT(D1084)+1,Tablas!$G$9:$O$1240,9,0)*(D1084-INT(D1084))+VLOOKUP(INT(D1084),Tablas!$G$9:$O$1240,9,0)*(INT(D1084)+1-D1084))</f>
      </c>
      <c r="H1084" s="801">
        <f>+IF(MONTH(B1084)=1,H1083*(1+$C$9),H1083)</f>
      </c>
      <c r="I1084" s="689">
        <f>IF(B1084&lt;$C$10,0,IF(B1084&lt;$C$11,$C$8/12*E1084*F1084*H1084,0))</f>
      </c>
      <c r="J1084" s="689">
        <f>I1084*12/14+IF(OR(MONTH(C1084)=6,MONTH(C1084)=12),I1084*12/14,0)</f>
      </c>
      <c r="K1084" s="801">
        <f>G1084/$G$15</f>
      </c>
      <c r="L1084" s="760"/>
      <c r="M1084" s="767"/>
      <c r="N1084" s="168"/>
      <c r="O1084" s="768"/>
      <c r="P1084" s="170"/>
      <c r="Q1084" s="7"/>
      <c r="R1084" s="766"/>
      <c r="S1084" s="170"/>
      <c r="T1084" s="168"/>
      <c r="U1084" s="170"/>
    </row>
    <row x14ac:dyDescent="0.25" r="1085" customHeight="1" ht="18.75">
      <c r="A1085" s="1"/>
      <c r="B1085" s="799">
        <f>+DATE(YEAR(B1084),MONTH(B1084)+1,DAY(B1084))</f>
        <v>25569.041666666668</v>
      </c>
      <c r="C1085" s="799">
        <f>+B1086-1</f>
        <v>25569.041666666668</v>
      </c>
      <c r="D1085" s="791">
        <f>-_xlfn.DAYS($C$3,C1085)/365.25</f>
      </c>
      <c r="E1085" s="800">
        <f>IF($D$17+40&lt;=D1085,(1+$D$7)^-(D1085-$C$5),(1+$C$7)^-(D1085-$C$5))</f>
      </c>
      <c r="F1085" s="801">
        <f>IF($C$4="Hombre",(+VLOOKUP(INT(D1085)+1,Tablas!$G$9:$K$1240,5,0)*(D1085-INT(D1085))+VLOOKUP(INT(D1085),Tablas!$G$9:$K$1240,5,0)*(INT(D1085)+1-D1085))/(VLOOKUP(INT($C$5)+1,Tablas!$G$9:$K$1240,5,0)*($C$5-INT($C$5))+VLOOKUP(INT($C$5),Tablas!$G$9:$K$124,5,0)*(INT($C$5)+1-$C$5)),(+VLOOKUP(INT(D1085)+1,Tablas!$G$9:$O$1240,9,0)*(D1085-INT(D1085))+VLOOKUP(INT(D1085),Tablas!$G$9:$O$1240,9,0)*(INT(D1085)+1-D1085))/(VLOOKUP(INT($C$5)+1,Tablas!$G$9:$O$1240,9,0)*($C$5-INT($C$5))+VLOOKUP(INT($C$5),Tablas!$G$9:$O$124,9,0)*(INT($C$5)+1-$C$5)))</f>
      </c>
      <c r="G1085" s="791">
        <f>IF($C$4="Hombre",(+VLOOKUP(INT(D1085)+1,Tablas!$G$9:$K$1240,5,0)*(D1085-INT(D1085))+VLOOKUP(INT(D1085),Tablas!$G$9:$K$1240,5,0)*(INT(D1085)+1-D1085)),+VLOOKUP(INT(D1085)+1,Tablas!$G$9:$O$1240,9,0)*(D1085-INT(D1085))+VLOOKUP(INT(D1085),Tablas!$G$9:$O$1240,9,0)*(INT(D1085)+1-D1085))</f>
      </c>
      <c r="H1085" s="801">
        <f>+IF(MONTH(B1085)=1,H1084*(1+$C$9),H1084)</f>
      </c>
      <c r="I1085" s="689">
        <f>IF(B1085&lt;$C$10,0,IF(B1085&lt;$C$11,$C$8/12*E1085*F1085*H1085,0))</f>
      </c>
      <c r="J1085" s="689">
        <f>I1085*12/14+IF(OR(MONTH(C1085)=6,MONTH(C1085)=12),I1085*12/14,0)</f>
      </c>
      <c r="K1085" s="801">
        <f>G1085/$G$15</f>
      </c>
      <c r="L1085" s="760"/>
      <c r="M1085" s="767"/>
      <c r="N1085" s="168"/>
      <c r="O1085" s="768"/>
      <c r="P1085" s="170"/>
      <c r="Q1085" s="7"/>
      <c r="R1085" s="766"/>
      <c r="S1085" s="170"/>
      <c r="T1085" s="168"/>
      <c r="U1085" s="170"/>
    </row>
    <row x14ac:dyDescent="0.25" r="1086" customHeight="1" ht="18.75">
      <c r="A1086" s="1"/>
      <c r="B1086" s="799">
        <f>+DATE(YEAR(B1085),MONTH(B1085)+1,DAY(B1085))</f>
        <v>25569.041666666668</v>
      </c>
      <c r="C1086" s="799">
        <f>+B1087-1</f>
        <v>25569.041666666668</v>
      </c>
      <c r="D1086" s="791">
        <f>-_xlfn.DAYS($C$3,C1086)/365.25</f>
      </c>
      <c r="E1086" s="800">
        <f>IF($D$17+40&lt;=D1086,(1+$D$7)^-(D1086-$C$5),(1+$C$7)^-(D1086-$C$5))</f>
      </c>
      <c r="F1086" s="801">
        <f>IF($C$4="Hombre",(+VLOOKUP(INT(D1086)+1,Tablas!$G$9:$K$1240,5,0)*(D1086-INT(D1086))+VLOOKUP(INT(D1086),Tablas!$G$9:$K$1240,5,0)*(INT(D1086)+1-D1086))/(VLOOKUP(INT($C$5)+1,Tablas!$G$9:$K$1240,5,0)*($C$5-INT($C$5))+VLOOKUP(INT($C$5),Tablas!$G$9:$K$124,5,0)*(INT($C$5)+1-$C$5)),(+VLOOKUP(INT(D1086)+1,Tablas!$G$9:$O$1240,9,0)*(D1086-INT(D1086))+VLOOKUP(INT(D1086),Tablas!$G$9:$O$1240,9,0)*(INT(D1086)+1-D1086))/(VLOOKUP(INT($C$5)+1,Tablas!$G$9:$O$1240,9,0)*($C$5-INT($C$5))+VLOOKUP(INT($C$5),Tablas!$G$9:$O$124,9,0)*(INT($C$5)+1-$C$5)))</f>
      </c>
      <c r="G1086" s="791">
        <f>IF($C$4="Hombre",(+VLOOKUP(INT(D1086)+1,Tablas!$G$9:$K$1240,5,0)*(D1086-INT(D1086))+VLOOKUP(INT(D1086),Tablas!$G$9:$K$1240,5,0)*(INT(D1086)+1-D1086)),+VLOOKUP(INT(D1086)+1,Tablas!$G$9:$O$1240,9,0)*(D1086-INT(D1086))+VLOOKUP(INT(D1086),Tablas!$G$9:$O$1240,9,0)*(INT(D1086)+1-D1086))</f>
      </c>
      <c r="H1086" s="801">
        <f>+IF(MONTH(B1086)=1,H1085*(1+$C$9),H1085)</f>
      </c>
      <c r="I1086" s="689">
        <f>IF(B1086&lt;$C$10,0,IF(B1086&lt;$C$11,$C$8/12*E1086*F1086*H1086,0))</f>
      </c>
      <c r="J1086" s="689">
        <f>I1086*12/14+IF(OR(MONTH(C1086)=6,MONTH(C1086)=12),I1086*12/14,0)</f>
      </c>
      <c r="K1086" s="801">
        <f>G1086/$G$15</f>
      </c>
      <c r="L1086" s="760"/>
      <c r="M1086" s="767"/>
      <c r="N1086" s="168"/>
      <c r="O1086" s="768"/>
      <c r="P1086" s="170"/>
      <c r="Q1086" s="7"/>
      <c r="R1086" s="766"/>
      <c r="S1086" s="170"/>
      <c r="T1086" s="168"/>
      <c r="U1086" s="170"/>
    </row>
    <row x14ac:dyDescent="0.25" r="1087" customHeight="1" ht="18.75">
      <c r="A1087" s="1"/>
      <c r="B1087" s="799">
        <f>+DATE(YEAR(B1086),MONTH(B1086)+1,DAY(B1086))</f>
        <v>25569.041666666668</v>
      </c>
      <c r="C1087" s="799">
        <f>+B1088-1</f>
        <v>25569.041666666668</v>
      </c>
      <c r="D1087" s="791">
        <f>-_xlfn.DAYS($C$3,C1087)/365.25</f>
      </c>
      <c r="E1087" s="800">
        <f>IF($D$17+40&lt;=D1087,(1+$D$7)^-(D1087-$C$5),(1+$C$7)^-(D1087-$C$5))</f>
      </c>
      <c r="F1087" s="801">
        <f>IF($C$4="Hombre",(+VLOOKUP(INT(D1087)+1,Tablas!$G$9:$K$1240,5,0)*(D1087-INT(D1087))+VLOOKUP(INT(D1087),Tablas!$G$9:$K$1240,5,0)*(INT(D1087)+1-D1087))/(VLOOKUP(INT($C$5)+1,Tablas!$G$9:$K$1240,5,0)*($C$5-INT($C$5))+VLOOKUP(INT($C$5),Tablas!$G$9:$K$124,5,0)*(INT($C$5)+1-$C$5)),(+VLOOKUP(INT(D1087)+1,Tablas!$G$9:$O$1240,9,0)*(D1087-INT(D1087))+VLOOKUP(INT(D1087),Tablas!$G$9:$O$1240,9,0)*(INT(D1087)+1-D1087))/(VLOOKUP(INT($C$5)+1,Tablas!$G$9:$O$1240,9,0)*($C$5-INT($C$5))+VLOOKUP(INT($C$5),Tablas!$G$9:$O$124,9,0)*(INT($C$5)+1-$C$5)))</f>
      </c>
      <c r="G1087" s="791">
        <f>IF($C$4="Hombre",(+VLOOKUP(INT(D1087)+1,Tablas!$G$9:$K$1240,5,0)*(D1087-INT(D1087))+VLOOKUP(INT(D1087),Tablas!$G$9:$K$1240,5,0)*(INT(D1087)+1-D1087)),+VLOOKUP(INT(D1087)+1,Tablas!$G$9:$O$1240,9,0)*(D1087-INT(D1087))+VLOOKUP(INT(D1087),Tablas!$G$9:$O$1240,9,0)*(INT(D1087)+1-D1087))</f>
      </c>
      <c r="H1087" s="801">
        <f>+IF(MONTH(B1087)=1,H1086*(1+$C$9),H1086)</f>
      </c>
      <c r="I1087" s="689">
        <f>IF(B1087&lt;$C$10,0,IF(B1087&lt;$C$11,$C$8/12*E1087*F1087*H1087,0))</f>
      </c>
      <c r="J1087" s="689">
        <f>I1087*12/14+IF(OR(MONTH(C1087)=6,MONTH(C1087)=12),I1087*12/14,0)</f>
      </c>
      <c r="K1087" s="801">
        <f>G1087/$G$15</f>
      </c>
      <c r="L1087" s="760"/>
      <c r="M1087" s="767"/>
      <c r="N1087" s="168"/>
      <c r="O1087" s="768"/>
      <c r="P1087" s="170"/>
      <c r="Q1087" s="7"/>
      <c r="R1087" s="766"/>
      <c r="S1087" s="170"/>
      <c r="T1087" s="168"/>
      <c r="U1087" s="170"/>
    </row>
    <row x14ac:dyDescent="0.25" r="1088" customHeight="1" ht="18.75">
      <c r="A1088" s="1"/>
      <c r="B1088" s="799">
        <f>+DATE(YEAR(B1087),MONTH(B1087)+1,DAY(B1087))</f>
        <v>25569.041666666668</v>
      </c>
      <c r="C1088" s="799">
        <f>+B1089-1</f>
        <v>25569.041666666668</v>
      </c>
      <c r="D1088" s="791">
        <f>-_xlfn.DAYS($C$3,C1088)/365.25</f>
      </c>
      <c r="E1088" s="800">
        <f>IF($D$17+40&lt;=D1088,(1+$D$7)^-(D1088-$C$5),(1+$C$7)^-(D1088-$C$5))</f>
      </c>
      <c r="F1088" s="801">
        <f>IF($C$4="Hombre",(+VLOOKUP(INT(D1088)+1,Tablas!$G$9:$K$1240,5,0)*(D1088-INT(D1088))+VLOOKUP(INT(D1088),Tablas!$G$9:$K$1240,5,0)*(INT(D1088)+1-D1088))/(VLOOKUP(INT($C$5)+1,Tablas!$G$9:$K$1240,5,0)*($C$5-INT($C$5))+VLOOKUP(INT($C$5),Tablas!$G$9:$K$124,5,0)*(INT($C$5)+1-$C$5)),(+VLOOKUP(INT(D1088)+1,Tablas!$G$9:$O$1240,9,0)*(D1088-INT(D1088))+VLOOKUP(INT(D1088),Tablas!$G$9:$O$1240,9,0)*(INT(D1088)+1-D1088))/(VLOOKUP(INT($C$5)+1,Tablas!$G$9:$O$1240,9,0)*($C$5-INT($C$5))+VLOOKUP(INT($C$5),Tablas!$G$9:$O$124,9,0)*(INT($C$5)+1-$C$5)))</f>
      </c>
      <c r="G1088" s="791">
        <f>IF($C$4="Hombre",(+VLOOKUP(INT(D1088)+1,Tablas!$G$9:$K$1240,5,0)*(D1088-INT(D1088))+VLOOKUP(INT(D1088),Tablas!$G$9:$K$1240,5,0)*(INT(D1088)+1-D1088)),+VLOOKUP(INT(D1088)+1,Tablas!$G$9:$O$1240,9,0)*(D1088-INT(D1088))+VLOOKUP(INT(D1088),Tablas!$G$9:$O$1240,9,0)*(INT(D1088)+1-D1088))</f>
      </c>
      <c r="H1088" s="801">
        <f>+IF(MONTH(B1088)=1,H1087*(1+$C$9),H1087)</f>
      </c>
      <c r="I1088" s="689">
        <f>IF(B1088&lt;$C$10,0,IF(B1088&lt;$C$11,$C$8/12*E1088*F1088*H1088,0))</f>
      </c>
      <c r="J1088" s="689">
        <f>I1088*12/14+IF(OR(MONTH(C1088)=6,MONTH(C1088)=12),I1088*12/14,0)</f>
      </c>
      <c r="K1088" s="801">
        <f>G1088/$G$15</f>
      </c>
      <c r="L1088" s="760"/>
      <c r="M1088" s="767"/>
      <c r="N1088" s="168"/>
      <c r="O1088" s="768"/>
      <c r="P1088" s="170"/>
      <c r="Q1088" s="7"/>
      <c r="R1088" s="766"/>
      <c r="S1088" s="170"/>
      <c r="T1088" s="168"/>
      <c r="U1088" s="170"/>
    </row>
    <row x14ac:dyDescent="0.25" r="1089" customHeight="1" ht="18.75">
      <c r="A1089" s="1"/>
      <c r="B1089" s="799">
        <f>+DATE(YEAR(B1088),MONTH(B1088)+1,DAY(B1088))</f>
        <v>25569.041666666668</v>
      </c>
      <c r="C1089" s="799">
        <f>+B1090-1</f>
        <v>25569.041666666668</v>
      </c>
      <c r="D1089" s="791">
        <f>-_xlfn.DAYS($C$3,C1089)/365.25</f>
      </c>
      <c r="E1089" s="800">
        <f>IF($D$17+40&lt;=D1089,(1+$D$7)^-(D1089-$C$5),(1+$C$7)^-(D1089-$C$5))</f>
      </c>
      <c r="F1089" s="801">
        <f>IF($C$4="Hombre",(+VLOOKUP(INT(D1089)+1,Tablas!$G$9:$K$1240,5,0)*(D1089-INT(D1089))+VLOOKUP(INT(D1089),Tablas!$G$9:$K$1240,5,0)*(INT(D1089)+1-D1089))/(VLOOKUP(INT($C$5)+1,Tablas!$G$9:$K$1240,5,0)*($C$5-INT($C$5))+VLOOKUP(INT($C$5),Tablas!$G$9:$K$124,5,0)*(INT($C$5)+1-$C$5)),(+VLOOKUP(INT(D1089)+1,Tablas!$G$9:$O$1240,9,0)*(D1089-INT(D1089))+VLOOKUP(INT(D1089),Tablas!$G$9:$O$1240,9,0)*(INT(D1089)+1-D1089))/(VLOOKUP(INT($C$5)+1,Tablas!$G$9:$O$1240,9,0)*($C$5-INT($C$5))+VLOOKUP(INT($C$5),Tablas!$G$9:$O$124,9,0)*(INT($C$5)+1-$C$5)))</f>
      </c>
      <c r="G1089" s="791">
        <f>IF($C$4="Hombre",(+VLOOKUP(INT(D1089)+1,Tablas!$G$9:$K$1240,5,0)*(D1089-INT(D1089))+VLOOKUP(INT(D1089),Tablas!$G$9:$K$1240,5,0)*(INT(D1089)+1-D1089)),+VLOOKUP(INT(D1089)+1,Tablas!$G$9:$O$1240,9,0)*(D1089-INT(D1089))+VLOOKUP(INT(D1089),Tablas!$G$9:$O$1240,9,0)*(INT(D1089)+1-D1089))</f>
      </c>
      <c r="H1089" s="801">
        <f>+IF(MONTH(B1089)=1,H1088*(1+$C$9),H1088)</f>
      </c>
      <c r="I1089" s="689">
        <f>IF(B1089&lt;$C$10,0,IF(B1089&lt;$C$11,$C$8/12*E1089*F1089*H1089,0))</f>
      </c>
      <c r="J1089" s="689">
        <f>I1089*12/14+IF(OR(MONTH(C1089)=6,MONTH(C1089)=12),I1089*12/14,0)</f>
      </c>
      <c r="K1089" s="801">
        <f>G1089/$G$15</f>
      </c>
      <c r="L1089" s="760"/>
      <c r="M1089" s="767"/>
      <c r="N1089" s="168"/>
      <c r="O1089" s="768"/>
      <c r="P1089" s="170"/>
      <c r="Q1089" s="7"/>
      <c r="R1089" s="766"/>
      <c r="S1089" s="170"/>
      <c r="T1089" s="168"/>
      <c r="U1089" s="170"/>
    </row>
    <row x14ac:dyDescent="0.25" r="1090" customHeight="1" ht="18.75">
      <c r="A1090" s="1"/>
      <c r="B1090" s="799">
        <f>+DATE(YEAR(B1089),MONTH(B1089)+1,DAY(B1089))</f>
        <v>25569.041666666668</v>
      </c>
      <c r="C1090" s="799">
        <f>+B1091-1</f>
        <v>25569.041666666668</v>
      </c>
      <c r="D1090" s="791">
        <f>-_xlfn.DAYS($C$3,C1090)/365.25</f>
      </c>
      <c r="E1090" s="800">
        <f>IF($D$17+40&lt;=D1090,(1+$D$7)^-(D1090-$C$5),(1+$C$7)^-(D1090-$C$5))</f>
      </c>
      <c r="F1090" s="801">
        <f>IF($C$4="Hombre",(+VLOOKUP(INT(D1090)+1,Tablas!$G$9:$K$1240,5,0)*(D1090-INT(D1090))+VLOOKUP(INT(D1090),Tablas!$G$9:$K$1240,5,0)*(INT(D1090)+1-D1090))/(VLOOKUP(INT($C$5)+1,Tablas!$G$9:$K$1240,5,0)*($C$5-INT($C$5))+VLOOKUP(INT($C$5),Tablas!$G$9:$K$124,5,0)*(INT($C$5)+1-$C$5)),(+VLOOKUP(INT(D1090)+1,Tablas!$G$9:$O$1240,9,0)*(D1090-INT(D1090))+VLOOKUP(INT(D1090),Tablas!$G$9:$O$1240,9,0)*(INT(D1090)+1-D1090))/(VLOOKUP(INT($C$5)+1,Tablas!$G$9:$O$1240,9,0)*($C$5-INT($C$5))+VLOOKUP(INT($C$5),Tablas!$G$9:$O$124,9,0)*(INT($C$5)+1-$C$5)))</f>
      </c>
      <c r="G1090" s="791">
        <f>IF($C$4="Hombre",(+VLOOKUP(INT(D1090)+1,Tablas!$G$9:$K$1240,5,0)*(D1090-INT(D1090))+VLOOKUP(INT(D1090),Tablas!$G$9:$K$1240,5,0)*(INT(D1090)+1-D1090)),+VLOOKUP(INT(D1090)+1,Tablas!$G$9:$O$1240,9,0)*(D1090-INT(D1090))+VLOOKUP(INT(D1090),Tablas!$G$9:$O$1240,9,0)*(INT(D1090)+1-D1090))</f>
      </c>
      <c r="H1090" s="801">
        <f>+IF(MONTH(B1090)=1,H1089*(1+$C$9),H1089)</f>
      </c>
      <c r="I1090" s="689">
        <f>IF(B1090&lt;$C$10,0,IF(B1090&lt;$C$11,$C$8/12*E1090*F1090*H1090,0))</f>
      </c>
      <c r="J1090" s="689">
        <f>I1090*12/14+IF(OR(MONTH(C1090)=6,MONTH(C1090)=12),I1090*12/14,0)</f>
      </c>
      <c r="K1090" s="801">
        <f>G1090/$G$15</f>
      </c>
      <c r="L1090" s="760"/>
      <c r="M1090" s="767"/>
      <c r="N1090" s="168"/>
      <c r="O1090" s="768"/>
      <c r="P1090" s="170"/>
      <c r="Q1090" s="7"/>
      <c r="R1090" s="766"/>
      <c r="S1090" s="170"/>
      <c r="T1090" s="168"/>
      <c r="U1090" s="170"/>
    </row>
    <row x14ac:dyDescent="0.25" r="1091" customHeight="1" ht="18.75">
      <c r="A1091" s="1"/>
      <c r="B1091" s="799">
        <f>+DATE(YEAR(B1090),MONTH(B1090)+1,DAY(B1090))</f>
        <v>25569.041666666668</v>
      </c>
      <c r="C1091" s="799">
        <f>+B1092-1</f>
        <v>25569.041666666668</v>
      </c>
      <c r="D1091" s="791">
        <f>-_xlfn.DAYS($C$3,C1091)/365.25</f>
      </c>
      <c r="E1091" s="800">
        <f>IF($D$17+40&lt;=D1091,(1+$D$7)^-(D1091-$C$5),(1+$C$7)^-(D1091-$C$5))</f>
      </c>
      <c r="F1091" s="801">
        <f>IF($C$4="Hombre",(+VLOOKUP(INT(D1091)+1,Tablas!$G$9:$K$1240,5,0)*(D1091-INT(D1091))+VLOOKUP(INT(D1091),Tablas!$G$9:$K$1240,5,0)*(INT(D1091)+1-D1091))/(VLOOKUP(INT($C$5)+1,Tablas!$G$9:$K$1240,5,0)*($C$5-INT($C$5))+VLOOKUP(INT($C$5),Tablas!$G$9:$K$124,5,0)*(INT($C$5)+1-$C$5)),(+VLOOKUP(INT(D1091)+1,Tablas!$G$9:$O$1240,9,0)*(D1091-INT(D1091))+VLOOKUP(INT(D1091),Tablas!$G$9:$O$1240,9,0)*(INT(D1091)+1-D1091))/(VLOOKUP(INT($C$5)+1,Tablas!$G$9:$O$1240,9,0)*($C$5-INT($C$5))+VLOOKUP(INT($C$5),Tablas!$G$9:$O$124,9,0)*(INT($C$5)+1-$C$5)))</f>
      </c>
      <c r="G1091" s="791">
        <f>IF($C$4="Hombre",(+VLOOKUP(INT(D1091)+1,Tablas!$G$9:$K$1240,5,0)*(D1091-INT(D1091))+VLOOKUP(INT(D1091),Tablas!$G$9:$K$1240,5,0)*(INT(D1091)+1-D1091)),+VLOOKUP(INT(D1091)+1,Tablas!$G$9:$O$1240,9,0)*(D1091-INT(D1091))+VLOOKUP(INT(D1091),Tablas!$G$9:$O$1240,9,0)*(INT(D1091)+1-D1091))</f>
      </c>
      <c r="H1091" s="801">
        <f>+IF(MONTH(B1091)=1,H1090*(1+$C$9),H1090)</f>
      </c>
      <c r="I1091" s="689">
        <f>IF(B1091&lt;$C$10,0,IF(B1091&lt;$C$11,$C$8/12*E1091*F1091*H1091,0))</f>
      </c>
      <c r="J1091" s="689">
        <f>I1091*12/14+IF(OR(MONTH(C1091)=6,MONTH(C1091)=12),I1091*12/14,0)</f>
      </c>
      <c r="K1091" s="801">
        <f>G1091/$G$15</f>
      </c>
      <c r="L1091" s="760"/>
      <c r="M1091" s="767"/>
      <c r="N1091" s="168"/>
      <c r="O1091" s="768"/>
      <c r="P1091" s="170"/>
      <c r="Q1091" s="7"/>
      <c r="R1091" s="766"/>
      <c r="S1091" s="170"/>
      <c r="T1091" s="168"/>
      <c r="U1091" s="170"/>
    </row>
    <row x14ac:dyDescent="0.25" r="1092" customHeight="1" ht="18.75">
      <c r="A1092" s="1"/>
      <c r="B1092" s="799">
        <f>+DATE(YEAR(B1091),MONTH(B1091)+1,DAY(B1091))</f>
        <v>25569.041666666668</v>
      </c>
      <c r="C1092" s="799">
        <f>+B1093-1</f>
        <v>25569.041666666668</v>
      </c>
      <c r="D1092" s="791">
        <f>-_xlfn.DAYS($C$3,C1092)/365.25</f>
      </c>
      <c r="E1092" s="800">
        <f>IF($D$17+40&lt;=D1092,(1+$D$7)^-(D1092-$C$5),(1+$C$7)^-(D1092-$C$5))</f>
      </c>
      <c r="F1092" s="801">
        <f>IF($C$4="Hombre",(+VLOOKUP(INT(D1092)+1,Tablas!$G$9:$K$1240,5,0)*(D1092-INT(D1092))+VLOOKUP(INT(D1092),Tablas!$G$9:$K$1240,5,0)*(INT(D1092)+1-D1092))/(VLOOKUP(INT($C$5)+1,Tablas!$G$9:$K$1240,5,0)*($C$5-INT($C$5))+VLOOKUP(INT($C$5),Tablas!$G$9:$K$124,5,0)*(INT($C$5)+1-$C$5)),(+VLOOKUP(INT(D1092)+1,Tablas!$G$9:$O$1240,9,0)*(D1092-INT(D1092))+VLOOKUP(INT(D1092),Tablas!$G$9:$O$1240,9,0)*(INT(D1092)+1-D1092))/(VLOOKUP(INT($C$5)+1,Tablas!$G$9:$O$1240,9,0)*($C$5-INT($C$5))+VLOOKUP(INT($C$5),Tablas!$G$9:$O$124,9,0)*(INT($C$5)+1-$C$5)))</f>
      </c>
      <c r="G1092" s="791">
        <f>IF($C$4="Hombre",(+VLOOKUP(INT(D1092)+1,Tablas!$G$9:$K$1240,5,0)*(D1092-INT(D1092))+VLOOKUP(INT(D1092),Tablas!$G$9:$K$1240,5,0)*(INT(D1092)+1-D1092)),+VLOOKUP(INT(D1092)+1,Tablas!$G$9:$O$1240,9,0)*(D1092-INT(D1092))+VLOOKUP(INT(D1092),Tablas!$G$9:$O$1240,9,0)*(INT(D1092)+1-D1092))</f>
      </c>
      <c r="H1092" s="801">
        <f>+IF(MONTH(B1092)=1,H1091*(1+$C$9),H1091)</f>
      </c>
      <c r="I1092" s="689">
        <f>IF(B1092&lt;$C$10,0,IF(B1092&lt;$C$11,$C$8/12*E1092*F1092*H1092,0))</f>
      </c>
      <c r="J1092" s="689">
        <f>I1092*12/14+IF(OR(MONTH(C1092)=6,MONTH(C1092)=12),I1092*12/14,0)</f>
      </c>
      <c r="K1092" s="801">
        <f>G1092/$G$15</f>
      </c>
      <c r="L1092" s="760"/>
      <c r="M1092" s="767"/>
      <c r="N1092" s="168"/>
      <c r="O1092" s="768"/>
      <c r="P1092" s="170"/>
      <c r="Q1092" s="7"/>
      <c r="R1092" s="766"/>
      <c r="S1092" s="170"/>
      <c r="T1092" s="168"/>
      <c r="U1092" s="170"/>
    </row>
    <row x14ac:dyDescent="0.25" r="1093" customHeight="1" ht="18.75">
      <c r="A1093" s="1"/>
      <c r="B1093" s="799">
        <f>+DATE(YEAR(B1092),MONTH(B1092)+1,DAY(B1092))</f>
        <v>25569.041666666668</v>
      </c>
      <c r="C1093" s="799">
        <f>+B1094-1</f>
        <v>25569.041666666668</v>
      </c>
      <c r="D1093" s="791">
        <f>-_xlfn.DAYS($C$3,C1093)/365.25</f>
      </c>
      <c r="E1093" s="800">
        <f>IF($D$17+40&lt;=D1093,(1+$D$7)^-(D1093-$C$5),(1+$C$7)^-(D1093-$C$5))</f>
      </c>
      <c r="F1093" s="801">
        <f>IF($C$4="Hombre",(+VLOOKUP(INT(D1093)+1,Tablas!$G$9:$K$1240,5,0)*(D1093-INT(D1093))+VLOOKUP(INT(D1093),Tablas!$G$9:$K$1240,5,0)*(INT(D1093)+1-D1093))/(VLOOKUP(INT($C$5)+1,Tablas!$G$9:$K$1240,5,0)*($C$5-INT($C$5))+VLOOKUP(INT($C$5),Tablas!$G$9:$K$124,5,0)*(INT($C$5)+1-$C$5)),(+VLOOKUP(INT(D1093)+1,Tablas!$G$9:$O$1240,9,0)*(D1093-INT(D1093))+VLOOKUP(INT(D1093),Tablas!$G$9:$O$1240,9,0)*(INT(D1093)+1-D1093))/(VLOOKUP(INT($C$5)+1,Tablas!$G$9:$O$1240,9,0)*($C$5-INT($C$5))+VLOOKUP(INT($C$5),Tablas!$G$9:$O$124,9,0)*(INT($C$5)+1-$C$5)))</f>
      </c>
      <c r="G1093" s="791">
        <f>IF($C$4="Hombre",(+VLOOKUP(INT(D1093)+1,Tablas!$G$9:$K$1240,5,0)*(D1093-INT(D1093))+VLOOKUP(INT(D1093),Tablas!$G$9:$K$1240,5,0)*(INT(D1093)+1-D1093)),+VLOOKUP(INT(D1093)+1,Tablas!$G$9:$O$1240,9,0)*(D1093-INT(D1093))+VLOOKUP(INT(D1093),Tablas!$G$9:$O$1240,9,0)*(INT(D1093)+1-D1093))</f>
      </c>
      <c r="H1093" s="801">
        <f>+IF(MONTH(B1093)=1,H1092*(1+$C$9),H1092)</f>
      </c>
      <c r="I1093" s="689">
        <f>IF(B1093&lt;$C$10,0,IF(B1093&lt;$C$11,$C$8/12*E1093*F1093*H1093,0))</f>
      </c>
      <c r="J1093" s="689">
        <f>I1093*12/14+IF(OR(MONTH(C1093)=6,MONTH(C1093)=12),I1093*12/14,0)</f>
      </c>
      <c r="K1093" s="801">
        <f>G1093/$G$15</f>
      </c>
      <c r="L1093" s="760"/>
      <c r="M1093" s="767"/>
      <c r="N1093" s="168"/>
      <c r="O1093" s="768"/>
      <c r="P1093" s="170"/>
      <c r="Q1093" s="7"/>
      <c r="R1093" s="766"/>
      <c r="S1093" s="170"/>
      <c r="T1093" s="168"/>
      <c r="U1093" s="170"/>
    </row>
    <row x14ac:dyDescent="0.25" r="1094" customHeight="1" ht="18.75">
      <c r="A1094" s="1"/>
      <c r="B1094" s="799">
        <f>+DATE(YEAR(B1093),MONTH(B1093)+1,DAY(B1093))</f>
        <v>25569.041666666668</v>
      </c>
      <c r="C1094" s="799">
        <f>+B1095-1</f>
        <v>25569.041666666668</v>
      </c>
      <c r="D1094" s="791">
        <f>-_xlfn.DAYS($C$3,C1094)/365.25</f>
      </c>
      <c r="E1094" s="800">
        <f>IF($D$17+40&lt;=D1094,(1+$D$7)^-(D1094-$C$5),(1+$C$7)^-(D1094-$C$5))</f>
      </c>
      <c r="F1094" s="801">
        <f>IF($C$4="Hombre",(+VLOOKUP(INT(D1094)+1,Tablas!$G$9:$K$1240,5,0)*(D1094-INT(D1094))+VLOOKUP(INT(D1094),Tablas!$G$9:$K$1240,5,0)*(INT(D1094)+1-D1094))/(VLOOKUP(INT($C$5)+1,Tablas!$G$9:$K$1240,5,0)*($C$5-INT($C$5))+VLOOKUP(INT($C$5),Tablas!$G$9:$K$124,5,0)*(INT($C$5)+1-$C$5)),(+VLOOKUP(INT(D1094)+1,Tablas!$G$9:$O$1240,9,0)*(D1094-INT(D1094))+VLOOKUP(INT(D1094),Tablas!$G$9:$O$1240,9,0)*(INT(D1094)+1-D1094))/(VLOOKUP(INT($C$5)+1,Tablas!$G$9:$O$1240,9,0)*($C$5-INT($C$5))+VLOOKUP(INT($C$5),Tablas!$G$9:$O$124,9,0)*(INT($C$5)+1-$C$5)))</f>
      </c>
      <c r="G1094" s="791">
        <f>IF($C$4="Hombre",(+VLOOKUP(INT(D1094)+1,Tablas!$G$9:$K$1240,5,0)*(D1094-INT(D1094))+VLOOKUP(INT(D1094),Tablas!$G$9:$K$1240,5,0)*(INT(D1094)+1-D1094)),+VLOOKUP(INT(D1094)+1,Tablas!$G$9:$O$1240,9,0)*(D1094-INT(D1094))+VLOOKUP(INT(D1094),Tablas!$G$9:$O$1240,9,0)*(INT(D1094)+1-D1094))</f>
      </c>
      <c r="H1094" s="801">
        <f>+IF(MONTH(B1094)=1,H1093*(1+$C$9),H1093)</f>
      </c>
      <c r="I1094" s="689">
        <f>IF(B1094&lt;$C$10,0,IF(B1094&lt;$C$11,$C$8/12*E1094*F1094*H1094,0))</f>
      </c>
      <c r="J1094" s="689">
        <f>I1094*12/14+IF(OR(MONTH(C1094)=6,MONTH(C1094)=12),I1094*12/14,0)</f>
      </c>
      <c r="K1094" s="801">
        <f>G1094/$G$15</f>
      </c>
      <c r="L1094" s="760"/>
      <c r="M1094" s="767"/>
      <c r="N1094" s="168"/>
      <c r="O1094" s="768"/>
      <c r="P1094" s="170"/>
      <c r="Q1094" s="7"/>
      <c r="R1094" s="766"/>
      <c r="S1094" s="170"/>
      <c r="T1094" s="168"/>
      <c r="U1094" s="170"/>
    </row>
    <row x14ac:dyDescent="0.25" r="1095" customHeight="1" ht="18.75">
      <c r="A1095" s="1"/>
      <c r="B1095" s="799">
        <f>+DATE(YEAR(B1094),MONTH(B1094)+1,DAY(B1094))</f>
        <v>25569.041666666668</v>
      </c>
      <c r="C1095" s="799">
        <f>+B1096-1</f>
        <v>25569.041666666668</v>
      </c>
      <c r="D1095" s="791">
        <f>-_xlfn.DAYS($C$3,C1095)/365.25</f>
      </c>
      <c r="E1095" s="800">
        <f>IF($D$17+40&lt;=D1095,(1+$D$7)^-(D1095-$C$5),(1+$C$7)^-(D1095-$C$5))</f>
      </c>
      <c r="F1095" s="801">
        <f>IF($C$4="Hombre",(+VLOOKUP(INT(D1095)+1,Tablas!$G$9:$K$1240,5,0)*(D1095-INT(D1095))+VLOOKUP(INT(D1095),Tablas!$G$9:$K$1240,5,0)*(INT(D1095)+1-D1095))/(VLOOKUP(INT($C$5)+1,Tablas!$G$9:$K$1240,5,0)*($C$5-INT($C$5))+VLOOKUP(INT($C$5),Tablas!$G$9:$K$124,5,0)*(INT($C$5)+1-$C$5)),(+VLOOKUP(INT(D1095)+1,Tablas!$G$9:$O$1240,9,0)*(D1095-INT(D1095))+VLOOKUP(INT(D1095),Tablas!$G$9:$O$1240,9,0)*(INT(D1095)+1-D1095))/(VLOOKUP(INT($C$5)+1,Tablas!$G$9:$O$1240,9,0)*($C$5-INT($C$5))+VLOOKUP(INT($C$5),Tablas!$G$9:$O$124,9,0)*(INT($C$5)+1-$C$5)))</f>
      </c>
      <c r="G1095" s="791">
        <f>IF($C$4="Hombre",(+VLOOKUP(INT(D1095)+1,Tablas!$G$9:$K$1240,5,0)*(D1095-INT(D1095))+VLOOKUP(INT(D1095),Tablas!$G$9:$K$1240,5,0)*(INT(D1095)+1-D1095)),+VLOOKUP(INT(D1095)+1,Tablas!$G$9:$O$1240,9,0)*(D1095-INT(D1095))+VLOOKUP(INT(D1095),Tablas!$G$9:$O$1240,9,0)*(INT(D1095)+1-D1095))</f>
      </c>
      <c r="H1095" s="801">
        <f>+IF(MONTH(B1095)=1,H1094*(1+$C$9),H1094)</f>
      </c>
      <c r="I1095" s="689">
        <f>IF(B1095&lt;$C$10,0,IF(B1095&lt;$C$11,$C$8/12*E1095*F1095*H1095,0))</f>
      </c>
      <c r="J1095" s="689">
        <f>I1095*12/14+IF(OR(MONTH(C1095)=6,MONTH(C1095)=12),I1095*12/14,0)</f>
      </c>
      <c r="K1095" s="801">
        <f>G1095/$G$15</f>
      </c>
      <c r="L1095" s="760"/>
      <c r="M1095" s="767"/>
      <c r="N1095" s="168"/>
      <c r="O1095" s="768"/>
      <c r="P1095" s="170"/>
      <c r="Q1095" s="7"/>
      <c r="R1095" s="766"/>
      <c r="S1095" s="170"/>
      <c r="T1095" s="168"/>
      <c r="U1095" s="170"/>
    </row>
    <row x14ac:dyDescent="0.25" r="1096" customHeight="1" ht="18.75">
      <c r="A1096" s="1"/>
      <c r="B1096" s="799">
        <f>+DATE(YEAR(B1095),MONTH(B1095)+1,DAY(B1095))</f>
        <v>25569.041666666668</v>
      </c>
      <c r="C1096" s="799">
        <f>+B1097-1</f>
        <v>25569.041666666668</v>
      </c>
      <c r="D1096" s="791">
        <f>-_xlfn.DAYS($C$3,C1096)/365.25</f>
      </c>
      <c r="E1096" s="800">
        <f>IF($D$17+40&lt;=D1096,(1+$D$7)^-(D1096-$C$5),(1+$C$7)^-(D1096-$C$5))</f>
      </c>
      <c r="F1096" s="801">
        <f>IF($C$4="Hombre",(+VLOOKUP(INT(D1096)+1,Tablas!$G$9:$K$1240,5,0)*(D1096-INT(D1096))+VLOOKUP(INT(D1096),Tablas!$G$9:$K$1240,5,0)*(INT(D1096)+1-D1096))/(VLOOKUP(INT($C$5)+1,Tablas!$G$9:$K$1240,5,0)*($C$5-INT($C$5))+VLOOKUP(INT($C$5),Tablas!$G$9:$K$124,5,0)*(INT($C$5)+1-$C$5)),(+VLOOKUP(INT(D1096)+1,Tablas!$G$9:$O$1240,9,0)*(D1096-INT(D1096))+VLOOKUP(INT(D1096),Tablas!$G$9:$O$1240,9,0)*(INT(D1096)+1-D1096))/(VLOOKUP(INT($C$5)+1,Tablas!$G$9:$O$1240,9,0)*($C$5-INT($C$5))+VLOOKUP(INT($C$5),Tablas!$G$9:$O$124,9,0)*(INT($C$5)+1-$C$5)))</f>
      </c>
      <c r="G1096" s="791">
        <f>IF($C$4="Hombre",(+VLOOKUP(INT(D1096)+1,Tablas!$G$9:$K$1240,5,0)*(D1096-INT(D1096))+VLOOKUP(INT(D1096),Tablas!$G$9:$K$1240,5,0)*(INT(D1096)+1-D1096)),+VLOOKUP(INT(D1096)+1,Tablas!$G$9:$O$1240,9,0)*(D1096-INT(D1096))+VLOOKUP(INT(D1096),Tablas!$G$9:$O$1240,9,0)*(INT(D1096)+1-D1096))</f>
      </c>
      <c r="H1096" s="801">
        <f>+IF(MONTH(B1096)=1,H1095*(1+$C$9),H1095)</f>
      </c>
      <c r="I1096" s="689">
        <f>IF(B1096&lt;$C$10,0,IF(B1096&lt;$C$11,$C$8/12*E1096*F1096*H1096,0))</f>
      </c>
      <c r="J1096" s="689">
        <f>I1096*12/14+IF(OR(MONTH(C1096)=6,MONTH(C1096)=12),I1096*12/14,0)</f>
      </c>
      <c r="K1096" s="801">
        <f>G1096/$G$15</f>
      </c>
      <c r="L1096" s="760"/>
      <c r="M1096" s="767"/>
      <c r="N1096" s="168"/>
      <c r="O1096" s="768"/>
      <c r="P1096" s="170"/>
      <c r="Q1096" s="7"/>
      <c r="R1096" s="766"/>
      <c r="S1096" s="170"/>
      <c r="T1096" s="168"/>
      <c r="U1096" s="170"/>
    </row>
    <row x14ac:dyDescent="0.25" r="1097" customHeight="1" ht="18.75">
      <c r="A1097" s="1"/>
      <c r="B1097" s="799">
        <f>+DATE(YEAR(B1096),MONTH(B1096)+1,DAY(B1096))</f>
        <v>25569.041666666668</v>
      </c>
      <c r="C1097" s="799">
        <f>+B1098-1</f>
        <v>25569.041666666668</v>
      </c>
      <c r="D1097" s="791">
        <f>-_xlfn.DAYS($C$3,C1097)/365.25</f>
      </c>
      <c r="E1097" s="800">
        <f>IF($D$17+40&lt;=D1097,(1+$D$7)^-(D1097-$C$5),(1+$C$7)^-(D1097-$C$5))</f>
      </c>
      <c r="F1097" s="801">
        <f>IF($C$4="Hombre",(+VLOOKUP(INT(D1097)+1,Tablas!$G$9:$K$1240,5,0)*(D1097-INT(D1097))+VLOOKUP(INT(D1097),Tablas!$G$9:$K$1240,5,0)*(INT(D1097)+1-D1097))/(VLOOKUP(INT($C$5)+1,Tablas!$G$9:$K$1240,5,0)*($C$5-INT($C$5))+VLOOKUP(INT($C$5),Tablas!$G$9:$K$124,5,0)*(INT($C$5)+1-$C$5)),(+VLOOKUP(INT(D1097)+1,Tablas!$G$9:$O$1240,9,0)*(D1097-INT(D1097))+VLOOKUP(INT(D1097),Tablas!$G$9:$O$1240,9,0)*(INT(D1097)+1-D1097))/(VLOOKUP(INT($C$5)+1,Tablas!$G$9:$O$1240,9,0)*($C$5-INT($C$5))+VLOOKUP(INT($C$5),Tablas!$G$9:$O$124,9,0)*(INT($C$5)+1-$C$5)))</f>
      </c>
      <c r="G1097" s="791">
        <f>IF($C$4="Hombre",(+VLOOKUP(INT(D1097)+1,Tablas!$G$9:$K$1240,5,0)*(D1097-INT(D1097))+VLOOKUP(INT(D1097),Tablas!$G$9:$K$1240,5,0)*(INT(D1097)+1-D1097)),+VLOOKUP(INT(D1097)+1,Tablas!$G$9:$O$1240,9,0)*(D1097-INT(D1097))+VLOOKUP(INT(D1097),Tablas!$G$9:$O$1240,9,0)*(INT(D1097)+1-D1097))</f>
      </c>
      <c r="H1097" s="801">
        <f>+IF(MONTH(B1097)=1,H1096*(1+$C$9),H1096)</f>
      </c>
      <c r="I1097" s="689">
        <f>IF(B1097&lt;$C$10,0,IF(B1097&lt;$C$11,$C$8/12*E1097*F1097*H1097,0))</f>
      </c>
      <c r="J1097" s="689">
        <f>I1097*12/14+IF(OR(MONTH(C1097)=6,MONTH(C1097)=12),I1097*12/14,0)</f>
      </c>
      <c r="K1097" s="801">
        <f>G1097/$G$15</f>
      </c>
      <c r="L1097" s="760"/>
      <c r="M1097" s="767"/>
      <c r="N1097" s="168"/>
      <c r="O1097" s="768"/>
      <c r="P1097" s="170"/>
      <c r="Q1097" s="7"/>
      <c r="R1097" s="766"/>
      <c r="S1097" s="170"/>
      <c r="T1097" s="168"/>
      <c r="U1097" s="170"/>
    </row>
    <row x14ac:dyDescent="0.25" r="1098" customHeight="1" ht="18.75">
      <c r="A1098" s="1"/>
      <c r="B1098" s="799">
        <f>+DATE(YEAR(B1097),MONTH(B1097)+1,DAY(B1097))</f>
        <v>25569.041666666668</v>
      </c>
      <c r="C1098" s="799">
        <f>+B1099-1</f>
        <v>25569.041666666668</v>
      </c>
      <c r="D1098" s="791">
        <f>-_xlfn.DAYS($C$3,C1098)/365.25</f>
      </c>
      <c r="E1098" s="800">
        <f>IF($D$17+40&lt;=D1098,(1+$D$7)^-(D1098-$C$5),(1+$C$7)^-(D1098-$C$5))</f>
      </c>
      <c r="F1098" s="801">
        <f>IF($C$4="Hombre",(+VLOOKUP(INT(D1098)+1,Tablas!$G$9:$K$1240,5,0)*(D1098-INT(D1098))+VLOOKUP(INT(D1098),Tablas!$G$9:$K$1240,5,0)*(INT(D1098)+1-D1098))/(VLOOKUP(INT($C$5)+1,Tablas!$G$9:$K$1240,5,0)*($C$5-INT($C$5))+VLOOKUP(INT($C$5),Tablas!$G$9:$K$124,5,0)*(INT($C$5)+1-$C$5)),(+VLOOKUP(INT(D1098)+1,Tablas!$G$9:$O$1240,9,0)*(D1098-INT(D1098))+VLOOKUP(INT(D1098),Tablas!$G$9:$O$1240,9,0)*(INT(D1098)+1-D1098))/(VLOOKUP(INT($C$5)+1,Tablas!$G$9:$O$1240,9,0)*($C$5-INT($C$5))+VLOOKUP(INT($C$5),Tablas!$G$9:$O$124,9,0)*(INT($C$5)+1-$C$5)))</f>
      </c>
      <c r="G1098" s="791">
        <f>IF($C$4="Hombre",(+VLOOKUP(INT(D1098)+1,Tablas!$G$9:$K$1240,5,0)*(D1098-INT(D1098))+VLOOKUP(INT(D1098),Tablas!$G$9:$K$1240,5,0)*(INT(D1098)+1-D1098)),+VLOOKUP(INT(D1098)+1,Tablas!$G$9:$O$1240,9,0)*(D1098-INT(D1098))+VLOOKUP(INT(D1098),Tablas!$G$9:$O$1240,9,0)*(INT(D1098)+1-D1098))</f>
      </c>
      <c r="H1098" s="801">
        <f>+IF(MONTH(B1098)=1,H1097*(1+$C$9),H1097)</f>
      </c>
      <c r="I1098" s="689">
        <f>IF(B1098&lt;$C$10,0,IF(B1098&lt;$C$11,$C$8/12*E1098*F1098*H1098,0))</f>
      </c>
      <c r="J1098" s="689">
        <f>I1098*12/14+IF(OR(MONTH(C1098)=6,MONTH(C1098)=12),I1098*12/14,0)</f>
      </c>
      <c r="K1098" s="801">
        <f>G1098/$G$15</f>
      </c>
      <c r="L1098" s="760"/>
      <c r="M1098" s="767"/>
      <c r="N1098" s="168"/>
      <c r="O1098" s="768"/>
      <c r="P1098" s="170"/>
      <c r="Q1098" s="7"/>
      <c r="R1098" s="766"/>
      <c r="S1098" s="170"/>
      <c r="T1098" s="168"/>
      <c r="U1098" s="170"/>
    </row>
    <row x14ac:dyDescent="0.25" r="1099" customHeight="1" ht="18.75">
      <c r="A1099" s="1"/>
      <c r="B1099" s="799">
        <f>+DATE(YEAR(B1098),MONTH(B1098)+1,DAY(B1098))</f>
        <v>25569.041666666668</v>
      </c>
      <c r="C1099" s="799">
        <f>+B1100-1</f>
        <v>25569.041666666668</v>
      </c>
      <c r="D1099" s="791">
        <f>-_xlfn.DAYS($C$3,C1099)/365.25</f>
      </c>
      <c r="E1099" s="800">
        <f>IF($D$17+40&lt;=D1099,(1+$D$7)^-(D1099-$C$5),(1+$C$7)^-(D1099-$C$5))</f>
      </c>
      <c r="F1099" s="801">
        <f>IF($C$4="Hombre",(+VLOOKUP(INT(D1099)+1,Tablas!$G$9:$K$1240,5,0)*(D1099-INT(D1099))+VLOOKUP(INT(D1099),Tablas!$G$9:$K$1240,5,0)*(INT(D1099)+1-D1099))/(VLOOKUP(INT($C$5)+1,Tablas!$G$9:$K$1240,5,0)*($C$5-INT($C$5))+VLOOKUP(INT($C$5),Tablas!$G$9:$K$124,5,0)*(INT($C$5)+1-$C$5)),(+VLOOKUP(INT(D1099)+1,Tablas!$G$9:$O$1240,9,0)*(D1099-INT(D1099))+VLOOKUP(INT(D1099),Tablas!$G$9:$O$1240,9,0)*(INT(D1099)+1-D1099))/(VLOOKUP(INT($C$5)+1,Tablas!$G$9:$O$1240,9,0)*($C$5-INT($C$5))+VLOOKUP(INT($C$5),Tablas!$G$9:$O$124,9,0)*(INT($C$5)+1-$C$5)))</f>
      </c>
      <c r="G1099" s="791">
        <f>IF($C$4="Hombre",(+VLOOKUP(INT(D1099)+1,Tablas!$G$9:$K$1240,5,0)*(D1099-INT(D1099))+VLOOKUP(INT(D1099),Tablas!$G$9:$K$1240,5,0)*(INT(D1099)+1-D1099)),+VLOOKUP(INT(D1099)+1,Tablas!$G$9:$O$1240,9,0)*(D1099-INT(D1099))+VLOOKUP(INT(D1099),Tablas!$G$9:$O$1240,9,0)*(INT(D1099)+1-D1099))</f>
      </c>
      <c r="H1099" s="801">
        <f>+IF(MONTH(B1099)=1,H1098*(1+$C$9),H1098)</f>
      </c>
      <c r="I1099" s="689">
        <f>IF(B1099&lt;$C$10,0,IF(B1099&lt;$C$11,$C$8/12*E1099*F1099*H1099,0))</f>
      </c>
      <c r="J1099" s="689">
        <f>I1099*12/14+IF(OR(MONTH(C1099)=6,MONTH(C1099)=12),I1099*12/14,0)</f>
      </c>
      <c r="K1099" s="801">
        <f>G1099/$G$15</f>
      </c>
      <c r="L1099" s="760"/>
      <c r="M1099" s="767"/>
      <c r="N1099" s="168"/>
      <c r="O1099" s="768"/>
      <c r="P1099" s="170"/>
      <c r="Q1099" s="7"/>
      <c r="R1099" s="766"/>
      <c r="S1099" s="170"/>
      <c r="T1099" s="168"/>
      <c r="U1099" s="170"/>
    </row>
    <row x14ac:dyDescent="0.25" r="1100" customHeight="1" ht="18.75">
      <c r="A1100" s="1"/>
      <c r="B1100" s="799">
        <f>+DATE(YEAR(B1099),MONTH(B1099)+1,DAY(B1099))</f>
        <v>25569.041666666668</v>
      </c>
      <c r="C1100" s="799">
        <f>+B1101-1</f>
        <v>25569.041666666668</v>
      </c>
      <c r="D1100" s="791">
        <f>-_xlfn.DAYS($C$3,C1100)/365.25</f>
      </c>
      <c r="E1100" s="800">
        <f>IF($D$17+40&lt;=D1100,(1+$D$7)^-(D1100-$C$5),(1+$C$7)^-(D1100-$C$5))</f>
      </c>
      <c r="F1100" s="801">
        <f>IF($C$4="Hombre",(+VLOOKUP(INT(D1100)+1,Tablas!$G$9:$K$1240,5,0)*(D1100-INT(D1100))+VLOOKUP(INT(D1100),Tablas!$G$9:$K$1240,5,0)*(INT(D1100)+1-D1100))/(VLOOKUP(INT($C$5)+1,Tablas!$G$9:$K$1240,5,0)*($C$5-INT($C$5))+VLOOKUP(INT($C$5),Tablas!$G$9:$K$124,5,0)*(INT($C$5)+1-$C$5)),(+VLOOKUP(INT(D1100)+1,Tablas!$G$9:$O$1240,9,0)*(D1100-INT(D1100))+VLOOKUP(INT(D1100),Tablas!$G$9:$O$1240,9,0)*(INT(D1100)+1-D1100))/(VLOOKUP(INT($C$5)+1,Tablas!$G$9:$O$1240,9,0)*($C$5-INT($C$5))+VLOOKUP(INT($C$5),Tablas!$G$9:$O$124,9,0)*(INT($C$5)+1-$C$5)))</f>
      </c>
      <c r="G1100" s="791">
        <f>IF($C$4="Hombre",(+VLOOKUP(INT(D1100)+1,Tablas!$G$9:$K$1240,5,0)*(D1100-INT(D1100))+VLOOKUP(INT(D1100),Tablas!$G$9:$K$1240,5,0)*(INT(D1100)+1-D1100)),+VLOOKUP(INT(D1100)+1,Tablas!$G$9:$O$1240,9,0)*(D1100-INT(D1100))+VLOOKUP(INT(D1100),Tablas!$G$9:$O$1240,9,0)*(INT(D1100)+1-D1100))</f>
      </c>
      <c r="H1100" s="801">
        <f>+IF(MONTH(B1100)=1,H1099*(1+$C$9),H1099)</f>
      </c>
      <c r="I1100" s="689">
        <f>IF(B1100&lt;$C$10,0,IF(B1100&lt;$C$11,$C$8/12*E1100*F1100*H1100,0))</f>
      </c>
      <c r="J1100" s="689">
        <f>I1100*12/14+IF(OR(MONTH(C1100)=6,MONTH(C1100)=12),I1100*12/14,0)</f>
      </c>
      <c r="K1100" s="801">
        <f>G1100/$G$15</f>
      </c>
      <c r="L1100" s="760"/>
      <c r="M1100" s="767"/>
      <c r="N1100" s="168"/>
      <c r="O1100" s="768"/>
      <c r="P1100" s="170"/>
      <c r="Q1100" s="7"/>
      <c r="R1100" s="766"/>
      <c r="S1100" s="170"/>
      <c r="T1100" s="168"/>
      <c r="U1100" s="170"/>
    </row>
    <row x14ac:dyDescent="0.25" r="1101" customHeight="1" ht="18.75">
      <c r="A1101" s="1"/>
      <c r="B1101" s="799">
        <f>+DATE(YEAR(B1100),MONTH(B1100)+1,DAY(B1100))</f>
        <v>25569.041666666668</v>
      </c>
      <c r="C1101" s="799">
        <f>+B1102-1</f>
        <v>25569.041666666668</v>
      </c>
      <c r="D1101" s="791">
        <f>-_xlfn.DAYS($C$3,C1101)/365.25</f>
      </c>
      <c r="E1101" s="800">
        <f>IF($D$17+40&lt;=D1101,(1+$D$7)^-(D1101-$C$5),(1+$C$7)^-(D1101-$C$5))</f>
      </c>
      <c r="F1101" s="801">
        <f>IF($C$4="Hombre",(+VLOOKUP(INT(D1101)+1,Tablas!$G$9:$K$1240,5,0)*(D1101-INT(D1101))+VLOOKUP(INT(D1101),Tablas!$G$9:$K$1240,5,0)*(INT(D1101)+1-D1101))/(VLOOKUP(INT($C$5)+1,Tablas!$G$9:$K$1240,5,0)*($C$5-INT($C$5))+VLOOKUP(INT($C$5),Tablas!$G$9:$K$124,5,0)*(INT($C$5)+1-$C$5)),(+VLOOKUP(INT(D1101)+1,Tablas!$G$9:$O$1240,9,0)*(D1101-INT(D1101))+VLOOKUP(INT(D1101),Tablas!$G$9:$O$1240,9,0)*(INT(D1101)+1-D1101))/(VLOOKUP(INT($C$5)+1,Tablas!$G$9:$O$1240,9,0)*($C$5-INT($C$5))+VLOOKUP(INT($C$5),Tablas!$G$9:$O$124,9,0)*(INT($C$5)+1-$C$5)))</f>
      </c>
      <c r="G1101" s="791">
        <f>IF($C$4="Hombre",(+VLOOKUP(INT(D1101)+1,Tablas!$G$9:$K$1240,5,0)*(D1101-INT(D1101))+VLOOKUP(INT(D1101),Tablas!$G$9:$K$1240,5,0)*(INT(D1101)+1-D1101)),+VLOOKUP(INT(D1101)+1,Tablas!$G$9:$O$1240,9,0)*(D1101-INT(D1101))+VLOOKUP(INT(D1101),Tablas!$G$9:$O$1240,9,0)*(INT(D1101)+1-D1101))</f>
      </c>
      <c r="H1101" s="801">
        <f>+IF(MONTH(B1101)=1,H1100*(1+$C$9),H1100)</f>
      </c>
      <c r="I1101" s="689">
        <f>IF(B1101&lt;$C$10,0,IF(B1101&lt;$C$11,$C$8/12*E1101*F1101*H1101,0))</f>
      </c>
      <c r="J1101" s="689">
        <f>I1101*12/14+IF(OR(MONTH(C1101)=6,MONTH(C1101)=12),I1101*12/14,0)</f>
      </c>
      <c r="K1101" s="801">
        <f>G1101/$G$15</f>
      </c>
      <c r="L1101" s="760"/>
      <c r="M1101" s="767"/>
      <c r="N1101" s="168"/>
      <c r="O1101" s="768"/>
      <c r="P1101" s="170"/>
      <c r="Q1101" s="7"/>
      <c r="R1101" s="766"/>
      <c r="S1101" s="170"/>
      <c r="T1101" s="168"/>
      <c r="U1101" s="170"/>
    </row>
    <row x14ac:dyDescent="0.25" r="1102" customHeight="1" ht="18.75">
      <c r="A1102" s="1"/>
      <c r="B1102" s="799">
        <f>+DATE(YEAR(B1101),MONTH(B1101)+1,DAY(B1101))</f>
        <v>25569.041666666668</v>
      </c>
      <c r="C1102" s="799">
        <f>+B1103-1</f>
        <v>25569.041666666668</v>
      </c>
      <c r="D1102" s="791">
        <f>-_xlfn.DAYS($C$3,C1102)/365.25</f>
      </c>
      <c r="E1102" s="800">
        <f>IF($D$17+40&lt;=D1102,(1+$D$7)^-(D1102-$C$5),(1+$C$7)^-(D1102-$C$5))</f>
      </c>
      <c r="F1102" s="801">
        <f>IF($C$4="Hombre",(+VLOOKUP(INT(D1102)+1,Tablas!$G$9:$K$1240,5,0)*(D1102-INT(D1102))+VLOOKUP(INT(D1102),Tablas!$G$9:$K$1240,5,0)*(INT(D1102)+1-D1102))/(VLOOKUP(INT($C$5)+1,Tablas!$G$9:$K$1240,5,0)*($C$5-INT($C$5))+VLOOKUP(INT($C$5),Tablas!$G$9:$K$124,5,0)*(INT($C$5)+1-$C$5)),(+VLOOKUP(INT(D1102)+1,Tablas!$G$9:$O$1240,9,0)*(D1102-INT(D1102))+VLOOKUP(INT(D1102),Tablas!$G$9:$O$1240,9,0)*(INT(D1102)+1-D1102))/(VLOOKUP(INT($C$5)+1,Tablas!$G$9:$O$1240,9,0)*($C$5-INT($C$5))+VLOOKUP(INT($C$5),Tablas!$G$9:$O$124,9,0)*(INT($C$5)+1-$C$5)))</f>
      </c>
      <c r="G1102" s="791">
        <f>IF($C$4="Hombre",(+VLOOKUP(INT(D1102)+1,Tablas!$G$9:$K$1240,5,0)*(D1102-INT(D1102))+VLOOKUP(INT(D1102),Tablas!$G$9:$K$1240,5,0)*(INT(D1102)+1-D1102)),+VLOOKUP(INT(D1102)+1,Tablas!$G$9:$O$1240,9,0)*(D1102-INT(D1102))+VLOOKUP(INT(D1102),Tablas!$G$9:$O$1240,9,0)*(INT(D1102)+1-D1102))</f>
      </c>
      <c r="H1102" s="801">
        <f>+IF(MONTH(B1102)=1,H1101*(1+$C$9),H1101)</f>
      </c>
      <c r="I1102" s="689">
        <f>IF(B1102&lt;$C$10,0,IF(B1102&lt;$C$11,$C$8/12*E1102*F1102*H1102,0))</f>
      </c>
      <c r="J1102" s="689">
        <f>I1102*12/14+IF(OR(MONTH(C1102)=6,MONTH(C1102)=12),I1102*12/14,0)</f>
      </c>
      <c r="K1102" s="801">
        <f>G1102/$G$15</f>
      </c>
      <c r="L1102" s="760"/>
      <c r="M1102" s="767"/>
      <c r="N1102" s="168"/>
      <c r="O1102" s="768"/>
      <c r="P1102" s="170"/>
      <c r="Q1102" s="7"/>
      <c r="R1102" s="766"/>
      <c r="S1102" s="170"/>
      <c r="T1102" s="168"/>
      <c r="U1102" s="170"/>
    </row>
    <row x14ac:dyDescent="0.25" r="1103" customHeight="1" ht="18.75">
      <c r="A1103" s="1"/>
      <c r="B1103" s="799">
        <f>+DATE(YEAR(B1102),MONTH(B1102)+1,DAY(B1102))</f>
        <v>25569.041666666668</v>
      </c>
      <c r="C1103" s="799">
        <f>+B1104-1</f>
        <v>25569.041666666668</v>
      </c>
      <c r="D1103" s="791">
        <f>-_xlfn.DAYS($C$3,C1103)/365.25</f>
      </c>
      <c r="E1103" s="800">
        <f>IF($D$17+40&lt;=D1103,(1+$D$7)^-(D1103-$C$5),(1+$C$7)^-(D1103-$C$5))</f>
      </c>
      <c r="F1103" s="801">
        <f>IF($C$4="Hombre",(+VLOOKUP(INT(D1103)+1,Tablas!$G$9:$K$1240,5,0)*(D1103-INT(D1103))+VLOOKUP(INT(D1103),Tablas!$G$9:$K$1240,5,0)*(INT(D1103)+1-D1103))/(VLOOKUP(INT($C$5)+1,Tablas!$G$9:$K$1240,5,0)*($C$5-INT($C$5))+VLOOKUP(INT($C$5),Tablas!$G$9:$K$124,5,0)*(INT($C$5)+1-$C$5)),(+VLOOKUP(INT(D1103)+1,Tablas!$G$9:$O$1240,9,0)*(D1103-INT(D1103))+VLOOKUP(INT(D1103),Tablas!$G$9:$O$1240,9,0)*(INT(D1103)+1-D1103))/(VLOOKUP(INT($C$5)+1,Tablas!$G$9:$O$1240,9,0)*($C$5-INT($C$5))+VLOOKUP(INT($C$5),Tablas!$G$9:$O$124,9,0)*(INT($C$5)+1-$C$5)))</f>
      </c>
      <c r="G1103" s="791">
        <f>IF($C$4="Hombre",(+VLOOKUP(INT(D1103)+1,Tablas!$G$9:$K$1240,5,0)*(D1103-INT(D1103))+VLOOKUP(INT(D1103),Tablas!$G$9:$K$1240,5,0)*(INT(D1103)+1-D1103)),+VLOOKUP(INT(D1103)+1,Tablas!$G$9:$O$1240,9,0)*(D1103-INT(D1103))+VLOOKUP(INT(D1103),Tablas!$G$9:$O$1240,9,0)*(INT(D1103)+1-D1103))</f>
      </c>
      <c r="H1103" s="801">
        <f>+IF(MONTH(B1103)=1,H1102*(1+$C$9),H1102)</f>
      </c>
      <c r="I1103" s="689">
        <f>IF(B1103&lt;$C$10,0,IF(B1103&lt;$C$11,$C$8/12*E1103*F1103*H1103,0))</f>
      </c>
      <c r="J1103" s="689">
        <f>I1103*12/14+IF(OR(MONTH(C1103)=6,MONTH(C1103)=12),I1103*12/14,0)</f>
      </c>
      <c r="K1103" s="801">
        <f>G1103/$G$15</f>
      </c>
      <c r="L1103" s="760"/>
      <c r="M1103" s="767"/>
      <c r="N1103" s="168"/>
      <c r="O1103" s="768"/>
      <c r="P1103" s="170"/>
      <c r="Q1103" s="7"/>
      <c r="R1103" s="766"/>
      <c r="S1103" s="170"/>
      <c r="T1103" s="168"/>
      <c r="U1103" s="170"/>
    </row>
    <row x14ac:dyDescent="0.25" r="1104" customHeight="1" ht="18.75">
      <c r="A1104" s="1"/>
      <c r="B1104" s="799">
        <f>+DATE(YEAR(B1103),MONTH(B1103)+1,DAY(B1103))</f>
        <v>25569.041666666668</v>
      </c>
      <c r="C1104" s="799">
        <f>+B1105-1</f>
        <v>25569.041666666668</v>
      </c>
      <c r="D1104" s="791">
        <f>-_xlfn.DAYS($C$3,C1104)/365.25</f>
      </c>
      <c r="E1104" s="800">
        <f>IF($D$17+40&lt;=D1104,(1+$D$7)^-(D1104-$C$5),(1+$C$7)^-(D1104-$C$5))</f>
      </c>
      <c r="F1104" s="801">
        <f>IF($C$4="Hombre",(+VLOOKUP(INT(D1104)+1,Tablas!$G$9:$K$1240,5,0)*(D1104-INT(D1104))+VLOOKUP(INT(D1104),Tablas!$G$9:$K$1240,5,0)*(INT(D1104)+1-D1104))/(VLOOKUP(INT($C$5)+1,Tablas!$G$9:$K$1240,5,0)*($C$5-INT($C$5))+VLOOKUP(INT($C$5),Tablas!$G$9:$K$124,5,0)*(INT($C$5)+1-$C$5)),(+VLOOKUP(INT(D1104)+1,Tablas!$G$9:$O$1240,9,0)*(D1104-INT(D1104))+VLOOKUP(INT(D1104),Tablas!$G$9:$O$1240,9,0)*(INT(D1104)+1-D1104))/(VLOOKUP(INT($C$5)+1,Tablas!$G$9:$O$1240,9,0)*($C$5-INT($C$5))+VLOOKUP(INT($C$5),Tablas!$G$9:$O$124,9,0)*(INT($C$5)+1-$C$5)))</f>
      </c>
      <c r="G1104" s="791">
        <f>IF($C$4="Hombre",(+VLOOKUP(INT(D1104)+1,Tablas!$G$9:$K$1240,5,0)*(D1104-INT(D1104))+VLOOKUP(INT(D1104),Tablas!$G$9:$K$1240,5,0)*(INT(D1104)+1-D1104)),+VLOOKUP(INT(D1104)+1,Tablas!$G$9:$O$1240,9,0)*(D1104-INT(D1104))+VLOOKUP(INT(D1104),Tablas!$G$9:$O$1240,9,0)*(INT(D1104)+1-D1104))</f>
      </c>
      <c r="H1104" s="801">
        <f>+IF(MONTH(B1104)=1,H1103*(1+$C$9),H1103)</f>
      </c>
      <c r="I1104" s="689">
        <f>IF(B1104&lt;$C$10,0,IF(B1104&lt;$C$11,$C$8/12*E1104*F1104*H1104,0))</f>
      </c>
      <c r="J1104" s="689">
        <f>I1104*12/14+IF(OR(MONTH(C1104)=6,MONTH(C1104)=12),I1104*12/14,0)</f>
      </c>
      <c r="K1104" s="801">
        <f>G1104/$G$15</f>
      </c>
      <c r="L1104" s="760"/>
      <c r="M1104" s="767"/>
      <c r="N1104" s="168"/>
      <c r="O1104" s="768"/>
      <c r="P1104" s="170"/>
      <c r="Q1104" s="7"/>
      <c r="R1104" s="766"/>
      <c r="S1104" s="170"/>
      <c r="T1104" s="168"/>
      <c r="U1104" s="170"/>
    </row>
    <row x14ac:dyDescent="0.25" r="1105" customHeight="1" ht="18.75">
      <c r="A1105" s="1"/>
      <c r="B1105" s="799">
        <f>+DATE(YEAR(B1104),MONTH(B1104)+1,DAY(B1104))</f>
        <v>25569.041666666668</v>
      </c>
      <c r="C1105" s="799">
        <f>+B1106-1</f>
        <v>25569.041666666668</v>
      </c>
      <c r="D1105" s="791">
        <f>-_xlfn.DAYS($C$3,C1105)/365.25</f>
      </c>
      <c r="E1105" s="800">
        <f>IF($D$17+40&lt;=D1105,(1+$D$7)^-(D1105-$C$5),(1+$C$7)^-(D1105-$C$5))</f>
      </c>
      <c r="F1105" s="801">
        <f>IF($C$4="Hombre",(+VLOOKUP(INT(D1105)+1,Tablas!$G$9:$K$1240,5,0)*(D1105-INT(D1105))+VLOOKUP(INT(D1105),Tablas!$G$9:$K$1240,5,0)*(INT(D1105)+1-D1105))/(VLOOKUP(INT($C$5)+1,Tablas!$G$9:$K$1240,5,0)*($C$5-INT($C$5))+VLOOKUP(INT($C$5),Tablas!$G$9:$K$124,5,0)*(INT($C$5)+1-$C$5)),(+VLOOKUP(INT(D1105)+1,Tablas!$G$9:$O$1240,9,0)*(D1105-INT(D1105))+VLOOKUP(INT(D1105),Tablas!$G$9:$O$1240,9,0)*(INT(D1105)+1-D1105))/(VLOOKUP(INT($C$5)+1,Tablas!$G$9:$O$1240,9,0)*($C$5-INT($C$5))+VLOOKUP(INT($C$5),Tablas!$G$9:$O$124,9,0)*(INT($C$5)+1-$C$5)))</f>
      </c>
      <c r="G1105" s="791">
        <f>IF($C$4="Hombre",(+VLOOKUP(INT(D1105)+1,Tablas!$G$9:$K$1240,5,0)*(D1105-INT(D1105))+VLOOKUP(INT(D1105),Tablas!$G$9:$K$1240,5,0)*(INT(D1105)+1-D1105)),+VLOOKUP(INT(D1105)+1,Tablas!$G$9:$O$1240,9,0)*(D1105-INT(D1105))+VLOOKUP(INT(D1105),Tablas!$G$9:$O$1240,9,0)*(INT(D1105)+1-D1105))</f>
      </c>
      <c r="H1105" s="801">
        <f>+IF(MONTH(B1105)=1,H1104*(1+$C$9),H1104)</f>
      </c>
      <c r="I1105" s="689">
        <f>IF(B1105&lt;$C$10,0,IF(B1105&lt;$C$11,$C$8/12*E1105*F1105*H1105,0))</f>
      </c>
      <c r="J1105" s="689">
        <f>I1105*12/14+IF(OR(MONTH(C1105)=6,MONTH(C1105)=12),I1105*12/14,0)</f>
      </c>
      <c r="K1105" s="801">
        <f>G1105/$G$15</f>
      </c>
      <c r="L1105" s="760"/>
      <c r="M1105" s="767"/>
      <c r="N1105" s="168"/>
      <c r="O1105" s="768"/>
      <c r="P1105" s="170"/>
      <c r="Q1105" s="7"/>
      <c r="R1105" s="766"/>
      <c r="S1105" s="170"/>
      <c r="T1105" s="168"/>
      <c r="U1105" s="170"/>
    </row>
    <row x14ac:dyDescent="0.25" r="1106" customHeight="1" ht="18.75">
      <c r="A1106" s="1"/>
      <c r="B1106" s="799">
        <f>+DATE(YEAR(B1105),MONTH(B1105)+1,DAY(B1105))</f>
        <v>25569.041666666668</v>
      </c>
      <c r="C1106" s="799">
        <f>+B1107-1</f>
        <v>25569.041666666668</v>
      </c>
      <c r="D1106" s="791">
        <f>-_xlfn.DAYS($C$3,C1106)/365.25</f>
      </c>
      <c r="E1106" s="800">
        <f>IF($D$17+40&lt;=D1106,(1+$D$7)^-(D1106-$C$5),(1+$C$7)^-(D1106-$C$5))</f>
      </c>
      <c r="F1106" s="801">
        <f>IF($C$4="Hombre",(+VLOOKUP(INT(D1106)+1,Tablas!$G$9:$K$1240,5,0)*(D1106-INT(D1106))+VLOOKUP(INT(D1106),Tablas!$G$9:$K$1240,5,0)*(INT(D1106)+1-D1106))/(VLOOKUP(INT($C$5)+1,Tablas!$G$9:$K$1240,5,0)*($C$5-INT($C$5))+VLOOKUP(INT($C$5),Tablas!$G$9:$K$124,5,0)*(INT($C$5)+1-$C$5)),(+VLOOKUP(INT(D1106)+1,Tablas!$G$9:$O$1240,9,0)*(D1106-INT(D1106))+VLOOKUP(INT(D1106),Tablas!$G$9:$O$1240,9,0)*(INT(D1106)+1-D1106))/(VLOOKUP(INT($C$5)+1,Tablas!$G$9:$O$1240,9,0)*($C$5-INT($C$5))+VLOOKUP(INT($C$5),Tablas!$G$9:$O$124,9,0)*(INT($C$5)+1-$C$5)))</f>
      </c>
      <c r="G1106" s="791">
        <f>IF($C$4="Hombre",(+VLOOKUP(INT(D1106)+1,Tablas!$G$9:$K$1240,5,0)*(D1106-INT(D1106))+VLOOKUP(INT(D1106),Tablas!$G$9:$K$1240,5,0)*(INT(D1106)+1-D1106)),+VLOOKUP(INT(D1106)+1,Tablas!$G$9:$O$1240,9,0)*(D1106-INT(D1106))+VLOOKUP(INT(D1106),Tablas!$G$9:$O$1240,9,0)*(INT(D1106)+1-D1106))</f>
      </c>
      <c r="H1106" s="801">
        <f>+IF(MONTH(B1106)=1,H1105*(1+$C$9),H1105)</f>
      </c>
      <c r="I1106" s="689">
        <f>IF(B1106&lt;$C$10,0,IF(B1106&lt;$C$11,$C$8/12*E1106*F1106*H1106,0))</f>
      </c>
      <c r="J1106" s="689">
        <f>I1106*12/14+IF(OR(MONTH(C1106)=6,MONTH(C1106)=12),I1106*12/14,0)</f>
      </c>
      <c r="K1106" s="801">
        <f>G1106/$G$15</f>
      </c>
      <c r="L1106" s="760"/>
      <c r="M1106" s="767"/>
      <c r="N1106" s="168"/>
      <c r="O1106" s="768"/>
      <c r="P1106" s="170"/>
      <c r="Q1106" s="7"/>
      <c r="R1106" s="766"/>
      <c r="S1106" s="170"/>
      <c r="T1106" s="168"/>
      <c r="U1106" s="170"/>
    </row>
    <row x14ac:dyDescent="0.25" r="1107" customHeight="1" ht="18.75">
      <c r="A1107" s="1"/>
      <c r="B1107" s="799">
        <f>+DATE(YEAR(B1106),MONTH(B1106)+1,DAY(B1106))</f>
        <v>25569.041666666668</v>
      </c>
      <c r="C1107" s="799">
        <f>+B1108-1</f>
        <v>25569.041666666668</v>
      </c>
      <c r="D1107" s="791">
        <f>-_xlfn.DAYS($C$3,C1107)/365.25</f>
      </c>
      <c r="E1107" s="800">
        <f>IF($D$17+40&lt;=D1107,(1+$D$7)^-(D1107-$C$5),(1+$C$7)^-(D1107-$C$5))</f>
      </c>
      <c r="F1107" s="801">
        <f>IF($C$4="Hombre",(+VLOOKUP(INT(D1107)+1,Tablas!$G$9:$K$1240,5,0)*(D1107-INT(D1107))+VLOOKUP(INT(D1107),Tablas!$G$9:$K$1240,5,0)*(INT(D1107)+1-D1107))/(VLOOKUP(INT($C$5)+1,Tablas!$G$9:$K$1240,5,0)*($C$5-INT($C$5))+VLOOKUP(INT($C$5),Tablas!$G$9:$K$124,5,0)*(INT($C$5)+1-$C$5)),(+VLOOKUP(INT(D1107)+1,Tablas!$G$9:$O$1240,9,0)*(D1107-INT(D1107))+VLOOKUP(INT(D1107),Tablas!$G$9:$O$1240,9,0)*(INT(D1107)+1-D1107))/(VLOOKUP(INT($C$5)+1,Tablas!$G$9:$O$1240,9,0)*($C$5-INT($C$5))+VLOOKUP(INT($C$5),Tablas!$G$9:$O$124,9,0)*(INT($C$5)+1-$C$5)))</f>
      </c>
      <c r="G1107" s="791">
        <f>IF($C$4="Hombre",(+VLOOKUP(INT(D1107)+1,Tablas!$G$9:$K$1240,5,0)*(D1107-INT(D1107))+VLOOKUP(INT(D1107),Tablas!$G$9:$K$1240,5,0)*(INT(D1107)+1-D1107)),+VLOOKUP(INT(D1107)+1,Tablas!$G$9:$O$1240,9,0)*(D1107-INT(D1107))+VLOOKUP(INT(D1107),Tablas!$G$9:$O$1240,9,0)*(INT(D1107)+1-D1107))</f>
      </c>
      <c r="H1107" s="801">
        <f>+IF(MONTH(B1107)=1,H1106*(1+$C$9),H1106)</f>
      </c>
      <c r="I1107" s="689">
        <f>IF(B1107&lt;$C$10,0,IF(B1107&lt;$C$11,$C$8/12*E1107*F1107*H1107,0))</f>
      </c>
      <c r="J1107" s="689">
        <f>I1107*12/14+IF(OR(MONTH(C1107)=6,MONTH(C1107)=12),I1107*12/14,0)</f>
      </c>
      <c r="K1107" s="801">
        <f>G1107/$G$15</f>
      </c>
      <c r="L1107" s="760"/>
      <c r="M1107" s="767"/>
      <c r="N1107" s="168"/>
      <c r="O1107" s="768"/>
      <c r="P1107" s="170"/>
      <c r="Q1107" s="7"/>
      <c r="R1107" s="766"/>
      <c r="S1107" s="170"/>
      <c r="T1107" s="168"/>
      <c r="U1107" s="170"/>
    </row>
    <row x14ac:dyDescent="0.25" r="1108" customHeight="1" ht="18.75">
      <c r="A1108" s="1"/>
      <c r="B1108" s="799">
        <f>+DATE(YEAR(B1107),MONTH(B1107)+1,DAY(B1107))</f>
        <v>25569.041666666668</v>
      </c>
      <c r="C1108" s="799">
        <f>+B1109-1</f>
        <v>25569.041666666668</v>
      </c>
      <c r="D1108" s="791">
        <f>-_xlfn.DAYS($C$3,C1108)/365.25</f>
      </c>
      <c r="E1108" s="800">
        <f>IF($D$17+40&lt;=D1108,(1+$D$7)^-(D1108-$C$5),(1+$C$7)^-(D1108-$C$5))</f>
      </c>
      <c r="F1108" s="801">
        <f>IF($C$4="Hombre",(+VLOOKUP(INT(D1108)+1,Tablas!$G$9:$K$1240,5,0)*(D1108-INT(D1108))+VLOOKUP(INT(D1108),Tablas!$G$9:$K$1240,5,0)*(INT(D1108)+1-D1108))/(VLOOKUP(INT($C$5)+1,Tablas!$G$9:$K$1240,5,0)*($C$5-INT($C$5))+VLOOKUP(INT($C$5),Tablas!$G$9:$K$124,5,0)*(INT($C$5)+1-$C$5)),(+VLOOKUP(INT(D1108)+1,Tablas!$G$9:$O$1240,9,0)*(D1108-INT(D1108))+VLOOKUP(INT(D1108),Tablas!$G$9:$O$1240,9,0)*(INT(D1108)+1-D1108))/(VLOOKUP(INT($C$5)+1,Tablas!$G$9:$O$1240,9,0)*($C$5-INT($C$5))+VLOOKUP(INT($C$5),Tablas!$G$9:$O$124,9,0)*(INT($C$5)+1-$C$5)))</f>
      </c>
      <c r="G1108" s="791">
        <f>IF($C$4="Hombre",(+VLOOKUP(INT(D1108)+1,Tablas!$G$9:$K$1240,5,0)*(D1108-INT(D1108))+VLOOKUP(INT(D1108),Tablas!$G$9:$K$1240,5,0)*(INT(D1108)+1-D1108)),+VLOOKUP(INT(D1108)+1,Tablas!$G$9:$O$1240,9,0)*(D1108-INT(D1108))+VLOOKUP(INT(D1108),Tablas!$G$9:$O$1240,9,0)*(INT(D1108)+1-D1108))</f>
      </c>
      <c r="H1108" s="801">
        <f>+IF(MONTH(B1108)=1,H1107*(1+$C$9),H1107)</f>
      </c>
      <c r="I1108" s="689">
        <f>IF(B1108&lt;$C$10,0,IF(B1108&lt;$C$11,$C$8/12*E1108*F1108*H1108,0))</f>
      </c>
      <c r="J1108" s="689">
        <f>I1108*12/14+IF(OR(MONTH(C1108)=6,MONTH(C1108)=12),I1108*12/14,0)</f>
      </c>
      <c r="K1108" s="801">
        <f>G1108/$G$15</f>
      </c>
      <c r="L1108" s="760"/>
      <c r="M1108" s="767"/>
      <c r="N1108" s="168"/>
      <c r="O1108" s="768"/>
      <c r="P1108" s="170"/>
      <c r="Q1108" s="7"/>
      <c r="R1108" s="766"/>
      <c r="S1108" s="170"/>
      <c r="T1108" s="168"/>
      <c r="U1108" s="170"/>
    </row>
    <row x14ac:dyDescent="0.25" r="1109" customHeight="1" ht="18.75">
      <c r="A1109" s="1"/>
      <c r="B1109" s="799">
        <f>+DATE(YEAR(B1108),MONTH(B1108)+1,DAY(B1108))</f>
        <v>25569.041666666668</v>
      </c>
      <c r="C1109" s="799">
        <f>+B1110-1</f>
        <v>25569.041666666668</v>
      </c>
      <c r="D1109" s="791">
        <f>-_xlfn.DAYS($C$3,C1109)/365.25</f>
      </c>
      <c r="E1109" s="800">
        <f>IF($D$17+40&lt;=D1109,(1+$D$7)^-(D1109-$C$5),(1+$C$7)^-(D1109-$C$5))</f>
      </c>
      <c r="F1109" s="801">
        <f>IF($C$4="Hombre",(+VLOOKUP(INT(D1109)+1,Tablas!$G$9:$K$1240,5,0)*(D1109-INT(D1109))+VLOOKUP(INT(D1109),Tablas!$G$9:$K$1240,5,0)*(INT(D1109)+1-D1109))/(VLOOKUP(INT($C$5)+1,Tablas!$G$9:$K$1240,5,0)*($C$5-INT($C$5))+VLOOKUP(INT($C$5),Tablas!$G$9:$K$124,5,0)*(INT($C$5)+1-$C$5)),(+VLOOKUP(INT(D1109)+1,Tablas!$G$9:$O$1240,9,0)*(D1109-INT(D1109))+VLOOKUP(INT(D1109),Tablas!$G$9:$O$1240,9,0)*(INT(D1109)+1-D1109))/(VLOOKUP(INT($C$5)+1,Tablas!$G$9:$O$1240,9,0)*($C$5-INT($C$5))+VLOOKUP(INT($C$5),Tablas!$G$9:$O$124,9,0)*(INT($C$5)+1-$C$5)))</f>
      </c>
      <c r="G1109" s="791">
        <f>IF($C$4="Hombre",(+VLOOKUP(INT(D1109)+1,Tablas!$G$9:$K$1240,5,0)*(D1109-INT(D1109))+VLOOKUP(INT(D1109),Tablas!$G$9:$K$1240,5,0)*(INT(D1109)+1-D1109)),+VLOOKUP(INT(D1109)+1,Tablas!$G$9:$O$1240,9,0)*(D1109-INT(D1109))+VLOOKUP(INT(D1109),Tablas!$G$9:$O$1240,9,0)*(INT(D1109)+1-D1109))</f>
      </c>
      <c r="H1109" s="801">
        <f>+IF(MONTH(B1109)=1,H1108*(1+$C$9),H1108)</f>
      </c>
      <c r="I1109" s="689">
        <f>IF(B1109&lt;$C$10,0,IF(B1109&lt;$C$11,$C$8/12*E1109*F1109*H1109,0))</f>
      </c>
      <c r="J1109" s="689">
        <f>I1109*12/14+IF(OR(MONTH(C1109)=6,MONTH(C1109)=12),I1109*12/14,0)</f>
      </c>
      <c r="K1109" s="801">
        <f>G1109/$G$15</f>
      </c>
      <c r="L1109" s="760"/>
      <c r="M1109" s="767"/>
      <c r="N1109" s="168"/>
      <c r="O1109" s="768"/>
      <c r="P1109" s="170"/>
      <c r="Q1109" s="7"/>
      <c r="R1109" s="766"/>
      <c r="S1109" s="170"/>
      <c r="T1109" s="168"/>
      <c r="U1109" s="170"/>
    </row>
    <row x14ac:dyDescent="0.25" r="1110" customHeight="1" ht="18.75">
      <c r="A1110" s="1"/>
      <c r="B1110" s="799">
        <f>+DATE(YEAR(B1109),MONTH(B1109)+1,DAY(B1109))</f>
        <v>25569.041666666668</v>
      </c>
      <c r="C1110" s="799">
        <f>+B1111-1</f>
        <v>25569.041666666668</v>
      </c>
      <c r="D1110" s="791">
        <f>-_xlfn.DAYS($C$3,C1110)/365.25</f>
      </c>
      <c r="E1110" s="800">
        <f>IF($D$17+40&lt;=D1110,(1+$D$7)^-(D1110-$C$5),(1+$C$7)^-(D1110-$C$5))</f>
      </c>
      <c r="F1110" s="801">
        <f>IF($C$4="Hombre",(+VLOOKUP(INT(D1110)+1,Tablas!$G$9:$K$1240,5,0)*(D1110-INT(D1110))+VLOOKUP(INT(D1110),Tablas!$G$9:$K$1240,5,0)*(INT(D1110)+1-D1110))/(VLOOKUP(INT($C$5)+1,Tablas!$G$9:$K$1240,5,0)*($C$5-INT($C$5))+VLOOKUP(INT($C$5),Tablas!$G$9:$K$124,5,0)*(INT($C$5)+1-$C$5)),(+VLOOKUP(INT(D1110)+1,Tablas!$G$9:$O$1240,9,0)*(D1110-INT(D1110))+VLOOKUP(INT(D1110),Tablas!$G$9:$O$1240,9,0)*(INT(D1110)+1-D1110))/(VLOOKUP(INT($C$5)+1,Tablas!$G$9:$O$1240,9,0)*($C$5-INT($C$5))+VLOOKUP(INT($C$5),Tablas!$G$9:$O$124,9,0)*(INT($C$5)+1-$C$5)))</f>
      </c>
      <c r="G1110" s="791">
        <f>IF($C$4="Hombre",(+VLOOKUP(INT(D1110)+1,Tablas!$G$9:$K$1240,5,0)*(D1110-INT(D1110))+VLOOKUP(INT(D1110),Tablas!$G$9:$K$1240,5,0)*(INT(D1110)+1-D1110)),+VLOOKUP(INT(D1110)+1,Tablas!$G$9:$O$1240,9,0)*(D1110-INT(D1110))+VLOOKUP(INT(D1110),Tablas!$G$9:$O$1240,9,0)*(INT(D1110)+1-D1110))</f>
      </c>
      <c r="H1110" s="801">
        <f>+IF(MONTH(B1110)=1,H1109*(1+$C$9),H1109)</f>
      </c>
      <c r="I1110" s="689">
        <f>IF(B1110&lt;$C$10,0,IF(B1110&lt;$C$11,$C$8/12*E1110*F1110*H1110,0))</f>
      </c>
      <c r="J1110" s="689">
        <f>I1110*12/14+IF(OR(MONTH(C1110)=6,MONTH(C1110)=12),I1110*12/14,0)</f>
      </c>
      <c r="K1110" s="801">
        <f>G1110/$G$15</f>
      </c>
      <c r="L1110" s="760"/>
      <c r="M1110" s="767"/>
      <c r="N1110" s="168"/>
      <c r="O1110" s="768"/>
      <c r="P1110" s="170"/>
      <c r="Q1110" s="7"/>
      <c r="R1110" s="766"/>
      <c r="S1110" s="170"/>
      <c r="T1110" s="168"/>
      <c r="U1110" s="170"/>
    </row>
    <row x14ac:dyDescent="0.25" r="1111" customHeight="1" ht="18.75">
      <c r="A1111" s="1"/>
      <c r="B1111" s="799">
        <f>+DATE(YEAR(B1110),MONTH(B1110)+1,DAY(B1110))</f>
        <v>25569.041666666668</v>
      </c>
      <c r="C1111" s="799">
        <f>+B1112-1</f>
        <v>25569.041666666668</v>
      </c>
      <c r="D1111" s="791">
        <f>-_xlfn.DAYS($C$3,C1111)/365.25</f>
      </c>
      <c r="E1111" s="800">
        <f>IF($D$17+40&lt;=D1111,(1+$D$7)^-(D1111-$C$5),(1+$C$7)^-(D1111-$C$5))</f>
      </c>
      <c r="F1111" s="801">
        <f>IF($C$4="Hombre",(+VLOOKUP(INT(D1111)+1,Tablas!$G$9:$K$1240,5,0)*(D1111-INT(D1111))+VLOOKUP(INT(D1111),Tablas!$G$9:$K$1240,5,0)*(INT(D1111)+1-D1111))/(VLOOKUP(INT($C$5)+1,Tablas!$G$9:$K$1240,5,0)*($C$5-INT($C$5))+VLOOKUP(INT($C$5),Tablas!$G$9:$K$124,5,0)*(INT($C$5)+1-$C$5)),(+VLOOKUP(INT(D1111)+1,Tablas!$G$9:$O$1240,9,0)*(D1111-INT(D1111))+VLOOKUP(INT(D1111),Tablas!$G$9:$O$1240,9,0)*(INT(D1111)+1-D1111))/(VLOOKUP(INT($C$5)+1,Tablas!$G$9:$O$1240,9,0)*($C$5-INT($C$5))+VLOOKUP(INT($C$5),Tablas!$G$9:$O$124,9,0)*(INT($C$5)+1-$C$5)))</f>
      </c>
      <c r="G1111" s="791">
        <f>IF($C$4="Hombre",(+VLOOKUP(INT(D1111)+1,Tablas!$G$9:$K$1240,5,0)*(D1111-INT(D1111))+VLOOKUP(INT(D1111),Tablas!$G$9:$K$1240,5,0)*(INT(D1111)+1-D1111)),+VLOOKUP(INT(D1111)+1,Tablas!$G$9:$O$1240,9,0)*(D1111-INT(D1111))+VLOOKUP(INT(D1111),Tablas!$G$9:$O$1240,9,0)*(INT(D1111)+1-D1111))</f>
      </c>
      <c r="H1111" s="801">
        <f>+IF(MONTH(B1111)=1,H1110*(1+$C$9),H1110)</f>
      </c>
      <c r="I1111" s="689">
        <f>IF(B1111&lt;$C$10,0,IF(B1111&lt;$C$11,$C$8/12*E1111*F1111*H1111,0))</f>
      </c>
      <c r="J1111" s="689">
        <f>I1111*12/14+IF(OR(MONTH(C1111)=6,MONTH(C1111)=12),I1111*12/14,0)</f>
      </c>
      <c r="K1111" s="801">
        <f>G1111/$G$15</f>
      </c>
      <c r="L1111" s="760"/>
      <c r="M1111" s="767"/>
      <c r="N1111" s="168"/>
      <c r="O1111" s="768"/>
      <c r="P1111" s="170"/>
      <c r="Q1111" s="7"/>
      <c r="R1111" s="766"/>
      <c r="S1111" s="170"/>
      <c r="T1111" s="168"/>
      <c r="U1111" s="170"/>
    </row>
    <row x14ac:dyDescent="0.25" r="1112" customHeight="1" ht="18.75">
      <c r="A1112" s="1"/>
      <c r="B1112" s="799">
        <f>+DATE(YEAR(B1111),MONTH(B1111)+1,DAY(B1111))</f>
        <v>25569.041666666668</v>
      </c>
      <c r="C1112" s="799">
        <f>+B1113-1</f>
        <v>25569.041666666668</v>
      </c>
      <c r="D1112" s="791">
        <f>-_xlfn.DAYS($C$3,C1112)/365.25</f>
      </c>
      <c r="E1112" s="800">
        <f>IF($D$17+40&lt;=D1112,(1+$D$7)^-(D1112-$C$5),(1+$C$7)^-(D1112-$C$5))</f>
      </c>
      <c r="F1112" s="801">
        <f>IF($C$4="Hombre",(+VLOOKUP(INT(D1112)+1,Tablas!$G$9:$K$1240,5,0)*(D1112-INT(D1112))+VLOOKUP(INT(D1112),Tablas!$G$9:$K$1240,5,0)*(INT(D1112)+1-D1112))/(VLOOKUP(INT($C$5)+1,Tablas!$G$9:$K$1240,5,0)*($C$5-INT($C$5))+VLOOKUP(INT($C$5),Tablas!$G$9:$K$124,5,0)*(INT($C$5)+1-$C$5)),(+VLOOKUP(INT(D1112)+1,Tablas!$G$9:$O$1240,9,0)*(D1112-INT(D1112))+VLOOKUP(INT(D1112),Tablas!$G$9:$O$1240,9,0)*(INT(D1112)+1-D1112))/(VLOOKUP(INT($C$5)+1,Tablas!$G$9:$O$1240,9,0)*($C$5-INT($C$5))+VLOOKUP(INT($C$5),Tablas!$G$9:$O$124,9,0)*(INT($C$5)+1-$C$5)))</f>
      </c>
      <c r="G1112" s="791">
        <f>IF($C$4="Hombre",(+VLOOKUP(INT(D1112)+1,Tablas!$G$9:$K$1240,5,0)*(D1112-INT(D1112))+VLOOKUP(INT(D1112),Tablas!$G$9:$K$1240,5,0)*(INT(D1112)+1-D1112)),+VLOOKUP(INT(D1112)+1,Tablas!$G$9:$O$1240,9,0)*(D1112-INT(D1112))+VLOOKUP(INT(D1112),Tablas!$G$9:$O$1240,9,0)*(INT(D1112)+1-D1112))</f>
      </c>
      <c r="H1112" s="801">
        <f>+IF(MONTH(B1112)=1,H1111*(1+$C$9),H1111)</f>
      </c>
      <c r="I1112" s="689">
        <f>IF(B1112&lt;$C$10,0,IF(B1112&lt;$C$11,$C$8/12*E1112*F1112*H1112,0))</f>
      </c>
      <c r="J1112" s="689">
        <f>I1112*12/14+IF(OR(MONTH(C1112)=6,MONTH(C1112)=12),I1112*12/14,0)</f>
      </c>
      <c r="K1112" s="801">
        <f>G1112/$G$15</f>
      </c>
      <c r="L1112" s="760"/>
      <c r="M1112" s="767"/>
      <c r="N1112" s="168"/>
      <c r="O1112" s="768"/>
      <c r="P1112" s="170"/>
      <c r="Q1112" s="7"/>
      <c r="R1112" s="766"/>
      <c r="S1112" s="170"/>
      <c r="T1112" s="168"/>
      <c r="U1112" s="170"/>
    </row>
    <row x14ac:dyDescent="0.25" r="1113" customHeight="1" ht="18.75">
      <c r="A1113" s="1"/>
      <c r="B1113" s="799">
        <f>+DATE(YEAR(B1112),MONTH(B1112)+1,DAY(B1112))</f>
        <v>25569.041666666668</v>
      </c>
      <c r="C1113" s="799">
        <f>+B1114-1</f>
        <v>25569.041666666668</v>
      </c>
      <c r="D1113" s="791">
        <f>-_xlfn.DAYS($C$3,C1113)/365.25</f>
      </c>
      <c r="E1113" s="800">
        <f>IF($D$17+40&lt;=D1113,(1+$D$7)^-(D1113-$C$5),(1+$C$7)^-(D1113-$C$5))</f>
      </c>
      <c r="F1113" s="801">
        <f>IF($C$4="Hombre",(+VLOOKUP(INT(D1113)+1,Tablas!$G$9:$K$1240,5,0)*(D1113-INT(D1113))+VLOOKUP(INT(D1113),Tablas!$G$9:$K$1240,5,0)*(INT(D1113)+1-D1113))/(VLOOKUP(INT($C$5)+1,Tablas!$G$9:$K$1240,5,0)*($C$5-INT($C$5))+VLOOKUP(INT($C$5),Tablas!$G$9:$K$124,5,0)*(INT($C$5)+1-$C$5)),(+VLOOKUP(INT(D1113)+1,Tablas!$G$9:$O$1240,9,0)*(D1113-INT(D1113))+VLOOKUP(INT(D1113),Tablas!$G$9:$O$1240,9,0)*(INT(D1113)+1-D1113))/(VLOOKUP(INT($C$5)+1,Tablas!$G$9:$O$1240,9,0)*($C$5-INT($C$5))+VLOOKUP(INT($C$5),Tablas!$G$9:$O$124,9,0)*(INT($C$5)+1-$C$5)))</f>
      </c>
      <c r="G1113" s="791">
        <f>IF($C$4="Hombre",(+VLOOKUP(INT(D1113)+1,Tablas!$G$9:$K$1240,5,0)*(D1113-INT(D1113))+VLOOKUP(INT(D1113),Tablas!$G$9:$K$1240,5,0)*(INT(D1113)+1-D1113)),+VLOOKUP(INT(D1113)+1,Tablas!$G$9:$O$1240,9,0)*(D1113-INT(D1113))+VLOOKUP(INT(D1113),Tablas!$G$9:$O$1240,9,0)*(INT(D1113)+1-D1113))</f>
      </c>
      <c r="H1113" s="801">
        <f>+IF(MONTH(B1113)=1,H1112*(1+$C$9),H1112)</f>
      </c>
      <c r="I1113" s="689">
        <f>IF(B1113&lt;$C$10,0,IF(B1113&lt;$C$11,$C$8/12*E1113*F1113*H1113,0))</f>
      </c>
      <c r="J1113" s="689">
        <f>I1113*12/14+IF(OR(MONTH(C1113)=6,MONTH(C1113)=12),I1113*12/14,0)</f>
      </c>
      <c r="K1113" s="801">
        <f>G1113/$G$15</f>
      </c>
      <c r="L1113" s="760"/>
      <c r="M1113" s="767"/>
      <c r="N1113" s="168"/>
      <c r="O1113" s="768"/>
      <c r="P1113" s="170"/>
      <c r="Q1113" s="7"/>
      <c r="R1113" s="766"/>
      <c r="S1113" s="170"/>
      <c r="T1113" s="168"/>
      <c r="U1113" s="170"/>
    </row>
    <row x14ac:dyDescent="0.25" r="1114" customHeight="1" ht="18.75">
      <c r="A1114" s="1"/>
      <c r="B1114" s="799">
        <f>+DATE(YEAR(B1113),MONTH(B1113)+1,DAY(B1113))</f>
        <v>25569.041666666668</v>
      </c>
      <c r="C1114" s="799">
        <f>+B1115-1</f>
        <v>25569.041666666668</v>
      </c>
      <c r="D1114" s="791">
        <f>-_xlfn.DAYS($C$3,C1114)/365.25</f>
      </c>
      <c r="E1114" s="800">
        <f>IF($D$17+40&lt;=D1114,(1+$D$7)^-(D1114-$C$5),(1+$C$7)^-(D1114-$C$5))</f>
      </c>
      <c r="F1114" s="801">
        <f>IF($C$4="Hombre",(+VLOOKUP(INT(D1114)+1,Tablas!$G$9:$K$1240,5,0)*(D1114-INT(D1114))+VLOOKUP(INT(D1114),Tablas!$G$9:$K$1240,5,0)*(INT(D1114)+1-D1114))/(VLOOKUP(INT($C$5)+1,Tablas!$G$9:$K$1240,5,0)*($C$5-INT($C$5))+VLOOKUP(INT($C$5),Tablas!$G$9:$K$124,5,0)*(INT($C$5)+1-$C$5)),(+VLOOKUP(INT(D1114)+1,Tablas!$G$9:$O$1240,9,0)*(D1114-INT(D1114))+VLOOKUP(INT(D1114),Tablas!$G$9:$O$1240,9,0)*(INT(D1114)+1-D1114))/(VLOOKUP(INT($C$5)+1,Tablas!$G$9:$O$1240,9,0)*($C$5-INT($C$5))+VLOOKUP(INT($C$5),Tablas!$G$9:$O$124,9,0)*(INT($C$5)+1-$C$5)))</f>
      </c>
      <c r="G1114" s="791">
        <f>IF($C$4="Hombre",(+VLOOKUP(INT(D1114)+1,Tablas!$G$9:$K$1240,5,0)*(D1114-INT(D1114))+VLOOKUP(INT(D1114),Tablas!$G$9:$K$1240,5,0)*(INT(D1114)+1-D1114)),+VLOOKUP(INT(D1114)+1,Tablas!$G$9:$O$1240,9,0)*(D1114-INT(D1114))+VLOOKUP(INT(D1114),Tablas!$G$9:$O$1240,9,0)*(INT(D1114)+1-D1114))</f>
      </c>
      <c r="H1114" s="801">
        <f>+IF(MONTH(B1114)=1,H1113*(1+$C$9),H1113)</f>
      </c>
      <c r="I1114" s="689">
        <f>IF(B1114&lt;$C$10,0,IF(B1114&lt;$C$11,$C$8/12*E1114*F1114*H1114,0))</f>
      </c>
      <c r="J1114" s="689">
        <f>I1114*12/14+IF(OR(MONTH(C1114)=6,MONTH(C1114)=12),I1114*12/14,0)</f>
      </c>
      <c r="K1114" s="801">
        <f>G1114/$G$15</f>
      </c>
      <c r="L1114" s="760"/>
      <c r="M1114" s="767"/>
      <c r="N1114" s="168"/>
      <c r="O1114" s="768"/>
      <c r="P1114" s="170"/>
      <c r="Q1114" s="7"/>
      <c r="R1114" s="766"/>
      <c r="S1114" s="170"/>
      <c r="T1114" s="168"/>
      <c r="U1114" s="170"/>
    </row>
    <row x14ac:dyDescent="0.25" r="1115" customHeight="1" ht="18.75">
      <c r="A1115" s="1"/>
      <c r="B1115" s="799">
        <f>+DATE(YEAR(B1114),MONTH(B1114)+1,DAY(B1114))</f>
        <v>25569.041666666668</v>
      </c>
      <c r="C1115" s="799">
        <f>+B1116-1</f>
        <v>25569.041666666668</v>
      </c>
      <c r="D1115" s="791">
        <f>-_xlfn.DAYS($C$3,C1115)/365.25</f>
      </c>
      <c r="E1115" s="800">
        <f>IF($D$17+40&lt;=D1115,(1+$D$7)^-(D1115-$C$5),(1+$C$7)^-(D1115-$C$5))</f>
      </c>
      <c r="F1115" s="801">
        <f>IF($C$4="Hombre",(+VLOOKUP(INT(D1115)+1,Tablas!$G$9:$K$1240,5,0)*(D1115-INT(D1115))+VLOOKUP(INT(D1115),Tablas!$G$9:$K$1240,5,0)*(INT(D1115)+1-D1115))/(VLOOKUP(INT($C$5)+1,Tablas!$G$9:$K$1240,5,0)*($C$5-INT($C$5))+VLOOKUP(INT($C$5),Tablas!$G$9:$K$124,5,0)*(INT($C$5)+1-$C$5)),(+VLOOKUP(INT(D1115)+1,Tablas!$G$9:$O$1240,9,0)*(D1115-INT(D1115))+VLOOKUP(INT(D1115),Tablas!$G$9:$O$1240,9,0)*(INT(D1115)+1-D1115))/(VLOOKUP(INT($C$5)+1,Tablas!$G$9:$O$1240,9,0)*($C$5-INT($C$5))+VLOOKUP(INT($C$5),Tablas!$G$9:$O$124,9,0)*(INT($C$5)+1-$C$5)))</f>
      </c>
      <c r="G1115" s="791">
        <f>IF($C$4="Hombre",(+VLOOKUP(INT(D1115)+1,Tablas!$G$9:$K$1240,5,0)*(D1115-INT(D1115))+VLOOKUP(INT(D1115),Tablas!$G$9:$K$1240,5,0)*(INT(D1115)+1-D1115)),+VLOOKUP(INT(D1115)+1,Tablas!$G$9:$O$1240,9,0)*(D1115-INT(D1115))+VLOOKUP(INT(D1115),Tablas!$G$9:$O$1240,9,0)*(INT(D1115)+1-D1115))</f>
      </c>
      <c r="H1115" s="801">
        <f>+IF(MONTH(B1115)=1,H1114*(1+$C$9),H1114)</f>
      </c>
      <c r="I1115" s="689">
        <f>IF(B1115&lt;$C$10,0,IF(B1115&lt;$C$11,$C$8/12*E1115*F1115*H1115,0))</f>
      </c>
      <c r="J1115" s="689">
        <f>I1115*12/14+IF(OR(MONTH(C1115)=6,MONTH(C1115)=12),I1115*12/14,0)</f>
      </c>
      <c r="K1115" s="801">
        <f>G1115/$G$15</f>
      </c>
      <c r="L1115" s="760"/>
      <c r="M1115" s="767"/>
      <c r="N1115" s="168"/>
      <c r="O1115" s="768"/>
      <c r="P1115" s="170"/>
      <c r="Q1115" s="7"/>
      <c r="R1115" s="766"/>
      <c r="S1115" s="170"/>
      <c r="T1115" s="168"/>
      <c r="U1115" s="170"/>
    </row>
    <row x14ac:dyDescent="0.25" r="1116" customHeight="1" ht="18.75">
      <c r="A1116" s="1"/>
      <c r="B1116" s="799">
        <f>+DATE(YEAR(B1115),MONTH(B1115)+1,DAY(B1115))</f>
        <v>25569.041666666668</v>
      </c>
      <c r="C1116" s="799">
        <f>+B1117-1</f>
        <v>25569.041666666668</v>
      </c>
      <c r="D1116" s="791">
        <f>-_xlfn.DAYS($C$3,C1116)/365.25</f>
      </c>
      <c r="E1116" s="800">
        <f>IF($D$17+40&lt;=D1116,(1+$D$7)^-(D1116-$C$5),(1+$C$7)^-(D1116-$C$5))</f>
      </c>
      <c r="F1116" s="801">
        <f>IF($C$4="Hombre",(+VLOOKUP(INT(D1116)+1,Tablas!$G$9:$K$1240,5,0)*(D1116-INT(D1116))+VLOOKUP(INT(D1116),Tablas!$G$9:$K$1240,5,0)*(INT(D1116)+1-D1116))/(VLOOKUP(INT($C$5)+1,Tablas!$G$9:$K$1240,5,0)*($C$5-INT($C$5))+VLOOKUP(INT($C$5),Tablas!$G$9:$K$124,5,0)*(INT($C$5)+1-$C$5)),(+VLOOKUP(INT(D1116)+1,Tablas!$G$9:$O$1240,9,0)*(D1116-INT(D1116))+VLOOKUP(INT(D1116),Tablas!$G$9:$O$1240,9,0)*(INT(D1116)+1-D1116))/(VLOOKUP(INT($C$5)+1,Tablas!$G$9:$O$1240,9,0)*($C$5-INT($C$5))+VLOOKUP(INT($C$5),Tablas!$G$9:$O$124,9,0)*(INT($C$5)+1-$C$5)))</f>
      </c>
      <c r="G1116" s="791">
        <f>IF($C$4="Hombre",(+VLOOKUP(INT(D1116)+1,Tablas!$G$9:$K$1240,5,0)*(D1116-INT(D1116))+VLOOKUP(INT(D1116),Tablas!$G$9:$K$1240,5,0)*(INT(D1116)+1-D1116)),+VLOOKUP(INT(D1116)+1,Tablas!$G$9:$O$1240,9,0)*(D1116-INT(D1116))+VLOOKUP(INT(D1116),Tablas!$G$9:$O$1240,9,0)*(INT(D1116)+1-D1116))</f>
      </c>
      <c r="H1116" s="801">
        <f>+IF(MONTH(B1116)=1,H1115*(1+$C$9),H1115)</f>
      </c>
      <c r="I1116" s="689">
        <f>IF(B1116&lt;$C$10,0,IF(B1116&lt;$C$11,$C$8/12*E1116*F1116*H1116,0))</f>
      </c>
      <c r="J1116" s="689">
        <f>I1116*12/14+IF(OR(MONTH(C1116)=6,MONTH(C1116)=12),I1116*12/14,0)</f>
      </c>
      <c r="K1116" s="801">
        <f>G1116/$G$15</f>
      </c>
      <c r="L1116" s="760"/>
      <c r="M1116" s="767"/>
      <c r="N1116" s="168"/>
      <c r="O1116" s="768"/>
      <c r="P1116" s="170"/>
      <c r="Q1116" s="7"/>
      <c r="R1116" s="766"/>
      <c r="S1116" s="170"/>
      <c r="T1116" s="168"/>
      <c r="U1116" s="170"/>
    </row>
    <row x14ac:dyDescent="0.25" r="1117" customHeight="1" ht="18.75">
      <c r="A1117" s="1"/>
      <c r="B1117" s="799">
        <f>+DATE(YEAR(B1116),MONTH(B1116)+1,DAY(B1116))</f>
        <v>25569.041666666668</v>
      </c>
      <c r="C1117" s="799">
        <f>+B1118-1</f>
        <v>25569.041666666668</v>
      </c>
      <c r="D1117" s="791">
        <f>-_xlfn.DAYS($C$3,C1117)/365.25</f>
      </c>
      <c r="E1117" s="800">
        <f>IF($D$17+40&lt;=D1117,(1+$D$7)^-(D1117-$C$5),(1+$C$7)^-(D1117-$C$5))</f>
      </c>
      <c r="F1117" s="801">
        <f>IF($C$4="Hombre",(+VLOOKUP(INT(D1117)+1,Tablas!$G$9:$K$1240,5,0)*(D1117-INT(D1117))+VLOOKUP(INT(D1117),Tablas!$G$9:$K$1240,5,0)*(INT(D1117)+1-D1117))/(VLOOKUP(INT($C$5)+1,Tablas!$G$9:$K$1240,5,0)*($C$5-INT($C$5))+VLOOKUP(INT($C$5),Tablas!$G$9:$K$124,5,0)*(INT($C$5)+1-$C$5)),(+VLOOKUP(INT(D1117)+1,Tablas!$G$9:$O$1240,9,0)*(D1117-INT(D1117))+VLOOKUP(INT(D1117),Tablas!$G$9:$O$1240,9,0)*(INT(D1117)+1-D1117))/(VLOOKUP(INT($C$5)+1,Tablas!$G$9:$O$1240,9,0)*($C$5-INT($C$5))+VLOOKUP(INT($C$5),Tablas!$G$9:$O$124,9,0)*(INT($C$5)+1-$C$5)))</f>
      </c>
      <c r="G1117" s="791">
        <f>IF($C$4="Hombre",(+VLOOKUP(INT(D1117)+1,Tablas!$G$9:$K$1240,5,0)*(D1117-INT(D1117))+VLOOKUP(INT(D1117),Tablas!$G$9:$K$1240,5,0)*(INT(D1117)+1-D1117)),+VLOOKUP(INT(D1117)+1,Tablas!$G$9:$O$1240,9,0)*(D1117-INT(D1117))+VLOOKUP(INT(D1117),Tablas!$G$9:$O$1240,9,0)*(INT(D1117)+1-D1117))</f>
      </c>
      <c r="H1117" s="801">
        <f>+IF(MONTH(B1117)=1,H1116*(1+$C$9),H1116)</f>
      </c>
      <c r="I1117" s="689">
        <f>IF(B1117&lt;$C$10,0,IF(B1117&lt;$C$11,$C$8/12*E1117*F1117*H1117,0))</f>
      </c>
      <c r="J1117" s="689">
        <f>I1117*12/14+IF(OR(MONTH(C1117)=6,MONTH(C1117)=12),I1117*12/14,0)</f>
      </c>
      <c r="K1117" s="801">
        <f>G1117/$G$15</f>
      </c>
      <c r="L1117" s="760"/>
      <c r="M1117" s="767"/>
      <c r="N1117" s="168"/>
      <c r="O1117" s="768"/>
      <c r="P1117" s="170"/>
      <c r="Q1117" s="7"/>
      <c r="R1117" s="766"/>
      <c r="S1117" s="170"/>
      <c r="T1117" s="168"/>
      <c r="U1117" s="170"/>
    </row>
    <row x14ac:dyDescent="0.25" r="1118" customHeight="1" ht="18.75">
      <c r="A1118" s="1"/>
      <c r="B1118" s="799">
        <f>+DATE(YEAR(B1117),MONTH(B1117)+1,DAY(B1117))</f>
        <v>25569.041666666668</v>
      </c>
      <c r="C1118" s="799">
        <f>+B1119-1</f>
        <v>25569.041666666668</v>
      </c>
      <c r="D1118" s="791">
        <f>-_xlfn.DAYS($C$3,C1118)/365.25</f>
      </c>
      <c r="E1118" s="800">
        <f>IF($D$17+40&lt;=D1118,(1+$D$7)^-(D1118-$C$5),(1+$C$7)^-(D1118-$C$5))</f>
      </c>
      <c r="F1118" s="801">
        <f>IF($C$4="Hombre",(+VLOOKUP(INT(D1118)+1,Tablas!$G$9:$K$1240,5,0)*(D1118-INT(D1118))+VLOOKUP(INT(D1118),Tablas!$G$9:$K$1240,5,0)*(INT(D1118)+1-D1118))/(VLOOKUP(INT($C$5)+1,Tablas!$G$9:$K$1240,5,0)*($C$5-INT($C$5))+VLOOKUP(INT($C$5),Tablas!$G$9:$K$124,5,0)*(INT($C$5)+1-$C$5)),(+VLOOKUP(INT(D1118)+1,Tablas!$G$9:$O$1240,9,0)*(D1118-INT(D1118))+VLOOKUP(INT(D1118),Tablas!$G$9:$O$1240,9,0)*(INT(D1118)+1-D1118))/(VLOOKUP(INT($C$5)+1,Tablas!$G$9:$O$1240,9,0)*($C$5-INT($C$5))+VLOOKUP(INT($C$5),Tablas!$G$9:$O$124,9,0)*(INT($C$5)+1-$C$5)))</f>
      </c>
      <c r="G1118" s="791">
        <f>IF($C$4="Hombre",(+VLOOKUP(INT(D1118)+1,Tablas!$G$9:$K$1240,5,0)*(D1118-INT(D1118))+VLOOKUP(INT(D1118),Tablas!$G$9:$K$1240,5,0)*(INT(D1118)+1-D1118)),+VLOOKUP(INT(D1118)+1,Tablas!$G$9:$O$1240,9,0)*(D1118-INT(D1118))+VLOOKUP(INT(D1118),Tablas!$G$9:$O$1240,9,0)*(INT(D1118)+1-D1118))</f>
      </c>
      <c r="H1118" s="801">
        <f>+IF(MONTH(B1118)=1,H1117*(1+$C$9),H1117)</f>
      </c>
      <c r="I1118" s="689">
        <f>IF(B1118&lt;$C$10,0,IF(B1118&lt;$C$11,$C$8/12*E1118*F1118*H1118,0))</f>
      </c>
      <c r="J1118" s="689">
        <f>I1118*12/14+IF(OR(MONTH(C1118)=6,MONTH(C1118)=12),I1118*12/14,0)</f>
      </c>
      <c r="K1118" s="801">
        <f>G1118/$G$15</f>
      </c>
      <c r="L1118" s="760"/>
      <c r="M1118" s="767"/>
      <c r="N1118" s="168"/>
      <c r="O1118" s="768"/>
      <c r="P1118" s="170"/>
      <c r="Q1118" s="7"/>
      <c r="R1118" s="766"/>
      <c r="S1118" s="170"/>
      <c r="T1118" s="168"/>
      <c r="U1118" s="170"/>
    </row>
    <row x14ac:dyDescent="0.25" r="1119" customHeight="1" ht="18.75">
      <c r="A1119" s="1"/>
      <c r="B1119" s="799">
        <f>+DATE(YEAR(B1118),MONTH(B1118)+1,DAY(B1118))</f>
        <v>25569.041666666668</v>
      </c>
      <c r="C1119" s="799">
        <f>+B1120-1</f>
        <v>25569.041666666668</v>
      </c>
      <c r="D1119" s="791">
        <f>-_xlfn.DAYS($C$3,C1119)/365.25</f>
      </c>
      <c r="E1119" s="800">
        <f>IF($D$17+40&lt;=D1119,(1+$D$7)^-(D1119-$C$5),(1+$C$7)^-(D1119-$C$5))</f>
      </c>
      <c r="F1119" s="801">
        <f>IF($C$4="Hombre",(+VLOOKUP(INT(D1119)+1,Tablas!$G$9:$K$1240,5,0)*(D1119-INT(D1119))+VLOOKUP(INT(D1119),Tablas!$G$9:$K$1240,5,0)*(INT(D1119)+1-D1119))/(VLOOKUP(INT($C$5)+1,Tablas!$G$9:$K$1240,5,0)*($C$5-INT($C$5))+VLOOKUP(INT($C$5),Tablas!$G$9:$K$124,5,0)*(INT($C$5)+1-$C$5)),(+VLOOKUP(INT(D1119)+1,Tablas!$G$9:$O$1240,9,0)*(D1119-INT(D1119))+VLOOKUP(INT(D1119),Tablas!$G$9:$O$1240,9,0)*(INT(D1119)+1-D1119))/(VLOOKUP(INT($C$5)+1,Tablas!$G$9:$O$1240,9,0)*($C$5-INT($C$5))+VLOOKUP(INT($C$5),Tablas!$G$9:$O$124,9,0)*(INT($C$5)+1-$C$5)))</f>
      </c>
      <c r="G1119" s="791">
        <f>IF($C$4="Hombre",(+VLOOKUP(INT(D1119)+1,Tablas!$G$9:$K$1240,5,0)*(D1119-INT(D1119))+VLOOKUP(INT(D1119),Tablas!$G$9:$K$1240,5,0)*(INT(D1119)+1-D1119)),+VLOOKUP(INT(D1119)+1,Tablas!$G$9:$O$1240,9,0)*(D1119-INT(D1119))+VLOOKUP(INT(D1119),Tablas!$G$9:$O$1240,9,0)*(INT(D1119)+1-D1119))</f>
      </c>
      <c r="H1119" s="801">
        <f>+IF(MONTH(B1119)=1,H1118*(1+$C$9),H1118)</f>
      </c>
      <c r="I1119" s="689">
        <f>IF(B1119&lt;$C$10,0,IF(B1119&lt;$C$11,$C$8/12*E1119*F1119*H1119,0))</f>
      </c>
      <c r="J1119" s="689">
        <f>I1119*12/14+IF(OR(MONTH(C1119)=6,MONTH(C1119)=12),I1119*12/14,0)</f>
      </c>
      <c r="K1119" s="801">
        <f>G1119/$G$15</f>
      </c>
      <c r="L1119" s="760"/>
      <c r="M1119" s="767"/>
      <c r="N1119" s="168"/>
      <c r="O1119" s="768"/>
      <c r="P1119" s="170"/>
      <c r="Q1119" s="7"/>
      <c r="R1119" s="766"/>
      <c r="S1119" s="170"/>
      <c r="T1119" s="168"/>
      <c r="U1119" s="170"/>
    </row>
    <row x14ac:dyDescent="0.25" r="1120" customHeight="1" ht="18.75">
      <c r="A1120" s="1"/>
      <c r="B1120" s="799">
        <f>+DATE(YEAR(B1119),MONTH(B1119)+1,DAY(B1119))</f>
        <v>25569.041666666668</v>
      </c>
      <c r="C1120" s="799">
        <f>+B1121-1</f>
        <v>25569.041666666668</v>
      </c>
      <c r="D1120" s="791">
        <f>-_xlfn.DAYS($C$3,C1120)/365.25</f>
      </c>
      <c r="E1120" s="800">
        <f>IF($D$17+40&lt;=D1120,(1+$D$7)^-(D1120-$C$5),(1+$C$7)^-(D1120-$C$5))</f>
      </c>
      <c r="F1120" s="801">
        <f>IF($C$4="Hombre",(+VLOOKUP(INT(D1120)+1,Tablas!$G$9:$K$1240,5,0)*(D1120-INT(D1120))+VLOOKUP(INT(D1120),Tablas!$G$9:$K$1240,5,0)*(INT(D1120)+1-D1120))/(VLOOKUP(INT($C$5)+1,Tablas!$G$9:$K$1240,5,0)*($C$5-INT($C$5))+VLOOKUP(INT($C$5),Tablas!$G$9:$K$124,5,0)*(INT($C$5)+1-$C$5)),(+VLOOKUP(INT(D1120)+1,Tablas!$G$9:$O$1240,9,0)*(D1120-INT(D1120))+VLOOKUP(INT(D1120),Tablas!$G$9:$O$1240,9,0)*(INT(D1120)+1-D1120))/(VLOOKUP(INT($C$5)+1,Tablas!$G$9:$O$1240,9,0)*($C$5-INT($C$5))+VLOOKUP(INT($C$5),Tablas!$G$9:$O$124,9,0)*(INT($C$5)+1-$C$5)))</f>
      </c>
      <c r="G1120" s="791">
        <f>IF($C$4="Hombre",(+VLOOKUP(INT(D1120)+1,Tablas!$G$9:$K$1240,5,0)*(D1120-INT(D1120))+VLOOKUP(INT(D1120),Tablas!$G$9:$K$1240,5,0)*(INT(D1120)+1-D1120)),+VLOOKUP(INT(D1120)+1,Tablas!$G$9:$O$1240,9,0)*(D1120-INT(D1120))+VLOOKUP(INT(D1120),Tablas!$G$9:$O$1240,9,0)*(INT(D1120)+1-D1120))</f>
      </c>
      <c r="H1120" s="801">
        <f>+IF(MONTH(B1120)=1,H1119*(1+$C$9),H1119)</f>
      </c>
      <c r="I1120" s="689">
        <f>IF(B1120&lt;$C$10,0,IF(B1120&lt;$C$11,$C$8/12*E1120*F1120*H1120,0))</f>
      </c>
      <c r="J1120" s="689">
        <f>I1120*12/14+IF(OR(MONTH(C1120)=6,MONTH(C1120)=12),I1120*12/14,0)</f>
      </c>
      <c r="K1120" s="801">
        <f>G1120/$G$15</f>
      </c>
      <c r="L1120" s="760"/>
      <c r="M1120" s="767"/>
      <c r="N1120" s="168"/>
      <c r="O1120" s="768"/>
      <c r="P1120" s="170"/>
      <c r="Q1120" s="7"/>
      <c r="R1120" s="766"/>
      <c r="S1120" s="170"/>
      <c r="T1120" s="168"/>
      <c r="U1120" s="170"/>
    </row>
    <row x14ac:dyDescent="0.25" r="1121" customHeight="1" ht="18.75">
      <c r="A1121" s="1"/>
      <c r="B1121" s="799">
        <f>+DATE(YEAR(B1120),MONTH(B1120)+1,DAY(B1120))</f>
        <v>25569.041666666668</v>
      </c>
      <c r="C1121" s="799">
        <f>+B1122-1</f>
        <v>25569.041666666668</v>
      </c>
      <c r="D1121" s="791">
        <f>-_xlfn.DAYS($C$3,C1121)/365.25</f>
      </c>
      <c r="E1121" s="800">
        <f>IF($D$17+40&lt;=D1121,(1+$D$7)^-(D1121-$C$5),(1+$C$7)^-(D1121-$C$5))</f>
      </c>
      <c r="F1121" s="801">
        <f>IF($C$4="Hombre",(+VLOOKUP(INT(D1121)+1,Tablas!$G$9:$K$1240,5,0)*(D1121-INT(D1121))+VLOOKUP(INT(D1121),Tablas!$G$9:$K$1240,5,0)*(INT(D1121)+1-D1121))/(VLOOKUP(INT($C$5)+1,Tablas!$G$9:$K$1240,5,0)*($C$5-INT($C$5))+VLOOKUP(INT($C$5),Tablas!$G$9:$K$124,5,0)*(INT($C$5)+1-$C$5)),(+VLOOKUP(INT(D1121)+1,Tablas!$G$9:$O$1240,9,0)*(D1121-INT(D1121))+VLOOKUP(INT(D1121),Tablas!$G$9:$O$1240,9,0)*(INT(D1121)+1-D1121))/(VLOOKUP(INT($C$5)+1,Tablas!$G$9:$O$1240,9,0)*($C$5-INT($C$5))+VLOOKUP(INT($C$5),Tablas!$G$9:$O$124,9,0)*(INT($C$5)+1-$C$5)))</f>
      </c>
      <c r="G1121" s="791">
        <f>IF($C$4="Hombre",(+VLOOKUP(INT(D1121)+1,Tablas!$G$9:$K$1240,5,0)*(D1121-INT(D1121))+VLOOKUP(INT(D1121),Tablas!$G$9:$K$1240,5,0)*(INT(D1121)+1-D1121)),+VLOOKUP(INT(D1121)+1,Tablas!$G$9:$O$1240,9,0)*(D1121-INT(D1121))+VLOOKUP(INT(D1121),Tablas!$G$9:$O$1240,9,0)*(INT(D1121)+1-D1121))</f>
      </c>
      <c r="H1121" s="801">
        <f>+IF(MONTH(B1121)=1,H1120*(1+$C$9),H1120)</f>
      </c>
      <c r="I1121" s="689">
        <f>IF(B1121&lt;$C$10,0,IF(B1121&lt;$C$11,$C$8/12*E1121*F1121*H1121,0))</f>
      </c>
      <c r="J1121" s="689">
        <f>I1121*12/14+IF(OR(MONTH(C1121)=6,MONTH(C1121)=12),I1121*12/14,0)</f>
      </c>
      <c r="K1121" s="801">
        <f>G1121/$G$15</f>
      </c>
      <c r="L1121" s="760"/>
      <c r="M1121" s="767"/>
      <c r="N1121" s="168"/>
      <c r="O1121" s="768"/>
      <c r="P1121" s="170"/>
      <c r="Q1121" s="7"/>
      <c r="R1121" s="766"/>
      <c r="S1121" s="170"/>
      <c r="T1121" s="168"/>
      <c r="U1121" s="170"/>
    </row>
    <row x14ac:dyDescent="0.25" r="1122" customHeight="1" ht="18.75">
      <c r="A1122" s="1"/>
      <c r="B1122" s="799">
        <f>+DATE(YEAR(B1121),MONTH(B1121)+1,DAY(B1121))</f>
        <v>25569.041666666668</v>
      </c>
      <c r="C1122" s="799">
        <f>+B1123-1</f>
        <v>25569.041666666668</v>
      </c>
      <c r="D1122" s="791">
        <f>-_xlfn.DAYS($C$3,C1122)/365.25</f>
      </c>
      <c r="E1122" s="800">
        <f>IF($D$17+40&lt;=D1122,(1+$D$7)^-(D1122-$C$5),(1+$C$7)^-(D1122-$C$5))</f>
      </c>
      <c r="F1122" s="801">
        <f>IF($C$4="Hombre",(+VLOOKUP(INT(D1122)+1,Tablas!$G$9:$K$1240,5,0)*(D1122-INT(D1122))+VLOOKUP(INT(D1122),Tablas!$G$9:$K$1240,5,0)*(INT(D1122)+1-D1122))/(VLOOKUP(INT($C$5)+1,Tablas!$G$9:$K$1240,5,0)*($C$5-INT($C$5))+VLOOKUP(INT($C$5),Tablas!$G$9:$K$124,5,0)*(INT($C$5)+1-$C$5)),(+VLOOKUP(INT(D1122)+1,Tablas!$G$9:$O$1240,9,0)*(D1122-INT(D1122))+VLOOKUP(INT(D1122),Tablas!$G$9:$O$1240,9,0)*(INT(D1122)+1-D1122))/(VLOOKUP(INT($C$5)+1,Tablas!$G$9:$O$1240,9,0)*($C$5-INT($C$5))+VLOOKUP(INT($C$5),Tablas!$G$9:$O$124,9,0)*(INT($C$5)+1-$C$5)))</f>
      </c>
      <c r="G1122" s="791">
        <f>IF($C$4="Hombre",(+VLOOKUP(INT(D1122)+1,Tablas!$G$9:$K$1240,5,0)*(D1122-INT(D1122))+VLOOKUP(INT(D1122),Tablas!$G$9:$K$1240,5,0)*(INT(D1122)+1-D1122)),+VLOOKUP(INT(D1122)+1,Tablas!$G$9:$O$1240,9,0)*(D1122-INT(D1122))+VLOOKUP(INT(D1122),Tablas!$G$9:$O$1240,9,0)*(INT(D1122)+1-D1122))</f>
      </c>
      <c r="H1122" s="801">
        <f>+IF(MONTH(B1122)=1,H1121*(1+$C$9),H1121)</f>
      </c>
      <c r="I1122" s="689">
        <f>IF(B1122&lt;$C$10,0,IF(B1122&lt;$C$11,$C$8/12*E1122*F1122*H1122,0))</f>
      </c>
      <c r="J1122" s="689">
        <f>I1122*12/14+IF(OR(MONTH(C1122)=6,MONTH(C1122)=12),I1122*12/14,0)</f>
      </c>
      <c r="K1122" s="801">
        <f>G1122/$G$15</f>
      </c>
      <c r="L1122" s="760"/>
      <c r="M1122" s="767"/>
      <c r="N1122" s="168"/>
      <c r="O1122" s="768"/>
      <c r="P1122" s="170"/>
      <c r="Q1122" s="7"/>
      <c r="R1122" s="766"/>
      <c r="S1122" s="170"/>
      <c r="T1122" s="168"/>
      <c r="U1122" s="170"/>
    </row>
    <row x14ac:dyDescent="0.25" r="1123" customHeight="1" ht="18.75">
      <c r="A1123" s="1"/>
      <c r="B1123" s="799">
        <f>+DATE(YEAR(B1122),MONTH(B1122)+1,DAY(B1122))</f>
        <v>25569.041666666668</v>
      </c>
      <c r="C1123" s="799">
        <f>+B1124-1</f>
        <v>25569.041666666668</v>
      </c>
      <c r="D1123" s="791">
        <f>-_xlfn.DAYS($C$3,C1123)/365.25</f>
      </c>
      <c r="E1123" s="800">
        <f>IF($D$17+40&lt;=D1123,(1+$D$7)^-(D1123-$C$5),(1+$C$7)^-(D1123-$C$5))</f>
      </c>
      <c r="F1123" s="801">
        <f>IF($C$4="Hombre",(+VLOOKUP(INT(D1123)+1,Tablas!$G$9:$K$1240,5,0)*(D1123-INT(D1123))+VLOOKUP(INT(D1123),Tablas!$G$9:$K$1240,5,0)*(INT(D1123)+1-D1123))/(VLOOKUP(INT($C$5)+1,Tablas!$G$9:$K$1240,5,0)*($C$5-INT($C$5))+VLOOKUP(INT($C$5),Tablas!$G$9:$K$124,5,0)*(INT($C$5)+1-$C$5)),(+VLOOKUP(INT(D1123)+1,Tablas!$G$9:$O$1240,9,0)*(D1123-INT(D1123))+VLOOKUP(INT(D1123),Tablas!$G$9:$O$1240,9,0)*(INT(D1123)+1-D1123))/(VLOOKUP(INT($C$5)+1,Tablas!$G$9:$O$1240,9,0)*($C$5-INT($C$5))+VLOOKUP(INT($C$5),Tablas!$G$9:$O$124,9,0)*(INT($C$5)+1-$C$5)))</f>
      </c>
      <c r="G1123" s="791">
        <f>IF($C$4="Hombre",(+VLOOKUP(INT(D1123)+1,Tablas!$G$9:$K$1240,5,0)*(D1123-INT(D1123))+VLOOKUP(INT(D1123),Tablas!$G$9:$K$1240,5,0)*(INT(D1123)+1-D1123)),+VLOOKUP(INT(D1123)+1,Tablas!$G$9:$O$1240,9,0)*(D1123-INT(D1123))+VLOOKUP(INT(D1123),Tablas!$G$9:$O$1240,9,0)*(INT(D1123)+1-D1123))</f>
      </c>
      <c r="H1123" s="801">
        <f>+IF(MONTH(B1123)=1,H1122*(1+$C$9),H1122)</f>
      </c>
      <c r="I1123" s="689">
        <f>IF(B1123&lt;$C$10,0,IF(B1123&lt;$C$11,$C$8/12*E1123*F1123*H1123,0))</f>
      </c>
      <c r="J1123" s="689">
        <f>I1123*12/14+IF(OR(MONTH(C1123)=6,MONTH(C1123)=12),I1123*12/14,0)</f>
      </c>
      <c r="K1123" s="801">
        <f>G1123/$G$15</f>
      </c>
      <c r="L1123" s="760"/>
      <c r="M1123" s="767"/>
      <c r="N1123" s="168"/>
      <c r="O1123" s="768"/>
      <c r="P1123" s="170"/>
      <c r="Q1123" s="7"/>
      <c r="R1123" s="766"/>
      <c r="S1123" s="170"/>
      <c r="T1123" s="168"/>
      <c r="U1123" s="170"/>
    </row>
    <row x14ac:dyDescent="0.25" r="1124" customHeight="1" ht="18.75">
      <c r="A1124" s="1"/>
      <c r="B1124" s="799">
        <f>+DATE(YEAR(B1123),MONTH(B1123)+1,DAY(B1123))</f>
        <v>25569.041666666668</v>
      </c>
      <c r="C1124" s="799">
        <f>+B1125-1</f>
        <v>25569.041666666668</v>
      </c>
      <c r="D1124" s="791">
        <f>-_xlfn.DAYS($C$3,C1124)/365.25</f>
      </c>
      <c r="E1124" s="800">
        <f>IF($D$17+40&lt;=D1124,(1+$D$7)^-(D1124-$C$5),(1+$C$7)^-(D1124-$C$5))</f>
      </c>
      <c r="F1124" s="801">
        <f>IF($C$4="Hombre",(+VLOOKUP(INT(D1124)+1,Tablas!$G$9:$K$1240,5,0)*(D1124-INT(D1124))+VLOOKUP(INT(D1124),Tablas!$G$9:$K$1240,5,0)*(INT(D1124)+1-D1124))/(VLOOKUP(INT($C$5)+1,Tablas!$G$9:$K$1240,5,0)*($C$5-INT($C$5))+VLOOKUP(INT($C$5),Tablas!$G$9:$K$124,5,0)*(INT($C$5)+1-$C$5)),(+VLOOKUP(INT(D1124)+1,Tablas!$G$9:$O$1240,9,0)*(D1124-INT(D1124))+VLOOKUP(INT(D1124),Tablas!$G$9:$O$1240,9,0)*(INT(D1124)+1-D1124))/(VLOOKUP(INT($C$5)+1,Tablas!$G$9:$O$1240,9,0)*($C$5-INT($C$5))+VLOOKUP(INT($C$5),Tablas!$G$9:$O$124,9,0)*(INT($C$5)+1-$C$5)))</f>
      </c>
      <c r="G1124" s="791">
        <f>IF($C$4="Hombre",(+VLOOKUP(INT(D1124)+1,Tablas!$G$9:$K$1240,5,0)*(D1124-INT(D1124))+VLOOKUP(INT(D1124),Tablas!$G$9:$K$1240,5,0)*(INT(D1124)+1-D1124)),+VLOOKUP(INT(D1124)+1,Tablas!$G$9:$O$1240,9,0)*(D1124-INT(D1124))+VLOOKUP(INT(D1124),Tablas!$G$9:$O$1240,9,0)*(INT(D1124)+1-D1124))</f>
      </c>
      <c r="H1124" s="801">
        <f>+IF(MONTH(B1124)=1,H1123*(1+$C$9),H1123)</f>
      </c>
      <c r="I1124" s="689">
        <f>IF(B1124&lt;$C$10,0,IF(B1124&lt;$C$11,$C$8/12*E1124*F1124*H1124,0))</f>
      </c>
      <c r="J1124" s="689">
        <f>I1124*12/14+IF(OR(MONTH(C1124)=6,MONTH(C1124)=12),I1124*12/14,0)</f>
      </c>
      <c r="K1124" s="801">
        <f>G1124/$G$15</f>
      </c>
      <c r="L1124" s="760"/>
      <c r="M1124" s="767"/>
      <c r="N1124" s="168"/>
      <c r="O1124" s="768"/>
      <c r="P1124" s="170"/>
      <c r="Q1124" s="7"/>
      <c r="R1124" s="766"/>
      <c r="S1124" s="170"/>
      <c r="T1124" s="168"/>
      <c r="U1124" s="170"/>
    </row>
    <row x14ac:dyDescent="0.25" r="1125" customHeight="1" ht="18.75">
      <c r="A1125" s="1"/>
      <c r="B1125" s="799">
        <f>+DATE(YEAR(B1124),MONTH(B1124)+1,DAY(B1124))</f>
        <v>25569.041666666668</v>
      </c>
      <c r="C1125" s="799">
        <f>+B1126-1</f>
        <v>25569.041666666668</v>
      </c>
      <c r="D1125" s="791">
        <f>-_xlfn.DAYS($C$3,C1125)/365.25</f>
      </c>
      <c r="E1125" s="800">
        <f>IF($D$17+40&lt;=D1125,(1+$D$7)^-(D1125-$C$5),(1+$C$7)^-(D1125-$C$5))</f>
      </c>
      <c r="F1125" s="801">
        <f>IF($C$4="Hombre",(+VLOOKUP(INT(D1125)+1,Tablas!$G$9:$K$1240,5,0)*(D1125-INT(D1125))+VLOOKUP(INT(D1125),Tablas!$G$9:$K$1240,5,0)*(INT(D1125)+1-D1125))/(VLOOKUP(INT($C$5)+1,Tablas!$G$9:$K$1240,5,0)*($C$5-INT($C$5))+VLOOKUP(INT($C$5),Tablas!$G$9:$K$124,5,0)*(INT($C$5)+1-$C$5)),(+VLOOKUP(INT(D1125)+1,Tablas!$G$9:$O$1240,9,0)*(D1125-INT(D1125))+VLOOKUP(INT(D1125),Tablas!$G$9:$O$1240,9,0)*(INT(D1125)+1-D1125))/(VLOOKUP(INT($C$5)+1,Tablas!$G$9:$O$1240,9,0)*($C$5-INT($C$5))+VLOOKUP(INT($C$5),Tablas!$G$9:$O$124,9,0)*(INT($C$5)+1-$C$5)))</f>
      </c>
      <c r="G1125" s="791">
        <f>IF($C$4="Hombre",(+VLOOKUP(INT(D1125)+1,Tablas!$G$9:$K$1240,5,0)*(D1125-INT(D1125))+VLOOKUP(INT(D1125),Tablas!$G$9:$K$1240,5,0)*(INT(D1125)+1-D1125)),+VLOOKUP(INT(D1125)+1,Tablas!$G$9:$O$1240,9,0)*(D1125-INT(D1125))+VLOOKUP(INT(D1125),Tablas!$G$9:$O$1240,9,0)*(INT(D1125)+1-D1125))</f>
      </c>
      <c r="H1125" s="801">
        <f>+IF(MONTH(B1125)=1,H1124*(1+$C$9),H1124)</f>
      </c>
      <c r="I1125" s="689">
        <f>IF(B1125&lt;$C$10,0,IF(B1125&lt;$C$11,$C$8/12*E1125*F1125*H1125,0))</f>
      </c>
      <c r="J1125" s="689">
        <f>I1125*12/14+IF(OR(MONTH(C1125)=6,MONTH(C1125)=12),I1125*12/14,0)</f>
      </c>
      <c r="K1125" s="801">
        <f>G1125/$G$15</f>
      </c>
      <c r="L1125" s="760"/>
      <c r="M1125" s="767"/>
      <c r="N1125" s="168"/>
      <c r="O1125" s="768"/>
      <c r="P1125" s="170"/>
      <c r="Q1125" s="7"/>
      <c r="R1125" s="766"/>
      <c r="S1125" s="170"/>
      <c r="T1125" s="168"/>
      <c r="U1125" s="170"/>
    </row>
    <row x14ac:dyDescent="0.25" r="1126" customHeight="1" ht="18.75">
      <c r="A1126" s="1"/>
      <c r="B1126" s="799">
        <f>+DATE(YEAR(B1125),MONTH(B1125)+1,DAY(B1125))</f>
        <v>25569.041666666668</v>
      </c>
      <c r="C1126" s="799">
        <f>+B1127-1</f>
        <v>25569.041666666668</v>
      </c>
      <c r="D1126" s="791">
        <f>-_xlfn.DAYS($C$3,C1126)/365.25</f>
      </c>
      <c r="E1126" s="800">
        <f>IF($D$17+40&lt;=D1126,(1+$D$7)^-(D1126-$C$5),(1+$C$7)^-(D1126-$C$5))</f>
      </c>
      <c r="F1126" s="801">
        <f>IF($C$4="Hombre",(+VLOOKUP(INT(D1126)+1,Tablas!$G$9:$K$1240,5,0)*(D1126-INT(D1126))+VLOOKUP(INT(D1126),Tablas!$G$9:$K$1240,5,0)*(INT(D1126)+1-D1126))/(VLOOKUP(INT($C$5)+1,Tablas!$G$9:$K$1240,5,0)*($C$5-INT($C$5))+VLOOKUP(INT($C$5),Tablas!$G$9:$K$124,5,0)*(INT($C$5)+1-$C$5)),(+VLOOKUP(INT(D1126)+1,Tablas!$G$9:$O$1240,9,0)*(D1126-INT(D1126))+VLOOKUP(INT(D1126),Tablas!$G$9:$O$1240,9,0)*(INT(D1126)+1-D1126))/(VLOOKUP(INT($C$5)+1,Tablas!$G$9:$O$1240,9,0)*($C$5-INT($C$5))+VLOOKUP(INT($C$5),Tablas!$G$9:$O$124,9,0)*(INT($C$5)+1-$C$5)))</f>
      </c>
      <c r="G1126" s="791">
        <f>IF($C$4="Hombre",(+VLOOKUP(INT(D1126)+1,Tablas!$G$9:$K$1240,5,0)*(D1126-INT(D1126))+VLOOKUP(INT(D1126),Tablas!$G$9:$K$1240,5,0)*(INT(D1126)+1-D1126)),+VLOOKUP(INT(D1126)+1,Tablas!$G$9:$O$1240,9,0)*(D1126-INT(D1126))+VLOOKUP(INT(D1126),Tablas!$G$9:$O$1240,9,0)*(INT(D1126)+1-D1126))</f>
      </c>
      <c r="H1126" s="801">
        <f>+IF(MONTH(B1126)=1,H1125*(1+$C$9),H1125)</f>
      </c>
      <c r="I1126" s="689">
        <f>IF(B1126&lt;$C$10,0,IF(B1126&lt;$C$11,$C$8/12*E1126*F1126*H1126,0))</f>
      </c>
      <c r="J1126" s="689">
        <f>I1126*12/14+IF(OR(MONTH(C1126)=6,MONTH(C1126)=12),I1126*12/14,0)</f>
      </c>
      <c r="K1126" s="801">
        <f>G1126/$G$15</f>
      </c>
      <c r="L1126" s="760"/>
      <c r="M1126" s="767"/>
      <c r="N1126" s="168"/>
      <c r="O1126" s="768"/>
      <c r="P1126" s="170"/>
      <c r="Q1126" s="7"/>
      <c r="R1126" s="766"/>
      <c r="S1126" s="170"/>
      <c r="T1126" s="168"/>
      <c r="U1126" s="170"/>
    </row>
    <row x14ac:dyDescent="0.25" r="1127" customHeight="1" ht="18.75">
      <c r="A1127" s="1"/>
      <c r="B1127" s="799">
        <f>+DATE(YEAR(B1126),MONTH(B1126)+1,DAY(B1126))</f>
        <v>25569.041666666668</v>
      </c>
      <c r="C1127" s="799">
        <f>+B1128-1</f>
        <v>25569.041666666668</v>
      </c>
      <c r="D1127" s="791">
        <f>-_xlfn.DAYS($C$3,C1127)/365.25</f>
      </c>
      <c r="E1127" s="800">
        <f>IF($D$17+40&lt;=D1127,(1+$D$7)^-(D1127-$C$5),(1+$C$7)^-(D1127-$C$5))</f>
      </c>
      <c r="F1127" s="801">
        <f>IF($C$4="Hombre",(+VLOOKUP(INT(D1127)+1,Tablas!$G$9:$K$1240,5,0)*(D1127-INT(D1127))+VLOOKUP(INT(D1127),Tablas!$G$9:$K$1240,5,0)*(INT(D1127)+1-D1127))/(VLOOKUP(INT($C$5)+1,Tablas!$G$9:$K$1240,5,0)*($C$5-INT($C$5))+VLOOKUP(INT($C$5),Tablas!$G$9:$K$124,5,0)*(INT($C$5)+1-$C$5)),(+VLOOKUP(INT(D1127)+1,Tablas!$G$9:$O$1240,9,0)*(D1127-INT(D1127))+VLOOKUP(INT(D1127),Tablas!$G$9:$O$1240,9,0)*(INT(D1127)+1-D1127))/(VLOOKUP(INT($C$5)+1,Tablas!$G$9:$O$1240,9,0)*($C$5-INT($C$5))+VLOOKUP(INT($C$5),Tablas!$G$9:$O$124,9,0)*(INT($C$5)+1-$C$5)))</f>
      </c>
      <c r="G1127" s="791">
        <f>IF($C$4="Hombre",(+VLOOKUP(INT(D1127)+1,Tablas!$G$9:$K$1240,5,0)*(D1127-INT(D1127))+VLOOKUP(INT(D1127),Tablas!$G$9:$K$1240,5,0)*(INT(D1127)+1-D1127)),+VLOOKUP(INT(D1127)+1,Tablas!$G$9:$O$1240,9,0)*(D1127-INT(D1127))+VLOOKUP(INT(D1127),Tablas!$G$9:$O$1240,9,0)*(INT(D1127)+1-D1127))</f>
      </c>
      <c r="H1127" s="801">
        <f>+IF(MONTH(B1127)=1,H1126*(1+$C$9),H1126)</f>
      </c>
      <c r="I1127" s="689">
        <f>IF(B1127&lt;$C$10,0,IF(B1127&lt;$C$11,$C$8/12*E1127*F1127*H1127,0))</f>
      </c>
      <c r="J1127" s="689">
        <f>I1127*12/14+IF(OR(MONTH(C1127)=6,MONTH(C1127)=12),I1127*12/14,0)</f>
      </c>
      <c r="K1127" s="801">
        <f>G1127/$G$15</f>
      </c>
      <c r="L1127" s="760"/>
      <c r="M1127" s="767"/>
      <c r="N1127" s="168"/>
      <c r="O1127" s="768"/>
      <c r="P1127" s="170"/>
      <c r="Q1127" s="7"/>
      <c r="R1127" s="766"/>
      <c r="S1127" s="170"/>
      <c r="T1127" s="168"/>
      <c r="U1127" s="170"/>
    </row>
    <row x14ac:dyDescent="0.25" r="1128" customHeight="1" ht="18.75">
      <c r="A1128" s="1"/>
      <c r="B1128" s="799">
        <f>+DATE(YEAR(B1127),MONTH(B1127)+1,DAY(B1127))</f>
        <v>25569.041666666668</v>
      </c>
      <c r="C1128" s="799">
        <f>+B1129-1</f>
        <v>25569.041666666668</v>
      </c>
      <c r="D1128" s="791">
        <f>-_xlfn.DAYS($C$3,C1128)/365.25</f>
      </c>
      <c r="E1128" s="800">
        <f>IF($D$17+40&lt;=D1128,(1+$D$7)^-(D1128-$C$5),(1+$C$7)^-(D1128-$C$5))</f>
      </c>
      <c r="F1128" s="801">
        <f>IF($C$4="Hombre",(+VLOOKUP(INT(D1128)+1,Tablas!$G$9:$K$1240,5,0)*(D1128-INT(D1128))+VLOOKUP(INT(D1128),Tablas!$G$9:$K$1240,5,0)*(INT(D1128)+1-D1128))/(VLOOKUP(INT($C$5)+1,Tablas!$G$9:$K$1240,5,0)*($C$5-INT($C$5))+VLOOKUP(INT($C$5),Tablas!$G$9:$K$124,5,0)*(INT($C$5)+1-$C$5)),(+VLOOKUP(INT(D1128)+1,Tablas!$G$9:$O$1240,9,0)*(D1128-INT(D1128))+VLOOKUP(INT(D1128),Tablas!$G$9:$O$1240,9,0)*(INT(D1128)+1-D1128))/(VLOOKUP(INT($C$5)+1,Tablas!$G$9:$O$1240,9,0)*($C$5-INT($C$5))+VLOOKUP(INT($C$5),Tablas!$G$9:$O$124,9,0)*(INT($C$5)+1-$C$5)))</f>
      </c>
      <c r="G1128" s="791">
        <f>IF($C$4="Hombre",(+VLOOKUP(INT(D1128)+1,Tablas!$G$9:$K$1240,5,0)*(D1128-INT(D1128))+VLOOKUP(INT(D1128),Tablas!$G$9:$K$1240,5,0)*(INT(D1128)+1-D1128)),+VLOOKUP(INT(D1128)+1,Tablas!$G$9:$O$1240,9,0)*(D1128-INT(D1128))+VLOOKUP(INT(D1128),Tablas!$G$9:$O$1240,9,0)*(INT(D1128)+1-D1128))</f>
      </c>
      <c r="H1128" s="801">
        <f>+IF(MONTH(B1128)=1,H1127*(1+$C$9),H1127)</f>
      </c>
      <c r="I1128" s="689">
        <f>IF(B1128&lt;$C$10,0,IF(B1128&lt;$C$11,$C$8/12*E1128*F1128*H1128,0))</f>
      </c>
      <c r="J1128" s="689">
        <f>I1128*12/14+IF(OR(MONTH(C1128)=6,MONTH(C1128)=12),I1128*12/14,0)</f>
      </c>
      <c r="K1128" s="801">
        <f>G1128/$G$15</f>
      </c>
      <c r="L1128" s="760"/>
      <c r="M1128" s="767"/>
      <c r="N1128" s="168"/>
      <c r="O1128" s="768"/>
      <c r="P1128" s="170"/>
      <c r="Q1128" s="7"/>
      <c r="R1128" s="766"/>
      <c r="S1128" s="170"/>
      <c r="T1128" s="168"/>
      <c r="U1128" s="170"/>
    </row>
    <row x14ac:dyDescent="0.25" r="1129" customHeight="1" ht="18.75">
      <c r="A1129" s="1"/>
      <c r="B1129" s="799">
        <f>+DATE(YEAR(B1128),MONTH(B1128)+1,DAY(B1128))</f>
        <v>25569.041666666668</v>
      </c>
      <c r="C1129" s="799">
        <f>+B1130-1</f>
        <v>25569.041666666668</v>
      </c>
      <c r="D1129" s="791">
        <f>-_xlfn.DAYS($C$3,C1129)/365.25</f>
      </c>
      <c r="E1129" s="800">
        <f>IF($D$17+40&lt;=D1129,(1+$D$7)^-(D1129-$C$5),(1+$C$7)^-(D1129-$C$5))</f>
      </c>
      <c r="F1129" s="801">
        <f>IF($C$4="Hombre",(+VLOOKUP(INT(D1129)+1,Tablas!$G$9:$K$1240,5,0)*(D1129-INT(D1129))+VLOOKUP(INT(D1129),Tablas!$G$9:$K$1240,5,0)*(INT(D1129)+1-D1129))/(VLOOKUP(INT($C$5)+1,Tablas!$G$9:$K$1240,5,0)*($C$5-INT($C$5))+VLOOKUP(INT($C$5),Tablas!$G$9:$K$124,5,0)*(INT($C$5)+1-$C$5)),(+VLOOKUP(INT(D1129)+1,Tablas!$G$9:$O$1240,9,0)*(D1129-INT(D1129))+VLOOKUP(INT(D1129),Tablas!$G$9:$O$1240,9,0)*(INT(D1129)+1-D1129))/(VLOOKUP(INT($C$5)+1,Tablas!$G$9:$O$1240,9,0)*($C$5-INT($C$5))+VLOOKUP(INT($C$5),Tablas!$G$9:$O$124,9,0)*(INT($C$5)+1-$C$5)))</f>
      </c>
      <c r="G1129" s="791">
        <f>IF($C$4="Hombre",(+VLOOKUP(INT(D1129)+1,Tablas!$G$9:$K$1240,5,0)*(D1129-INT(D1129))+VLOOKUP(INT(D1129),Tablas!$G$9:$K$1240,5,0)*(INT(D1129)+1-D1129)),+VLOOKUP(INT(D1129)+1,Tablas!$G$9:$O$1240,9,0)*(D1129-INT(D1129))+VLOOKUP(INT(D1129),Tablas!$G$9:$O$1240,9,0)*(INT(D1129)+1-D1129))</f>
      </c>
      <c r="H1129" s="801">
        <f>+IF(MONTH(B1129)=1,H1128*(1+$C$9),H1128)</f>
      </c>
      <c r="I1129" s="689">
        <f>IF(B1129&lt;$C$10,0,IF(B1129&lt;$C$11,$C$8/12*E1129*F1129*H1129,0))</f>
      </c>
      <c r="J1129" s="689">
        <f>I1129*12/14+IF(OR(MONTH(C1129)=6,MONTH(C1129)=12),I1129*12/14,0)</f>
      </c>
      <c r="K1129" s="801">
        <f>G1129/$G$15</f>
      </c>
      <c r="L1129" s="760"/>
      <c r="M1129" s="767"/>
      <c r="N1129" s="168"/>
      <c r="O1129" s="768"/>
      <c r="P1129" s="170"/>
      <c r="Q1129" s="7"/>
      <c r="R1129" s="766"/>
      <c r="S1129" s="170"/>
      <c r="T1129" s="168"/>
      <c r="U1129" s="170"/>
    </row>
    <row x14ac:dyDescent="0.25" r="1130" customHeight="1" ht="18.75">
      <c r="A1130" s="1"/>
      <c r="B1130" s="799">
        <f>+DATE(YEAR(B1129),MONTH(B1129)+1,DAY(B1129))</f>
        <v>25569.041666666668</v>
      </c>
      <c r="C1130" s="799">
        <f>+B1131-1</f>
        <v>25569.041666666668</v>
      </c>
      <c r="D1130" s="791">
        <f>-_xlfn.DAYS($C$3,C1130)/365.25</f>
      </c>
      <c r="E1130" s="800">
        <f>IF($D$17+40&lt;=D1130,(1+$D$7)^-(D1130-$C$5),(1+$C$7)^-(D1130-$C$5))</f>
      </c>
      <c r="F1130" s="801">
        <f>IF($C$4="Hombre",(+VLOOKUP(INT(D1130)+1,Tablas!$G$9:$K$1240,5,0)*(D1130-INT(D1130))+VLOOKUP(INT(D1130),Tablas!$G$9:$K$1240,5,0)*(INT(D1130)+1-D1130))/(VLOOKUP(INT($C$5)+1,Tablas!$G$9:$K$1240,5,0)*($C$5-INT($C$5))+VLOOKUP(INT($C$5),Tablas!$G$9:$K$124,5,0)*(INT($C$5)+1-$C$5)),(+VLOOKUP(INT(D1130)+1,Tablas!$G$9:$O$1240,9,0)*(D1130-INT(D1130))+VLOOKUP(INT(D1130),Tablas!$G$9:$O$1240,9,0)*(INT(D1130)+1-D1130))/(VLOOKUP(INT($C$5)+1,Tablas!$G$9:$O$1240,9,0)*($C$5-INT($C$5))+VLOOKUP(INT($C$5),Tablas!$G$9:$O$124,9,0)*(INT($C$5)+1-$C$5)))</f>
      </c>
      <c r="G1130" s="791">
        <f>IF($C$4="Hombre",(+VLOOKUP(INT(D1130)+1,Tablas!$G$9:$K$1240,5,0)*(D1130-INT(D1130))+VLOOKUP(INT(D1130),Tablas!$G$9:$K$1240,5,0)*(INT(D1130)+1-D1130)),+VLOOKUP(INT(D1130)+1,Tablas!$G$9:$O$1240,9,0)*(D1130-INT(D1130))+VLOOKUP(INT(D1130),Tablas!$G$9:$O$1240,9,0)*(INT(D1130)+1-D1130))</f>
      </c>
      <c r="H1130" s="801">
        <f>+IF(MONTH(B1130)=1,H1129*(1+$C$9),H1129)</f>
      </c>
      <c r="I1130" s="689">
        <f>IF(B1130&lt;$C$10,0,IF(B1130&lt;$C$11,$C$8/12*E1130*F1130*H1130,0))</f>
      </c>
      <c r="J1130" s="689">
        <f>I1130*12/14+IF(OR(MONTH(C1130)=6,MONTH(C1130)=12),I1130*12/14,0)</f>
      </c>
      <c r="K1130" s="801">
        <f>G1130/$G$15</f>
      </c>
      <c r="L1130" s="760"/>
      <c r="M1130" s="767"/>
      <c r="N1130" s="168"/>
      <c r="O1130" s="768"/>
      <c r="P1130" s="170"/>
      <c r="Q1130" s="7"/>
      <c r="R1130" s="766"/>
      <c r="S1130" s="170"/>
      <c r="T1130" s="168"/>
      <c r="U1130" s="170"/>
    </row>
    <row x14ac:dyDescent="0.25" r="1131" customHeight="1" ht="18.75">
      <c r="A1131" s="1"/>
      <c r="B1131" s="799">
        <f>+DATE(YEAR(B1130),MONTH(B1130)+1,DAY(B1130))</f>
        <v>25569.041666666668</v>
      </c>
      <c r="C1131" s="799">
        <f>+B1132-1</f>
        <v>25569.041666666668</v>
      </c>
      <c r="D1131" s="791">
        <f>-_xlfn.DAYS($C$3,C1131)/365.25</f>
      </c>
      <c r="E1131" s="800">
        <f>IF($D$17+40&lt;=D1131,(1+$D$7)^-(D1131-$C$5),(1+$C$7)^-(D1131-$C$5))</f>
      </c>
      <c r="F1131" s="801">
        <f>IF($C$4="Hombre",(+VLOOKUP(INT(D1131)+1,Tablas!$G$9:$K$1240,5,0)*(D1131-INT(D1131))+VLOOKUP(INT(D1131),Tablas!$G$9:$K$1240,5,0)*(INT(D1131)+1-D1131))/(VLOOKUP(INT($C$5)+1,Tablas!$G$9:$K$1240,5,0)*($C$5-INT($C$5))+VLOOKUP(INT($C$5),Tablas!$G$9:$K$124,5,0)*(INT($C$5)+1-$C$5)),(+VLOOKUP(INT(D1131)+1,Tablas!$G$9:$O$1240,9,0)*(D1131-INT(D1131))+VLOOKUP(INT(D1131),Tablas!$G$9:$O$1240,9,0)*(INT(D1131)+1-D1131))/(VLOOKUP(INT($C$5)+1,Tablas!$G$9:$O$1240,9,0)*($C$5-INT($C$5))+VLOOKUP(INT($C$5),Tablas!$G$9:$O$124,9,0)*(INT($C$5)+1-$C$5)))</f>
      </c>
      <c r="G1131" s="791">
        <f>IF($C$4="Hombre",(+VLOOKUP(INT(D1131)+1,Tablas!$G$9:$K$1240,5,0)*(D1131-INT(D1131))+VLOOKUP(INT(D1131),Tablas!$G$9:$K$1240,5,0)*(INT(D1131)+1-D1131)),+VLOOKUP(INT(D1131)+1,Tablas!$G$9:$O$1240,9,0)*(D1131-INT(D1131))+VLOOKUP(INT(D1131),Tablas!$G$9:$O$1240,9,0)*(INT(D1131)+1-D1131))</f>
      </c>
      <c r="H1131" s="801">
        <f>+IF(MONTH(B1131)=1,H1130*(1+$C$9),H1130)</f>
      </c>
      <c r="I1131" s="689">
        <f>IF(B1131&lt;$C$10,0,IF(B1131&lt;$C$11,$C$8/12*E1131*F1131*H1131,0))</f>
      </c>
      <c r="J1131" s="689">
        <f>I1131*12/14+IF(OR(MONTH(C1131)=6,MONTH(C1131)=12),I1131*12/14,0)</f>
      </c>
      <c r="K1131" s="801">
        <f>G1131/$G$15</f>
      </c>
      <c r="L1131" s="760"/>
      <c r="M1131" s="767"/>
      <c r="N1131" s="168"/>
      <c r="O1131" s="768"/>
      <c r="P1131" s="170"/>
      <c r="Q1131" s="7"/>
      <c r="R1131" s="766"/>
      <c r="S1131" s="170"/>
      <c r="T1131" s="168"/>
      <c r="U1131" s="170"/>
    </row>
    <row x14ac:dyDescent="0.25" r="1132" customHeight="1" ht="18.75">
      <c r="A1132" s="1"/>
      <c r="B1132" s="799">
        <f>+DATE(YEAR(B1131),MONTH(B1131)+1,DAY(B1131))</f>
        <v>25569.041666666668</v>
      </c>
      <c r="C1132" s="799">
        <f>+B1133-1</f>
        <v>25569.041666666668</v>
      </c>
      <c r="D1132" s="791">
        <f>-_xlfn.DAYS($C$3,C1132)/365.25</f>
      </c>
      <c r="E1132" s="800">
        <f>IF($D$17+40&lt;=D1132,(1+$D$7)^-(D1132-$C$5),(1+$C$7)^-(D1132-$C$5))</f>
      </c>
      <c r="F1132" s="801">
        <f>IF($C$4="Hombre",(+VLOOKUP(INT(D1132)+1,Tablas!$G$9:$K$1240,5,0)*(D1132-INT(D1132))+VLOOKUP(INT(D1132),Tablas!$G$9:$K$1240,5,0)*(INT(D1132)+1-D1132))/(VLOOKUP(INT($C$5)+1,Tablas!$G$9:$K$1240,5,0)*($C$5-INT($C$5))+VLOOKUP(INT($C$5),Tablas!$G$9:$K$124,5,0)*(INT($C$5)+1-$C$5)),(+VLOOKUP(INT(D1132)+1,Tablas!$G$9:$O$1240,9,0)*(D1132-INT(D1132))+VLOOKUP(INT(D1132),Tablas!$G$9:$O$1240,9,0)*(INT(D1132)+1-D1132))/(VLOOKUP(INT($C$5)+1,Tablas!$G$9:$O$1240,9,0)*($C$5-INT($C$5))+VLOOKUP(INT($C$5),Tablas!$G$9:$O$124,9,0)*(INT($C$5)+1-$C$5)))</f>
      </c>
      <c r="G1132" s="791">
        <f>IF($C$4="Hombre",(+VLOOKUP(INT(D1132)+1,Tablas!$G$9:$K$1240,5,0)*(D1132-INT(D1132))+VLOOKUP(INT(D1132),Tablas!$G$9:$K$1240,5,0)*(INT(D1132)+1-D1132)),+VLOOKUP(INT(D1132)+1,Tablas!$G$9:$O$1240,9,0)*(D1132-INT(D1132))+VLOOKUP(INT(D1132),Tablas!$G$9:$O$1240,9,0)*(INT(D1132)+1-D1132))</f>
      </c>
      <c r="H1132" s="801">
        <f>+IF(MONTH(B1132)=1,H1131*(1+$C$9),H1131)</f>
      </c>
      <c r="I1132" s="689">
        <f>IF(B1132&lt;$C$10,0,IF(B1132&lt;$C$11,$C$8/12*E1132*F1132*H1132,0))</f>
      </c>
      <c r="J1132" s="689">
        <f>I1132*12/14+IF(OR(MONTH(C1132)=6,MONTH(C1132)=12),I1132*12/14,0)</f>
      </c>
      <c r="K1132" s="801">
        <f>G1132/$G$15</f>
      </c>
      <c r="L1132" s="760"/>
      <c r="M1132" s="767"/>
      <c r="N1132" s="168"/>
      <c r="O1132" s="768"/>
      <c r="P1132" s="170"/>
      <c r="Q1132" s="7"/>
      <c r="R1132" s="766"/>
      <c r="S1132" s="170"/>
      <c r="T1132" s="168"/>
      <c r="U1132" s="170"/>
    </row>
    <row x14ac:dyDescent="0.25" r="1133" customHeight="1" ht="18.75">
      <c r="A1133" s="1"/>
      <c r="B1133" s="799">
        <f>+DATE(YEAR(B1132),MONTH(B1132)+1,DAY(B1132))</f>
        <v>25569.041666666668</v>
      </c>
      <c r="C1133" s="799">
        <f>+B1134-1</f>
        <v>25569.041666666668</v>
      </c>
      <c r="D1133" s="791">
        <f>-_xlfn.DAYS($C$3,C1133)/365.25</f>
      </c>
      <c r="E1133" s="800">
        <f>IF($D$17+40&lt;=D1133,(1+$D$7)^-(D1133-$C$5),(1+$C$7)^-(D1133-$C$5))</f>
      </c>
      <c r="F1133" s="801">
        <f>IF($C$4="Hombre",(+VLOOKUP(INT(D1133)+1,Tablas!$G$9:$K$1240,5,0)*(D1133-INT(D1133))+VLOOKUP(INT(D1133),Tablas!$G$9:$K$1240,5,0)*(INT(D1133)+1-D1133))/(VLOOKUP(INT($C$5)+1,Tablas!$G$9:$K$1240,5,0)*($C$5-INT($C$5))+VLOOKUP(INT($C$5),Tablas!$G$9:$K$124,5,0)*(INT($C$5)+1-$C$5)),(+VLOOKUP(INT(D1133)+1,Tablas!$G$9:$O$1240,9,0)*(D1133-INT(D1133))+VLOOKUP(INT(D1133),Tablas!$G$9:$O$1240,9,0)*(INT(D1133)+1-D1133))/(VLOOKUP(INT($C$5)+1,Tablas!$G$9:$O$1240,9,0)*($C$5-INT($C$5))+VLOOKUP(INT($C$5),Tablas!$G$9:$O$124,9,0)*(INT($C$5)+1-$C$5)))</f>
      </c>
      <c r="G1133" s="791">
        <f>IF($C$4="Hombre",(+VLOOKUP(INT(D1133)+1,Tablas!$G$9:$K$1240,5,0)*(D1133-INT(D1133))+VLOOKUP(INT(D1133),Tablas!$G$9:$K$1240,5,0)*(INT(D1133)+1-D1133)),+VLOOKUP(INT(D1133)+1,Tablas!$G$9:$O$1240,9,0)*(D1133-INT(D1133))+VLOOKUP(INT(D1133),Tablas!$G$9:$O$1240,9,0)*(INT(D1133)+1-D1133))</f>
      </c>
      <c r="H1133" s="801">
        <f>+IF(MONTH(B1133)=1,H1132*(1+$C$9),H1132)</f>
      </c>
      <c r="I1133" s="689">
        <f>IF(B1133&lt;$C$10,0,IF(B1133&lt;$C$11,$C$8/12*E1133*F1133*H1133,0))</f>
      </c>
      <c r="J1133" s="689">
        <f>I1133*12/14+IF(OR(MONTH(C1133)=6,MONTH(C1133)=12),I1133*12/14,0)</f>
      </c>
      <c r="K1133" s="801">
        <f>G1133/$G$15</f>
      </c>
      <c r="L1133" s="760"/>
      <c r="M1133" s="767"/>
      <c r="N1133" s="168"/>
      <c r="O1133" s="768"/>
      <c r="P1133" s="170"/>
      <c r="Q1133" s="7"/>
      <c r="R1133" s="766"/>
      <c r="S1133" s="170"/>
      <c r="T1133" s="168"/>
      <c r="U1133" s="170"/>
    </row>
    <row x14ac:dyDescent="0.25" r="1134" customHeight="1" ht="18.75">
      <c r="A1134" s="1"/>
      <c r="B1134" s="799">
        <f>+DATE(YEAR(B1133),MONTH(B1133)+1,DAY(B1133))</f>
        <v>25569.041666666668</v>
      </c>
      <c r="C1134" s="799">
        <f>+B1135-1</f>
        <v>25569.041666666668</v>
      </c>
      <c r="D1134" s="791">
        <f>-_xlfn.DAYS($C$3,C1134)/365.25</f>
      </c>
      <c r="E1134" s="800">
        <f>IF($D$17+40&lt;=D1134,(1+$D$7)^-(D1134-$C$5),(1+$C$7)^-(D1134-$C$5))</f>
      </c>
      <c r="F1134" s="801">
        <f>IF($C$4="Hombre",(+VLOOKUP(INT(D1134)+1,Tablas!$G$9:$K$1240,5,0)*(D1134-INT(D1134))+VLOOKUP(INT(D1134),Tablas!$G$9:$K$1240,5,0)*(INT(D1134)+1-D1134))/(VLOOKUP(INT($C$5)+1,Tablas!$G$9:$K$1240,5,0)*($C$5-INT($C$5))+VLOOKUP(INT($C$5),Tablas!$G$9:$K$124,5,0)*(INT($C$5)+1-$C$5)),(+VLOOKUP(INT(D1134)+1,Tablas!$G$9:$O$1240,9,0)*(D1134-INT(D1134))+VLOOKUP(INT(D1134),Tablas!$G$9:$O$1240,9,0)*(INT(D1134)+1-D1134))/(VLOOKUP(INT($C$5)+1,Tablas!$G$9:$O$1240,9,0)*($C$5-INT($C$5))+VLOOKUP(INT($C$5),Tablas!$G$9:$O$124,9,0)*(INT($C$5)+1-$C$5)))</f>
      </c>
      <c r="G1134" s="791">
        <f>IF($C$4="Hombre",(+VLOOKUP(INT(D1134)+1,Tablas!$G$9:$K$1240,5,0)*(D1134-INT(D1134))+VLOOKUP(INT(D1134),Tablas!$G$9:$K$1240,5,0)*(INT(D1134)+1-D1134)),+VLOOKUP(INT(D1134)+1,Tablas!$G$9:$O$1240,9,0)*(D1134-INT(D1134))+VLOOKUP(INT(D1134),Tablas!$G$9:$O$1240,9,0)*(INT(D1134)+1-D1134))</f>
      </c>
      <c r="H1134" s="801">
        <f>+IF(MONTH(B1134)=1,H1133*(1+$C$9),H1133)</f>
      </c>
      <c r="I1134" s="689">
        <f>IF(B1134&lt;$C$10,0,IF(B1134&lt;$C$11,$C$8/12*E1134*F1134*H1134,0))</f>
      </c>
      <c r="J1134" s="689">
        <f>I1134*12/14+IF(OR(MONTH(C1134)=6,MONTH(C1134)=12),I1134*12/14,0)</f>
      </c>
      <c r="K1134" s="801">
        <f>G1134/$G$15</f>
      </c>
      <c r="L1134" s="760"/>
      <c r="M1134" s="767"/>
      <c r="N1134" s="168"/>
      <c r="O1134" s="768"/>
      <c r="P1134" s="170"/>
      <c r="Q1134" s="7"/>
      <c r="R1134" s="766"/>
      <c r="S1134" s="170"/>
      <c r="T1134" s="168"/>
      <c r="U1134" s="170"/>
    </row>
    <row x14ac:dyDescent="0.25" r="1135" customHeight="1" ht="18.75">
      <c r="A1135" s="1"/>
      <c r="B1135" s="799">
        <f>+DATE(YEAR(B1134),MONTH(B1134)+1,DAY(B1134))</f>
        <v>25569.041666666668</v>
      </c>
      <c r="C1135" s="799">
        <f>+B1136-1</f>
        <v>25569.041666666668</v>
      </c>
      <c r="D1135" s="791">
        <f>-_xlfn.DAYS($C$3,C1135)/365.25</f>
      </c>
      <c r="E1135" s="800">
        <f>IF($D$17+40&lt;=D1135,(1+$D$7)^-(D1135-$C$5),(1+$C$7)^-(D1135-$C$5))</f>
      </c>
      <c r="F1135" s="801">
        <f>IF($C$4="Hombre",(+VLOOKUP(INT(D1135)+1,Tablas!$G$9:$K$1240,5,0)*(D1135-INT(D1135))+VLOOKUP(INT(D1135),Tablas!$G$9:$K$1240,5,0)*(INT(D1135)+1-D1135))/(VLOOKUP(INT($C$5)+1,Tablas!$G$9:$K$1240,5,0)*($C$5-INT($C$5))+VLOOKUP(INT($C$5),Tablas!$G$9:$K$124,5,0)*(INT($C$5)+1-$C$5)),(+VLOOKUP(INT(D1135)+1,Tablas!$G$9:$O$1240,9,0)*(D1135-INT(D1135))+VLOOKUP(INT(D1135),Tablas!$G$9:$O$1240,9,0)*(INT(D1135)+1-D1135))/(VLOOKUP(INT($C$5)+1,Tablas!$G$9:$O$1240,9,0)*($C$5-INT($C$5))+VLOOKUP(INT($C$5),Tablas!$G$9:$O$124,9,0)*(INT($C$5)+1-$C$5)))</f>
      </c>
      <c r="G1135" s="791">
        <f>IF($C$4="Hombre",(+VLOOKUP(INT(D1135)+1,Tablas!$G$9:$K$1240,5,0)*(D1135-INT(D1135))+VLOOKUP(INT(D1135),Tablas!$G$9:$K$1240,5,0)*(INT(D1135)+1-D1135)),+VLOOKUP(INT(D1135)+1,Tablas!$G$9:$O$1240,9,0)*(D1135-INT(D1135))+VLOOKUP(INT(D1135),Tablas!$G$9:$O$1240,9,0)*(INT(D1135)+1-D1135))</f>
      </c>
      <c r="H1135" s="801">
        <f>+IF(MONTH(B1135)=1,H1134*(1+$C$9),H1134)</f>
      </c>
      <c r="I1135" s="689">
        <f>IF(B1135&lt;$C$10,0,IF(B1135&lt;$C$11,$C$8/12*E1135*F1135*H1135,0))</f>
      </c>
      <c r="J1135" s="689">
        <f>I1135*12/14+IF(OR(MONTH(C1135)=6,MONTH(C1135)=12),I1135*12/14,0)</f>
      </c>
      <c r="K1135" s="801">
        <f>G1135/$G$15</f>
      </c>
      <c r="L1135" s="760"/>
      <c r="M1135" s="767"/>
      <c r="N1135" s="168"/>
      <c r="O1135" s="768"/>
      <c r="P1135" s="170"/>
      <c r="Q1135" s="7"/>
      <c r="R1135" s="766"/>
      <c r="S1135" s="170"/>
      <c r="T1135" s="168"/>
      <c r="U1135" s="170"/>
    </row>
    <row x14ac:dyDescent="0.25" r="1136" customHeight="1" ht="18.75">
      <c r="A1136" s="1"/>
      <c r="B1136" s="799">
        <f>+DATE(YEAR(B1135),MONTH(B1135)+1,DAY(B1135))</f>
        <v>25569.041666666668</v>
      </c>
      <c r="C1136" s="799">
        <f>+B1137-1</f>
        <v>25569.041666666668</v>
      </c>
      <c r="D1136" s="791">
        <f>-_xlfn.DAYS($C$3,C1136)/365.25</f>
      </c>
      <c r="E1136" s="800">
        <f>IF($D$17+40&lt;=D1136,(1+$D$7)^-(D1136-$C$5),(1+$C$7)^-(D1136-$C$5))</f>
      </c>
      <c r="F1136" s="801">
        <f>IF($C$4="Hombre",(+VLOOKUP(INT(D1136)+1,Tablas!$G$9:$K$1240,5,0)*(D1136-INT(D1136))+VLOOKUP(INT(D1136),Tablas!$G$9:$K$1240,5,0)*(INT(D1136)+1-D1136))/(VLOOKUP(INT($C$5)+1,Tablas!$G$9:$K$1240,5,0)*($C$5-INT($C$5))+VLOOKUP(INT($C$5),Tablas!$G$9:$K$124,5,0)*(INT($C$5)+1-$C$5)),(+VLOOKUP(INT(D1136)+1,Tablas!$G$9:$O$1240,9,0)*(D1136-INT(D1136))+VLOOKUP(INT(D1136),Tablas!$G$9:$O$1240,9,0)*(INT(D1136)+1-D1136))/(VLOOKUP(INT($C$5)+1,Tablas!$G$9:$O$1240,9,0)*($C$5-INT($C$5))+VLOOKUP(INT($C$5),Tablas!$G$9:$O$124,9,0)*(INT($C$5)+1-$C$5)))</f>
      </c>
      <c r="G1136" s="791">
        <f>IF($C$4="Hombre",(+VLOOKUP(INT(D1136)+1,Tablas!$G$9:$K$1240,5,0)*(D1136-INT(D1136))+VLOOKUP(INT(D1136),Tablas!$G$9:$K$1240,5,0)*(INT(D1136)+1-D1136)),+VLOOKUP(INT(D1136)+1,Tablas!$G$9:$O$1240,9,0)*(D1136-INT(D1136))+VLOOKUP(INT(D1136),Tablas!$G$9:$O$1240,9,0)*(INT(D1136)+1-D1136))</f>
      </c>
      <c r="H1136" s="801">
        <f>+IF(MONTH(B1136)=1,H1135*(1+$C$9),H1135)</f>
      </c>
      <c r="I1136" s="689">
        <f>IF(B1136&lt;$C$10,0,IF(B1136&lt;$C$11,$C$8/12*E1136*F1136*H1136,0))</f>
      </c>
      <c r="J1136" s="689">
        <f>I1136*12/14+IF(OR(MONTH(C1136)=6,MONTH(C1136)=12),I1136*12/14,0)</f>
      </c>
      <c r="K1136" s="801">
        <f>G1136/$G$15</f>
      </c>
      <c r="L1136" s="760"/>
      <c r="M1136" s="767"/>
      <c r="N1136" s="168"/>
      <c r="O1136" s="768"/>
      <c r="P1136" s="170"/>
      <c r="Q1136" s="7"/>
      <c r="R1136" s="766"/>
      <c r="S1136" s="170"/>
      <c r="T1136" s="168"/>
      <c r="U1136" s="170"/>
    </row>
    <row x14ac:dyDescent="0.25" r="1137" customHeight="1" ht="18.75">
      <c r="A1137" s="1"/>
      <c r="B1137" s="799">
        <f>+DATE(YEAR(B1136),MONTH(B1136)+1,DAY(B1136))</f>
        <v>25569.041666666668</v>
      </c>
      <c r="C1137" s="799">
        <f>+B1138-1</f>
        <v>25569.041666666668</v>
      </c>
      <c r="D1137" s="791">
        <f>-_xlfn.DAYS($C$3,C1137)/365.25</f>
      </c>
      <c r="E1137" s="800">
        <f>IF($D$17+40&lt;=D1137,(1+$D$7)^-(D1137-$C$5),(1+$C$7)^-(D1137-$C$5))</f>
      </c>
      <c r="F1137" s="801">
        <f>IF($C$4="Hombre",(+VLOOKUP(INT(D1137)+1,Tablas!$G$9:$K$1240,5,0)*(D1137-INT(D1137))+VLOOKUP(INT(D1137),Tablas!$G$9:$K$1240,5,0)*(INT(D1137)+1-D1137))/(VLOOKUP(INT($C$5)+1,Tablas!$G$9:$K$1240,5,0)*($C$5-INT($C$5))+VLOOKUP(INT($C$5),Tablas!$G$9:$K$124,5,0)*(INT($C$5)+1-$C$5)),(+VLOOKUP(INT(D1137)+1,Tablas!$G$9:$O$1240,9,0)*(D1137-INT(D1137))+VLOOKUP(INT(D1137),Tablas!$G$9:$O$1240,9,0)*(INT(D1137)+1-D1137))/(VLOOKUP(INT($C$5)+1,Tablas!$G$9:$O$1240,9,0)*($C$5-INT($C$5))+VLOOKUP(INT($C$5),Tablas!$G$9:$O$124,9,0)*(INT($C$5)+1-$C$5)))</f>
      </c>
      <c r="G1137" s="791">
        <f>IF($C$4="Hombre",(+VLOOKUP(INT(D1137)+1,Tablas!$G$9:$K$1240,5,0)*(D1137-INT(D1137))+VLOOKUP(INT(D1137),Tablas!$G$9:$K$1240,5,0)*(INT(D1137)+1-D1137)),+VLOOKUP(INT(D1137)+1,Tablas!$G$9:$O$1240,9,0)*(D1137-INT(D1137))+VLOOKUP(INT(D1137),Tablas!$G$9:$O$1240,9,0)*(INT(D1137)+1-D1137))</f>
      </c>
      <c r="H1137" s="801">
        <f>+IF(MONTH(B1137)=1,H1136*(1+$C$9),H1136)</f>
      </c>
      <c r="I1137" s="689">
        <f>IF(B1137&lt;$C$10,0,IF(B1137&lt;$C$11,$C$8/12*E1137*F1137*H1137,0))</f>
      </c>
      <c r="J1137" s="689">
        <f>I1137*12/14+IF(OR(MONTH(C1137)=6,MONTH(C1137)=12),I1137*12/14,0)</f>
      </c>
      <c r="K1137" s="801">
        <f>G1137/$G$15</f>
      </c>
      <c r="L1137" s="760"/>
      <c r="M1137" s="767"/>
      <c r="N1137" s="168"/>
      <c r="O1137" s="768"/>
      <c r="P1137" s="170"/>
      <c r="Q1137" s="7"/>
      <c r="R1137" s="766"/>
      <c r="S1137" s="170"/>
      <c r="T1137" s="168"/>
      <c r="U1137" s="170"/>
    </row>
    <row x14ac:dyDescent="0.25" r="1138" customHeight="1" ht="18.75">
      <c r="A1138" s="1"/>
      <c r="B1138" s="799">
        <f>+DATE(YEAR(B1137),MONTH(B1137)+1,DAY(B1137))</f>
        <v>25569.041666666668</v>
      </c>
      <c r="C1138" s="799">
        <f>+B1139-1</f>
        <v>25569.041666666668</v>
      </c>
      <c r="D1138" s="791">
        <f>-_xlfn.DAYS($C$3,C1138)/365.25</f>
      </c>
      <c r="E1138" s="800">
        <f>IF($D$17+40&lt;=D1138,(1+$D$7)^-(D1138-$C$5),(1+$C$7)^-(D1138-$C$5))</f>
      </c>
      <c r="F1138" s="801">
        <f>IF($C$4="Hombre",(+VLOOKUP(INT(D1138)+1,Tablas!$G$9:$K$1240,5,0)*(D1138-INT(D1138))+VLOOKUP(INT(D1138),Tablas!$G$9:$K$1240,5,0)*(INT(D1138)+1-D1138))/(VLOOKUP(INT($C$5)+1,Tablas!$G$9:$K$1240,5,0)*($C$5-INT($C$5))+VLOOKUP(INT($C$5),Tablas!$G$9:$K$124,5,0)*(INT($C$5)+1-$C$5)),(+VLOOKUP(INT(D1138)+1,Tablas!$G$9:$O$1240,9,0)*(D1138-INT(D1138))+VLOOKUP(INT(D1138),Tablas!$G$9:$O$1240,9,0)*(INT(D1138)+1-D1138))/(VLOOKUP(INT($C$5)+1,Tablas!$G$9:$O$1240,9,0)*($C$5-INT($C$5))+VLOOKUP(INT($C$5),Tablas!$G$9:$O$124,9,0)*(INT($C$5)+1-$C$5)))</f>
      </c>
      <c r="G1138" s="791">
        <f>IF($C$4="Hombre",(+VLOOKUP(INT(D1138)+1,Tablas!$G$9:$K$1240,5,0)*(D1138-INT(D1138))+VLOOKUP(INT(D1138),Tablas!$G$9:$K$1240,5,0)*(INT(D1138)+1-D1138)),+VLOOKUP(INT(D1138)+1,Tablas!$G$9:$O$1240,9,0)*(D1138-INT(D1138))+VLOOKUP(INT(D1138),Tablas!$G$9:$O$1240,9,0)*(INT(D1138)+1-D1138))</f>
      </c>
      <c r="H1138" s="801">
        <f>+IF(MONTH(B1138)=1,H1137*(1+$C$9),H1137)</f>
      </c>
      <c r="I1138" s="689">
        <f>IF(B1138&lt;$C$10,0,IF(B1138&lt;$C$11,$C$8/12*E1138*F1138*H1138,0))</f>
      </c>
      <c r="J1138" s="689">
        <f>I1138*12/14+IF(OR(MONTH(C1138)=6,MONTH(C1138)=12),I1138*12/14,0)</f>
      </c>
      <c r="K1138" s="801">
        <f>G1138/$G$15</f>
      </c>
      <c r="L1138" s="760"/>
      <c r="M1138" s="767"/>
      <c r="N1138" s="168"/>
      <c r="O1138" s="768"/>
      <c r="P1138" s="170"/>
      <c r="Q1138" s="7"/>
      <c r="R1138" s="766"/>
      <c r="S1138" s="170"/>
      <c r="T1138" s="168"/>
      <c r="U1138" s="170"/>
    </row>
    <row x14ac:dyDescent="0.25" r="1139" customHeight="1" ht="18.75">
      <c r="A1139" s="1"/>
      <c r="B1139" s="799">
        <f>+DATE(YEAR(B1138),MONTH(B1138)+1,DAY(B1138))</f>
        <v>25569.041666666668</v>
      </c>
      <c r="C1139" s="799">
        <f>+B1140-1</f>
        <v>25569.041666666668</v>
      </c>
      <c r="D1139" s="791">
        <f>-_xlfn.DAYS($C$3,C1139)/365.25</f>
      </c>
      <c r="E1139" s="800">
        <f>IF($D$17+40&lt;=D1139,(1+$D$7)^-(D1139-$C$5),(1+$C$7)^-(D1139-$C$5))</f>
      </c>
      <c r="F1139" s="801">
        <f>IF($C$4="Hombre",(+VLOOKUP(INT(D1139)+1,Tablas!$G$9:$K$1240,5,0)*(D1139-INT(D1139))+VLOOKUP(INT(D1139),Tablas!$G$9:$K$1240,5,0)*(INT(D1139)+1-D1139))/(VLOOKUP(INT($C$5)+1,Tablas!$G$9:$K$1240,5,0)*($C$5-INT($C$5))+VLOOKUP(INT($C$5),Tablas!$G$9:$K$124,5,0)*(INT($C$5)+1-$C$5)),(+VLOOKUP(INT(D1139)+1,Tablas!$G$9:$O$1240,9,0)*(D1139-INT(D1139))+VLOOKUP(INT(D1139),Tablas!$G$9:$O$1240,9,0)*(INT(D1139)+1-D1139))/(VLOOKUP(INT($C$5)+1,Tablas!$G$9:$O$1240,9,0)*($C$5-INT($C$5))+VLOOKUP(INT($C$5),Tablas!$G$9:$O$124,9,0)*(INT($C$5)+1-$C$5)))</f>
      </c>
      <c r="G1139" s="791">
        <f>IF($C$4="Hombre",(+VLOOKUP(INT(D1139)+1,Tablas!$G$9:$K$1240,5,0)*(D1139-INT(D1139))+VLOOKUP(INT(D1139),Tablas!$G$9:$K$1240,5,0)*(INT(D1139)+1-D1139)),+VLOOKUP(INT(D1139)+1,Tablas!$G$9:$O$1240,9,0)*(D1139-INT(D1139))+VLOOKUP(INT(D1139),Tablas!$G$9:$O$1240,9,0)*(INT(D1139)+1-D1139))</f>
      </c>
      <c r="H1139" s="801">
        <f>+IF(MONTH(B1139)=1,H1138*(1+$C$9),H1138)</f>
      </c>
      <c r="I1139" s="689">
        <f>IF(B1139&lt;$C$10,0,IF(B1139&lt;$C$11,$C$8/12*E1139*F1139*H1139,0))</f>
      </c>
      <c r="J1139" s="689">
        <f>I1139*12/14+IF(OR(MONTH(C1139)=6,MONTH(C1139)=12),I1139*12/14,0)</f>
      </c>
      <c r="K1139" s="801">
        <f>G1139/$G$15</f>
      </c>
      <c r="L1139" s="760"/>
      <c r="M1139" s="767"/>
      <c r="N1139" s="168"/>
      <c r="O1139" s="768"/>
      <c r="P1139" s="170"/>
      <c r="Q1139" s="7"/>
      <c r="R1139" s="766"/>
      <c r="S1139" s="170"/>
      <c r="T1139" s="168"/>
      <c r="U1139" s="170"/>
    </row>
    <row x14ac:dyDescent="0.25" r="1140" customHeight="1" ht="18.75">
      <c r="A1140" s="1"/>
      <c r="B1140" s="799">
        <f>+DATE(YEAR(B1139),MONTH(B1139)+1,DAY(B1139))</f>
        <v>25569.041666666668</v>
      </c>
      <c r="C1140" s="799">
        <f>+B1141-1</f>
        <v>25569.041666666668</v>
      </c>
      <c r="D1140" s="791">
        <f>-_xlfn.DAYS($C$3,C1140)/365.25</f>
      </c>
      <c r="E1140" s="800">
        <f>IF($D$17+40&lt;=D1140,(1+$D$7)^-(D1140-$C$5),(1+$C$7)^-(D1140-$C$5))</f>
      </c>
      <c r="F1140" s="801">
        <f>IF($C$4="Hombre",(+VLOOKUP(INT(D1140)+1,Tablas!$G$9:$K$1240,5,0)*(D1140-INT(D1140))+VLOOKUP(INT(D1140),Tablas!$G$9:$K$1240,5,0)*(INT(D1140)+1-D1140))/(VLOOKUP(INT($C$5)+1,Tablas!$G$9:$K$1240,5,0)*($C$5-INT($C$5))+VLOOKUP(INT($C$5),Tablas!$G$9:$K$124,5,0)*(INT($C$5)+1-$C$5)),(+VLOOKUP(INT(D1140)+1,Tablas!$G$9:$O$1240,9,0)*(D1140-INT(D1140))+VLOOKUP(INT(D1140),Tablas!$G$9:$O$1240,9,0)*(INT(D1140)+1-D1140))/(VLOOKUP(INT($C$5)+1,Tablas!$G$9:$O$1240,9,0)*($C$5-INT($C$5))+VLOOKUP(INT($C$5),Tablas!$G$9:$O$124,9,0)*(INT($C$5)+1-$C$5)))</f>
      </c>
      <c r="G1140" s="791">
        <f>IF($C$4="Hombre",(+VLOOKUP(INT(D1140)+1,Tablas!$G$9:$K$1240,5,0)*(D1140-INT(D1140))+VLOOKUP(INT(D1140),Tablas!$G$9:$K$1240,5,0)*(INT(D1140)+1-D1140)),+VLOOKUP(INT(D1140)+1,Tablas!$G$9:$O$1240,9,0)*(D1140-INT(D1140))+VLOOKUP(INT(D1140),Tablas!$G$9:$O$1240,9,0)*(INT(D1140)+1-D1140))</f>
      </c>
      <c r="H1140" s="801">
        <f>+IF(MONTH(B1140)=1,H1139*(1+$C$9),H1139)</f>
      </c>
      <c r="I1140" s="689">
        <f>IF(B1140&lt;$C$10,0,IF(B1140&lt;$C$11,$C$8/12*E1140*F1140*H1140,0))</f>
      </c>
      <c r="J1140" s="689">
        <f>I1140*12/14+IF(OR(MONTH(C1140)=6,MONTH(C1140)=12),I1140*12/14,0)</f>
      </c>
      <c r="K1140" s="801">
        <f>G1140/$G$15</f>
      </c>
      <c r="L1140" s="760"/>
      <c r="M1140" s="767"/>
      <c r="N1140" s="168"/>
      <c r="O1140" s="768"/>
      <c r="P1140" s="170"/>
      <c r="Q1140" s="7"/>
      <c r="R1140" s="766"/>
      <c r="S1140" s="170"/>
      <c r="T1140" s="168"/>
      <c r="U1140" s="170"/>
    </row>
    <row x14ac:dyDescent="0.25" r="1141" customHeight="1" ht="18.75">
      <c r="A1141" s="1"/>
      <c r="B1141" s="799">
        <f>+DATE(YEAR(B1140),MONTH(B1140)+1,DAY(B1140))</f>
        <v>25569.041666666668</v>
      </c>
      <c r="C1141" s="799">
        <f>+B1142-1</f>
        <v>25569.041666666668</v>
      </c>
      <c r="D1141" s="791">
        <f>-_xlfn.DAYS($C$3,C1141)/365.25</f>
      </c>
      <c r="E1141" s="800">
        <f>IF($D$17+40&lt;=D1141,(1+$D$7)^-(D1141-$C$5),(1+$C$7)^-(D1141-$C$5))</f>
      </c>
      <c r="F1141" s="801">
        <f>IF($C$4="Hombre",(+VLOOKUP(INT(D1141)+1,Tablas!$G$9:$K$1240,5,0)*(D1141-INT(D1141))+VLOOKUP(INT(D1141),Tablas!$G$9:$K$1240,5,0)*(INT(D1141)+1-D1141))/(VLOOKUP(INT($C$5)+1,Tablas!$G$9:$K$1240,5,0)*($C$5-INT($C$5))+VLOOKUP(INT($C$5),Tablas!$G$9:$K$124,5,0)*(INT($C$5)+1-$C$5)),(+VLOOKUP(INT(D1141)+1,Tablas!$G$9:$O$1240,9,0)*(D1141-INT(D1141))+VLOOKUP(INT(D1141),Tablas!$G$9:$O$1240,9,0)*(INT(D1141)+1-D1141))/(VLOOKUP(INT($C$5)+1,Tablas!$G$9:$O$1240,9,0)*($C$5-INT($C$5))+VLOOKUP(INT($C$5),Tablas!$G$9:$O$124,9,0)*(INT($C$5)+1-$C$5)))</f>
      </c>
      <c r="G1141" s="791">
        <f>IF($C$4="Hombre",(+VLOOKUP(INT(D1141)+1,Tablas!$G$9:$K$1240,5,0)*(D1141-INT(D1141))+VLOOKUP(INT(D1141),Tablas!$G$9:$K$1240,5,0)*(INT(D1141)+1-D1141)),+VLOOKUP(INT(D1141)+1,Tablas!$G$9:$O$1240,9,0)*(D1141-INT(D1141))+VLOOKUP(INT(D1141),Tablas!$G$9:$O$1240,9,0)*(INT(D1141)+1-D1141))</f>
      </c>
      <c r="H1141" s="801">
        <f>+IF(MONTH(B1141)=1,H1140*(1+$C$9),H1140)</f>
      </c>
      <c r="I1141" s="689">
        <f>IF(B1141&lt;$C$10,0,IF(B1141&lt;$C$11,$C$8/12*E1141*F1141*H1141,0))</f>
      </c>
      <c r="J1141" s="689">
        <f>I1141*12/14+IF(OR(MONTH(C1141)=6,MONTH(C1141)=12),I1141*12/14,0)</f>
      </c>
      <c r="K1141" s="801">
        <f>G1141/$G$15</f>
      </c>
      <c r="L1141" s="760"/>
      <c r="M1141" s="767"/>
      <c r="N1141" s="168"/>
      <c r="O1141" s="768"/>
      <c r="P1141" s="170"/>
      <c r="Q1141" s="7"/>
      <c r="R1141" s="766"/>
      <c r="S1141" s="170"/>
      <c r="T1141" s="168"/>
      <c r="U1141" s="170"/>
    </row>
    <row x14ac:dyDescent="0.25" r="1142" customHeight="1" ht="18.75">
      <c r="A1142" s="1"/>
      <c r="B1142" s="799">
        <f>+DATE(YEAR(B1141),MONTH(B1141)+1,DAY(B1141))</f>
        <v>25569.041666666668</v>
      </c>
      <c r="C1142" s="799">
        <f>+B1143-1</f>
        <v>25569.041666666668</v>
      </c>
      <c r="D1142" s="791">
        <f>-_xlfn.DAYS($C$3,C1142)/365.25</f>
      </c>
      <c r="E1142" s="800">
        <f>IF($D$17+40&lt;=D1142,(1+$D$7)^-(D1142-$C$5),(1+$C$7)^-(D1142-$C$5))</f>
      </c>
      <c r="F1142" s="801">
        <f>IF($C$4="Hombre",(+VLOOKUP(INT(D1142)+1,Tablas!$G$9:$K$1240,5,0)*(D1142-INT(D1142))+VLOOKUP(INT(D1142),Tablas!$G$9:$K$1240,5,0)*(INT(D1142)+1-D1142))/(VLOOKUP(INT($C$5)+1,Tablas!$G$9:$K$1240,5,0)*($C$5-INT($C$5))+VLOOKUP(INT($C$5),Tablas!$G$9:$K$124,5,0)*(INT($C$5)+1-$C$5)),(+VLOOKUP(INT(D1142)+1,Tablas!$G$9:$O$1240,9,0)*(D1142-INT(D1142))+VLOOKUP(INT(D1142),Tablas!$G$9:$O$1240,9,0)*(INT(D1142)+1-D1142))/(VLOOKUP(INT($C$5)+1,Tablas!$G$9:$O$1240,9,0)*($C$5-INT($C$5))+VLOOKUP(INT($C$5),Tablas!$G$9:$O$124,9,0)*(INT($C$5)+1-$C$5)))</f>
      </c>
      <c r="G1142" s="791">
        <f>IF($C$4="Hombre",(+VLOOKUP(INT(D1142)+1,Tablas!$G$9:$K$1240,5,0)*(D1142-INT(D1142))+VLOOKUP(INT(D1142),Tablas!$G$9:$K$1240,5,0)*(INT(D1142)+1-D1142)),+VLOOKUP(INT(D1142)+1,Tablas!$G$9:$O$1240,9,0)*(D1142-INT(D1142))+VLOOKUP(INT(D1142),Tablas!$G$9:$O$1240,9,0)*(INT(D1142)+1-D1142))</f>
      </c>
      <c r="H1142" s="801">
        <f>+IF(MONTH(B1142)=1,H1141*(1+$C$9),H1141)</f>
      </c>
      <c r="I1142" s="689">
        <f>IF(B1142&lt;$C$10,0,IF(B1142&lt;$C$11,$C$8/12*E1142*F1142*H1142,0))</f>
      </c>
      <c r="J1142" s="689">
        <f>I1142*12/14+IF(OR(MONTH(C1142)=6,MONTH(C1142)=12),I1142*12/14,0)</f>
      </c>
      <c r="K1142" s="801">
        <f>G1142/$G$15</f>
      </c>
      <c r="L1142" s="760"/>
      <c r="M1142" s="767"/>
      <c r="N1142" s="168"/>
      <c r="O1142" s="768"/>
      <c r="P1142" s="170"/>
      <c r="Q1142" s="7"/>
      <c r="R1142" s="766"/>
      <c r="S1142" s="170"/>
      <c r="T1142" s="168"/>
      <c r="U1142" s="170"/>
    </row>
    <row x14ac:dyDescent="0.25" r="1143" customHeight="1" ht="18.75">
      <c r="A1143" s="1"/>
      <c r="B1143" s="799">
        <f>+DATE(YEAR(B1142),MONTH(B1142)+1,DAY(B1142))</f>
        <v>25569.041666666668</v>
      </c>
      <c r="C1143" s="799">
        <f>+B1144-1</f>
        <v>25569.041666666668</v>
      </c>
      <c r="D1143" s="791">
        <f>-_xlfn.DAYS($C$3,C1143)/365.25</f>
      </c>
      <c r="E1143" s="800">
        <f>IF($D$17+40&lt;=D1143,(1+$D$7)^-(D1143-$C$5),(1+$C$7)^-(D1143-$C$5))</f>
      </c>
      <c r="F1143" s="801">
        <f>IF($C$4="Hombre",(+VLOOKUP(INT(D1143)+1,Tablas!$G$9:$K$1240,5,0)*(D1143-INT(D1143))+VLOOKUP(INT(D1143),Tablas!$G$9:$K$1240,5,0)*(INT(D1143)+1-D1143))/(VLOOKUP(INT($C$5)+1,Tablas!$G$9:$K$1240,5,0)*($C$5-INT($C$5))+VLOOKUP(INT($C$5),Tablas!$G$9:$K$124,5,0)*(INT($C$5)+1-$C$5)),(+VLOOKUP(INT(D1143)+1,Tablas!$G$9:$O$1240,9,0)*(D1143-INT(D1143))+VLOOKUP(INT(D1143),Tablas!$G$9:$O$1240,9,0)*(INT(D1143)+1-D1143))/(VLOOKUP(INT($C$5)+1,Tablas!$G$9:$O$1240,9,0)*($C$5-INT($C$5))+VLOOKUP(INT($C$5),Tablas!$G$9:$O$124,9,0)*(INT($C$5)+1-$C$5)))</f>
      </c>
      <c r="G1143" s="791">
        <f>IF($C$4="Hombre",(+VLOOKUP(INT(D1143)+1,Tablas!$G$9:$K$1240,5,0)*(D1143-INT(D1143))+VLOOKUP(INT(D1143),Tablas!$G$9:$K$1240,5,0)*(INT(D1143)+1-D1143)),+VLOOKUP(INT(D1143)+1,Tablas!$G$9:$O$1240,9,0)*(D1143-INT(D1143))+VLOOKUP(INT(D1143),Tablas!$G$9:$O$1240,9,0)*(INT(D1143)+1-D1143))</f>
      </c>
      <c r="H1143" s="801">
        <f>+IF(MONTH(B1143)=1,H1142*(1+$C$9),H1142)</f>
      </c>
      <c r="I1143" s="689">
        <f>IF(B1143&lt;$C$10,0,IF(B1143&lt;$C$11,$C$8/12*E1143*F1143*H1143,0))</f>
      </c>
      <c r="J1143" s="689">
        <f>I1143*12/14+IF(OR(MONTH(C1143)=6,MONTH(C1143)=12),I1143*12/14,0)</f>
      </c>
      <c r="K1143" s="801">
        <f>G1143/$G$15</f>
      </c>
      <c r="L1143" s="760"/>
      <c r="M1143" s="767"/>
      <c r="N1143" s="168"/>
      <c r="O1143" s="768"/>
      <c r="P1143" s="170"/>
      <c r="Q1143" s="7"/>
      <c r="R1143" s="766"/>
      <c r="S1143" s="170"/>
      <c r="T1143" s="168"/>
      <c r="U1143" s="170"/>
    </row>
    <row x14ac:dyDescent="0.25" r="1144" customHeight="1" ht="18.75">
      <c r="A1144" s="1"/>
      <c r="B1144" s="799">
        <f>+DATE(YEAR(B1143),MONTH(B1143)+1,DAY(B1143))</f>
        <v>25569.041666666668</v>
      </c>
      <c r="C1144" s="799">
        <f>+B1145-1</f>
        <v>25569.041666666668</v>
      </c>
      <c r="D1144" s="791">
        <f>-_xlfn.DAYS($C$3,C1144)/365.25</f>
      </c>
      <c r="E1144" s="800">
        <f>IF($D$17+40&lt;=D1144,(1+$D$7)^-(D1144-$C$5),(1+$C$7)^-(D1144-$C$5))</f>
      </c>
      <c r="F1144" s="801">
        <f>IF($C$4="Hombre",(+VLOOKUP(INT(D1144)+1,Tablas!$G$9:$K$1240,5,0)*(D1144-INT(D1144))+VLOOKUP(INT(D1144),Tablas!$G$9:$K$1240,5,0)*(INT(D1144)+1-D1144))/(VLOOKUP(INT($C$5)+1,Tablas!$G$9:$K$1240,5,0)*($C$5-INT($C$5))+VLOOKUP(INT($C$5),Tablas!$G$9:$K$124,5,0)*(INT($C$5)+1-$C$5)),(+VLOOKUP(INT(D1144)+1,Tablas!$G$9:$O$1240,9,0)*(D1144-INT(D1144))+VLOOKUP(INT(D1144),Tablas!$G$9:$O$1240,9,0)*(INT(D1144)+1-D1144))/(VLOOKUP(INT($C$5)+1,Tablas!$G$9:$O$1240,9,0)*($C$5-INT($C$5))+VLOOKUP(INT($C$5),Tablas!$G$9:$O$124,9,0)*(INT($C$5)+1-$C$5)))</f>
      </c>
      <c r="G1144" s="791">
        <f>IF($C$4="Hombre",(+VLOOKUP(INT(D1144)+1,Tablas!$G$9:$K$1240,5,0)*(D1144-INT(D1144))+VLOOKUP(INT(D1144),Tablas!$G$9:$K$1240,5,0)*(INT(D1144)+1-D1144)),+VLOOKUP(INT(D1144)+1,Tablas!$G$9:$O$1240,9,0)*(D1144-INT(D1144))+VLOOKUP(INT(D1144),Tablas!$G$9:$O$1240,9,0)*(INT(D1144)+1-D1144))</f>
      </c>
      <c r="H1144" s="801">
        <f>+IF(MONTH(B1144)=1,H1143*(1+$C$9),H1143)</f>
      </c>
      <c r="I1144" s="689">
        <f>IF(B1144&lt;$C$10,0,IF(B1144&lt;$C$11,$C$8/12*E1144*F1144*H1144,0))</f>
      </c>
      <c r="J1144" s="689">
        <f>I1144*12/14+IF(OR(MONTH(C1144)=6,MONTH(C1144)=12),I1144*12/14,0)</f>
      </c>
      <c r="K1144" s="801">
        <f>G1144/$G$15</f>
      </c>
      <c r="L1144" s="760"/>
      <c r="M1144" s="767"/>
      <c r="N1144" s="168"/>
      <c r="O1144" s="768"/>
      <c r="P1144" s="170"/>
      <c r="Q1144" s="7"/>
      <c r="R1144" s="766"/>
      <c r="S1144" s="170"/>
      <c r="T1144" s="168"/>
      <c r="U1144" s="170"/>
    </row>
    <row x14ac:dyDescent="0.25" r="1145" customHeight="1" ht="18.75">
      <c r="A1145" s="1"/>
      <c r="B1145" s="799">
        <f>+DATE(YEAR(B1144),MONTH(B1144)+1,DAY(B1144))</f>
        <v>25569.041666666668</v>
      </c>
      <c r="C1145" s="799">
        <f>+B1146-1</f>
        <v>25569.041666666668</v>
      </c>
      <c r="D1145" s="791">
        <f>-_xlfn.DAYS($C$3,C1145)/365.25</f>
      </c>
      <c r="E1145" s="800">
        <f>IF($D$17+40&lt;=D1145,(1+$D$7)^-(D1145-$C$5),(1+$C$7)^-(D1145-$C$5))</f>
      </c>
      <c r="F1145" s="801">
        <f>IF($C$4="Hombre",(+VLOOKUP(INT(D1145)+1,Tablas!$G$9:$K$1240,5,0)*(D1145-INT(D1145))+VLOOKUP(INT(D1145),Tablas!$G$9:$K$1240,5,0)*(INT(D1145)+1-D1145))/(VLOOKUP(INT($C$5)+1,Tablas!$G$9:$K$1240,5,0)*($C$5-INT($C$5))+VLOOKUP(INT($C$5),Tablas!$G$9:$K$124,5,0)*(INT($C$5)+1-$C$5)),(+VLOOKUP(INT(D1145)+1,Tablas!$G$9:$O$1240,9,0)*(D1145-INT(D1145))+VLOOKUP(INT(D1145),Tablas!$G$9:$O$1240,9,0)*(INT(D1145)+1-D1145))/(VLOOKUP(INT($C$5)+1,Tablas!$G$9:$O$1240,9,0)*($C$5-INT($C$5))+VLOOKUP(INT($C$5),Tablas!$G$9:$O$124,9,0)*(INT($C$5)+1-$C$5)))</f>
      </c>
      <c r="G1145" s="791">
        <f>IF($C$4="Hombre",(+VLOOKUP(INT(D1145)+1,Tablas!$G$9:$K$1240,5,0)*(D1145-INT(D1145))+VLOOKUP(INT(D1145),Tablas!$G$9:$K$1240,5,0)*(INT(D1145)+1-D1145)),+VLOOKUP(INT(D1145)+1,Tablas!$G$9:$O$1240,9,0)*(D1145-INT(D1145))+VLOOKUP(INT(D1145),Tablas!$G$9:$O$1240,9,0)*(INT(D1145)+1-D1145))</f>
      </c>
      <c r="H1145" s="801">
        <f>+IF(MONTH(B1145)=1,H1144*(1+$C$9),H1144)</f>
      </c>
      <c r="I1145" s="689">
        <f>IF(B1145&lt;$C$10,0,IF(B1145&lt;$C$11,$C$8/12*E1145*F1145*H1145,0))</f>
      </c>
      <c r="J1145" s="689">
        <f>I1145*12/14+IF(OR(MONTH(C1145)=6,MONTH(C1145)=12),I1145*12/14,0)</f>
      </c>
      <c r="K1145" s="801">
        <f>G1145/$G$15</f>
      </c>
      <c r="L1145" s="760"/>
      <c r="M1145" s="767"/>
      <c r="N1145" s="168"/>
      <c r="O1145" s="768"/>
      <c r="P1145" s="170"/>
      <c r="Q1145" s="7"/>
      <c r="R1145" s="766"/>
      <c r="S1145" s="170"/>
      <c r="T1145" s="168"/>
      <c r="U1145" s="170"/>
    </row>
    <row x14ac:dyDescent="0.25" r="1146" customHeight="1" ht="18.75">
      <c r="A1146" s="1"/>
      <c r="B1146" s="799">
        <f>+DATE(YEAR(B1145),MONTH(B1145)+1,DAY(B1145))</f>
        <v>25569.041666666668</v>
      </c>
      <c r="C1146" s="799">
        <f>+B1147-1</f>
        <v>25569.041666666668</v>
      </c>
      <c r="D1146" s="791">
        <f>-_xlfn.DAYS($C$3,C1146)/365.25</f>
      </c>
      <c r="E1146" s="800">
        <f>IF($D$17+40&lt;=D1146,(1+$D$7)^-(D1146-$C$5),(1+$C$7)^-(D1146-$C$5))</f>
      </c>
      <c r="F1146" s="801">
        <f>IF($C$4="Hombre",(+VLOOKUP(INT(D1146)+1,Tablas!$G$9:$K$1240,5,0)*(D1146-INT(D1146))+VLOOKUP(INT(D1146),Tablas!$G$9:$K$1240,5,0)*(INT(D1146)+1-D1146))/(VLOOKUP(INT($C$5)+1,Tablas!$G$9:$K$1240,5,0)*($C$5-INT($C$5))+VLOOKUP(INT($C$5),Tablas!$G$9:$K$124,5,0)*(INT($C$5)+1-$C$5)),(+VLOOKUP(INT(D1146)+1,Tablas!$G$9:$O$1240,9,0)*(D1146-INT(D1146))+VLOOKUP(INT(D1146),Tablas!$G$9:$O$1240,9,0)*(INT(D1146)+1-D1146))/(VLOOKUP(INT($C$5)+1,Tablas!$G$9:$O$1240,9,0)*($C$5-INT($C$5))+VLOOKUP(INT($C$5),Tablas!$G$9:$O$124,9,0)*(INT($C$5)+1-$C$5)))</f>
      </c>
      <c r="G1146" s="791">
        <f>IF($C$4="Hombre",(+VLOOKUP(INT(D1146)+1,Tablas!$G$9:$K$1240,5,0)*(D1146-INT(D1146))+VLOOKUP(INT(D1146),Tablas!$G$9:$K$1240,5,0)*(INT(D1146)+1-D1146)),+VLOOKUP(INT(D1146)+1,Tablas!$G$9:$O$1240,9,0)*(D1146-INT(D1146))+VLOOKUP(INT(D1146),Tablas!$G$9:$O$1240,9,0)*(INT(D1146)+1-D1146))</f>
      </c>
      <c r="H1146" s="801">
        <f>+IF(MONTH(B1146)=1,H1145*(1+$C$9),H1145)</f>
      </c>
      <c r="I1146" s="689">
        <f>IF(B1146&lt;$C$10,0,IF(B1146&lt;$C$11,$C$8/12*E1146*F1146*H1146,0))</f>
      </c>
      <c r="J1146" s="689">
        <f>I1146*12/14+IF(OR(MONTH(C1146)=6,MONTH(C1146)=12),I1146*12/14,0)</f>
      </c>
      <c r="K1146" s="801">
        <f>G1146/$G$15</f>
      </c>
      <c r="L1146" s="760"/>
      <c r="M1146" s="767"/>
      <c r="N1146" s="168"/>
      <c r="O1146" s="768"/>
      <c r="P1146" s="170"/>
      <c r="Q1146" s="7"/>
      <c r="R1146" s="766"/>
      <c r="S1146" s="170"/>
      <c r="T1146" s="168"/>
      <c r="U1146" s="170"/>
    </row>
    <row x14ac:dyDescent="0.25" r="1147" customHeight="1" ht="18.75">
      <c r="A1147" s="1"/>
      <c r="B1147" s="799">
        <f>+DATE(YEAR(B1146),MONTH(B1146)+1,DAY(B1146))</f>
        <v>25569.041666666668</v>
      </c>
      <c r="C1147" s="799">
        <f>+B1148-1</f>
        <v>25569.041666666668</v>
      </c>
      <c r="D1147" s="791">
        <f>-_xlfn.DAYS($C$3,C1147)/365.25</f>
      </c>
      <c r="E1147" s="800">
        <f>IF($D$17+40&lt;=D1147,(1+$D$7)^-(D1147-$C$5),(1+$C$7)^-(D1147-$C$5))</f>
      </c>
      <c r="F1147" s="801">
        <f>IF($C$4="Hombre",(+VLOOKUP(INT(D1147)+1,Tablas!$G$9:$K$1240,5,0)*(D1147-INT(D1147))+VLOOKUP(INT(D1147),Tablas!$G$9:$K$1240,5,0)*(INT(D1147)+1-D1147))/(VLOOKUP(INT($C$5)+1,Tablas!$G$9:$K$1240,5,0)*($C$5-INT($C$5))+VLOOKUP(INT($C$5),Tablas!$G$9:$K$124,5,0)*(INT($C$5)+1-$C$5)),(+VLOOKUP(INT(D1147)+1,Tablas!$G$9:$O$1240,9,0)*(D1147-INT(D1147))+VLOOKUP(INT(D1147),Tablas!$G$9:$O$1240,9,0)*(INT(D1147)+1-D1147))/(VLOOKUP(INT($C$5)+1,Tablas!$G$9:$O$1240,9,0)*($C$5-INT($C$5))+VLOOKUP(INT($C$5),Tablas!$G$9:$O$124,9,0)*(INT($C$5)+1-$C$5)))</f>
      </c>
      <c r="G1147" s="791">
        <f>IF($C$4="Hombre",(+VLOOKUP(INT(D1147)+1,Tablas!$G$9:$K$1240,5,0)*(D1147-INT(D1147))+VLOOKUP(INT(D1147),Tablas!$G$9:$K$1240,5,0)*(INT(D1147)+1-D1147)),+VLOOKUP(INT(D1147)+1,Tablas!$G$9:$O$1240,9,0)*(D1147-INT(D1147))+VLOOKUP(INT(D1147),Tablas!$G$9:$O$1240,9,0)*(INT(D1147)+1-D1147))</f>
      </c>
      <c r="H1147" s="801">
        <f>+IF(MONTH(B1147)=1,H1146*(1+$C$9),H1146)</f>
      </c>
      <c r="I1147" s="689">
        <f>IF(B1147&lt;$C$10,0,IF(B1147&lt;$C$11,$C$8/12*E1147*F1147*H1147,0))</f>
      </c>
      <c r="J1147" s="689">
        <f>I1147*12/14+IF(OR(MONTH(C1147)=6,MONTH(C1147)=12),I1147*12/14,0)</f>
      </c>
      <c r="K1147" s="801">
        <f>G1147/$G$15</f>
      </c>
      <c r="L1147" s="760"/>
      <c r="M1147" s="767"/>
      <c r="N1147" s="168"/>
      <c r="O1147" s="768"/>
      <c r="P1147" s="170"/>
      <c r="Q1147" s="7"/>
      <c r="R1147" s="766"/>
      <c r="S1147" s="170"/>
      <c r="T1147" s="168"/>
      <c r="U1147" s="170"/>
    </row>
    <row x14ac:dyDescent="0.25" r="1148" customHeight="1" ht="18.75">
      <c r="A1148" s="1"/>
      <c r="B1148" s="799">
        <f>+DATE(YEAR(B1147),MONTH(B1147)+1,DAY(B1147))</f>
        <v>25569.041666666668</v>
      </c>
      <c r="C1148" s="799">
        <f>+B1149-1</f>
        <v>25569.041666666668</v>
      </c>
      <c r="D1148" s="791">
        <f>-_xlfn.DAYS($C$3,C1148)/365.25</f>
      </c>
      <c r="E1148" s="800">
        <f>IF($D$17+40&lt;=D1148,(1+$D$7)^-(D1148-$C$5),(1+$C$7)^-(D1148-$C$5))</f>
      </c>
      <c r="F1148" s="801">
        <f>IF($C$4="Hombre",(+VLOOKUP(INT(D1148)+1,Tablas!$G$9:$K$1240,5,0)*(D1148-INT(D1148))+VLOOKUP(INT(D1148),Tablas!$G$9:$K$1240,5,0)*(INT(D1148)+1-D1148))/(VLOOKUP(INT($C$5)+1,Tablas!$G$9:$K$1240,5,0)*($C$5-INT($C$5))+VLOOKUP(INT($C$5),Tablas!$G$9:$K$124,5,0)*(INT($C$5)+1-$C$5)),(+VLOOKUP(INT(D1148)+1,Tablas!$G$9:$O$1240,9,0)*(D1148-INT(D1148))+VLOOKUP(INT(D1148),Tablas!$G$9:$O$1240,9,0)*(INT(D1148)+1-D1148))/(VLOOKUP(INT($C$5)+1,Tablas!$G$9:$O$1240,9,0)*($C$5-INT($C$5))+VLOOKUP(INT($C$5),Tablas!$G$9:$O$124,9,0)*(INT($C$5)+1-$C$5)))</f>
      </c>
      <c r="G1148" s="791">
        <f>IF($C$4="Hombre",(+VLOOKUP(INT(D1148)+1,Tablas!$G$9:$K$1240,5,0)*(D1148-INT(D1148))+VLOOKUP(INT(D1148),Tablas!$G$9:$K$1240,5,0)*(INT(D1148)+1-D1148)),+VLOOKUP(INT(D1148)+1,Tablas!$G$9:$O$1240,9,0)*(D1148-INT(D1148))+VLOOKUP(INT(D1148),Tablas!$G$9:$O$1240,9,0)*(INT(D1148)+1-D1148))</f>
      </c>
      <c r="H1148" s="801">
        <f>+IF(MONTH(B1148)=1,H1147*(1+$C$9),H1147)</f>
      </c>
      <c r="I1148" s="689">
        <f>IF(B1148&lt;$C$10,0,IF(B1148&lt;$C$11,$C$8/12*E1148*F1148*H1148,0))</f>
      </c>
      <c r="J1148" s="689">
        <f>I1148*12/14+IF(OR(MONTH(C1148)=6,MONTH(C1148)=12),I1148*12/14,0)</f>
      </c>
      <c r="K1148" s="801">
        <f>G1148/$G$15</f>
      </c>
      <c r="L1148" s="760"/>
      <c r="M1148" s="767"/>
      <c r="N1148" s="168"/>
      <c r="O1148" s="768"/>
      <c r="P1148" s="170"/>
      <c r="Q1148" s="7"/>
      <c r="R1148" s="766"/>
      <c r="S1148" s="170"/>
      <c r="T1148" s="168"/>
      <c r="U1148" s="170"/>
    </row>
    <row x14ac:dyDescent="0.25" r="1149" customHeight="1" ht="18.75">
      <c r="A1149" s="1"/>
      <c r="B1149" s="799">
        <f>+DATE(YEAR(B1148),MONTH(B1148)+1,DAY(B1148))</f>
        <v>25569.041666666668</v>
      </c>
      <c r="C1149" s="799">
        <f>+B1150-1</f>
        <v>25569.041666666668</v>
      </c>
      <c r="D1149" s="791">
        <f>-_xlfn.DAYS($C$3,C1149)/365.25</f>
      </c>
      <c r="E1149" s="800">
        <f>IF($D$17+40&lt;=D1149,(1+$D$7)^-(D1149-$C$5),(1+$C$7)^-(D1149-$C$5))</f>
      </c>
      <c r="F1149" s="801">
        <f>IF($C$4="Hombre",(+VLOOKUP(INT(D1149)+1,Tablas!$G$9:$K$1240,5,0)*(D1149-INT(D1149))+VLOOKUP(INT(D1149),Tablas!$G$9:$K$1240,5,0)*(INT(D1149)+1-D1149))/(VLOOKUP(INT($C$5)+1,Tablas!$G$9:$K$1240,5,0)*($C$5-INT($C$5))+VLOOKUP(INT($C$5),Tablas!$G$9:$K$124,5,0)*(INT($C$5)+1-$C$5)),(+VLOOKUP(INT(D1149)+1,Tablas!$G$9:$O$1240,9,0)*(D1149-INT(D1149))+VLOOKUP(INT(D1149),Tablas!$G$9:$O$1240,9,0)*(INT(D1149)+1-D1149))/(VLOOKUP(INT($C$5)+1,Tablas!$G$9:$O$1240,9,0)*($C$5-INT($C$5))+VLOOKUP(INT($C$5),Tablas!$G$9:$O$124,9,0)*(INT($C$5)+1-$C$5)))</f>
      </c>
      <c r="G1149" s="791">
        <f>IF($C$4="Hombre",(+VLOOKUP(INT(D1149)+1,Tablas!$G$9:$K$1240,5,0)*(D1149-INT(D1149))+VLOOKUP(INT(D1149),Tablas!$G$9:$K$1240,5,0)*(INT(D1149)+1-D1149)),+VLOOKUP(INT(D1149)+1,Tablas!$G$9:$O$1240,9,0)*(D1149-INT(D1149))+VLOOKUP(INT(D1149),Tablas!$G$9:$O$1240,9,0)*(INT(D1149)+1-D1149))</f>
      </c>
      <c r="H1149" s="801">
        <f>+IF(MONTH(B1149)=1,H1148*(1+$C$9),H1148)</f>
      </c>
      <c r="I1149" s="689">
        <f>IF(B1149&lt;$C$10,0,IF(B1149&lt;$C$11,$C$8/12*E1149*F1149*H1149,0))</f>
      </c>
      <c r="J1149" s="689">
        <f>I1149*12/14+IF(OR(MONTH(C1149)=6,MONTH(C1149)=12),I1149*12/14,0)</f>
      </c>
      <c r="K1149" s="801">
        <f>G1149/$G$15</f>
      </c>
      <c r="L1149" s="760"/>
      <c r="M1149" s="767"/>
      <c r="N1149" s="168"/>
      <c r="O1149" s="768"/>
      <c r="P1149" s="170"/>
      <c r="Q1149" s="7"/>
      <c r="R1149" s="766"/>
      <c r="S1149" s="170"/>
      <c r="T1149" s="168"/>
      <c r="U1149" s="170"/>
    </row>
    <row x14ac:dyDescent="0.25" r="1150" customHeight="1" ht="18.75">
      <c r="A1150" s="1"/>
      <c r="B1150" s="799">
        <f>+DATE(YEAR(B1149),MONTH(B1149)+1,DAY(B1149))</f>
        <v>25569.041666666668</v>
      </c>
      <c r="C1150" s="799">
        <f>+B1151-1</f>
        <v>25569.041666666668</v>
      </c>
      <c r="D1150" s="791">
        <f>-_xlfn.DAYS($C$3,C1150)/365.25</f>
      </c>
      <c r="E1150" s="800">
        <f>IF($D$17+40&lt;=D1150,(1+$D$7)^-(D1150-$C$5),(1+$C$7)^-(D1150-$C$5))</f>
      </c>
      <c r="F1150" s="801">
        <f>IF($C$4="Hombre",(+VLOOKUP(INT(D1150)+1,Tablas!$G$9:$K$1240,5,0)*(D1150-INT(D1150))+VLOOKUP(INT(D1150),Tablas!$G$9:$K$1240,5,0)*(INT(D1150)+1-D1150))/(VLOOKUP(INT($C$5)+1,Tablas!$G$9:$K$1240,5,0)*($C$5-INT($C$5))+VLOOKUP(INT($C$5),Tablas!$G$9:$K$124,5,0)*(INT($C$5)+1-$C$5)),(+VLOOKUP(INT(D1150)+1,Tablas!$G$9:$O$1240,9,0)*(D1150-INT(D1150))+VLOOKUP(INT(D1150),Tablas!$G$9:$O$1240,9,0)*(INT(D1150)+1-D1150))/(VLOOKUP(INT($C$5)+1,Tablas!$G$9:$O$1240,9,0)*($C$5-INT($C$5))+VLOOKUP(INT($C$5),Tablas!$G$9:$O$124,9,0)*(INT($C$5)+1-$C$5)))</f>
      </c>
      <c r="G1150" s="791">
        <f>IF($C$4="Hombre",(+VLOOKUP(INT(D1150)+1,Tablas!$G$9:$K$1240,5,0)*(D1150-INT(D1150))+VLOOKUP(INT(D1150),Tablas!$G$9:$K$1240,5,0)*(INT(D1150)+1-D1150)),+VLOOKUP(INT(D1150)+1,Tablas!$G$9:$O$1240,9,0)*(D1150-INT(D1150))+VLOOKUP(INT(D1150),Tablas!$G$9:$O$1240,9,0)*(INT(D1150)+1-D1150))</f>
      </c>
      <c r="H1150" s="801">
        <f>+IF(MONTH(B1150)=1,H1149*(1+$C$9),H1149)</f>
      </c>
      <c r="I1150" s="689">
        <f>IF(B1150&lt;$C$10,0,IF(B1150&lt;$C$11,$C$8/12*E1150*F1150*H1150,0))</f>
      </c>
      <c r="J1150" s="689">
        <f>I1150*12/14+IF(OR(MONTH(C1150)=6,MONTH(C1150)=12),I1150*12/14,0)</f>
      </c>
      <c r="K1150" s="801">
        <f>G1150/$G$15</f>
      </c>
      <c r="L1150" s="760"/>
      <c r="M1150" s="767"/>
      <c r="N1150" s="168"/>
      <c r="O1150" s="768"/>
      <c r="P1150" s="170"/>
      <c r="Q1150" s="7"/>
      <c r="R1150" s="766"/>
      <c r="S1150" s="170"/>
      <c r="T1150" s="168"/>
      <c r="U1150" s="170"/>
    </row>
    <row x14ac:dyDescent="0.25" r="1151" customHeight="1" ht="18.75">
      <c r="A1151" s="1"/>
      <c r="B1151" s="799">
        <f>+DATE(YEAR(B1150),MONTH(B1150)+1,DAY(B1150))</f>
        <v>25569.041666666668</v>
      </c>
      <c r="C1151" s="799">
        <f>+B1152-1</f>
        <v>25569.041666666668</v>
      </c>
      <c r="D1151" s="791">
        <f>-_xlfn.DAYS($C$3,C1151)/365.25</f>
      </c>
      <c r="E1151" s="800">
        <f>IF($D$17+40&lt;=D1151,(1+$D$7)^-(D1151-$C$5),(1+$C$7)^-(D1151-$C$5))</f>
      </c>
      <c r="F1151" s="801">
        <f>IF($C$4="Hombre",(+VLOOKUP(INT(D1151)+1,Tablas!$G$9:$K$1240,5,0)*(D1151-INT(D1151))+VLOOKUP(INT(D1151),Tablas!$G$9:$K$1240,5,0)*(INT(D1151)+1-D1151))/(VLOOKUP(INT($C$5)+1,Tablas!$G$9:$K$1240,5,0)*($C$5-INT($C$5))+VLOOKUP(INT($C$5),Tablas!$G$9:$K$124,5,0)*(INT($C$5)+1-$C$5)),(+VLOOKUP(INT(D1151)+1,Tablas!$G$9:$O$1240,9,0)*(D1151-INT(D1151))+VLOOKUP(INT(D1151),Tablas!$G$9:$O$1240,9,0)*(INT(D1151)+1-D1151))/(VLOOKUP(INT($C$5)+1,Tablas!$G$9:$O$1240,9,0)*($C$5-INT($C$5))+VLOOKUP(INT($C$5),Tablas!$G$9:$O$124,9,0)*(INT($C$5)+1-$C$5)))</f>
      </c>
      <c r="G1151" s="791">
        <f>IF($C$4="Hombre",(+VLOOKUP(INT(D1151)+1,Tablas!$G$9:$K$1240,5,0)*(D1151-INT(D1151))+VLOOKUP(INT(D1151),Tablas!$G$9:$K$1240,5,0)*(INT(D1151)+1-D1151)),+VLOOKUP(INT(D1151)+1,Tablas!$G$9:$O$1240,9,0)*(D1151-INT(D1151))+VLOOKUP(INT(D1151),Tablas!$G$9:$O$1240,9,0)*(INT(D1151)+1-D1151))</f>
      </c>
      <c r="H1151" s="801">
        <f>+IF(MONTH(B1151)=1,H1150*(1+$C$9),H1150)</f>
      </c>
      <c r="I1151" s="689">
        <f>IF(B1151&lt;$C$10,0,IF(B1151&lt;$C$11,$C$8/12*E1151*F1151*H1151,0))</f>
      </c>
      <c r="J1151" s="689">
        <f>I1151*12/14+IF(OR(MONTH(C1151)=6,MONTH(C1151)=12),I1151*12/14,0)</f>
      </c>
      <c r="K1151" s="801">
        <f>G1151/$G$15</f>
      </c>
      <c r="L1151" s="760"/>
      <c r="M1151" s="767"/>
      <c r="N1151" s="168"/>
      <c r="O1151" s="768"/>
      <c r="P1151" s="170"/>
      <c r="Q1151" s="7"/>
      <c r="R1151" s="766"/>
      <c r="S1151" s="170"/>
      <c r="T1151" s="168"/>
      <c r="U1151" s="170"/>
    </row>
    <row x14ac:dyDescent="0.25" r="1152" customHeight="1" ht="18.75">
      <c r="A1152" s="1"/>
      <c r="B1152" s="799">
        <f>+DATE(YEAR(B1151),MONTH(B1151)+1,DAY(B1151))</f>
        <v>25569.041666666668</v>
      </c>
      <c r="C1152" s="799">
        <f>+B1153-1</f>
        <v>25569.041666666668</v>
      </c>
      <c r="D1152" s="791">
        <f>-_xlfn.DAYS($C$3,C1152)/365.25</f>
      </c>
      <c r="E1152" s="800">
        <f>IF($D$17+40&lt;=D1152,(1+$D$7)^-(D1152-$C$5),(1+$C$7)^-(D1152-$C$5))</f>
      </c>
      <c r="F1152" s="801">
        <f>IF($C$4="Hombre",(+VLOOKUP(INT(D1152)+1,Tablas!$G$9:$K$1240,5,0)*(D1152-INT(D1152))+VLOOKUP(INT(D1152),Tablas!$G$9:$K$1240,5,0)*(INT(D1152)+1-D1152))/(VLOOKUP(INT($C$5)+1,Tablas!$G$9:$K$1240,5,0)*($C$5-INT($C$5))+VLOOKUP(INT($C$5),Tablas!$G$9:$K$124,5,0)*(INT($C$5)+1-$C$5)),(+VLOOKUP(INT(D1152)+1,Tablas!$G$9:$O$1240,9,0)*(D1152-INT(D1152))+VLOOKUP(INT(D1152),Tablas!$G$9:$O$1240,9,0)*(INT(D1152)+1-D1152))/(VLOOKUP(INT($C$5)+1,Tablas!$G$9:$O$1240,9,0)*($C$5-INT($C$5))+VLOOKUP(INT($C$5),Tablas!$G$9:$O$124,9,0)*(INT($C$5)+1-$C$5)))</f>
      </c>
      <c r="G1152" s="791">
        <f>IF($C$4="Hombre",(+VLOOKUP(INT(D1152)+1,Tablas!$G$9:$K$1240,5,0)*(D1152-INT(D1152))+VLOOKUP(INT(D1152),Tablas!$G$9:$K$1240,5,0)*(INT(D1152)+1-D1152)),+VLOOKUP(INT(D1152)+1,Tablas!$G$9:$O$1240,9,0)*(D1152-INT(D1152))+VLOOKUP(INT(D1152),Tablas!$G$9:$O$1240,9,0)*(INT(D1152)+1-D1152))</f>
      </c>
      <c r="H1152" s="801">
        <f>+IF(MONTH(B1152)=1,H1151*(1+$C$9),H1151)</f>
      </c>
      <c r="I1152" s="689">
        <f>IF(B1152&lt;$C$10,0,IF(B1152&lt;$C$11,$C$8/12*E1152*F1152*H1152,0))</f>
      </c>
      <c r="J1152" s="689">
        <f>I1152*12/14+IF(OR(MONTH(C1152)=6,MONTH(C1152)=12),I1152*12/14,0)</f>
      </c>
      <c r="K1152" s="801">
        <f>G1152/$G$15</f>
      </c>
      <c r="L1152" s="760"/>
      <c r="M1152" s="767"/>
      <c r="N1152" s="168"/>
      <c r="O1152" s="768"/>
      <c r="P1152" s="170"/>
      <c r="Q1152" s="7"/>
      <c r="R1152" s="766"/>
      <c r="S1152" s="170"/>
      <c r="T1152" s="168"/>
      <c r="U1152" s="170"/>
    </row>
    <row x14ac:dyDescent="0.25" r="1153" customHeight="1" ht="18.75">
      <c r="A1153" s="1"/>
      <c r="B1153" s="799">
        <f>+DATE(YEAR(B1152),MONTH(B1152)+1,DAY(B1152))</f>
        <v>25569.041666666668</v>
      </c>
      <c r="C1153" s="799">
        <f>+B1154-1</f>
        <v>25569.041666666668</v>
      </c>
      <c r="D1153" s="791">
        <f>-_xlfn.DAYS($C$3,C1153)/365.25</f>
      </c>
      <c r="E1153" s="800">
        <f>IF($D$17+40&lt;=D1153,(1+$D$7)^-(D1153-$C$5),(1+$C$7)^-(D1153-$C$5))</f>
      </c>
      <c r="F1153" s="801">
        <f>IF($C$4="Hombre",(+VLOOKUP(INT(D1153)+1,Tablas!$G$9:$K$1240,5,0)*(D1153-INT(D1153))+VLOOKUP(INT(D1153),Tablas!$G$9:$K$1240,5,0)*(INT(D1153)+1-D1153))/(VLOOKUP(INT($C$5)+1,Tablas!$G$9:$K$1240,5,0)*($C$5-INT($C$5))+VLOOKUP(INT($C$5),Tablas!$G$9:$K$124,5,0)*(INT($C$5)+1-$C$5)),(+VLOOKUP(INT(D1153)+1,Tablas!$G$9:$O$1240,9,0)*(D1153-INT(D1153))+VLOOKUP(INT(D1153),Tablas!$G$9:$O$1240,9,0)*(INT(D1153)+1-D1153))/(VLOOKUP(INT($C$5)+1,Tablas!$G$9:$O$1240,9,0)*($C$5-INT($C$5))+VLOOKUP(INT($C$5),Tablas!$G$9:$O$124,9,0)*(INT($C$5)+1-$C$5)))</f>
      </c>
      <c r="G1153" s="791">
        <f>IF($C$4="Hombre",(+VLOOKUP(INT(D1153)+1,Tablas!$G$9:$K$1240,5,0)*(D1153-INT(D1153))+VLOOKUP(INT(D1153),Tablas!$G$9:$K$1240,5,0)*(INT(D1153)+1-D1153)),+VLOOKUP(INT(D1153)+1,Tablas!$G$9:$O$1240,9,0)*(D1153-INT(D1153))+VLOOKUP(INT(D1153),Tablas!$G$9:$O$1240,9,0)*(INT(D1153)+1-D1153))</f>
      </c>
      <c r="H1153" s="801">
        <f>+IF(MONTH(B1153)=1,H1152*(1+$C$9),H1152)</f>
      </c>
      <c r="I1153" s="689">
        <f>IF(B1153&lt;$C$10,0,IF(B1153&lt;$C$11,$C$8/12*E1153*F1153*H1153,0))</f>
      </c>
      <c r="J1153" s="689">
        <f>I1153*12/14+IF(OR(MONTH(C1153)=6,MONTH(C1153)=12),I1153*12/14,0)</f>
      </c>
      <c r="K1153" s="801">
        <f>G1153/$G$15</f>
      </c>
      <c r="L1153" s="760"/>
      <c r="M1153" s="767"/>
      <c r="N1153" s="168"/>
      <c r="O1153" s="768"/>
      <c r="P1153" s="170"/>
      <c r="Q1153" s="7"/>
      <c r="R1153" s="766"/>
      <c r="S1153" s="170"/>
      <c r="T1153" s="168"/>
      <c r="U1153" s="170"/>
    </row>
    <row x14ac:dyDescent="0.25" r="1154" customHeight="1" ht="18.75">
      <c r="A1154" s="1"/>
      <c r="B1154" s="799">
        <f>+DATE(YEAR(B1153),MONTH(B1153)+1,DAY(B1153))</f>
        <v>25569.041666666668</v>
      </c>
      <c r="C1154" s="799">
        <f>+B1155-1</f>
        <v>25569.041666666668</v>
      </c>
      <c r="D1154" s="791">
        <f>-_xlfn.DAYS($C$3,C1154)/365.25</f>
      </c>
      <c r="E1154" s="800">
        <f>IF($D$17+40&lt;=D1154,(1+$D$7)^-(D1154-$C$5),(1+$C$7)^-(D1154-$C$5))</f>
      </c>
      <c r="F1154" s="801">
        <f>IF($C$4="Hombre",(+VLOOKUP(INT(D1154)+1,Tablas!$G$9:$K$1240,5,0)*(D1154-INT(D1154))+VLOOKUP(INT(D1154),Tablas!$G$9:$K$1240,5,0)*(INT(D1154)+1-D1154))/(VLOOKUP(INT($C$5)+1,Tablas!$G$9:$K$1240,5,0)*($C$5-INT($C$5))+VLOOKUP(INT($C$5),Tablas!$G$9:$K$124,5,0)*(INT($C$5)+1-$C$5)),(+VLOOKUP(INT(D1154)+1,Tablas!$G$9:$O$1240,9,0)*(D1154-INT(D1154))+VLOOKUP(INT(D1154),Tablas!$G$9:$O$1240,9,0)*(INT(D1154)+1-D1154))/(VLOOKUP(INT($C$5)+1,Tablas!$G$9:$O$1240,9,0)*($C$5-INT($C$5))+VLOOKUP(INT($C$5),Tablas!$G$9:$O$124,9,0)*(INT($C$5)+1-$C$5)))</f>
      </c>
      <c r="G1154" s="791">
        <f>IF($C$4="Hombre",(+VLOOKUP(INT(D1154)+1,Tablas!$G$9:$K$1240,5,0)*(D1154-INT(D1154))+VLOOKUP(INT(D1154),Tablas!$G$9:$K$1240,5,0)*(INT(D1154)+1-D1154)),+VLOOKUP(INT(D1154)+1,Tablas!$G$9:$O$1240,9,0)*(D1154-INT(D1154))+VLOOKUP(INT(D1154),Tablas!$G$9:$O$1240,9,0)*(INT(D1154)+1-D1154))</f>
      </c>
      <c r="H1154" s="801">
        <f>+IF(MONTH(B1154)=1,H1153*(1+$C$9),H1153)</f>
      </c>
      <c r="I1154" s="689">
        <f>IF(B1154&lt;$C$10,0,IF(B1154&lt;$C$11,$C$8/12*E1154*F1154*H1154,0))</f>
      </c>
      <c r="J1154" s="689">
        <f>I1154*12/14+IF(OR(MONTH(C1154)=6,MONTH(C1154)=12),I1154*12/14,0)</f>
      </c>
      <c r="K1154" s="801">
        <f>G1154/$G$15</f>
      </c>
      <c r="L1154" s="760"/>
      <c r="M1154" s="767"/>
      <c r="N1154" s="168"/>
      <c r="O1154" s="768"/>
      <c r="P1154" s="170"/>
      <c r="Q1154" s="7"/>
      <c r="R1154" s="766"/>
      <c r="S1154" s="170"/>
      <c r="T1154" s="168"/>
      <c r="U1154" s="170"/>
    </row>
    <row x14ac:dyDescent="0.25" r="1155" customHeight="1" ht="18.75">
      <c r="A1155" s="1"/>
      <c r="B1155" s="799">
        <f>+DATE(YEAR(B1154),MONTH(B1154)+1,DAY(B1154))</f>
        <v>25569.041666666668</v>
      </c>
      <c r="C1155" s="799">
        <f>+B1156-1</f>
        <v>25569.041666666668</v>
      </c>
      <c r="D1155" s="791">
        <f>-_xlfn.DAYS($C$3,C1155)/365.25</f>
      </c>
      <c r="E1155" s="800">
        <f>IF($D$17+40&lt;=D1155,(1+$D$7)^-(D1155-$C$5),(1+$C$7)^-(D1155-$C$5))</f>
      </c>
      <c r="F1155" s="801">
        <f>IF($C$4="Hombre",(+VLOOKUP(INT(D1155)+1,Tablas!$G$9:$K$1240,5,0)*(D1155-INT(D1155))+VLOOKUP(INT(D1155),Tablas!$G$9:$K$1240,5,0)*(INT(D1155)+1-D1155))/(VLOOKUP(INT($C$5)+1,Tablas!$G$9:$K$1240,5,0)*($C$5-INT($C$5))+VLOOKUP(INT($C$5),Tablas!$G$9:$K$124,5,0)*(INT($C$5)+1-$C$5)),(+VLOOKUP(INT(D1155)+1,Tablas!$G$9:$O$1240,9,0)*(D1155-INT(D1155))+VLOOKUP(INT(D1155),Tablas!$G$9:$O$1240,9,0)*(INT(D1155)+1-D1155))/(VLOOKUP(INT($C$5)+1,Tablas!$G$9:$O$1240,9,0)*($C$5-INT($C$5))+VLOOKUP(INT($C$5),Tablas!$G$9:$O$124,9,0)*(INT($C$5)+1-$C$5)))</f>
      </c>
      <c r="G1155" s="791">
        <f>IF($C$4="Hombre",(+VLOOKUP(INT(D1155)+1,Tablas!$G$9:$K$1240,5,0)*(D1155-INT(D1155))+VLOOKUP(INT(D1155),Tablas!$G$9:$K$1240,5,0)*(INT(D1155)+1-D1155)),+VLOOKUP(INT(D1155)+1,Tablas!$G$9:$O$1240,9,0)*(D1155-INT(D1155))+VLOOKUP(INT(D1155),Tablas!$G$9:$O$1240,9,0)*(INT(D1155)+1-D1155))</f>
      </c>
      <c r="H1155" s="801">
        <f>+IF(MONTH(B1155)=1,H1154*(1+$C$9),H1154)</f>
      </c>
      <c r="I1155" s="689">
        <f>IF(B1155&lt;$C$10,0,IF(B1155&lt;$C$11,$C$8/12*E1155*F1155*H1155,0))</f>
      </c>
      <c r="J1155" s="689">
        <f>I1155*12/14+IF(OR(MONTH(C1155)=6,MONTH(C1155)=12),I1155*12/14,0)</f>
      </c>
      <c r="K1155" s="801">
        <f>G1155/$G$15</f>
      </c>
      <c r="L1155" s="760"/>
      <c r="M1155" s="767"/>
      <c r="N1155" s="168"/>
      <c r="O1155" s="768"/>
      <c r="P1155" s="170"/>
      <c r="Q1155" s="7"/>
      <c r="R1155" s="766"/>
      <c r="S1155" s="170"/>
      <c r="T1155" s="168"/>
      <c r="U1155" s="170"/>
    </row>
    <row x14ac:dyDescent="0.25" r="1156" customHeight="1" ht="18.75">
      <c r="A1156" s="1"/>
      <c r="B1156" s="799">
        <f>+DATE(YEAR(B1155),MONTH(B1155)+1,DAY(B1155))</f>
        <v>25569.041666666668</v>
      </c>
      <c r="C1156" s="799">
        <f>+B1157-1</f>
        <v>25569.041666666668</v>
      </c>
      <c r="D1156" s="791">
        <f>-_xlfn.DAYS($C$3,C1156)/365.25</f>
      </c>
      <c r="E1156" s="800">
        <f>IF($D$17+40&lt;=D1156,(1+$D$7)^-(D1156-$C$5),(1+$C$7)^-(D1156-$C$5))</f>
      </c>
      <c r="F1156" s="801">
        <f>IF($C$4="Hombre",(+VLOOKUP(INT(D1156)+1,Tablas!$G$9:$K$1240,5,0)*(D1156-INT(D1156))+VLOOKUP(INT(D1156),Tablas!$G$9:$K$1240,5,0)*(INT(D1156)+1-D1156))/(VLOOKUP(INT($C$5)+1,Tablas!$G$9:$K$1240,5,0)*($C$5-INT($C$5))+VLOOKUP(INT($C$5),Tablas!$G$9:$K$124,5,0)*(INT($C$5)+1-$C$5)),(+VLOOKUP(INT(D1156)+1,Tablas!$G$9:$O$1240,9,0)*(D1156-INT(D1156))+VLOOKUP(INT(D1156),Tablas!$G$9:$O$1240,9,0)*(INT(D1156)+1-D1156))/(VLOOKUP(INT($C$5)+1,Tablas!$G$9:$O$1240,9,0)*($C$5-INT($C$5))+VLOOKUP(INT($C$5),Tablas!$G$9:$O$124,9,0)*(INT($C$5)+1-$C$5)))</f>
      </c>
      <c r="G1156" s="791">
        <f>IF($C$4="Hombre",(+VLOOKUP(INT(D1156)+1,Tablas!$G$9:$K$1240,5,0)*(D1156-INT(D1156))+VLOOKUP(INT(D1156),Tablas!$G$9:$K$1240,5,0)*(INT(D1156)+1-D1156)),+VLOOKUP(INT(D1156)+1,Tablas!$G$9:$O$1240,9,0)*(D1156-INT(D1156))+VLOOKUP(INT(D1156),Tablas!$G$9:$O$1240,9,0)*(INT(D1156)+1-D1156))</f>
      </c>
      <c r="H1156" s="801">
        <f>+IF(MONTH(B1156)=1,H1155*(1+$C$9),H1155)</f>
      </c>
      <c r="I1156" s="689">
        <f>IF(B1156&lt;$C$10,0,IF(B1156&lt;$C$11,$C$8/12*E1156*F1156*H1156,0))</f>
      </c>
      <c r="J1156" s="689">
        <f>I1156*12/14+IF(OR(MONTH(C1156)=6,MONTH(C1156)=12),I1156*12/14,0)</f>
      </c>
      <c r="K1156" s="801">
        <f>G1156/$G$15</f>
      </c>
      <c r="L1156" s="760"/>
      <c r="M1156" s="767"/>
      <c r="N1156" s="168"/>
      <c r="O1156" s="768"/>
      <c r="P1156" s="170"/>
      <c r="Q1156" s="7"/>
      <c r="R1156" s="766"/>
      <c r="S1156" s="170"/>
      <c r="T1156" s="168"/>
      <c r="U1156" s="170"/>
    </row>
    <row x14ac:dyDescent="0.25" r="1157" customHeight="1" ht="18.75">
      <c r="A1157" s="1"/>
      <c r="B1157" s="799">
        <f>+DATE(YEAR(B1156),MONTH(B1156)+1,DAY(B1156))</f>
        <v>25569.041666666668</v>
      </c>
      <c r="C1157" s="799">
        <f>+B1158-1</f>
        <v>25569.041666666668</v>
      </c>
      <c r="D1157" s="791">
        <f>-_xlfn.DAYS($C$3,C1157)/365.25</f>
      </c>
      <c r="E1157" s="800">
        <f>IF($D$17+40&lt;=D1157,(1+$D$7)^-(D1157-$C$5),(1+$C$7)^-(D1157-$C$5))</f>
      </c>
      <c r="F1157" s="801">
        <f>IF($C$4="Hombre",(+VLOOKUP(INT(D1157)+1,Tablas!$G$9:$K$1240,5,0)*(D1157-INT(D1157))+VLOOKUP(INT(D1157),Tablas!$G$9:$K$1240,5,0)*(INT(D1157)+1-D1157))/(VLOOKUP(INT($C$5)+1,Tablas!$G$9:$K$1240,5,0)*($C$5-INT($C$5))+VLOOKUP(INT($C$5),Tablas!$G$9:$K$124,5,0)*(INT($C$5)+1-$C$5)),(+VLOOKUP(INT(D1157)+1,Tablas!$G$9:$O$1240,9,0)*(D1157-INT(D1157))+VLOOKUP(INT(D1157),Tablas!$G$9:$O$1240,9,0)*(INT(D1157)+1-D1157))/(VLOOKUP(INT($C$5)+1,Tablas!$G$9:$O$1240,9,0)*($C$5-INT($C$5))+VLOOKUP(INT($C$5),Tablas!$G$9:$O$124,9,0)*(INT($C$5)+1-$C$5)))</f>
      </c>
      <c r="G1157" s="791">
        <f>IF($C$4="Hombre",(+VLOOKUP(INT(D1157)+1,Tablas!$G$9:$K$1240,5,0)*(D1157-INT(D1157))+VLOOKUP(INT(D1157),Tablas!$G$9:$K$1240,5,0)*(INT(D1157)+1-D1157)),+VLOOKUP(INT(D1157)+1,Tablas!$G$9:$O$1240,9,0)*(D1157-INT(D1157))+VLOOKUP(INT(D1157),Tablas!$G$9:$O$1240,9,0)*(INT(D1157)+1-D1157))</f>
      </c>
      <c r="H1157" s="801">
        <f>+IF(MONTH(B1157)=1,H1156*(1+$C$9),H1156)</f>
      </c>
      <c r="I1157" s="689">
        <f>IF(B1157&lt;$C$10,0,IF(B1157&lt;$C$11,$C$8/12*E1157*F1157*H1157,0))</f>
      </c>
      <c r="J1157" s="689">
        <f>I1157*12/14+IF(OR(MONTH(C1157)=6,MONTH(C1157)=12),I1157*12/14,0)</f>
      </c>
      <c r="K1157" s="801">
        <f>G1157/$G$15</f>
      </c>
      <c r="L1157" s="760"/>
      <c r="M1157" s="767"/>
      <c r="N1157" s="168"/>
      <c r="O1157" s="768"/>
      <c r="P1157" s="170"/>
      <c r="Q1157" s="7"/>
      <c r="R1157" s="766"/>
      <c r="S1157" s="170"/>
      <c r="T1157" s="168"/>
      <c r="U1157" s="170"/>
    </row>
    <row x14ac:dyDescent="0.25" r="1158" customHeight="1" ht="18.75">
      <c r="A1158" s="1"/>
      <c r="B1158" s="799">
        <f>+DATE(YEAR(B1157),MONTH(B1157)+1,DAY(B1157))</f>
        <v>25569.041666666668</v>
      </c>
      <c r="C1158" s="799">
        <f>+B1159-1</f>
        <v>25569.041666666668</v>
      </c>
      <c r="D1158" s="791">
        <f>-_xlfn.DAYS($C$3,C1158)/365.25</f>
      </c>
      <c r="E1158" s="800">
        <f>IF($D$17+40&lt;=D1158,(1+$D$7)^-(D1158-$C$5),(1+$C$7)^-(D1158-$C$5))</f>
      </c>
      <c r="F1158" s="801">
        <f>IF($C$4="Hombre",(+VLOOKUP(INT(D1158)+1,Tablas!$G$9:$K$1240,5,0)*(D1158-INT(D1158))+VLOOKUP(INT(D1158),Tablas!$G$9:$K$1240,5,0)*(INT(D1158)+1-D1158))/(VLOOKUP(INT($C$5)+1,Tablas!$G$9:$K$1240,5,0)*($C$5-INT($C$5))+VLOOKUP(INT($C$5),Tablas!$G$9:$K$124,5,0)*(INT($C$5)+1-$C$5)),(+VLOOKUP(INT(D1158)+1,Tablas!$G$9:$O$1240,9,0)*(D1158-INT(D1158))+VLOOKUP(INT(D1158),Tablas!$G$9:$O$1240,9,0)*(INT(D1158)+1-D1158))/(VLOOKUP(INT($C$5)+1,Tablas!$G$9:$O$1240,9,0)*($C$5-INT($C$5))+VLOOKUP(INT($C$5),Tablas!$G$9:$O$124,9,0)*(INT($C$5)+1-$C$5)))</f>
      </c>
      <c r="G1158" s="791">
        <f>IF($C$4="Hombre",(+VLOOKUP(INT(D1158)+1,Tablas!$G$9:$K$1240,5,0)*(D1158-INT(D1158))+VLOOKUP(INT(D1158),Tablas!$G$9:$K$1240,5,0)*(INT(D1158)+1-D1158)),+VLOOKUP(INT(D1158)+1,Tablas!$G$9:$O$1240,9,0)*(D1158-INT(D1158))+VLOOKUP(INT(D1158),Tablas!$G$9:$O$1240,9,0)*(INT(D1158)+1-D1158))</f>
      </c>
      <c r="H1158" s="801">
        <f>+IF(MONTH(B1158)=1,H1157*(1+$C$9),H1157)</f>
      </c>
      <c r="I1158" s="689">
        <f>IF(B1158&lt;$C$10,0,IF(B1158&lt;$C$11,$C$8/12*E1158*F1158*H1158,0))</f>
      </c>
      <c r="J1158" s="689">
        <f>I1158*12/14+IF(OR(MONTH(C1158)=6,MONTH(C1158)=12),I1158*12/14,0)</f>
      </c>
      <c r="K1158" s="801">
        <f>G1158/$G$15</f>
      </c>
      <c r="L1158" s="760"/>
      <c r="M1158" s="767"/>
      <c r="N1158" s="168"/>
      <c r="O1158" s="768"/>
      <c r="P1158" s="170"/>
      <c r="Q1158" s="7"/>
      <c r="R1158" s="766"/>
      <c r="S1158" s="170"/>
      <c r="T1158" s="168"/>
      <c r="U1158" s="170"/>
    </row>
    <row x14ac:dyDescent="0.25" r="1159" customHeight="1" ht="18.75">
      <c r="A1159" s="1"/>
      <c r="B1159" s="799">
        <f>+DATE(YEAR(B1158),MONTH(B1158)+1,DAY(B1158))</f>
        <v>25569.041666666668</v>
      </c>
      <c r="C1159" s="799">
        <f>+B1160-1</f>
        <v>25569.041666666668</v>
      </c>
      <c r="D1159" s="791">
        <f>-_xlfn.DAYS($C$3,C1159)/365.25</f>
      </c>
      <c r="E1159" s="800">
        <f>IF($D$17+40&lt;=D1159,(1+$D$7)^-(D1159-$C$5),(1+$C$7)^-(D1159-$C$5))</f>
      </c>
      <c r="F1159" s="801">
        <f>IF($C$4="Hombre",(+VLOOKUP(INT(D1159)+1,Tablas!$G$9:$K$1240,5,0)*(D1159-INT(D1159))+VLOOKUP(INT(D1159),Tablas!$G$9:$K$1240,5,0)*(INT(D1159)+1-D1159))/(VLOOKUP(INT($C$5)+1,Tablas!$G$9:$K$1240,5,0)*($C$5-INT($C$5))+VLOOKUP(INT($C$5),Tablas!$G$9:$K$124,5,0)*(INT($C$5)+1-$C$5)),(+VLOOKUP(INT(D1159)+1,Tablas!$G$9:$O$1240,9,0)*(D1159-INT(D1159))+VLOOKUP(INT(D1159),Tablas!$G$9:$O$1240,9,0)*(INT(D1159)+1-D1159))/(VLOOKUP(INT($C$5)+1,Tablas!$G$9:$O$1240,9,0)*($C$5-INT($C$5))+VLOOKUP(INT($C$5),Tablas!$G$9:$O$124,9,0)*(INT($C$5)+1-$C$5)))</f>
      </c>
      <c r="G1159" s="791">
        <f>IF($C$4="Hombre",(+VLOOKUP(INT(D1159)+1,Tablas!$G$9:$K$1240,5,0)*(D1159-INT(D1159))+VLOOKUP(INT(D1159),Tablas!$G$9:$K$1240,5,0)*(INT(D1159)+1-D1159)),+VLOOKUP(INT(D1159)+1,Tablas!$G$9:$O$1240,9,0)*(D1159-INT(D1159))+VLOOKUP(INT(D1159),Tablas!$G$9:$O$1240,9,0)*(INT(D1159)+1-D1159))</f>
      </c>
      <c r="H1159" s="801">
        <f>+IF(MONTH(B1159)=1,H1158*(1+$C$9),H1158)</f>
      </c>
      <c r="I1159" s="689">
        <f>IF(B1159&lt;$C$10,0,IF(B1159&lt;$C$11,$C$8/12*E1159*F1159*H1159,0))</f>
      </c>
      <c r="J1159" s="689">
        <f>I1159*12/14+IF(OR(MONTH(C1159)=6,MONTH(C1159)=12),I1159*12/14,0)</f>
      </c>
      <c r="K1159" s="801">
        <f>G1159/$G$15</f>
      </c>
      <c r="L1159" s="760"/>
      <c r="M1159" s="767"/>
      <c r="N1159" s="168"/>
      <c r="O1159" s="768"/>
      <c r="P1159" s="170"/>
      <c r="Q1159" s="7"/>
      <c r="R1159" s="766"/>
      <c r="S1159" s="170"/>
      <c r="T1159" s="168"/>
      <c r="U1159" s="170"/>
    </row>
    <row x14ac:dyDescent="0.25" r="1160" customHeight="1" ht="18.75">
      <c r="A1160" s="1"/>
      <c r="B1160" s="799">
        <f>+DATE(YEAR(B1159),MONTH(B1159)+1,DAY(B1159))</f>
        <v>25569.041666666668</v>
      </c>
      <c r="C1160" s="799">
        <f>+B1161-1</f>
        <v>25569.041666666668</v>
      </c>
      <c r="D1160" s="791">
        <f>-_xlfn.DAYS($C$3,C1160)/365.25</f>
      </c>
      <c r="E1160" s="800">
        <f>IF($D$17+40&lt;=D1160,(1+$D$7)^-(D1160-$C$5),(1+$C$7)^-(D1160-$C$5))</f>
      </c>
      <c r="F1160" s="801">
        <f>IF($C$4="Hombre",(+VLOOKUP(INT(D1160)+1,Tablas!$G$9:$K$1240,5,0)*(D1160-INT(D1160))+VLOOKUP(INT(D1160),Tablas!$G$9:$K$1240,5,0)*(INT(D1160)+1-D1160))/(VLOOKUP(INT($C$5)+1,Tablas!$G$9:$K$1240,5,0)*($C$5-INT($C$5))+VLOOKUP(INT($C$5),Tablas!$G$9:$K$124,5,0)*(INT($C$5)+1-$C$5)),(+VLOOKUP(INT(D1160)+1,Tablas!$G$9:$O$1240,9,0)*(D1160-INT(D1160))+VLOOKUP(INT(D1160),Tablas!$G$9:$O$1240,9,0)*(INT(D1160)+1-D1160))/(VLOOKUP(INT($C$5)+1,Tablas!$G$9:$O$1240,9,0)*($C$5-INT($C$5))+VLOOKUP(INT($C$5),Tablas!$G$9:$O$124,9,0)*(INT($C$5)+1-$C$5)))</f>
      </c>
      <c r="G1160" s="791">
        <f>IF($C$4="Hombre",(+VLOOKUP(INT(D1160)+1,Tablas!$G$9:$K$1240,5,0)*(D1160-INT(D1160))+VLOOKUP(INT(D1160),Tablas!$G$9:$K$1240,5,0)*(INT(D1160)+1-D1160)),+VLOOKUP(INT(D1160)+1,Tablas!$G$9:$O$1240,9,0)*(D1160-INT(D1160))+VLOOKUP(INT(D1160),Tablas!$G$9:$O$1240,9,0)*(INT(D1160)+1-D1160))</f>
      </c>
      <c r="H1160" s="801">
        <f>+IF(MONTH(B1160)=1,H1159*(1+$C$9),H1159)</f>
      </c>
      <c r="I1160" s="689">
        <f>IF(B1160&lt;$C$10,0,IF(B1160&lt;$C$11,$C$8/12*E1160*F1160*H1160,0))</f>
      </c>
      <c r="J1160" s="689">
        <f>I1160*12/14+IF(OR(MONTH(C1160)=6,MONTH(C1160)=12),I1160*12/14,0)</f>
      </c>
      <c r="K1160" s="801">
        <f>G1160/$G$15</f>
      </c>
      <c r="L1160" s="760"/>
      <c r="M1160" s="767"/>
      <c r="N1160" s="168"/>
      <c r="O1160" s="768"/>
      <c r="P1160" s="170"/>
      <c r="Q1160" s="7"/>
      <c r="R1160" s="766"/>
      <c r="S1160" s="170"/>
      <c r="T1160" s="168"/>
      <c r="U1160" s="170"/>
    </row>
    <row x14ac:dyDescent="0.25" r="1161" customHeight="1" ht="18.75">
      <c r="A1161" s="1"/>
      <c r="B1161" s="799">
        <f>+DATE(YEAR(B1160),MONTH(B1160)+1,DAY(B1160))</f>
        <v>25569.041666666668</v>
      </c>
      <c r="C1161" s="799">
        <f>+B1162-1</f>
        <v>25569.041666666668</v>
      </c>
      <c r="D1161" s="791">
        <f>-_xlfn.DAYS($C$3,C1161)/365.25</f>
      </c>
      <c r="E1161" s="800">
        <f>IF($D$17+40&lt;=D1161,(1+$D$7)^-(D1161-$C$5),(1+$C$7)^-(D1161-$C$5))</f>
      </c>
      <c r="F1161" s="801">
        <f>IF($C$4="Hombre",(+VLOOKUP(INT(D1161)+1,Tablas!$G$9:$K$1240,5,0)*(D1161-INT(D1161))+VLOOKUP(INT(D1161),Tablas!$G$9:$K$1240,5,0)*(INT(D1161)+1-D1161))/(VLOOKUP(INT($C$5)+1,Tablas!$G$9:$K$1240,5,0)*($C$5-INT($C$5))+VLOOKUP(INT($C$5),Tablas!$G$9:$K$124,5,0)*(INT($C$5)+1-$C$5)),(+VLOOKUP(INT(D1161)+1,Tablas!$G$9:$O$1240,9,0)*(D1161-INT(D1161))+VLOOKUP(INT(D1161),Tablas!$G$9:$O$1240,9,0)*(INT(D1161)+1-D1161))/(VLOOKUP(INT($C$5)+1,Tablas!$G$9:$O$1240,9,0)*($C$5-INT($C$5))+VLOOKUP(INT($C$5),Tablas!$G$9:$O$124,9,0)*(INT($C$5)+1-$C$5)))</f>
      </c>
      <c r="G1161" s="791">
        <f>IF($C$4="Hombre",(+VLOOKUP(INT(D1161)+1,Tablas!$G$9:$K$1240,5,0)*(D1161-INT(D1161))+VLOOKUP(INT(D1161),Tablas!$G$9:$K$1240,5,0)*(INT(D1161)+1-D1161)),+VLOOKUP(INT(D1161)+1,Tablas!$G$9:$O$1240,9,0)*(D1161-INT(D1161))+VLOOKUP(INT(D1161),Tablas!$G$9:$O$1240,9,0)*(INT(D1161)+1-D1161))</f>
      </c>
      <c r="H1161" s="801">
        <f>+IF(MONTH(B1161)=1,H1160*(1+$C$9),H1160)</f>
      </c>
      <c r="I1161" s="689">
        <f>IF(B1161&lt;$C$10,0,IF(B1161&lt;$C$11,$C$8/12*E1161*F1161*H1161,0))</f>
      </c>
      <c r="J1161" s="689">
        <f>I1161*12/14+IF(OR(MONTH(C1161)=6,MONTH(C1161)=12),I1161*12/14,0)</f>
      </c>
      <c r="K1161" s="801">
        <f>G1161/$G$15</f>
      </c>
      <c r="L1161" s="760"/>
      <c r="M1161" s="767"/>
      <c r="N1161" s="168"/>
      <c r="O1161" s="768"/>
      <c r="P1161" s="170"/>
      <c r="Q1161" s="7"/>
      <c r="R1161" s="766"/>
      <c r="S1161" s="170"/>
      <c r="T1161" s="168"/>
      <c r="U1161" s="170"/>
    </row>
    <row x14ac:dyDescent="0.25" r="1162" customHeight="1" ht="18.75">
      <c r="A1162" s="1"/>
      <c r="B1162" s="799">
        <f>+DATE(YEAR(B1161),MONTH(B1161)+1,DAY(B1161))</f>
        <v>25569.041666666668</v>
      </c>
      <c r="C1162" s="799">
        <f>+B1163-1</f>
        <v>25569.041666666668</v>
      </c>
      <c r="D1162" s="791">
        <f>-_xlfn.DAYS($C$3,C1162)/365.25</f>
      </c>
      <c r="E1162" s="800">
        <f>IF($D$17+40&lt;=D1162,(1+$D$7)^-(D1162-$C$5),(1+$C$7)^-(D1162-$C$5))</f>
      </c>
      <c r="F1162" s="801">
        <f>IF($C$4="Hombre",(+VLOOKUP(INT(D1162)+1,Tablas!$G$9:$K$1240,5,0)*(D1162-INT(D1162))+VLOOKUP(INT(D1162),Tablas!$G$9:$K$1240,5,0)*(INT(D1162)+1-D1162))/(VLOOKUP(INT($C$5)+1,Tablas!$G$9:$K$1240,5,0)*($C$5-INT($C$5))+VLOOKUP(INT($C$5),Tablas!$G$9:$K$124,5,0)*(INT($C$5)+1-$C$5)),(+VLOOKUP(INT(D1162)+1,Tablas!$G$9:$O$1240,9,0)*(D1162-INT(D1162))+VLOOKUP(INT(D1162),Tablas!$G$9:$O$1240,9,0)*(INT(D1162)+1-D1162))/(VLOOKUP(INT($C$5)+1,Tablas!$G$9:$O$1240,9,0)*($C$5-INT($C$5))+VLOOKUP(INT($C$5),Tablas!$G$9:$O$124,9,0)*(INT($C$5)+1-$C$5)))</f>
      </c>
      <c r="G1162" s="791">
        <f>IF($C$4="Hombre",(+VLOOKUP(INT(D1162)+1,Tablas!$G$9:$K$1240,5,0)*(D1162-INT(D1162))+VLOOKUP(INT(D1162),Tablas!$G$9:$K$1240,5,0)*(INT(D1162)+1-D1162)),+VLOOKUP(INT(D1162)+1,Tablas!$G$9:$O$1240,9,0)*(D1162-INT(D1162))+VLOOKUP(INT(D1162),Tablas!$G$9:$O$1240,9,0)*(INT(D1162)+1-D1162))</f>
      </c>
      <c r="H1162" s="801">
        <f>+IF(MONTH(B1162)=1,H1161*(1+$C$9),H1161)</f>
      </c>
      <c r="I1162" s="689">
        <f>IF(B1162&lt;$C$10,0,IF(B1162&lt;$C$11,$C$8/12*E1162*F1162*H1162,0))</f>
      </c>
      <c r="J1162" s="689">
        <f>I1162*12/14+IF(OR(MONTH(C1162)=6,MONTH(C1162)=12),I1162*12/14,0)</f>
      </c>
      <c r="K1162" s="801">
        <f>G1162/$G$15</f>
      </c>
      <c r="L1162" s="760"/>
      <c r="M1162" s="767"/>
      <c r="N1162" s="168"/>
      <c r="O1162" s="768"/>
      <c r="P1162" s="170"/>
      <c r="Q1162" s="7"/>
      <c r="R1162" s="766"/>
      <c r="S1162" s="170"/>
      <c r="T1162" s="168"/>
      <c r="U1162" s="170"/>
    </row>
    <row x14ac:dyDescent="0.25" r="1163" customHeight="1" ht="18.75">
      <c r="A1163" s="1"/>
      <c r="B1163" s="799">
        <f>+DATE(YEAR(B1162),MONTH(B1162)+1,DAY(B1162))</f>
        <v>25569.041666666668</v>
      </c>
      <c r="C1163" s="799">
        <f>+B1164-1</f>
        <v>25569.041666666668</v>
      </c>
      <c r="D1163" s="791">
        <f>-_xlfn.DAYS($C$3,C1163)/365.25</f>
      </c>
      <c r="E1163" s="800">
        <f>IF($D$17+40&lt;=D1163,(1+$D$7)^-(D1163-$C$5),(1+$C$7)^-(D1163-$C$5))</f>
      </c>
      <c r="F1163" s="801">
        <f>IF($C$4="Hombre",(+VLOOKUP(INT(D1163)+1,Tablas!$G$9:$K$1240,5,0)*(D1163-INT(D1163))+VLOOKUP(INT(D1163),Tablas!$G$9:$K$1240,5,0)*(INT(D1163)+1-D1163))/(VLOOKUP(INT($C$5)+1,Tablas!$G$9:$K$1240,5,0)*($C$5-INT($C$5))+VLOOKUP(INT($C$5),Tablas!$G$9:$K$124,5,0)*(INT($C$5)+1-$C$5)),(+VLOOKUP(INT(D1163)+1,Tablas!$G$9:$O$1240,9,0)*(D1163-INT(D1163))+VLOOKUP(INT(D1163),Tablas!$G$9:$O$1240,9,0)*(INT(D1163)+1-D1163))/(VLOOKUP(INT($C$5)+1,Tablas!$G$9:$O$1240,9,0)*($C$5-INT($C$5))+VLOOKUP(INT($C$5),Tablas!$G$9:$O$124,9,0)*(INT($C$5)+1-$C$5)))</f>
      </c>
      <c r="G1163" s="791">
        <f>IF($C$4="Hombre",(+VLOOKUP(INT(D1163)+1,Tablas!$G$9:$K$1240,5,0)*(D1163-INT(D1163))+VLOOKUP(INT(D1163),Tablas!$G$9:$K$1240,5,0)*(INT(D1163)+1-D1163)),+VLOOKUP(INT(D1163)+1,Tablas!$G$9:$O$1240,9,0)*(D1163-INT(D1163))+VLOOKUP(INT(D1163),Tablas!$G$9:$O$1240,9,0)*(INT(D1163)+1-D1163))</f>
      </c>
      <c r="H1163" s="801">
        <f>+IF(MONTH(B1163)=1,H1162*(1+$C$9),H1162)</f>
      </c>
      <c r="I1163" s="689">
        <f>IF(B1163&lt;$C$10,0,IF(B1163&lt;$C$11,$C$8/12*E1163*F1163*H1163,0))</f>
      </c>
      <c r="J1163" s="689">
        <f>I1163*12/14+IF(OR(MONTH(C1163)=6,MONTH(C1163)=12),I1163*12/14,0)</f>
      </c>
      <c r="K1163" s="801">
        <f>G1163/$G$15</f>
      </c>
      <c r="L1163" s="760"/>
      <c r="M1163" s="767"/>
      <c r="N1163" s="168"/>
      <c r="O1163" s="768"/>
      <c r="P1163" s="170"/>
      <c r="Q1163" s="7"/>
      <c r="R1163" s="766"/>
      <c r="S1163" s="170"/>
      <c r="T1163" s="168"/>
      <c r="U1163" s="170"/>
    </row>
    <row x14ac:dyDescent="0.25" r="1164" customHeight="1" ht="18.75">
      <c r="A1164" s="1"/>
      <c r="B1164" s="799">
        <f>+DATE(YEAR(B1163),MONTH(B1163)+1,DAY(B1163))</f>
        <v>25569.041666666668</v>
      </c>
      <c r="C1164" s="799">
        <f>+B1165-1</f>
        <v>25569.041666666668</v>
      </c>
      <c r="D1164" s="791">
        <f>-_xlfn.DAYS($C$3,C1164)/365.25</f>
      </c>
      <c r="E1164" s="800">
        <f>IF($D$17+40&lt;=D1164,(1+$D$7)^-(D1164-$C$5),(1+$C$7)^-(D1164-$C$5))</f>
      </c>
      <c r="F1164" s="801">
        <f>IF($C$4="Hombre",(+VLOOKUP(INT(D1164)+1,Tablas!$G$9:$K$1240,5,0)*(D1164-INT(D1164))+VLOOKUP(INT(D1164),Tablas!$G$9:$K$1240,5,0)*(INT(D1164)+1-D1164))/(VLOOKUP(INT($C$5)+1,Tablas!$G$9:$K$1240,5,0)*($C$5-INT($C$5))+VLOOKUP(INT($C$5),Tablas!$G$9:$K$124,5,0)*(INT($C$5)+1-$C$5)),(+VLOOKUP(INT(D1164)+1,Tablas!$G$9:$O$1240,9,0)*(D1164-INT(D1164))+VLOOKUP(INT(D1164),Tablas!$G$9:$O$1240,9,0)*(INT(D1164)+1-D1164))/(VLOOKUP(INT($C$5)+1,Tablas!$G$9:$O$1240,9,0)*($C$5-INT($C$5))+VLOOKUP(INT($C$5),Tablas!$G$9:$O$124,9,0)*(INT($C$5)+1-$C$5)))</f>
      </c>
      <c r="G1164" s="791">
        <f>IF($C$4="Hombre",(+VLOOKUP(INT(D1164)+1,Tablas!$G$9:$K$1240,5,0)*(D1164-INT(D1164))+VLOOKUP(INT(D1164),Tablas!$G$9:$K$1240,5,0)*(INT(D1164)+1-D1164)),+VLOOKUP(INT(D1164)+1,Tablas!$G$9:$O$1240,9,0)*(D1164-INT(D1164))+VLOOKUP(INT(D1164),Tablas!$G$9:$O$1240,9,0)*(INT(D1164)+1-D1164))</f>
      </c>
      <c r="H1164" s="801">
        <f>+IF(MONTH(B1164)=1,H1163*(1+$C$9),H1163)</f>
      </c>
      <c r="I1164" s="689">
        <f>IF(B1164&lt;$C$10,0,IF(B1164&lt;$C$11,$C$8/12*E1164*F1164*H1164,0))</f>
      </c>
      <c r="J1164" s="689">
        <f>I1164*12/14+IF(OR(MONTH(C1164)=6,MONTH(C1164)=12),I1164*12/14,0)</f>
      </c>
      <c r="K1164" s="801">
        <f>G1164/$G$15</f>
      </c>
      <c r="L1164" s="760"/>
      <c r="M1164" s="767"/>
      <c r="N1164" s="168"/>
      <c r="O1164" s="768"/>
      <c r="P1164" s="170"/>
      <c r="Q1164" s="7"/>
      <c r="R1164" s="766"/>
      <c r="S1164" s="170"/>
      <c r="T1164" s="168"/>
      <c r="U1164" s="170"/>
    </row>
    <row x14ac:dyDescent="0.25" r="1165" customHeight="1" ht="18.75">
      <c r="A1165" s="1"/>
      <c r="B1165" s="799">
        <f>+DATE(YEAR(B1164),MONTH(B1164)+1,DAY(B1164))</f>
        <v>25569.041666666668</v>
      </c>
      <c r="C1165" s="799">
        <f>+B1166-1</f>
        <v>25569.041666666668</v>
      </c>
      <c r="D1165" s="791">
        <f>-_xlfn.DAYS($C$3,C1165)/365.25</f>
      </c>
      <c r="E1165" s="800">
        <f>IF($D$17+40&lt;=D1165,(1+$D$7)^-(D1165-$C$5),(1+$C$7)^-(D1165-$C$5))</f>
      </c>
      <c r="F1165" s="801">
        <f>IF($C$4="Hombre",(+VLOOKUP(INT(D1165)+1,Tablas!$G$9:$K$1240,5,0)*(D1165-INT(D1165))+VLOOKUP(INT(D1165),Tablas!$G$9:$K$1240,5,0)*(INT(D1165)+1-D1165))/(VLOOKUP(INT($C$5)+1,Tablas!$G$9:$K$1240,5,0)*($C$5-INT($C$5))+VLOOKUP(INT($C$5),Tablas!$G$9:$K$124,5,0)*(INT($C$5)+1-$C$5)),(+VLOOKUP(INT(D1165)+1,Tablas!$G$9:$O$1240,9,0)*(D1165-INT(D1165))+VLOOKUP(INT(D1165),Tablas!$G$9:$O$1240,9,0)*(INT(D1165)+1-D1165))/(VLOOKUP(INT($C$5)+1,Tablas!$G$9:$O$1240,9,0)*($C$5-INT($C$5))+VLOOKUP(INT($C$5),Tablas!$G$9:$O$124,9,0)*(INT($C$5)+1-$C$5)))</f>
      </c>
      <c r="G1165" s="791">
        <f>IF($C$4="Hombre",(+VLOOKUP(INT(D1165)+1,Tablas!$G$9:$K$1240,5,0)*(D1165-INT(D1165))+VLOOKUP(INT(D1165),Tablas!$G$9:$K$1240,5,0)*(INT(D1165)+1-D1165)),+VLOOKUP(INT(D1165)+1,Tablas!$G$9:$O$1240,9,0)*(D1165-INT(D1165))+VLOOKUP(INT(D1165),Tablas!$G$9:$O$1240,9,0)*(INT(D1165)+1-D1165))</f>
      </c>
      <c r="H1165" s="801">
        <f>+IF(MONTH(B1165)=1,H1164*(1+$C$9),H1164)</f>
      </c>
      <c r="I1165" s="689">
        <f>IF(B1165&lt;$C$10,0,IF(B1165&lt;$C$11,$C$8/12*E1165*F1165*H1165,0))</f>
      </c>
      <c r="J1165" s="689">
        <f>I1165*12/14+IF(OR(MONTH(C1165)=6,MONTH(C1165)=12),I1165*12/14,0)</f>
      </c>
      <c r="K1165" s="801">
        <f>G1165/$G$15</f>
      </c>
      <c r="L1165" s="760"/>
      <c r="M1165" s="767"/>
      <c r="N1165" s="168"/>
      <c r="O1165" s="768"/>
      <c r="P1165" s="170"/>
      <c r="Q1165" s="7"/>
      <c r="R1165" s="766"/>
      <c r="S1165" s="170"/>
      <c r="T1165" s="168"/>
      <c r="U1165" s="170"/>
    </row>
    <row x14ac:dyDescent="0.25" r="1166" customHeight="1" ht="18.75">
      <c r="A1166" s="1"/>
      <c r="B1166" s="799">
        <f>+DATE(YEAR(B1165),MONTH(B1165)+1,DAY(B1165))</f>
        <v>25569.041666666668</v>
      </c>
      <c r="C1166" s="799">
        <f>+B1167-1</f>
        <v>25569.041666666668</v>
      </c>
      <c r="D1166" s="791">
        <f>-_xlfn.DAYS($C$3,C1166)/365.25</f>
      </c>
      <c r="E1166" s="800">
        <f>IF($D$17+40&lt;=D1166,(1+$D$7)^-(D1166-$C$5),(1+$C$7)^-(D1166-$C$5))</f>
      </c>
      <c r="F1166" s="801">
        <f>IF($C$4="Hombre",(+VLOOKUP(INT(D1166)+1,Tablas!$G$9:$K$1240,5,0)*(D1166-INT(D1166))+VLOOKUP(INT(D1166),Tablas!$G$9:$K$1240,5,0)*(INT(D1166)+1-D1166))/(VLOOKUP(INT($C$5)+1,Tablas!$G$9:$K$1240,5,0)*($C$5-INT($C$5))+VLOOKUP(INT($C$5),Tablas!$G$9:$K$124,5,0)*(INT($C$5)+1-$C$5)),(+VLOOKUP(INT(D1166)+1,Tablas!$G$9:$O$1240,9,0)*(D1166-INT(D1166))+VLOOKUP(INT(D1166),Tablas!$G$9:$O$1240,9,0)*(INT(D1166)+1-D1166))/(VLOOKUP(INT($C$5)+1,Tablas!$G$9:$O$1240,9,0)*($C$5-INT($C$5))+VLOOKUP(INT($C$5),Tablas!$G$9:$O$124,9,0)*(INT($C$5)+1-$C$5)))</f>
      </c>
      <c r="G1166" s="791">
        <f>IF($C$4="Hombre",(+VLOOKUP(INT(D1166)+1,Tablas!$G$9:$K$1240,5,0)*(D1166-INT(D1166))+VLOOKUP(INT(D1166),Tablas!$G$9:$K$1240,5,0)*(INT(D1166)+1-D1166)),+VLOOKUP(INT(D1166)+1,Tablas!$G$9:$O$1240,9,0)*(D1166-INT(D1166))+VLOOKUP(INT(D1166),Tablas!$G$9:$O$1240,9,0)*(INT(D1166)+1-D1166))</f>
      </c>
      <c r="H1166" s="801">
        <f>+IF(MONTH(B1166)=1,H1165*(1+$C$9),H1165)</f>
      </c>
      <c r="I1166" s="689">
        <f>IF(B1166&lt;$C$10,0,IF(B1166&lt;$C$11,$C$8/12*E1166*F1166*H1166,0))</f>
      </c>
      <c r="J1166" s="689">
        <f>I1166*12/14+IF(OR(MONTH(C1166)=6,MONTH(C1166)=12),I1166*12/14,0)</f>
      </c>
      <c r="K1166" s="801">
        <f>G1166/$G$15</f>
      </c>
      <c r="L1166" s="760"/>
      <c r="M1166" s="767"/>
      <c r="N1166" s="168"/>
      <c r="O1166" s="768"/>
      <c r="P1166" s="170"/>
      <c r="Q1166" s="7"/>
      <c r="R1166" s="766"/>
      <c r="S1166" s="170"/>
      <c r="T1166" s="168"/>
      <c r="U1166" s="170"/>
    </row>
    <row x14ac:dyDescent="0.25" r="1167" customHeight="1" ht="18.75">
      <c r="A1167" s="1"/>
      <c r="B1167" s="799">
        <f>+DATE(YEAR(B1166),MONTH(B1166)+1,DAY(B1166))</f>
        <v>25569.041666666668</v>
      </c>
      <c r="C1167" s="799">
        <f>+B1168-1</f>
        <v>25569.041666666668</v>
      </c>
      <c r="D1167" s="791">
        <f>-_xlfn.DAYS($C$3,C1167)/365.25</f>
      </c>
      <c r="E1167" s="800">
        <f>IF($D$17+40&lt;=D1167,(1+$D$7)^-(D1167-$C$5),(1+$C$7)^-(D1167-$C$5))</f>
      </c>
      <c r="F1167" s="801">
        <f>IF($C$4="Hombre",(+VLOOKUP(INT(D1167)+1,Tablas!$G$9:$K$1240,5,0)*(D1167-INT(D1167))+VLOOKUP(INT(D1167),Tablas!$G$9:$K$1240,5,0)*(INT(D1167)+1-D1167))/(VLOOKUP(INT($C$5)+1,Tablas!$G$9:$K$1240,5,0)*($C$5-INT($C$5))+VLOOKUP(INT($C$5),Tablas!$G$9:$K$124,5,0)*(INT($C$5)+1-$C$5)),(+VLOOKUP(INT(D1167)+1,Tablas!$G$9:$O$1240,9,0)*(D1167-INT(D1167))+VLOOKUP(INT(D1167),Tablas!$G$9:$O$1240,9,0)*(INT(D1167)+1-D1167))/(VLOOKUP(INT($C$5)+1,Tablas!$G$9:$O$1240,9,0)*($C$5-INT($C$5))+VLOOKUP(INT($C$5),Tablas!$G$9:$O$124,9,0)*(INT($C$5)+1-$C$5)))</f>
      </c>
      <c r="G1167" s="791">
        <f>IF($C$4="Hombre",(+VLOOKUP(INT(D1167)+1,Tablas!$G$9:$K$1240,5,0)*(D1167-INT(D1167))+VLOOKUP(INT(D1167),Tablas!$G$9:$K$1240,5,0)*(INT(D1167)+1-D1167)),+VLOOKUP(INT(D1167)+1,Tablas!$G$9:$O$1240,9,0)*(D1167-INT(D1167))+VLOOKUP(INT(D1167),Tablas!$G$9:$O$1240,9,0)*(INT(D1167)+1-D1167))</f>
      </c>
      <c r="H1167" s="801">
        <f>+IF(MONTH(B1167)=1,H1166*(1+$C$9),H1166)</f>
      </c>
      <c r="I1167" s="689">
        <f>IF(B1167&lt;$C$10,0,IF(B1167&lt;$C$11,$C$8/12*E1167*F1167*H1167,0))</f>
      </c>
      <c r="J1167" s="689">
        <f>I1167*12/14+IF(OR(MONTH(C1167)=6,MONTH(C1167)=12),I1167*12/14,0)</f>
      </c>
      <c r="K1167" s="801">
        <f>G1167/$G$15</f>
      </c>
      <c r="L1167" s="760"/>
      <c r="M1167" s="767"/>
      <c r="N1167" s="168"/>
      <c r="O1167" s="768"/>
      <c r="P1167" s="170"/>
      <c r="Q1167" s="7"/>
      <c r="R1167" s="766"/>
      <c r="S1167" s="170"/>
      <c r="T1167" s="168"/>
      <c r="U1167" s="170"/>
    </row>
    <row x14ac:dyDescent="0.25" r="1168" customHeight="1" ht="18.75">
      <c r="A1168" s="1"/>
      <c r="B1168" s="799">
        <f>+DATE(YEAR(B1167),MONTH(B1167)+1,DAY(B1167))</f>
        <v>25569.041666666668</v>
      </c>
      <c r="C1168" s="799">
        <f>+B1169-1</f>
        <v>25569.041666666668</v>
      </c>
      <c r="D1168" s="791">
        <f>-_xlfn.DAYS($C$3,C1168)/365.25</f>
      </c>
      <c r="E1168" s="800">
        <f>IF($D$17+40&lt;=D1168,(1+$D$7)^-(D1168-$C$5),(1+$C$7)^-(D1168-$C$5))</f>
      </c>
      <c r="F1168" s="801">
        <f>IF($C$4="Hombre",(+VLOOKUP(INT(D1168)+1,Tablas!$G$9:$K$1240,5,0)*(D1168-INT(D1168))+VLOOKUP(INT(D1168),Tablas!$G$9:$K$1240,5,0)*(INT(D1168)+1-D1168))/(VLOOKUP(INT($C$5)+1,Tablas!$G$9:$K$1240,5,0)*($C$5-INT($C$5))+VLOOKUP(INT($C$5),Tablas!$G$9:$K$124,5,0)*(INT($C$5)+1-$C$5)),(+VLOOKUP(INT(D1168)+1,Tablas!$G$9:$O$1240,9,0)*(D1168-INT(D1168))+VLOOKUP(INT(D1168),Tablas!$G$9:$O$1240,9,0)*(INT(D1168)+1-D1168))/(VLOOKUP(INT($C$5)+1,Tablas!$G$9:$O$1240,9,0)*($C$5-INT($C$5))+VLOOKUP(INT($C$5),Tablas!$G$9:$O$124,9,0)*(INT($C$5)+1-$C$5)))</f>
      </c>
      <c r="G1168" s="791">
        <f>IF($C$4="Hombre",(+VLOOKUP(INT(D1168)+1,Tablas!$G$9:$K$1240,5,0)*(D1168-INT(D1168))+VLOOKUP(INT(D1168),Tablas!$G$9:$K$1240,5,0)*(INT(D1168)+1-D1168)),+VLOOKUP(INT(D1168)+1,Tablas!$G$9:$O$1240,9,0)*(D1168-INT(D1168))+VLOOKUP(INT(D1168),Tablas!$G$9:$O$1240,9,0)*(INT(D1168)+1-D1168))</f>
      </c>
      <c r="H1168" s="801">
        <f>+IF(MONTH(B1168)=1,H1167*(1+$C$9),H1167)</f>
      </c>
      <c r="I1168" s="689">
        <f>IF(B1168&lt;$C$10,0,IF(B1168&lt;$C$11,$C$8/12*E1168*F1168*H1168,0))</f>
      </c>
      <c r="J1168" s="689">
        <f>I1168*12/14+IF(OR(MONTH(C1168)=6,MONTH(C1168)=12),I1168*12/14,0)</f>
      </c>
      <c r="K1168" s="801">
        <f>G1168/$G$15</f>
      </c>
      <c r="L1168" s="760"/>
      <c r="M1168" s="767"/>
      <c r="N1168" s="168"/>
      <c r="O1168" s="768"/>
      <c r="P1168" s="170"/>
      <c r="Q1168" s="7"/>
      <c r="R1168" s="766"/>
      <c r="S1168" s="170"/>
      <c r="T1168" s="168"/>
      <c r="U1168" s="170"/>
    </row>
    <row x14ac:dyDescent="0.25" r="1169" customHeight="1" ht="18.75">
      <c r="A1169" s="1"/>
      <c r="B1169" s="799">
        <f>+DATE(YEAR(B1168),MONTH(B1168)+1,DAY(B1168))</f>
        <v>25569.041666666668</v>
      </c>
      <c r="C1169" s="799">
        <f>+B1170-1</f>
        <v>25569.041666666668</v>
      </c>
      <c r="D1169" s="791">
        <f>-_xlfn.DAYS($C$3,C1169)/365.25</f>
      </c>
      <c r="E1169" s="800">
        <f>IF($D$17+40&lt;=D1169,(1+$D$7)^-(D1169-$C$5),(1+$C$7)^-(D1169-$C$5))</f>
      </c>
      <c r="F1169" s="801">
        <f>IF($C$4="Hombre",(+VLOOKUP(INT(D1169)+1,Tablas!$G$9:$K$1240,5,0)*(D1169-INT(D1169))+VLOOKUP(INT(D1169),Tablas!$G$9:$K$1240,5,0)*(INT(D1169)+1-D1169))/(VLOOKUP(INT($C$5)+1,Tablas!$G$9:$K$1240,5,0)*($C$5-INT($C$5))+VLOOKUP(INT($C$5),Tablas!$G$9:$K$124,5,0)*(INT($C$5)+1-$C$5)),(+VLOOKUP(INT(D1169)+1,Tablas!$G$9:$O$1240,9,0)*(D1169-INT(D1169))+VLOOKUP(INT(D1169),Tablas!$G$9:$O$1240,9,0)*(INT(D1169)+1-D1169))/(VLOOKUP(INT($C$5)+1,Tablas!$G$9:$O$1240,9,0)*($C$5-INT($C$5))+VLOOKUP(INT($C$5),Tablas!$G$9:$O$124,9,0)*(INT($C$5)+1-$C$5)))</f>
      </c>
      <c r="G1169" s="791">
        <f>IF($C$4="Hombre",(+VLOOKUP(INT(D1169)+1,Tablas!$G$9:$K$1240,5,0)*(D1169-INT(D1169))+VLOOKUP(INT(D1169),Tablas!$G$9:$K$1240,5,0)*(INT(D1169)+1-D1169)),+VLOOKUP(INT(D1169)+1,Tablas!$G$9:$O$1240,9,0)*(D1169-INT(D1169))+VLOOKUP(INT(D1169),Tablas!$G$9:$O$1240,9,0)*(INT(D1169)+1-D1169))</f>
      </c>
      <c r="H1169" s="801">
        <f>+IF(MONTH(B1169)=1,H1168*(1+$C$9),H1168)</f>
      </c>
      <c r="I1169" s="689">
        <f>IF(B1169&lt;$C$10,0,IF(B1169&lt;$C$11,$C$8/12*E1169*F1169*H1169,0))</f>
      </c>
      <c r="J1169" s="689">
        <f>I1169*12/14+IF(OR(MONTH(C1169)=6,MONTH(C1169)=12),I1169*12/14,0)</f>
      </c>
      <c r="K1169" s="801">
        <f>G1169/$G$15</f>
      </c>
      <c r="L1169" s="760"/>
      <c r="M1169" s="767"/>
      <c r="N1169" s="168"/>
      <c r="O1169" s="768"/>
      <c r="P1169" s="170"/>
      <c r="Q1169" s="7"/>
      <c r="R1169" s="766"/>
      <c r="S1169" s="170"/>
      <c r="T1169" s="168"/>
      <c r="U1169" s="170"/>
    </row>
    <row x14ac:dyDescent="0.25" r="1170" customHeight="1" ht="18.75">
      <c r="A1170" s="1"/>
      <c r="B1170" s="799">
        <f>+DATE(YEAR(B1169),MONTH(B1169)+1,DAY(B1169))</f>
        <v>25569.041666666668</v>
      </c>
      <c r="C1170" s="799">
        <f>+B1171-1</f>
        <v>25569.041666666668</v>
      </c>
      <c r="D1170" s="791">
        <f>-_xlfn.DAYS($C$3,C1170)/365.25</f>
      </c>
      <c r="E1170" s="800">
        <f>IF($D$17+40&lt;=D1170,(1+$D$7)^-(D1170-$C$5),(1+$C$7)^-(D1170-$C$5))</f>
      </c>
      <c r="F1170" s="801">
        <f>IF($C$4="Hombre",(+VLOOKUP(INT(D1170)+1,Tablas!$G$9:$K$1240,5,0)*(D1170-INT(D1170))+VLOOKUP(INT(D1170),Tablas!$G$9:$K$1240,5,0)*(INT(D1170)+1-D1170))/(VLOOKUP(INT($C$5)+1,Tablas!$G$9:$K$1240,5,0)*($C$5-INT($C$5))+VLOOKUP(INT($C$5),Tablas!$G$9:$K$124,5,0)*(INT($C$5)+1-$C$5)),(+VLOOKUP(INT(D1170)+1,Tablas!$G$9:$O$1240,9,0)*(D1170-INT(D1170))+VLOOKUP(INT(D1170),Tablas!$G$9:$O$1240,9,0)*(INT(D1170)+1-D1170))/(VLOOKUP(INT($C$5)+1,Tablas!$G$9:$O$1240,9,0)*($C$5-INT($C$5))+VLOOKUP(INT($C$5),Tablas!$G$9:$O$124,9,0)*(INT($C$5)+1-$C$5)))</f>
      </c>
      <c r="G1170" s="791">
        <f>IF($C$4="Hombre",(+VLOOKUP(INT(D1170)+1,Tablas!$G$9:$K$1240,5,0)*(D1170-INT(D1170))+VLOOKUP(INT(D1170),Tablas!$G$9:$K$1240,5,0)*(INT(D1170)+1-D1170)),+VLOOKUP(INT(D1170)+1,Tablas!$G$9:$O$1240,9,0)*(D1170-INT(D1170))+VLOOKUP(INT(D1170),Tablas!$G$9:$O$1240,9,0)*(INT(D1170)+1-D1170))</f>
      </c>
      <c r="H1170" s="801">
        <f>+IF(MONTH(B1170)=1,H1169*(1+$C$9),H1169)</f>
      </c>
      <c r="I1170" s="689">
        <f>IF(B1170&lt;$C$10,0,IF(B1170&lt;$C$11,$C$8/12*E1170*F1170*H1170,0))</f>
      </c>
      <c r="J1170" s="689">
        <f>I1170*12/14+IF(OR(MONTH(C1170)=6,MONTH(C1170)=12),I1170*12/14,0)</f>
      </c>
      <c r="K1170" s="801">
        <f>G1170/$G$15</f>
      </c>
      <c r="L1170" s="760"/>
      <c r="M1170" s="767"/>
      <c r="N1170" s="168"/>
      <c r="O1170" s="768"/>
      <c r="P1170" s="170"/>
      <c r="Q1170" s="7"/>
      <c r="R1170" s="766"/>
      <c r="S1170" s="170"/>
      <c r="T1170" s="168"/>
      <c r="U1170" s="170"/>
    </row>
    <row x14ac:dyDescent="0.25" r="1171" customHeight="1" ht="18.75">
      <c r="A1171" s="1"/>
      <c r="B1171" s="799">
        <f>+DATE(YEAR(B1170),MONTH(B1170)+1,DAY(B1170))</f>
        <v>25569.041666666668</v>
      </c>
      <c r="C1171" s="799">
        <f>+B1172-1</f>
        <v>25569.041666666668</v>
      </c>
      <c r="D1171" s="791">
        <f>-_xlfn.DAYS($C$3,C1171)/365.25</f>
      </c>
      <c r="E1171" s="800">
        <f>IF($D$17+40&lt;=D1171,(1+$D$7)^-(D1171-$C$5),(1+$C$7)^-(D1171-$C$5))</f>
      </c>
      <c r="F1171" s="801">
        <f>IF($C$4="Hombre",(+VLOOKUP(INT(D1171)+1,Tablas!$G$9:$K$1240,5,0)*(D1171-INT(D1171))+VLOOKUP(INT(D1171),Tablas!$G$9:$K$1240,5,0)*(INT(D1171)+1-D1171))/(VLOOKUP(INT($C$5)+1,Tablas!$G$9:$K$1240,5,0)*($C$5-INT($C$5))+VLOOKUP(INT($C$5),Tablas!$G$9:$K$124,5,0)*(INT($C$5)+1-$C$5)),(+VLOOKUP(INT(D1171)+1,Tablas!$G$9:$O$1240,9,0)*(D1171-INT(D1171))+VLOOKUP(INT(D1171),Tablas!$G$9:$O$1240,9,0)*(INT(D1171)+1-D1171))/(VLOOKUP(INT($C$5)+1,Tablas!$G$9:$O$1240,9,0)*($C$5-INT($C$5))+VLOOKUP(INT($C$5),Tablas!$G$9:$O$124,9,0)*(INT($C$5)+1-$C$5)))</f>
      </c>
      <c r="G1171" s="791">
        <f>IF($C$4="Hombre",(+VLOOKUP(INT(D1171)+1,Tablas!$G$9:$K$1240,5,0)*(D1171-INT(D1171))+VLOOKUP(INT(D1171),Tablas!$G$9:$K$1240,5,0)*(INT(D1171)+1-D1171)),+VLOOKUP(INT(D1171)+1,Tablas!$G$9:$O$1240,9,0)*(D1171-INT(D1171))+VLOOKUP(INT(D1171),Tablas!$G$9:$O$1240,9,0)*(INT(D1171)+1-D1171))</f>
      </c>
      <c r="H1171" s="801">
        <f>+IF(MONTH(B1171)=1,H1170*(1+$C$9),H1170)</f>
      </c>
      <c r="I1171" s="689">
        <f>IF(B1171&lt;$C$10,0,IF(B1171&lt;$C$11,$C$8/12*E1171*F1171*H1171,0))</f>
      </c>
      <c r="J1171" s="689">
        <f>I1171*12/14+IF(OR(MONTH(C1171)=6,MONTH(C1171)=12),I1171*12/14,0)</f>
      </c>
      <c r="K1171" s="801">
        <f>G1171/$G$15</f>
      </c>
      <c r="L1171" s="760"/>
      <c r="M1171" s="767"/>
      <c r="N1171" s="168"/>
      <c r="O1171" s="768"/>
      <c r="P1171" s="170"/>
      <c r="Q1171" s="7"/>
      <c r="R1171" s="766"/>
      <c r="S1171" s="170"/>
      <c r="T1171" s="168"/>
      <c r="U1171" s="170"/>
    </row>
    <row x14ac:dyDescent="0.25" r="1172" customHeight="1" ht="18.75">
      <c r="A1172" s="1"/>
      <c r="B1172" s="799">
        <f>+DATE(YEAR(B1171),MONTH(B1171)+1,DAY(B1171))</f>
        <v>25569.041666666668</v>
      </c>
      <c r="C1172" s="799">
        <f>+B1173-1</f>
        <v>25569.041666666668</v>
      </c>
      <c r="D1172" s="791">
        <f>-_xlfn.DAYS($C$3,C1172)/365.25</f>
      </c>
      <c r="E1172" s="800">
        <f>IF($D$17+40&lt;=D1172,(1+$D$7)^-(D1172-$C$5),(1+$C$7)^-(D1172-$C$5))</f>
      </c>
      <c r="F1172" s="801">
        <f>IF($C$4="Hombre",(+VLOOKUP(INT(D1172)+1,Tablas!$G$9:$K$1240,5,0)*(D1172-INT(D1172))+VLOOKUP(INT(D1172),Tablas!$G$9:$K$1240,5,0)*(INT(D1172)+1-D1172))/(VLOOKUP(INT($C$5)+1,Tablas!$G$9:$K$1240,5,0)*($C$5-INT($C$5))+VLOOKUP(INT($C$5),Tablas!$G$9:$K$124,5,0)*(INT($C$5)+1-$C$5)),(+VLOOKUP(INT(D1172)+1,Tablas!$G$9:$O$1240,9,0)*(D1172-INT(D1172))+VLOOKUP(INT(D1172),Tablas!$G$9:$O$1240,9,0)*(INT(D1172)+1-D1172))/(VLOOKUP(INT($C$5)+1,Tablas!$G$9:$O$1240,9,0)*($C$5-INT($C$5))+VLOOKUP(INT($C$5),Tablas!$G$9:$O$124,9,0)*(INT($C$5)+1-$C$5)))</f>
      </c>
      <c r="G1172" s="791">
        <f>IF($C$4="Hombre",(+VLOOKUP(INT(D1172)+1,Tablas!$G$9:$K$1240,5,0)*(D1172-INT(D1172))+VLOOKUP(INT(D1172),Tablas!$G$9:$K$1240,5,0)*(INT(D1172)+1-D1172)),+VLOOKUP(INT(D1172)+1,Tablas!$G$9:$O$1240,9,0)*(D1172-INT(D1172))+VLOOKUP(INT(D1172),Tablas!$G$9:$O$1240,9,0)*(INT(D1172)+1-D1172))</f>
      </c>
      <c r="H1172" s="801">
        <f>+IF(MONTH(B1172)=1,H1171*(1+$C$9),H1171)</f>
      </c>
      <c r="I1172" s="689">
        <f>IF(B1172&lt;$C$10,0,IF(B1172&lt;$C$11,$C$8/12*E1172*F1172*H1172,0))</f>
      </c>
      <c r="J1172" s="689">
        <f>I1172*12/14+IF(OR(MONTH(C1172)=6,MONTH(C1172)=12),I1172*12/14,0)</f>
      </c>
      <c r="K1172" s="801">
        <f>G1172/$G$15</f>
      </c>
      <c r="L1172" s="760"/>
      <c r="M1172" s="767"/>
      <c r="N1172" s="168"/>
      <c r="O1172" s="768"/>
      <c r="P1172" s="170"/>
      <c r="Q1172" s="7"/>
      <c r="R1172" s="766"/>
      <c r="S1172" s="170"/>
      <c r="T1172" s="168"/>
      <c r="U1172" s="170"/>
    </row>
    <row x14ac:dyDescent="0.25" r="1173" customHeight="1" ht="18.75">
      <c r="A1173" s="1"/>
      <c r="B1173" s="799">
        <f>+DATE(YEAR(B1172),MONTH(B1172)+1,DAY(B1172))</f>
        <v>25569.041666666668</v>
      </c>
      <c r="C1173" s="799">
        <f>+B1174-1</f>
        <v>25569.041666666668</v>
      </c>
      <c r="D1173" s="791">
        <f>-_xlfn.DAYS($C$3,C1173)/365.25</f>
      </c>
      <c r="E1173" s="800">
        <f>IF($D$17+40&lt;=D1173,(1+$D$7)^-(D1173-$C$5),(1+$C$7)^-(D1173-$C$5))</f>
      </c>
      <c r="F1173" s="801">
        <f>IF($C$4="Hombre",(+VLOOKUP(INT(D1173)+1,Tablas!$G$9:$K$1240,5,0)*(D1173-INT(D1173))+VLOOKUP(INT(D1173),Tablas!$G$9:$K$1240,5,0)*(INT(D1173)+1-D1173))/(VLOOKUP(INT($C$5)+1,Tablas!$G$9:$K$1240,5,0)*($C$5-INT($C$5))+VLOOKUP(INT($C$5),Tablas!$G$9:$K$124,5,0)*(INT($C$5)+1-$C$5)),(+VLOOKUP(INT(D1173)+1,Tablas!$G$9:$O$1240,9,0)*(D1173-INT(D1173))+VLOOKUP(INT(D1173),Tablas!$G$9:$O$1240,9,0)*(INT(D1173)+1-D1173))/(VLOOKUP(INT($C$5)+1,Tablas!$G$9:$O$1240,9,0)*($C$5-INT($C$5))+VLOOKUP(INT($C$5),Tablas!$G$9:$O$124,9,0)*(INT($C$5)+1-$C$5)))</f>
      </c>
      <c r="G1173" s="791">
        <f>IF($C$4="Hombre",(+VLOOKUP(INT(D1173)+1,Tablas!$G$9:$K$1240,5,0)*(D1173-INT(D1173))+VLOOKUP(INT(D1173),Tablas!$G$9:$K$1240,5,0)*(INT(D1173)+1-D1173)),+VLOOKUP(INT(D1173)+1,Tablas!$G$9:$O$1240,9,0)*(D1173-INT(D1173))+VLOOKUP(INT(D1173),Tablas!$G$9:$O$1240,9,0)*(INT(D1173)+1-D1173))</f>
      </c>
      <c r="H1173" s="801">
        <f>+IF(MONTH(B1173)=1,H1172*(1+$C$9),H1172)</f>
      </c>
      <c r="I1173" s="689">
        <f>IF(B1173&lt;$C$10,0,IF(B1173&lt;$C$11,$C$8/12*E1173*F1173*H1173,0))</f>
      </c>
      <c r="J1173" s="689">
        <f>I1173*12/14+IF(OR(MONTH(C1173)=6,MONTH(C1173)=12),I1173*12/14,0)</f>
      </c>
      <c r="K1173" s="801">
        <f>G1173/$G$15</f>
      </c>
      <c r="L1173" s="760"/>
      <c r="M1173" s="767"/>
      <c r="N1173" s="168"/>
      <c r="O1173" s="768"/>
      <c r="P1173" s="170"/>
      <c r="Q1173" s="7"/>
      <c r="R1173" s="766"/>
      <c r="S1173" s="170"/>
      <c r="T1173" s="168"/>
      <c r="U1173" s="170"/>
    </row>
    <row x14ac:dyDescent="0.25" r="1174" customHeight="1" ht="18.75">
      <c r="A1174" s="1"/>
      <c r="B1174" s="799">
        <f>+DATE(YEAR(B1173),MONTH(B1173)+1,DAY(B1173))</f>
        <v>25569.041666666668</v>
      </c>
      <c r="C1174" s="799">
        <f>+B1175-1</f>
        <v>25569.041666666668</v>
      </c>
      <c r="D1174" s="791">
        <f>-_xlfn.DAYS($C$3,C1174)/365.25</f>
      </c>
      <c r="E1174" s="800">
        <f>IF($D$17+40&lt;=D1174,(1+$D$7)^-(D1174-$C$5),(1+$C$7)^-(D1174-$C$5))</f>
      </c>
      <c r="F1174" s="801">
        <f>IF($C$4="Hombre",(+VLOOKUP(INT(D1174)+1,Tablas!$G$9:$K$1240,5,0)*(D1174-INT(D1174))+VLOOKUP(INT(D1174),Tablas!$G$9:$K$1240,5,0)*(INT(D1174)+1-D1174))/(VLOOKUP(INT($C$5)+1,Tablas!$G$9:$K$1240,5,0)*($C$5-INT($C$5))+VLOOKUP(INT($C$5),Tablas!$G$9:$K$124,5,0)*(INT($C$5)+1-$C$5)),(+VLOOKUP(INT(D1174)+1,Tablas!$G$9:$O$1240,9,0)*(D1174-INT(D1174))+VLOOKUP(INT(D1174),Tablas!$G$9:$O$1240,9,0)*(INT(D1174)+1-D1174))/(VLOOKUP(INT($C$5)+1,Tablas!$G$9:$O$1240,9,0)*($C$5-INT($C$5))+VLOOKUP(INT($C$5),Tablas!$G$9:$O$124,9,0)*(INT($C$5)+1-$C$5)))</f>
      </c>
      <c r="G1174" s="791">
        <f>IF($C$4="Hombre",(+VLOOKUP(INT(D1174)+1,Tablas!$G$9:$K$1240,5,0)*(D1174-INT(D1174))+VLOOKUP(INT(D1174),Tablas!$G$9:$K$1240,5,0)*(INT(D1174)+1-D1174)),+VLOOKUP(INT(D1174)+1,Tablas!$G$9:$O$1240,9,0)*(D1174-INT(D1174))+VLOOKUP(INT(D1174),Tablas!$G$9:$O$1240,9,0)*(INT(D1174)+1-D1174))</f>
      </c>
      <c r="H1174" s="801">
        <f>+IF(MONTH(B1174)=1,H1173*(1+$C$9),H1173)</f>
      </c>
      <c r="I1174" s="689">
        <f>IF(B1174&lt;$C$10,0,IF(B1174&lt;$C$11,$C$8/12*E1174*F1174*H1174,0))</f>
      </c>
      <c r="J1174" s="689">
        <f>I1174*12/14+IF(OR(MONTH(C1174)=6,MONTH(C1174)=12),I1174*12/14,0)</f>
      </c>
      <c r="K1174" s="801">
        <f>G1174/$G$15</f>
      </c>
      <c r="L1174" s="760"/>
      <c r="M1174" s="767"/>
      <c r="N1174" s="168"/>
      <c r="O1174" s="768"/>
      <c r="P1174" s="170"/>
      <c r="Q1174" s="7"/>
      <c r="R1174" s="766"/>
      <c r="S1174" s="170"/>
      <c r="T1174" s="168"/>
      <c r="U1174" s="170"/>
    </row>
    <row x14ac:dyDescent="0.25" r="1175" customHeight="1" ht="18.75">
      <c r="A1175" s="1"/>
      <c r="B1175" s="799">
        <f>+DATE(YEAR(B1174),MONTH(B1174)+1,DAY(B1174))</f>
        <v>25569.041666666668</v>
      </c>
      <c r="C1175" s="799">
        <f>+B1176-1</f>
        <v>25569.041666666668</v>
      </c>
      <c r="D1175" s="791">
        <f>-_xlfn.DAYS($C$3,C1175)/365.25</f>
      </c>
      <c r="E1175" s="800">
        <f>IF($D$17+40&lt;=D1175,(1+$D$7)^-(D1175-$C$5),(1+$C$7)^-(D1175-$C$5))</f>
      </c>
      <c r="F1175" s="801">
        <f>IF($C$4="Hombre",(+VLOOKUP(INT(D1175)+1,Tablas!$G$9:$K$1240,5,0)*(D1175-INT(D1175))+VLOOKUP(INT(D1175),Tablas!$G$9:$K$1240,5,0)*(INT(D1175)+1-D1175))/(VLOOKUP(INT($C$5)+1,Tablas!$G$9:$K$1240,5,0)*($C$5-INT($C$5))+VLOOKUP(INT($C$5),Tablas!$G$9:$K$124,5,0)*(INT($C$5)+1-$C$5)),(+VLOOKUP(INT(D1175)+1,Tablas!$G$9:$O$1240,9,0)*(D1175-INT(D1175))+VLOOKUP(INT(D1175),Tablas!$G$9:$O$1240,9,0)*(INT(D1175)+1-D1175))/(VLOOKUP(INT($C$5)+1,Tablas!$G$9:$O$1240,9,0)*($C$5-INT($C$5))+VLOOKUP(INT($C$5),Tablas!$G$9:$O$124,9,0)*(INT($C$5)+1-$C$5)))</f>
      </c>
      <c r="G1175" s="791">
        <f>IF($C$4="Hombre",(+VLOOKUP(INT(D1175)+1,Tablas!$G$9:$K$1240,5,0)*(D1175-INT(D1175))+VLOOKUP(INT(D1175),Tablas!$G$9:$K$1240,5,0)*(INT(D1175)+1-D1175)),+VLOOKUP(INT(D1175)+1,Tablas!$G$9:$O$1240,9,0)*(D1175-INT(D1175))+VLOOKUP(INT(D1175),Tablas!$G$9:$O$1240,9,0)*(INT(D1175)+1-D1175))</f>
      </c>
      <c r="H1175" s="801">
        <f>+IF(MONTH(B1175)=1,H1174*(1+$C$9),H1174)</f>
      </c>
      <c r="I1175" s="689">
        <f>IF(B1175&lt;$C$10,0,IF(B1175&lt;$C$11,$C$8/12*E1175*F1175*H1175,0))</f>
      </c>
      <c r="J1175" s="689">
        <f>I1175*12/14+IF(OR(MONTH(C1175)=6,MONTH(C1175)=12),I1175*12/14,0)</f>
      </c>
      <c r="K1175" s="801">
        <f>G1175/$G$15</f>
      </c>
      <c r="L1175" s="760"/>
      <c r="M1175" s="767"/>
      <c r="N1175" s="168"/>
      <c r="O1175" s="768"/>
      <c r="P1175" s="170"/>
      <c r="Q1175" s="7"/>
      <c r="R1175" s="766"/>
      <c r="S1175" s="170"/>
      <c r="T1175" s="168"/>
      <c r="U1175" s="170"/>
    </row>
    <row x14ac:dyDescent="0.25" r="1176" customHeight="1" ht="18.75">
      <c r="A1176" s="1"/>
      <c r="B1176" s="799">
        <f>+DATE(YEAR(B1175),MONTH(B1175)+1,DAY(B1175))</f>
        <v>25569.041666666668</v>
      </c>
      <c r="C1176" s="799">
        <f>+B1177-1</f>
        <v>25569.041666666668</v>
      </c>
      <c r="D1176" s="791">
        <f>-_xlfn.DAYS($C$3,C1176)/365.25</f>
      </c>
      <c r="E1176" s="800">
        <f>IF($D$17+40&lt;=D1176,(1+$D$7)^-(D1176-$C$5),(1+$C$7)^-(D1176-$C$5))</f>
      </c>
      <c r="F1176" s="801">
        <f>IF($C$4="Hombre",(+VLOOKUP(INT(D1176)+1,Tablas!$G$9:$K$1240,5,0)*(D1176-INT(D1176))+VLOOKUP(INT(D1176),Tablas!$G$9:$K$1240,5,0)*(INT(D1176)+1-D1176))/(VLOOKUP(INT($C$5)+1,Tablas!$G$9:$K$1240,5,0)*($C$5-INT($C$5))+VLOOKUP(INT($C$5),Tablas!$G$9:$K$124,5,0)*(INT($C$5)+1-$C$5)),(+VLOOKUP(INT(D1176)+1,Tablas!$G$9:$O$1240,9,0)*(D1176-INT(D1176))+VLOOKUP(INT(D1176),Tablas!$G$9:$O$1240,9,0)*(INT(D1176)+1-D1176))/(VLOOKUP(INT($C$5)+1,Tablas!$G$9:$O$1240,9,0)*($C$5-INT($C$5))+VLOOKUP(INT($C$5),Tablas!$G$9:$O$124,9,0)*(INT($C$5)+1-$C$5)))</f>
      </c>
      <c r="G1176" s="791">
        <f>IF($C$4="Hombre",(+VLOOKUP(INT(D1176)+1,Tablas!$G$9:$K$1240,5,0)*(D1176-INT(D1176))+VLOOKUP(INT(D1176),Tablas!$G$9:$K$1240,5,0)*(INT(D1176)+1-D1176)),+VLOOKUP(INT(D1176)+1,Tablas!$G$9:$O$1240,9,0)*(D1176-INT(D1176))+VLOOKUP(INT(D1176),Tablas!$G$9:$O$1240,9,0)*(INT(D1176)+1-D1176))</f>
      </c>
      <c r="H1176" s="801">
        <f>+IF(MONTH(B1176)=1,H1175*(1+$C$9),H1175)</f>
      </c>
      <c r="I1176" s="689">
        <f>IF(B1176&lt;$C$10,0,IF(B1176&lt;$C$11,$C$8/12*E1176*F1176*H1176,0))</f>
      </c>
      <c r="J1176" s="689">
        <f>I1176*12/14+IF(OR(MONTH(C1176)=6,MONTH(C1176)=12),I1176*12/14,0)</f>
      </c>
      <c r="K1176" s="801">
        <f>G1176/$G$15</f>
      </c>
      <c r="L1176" s="760"/>
      <c r="M1176" s="767"/>
      <c r="N1176" s="168"/>
      <c r="O1176" s="768"/>
      <c r="P1176" s="170"/>
      <c r="Q1176" s="7"/>
      <c r="R1176" s="766"/>
      <c r="S1176" s="170"/>
      <c r="T1176" s="168"/>
      <c r="U1176" s="170"/>
    </row>
    <row x14ac:dyDescent="0.25" r="1177" customHeight="1" ht="18.75">
      <c r="A1177" s="1"/>
      <c r="B1177" s="799">
        <f>+DATE(YEAR(B1176),MONTH(B1176)+1,DAY(B1176))</f>
        <v>25569.041666666668</v>
      </c>
      <c r="C1177" s="799">
        <f>+B1178-1</f>
        <v>25569.041666666668</v>
      </c>
      <c r="D1177" s="791">
        <f>-_xlfn.DAYS($C$3,C1177)/365.25</f>
      </c>
      <c r="E1177" s="800">
        <f>IF($D$17+40&lt;=D1177,(1+$D$7)^-(D1177-$C$5),(1+$C$7)^-(D1177-$C$5))</f>
      </c>
      <c r="F1177" s="801">
        <f>IF($C$4="Hombre",(+VLOOKUP(INT(D1177)+1,Tablas!$G$9:$K$1240,5,0)*(D1177-INT(D1177))+VLOOKUP(INT(D1177),Tablas!$G$9:$K$1240,5,0)*(INT(D1177)+1-D1177))/(VLOOKUP(INT($C$5)+1,Tablas!$G$9:$K$1240,5,0)*($C$5-INT($C$5))+VLOOKUP(INT($C$5),Tablas!$G$9:$K$124,5,0)*(INT($C$5)+1-$C$5)),(+VLOOKUP(INT(D1177)+1,Tablas!$G$9:$O$1240,9,0)*(D1177-INT(D1177))+VLOOKUP(INT(D1177),Tablas!$G$9:$O$1240,9,0)*(INT(D1177)+1-D1177))/(VLOOKUP(INT($C$5)+1,Tablas!$G$9:$O$1240,9,0)*($C$5-INT($C$5))+VLOOKUP(INT($C$5),Tablas!$G$9:$O$124,9,0)*(INT($C$5)+1-$C$5)))</f>
      </c>
      <c r="G1177" s="791">
        <f>IF($C$4="Hombre",(+VLOOKUP(INT(D1177)+1,Tablas!$G$9:$K$1240,5,0)*(D1177-INT(D1177))+VLOOKUP(INT(D1177),Tablas!$G$9:$K$1240,5,0)*(INT(D1177)+1-D1177)),+VLOOKUP(INT(D1177)+1,Tablas!$G$9:$O$1240,9,0)*(D1177-INT(D1177))+VLOOKUP(INT(D1177),Tablas!$G$9:$O$1240,9,0)*(INT(D1177)+1-D1177))</f>
      </c>
      <c r="H1177" s="801">
        <f>+IF(MONTH(B1177)=1,H1176*(1+$C$9),H1176)</f>
      </c>
      <c r="I1177" s="689">
        <f>IF(B1177&lt;$C$10,0,IF(B1177&lt;$C$11,$C$8/12*E1177*F1177*H1177,0))</f>
      </c>
      <c r="J1177" s="689">
        <f>I1177*12/14+IF(OR(MONTH(C1177)=6,MONTH(C1177)=12),I1177*12/14,0)</f>
      </c>
      <c r="K1177" s="801">
        <f>G1177/$G$15</f>
      </c>
      <c r="L1177" s="760"/>
      <c r="M1177" s="767"/>
      <c r="N1177" s="168"/>
      <c r="O1177" s="768"/>
      <c r="P1177" s="170"/>
      <c r="Q1177" s="7"/>
      <c r="R1177" s="766"/>
      <c r="S1177" s="170"/>
      <c r="T1177" s="168"/>
      <c r="U1177" s="170"/>
    </row>
    <row x14ac:dyDescent="0.25" r="1178" customHeight="1" ht="18.75">
      <c r="A1178" s="1"/>
      <c r="B1178" s="799">
        <f>+DATE(YEAR(B1177),MONTH(B1177)+1,DAY(B1177))</f>
        <v>25569.041666666668</v>
      </c>
      <c r="C1178" s="799">
        <f>+B1179-1</f>
        <v>25569.041666666668</v>
      </c>
      <c r="D1178" s="791">
        <f>-_xlfn.DAYS($C$3,C1178)/365.25</f>
      </c>
      <c r="E1178" s="800">
        <f>IF($D$17+40&lt;=D1178,(1+$D$7)^-(D1178-$C$5),(1+$C$7)^-(D1178-$C$5))</f>
      </c>
      <c r="F1178" s="801">
        <f>IF($C$4="Hombre",(+VLOOKUP(INT(D1178)+1,Tablas!$G$9:$K$1240,5,0)*(D1178-INT(D1178))+VLOOKUP(INT(D1178),Tablas!$G$9:$K$1240,5,0)*(INT(D1178)+1-D1178))/(VLOOKUP(INT($C$5)+1,Tablas!$G$9:$K$1240,5,0)*($C$5-INT($C$5))+VLOOKUP(INT($C$5),Tablas!$G$9:$K$124,5,0)*(INT($C$5)+1-$C$5)),(+VLOOKUP(INT(D1178)+1,Tablas!$G$9:$O$1240,9,0)*(D1178-INT(D1178))+VLOOKUP(INT(D1178),Tablas!$G$9:$O$1240,9,0)*(INT(D1178)+1-D1178))/(VLOOKUP(INT($C$5)+1,Tablas!$G$9:$O$1240,9,0)*($C$5-INT($C$5))+VLOOKUP(INT($C$5),Tablas!$G$9:$O$124,9,0)*(INT($C$5)+1-$C$5)))</f>
      </c>
      <c r="G1178" s="791">
        <f>IF($C$4="Hombre",(+VLOOKUP(INT(D1178)+1,Tablas!$G$9:$K$1240,5,0)*(D1178-INT(D1178))+VLOOKUP(INT(D1178),Tablas!$G$9:$K$1240,5,0)*(INT(D1178)+1-D1178)),+VLOOKUP(INT(D1178)+1,Tablas!$G$9:$O$1240,9,0)*(D1178-INT(D1178))+VLOOKUP(INT(D1178),Tablas!$G$9:$O$1240,9,0)*(INT(D1178)+1-D1178))</f>
      </c>
      <c r="H1178" s="801">
        <f>+IF(MONTH(B1178)=1,H1177*(1+$C$9),H1177)</f>
      </c>
      <c r="I1178" s="689">
        <f>IF(B1178&lt;$C$10,0,IF(B1178&lt;$C$11,$C$8/12*E1178*F1178*H1178,0))</f>
      </c>
      <c r="J1178" s="689">
        <f>I1178*12/14+IF(OR(MONTH(C1178)=6,MONTH(C1178)=12),I1178*12/14,0)</f>
      </c>
      <c r="K1178" s="801">
        <f>G1178/$G$15</f>
      </c>
      <c r="L1178" s="760"/>
      <c r="M1178" s="767"/>
      <c r="N1178" s="168"/>
      <c r="O1178" s="768"/>
      <c r="P1178" s="170"/>
      <c r="Q1178" s="7"/>
      <c r="R1178" s="766"/>
      <c r="S1178" s="170"/>
      <c r="T1178" s="168"/>
      <c r="U1178" s="170"/>
    </row>
    <row x14ac:dyDescent="0.25" r="1179" customHeight="1" ht="18.75">
      <c r="A1179" s="1"/>
      <c r="B1179" s="799">
        <f>+DATE(YEAR(B1178),MONTH(B1178)+1,DAY(B1178))</f>
        <v>25569.041666666668</v>
      </c>
      <c r="C1179" s="799">
        <f>+B1180-1</f>
        <v>25569.041666666668</v>
      </c>
      <c r="D1179" s="791">
        <f>-_xlfn.DAYS($C$3,C1179)/365.25</f>
      </c>
      <c r="E1179" s="800">
        <f>IF($D$17+40&lt;=D1179,(1+$D$7)^-(D1179-$C$5),(1+$C$7)^-(D1179-$C$5))</f>
      </c>
      <c r="F1179" s="801">
        <f>IF($C$4="Hombre",(+VLOOKUP(INT(D1179)+1,Tablas!$G$9:$K$1240,5,0)*(D1179-INT(D1179))+VLOOKUP(INT(D1179),Tablas!$G$9:$K$1240,5,0)*(INT(D1179)+1-D1179))/(VLOOKUP(INT($C$5)+1,Tablas!$G$9:$K$1240,5,0)*($C$5-INT($C$5))+VLOOKUP(INT($C$5),Tablas!$G$9:$K$124,5,0)*(INT($C$5)+1-$C$5)),(+VLOOKUP(INT(D1179)+1,Tablas!$G$9:$O$1240,9,0)*(D1179-INT(D1179))+VLOOKUP(INT(D1179),Tablas!$G$9:$O$1240,9,0)*(INT(D1179)+1-D1179))/(VLOOKUP(INT($C$5)+1,Tablas!$G$9:$O$1240,9,0)*($C$5-INT($C$5))+VLOOKUP(INT($C$5),Tablas!$G$9:$O$124,9,0)*(INT($C$5)+1-$C$5)))</f>
      </c>
      <c r="G1179" s="791">
        <f>IF($C$4="Hombre",(+VLOOKUP(INT(D1179)+1,Tablas!$G$9:$K$1240,5,0)*(D1179-INT(D1179))+VLOOKUP(INT(D1179),Tablas!$G$9:$K$1240,5,0)*(INT(D1179)+1-D1179)),+VLOOKUP(INT(D1179)+1,Tablas!$G$9:$O$1240,9,0)*(D1179-INT(D1179))+VLOOKUP(INT(D1179),Tablas!$G$9:$O$1240,9,0)*(INT(D1179)+1-D1179))</f>
      </c>
      <c r="H1179" s="801">
        <f>+IF(MONTH(B1179)=1,H1178*(1+$C$9),H1178)</f>
      </c>
      <c r="I1179" s="689">
        <f>IF(B1179&lt;$C$10,0,IF(B1179&lt;$C$11,$C$8/12*E1179*F1179*H1179,0))</f>
      </c>
      <c r="J1179" s="689">
        <f>I1179*12/14+IF(OR(MONTH(C1179)=6,MONTH(C1179)=12),I1179*12/14,0)</f>
      </c>
      <c r="K1179" s="801">
        <f>G1179/$G$15</f>
      </c>
      <c r="L1179" s="760"/>
      <c r="M1179" s="767"/>
      <c r="N1179" s="168"/>
      <c r="O1179" s="768"/>
      <c r="P1179" s="170"/>
      <c r="Q1179" s="7"/>
      <c r="R1179" s="766"/>
      <c r="S1179" s="170"/>
      <c r="T1179" s="168"/>
      <c r="U1179" s="170"/>
    </row>
    <row x14ac:dyDescent="0.25" r="1180" customHeight="1" ht="18.75">
      <c r="A1180" s="1"/>
      <c r="B1180" s="799">
        <f>+DATE(YEAR(B1179),MONTH(B1179)+1,DAY(B1179))</f>
        <v>25569.041666666668</v>
      </c>
      <c r="C1180" s="799">
        <f>+B1181-1</f>
        <v>25569.041666666668</v>
      </c>
      <c r="D1180" s="791">
        <f>-_xlfn.DAYS($C$3,C1180)/365.25</f>
      </c>
      <c r="E1180" s="800">
        <f>IF($D$17+40&lt;=D1180,(1+$D$7)^-(D1180-$C$5),(1+$C$7)^-(D1180-$C$5))</f>
      </c>
      <c r="F1180" s="801">
        <f>IF($C$4="Hombre",(+VLOOKUP(INT(D1180)+1,Tablas!$G$9:$K$1240,5,0)*(D1180-INT(D1180))+VLOOKUP(INT(D1180),Tablas!$G$9:$K$1240,5,0)*(INT(D1180)+1-D1180))/(VLOOKUP(INT($C$5)+1,Tablas!$G$9:$K$1240,5,0)*($C$5-INT($C$5))+VLOOKUP(INT($C$5),Tablas!$G$9:$K$124,5,0)*(INT($C$5)+1-$C$5)),(+VLOOKUP(INT(D1180)+1,Tablas!$G$9:$O$1240,9,0)*(D1180-INT(D1180))+VLOOKUP(INT(D1180),Tablas!$G$9:$O$1240,9,0)*(INT(D1180)+1-D1180))/(VLOOKUP(INT($C$5)+1,Tablas!$G$9:$O$1240,9,0)*($C$5-INT($C$5))+VLOOKUP(INT($C$5),Tablas!$G$9:$O$124,9,0)*(INT($C$5)+1-$C$5)))</f>
      </c>
      <c r="G1180" s="791">
        <f>IF($C$4="Hombre",(+VLOOKUP(INT(D1180)+1,Tablas!$G$9:$K$1240,5,0)*(D1180-INT(D1180))+VLOOKUP(INT(D1180),Tablas!$G$9:$K$1240,5,0)*(INT(D1180)+1-D1180)),+VLOOKUP(INT(D1180)+1,Tablas!$G$9:$O$1240,9,0)*(D1180-INT(D1180))+VLOOKUP(INT(D1180),Tablas!$G$9:$O$1240,9,0)*(INT(D1180)+1-D1180))</f>
      </c>
      <c r="H1180" s="801">
        <f>+IF(MONTH(B1180)=1,H1179*(1+$C$9),H1179)</f>
      </c>
      <c r="I1180" s="689">
        <f>IF(B1180&lt;$C$10,0,IF(B1180&lt;$C$11,$C$8/12*E1180*F1180*H1180,0))</f>
      </c>
      <c r="J1180" s="689">
        <f>I1180*12/14+IF(OR(MONTH(C1180)=6,MONTH(C1180)=12),I1180*12/14,0)</f>
      </c>
      <c r="K1180" s="801">
        <f>G1180/$G$15</f>
      </c>
      <c r="L1180" s="760"/>
      <c r="M1180" s="767"/>
      <c r="N1180" s="168"/>
      <c r="O1180" s="768"/>
      <c r="P1180" s="170"/>
      <c r="Q1180" s="7"/>
      <c r="R1180" s="766"/>
      <c r="S1180" s="170"/>
      <c r="T1180" s="168"/>
      <c r="U1180" s="170"/>
    </row>
    <row x14ac:dyDescent="0.25" r="1181" customHeight="1" ht="18.75">
      <c r="A1181" s="1"/>
      <c r="B1181" s="799">
        <f>+DATE(YEAR(B1180),MONTH(B1180)+1,DAY(B1180))</f>
        <v>25569.041666666668</v>
      </c>
      <c r="C1181" s="799">
        <f>+B1182-1</f>
        <v>25569.041666666668</v>
      </c>
      <c r="D1181" s="791">
        <f>-_xlfn.DAYS($C$3,C1181)/365.25</f>
      </c>
      <c r="E1181" s="800">
        <f>IF($D$17+40&lt;=D1181,(1+$D$7)^-(D1181-$C$5),(1+$C$7)^-(D1181-$C$5))</f>
      </c>
      <c r="F1181" s="801">
        <f>IF($C$4="Hombre",(+VLOOKUP(INT(D1181)+1,Tablas!$G$9:$K$1240,5,0)*(D1181-INT(D1181))+VLOOKUP(INT(D1181),Tablas!$G$9:$K$1240,5,0)*(INT(D1181)+1-D1181))/(VLOOKUP(INT($C$5)+1,Tablas!$G$9:$K$1240,5,0)*($C$5-INT($C$5))+VLOOKUP(INT($C$5),Tablas!$G$9:$K$124,5,0)*(INT($C$5)+1-$C$5)),(+VLOOKUP(INT(D1181)+1,Tablas!$G$9:$O$1240,9,0)*(D1181-INT(D1181))+VLOOKUP(INT(D1181),Tablas!$G$9:$O$1240,9,0)*(INT(D1181)+1-D1181))/(VLOOKUP(INT($C$5)+1,Tablas!$G$9:$O$1240,9,0)*($C$5-INT($C$5))+VLOOKUP(INT($C$5),Tablas!$G$9:$O$124,9,0)*(INT($C$5)+1-$C$5)))</f>
      </c>
      <c r="G1181" s="791">
        <f>IF($C$4="Hombre",(+VLOOKUP(INT(D1181)+1,Tablas!$G$9:$K$1240,5,0)*(D1181-INT(D1181))+VLOOKUP(INT(D1181),Tablas!$G$9:$K$1240,5,0)*(INT(D1181)+1-D1181)),+VLOOKUP(INT(D1181)+1,Tablas!$G$9:$O$1240,9,0)*(D1181-INT(D1181))+VLOOKUP(INT(D1181),Tablas!$G$9:$O$1240,9,0)*(INT(D1181)+1-D1181))</f>
      </c>
      <c r="H1181" s="801">
        <f>+IF(MONTH(B1181)=1,H1180*(1+$C$9),H1180)</f>
      </c>
      <c r="I1181" s="689">
        <f>IF(B1181&lt;$C$10,0,IF(B1181&lt;$C$11,$C$8/12*E1181*F1181*H1181,0))</f>
      </c>
      <c r="J1181" s="689">
        <f>I1181*12/14+IF(OR(MONTH(C1181)=6,MONTH(C1181)=12),I1181*12/14,0)</f>
      </c>
      <c r="K1181" s="801">
        <f>G1181/$G$15</f>
      </c>
      <c r="L1181" s="760"/>
      <c r="M1181" s="767"/>
      <c r="N1181" s="168"/>
      <c r="O1181" s="768"/>
      <c r="P1181" s="170"/>
      <c r="Q1181" s="7"/>
      <c r="R1181" s="766"/>
      <c r="S1181" s="170"/>
      <c r="T1181" s="168"/>
      <c r="U1181" s="170"/>
    </row>
    <row x14ac:dyDescent="0.25" r="1182" customHeight="1" ht="18.75">
      <c r="A1182" s="1"/>
      <c r="B1182" s="799">
        <f>+DATE(YEAR(B1181),MONTH(B1181)+1,DAY(B1181))</f>
        <v>25569.041666666668</v>
      </c>
      <c r="C1182" s="799">
        <f>+B1183-1</f>
        <v>25569.041666666668</v>
      </c>
      <c r="D1182" s="791">
        <f>-_xlfn.DAYS($C$3,C1182)/365.25</f>
      </c>
      <c r="E1182" s="800">
        <f>IF($D$17+40&lt;=D1182,(1+$D$7)^-(D1182-$C$5),(1+$C$7)^-(D1182-$C$5))</f>
      </c>
      <c r="F1182" s="801">
        <f>IF($C$4="Hombre",(+VLOOKUP(INT(D1182)+1,Tablas!$G$9:$K$1240,5,0)*(D1182-INT(D1182))+VLOOKUP(INT(D1182),Tablas!$G$9:$K$1240,5,0)*(INT(D1182)+1-D1182))/(VLOOKUP(INT($C$5)+1,Tablas!$G$9:$K$1240,5,0)*($C$5-INT($C$5))+VLOOKUP(INT($C$5),Tablas!$G$9:$K$124,5,0)*(INT($C$5)+1-$C$5)),(+VLOOKUP(INT(D1182)+1,Tablas!$G$9:$O$1240,9,0)*(D1182-INT(D1182))+VLOOKUP(INT(D1182),Tablas!$G$9:$O$1240,9,0)*(INT(D1182)+1-D1182))/(VLOOKUP(INT($C$5)+1,Tablas!$G$9:$O$1240,9,0)*($C$5-INT($C$5))+VLOOKUP(INT($C$5),Tablas!$G$9:$O$124,9,0)*(INT($C$5)+1-$C$5)))</f>
      </c>
      <c r="G1182" s="791">
        <f>IF($C$4="Hombre",(+VLOOKUP(INT(D1182)+1,Tablas!$G$9:$K$1240,5,0)*(D1182-INT(D1182))+VLOOKUP(INT(D1182),Tablas!$G$9:$K$1240,5,0)*(INT(D1182)+1-D1182)),+VLOOKUP(INT(D1182)+1,Tablas!$G$9:$O$1240,9,0)*(D1182-INT(D1182))+VLOOKUP(INT(D1182),Tablas!$G$9:$O$1240,9,0)*(INT(D1182)+1-D1182))</f>
      </c>
      <c r="H1182" s="801">
        <f>+IF(MONTH(B1182)=1,H1181*(1+$C$9),H1181)</f>
      </c>
      <c r="I1182" s="689">
        <f>IF(B1182&lt;$C$10,0,IF(B1182&lt;$C$11,$C$8/12*E1182*F1182*H1182,0))</f>
      </c>
      <c r="J1182" s="689">
        <f>I1182*12/14+IF(OR(MONTH(C1182)=6,MONTH(C1182)=12),I1182*12/14,0)</f>
      </c>
      <c r="K1182" s="801">
        <f>G1182/$G$15</f>
      </c>
      <c r="L1182" s="760"/>
      <c r="M1182" s="767"/>
      <c r="N1182" s="168"/>
      <c r="O1182" s="768"/>
      <c r="P1182" s="170"/>
      <c r="Q1182" s="7"/>
      <c r="R1182" s="766"/>
      <c r="S1182" s="170"/>
      <c r="T1182" s="168"/>
      <c r="U1182" s="170"/>
    </row>
    <row x14ac:dyDescent="0.25" r="1183" customHeight="1" ht="18.75">
      <c r="A1183" s="1"/>
      <c r="B1183" s="799">
        <f>+DATE(YEAR(B1182),MONTH(B1182)+1,DAY(B1182))</f>
        <v>25569.041666666668</v>
      </c>
      <c r="C1183" s="799">
        <f>+B1184-1</f>
        <v>25569.041666666668</v>
      </c>
      <c r="D1183" s="791">
        <f>-_xlfn.DAYS($C$3,C1183)/365.25</f>
      </c>
      <c r="E1183" s="800">
        <f>IF($D$17+40&lt;=D1183,(1+$D$7)^-(D1183-$C$5),(1+$C$7)^-(D1183-$C$5))</f>
      </c>
      <c r="F1183" s="801">
        <f>IF($C$4="Hombre",(+VLOOKUP(INT(D1183)+1,Tablas!$G$9:$K$1240,5,0)*(D1183-INT(D1183))+VLOOKUP(INT(D1183),Tablas!$G$9:$K$1240,5,0)*(INT(D1183)+1-D1183))/(VLOOKUP(INT($C$5)+1,Tablas!$G$9:$K$1240,5,0)*($C$5-INT($C$5))+VLOOKUP(INT($C$5),Tablas!$G$9:$K$124,5,0)*(INT($C$5)+1-$C$5)),(+VLOOKUP(INT(D1183)+1,Tablas!$G$9:$O$1240,9,0)*(D1183-INT(D1183))+VLOOKUP(INT(D1183),Tablas!$G$9:$O$1240,9,0)*(INT(D1183)+1-D1183))/(VLOOKUP(INT($C$5)+1,Tablas!$G$9:$O$1240,9,0)*($C$5-INT($C$5))+VLOOKUP(INT($C$5),Tablas!$G$9:$O$124,9,0)*(INT($C$5)+1-$C$5)))</f>
      </c>
      <c r="G1183" s="791">
        <f>IF($C$4="Hombre",(+VLOOKUP(INT(D1183)+1,Tablas!$G$9:$K$1240,5,0)*(D1183-INT(D1183))+VLOOKUP(INT(D1183),Tablas!$G$9:$K$1240,5,0)*(INT(D1183)+1-D1183)),+VLOOKUP(INT(D1183)+1,Tablas!$G$9:$O$1240,9,0)*(D1183-INT(D1183))+VLOOKUP(INT(D1183),Tablas!$G$9:$O$1240,9,0)*(INT(D1183)+1-D1183))</f>
      </c>
      <c r="H1183" s="801">
        <f>+IF(MONTH(B1183)=1,H1182*(1+$C$9),H1182)</f>
      </c>
      <c r="I1183" s="689">
        <f>IF(B1183&lt;$C$10,0,IF(B1183&lt;$C$11,$C$8/12*E1183*F1183*H1183,0))</f>
      </c>
      <c r="J1183" s="689">
        <f>I1183*12/14+IF(OR(MONTH(C1183)=6,MONTH(C1183)=12),I1183*12/14,0)</f>
      </c>
      <c r="K1183" s="801">
        <f>G1183/$G$15</f>
      </c>
      <c r="L1183" s="760"/>
      <c r="M1183" s="767"/>
      <c r="N1183" s="168"/>
      <c r="O1183" s="768"/>
      <c r="P1183" s="170"/>
      <c r="Q1183" s="7"/>
      <c r="R1183" s="766"/>
      <c r="S1183" s="170"/>
      <c r="T1183" s="168"/>
      <c r="U1183" s="170"/>
    </row>
    <row x14ac:dyDescent="0.25" r="1184" customHeight="1" ht="18.75">
      <c r="A1184" s="1"/>
      <c r="B1184" s="799">
        <f>+DATE(YEAR(B1183),MONTH(B1183)+1,DAY(B1183))</f>
        <v>25569.041666666668</v>
      </c>
      <c r="C1184" s="799">
        <f>+B1185-1</f>
        <v>25569.041666666668</v>
      </c>
      <c r="D1184" s="791">
        <f>-_xlfn.DAYS($C$3,C1184)/365.25</f>
      </c>
      <c r="E1184" s="800">
        <f>IF($D$17+40&lt;=D1184,(1+$D$7)^-(D1184-$C$5),(1+$C$7)^-(D1184-$C$5))</f>
      </c>
      <c r="F1184" s="801">
        <f>IF($C$4="Hombre",(+VLOOKUP(INT(D1184)+1,Tablas!$G$9:$K$1240,5,0)*(D1184-INT(D1184))+VLOOKUP(INT(D1184),Tablas!$G$9:$K$1240,5,0)*(INT(D1184)+1-D1184))/(VLOOKUP(INT($C$5)+1,Tablas!$G$9:$K$1240,5,0)*($C$5-INT($C$5))+VLOOKUP(INT($C$5),Tablas!$G$9:$K$124,5,0)*(INT($C$5)+1-$C$5)),(+VLOOKUP(INT(D1184)+1,Tablas!$G$9:$O$1240,9,0)*(D1184-INT(D1184))+VLOOKUP(INT(D1184),Tablas!$G$9:$O$1240,9,0)*(INT(D1184)+1-D1184))/(VLOOKUP(INT($C$5)+1,Tablas!$G$9:$O$1240,9,0)*($C$5-INT($C$5))+VLOOKUP(INT($C$5),Tablas!$G$9:$O$124,9,0)*(INT($C$5)+1-$C$5)))</f>
      </c>
      <c r="G1184" s="791">
        <f>IF($C$4="Hombre",(+VLOOKUP(INT(D1184)+1,Tablas!$G$9:$K$1240,5,0)*(D1184-INT(D1184))+VLOOKUP(INT(D1184),Tablas!$G$9:$K$1240,5,0)*(INT(D1184)+1-D1184)),+VLOOKUP(INT(D1184)+1,Tablas!$G$9:$O$1240,9,0)*(D1184-INT(D1184))+VLOOKUP(INT(D1184),Tablas!$G$9:$O$1240,9,0)*(INT(D1184)+1-D1184))</f>
      </c>
      <c r="H1184" s="801">
        <f>+IF(MONTH(B1184)=1,H1183*(1+$C$9),H1183)</f>
      </c>
      <c r="I1184" s="689">
        <f>IF(B1184&lt;$C$10,0,IF(B1184&lt;$C$11,$C$8/12*E1184*F1184*H1184,0))</f>
      </c>
      <c r="J1184" s="689">
        <f>I1184*12/14+IF(OR(MONTH(C1184)=6,MONTH(C1184)=12),I1184*12/14,0)</f>
      </c>
      <c r="K1184" s="801">
        <f>G1184/$G$15</f>
      </c>
      <c r="L1184" s="760"/>
      <c r="M1184" s="767"/>
      <c r="N1184" s="168"/>
      <c r="O1184" s="768"/>
      <c r="P1184" s="170"/>
      <c r="Q1184" s="7"/>
      <c r="R1184" s="766"/>
      <c r="S1184" s="170"/>
      <c r="T1184" s="168"/>
      <c r="U1184" s="170"/>
    </row>
    <row x14ac:dyDescent="0.25" r="1185" customHeight="1" ht="18.75">
      <c r="A1185" s="1"/>
      <c r="B1185" s="799">
        <f>+DATE(YEAR(B1184),MONTH(B1184)+1,DAY(B1184))</f>
        <v>25569.041666666668</v>
      </c>
      <c r="C1185" s="799">
        <f>+B1186-1</f>
        <v>25569.041666666668</v>
      </c>
      <c r="D1185" s="791">
        <f>-_xlfn.DAYS($C$3,C1185)/365.25</f>
      </c>
      <c r="E1185" s="800">
        <f>IF($D$17+40&lt;=D1185,(1+$D$7)^-(D1185-$C$5),(1+$C$7)^-(D1185-$C$5))</f>
      </c>
      <c r="F1185" s="801">
        <f>IF($C$4="Hombre",(+VLOOKUP(INT(D1185)+1,Tablas!$G$9:$K$1240,5,0)*(D1185-INT(D1185))+VLOOKUP(INT(D1185),Tablas!$G$9:$K$1240,5,0)*(INT(D1185)+1-D1185))/(VLOOKUP(INT($C$5)+1,Tablas!$G$9:$K$1240,5,0)*($C$5-INT($C$5))+VLOOKUP(INT($C$5),Tablas!$G$9:$K$124,5,0)*(INT($C$5)+1-$C$5)),(+VLOOKUP(INT(D1185)+1,Tablas!$G$9:$O$1240,9,0)*(D1185-INT(D1185))+VLOOKUP(INT(D1185),Tablas!$G$9:$O$1240,9,0)*(INT(D1185)+1-D1185))/(VLOOKUP(INT($C$5)+1,Tablas!$G$9:$O$1240,9,0)*($C$5-INT($C$5))+VLOOKUP(INT($C$5),Tablas!$G$9:$O$124,9,0)*(INT($C$5)+1-$C$5)))</f>
      </c>
      <c r="G1185" s="791">
        <f>IF($C$4="Hombre",(+VLOOKUP(INT(D1185)+1,Tablas!$G$9:$K$1240,5,0)*(D1185-INT(D1185))+VLOOKUP(INT(D1185),Tablas!$G$9:$K$1240,5,0)*(INT(D1185)+1-D1185)),+VLOOKUP(INT(D1185)+1,Tablas!$G$9:$O$1240,9,0)*(D1185-INT(D1185))+VLOOKUP(INT(D1185),Tablas!$G$9:$O$1240,9,0)*(INT(D1185)+1-D1185))</f>
      </c>
      <c r="H1185" s="801">
        <f>+IF(MONTH(B1185)=1,H1184*(1+$C$9),H1184)</f>
      </c>
      <c r="I1185" s="689">
        <f>IF(B1185&lt;$C$10,0,IF(B1185&lt;$C$11,$C$8/12*E1185*F1185*H1185,0))</f>
      </c>
      <c r="J1185" s="689">
        <f>I1185*12/14+IF(OR(MONTH(C1185)=6,MONTH(C1185)=12),I1185*12/14,0)</f>
      </c>
      <c r="K1185" s="801">
        <f>G1185/$G$15</f>
      </c>
      <c r="L1185" s="760"/>
      <c r="M1185" s="767"/>
      <c r="N1185" s="168"/>
      <c r="O1185" s="768"/>
      <c r="P1185" s="170"/>
      <c r="Q1185" s="7"/>
      <c r="R1185" s="766"/>
      <c r="S1185" s="170"/>
      <c r="T1185" s="168"/>
      <c r="U1185" s="170"/>
    </row>
    <row x14ac:dyDescent="0.25" r="1186" customHeight="1" ht="18.75">
      <c r="A1186" s="1"/>
      <c r="B1186" s="799">
        <f>+DATE(YEAR(B1185),MONTH(B1185)+1,DAY(B1185))</f>
        <v>25569.041666666668</v>
      </c>
      <c r="C1186" s="799">
        <f>+B1187-1</f>
        <v>25569.041666666668</v>
      </c>
      <c r="D1186" s="791">
        <f>-_xlfn.DAYS($C$3,C1186)/365.25</f>
      </c>
      <c r="E1186" s="800">
        <f>IF($D$17+40&lt;=D1186,(1+$D$7)^-(D1186-$C$5),(1+$C$7)^-(D1186-$C$5))</f>
      </c>
      <c r="F1186" s="801">
        <f>IF($C$4="Hombre",(+VLOOKUP(INT(D1186)+1,Tablas!$G$9:$K$1240,5,0)*(D1186-INT(D1186))+VLOOKUP(INT(D1186),Tablas!$G$9:$K$1240,5,0)*(INT(D1186)+1-D1186))/(VLOOKUP(INT($C$5)+1,Tablas!$G$9:$K$1240,5,0)*($C$5-INT($C$5))+VLOOKUP(INT($C$5),Tablas!$G$9:$K$124,5,0)*(INT($C$5)+1-$C$5)),(+VLOOKUP(INT(D1186)+1,Tablas!$G$9:$O$1240,9,0)*(D1186-INT(D1186))+VLOOKUP(INT(D1186),Tablas!$G$9:$O$1240,9,0)*(INT(D1186)+1-D1186))/(VLOOKUP(INT($C$5)+1,Tablas!$G$9:$O$1240,9,0)*($C$5-INT($C$5))+VLOOKUP(INT($C$5),Tablas!$G$9:$O$124,9,0)*(INT($C$5)+1-$C$5)))</f>
      </c>
      <c r="G1186" s="791">
        <f>IF($C$4="Hombre",(+VLOOKUP(INT(D1186)+1,Tablas!$G$9:$K$1240,5,0)*(D1186-INT(D1186))+VLOOKUP(INT(D1186),Tablas!$G$9:$K$1240,5,0)*(INT(D1186)+1-D1186)),+VLOOKUP(INT(D1186)+1,Tablas!$G$9:$O$1240,9,0)*(D1186-INT(D1186))+VLOOKUP(INT(D1186),Tablas!$G$9:$O$1240,9,0)*(INT(D1186)+1-D1186))</f>
      </c>
      <c r="H1186" s="801">
        <f>+IF(MONTH(B1186)=1,H1185*(1+$C$9),H1185)</f>
      </c>
      <c r="I1186" s="689">
        <f>IF(B1186&lt;$C$10,0,IF(B1186&lt;$C$11,$C$8/12*E1186*F1186*H1186,0))</f>
      </c>
      <c r="J1186" s="689">
        <f>I1186*12/14+IF(OR(MONTH(C1186)=6,MONTH(C1186)=12),I1186*12/14,0)</f>
      </c>
      <c r="K1186" s="801">
        <f>G1186/$G$15</f>
      </c>
      <c r="L1186" s="760"/>
      <c r="M1186" s="767"/>
      <c r="N1186" s="168"/>
      <c r="O1186" s="768"/>
      <c r="P1186" s="170"/>
      <c r="Q1186" s="7"/>
      <c r="R1186" s="766"/>
      <c r="S1186" s="170"/>
      <c r="T1186" s="168"/>
      <c r="U1186" s="170"/>
    </row>
    <row x14ac:dyDescent="0.25" r="1187" customHeight="1" ht="18.75">
      <c r="A1187" s="1"/>
      <c r="B1187" s="799">
        <f>+DATE(YEAR(B1186),MONTH(B1186)+1,DAY(B1186))</f>
        <v>25569.041666666668</v>
      </c>
      <c r="C1187" s="799">
        <f>+B1188-1</f>
        <v>25569.041666666668</v>
      </c>
      <c r="D1187" s="791">
        <f>-_xlfn.DAYS($C$3,C1187)/365.25</f>
      </c>
      <c r="E1187" s="800">
        <f>IF($D$17+40&lt;=D1187,(1+$D$7)^-(D1187-$C$5),(1+$C$7)^-(D1187-$C$5))</f>
      </c>
      <c r="F1187" s="801">
        <f>IF($C$4="Hombre",(+VLOOKUP(INT(D1187)+1,Tablas!$G$9:$K$1240,5,0)*(D1187-INT(D1187))+VLOOKUP(INT(D1187),Tablas!$G$9:$K$1240,5,0)*(INT(D1187)+1-D1187))/(VLOOKUP(INT($C$5)+1,Tablas!$G$9:$K$1240,5,0)*($C$5-INT($C$5))+VLOOKUP(INT($C$5),Tablas!$G$9:$K$124,5,0)*(INT($C$5)+1-$C$5)),(+VLOOKUP(INT(D1187)+1,Tablas!$G$9:$O$1240,9,0)*(D1187-INT(D1187))+VLOOKUP(INT(D1187),Tablas!$G$9:$O$1240,9,0)*(INT(D1187)+1-D1187))/(VLOOKUP(INT($C$5)+1,Tablas!$G$9:$O$1240,9,0)*($C$5-INT($C$5))+VLOOKUP(INT($C$5),Tablas!$G$9:$O$124,9,0)*(INT($C$5)+1-$C$5)))</f>
      </c>
      <c r="G1187" s="791">
        <f>IF($C$4="Hombre",(+VLOOKUP(INT(D1187)+1,Tablas!$G$9:$K$1240,5,0)*(D1187-INT(D1187))+VLOOKUP(INT(D1187),Tablas!$G$9:$K$1240,5,0)*(INT(D1187)+1-D1187)),+VLOOKUP(INT(D1187)+1,Tablas!$G$9:$O$1240,9,0)*(D1187-INT(D1187))+VLOOKUP(INT(D1187),Tablas!$G$9:$O$1240,9,0)*(INT(D1187)+1-D1187))</f>
      </c>
      <c r="H1187" s="801">
        <f>+IF(MONTH(B1187)=1,H1186*(1+$C$9),H1186)</f>
      </c>
      <c r="I1187" s="689">
        <f>IF(B1187&lt;$C$10,0,IF(B1187&lt;$C$11,$C$8/12*E1187*F1187*H1187,0))</f>
      </c>
      <c r="J1187" s="689">
        <f>I1187*12/14+IF(OR(MONTH(C1187)=6,MONTH(C1187)=12),I1187*12/14,0)</f>
      </c>
      <c r="K1187" s="801">
        <f>G1187/$G$15</f>
      </c>
      <c r="L1187" s="760"/>
      <c r="M1187" s="767"/>
      <c r="N1187" s="168"/>
      <c r="O1187" s="768"/>
      <c r="P1187" s="170"/>
      <c r="Q1187" s="7"/>
      <c r="R1187" s="766"/>
      <c r="S1187" s="170"/>
      <c r="T1187" s="168"/>
      <c r="U1187" s="170"/>
    </row>
    <row x14ac:dyDescent="0.25" r="1188" customHeight="1" ht="18.75">
      <c r="A1188" s="1"/>
      <c r="B1188" s="799">
        <f>+DATE(YEAR(B1187),MONTH(B1187)+1,DAY(B1187))</f>
        <v>25569.041666666668</v>
      </c>
      <c r="C1188" s="799">
        <f>+B1189-1</f>
        <v>25569.041666666668</v>
      </c>
      <c r="D1188" s="791">
        <f>-_xlfn.DAYS($C$3,C1188)/365.25</f>
      </c>
      <c r="E1188" s="800">
        <f>IF($D$17+40&lt;=D1188,(1+$D$7)^-(D1188-$C$5),(1+$C$7)^-(D1188-$C$5))</f>
      </c>
      <c r="F1188" s="801">
        <f>IF($C$4="Hombre",(+VLOOKUP(INT(D1188)+1,Tablas!$G$9:$K$1240,5,0)*(D1188-INT(D1188))+VLOOKUP(INT(D1188),Tablas!$G$9:$K$1240,5,0)*(INT(D1188)+1-D1188))/(VLOOKUP(INT($C$5)+1,Tablas!$G$9:$K$1240,5,0)*($C$5-INT($C$5))+VLOOKUP(INT($C$5),Tablas!$G$9:$K$124,5,0)*(INT($C$5)+1-$C$5)),(+VLOOKUP(INT(D1188)+1,Tablas!$G$9:$O$1240,9,0)*(D1188-INT(D1188))+VLOOKUP(INT(D1188),Tablas!$G$9:$O$1240,9,0)*(INT(D1188)+1-D1188))/(VLOOKUP(INT($C$5)+1,Tablas!$G$9:$O$1240,9,0)*($C$5-INT($C$5))+VLOOKUP(INT($C$5),Tablas!$G$9:$O$124,9,0)*(INT($C$5)+1-$C$5)))</f>
      </c>
      <c r="G1188" s="791">
        <f>IF($C$4="Hombre",(+VLOOKUP(INT(D1188)+1,Tablas!$G$9:$K$1240,5,0)*(D1188-INT(D1188))+VLOOKUP(INT(D1188),Tablas!$G$9:$K$1240,5,0)*(INT(D1188)+1-D1188)),+VLOOKUP(INT(D1188)+1,Tablas!$G$9:$O$1240,9,0)*(D1188-INT(D1188))+VLOOKUP(INT(D1188),Tablas!$G$9:$O$1240,9,0)*(INT(D1188)+1-D1188))</f>
      </c>
      <c r="H1188" s="801">
        <f>+IF(MONTH(B1188)=1,H1187*(1+$C$9),H1187)</f>
      </c>
      <c r="I1188" s="689">
        <f>IF(B1188&lt;$C$10,0,IF(B1188&lt;$C$11,$C$8/12*E1188*F1188*H1188,0))</f>
      </c>
      <c r="J1188" s="689">
        <f>I1188*12/14+IF(OR(MONTH(C1188)=6,MONTH(C1188)=12),I1188*12/14,0)</f>
      </c>
      <c r="K1188" s="801">
        <f>G1188/$G$15</f>
      </c>
      <c r="L1188" s="760"/>
      <c r="M1188" s="767"/>
      <c r="N1188" s="168"/>
      <c r="O1188" s="768"/>
      <c r="P1188" s="170"/>
      <c r="Q1188" s="7"/>
      <c r="R1188" s="766"/>
      <c r="S1188" s="170"/>
      <c r="T1188" s="168"/>
      <c r="U1188" s="170"/>
    </row>
    <row x14ac:dyDescent="0.25" r="1189" customHeight="1" ht="18.75">
      <c r="A1189" s="1"/>
      <c r="B1189" s="799">
        <f>+DATE(YEAR(B1188),MONTH(B1188)+1,DAY(B1188))</f>
        <v>25569.041666666668</v>
      </c>
      <c r="C1189" s="799">
        <f>+B1190-1</f>
        <v>25569.041666666668</v>
      </c>
      <c r="D1189" s="791">
        <f>-_xlfn.DAYS($C$3,C1189)/365.25</f>
      </c>
      <c r="E1189" s="800">
        <f>IF($D$17+40&lt;=D1189,(1+$D$7)^-(D1189-$C$5),(1+$C$7)^-(D1189-$C$5))</f>
      </c>
      <c r="F1189" s="801">
        <f>IF($C$4="Hombre",(+VLOOKUP(INT(D1189)+1,Tablas!$G$9:$K$1240,5,0)*(D1189-INT(D1189))+VLOOKUP(INT(D1189),Tablas!$G$9:$K$1240,5,0)*(INT(D1189)+1-D1189))/(VLOOKUP(INT($C$5)+1,Tablas!$G$9:$K$1240,5,0)*($C$5-INT($C$5))+VLOOKUP(INT($C$5),Tablas!$G$9:$K$124,5,0)*(INT($C$5)+1-$C$5)),(+VLOOKUP(INT(D1189)+1,Tablas!$G$9:$O$1240,9,0)*(D1189-INT(D1189))+VLOOKUP(INT(D1189),Tablas!$G$9:$O$1240,9,0)*(INT(D1189)+1-D1189))/(VLOOKUP(INT($C$5)+1,Tablas!$G$9:$O$1240,9,0)*($C$5-INT($C$5))+VLOOKUP(INT($C$5),Tablas!$G$9:$O$124,9,0)*(INT($C$5)+1-$C$5)))</f>
      </c>
      <c r="G1189" s="791">
        <f>IF($C$4="Hombre",(+VLOOKUP(INT(D1189)+1,Tablas!$G$9:$K$1240,5,0)*(D1189-INT(D1189))+VLOOKUP(INT(D1189),Tablas!$G$9:$K$1240,5,0)*(INT(D1189)+1-D1189)),+VLOOKUP(INT(D1189)+1,Tablas!$G$9:$O$1240,9,0)*(D1189-INT(D1189))+VLOOKUP(INT(D1189),Tablas!$G$9:$O$1240,9,0)*(INT(D1189)+1-D1189))</f>
      </c>
      <c r="H1189" s="801">
        <f>+IF(MONTH(B1189)=1,H1188*(1+$C$9),H1188)</f>
      </c>
      <c r="I1189" s="689">
        <f>IF(B1189&lt;$C$10,0,IF(B1189&lt;$C$11,$C$8/12*E1189*F1189*H1189,0))</f>
      </c>
      <c r="J1189" s="689">
        <f>I1189*12/14+IF(OR(MONTH(C1189)=6,MONTH(C1189)=12),I1189*12/14,0)</f>
      </c>
      <c r="K1189" s="801">
        <f>G1189/$G$15</f>
      </c>
      <c r="L1189" s="760"/>
      <c r="M1189" s="767"/>
      <c r="N1189" s="168"/>
      <c r="O1189" s="768"/>
      <c r="P1189" s="170"/>
      <c r="Q1189" s="7"/>
      <c r="R1189" s="766"/>
      <c r="S1189" s="170"/>
      <c r="T1189" s="168"/>
      <c r="U1189" s="170"/>
    </row>
    <row x14ac:dyDescent="0.25" r="1190" customHeight="1" ht="18.75">
      <c r="A1190" s="1"/>
      <c r="B1190" s="799">
        <f>+DATE(YEAR(B1189),MONTH(B1189)+1,DAY(B1189))</f>
        <v>25569.041666666668</v>
      </c>
      <c r="C1190" s="799">
        <f>+B1191-1</f>
        <v>25569.041666666668</v>
      </c>
      <c r="D1190" s="791">
        <f>-_xlfn.DAYS($C$3,C1190)/365.25</f>
      </c>
      <c r="E1190" s="800">
        <f>IF($D$17+40&lt;=D1190,(1+$D$7)^-(D1190-$C$5),(1+$C$7)^-(D1190-$C$5))</f>
      </c>
      <c r="F1190" s="801">
        <f>IF($C$4="Hombre",(+VLOOKUP(INT(D1190)+1,Tablas!$G$9:$K$1240,5,0)*(D1190-INT(D1190))+VLOOKUP(INT(D1190),Tablas!$G$9:$K$1240,5,0)*(INT(D1190)+1-D1190))/(VLOOKUP(INT($C$5)+1,Tablas!$G$9:$K$1240,5,0)*($C$5-INT($C$5))+VLOOKUP(INT($C$5),Tablas!$G$9:$K$124,5,0)*(INT($C$5)+1-$C$5)),(+VLOOKUP(INT(D1190)+1,Tablas!$G$9:$O$1240,9,0)*(D1190-INT(D1190))+VLOOKUP(INT(D1190),Tablas!$G$9:$O$1240,9,0)*(INT(D1190)+1-D1190))/(VLOOKUP(INT($C$5)+1,Tablas!$G$9:$O$1240,9,0)*($C$5-INT($C$5))+VLOOKUP(INT($C$5),Tablas!$G$9:$O$124,9,0)*(INT($C$5)+1-$C$5)))</f>
      </c>
      <c r="G1190" s="791">
        <f>IF($C$4="Hombre",(+VLOOKUP(INT(D1190)+1,Tablas!$G$9:$K$1240,5,0)*(D1190-INT(D1190))+VLOOKUP(INT(D1190),Tablas!$G$9:$K$1240,5,0)*(INT(D1190)+1-D1190)),+VLOOKUP(INT(D1190)+1,Tablas!$G$9:$O$1240,9,0)*(D1190-INT(D1190))+VLOOKUP(INT(D1190),Tablas!$G$9:$O$1240,9,0)*(INT(D1190)+1-D1190))</f>
      </c>
      <c r="H1190" s="801">
        <f>+IF(MONTH(B1190)=1,H1189*(1+$C$9),H1189)</f>
      </c>
      <c r="I1190" s="689">
        <f>IF(B1190&lt;$C$10,0,IF(B1190&lt;$C$11,$C$8/12*E1190*F1190*H1190,0))</f>
      </c>
      <c r="J1190" s="689">
        <f>I1190*12/14+IF(OR(MONTH(C1190)=6,MONTH(C1190)=12),I1190*12/14,0)</f>
      </c>
      <c r="K1190" s="801">
        <f>G1190/$G$15</f>
      </c>
      <c r="L1190" s="760"/>
      <c r="M1190" s="767"/>
      <c r="N1190" s="168"/>
      <c r="O1190" s="768"/>
      <c r="P1190" s="170"/>
      <c r="Q1190" s="7"/>
      <c r="R1190" s="766"/>
      <c r="S1190" s="170"/>
      <c r="T1190" s="168"/>
      <c r="U1190" s="170"/>
    </row>
    <row x14ac:dyDescent="0.25" r="1191" customHeight="1" ht="18.75">
      <c r="A1191" s="1"/>
      <c r="B1191" s="799">
        <f>+DATE(YEAR(B1190),MONTH(B1190)+1,DAY(B1190))</f>
        <v>25569.041666666668</v>
      </c>
      <c r="C1191" s="799">
        <f>+B1192-1</f>
        <v>25569.041666666668</v>
      </c>
      <c r="D1191" s="791">
        <f>-_xlfn.DAYS($C$3,C1191)/365.25</f>
      </c>
      <c r="E1191" s="800">
        <f>IF($D$17+40&lt;=D1191,(1+$D$7)^-(D1191-$C$5),(1+$C$7)^-(D1191-$C$5))</f>
      </c>
      <c r="F1191" s="801">
        <f>IF($C$4="Hombre",(+VLOOKUP(INT(D1191)+1,Tablas!$G$9:$K$1240,5,0)*(D1191-INT(D1191))+VLOOKUP(INT(D1191),Tablas!$G$9:$K$1240,5,0)*(INT(D1191)+1-D1191))/(VLOOKUP(INT($C$5)+1,Tablas!$G$9:$K$1240,5,0)*($C$5-INT($C$5))+VLOOKUP(INT($C$5),Tablas!$G$9:$K$124,5,0)*(INT($C$5)+1-$C$5)),(+VLOOKUP(INT(D1191)+1,Tablas!$G$9:$O$1240,9,0)*(D1191-INT(D1191))+VLOOKUP(INT(D1191),Tablas!$G$9:$O$1240,9,0)*(INT(D1191)+1-D1191))/(VLOOKUP(INT($C$5)+1,Tablas!$G$9:$O$1240,9,0)*($C$5-INT($C$5))+VLOOKUP(INT($C$5),Tablas!$G$9:$O$124,9,0)*(INT($C$5)+1-$C$5)))</f>
      </c>
      <c r="G1191" s="791">
        <f>IF($C$4="Hombre",(+VLOOKUP(INT(D1191)+1,Tablas!$G$9:$K$1240,5,0)*(D1191-INT(D1191))+VLOOKUP(INT(D1191),Tablas!$G$9:$K$1240,5,0)*(INT(D1191)+1-D1191)),+VLOOKUP(INT(D1191)+1,Tablas!$G$9:$O$1240,9,0)*(D1191-INT(D1191))+VLOOKUP(INT(D1191),Tablas!$G$9:$O$1240,9,0)*(INT(D1191)+1-D1191))</f>
      </c>
      <c r="H1191" s="801">
        <f>+IF(MONTH(B1191)=1,H1190*(1+$C$9),H1190)</f>
      </c>
      <c r="I1191" s="689">
        <f>IF(B1191&lt;$C$10,0,IF(B1191&lt;$C$11,$C$8/12*E1191*F1191*H1191,0))</f>
      </c>
      <c r="J1191" s="689">
        <f>I1191*12/14+IF(OR(MONTH(C1191)=6,MONTH(C1191)=12),I1191*12/14,0)</f>
      </c>
      <c r="K1191" s="801">
        <f>G1191/$G$15</f>
      </c>
      <c r="L1191" s="760"/>
      <c r="M1191" s="767"/>
      <c r="N1191" s="168"/>
      <c r="O1191" s="768"/>
      <c r="P1191" s="170"/>
      <c r="Q1191" s="7"/>
      <c r="R1191" s="766"/>
      <c r="S1191" s="170"/>
      <c r="T1191" s="168"/>
      <c r="U1191" s="170"/>
    </row>
    <row x14ac:dyDescent="0.25" r="1192" customHeight="1" ht="18.75">
      <c r="A1192" s="1"/>
      <c r="B1192" s="799">
        <f>+DATE(YEAR(B1191),MONTH(B1191)+1,DAY(B1191))</f>
        <v>25569.041666666668</v>
      </c>
      <c r="C1192" s="799">
        <f>+B1193-1</f>
        <v>25569.041666666668</v>
      </c>
      <c r="D1192" s="791">
        <f>-_xlfn.DAYS($C$3,C1192)/365.25</f>
      </c>
      <c r="E1192" s="800">
        <f>IF($D$17+40&lt;=D1192,(1+$D$7)^-(D1192-$C$5),(1+$C$7)^-(D1192-$C$5))</f>
      </c>
      <c r="F1192" s="801">
        <f>IF($C$4="Hombre",(+VLOOKUP(INT(D1192)+1,Tablas!$G$9:$K$1240,5,0)*(D1192-INT(D1192))+VLOOKUP(INT(D1192),Tablas!$G$9:$K$1240,5,0)*(INT(D1192)+1-D1192))/(VLOOKUP(INT($C$5)+1,Tablas!$G$9:$K$1240,5,0)*($C$5-INT($C$5))+VLOOKUP(INT($C$5),Tablas!$G$9:$K$124,5,0)*(INT($C$5)+1-$C$5)),(+VLOOKUP(INT(D1192)+1,Tablas!$G$9:$O$1240,9,0)*(D1192-INT(D1192))+VLOOKUP(INT(D1192),Tablas!$G$9:$O$1240,9,0)*(INT(D1192)+1-D1192))/(VLOOKUP(INT($C$5)+1,Tablas!$G$9:$O$1240,9,0)*($C$5-INT($C$5))+VLOOKUP(INT($C$5),Tablas!$G$9:$O$124,9,0)*(INT($C$5)+1-$C$5)))</f>
      </c>
      <c r="G1192" s="791">
        <f>IF($C$4="Hombre",(+VLOOKUP(INT(D1192)+1,Tablas!$G$9:$K$1240,5,0)*(D1192-INT(D1192))+VLOOKUP(INT(D1192),Tablas!$G$9:$K$1240,5,0)*(INT(D1192)+1-D1192)),+VLOOKUP(INT(D1192)+1,Tablas!$G$9:$O$1240,9,0)*(D1192-INT(D1192))+VLOOKUP(INT(D1192),Tablas!$G$9:$O$1240,9,0)*(INT(D1192)+1-D1192))</f>
      </c>
      <c r="H1192" s="801">
        <f>+IF(MONTH(B1192)=1,H1191*(1+$C$9),H1191)</f>
      </c>
      <c r="I1192" s="689">
        <f>IF(B1192&lt;$C$10,0,IF(B1192&lt;$C$11,$C$8/12*E1192*F1192*H1192,0))</f>
      </c>
      <c r="J1192" s="689">
        <f>I1192*12/14+IF(OR(MONTH(C1192)=6,MONTH(C1192)=12),I1192*12/14,0)</f>
      </c>
      <c r="K1192" s="801">
        <f>G1192/$G$15</f>
      </c>
      <c r="L1192" s="760"/>
      <c r="M1192" s="767"/>
      <c r="N1192" s="168"/>
      <c r="O1192" s="768"/>
      <c r="P1192" s="170"/>
      <c r="Q1192" s="7"/>
      <c r="R1192" s="766"/>
      <c r="S1192" s="170"/>
      <c r="T1192" s="168"/>
      <c r="U1192" s="170"/>
    </row>
    <row x14ac:dyDescent="0.25" r="1193" customHeight="1" ht="18.75">
      <c r="A1193" s="1"/>
      <c r="B1193" s="799">
        <f>+DATE(YEAR(B1192),MONTH(B1192)+1,DAY(B1192))</f>
        <v>25569.041666666668</v>
      </c>
      <c r="C1193" s="799">
        <f>+B1194-1</f>
        <v>25569.041666666668</v>
      </c>
      <c r="D1193" s="791">
        <f>-_xlfn.DAYS($C$3,C1193)/365.25</f>
      </c>
      <c r="E1193" s="800">
        <f>IF($D$17+40&lt;=D1193,(1+$D$7)^-(D1193-$C$5),(1+$C$7)^-(D1193-$C$5))</f>
      </c>
      <c r="F1193" s="801">
        <f>IF($C$4="Hombre",(+VLOOKUP(INT(D1193)+1,Tablas!$G$9:$K$1240,5,0)*(D1193-INT(D1193))+VLOOKUP(INT(D1193),Tablas!$G$9:$K$1240,5,0)*(INT(D1193)+1-D1193))/(VLOOKUP(INT($C$5)+1,Tablas!$G$9:$K$1240,5,0)*($C$5-INT($C$5))+VLOOKUP(INT($C$5),Tablas!$G$9:$K$124,5,0)*(INT($C$5)+1-$C$5)),(+VLOOKUP(INT(D1193)+1,Tablas!$G$9:$O$1240,9,0)*(D1193-INT(D1193))+VLOOKUP(INT(D1193),Tablas!$G$9:$O$1240,9,0)*(INT(D1193)+1-D1193))/(VLOOKUP(INT($C$5)+1,Tablas!$G$9:$O$1240,9,0)*($C$5-INT($C$5))+VLOOKUP(INT($C$5),Tablas!$G$9:$O$124,9,0)*(INT($C$5)+1-$C$5)))</f>
      </c>
      <c r="G1193" s="791">
        <f>IF($C$4="Hombre",(+VLOOKUP(INT(D1193)+1,Tablas!$G$9:$K$1240,5,0)*(D1193-INT(D1193))+VLOOKUP(INT(D1193),Tablas!$G$9:$K$1240,5,0)*(INT(D1193)+1-D1193)),+VLOOKUP(INT(D1193)+1,Tablas!$G$9:$O$1240,9,0)*(D1193-INT(D1193))+VLOOKUP(INT(D1193),Tablas!$G$9:$O$1240,9,0)*(INT(D1193)+1-D1193))</f>
      </c>
      <c r="H1193" s="801">
        <f>+IF(MONTH(B1193)=1,H1192*(1+$C$9),H1192)</f>
      </c>
      <c r="I1193" s="689">
        <f>IF(B1193&lt;$C$10,0,IF(B1193&lt;$C$11,$C$8/12*E1193*F1193*H1193,0))</f>
      </c>
      <c r="J1193" s="689">
        <f>I1193*12/14+IF(OR(MONTH(C1193)=6,MONTH(C1193)=12),I1193*12/14,0)</f>
      </c>
      <c r="K1193" s="801">
        <f>G1193/$G$15</f>
      </c>
      <c r="L1193" s="760"/>
      <c r="M1193" s="767"/>
      <c r="N1193" s="168"/>
      <c r="O1193" s="768"/>
      <c r="P1193" s="170"/>
      <c r="Q1193" s="7"/>
      <c r="R1193" s="766"/>
      <c r="S1193" s="170"/>
      <c r="T1193" s="168"/>
      <c r="U1193" s="170"/>
    </row>
    <row x14ac:dyDescent="0.25" r="1194" customHeight="1" ht="18.75">
      <c r="A1194" s="1"/>
      <c r="B1194" s="799">
        <f>+DATE(YEAR(B1193),MONTH(B1193)+1,DAY(B1193))</f>
        <v>25569.041666666668</v>
      </c>
      <c r="C1194" s="799">
        <f>+B1195-1</f>
        <v>25569.041666666668</v>
      </c>
      <c r="D1194" s="791">
        <f>-_xlfn.DAYS($C$3,C1194)/365.25</f>
      </c>
      <c r="E1194" s="800">
        <f>IF($D$17+40&lt;=D1194,(1+$D$7)^-(D1194-$C$5),(1+$C$7)^-(D1194-$C$5))</f>
      </c>
      <c r="F1194" s="801">
        <f>IF($C$4="Hombre",(+VLOOKUP(INT(D1194)+1,Tablas!$G$9:$K$1240,5,0)*(D1194-INT(D1194))+VLOOKUP(INT(D1194),Tablas!$G$9:$K$1240,5,0)*(INT(D1194)+1-D1194))/(VLOOKUP(INT($C$5)+1,Tablas!$G$9:$K$1240,5,0)*($C$5-INT($C$5))+VLOOKUP(INT($C$5),Tablas!$G$9:$K$124,5,0)*(INT($C$5)+1-$C$5)),(+VLOOKUP(INT(D1194)+1,Tablas!$G$9:$O$1240,9,0)*(D1194-INT(D1194))+VLOOKUP(INT(D1194),Tablas!$G$9:$O$1240,9,0)*(INT(D1194)+1-D1194))/(VLOOKUP(INT($C$5)+1,Tablas!$G$9:$O$1240,9,0)*($C$5-INT($C$5))+VLOOKUP(INT($C$5),Tablas!$G$9:$O$124,9,0)*(INT($C$5)+1-$C$5)))</f>
      </c>
      <c r="G1194" s="791">
        <f>IF($C$4="Hombre",(+VLOOKUP(INT(D1194)+1,Tablas!$G$9:$K$1240,5,0)*(D1194-INT(D1194))+VLOOKUP(INT(D1194),Tablas!$G$9:$K$1240,5,0)*(INT(D1194)+1-D1194)),+VLOOKUP(INT(D1194)+1,Tablas!$G$9:$O$1240,9,0)*(D1194-INT(D1194))+VLOOKUP(INT(D1194),Tablas!$G$9:$O$1240,9,0)*(INT(D1194)+1-D1194))</f>
      </c>
      <c r="H1194" s="801">
        <f>+IF(MONTH(B1194)=1,H1193*(1+$C$9),H1193)</f>
      </c>
      <c r="I1194" s="689">
        <f>IF(B1194&lt;$C$10,0,IF(B1194&lt;$C$11,$C$8/12*E1194*F1194*H1194,0))</f>
      </c>
      <c r="J1194" s="689">
        <f>I1194*12/14+IF(OR(MONTH(C1194)=6,MONTH(C1194)=12),I1194*12/14,0)</f>
      </c>
      <c r="K1194" s="801">
        <f>G1194/$G$15</f>
      </c>
      <c r="L1194" s="760"/>
      <c r="M1194" s="767"/>
      <c r="N1194" s="168"/>
      <c r="O1194" s="768"/>
      <c r="P1194" s="170"/>
      <c r="Q1194" s="7"/>
      <c r="R1194" s="766"/>
      <c r="S1194" s="170"/>
      <c r="T1194" s="168"/>
      <c r="U1194" s="170"/>
    </row>
    <row x14ac:dyDescent="0.25" r="1195" customHeight="1" ht="18.75">
      <c r="A1195" s="1"/>
      <c r="B1195" s="799">
        <f>+DATE(YEAR(B1194),MONTH(B1194)+1,DAY(B1194))</f>
        <v>25569.041666666668</v>
      </c>
      <c r="C1195" s="799">
        <f>+B1196-1</f>
        <v>25569.041666666668</v>
      </c>
      <c r="D1195" s="791">
        <f>-_xlfn.DAYS($C$3,C1195)/365.25</f>
      </c>
      <c r="E1195" s="800">
        <f>IF($D$17+40&lt;=D1195,(1+$D$7)^-(D1195-$C$5),(1+$C$7)^-(D1195-$C$5))</f>
      </c>
      <c r="F1195" s="801">
        <f>IF($C$4="Hombre",(+VLOOKUP(INT(D1195)+1,Tablas!$G$9:$K$1240,5,0)*(D1195-INT(D1195))+VLOOKUP(INT(D1195),Tablas!$G$9:$K$1240,5,0)*(INT(D1195)+1-D1195))/(VLOOKUP(INT($C$5)+1,Tablas!$G$9:$K$1240,5,0)*($C$5-INT($C$5))+VLOOKUP(INT($C$5),Tablas!$G$9:$K$124,5,0)*(INT($C$5)+1-$C$5)),(+VLOOKUP(INT(D1195)+1,Tablas!$G$9:$O$1240,9,0)*(D1195-INT(D1195))+VLOOKUP(INT(D1195),Tablas!$G$9:$O$1240,9,0)*(INT(D1195)+1-D1195))/(VLOOKUP(INT($C$5)+1,Tablas!$G$9:$O$1240,9,0)*($C$5-INT($C$5))+VLOOKUP(INT($C$5),Tablas!$G$9:$O$124,9,0)*(INT($C$5)+1-$C$5)))</f>
      </c>
      <c r="G1195" s="791">
        <f>IF($C$4="Hombre",(+VLOOKUP(INT(D1195)+1,Tablas!$G$9:$K$1240,5,0)*(D1195-INT(D1195))+VLOOKUP(INT(D1195),Tablas!$G$9:$K$1240,5,0)*(INT(D1195)+1-D1195)),+VLOOKUP(INT(D1195)+1,Tablas!$G$9:$O$1240,9,0)*(D1195-INT(D1195))+VLOOKUP(INT(D1195),Tablas!$G$9:$O$1240,9,0)*(INT(D1195)+1-D1195))</f>
      </c>
      <c r="H1195" s="801">
        <f>+IF(MONTH(B1195)=1,H1194*(1+$C$9),H1194)</f>
      </c>
      <c r="I1195" s="689">
        <f>IF(B1195&lt;$C$10,0,IF(B1195&lt;$C$11,$C$8/12*E1195*F1195*H1195,0))</f>
      </c>
      <c r="J1195" s="689">
        <f>I1195*12/14+IF(OR(MONTH(C1195)=6,MONTH(C1195)=12),I1195*12/14,0)</f>
      </c>
      <c r="K1195" s="801">
        <f>G1195/$G$15</f>
      </c>
      <c r="L1195" s="760"/>
      <c r="M1195" s="767"/>
      <c r="N1195" s="168"/>
      <c r="O1195" s="768"/>
      <c r="P1195" s="170"/>
      <c r="Q1195" s="7"/>
      <c r="R1195" s="766"/>
      <c r="S1195" s="170"/>
      <c r="T1195" s="168"/>
      <c r="U1195" s="170"/>
    </row>
    <row x14ac:dyDescent="0.25" r="1196" customHeight="1" ht="18.75">
      <c r="A1196" s="1"/>
      <c r="B1196" s="799">
        <f>+DATE(YEAR(B1195),MONTH(B1195)+1,DAY(B1195))</f>
        <v>25569.041666666668</v>
      </c>
      <c r="C1196" s="799">
        <f>+B1197-1</f>
        <v>25569.041666666668</v>
      </c>
      <c r="D1196" s="791">
        <f>-_xlfn.DAYS($C$3,C1196)/365.25</f>
      </c>
      <c r="E1196" s="800">
        <f>IF($D$17+40&lt;=D1196,(1+$D$7)^-(D1196-$C$5),(1+$C$7)^-(D1196-$C$5))</f>
      </c>
      <c r="F1196" s="801">
        <f>IF($C$4="Hombre",(+VLOOKUP(INT(D1196)+1,Tablas!$G$9:$K$1240,5,0)*(D1196-INT(D1196))+VLOOKUP(INT(D1196),Tablas!$G$9:$K$1240,5,0)*(INT(D1196)+1-D1196))/(VLOOKUP(INT($C$5)+1,Tablas!$G$9:$K$1240,5,0)*($C$5-INT($C$5))+VLOOKUP(INT($C$5),Tablas!$G$9:$K$124,5,0)*(INT($C$5)+1-$C$5)),(+VLOOKUP(INT(D1196)+1,Tablas!$G$9:$O$1240,9,0)*(D1196-INT(D1196))+VLOOKUP(INT(D1196),Tablas!$G$9:$O$1240,9,0)*(INT(D1196)+1-D1196))/(VLOOKUP(INT($C$5)+1,Tablas!$G$9:$O$1240,9,0)*($C$5-INT($C$5))+VLOOKUP(INT($C$5),Tablas!$G$9:$O$124,9,0)*(INT($C$5)+1-$C$5)))</f>
      </c>
      <c r="G1196" s="791">
        <f>IF($C$4="Hombre",(+VLOOKUP(INT(D1196)+1,Tablas!$G$9:$K$1240,5,0)*(D1196-INT(D1196))+VLOOKUP(INT(D1196),Tablas!$G$9:$K$1240,5,0)*(INT(D1196)+1-D1196)),+VLOOKUP(INT(D1196)+1,Tablas!$G$9:$O$1240,9,0)*(D1196-INT(D1196))+VLOOKUP(INT(D1196),Tablas!$G$9:$O$1240,9,0)*(INT(D1196)+1-D1196))</f>
      </c>
      <c r="H1196" s="801">
        <f>+IF(MONTH(B1196)=1,H1195*(1+$C$9),H1195)</f>
      </c>
      <c r="I1196" s="689">
        <f>IF(B1196&lt;$C$10,0,IF(B1196&lt;$C$11,$C$8/12*E1196*F1196*H1196,0))</f>
      </c>
      <c r="J1196" s="689">
        <f>I1196*12/14+IF(OR(MONTH(C1196)=6,MONTH(C1196)=12),I1196*12/14,0)</f>
      </c>
      <c r="K1196" s="801">
        <f>G1196/$G$15</f>
      </c>
      <c r="L1196" s="760"/>
      <c r="M1196" s="767"/>
      <c r="N1196" s="168"/>
      <c r="O1196" s="768"/>
      <c r="P1196" s="170"/>
      <c r="Q1196" s="7"/>
      <c r="R1196" s="766"/>
      <c r="S1196" s="170"/>
      <c r="T1196" s="168"/>
      <c r="U1196" s="170"/>
    </row>
    <row x14ac:dyDescent="0.25" r="1197" customHeight="1" ht="18.75">
      <c r="A1197" s="1"/>
      <c r="B1197" s="799">
        <f>+DATE(YEAR(B1196),MONTH(B1196)+1,DAY(B1196))</f>
        <v>25569.041666666668</v>
      </c>
      <c r="C1197" s="799">
        <f>+B1198-1</f>
        <v>25569.041666666668</v>
      </c>
      <c r="D1197" s="791">
        <f>-_xlfn.DAYS($C$3,C1197)/365.25</f>
      </c>
      <c r="E1197" s="800">
        <f>IF($D$17+40&lt;=D1197,(1+$D$7)^-(D1197-$C$5),(1+$C$7)^-(D1197-$C$5))</f>
      </c>
      <c r="F1197" s="801">
        <f>IF($C$4="Hombre",(+VLOOKUP(INT(D1197)+1,Tablas!$G$9:$K$1240,5,0)*(D1197-INT(D1197))+VLOOKUP(INT(D1197),Tablas!$G$9:$K$1240,5,0)*(INT(D1197)+1-D1197))/(VLOOKUP(INT($C$5)+1,Tablas!$G$9:$K$1240,5,0)*($C$5-INT($C$5))+VLOOKUP(INT($C$5),Tablas!$G$9:$K$124,5,0)*(INT($C$5)+1-$C$5)),(+VLOOKUP(INT(D1197)+1,Tablas!$G$9:$O$1240,9,0)*(D1197-INT(D1197))+VLOOKUP(INT(D1197),Tablas!$G$9:$O$1240,9,0)*(INT(D1197)+1-D1197))/(VLOOKUP(INT($C$5)+1,Tablas!$G$9:$O$1240,9,0)*($C$5-INT($C$5))+VLOOKUP(INT($C$5),Tablas!$G$9:$O$124,9,0)*(INT($C$5)+1-$C$5)))</f>
      </c>
      <c r="G1197" s="791">
        <f>IF($C$4="Hombre",(+VLOOKUP(INT(D1197)+1,Tablas!$G$9:$K$1240,5,0)*(D1197-INT(D1197))+VLOOKUP(INT(D1197),Tablas!$G$9:$K$1240,5,0)*(INT(D1197)+1-D1197)),+VLOOKUP(INT(D1197)+1,Tablas!$G$9:$O$1240,9,0)*(D1197-INT(D1197))+VLOOKUP(INT(D1197),Tablas!$G$9:$O$1240,9,0)*(INT(D1197)+1-D1197))</f>
      </c>
      <c r="H1197" s="801">
        <f>+IF(MONTH(B1197)=1,H1196*(1+$C$9),H1196)</f>
      </c>
      <c r="I1197" s="689">
        <f>IF(B1197&lt;$C$10,0,IF(B1197&lt;$C$11,$C$8/12*E1197*F1197*H1197,0))</f>
      </c>
      <c r="J1197" s="689">
        <f>I1197*12/14+IF(OR(MONTH(C1197)=6,MONTH(C1197)=12),I1197*12/14,0)</f>
      </c>
      <c r="K1197" s="801">
        <f>G1197/$G$15</f>
      </c>
      <c r="L1197" s="760"/>
      <c r="M1197" s="767"/>
      <c r="N1197" s="168"/>
      <c r="O1197" s="768"/>
      <c r="P1197" s="170"/>
      <c r="Q1197" s="7"/>
      <c r="R1197" s="766"/>
      <c r="S1197" s="170"/>
      <c r="T1197" s="168"/>
      <c r="U1197" s="170"/>
    </row>
    <row x14ac:dyDescent="0.25" r="1198" customHeight="1" ht="18.75">
      <c r="A1198" s="1"/>
      <c r="B1198" s="799">
        <f>+DATE(YEAR(B1197),MONTH(B1197)+1,DAY(B1197))</f>
        <v>25569.041666666668</v>
      </c>
      <c r="C1198" s="799">
        <f>+B1199-1</f>
        <v>25569.041666666668</v>
      </c>
      <c r="D1198" s="791">
        <f>-_xlfn.DAYS($C$3,C1198)/365.25</f>
      </c>
      <c r="E1198" s="800">
        <f>IF($D$17+40&lt;=D1198,(1+$D$7)^-(D1198-$C$5),(1+$C$7)^-(D1198-$C$5))</f>
      </c>
      <c r="F1198" s="801">
        <f>IF($C$4="Hombre",(+VLOOKUP(INT(D1198)+1,Tablas!$G$9:$K$1240,5,0)*(D1198-INT(D1198))+VLOOKUP(INT(D1198),Tablas!$G$9:$K$1240,5,0)*(INT(D1198)+1-D1198))/(VLOOKUP(INT($C$5)+1,Tablas!$G$9:$K$1240,5,0)*($C$5-INT($C$5))+VLOOKUP(INT($C$5),Tablas!$G$9:$K$124,5,0)*(INT($C$5)+1-$C$5)),(+VLOOKUP(INT(D1198)+1,Tablas!$G$9:$O$1240,9,0)*(D1198-INT(D1198))+VLOOKUP(INT(D1198),Tablas!$G$9:$O$1240,9,0)*(INT(D1198)+1-D1198))/(VLOOKUP(INT($C$5)+1,Tablas!$G$9:$O$1240,9,0)*($C$5-INT($C$5))+VLOOKUP(INT($C$5),Tablas!$G$9:$O$124,9,0)*(INT($C$5)+1-$C$5)))</f>
      </c>
      <c r="G1198" s="791">
        <f>IF($C$4="Hombre",(+VLOOKUP(INT(D1198)+1,Tablas!$G$9:$K$1240,5,0)*(D1198-INT(D1198))+VLOOKUP(INT(D1198),Tablas!$G$9:$K$1240,5,0)*(INT(D1198)+1-D1198)),+VLOOKUP(INT(D1198)+1,Tablas!$G$9:$O$1240,9,0)*(D1198-INT(D1198))+VLOOKUP(INT(D1198),Tablas!$G$9:$O$1240,9,0)*(INT(D1198)+1-D1198))</f>
      </c>
      <c r="H1198" s="801">
        <f>+IF(MONTH(B1198)=1,H1197*(1+$C$9),H1197)</f>
      </c>
      <c r="I1198" s="689">
        <f>IF(B1198&lt;$C$10,0,IF(B1198&lt;$C$11,$C$8/12*E1198*F1198*H1198,0))</f>
      </c>
      <c r="J1198" s="689">
        <f>I1198*12/14+IF(OR(MONTH(C1198)=6,MONTH(C1198)=12),I1198*12/14,0)</f>
      </c>
      <c r="K1198" s="801">
        <f>G1198/$G$15</f>
      </c>
      <c r="L1198" s="760"/>
      <c r="M1198" s="767"/>
      <c r="N1198" s="168"/>
      <c r="O1198" s="768"/>
      <c r="P1198" s="170"/>
      <c r="Q1198" s="7"/>
      <c r="R1198" s="766"/>
      <c r="S1198" s="170"/>
      <c r="T1198" s="168"/>
      <c r="U1198" s="170"/>
    </row>
    <row x14ac:dyDescent="0.25" r="1199" customHeight="1" ht="18.75">
      <c r="A1199" s="1"/>
      <c r="B1199" s="799">
        <f>+DATE(YEAR(B1198),MONTH(B1198)+1,DAY(B1198))</f>
        <v>25569.041666666668</v>
      </c>
      <c r="C1199" s="799">
        <f>+B1200-1</f>
        <v>25569.041666666668</v>
      </c>
      <c r="D1199" s="791">
        <f>-_xlfn.DAYS($C$3,C1199)/365.25</f>
      </c>
      <c r="E1199" s="800">
        <f>IF($D$17+40&lt;=D1199,(1+$D$7)^-(D1199-$C$5),(1+$C$7)^-(D1199-$C$5))</f>
      </c>
      <c r="F1199" s="801">
        <f>IF($C$4="Hombre",(+VLOOKUP(INT(D1199)+1,Tablas!$G$9:$K$1240,5,0)*(D1199-INT(D1199))+VLOOKUP(INT(D1199),Tablas!$G$9:$K$1240,5,0)*(INT(D1199)+1-D1199))/(VLOOKUP(INT($C$5)+1,Tablas!$G$9:$K$1240,5,0)*($C$5-INT($C$5))+VLOOKUP(INT($C$5),Tablas!$G$9:$K$124,5,0)*(INT($C$5)+1-$C$5)),(+VLOOKUP(INT(D1199)+1,Tablas!$G$9:$O$1240,9,0)*(D1199-INT(D1199))+VLOOKUP(INT(D1199),Tablas!$G$9:$O$1240,9,0)*(INT(D1199)+1-D1199))/(VLOOKUP(INT($C$5)+1,Tablas!$G$9:$O$1240,9,0)*($C$5-INT($C$5))+VLOOKUP(INT($C$5),Tablas!$G$9:$O$124,9,0)*(INT($C$5)+1-$C$5)))</f>
      </c>
      <c r="G1199" s="791">
        <f>IF($C$4="Hombre",(+VLOOKUP(INT(D1199)+1,Tablas!$G$9:$K$1240,5,0)*(D1199-INT(D1199))+VLOOKUP(INT(D1199),Tablas!$G$9:$K$1240,5,0)*(INT(D1199)+1-D1199)),+VLOOKUP(INT(D1199)+1,Tablas!$G$9:$O$1240,9,0)*(D1199-INT(D1199))+VLOOKUP(INT(D1199),Tablas!$G$9:$O$1240,9,0)*(INT(D1199)+1-D1199))</f>
      </c>
      <c r="H1199" s="801">
        <f>+IF(MONTH(B1199)=1,H1198*(1+$C$9),H1198)</f>
      </c>
      <c r="I1199" s="689">
        <f>IF(B1199&lt;$C$10,0,IF(B1199&lt;$C$11,$C$8/12*E1199*F1199*H1199,0))</f>
      </c>
      <c r="J1199" s="689">
        <f>I1199*12/14+IF(OR(MONTH(C1199)=6,MONTH(C1199)=12),I1199*12/14,0)</f>
      </c>
      <c r="K1199" s="801">
        <f>G1199/$G$15</f>
      </c>
      <c r="L1199" s="760"/>
      <c r="M1199" s="767"/>
      <c r="N1199" s="168"/>
      <c r="O1199" s="768"/>
      <c r="P1199" s="170"/>
      <c r="Q1199" s="7"/>
      <c r="R1199" s="766"/>
      <c r="S1199" s="170"/>
      <c r="T1199" s="168"/>
      <c r="U1199" s="170"/>
    </row>
    <row x14ac:dyDescent="0.25" r="1200" customHeight="1" ht="18.75">
      <c r="A1200" s="1"/>
      <c r="B1200" s="799">
        <f>+DATE(YEAR(B1199),MONTH(B1199)+1,DAY(B1199))</f>
        <v>25569.041666666668</v>
      </c>
      <c r="C1200" s="799">
        <f>+B1201-1</f>
        <v>25569.041666666668</v>
      </c>
      <c r="D1200" s="791">
        <f>-_xlfn.DAYS($C$3,C1200)/365.25</f>
      </c>
      <c r="E1200" s="800">
        <f>IF($D$17+40&lt;=D1200,(1+$D$7)^-(D1200-$C$5),(1+$C$7)^-(D1200-$C$5))</f>
      </c>
      <c r="F1200" s="801">
        <f>IF($C$4="Hombre",(+VLOOKUP(INT(D1200)+1,Tablas!$G$9:$K$1240,5,0)*(D1200-INT(D1200))+VLOOKUP(INT(D1200),Tablas!$G$9:$K$1240,5,0)*(INT(D1200)+1-D1200))/(VLOOKUP(INT($C$5)+1,Tablas!$G$9:$K$1240,5,0)*($C$5-INT($C$5))+VLOOKUP(INT($C$5),Tablas!$G$9:$K$124,5,0)*(INT($C$5)+1-$C$5)),(+VLOOKUP(INT(D1200)+1,Tablas!$G$9:$O$1240,9,0)*(D1200-INT(D1200))+VLOOKUP(INT(D1200),Tablas!$G$9:$O$1240,9,0)*(INT(D1200)+1-D1200))/(VLOOKUP(INT($C$5)+1,Tablas!$G$9:$O$1240,9,0)*($C$5-INT($C$5))+VLOOKUP(INT($C$5),Tablas!$G$9:$O$124,9,0)*(INT($C$5)+1-$C$5)))</f>
      </c>
      <c r="G1200" s="791">
        <f>IF($C$4="Hombre",(+VLOOKUP(INT(D1200)+1,Tablas!$G$9:$K$1240,5,0)*(D1200-INT(D1200))+VLOOKUP(INT(D1200),Tablas!$G$9:$K$1240,5,0)*(INT(D1200)+1-D1200)),+VLOOKUP(INT(D1200)+1,Tablas!$G$9:$O$1240,9,0)*(D1200-INT(D1200))+VLOOKUP(INT(D1200),Tablas!$G$9:$O$1240,9,0)*(INT(D1200)+1-D1200))</f>
      </c>
      <c r="H1200" s="801">
        <f>+IF(MONTH(B1200)=1,H1199*(1+$C$9),H1199)</f>
      </c>
      <c r="I1200" s="689">
        <f>IF(B1200&lt;$C$10,0,IF(B1200&lt;$C$11,$C$8/12*E1200*F1200*H1200,0))</f>
      </c>
      <c r="J1200" s="689">
        <f>I1200*12/14+IF(OR(MONTH(C1200)=6,MONTH(C1200)=12),I1200*12/14,0)</f>
      </c>
      <c r="K1200" s="801">
        <f>G1200/$G$15</f>
      </c>
      <c r="L1200" s="760"/>
      <c r="M1200" s="767"/>
      <c r="N1200" s="168"/>
      <c r="O1200" s="768"/>
      <c r="P1200" s="170"/>
      <c r="Q1200" s="7"/>
      <c r="R1200" s="766"/>
      <c r="S1200" s="170"/>
      <c r="T1200" s="168"/>
      <c r="U1200" s="170"/>
    </row>
    <row x14ac:dyDescent="0.25" r="1201" customHeight="1" ht="18.75">
      <c r="A1201" s="1"/>
      <c r="B1201" s="799">
        <f>+DATE(YEAR(B1200),MONTH(B1200)+1,DAY(B1200))</f>
        <v>25569.041666666668</v>
      </c>
      <c r="C1201" s="799">
        <f>+B1202-1</f>
        <v>25569.041666666668</v>
      </c>
      <c r="D1201" s="791">
        <f>-_xlfn.DAYS($C$3,C1201)/365.25</f>
      </c>
      <c r="E1201" s="800">
        <f>IF($D$17+40&lt;=D1201,(1+$D$7)^-(D1201-$C$5),(1+$C$7)^-(D1201-$C$5))</f>
      </c>
      <c r="F1201" s="801">
        <f>IF($C$4="Hombre",(+VLOOKUP(INT(D1201)+1,Tablas!$G$9:$K$1240,5,0)*(D1201-INT(D1201))+VLOOKUP(INT(D1201),Tablas!$G$9:$K$1240,5,0)*(INT(D1201)+1-D1201))/(VLOOKUP(INT($C$5)+1,Tablas!$G$9:$K$1240,5,0)*($C$5-INT($C$5))+VLOOKUP(INT($C$5),Tablas!$G$9:$K$124,5,0)*(INT($C$5)+1-$C$5)),(+VLOOKUP(INT(D1201)+1,Tablas!$G$9:$O$1240,9,0)*(D1201-INT(D1201))+VLOOKUP(INT(D1201),Tablas!$G$9:$O$1240,9,0)*(INT(D1201)+1-D1201))/(VLOOKUP(INT($C$5)+1,Tablas!$G$9:$O$1240,9,0)*($C$5-INT($C$5))+VLOOKUP(INT($C$5),Tablas!$G$9:$O$124,9,0)*(INT($C$5)+1-$C$5)))</f>
      </c>
      <c r="G1201" s="791">
        <f>IF($C$4="Hombre",(+VLOOKUP(INT(D1201)+1,Tablas!$G$9:$K$1240,5,0)*(D1201-INT(D1201))+VLOOKUP(INT(D1201),Tablas!$G$9:$K$1240,5,0)*(INT(D1201)+1-D1201)),+VLOOKUP(INT(D1201)+1,Tablas!$G$9:$O$1240,9,0)*(D1201-INT(D1201))+VLOOKUP(INT(D1201),Tablas!$G$9:$O$1240,9,0)*(INT(D1201)+1-D1201))</f>
      </c>
      <c r="H1201" s="801">
        <f>+IF(MONTH(B1201)=1,H1200*(1+$C$9),H1200)</f>
      </c>
      <c r="I1201" s="689">
        <f>IF(B1201&lt;$C$10,0,IF(B1201&lt;$C$11,$C$8/12*E1201*F1201*H1201,0))</f>
      </c>
      <c r="J1201" s="689">
        <f>I1201*12/14+IF(OR(MONTH(C1201)=6,MONTH(C1201)=12),I1201*12/14,0)</f>
      </c>
      <c r="K1201" s="801">
        <f>G1201/$G$15</f>
      </c>
      <c r="L1201" s="760"/>
      <c r="M1201" s="767"/>
      <c r="N1201" s="168"/>
      <c r="O1201" s="768"/>
      <c r="P1201" s="170"/>
      <c r="Q1201" s="7"/>
      <c r="R1201" s="766"/>
      <c r="S1201" s="170"/>
      <c r="T1201" s="168"/>
      <c r="U1201" s="170"/>
    </row>
    <row x14ac:dyDescent="0.25" r="1202" customHeight="1" ht="18.75">
      <c r="A1202" s="1"/>
      <c r="B1202" s="799">
        <f>+DATE(YEAR(B1201),MONTH(B1201)+1,DAY(B1201))</f>
        <v>25569.041666666668</v>
      </c>
      <c r="C1202" s="799">
        <f>+B1203-1</f>
        <v>25569.041666666668</v>
      </c>
      <c r="D1202" s="791">
        <f>-_xlfn.DAYS($C$3,C1202)/365.25</f>
      </c>
      <c r="E1202" s="800">
        <f>IF($D$17+40&lt;=D1202,(1+$D$7)^-(D1202-$C$5),(1+$C$7)^-(D1202-$C$5))</f>
      </c>
      <c r="F1202" s="801">
        <f>IF($C$4="Hombre",(+VLOOKUP(INT(D1202)+1,Tablas!$G$9:$K$1240,5,0)*(D1202-INT(D1202))+VLOOKUP(INT(D1202),Tablas!$G$9:$K$1240,5,0)*(INT(D1202)+1-D1202))/(VLOOKUP(INT($C$5)+1,Tablas!$G$9:$K$1240,5,0)*($C$5-INT($C$5))+VLOOKUP(INT($C$5),Tablas!$G$9:$K$124,5,0)*(INT($C$5)+1-$C$5)),(+VLOOKUP(INT(D1202)+1,Tablas!$G$9:$O$1240,9,0)*(D1202-INT(D1202))+VLOOKUP(INT(D1202),Tablas!$G$9:$O$1240,9,0)*(INT(D1202)+1-D1202))/(VLOOKUP(INT($C$5)+1,Tablas!$G$9:$O$1240,9,0)*($C$5-INT($C$5))+VLOOKUP(INT($C$5),Tablas!$G$9:$O$124,9,0)*(INT($C$5)+1-$C$5)))</f>
      </c>
      <c r="G1202" s="791">
        <f>IF($C$4="Hombre",(+VLOOKUP(INT(D1202)+1,Tablas!$G$9:$K$1240,5,0)*(D1202-INT(D1202))+VLOOKUP(INT(D1202),Tablas!$G$9:$K$1240,5,0)*(INT(D1202)+1-D1202)),+VLOOKUP(INT(D1202)+1,Tablas!$G$9:$O$1240,9,0)*(D1202-INT(D1202))+VLOOKUP(INT(D1202),Tablas!$G$9:$O$1240,9,0)*(INT(D1202)+1-D1202))</f>
      </c>
      <c r="H1202" s="801">
        <f>+IF(MONTH(B1202)=1,H1201*(1+$C$9),H1201)</f>
      </c>
      <c r="I1202" s="689">
        <f>IF(B1202&lt;$C$10,0,IF(B1202&lt;$C$11,$C$8/12*E1202*F1202*H1202,0))</f>
      </c>
      <c r="J1202" s="689">
        <f>I1202*12/14+IF(OR(MONTH(C1202)=6,MONTH(C1202)=12),I1202*12/14,0)</f>
      </c>
      <c r="K1202" s="801">
        <f>G1202/$G$15</f>
      </c>
      <c r="L1202" s="760"/>
      <c r="M1202" s="767"/>
      <c r="N1202" s="168"/>
      <c r="O1202" s="768"/>
      <c r="P1202" s="170"/>
      <c r="Q1202" s="7"/>
      <c r="R1202" s="766"/>
      <c r="S1202" s="170"/>
      <c r="T1202" s="168"/>
      <c r="U1202" s="170"/>
    </row>
    <row x14ac:dyDescent="0.25" r="1203" customHeight="1" ht="18.75">
      <c r="A1203" s="1"/>
      <c r="B1203" s="799">
        <f>+DATE(YEAR(B1202),MONTH(B1202)+1,DAY(B1202))</f>
        <v>25569.041666666668</v>
      </c>
      <c r="C1203" s="799">
        <f>+B1204-1</f>
        <v>25569.041666666668</v>
      </c>
      <c r="D1203" s="791">
        <f>-_xlfn.DAYS($C$3,C1203)/365.25</f>
      </c>
      <c r="E1203" s="800">
        <f>IF($D$17+40&lt;=D1203,(1+$D$7)^-(D1203-$C$5),(1+$C$7)^-(D1203-$C$5))</f>
      </c>
      <c r="F1203" s="801">
        <f>IF($C$4="Hombre",(+VLOOKUP(INT(D1203)+1,Tablas!$G$9:$K$1240,5,0)*(D1203-INT(D1203))+VLOOKUP(INT(D1203),Tablas!$G$9:$K$1240,5,0)*(INT(D1203)+1-D1203))/(VLOOKUP(INT($C$5)+1,Tablas!$G$9:$K$1240,5,0)*($C$5-INT($C$5))+VLOOKUP(INT($C$5),Tablas!$G$9:$K$124,5,0)*(INT($C$5)+1-$C$5)),(+VLOOKUP(INT(D1203)+1,Tablas!$G$9:$O$1240,9,0)*(D1203-INT(D1203))+VLOOKUP(INT(D1203),Tablas!$G$9:$O$1240,9,0)*(INT(D1203)+1-D1203))/(VLOOKUP(INT($C$5)+1,Tablas!$G$9:$O$1240,9,0)*($C$5-INT($C$5))+VLOOKUP(INT($C$5),Tablas!$G$9:$O$124,9,0)*(INT($C$5)+1-$C$5)))</f>
      </c>
      <c r="G1203" s="791">
        <f>IF($C$4="Hombre",(+VLOOKUP(INT(D1203)+1,Tablas!$G$9:$K$1240,5,0)*(D1203-INT(D1203))+VLOOKUP(INT(D1203),Tablas!$G$9:$K$1240,5,0)*(INT(D1203)+1-D1203)),+VLOOKUP(INT(D1203)+1,Tablas!$G$9:$O$1240,9,0)*(D1203-INT(D1203))+VLOOKUP(INT(D1203),Tablas!$G$9:$O$1240,9,0)*(INT(D1203)+1-D1203))</f>
      </c>
      <c r="H1203" s="801">
        <f>+IF(MONTH(B1203)=1,H1202*(1+$C$9),H1202)</f>
      </c>
      <c r="I1203" s="689">
        <f>IF(B1203&lt;$C$10,0,IF(B1203&lt;$C$11,$C$8/12*E1203*F1203*H1203,0))</f>
      </c>
      <c r="J1203" s="689">
        <f>I1203*12/14+IF(OR(MONTH(C1203)=6,MONTH(C1203)=12),I1203*12/14,0)</f>
      </c>
      <c r="K1203" s="801">
        <f>G1203/$G$15</f>
      </c>
      <c r="L1203" s="760"/>
      <c r="M1203" s="767"/>
      <c r="N1203" s="168"/>
      <c r="O1203" s="768"/>
      <c r="P1203" s="170"/>
      <c r="Q1203" s="7"/>
      <c r="R1203" s="766"/>
      <c r="S1203" s="170"/>
      <c r="T1203" s="168"/>
      <c r="U1203" s="170"/>
    </row>
    <row x14ac:dyDescent="0.25" r="1204" customHeight="1" ht="18.75">
      <c r="A1204" s="1"/>
      <c r="B1204" s="799">
        <f>+DATE(YEAR(B1203),MONTH(B1203)+1,DAY(B1203))</f>
        <v>25569.041666666668</v>
      </c>
      <c r="C1204" s="799">
        <f>+B1205-1</f>
        <v>25569.041666666668</v>
      </c>
      <c r="D1204" s="791">
        <f>-_xlfn.DAYS($C$3,C1204)/365.25</f>
      </c>
      <c r="E1204" s="800">
        <f>IF($D$17+40&lt;=D1204,(1+$D$7)^-(D1204-$C$5),(1+$C$7)^-(D1204-$C$5))</f>
      </c>
      <c r="F1204" s="801">
        <f>IF($C$4="Hombre",(+VLOOKUP(INT(D1204)+1,Tablas!$G$9:$K$1240,5,0)*(D1204-INT(D1204))+VLOOKUP(INT(D1204),Tablas!$G$9:$K$1240,5,0)*(INT(D1204)+1-D1204))/(VLOOKUP(INT($C$5)+1,Tablas!$G$9:$K$1240,5,0)*($C$5-INT($C$5))+VLOOKUP(INT($C$5),Tablas!$G$9:$K$124,5,0)*(INT($C$5)+1-$C$5)),(+VLOOKUP(INT(D1204)+1,Tablas!$G$9:$O$1240,9,0)*(D1204-INT(D1204))+VLOOKUP(INT(D1204),Tablas!$G$9:$O$1240,9,0)*(INT(D1204)+1-D1204))/(VLOOKUP(INT($C$5)+1,Tablas!$G$9:$O$1240,9,0)*($C$5-INT($C$5))+VLOOKUP(INT($C$5),Tablas!$G$9:$O$124,9,0)*(INT($C$5)+1-$C$5)))</f>
      </c>
      <c r="G1204" s="791">
        <f>IF($C$4="Hombre",(+VLOOKUP(INT(D1204)+1,Tablas!$G$9:$K$1240,5,0)*(D1204-INT(D1204))+VLOOKUP(INT(D1204),Tablas!$G$9:$K$1240,5,0)*(INT(D1204)+1-D1204)),+VLOOKUP(INT(D1204)+1,Tablas!$G$9:$O$1240,9,0)*(D1204-INT(D1204))+VLOOKUP(INT(D1204),Tablas!$G$9:$O$1240,9,0)*(INT(D1204)+1-D1204))</f>
      </c>
      <c r="H1204" s="801">
        <f>+IF(MONTH(B1204)=1,H1203*(1+$C$9),H1203)</f>
      </c>
      <c r="I1204" s="689">
        <f>IF(B1204&lt;$C$10,0,IF(B1204&lt;$C$11,$C$8/12*E1204*F1204*H1204,0))</f>
      </c>
      <c r="J1204" s="689">
        <f>I1204*12/14+IF(OR(MONTH(C1204)=6,MONTH(C1204)=12),I1204*12/14,0)</f>
      </c>
      <c r="K1204" s="801">
        <f>G1204/$G$15</f>
      </c>
      <c r="L1204" s="760"/>
      <c r="M1204" s="767"/>
      <c r="N1204" s="168"/>
      <c r="O1204" s="768"/>
      <c r="P1204" s="170"/>
      <c r="Q1204" s="7"/>
      <c r="R1204" s="766"/>
      <c r="S1204" s="170"/>
      <c r="T1204" s="168"/>
      <c r="U1204" s="170"/>
    </row>
    <row x14ac:dyDescent="0.25" r="1205" customHeight="1" ht="18.75">
      <c r="A1205" s="1"/>
      <c r="B1205" s="799">
        <f>+DATE(YEAR(B1204),MONTH(B1204)+1,DAY(B1204))</f>
        <v>25569.041666666668</v>
      </c>
      <c r="C1205" s="799">
        <f>+B1206-1</f>
        <v>25569.041666666668</v>
      </c>
      <c r="D1205" s="791">
        <f>-_xlfn.DAYS($C$3,C1205)/365.25</f>
      </c>
      <c r="E1205" s="800">
        <f>IF($D$17+40&lt;=D1205,(1+$D$7)^-(D1205-$C$5),(1+$C$7)^-(D1205-$C$5))</f>
      </c>
      <c r="F1205" s="801">
        <f>IF($C$4="Hombre",(+VLOOKUP(INT(D1205)+1,Tablas!$G$9:$K$1240,5,0)*(D1205-INT(D1205))+VLOOKUP(INT(D1205),Tablas!$G$9:$K$1240,5,0)*(INT(D1205)+1-D1205))/(VLOOKUP(INT($C$5)+1,Tablas!$G$9:$K$1240,5,0)*($C$5-INT($C$5))+VLOOKUP(INT($C$5),Tablas!$G$9:$K$124,5,0)*(INT($C$5)+1-$C$5)),(+VLOOKUP(INT(D1205)+1,Tablas!$G$9:$O$1240,9,0)*(D1205-INT(D1205))+VLOOKUP(INT(D1205),Tablas!$G$9:$O$1240,9,0)*(INT(D1205)+1-D1205))/(VLOOKUP(INT($C$5)+1,Tablas!$G$9:$O$1240,9,0)*($C$5-INT($C$5))+VLOOKUP(INT($C$5),Tablas!$G$9:$O$124,9,0)*(INT($C$5)+1-$C$5)))</f>
      </c>
      <c r="G1205" s="791">
        <f>IF($C$4="Hombre",(+VLOOKUP(INT(D1205)+1,Tablas!$G$9:$K$1240,5,0)*(D1205-INT(D1205))+VLOOKUP(INT(D1205),Tablas!$G$9:$K$1240,5,0)*(INT(D1205)+1-D1205)),+VLOOKUP(INT(D1205)+1,Tablas!$G$9:$O$1240,9,0)*(D1205-INT(D1205))+VLOOKUP(INT(D1205),Tablas!$G$9:$O$1240,9,0)*(INT(D1205)+1-D1205))</f>
      </c>
      <c r="H1205" s="801">
        <f>+IF(MONTH(B1205)=1,H1204*(1+$C$9),H1204)</f>
      </c>
      <c r="I1205" s="689">
        <f>IF(B1205&lt;$C$10,0,IF(B1205&lt;$C$11,$C$8/12*E1205*F1205*H1205,0))</f>
      </c>
      <c r="J1205" s="689">
        <f>I1205*12/14+IF(OR(MONTH(C1205)=6,MONTH(C1205)=12),I1205*12/14,0)</f>
      </c>
      <c r="K1205" s="801">
        <f>G1205/$G$15</f>
      </c>
      <c r="L1205" s="760"/>
      <c r="M1205" s="767"/>
      <c r="N1205" s="168"/>
      <c r="O1205" s="768"/>
      <c r="P1205" s="170"/>
      <c r="Q1205" s="7"/>
      <c r="R1205" s="766"/>
      <c r="S1205" s="170"/>
      <c r="T1205" s="168"/>
      <c r="U1205" s="170"/>
    </row>
    <row x14ac:dyDescent="0.25" r="1206" customHeight="1" ht="18.75">
      <c r="A1206" s="1"/>
      <c r="B1206" s="799">
        <f>+DATE(YEAR(B1205),MONTH(B1205)+1,DAY(B1205))</f>
        <v>25569.041666666668</v>
      </c>
      <c r="C1206" s="799">
        <f>+B1207-1</f>
        <v>25569.041666666668</v>
      </c>
      <c r="D1206" s="791">
        <f>-_xlfn.DAYS($C$3,C1206)/365.25</f>
      </c>
      <c r="E1206" s="800">
        <f>IF($D$17+40&lt;=D1206,(1+$D$7)^-(D1206-$C$5),(1+$C$7)^-(D1206-$C$5))</f>
      </c>
      <c r="F1206" s="801">
        <f>IF($C$4="Hombre",(+VLOOKUP(INT(D1206)+1,Tablas!$G$9:$K$1240,5,0)*(D1206-INT(D1206))+VLOOKUP(INT(D1206),Tablas!$G$9:$K$1240,5,0)*(INT(D1206)+1-D1206))/(VLOOKUP(INT($C$5)+1,Tablas!$G$9:$K$1240,5,0)*($C$5-INT($C$5))+VLOOKUP(INT($C$5),Tablas!$G$9:$K$124,5,0)*(INT($C$5)+1-$C$5)),(+VLOOKUP(INT(D1206)+1,Tablas!$G$9:$O$1240,9,0)*(D1206-INT(D1206))+VLOOKUP(INT(D1206),Tablas!$G$9:$O$1240,9,0)*(INT(D1206)+1-D1206))/(VLOOKUP(INT($C$5)+1,Tablas!$G$9:$O$1240,9,0)*($C$5-INT($C$5))+VLOOKUP(INT($C$5),Tablas!$G$9:$O$124,9,0)*(INT($C$5)+1-$C$5)))</f>
      </c>
      <c r="G1206" s="791">
        <f>IF($C$4="Hombre",(+VLOOKUP(INT(D1206)+1,Tablas!$G$9:$K$1240,5,0)*(D1206-INT(D1206))+VLOOKUP(INT(D1206),Tablas!$G$9:$K$1240,5,0)*(INT(D1206)+1-D1206)),+VLOOKUP(INT(D1206)+1,Tablas!$G$9:$O$1240,9,0)*(D1206-INT(D1206))+VLOOKUP(INT(D1206),Tablas!$G$9:$O$1240,9,0)*(INT(D1206)+1-D1206))</f>
      </c>
      <c r="H1206" s="801">
        <f>+IF(MONTH(B1206)=1,H1205*(1+$C$9),H1205)</f>
      </c>
      <c r="I1206" s="689">
        <f>IF(B1206&lt;$C$10,0,IF(B1206&lt;$C$11,$C$8/12*E1206*F1206*H1206,0))</f>
      </c>
      <c r="J1206" s="689">
        <f>I1206*12/14+IF(OR(MONTH(C1206)=6,MONTH(C1206)=12),I1206*12/14,0)</f>
      </c>
      <c r="K1206" s="801">
        <f>G1206/$G$15</f>
      </c>
      <c r="L1206" s="760"/>
      <c r="M1206" s="767"/>
      <c r="N1206" s="168"/>
      <c r="O1206" s="768"/>
      <c r="P1206" s="170"/>
      <c r="Q1206" s="7"/>
      <c r="R1206" s="766"/>
      <c r="S1206" s="170"/>
      <c r="T1206" s="168"/>
      <c r="U1206" s="170"/>
    </row>
    <row x14ac:dyDescent="0.25" r="1207" customHeight="1" ht="18.75">
      <c r="A1207" s="1"/>
      <c r="B1207" s="799">
        <f>+DATE(YEAR(B1206),MONTH(B1206)+1,DAY(B1206))</f>
        <v>25569.041666666668</v>
      </c>
      <c r="C1207" s="799">
        <f>+B1208-1</f>
        <v>25569.041666666668</v>
      </c>
      <c r="D1207" s="791">
        <f>-_xlfn.DAYS($C$3,C1207)/365.25</f>
      </c>
      <c r="E1207" s="800">
        <f>IF($D$17+40&lt;=D1207,(1+$D$7)^-(D1207-$C$5),(1+$C$7)^-(D1207-$C$5))</f>
      </c>
      <c r="F1207" s="801">
        <f>IF($C$4="Hombre",(+VLOOKUP(INT(D1207)+1,Tablas!$G$9:$K$1240,5,0)*(D1207-INT(D1207))+VLOOKUP(INT(D1207),Tablas!$G$9:$K$1240,5,0)*(INT(D1207)+1-D1207))/(VLOOKUP(INT($C$5)+1,Tablas!$G$9:$K$1240,5,0)*($C$5-INT($C$5))+VLOOKUP(INT($C$5),Tablas!$G$9:$K$124,5,0)*(INT($C$5)+1-$C$5)),(+VLOOKUP(INT(D1207)+1,Tablas!$G$9:$O$1240,9,0)*(D1207-INT(D1207))+VLOOKUP(INT(D1207),Tablas!$G$9:$O$1240,9,0)*(INT(D1207)+1-D1207))/(VLOOKUP(INT($C$5)+1,Tablas!$G$9:$O$1240,9,0)*($C$5-INT($C$5))+VLOOKUP(INT($C$5),Tablas!$G$9:$O$124,9,0)*(INT($C$5)+1-$C$5)))</f>
      </c>
      <c r="G1207" s="791">
        <f>IF($C$4="Hombre",(+VLOOKUP(INT(D1207)+1,Tablas!$G$9:$K$1240,5,0)*(D1207-INT(D1207))+VLOOKUP(INT(D1207),Tablas!$G$9:$K$1240,5,0)*(INT(D1207)+1-D1207)),+VLOOKUP(INT(D1207)+1,Tablas!$G$9:$O$1240,9,0)*(D1207-INT(D1207))+VLOOKUP(INT(D1207),Tablas!$G$9:$O$1240,9,0)*(INT(D1207)+1-D1207))</f>
      </c>
      <c r="H1207" s="801">
        <f>+IF(MONTH(B1207)=1,H1206*(1+$C$9),H1206)</f>
      </c>
      <c r="I1207" s="689">
        <f>IF(B1207&lt;$C$10,0,IF(B1207&lt;$C$11,$C$8/12*E1207*F1207*H1207,0))</f>
      </c>
      <c r="J1207" s="689">
        <f>I1207*12/14+IF(OR(MONTH(C1207)=6,MONTH(C1207)=12),I1207*12/14,0)</f>
      </c>
      <c r="K1207" s="801">
        <f>G1207/$G$15</f>
      </c>
      <c r="L1207" s="760"/>
      <c r="M1207" s="767"/>
      <c r="N1207" s="168"/>
      <c r="O1207" s="768"/>
      <c r="P1207" s="170"/>
      <c r="Q1207" s="7"/>
      <c r="R1207" s="766"/>
      <c r="S1207" s="170"/>
      <c r="T1207" s="168"/>
      <c r="U1207" s="170"/>
    </row>
    <row x14ac:dyDescent="0.25" r="1208" customHeight="1" ht="18.75">
      <c r="A1208" s="1"/>
      <c r="B1208" s="799">
        <f>+DATE(YEAR(B1207),MONTH(B1207)+1,DAY(B1207))</f>
        <v>25569.041666666668</v>
      </c>
      <c r="C1208" s="799">
        <f>+B1209-1</f>
        <v>25569.041666666668</v>
      </c>
      <c r="D1208" s="791">
        <f>-_xlfn.DAYS($C$3,C1208)/365.25</f>
      </c>
      <c r="E1208" s="800">
        <f>IF($D$17+40&lt;=D1208,(1+$D$7)^-(D1208-$C$5),(1+$C$7)^-(D1208-$C$5))</f>
      </c>
      <c r="F1208" s="801">
        <f>IF($C$4="Hombre",(+VLOOKUP(INT(D1208)+1,Tablas!$G$9:$K$1240,5,0)*(D1208-INT(D1208))+VLOOKUP(INT(D1208),Tablas!$G$9:$K$1240,5,0)*(INT(D1208)+1-D1208))/(VLOOKUP(INT($C$5)+1,Tablas!$G$9:$K$1240,5,0)*($C$5-INT($C$5))+VLOOKUP(INT($C$5),Tablas!$G$9:$K$124,5,0)*(INT($C$5)+1-$C$5)),(+VLOOKUP(INT(D1208)+1,Tablas!$G$9:$O$1240,9,0)*(D1208-INT(D1208))+VLOOKUP(INT(D1208),Tablas!$G$9:$O$1240,9,0)*(INT(D1208)+1-D1208))/(VLOOKUP(INT($C$5)+1,Tablas!$G$9:$O$1240,9,0)*($C$5-INT($C$5))+VLOOKUP(INT($C$5),Tablas!$G$9:$O$124,9,0)*(INT($C$5)+1-$C$5)))</f>
      </c>
      <c r="G1208" s="791">
        <f>IF($C$4="Hombre",(+VLOOKUP(INT(D1208)+1,Tablas!$G$9:$K$1240,5,0)*(D1208-INT(D1208))+VLOOKUP(INT(D1208),Tablas!$G$9:$K$1240,5,0)*(INT(D1208)+1-D1208)),+VLOOKUP(INT(D1208)+1,Tablas!$G$9:$O$1240,9,0)*(D1208-INT(D1208))+VLOOKUP(INT(D1208),Tablas!$G$9:$O$1240,9,0)*(INT(D1208)+1-D1208))</f>
      </c>
      <c r="H1208" s="801">
        <f>+IF(MONTH(B1208)=1,H1207*(1+$C$9),H1207)</f>
      </c>
      <c r="I1208" s="689">
        <f>IF(B1208&lt;$C$10,0,IF(B1208&lt;$C$11,$C$8/12*E1208*F1208*H1208,0))</f>
      </c>
      <c r="J1208" s="689">
        <f>I1208*12/14+IF(OR(MONTH(C1208)=6,MONTH(C1208)=12),I1208*12/14,0)</f>
      </c>
      <c r="K1208" s="801">
        <f>G1208/$G$15</f>
      </c>
      <c r="L1208" s="760"/>
      <c r="M1208" s="767"/>
      <c r="N1208" s="168"/>
      <c r="O1208" s="768"/>
      <c r="P1208" s="170"/>
      <c r="Q1208" s="7"/>
      <c r="R1208" s="766"/>
      <c r="S1208" s="170"/>
      <c r="T1208" s="168"/>
      <c r="U1208" s="170"/>
    </row>
    <row x14ac:dyDescent="0.25" r="1209" customHeight="1" ht="18.75">
      <c r="A1209" s="1"/>
      <c r="B1209" s="799">
        <f>+DATE(YEAR(B1208),MONTH(B1208)+1,DAY(B1208))</f>
        <v>25569.041666666668</v>
      </c>
      <c r="C1209" s="799">
        <f>+B1210-1</f>
        <v>25569.041666666668</v>
      </c>
      <c r="D1209" s="791">
        <f>-_xlfn.DAYS($C$3,C1209)/365.25</f>
      </c>
      <c r="E1209" s="800">
        <f>IF($D$17+40&lt;=D1209,(1+$D$7)^-(D1209-$C$5),(1+$C$7)^-(D1209-$C$5))</f>
      </c>
      <c r="F1209" s="801">
        <f>IF($C$4="Hombre",(+VLOOKUP(INT(D1209)+1,Tablas!$G$9:$K$1240,5,0)*(D1209-INT(D1209))+VLOOKUP(INT(D1209),Tablas!$G$9:$K$1240,5,0)*(INT(D1209)+1-D1209))/(VLOOKUP(INT($C$5)+1,Tablas!$G$9:$K$1240,5,0)*($C$5-INT($C$5))+VLOOKUP(INT($C$5),Tablas!$G$9:$K$124,5,0)*(INT($C$5)+1-$C$5)),(+VLOOKUP(INT(D1209)+1,Tablas!$G$9:$O$1240,9,0)*(D1209-INT(D1209))+VLOOKUP(INT(D1209),Tablas!$G$9:$O$1240,9,0)*(INT(D1209)+1-D1209))/(VLOOKUP(INT($C$5)+1,Tablas!$G$9:$O$1240,9,0)*($C$5-INT($C$5))+VLOOKUP(INT($C$5),Tablas!$G$9:$O$124,9,0)*(INT($C$5)+1-$C$5)))</f>
      </c>
      <c r="G1209" s="791">
        <f>IF($C$4="Hombre",(+VLOOKUP(INT(D1209)+1,Tablas!$G$9:$K$1240,5,0)*(D1209-INT(D1209))+VLOOKUP(INT(D1209),Tablas!$G$9:$K$1240,5,0)*(INT(D1209)+1-D1209)),+VLOOKUP(INT(D1209)+1,Tablas!$G$9:$O$1240,9,0)*(D1209-INT(D1209))+VLOOKUP(INT(D1209),Tablas!$G$9:$O$1240,9,0)*(INT(D1209)+1-D1209))</f>
      </c>
      <c r="H1209" s="801">
        <f>+IF(MONTH(B1209)=1,H1208*(1+$C$9),H1208)</f>
      </c>
      <c r="I1209" s="689">
        <f>IF(B1209&lt;$C$10,0,IF(B1209&lt;$C$11,$C$8/12*E1209*F1209*H1209,0))</f>
      </c>
      <c r="J1209" s="689">
        <f>I1209*12/14+IF(OR(MONTH(C1209)=6,MONTH(C1209)=12),I1209*12/14,0)</f>
      </c>
      <c r="K1209" s="801">
        <f>G1209/$G$15</f>
      </c>
      <c r="L1209" s="760"/>
      <c r="M1209" s="767"/>
      <c r="N1209" s="168"/>
      <c r="O1209" s="768"/>
      <c r="P1209" s="170"/>
      <c r="Q1209" s="7"/>
      <c r="R1209" s="766"/>
      <c r="S1209" s="170"/>
      <c r="T1209" s="168"/>
      <c r="U1209" s="170"/>
    </row>
    <row x14ac:dyDescent="0.25" r="1210" customHeight="1" ht="18.75">
      <c r="A1210" s="1"/>
      <c r="B1210" s="799">
        <f>+DATE(YEAR(B1209),MONTH(B1209)+1,DAY(B1209))</f>
        <v>25569.041666666668</v>
      </c>
      <c r="C1210" s="799">
        <f>+B1211-1</f>
        <v>25569.041666666668</v>
      </c>
      <c r="D1210" s="791">
        <f>-_xlfn.DAYS($C$3,C1210)/365.25</f>
      </c>
      <c r="E1210" s="800">
        <f>IF($D$17+40&lt;=D1210,(1+$D$7)^-(D1210-$C$5),(1+$C$7)^-(D1210-$C$5))</f>
      </c>
      <c r="F1210" s="801">
        <f>IF($C$4="Hombre",(+VLOOKUP(INT(D1210)+1,Tablas!$G$9:$K$1240,5,0)*(D1210-INT(D1210))+VLOOKUP(INT(D1210),Tablas!$G$9:$K$1240,5,0)*(INT(D1210)+1-D1210))/(VLOOKUP(INT($C$5)+1,Tablas!$G$9:$K$1240,5,0)*($C$5-INT($C$5))+VLOOKUP(INT($C$5),Tablas!$G$9:$K$124,5,0)*(INT($C$5)+1-$C$5)),(+VLOOKUP(INT(D1210)+1,Tablas!$G$9:$O$1240,9,0)*(D1210-INT(D1210))+VLOOKUP(INT(D1210),Tablas!$G$9:$O$1240,9,0)*(INT(D1210)+1-D1210))/(VLOOKUP(INT($C$5)+1,Tablas!$G$9:$O$1240,9,0)*($C$5-INT($C$5))+VLOOKUP(INT($C$5),Tablas!$G$9:$O$124,9,0)*(INT($C$5)+1-$C$5)))</f>
      </c>
      <c r="G1210" s="791">
        <f>IF($C$4="Hombre",(+VLOOKUP(INT(D1210)+1,Tablas!$G$9:$K$1240,5,0)*(D1210-INT(D1210))+VLOOKUP(INT(D1210),Tablas!$G$9:$K$1240,5,0)*(INT(D1210)+1-D1210)),+VLOOKUP(INT(D1210)+1,Tablas!$G$9:$O$1240,9,0)*(D1210-INT(D1210))+VLOOKUP(INT(D1210),Tablas!$G$9:$O$1240,9,0)*(INT(D1210)+1-D1210))</f>
      </c>
      <c r="H1210" s="801">
        <f>+IF(MONTH(B1210)=1,H1209*(1+$C$9),H1209)</f>
      </c>
      <c r="I1210" s="689">
        <f>IF(B1210&lt;$C$10,0,IF(B1210&lt;$C$11,$C$8/12*E1210*F1210*H1210,0))</f>
      </c>
      <c r="J1210" s="689">
        <f>I1210*12/14+IF(OR(MONTH(C1210)=6,MONTH(C1210)=12),I1210*12/14,0)</f>
      </c>
      <c r="K1210" s="801">
        <f>G1210/$G$15</f>
      </c>
      <c r="L1210" s="760"/>
      <c r="M1210" s="767"/>
      <c r="N1210" s="168"/>
      <c r="O1210" s="768"/>
      <c r="P1210" s="170"/>
      <c r="Q1210" s="7"/>
      <c r="R1210" s="766"/>
      <c r="S1210" s="170"/>
      <c r="T1210" s="168"/>
      <c r="U1210" s="170"/>
    </row>
    <row x14ac:dyDescent="0.25" r="1211" customHeight="1" ht="18.75">
      <c r="A1211" s="1"/>
      <c r="B1211" s="799">
        <f>+DATE(YEAR(B1210),MONTH(B1210)+1,DAY(B1210))</f>
        <v>25569.041666666668</v>
      </c>
      <c r="C1211" s="799">
        <f>+B1212-1</f>
        <v>25569.041666666668</v>
      </c>
      <c r="D1211" s="791">
        <f>-_xlfn.DAYS($C$3,C1211)/365.25</f>
      </c>
      <c r="E1211" s="800">
        <f>IF($D$17+40&lt;=D1211,(1+$D$7)^-(D1211-$C$5),(1+$C$7)^-(D1211-$C$5))</f>
      </c>
      <c r="F1211" s="801">
        <f>IF($C$4="Hombre",(+VLOOKUP(INT(D1211)+1,Tablas!$G$9:$K$1240,5,0)*(D1211-INT(D1211))+VLOOKUP(INT(D1211),Tablas!$G$9:$K$1240,5,0)*(INT(D1211)+1-D1211))/(VLOOKUP(INT($C$5)+1,Tablas!$G$9:$K$1240,5,0)*($C$5-INT($C$5))+VLOOKUP(INT($C$5),Tablas!$G$9:$K$124,5,0)*(INT($C$5)+1-$C$5)),(+VLOOKUP(INT(D1211)+1,Tablas!$G$9:$O$1240,9,0)*(D1211-INT(D1211))+VLOOKUP(INT(D1211),Tablas!$G$9:$O$1240,9,0)*(INT(D1211)+1-D1211))/(VLOOKUP(INT($C$5)+1,Tablas!$G$9:$O$1240,9,0)*($C$5-INT($C$5))+VLOOKUP(INT($C$5),Tablas!$G$9:$O$124,9,0)*(INT($C$5)+1-$C$5)))</f>
      </c>
      <c r="G1211" s="791">
        <f>IF($C$4="Hombre",(+VLOOKUP(INT(D1211)+1,Tablas!$G$9:$K$1240,5,0)*(D1211-INT(D1211))+VLOOKUP(INT(D1211),Tablas!$G$9:$K$1240,5,0)*(INT(D1211)+1-D1211)),+VLOOKUP(INT(D1211)+1,Tablas!$G$9:$O$1240,9,0)*(D1211-INT(D1211))+VLOOKUP(INT(D1211),Tablas!$G$9:$O$1240,9,0)*(INT(D1211)+1-D1211))</f>
      </c>
      <c r="H1211" s="801">
        <f>+IF(MONTH(B1211)=1,H1210*(1+$C$9),H1210)</f>
      </c>
      <c r="I1211" s="689">
        <f>IF(B1211&lt;$C$10,0,IF(B1211&lt;$C$11,$C$8/12*E1211*F1211*H1211,0))</f>
      </c>
      <c r="J1211" s="689">
        <f>I1211*12/14+IF(OR(MONTH(C1211)=6,MONTH(C1211)=12),I1211*12/14,0)</f>
      </c>
      <c r="K1211" s="801">
        <f>G1211/$G$15</f>
      </c>
      <c r="L1211" s="760"/>
      <c r="M1211" s="767"/>
      <c r="N1211" s="168"/>
      <c r="O1211" s="768"/>
      <c r="P1211" s="170"/>
      <c r="Q1211" s="7"/>
      <c r="R1211" s="766"/>
      <c r="S1211" s="170"/>
      <c r="T1211" s="168"/>
      <c r="U1211" s="170"/>
    </row>
    <row x14ac:dyDescent="0.25" r="1212" customHeight="1" ht="18.75">
      <c r="A1212" s="1"/>
      <c r="B1212" s="799">
        <f>+DATE(YEAR(B1211),MONTH(B1211)+1,DAY(B1211))</f>
        <v>25569.041666666668</v>
      </c>
      <c r="C1212" s="799">
        <f>+B1213-1</f>
        <v>25569.041666666668</v>
      </c>
      <c r="D1212" s="791">
        <f>-_xlfn.DAYS($C$3,C1212)/365.25</f>
      </c>
      <c r="E1212" s="800">
        <f>IF($D$17+40&lt;=D1212,(1+$D$7)^-(D1212-$C$5),(1+$C$7)^-(D1212-$C$5))</f>
      </c>
      <c r="F1212" s="801">
        <f>IF($C$4="Hombre",(+VLOOKUP(INT(D1212)+1,Tablas!$G$9:$K$1240,5,0)*(D1212-INT(D1212))+VLOOKUP(INT(D1212),Tablas!$G$9:$K$1240,5,0)*(INT(D1212)+1-D1212))/(VLOOKUP(INT($C$5)+1,Tablas!$G$9:$K$1240,5,0)*($C$5-INT($C$5))+VLOOKUP(INT($C$5),Tablas!$G$9:$K$124,5,0)*(INT($C$5)+1-$C$5)),(+VLOOKUP(INT(D1212)+1,Tablas!$G$9:$O$1240,9,0)*(D1212-INT(D1212))+VLOOKUP(INT(D1212),Tablas!$G$9:$O$1240,9,0)*(INT(D1212)+1-D1212))/(VLOOKUP(INT($C$5)+1,Tablas!$G$9:$O$1240,9,0)*($C$5-INT($C$5))+VLOOKUP(INT($C$5),Tablas!$G$9:$O$124,9,0)*(INT($C$5)+1-$C$5)))</f>
      </c>
      <c r="G1212" s="791">
        <f>IF($C$4="Hombre",(+VLOOKUP(INT(D1212)+1,Tablas!$G$9:$K$1240,5,0)*(D1212-INT(D1212))+VLOOKUP(INT(D1212),Tablas!$G$9:$K$1240,5,0)*(INT(D1212)+1-D1212)),+VLOOKUP(INT(D1212)+1,Tablas!$G$9:$O$1240,9,0)*(D1212-INT(D1212))+VLOOKUP(INT(D1212),Tablas!$G$9:$O$1240,9,0)*(INT(D1212)+1-D1212))</f>
      </c>
      <c r="H1212" s="801">
        <f>+IF(MONTH(B1212)=1,H1211*(1+$C$9),H1211)</f>
      </c>
      <c r="I1212" s="689">
        <f>IF(B1212&lt;$C$10,0,IF(B1212&lt;$C$11,$C$8/12*E1212*F1212*H1212,0))</f>
      </c>
      <c r="J1212" s="689">
        <f>I1212*12/14+IF(OR(MONTH(C1212)=6,MONTH(C1212)=12),I1212*12/14,0)</f>
      </c>
      <c r="K1212" s="801">
        <f>G1212/$G$15</f>
      </c>
      <c r="L1212" s="760"/>
      <c r="M1212" s="767"/>
      <c r="N1212" s="168"/>
      <c r="O1212" s="768"/>
      <c r="P1212" s="170"/>
      <c r="Q1212" s="7"/>
      <c r="R1212" s="766"/>
      <c r="S1212" s="170"/>
      <c r="T1212" s="168"/>
      <c r="U1212" s="170"/>
    </row>
    <row x14ac:dyDescent="0.25" r="1213" customHeight="1" ht="18.75">
      <c r="A1213" s="1"/>
      <c r="B1213" s="799">
        <f>+DATE(YEAR(B1212),MONTH(B1212)+1,DAY(B1212))</f>
        <v>25569.041666666668</v>
      </c>
      <c r="C1213" s="799">
        <f>+B1214-1</f>
        <v>25569.041666666668</v>
      </c>
      <c r="D1213" s="791">
        <f>-_xlfn.DAYS($C$3,C1213)/365.25</f>
      </c>
      <c r="E1213" s="800">
        <f>IF($D$17+40&lt;=D1213,(1+$D$7)^-(D1213-$C$5),(1+$C$7)^-(D1213-$C$5))</f>
      </c>
      <c r="F1213" s="801">
        <f>IF($C$4="Hombre",(+VLOOKUP(INT(D1213)+1,Tablas!$G$9:$K$1240,5,0)*(D1213-INT(D1213))+VLOOKUP(INT(D1213),Tablas!$G$9:$K$1240,5,0)*(INT(D1213)+1-D1213))/(VLOOKUP(INT($C$5)+1,Tablas!$G$9:$K$1240,5,0)*($C$5-INT($C$5))+VLOOKUP(INT($C$5),Tablas!$G$9:$K$124,5,0)*(INT($C$5)+1-$C$5)),(+VLOOKUP(INT(D1213)+1,Tablas!$G$9:$O$1240,9,0)*(D1213-INT(D1213))+VLOOKUP(INT(D1213),Tablas!$G$9:$O$1240,9,0)*(INT(D1213)+1-D1213))/(VLOOKUP(INT($C$5)+1,Tablas!$G$9:$O$1240,9,0)*($C$5-INT($C$5))+VLOOKUP(INT($C$5),Tablas!$G$9:$O$124,9,0)*(INT($C$5)+1-$C$5)))</f>
      </c>
      <c r="G1213" s="791">
        <f>IF($C$4="Hombre",(+VLOOKUP(INT(D1213)+1,Tablas!$G$9:$K$1240,5,0)*(D1213-INT(D1213))+VLOOKUP(INT(D1213),Tablas!$G$9:$K$1240,5,0)*(INT(D1213)+1-D1213)),+VLOOKUP(INT(D1213)+1,Tablas!$G$9:$O$1240,9,0)*(D1213-INT(D1213))+VLOOKUP(INT(D1213),Tablas!$G$9:$O$1240,9,0)*(INT(D1213)+1-D1213))</f>
      </c>
      <c r="H1213" s="801">
        <f>+IF(MONTH(B1213)=1,H1212*(1+$C$9),H1212)</f>
      </c>
      <c r="I1213" s="689">
        <f>IF(B1213&lt;$C$10,0,IF(B1213&lt;$C$11,$C$8/12*E1213*F1213*H1213,0))</f>
      </c>
      <c r="J1213" s="689">
        <f>I1213*12/14+IF(OR(MONTH(C1213)=6,MONTH(C1213)=12),I1213*12/14,0)</f>
      </c>
      <c r="K1213" s="801">
        <f>G1213/$G$15</f>
      </c>
      <c r="L1213" s="760"/>
      <c r="M1213" s="767"/>
      <c r="N1213" s="168"/>
      <c r="O1213" s="768"/>
      <c r="P1213" s="170"/>
      <c r="Q1213" s="7"/>
      <c r="R1213" s="766"/>
      <c r="S1213" s="170"/>
      <c r="T1213" s="168"/>
      <c r="U1213" s="170"/>
    </row>
    <row x14ac:dyDescent="0.25" r="1214" customHeight="1" ht="18.75">
      <c r="A1214" s="1"/>
      <c r="B1214" s="799">
        <f>+DATE(YEAR(B1213),MONTH(B1213)+1,DAY(B1213))</f>
        <v>25569.041666666668</v>
      </c>
      <c r="C1214" s="799">
        <f>+B1215-1</f>
        <v>25569.041666666668</v>
      </c>
      <c r="D1214" s="791">
        <f>-_xlfn.DAYS($C$3,C1214)/365.25</f>
      </c>
      <c r="E1214" s="800">
        <f>IF($D$17+40&lt;=D1214,(1+$D$7)^-(D1214-$C$5),(1+$C$7)^-(D1214-$C$5))</f>
      </c>
      <c r="F1214" s="801">
        <f>IF($C$4="Hombre",(+VLOOKUP(INT(D1214)+1,Tablas!$G$9:$K$1240,5,0)*(D1214-INT(D1214))+VLOOKUP(INT(D1214),Tablas!$G$9:$K$1240,5,0)*(INT(D1214)+1-D1214))/(VLOOKUP(INT($C$5)+1,Tablas!$G$9:$K$1240,5,0)*($C$5-INT($C$5))+VLOOKUP(INT($C$5),Tablas!$G$9:$K$124,5,0)*(INT($C$5)+1-$C$5)),(+VLOOKUP(INT(D1214)+1,Tablas!$G$9:$O$1240,9,0)*(D1214-INT(D1214))+VLOOKUP(INT(D1214),Tablas!$G$9:$O$1240,9,0)*(INT(D1214)+1-D1214))/(VLOOKUP(INT($C$5)+1,Tablas!$G$9:$O$1240,9,0)*($C$5-INT($C$5))+VLOOKUP(INT($C$5),Tablas!$G$9:$O$124,9,0)*(INT($C$5)+1-$C$5)))</f>
      </c>
      <c r="G1214" s="791">
        <f>IF($C$4="Hombre",(+VLOOKUP(INT(D1214)+1,Tablas!$G$9:$K$1240,5,0)*(D1214-INT(D1214))+VLOOKUP(INT(D1214),Tablas!$G$9:$K$1240,5,0)*(INT(D1214)+1-D1214)),+VLOOKUP(INT(D1214)+1,Tablas!$G$9:$O$1240,9,0)*(D1214-INT(D1214))+VLOOKUP(INT(D1214),Tablas!$G$9:$O$1240,9,0)*(INT(D1214)+1-D1214))</f>
      </c>
      <c r="H1214" s="801">
        <f>+IF(MONTH(B1214)=1,H1213*(1+$C$9),H1213)</f>
      </c>
      <c r="I1214" s="689">
        <f>IF(B1214&lt;$C$10,0,IF(B1214&lt;$C$11,$C$8/12*E1214*F1214*H1214,0))</f>
      </c>
      <c r="J1214" s="689">
        <f>I1214*12/14+IF(OR(MONTH(C1214)=6,MONTH(C1214)=12),I1214*12/14,0)</f>
      </c>
      <c r="K1214" s="801">
        <f>G1214/$G$15</f>
      </c>
      <c r="L1214" s="760"/>
      <c r="M1214" s="767"/>
      <c r="N1214" s="168"/>
      <c r="O1214" s="768"/>
      <c r="P1214" s="170"/>
      <c r="Q1214" s="7"/>
      <c r="R1214" s="766"/>
      <c r="S1214" s="170"/>
      <c r="T1214" s="168"/>
      <c r="U1214" s="170"/>
    </row>
    <row x14ac:dyDescent="0.25" r="1215" customHeight="1" ht="18.75">
      <c r="A1215" s="1"/>
      <c r="B1215" s="799">
        <f>+DATE(YEAR(B1214),MONTH(B1214)+1,DAY(B1214))</f>
        <v>25569.041666666668</v>
      </c>
      <c r="C1215" s="799">
        <f>+B1216-1</f>
        <v>25569.041666666668</v>
      </c>
      <c r="D1215" s="791">
        <f>-_xlfn.DAYS($C$3,C1215)/365.25</f>
      </c>
      <c r="E1215" s="800">
        <f>IF($D$17+40&lt;=D1215,(1+$D$7)^-(D1215-$C$5),(1+$C$7)^-(D1215-$C$5))</f>
      </c>
      <c r="F1215" s="801">
        <f>IF($C$4="Hombre",(+VLOOKUP(INT(D1215)+1,Tablas!$G$9:$K$1240,5,0)*(D1215-INT(D1215))+VLOOKUP(INT(D1215),Tablas!$G$9:$K$1240,5,0)*(INT(D1215)+1-D1215))/(VLOOKUP(INT($C$5)+1,Tablas!$G$9:$K$1240,5,0)*($C$5-INT($C$5))+VLOOKUP(INT($C$5),Tablas!$G$9:$K$124,5,0)*(INT($C$5)+1-$C$5)),(+VLOOKUP(INT(D1215)+1,Tablas!$G$9:$O$1240,9,0)*(D1215-INT(D1215))+VLOOKUP(INT(D1215),Tablas!$G$9:$O$1240,9,0)*(INT(D1215)+1-D1215))/(VLOOKUP(INT($C$5)+1,Tablas!$G$9:$O$1240,9,0)*($C$5-INT($C$5))+VLOOKUP(INT($C$5),Tablas!$G$9:$O$124,9,0)*(INT($C$5)+1-$C$5)))</f>
      </c>
      <c r="G1215" s="791">
        <f>IF($C$4="Hombre",(+VLOOKUP(INT(D1215)+1,Tablas!$G$9:$K$1240,5,0)*(D1215-INT(D1215))+VLOOKUP(INT(D1215),Tablas!$G$9:$K$1240,5,0)*(INT(D1215)+1-D1215)),+VLOOKUP(INT(D1215)+1,Tablas!$G$9:$O$1240,9,0)*(D1215-INT(D1215))+VLOOKUP(INT(D1215),Tablas!$G$9:$O$1240,9,0)*(INT(D1215)+1-D1215))</f>
      </c>
      <c r="H1215" s="801">
        <f>+IF(MONTH(B1215)=1,H1214*(1+$C$9),H1214)</f>
      </c>
      <c r="I1215" s="689">
        <f>IF(B1215&lt;$C$10,0,IF(B1215&lt;$C$11,$C$8/12*E1215*F1215*H1215,0))</f>
      </c>
      <c r="J1215" s="689">
        <f>I1215*12/14+IF(OR(MONTH(C1215)=6,MONTH(C1215)=12),I1215*12/14,0)</f>
      </c>
      <c r="K1215" s="801">
        <f>G1215/$G$15</f>
      </c>
      <c r="L1215" s="760"/>
      <c r="M1215" s="767"/>
      <c r="N1215" s="168"/>
      <c r="O1215" s="768"/>
      <c r="P1215" s="170"/>
      <c r="Q1215" s="7"/>
      <c r="R1215" s="766"/>
      <c r="S1215" s="170"/>
      <c r="T1215" s="168"/>
      <c r="U1215" s="170"/>
    </row>
    <row x14ac:dyDescent="0.25" r="1216" customHeight="1" ht="18.75">
      <c r="A1216" s="1"/>
      <c r="B1216" s="799">
        <f>+DATE(YEAR(B1215),MONTH(B1215)+1,DAY(B1215))</f>
        <v>25569.041666666668</v>
      </c>
      <c r="C1216" s="799">
        <f>+B1217-1</f>
        <v>25569.041666666668</v>
      </c>
      <c r="D1216" s="791">
        <f>-_xlfn.DAYS($C$3,C1216)/365.25</f>
      </c>
      <c r="E1216" s="800">
        <f>IF($D$17+40&lt;=D1216,(1+$D$7)^-(D1216-$C$5),(1+$C$7)^-(D1216-$C$5))</f>
      </c>
      <c r="F1216" s="801">
        <f>IF($C$4="Hombre",(+VLOOKUP(INT(D1216)+1,Tablas!$G$9:$K$1240,5,0)*(D1216-INT(D1216))+VLOOKUP(INT(D1216),Tablas!$G$9:$K$1240,5,0)*(INT(D1216)+1-D1216))/(VLOOKUP(INT($C$5)+1,Tablas!$G$9:$K$1240,5,0)*($C$5-INT($C$5))+VLOOKUP(INT($C$5),Tablas!$G$9:$K$124,5,0)*(INT($C$5)+1-$C$5)),(+VLOOKUP(INT(D1216)+1,Tablas!$G$9:$O$1240,9,0)*(D1216-INT(D1216))+VLOOKUP(INT(D1216),Tablas!$G$9:$O$1240,9,0)*(INT(D1216)+1-D1216))/(VLOOKUP(INT($C$5)+1,Tablas!$G$9:$O$1240,9,0)*($C$5-INT($C$5))+VLOOKUP(INT($C$5),Tablas!$G$9:$O$124,9,0)*(INT($C$5)+1-$C$5)))</f>
      </c>
      <c r="G1216" s="791">
        <f>IF($C$4="Hombre",(+VLOOKUP(INT(D1216)+1,Tablas!$G$9:$K$1240,5,0)*(D1216-INT(D1216))+VLOOKUP(INT(D1216),Tablas!$G$9:$K$1240,5,0)*(INT(D1216)+1-D1216)),+VLOOKUP(INT(D1216)+1,Tablas!$G$9:$O$1240,9,0)*(D1216-INT(D1216))+VLOOKUP(INT(D1216),Tablas!$G$9:$O$1240,9,0)*(INT(D1216)+1-D1216))</f>
      </c>
      <c r="H1216" s="801">
        <f>+IF(MONTH(B1216)=1,H1215*(1+$C$9),H1215)</f>
      </c>
      <c r="I1216" s="689">
        <f>IF(B1216&lt;$C$10,0,IF(B1216&lt;$C$11,$C$8/12*E1216*F1216*H1216,0))</f>
      </c>
      <c r="J1216" s="689">
        <f>I1216*12/14+IF(OR(MONTH(C1216)=6,MONTH(C1216)=12),I1216*12/14,0)</f>
      </c>
      <c r="K1216" s="801">
        <f>G1216/$G$15</f>
      </c>
      <c r="L1216" s="760"/>
      <c r="M1216" s="767"/>
      <c r="N1216" s="168"/>
      <c r="O1216" s="768"/>
      <c r="P1216" s="170"/>
      <c r="Q1216" s="7"/>
      <c r="R1216" s="766"/>
      <c r="S1216" s="170"/>
      <c r="T1216" s="168"/>
      <c r="U1216" s="170"/>
    </row>
    <row x14ac:dyDescent="0.25" r="1217" customHeight="1" ht="18.75">
      <c r="A1217" s="1"/>
      <c r="B1217" s="762"/>
      <c r="C1217" s="757"/>
      <c r="D1217" s="758"/>
      <c r="E1217" s="759"/>
      <c r="F1217" s="802"/>
      <c r="G1217" s="803"/>
      <c r="H1217" s="760"/>
      <c r="I1217" s="804"/>
      <c r="J1217" s="804"/>
      <c r="K1217" s="758"/>
      <c r="L1217" s="758"/>
      <c r="M1217" s="761"/>
      <c r="N1217" s="805"/>
      <c r="O1217" s="806"/>
      <c r="P1217" s="803"/>
      <c r="Q1217" s="757"/>
      <c r="R1217" s="766"/>
      <c r="S1217" s="170"/>
      <c r="T1217" s="168"/>
      <c r="U1217" s="803"/>
    </row>
    <row x14ac:dyDescent="0.25" r="1218" customHeight="1" ht="18.75">
      <c r="A1218" s="1"/>
      <c r="B1218" s="762"/>
      <c r="C1218" s="757"/>
      <c r="D1218" s="758"/>
      <c r="E1218" s="759"/>
      <c r="F1218" s="802"/>
      <c r="G1218" s="803"/>
      <c r="H1218" s="760"/>
      <c r="I1218" s="804"/>
      <c r="J1218" s="804"/>
      <c r="K1218" s="758"/>
      <c r="L1218" s="758"/>
      <c r="M1218" s="761"/>
      <c r="N1218" s="805"/>
      <c r="O1218" s="806"/>
      <c r="P1218" s="803"/>
      <c r="Q1218" s="757"/>
      <c r="R1218" s="804"/>
      <c r="S1218" s="803"/>
      <c r="T1218" s="805"/>
      <c r="U1218" s="803"/>
    </row>
    <row x14ac:dyDescent="0.25" r="1219" customHeight="1" ht="18.75">
      <c r="A1219" s="1"/>
      <c r="B1219" s="762"/>
      <c r="C1219" s="757"/>
      <c r="D1219" s="758"/>
      <c r="E1219" s="759"/>
      <c r="F1219" s="802"/>
      <c r="G1219" s="803"/>
      <c r="H1219" s="760"/>
      <c r="I1219" s="804"/>
      <c r="J1219" s="804"/>
      <c r="K1219" s="758"/>
      <c r="L1219" s="758"/>
      <c r="M1219" s="761"/>
      <c r="N1219" s="805"/>
      <c r="O1219" s="806"/>
      <c r="P1219" s="803"/>
      <c r="Q1219" s="757"/>
      <c r="R1219" s="804"/>
      <c r="S1219" s="803"/>
      <c r="T1219" s="805"/>
      <c r="U1219" s="803"/>
    </row>
    <row x14ac:dyDescent="0.25" r="1220" customHeight="1" ht="18.75">
      <c r="A1220" s="1"/>
      <c r="B1220" s="762"/>
      <c r="C1220" s="757"/>
      <c r="D1220" s="758"/>
      <c r="E1220" s="759"/>
      <c r="F1220" s="802"/>
      <c r="G1220" s="803"/>
      <c r="H1220" s="760"/>
      <c r="I1220" s="804"/>
      <c r="J1220" s="804"/>
      <c r="K1220" s="758"/>
      <c r="L1220" s="758"/>
      <c r="M1220" s="761"/>
      <c r="N1220" s="805"/>
      <c r="O1220" s="806"/>
      <c r="P1220" s="803"/>
      <c r="Q1220" s="757"/>
      <c r="R1220" s="804"/>
      <c r="S1220" s="803"/>
      <c r="T1220" s="805"/>
      <c r="U1220" s="803"/>
    </row>
    <row x14ac:dyDescent="0.25" r="1221" customHeight="1" ht="18.75">
      <c r="A1221" s="1"/>
      <c r="B1221" s="762"/>
      <c r="C1221" s="757"/>
      <c r="D1221" s="758"/>
      <c r="E1221" s="759"/>
      <c r="F1221" s="802"/>
      <c r="G1221" s="803"/>
      <c r="H1221" s="760"/>
      <c r="I1221" s="804"/>
      <c r="J1221" s="804"/>
      <c r="K1221" s="758"/>
      <c r="L1221" s="758"/>
      <c r="M1221" s="761"/>
      <c r="N1221" s="805"/>
      <c r="O1221" s="806"/>
      <c r="P1221" s="803"/>
      <c r="Q1221" s="757"/>
      <c r="R1221" s="804"/>
      <c r="S1221" s="803"/>
      <c r="T1221" s="805"/>
      <c r="U1221" s="803"/>
    </row>
    <row x14ac:dyDescent="0.25" r="1222" customHeight="1" ht="18.75">
      <c r="A1222" s="1"/>
      <c r="B1222" s="762"/>
      <c r="C1222" s="757"/>
      <c r="D1222" s="758"/>
      <c r="E1222" s="759"/>
      <c r="F1222" s="802"/>
      <c r="G1222" s="803"/>
      <c r="H1222" s="760"/>
      <c r="I1222" s="804"/>
      <c r="J1222" s="804"/>
      <c r="K1222" s="758"/>
      <c r="L1222" s="758"/>
      <c r="M1222" s="761"/>
      <c r="N1222" s="805"/>
      <c r="O1222" s="806"/>
      <c r="P1222" s="803"/>
      <c r="Q1222" s="757"/>
      <c r="R1222" s="804"/>
      <c r="S1222" s="803"/>
      <c r="T1222" s="805"/>
      <c r="U1222" s="803"/>
    </row>
    <row x14ac:dyDescent="0.25" r="1223" customHeight="1" ht="18.75">
      <c r="A1223" s="1"/>
      <c r="B1223" s="762"/>
      <c r="C1223" s="757"/>
      <c r="D1223" s="758"/>
      <c r="E1223" s="759"/>
      <c r="F1223" s="802"/>
      <c r="G1223" s="803"/>
      <c r="H1223" s="760"/>
      <c r="I1223" s="804"/>
      <c r="J1223" s="804"/>
      <c r="K1223" s="758"/>
      <c r="L1223" s="758"/>
      <c r="M1223" s="761"/>
      <c r="N1223" s="805"/>
      <c r="O1223" s="806"/>
      <c r="P1223" s="803"/>
      <c r="Q1223" s="757"/>
      <c r="R1223" s="804"/>
      <c r="S1223" s="803"/>
      <c r="T1223" s="805"/>
      <c r="U1223" s="803"/>
    </row>
    <row x14ac:dyDescent="0.25" r="1224" customHeight="1" ht="18.75">
      <c r="A1224" s="1"/>
      <c r="B1224" s="762"/>
      <c r="C1224" s="757"/>
      <c r="D1224" s="758"/>
      <c r="E1224" s="759"/>
      <c r="F1224" s="802"/>
      <c r="G1224" s="803"/>
      <c r="H1224" s="760"/>
      <c r="I1224" s="804"/>
      <c r="J1224" s="804"/>
      <c r="K1224" s="758"/>
      <c r="L1224" s="758"/>
      <c r="M1224" s="761"/>
      <c r="N1224" s="805"/>
      <c r="O1224" s="806"/>
      <c r="P1224" s="803"/>
      <c r="Q1224" s="757"/>
      <c r="R1224" s="804"/>
      <c r="S1224" s="803"/>
      <c r="T1224" s="805"/>
      <c r="U1224" s="803"/>
    </row>
    <row x14ac:dyDescent="0.25" r="1225" customHeight="1" ht="18.75">
      <c r="A1225" s="1"/>
      <c r="B1225" s="762"/>
      <c r="C1225" s="757"/>
      <c r="D1225" s="758"/>
      <c r="E1225" s="759"/>
      <c r="F1225" s="802"/>
      <c r="G1225" s="803"/>
      <c r="H1225" s="760"/>
      <c r="I1225" s="804"/>
      <c r="J1225" s="804"/>
      <c r="K1225" s="758"/>
      <c r="L1225" s="758"/>
      <c r="M1225" s="761"/>
      <c r="N1225" s="805"/>
      <c r="O1225" s="806"/>
      <c r="P1225" s="803"/>
      <c r="Q1225" s="757"/>
      <c r="R1225" s="804"/>
      <c r="S1225" s="803"/>
      <c r="T1225" s="805"/>
      <c r="U1225" s="803"/>
    </row>
    <row x14ac:dyDescent="0.25" r="1226" customHeight="1" ht="18.75">
      <c r="A1226" s="1"/>
      <c r="B1226" s="762"/>
      <c r="C1226" s="757"/>
      <c r="D1226" s="758"/>
      <c r="E1226" s="759"/>
      <c r="F1226" s="802"/>
      <c r="G1226" s="803"/>
      <c r="H1226" s="760"/>
      <c r="I1226" s="804"/>
      <c r="J1226" s="804"/>
      <c r="K1226" s="758"/>
      <c r="L1226" s="758"/>
      <c r="M1226" s="761"/>
      <c r="N1226" s="805"/>
      <c r="O1226" s="806"/>
      <c r="P1226" s="803"/>
      <c r="Q1226" s="757"/>
      <c r="R1226" s="804"/>
      <c r="S1226" s="803"/>
      <c r="T1226" s="805"/>
      <c r="U1226" s="803"/>
    </row>
    <row x14ac:dyDescent="0.25" r="1227" customHeight="1" ht="18.75">
      <c r="A1227" s="1"/>
      <c r="B1227" s="762"/>
      <c r="C1227" s="757"/>
      <c r="D1227" s="758"/>
      <c r="E1227" s="759"/>
      <c r="F1227" s="802"/>
      <c r="G1227" s="803"/>
      <c r="H1227" s="760"/>
      <c r="I1227" s="804"/>
      <c r="J1227" s="804"/>
      <c r="K1227" s="758"/>
      <c r="L1227" s="758"/>
      <c r="M1227" s="761"/>
      <c r="N1227" s="805"/>
      <c r="O1227" s="806"/>
      <c r="P1227" s="803"/>
      <c r="Q1227" s="757"/>
      <c r="R1227" s="804"/>
      <c r="S1227" s="803"/>
      <c r="T1227" s="805"/>
      <c r="U1227" s="803"/>
    </row>
    <row x14ac:dyDescent="0.25" r="1228" customHeight="1" ht="18.75">
      <c r="A1228" s="1"/>
      <c r="B1228" s="762"/>
      <c r="C1228" s="757"/>
      <c r="D1228" s="758"/>
      <c r="E1228" s="759"/>
      <c r="F1228" s="802"/>
      <c r="G1228" s="803"/>
      <c r="H1228" s="760"/>
      <c r="I1228" s="804"/>
      <c r="J1228" s="804"/>
      <c r="K1228" s="758"/>
      <c r="L1228" s="758"/>
      <c r="M1228" s="761"/>
      <c r="N1228" s="805"/>
      <c r="O1228" s="806"/>
      <c r="P1228" s="803"/>
      <c r="Q1228" s="757"/>
      <c r="R1228" s="804"/>
      <c r="S1228" s="803"/>
      <c r="T1228" s="805"/>
      <c r="U1228" s="803"/>
    </row>
    <row x14ac:dyDescent="0.25" r="1229" customHeight="1" ht="18.75">
      <c r="A1229" s="1"/>
      <c r="B1229" s="762"/>
      <c r="C1229" s="757"/>
      <c r="D1229" s="758"/>
      <c r="E1229" s="759"/>
      <c r="F1229" s="802"/>
      <c r="G1229" s="803"/>
      <c r="H1229" s="760"/>
      <c r="I1229" s="804"/>
      <c r="J1229" s="804"/>
      <c r="K1229" s="758"/>
      <c r="L1229" s="758"/>
      <c r="M1229" s="761"/>
      <c r="N1229" s="805"/>
      <c r="O1229" s="806"/>
      <c r="P1229" s="803"/>
      <c r="Q1229" s="757"/>
      <c r="R1229" s="804"/>
      <c r="S1229" s="803"/>
      <c r="T1229" s="805"/>
      <c r="U1229" s="803"/>
    </row>
    <row x14ac:dyDescent="0.25" r="1230" customHeight="1" ht="18.75">
      <c r="A1230" s="1"/>
      <c r="B1230" s="762"/>
      <c r="C1230" s="757"/>
      <c r="D1230" s="758"/>
      <c r="E1230" s="759"/>
      <c r="F1230" s="802"/>
      <c r="G1230" s="803"/>
      <c r="H1230" s="760"/>
      <c r="I1230" s="804"/>
      <c r="J1230" s="804"/>
      <c r="K1230" s="758"/>
      <c r="L1230" s="758"/>
      <c r="M1230" s="761"/>
      <c r="N1230" s="805"/>
      <c r="O1230" s="806"/>
      <c r="P1230" s="803"/>
      <c r="Q1230" s="757"/>
      <c r="R1230" s="804"/>
      <c r="S1230" s="803"/>
      <c r="T1230" s="805"/>
      <c r="U1230" s="803"/>
    </row>
    <row x14ac:dyDescent="0.25" r="1231" customHeight="1" ht="18.75">
      <c r="A1231" s="1"/>
      <c r="B1231" s="762"/>
      <c r="C1231" s="757"/>
      <c r="D1231" s="758"/>
      <c r="E1231" s="759"/>
      <c r="F1231" s="802"/>
      <c r="G1231" s="803"/>
      <c r="H1231" s="760"/>
      <c r="I1231" s="804"/>
      <c r="J1231" s="804"/>
      <c r="K1231" s="758"/>
      <c r="L1231" s="758"/>
      <c r="M1231" s="761"/>
      <c r="N1231" s="805"/>
      <c r="O1231" s="806"/>
      <c r="P1231" s="803"/>
      <c r="Q1231" s="757"/>
      <c r="R1231" s="804"/>
      <c r="S1231" s="803"/>
      <c r="T1231" s="805"/>
      <c r="U1231" s="803"/>
    </row>
    <row x14ac:dyDescent="0.25" r="1232" customHeight="1" ht="18.75">
      <c r="A1232" s="1"/>
      <c r="B1232" s="762"/>
      <c r="C1232" s="757"/>
      <c r="D1232" s="758"/>
      <c r="E1232" s="759"/>
      <c r="F1232" s="802"/>
      <c r="G1232" s="803"/>
      <c r="H1232" s="760"/>
      <c r="I1232" s="804"/>
      <c r="J1232" s="804"/>
      <c r="K1232" s="758"/>
      <c r="L1232" s="758"/>
      <c r="M1232" s="761"/>
      <c r="N1232" s="805"/>
      <c r="O1232" s="806"/>
      <c r="P1232" s="803"/>
      <c r="Q1232" s="757"/>
      <c r="R1232" s="804"/>
      <c r="S1232" s="803"/>
      <c r="T1232" s="805"/>
      <c r="U1232" s="803"/>
    </row>
    <row x14ac:dyDescent="0.25" r="1233" customHeight="1" ht="18.75">
      <c r="A1233" s="1"/>
      <c r="B1233" s="762"/>
      <c r="C1233" s="757"/>
      <c r="D1233" s="758"/>
      <c r="E1233" s="759"/>
      <c r="F1233" s="802"/>
      <c r="G1233" s="803"/>
      <c r="H1233" s="760"/>
      <c r="I1233" s="804"/>
      <c r="J1233" s="804"/>
      <c r="K1233" s="758"/>
      <c r="L1233" s="758"/>
      <c r="M1233" s="761"/>
      <c r="N1233" s="805"/>
      <c r="O1233" s="806"/>
      <c r="P1233" s="803"/>
      <c r="Q1233" s="757"/>
      <c r="R1233" s="804"/>
      <c r="S1233" s="803"/>
      <c r="T1233" s="805"/>
      <c r="U1233" s="803"/>
    </row>
    <row x14ac:dyDescent="0.25" r="1234" customHeight="1" ht="18.75">
      <c r="A1234" s="1"/>
      <c r="B1234" s="762"/>
      <c r="C1234" s="757"/>
      <c r="D1234" s="758"/>
      <c r="E1234" s="759"/>
      <c r="F1234" s="802"/>
      <c r="G1234" s="803"/>
      <c r="H1234" s="760"/>
      <c r="I1234" s="804"/>
      <c r="J1234" s="804"/>
      <c r="K1234" s="758"/>
      <c r="L1234" s="758"/>
      <c r="M1234" s="761"/>
      <c r="N1234" s="805"/>
      <c r="O1234" s="806"/>
      <c r="P1234" s="803"/>
      <c r="Q1234" s="757"/>
      <c r="R1234" s="804"/>
      <c r="S1234" s="803"/>
      <c r="T1234" s="805"/>
      <c r="U1234" s="803"/>
    </row>
    <row x14ac:dyDescent="0.25" r="1235" customHeight="1" ht="18.75">
      <c r="A1235" s="1"/>
      <c r="B1235" s="762"/>
      <c r="C1235" s="757"/>
      <c r="D1235" s="758"/>
      <c r="E1235" s="759"/>
      <c r="F1235" s="802"/>
      <c r="G1235" s="803"/>
      <c r="H1235" s="760"/>
      <c r="I1235" s="804"/>
      <c r="J1235" s="804"/>
      <c r="K1235" s="758"/>
      <c r="L1235" s="758"/>
      <c r="M1235" s="761"/>
      <c r="N1235" s="805"/>
      <c r="O1235" s="806"/>
      <c r="P1235" s="803"/>
      <c r="Q1235" s="757"/>
      <c r="R1235" s="804"/>
      <c r="S1235" s="803"/>
      <c r="T1235" s="805"/>
      <c r="U1235" s="803"/>
    </row>
    <row x14ac:dyDescent="0.25" r="1236" customHeight="1" ht="18.75">
      <c r="A1236" s="1"/>
      <c r="B1236" s="762"/>
      <c r="C1236" s="757"/>
      <c r="D1236" s="758"/>
      <c r="E1236" s="759"/>
      <c r="F1236" s="802"/>
      <c r="G1236" s="803"/>
      <c r="H1236" s="760"/>
      <c r="I1236" s="804"/>
      <c r="J1236" s="804"/>
      <c r="K1236" s="758"/>
      <c r="L1236" s="758"/>
      <c r="M1236" s="761"/>
      <c r="N1236" s="805"/>
      <c r="O1236" s="806"/>
      <c r="P1236" s="803"/>
      <c r="Q1236" s="757"/>
      <c r="R1236" s="804"/>
      <c r="S1236" s="803"/>
      <c r="T1236" s="805"/>
      <c r="U1236" s="803"/>
    </row>
    <row x14ac:dyDescent="0.25" r="1237" customHeight="1" ht="18.75">
      <c r="A1237" s="1"/>
      <c r="B1237" s="762"/>
      <c r="C1237" s="757"/>
      <c r="D1237" s="758"/>
      <c r="E1237" s="759"/>
      <c r="F1237" s="802"/>
      <c r="G1237" s="803"/>
      <c r="H1237" s="760"/>
      <c r="I1237" s="804"/>
      <c r="J1237" s="804"/>
      <c r="K1237" s="758"/>
      <c r="L1237" s="758"/>
      <c r="M1237" s="761"/>
      <c r="N1237" s="805"/>
      <c r="O1237" s="806"/>
      <c r="P1237" s="803"/>
      <c r="Q1237" s="757"/>
      <c r="R1237" s="804"/>
      <c r="S1237" s="803"/>
      <c r="T1237" s="805"/>
      <c r="U1237" s="803"/>
    </row>
    <row x14ac:dyDescent="0.25" r="1238" customHeight="1" ht="18.75">
      <c r="A1238" s="1"/>
      <c r="B1238" s="762"/>
      <c r="C1238" s="757"/>
      <c r="D1238" s="758"/>
      <c r="E1238" s="759"/>
      <c r="F1238" s="802"/>
      <c r="G1238" s="803"/>
      <c r="H1238" s="760"/>
      <c r="I1238" s="804"/>
      <c r="J1238" s="804"/>
      <c r="K1238" s="758"/>
      <c r="L1238" s="758"/>
      <c r="M1238" s="761"/>
      <c r="N1238" s="805"/>
      <c r="O1238" s="806"/>
      <c r="P1238" s="803"/>
      <c r="Q1238" s="757"/>
      <c r="R1238" s="804"/>
      <c r="S1238" s="803"/>
      <c r="T1238" s="805"/>
      <c r="U1238" s="803"/>
    </row>
    <row x14ac:dyDescent="0.25" r="1239" customHeight="1" ht="18.75">
      <c r="A1239" s="1"/>
      <c r="B1239" s="762"/>
      <c r="C1239" s="757"/>
      <c r="D1239" s="758"/>
      <c r="E1239" s="759"/>
      <c r="F1239" s="802"/>
      <c r="G1239" s="803"/>
      <c r="H1239" s="760"/>
      <c r="I1239" s="804"/>
      <c r="J1239" s="804"/>
      <c r="K1239" s="758"/>
      <c r="L1239" s="758"/>
      <c r="M1239" s="761"/>
      <c r="N1239" s="805"/>
      <c r="O1239" s="806"/>
      <c r="P1239" s="803"/>
      <c r="Q1239" s="757"/>
      <c r="R1239" s="804"/>
      <c r="S1239" s="803"/>
      <c r="T1239" s="805"/>
      <c r="U1239" s="803"/>
    </row>
  </sheetData>
  <mergeCells count="3">
    <mergeCell ref="B2:C2"/>
    <mergeCell ref="E4:F4"/>
    <mergeCell ref="N6:O6"/>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Z1066"/>
  <sheetViews>
    <sheetView workbookViewId="0"/>
  </sheetViews>
  <sheetFormatPr defaultRowHeight="15" x14ac:dyDescent="0.25"/>
  <cols>
    <col min="1" max="1" style="163" width="21.290714285714284" customWidth="1" bestFit="1"/>
    <col min="2" max="2" style="167" width="13.576428571428572" customWidth="1" bestFit="1"/>
    <col min="3" max="3" style="164" width="13.576428571428572" customWidth="1" bestFit="1"/>
    <col min="4" max="4" style="352" width="13.576428571428572" customWidth="1" bestFit="1"/>
    <col min="5" max="5" style="167" width="14.290714285714287" customWidth="1" bestFit="1"/>
    <col min="6" max="6" style="353" width="17.719285714285714" customWidth="1" bestFit="1"/>
    <col min="7" max="7" style="353" width="13.576428571428572" customWidth="1" bestFit="1"/>
    <col min="8" max="8" style="353" width="13.576428571428572" customWidth="1" bestFit="1"/>
    <col min="9" max="9" style="353" width="13.576428571428572" customWidth="1" bestFit="1"/>
    <col min="10" max="10" style="353" width="13.576428571428572" customWidth="1" bestFit="1"/>
    <col min="11" max="11" style="353" width="19.005" customWidth="1" bestFit="1"/>
    <col min="12" max="12" style="353" width="19.290714285714284" customWidth="1" bestFit="1"/>
    <col min="13" max="13" style="353" width="19.290714285714284" customWidth="1" bestFit="1"/>
    <col min="14" max="14" style="353" width="17.576428571428572" customWidth="1" bestFit="1"/>
    <col min="15" max="15" style="164" width="14.719285714285713" customWidth="1" bestFit="1"/>
    <col min="16" max="16" style="167" width="14.719285714285713" customWidth="1" bestFit="1"/>
    <col min="17" max="17" style="163" width="14.719285714285713" customWidth="1" bestFit="1"/>
    <col min="18" max="18" style="352" width="15.719285714285713" customWidth="1" bestFit="1"/>
    <col min="19" max="19" style="165" width="14.719285714285713" customWidth="1" bestFit="1"/>
    <col min="20" max="20" style="163" width="14.719285714285713" customWidth="1" bestFit="1"/>
    <col min="21" max="21" style="163" width="14.719285714285713" customWidth="1" bestFit="1"/>
    <col min="22" max="22" style="352" width="14.719285714285713" customWidth="1" bestFit="1"/>
    <col min="23" max="23" style="352" width="19.719285714285714" customWidth="1" bestFit="1"/>
    <col min="24" max="24" style="167" width="15.719285714285713" customWidth="1" bestFit="1"/>
    <col min="25" max="25" style="353" width="20.719285714285714" customWidth="1" bestFit="1"/>
    <col min="26" max="26" style="353" width="20.719285714285714" customWidth="1" bestFit="1"/>
    <col min="27" max="27" style="353" width="20.719285714285714" customWidth="1" bestFit="1"/>
    <col min="28" max="28" style="353" width="20.719285714285714" customWidth="1" bestFit="1"/>
    <col min="29" max="29" style="163" width="14.719285714285713" customWidth="1" bestFit="1"/>
    <col min="30" max="30" style="163" width="10.005" customWidth="1" bestFit="1"/>
    <col min="31" max="31" style="163" width="12.719285714285713" customWidth="1" bestFit="1"/>
    <col min="32" max="32" style="163" width="9.005" customWidth="1" bestFit="1"/>
    <col min="33" max="33" style="353" width="9.719285714285713" customWidth="1" bestFit="1"/>
    <col min="34" max="34" style="353" width="9.719285714285713" customWidth="1" bestFit="1"/>
    <col min="35" max="35" style="353" width="9.719285714285713" customWidth="1" bestFit="1"/>
    <col min="36" max="36" style="163" width="9.005" customWidth="1" bestFit="1"/>
    <col min="37" max="37" style="353" width="13.576428571428572" customWidth="1" bestFit="1"/>
    <col min="38" max="38" style="353" width="19.290714285714284" customWidth="1" bestFit="1"/>
    <col min="39" max="39" style="353" width="17.576428571428572" customWidth="1" bestFit="1"/>
    <col min="40" max="40" style="353" width="13.576428571428572" customWidth="1" bestFit="1"/>
    <col min="41" max="41" style="353" width="17.433571428571426" customWidth="1" bestFit="1"/>
    <col min="42" max="42" style="353" width="13.576428571428572" customWidth="1" bestFit="1"/>
    <col min="43" max="43" style="353" width="13.576428571428572" customWidth="1" bestFit="1"/>
    <col min="44" max="44" style="353" width="14.719285714285713" customWidth="1" bestFit="1"/>
    <col min="45" max="45" style="353" width="14.719285714285713" customWidth="1" bestFit="1"/>
    <col min="46" max="46" style="353" width="17.290714285714284" customWidth="1" bestFit="1"/>
    <col min="47" max="47" style="353" width="13.576428571428572" customWidth="1" bestFit="1"/>
    <col min="48" max="48" style="353" width="13.576428571428572" customWidth="1" bestFit="1"/>
    <col min="49" max="49" style="353" width="13.576428571428572" customWidth="1" bestFit="1"/>
    <col min="50" max="50" style="353" width="13.576428571428572" customWidth="1" bestFit="1"/>
    <col min="51" max="51" style="353" width="13.576428571428572" customWidth="1" bestFit="1"/>
    <col min="52" max="52" style="352" width="13.576428571428572" customWidth="1" bestFit="1"/>
  </cols>
  <sheetData>
    <row x14ac:dyDescent="0.25" r="1" customHeight="1" ht="18.75">
      <c r="A1" s="1"/>
      <c r="B1" s="7"/>
      <c r="C1" s="170"/>
      <c r="D1" s="320"/>
      <c r="E1" s="7"/>
      <c r="F1" s="321"/>
      <c r="G1" s="321"/>
      <c r="H1" s="321"/>
      <c r="I1" s="321"/>
      <c r="J1" s="321"/>
      <c r="K1" s="544">
        <f>DATE(YEAR(TODAY()),MONTH(1),DAY(1))</f>
        <v>25569.041666666668</v>
      </c>
      <c r="L1" s="727" t="s">
        <v>279</v>
      </c>
      <c r="M1" s="727"/>
      <c r="N1" s="728">
        <f>(K2*((1+$O$5)^(($B$7-$K$1)/365.25)))+AB5</f>
      </c>
      <c r="O1" s="170" t="s">
        <v>280</v>
      </c>
      <c r="P1" s="7"/>
      <c r="Q1" s="1"/>
      <c r="R1" s="320"/>
      <c r="S1" s="729" t="s">
        <v>281</v>
      </c>
      <c r="T1" s="1"/>
      <c r="U1" s="1"/>
      <c r="V1" s="320"/>
      <c r="W1" s="320"/>
      <c r="X1" s="7"/>
      <c r="Y1" s="321"/>
      <c r="Z1" s="321"/>
      <c r="AA1" s="321"/>
      <c r="AB1" s="321"/>
      <c r="AC1" s="1"/>
      <c r="AD1" s="1"/>
      <c r="AE1" s="1"/>
      <c r="AF1" s="1"/>
      <c r="AG1" s="321"/>
      <c r="AH1" s="321"/>
      <c r="AI1" s="321"/>
      <c r="AJ1" s="1"/>
      <c r="AK1" s="321"/>
      <c r="AL1" s="730" t="s">
        <v>282</v>
      </c>
      <c r="AM1" s="731">
        <v>1500</v>
      </c>
      <c r="AN1" s="321"/>
      <c r="AO1" s="321" t="s">
        <v>283</v>
      </c>
      <c r="AP1" s="217">
        <f>+('Aportaciones PPE'!H5+'Aportaciones PPE'!J5)*'Simulador - Datos personales'!E15</f>
      </c>
      <c r="AQ1" s="217">
        <f>+AP1/2</f>
      </c>
      <c r="AR1" s="321"/>
      <c r="AS1" s="321"/>
      <c r="AT1" s="321"/>
      <c r="AU1" s="321"/>
      <c r="AV1" s="321"/>
      <c r="AW1" s="321"/>
      <c r="AX1" s="321"/>
      <c r="AY1" s="321"/>
      <c r="AZ1" s="320"/>
    </row>
    <row x14ac:dyDescent="0.25" r="2" customHeight="1" ht="18.75">
      <c r="A2" s="1"/>
      <c r="B2" s="7"/>
      <c r="C2" s="170"/>
      <c r="D2" s="320"/>
      <c r="E2" s="7"/>
      <c r="F2" s="321"/>
      <c r="G2" s="321"/>
      <c r="H2" s="321"/>
      <c r="I2" s="321"/>
      <c r="J2" s="321"/>
      <c r="K2" s="332">
        <f>VLOOKUP('Simulador - Datos personales'!$E$5,BBDD!C5:H34,6,0)</f>
      </c>
      <c r="L2" s="321" t="s">
        <v>284</v>
      </c>
      <c r="M2" s="321"/>
      <c r="N2" s="217"/>
      <c r="O2" s="170"/>
      <c r="P2" s="7"/>
      <c r="Q2" s="1"/>
      <c r="R2" s="320"/>
      <c r="S2" s="169"/>
      <c r="T2" s="1"/>
      <c r="U2" s="1"/>
      <c r="V2" s="320"/>
      <c r="W2" s="320"/>
      <c r="X2" s="7"/>
      <c r="Y2" s="321"/>
      <c r="Z2" s="321"/>
      <c r="AA2" s="321"/>
      <c r="AB2" s="321"/>
      <c r="AC2" s="1"/>
      <c r="AD2" s="1"/>
      <c r="AE2" s="1"/>
      <c r="AF2" s="1"/>
      <c r="AG2" s="321"/>
      <c r="AH2" s="321"/>
      <c r="AI2" s="321"/>
      <c r="AJ2" s="1"/>
      <c r="AK2" s="321"/>
      <c r="AL2" s="730" t="s">
        <v>285</v>
      </c>
      <c r="AM2" s="731">
        <v>10000</v>
      </c>
      <c r="AN2" s="321"/>
      <c r="AO2" s="321" t="s">
        <v>286</v>
      </c>
      <c r="AP2" s="217">
        <f>+I5*'Simulador - Datos personales'!E15</f>
      </c>
      <c r="AQ2" s="321"/>
      <c r="AR2" s="321"/>
      <c r="AS2" s="321"/>
      <c r="AT2" s="321"/>
      <c r="AU2" s="321"/>
      <c r="AV2" s="321"/>
      <c r="AW2" s="321"/>
      <c r="AX2" s="321"/>
      <c r="AY2" s="321"/>
      <c r="AZ2" s="320"/>
    </row>
    <row x14ac:dyDescent="0.25" r="3" customHeight="1" ht="18.75">
      <c r="A3" s="714" t="s">
        <v>266</v>
      </c>
      <c r="B3" s="715"/>
      <c r="C3" s="170"/>
      <c r="D3" s="320"/>
      <c r="E3" s="7"/>
      <c r="F3" s="321"/>
      <c r="G3" s="321"/>
      <c r="H3" s="321"/>
      <c r="I3" s="321"/>
      <c r="J3" s="321"/>
      <c r="K3" s="321"/>
      <c r="L3" s="321"/>
      <c r="M3" s="321"/>
      <c r="N3" s="217"/>
      <c r="O3" s="170"/>
      <c r="P3" s="7"/>
      <c r="Q3" s="1"/>
      <c r="R3" s="320"/>
      <c r="S3" s="169"/>
      <c r="T3" s="217"/>
      <c r="U3" s="217"/>
      <c r="V3" s="217"/>
      <c r="W3" s="320"/>
      <c r="X3" s="217"/>
      <c r="Y3" s="321"/>
      <c r="Z3" s="321"/>
      <c r="AA3" s="321"/>
      <c r="AB3" s="321"/>
      <c r="AC3" s="1"/>
      <c r="AD3" s="1"/>
      <c r="AE3" s="1"/>
      <c r="AF3" s="1"/>
      <c r="AG3" s="321"/>
      <c r="AH3" s="321"/>
      <c r="AI3" s="321"/>
      <c r="AJ3" s="1"/>
      <c r="AK3" s="321"/>
      <c r="AL3" s="730" t="s">
        <v>287</v>
      </c>
      <c r="AM3" s="731">
        <f>+AM2-AM1</f>
      </c>
      <c r="AN3" s="321"/>
      <c r="AO3" s="321"/>
      <c r="AP3" s="321"/>
      <c r="AQ3" s="321"/>
      <c r="AR3" s="321"/>
      <c r="AS3" s="321"/>
      <c r="AT3" s="321"/>
      <c r="AU3" s="321"/>
      <c r="AV3" s="321"/>
      <c r="AW3" s="321"/>
      <c r="AX3" s="321"/>
      <c r="AY3" s="321"/>
      <c r="AZ3" s="320"/>
    </row>
    <row x14ac:dyDescent="0.25" r="4" customHeight="1" ht="18.75">
      <c r="A4" s="1"/>
      <c r="B4" s="7"/>
      <c r="C4" s="170"/>
      <c r="D4" s="320"/>
      <c r="E4" s="7"/>
      <c r="F4" s="546" t="s">
        <v>187</v>
      </c>
      <c r="G4" s="321"/>
      <c r="H4" s="321"/>
      <c r="I4" s="732" t="s">
        <v>288</v>
      </c>
      <c r="J4" s="732"/>
      <c r="K4" s="321"/>
      <c r="L4" s="321"/>
      <c r="M4" s="321"/>
      <c r="N4" s="717" t="s">
        <v>188</v>
      </c>
      <c r="O4" s="546" t="s">
        <v>113</v>
      </c>
      <c r="P4" s="7"/>
      <c r="Q4" s="1"/>
      <c r="R4" s="688" t="s">
        <v>189</v>
      </c>
      <c r="S4" s="332">
        <f>VLOOKUP('Simulador - Datos personales'!E5,BBDD!$C$5:$G$34,5,0)</f>
      </c>
      <c r="T4" s="1" t="s">
        <v>289</v>
      </c>
      <c r="U4" s="1"/>
      <c r="V4" s="320"/>
      <c r="W4" s="320"/>
      <c r="X4" s="217"/>
      <c r="Y4" s="321"/>
      <c r="Z4" s="321"/>
      <c r="AA4" s="321"/>
      <c r="AB4" s="321"/>
      <c r="AC4" s="1"/>
      <c r="AD4" s="1"/>
      <c r="AE4" s="1"/>
      <c r="AF4" s="1"/>
      <c r="AG4" s="321"/>
      <c r="AH4" s="321"/>
      <c r="AI4" s="321"/>
      <c r="AJ4" s="1"/>
      <c r="AK4" s="321"/>
      <c r="AL4" s="730" t="s">
        <v>290</v>
      </c>
      <c r="AM4" s="731">
        <f>+AM1+AM3/2</f>
      </c>
      <c r="AN4" s="733">
        <f>SUMIF(AN7:AN1066,"&gt;0")</f>
      </c>
      <c r="AO4" s="733">
        <f>SUMIF(AO7:AO1066,"&gt;0")</f>
      </c>
      <c r="AP4" s="321"/>
      <c r="AQ4" s="321"/>
      <c r="AR4" s="321"/>
      <c r="AS4" s="733">
        <f>SUMIF(AS7:AS1066,"&gt;0")</f>
      </c>
      <c r="AT4" s="733">
        <f>SUMIF(AT7:AT1066,"&gt;0")</f>
      </c>
      <c r="AU4" s="321"/>
      <c r="AV4" s="321"/>
      <c r="AW4" s="321"/>
      <c r="AX4" s="733">
        <f>SUMIF(AX7:AX1066,"&gt;0")</f>
      </c>
      <c r="AY4" s="733">
        <f>SUMIF(AY7:AY1066,"&gt;0")</f>
      </c>
      <c r="AZ4" s="320"/>
    </row>
    <row x14ac:dyDescent="0.25" r="5" customHeight="1" ht="15.75">
      <c r="A5" s="339" t="s">
        <v>291</v>
      </c>
      <c r="B5" s="332">
        <f>YEAR(B7)-YEAR(B6)</f>
      </c>
      <c r="C5" s="170"/>
      <c r="D5" s="320"/>
      <c r="E5" s="7"/>
      <c r="F5" s="551">
        <f>Hipótesis!E7</f>
      </c>
      <c r="G5" s="321"/>
      <c r="H5" s="734">
        <f>VLOOKUP('Simulador - Datos personales'!E5,BBDD!$C$5:$M$7000,9,0)</f>
      </c>
      <c r="I5" s="735">
        <f>+IF('Simulador - 2º Pilar'!H12="2% Sal. Pensionable",2%,0%)</f>
      </c>
      <c r="J5" s="735">
        <f>+I5</f>
      </c>
      <c r="K5" s="351"/>
      <c r="L5" s="351"/>
      <c r="M5" s="351"/>
      <c r="N5" s="722">
        <f>IF('Simulador - 1º Pilar'!$E$99="Sí",SUM(N7:N1066)*(1+$O$5)^(C14/12),SUM(N7:N1066))</f>
      </c>
      <c r="O5" s="551">
        <f>Hipótesis!E15</f>
      </c>
      <c r="P5" s="7"/>
      <c r="Q5" s="1"/>
      <c r="R5" s="320"/>
      <c r="S5" s="169"/>
      <c r="T5" s="1"/>
      <c r="U5" s="1"/>
      <c r="V5" s="320"/>
      <c r="W5" s="320"/>
      <c r="X5" s="217"/>
      <c r="Y5" s="733">
        <f>SUM(Y7:Y1066)</f>
      </c>
      <c r="Z5" s="733">
        <f>SUM(Z7:Z1066)</f>
      </c>
      <c r="AA5" s="736">
        <f>SUM(AA7:AA1066)+(S4*((1+$O$5)^(($B$7-$K$1)/365.25)))</f>
      </c>
      <c r="AB5" s="733">
        <f>SUM(AB7:AB1066)</f>
      </c>
      <c r="AC5" s="1"/>
      <c r="AD5" s="1"/>
      <c r="AE5" s="1"/>
      <c r="AF5" s="1"/>
      <c r="AG5" s="321"/>
      <c r="AH5" s="321"/>
      <c r="AI5" s="321"/>
      <c r="AJ5" s="1"/>
      <c r="AK5" s="737" t="s">
        <v>292</v>
      </c>
      <c r="AL5" s="738"/>
      <c r="AM5" s="738"/>
      <c r="AN5" s="738"/>
      <c r="AO5" s="739"/>
      <c r="AP5" s="737" t="s">
        <v>293</v>
      </c>
      <c r="AQ5" s="738"/>
      <c r="AR5" s="738"/>
      <c r="AS5" s="738"/>
      <c r="AT5" s="739"/>
      <c r="AU5" s="737" t="s">
        <v>294</v>
      </c>
      <c r="AV5" s="738"/>
      <c r="AW5" s="738"/>
      <c r="AX5" s="738"/>
      <c r="AY5" s="739"/>
      <c r="AZ5" s="320"/>
    </row>
    <row x14ac:dyDescent="0.25" r="6" customHeight="1" ht="18.75">
      <c r="A6" s="339" t="s">
        <v>191</v>
      </c>
      <c r="B6" s="723">
        <v>44561</v>
      </c>
      <c r="C6" s="555">
        <f>TODAY()</f>
        <v>25569.041666666668</v>
      </c>
      <c r="D6" s="320"/>
      <c r="E6" s="558" t="s">
        <v>186</v>
      </c>
      <c r="F6" s="547" t="s">
        <v>192</v>
      </c>
      <c r="G6" s="547" t="s">
        <v>193</v>
      </c>
      <c r="H6" s="717" t="s">
        <v>295</v>
      </c>
      <c r="I6" s="717" t="s">
        <v>277</v>
      </c>
      <c r="J6" s="717" t="s">
        <v>296</v>
      </c>
      <c r="K6" s="717" t="s">
        <v>271</v>
      </c>
      <c r="L6" s="717" t="s">
        <v>278</v>
      </c>
      <c r="M6" s="717" t="s">
        <v>296</v>
      </c>
      <c r="N6" s="717" t="s">
        <v>118</v>
      </c>
      <c r="O6" s="547" t="s">
        <v>197</v>
      </c>
      <c r="P6" s="7"/>
      <c r="Q6" s="1"/>
      <c r="R6" s="320"/>
      <c r="S6" s="169"/>
      <c r="T6" s="1"/>
      <c r="U6" s="1"/>
      <c r="V6" s="740" t="s">
        <v>297</v>
      </c>
      <c r="W6" s="740" t="s">
        <v>298</v>
      </c>
      <c r="X6" s="741" t="s">
        <v>299</v>
      </c>
      <c r="Y6" s="742" t="s">
        <v>300</v>
      </c>
      <c r="Z6" s="742" t="s">
        <v>301</v>
      </c>
      <c r="AA6" s="742" t="s">
        <v>302</v>
      </c>
      <c r="AB6" s="742" t="s">
        <v>303</v>
      </c>
      <c r="AC6" s="1"/>
      <c r="AD6" s="1"/>
      <c r="AE6" s="1"/>
      <c r="AF6" s="743" t="s">
        <v>304</v>
      </c>
      <c r="AG6" s="744" t="s">
        <v>305</v>
      </c>
      <c r="AH6" s="744" t="s">
        <v>293</v>
      </c>
      <c r="AI6" s="744" t="s">
        <v>294</v>
      </c>
      <c r="AJ6" s="743" t="s">
        <v>304</v>
      </c>
      <c r="AK6" s="745" t="s">
        <v>306</v>
      </c>
      <c r="AL6" s="745" t="s">
        <v>307</v>
      </c>
      <c r="AM6" s="745" t="s">
        <v>308</v>
      </c>
      <c r="AN6" s="746" t="s">
        <v>309</v>
      </c>
      <c r="AO6" s="746" t="s">
        <v>310</v>
      </c>
      <c r="AP6" s="745" t="s">
        <v>306</v>
      </c>
      <c r="AQ6" s="745" t="s">
        <v>307</v>
      </c>
      <c r="AR6" s="745" t="s">
        <v>311</v>
      </c>
      <c r="AS6" s="746" t="s">
        <v>312</v>
      </c>
      <c r="AT6" s="746" t="s">
        <v>313</v>
      </c>
      <c r="AU6" s="745" t="s">
        <v>306</v>
      </c>
      <c r="AV6" s="745" t="s">
        <v>307</v>
      </c>
      <c r="AW6" s="745" t="s">
        <v>311</v>
      </c>
      <c r="AX6" s="746" t="s">
        <v>314</v>
      </c>
      <c r="AY6" s="746" t="s">
        <v>315</v>
      </c>
      <c r="AZ6" s="747" t="s">
        <v>316</v>
      </c>
    </row>
    <row x14ac:dyDescent="0.25" r="7" customHeight="1" ht="18.75">
      <c r="A7" s="339" t="s">
        <v>198</v>
      </c>
      <c r="B7" s="544">
        <f>DATE(YEAR('Simulador - 1º Pilar'!G20),MONTH('Simulador - 1º Pilar'!G20)+1,DAY(1))</f>
        <v>25569.041666666668</v>
      </c>
      <c r="C7" s="170"/>
      <c r="D7" s="320"/>
      <c r="E7" s="544">
        <f>DATE(YEAR($B$7),MONTH($B$7)-1,DAY($B$7))</f>
        <v>25569.041666666668</v>
      </c>
      <c r="F7" s="333">
        <f>MAX(IF(DATE(YEAR($B$6),MONTH($B$6)+1,DAY(1))=E7,1,IF(MONTH(E7)=1,F8*(1+$F$5),F8)),1)</f>
      </c>
      <c r="G7" s="333">
        <f>IF('Simulador - 1º Pilar'!$E$99="Sí",IF('Aportaciones PPE'!$B$13&lt;'Aportaciones PPE'!E7,0,F7*$B$8/12),F7*$B$8/12)</f>
      </c>
      <c r="H7" s="333">
        <f>$H$5*G7</f>
      </c>
      <c r="I7" s="333">
        <f>$I$5*G7</f>
      </c>
      <c r="J7" s="333">
        <f>+I7</f>
      </c>
      <c r="K7" s="333">
        <f>H7+IF(AND(F7=1,F8=0),$S$4,0)</f>
      </c>
      <c r="L7" s="333">
        <f>I7+IF(AND(F7=1,F8=0),$S$4,0)</f>
      </c>
      <c r="M7" s="333">
        <f>+L7</f>
      </c>
      <c r="N7" s="333">
        <f>L7+K7+M7</f>
      </c>
      <c r="O7" s="561">
        <f>IF('Simulador - Datos personales'!G58="Si",0.06,0.04)</f>
      </c>
      <c r="P7" s="544">
        <v>2958282</v>
      </c>
      <c r="Q7" s="1"/>
      <c r="R7" s="320"/>
      <c r="S7" s="169"/>
      <c r="T7" s="1"/>
      <c r="U7" s="217"/>
      <c r="V7" s="331">
        <v>1</v>
      </c>
      <c r="W7" s="331">
        <f>+YEAR(K1)</f>
      </c>
      <c r="X7" s="555">
        <f>+DATE(W7,V7,1)</f>
        <v>25569.041666666668</v>
      </c>
      <c r="Y7" s="333">
        <f>+_xlfn.IFNA(AN7+AS7+AX7,0)</f>
      </c>
      <c r="Z7" s="333">
        <f>+_xlfn.IFNA(AO7+AT7+AY7,0)</f>
      </c>
      <c r="AA7" s="333">
        <f>Y7*(1+$O$5)^(($B$7-X7)/365.25)</f>
      </c>
      <c r="AB7" s="333">
        <f>Z7*(1+$O$5)^(($B$7-X7)/365.25)</f>
      </c>
      <c r="AC7" s="1"/>
      <c r="AD7" s="1"/>
      <c r="AE7" s="1"/>
      <c r="AF7" s="111">
        <f>+MONTH(E7)&amp;YEAR(E7)</f>
      </c>
      <c r="AG7" s="217">
        <f>+I7</f>
      </c>
      <c r="AH7" s="217">
        <f>+J7</f>
      </c>
      <c r="AI7" s="217">
        <f>+H7</f>
      </c>
      <c r="AJ7" s="111">
        <f>+V7&amp;W7</f>
      </c>
      <c r="AK7" s="217">
        <f>+_xlfn.IFNA(VLOOKUP(AJ7,$AF$7:$AG$1066,2,0),0)</f>
      </c>
      <c r="AL7" s="217">
        <f>+AK7</f>
      </c>
      <c r="AM7" s="217">
        <f>+IF(AL7&gt;=$AM$1,$AM$1,AL7)</f>
      </c>
      <c r="AN7" s="748">
        <f>+IF(OR(AM6=$AM$1,AM6=0),0,IF(AM7=AL7,AK7,$AM$1-AM6))</f>
      </c>
      <c r="AO7" s="748">
        <f>+AK7-AN7</f>
      </c>
      <c r="AP7" s="217">
        <f>+_xlfn.IFNA(VLOOKUP(AJ7,$AF$7:$AI$1066,3,0),0)</f>
      </c>
      <c r="AQ7" s="217">
        <f>+AP7</f>
      </c>
      <c r="AR7" s="217">
        <f>+MAX($AM$2-SUMIF($W$7:$W$1066,W7,$AN$7:$AN$1066),0)</f>
      </c>
      <c r="AS7" s="748">
        <f>+MAX(IF(AQ7&gt;AR7,AR7-AQ6,AP7),0)</f>
      </c>
      <c r="AT7" s="748">
        <f>+AP7-AS7</f>
      </c>
      <c r="AU7" s="217">
        <f>+_xlfn.IFNA(VLOOKUP(AJ7,$AF$7:$AI$1066,4,0),0)</f>
      </c>
      <c r="AV7" s="217">
        <f>+AU7</f>
      </c>
      <c r="AW7" s="217">
        <f>+MAX($AM$2-SUMIF($W$7:$W$1066,W7,$AN$7:$AN$1066)-SUMIF($W$7:$W$1066,W7,$AS$7:$AS$1066),0)</f>
      </c>
      <c r="AX7" s="748">
        <f>+IF(AW7=0,0,MAX(IF(AV7&gt;AW7,AW7-AV6,AU7),0))</f>
      </c>
      <c r="AY7" s="748">
        <f>+AU7-AX7</f>
      </c>
      <c r="AZ7" s="331">
        <f>+$AM$1+IF($AP$1&gt;$AP$2,$AM$3/2)</f>
      </c>
    </row>
    <row x14ac:dyDescent="0.25" r="8" customHeight="1" ht="18.75">
      <c r="A8" s="339"/>
      <c r="B8" s="332">
        <f>'Simulador - Datos personales'!E15</f>
      </c>
      <c r="C8" s="333">
        <f>B8/12</f>
      </c>
      <c r="D8" s="331">
        <v>1</v>
      </c>
      <c r="E8" s="544">
        <f>+DATE(YEAR(E7),MONTH(E7)-1,DAY(E7))</f>
        <v>25569.041666666668</v>
      </c>
      <c r="F8" s="333">
        <f>IF(DATE(YEAR($B$6),MONTH($B$6)+1,DAY(1))=E8,1,IF(MONTH(E8)=1,F9*(1+$F$5),F9))</f>
      </c>
      <c r="G8" s="333">
        <f>IF('Simulador - 1º Pilar'!$E$99="Sí",IF('Aportaciones PPE'!$B$13&lt;'Aportaciones PPE'!E8,0,F8*$B$8/12),F8*$B$8/12)</f>
      </c>
      <c r="H8" s="333">
        <f>$H$5*G8</f>
      </c>
      <c r="I8" s="333">
        <f>$I$5*G8</f>
      </c>
      <c r="J8" s="333">
        <f>+I8</f>
      </c>
      <c r="K8" s="333">
        <f>(1+$O$5)^(D8/12)*(H8+IF(AND(F8=1,F9=0),$S$4,0))</f>
      </c>
      <c r="L8" s="333">
        <f>(1+$O$5)^(D8/12)*(I8+IF(AND(F8=1,F9=0),0))</f>
      </c>
      <c r="M8" s="333">
        <f>+L8</f>
      </c>
      <c r="N8" s="333">
        <f>L8+K8+M8</f>
      </c>
      <c r="O8" s="561">
        <v>0.02</v>
      </c>
      <c r="P8" s="544">
        <v>47300</v>
      </c>
      <c r="Q8" s="1"/>
      <c r="R8" s="331">
        <f>D8</f>
      </c>
      <c r="S8" s="169"/>
      <c r="T8" s="1"/>
      <c r="U8" s="217"/>
      <c r="V8" s="331">
        <f>+IF(V7=11,12,IF(V7=12,1,V7+1))</f>
      </c>
      <c r="W8" s="331">
        <f>+W7+IF(V7=12,1,0)</f>
      </c>
      <c r="X8" s="555">
        <f>+DATE(W8,V8,1)</f>
        <v>25569.041666666668</v>
      </c>
      <c r="Y8" s="333">
        <f>+_xlfn.IFNA(AN8+AS8+AX8,0)</f>
      </c>
      <c r="Z8" s="333">
        <f>+_xlfn.IFNA(AO8+AT8+AY8,0)</f>
      </c>
      <c r="AA8" s="333">
        <f>Y8*(1+$O$5)^(($B$7-X8)/365.25)</f>
      </c>
      <c r="AB8" s="333">
        <f>Z8*(1+$O$5)^(($B$7-X8)/365.25)</f>
      </c>
      <c r="AC8" s="1"/>
      <c r="AD8" s="1"/>
      <c r="AE8" s="1"/>
      <c r="AF8" s="111">
        <f>+MONTH(E8)&amp;YEAR(E8)</f>
      </c>
      <c r="AG8" s="217">
        <f>+I8</f>
      </c>
      <c r="AH8" s="217">
        <f>+J8</f>
      </c>
      <c r="AI8" s="217">
        <f>+H8</f>
      </c>
      <c r="AJ8" s="111">
        <f>+V8&amp;W8</f>
      </c>
      <c r="AK8" s="217">
        <f>+_xlfn.IFNA(VLOOKUP(AJ8,$AF$7:$AG$1066,2,0),0)</f>
      </c>
      <c r="AL8" s="217">
        <f>+IF(W8&gt;W7,AK8,AL7+AK8)</f>
      </c>
      <c r="AM8" s="217">
        <f>IF(W8&gt;W7,IF(AL8&gt;=$AZ$8,$AZ$8,AL8),IF(OR(AM7=$AZ$8,AM7=0),0,IF(AL8&gt;=$AZ$8,$AZ$8,AL8)))</f>
      </c>
      <c r="AN8" s="748">
        <f>+IF(OR(AM8&gt;AZ7,AM8=0),0,IF(AM8=AL8,AK8,$AZ$7-AL7))</f>
      </c>
      <c r="AO8" s="748">
        <f>+AK8-AN8</f>
      </c>
      <c r="AP8" s="217">
        <f>+_xlfn.IFNA(VLOOKUP(AJ8,$AF$7:$AI$1066,3,0),0)</f>
      </c>
      <c r="AQ8" s="217">
        <f>+IF(W8&gt;W7,AP8,AQ7+AP8)</f>
      </c>
      <c r="AR8" s="217">
        <f>+MAX($AM$2-SUMIF($W$7:$W$1066,W8,$AN$7:$AN$1066),0)</f>
      </c>
      <c r="AS8" s="748">
        <f>+MAX(IF(AQ8&gt;AR8,AR8-AQ7,AP8),0)</f>
      </c>
      <c r="AT8" s="748">
        <f>+AP8-AS8</f>
      </c>
      <c r="AU8" s="217">
        <f>+_xlfn.IFNA(VLOOKUP(AJ8,$AF$7:$AI$1066,4,0),0)</f>
      </c>
      <c r="AV8" s="217">
        <f>+IF(W8&gt;W7,AU8,AV7+AU8)</f>
      </c>
      <c r="AW8" s="217">
        <f>+MAX($AM$2-SUMIF($W$7:$W$1066,W8,$AN$7:$AN$1066)-SUMIF($W$7:$W$1066,W8,$AS$7:$AS$1066),0)</f>
      </c>
      <c r="AX8" s="748">
        <f>+MAX(IF(AV8&gt;AW8,AW8-AV7,AU8),0)</f>
      </c>
      <c r="AY8" s="748">
        <f>+AU8-AX8</f>
      </c>
      <c r="AZ8" s="331">
        <f>+$AM$1+IF($AP$1&gt;$AP$2,$AM$3/2)</f>
      </c>
    </row>
    <row x14ac:dyDescent="0.25" r="9" customHeight="1" ht="18.75">
      <c r="A9" s="1"/>
      <c r="B9" s="7"/>
      <c r="C9" s="170"/>
      <c r="D9" s="331">
        <v>2</v>
      </c>
      <c r="E9" s="544">
        <f>+DATE(YEAR(E8),MONTH(E8)-1,DAY(E8))</f>
        <v>25569.041666666668</v>
      </c>
      <c r="F9" s="333">
        <f>IF(DATE(YEAR($B$6),MONTH($B$6)+1,DAY(1))=E9,1,IF(MONTH(E9)=1,F10*(1+$F$5),F10))</f>
      </c>
      <c r="G9" s="333">
        <f>IF('Simulador - 1º Pilar'!$E$99="Sí",IF('Aportaciones PPE'!$B$13&lt;'Aportaciones PPE'!E9,0,F9*$B$8/12),F9*$B$8/12)</f>
      </c>
      <c r="H9" s="333">
        <f>$H$5*G9</f>
      </c>
      <c r="I9" s="333">
        <f>$I$5*G9</f>
      </c>
      <c r="J9" s="333">
        <f>+I9</f>
      </c>
      <c r="K9" s="333">
        <f>(1+$O$5)^(D9/12)*(H9+IF(AND(F9=1,F10=0),$S$4,0))</f>
      </c>
      <c r="L9" s="333">
        <f>(1+$O$5)^(D9/12)*(I9+IF(AND(F9=1,F10=0),0))</f>
      </c>
      <c r="M9" s="333">
        <f>+L9</f>
      </c>
      <c r="N9" s="333">
        <f>L9+K9+M9</f>
      </c>
      <c r="O9" s="561">
        <v>0.03</v>
      </c>
      <c r="P9" s="7"/>
      <c r="Q9" s="1"/>
      <c r="R9" s="331">
        <f>D9</f>
      </c>
      <c r="S9" s="169"/>
      <c r="T9" s="1"/>
      <c r="U9" s="217"/>
      <c r="V9" s="331">
        <f>+IF(V8=11,12,IF(V8=12,1,V8+1))</f>
      </c>
      <c r="W9" s="331">
        <f>+W8+IF(V8=12,1,0)</f>
      </c>
      <c r="X9" s="555">
        <f>+DATE(W9,V9,1)</f>
        <v>25569.041666666668</v>
      </c>
      <c r="Y9" s="333">
        <f>+_xlfn.IFNA(AN9+AS9+AX9,0)</f>
      </c>
      <c r="Z9" s="333">
        <f>+_xlfn.IFNA(AO9+AT9+AY9,0)</f>
      </c>
      <c r="AA9" s="333">
        <f>Y9*(1+$O$5)^(($B$7-X9)/365.25)</f>
      </c>
      <c r="AB9" s="333">
        <f>Z9*(1+$O$5)^(($B$7-X9)/365.25)</f>
      </c>
      <c r="AC9" s="1"/>
      <c r="AD9" s="1"/>
      <c r="AE9" s="1"/>
      <c r="AF9" s="111">
        <f>+MONTH(E9)&amp;YEAR(E9)</f>
      </c>
      <c r="AG9" s="217">
        <f>+I9</f>
      </c>
      <c r="AH9" s="217">
        <f>+J9</f>
      </c>
      <c r="AI9" s="217">
        <f>+H9</f>
      </c>
      <c r="AJ9" s="111">
        <f>+V9&amp;W9</f>
      </c>
      <c r="AK9" s="217">
        <f>+_xlfn.IFNA(VLOOKUP(AJ9,$AF$7:$AG$1066,2,0),0)</f>
      </c>
      <c r="AL9" s="217">
        <f>+IF(W9&gt;W8,AK9,AL8+AK9)</f>
      </c>
      <c r="AM9" s="217">
        <f>IF(W9&gt;W8,IF(AL9&gt;=$AZ$8,$AZ$8,AL9),IF(OR(AM8=$AZ$8,AM8=0),0,IF(AL9&gt;=$AZ$8,$AZ$8,AL9)))</f>
      </c>
      <c r="AN9" s="748">
        <f>+IF(OR(AM9&gt;AZ8,AM9=0),0,IF(AM9=AL9,AK9,$AZ$7-AL8))</f>
      </c>
      <c r="AO9" s="748">
        <f>+AK9-AN9</f>
      </c>
      <c r="AP9" s="217">
        <f>+_xlfn.IFNA(VLOOKUP(AJ9,$AF$7:$AI$1066,3,0),0)</f>
      </c>
      <c r="AQ9" s="217">
        <f>+IF(W9&gt;W8,AP9,AQ8+AP9)</f>
      </c>
      <c r="AR9" s="217">
        <f>+MAX($AM$2-SUMIF($W$7:$W$1066,W9,$AN$7:$AN$1066),0)</f>
      </c>
      <c r="AS9" s="748">
        <f>+MAX(IF(AQ9&gt;AR9,AR9-AQ8,AP9),0)</f>
      </c>
      <c r="AT9" s="748">
        <f>+AP9-AS9</f>
      </c>
      <c r="AU9" s="217">
        <f>+_xlfn.IFNA(VLOOKUP(AJ9,$AF$7:$AI$1066,4,0),0)</f>
      </c>
      <c r="AV9" s="217">
        <f>+IF(W9&gt;W8,AU9,AV8+AU9)</f>
      </c>
      <c r="AW9" s="217">
        <f>+MAX($AM$2-SUMIF($W$7:$W$1066,W9,$AN$7:$AN$1066)-SUMIF($W$7:$W$1066,W9,$AS$7:$AS$1066),0)</f>
      </c>
      <c r="AX9" s="748">
        <f>+MAX(IF(AV9&gt;AW9,AW9-AV8,AU9),0)</f>
      </c>
      <c r="AY9" s="748">
        <f>+AU9-AX9</f>
      </c>
      <c r="AZ9" s="331">
        <f>+$AM$1+IF($AP$1&gt;$AP$2,$AM$3/2)</f>
      </c>
    </row>
    <row x14ac:dyDescent="0.25" r="10" customHeight="1" ht="18.75">
      <c r="A10" s="339" t="s">
        <v>273</v>
      </c>
      <c r="B10" s="332">
        <f>'Simulador - Datos personales'!E13</f>
      </c>
      <c r="C10" s="170"/>
      <c r="D10" s="331">
        <v>3</v>
      </c>
      <c r="E10" s="544">
        <f>+DATE(YEAR(E9),MONTH(E9)-1,DAY(E9))</f>
        <v>25569.041666666668</v>
      </c>
      <c r="F10" s="333">
        <f>IF(DATE(YEAR($B$6),MONTH($B$6)+1,DAY(1))=E10,1,IF(MONTH(E10)=1,F11*(1+$F$5),F11))</f>
      </c>
      <c r="G10" s="333">
        <f>IF('Simulador - 1º Pilar'!$E$99="Sí",IF('Aportaciones PPE'!$B$13&lt;'Aportaciones PPE'!E10,0,F10*$B$8/12),F10*$B$8/12)</f>
      </c>
      <c r="H10" s="333">
        <f>$H$5*G10</f>
      </c>
      <c r="I10" s="333">
        <f>$I$5*G10</f>
      </c>
      <c r="J10" s="333">
        <f>+I10</f>
      </c>
      <c r="K10" s="333">
        <f>(1+$O$5)^(D10/12)*(H10+IF(AND(F10=1,F11=0),$S$4,0))</f>
      </c>
      <c r="L10" s="333">
        <f>(1+$O$5)^(D10/12)*(I10+IF(AND(F10=1,F11=0),0))</f>
      </c>
      <c r="M10" s="333">
        <f>+L10</f>
      </c>
      <c r="N10" s="333">
        <f>L10+K10+M10</f>
      </c>
      <c r="O10" s="170"/>
      <c r="P10" s="7"/>
      <c r="Q10" s="1"/>
      <c r="R10" s="331">
        <f>D10</f>
      </c>
      <c r="S10" s="169"/>
      <c r="T10" s="1"/>
      <c r="U10" s="217"/>
      <c r="V10" s="331">
        <f>+IF(V9=11,12,IF(V9=12,1,V9+1))</f>
      </c>
      <c r="W10" s="331">
        <f>+W9+IF(V9=12,1,0)</f>
      </c>
      <c r="X10" s="555">
        <f>+DATE(W10,V10,1)</f>
        <v>25569.041666666668</v>
      </c>
      <c r="Y10" s="333">
        <f>+_xlfn.IFNA(AN10+AS10+AX10,0)</f>
      </c>
      <c r="Z10" s="333">
        <f>+_xlfn.IFNA(AO10+AT10+AY10,0)</f>
      </c>
      <c r="AA10" s="333">
        <f>Y10*(1+$O$5)^(($B$7-X10)/365.25)</f>
      </c>
      <c r="AB10" s="333">
        <f>Z10*(1+$O$5)^(($B$7-X10)/365.25)</f>
      </c>
      <c r="AC10" s="1"/>
      <c r="AD10" s="1"/>
      <c r="AE10" s="1"/>
      <c r="AF10" s="111">
        <f>+MONTH(E10)&amp;YEAR(E10)</f>
      </c>
      <c r="AG10" s="217">
        <f>+I10</f>
      </c>
      <c r="AH10" s="217">
        <f>+J10</f>
      </c>
      <c r="AI10" s="217">
        <f>+H10</f>
      </c>
      <c r="AJ10" s="111">
        <f>+V10&amp;W10</f>
      </c>
      <c r="AK10" s="217">
        <f>+_xlfn.IFNA(VLOOKUP(AJ10,$AF$7:$AG$1066,2,0),0)</f>
      </c>
      <c r="AL10" s="217">
        <f>+IF(W10&gt;W9,AK10,AL9+AK10)</f>
      </c>
      <c r="AM10" s="217">
        <f>IF(W10&gt;W9,IF(AL10&gt;=$AZ$8,$AZ$8,AL10),IF(OR(AM9=$AZ$8,AM9=0),0,IF(AL10&gt;=$AZ$8,$AZ$8,AL10)))</f>
      </c>
      <c r="AN10" s="748">
        <f>+IF(OR(AM10&gt;AZ9,AM10=0),0,IF(AM10=AL10,AK10,$AZ$7-AL9))</f>
      </c>
      <c r="AO10" s="748">
        <f>+AK10-AN10</f>
      </c>
      <c r="AP10" s="217">
        <f>+_xlfn.IFNA(VLOOKUP(AJ10,$AF$7:$AI$1066,3,0),0)</f>
      </c>
      <c r="AQ10" s="217">
        <f>+IF(W10&gt;W9,AP10,AQ9+AP10)</f>
      </c>
      <c r="AR10" s="217">
        <f>+MAX($AM$2-SUMIF($W$7:$W$1066,W10,$AN$7:$AN$1066),0)</f>
      </c>
      <c r="AS10" s="748">
        <f>+MAX(IF(AQ10&gt;AR10,AR10-AQ9,AP10),0)</f>
      </c>
      <c r="AT10" s="748">
        <f>+AP10-AS10</f>
      </c>
      <c r="AU10" s="217">
        <f>+_xlfn.IFNA(VLOOKUP(AJ10,$AF$7:$AI$1066,4,0),0)</f>
      </c>
      <c r="AV10" s="217">
        <f>+IF(W10&gt;W9,AU10,AV9+AU10)</f>
      </c>
      <c r="AW10" s="217">
        <f>+MAX($AM$2-SUMIF($W$7:$W$1066,W10,$AN$7:$AN$1066)-SUMIF($W$7:$W$1066,W10,$AS$7:$AS$1066),0)</f>
      </c>
      <c r="AX10" s="748">
        <f>+MAX(IF(AV10&gt;AW10,AW10-AV9,AU10),0)</f>
      </c>
      <c r="AY10" s="748">
        <f>+AU10-AX10</f>
      </c>
      <c r="AZ10" s="331">
        <f>+$AM$1+IF($AP$1&gt;$AP$2,$AM$3/2)</f>
      </c>
    </row>
    <row x14ac:dyDescent="0.25" r="11" customHeight="1" ht="18.75">
      <c r="A11" s="339" t="s">
        <v>274</v>
      </c>
      <c r="B11" s="333">
        <f>IF(G7=0,C11*B10/12,F7*B10/12)</f>
      </c>
      <c r="C11" s="333">
        <f>_xlfn.IFNA(VLOOKUP(B14,$E$7:$G$1066,2,0),1)</f>
      </c>
      <c r="D11" s="331">
        <v>4</v>
      </c>
      <c r="E11" s="544">
        <f>+DATE(YEAR(E10),MONTH(E10)-1,DAY(E10))</f>
        <v>25569.041666666668</v>
      </c>
      <c r="F11" s="333">
        <f>IF(DATE(YEAR($B$6),MONTH($B$6)+1,DAY(1))=E11,1,IF(MONTH(E11)=1,F12*(1+$F$5),F12))</f>
      </c>
      <c r="G11" s="333">
        <f>IF('Simulador - 1º Pilar'!$E$99="Sí",IF('Aportaciones PPE'!$B$13&lt;'Aportaciones PPE'!E11,0,F11*$B$8/12),F11*$B$8/12)</f>
      </c>
      <c r="H11" s="333">
        <f>$H$5*G11</f>
      </c>
      <c r="I11" s="333">
        <f>$I$5*G11</f>
      </c>
      <c r="J11" s="333">
        <f>+I11</f>
      </c>
      <c r="K11" s="333">
        <f>(1+$O$5)^(D11/12)*(H11+IF(AND(F11=1,F12=0),$S$4,0))</f>
      </c>
      <c r="L11" s="333">
        <f>(1+$O$5)^(D11/12)*(I11+IF(AND(F11=1,F12=0),0))</f>
      </c>
      <c r="M11" s="333">
        <f>+L11</f>
      </c>
      <c r="N11" s="333">
        <f>L11+K11+M11</f>
      </c>
      <c r="O11" s="170"/>
      <c r="P11" s="7"/>
      <c r="Q11" s="1"/>
      <c r="R11" s="331">
        <f>D11</f>
      </c>
      <c r="S11" s="169"/>
      <c r="T11" s="1"/>
      <c r="U11" s="217"/>
      <c r="V11" s="331">
        <f>+IF(V10=11,12,IF(V10=12,1,V10+1))</f>
      </c>
      <c r="W11" s="331">
        <f>+W10+IF(V10=12,1,0)</f>
      </c>
      <c r="X11" s="555">
        <f>+DATE(W11,V11,1)</f>
        <v>25569.041666666668</v>
      </c>
      <c r="Y11" s="333">
        <f>+_xlfn.IFNA(AN11+AS11+AX11,0)</f>
      </c>
      <c r="Z11" s="333">
        <f>+_xlfn.IFNA(AO11+AT11+AY11,0)</f>
      </c>
      <c r="AA11" s="333">
        <f>Y11*(1+$O$5)^(($B$7-X11)/365.25)</f>
      </c>
      <c r="AB11" s="333">
        <f>Z11*(1+$O$5)^(($B$7-X11)/365.25)</f>
      </c>
      <c r="AC11" s="1"/>
      <c r="AD11" s="1"/>
      <c r="AE11" s="1"/>
      <c r="AF11" s="111">
        <f>+MONTH(E11)&amp;YEAR(E11)</f>
      </c>
      <c r="AG11" s="217">
        <f>+I11</f>
      </c>
      <c r="AH11" s="217">
        <f>+J11</f>
      </c>
      <c r="AI11" s="217">
        <f>+H11</f>
      </c>
      <c r="AJ11" s="111">
        <f>+V11&amp;W11</f>
      </c>
      <c r="AK11" s="217">
        <f>+_xlfn.IFNA(VLOOKUP(AJ11,$AF$7:$AG$1066,2,0),0)</f>
      </c>
      <c r="AL11" s="217">
        <f>+IF(W11&gt;W10,AK11,AL10+AK11)</f>
      </c>
      <c r="AM11" s="217">
        <f>IF(W11&gt;W10,IF(AL11&gt;=$AZ$8,$AZ$8,AL11),IF(OR(AM10=$AZ$8,AM10=0),0,IF(AL11&gt;=$AZ$8,$AZ$8,AL11)))</f>
      </c>
      <c r="AN11" s="748">
        <f>+IF(OR(AM11&gt;AZ10,AM11=0),0,IF(AM11=AL11,AK11,$AZ$7-AL10))</f>
      </c>
      <c r="AO11" s="748">
        <f>+AK11-AN11</f>
      </c>
      <c r="AP11" s="217">
        <f>+_xlfn.IFNA(VLOOKUP(AJ11,$AF$7:$AI$1066,3,0),0)</f>
      </c>
      <c r="AQ11" s="217">
        <f>+IF(W11&gt;W10,AP11,AQ10+AP11)</f>
      </c>
      <c r="AR11" s="217">
        <f>+MAX($AM$2-SUMIF($W$7:$W$1066,W11,$AN$7:$AN$1066),0)</f>
      </c>
      <c r="AS11" s="748">
        <f>+MAX(IF(AQ11&gt;AR11,AR11-AQ10,AP11),0)</f>
      </c>
      <c r="AT11" s="748">
        <f>+AP11-AS11</f>
      </c>
      <c r="AU11" s="217">
        <f>+_xlfn.IFNA(VLOOKUP(AJ11,$AF$7:$AI$1066,4,0),0)</f>
      </c>
      <c r="AV11" s="217">
        <f>+IF(W11&gt;W10,AU11,AV10+AU11)</f>
      </c>
      <c r="AW11" s="217">
        <f>+MAX($AM$2-SUMIF($W$7:$W$1066,W11,$AN$7:$AN$1066)-SUMIF($W$7:$W$1066,W11,$AS$7:$AS$1066),0)</f>
      </c>
      <c r="AX11" s="748">
        <f>+MAX(IF(AV11&gt;AW11,AW11-AV10,AU11),0)</f>
      </c>
      <c r="AY11" s="748">
        <f>+AU11-AX11</f>
      </c>
      <c r="AZ11" s="331">
        <f>+$AM$1+IF($AP$1&gt;$AP$2,$AM$3/2)</f>
      </c>
    </row>
    <row x14ac:dyDescent="0.25" r="12" customHeight="1" ht="18.75">
      <c r="A12" s="1"/>
      <c r="B12" s="7"/>
      <c r="C12" s="170"/>
      <c r="D12" s="331">
        <v>5</v>
      </c>
      <c r="E12" s="544">
        <f>+DATE(YEAR(E11),MONTH(E11)-1,DAY(E11))</f>
        <v>25569.041666666668</v>
      </c>
      <c r="F12" s="333">
        <f>IF(DATE(YEAR($B$6),MONTH($B$6)+1,DAY(1))=E12,1,IF(MONTH(E12)=1,F13*(1+$F$5),F13))</f>
      </c>
      <c r="G12" s="333">
        <f>IF('Simulador - 1º Pilar'!$E$99="Sí",IF('Aportaciones PPE'!$B$13&lt;'Aportaciones PPE'!E12,0,F12*$B$8/12),F12*$B$8/12)</f>
      </c>
      <c r="H12" s="333">
        <f>$H$5*G12</f>
      </c>
      <c r="I12" s="333">
        <f>$I$5*G12</f>
      </c>
      <c r="J12" s="333">
        <f>+I12</f>
      </c>
      <c r="K12" s="333">
        <f>(1+$O$5)^(D12/12)*(H12+IF(AND(F12=1,F13=0),$S$4,0))</f>
      </c>
      <c r="L12" s="333">
        <f>(1+$O$5)^(D12/12)*(I12+IF(AND(F12=1,F13=0),0))</f>
      </c>
      <c r="M12" s="333">
        <f>+L12</f>
      </c>
      <c r="N12" s="333">
        <f>L12+K12+M12</f>
      </c>
      <c r="O12" s="170"/>
      <c r="P12" s="7"/>
      <c r="Q12" s="1"/>
      <c r="R12" s="331">
        <f>D12</f>
      </c>
      <c r="S12" s="169"/>
      <c r="T12" s="1"/>
      <c r="U12" s="217"/>
      <c r="V12" s="331">
        <f>+IF(V11=11,12,IF(V11=12,1,V11+1))</f>
      </c>
      <c r="W12" s="331">
        <f>+W11+IF(V11=12,1,0)</f>
      </c>
      <c r="X12" s="555">
        <f>+DATE(W12,V12,1)</f>
        <v>25569.041666666668</v>
      </c>
      <c r="Y12" s="333">
        <f>+_xlfn.IFNA(AN12+AS12+AX12,0)</f>
      </c>
      <c r="Z12" s="333">
        <f>+_xlfn.IFNA(AO12+AT12+AY12,0)</f>
      </c>
      <c r="AA12" s="333">
        <f>Y12*(1+$O$5)^(($B$7-X12)/365.25)</f>
      </c>
      <c r="AB12" s="333">
        <f>Z12*(1+$O$5)^(($B$7-X12)/365.25)</f>
      </c>
      <c r="AC12" s="1"/>
      <c r="AD12" s="1"/>
      <c r="AE12" s="1"/>
      <c r="AF12" s="111">
        <f>+MONTH(E12)&amp;YEAR(E12)</f>
      </c>
      <c r="AG12" s="217">
        <f>+I12</f>
      </c>
      <c r="AH12" s="217">
        <f>+J12</f>
      </c>
      <c r="AI12" s="217">
        <f>+H12</f>
      </c>
      <c r="AJ12" s="111">
        <f>+V12&amp;W12</f>
      </c>
      <c r="AK12" s="217">
        <f>+_xlfn.IFNA(VLOOKUP(AJ12,$AF$7:$AG$1066,2,0),0)</f>
      </c>
      <c r="AL12" s="217">
        <f>+IF(W12&gt;W11,AK12,AL11+AK12)</f>
      </c>
      <c r="AM12" s="217">
        <f>IF(W12&gt;W11,IF(AL12&gt;=$AZ$8,$AZ$8,AL12),IF(OR(AM11=$AZ$8,AM11=0),0,IF(AL12&gt;=$AZ$8,$AZ$8,AL12)))</f>
      </c>
      <c r="AN12" s="748">
        <f>+IF(OR(AM12&gt;AZ11,AM12=0),0,IF(AM12=AL12,AK12,$AZ$7-AL11))</f>
      </c>
      <c r="AO12" s="748">
        <f>+AK12-AN12</f>
      </c>
      <c r="AP12" s="217">
        <f>+_xlfn.IFNA(VLOOKUP(AJ12,$AF$7:$AI$1066,3,0),0)</f>
      </c>
      <c r="AQ12" s="217">
        <f>+IF(W12&gt;W11,AP12,AQ11+AP12)</f>
      </c>
      <c r="AR12" s="217">
        <f>+MAX($AM$2-SUMIF($W$7:$W$1066,W12,$AN$7:$AN$1066),0)</f>
      </c>
      <c r="AS12" s="748">
        <f>+MAX(IF(AQ12&gt;AR12,AR12-AQ11,AP12),0)</f>
      </c>
      <c r="AT12" s="748">
        <f>+AP12-AS12</f>
      </c>
      <c r="AU12" s="217">
        <f>+_xlfn.IFNA(VLOOKUP(AJ12,$AF$7:$AI$1066,4,0),0)</f>
      </c>
      <c r="AV12" s="217">
        <f>+IF(W12&gt;W11,AU12,AV11+AU12)</f>
      </c>
      <c r="AW12" s="217">
        <f>+MAX($AM$2-SUMIF($W$7:$W$1066,W12,$AN$7:$AN$1066)-SUMIF($W$7:$W$1066,W12,$AS$7:$AS$1066),0)</f>
      </c>
      <c r="AX12" s="748">
        <f>+MAX(IF(AV12&gt;AW12,AW12-AV11,AU12),0)</f>
      </c>
      <c r="AY12" s="748">
        <f>+AU12-AX12</f>
      </c>
      <c r="AZ12" s="331">
        <f>+$AM$1+IF($AP$1&gt;$AP$2,$AM$3/2)</f>
      </c>
    </row>
    <row x14ac:dyDescent="0.25" r="13" customHeight="1" ht="18.75">
      <c r="A13" s="339" t="s">
        <v>275</v>
      </c>
      <c r="B13" s="544">
        <f>'Simulador - 1º Pilar'!G16</f>
        <v>25569.041666666668</v>
      </c>
      <c r="C13" s="170"/>
      <c r="D13" s="331">
        <v>6</v>
      </c>
      <c r="E13" s="544">
        <f>+DATE(YEAR(E12),MONTH(E12)-1,DAY(E12))</f>
        <v>25569.041666666668</v>
      </c>
      <c r="F13" s="333">
        <f>IF(DATE(YEAR($B$6),MONTH($B$6)+1,DAY(1))=E13,1,IF(MONTH(E13)=1,F14*(1+$F$5),F14))</f>
      </c>
      <c r="G13" s="333">
        <f>IF('Simulador - 1º Pilar'!$E$99="Sí",IF('Aportaciones PPE'!$B$13&lt;'Aportaciones PPE'!E13,0,F13*$B$8/12),F13*$B$8/12)</f>
      </c>
      <c r="H13" s="333">
        <f>$H$5*G13</f>
      </c>
      <c r="I13" s="333">
        <f>$I$5*G13</f>
      </c>
      <c r="J13" s="333">
        <f>+I13</f>
      </c>
      <c r="K13" s="333">
        <f>(1+$O$5)^(D13/12)*(H13+IF(AND(F13=1,F14=0),$S$4,0))</f>
      </c>
      <c r="L13" s="333">
        <f>(1+$O$5)^(D13/12)*(I13+IF(AND(F13=1,F14=0),0))</f>
      </c>
      <c r="M13" s="333">
        <f>+L13</f>
      </c>
      <c r="N13" s="333">
        <f>L13+K13+M13</f>
      </c>
      <c r="O13" s="170"/>
      <c r="P13" s="7"/>
      <c r="Q13" s="1"/>
      <c r="R13" s="331">
        <f>D13</f>
      </c>
      <c r="S13" s="169"/>
      <c r="T13" s="1"/>
      <c r="U13" s="217"/>
      <c r="V13" s="331">
        <f>+IF(V12=11,12,IF(V12=12,1,V12+1))</f>
      </c>
      <c r="W13" s="331">
        <f>+W12+IF(V12=12,1,0)</f>
      </c>
      <c r="X13" s="555">
        <f>+DATE(W13,V13,1)</f>
        <v>25569.041666666668</v>
      </c>
      <c r="Y13" s="333">
        <f>+_xlfn.IFNA(AN13+AS13+AX13,0)</f>
      </c>
      <c r="Z13" s="333">
        <f>+_xlfn.IFNA(AO13+AT13+AY13,0)</f>
      </c>
      <c r="AA13" s="333">
        <f>Y13*(1+$O$5)^(($B$7-X13)/365.25)</f>
      </c>
      <c r="AB13" s="333">
        <f>Z13*(1+$O$5)^(($B$7-X13)/365.25)</f>
      </c>
      <c r="AC13" s="1"/>
      <c r="AD13" s="1"/>
      <c r="AE13" s="1"/>
      <c r="AF13" s="111">
        <f>+MONTH(E13)&amp;YEAR(E13)</f>
      </c>
      <c r="AG13" s="217">
        <f>+I13</f>
      </c>
      <c r="AH13" s="217">
        <f>+J13</f>
      </c>
      <c r="AI13" s="217">
        <f>+H13</f>
      </c>
      <c r="AJ13" s="111">
        <f>+V13&amp;W13</f>
      </c>
      <c r="AK13" s="217">
        <f>+_xlfn.IFNA(VLOOKUP(AJ13,$AF$7:$AG$1066,2,0),0)</f>
      </c>
      <c r="AL13" s="217">
        <f>+IF(W13&gt;W12,AK13,AL12+AK13)</f>
      </c>
      <c r="AM13" s="217">
        <f>IF(W13&gt;W12,IF(AL13&gt;=$AZ$8,$AZ$8,AL13),IF(OR(AM12=$AZ$8,AM12=0),0,IF(AL13&gt;=$AZ$8,$AZ$8,AL13)))</f>
      </c>
      <c r="AN13" s="748">
        <f>+IF(OR(AM13&gt;AZ12,AM13=0),0,IF(AM13=AL13,AK13,$AZ$7-AL12))</f>
      </c>
      <c r="AO13" s="748">
        <f>+AK13-AN13</f>
      </c>
      <c r="AP13" s="217">
        <f>+_xlfn.IFNA(VLOOKUP(AJ13,$AF$7:$AI$1066,3,0),0)</f>
      </c>
      <c r="AQ13" s="217">
        <f>+IF(W13&gt;W12,AP13,AQ12+AP13)</f>
      </c>
      <c r="AR13" s="217">
        <f>+MAX($AM$2-SUMIF($W$7:$W$1066,W13,$AN$7:$AN$1066),0)</f>
      </c>
      <c r="AS13" s="748">
        <f>+MAX(IF(AQ13&gt;AR13,AR13-AQ12,AP13),0)</f>
      </c>
      <c r="AT13" s="748">
        <f>+AP13-AS13</f>
      </c>
      <c r="AU13" s="217">
        <f>+_xlfn.IFNA(VLOOKUP(AJ13,$AF$7:$AI$1066,4,0),0)</f>
      </c>
      <c r="AV13" s="217">
        <f>+IF(W13&gt;W12,AU13,AV12+AU13)</f>
      </c>
      <c r="AW13" s="217">
        <f>+MAX($AM$2-SUMIF($W$7:$W$1066,W13,$AN$7:$AN$1066)-SUMIF($W$7:$W$1066,W13,$AS$7:$AS$1066),0)</f>
      </c>
      <c r="AX13" s="748">
        <f>+MAX(IF(AV13&gt;AW13,AW13-AV12,AU13),0)</f>
      </c>
      <c r="AY13" s="748">
        <f>+AU13-AX13</f>
      </c>
      <c r="AZ13" s="331">
        <f>+$AM$1+IF($AP$1&gt;$AP$2,$AM$3/2)</f>
      </c>
    </row>
    <row x14ac:dyDescent="0.25" r="14" customHeight="1" ht="18.75">
      <c r="A14" s="1"/>
      <c r="B14" s="555">
        <f>DATE(YEAR(B13),MONTH(B13),DAY(1))</f>
        <v>25569.041666666668</v>
      </c>
      <c r="C14" s="170">
        <f>VLOOKUP(B14,E7:R1066,12,0)</f>
      </c>
      <c r="D14" s="331">
        <v>7</v>
      </c>
      <c r="E14" s="544">
        <f>+DATE(YEAR(E13),MONTH(E13)-1,DAY(E13))</f>
        <v>25569.041666666668</v>
      </c>
      <c r="F14" s="333">
        <f>IF(DATE(YEAR($B$6),MONTH($B$6)+1,DAY(1))=E14,1,IF(MONTH(E14)=1,F15*(1+$F$5),F15))</f>
      </c>
      <c r="G14" s="333">
        <f>IF('Simulador - 1º Pilar'!$E$99="Sí",IF('Aportaciones PPE'!$B$13&lt;'Aportaciones PPE'!E14,0,F14*$B$8/12),F14*$B$8/12)</f>
      </c>
      <c r="H14" s="333">
        <f>$H$5*G14</f>
      </c>
      <c r="I14" s="333">
        <f>$I$5*G14</f>
      </c>
      <c r="J14" s="333">
        <f>+I14</f>
      </c>
      <c r="K14" s="333">
        <f>(1+$O$5)^(D14/12)*(H14+IF(AND(F14=1,F15=0),$S$4,0))</f>
      </c>
      <c r="L14" s="333">
        <f>(1+$O$5)^(D14/12)*(I14+IF(AND(F14=1,F15=0),0))</f>
      </c>
      <c r="M14" s="333">
        <f>+L14</f>
      </c>
      <c r="N14" s="333">
        <f>L14+K14+M14</f>
      </c>
      <c r="O14" s="170"/>
      <c r="P14" s="7"/>
      <c r="Q14" s="1"/>
      <c r="R14" s="331">
        <f>D14</f>
      </c>
      <c r="S14" s="169"/>
      <c r="T14" s="1"/>
      <c r="U14" s="217"/>
      <c r="V14" s="331">
        <f>+IF(V13=11,12,IF(V13=12,1,V13+1))</f>
      </c>
      <c r="W14" s="331">
        <f>+W13+IF(V13=12,1,0)</f>
      </c>
      <c r="X14" s="555">
        <f>+DATE(W14,V14,1)</f>
        <v>25569.041666666668</v>
      </c>
      <c r="Y14" s="333">
        <f>+_xlfn.IFNA(AN14+AS14+AX14,0)</f>
      </c>
      <c r="Z14" s="333">
        <f>+_xlfn.IFNA(AO14+AT14+AY14,0)</f>
      </c>
      <c r="AA14" s="333">
        <f>Y14*(1+$O$5)^(($B$7-X14)/365.25)</f>
      </c>
      <c r="AB14" s="333">
        <f>Z14*(1+$O$5)^(($B$7-X14)/365.25)</f>
      </c>
      <c r="AC14" s="1"/>
      <c r="AD14" s="1"/>
      <c r="AE14" s="1"/>
      <c r="AF14" s="111">
        <f>+MONTH(E14)&amp;YEAR(E14)</f>
      </c>
      <c r="AG14" s="217">
        <f>+I14</f>
      </c>
      <c r="AH14" s="217">
        <f>+J14</f>
      </c>
      <c r="AI14" s="217">
        <f>+H14</f>
      </c>
      <c r="AJ14" s="111">
        <f>+V14&amp;W14</f>
      </c>
      <c r="AK14" s="217">
        <f>+_xlfn.IFNA(VLOOKUP(AJ14,$AF$7:$AG$1066,2,0),0)</f>
      </c>
      <c r="AL14" s="217">
        <f>+IF(W14&gt;W13,AK14,AL13+AK14)</f>
      </c>
      <c r="AM14" s="217">
        <f>IF(W14&gt;W13,IF(AL14&gt;=$AZ$8,$AZ$8,AL14),IF(OR(AM13=$AZ$8,AM13=0),0,IF(AL14&gt;=$AZ$8,$AZ$8,AL14)))</f>
      </c>
      <c r="AN14" s="748">
        <f>+IF(OR(AM14&gt;AZ13,AM14=0),0,IF(AM14=AL14,AK14,$AZ$7-AL13))</f>
      </c>
      <c r="AO14" s="748">
        <f>+AK14-AN14</f>
      </c>
      <c r="AP14" s="217">
        <f>+_xlfn.IFNA(VLOOKUP(AJ14,$AF$7:$AI$1066,3,0),0)</f>
      </c>
      <c r="AQ14" s="217">
        <f>+IF(W14&gt;W13,AP14,AQ13+AP14)</f>
      </c>
      <c r="AR14" s="217">
        <f>+MAX($AM$2-SUMIF($W$7:$W$1066,W14,$AN$7:$AN$1066),0)</f>
      </c>
      <c r="AS14" s="748">
        <f>+MAX(IF(AQ14&gt;AR14,AR14-AQ13,AP14),0)</f>
      </c>
      <c r="AT14" s="748">
        <f>+AP14-AS14</f>
      </c>
      <c r="AU14" s="217">
        <f>+_xlfn.IFNA(VLOOKUP(AJ14,$AF$7:$AI$1066,4,0),0)</f>
      </c>
      <c r="AV14" s="217">
        <f>+IF(W14&gt;W13,AU14,AV13+AU14)</f>
      </c>
      <c r="AW14" s="217">
        <f>+MAX($AM$2-SUMIF($W$7:$W$1066,W14,$AN$7:$AN$1066)-SUMIF($W$7:$W$1066,W14,$AS$7:$AS$1066),0)</f>
      </c>
      <c r="AX14" s="748">
        <f>+MAX(IF(AV14&gt;AW14,AW14-AV13,AU14),0)</f>
      </c>
      <c r="AY14" s="748">
        <f>+AU14-AX14</f>
      </c>
      <c r="AZ14" s="331">
        <f>+$AM$1+IF($AP$1&gt;$AP$2,$AM$3/2)</f>
      </c>
    </row>
    <row x14ac:dyDescent="0.25" r="15" customHeight="1" ht="18.75">
      <c r="A15" s="1"/>
      <c r="B15" s="7"/>
      <c r="C15" s="170"/>
      <c r="D15" s="331">
        <v>8</v>
      </c>
      <c r="E15" s="544">
        <f>+DATE(YEAR(E14),MONTH(E14)-1,DAY(E14))</f>
        <v>25569.041666666668</v>
      </c>
      <c r="F15" s="333">
        <f>IF(DATE(YEAR($B$6),MONTH($B$6)+1,DAY(1))=E15,1,IF(MONTH(E15)=1,F16*(1+$F$5),F16))</f>
      </c>
      <c r="G15" s="333">
        <f>IF('Simulador - 1º Pilar'!$E$99="Sí",IF('Aportaciones PPE'!$B$13&lt;'Aportaciones PPE'!E15,0,F15*$B$8/12),F15*$B$8/12)</f>
      </c>
      <c r="H15" s="333">
        <f>$H$5*G15</f>
      </c>
      <c r="I15" s="333">
        <f>$I$5*G15</f>
      </c>
      <c r="J15" s="333">
        <f>+I15</f>
      </c>
      <c r="K15" s="333">
        <f>(1+$O$5)^(D15/12)*(H15+IF(AND(F15=1,F16=0),$S$4,0))</f>
      </c>
      <c r="L15" s="333">
        <f>(1+$O$5)^(D15/12)*(I15+IF(AND(F15=1,F16=0),0))</f>
      </c>
      <c r="M15" s="333">
        <f>+L15</f>
      </c>
      <c r="N15" s="333">
        <f>L15+K15+M15</f>
      </c>
      <c r="O15" s="170"/>
      <c r="P15" s="7"/>
      <c r="Q15" s="1"/>
      <c r="R15" s="331">
        <f>D15</f>
      </c>
      <c r="S15" s="169"/>
      <c r="T15" s="1"/>
      <c r="U15" s="217"/>
      <c r="V15" s="331">
        <f>+IF(V14=11,12,IF(V14=12,1,V14+1))</f>
      </c>
      <c r="W15" s="331">
        <f>+W14+IF(V14=12,1,0)</f>
      </c>
      <c r="X15" s="555">
        <f>+DATE(W15,V15,1)</f>
        <v>25569.041666666668</v>
      </c>
      <c r="Y15" s="333">
        <f>+_xlfn.IFNA(AN15+AS15+AX15,0)</f>
      </c>
      <c r="Z15" s="333">
        <f>+_xlfn.IFNA(AO15+AT15+AY15,0)</f>
      </c>
      <c r="AA15" s="333">
        <f>Y15*(1+$O$5)^(($B$7-X15)/365.25)</f>
      </c>
      <c r="AB15" s="333">
        <f>Z15*(1+$O$5)^(($B$7-X15)/365.25)</f>
      </c>
      <c r="AC15" s="1"/>
      <c r="AD15" s="1"/>
      <c r="AE15" s="1"/>
      <c r="AF15" s="111">
        <f>+MONTH(E15)&amp;YEAR(E15)</f>
      </c>
      <c r="AG15" s="217">
        <f>+I15</f>
      </c>
      <c r="AH15" s="217">
        <f>+J15</f>
      </c>
      <c r="AI15" s="217">
        <f>+H15</f>
      </c>
      <c r="AJ15" s="111">
        <f>+V15&amp;W15</f>
      </c>
      <c r="AK15" s="217">
        <f>+_xlfn.IFNA(VLOOKUP(AJ15,$AF$7:$AG$1066,2,0),0)</f>
      </c>
      <c r="AL15" s="217">
        <f>+IF(W15&gt;W14,AK15,AL14+AK15)</f>
      </c>
      <c r="AM15" s="217">
        <f>IF(W15&gt;W14,IF(AL15&gt;=$AZ$8,$AZ$8,AL15),IF(OR(AM14=$AZ$8,AM14=0),0,IF(AL15&gt;=$AZ$8,$AZ$8,AL15)))</f>
      </c>
      <c r="AN15" s="748">
        <f>+IF(OR(AM15&gt;AZ14,AM15=0),0,IF(AM15=AL15,AK15,$AZ$7-AL14))</f>
      </c>
      <c r="AO15" s="748">
        <f>+AK15-AN15</f>
      </c>
      <c r="AP15" s="217">
        <f>+_xlfn.IFNA(VLOOKUP(AJ15,$AF$7:$AI$1066,3,0),0)</f>
      </c>
      <c r="AQ15" s="217">
        <f>+IF(W15&gt;W14,AP15,AQ14+AP15)</f>
      </c>
      <c r="AR15" s="217">
        <f>+MAX($AM$2-SUMIF($W$7:$W$1066,W15,$AN$7:$AN$1066),0)</f>
      </c>
      <c r="AS15" s="748">
        <f>+MAX(IF(AQ15&gt;AR15,AR15-AQ14,AP15),0)</f>
      </c>
      <c r="AT15" s="748">
        <f>+AP15-AS15</f>
      </c>
      <c r="AU15" s="217">
        <f>+_xlfn.IFNA(VLOOKUP(AJ15,$AF$7:$AI$1066,4,0),0)</f>
      </c>
      <c r="AV15" s="217">
        <f>+IF(W15&gt;W14,AU15,AV14+AU15)</f>
      </c>
      <c r="AW15" s="217">
        <f>+MAX($AM$2-SUMIF($W$7:$W$1066,W15,$AN$7:$AN$1066)-SUMIF($W$7:$W$1066,W15,$AS$7:$AS$1066),0)</f>
      </c>
      <c r="AX15" s="748">
        <f>+MAX(IF(AV15&gt;AW15,AW15-AV14,AU15),0)</f>
      </c>
      <c r="AY15" s="748">
        <f>+AU15-AX15</f>
      </c>
      <c r="AZ15" s="331">
        <f>+$AM$1+IF($AP$1&gt;$AP$2,$AM$3/2)</f>
      </c>
    </row>
    <row x14ac:dyDescent="0.25" r="16" customHeight="1" ht="18.75">
      <c r="A16" s="1"/>
      <c r="B16" s="7"/>
      <c r="C16" s="170"/>
      <c r="D16" s="331">
        <v>9</v>
      </c>
      <c r="E16" s="544">
        <f>+DATE(YEAR(E15),MONTH(E15)-1,DAY(E15))</f>
        <v>25569.041666666668</v>
      </c>
      <c r="F16" s="333">
        <f>IF(DATE(YEAR($B$6),MONTH($B$6)+1,DAY(1))=E16,1,IF(MONTH(E16)=1,F17*(1+$F$5),F17))</f>
      </c>
      <c r="G16" s="333">
        <f>IF('Simulador - 1º Pilar'!$E$99="Sí",IF('Aportaciones PPE'!$B$13&lt;'Aportaciones PPE'!E16,0,F16*$B$8/12),F16*$B$8/12)</f>
      </c>
      <c r="H16" s="333">
        <f>$H$5*G16</f>
      </c>
      <c r="I16" s="333">
        <f>$I$5*G16</f>
      </c>
      <c r="J16" s="333">
        <f>+I16</f>
      </c>
      <c r="K16" s="333">
        <f>(1+$O$5)^(D16/12)*(H16+IF(AND(F16=1,F17=0),$S$4,0))</f>
      </c>
      <c r="L16" s="333">
        <f>(1+$O$5)^(D16/12)*(I16+IF(AND(F16=1,F17=0),0))</f>
      </c>
      <c r="M16" s="333">
        <f>+L16</f>
      </c>
      <c r="N16" s="333">
        <f>L16+K16+M16</f>
      </c>
      <c r="O16" s="170"/>
      <c r="P16" s="7"/>
      <c r="Q16" s="1"/>
      <c r="R16" s="331">
        <f>D16</f>
      </c>
      <c r="S16" s="169"/>
      <c r="T16" s="1"/>
      <c r="U16" s="217"/>
      <c r="V16" s="331">
        <f>+IF(V15=11,12,IF(V15=12,1,V15+1))</f>
      </c>
      <c r="W16" s="331">
        <f>+W15+IF(V15=12,1,0)</f>
      </c>
      <c r="X16" s="555">
        <f>+DATE(W16,V16,1)</f>
        <v>25569.041666666668</v>
      </c>
      <c r="Y16" s="333">
        <f>+_xlfn.IFNA(AN16+AS16+AX16,0)</f>
      </c>
      <c r="Z16" s="333">
        <f>+_xlfn.IFNA(AO16+AT16+AY16,0)</f>
      </c>
      <c r="AA16" s="333">
        <f>Y16*(1+$O$5)^(($B$7-X16)/365.25)</f>
      </c>
      <c r="AB16" s="333">
        <f>Z16*(1+$O$5)^(($B$7-X16)/365.25)</f>
      </c>
      <c r="AC16" s="1"/>
      <c r="AD16" s="1"/>
      <c r="AE16" s="1"/>
      <c r="AF16" s="111">
        <f>+MONTH(E16)&amp;YEAR(E16)</f>
      </c>
      <c r="AG16" s="217">
        <f>+I16</f>
      </c>
      <c r="AH16" s="217">
        <f>+J16</f>
      </c>
      <c r="AI16" s="217">
        <f>+H16</f>
      </c>
      <c r="AJ16" s="111">
        <f>+V16&amp;W16</f>
      </c>
      <c r="AK16" s="217">
        <f>+_xlfn.IFNA(VLOOKUP(AJ16,$AF$7:$AG$1066,2,0),0)</f>
      </c>
      <c r="AL16" s="217">
        <f>+IF(W16&gt;W15,AK16,AL15+AK16)</f>
      </c>
      <c r="AM16" s="217">
        <f>IF(W16&gt;W15,IF(AL16&gt;=$AZ$8,$AZ$8,AL16),IF(OR(AM15=$AZ$8,AM15=0),0,IF(AL16&gt;=$AZ$8,$AZ$8,AL16)))</f>
      </c>
      <c r="AN16" s="748">
        <f>+IF(OR(AM16&gt;AZ15,AM16=0),0,IF(AM16=AL16,AK16,$AZ$7-AL15))</f>
      </c>
      <c r="AO16" s="748">
        <f>+AK16-AN16</f>
      </c>
      <c r="AP16" s="217">
        <f>+_xlfn.IFNA(VLOOKUP(AJ16,$AF$7:$AI$1066,3,0),0)</f>
      </c>
      <c r="AQ16" s="217">
        <f>+IF(W16&gt;W15,AP16,AQ15+AP16)</f>
      </c>
      <c r="AR16" s="217">
        <f>+MAX($AM$2-SUMIF($W$7:$W$1066,W16,$AN$7:$AN$1066),0)</f>
      </c>
      <c r="AS16" s="748">
        <f>+MAX(IF(AQ16&gt;AR16,AR16-AQ15,AP16),0)</f>
      </c>
      <c r="AT16" s="748">
        <f>+AP16-AS16</f>
      </c>
      <c r="AU16" s="217">
        <f>+_xlfn.IFNA(VLOOKUP(AJ16,$AF$7:$AI$1066,4,0),0)</f>
      </c>
      <c r="AV16" s="217">
        <f>+IF(W16&gt;W15,AU16,AV15+AU16)</f>
      </c>
      <c r="AW16" s="217">
        <f>+MAX($AM$2-SUMIF($W$7:$W$1066,W16,$AN$7:$AN$1066)-SUMIF($W$7:$W$1066,W16,$AS$7:$AS$1066),0)</f>
      </c>
      <c r="AX16" s="748">
        <f>+MAX(IF(AV16&gt;AW16,AW16-AV15,AU16),0)</f>
      </c>
      <c r="AY16" s="748">
        <f>+AU16-AX16</f>
      </c>
      <c r="AZ16" s="331">
        <f>+$AM$1+IF($AP$1&gt;$AP$2,$AM$3/2)</f>
      </c>
    </row>
    <row x14ac:dyDescent="0.25" r="17" customHeight="1" ht="18.75">
      <c r="A17" s="1"/>
      <c r="B17" s="7"/>
      <c r="C17" s="170"/>
      <c r="D17" s="331">
        <v>10</v>
      </c>
      <c r="E17" s="544">
        <f>+DATE(YEAR(E16),MONTH(E16)-1,DAY(E16))</f>
        <v>25569.041666666668</v>
      </c>
      <c r="F17" s="333">
        <f>IF(DATE(YEAR($B$6),MONTH($B$6)+1,DAY(1))=E17,1,IF(MONTH(E17)=1,F18*(1+$F$5),F18))</f>
      </c>
      <c r="G17" s="333">
        <f>IF('Simulador - 1º Pilar'!$E$99="Sí",IF('Aportaciones PPE'!$B$13&lt;'Aportaciones PPE'!E17,0,F17*$B$8/12),F17*$B$8/12)</f>
      </c>
      <c r="H17" s="333">
        <f>$H$5*G17</f>
      </c>
      <c r="I17" s="333">
        <f>$I$5*G17</f>
      </c>
      <c r="J17" s="333">
        <f>+I17</f>
      </c>
      <c r="K17" s="333">
        <f>(1+$O$5)^(D17/12)*(H17+IF(AND(F17=1,F18=0),$S$4,0))</f>
      </c>
      <c r="L17" s="333">
        <f>(1+$O$5)^(D17/12)*(I17+IF(AND(F17=1,F18=0),0))</f>
      </c>
      <c r="M17" s="333">
        <f>+L17</f>
      </c>
      <c r="N17" s="333">
        <f>L17+K17+M17</f>
      </c>
      <c r="O17" s="170"/>
      <c r="P17" s="7"/>
      <c r="Q17" s="1"/>
      <c r="R17" s="331">
        <f>D17</f>
      </c>
      <c r="S17" s="169"/>
      <c r="T17" s="1"/>
      <c r="U17" s="217"/>
      <c r="V17" s="331">
        <f>+IF(V16=11,12,IF(V16=12,1,V16+1))</f>
      </c>
      <c r="W17" s="331">
        <f>+W16+IF(V16=12,1,0)</f>
      </c>
      <c r="X17" s="555">
        <f>+DATE(W17,V17,1)</f>
        <v>25569.041666666668</v>
      </c>
      <c r="Y17" s="333">
        <f>+_xlfn.IFNA(AN17+AS17+AX17,0)</f>
      </c>
      <c r="Z17" s="333">
        <f>+_xlfn.IFNA(AO17+AT17+AY17,0)</f>
      </c>
      <c r="AA17" s="333">
        <f>Y17*(1+$O$5)^(($B$7-X17)/365.25)</f>
      </c>
      <c r="AB17" s="333">
        <f>Z17*(1+$O$5)^(($B$7-X17)/365.25)</f>
      </c>
      <c r="AC17" s="1"/>
      <c r="AD17" s="1"/>
      <c r="AE17" s="1"/>
      <c r="AF17" s="111">
        <f>+MONTH(E17)&amp;YEAR(E17)</f>
      </c>
      <c r="AG17" s="217">
        <f>+I17</f>
      </c>
      <c r="AH17" s="217">
        <f>+J17</f>
      </c>
      <c r="AI17" s="217">
        <f>+H17</f>
      </c>
      <c r="AJ17" s="111">
        <f>+V17&amp;W17</f>
      </c>
      <c r="AK17" s="217">
        <f>+_xlfn.IFNA(VLOOKUP(AJ17,$AF$7:$AG$1066,2,0),0)</f>
      </c>
      <c r="AL17" s="217">
        <f>+IF(W17&gt;W16,AK17,AL16+AK17)</f>
      </c>
      <c r="AM17" s="217">
        <f>IF(W17&gt;W16,IF(AL17&gt;=$AZ$8,$AZ$8,AL17),IF(OR(AM16=$AZ$8,AM16=0),0,IF(AL17&gt;=$AZ$8,$AZ$8,AL17)))</f>
      </c>
      <c r="AN17" s="748">
        <f>+IF(OR(AM17&gt;AZ16,AM17=0),0,IF(AM17=AL17,AK17,$AZ$7-AL16))</f>
      </c>
      <c r="AO17" s="748">
        <f>+AK17-AN17</f>
      </c>
      <c r="AP17" s="217">
        <f>+_xlfn.IFNA(VLOOKUP(AJ17,$AF$7:$AI$1066,3,0),0)</f>
      </c>
      <c r="AQ17" s="217">
        <f>+IF(W17&gt;W16,AP17,AQ16+AP17)</f>
      </c>
      <c r="AR17" s="217">
        <f>+MAX($AM$2-SUMIF($W$7:$W$1066,W17,$AN$7:$AN$1066),0)</f>
      </c>
      <c r="AS17" s="748">
        <f>+MAX(IF(AQ17&gt;AR17,AR17-AQ16,AP17),0)</f>
      </c>
      <c r="AT17" s="748">
        <f>+AP17-AS17</f>
      </c>
      <c r="AU17" s="217">
        <f>+_xlfn.IFNA(VLOOKUP(AJ17,$AF$7:$AI$1066,4,0),0)</f>
      </c>
      <c r="AV17" s="217">
        <f>+IF(W17&gt;W16,AU17,AV16+AU17)</f>
      </c>
      <c r="AW17" s="217">
        <f>+MAX($AM$2-SUMIF($W$7:$W$1066,W17,$AN$7:$AN$1066)-SUMIF($W$7:$W$1066,W17,$AS$7:$AS$1066),0)</f>
      </c>
      <c r="AX17" s="748">
        <f>+MAX(IF(AV17&gt;AW17,AW17-AV16,AU17),0)</f>
      </c>
      <c r="AY17" s="748">
        <f>+AU17-AX17</f>
      </c>
      <c r="AZ17" s="331">
        <f>+$AM$1+IF($AP$1&gt;$AP$2,$AM$3/2)</f>
      </c>
    </row>
    <row x14ac:dyDescent="0.25" r="18" customHeight="1" ht="18.75">
      <c r="A18" s="1"/>
      <c r="B18" s="7"/>
      <c r="C18" s="170"/>
      <c r="D18" s="331">
        <v>11</v>
      </c>
      <c r="E18" s="544">
        <f>+DATE(YEAR(E17),MONTH(E17)-1,DAY(E17))</f>
        <v>25569.041666666668</v>
      </c>
      <c r="F18" s="333">
        <f>IF(DATE(YEAR($B$6),MONTH($B$6)+1,DAY(1))=E18,1,IF(MONTH(E18)=1,F19*(1+$F$5),F19))</f>
      </c>
      <c r="G18" s="333">
        <f>IF('Simulador - 1º Pilar'!$E$99="Sí",IF('Aportaciones PPE'!$B$13&lt;'Aportaciones PPE'!E18,0,F18*$B$8/12),F18*$B$8/12)</f>
      </c>
      <c r="H18" s="333">
        <f>$H$5*G18</f>
      </c>
      <c r="I18" s="333">
        <f>$I$5*G18</f>
      </c>
      <c r="J18" s="333">
        <f>+I18</f>
      </c>
      <c r="K18" s="333">
        <f>(1+$O$5)^(D18/12)*(H18+IF(AND(F18=1,F19=0),$S$4,0))</f>
      </c>
      <c r="L18" s="333">
        <f>(1+$O$5)^(D18/12)*(I18+IF(AND(F18=1,F19=0),0))</f>
      </c>
      <c r="M18" s="333">
        <f>+L18</f>
      </c>
      <c r="N18" s="333">
        <f>L18+K18+M18</f>
      </c>
      <c r="O18" s="170"/>
      <c r="P18" s="7"/>
      <c r="Q18" s="1"/>
      <c r="R18" s="331">
        <f>D18</f>
      </c>
      <c r="S18" s="169"/>
      <c r="T18" s="1"/>
      <c r="U18" s="217"/>
      <c r="V18" s="331">
        <f>+IF(V17=11,12,IF(V17=12,1,V17+1))</f>
      </c>
      <c r="W18" s="331">
        <f>+W17+IF(V17=12,1,0)</f>
      </c>
      <c r="X18" s="555">
        <f>+DATE(W18,V18,1)</f>
        <v>25569.041666666668</v>
      </c>
      <c r="Y18" s="333">
        <f>+_xlfn.IFNA(AN18+AS18+AX18,0)</f>
      </c>
      <c r="Z18" s="333">
        <f>+_xlfn.IFNA(AO18+AT18+AY18,0)</f>
      </c>
      <c r="AA18" s="333">
        <f>Y18*(1+$O$5)^(($B$7-X18)/365.25)</f>
      </c>
      <c r="AB18" s="333">
        <f>Z18*(1+$O$5)^(($B$7-X18)/365.25)</f>
      </c>
      <c r="AC18" s="1"/>
      <c r="AD18" s="1"/>
      <c r="AE18" s="1"/>
      <c r="AF18" s="749">
        <f>+MONTH(E18)&amp;YEAR(E18)</f>
      </c>
      <c r="AG18" s="750">
        <f>+I18</f>
      </c>
      <c r="AH18" s="750">
        <f>+J18</f>
      </c>
      <c r="AI18" s="750">
        <f>+H18</f>
      </c>
      <c r="AJ18" s="749">
        <f>+V18&amp;W18</f>
      </c>
      <c r="AK18" s="217">
        <f>+_xlfn.IFNA(VLOOKUP(AJ18,$AF$7:$AG$1066,2,0),0)</f>
      </c>
      <c r="AL18" s="750">
        <f>+IF(W18&gt;W17,AK18,AL17+AK18)</f>
      </c>
      <c r="AM18" s="217">
        <f>IF(W18&gt;W17,IF(AL18&gt;=$AZ$8,$AZ$8,AL18),IF(OR(AM17=$AZ$8,AM17=0),0,IF(AL18&gt;=$AZ$8,$AZ$8,AL18)))</f>
      </c>
      <c r="AN18" s="748">
        <f>+IF(OR(AM18&gt;AZ17,AM18=0),0,IF(AM18=AL18,AK18,$AZ$7-AL17))</f>
      </c>
      <c r="AO18" s="751">
        <f>+AK18-AN18</f>
      </c>
      <c r="AP18" s="217">
        <f>+_xlfn.IFNA(VLOOKUP(AJ18,$AF$7:$AI$1066,3,0),0)</f>
      </c>
      <c r="AQ18" s="750">
        <f>+IF(W18&gt;W17,AP18,AQ17+AP18)</f>
      </c>
      <c r="AR18" s="750">
        <f>+MAX($AM$2-SUMIF($W$7:$W$1066,W18,$AN$7:$AN$1066),0)</f>
      </c>
      <c r="AS18" s="751">
        <f>+MAX(IF(AQ18&gt;AR18,AR18-AQ17,AP18),0)</f>
      </c>
      <c r="AT18" s="751">
        <f>+AP18-AS18</f>
      </c>
      <c r="AU18" s="217">
        <f>+_xlfn.IFNA(VLOOKUP(AJ18,$AF$7:$AI$1066,4,0),0)</f>
      </c>
      <c r="AV18" s="750">
        <f>+IF(W18&gt;W17,AU18,AV17+AU18)</f>
      </c>
      <c r="AW18" s="750">
        <f>+MAX($AM$2-SUMIF($W$7:$W$1066,W18,$AN$7:$AN$1066)-SUMIF($W$7:$W$1066,W18,$AS$7:$AS$1066),0)</f>
      </c>
      <c r="AX18" s="751">
        <f>+MAX(IF(AV18&gt;AW18,AW18-AV17,AU18),0)</f>
      </c>
      <c r="AY18" s="751">
        <f>+AU18-AX18</f>
      </c>
      <c r="AZ18" s="331">
        <f>+$AM$1+IF($AP$1&gt;$AP$2,$AM$3/2)</f>
      </c>
    </row>
    <row x14ac:dyDescent="0.25" r="19" customHeight="1" ht="18.75">
      <c r="A19" s="1"/>
      <c r="B19" s="7"/>
      <c r="C19" s="170"/>
      <c r="D19" s="331">
        <v>12</v>
      </c>
      <c r="E19" s="544">
        <f>+DATE(YEAR(E18),MONTH(E18)-1,DAY(E18))</f>
        <v>25569.041666666668</v>
      </c>
      <c r="F19" s="333">
        <f>IF(DATE(YEAR($B$6),MONTH($B$6)+1,DAY(1))=E19,1,IF(MONTH(E19)=1,F20*(1+$F$5),F20))</f>
      </c>
      <c r="G19" s="333">
        <f>IF('Simulador - 1º Pilar'!$E$99="Sí",IF('Aportaciones PPE'!$B$13&lt;'Aportaciones PPE'!E19,0,F19*$B$8/12),F19*$B$8/12)</f>
      </c>
      <c r="H19" s="333">
        <f>$H$5*G19</f>
      </c>
      <c r="I19" s="333">
        <f>$I$5*G19</f>
      </c>
      <c r="J19" s="333">
        <f>+I19</f>
      </c>
      <c r="K19" s="333">
        <f>(1+$O$5)^(D19/12)*(H19+IF(AND(F19=1,F20=0),$S$4,0))</f>
      </c>
      <c r="L19" s="333">
        <f>(1+$O$5)^(D19/12)*(I19+IF(AND(F19=1,F20=0),0))</f>
      </c>
      <c r="M19" s="333">
        <f>+L19</f>
      </c>
      <c r="N19" s="333">
        <f>L19+K19+M19</f>
      </c>
      <c r="O19" s="217"/>
      <c r="P19" s="7"/>
      <c r="Q19" s="1"/>
      <c r="R19" s="331">
        <f>D19</f>
      </c>
      <c r="S19" s="169"/>
      <c r="T19" s="1"/>
      <c r="U19" s="217"/>
      <c r="V19" s="331">
        <f>+IF(V18=11,12,IF(V18=12,1,V18+1))</f>
      </c>
      <c r="W19" s="331">
        <f>+W18+IF(V18=12,1,0)</f>
      </c>
      <c r="X19" s="555">
        <f>+DATE(W19,V19,1)</f>
        <v>25569.041666666668</v>
      </c>
      <c r="Y19" s="333">
        <f>+_xlfn.IFNA(AN19+AS19+AX19,0)</f>
      </c>
      <c r="Z19" s="333">
        <f>+_xlfn.IFNA(AO19+AT19+AY19,0)</f>
      </c>
      <c r="AA19" s="333">
        <f>Y19*(1+$O$5)^(($B$7-X19)/365.25)</f>
      </c>
      <c r="AB19" s="333">
        <f>Z19*(1+$O$5)^(($B$7-X19)/365.25)</f>
      </c>
      <c r="AC19" s="1"/>
      <c r="AD19" s="1"/>
      <c r="AE19" s="1"/>
      <c r="AF19" s="111">
        <f>+MONTH(E19)&amp;YEAR(E19)</f>
      </c>
      <c r="AG19" s="217">
        <f>+I19</f>
      </c>
      <c r="AH19" s="217">
        <f>+J19</f>
      </c>
      <c r="AI19" s="217">
        <f>+H19</f>
      </c>
      <c r="AJ19" s="111">
        <f>+V19&amp;W19</f>
      </c>
      <c r="AK19" s="217">
        <f>+_xlfn.IFNA(VLOOKUP(AJ19,$AF$7:$AG$1066,2,0),0)</f>
      </c>
      <c r="AL19" s="217">
        <f>+IF(W19&gt;W18,AK19,AL18+AK19)</f>
      </c>
      <c r="AM19" s="217">
        <f>IF(W19&gt;W18,IF(AL19&gt;=$AZ$8,$AZ$8,AL19),IF(OR(AM18=$AZ$8,AM18=0),0,IF(AL19&gt;=$AZ$8,$AZ$8,AL19)))</f>
      </c>
      <c r="AN19" s="748">
        <f>+IF(OR(AM19&gt;AZ18,AM19=0),0,IF(AM19=AL19,AK19,$AZ$7-AL18))</f>
      </c>
      <c r="AO19" s="748">
        <f>+AK19-AN19</f>
      </c>
      <c r="AP19" s="217">
        <f>+_xlfn.IFNA(VLOOKUP(AJ19,$AF$7:$AI$1066,3,0),0)</f>
      </c>
      <c r="AQ19" s="217">
        <f>+IF(W19&gt;W18,AP19,AQ18+AP19)</f>
      </c>
      <c r="AR19" s="217">
        <f>+MAX($AM$2-SUMIF($W$7:$W$1066,W19,$AN$7:$AN$1066),0)</f>
      </c>
      <c r="AS19" s="748">
        <f>+MAX(IF(AQ19&gt;AR19,AR19-AQ18,AP19),0)</f>
      </c>
      <c r="AT19" s="748">
        <f>+AP19-AS19</f>
      </c>
      <c r="AU19" s="217">
        <f>+_xlfn.IFNA(VLOOKUP(AJ19,$AF$7:$AI$1066,4,0),0)</f>
      </c>
      <c r="AV19" s="217">
        <f>+IF(W19&gt;W18,AU19,AV18+AU19)</f>
      </c>
      <c r="AW19" s="217">
        <f>+MAX($AM$2-SUMIF($W$7:$W$1066,W19,$AN$7:$AN$1066)-SUMIF($W$7:$W$1066,W19,$AS$7:$AS$1066),0)</f>
      </c>
      <c r="AX19" s="748">
        <f>+MAX(IF(AV19&gt;AW19,AW19-AV18,AU19),0)</f>
      </c>
      <c r="AY19" s="748">
        <f>+AU19-AX19</f>
      </c>
      <c r="AZ19" s="331">
        <f>+$AM$1+IF($AP$1&gt;$AP$2,$AM$3/2)</f>
      </c>
    </row>
    <row x14ac:dyDescent="0.25" r="20" customHeight="1" ht="18.75">
      <c r="A20" s="1"/>
      <c r="B20" s="7"/>
      <c r="C20" s="170"/>
      <c r="D20" s="331">
        <v>13</v>
      </c>
      <c r="E20" s="544">
        <f>+DATE(YEAR(E19),MONTH(E19)-1,DAY(E19))</f>
        <v>25569.041666666668</v>
      </c>
      <c r="F20" s="333">
        <f>IF(DATE(YEAR($B$6),MONTH($B$6)+1,DAY(1))=E20,1,IF(MONTH(E20)=1,F21*(1+$F$5),F21))</f>
      </c>
      <c r="G20" s="333">
        <f>IF('Simulador - 1º Pilar'!$E$99="Sí",IF('Aportaciones PPE'!$B$13&lt;'Aportaciones PPE'!E20,0,F20*$B$8/12),F20*$B$8/12)</f>
      </c>
      <c r="H20" s="333">
        <f>$H$5*G20</f>
      </c>
      <c r="I20" s="333">
        <f>$I$5*G20</f>
      </c>
      <c r="J20" s="333">
        <f>+I20</f>
      </c>
      <c r="K20" s="333">
        <f>(1+$O$5)^(D20/12)*(H20+IF(AND(F20=1,F21=0),$S$4,0))</f>
      </c>
      <c r="L20" s="333">
        <f>(1+$O$5)^(D20/12)*(I20+IF(AND(F20=1,F21=0),0))</f>
      </c>
      <c r="M20" s="333">
        <f>+L20</f>
      </c>
      <c r="N20" s="333">
        <f>L20+K20+M20</f>
      </c>
      <c r="O20" s="170"/>
      <c r="P20" s="7"/>
      <c r="Q20" s="1"/>
      <c r="R20" s="331">
        <f>D20</f>
      </c>
      <c r="S20" s="169"/>
      <c r="T20" s="1"/>
      <c r="U20" s="217"/>
      <c r="V20" s="331">
        <f>+IF(V19=11,12,IF(V19=12,1,V19+1))</f>
      </c>
      <c r="W20" s="331">
        <f>+W19+IF(V19=12,1,0)</f>
      </c>
      <c r="X20" s="555">
        <f>+DATE(W20,V20,1)</f>
        <v>25569.041666666668</v>
      </c>
      <c r="Y20" s="333">
        <f>+_xlfn.IFNA(AN20+AS20+AX20,0)</f>
      </c>
      <c r="Z20" s="333">
        <f>+_xlfn.IFNA(AO20+AT20+AY20,0)</f>
      </c>
      <c r="AA20" s="333">
        <f>Y20*(1+$O$5)^(($B$7-X20)/365.25)</f>
      </c>
      <c r="AB20" s="333">
        <f>Z20*(1+$O$5)^(($B$7-X20)/365.25)</f>
      </c>
      <c r="AC20" s="1"/>
      <c r="AD20" s="1"/>
      <c r="AE20" s="1"/>
      <c r="AF20" s="111">
        <f>+MONTH(E20)&amp;YEAR(E20)</f>
      </c>
      <c r="AG20" s="217">
        <f>+I20</f>
      </c>
      <c r="AH20" s="217">
        <f>+J20</f>
      </c>
      <c r="AI20" s="217">
        <f>+H20</f>
      </c>
      <c r="AJ20" s="111">
        <f>+V20&amp;W20</f>
      </c>
      <c r="AK20" s="217">
        <f>+_xlfn.IFNA(VLOOKUP(AJ20,$AF$7:$AG$1066,2,0),0)</f>
      </c>
      <c r="AL20" s="217">
        <f>+IF(W20&gt;W19,AK20,AL19+AK20)</f>
      </c>
      <c r="AM20" s="217">
        <f>IF(W20&gt;W19,IF(AL20&gt;=$AZ$8,$AZ$8,AL20),IF(OR(AM19=$AZ$8,AM19=0),0,IF(AL20&gt;=$AZ$8,$AZ$8,AL20)))</f>
      </c>
      <c r="AN20" s="748">
        <f>+IF(OR(AM20&gt;AZ19,AM20=0),0,IF(AM20=AL20,AK20,$AZ$7-AL19))</f>
      </c>
      <c r="AO20" s="748">
        <f>+AK20-AN20</f>
      </c>
      <c r="AP20" s="217">
        <f>+_xlfn.IFNA(VLOOKUP(AJ20,$AF$7:$AI$1066,3,0),0)</f>
      </c>
      <c r="AQ20" s="217">
        <f>+IF(W20&gt;W19,AP20,AQ19+AP20)</f>
      </c>
      <c r="AR20" s="217">
        <f>+MAX($AM$2-SUMIF($W$7:$W$1066,W20,$AN$7:$AN$1066),0)</f>
      </c>
      <c r="AS20" s="748">
        <f>+MAX(IF(AQ20&gt;AR20,AR20-AQ19,AP20),0)</f>
      </c>
      <c r="AT20" s="748">
        <f>+AP20-AS20</f>
      </c>
      <c r="AU20" s="217">
        <f>+_xlfn.IFNA(VLOOKUP(AJ20,$AF$7:$AI$1066,4,0),0)</f>
      </c>
      <c r="AV20" s="217">
        <f>+IF(W20&gt;W19,AU20,AV19+AU20)</f>
      </c>
      <c r="AW20" s="217">
        <f>+MAX($AM$2-SUMIF($W$7:$W$1066,W20,$AN$7:$AN$1066)-SUMIF($W$7:$W$1066,W20,$AS$7:$AS$1066),0)</f>
      </c>
      <c r="AX20" s="748">
        <f>+MAX(IF(AV20&gt;AW20,AW20-AV19,AU20),0)</f>
      </c>
      <c r="AY20" s="748">
        <f>+AU20-AX20</f>
      </c>
      <c r="AZ20" s="331">
        <f>+$AM$1+IF($AP$1&gt;$AP$2,$AM$3/2)</f>
      </c>
    </row>
    <row x14ac:dyDescent="0.25" r="21" customHeight="1" ht="18.75">
      <c r="A21" s="1"/>
      <c r="B21" s="7"/>
      <c r="C21" s="170"/>
      <c r="D21" s="331">
        <v>14</v>
      </c>
      <c r="E21" s="544">
        <f>+DATE(YEAR(E20),MONTH(E20)-1,DAY(E20))</f>
        <v>25569.041666666668</v>
      </c>
      <c r="F21" s="333">
        <f>IF(DATE(YEAR($B$6),MONTH($B$6)+1,DAY(1))=E21,1,IF(MONTH(E21)=1,F22*(1+$F$5),F22))</f>
      </c>
      <c r="G21" s="333">
        <f>IF('Simulador - 1º Pilar'!$E$99="Sí",IF('Aportaciones PPE'!$B$13&lt;'Aportaciones PPE'!E21,0,F21*$B$8/12),F21*$B$8/12)</f>
      </c>
      <c r="H21" s="333">
        <f>$H$5*G21</f>
      </c>
      <c r="I21" s="333">
        <f>$I$5*G21</f>
      </c>
      <c r="J21" s="333">
        <f>+I21</f>
      </c>
      <c r="K21" s="333">
        <f>(1+$O$5)^(D21/12)*(H21+IF(AND(F21=1,F22=0),$S$4,0))</f>
      </c>
      <c r="L21" s="333">
        <f>(1+$O$5)^(D21/12)*(I21+IF(AND(F21=1,F22=0),0))</f>
      </c>
      <c r="M21" s="333">
        <f>+L21</f>
      </c>
      <c r="N21" s="333">
        <f>L21+K21+M21</f>
      </c>
      <c r="O21" s="170"/>
      <c r="P21" s="7"/>
      <c r="Q21" s="1"/>
      <c r="R21" s="331">
        <f>D21</f>
      </c>
      <c r="S21" s="169"/>
      <c r="T21" s="1"/>
      <c r="U21" s="217"/>
      <c r="V21" s="331">
        <f>+IF(V20=11,12,IF(V20=12,1,V20+1))</f>
      </c>
      <c r="W21" s="331">
        <f>+W20+IF(V20=12,1,0)</f>
      </c>
      <c r="X21" s="555">
        <f>+DATE(W21,V21,1)</f>
        <v>25569.041666666668</v>
      </c>
      <c r="Y21" s="333">
        <f>+_xlfn.IFNA(AN21+AS21+AX21,0)</f>
      </c>
      <c r="Z21" s="333">
        <f>+_xlfn.IFNA(AO21+AT21+AY21,0)</f>
      </c>
      <c r="AA21" s="333">
        <f>Y21*(1+$O$5)^(($B$7-X21)/365.25)</f>
      </c>
      <c r="AB21" s="333">
        <f>Z21*(1+$O$5)^(($B$7-X21)/365.25)</f>
      </c>
      <c r="AC21" s="1"/>
      <c r="AD21" s="1"/>
      <c r="AE21" s="1"/>
      <c r="AF21" s="111">
        <f>+MONTH(E21)&amp;YEAR(E21)</f>
      </c>
      <c r="AG21" s="217">
        <f>+I21</f>
      </c>
      <c r="AH21" s="217">
        <f>+J21</f>
      </c>
      <c r="AI21" s="217">
        <f>+H21</f>
      </c>
      <c r="AJ21" s="111">
        <f>+V21&amp;W21</f>
      </c>
      <c r="AK21" s="217">
        <f>+_xlfn.IFNA(VLOOKUP(AJ21,$AF$7:$AG$1066,2,0),0)</f>
      </c>
      <c r="AL21" s="217">
        <f>+IF(W21&gt;W20,AK21,AL20+AK21)</f>
      </c>
      <c r="AM21" s="217">
        <f>IF(W21&gt;W20,IF(AL21&gt;=$AZ$8,$AZ$8,AL21),IF(OR(AM20=$AZ$8,AM20=0),0,IF(AL21&gt;=$AZ$8,$AZ$8,AL21)))</f>
      </c>
      <c r="AN21" s="748">
        <f>+IF(OR(AM21&gt;AZ20,AM21=0),0,IF(AM21=AL21,AK21,$AZ$7-AL20))</f>
      </c>
      <c r="AO21" s="748">
        <f>+AK21-AN21</f>
      </c>
      <c r="AP21" s="217">
        <f>+_xlfn.IFNA(VLOOKUP(AJ21,$AF$7:$AI$1066,3,0),0)</f>
      </c>
      <c r="AQ21" s="217">
        <f>+IF(W21&gt;W20,AP21,AQ20+AP21)</f>
      </c>
      <c r="AR21" s="217">
        <f>+MAX($AM$2-SUMIF($W$7:$W$1066,W21,$AN$7:$AN$1066),0)</f>
      </c>
      <c r="AS21" s="748">
        <f>+MAX(IF(AQ21&gt;AR21,AR21-AQ20,AP21),0)</f>
      </c>
      <c r="AT21" s="748">
        <f>+AP21-AS21</f>
      </c>
      <c r="AU21" s="217">
        <f>+_xlfn.IFNA(VLOOKUP(AJ21,$AF$7:$AI$1066,4,0),0)</f>
      </c>
      <c r="AV21" s="217">
        <f>+IF(W21&gt;W20,AU21,AV20+AU21)</f>
      </c>
      <c r="AW21" s="217">
        <f>+MAX($AM$2-SUMIF($W$7:$W$1066,W21,$AN$7:$AN$1066)-SUMIF($W$7:$W$1066,W21,$AS$7:$AS$1066),0)</f>
      </c>
      <c r="AX21" s="748">
        <f>+MAX(IF(AV21&gt;AW21,AW21-AV20,AU21),0)</f>
      </c>
      <c r="AY21" s="748">
        <f>+AU21-AX21</f>
      </c>
      <c r="AZ21" s="331">
        <f>+$AM$1+IF($AP$1&gt;$AP$2,$AM$3/2)</f>
      </c>
    </row>
    <row x14ac:dyDescent="0.25" r="22" customHeight="1" ht="18.75">
      <c r="A22" s="1"/>
      <c r="B22" s="7"/>
      <c r="C22" s="170"/>
      <c r="D22" s="331">
        <v>15</v>
      </c>
      <c r="E22" s="544">
        <f>+DATE(YEAR(E21),MONTH(E21)-1,DAY(E21))</f>
        <v>25569.041666666668</v>
      </c>
      <c r="F22" s="333">
        <f>IF(DATE(YEAR($B$6),MONTH($B$6)+1,DAY(1))=E22,1,IF(MONTH(E22)=1,F23*(1+$F$5),F23))</f>
      </c>
      <c r="G22" s="333">
        <f>IF('Simulador - 1º Pilar'!$E$99="Sí",IF('Aportaciones PPE'!$B$13&lt;'Aportaciones PPE'!E22,0,F22*$B$8/12),F22*$B$8/12)</f>
      </c>
      <c r="H22" s="333">
        <f>$H$5*G22</f>
      </c>
      <c r="I22" s="333">
        <f>$I$5*G22</f>
      </c>
      <c r="J22" s="333">
        <f>+I22</f>
      </c>
      <c r="K22" s="333">
        <f>(1+$O$5)^(D22/12)*(H22+IF(AND(F22=1,F23=0),$S$4,0))</f>
      </c>
      <c r="L22" s="333">
        <f>(1+$O$5)^(D22/12)*(I22+IF(AND(F22=1,F23=0),0))</f>
      </c>
      <c r="M22" s="333">
        <f>+L22</f>
      </c>
      <c r="N22" s="333">
        <f>L22+K22+M22</f>
      </c>
      <c r="O22" s="170"/>
      <c r="P22" s="7"/>
      <c r="Q22" s="1"/>
      <c r="R22" s="331">
        <f>D22</f>
      </c>
      <c r="S22" s="169"/>
      <c r="T22" s="1"/>
      <c r="U22" s="217"/>
      <c r="V22" s="331">
        <f>+IF(V21=11,12,IF(V21=12,1,V21+1))</f>
      </c>
      <c r="W22" s="331">
        <f>+W21+IF(V21=12,1,0)</f>
      </c>
      <c r="X22" s="555">
        <f>+DATE(W22,V22,1)</f>
        <v>25569.041666666668</v>
      </c>
      <c r="Y22" s="333">
        <f>+_xlfn.IFNA(AN22+AS22+AX22,0)</f>
      </c>
      <c r="Z22" s="333">
        <f>+_xlfn.IFNA(AO22+AT22+AY22,0)</f>
      </c>
      <c r="AA22" s="333">
        <f>Y22*(1+$O$5)^(($B$7-X22)/365.25)</f>
      </c>
      <c r="AB22" s="333">
        <f>Z22*(1+$O$5)^(($B$7-X22)/365.25)</f>
      </c>
      <c r="AC22" s="1"/>
      <c r="AD22" s="1"/>
      <c r="AE22" s="1"/>
      <c r="AF22" s="111">
        <f>+MONTH(E22)&amp;YEAR(E22)</f>
      </c>
      <c r="AG22" s="217">
        <f>+I22</f>
      </c>
      <c r="AH22" s="217">
        <f>+J22</f>
      </c>
      <c r="AI22" s="217">
        <f>+H22</f>
      </c>
      <c r="AJ22" s="111">
        <f>+V22&amp;W22</f>
      </c>
      <c r="AK22" s="217">
        <f>+_xlfn.IFNA(VLOOKUP(AJ22,$AF$7:$AG$1066,2,0),0)</f>
      </c>
      <c r="AL22" s="217">
        <f>+IF(W22&gt;W21,AK22,AL21+AK22)</f>
      </c>
      <c r="AM22" s="217">
        <f>IF(W22&gt;W21,IF(AL22&gt;=$AZ$8,$AZ$8,AL22),IF(OR(AM21=$AZ$8,AM21=0),0,IF(AL22&gt;=$AZ$8,$AZ$8,AL22)))</f>
      </c>
      <c r="AN22" s="748">
        <f>+IF(OR(AM22&gt;AZ21,AM22=0),0,IF(AM22=AL22,AK22,$AZ$7-AL21))</f>
      </c>
      <c r="AO22" s="748">
        <f>+AK22-AN22</f>
      </c>
      <c r="AP22" s="217">
        <f>+_xlfn.IFNA(VLOOKUP(AJ22,$AF$7:$AI$1066,3,0),0)</f>
      </c>
      <c r="AQ22" s="217">
        <f>+IF(W22&gt;W21,AP22,AQ21+AP22)</f>
      </c>
      <c r="AR22" s="217">
        <f>+MAX($AM$2-SUMIF($W$7:$W$1066,W22,$AN$7:$AN$1066),0)</f>
      </c>
      <c r="AS22" s="748">
        <f>+MAX(IF(AQ22&gt;AR22,AR22-AQ21,AP22),0)</f>
      </c>
      <c r="AT22" s="748">
        <f>+AP22-AS22</f>
      </c>
      <c r="AU22" s="217">
        <f>+_xlfn.IFNA(VLOOKUP(AJ22,$AF$7:$AI$1066,4,0),0)</f>
      </c>
      <c r="AV22" s="217">
        <f>+IF(W22&gt;W21,AU22,AV21+AU22)</f>
      </c>
      <c r="AW22" s="217">
        <f>+MAX($AM$2-SUMIF($W$7:$W$1066,W22,$AN$7:$AN$1066)-SUMIF($W$7:$W$1066,W22,$AS$7:$AS$1066),0)</f>
      </c>
      <c r="AX22" s="748">
        <f>+MAX(IF(AV22&gt;AW22,AW22-AV21,AU22),0)</f>
      </c>
      <c r="AY22" s="748">
        <f>+AU22-AX22</f>
      </c>
      <c r="AZ22" s="331">
        <f>+$AM$1+IF($AP$1&gt;$AP$2,$AM$3/2)</f>
      </c>
    </row>
    <row x14ac:dyDescent="0.25" r="23" customHeight="1" ht="18.75">
      <c r="A23" s="1"/>
      <c r="B23" s="7"/>
      <c r="C23" s="170"/>
      <c r="D23" s="331">
        <v>16</v>
      </c>
      <c r="E23" s="544">
        <f>+DATE(YEAR(E22),MONTH(E22)-1,DAY(E22))</f>
        <v>25569.041666666668</v>
      </c>
      <c r="F23" s="333">
        <f>IF(DATE(YEAR($B$6),MONTH($B$6)+1,DAY(1))=E23,1,IF(MONTH(E23)=1,F24*(1+$F$5),F24))</f>
      </c>
      <c r="G23" s="333">
        <f>IF('Simulador - 1º Pilar'!$E$99="Sí",IF('Aportaciones PPE'!$B$13&lt;'Aportaciones PPE'!E23,0,F23*$B$8/12),F23*$B$8/12)</f>
      </c>
      <c r="H23" s="333">
        <f>$H$5*G23</f>
      </c>
      <c r="I23" s="333">
        <f>$I$5*G23</f>
      </c>
      <c r="J23" s="333">
        <f>+I23</f>
      </c>
      <c r="K23" s="333">
        <f>(1+$O$5)^(D23/12)*(H23+IF(AND(F23=1,F24=0),$S$4,0))</f>
      </c>
      <c r="L23" s="333">
        <f>(1+$O$5)^(D23/12)*(I23+IF(AND(F23=1,F24=0),0))</f>
      </c>
      <c r="M23" s="333">
        <f>+L23</f>
      </c>
      <c r="N23" s="333">
        <f>L23+K23+M23</f>
      </c>
      <c r="O23" s="170"/>
      <c r="P23" s="7"/>
      <c r="Q23" s="1"/>
      <c r="R23" s="331">
        <f>D23</f>
      </c>
      <c r="S23" s="169"/>
      <c r="T23" s="1"/>
      <c r="U23" s="217"/>
      <c r="V23" s="331">
        <f>+IF(V22=11,12,IF(V22=12,1,V22+1))</f>
      </c>
      <c r="W23" s="331">
        <f>+W22+IF(V22=12,1,0)</f>
      </c>
      <c r="X23" s="555">
        <f>+DATE(W23,V23,1)</f>
        <v>25569.041666666668</v>
      </c>
      <c r="Y23" s="333">
        <f>+_xlfn.IFNA(AN23+AS23+AX23,0)</f>
      </c>
      <c r="Z23" s="333">
        <f>+_xlfn.IFNA(AO23+AT23+AY23,0)</f>
      </c>
      <c r="AA23" s="333">
        <f>Y23*(1+$O$5)^(($B$7-X23)/365.25)</f>
      </c>
      <c r="AB23" s="333">
        <f>Z23*(1+$O$5)^(($B$7-X23)/365.25)</f>
      </c>
      <c r="AC23" s="1"/>
      <c r="AD23" s="1"/>
      <c r="AE23" s="1"/>
      <c r="AF23" s="111">
        <f>+MONTH(E23)&amp;YEAR(E23)</f>
      </c>
      <c r="AG23" s="217">
        <f>+I23</f>
      </c>
      <c r="AH23" s="217">
        <f>+J23</f>
      </c>
      <c r="AI23" s="217">
        <f>+H23</f>
      </c>
      <c r="AJ23" s="111">
        <f>+V23&amp;W23</f>
      </c>
      <c r="AK23" s="217">
        <f>+_xlfn.IFNA(VLOOKUP(AJ23,$AF$7:$AG$1066,2,0),0)</f>
      </c>
      <c r="AL23" s="217">
        <f>+IF(W23&gt;W22,AK23,AL22+AK23)</f>
      </c>
      <c r="AM23" s="217">
        <f>IF(W23&gt;W22,IF(AL23&gt;=$AZ$8,$AZ$8,AL23),IF(OR(AM22=$AZ$8,AM22=0),0,IF(AL23&gt;=$AZ$8,$AZ$8,AL23)))</f>
      </c>
      <c r="AN23" s="748">
        <f>+IF(OR(AM23&gt;AZ22,AM23=0),0,IF(AM23=AL23,AK23,$AZ$7-AL22))</f>
      </c>
      <c r="AO23" s="748">
        <f>+AK23-AN23</f>
      </c>
      <c r="AP23" s="217">
        <f>+_xlfn.IFNA(VLOOKUP(AJ23,$AF$7:$AI$1066,3,0),0)</f>
      </c>
      <c r="AQ23" s="217">
        <f>+IF(W23&gt;W22,AP23,AQ22+AP23)</f>
      </c>
      <c r="AR23" s="217">
        <f>+MAX($AM$2-SUMIF($W$7:$W$1066,W23,$AN$7:$AN$1066),0)</f>
      </c>
      <c r="AS23" s="748">
        <f>+MAX(IF(AQ23&gt;AR23,AR23-AQ22,AP23),0)</f>
      </c>
      <c r="AT23" s="748">
        <f>+AP23-AS23</f>
      </c>
      <c r="AU23" s="217">
        <f>+_xlfn.IFNA(VLOOKUP(AJ23,$AF$7:$AI$1066,4,0),0)</f>
      </c>
      <c r="AV23" s="217">
        <f>+IF(W23&gt;W22,AU23,AV22+AU23)</f>
      </c>
      <c r="AW23" s="217">
        <f>+MAX($AM$2-SUMIF($W$7:$W$1066,W23,$AN$7:$AN$1066)-SUMIF($W$7:$W$1066,W23,$AS$7:$AS$1066),0)</f>
      </c>
      <c r="AX23" s="748">
        <f>+MAX(IF(AV23&gt;AW23,AW23-AV22,AU23),0)</f>
      </c>
      <c r="AY23" s="748">
        <f>+AU23-AX23</f>
      </c>
      <c r="AZ23" s="331">
        <f>+$AM$1+IF($AP$1&gt;$AP$2,$AM$3/2)</f>
      </c>
    </row>
    <row x14ac:dyDescent="0.25" r="24" customHeight="1" ht="18.75">
      <c r="A24" s="1"/>
      <c r="B24" s="7"/>
      <c r="C24" s="170"/>
      <c r="D24" s="331">
        <v>17</v>
      </c>
      <c r="E24" s="544">
        <f>+DATE(YEAR(E23),MONTH(E23)-1,DAY(E23))</f>
        <v>25569.041666666668</v>
      </c>
      <c r="F24" s="333">
        <f>IF(DATE(YEAR($B$6),MONTH($B$6)+1,DAY(1))=E24,1,IF(MONTH(E24)=1,F25*(1+$F$5),F25))</f>
      </c>
      <c r="G24" s="333">
        <f>IF('Simulador - 1º Pilar'!$E$99="Sí",IF('Aportaciones PPE'!$B$13&lt;'Aportaciones PPE'!E24,0,F24*$B$8/12),F24*$B$8/12)</f>
      </c>
      <c r="H24" s="333">
        <f>$H$5*G24</f>
      </c>
      <c r="I24" s="333">
        <f>$I$5*G24</f>
      </c>
      <c r="J24" s="333">
        <f>+I24</f>
      </c>
      <c r="K24" s="333">
        <f>(1+$O$5)^(D24/12)*(H24+IF(AND(F24=1,F25=0),$S$4,0))</f>
      </c>
      <c r="L24" s="333">
        <f>(1+$O$5)^(D24/12)*(I24+IF(AND(F24=1,F25=0),0))</f>
      </c>
      <c r="M24" s="333">
        <f>+L24</f>
      </c>
      <c r="N24" s="333">
        <f>L24+K24+M24</f>
      </c>
      <c r="O24" s="170"/>
      <c r="P24" s="7"/>
      <c r="Q24" s="1"/>
      <c r="R24" s="331">
        <f>D24</f>
      </c>
      <c r="S24" s="169"/>
      <c r="T24" s="1"/>
      <c r="U24" s="217"/>
      <c r="V24" s="331">
        <f>+IF(V23=11,12,IF(V23=12,1,V23+1))</f>
      </c>
      <c r="W24" s="331">
        <f>+W23+IF(V23=12,1,0)</f>
      </c>
      <c r="X24" s="555">
        <f>+DATE(W24,V24,1)</f>
        <v>25569.041666666668</v>
      </c>
      <c r="Y24" s="333">
        <f>+_xlfn.IFNA(AN24+AS24+AX24,0)</f>
      </c>
      <c r="Z24" s="333">
        <f>+_xlfn.IFNA(AO24+AT24+AY24,0)</f>
      </c>
      <c r="AA24" s="333">
        <f>Y24*(1+$O$5)^(($B$7-X24)/365.25)</f>
      </c>
      <c r="AB24" s="333">
        <f>Z24*(1+$O$5)^(($B$7-X24)/365.25)</f>
      </c>
      <c r="AC24" s="1"/>
      <c r="AD24" s="1"/>
      <c r="AE24" s="1"/>
      <c r="AF24" s="111">
        <f>+MONTH(E24)&amp;YEAR(E24)</f>
      </c>
      <c r="AG24" s="217">
        <f>+I24</f>
      </c>
      <c r="AH24" s="217">
        <f>+J24</f>
      </c>
      <c r="AI24" s="217">
        <f>+H24</f>
      </c>
      <c r="AJ24" s="111">
        <f>+V24&amp;W24</f>
      </c>
      <c r="AK24" s="217">
        <f>+_xlfn.IFNA(VLOOKUP(AJ24,$AF$7:$AG$1066,2,0),0)</f>
      </c>
      <c r="AL24" s="217">
        <f>+IF(W24&gt;W23,AK24,AL23+AK24)</f>
      </c>
      <c r="AM24" s="217">
        <f>IF(W24&gt;W23,IF(AL24&gt;=$AZ$8,$AZ$8,AL24),IF(OR(AM23=$AZ$8,AM23=0),0,IF(AL24&gt;=$AZ$8,$AZ$8,AL24)))</f>
      </c>
      <c r="AN24" s="748">
        <f>+IF(OR(AM24&gt;AZ23,AM24=0),0,IF(AM24=AL24,AK24,$AZ$7-AL23))</f>
      </c>
      <c r="AO24" s="748">
        <f>+AK24-AN24</f>
      </c>
      <c r="AP24" s="217">
        <f>+_xlfn.IFNA(VLOOKUP(AJ24,$AF$7:$AI$1066,3,0),0)</f>
      </c>
      <c r="AQ24" s="217">
        <f>+IF(W24&gt;W23,AP24,AQ23+AP24)</f>
      </c>
      <c r="AR24" s="217">
        <f>+MAX($AM$2-SUMIF($W$7:$W$1066,W24,$AN$7:$AN$1066),0)</f>
      </c>
      <c r="AS24" s="748">
        <f>+MAX(IF(AQ24&gt;AR24,AR24-AQ23,AP24),0)</f>
      </c>
      <c r="AT24" s="748">
        <f>+AP24-AS24</f>
      </c>
      <c r="AU24" s="217">
        <f>+_xlfn.IFNA(VLOOKUP(AJ24,$AF$7:$AI$1066,4,0),0)</f>
      </c>
      <c r="AV24" s="217">
        <f>+IF(W24&gt;W23,AU24,AV23+AU24)</f>
      </c>
      <c r="AW24" s="217">
        <f>+MAX($AM$2-SUMIF($W$7:$W$1066,W24,$AN$7:$AN$1066)-SUMIF($W$7:$W$1066,W24,$AS$7:$AS$1066),0)</f>
      </c>
      <c r="AX24" s="748">
        <f>+MAX(IF(AV24&gt;AW24,AW24-AV23,AU24),0)</f>
      </c>
      <c r="AY24" s="748">
        <f>+AU24-AX24</f>
      </c>
      <c r="AZ24" s="331">
        <f>+$AM$1+IF($AP$1&gt;$AP$2,$AM$3/2)</f>
      </c>
    </row>
    <row x14ac:dyDescent="0.25" r="25" customHeight="1" ht="18.75">
      <c r="A25" s="1"/>
      <c r="B25" s="7"/>
      <c r="C25" s="170"/>
      <c r="D25" s="331">
        <v>18</v>
      </c>
      <c r="E25" s="544">
        <f>+DATE(YEAR(E24),MONTH(E24)-1,DAY(E24))</f>
        <v>25569.041666666668</v>
      </c>
      <c r="F25" s="333">
        <f>IF(DATE(YEAR($B$6),MONTH($B$6)+1,DAY(1))=E25,1,IF(MONTH(E25)=1,F26*(1+$F$5),F26))</f>
      </c>
      <c r="G25" s="333">
        <f>IF('Simulador - 1º Pilar'!$E$99="Sí",IF('Aportaciones PPE'!$B$13&lt;'Aportaciones PPE'!E25,0,F25*$B$8/12),F25*$B$8/12)</f>
      </c>
      <c r="H25" s="333">
        <f>$H$5*G25</f>
      </c>
      <c r="I25" s="333">
        <f>$I$5*G25</f>
      </c>
      <c r="J25" s="333">
        <f>+I25</f>
      </c>
      <c r="K25" s="333">
        <f>(1+$O$5)^(D25/12)*(H25+IF(AND(F25=1,F26=0),$S$4,0))</f>
      </c>
      <c r="L25" s="333">
        <f>(1+$O$5)^(D25/12)*(I25+IF(AND(F25=1,F26=0),0))</f>
      </c>
      <c r="M25" s="333">
        <f>+L25</f>
      </c>
      <c r="N25" s="333">
        <f>L25+K25+M25</f>
      </c>
      <c r="O25" s="170"/>
      <c r="P25" s="7"/>
      <c r="Q25" s="1"/>
      <c r="R25" s="331">
        <f>D25</f>
      </c>
      <c r="S25" s="169"/>
      <c r="T25" s="1"/>
      <c r="U25" s="217"/>
      <c r="V25" s="331">
        <f>+IF(V24=11,12,IF(V24=12,1,V24+1))</f>
      </c>
      <c r="W25" s="331">
        <f>+W24+IF(V24=12,1,0)</f>
      </c>
      <c r="X25" s="555">
        <f>+DATE(W25,V25,1)</f>
        <v>25569.041666666668</v>
      </c>
      <c r="Y25" s="333">
        <f>+_xlfn.IFNA(AN25+AS25+AX25,0)</f>
      </c>
      <c r="Z25" s="333">
        <f>+_xlfn.IFNA(AO25+AT25+AY25,0)</f>
      </c>
      <c r="AA25" s="333">
        <f>Y25*(1+$O$5)^(($B$7-X25)/365.25)</f>
      </c>
      <c r="AB25" s="333">
        <f>Z25*(1+$O$5)^(($B$7-X25)/365.25)</f>
      </c>
      <c r="AC25" s="1"/>
      <c r="AD25" s="1"/>
      <c r="AE25" s="1"/>
      <c r="AF25" s="111">
        <f>+MONTH(E25)&amp;YEAR(E25)</f>
      </c>
      <c r="AG25" s="217">
        <f>+I25</f>
      </c>
      <c r="AH25" s="217">
        <f>+J25</f>
      </c>
      <c r="AI25" s="217">
        <f>+H25</f>
      </c>
      <c r="AJ25" s="111">
        <f>+V25&amp;W25</f>
      </c>
      <c r="AK25" s="217">
        <f>+_xlfn.IFNA(VLOOKUP(AJ25,$AF$7:$AG$1066,2,0),0)</f>
      </c>
      <c r="AL25" s="217">
        <f>+IF(W25&gt;W24,AK25,AL24+AK25)</f>
      </c>
      <c r="AM25" s="217">
        <f>IF(W25&gt;W24,IF(AL25&gt;=$AZ$8,$AZ$8,AL25),IF(OR(AM24=$AZ$8,AM24=0),0,IF(AL25&gt;=$AZ$8,$AZ$8,AL25)))</f>
      </c>
      <c r="AN25" s="748">
        <f>+IF(OR(AM25&gt;AZ24,AM25=0),0,IF(AM25=AL25,AK25,$AZ$7-AL24))</f>
      </c>
      <c r="AO25" s="748">
        <f>+AK25-AN25</f>
      </c>
      <c r="AP25" s="217">
        <f>+_xlfn.IFNA(VLOOKUP(AJ25,$AF$7:$AI$1066,3,0),0)</f>
      </c>
      <c r="AQ25" s="217">
        <f>+IF(W25&gt;W24,AP25,AQ24+AP25)</f>
      </c>
      <c r="AR25" s="217">
        <f>+MAX($AM$2-SUMIF($W$7:$W$1066,W25,$AN$7:$AN$1066),0)</f>
      </c>
      <c r="AS25" s="748">
        <f>+MAX(IF(AQ25&gt;AR25,AR25-AQ24,AP25),0)</f>
      </c>
      <c r="AT25" s="748">
        <f>+AP25-AS25</f>
      </c>
      <c r="AU25" s="217">
        <f>+_xlfn.IFNA(VLOOKUP(AJ25,$AF$7:$AI$1066,4,0),0)</f>
      </c>
      <c r="AV25" s="217">
        <f>+IF(W25&gt;W24,AU25,AV24+AU25)</f>
      </c>
      <c r="AW25" s="217">
        <f>+MAX($AM$2-SUMIF($W$7:$W$1066,W25,$AN$7:$AN$1066)-SUMIF($W$7:$W$1066,W25,$AS$7:$AS$1066),0)</f>
      </c>
      <c r="AX25" s="748">
        <f>+MAX(IF(AV25&gt;AW25,AW25-AV24,AU25),0)</f>
      </c>
      <c r="AY25" s="748">
        <f>+AU25-AX25</f>
      </c>
      <c r="AZ25" s="331">
        <f>+$AM$1+IF($AP$1&gt;$AP$2,$AM$3/2)</f>
      </c>
    </row>
    <row x14ac:dyDescent="0.25" r="26" customHeight="1" ht="18.75">
      <c r="A26" s="1"/>
      <c r="B26" s="7"/>
      <c r="C26" s="170"/>
      <c r="D26" s="331">
        <v>19</v>
      </c>
      <c r="E26" s="544">
        <f>+DATE(YEAR(E25),MONTH(E25)-1,DAY(E25))</f>
        <v>25569.041666666668</v>
      </c>
      <c r="F26" s="333">
        <f>IF(DATE(YEAR($B$6),MONTH($B$6)+1,DAY(1))=E26,1,IF(MONTH(E26)=1,F27*(1+$F$5),F27))</f>
      </c>
      <c r="G26" s="333">
        <f>IF('Simulador - 1º Pilar'!$E$99="Sí",IF('Aportaciones PPE'!$B$13&lt;'Aportaciones PPE'!E26,0,F26*$B$8/12),F26*$B$8/12)</f>
      </c>
      <c r="H26" s="333">
        <f>$H$5*G26</f>
      </c>
      <c r="I26" s="333">
        <f>$I$5*G26</f>
      </c>
      <c r="J26" s="333">
        <f>+I26</f>
      </c>
      <c r="K26" s="333">
        <f>(1+$O$5)^(D26/12)*(H26+IF(AND(F26=1,F27=0),$S$4,0))</f>
      </c>
      <c r="L26" s="333">
        <f>(1+$O$5)^(D26/12)*(I26+IF(AND(F26=1,F27=0),0))</f>
      </c>
      <c r="M26" s="333">
        <f>+L26</f>
      </c>
      <c r="N26" s="333">
        <f>L26+K26+M26</f>
      </c>
      <c r="O26" s="170"/>
      <c r="P26" s="7"/>
      <c r="Q26" s="1"/>
      <c r="R26" s="331">
        <f>D26</f>
      </c>
      <c r="S26" s="169"/>
      <c r="T26" s="1"/>
      <c r="U26" s="217"/>
      <c r="V26" s="331">
        <f>+IF(V25=11,12,IF(V25=12,1,V25+1))</f>
      </c>
      <c r="W26" s="331">
        <f>+W25+IF(V25=12,1,0)</f>
      </c>
      <c r="X26" s="555">
        <f>+DATE(W26,V26,1)</f>
        <v>25569.041666666668</v>
      </c>
      <c r="Y26" s="333">
        <f>+_xlfn.IFNA(AN26+AS26+AX26,0)</f>
      </c>
      <c r="Z26" s="333">
        <f>+_xlfn.IFNA(AO26+AT26+AY26,0)</f>
      </c>
      <c r="AA26" s="333">
        <f>Y26*(1+$O$5)^(($B$7-X26)/365.25)</f>
      </c>
      <c r="AB26" s="333">
        <f>Z26*(1+$O$5)^(($B$7-X26)/365.25)</f>
      </c>
      <c r="AC26" s="1"/>
      <c r="AD26" s="1"/>
      <c r="AE26" s="1"/>
      <c r="AF26" s="111">
        <f>+MONTH(E26)&amp;YEAR(E26)</f>
      </c>
      <c r="AG26" s="217">
        <f>+I26</f>
      </c>
      <c r="AH26" s="217">
        <f>+J26</f>
      </c>
      <c r="AI26" s="217">
        <f>+H26</f>
      </c>
      <c r="AJ26" s="111">
        <f>+V26&amp;W26</f>
      </c>
      <c r="AK26" s="217">
        <f>+_xlfn.IFNA(VLOOKUP(AJ26,$AF$7:$AG$1066,2,0),0)</f>
      </c>
      <c r="AL26" s="217">
        <f>+IF(W26&gt;W25,AK26,AL25+AK26)</f>
      </c>
      <c r="AM26" s="217">
        <f>IF(W26&gt;W25,IF(AL26&gt;=$AZ$8,$AZ$8,AL26),IF(OR(AM25=$AZ$8,AM25=0),0,IF(AL26&gt;=$AZ$8,$AZ$8,AL26)))</f>
      </c>
      <c r="AN26" s="748">
        <f>+IF(OR(AM26&gt;AZ25,AM26=0),0,IF(AM26=AL26,AK26,$AZ$7-AL25))</f>
      </c>
      <c r="AO26" s="748">
        <f>+AK26-AN26</f>
      </c>
      <c r="AP26" s="217">
        <f>+_xlfn.IFNA(VLOOKUP(AJ26,$AF$7:$AI$1066,3,0),0)</f>
      </c>
      <c r="AQ26" s="217">
        <f>+IF(W26&gt;W25,AP26,AQ25+AP26)</f>
      </c>
      <c r="AR26" s="217">
        <f>+MAX($AM$2-SUMIF($W$7:$W$1066,W26,$AN$7:$AN$1066),0)</f>
      </c>
      <c r="AS26" s="748">
        <f>+MAX(IF(AQ26&gt;AR26,AR26-AQ25,AP26),0)</f>
      </c>
      <c r="AT26" s="748">
        <f>+AP26-AS26</f>
      </c>
      <c r="AU26" s="217">
        <f>+_xlfn.IFNA(VLOOKUP(AJ26,$AF$7:$AI$1066,4,0),0)</f>
      </c>
      <c r="AV26" s="217">
        <f>+IF(W26&gt;W25,AU26,AV25+AU26)</f>
      </c>
      <c r="AW26" s="217">
        <f>+MAX($AM$2-SUMIF($W$7:$W$1066,W26,$AN$7:$AN$1066)-SUMIF($W$7:$W$1066,W26,$AS$7:$AS$1066),0)</f>
      </c>
      <c r="AX26" s="748">
        <f>+MAX(IF(AV26&gt;AW26,AW26-AV25,AU26),0)</f>
      </c>
      <c r="AY26" s="748">
        <f>+AU26-AX26</f>
      </c>
      <c r="AZ26" s="331">
        <f>+$AM$1+IF($AP$1&gt;$AP$2,$AM$3/2)</f>
      </c>
    </row>
    <row x14ac:dyDescent="0.25" r="27" customHeight="1" ht="18.75">
      <c r="A27" s="1"/>
      <c r="B27" s="7"/>
      <c r="C27" s="170"/>
      <c r="D27" s="331">
        <v>20</v>
      </c>
      <c r="E27" s="544">
        <f>+DATE(YEAR(E26),MONTH(E26)-1,DAY(E26))</f>
        <v>25569.041666666668</v>
      </c>
      <c r="F27" s="333">
        <f>IF(DATE(YEAR($B$6),MONTH($B$6)+1,DAY(1))=E27,1,IF(MONTH(E27)=1,F28*(1+$F$5),F28))</f>
      </c>
      <c r="G27" s="333">
        <f>IF('Simulador - 1º Pilar'!$E$99="Sí",IF('Aportaciones PPE'!$B$13&lt;'Aportaciones PPE'!E27,0,F27*$B$8/12),F27*$B$8/12)</f>
      </c>
      <c r="H27" s="333">
        <f>$H$5*G27</f>
      </c>
      <c r="I27" s="333">
        <f>$I$5*G27</f>
      </c>
      <c r="J27" s="333">
        <f>+I27</f>
      </c>
      <c r="K27" s="333">
        <f>(1+$O$5)^(D27/12)*(H27+IF(AND(F27=1,F28=0),$S$4,0))</f>
      </c>
      <c r="L27" s="333">
        <f>(1+$O$5)^(D27/12)*(I27+IF(AND(F27=1,F28=0),0))</f>
      </c>
      <c r="M27" s="333">
        <f>+L27</f>
      </c>
      <c r="N27" s="333">
        <f>L27+K27+M27</f>
      </c>
      <c r="O27" s="170"/>
      <c r="P27" s="7"/>
      <c r="Q27" s="1"/>
      <c r="R27" s="331">
        <f>D27</f>
      </c>
      <c r="S27" s="169"/>
      <c r="T27" s="1"/>
      <c r="U27" s="217"/>
      <c r="V27" s="331">
        <f>+IF(V26=11,12,IF(V26=12,1,V26+1))</f>
      </c>
      <c r="W27" s="331">
        <f>+W26+IF(V26=12,1,0)</f>
      </c>
      <c r="X27" s="555">
        <f>+DATE(W27,V27,1)</f>
        <v>25569.041666666668</v>
      </c>
      <c r="Y27" s="333">
        <f>+_xlfn.IFNA(AN27+AS27+AX27,0)</f>
      </c>
      <c r="Z27" s="333">
        <f>+_xlfn.IFNA(AO27+AT27+AY27,0)</f>
      </c>
      <c r="AA27" s="333">
        <f>Y27*(1+$O$5)^(($B$7-X27)/365.25)</f>
      </c>
      <c r="AB27" s="333">
        <f>Z27*(1+$O$5)^(($B$7-X27)/365.25)</f>
      </c>
      <c r="AC27" s="1"/>
      <c r="AD27" s="1"/>
      <c r="AE27" s="1"/>
      <c r="AF27" s="111">
        <f>+MONTH(E27)&amp;YEAR(E27)</f>
      </c>
      <c r="AG27" s="217">
        <f>+I27</f>
      </c>
      <c r="AH27" s="217">
        <f>+J27</f>
      </c>
      <c r="AI27" s="217">
        <f>+H27</f>
      </c>
      <c r="AJ27" s="111">
        <f>+V27&amp;W27</f>
      </c>
      <c r="AK27" s="217">
        <f>+_xlfn.IFNA(VLOOKUP(AJ27,$AF$7:$AG$1066,2,0),0)</f>
      </c>
      <c r="AL27" s="217">
        <f>+IF(W27&gt;W26,AK27,AL26+AK27)</f>
      </c>
      <c r="AM27" s="217">
        <f>IF(W27&gt;W26,IF(AL27&gt;=$AZ$8,$AZ$8,AL27),IF(OR(AM26=$AZ$8,AM26=0),0,IF(AL27&gt;=$AZ$8,$AZ$8,AL27)))</f>
      </c>
      <c r="AN27" s="748">
        <f>+IF(OR(AM27&gt;AZ26,AM27=0),0,IF(AM27=AL27,AK27,$AZ$7-AL26))</f>
      </c>
      <c r="AO27" s="748">
        <f>+AK27-AN27</f>
      </c>
      <c r="AP27" s="217">
        <f>+_xlfn.IFNA(VLOOKUP(AJ27,$AF$7:$AI$1066,3,0),0)</f>
      </c>
      <c r="AQ27" s="217">
        <f>+IF(W27&gt;W26,AP27,AQ26+AP27)</f>
      </c>
      <c r="AR27" s="217">
        <f>+MAX($AM$2-SUMIF($W$7:$W$1066,W27,$AN$7:$AN$1066),0)</f>
      </c>
      <c r="AS27" s="748">
        <f>+MAX(IF(AQ27&gt;AR27,AR27-AQ26,AP27),0)</f>
      </c>
      <c r="AT27" s="748">
        <f>+AP27-AS27</f>
      </c>
      <c r="AU27" s="217">
        <f>+_xlfn.IFNA(VLOOKUP(AJ27,$AF$7:$AI$1066,4,0),0)</f>
      </c>
      <c r="AV27" s="217">
        <f>+IF(W27&gt;W26,AU27,AV26+AU27)</f>
      </c>
      <c r="AW27" s="217">
        <f>+MAX($AM$2-SUMIF($W$7:$W$1066,W27,$AN$7:$AN$1066)-SUMIF($W$7:$W$1066,W27,$AS$7:$AS$1066),0)</f>
      </c>
      <c r="AX27" s="748">
        <f>+MAX(IF(AV27&gt;AW27,AW27-AV26,AU27),0)</f>
      </c>
      <c r="AY27" s="748">
        <f>+AU27-AX27</f>
      </c>
      <c r="AZ27" s="331">
        <f>+$AM$1+IF($AP$1&gt;$AP$2,$AM$3/2)</f>
      </c>
    </row>
    <row x14ac:dyDescent="0.25" r="28" customHeight="1" ht="18.75">
      <c r="A28" s="1"/>
      <c r="B28" s="7"/>
      <c r="C28" s="170"/>
      <c r="D28" s="331">
        <v>21</v>
      </c>
      <c r="E28" s="544">
        <f>+DATE(YEAR(E27),MONTH(E27)-1,DAY(E27))</f>
        <v>25569.041666666668</v>
      </c>
      <c r="F28" s="333">
        <f>IF(DATE(YEAR($B$6),MONTH($B$6)+1,DAY(1))=E28,1,IF(MONTH(E28)=1,F29*(1+$F$5),F29))</f>
      </c>
      <c r="G28" s="333">
        <f>IF('Simulador - 1º Pilar'!$E$99="Sí",IF('Aportaciones PPE'!$B$13&lt;'Aportaciones PPE'!E28,0,F28*$B$8/12),F28*$B$8/12)</f>
      </c>
      <c r="H28" s="333">
        <f>$H$5*G28</f>
      </c>
      <c r="I28" s="333">
        <f>$I$5*G28</f>
      </c>
      <c r="J28" s="333">
        <f>+I28</f>
      </c>
      <c r="K28" s="333">
        <f>(1+$O$5)^(D28/12)*(H28+IF(AND(F28=1,F29=0),$S$4,0))</f>
      </c>
      <c r="L28" s="333">
        <f>(1+$O$5)^(D28/12)*(I28+IF(AND(F28=1,F29=0),0))</f>
      </c>
      <c r="M28" s="333">
        <f>+L28</f>
      </c>
      <c r="N28" s="333">
        <f>L28+K28+M28</f>
      </c>
      <c r="O28" s="170"/>
      <c r="P28" s="7"/>
      <c r="Q28" s="1"/>
      <c r="R28" s="331">
        <f>D28</f>
      </c>
      <c r="S28" s="169"/>
      <c r="T28" s="1"/>
      <c r="U28" s="217"/>
      <c r="V28" s="331">
        <f>+IF(V27=11,12,IF(V27=12,1,V27+1))</f>
      </c>
      <c r="W28" s="331">
        <f>+W27+IF(V27=12,1,0)</f>
      </c>
      <c r="X28" s="555">
        <f>+DATE(W28,V28,1)</f>
        <v>25569.041666666668</v>
      </c>
      <c r="Y28" s="333">
        <f>+_xlfn.IFNA(AN28+AS28+AX28,0)</f>
      </c>
      <c r="Z28" s="333">
        <f>+_xlfn.IFNA(AO28+AT28+AY28,0)</f>
      </c>
      <c r="AA28" s="333">
        <f>Y28*(1+$O$5)^(($B$7-X28)/365.25)</f>
      </c>
      <c r="AB28" s="333">
        <f>Z28*(1+$O$5)^(($B$7-X28)/365.25)</f>
      </c>
      <c r="AC28" s="1"/>
      <c r="AD28" s="1"/>
      <c r="AE28" s="1"/>
      <c r="AF28" s="111">
        <f>+MONTH(E28)&amp;YEAR(E28)</f>
      </c>
      <c r="AG28" s="217">
        <f>+I28</f>
      </c>
      <c r="AH28" s="217">
        <f>+J28</f>
      </c>
      <c r="AI28" s="217">
        <f>+H28</f>
      </c>
      <c r="AJ28" s="111">
        <f>+V28&amp;W28</f>
      </c>
      <c r="AK28" s="217">
        <f>+_xlfn.IFNA(VLOOKUP(AJ28,$AF$7:$AG$1066,2,0),0)</f>
      </c>
      <c r="AL28" s="217">
        <f>+IF(W28&gt;W27,AK28,AL27+AK28)</f>
      </c>
      <c r="AM28" s="217">
        <f>IF(W28&gt;W27,IF(AL28&gt;=$AZ$8,$AZ$8,AL28),IF(OR(AM27=$AZ$8,AM27=0),0,IF(AL28&gt;=$AZ$8,$AZ$8,AL28)))</f>
      </c>
      <c r="AN28" s="748">
        <f>+IF(OR(AM28&gt;AZ27,AM28=0),0,IF(AM28=AL28,AK28,$AZ$7-AL27))</f>
      </c>
      <c r="AO28" s="748">
        <f>+AK28-AN28</f>
      </c>
      <c r="AP28" s="217">
        <f>+_xlfn.IFNA(VLOOKUP(AJ28,$AF$7:$AI$1066,3,0),0)</f>
      </c>
      <c r="AQ28" s="217">
        <f>+IF(W28&gt;W27,AP28,AQ27+AP28)</f>
      </c>
      <c r="AR28" s="217">
        <f>+MAX($AM$2-SUMIF($W$7:$W$1066,W28,$AN$7:$AN$1066),0)</f>
      </c>
      <c r="AS28" s="748">
        <f>+MAX(IF(AQ28&gt;AR28,AR28-AQ27,AP28),0)</f>
      </c>
      <c r="AT28" s="748">
        <f>+AP28-AS28</f>
      </c>
      <c r="AU28" s="217">
        <f>+_xlfn.IFNA(VLOOKUP(AJ28,$AF$7:$AI$1066,4,0),0)</f>
      </c>
      <c r="AV28" s="217">
        <f>+IF(W28&gt;W27,AU28,AV27+AU28)</f>
      </c>
      <c r="AW28" s="217">
        <f>+MAX($AM$2-SUMIF($W$7:$W$1066,W28,$AN$7:$AN$1066)-SUMIF($W$7:$W$1066,W28,$AS$7:$AS$1066),0)</f>
      </c>
      <c r="AX28" s="748">
        <f>+MAX(IF(AV28&gt;AW28,AW28-AV27,AU28),0)</f>
      </c>
      <c r="AY28" s="748">
        <f>+AU28-AX28</f>
      </c>
      <c r="AZ28" s="331">
        <f>+$AM$1+IF($AP$1&gt;$AP$2,$AM$3/2)</f>
      </c>
    </row>
    <row x14ac:dyDescent="0.25" r="29" customHeight="1" ht="18.75">
      <c r="A29" s="1"/>
      <c r="B29" s="7"/>
      <c r="C29" s="170"/>
      <c r="D29" s="331">
        <v>22</v>
      </c>
      <c r="E29" s="544">
        <f>+DATE(YEAR(E28),MONTH(E28)-1,DAY(E28))</f>
        <v>25569.041666666668</v>
      </c>
      <c r="F29" s="333">
        <f>IF(DATE(YEAR($B$6),MONTH($B$6)+1,DAY(1))=E29,1,IF(MONTH(E29)=1,F30*(1+$F$5),F30))</f>
      </c>
      <c r="G29" s="333">
        <f>IF('Simulador - 1º Pilar'!$E$99="Sí",IF('Aportaciones PPE'!$B$13&lt;'Aportaciones PPE'!E29,0,F29*$B$8/12),F29*$B$8/12)</f>
      </c>
      <c r="H29" s="333">
        <f>$H$5*G29</f>
      </c>
      <c r="I29" s="333">
        <f>$I$5*G29</f>
      </c>
      <c r="J29" s="333">
        <f>+I29</f>
      </c>
      <c r="K29" s="333">
        <f>(1+$O$5)^(D29/12)*(H29+IF(AND(F29=1,F30=0),$S$4,0))</f>
      </c>
      <c r="L29" s="333">
        <f>(1+$O$5)^(D29/12)*(I29+IF(AND(F29=1,F30=0),0))</f>
      </c>
      <c r="M29" s="333">
        <f>+L29</f>
      </c>
      <c r="N29" s="333">
        <f>L29+K29+M29</f>
      </c>
      <c r="O29" s="170"/>
      <c r="P29" s="7"/>
      <c r="Q29" s="1"/>
      <c r="R29" s="331">
        <f>D29</f>
      </c>
      <c r="S29" s="169"/>
      <c r="T29" s="1"/>
      <c r="U29" s="217"/>
      <c r="V29" s="331">
        <f>+IF(V28=11,12,IF(V28=12,1,V28+1))</f>
      </c>
      <c r="W29" s="331">
        <f>+W28+IF(V28=12,1,0)</f>
      </c>
      <c r="X29" s="555">
        <f>+DATE(W29,V29,1)</f>
        <v>25569.041666666668</v>
      </c>
      <c r="Y29" s="333">
        <f>+_xlfn.IFNA(AN29+AS29+AX29,0)</f>
      </c>
      <c r="Z29" s="333">
        <f>+_xlfn.IFNA(AO29+AT29+AY29,0)</f>
      </c>
      <c r="AA29" s="333">
        <f>Y29*(1+$O$5)^(($B$7-X29)/365.25)</f>
      </c>
      <c r="AB29" s="333">
        <f>Z29*(1+$O$5)^(($B$7-X29)/365.25)</f>
      </c>
      <c r="AC29" s="1"/>
      <c r="AD29" s="1"/>
      <c r="AE29" s="1"/>
      <c r="AF29" s="111">
        <f>+MONTH(E29)&amp;YEAR(E29)</f>
      </c>
      <c r="AG29" s="217">
        <f>+I29</f>
      </c>
      <c r="AH29" s="217">
        <f>+J29</f>
      </c>
      <c r="AI29" s="217">
        <f>+H29</f>
      </c>
      <c r="AJ29" s="111">
        <f>+V29&amp;W29</f>
      </c>
      <c r="AK29" s="217">
        <f>+_xlfn.IFNA(VLOOKUP(AJ29,$AF$7:$AG$1066,2,0),0)</f>
      </c>
      <c r="AL29" s="217">
        <f>+IF(W29&gt;W28,AK29,AL28+AK29)</f>
      </c>
      <c r="AM29" s="217">
        <f>IF(W29&gt;W28,IF(AL29&gt;=$AZ$8,$AZ$8,AL29),IF(OR(AM28=$AZ$8,AM28=0),0,IF(AL29&gt;=$AZ$8,$AZ$8,AL29)))</f>
      </c>
      <c r="AN29" s="748">
        <f>+IF(OR(AM29&gt;AZ28,AM29=0),0,IF(AM29=AL29,AK29,$AZ$7-AL28))</f>
      </c>
      <c r="AO29" s="748">
        <f>+AK29-AN29</f>
      </c>
      <c r="AP29" s="217">
        <f>+_xlfn.IFNA(VLOOKUP(AJ29,$AF$7:$AI$1066,3,0),0)</f>
      </c>
      <c r="AQ29" s="217">
        <f>+IF(W29&gt;W28,AP29,AQ28+AP29)</f>
      </c>
      <c r="AR29" s="217">
        <f>+MAX($AM$2-SUMIF($W$7:$W$1066,W29,$AN$7:$AN$1066),0)</f>
      </c>
      <c r="AS29" s="748">
        <f>+MAX(IF(AQ29&gt;AR29,AR29-AQ28,AP29),0)</f>
      </c>
      <c r="AT29" s="748">
        <f>+AP29-AS29</f>
      </c>
      <c r="AU29" s="217">
        <f>+_xlfn.IFNA(VLOOKUP(AJ29,$AF$7:$AI$1066,4,0),0)</f>
      </c>
      <c r="AV29" s="217">
        <f>+IF(W29&gt;W28,AU29,AV28+AU29)</f>
      </c>
      <c r="AW29" s="217">
        <f>+MAX($AM$2-SUMIF($W$7:$W$1066,W29,$AN$7:$AN$1066)-SUMIF($W$7:$W$1066,W29,$AS$7:$AS$1066),0)</f>
      </c>
      <c r="AX29" s="748">
        <f>+MAX(IF(AV29&gt;AW29,AW29-AV28,AU29),0)</f>
      </c>
      <c r="AY29" s="748">
        <f>+AU29-AX29</f>
      </c>
      <c r="AZ29" s="331">
        <f>+$AM$1+IF($AP$1&gt;$AP$2,$AM$3/2)</f>
      </c>
    </row>
    <row x14ac:dyDescent="0.25" r="30" customHeight="1" ht="18.75">
      <c r="A30" s="1"/>
      <c r="B30" s="7"/>
      <c r="C30" s="170"/>
      <c r="D30" s="331">
        <v>23</v>
      </c>
      <c r="E30" s="544">
        <f>+DATE(YEAR(E29),MONTH(E29)-1,DAY(E29))</f>
        <v>25569.041666666668</v>
      </c>
      <c r="F30" s="333">
        <f>IF(DATE(YEAR($B$6),MONTH($B$6)+1,DAY(1))=E30,1,IF(MONTH(E30)=1,F31*(1+$F$5),F31))</f>
      </c>
      <c r="G30" s="333">
        <f>IF('Simulador - 1º Pilar'!$E$99="Sí",IF('Aportaciones PPE'!$B$13&lt;'Aportaciones PPE'!E30,0,F30*$B$8/12),F30*$B$8/12)</f>
      </c>
      <c r="H30" s="333">
        <f>$H$5*G30</f>
      </c>
      <c r="I30" s="333">
        <f>$I$5*G30</f>
      </c>
      <c r="J30" s="333">
        <f>+I30</f>
      </c>
      <c r="K30" s="333">
        <f>(1+$O$5)^(D30/12)*(H30+IF(AND(F30=1,F31=0),$S$4,0))</f>
      </c>
      <c r="L30" s="333">
        <f>(1+$O$5)^(D30/12)*(I30+IF(AND(F30=1,F31=0),0))</f>
      </c>
      <c r="M30" s="333">
        <f>+L30</f>
      </c>
      <c r="N30" s="333">
        <f>L30+K30+M30</f>
      </c>
      <c r="O30" s="170"/>
      <c r="P30" s="7"/>
      <c r="Q30" s="1"/>
      <c r="R30" s="331">
        <f>D30</f>
      </c>
      <c r="S30" s="169"/>
      <c r="T30" s="1"/>
      <c r="U30" s="217"/>
      <c r="V30" s="331">
        <f>+IF(V29=11,12,IF(V29=12,1,V29+1))</f>
      </c>
      <c r="W30" s="331">
        <f>+W29+IF(V29=12,1,0)</f>
      </c>
      <c r="X30" s="555">
        <f>+DATE(W30,V30,1)</f>
        <v>25569.041666666668</v>
      </c>
      <c r="Y30" s="333">
        <f>+_xlfn.IFNA(AN30+AS30+AX30,0)</f>
      </c>
      <c r="Z30" s="333">
        <f>+_xlfn.IFNA(AO30+AT30+AY30,0)</f>
      </c>
      <c r="AA30" s="333">
        <f>Y30*(1+$O$5)^(($B$7-X30)/365.25)</f>
      </c>
      <c r="AB30" s="333">
        <f>Z30*(1+$O$5)^(($B$7-X30)/365.25)</f>
      </c>
      <c r="AC30" s="1"/>
      <c r="AD30" s="1"/>
      <c r="AE30" s="1"/>
      <c r="AF30" s="111">
        <f>+MONTH(E30)&amp;YEAR(E30)</f>
      </c>
      <c r="AG30" s="217">
        <f>+I30</f>
      </c>
      <c r="AH30" s="217">
        <f>+J30</f>
      </c>
      <c r="AI30" s="217">
        <f>+H30</f>
      </c>
      <c r="AJ30" s="111">
        <f>+V30&amp;W30</f>
      </c>
      <c r="AK30" s="217">
        <f>+_xlfn.IFNA(VLOOKUP(AJ30,$AF$7:$AG$1066,2,0),0)</f>
      </c>
      <c r="AL30" s="217">
        <f>+IF(W30&gt;W29,AK30,AL29+AK30)</f>
      </c>
      <c r="AM30" s="217">
        <f>IF(W30&gt;W29,IF(AL30&gt;=$AZ$8,$AZ$8,AL30),IF(OR(AM29=$AZ$8,AM29=0),0,IF(AL30&gt;=$AZ$8,$AZ$8,AL30)))</f>
      </c>
      <c r="AN30" s="748">
        <f>+IF(OR(AM30&gt;AZ29,AM30=0),0,IF(AM30=AL30,AK30,$AZ$7-AL29))</f>
      </c>
      <c r="AO30" s="748">
        <f>+AK30-AN30</f>
      </c>
      <c r="AP30" s="217">
        <f>+_xlfn.IFNA(VLOOKUP(AJ30,$AF$7:$AI$1066,3,0),0)</f>
      </c>
      <c r="AQ30" s="217">
        <f>+IF(W30&gt;W29,AP30,AQ29+AP30)</f>
      </c>
      <c r="AR30" s="217">
        <f>+MAX($AM$2-SUMIF($W$7:$W$1066,W30,$AN$7:$AN$1066),0)</f>
      </c>
      <c r="AS30" s="748">
        <f>+MAX(IF(AQ30&gt;AR30,AR30-AQ29,AP30),0)</f>
      </c>
      <c r="AT30" s="748">
        <f>+AP30-AS30</f>
      </c>
      <c r="AU30" s="217">
        <f>+_xlfn.IFNA(VLOOKUP(AJ30,$AF$7:$AI$1066,4,0),0)</f>
      </c>
      <c r="AV30" s="217">
        <f>+IF(W30&gt;W29,AU30,AV29+AU30)</f>
      </c>
      <c r="AW30" s="217">
        <f>+MAX($AM$2-SUMIF($W$7:$W$1066,W30,$AN$7:$AN$1066)-SUMIF($W$7:$W$1066,W30,$AS$7:$AS$1066),0)</f>
      </c>
      <c r="AX30" s="748">
        <f>+MAX(IF(AV30&gt;AW30,AW30-AV29,AU30),0)</f>
      </c>
      <c r="AY30" s="748">
        <f>+AU30-AX30</f>
      </c>
      <c r="AZ30" s="331">
        <f>+$AM$1+IF($AP$1&gt;$AP$2,$AM$3/2)</f>
      </c>
    </row>
    <row x14ac:dyDescent="0.25" r="31" customHeight="1" ht="18.75">
      <c r="A31" s="1"/>
      <c r="B31" s="7"/>
      <c r="C31" s="170"/>
      <c r="D31" s="331">
        <v>24</v>
      </c>
      <c r="E31" s="544">
        <f>+DATE(YEAR(E30),MONTH(E30)-1,DAY(E30))</f>
        <v>25569.041666666668</v>
      </c>
      <c r="F31" s="333">
        <f>IF(DATE(YEAR($B$6),MONTH($B$6)+1,DAY(1))=E31,1,IF(MONTH(E31)=1,F32*(1+$F$5),F32))</f>
      </c>
      <c r="G31" s="333">
        <f>IF('Simulador - 1º Pilar'!$E$99="Sí",IF('Aportaciones PPE'!$B$13&lt;'Aportaciones PPE'!E31,0,F31*$B$8/12),F31*$B$8/12)</f>
      </c>
      <c r="H31" s="333">
        <f>$H$5*G31</f>
      </c>
      <c r="I31" s="333">
        <f>$I$5*G31</f>
      </c>
      <c r="J31" s="333">
        <f>+I31</f>
      </c>
      <c r="K31" s="333">
        <f>(1+$O$5)^(D31/12)*(H31+IF(AND(F31=1,F32=0),$S$4,0))</f>
      </c>
      <c r="L31" s="333">
        <f>(1+$O$5)^(D31/12)*(I31+IF(AND(F31=1,F32=0),0))</f>
      </c>
      <c r="M31" s="333">
        <f>+L31</f>
      </c>
      <c r="N31" s="333">
        <f>L31+K31+M31</f>
      </c>
      <c r="O31" s="170"/>
      <c r="P31" s="7"/>
      <c r="Q31" s="1"/>
      <c r="R31" s="331">
        <f>D31</f>
      </c>
      <c r="S31" s="169"/>
      <c r="T31" s="1"/>
      <c r="U31" s="217"/>
      <c r="V31" s="331">
        <f>+IF(V30=11,12,IF(V30=12,1,V30+1))</f>
      </c>
      <c r="W31" s="331">
        <f>+W30+IF(V30=12,1,0)</f>
      </c>
      <c r="X31" s="555">
        <f>+DATE(W31,V31,1)</f>
        <v>25569.041666666668</v>
      </c>
      <c r="Y31" s="333">
        <f>+_xlfn.IFNA(AN31+AS31+AX31,0)</f>
      </c>
      <c r="Z31" s="333">
        <f>+_xlfn.IFNA(AO31+AT31+AY31,0)</f>
      </c>
      <c r="AA31" s="333">
        <f>Y31*(1+$O$5)^(($B$7-X31)/365.25)</f>
      </c>
      <c r="AB31" s="333">
        <f>Z31*(1+$O$5)^(($B$7-X31)/365.25)</f>
      </c>
      <c r="AC31" s="1"/>
      <c r="AD31" s="1"/>
      <c r="AE31" s="1"/>
      <c r="AF31" s="111">
        <f>+MONTH(E31)&amp;YEAR(E31)</f>
      </c>
      <c r="AG31" s="217">
        <f>+I31</f>
      </c>
      <c r="AH31" s="217">
        <f>+J31</f>
      </c>
      <c r="AI31" s="217">
        <f>+H31</f>
      </c>
      <c r="AJ31" s="111">
        <f>+V31&amp;W31</f>
      </c>
      <c r="AK31" s="217">
        <f>+_xlfn.IFNA(VLOOKUP(AJ31,$AF$7:$AG$1066,2,0),0)</f>
      </c>
      <c r="AL31" s="217">
        <f>+IF(W31&gt;W30,AK31,AL30+AK31)</f>
      </c>
      <c r="AM31" s="217">
        <f>IF(W31&gt;W30,IF(AL31&gt;=$AZ$8,$AZ$8,AL31),IF(OR(AM30=$AZ$8,AM30=0),0,IF(AL31&gt;=$AZ$8,$AZ$8,AL31)))</f>
      </c>
      <c r="AN31" s="748">
        <f>+IF(OR(AM31&gt;AZ30,AM31=0),0,IF(AM31=AL31,AK31,$AZ$7-AL30))</f>
      </c>
      <c r="AO31" s="748">
        <f>+AK31-AN31</f>
      </c>
      <c r="AP31" s="217">
        <f>+_xlfn.IFNA(VLOOKUP(AJ31,$AF$7:$AI$1066,3,0),0)</f>
      </c>
      <c r="AQ31" s="217">
        <f>+IF(W31&gt;W30,AP31,AQ30+AP31)</f>
      </c>
      <c r="AR31" s="217">
        <f>+MAX($AM$2-SUMIF($W$7:$W$1066,W31,$AN$7:$AN$1066),0)</f>
      </c>
      <c r="AS31" s="748">
        <f>+MAX(IF(AQ31&gt;AR31,AR31-AQ30,AP31),0)</f>
      </c>
      <c r="AT31" s="748">
        <f>+AP31-AS31</f>
      </c>
      <c r="AU31" s="217">
        <f>+_xlfn.IFNA(VLOOKUP(AJ31,$AF$7:$AI$1066,4,0),0)</f>
      </c>
      <c r="AV31" s="217">
        <f>+IF(W31&gt;W30,AU31,AV30+AU31)</f>
      </c>
      <c r="AW31" s="217">
        <f>+MAX($AM$2-SUMIF($W$7:$W$1066,W31,$AN$7:$AN$1066)-SUMIF($W$7:$W$1066,W31,$AS$7:$AS$1066),0)</f>
      </c>
      <c r="AX31" s="748">
        <f>+MAX(IF(AV31&gt;AW31,AW31-AV30,AU31),0)</f>
      </c>
      <c r="AY31" s="748">
        <f>+AU31-AX31</f>
      </c>
      <c r="AZ31" s="331">
        <f>+$AM$1+IF($AP$1&gt;$AP$2,$AM$3/2)</f>
      </c>
    </row>
    <row x14ac:dyDescent="0.25" r="32" customHeight="1" ht="18.75">
      <c r="A32" s="1"/>
      <c r="B32" s="7"/>
      <c r="C32" s="170"/>
      <c r="D32" s="331">
        <v>25</v>
      </c>
      <c r="E32" s="544">
        <f>+DATE(YEAR(E31),MONTH(E31)-1,DAY(E31))</f>
        <v>25569.041666666668</v>
      </c>
      <c r="F32" s="333">
        <f>IF(DATE(YEAR($B$6),MONTH($B$6)+1,DAY(1))=E32,1,IF(MONTH(E32)=1,F33*(1+$F$5),F33))</f>
      </c>
      <c r="G32" s="333">
        <f>IF('Simulador - 1º Pilar'!$E$99="Sí",IF('Aportaciones PPE'!$B$13&lt;'Aportaciones PPE'!E32,0,F32*$B$8/12),F32*$B$8/12)</f>
      </c>
      <c r="H32" s="333">
        <f>$H$5*G32</f>
      </c>
      <c r="I32" s="333">
        <f>$I$5*G32</f>
      </c>
      <c r="J32" s="333">
        <f>+I32</f>
      </c>
      <c r="K32" s="333">
        <f>(1+$O$5)^(D32/12)*(H32+IF(AND(F32=1,F33=0),$S$4,0))</f>
      </c>
      <c r="L32" s="333">
        <f>(1+$O$5)^(D32/12)*(I32+IF(AND(F32=1,F33=0),0))</f>
      </c>
      <c r="M32" s="333">
        <f>+L32</f>
      </c>
      <c r="N32" s="333">
        <f>L32+K32+M32</f>
      </c>
      <c r="O32" s="170"/>
      <c r="P32" s="7"/>
      <c r="Q32" s="1"/>
      <c r="R32" s="331">
        <f>D32</f>
      </c>
      <c r="S32" s="169"/>
      <c r="T32" s="1"/>
      <c r="U32" s="217"/>
      <c r="V32" s="331">
        <f>+IF(V31=11,12,IF(V31=12,1,V31+1))</f>
      </c>
      <c r="W32" s="331">
        <f>+W31+IF(V31=12,1,0)</f>
      </c>
      <c r="X32" s="555">
        <f>+DATE(W32,V32,1)</f>
        <v>25569.041666666668</v>
      </c>
      <c r="Y32" s="333">
        <f>+_xlfn.IFNA(AN32+AS32+AX32,0)</f>
      </c>
      <c r="Z32" s="333">
        <f>+_xlfn.IFNA(AO32+AT32+AY32,0)</f>
      </c>
      <c r="AA32" s="333">
        <f>Y32*(1+$O$5)^(($B$7-X32)/365.25)</f>
      </c>
      <c r="AB32" s="333">
        <f>Z32*(1+$O$5)^(($B$7-X32)/365.25)</f>
      </c>
      <c r="AC32" s="1"/>
      <c r="AD32" s="1"/>
      <c r="AE32" s="1"/>
      <c r="AF32" s="111">
        <f>+MONTH(E32)&amp;YEAR(E32)</f>
      </c>
      <c r="AG32" s="217">
        <f>+I32</f>
      </c>
      <c r="AH32" s="217">
        <f>+J32</f>
      </c>
      <c r="AI32" s="217">
        <f>+H32</f>
      </c>
      <c r="AJ32" s="111">
        <f>+V32&amp;W32</f>
      </c>
      <c r="AK32" s="217">
        <f>+_xlfn.IFNA(VLOOKUP(AJ32,$AF$7:$AG$1066,2,0),0)</f>
      </c>
      <c r="AL32" s="217">
        <f>+IF(W32&gt;W31,AK32,AL31+AK32)</f>
      </c>
      <c r="AM32" s="217">
        <f>IF(W32&gt;W31,IF(AL32&gt;=$AZ$8,$AZ$8,AL32),IF(OR(AM31=$AZ$8,AM31=0),0,IF(AL32&gt;=$AZ$8,$AZ$8,AL32)))</f>
      </c>
      <c r="AN32" s="748">
        <f>+IF(OR(AM32&gt;AZ31,AM32=0),0,IF(AM32=AL32,AK32,$AZ$7-AL31))</f>
      </c>
      <c r="AO32" s="748">
        <f>+AK32-AN32</f>
      </c>
      <c r="AP32" s="217">
        <f>+_xlfn.IFNA(VLOOKUP(AJ32,$AF$7:$AI$1066,3,0),0)</f>
      </c>
      <c r="AQ32" s="217">
        <f>+IF(W32&gt;W31,AP32,AQ31+AP32)</f>
      </c>
      <c r="AR32" s="217">
        <f>+MAX($AM$2-SUMIF($W$7:$W$1066,W32,$AN$7:$AN$1066),0)</f>
      </c>
      <c r="AS32" s="748">
        <f>+MAX(IF(AQ32&gt;AR32,AR32-AQ31,AP32),0)</f>
      </c>
      <c r="AT32" s="748">
        <f>+AP32-AS32</f>
      </c>
      <c r="AU32" s="217">
        <f>+_xlfn.IFNA(VLOOKUP(AJ32,$AF$7:$AI$1066,4,0),0)</f>
      </c>
      <c r="AV32" s="217">
        <f>+IF(W32&gt;W31,AU32,AV31+AU32)</f>
      </c>
      <c r="AW32" s="217">
        <f>+MAX($AM$2-SUMIF($W$7:$W$1066,W32,$AN$7:$AN$1066)-SUMIF($W$7:$W$1066,W32,$AS$7:$AS$1066),0)</f>
      </c>
      <c r="AX32" s="748">
        <f>+MAX(IF(AV32&gt;AW32,AW32-AV31,AU32),0)</f>
      </c>
      <c r="AY32" s="748">
        <f>+AU32-AX32</f>
      </c>
      <c r="AZ32" s="331">
        <f>+$AM$1+IF($AP$1&gt;$AP$2,$AM$3/2)</f>
      </c>
    </row>
    <row x14ac:dyDescent="0.25" r="33" customHeight="1" ht="18.75">
      <c r="A33" s="1"/>
      <c r="B33" s="7"/>
      <c r="C33" s="170"/>
      <c r="D33" s="331">
        <v>26</v>
      </c>
      <c r="E33" s="544">
        <f>+DATE(YEAR(E32),MONTH(E32)-1,DAY(E32))</f>
        <v>25569.041666666668</v>
      </c>
      <c r="F33" s="333">
        <f>IF(DATE(YEAR($B$6),MONTH($B$6)+1,DAY(1))=E33,1,IF(MONTH(E33)=1,F34*(1+$F$5),F34))</f>
      </c>
      <c r="G33" s="333">
        <f>IF('Simulador - 1º Pilar'!$E$99="Sí",IF('Aportaciones PPE'!$B$13&lt;'Aportaciones PPE'!E33,0,F33*$B$8/12),F33*$B$8/12)</f>
      </c>
      <c r="H33" s="333">
        <f>$H$5*G33</f>
      </c>
      <c r="I33" s="333">
        <f>$I$5*G33</f>
      </c>
      <c r="J33" s="333">
        <f>+I33</f>
      </c>
      <c r="K33" s="333">
        <f>(1+$O$5)^(D33/12)*(H33+IF(AND(F33=1,F34=0),$S$4,0))</f>
      </c>
      <c r="L33" s="333">
        <f>(1+$O$5)^(D33/12)*(I33+IF(AND(F33=1,F34=0),0))</f>
      </c>
      <c r="M33" s="333">
        <f>+L33</f>
      </c>
      <c r="N33" s="333">
        <f>L33+K33+M33</f>
      </c>
      <c r="O33" s="170"/>
      <c r="P33" s="7"/>
      <c r="Q33" s="1"/>
      <c r="R33" s="331">
        <f>D33</f>
      </c>
      <c r="S33" s="169"/>
      <c r="T33" s="1"/>
      <c r="U33" s="217"/>
      <c r="V33" s="331">
        <f>+IF(V32=11,12,IF(V32=12,1,V32+1))</f>
      </c>
      <c r="W33" s="331">
        <f>+W32+IF(V32=12,1,0)</f>
      </c>
      <c r="X33" s="555">
        <f>+DATE(W33,V33,1)</f>
        <v>25569.041666666668</v>
      </c>
      <c r="Y33" s="333">
        <f>+_xlfn.IFNA(AN33+AS33+AX33,0)</f>
      </c>
      <c r="Z33" s="333">
        <f>+_xlfn.IFNA(AO33+AT33+AY33,0)</f>
      </c>
      <c r="AA33" s="333">
        <f>Y33*(1+$O$5)^(($B$7-X33)/365.25)</f>
      </c>
      <c r="AB33" s="333">
        <f>Z33*(1+$O$5)^(($B$7-X33)/365.25)</f>
      </c>
      <c r="AC33" s="1"/>
      <c r="AD33" s="1"/>
      <c r="AE33" s="1"/>
      <c r="AF33" s="111">
        <f>+MONTH(E33)&amp;YEAR(E33)</f>
      </c>
      <c r="AG33" s="217">
        <f>+I33</f>
      </c>
      <c r="AH33" s="217">
        <f>+J33</f>
      </c>
      <c r="AI33" s="217">
        <f>+H33</f>
      </c>
      <c r="AJ33" s="111">
        <f>+V33&amp;W33</f>
      </c>
      <c r="AK33" s="217">
        <f>+_xlfn.IFNA(VLOOKUP(AJ33,$AF$7:$AG$1066,2,0),0)</f>
      </c>
      <c r="AL33" s="217">
        <f>+IF(W33&gt;W32,AK33,AL32+AK33)</f>
      </c>
      <c r="AM33" s="217">
        <f>IF(W33&gt;W32,IF(AL33&gt;=$AZ$8,$AZ$8,AL33),IF(OR(AM32=$AZ$8,AM32=0),0,IF(AL33&gt;=$AZ$8,$AZ$8,AL33)))</f>
      </c>
      <c r="AN33" s="748">
        <f>+IF(OR(AM33&gt;AZ32,AM33=0),0,IF(AM33=AL33,AK33,$AZ$7-AL32))</f>
      </c>
      <c r="AO33" s="748">
        <f>+AK33-AN33</f>
      </c>
      <c r="AP33" s="217">
        <f>+_xlfn.IFNA(VLOOKUP(AJ33,$AF$7:$AI$1066,3,0),0)</f>
      </c>
      <c r="AQ33" s="217">
        <f>+IF(W33&gt;W32,AP33,AQ32+AP33)</f>
      </c>
      <c r="AR33" s="217">
        <f>+MAX($AM$2-SUMIF($W$7:$W$1066,W33,$AN$7:$AN$1066),0)</f>
      </c>
      <c r="AS33" s="748">
        <f>+MAX(IF(AQ33&gt;AR33,AR33-AQ32,AP33),0)</f>
      </c>
      <c r="AT33" s="748">
        <f>+AP33-AS33</f>
      </c>
      <c r="AU33" s="217">
        <f>+_xlfn.IFNA(VLOOKUP(AJ33,$AF$7:$AI$1066,4,0),0)</f>
      </c>
      <c r="AV33" s="217">
        <f>+IF(W33&gt;W32,AU33,AV32+AU33)</f>
      </c>
      <c r="AW33" s="217">
        <f>+MAX($AM$2-SUMIF($W$7:$W$1066,W33,$AN$7:$AN$1066)-SUMIF($W$7:$W$1066,W33,$AS$7:$AS$1066),0)</f>
      </c>
      <c r="AX33" s="748">
        <f>+MAX(IF(AV33&gt;AW33,AW33-AV32,AU33),0)</f>
      </c>
      <c r="AY33" s="748">
        <f>+AU33-AX33</f>
      </c>
      <c r="AZ33" s="331">
        <f>+$AM$1+IF($AP$1&gt;$AP$2,$AM$3/2)</f>
      </c>
    </row>
    <row x14ac:dyDescent="0.25" r="34" customHeight="1" ht="18.75">
      <c r="A34" s="1"/>
      <c r="B34" s="7"/>
      <c r="C34" s="170"/>
      <c r="D34" s="331">
        <v>27</v>
      </c>
      <c r="E34" s="544">
        <f>+DATE(YEAR(E33),MONTH(E33)-1,DAY(E33))</f>
        <v>25569.041666666668</v>
      </c>
      <c r="F34" s="333">
        <f>IF(DATE(YEAR($B$6),MONTH($B$6)+1,DAY(1))=E34,1,IF(MONTH(E34)=1,F35*(1+$F$5),F35))</f>
      </c>
      <c r="G34" s="333">
        <f>IF('Simulador - 1º Pilar'!$E$99="Sí",IF('Aportaciones PPE'!$B$13&lt;'Aportaciones PPE'!E34,0,F34*$B$8/12),F34*$B$8/12)</f>
      </c>
      <c r="H34" s="333">
        <f>$H$5*G34</f>
      </c>
      <c r="I34" s="333">
        <f>$I$5*G34</f>
      </c>
      <c r="J34" s="333">
        <f>+I34</f>
      </c>
      <c r="K34" s="333">
        <f>(1+$O$5)^(D34/12)*(H34+IF(AND(F34=1,F35=0),$S$4,0))</f>
      </c>
      <c r="L34" s="333">
        <f>(1+$O$5)^(D34/12)*(I34+IF(AND(F34=1,F35=0),0))</f>
      </c>
      <c r="M34" s="333">
        <f>+L34</f>
      </c>
      <c r="N34" s="333">
        <f>L34+K34+M34</f>
      </c>
      <c r="O34" s="170"/>
      <c r="P34" s="7"/>
      <c r="Q34" s="1"/>
      <c r="R34" s="331">
        <f>D34</f>
      </c>
      <c r="S34" s="169"/>
      <c r="T34" s="1"/>
      <c r="U34" s="217"/>
      <c r="V34" s="331">
        <f>+IF(V33=11,12,IF(V33=12,1,V33+1))</f>
      </c>
      <c r="W34" s="331">
        <f>+W33+IF(V33=12,1,0)</f>
      </c>
      <c r="X34" s="555">
        <f>+DATE(W34,V34,1)</f>
        <v>25569.041666666668</v>
      </c>
      <c r="Y34" s="333">
        <f>+_xlfn.IFNA(AN34+AS34+AX34,0)</f>
      </c>
      <c r="Z34" s="333">
        <f>+_xlfn.IFNA(AO34+AT34+AY34,0)</f>
      </c>
      <c r="AA34" s="333">
        <f>Y34*(1+$O$5)^(($B$7-X34)/365.25)</f>
      </c>
      <c r="AB34" s="333">
        <f>Z34*(1+$O$5)^(($B$7-X34)/365.25)</f>
      </c>
      <c r="AC34" s="1"/>
      <c r="AD34" s="1"/>
      <c r="AE34" s="1"/>
      <c r="AF34" s="111">
        <f>+MONTH(E34)&amp;YEAR(E34)</f>
      </c>
      <c r="AG34" s="217">
        <f>+I34</f>
      </c>
      <c r="AH34" s="217">
        <f>+J34</f>
      </c>
      <c r="AI34" s="217">
        <f>+H34</f>
      </c>
      <c r="AJ34" s="111">
        <f>+V34&amp;W34</f>
      </c>
      <c r="AK34" s="217">
        <f>+_xlfn.IFNA(VLOOKUP(AJ34,$AF$7:$AG$1066,2,0),0)</f>
      </c>
      <c r="AL34" s="217">
        <f>+IF(W34&gt;W33,AK34,AL33+AK34)</f>
      </c>
      <c r="AM34" s="217">
        <f>IF(W34&gt;W33,IF(AL34&gt;=$AZ$8,$AZ$8,AL34),IF(OR(AM33=$AZ$8,AM33=0),0,IF(AL34&gt;=$AZ$8,$AZ$8,AL34)))</f>
      </c>
      <c r="AN34" s="748">
        <f>+IF(OR(AM34&gt;AZ33,AM34=0),0,IF(AM34=AL34,AK34,$AZ$7-AL33))</f>
      </c>
      <c r="AO34" s="748">
        <f>+AK34-AN34</f>
      </c>
      <c r="AP34" s="217">
        <f>+_xlfn.IFNA(VLOOKUP(AJ34,$AF$7:$AI$1066,3,0),0)</f>
      </c>
      <c r="AQ34" s="217">
        <f>+IF(W34&gt;W33,AP34,AQ33+AP34)</f>
      </c>
      <c r="AR34" s="217">
        <f>+MAX($AM$2-SUMIF($W$7:$W$1066,W34,$AN$7:$AN$1066),0)</f>
      </c>
      <c r="AS34" s="748">
        <f>+MAX(IF(AQ34&gt;AR34,AR34-AQ33,AP34),0)</f>
      </c>
      <c r="AT34" s="748">
        <f>+AP34-AS34</f>
      </c>
      <c r="AU34" s="217">
        <f>+_xlfn.IFNA(VLOOKUP(AJ34,$AF$7:$AI$1066,4,0),0)</f>
      </c>
      <c r="AV34" s="217">
        <f>+IF(W34&gt;W33,AU34,AV33+AU34)</f>
      </c>
      <c r="AW34" s="217">
        <f>+MAX($AM$2-SUMIF($W$7:$W$1066,W34,$AN$7:$AN$1066)-SUMIF($W$7:$W$1066,W34,$AS$7:$AS$1066),0)</f>
      </c>
      <c r="AX34" s="748">
        <f>+MAX(IF(AV34&gt;AW34,AW34-AV33,AU34),0)</f>
      </c>
      <c r="AY34" s="748">
        <f>+AU34-AX34</f>
      </c>
      <c r="AZ34" s="331">
        <f>+$AM$1+IF($AP$1&gt;$AP$2,$AM$3/2)</f>
      </c>
    </row>
    <row x14ac:dyDescent="0.25" r="35" customHeight="1" ht="18.75">
      <c r="A35" s="1"/>
      <c r="B35" s="7"/>
      <c r="C35" s="170"/>
      <c r="D35" s="331">
        <v>28</v>
      </c>
      <c r="E35" s="544">
        <f>+DATE(YEAR(E34),MONTH(E34)-1,DAY(E34))</f>
        <v>25569.041666666668</v>
      </c>
      <c r="F35" s="333">
        <f>IF(DATE(YEAR($B$6),MONTH($B$6)+1,DAY(1))=E35,1,IF(MONTH(E35)=1,F36*(1+$F$5),F36))</f>
      </c>
      <c r="G35" s="333">
        <f>IF('Simulador - 1º Pilar'!$E$99="Sí",IF('Aportaciones PPE'!$B$13&lt;'Aportaciones PPE'!E35,0,F35*$B$8/12),F35*$B$8/12)</f>
      </c>
      <c r="H35" s="333">
        <f>$H$5*G35</f>
      </c>
      <c r="I35" s="333">
        <f>$I$5*G35</f>
      </c>
      <c r="J35" s="333">
        <f>+I35</f>
      </c>
      <c r="K35" s="333">
        <f>(1+$O$5)^(D35/12)*(H35+IF(AND(F35=1,F36=0),$S$4,0))</f>
      </c>
      <c r="L35" s="333">
        <f>(1+$O$5)^(D35/12)*(I35+IF(AND(F35=1,F36=0),0))</f>
      </c>
      <c r="M35" s="333">
        <f>+L35</f>
      </c>
      <c r="N35" s="333">
        <f>L35+K35+M35</f>
      </c>
      <c r="O35" s="170"/>
      <c r="P35" s="7"/>
      <c r="Q35" s="1"/>
      <c r="R35" s="331">
        <f>D35</f>
      </c>
      <c r="S35" s="169"/>
      <c r="T35" s="1"/>
      <c r="U35" s="217"/>
      <c r="V35" s="331">
        <f>+IF(V34=11,12,IF(V34=12,1,V34+1))</f>
      </c>
      <c r="W35" s="331">
        <f>+W34+IF(V34=12,1,0)</f>
      </c>
      <c r="X35" s="555">
        <f>+DATE(W35,V35,1)</f>
        <v>25569.041666666668</v>
      </c>
      <c r="Y35" s="333">
        <f>+_xlfn.IFNA(AN35+AS35+AX35,0)</f>
      </c>
      <c r="Z35" s="333">
        <f>+_xlfn.IFNA(AO35+AT35+AY35,0)</f>
      </c>
      <c r="AA35" s="333">
        <f>Y35*(1+$O$5)^(($B$7-X35)/365.25)</f>
      </c>
      <c r="AB35" s="333">
        <f>Z35*(1+$O$5)^(($B$7-X35)/365.25)</f>
      </c>
      <c r="AC35" s="1"/>
      <c r="AD35" s="1"/>
      <c r="AE35" s="1"/>
      <c r="AF35" s="111">
        <f>+MONTH(E35)&amp;YEAR(E35)</f>
      </c>
      <c r="AG35" s="217">
        <f>+I35</f>
      </c>
      <c r="AH35" s="217">
        <f>+J35</f>
      </c>
      <c r="AI35" s="217">
        <f>+H35</f>
      </c>
      <c r="AJ35" s="111">
        <f>+V35&amp;W35</f>
      </c>
      <c r="AK35" s="217">
        <f>+_xlfn.IFNA(VLOOKUP(AJ35,$AF$7:$AG$1066,2,0),0)</f>
      </c>
      <c r="AL35" s="217">
        <f>+IF(W35&gt;W34,AK35,AL34+AK35)</f>
      </c>
      <c r="AM35" s="217">
        <f>IF(W35&gt;W34,IF(AL35&gt;=$AZ$8,$AZ$8,AL35),IF(OR(AM34=$AZ$8,AM34=0),0,IF(AL35&gt;=$AZ$8,$AZ$8,AL35)))</f>
      </c>
      <c r="AN35" s="748">
        <f>+IF(OR(AM35&gt;AZ34,AM35=0),0,IF(AM35=AL35,AK35,$AZ$7-AL34))</f>
      </c>
      <c r="AO35" s="748">
        <f>+AK35-AN35</f>
      </c>
      <c r="AP35" s="217">
        <f>+_xlfn.IFNA(VLOOKUP(AJ35,$AF$7:$AI$1066,3,0),0)</f>
      </c>
      <c r="AQ35" s="217">
        <f>+IF(W35&gt;W34,AP35,AQ34+AP35)</f>
      </c>
      <c r="AR35" s="217">
        <f>+MAX($AM$2-SUMIF($W$7:$W$1066,W35,$AN$7:$AN$1066),0)</f>
      </c>
      <c r="AS35" s="748">
        <f>+MAX(IF(AQ35&gt;AR35,AR35-AQ34,AP35),0)</f>
      </c>
      <c r="AT35" s="748">
        <f>+AP35-AS35</f>
      </c>
      <c r="AU35" s="217">
        <f>+_xlfn.IFNA(VLOOKUP(AJ35,$AF$7:$AI$1066,4,0),0)</f>
      </c>
      <c r="AV35" s="217">
        <f>+IF(W35&gt;W34,AU35,AV34+AU35)</f>
      </c>
      <c r="AW35" s="217">
        <f>+MAX($AM$2-SUMIF($W$7:$W$1066,W35,$AN$7:$AN$1066)-SUMIF($W$7:$W$1066,W35,$AS$7:$AS$1066),0)</f>
      </c>
      <c r="AX35" s="748">
        <f>+MAX(IF(AV35&gt;AW35,AW35-AV34,AU35),0)</f>
      </c>
      <c r="AY35" s="748">
        <f>+AU35-AX35</f>
      </c>
      <c r="AZ35" s="331">
        <f>+$AM$1+IF($AP$1&gt;$AP$2,$AM$3/2)</f>
      </c>
    </row>
    <row x14ac:dyDescent="0.25" r="36" customHeight="1" ht="18.75">
      <c r="A36" s="1"/>
      <c r="B36" s="7"/>
      <c r="C36" s="170"/>
      <c r="D36" s="331">
        <v>29</v>
      </c>
      <c r="E36" s="544">
        <f>+DATE(YEAR(E35),MONTH(E35)-1,DAY(E35))</f>
        <v>25569.041666666668</v>
      </c>
      <c r="F36" s="333">
        <f>IF(DATE(YEAR($B$6),MONTH($B$6)+1,DAY(1))=E36,1,IF(MONTH(E36)=1,F37*(1+$F$5),F37))</f>
      </c>
      <c r="G36" s="333">
        <f>IF('Simulador - 1º Pilar'!$E$99="Sí",IF('Aportaciones PPE'!$B$13&lt;'Aportaciones PPE'!E36,0,F36*$B$8/12),F36*$B$8/12)</f>
      </c>
      <c r="H36" s="333">
        <f>$H$5*G36</f>
      </c>
      <c r="I36" s="333">
        <f>$I$5*G36</f>
      </c>
      <c r="J36" s="333">
        <f>+I36</f>
      </c>
      <c r="K36" s="333">
        <f>(1+$O$5)^(D36/12)*(H36+IF(AND(F36=1,F37=0),$S$4,0))</f>
      </c>
      <c r="L36" s="333">
        <f>(1+$O$5)^(D36/12)*(I36+IF(AND(F36=1,F37=0),0))</f>
      </c>
      <c r="M36" s="333">
        <f>+L36</f>
      </c>
      <c r="N36" s="333">
        <f>L36+K36+M36</f>
      </c>
      <c r="O36" s="170"/>
      <c r="P36" s="7"/>
      <c r="Q36" s="1"/>
      <c r="R36" s="331">
        <f>D36</f>
      </c>
      <c r="S36" s="169"/>
      <c r="T36" s="1"/>
      <c r="U36" s="217"/>
      <c r="V36" s="331">
        <f>+IF(V35=11,12,IF(V35=12,1,V35+1))</f>
      </c>
      <c r="W36" s="331">
        <f>+W35+IF(V35=12,1,0)</f>
      </c>
      <c r="X36" s="555">
        <f>+DATE(W36,V36,1)</f>
        <v>25569.041666666668</v>
      </c>
      <c r="Y36" s="333">
        <f>+_xlfn.IFNA(AN36+AS36+AX36,0)</f>
      </c>
      <c r="Z36" s="333">
        <f>+_xlfn.IFNA(AO36+AT36+AY36,0)</f>
      </c>
      <c r="AA36" s="333">
        <f>Y36*(1+$O$5)^(($B$7-X36)/365.25)</f>
      </c>
      <c r="AB36" s="333">
        <f>Z36*(1+$O$5)^(($B$7-X36)/365.25)</f>
      </c>
      <c r="AC36" s="1"/>
      <c r="AD36" s="1"/>
      <c r="AE36" s="1"/>
      <c r="AF36" s="111">
        <f>+MONTH(E36)&amp;YEAR(E36)</f>
      </c>
      <c r="AG36" s="217">
        <f>+I36</f>
      </c>
      <c r="AH36" s="217">
        <f>+J36</f>
      </c>
      <c r="AI36" s="217">
        <f>+H36</f>
      </c>
      <c r="AJ36" s="111">
        <f>+V36&amp;W36</f>
      </c>
      <c r="AK36" s="217">
        <f>+_xlfn.IFNA(VLOOKUP(AJ36,$AF$7:$AG$1066,2,0),0)</f>
      </c>
      <c r="AL36" s="217">
        <f>+IF(W36&gt;W35,AK36,AL35+AK36)</f>
      </c>
      <c r="AM36" s="217">
        <f>IF(W36&gt;W35,IF(AL36&gt;=$AZ$8,$AZ$8,AL36),IF(OR(AM35=$AZ$8,AM35=0),0,IF(AL36&gt;=$AZ$8,$AZ$8,AL36)))</f>
      </c>
      <c r="AN36" s="748">
        <f>+IF(OR(AM36&gt;AZ35,AM36=0),0,IF(AM36=AL36,AK36,$AZ$7-AL35))</f>
      </c>
      <c r="AO36" s="748">
        <f>+AK36-AN36</f>
      </c>
      <c r="AP36" s="217">
        <f>+_xlfn.IFNA(VLOOKUP(AJ36,$AF$7:$AI$1066,3,0),0)</f>
      </c>
      <c r="AQ36" s="217">
        <f>+IF(W36&gt;W35,AP36,AQ35+AP36)</f>
      </c>
      <c r="AR36" s="217">
        <f>+MAX($AM$2-SUMIF($W$7:$W$1066,W36,$AN$7:$AN$1066),0)</f>
      </c>
      <c r="AS36" s="748">
        <f>+MAX(IF(AQ36&gt;AR36,AR36-AQ35,AP36),0)</f>
      </c>
      <c r="AT36" s="748">
        <f>+AP36-AS36</f>
      </c>
      <c r="AU36" s="217">
        <f>+_xlfn.IFNA(VLOOKUP(AJ36,$AF$7:$AI$1066,4,0),0)</f>
      </c>
      <c r="AV36" s="217">
        <f>+IF(W36&gt;W35,AU36,AV35+AU36)</f>
      </c>
      <c r="AW36" s="217">
        <f>+MAX($AM$2-SUMIF($W$7:$W$1066,W36,$AN$7:$AN$1066)-SUMIF($W$7:$W$1066,W36,$AS$7:$AS$1066),0)</f>
      </c>
      <c r="AX36" s="748">
        <f>+MAX(IF(AV36&gt;AW36,AW36-AV35,AU36),0)</f>
      </c>
      <c r="AY36" s="748">
        <f>+AU36-AX36</f>
      </c>
      <c r="AZ36" s="331">
        <f>+$AM$1+IF($AP$1&gt;$AP$2,$AM$3/2)</f>
      </c>
    </row>
    <row x14ac:dyDescent="0.25" r="37" customHeight="1" ht="18.75">
      <c r="A37" s="1"/>
      <c r="B37" s="7"/>
      <c r="C37" s="170"/>
      <c r="D37" s="331">
        <v>30</v>
      </c>
      <c r="E37" s="544">
        <f>+DATE(YEAR(E36),MONTH(E36)-1,DAY(E36))</f>
        <v>25569.041666666668</v>
      </c>
      <c r="F37" s="333">
        <f>IF(DATE(YEAR($B$6),MONTH($B$6)+1,DAY(1))=E37,1,IF(MONTH(E37)=1,F38*(1+$F$5),F38))</f>
      </c>
      <c r="G37" s="333">
        <f>IF('Simulador - 1º Pilar'!$E$99="Sí",IF('Aportaciones PPE'!$B$13&lt;'Aportaciones PPE'!E37,0,F37*$B$8/12),F37*$B$8/12)</f>
      </c>
      <c r="H37" s="333">
        <f>$H$5*G37</f>
      </c>
      <c r="I37" s="333">
        <f>$I$5*G37</f>
      </c>
      <c r="J37" s="333">
        <f>+I37</f>
      </c>
      <c r="K37" s="333">
        <f>(1+$O$5)^(D37/12)*(H37+IF(AND(F37=1,F38=0),$S$4,0))</f>
      </c>
      <c r="L37" s="333">
        <f>(1+$O$5)^(D37/12)*(I37+IF(AND(F37=1,F38=0),0))</f>
      </c>
      <c r="M37" s="333">
        <f>+L37</f>
      </c>
      <c r="N37" s="333">
        <f>L37+K37+M37</f>
      </c>
      <c r="O37" s="170"/>
      <c r="P37" s="7"/>
      <c r="Q37" s="1"/>
      <c r="R37" s="331">
        <f>D37</f>
      </c>
      <c r="S37" s="169"/>
      <c r="T37" s="1"/>
      <c r="U37" s="217"/>
      <c r="V37" s="331">
        <f>+IF(V36=11,12,IF(V36=12,1,V36+1))</f>
      </c>
      <c r="W37" s="331">
        <f>+W36+IF(V36=12,1,0)</f>
      </c>
      <c r="X37" s="555">
        <f>+DATE(W37,V37,1)</f>
        <v>25569.041666666668</v>
      </c>
      <c r="Y37" s="333">
        <f>+_xlfn.IFNA(AN37+AS37+AX37,0)</f>
      </c>
      <c r="Z37" s="333">
        <f>+_xlfn.IFNA(AO37+AT37+AY37,0)</f>
      </c>
      <c r="AA37" s="333">
        <f>Y37*(1+$O$5)^(($B$7-X37)/365.25)</f>
      </c>
      <c r="AB37" s="333">
        <f>Z37*(1+$O$5)^(($B$7-X37)/365.25)</f>
      </c>
      <c r="AC37" s="1"/>
      <c r="AD37" s="1"/>
      <c r="AE37" s="1"/>
      <c r="AF37" s="111">
        <f>+MONTH(E37)&amp;YEAR(E37)</f>
      </c>
      <c r="AG37" s="217">
        <f>+I37</f>
      </c>
      <c r="AH37" s="217">
        <f>+J37</f>
      </c>
      <c r="AI37" s="217">
        <f>+H37</f>
      </c>
      <c r="AJ37" s="111">
        <f>+V37&amp;W37</f>
      </c>
      <c r="AK37" s="217">
        <f>+_xlfn.IFNA(VLOOKUP(AJ37,$AF$7:$AG$1066,2,0),0)</f>
      </c>
      <c r="AL37" s="217">
        <f>+IF(W37&gt;W36,AK37,AL36+AK37)</f>
      </c>
      <c r="AM37" s="217">
        <f>IF(W37&gt;W36,IF(AL37&gt;=$AZ$8,$AZ$8,AL37),IF(OR(AM36=$AZ$8,AM36=0),0,IF(AL37&gt;=$AZ$8,$AZ$8,AL37)))</f>
      </c>
      <c r="AN37" s="748">
        <f>+IF(OR(AM37&gt;AZ36,AM37=0),0,IF(AM37=AL37,AK37,$AZ$7-AL36))</f>
      </c>
      <c r="AO37" s="748">
        <f>+AK37-AN37</f>
      </c>
      <c r="AP37" s="217">
        <f>+_xlfn.IFNA(VLOOKUP(AJ37,$AF$7:$AI$1066,3,0),0)</f>
      </c>
      <c r="AQ37" s="217">
        <f>+IF(W37&gt;W36,AP37,AQ36+AP37)</f>
      </c>
      <c r="AR37" s="217">
        <f>+MAX($AM$2-SUMIF($W$7:$W$1066,W37,$AN$7:$AN$1066),0)</f>
      </c>
      <c r="AS37" s="748">
        <f>+MAX(IF(AQ37&gt;AR37,AR37-AQ36,AP37),0)</f>
      </c>
      <c r="AT37" s="748">
        <f>+AP37-AS37</f>
      </c>
      <c r="AU37" s="217">
        <f>+_xlfn.IFNA(VLOOKUP(AJ37,$AF$7:$AI$1066,4,0),0)</f>
      </c>
      <c r="AV37" s="217">
        <f>+IF(W37&gt;W36,AU37,AV36+AU37)</f>
      </c>
      <c r="AW37" s="217">
        <f>+MAX($AM$2-SUMIF($W$7:$W$1066,W37,$AN$7:$AN$1066)-SUMIF($W$7:$W$1066,W37,$AS$7:$AS$1066),0)</f>
      </c>
      <c r="AX37" s="748">
        <f>+MAX(IF(AV37&gt;AW37,AW37-AV36,AU37),0)</f>
      </c>
      <c r="AY37" s="748">
        <f>+AU37-AX37</f>
      </c>
      <c r="AZ37" s="331">
        <f>+$AM$1+IF($AP$1&gt;$AP$2,$AM$3/2)</f>
      </c>
    </row>
    <row x14ac:dyDescent="0.25" r="38" customHeight="1" ht="18.75">
      <c r="A38" s="1"/>
      <c r="B38" s="7"/>
      <c r="C38" s="170"/>
      <c r="D38" s="331">
        <v>31</v>
      </c>
      <c r="E38" s="544">
        <f>+DATE(YEAR(E37),MONTH(E37)-1,DAY(E37))</f>
        <v>25569.041666666668</v>
      </c>
      <c r="F38" s="333">
        <f>IF(DATE(YEAR($B$6),MONTH($B$6)+1,DAY(1))=E38,1,IF(MONTH(E38)=1,F39*(1+$F$5),F39))</f>
      </c>
      <c r="G38" s="333">
        <f>IF('Simulador - 1º Pilar'!$E$99="Sí",IF('Aportaciones PPE'!$B$13&lt;'Aportaciones PPE'!E38,0,F38*$B$8/12),F38*$B$8/12)</f>
      </c>
      <c r="H38" s="333">
        <f>$H$5*G38</f>
      </c>
      <c r="I38" s="333">
        <f>$I$5*G38</f>
      </c>
      <c r="J38" s="333">
        <f>+I38</f>
      </c>
      <c r="K38" s="333">
        <f>(1+$O$5)^(D38/12)*(H38+IF(AND(F38=1,F39=0),$S$4,0))</f>
      </c>
      <c r="L38" s="333">
        <f>(1+$O$5)^(D38/12)*(I38+IF(AND(F38=1,F39=0),0))</f>
      </c>
      <c r="M38" s="333">
        <f>+L38</f>
      </c>
      <c r="N38" s="333">
        <f>L38+K38+M38</f>
      </c>
      <c r="O38" s="170"/>
      <c r="P38" s="7"/>
      <c r="Q38" s="1"/>
      <c r="R38" s="331">
        <f>D38</f>
      </c>
      <c r="S38" s="169"/>
      <c r="T38" s="1"/>
      <c r="U38" s="217"/>
      <c r="V38" s="331">
        <f>+IF(V37=11,12,IF(V37=12,1,V37+1))</f>
      </c>
      <c r="W38" s="331">
        <f>+W37+IF(V37=12,1,0)</f>
      </c>
      <c r="X38" s="555">
        <f>+DATE(W38,V38,1)</f>
        <v>25569.041666666668</v>
      </c>
      <c r="Y38" s="333">
        <f>+_xlfn.IFNA(AN38+AS38+AX38,0)</f>
      </c>
      <c r="Z38" s="333">
        <f>+_xlfn.IFNA(AO38+AT38+AY38,0)</f>
      </c>
      <c r="AA38" s="333">
        <f>Y38*(1+$O$5)^(($B$7-X38)/365.25)</f>
      </c>
      <c r="AB38" s="333">
        <f>Z38*(1+$O$5)^(($B$7-X38)/365.25)</f>
      </c>
      <c r="AC38" s="1"/>
      <c r="AD38" s="1"/>
      <c r="AE38" s="1"/>
      <c r="AF38" s="111">
        <f>+MONTH(E38)&amp;YEAR(E38)</f>
      </c>
      <c r="AG38" s="217">
        <f>+I38</f>
      </c>
      <c r="AH38" s="217">
        <f>+J38</f>
      </c>
      <c r="AI38" s="217">
        <f>+H38</f>
      </c>
      <c r="AJ38" s="111">
        <f>+V38&amp;W38</f>
      </c>
      <c r="AK38" s="217">
        <f>+_xlfn.IFNA(VLOOKUP(AJ38,$AF$7:$AG$1066,2,0),0)</f>
      </c>
      <c r="AL38" s="217">
        <f>+IF(W38&gt;W37,AK38,AL37+AK38)</f>
      </c>
      <c r="AM38" s="217">
        <f>IF(W38&gt;W37,IF(AL38&gt;=$AZ$8,$AZ$8,AL38),IF(OR(AM37=$AZ$8,AM37=0),0,IF(AL38&gt;=$AZ$8,$AZ$8,AL38)))</f>
      </c>
      <c r="AN38" s="748">
        <f>+IF(OR(AM38&gt;AZ37,AM38=0),0,IF(AM38=AL38,AK38,$AZ$7-AL37))</f>
      </c>
      <c r="AO38" s="748">
        <f>+AK38-AN38</f>
      </c>
      <c r="AP38" s="217">
        <f>+_xlfn.IFNA(VLOOKUP(AJ38,$AF$7:$AI$1066,3,0),0)</f>
      </c>
      <c r="AQ38" s="217">
        <f>+IF(W38&gt;W37,AP38,AQ37+AP38)</f>
      </c>
      <c r="AR38" s="217">
        <f>+MAX($AM$2-SUMIF($W$7:$W$1066,W38,$AN$7:$AN$1066),0)</f>
      </c>
      <c r="AS38" s="748">
        <f>+MAX(IF(AQ38&gt;AR38,AR38-AQ37,AP38),0)</f>
      </c>
      <c r="AT38" s="748">
        <f>+AP38-AS38</f>
      </c>
      <c r="AU38" s="217">
        <f>+_xlfn.IFNA(VLOOKUP(AJ38,$AF$7:$AI$1066,4,0),0)</f>
      </c>
      <c r="AV38" s="217">
        <f>+IF(W38&gt;W37,AU38,AV37+AU38)</f>
      </c>
      <c r="AW38" s="217">
        <f>+MAX($AM$2-SUMIF($W$7:$W$1066,W38,$AN$7:$AN$1066)-SUMIF($W$7:$W$1066,W38,$AS$7:$AS$1066),0)</f>
      </c>
      <c r="AX38" s="748">
        <f>+MAX(IF(AV38&gt;AW38,AW38-AV37,AU38),0)</f>
      </c>
      <c r="AY38" s="748">
        <f>+AU38-AX38</f>
      </c>
      <c r="AZ38" s="331">
        <f>+$AM$1+IF($AP$1&gt;$AP$2,$AM$3/2)</f>
      </c>
    </row>
    <row x14ac:dyDescent="0.25" r="39" customHeight="1" ht="18.75">
      <c r="A39" s="1"/>
      <c r="B39" s="7"/>
      <c r="C39" s="170"/>
      <c r="D39" s="331">
        <v>32</v>
      </c>
      <c r="E39" s="544">
        <f>+DATE(YEAR(E38),MONTH(E38)-1,DAY(E38))</f>
        <v>25569.041666666668</v>
      </c>
      <c r="F39" s="333">
        <f>IF(DATE(YEAR($B$6),MONTH($B$6)+1,DAY(1))=E39,1,IF(MONTH(E39)=1,F40*(1+$F$5),F40))</f>
      </c>
      <c r="G39" s="333">
        <f>IF('Simulador - 1º Pilar'!$E$99="Sí",IF('Aportaciones PPE'!$B$13&lt;'Aportaciones PPE'!E39,0,F39*$B$8/12),F39*$B$8/12)</f>
      </c>
      <c r="H39" s="333">
        <f>$H$5*G39</f>
      </c>
      <c r="I39" s="333">
        <f>$I$5*G39</f>
      </c>
      <c r="J39" s="333">
        <f>+I39</f>
      </c>
      <c r="K39" s="333">
        <f>(1+$O$5)^(D39/12)*(H39+IF(AND(F39=1,F40=0),$S$4,0))</f>
      </c>
      <c r="L39" s="333">
        <f>(1+$O$5)^(D39/12)*(I39+IF(AND(F39=1,F40=0),0))</f>
      </c>
      <c r="M39" s="333">
        <f>+L39</f>
      </c>
      <c r="N39" s="333">
        <f>L39+K39+M39</f>
      </c>
      <c r="O39" s="170"/>
      <c r="P39" s="7"/>
      <c r="Q39" s="1"/>
      <c r="R39" s="331">
        <f>D39</f>
      </c>
      <c r="S39" s="169"/>
      <c r="T39" s="1"/>
      <c r="U39" s="217"/>
      <c r="V39" s="331">
        <f>+IF(V38=11,12,IF(V38=12,1,V38+1))</f>
      </c>
      <c r="W39" s="331">
        <f>+W38+IF(V38=12,1,0)</f>
      </c>
      <c r="X39" s="555">
        <f>+DATE(W39,V39,1)</f>
        <v>25569.041666666668</v>
      </c>
      <c r="Y39" s="333">
        <f>+_xlfn.IFNA(AN39+AS39+AX39,0)</f>
      </c>
      <c r="Z39" s="333">
        <f>+_xlfn.IFNA(AO39+AT39+AY39,0)</f>
      </c>
      <c r="AA39" s="333">
        <f>Y39*(1+$O$5)^(($B$7-X39)/365.25)</f>
      </c>
      <c r="AB39" s="333">
        <f>Z39*(1+$O$5)^(($B$7-X39)/365.25)</f>
      </c>
      <c r="AC39" s="1"/>
      <c r="AD39" s="1"/>
      <c r="AE39" s="1"/>
      <c r="AF39" s="111">
        <f>+MONTH(E39)&amp;YEAR(E39)</f>
      </c>
      <c r="AG39" s="217">
        <f>+I39</f>
      </c>
      <c r="AH39" s="217">
        <f>+J39</f>
      </c>
      <c r="AI39" s="217">
        <f>+H39</f>
      </c>
      <c r="AJ39" s="111">
        <f>+V39&amp;W39</f>
      </c>
      <c r="AK39" s="217">
        <f>+_xlfn.IFNA(VLOOKUP(AJ39,$AF$7:$AG$1066,2,0),0)</f>
      </c>
      <c r="AL39" s="217">
        <f>+IF(W39&gt;W38,AK39,AL38+AK39)</f>
      </c>
      <c r="AM39" s="217">
        <f>IF(W39&gt;W38,IF(AL39&gt;=$AZ$8,$AZ$8,AL39),IF(OR(AM38=$AZ$8,AM38=0),0,IF(AL39&gt;=$AZ$8,$AZ$8,AL39)))</f>
      </c>
      <c r="AN39" s="748">
        <f>+IF(OR(AM39&gt;AZ38,AM39=0),0,IF(AM39=AL39,AK39,$AZ$7-AL38))</f>
      </c>
      <c r="AO39" s="748">
        <f>+AK39-AN39</f>
      </c>
      <c r="AP39" s="217">
        <f>+_xlfn.IFNA(VLOOKUP(AJ39,$AF$7:$AI$1066,3,0),0)</f>
      </c>
      <c r="AQ39" s="217">
        <f>+IF(W39&gt;W38,AP39,AQ38+AP39)</f>
      </c>
      <c r="AR39" s="217">
        <f>+MAX($AM$2-SUMIF($W$7:$W$1066,W39,$AN$7:$AN$1066),0)</f>
      </c>
      <c r="AS39" s="748">
        <f>+MAX(IF(AQ39&gt;AR39,AR39-AQ38,AP39),0)</f>
      </c>
      <c r="AT39" s="748">
        <f>+AP39-AS39</f>
      </c>
      <c r="AU39" s="217">
        <f>+_xlfn.IFNA(VLOOKUP(AJ39,$AF$7:$AI$1066,4,0),0)</f>
      </c>
      <c r="AV39" s="217">
        <f>+IF(W39&gt;W38,AU39,AV38+AU39)</f>
      </c>
      <c r="AW39" s="217">
        <f>+MAX($AM$2-SUMIF($W$7:$W$1066,W39,$AN$7:$AN$1066)-SUMIF($W$7:$W$1066,W39,$AS$7:$AS$1066),0)</f>
      </c>
      <c r="AX39" s="748">
        <f>+MAX(IF(AV39&gt;AW39,AW39-AV38,AU39),0)</f>
      </c>
      <c r="AY39" s="748">
        <f>+AU39-AX39</f>
      </c>
      <c r="AZ39" s="331">
        <f>+$AM$1+IF($AP$1&gt;$AP$2,$AM$3/2)</f>
      </c>
    </row>
    <row x14ac:dyDescent="0.25" r="40" customHeight="1" ht="18.75">
      <c r="A40" s="1"/>
      <c r="B40" s="7"/>
      <c r="C40" s="170"/>
      <c r="D40" s="331">
        <v>33</v>
      </c>
      <c r="E40" s="544">
        <f>+DATE(YEAR(E39),MONTH(E39)-1,DAY(E39))</f>
        <v>25569.041666666668</v>
      </c>
      <c r="F40" s="333">
        <f>IF(DATE(YEAR($B$6),MONTH($B$6)+1,DAY(1))=E40,1,IF(MONTH(E40)=1,F41*(1+$F$5),F41))</f>
      </c>
      <c r="G40" s="333">
        <f>IF('Simulador - 1º Pilar'!$E$99="Sí",IF('Aportaciones PPE'!$B$13&lt;'Aportaciones PPE'!E40,0,F40*$B$8/12),F40*$B$8/12)</f>
      </c>
      <c r="H40" s="333">
        <f>$H$5*G40</f>
      </c>
      <c r="I40" s="333">
        <f>$I$5*G40</f>
      </c>
      <c r="J40" s="333">
        <f>+I40</f>
      </c>
      <c r="K40" s="333">
        <f>(1+$O$5)^(D40/12)*(H40+IF(AND(F40=1,F41=0),$S$4,0))</f>
      </c>
      <c r="L40" s="333">
        <f>(1+$O$5)^(D40/12)*(I40+IF(AND(F40=1,F41=0),0))</f>
      </c>
      <c r="M40" s="333">
        <f>+L40</f>
      </c>
      <c r="N40" s="333">
        <f>L40+K40+M40</f>
      </c>
      <c r="O40" s="170"/>
      <c r="P40" s="7"/>
      <c r="Q40" s="1"/>
      <c r="R40" s="331">
        <f>D40</f>
      </c>
      <c r="S40" s="169"/>
      <c r="T40" s="1"/>
      <c r="U40" s="217"/>
      <c r="V40" s="331">
        <f>+IF(V39=11,12,IF(V39=12,1,V39+1))</f>
      </c>
      <c r="W40" s="331">
        <f>+W39+IF(V39=12,1,0)</f>
      </c>
      <c r="X40" s="555">
        <f>+DATE(W40,V40,1)</f>
        <v>25569.041666666668</v>
      </c>
      <c r="Y40" s="333">
        <f>+_xlfn.IFNA(AN40+AS40+AX40,0)</f>
      </c>
      <c r="Z40" s="333">
        <f>+_xlfn.IFNA(AO40+AT40+AY40,0)</f>
      </c>
      <c r="AA40" s="333">
        <f>Y40*(1+$O$5)^(($B$7-X40)/365.25)</f>
      </c>
      <c r="AB40" s="333">
        <f>Z40*(1+$O$5)^(($B$7-X40)/365.25)</f>
      </c>
      <c r="AC40" s="1"/>
      <c r="AD40" s="1"/>
      <c r="AE40" s="1"/>
      <c r="AF40" s="111">
        <f>+MONTH(E40)&amp;YEAR(E40)</f>
      </c>
      <c r="AG40" s="217">
        <f>+I40</f>
      </c>
      <c r="AH40" s="217">
        <f>+J40</f>
      </c>
      <c r="AI40" s="217">
        <f>+H40</f>
      </c>
      <c r="AJ40" s="111">
        <f>+V40&amp;W40</f>
      </c>
      <c r="AK40" s="217">
        <f>+_xlfn.IFNA(VLOOKUP(AJ40,$AF$7:$AG$1066,2,0),0)</f>
      </c>
      <c r="AL40" s="217">
        <f>+IF(W40&gt;W39,AK40,AL39+AK40)</f>
      </c>
      <c r="AM40" s="217">
        <f>IF(W40&gt;W39,IF(AL40&gt;=$AZ$8,$AZ$8,AL40),IF(OR(AM39=$AZ$8,AM39=0),0,IF(AL40&gt;=$AZ$8,$AZ$8,AL40)))</f>
      </c>
      <c r="AN40" s="748">
        <f>+IF(OR(AM40&gt;AZ39,AM40=0),0,IF(AM40=AL40,AK40,$AZ$7-AL39))</f>
      </c>
      <c r="AO40" s="748">
        <f>+AK40-AN40</f>
      </c>
      <c r="AP40" s="217">
        <f>+_xlfn.IFNA(VLOOKUP(AJ40,$AF$7:$AI$1066,3,0),0)</f>
      </c>
      <c r="AQ40" s="217">
        <f>+IF(W40&gt;W39,AP40,AQ39+AP40)</f>
      </c>
      <c r="AR40" s="217">
        <f>+MAX($AM$2-SUMIF($W$7:$W$1066,W40,$AN$7:$AN$1066),0)</f>
      </c>
      <c r="AS40" s="748">
        <f>+MAX(IF(AQ40&gt;AR40,AR40-AQ39,AP40),0)</f>
      </c>
      <c r="AT40" s="748">
        <f>+AP40-AS40</f>
      </c>
      <c r="AU40" s="217">
        <f>+_xlfn.IFNA(VLOOKUP(AJ40,$AF$7:$AI$1066,4,0),0)</f>
      </c>
      <c r="AV40" s="217">
        <f>+IF(W40&gt;W39,AU40,AV39+AU40)</f>
      </c>
      <c r="AW40" s="217">
        <f>+MAX($AM$2-SUMIF($W$7:$W$1066,W40,$AN$7:$AN$1066)-SUMIF($W$7:$W$1066,W40,$AS$7:$AS$1066),0)</f>
      </c>
      <c r="AX40" s="748">
        <f>+MAX(IF(AV40&gt;AW40,AW40-AV39,AU40),0)</f>
      </c>
      <c r="AY40" s="748">
        <f>+AU40-AX40</f>
      </c>
      <c r="AZ40" s="331">
        <f>+$AM$1+IF($AP$1&gt;$AP$2,$AM$3/2)</f>
      </c>
    </row>
    <row x14ac:dyDescent="0.25" r="41" customHeight="1" ht="18.75">
      <c r="A41" s="1"/>
      <c r="B41" s="7"/>
      <c r="C41" s="170"/>
      <c r="D41" s="331">
        <v>34</v>
      </c>
      <c r="E41" s="544">
        <f>+DATE(YEAR(E40),MONTH(E40)-1,DAY(E40))</f>
        <v>25569.041666666668</v>
      </c>
      <c r="F41" s="333">
        <f>IF(DATE(YEAR($B$6),MONTH($B$6)+1,DAY(1))=E41,1,IF(MONTH(E41)=1,F42*(1+$F$5),F42))</f>
      </c>
      <c r="G41" s="333">
        <f>IF('Simulador - 1º Pilar'!$E$99="Sí",IF('Aportaciones PPE'!$B$13&lt;'Aportaciones PPE'!E41,0,F41*$B$8/12),F41*$B$8/12)</f>
      </c>
      <c r="H41" s="333">
        <f>$H$5*G41</f>
      </c>
      <c r="I41" s="333">
        <f>$I$5*G41</f>
      </c>
      <c r="J41" s="333">
        <f>+I41</f>
      </c>
      <c r="K41" s="333">
        <f>(1+$O$5)^(D41/12)*(H41+IF(AND(F41=1,F42=0),$S$4,0))</f>
      </c>
      <c r="L41" s="333">
        <f>(1+$O$5)^(D41/12)*(I41+IF(AND(F41=1,F42=0),0))</f>
      </c>
      <c r="M41" s="333">
        <f>+L41</f>
      </c>
      <c r="N41" s="333">
        <f>L41+K41+M41</f>
      </c>
      <c r="O41" s="170"/>
      <c r="P41" s="7"/>
      <c r="Q41" s="1"/>
      <c r="R41" s="331">
        <f>D41</f>
      </c>
      <c r="S41" s="169"/>
      <c r="T41" s="1"/>
      <c r="U41" s="217"/>
      <c r="V41" s="331">
        <f>+IF(V40=11,12,IF(V40=12,1,V40+1))</f>
      </c>
      <c r="W41" s="331">
        <f>+W40+IF(V40=12,1,0)</f>
      </c>
      <c r="X41" s="555">
        <f>+DATE(W41,V41,1)</f>
        <v>25569.041666666668</v>
      </c>
      <c r="Y41" s="333">
        <f>+_xlfn.IFNA(AN41+AS41+AX41,0)</f>
      </c>
      <c r="Z41" s="333">
        <f>+_xlfn.IFNA(AO41+AT41+AY41,0)</f>
      </c>
      <c r="AA41" s="333">
        <f>Y41*(1+$O$5)^(($B$7-X41)/365.25)</f>
      </c>
      <c r="AB41" s="333">
        <f>Z41*(1+$O$5)^(($B$7-X41)/365.25)</f>
      </c>
      <c r="AC41" s="1"/>
      <c r="AD41" s="1"/>
      <c r="AE41" s="1"/>
      <c r="AF41" s="111">
        <f>+MONTH(E41)&amp;YEAR(E41)</f>
      </c>
      <c r="AG41" s="217">
        <f>+I41</f>
      </c>
      <c r="AH41" s="217">
        <f>+J41</f>
      </c>
      <c r="AI41" s="217">
        <f>+H41</f>
      </c>
      <c r="AJ41" s="111">
        <f>+V41&amp;W41</f>
      </c>
      <c r="AK41" s="217">
        <f>+_xlfn.IFNA(VLOOKUP(AJ41,$AF$7:$AG$1066,2,0),0)</f>
      </c>
      <c r="AL41" s="217">
        <f>+IF(W41&gt;W40,AK41,AL40+AK41)</f>
      </c>
      <c r="AM41" s="217">
        <f>IF(W41&gt;W40,IF(AL41&gt;=$AZ$8,$AZ$8,AL41),IF(OR(AM40=$AZ$8,AM40=0),0,IF(AL41&gt;=$AZ$8,$AZ$8,AL41)))</f>
      </c>
      <c r="AN41" s="748">
        <f>+IF(OR(AM41&gt;AZ40,AM41=0),0,IF(AM41=AL41,AK41,$AZ$7-AL40))</f>
      </c>
      <c r="AO41" s="748">
        <f>+AK41-AN41</f>
      </c>
      <c r="AP41" s="217">
        <f>+_xlfn.IFNA(VLOOKUP(AJ41,$AF$7:$AI$1066,3,0),0)</f>
      </c>
      <c r="AQ41" s="217">
        <f>+IF(W41&gt;W40,AP41,AQ40+AP41)</f>
      </c>
      <c r="AR41" s="217">
        <f>+MAX($AM$2-SUMIF($W$7:$W$1066,W41,$AN$7:$AN$1066),0)</f>
      </c>
      <c r="AS41" s="748">
        <f>+MAX(IF(AQ41&gt;AR41,AR41-AQ40,AP41),0)</f>
      </c>
      <c r="AT41" s="748">
        <f>+AP41-AS41</f>
      </c>
      <c r="AU41" s="217">
        <f>+_xlfn.IFNA(VLOOKUP(AJ41,$AF$7:$AI$1066,4,0),0)</f>
      </c>
      <c r="AV41" s="217">
        <f>+IF(W41&gt;W40,AU41,AV40+AU41)</f>
      </c>
      <c r="AW41" s="217">
        <f>+MAX($AM$2-SUMIF($W$7:$W$1066,W41,$AN$7:$AN$1066)-SUMIF($W$7:$W$1066,W41,$AS$7:$AS$1066),0)</f>
      </c>
      <c r="AX41" s="748">
        <f>+MAX(IF(AV41&gt;AW41,AW41-AV40,AU41),0)</f>
      </c>
      <c r="AY41" s="748">
        <f>+AU41-AX41</f>
      </c>
      <c r="AZ41" s="331">
        <f>+$AM$1+IF($AP$1&gt;$AP$2,$AM$3/2)</f>
      </c>
    </row>
    <row x14ac:dyDescent="0.25" r="42" customHeight="1" ht="18.75">
      <c r="A42" s="1"/>
      <c r="B42" s="7"/>
      <c r="C42" s="170"/>
      <c r="D42" s="331">
        <v>35</v>
      </c>
      <c r="E42" s="544">
        <f>+DATE(YEAR(E41),MONTH(E41)-1,DAY(E41))</f>
        <v>25569.041666666668</v>
      </c>
      <c r="F42" s="333">
        <f>IF(DATE(YEAR($B$6),MONTH($B$6)+1,DAY(1))=E42,1,IF(MONTH(E42)=1,F43*(1+$F$5),F43))</f>
      </c>
      <c r="G42" s="333">
        <f>IF('Simulador - 1º Pilar'!$E$99="Sí",IF('Aportaciones PPE'!$B$13&lt;'Aportaciones PPE'!E42,0,F42*$B$8/12),F42*$B$8/12)</f>
      </c>
      <c r="H42" s="333">
        <f>$H$5*G42</f>
      </c>
      <c r="I42" s="333">
        <f>$I$5*G42</f>
      </c>
      <c r="J42" s="333">
        <f>+I42</f>
      </c>
      <c r="K42" s="333">
        <f>(1+$O$5)^(D42/12)*(H42+IF(AND(F42=1,F43=0),$S$4,0))</f>
      </c>
      <c r="L42" s="333">
        <f>(1+$O$5)^(D42/12)*(I42+IF(AND(F42=1,F43=0),0))</f>
      </c>
      <c r="M42" s="333">
        <f>+L42</f>
      </c>
      <c r="N42" s="333">
        <f>L42+K42+M42</f>
      </c>
      <c r="O42" s="170"/>
      <c r="P42" s="7"/>
      <c r="Q42" s="1"/>
      <c r="R42" s="331">
        <f>D42</f>
      </c>
      <c r="S42" s="169"/>
      <c r="T42" s="1"/>
      <c r="U42" s="217"/>
      <c r="V42" s="331">
        <f>+IF(V41=11,12,IF(V41=12,1,V41+1))</f>
      </c>
      <c r="W42" s="331">
        <f>+W41+IF(V41=12,1,0)</f>
      </c>
      <c r="X42" s="555">
        <f>+DATE(W42,V42,1)</f>
        <v>25569.041666666668</v>
      </c>
      <c r="Y42" s="333">
        <f>+_xlfn.IFNA(AN42+AS42+AX42,0)</f>
      </c>
      <c r="Z42" s="333">
        <f>+_xlfn.IFNA(AO42+AT42+AY42,0)</f>
      </c>
      <c r="AA42" s="333">
        <f>Y42*(1+$O$5)^(($B$7-X42)/365.25)</f>
      </c>
      <c r="AB42" s="333">
        <f>Z42*(1+$O$5)^(($B$7-X42)/365.25)</f>
      </c>
      <c r="AC42" s="1"/>
      <c r="AD42" s="1"/>
      <c r="AE42" s="1"/>
      <c r="AF42" s="111">
        <f>+MONTH(E42)&amp;YEAR(E42)</f>
      </c>
      <c r="AG42" s="217">
        <f>+I42</f>
      </c>
      <c r="AH42" s="217">
        <f>+J42</f>
      </c>
      <c r="AI42" s="217">
        <f>+H42</f>
      </c>
      <c r="AJ42" s="111">
        <f>+V42&amp;W42</f>
      </c>
      <c r="AK42" s="217">
        <f>+_xlfn.IFNA(VLOOKUP(AJ42,$AF$7:$AG$1066,2,0),0)</f>
      </c>
      <c r="AL42" s="217">
        <f>+IF(W42&gt;W41,AK42,AL41+AK42)</f>
      </c>
      <c r="AM42" s="217">
        <f>IF(W42&gt;W41,IF(AL42&gt;=$AZ$8,$AZ$8,AL42),IF(OR(AM41=$AZ$8,AM41=0),0,IF(AL42&gt;=$AZ$8,$AZ$8,AL42)))</f>
      </c>
      <c r="AN42" s="748">
        <f>+IF(OR(AM42&gt;AZ41,AM42=0),0,IF(AM42=AL42,AK42,$AZ$7-AL41))</f>
      </c>
      <c r="AO42" s="748">
        <f>+AK42-AN42</f>
      </c>
      <c r="AP42" s="217">
        <f>+_xlfn.IFNA(VLOOKUP(AJ42,$AF$7:$AI$1066,3,0),0)</f>
      </c>
      <c r="AQ42" s="217">
        <f>+IF(W42&gt;W41,AP42,AQ41+AP42)</f>
      </c>
      <c r="AR42" s="217">
        <f>+MAX($AM$2-SUMIF($W$7:$W$1066,W42,$AN$7:$AN$1066),0)</f>
      </c>
      <c r="AS42" s="748">
        <f>+MAX(IF(AQ42&gt;AR42,AR42-AQ41,AP42),0)</f>
      </c>
      <c r="AT42" s="748">
        <f>+AP42-AS42</f>
      </c>
      <c r="AU42" s="217">
        <f>+_xlfn.IFNA(VLOOKUP(AJ42,$AF$7:$AI$1066,4,0),0)</f>
      </c>
      <c r="AV42" s="217">
        <f>+IF(W42&gt;W41,AU42,AV41+AU42)</f>
      </c>
      <c r="AW42" s="217">
        <f>+MAX($AM$2-SUMIF($W$7:$W$1066,W42,$AN$7:$AN$1066)-SUMIF($W$7:$W$1066,W42,$AS$7:$AS$1066),0)</f>
      </c>
      <c r="AX42" s="748">
        <f>+MAX(IF(AV42&gt;AW42,AW42-AV41,AU42),0)</f>
      </c>
      <c r="AY42" s="748">
        <f>+AU42-AX42</f>
      </c>
      <c r="AZ42" s="331">
        <f>+$AM$1+IF($AP$1&gt;$AP$2,$AM$3/2)</f>
      </c>
    </row>
    <row x14ac:dyDescent="0.25" r="43" customHeight="1" ht="18.75">
      <c r="A43" s="1"/>
      <c r="B43" s="7"/>
      <c r="C43" s="170"/>
      <c r="D43" s="331">
        <v>36</v>
      </c>
      <c r="E43" s="544">
        <f>+DATE(YEAR(E42),MONTH(E42)-1,DAY(E42))</f>
        <v>25569.041666666668</v>
      </c>
      <c r="F43" s="333">
        <f>IF(DATE(YEAR($B$6),MONTH($B$6)+1,DAY(1))=E43,1,IF(MONTH(E43)=1,F44*(1+$F$5),F44))</f>
      </c>
      <c r="G43" s="333">
        <f>IF('Simulador - 1º Pilar'!$E$99="Sí",IF('Aportaciones PPE'!$B$13&lt;'Aportaciones PPE'!E43,0,F43*$B$8/12),F43*$B$8/12)</f>
      </c>
      <c r="H43" s="333">
        <f>$H$5*G43</f>
      </c>
      <c r="I43" s="333">
        <f>$I$5*G43</f>
      </c>
      <c r="J43" s="333">
        <f>+I43</f>
      </c>
      <c r="K43" s="333">
        <f>(1+$O$5)^(D43/12)*(H43+IF(AND(F43=1,F44=0),$S$4,0))</f>
      </c>
      <c r="L43" s="333">
        <f>(1+$O$5)^(D43/12)*(I43+IF(AND(F43=1,F44=0),0))</f>
      </c>
      <c r="M43" s="333">
        <f>+L43</f>
      </c>
      <c r="N43" s="333">
        <f>L43+K43+M43</f>
      </c>
      <c r="O43" s="170"/>
      <c r="P43" s="7"/>
      <c r="Q43" s="1"/>
      <c r="R43" s="331">
        <f>D43</f>
      </c>
      <c r="S43" s="169"/>
      <c r="T43" s="1"/>
      <c r="U43" s="217"/>
      <c r="V43" s="331">
        <f>+IF(V42=11,12,IF(V42=12,1,V42+1))</f>
      </c>
      <c r="W43" s="331">
        <f>+W42+IF(V42=12,1,0)</f>
      </c>
      <c r="X43" s="555">
        <f>+DATE(W43,V43,1)</f>
        <v>25569.041666666668</v>
      </c>
      <c r="Y43" s="333">
        <f>+_xlfn.IFNA(AN43+AS43+AX43,0)</f>
      </c>
      <c r="Z43" s="333">
        <f>+_xlfn.IFNA(AO43+AT43+AY43,0)</f>
      </c>
      <c r="AA43" s="333">
        <f>Y43*(1+$O$5)^(($B$7-X43)/365.25)</f>
      </c>
      <c r="AB43" s="333">
        <f>Z43*(1+$O$5)^(($B$7-X43)/365.25)</f>
      </c>
      <c r="AC43" s="1"/>
      <c r="AD43" s="1"/>
      <c r="AE43" s="1"/>
      <c r="AF43" s="111">
        <f>+MONTH(E43)&amp;YEAR(E43)</f>
      </c>
      <c r="AG43" s="217">
        <f>+I43</f>
      </c>
      <c r="AH43" s="217">
        <f>+J43</f>
      </c>
      <c r="AI43" s="217">
        <f>+H43</f>
      </c>
      <c r="AJ43" s="111">
        <f>+V43&amp;W43</f>
      </c>
      <c r="AK43" s="217">
        <f>+_xlfn.IFNA(VLOOKUP(AJ43,$AF$7:$AG$1066,2,0),0)</f>
      </c>
      <c r="AL43" s="217">
        <f>+IF(W43&gt;W42,AK43,AL42+AK43)</f>
      </c>
      <c r="AM43" s="217">
        <f>IF(W43&gt;W42,IF(AL43&gt;=$AZ$8,$AZ$8,AL43),IF(OR(AM42=$AZ$8,AM42=0),0,IF(AL43&gt;=$AZ$8,$AZ$8,AL43)))</f>
      </c>
      <c r="AN43" s="748">
        <f>+IF(OR(AM43&gt;AZ42,AM43=0),0,IF(AM43=AL43,AK43,$AZ$7-AL42))</f>
      </c>
      <c r="AO43" s="748">
        <f>+AK43-AN43</f>
      </c>
      <c r="AP43" s="217">
        <f>+_xlfn.IFNA(VLOOKUP(AJ43,$AF$7:$AI$1066,3,0),0)</f>
      </c>
      <c r="AQ43" s="217">
        <f>+IF(W43&gt;W42,AP43,AQ42+AP43)</f>
      </c>
      <c r="AR43" s="217">
        <f>+MAX($AM$2-SUMIF($W$7:$W$1066,W43,$AN$7:$AN$1066),0)</f>
      </c>
      <c r="AS43" s="748">
        <f>+MAX(IF(AQ43&gt;AR43,AR43-AQ42,AP43),0)</f>
      </c>
      <c r="AT43" s="748">
        <f>+AP43-AS43</f>
      </c>
      <c r="AU43" s="217">
        <f>+_xlfn.IFNA(VLOOKUP(AJ43,$AF$7:$AI$1066,4,0),0)</f>
      </c>
      <c r="AV43" s="217">
        <f>+IF(W43&gt;W42,AU43,AV42+AU43)</f>
      </c>
      <c r="AW43" s="217">
        <f>+MAX($AM$2-SUMIF($W$7:$W$1066,W43,$AN$7:$AN$1066)-SUMIF($W$7:$W$1066,W43,$AS$7:$AS$1066),0)</f>
      </c>
      <c r="AX43" s="748">
        <f>+MAX(IF(AV43&gt;AW43,AW43-AV42,AU43),0)</f>
      </c>
      <c r="AY43" s="748">
        <f>+AU43-AX43</f>
      </c>
      <c r="AZ43" s="331">
        <f>+$AM$1+IF($AP$1&gt;$AP$2,$AM$3/2)</f>
      </c>
    </row>
    <row x14ac:dyDescent="0.25" r="44" customHeight="1" ht="18.75">
      <c r="A44" s="1"/>
      <c r="B44" s="7"/>
      <c r="C44" s="170"/>
      <c r="D44" s="331">
        <v>37</v>
      </c>
      <c r="E44" s="544">
        <f>+DATE(YEAR(E43),MONTH(E43)-1,DAY(E43))</f>
        <v>25569.041666666668</v>
      </c>
      <c r="F44" s="333">
        <f>IF(DATE(YEAR($B$6),MONTH($B$6)+1,DAY(1))=E44,1,IF(MONTH(E44)=1,F45*(1+$F$5),F45))</f>
      </c>
      <c r="G44" s="333">
        <f>IF('Simulador - 1º Pilar'!$E$99="Sí",IF('Aportaciones PPE'!$B$13&lt;'Aportaciones PPE'!E44,0,F44*$B$8/12),F44*$B$8/12)</f>
      </c>
      <c r="H44" s="333">
        <f>$H$5*G44</f>
      </c>
      <c r="I44" s="333">
        <f>$I$5*G44</f>
      </c>
      <c r="J44" s="333">
        <f>+I44</f>
      </c>
      <c r="K44" s="333">
        <f>(1+$O$5)^(D44/12)*(H44+IF(AND(F44=1,F45=0),$S$4,0))</f>
      </c>
      <c r="L44" s="333">
        <f>(1+$O$5)^(D44/12)*(I44+IF(AND(F44=1,F45=0),0))</f>
      </c>
      <c r="M44" s="333">
        <f>+L44</f>
      </c>
      <c r="N44" s="333">
        <f>L44+K44+M44</f>
      </c>
      <c r="O44" s="170"/>
      <c r="P44" s="7"/>
      <c r="Q44" s="1"/>
      <c r="R44" s="331">
        <f>D44</f>
      </c>
      <c r="S44" s="169"/>
      <c r="T44" s="1"/>
      <c r="U44" s="217"/>
      <c r="V44" s="331">
        <f>+IF(V43=11,12,IF(V43=12,1,V43+1))</f>
      </c>
      <c r="W44" s="331">
        <f>+W43+IF(V43=12,1,0)</f>
      </c>
      <c r="X44" s="555">
        <f>+DATE(W44,V44,1)</f>
        <v>25569.041666666668</v>
      </c>
      <c r="Y44" s="333">
        <f>+_xlfn.IFNA(AN44+AS44+AX44,0)</f>
      </c>
      <c r="Z44" s="333">
        <f>+_xlfn.IFNA(AO44+AT44+AY44,0)</f>
      </c>
      <c r="AA44" s="333">
        <f>Y44*(1+$O$5)^(($B$7-X44)/365.25)</f>
      </c>
      <c r="AB44" s="333">
        <f>Z44*(1+$O$5)^(($B$7-X44)/365.25)</f>
      </c>
      <c r="AC44" s="1"/>
      <c r="AD44" s="1"/>
      <c r="AE44" s="1"/>
      <c r="AF44" s="111">
        <f>+MONTH(E44)&amp;YEAR(E44)</f>
      </c>
      <c r="AG44" s="217">
        <f>+I44</f>
      </c>
      <c r="AH44" s="217">
        <f>+J44</f>
      </c>
      <c r="AI44" s="217">
        <f>+H44</f>
      </c>
      <c r="AJ44" s="111">
        <f>+V44&amp;W44</f>
      </c>
      <c r="AK44" s="217">
        <f>+_xlfn.IFNA(VLOOKUP(AJ44,$AF$7:$AG$1066,2,0),0)</f>
      </c>
      <c r="AL44" s="217">
        <f>+IF(W44&gt;W43,AK44,AL43+AK44)</f>
      </c>
      <c r="AM44" s="217">
        <f>IF(W44&gt;W43,IF(AL44&gt;=$AZ$8,$AZ$8,AL44),IF(OR(AM43=$AZ$8,AM43=0),0,IF(AL44&gt;=$AZ$8,$AZ$8,AL44)))</f>
      </c>
      <c r="AN44" s="748">
        <f>+IF(OR(AM44&gt;AZ43,AM44=0),0,IF(AM44=AL44,AK44,$AZ$7-AL43))</f>
      </c>
      <c r="AO44" s="748">
        <f>+AK44-AN44</f>
      </c>
      <c r="AP44" s="217">
        <f>+_xlfn.IFNA(VLOOKUP(AJ44,$AF$7:$AI$1066,3,0),0)</f>
      </c>
      <c r="AQ44" s="217">
        <f>+IF(W44&gt;W43,AP44,AQ43+AP44)</f>
      </c>
      <c r="AR44" s="217">
        <f>+MAX($AM$2-SUMIF($W$7:$W$1066,W44,$AN$7:$AN$1066),0)</f>
      </c>
      <c r="AS44" s="748">
        <f>+MAX(IF(AQ44&gt;AR44,AR44-AQ43,AP44),0)</f>
      </c>
      <c r="AT44" s="748">
        <f>+AP44-AS44</f>
      </c>
      <c r="AU44" s="217">
        <f>+_xlfn.IFNA(VLOOKUP(AJ44,$AF$7:$AI$1066,4,0),0)</f>
      </c>
      <c r="AV44" s="217">
        <f>+IF(W44&gt;W43,AU44,AV43+AU44)</f>
      </c>
      <c r="AW44" s="217">
        <f>+MAX($AM$2-SUMIF($W$7:$W$1066,W44,$AN$7:$AN$1066)-SUMIF($W$7:$W$1066,W44,$AS$7:$AS$1066),0)</f>
      </c>
      <c r="AX44" s="748">
        <f>+MAX(IF(AV44&gt;AW44,AW44-AV43,AU44),0)</f>
      </c>
      <c r="AY44" s="748">
        <f>+AU44-AX44</f>
      </c>
      <c r="AZ44" s="331">
        <f>+$AM$1+IF($AP$1&gt;$AP$2,$AM$3/2)</f>
      </c>
    </row>
    <row x14ac:dyDescent="0.25" r="45" customHeight="1" ht="18.75">
      <c r="A45" s="1"/>
      <c r="B45" s="7"/>
      <c r="C45" s="170"/>
      <c r="D45" s="331">
        <v>38</v>
      </c>
      <c r="E45" s="544">
        <f>+DATE(YEAR(E44),MONTH(E44)-1,DAY(E44))</f>
        <v>25569.041666666668</v>
      </c>
      <c r="F45" s="333">
        <f>IF(DATE(YEAR($B$6),MONTH($B$6)+1,DAY(1))=E45,1,IF(MONTH(E45)=1,F46*(1+$F$5),F46))</f>
      </c>
      <c r="G45" s="333">
        <f>IF('Simulador - 1º Pilar'!$E$99="Sí",IF('Aportaciones PPE'!$B$13&lt;'Aportaciones PPE'!E45,0,F45*$B$8/12),F45*$B$8/12)</f>
      </c>
      <c r="H45" s="333">
        <f>$H$5*G45</f>
      </c>
      <c r="I45" s="333">
        <f>$I$5*G45</f>
      </c>
      <c r="J45" s="333">
        <f>+I45</f>
      </c>
      <c r="K45" s="333">
        <f>(1+$O$5)^(D45/12)*(H45+IF(AND(F45=1,F46=0),$S$4,0))</f>
      </c>
      <c r="L45" s="333">
        <f>(1+$O$5)^(D45/12)*(I45+IF(AND(F45=1,F46=0),0))</f>
      </c>
      <c r="M45" s="333">
        <f>+L45</f>
      </c>
      <c r="N45" s="333">
        <f>L45+K45+M45</f>
      </c>
      <c r="O45" s="170"/>
      <c r="P45" s="7"/>
      <c r="Q45" s="1"/>
      <c r="R45" s="331">
        <f>D45</f>
      </c>
      <c r="S45" s="169"/>
      <c r="T45" s="1"/>
      <c r="U45" s="217"/>
      <c r="V45" s="331">
        <f>+IF(V44=11,12,IF(V44=12,1,V44+1))</f>
      </c>
      <c r="W45" s="331">
        <f>+W44+IF(V44=12,1,0)</f>
      </c>
      <c r="X45" s="555">
        <f>+DATE(W45,V45,1)</f>
        <v>25569.041666666668</v>
      </c>
      <c r="Y45" s="333">
        <f>+_xlfn.IFNA(AN45+AS45+AX45,0)</f>
      </c>
      <c r="Z45" s="333">
        <f>+_xlfn.IFNA(AO45+AT45+AY45,0)</f>
      </c>
      <c r="AA45" s="333">
        <f>Y45*(1+$O$5)^(($B$7-X45)/365.25)</f>
      </c>
      <c r="AB45" s="333">
        <f>Z45*(1+$O$5)^(($B$7-X45)/365.25)</f>
      </c>
      <c r="AC45" s="1"/>
      <c r="AD45" s="1"/>
      <c r="AE45" s="1"/>
      <c r="AF45" s="111">
        <f>+MONTH(E45)&amp;YEAR(E45)</f>
      </c>
      <c r="AG45" s="217">
        <f>+I45</f>
      </c>
      <c r="AH45" s="217">
        <f>+J45</f>
      </c>
      <c r="AI45" s="217">
        <f>+H45</f>
      </c>
      <c r="AJ45" s="111">
        <f>+V45&amp;W45</f>
      </c>
      <c r="AK45" s="217">
        <f>+_xlfn.IFNA(VLOOKUP(AJ45,$AF$7:$AG$1066,2,0),0)</f>
      </c>
      <c r="AL45" s="217">
        <f>+IF(W45&gt;W44,AK45,AL44+AK45)</f>
      </c>
      <c r="AM45" s="217">
        <f>IF(W45&gt;W44,IF(AL45&gt;=$AZ$8,$AZ$8,AL45),IF(OR(AM44=$AZ$8,AM44=0),0,IF(AL45&gt;=$AZ$8,$AZ$8,AL45)))</f>
      </c>
      <c r="AN45" s="748">
        <f>+IF(OR(AM45&gt;AZ44,AM45=0),0,IF(AM45=AL45,AK45,$AZ$7-AL44))</f>
      </c>
      <c r="AO45" s="748">
        <f>+AK45-AN45</f>
      </c>
      <c r="AP45" s="217">
        <f>+_xlfn.IFNA(VLOOKUP(AJ45,$AF$7:$AI$1066,3,0),0)</f>
      </c>
      <c r="AQ45" s="217">
        <f>+IF(W45&gt;W44,AP45,AQ44+AP45)</f>
      </c>
      <c r="AR45" s="217">
        <f>+MAX($AM$2-SUMIF($W$7:$W$1066,W45,$AN$7:$AN$1066),0)</f>
      </c>
      <c r="AS45" s="748">
        <f>+MAX(IF(AQ45&gt;AR45,AR45-AQ44,AP45),0)</f>
      </c>
      <c r="AT45" s="748">
        <f>+AP45-AS45</f>
      </c>
      <c r="AU45" s="217">
        <f>+_xlfn.IFNA(VLOOKUP(AJ45,$AF$7:$AI$1066,4,0),0)</f>
      </c>
      <c r="AV45" s="217">
        <f>+IF(W45&gt;W44,AU45,AV44+AU45)</f>
      </c>
      <c r="AW45" s="217">
        <f>+MAX($AM$2-SUMIF($W$7:$W$1066,W45,$AN$7:$AN$1066)-SUMIF($W$7:$W$1066,W45,$AS$7:$AS$1066),0)</f>
      </c>
      <c r="AX45" s="748">
        <f>+MAX(IF(AV45&gt;AW45,AW45-AV44,AU45),0)</f>
      </c>
      <c r="AY45" s="748">
        <f>+AU45-AX45</f>
      </c>
      <c r="AZ45" s="331">
        <f>+$AM$1+IF($AP$1&gt;$AP$2,$AM$3/2)</f>
      </c>
    </row>
    <row x14ac:dyDescent="0.25" r="46" customHeight="1" ht="18.75">
      <c r="A46" s="1"/>
      <c r="B46" s="7"/>
      <c r="C46" s="170"/>
      <c r="D46" s="331">
        <v>39</v>
      </c>
      <c r="E46" s="544">
        <f>+DATE(YEAR(E45),MONTH(E45)-1,DAY(E45))</f>
        <v>25569.041666666668</v>
      </c>
      <c r="F46" s="333">
        <f>IF(DATE(YEAR($B$6),MONTH($B$6)+1,DAY(1))=E46,1,IF(MONTH(E46)=1,F47*(1+$F$5),F47))</f>
      </c>
      <c r="G46" s="333">
        <f>IF('Simulador - 1º Pilar'!$E$99="Sí",IF('Aportaciones PPE'!$B$13&lt;'Aportaciones PPE'!E46,0,F46*$B$8/12),F46*$B$8/12)</f>
      </c>
      <c r="H46" s="333">
        <f>$H$5*G46</f>
      </c>
      <c r="I46" s="333">
        <f>$I$5*G46</f>
      </c>
      <c r="J46" s="333">
        <f>+I46</f>
      </c>
      <c r="K46" s="333">
        <f>(1+$O$5)^(D46/12)*(H46+IF(AND(F46=1,F47=0),$S$4,0))</f>
      </c>
      <c r="L46" s="333">
        <f>(1+$O$5)^(D46/12)*(I46+IF(AND(F46=1,F47=0),0))</f>
      </c>
      <c r="M46" s="333">
        <f>+L46</f>
      </c>
      <c r="N46" s="333">
        <f>L46+K46+M46</f>
      </c>
      <c r="O46" s="170"/>
      <c r="P46" s="7"/>
      <c r="Q46" s="1"/>
      <c r="R46" s="331">
        <f>D46</f>
      </c>
      <c r="S46" s="169"/>
      <c r="T46" s="1"/>
      <c r="U46" s="217"/>
      <c r="V46" s="331">
        <f>+IF(V45=11,12,IF(V45=12,1,V45+1))</f>
      </c>
      <c r="W46" s="331">
        <f>+W45+IF(V45=12,1,0)</f>
      </c>
      <c r="X46" s="555">
        <f>+DATE(W46,V46,1)</f>
        <v>25569.041666666668</v>
      </c>
      <c r="Y46" s="333">
        <f>+_xlfn.IFNA(AN46+AS46+AX46,0)</f>
      </c>
      <c r="Z46" s="333">
        <f>+_xlfn.IFNA(AO46+AT46+AY46,0)</f>
      </c>
      <c r="AA46" s="333">
        <f>Y46*(1+$O$5)^(($B$7-X46)/365.25)</f>
      </c>
      <c r="AB46" s="333">
        <f>Z46*(1+$O$5)^(($B$7-X46)/365.25)</f>
      </c>
      <c r="AC46" s="1"/>
      <c r="AD46" s="1"/>
      <c r="AE46" s="1"/>
      <c r="AF46" s="111">
        <f>+MONTH(E46)&amp;YEAR(E46)</f>
      </c>
      <c r="AG46" s="217">
        <f>+I46</f>
      </c>
      <c r="AH46" s="217">
        <f>+J46</f>
      </c>
      <c r="AI46" s="217">
        <f>+H46</f>
      </c>
      <c r="AJ46" s="111">
        <f>+V46&amp;W46</f>
      </c>
      <c r="AK46" s="217">
        <f>+_xlfn.IFNA(VLOOKUP(AJ46,$AF$7:$AG$1066,2,0),0)</f>
      </c>
      <c r="AL46" s="217">
        <f>+IF(W46&gt;W45,AK46,AL45+AK46)</f>
      </c>
      <c r="AM46" s="217">
        <f>IF(W46&gt;W45,IF(AL46&gt;=$AZ$8,$AZ$8,AL46),IF(OR(AM45=$AZ$8,AM45=0),0,IF(AL46&gt;=$AZ$8,$AZ$8,AL46)))</f>
      </c>
      <c r="AN46" s="748">
        <f>+IF(OR(AM46&gt;AZ45,AM46=0),0,IF(AM46=AL46,AK46,$AZ$7-AL45))</f>
      </c>
      <c r="AO46" s="748">
        <f>+AK46-AN46</f>
      </c>
      <c r="AP46" s="217">
        <f>+_xlfn.IFNA(VLOOKUP(AJ46,$AF$7:$AI$1066,3,0),0)</f>
      </c>
      <c r="AQ46" s="217">
        <f>+IF(W46&gt;W45,AP46,AQ45+AP46)</f>
      </c>
      <c r="AR46" s="217">
        <f>+MAX($AM$2-SUMIF($W$7:$W$1066,W46,$AN$7:$AN$1066),0)</f>
      </c>
      <c r="AS46" s="748">
        <f>+MAX(IF(AQ46&gt;AR46,AR46-AQ45,AP46),0)</f>
      </c>
      <c r="AT46" s="748">
        <f>+AP46-AS46</f>
      </c>
      <c r="AU46" s="217">
        <f>+_xlfn.IFNA(VLOOKUP(AJ46,$AF$7:$AI$1066,4,0),0)</f>
      </c>
      <c r="AV46" s="217">
        <f>+IF(W46&gt;W45,AU46,AV45+AU46)</f>
      </c>
      <c r="AW46" s="217">
        <f>+MAX($AM$2-SUMIF($W$7:$W$1066,W46,$AN$7:$AN$1066)-SUMIF($W$7:$W$1066,W46,$AS$7:$AS$1066),0)</f>
      </c>
      <c r="AX46" s="748">
        <f>+MAX(IF(AV46&gt;AW46,AW46-AV45,AU46),0)</f>
      </c>
      <c r="AY46" s="748">
        <f>+AU46-AX46</f>
      </c>
      <c r="AZ46" s="331">
        <f>+$AM$1+IF($AP$1&gt;$AP$2,$AM$3/2)</f>
      </c>
    </row>
    <row x14ac:dyDescent="0.25" r="47" customHeight="1" ht="18.75">
      <c r="A47" s="1"/>
      <c r="B47" s="7"/>
      <c r="C47" s="170"/>
      <c r="D47" s="331">
        <v>40</v>
      </c>
      <c r="E47" s="544">
        <f>+DATE(YEAR(E46),MONTH(E46)-1,DAY(E46))</f>
        <v>25569.041666666668</v>
      </c>
      <c r="F47" s="333">
        <f>IF(DATE(YEAR($B$6),MONTH($B$6)+1,DAY(1))=E47,1,IF(MONTH(E47)=1,F48*(1+$F$5),F48))</f>
      </c>
      <c r="G47" s="333">
        <f>IF('Simulador - 1º Pilar'!$E$99="Sí",IF('Aportaciones PPE'!$B$13&lt;'Aportaciones PPE'!E47,0,F47*$B$8/12),F47*$B$8/12)</f>
      </c>
      <c r="H47" s="333">
        <f>$H$5*G47</f>
      </c>
      <c r="I47" s="333">
        <f>$I$5*G47</f>
      </c>
      <c r="J47" s="333">
        <f>+I47</f>
      </c>
      <c r="K47" s="333">
        <f>(1+$O$5)^(D47/12)*(H47+IF(AND(F47=1,F48=0),$S$4,0))</f>
      </c>
      <c r="L47" s="333">
        <f>(1+$O$5)^(D47/12)*(I47+IF(AND(F47=1,F48=0),0))</f>
      </c>
      <c r="M47" s="333">
        <f>+L47</f>
      </c>
      <c r="N47" s="333">
        <f>L47+K47+M47</f>
      </c>
      <c r="O47" s="170"/>
      <c r="P47" s="7"/>
      <c r="Q47" s="1"/>
      <c r="R47" s="331">
        <f>D47</f>
      </c>
      <c r="S47" s="169"/>
      <c r="T47" s="1"/>
      <c r="U47" s="217"/>
      <c r="V47" s="331">
        <f>+IF(V46=11,12,IF(V46=12,1,V46+1))</f>
      </c>
      <c r="W47" s="331">
        <f>+W46+IF(V46=12,1,0)</f>
      </c>
      <c r="X47" s="555">
        <f>+DATE(W47,V47,1)</f>
        <v>25569.041666666668</v>
      </c>
      <c r="Y47" s="333">
        <f>+_xlfn.IFNA(AN47+AS47+AX47,0)</f>
      </c>
      <c r="Z47" s="333">
        <f>+_xlfn.IFNA(AO47+AT47+AY47,0)</f>
      </c>
      <c r="AA47" s="333">
        <f>Y47*(1+$O$5)^(($B$7-X47)/365.25)</f>
      </c>
      <c r="AB47" s="333">
        <f>Z47*(1+$O$5)^(($B$7-X47)/365.25)</f>
      </c>
      <c r="AC47" s="1"/>
      <c r="AD47" s="1"/>
      <c r="AE47" s="1"/>
      <c r="AF47" s="111">
        <f>+MONTH(E47)&amp;YEAR(E47)</f>
      </c>
      <c r="AG47" s="217">
        <f>+I47</f>
      </c>
      <c r="AH47" s="217">
        <f>+J47</f>
      </c>
      <c r="AI47" s="217">
        <f>+H47</f>
      </c>
      <c r="AJ47" s="111">
        <f>+V47&amp;W47</f>
      </c>
      <c r="AK47" s="217">
        <f>+_xlfn.IFNA(VLOOKUP(AJ47,$AF$7:$AG$1066,2,0),0)</f>
      </c>
      <c r="AL47" s="217">
        <f>+IF(W47&gt;W46,AK47,AL46+AK47)</f>
      </c>
      <c r="AM47" s="217">
        <f>IF(W47&gt;W46,IF(AL47&gt;=$AZ$8,$AZ$8,AL47),IF(OR(AM46=$AZ$8,AM46=0),0,IF(AL47&gt;=$AZ$8,$AZ$8,AL47)))</f>
      </c>
      <c r="AN47" s="748">
        <f>+IF(OR(AM47&gt;AZ46,AM47=0),0,IF(AM47=AL47,AK47,$AZ$7-AL46))</f>
      </c>
      <c r="AO47" s="748">
        <f>+AK47-AN47</f>
      </c>
      <c r="AP47" s="217">
        <f>+_xlfn.IFNA(VLOOKUP(AJ47,$AF$7:$AI$1066,3,0),0)</f>
      </c>
      <c r="AQ47" s="217">
        <f>+IF(W47&gt;W46,AP47,AQ46+AP47)</f>
      </c>
      <c r="AR47" s="217">
        <f>+MAX($AM$2-SUMIF($W$7:$W$1066,W47,$AN$7:$AN$1066),0)</f>
      </c>
      <c r="AS47" s="748">
        <f>+MAX(IF(AQ47&gt;AR47,AR47-AQ46,AP47),0)</f>
      </c>
      <c r="AT47" s="748">
        <f>+AP47-AS47</f>
      </c>
      <c r="AU47" s="217">
        <f>+_xlfn.IFNA(VLOOKUP(AJ47,$AF$7:$AI$1066,4,0),0)</f>
      </c>
      <c r="AV47" s="217">
        <f>+IF(W47&gt;W46,AU47,AV46+AU47)</f>
      </c>
      <c r="AW47" s="217">
        <f>+MAX($AM$2-SUMIF($W$7:$W$1066,W47,$AN$7:$AN$1066)-SUMIF($W$7:$W$1066,W47,$AS$7:$AS$1066),0)</f>
      </c>
      <c r="AX47" s="748">
        <f>+MAX(IF(AV47&gt;AW47,AW47-AV46,AU47),0)</f>
      </c>
      <c r="AY47" s="748">
        <f>+AU47-AX47</f>
      </c>
      <c r="AZ47" s="331">
        <f>+$AM$1+IF($AP$1&gt;$AP$2,$AM$3/2)</f>
      </c>
    </row>
    <row x14ac:dyDescent="0.25" r="48" customHeight="1" ht="18.75">
      <c r="A48" s="1"/>
      <c r="B48" s="7"/>
      <c r="C48" s="170"/>
      <c r="D48" s="331">
        <v>41</v>
      </c>
      <c r="E48" s="544">
        <f>+DATE(YEAR(E47),MONTH(E47)-1,DAY(E47))</f>
        <v>25569.041666666668</v>
      </c>
      <c r="F48" s="333">
        <f>IF(DATE(YEAR($B$6),MONTH($B$6)+1,DAY(1))=E48,1,IF(MONTH(E48)=1,F49*(1+$F$5),F49))</f>
      </c>
      <c r="G48" s="333">
        <f>IF('Simulador - 1º Pilar'!$E$99="Sí",IF('Aportaciones PPE'!$B$13&lt;'Aportaciones PPE'!E48,0,F48*$B$8/12),F48*$B$8/12)</f>
      </c>
      <c r="H48" s="333">
        <f>$H$5*G48</f>
      </c>
      <c r="I48" s="333">
        <f>$I$5*G48</f>
      </c>
      <c r="J48" s="333">
        <f>+I48</f>
      </c>
      <c r="K48" s="333">
        <f>(1+$O$5)^(D48/12)*(H48+IF(AND(F48=1,F49=0),$S$4,0))</f>
      </c>
      <c r="L48" s="333">
        <f>(1+$O$5)^(D48/12)*(I48+IF(AND(F48=1,F49=0),0))</f>
      </c>
      <c r="M48" s="333">
        <f>+L48</f>
      </c>
      <c r="N48" s="333">
        <f>L48+K48+M48</f>
      </c>
      <c r="O48" s="170"/>
      <c r="P48" s="7"/>
      <c r="Q48" s="1"/>
      <c r="R48" s="331">
        <f>D48</f>
      </c>
      <c r="S48" s="169"/>
      <c r="T48" s="1"/>
      <c r="U48" s="217"/>
      <c r="V48" s="331">
        <f>+IF(V47=11,12,IF(V47=12,1,V47+1))</f>
      </c>
      <c r="W48" s="331">
        <f>+W47+IF(V47=12,1,0)</f>
      </c>
      <c r="X48" s="555">
        <f>+DATE(W48,V48,1)</f>
        <v>25569.041666666668</v>
      </c>
      <c r="Y48" s="333">
        <f>+_xlfn.IFNA(AN48+AS48+AX48,0)</f>
      </c>
      <c r="Z48" s="333">
        <f>+_xlfn.IFNA(AO48+AT48+AY48,0)</f>
      </c>
      <c r="AA48" s="333">
        <f>Y48*(1+$O$5)^(($B$7-X48)/365.25)</f>
      </c>
      <c r="AB48" s="333">
        <f>Z48*(1+$O$5)^(($B$7-X48)/365.25)</f>
      </c>
      <c r="AC48" s="1"/>
      <c r="AD48" s="1"/>
      <c r="AE48" s="1"/>
      <c r="AF48" s="111">
        <f>+MONTH(E48)&amp;YEAR(E48)</f>
      </c>
      <c r="AG48" s="217">
        <f>+I48</f>
      </c>
      <c r="AH48" s="217">
        <f>+J48</f>
      </c>
      <c r="AI48" s="217">
        <f>+H48</f>
      </c>
      <c r="AJ48" s="111">
        <f>+V48&amp;W48</f>
      </c>
      <c r="AK48" s="217">
        <f>+_xlfn.IFNA(VLOOKUP(AJ48,$AF$7:$AG$1066,2,0),0)</f>
      </c>
      <c r="AL48" s="217">
        <f>+IF(W48&gt;W47,AK48,AL47+AK48)</f>
      </c>
      <c r="AM48" s="217">
        <f>IF(W48&gt;W47,IF(AL48&gt;=$AZ$8,$AZ$8,AL48),IF(OR(AM47=$AZ$8,AM47=0),0,IF(AL48&gt;=$AZ$8,$AZ$8,AL48)))</f>
      </c>
      <c r="AN48" s="748">
        <f>+IF(OR(AM48&gt;AZ47,AM48=0),0,IF(AM48=AL48,AK48,$AZ$7-AL47))</f>
      </c>
      <c r="AO48" s="748">
        <f>+AK48-AN48</f>
      </c>
      <c r="AP48" s="217">
        <f>+_xlfn.IFNA(VLOOKUP(AJ48,$AF$7:$AI$1066,3,0),0)</f>
      </c>
      <c r="AQ48" s="217">
        <f>+IF(W48&gt;W47,AP48,AQ47+AP48)</f>
      </c>
      <c r="AR48" s="217">
        <f>+MAX($AM$2-SUMIF($W$7:$W$1066,W48,$AN$7:$AN$1066),0)</f>
      </c>
      <c r="AS48" s="748">
        <f>+MAX(IF(AQ48&gt;AR48,AR48-AQ47,AP48),0)</f>
      </c>
      <c r="AT48" s="748">
        <f>+AP48-AS48</f>
      </c>
      <c r="AU48" s="217">
        <f>+_xlfn.IFNA(VLOOKUP(AJ48,$AF$7:$AI$1066,4,0),0)</f>
      </c>
      <c r="AV48" s="217">
        <f>+IF(W48&gt;W47,AU48,AV47+AU48)</f>
      </c>
      <c r="AW48" s="217">
        <f>+MAX($AM$2-SUMIF($W$7:$W$1066,W48,$AN$7:$AN$1066)-SUMIF($W$7:$W$1066,W48,$AS$7:$AS$1066),0)</f>
      </c>
      <c r="AX48" s="748">
        <f>+MAX(IF(AV48&gt;AW48,AW48-AV47,AU48),0)</f>
      </c>
      <c r="AY48" s="748">
        <f>+AU48-AX48</f>
      </c>
      <c r="AZ48" s="331">
        <f>+$AM$1+IF($AP$1&gt;$AP$2,$AM$3/2)</f>
      </c>
    </row>
    <row x14ac:dyDescent="0.25" r="49" customHeight="1" ht="18.75">
      <c r="A49" s="1"/>
      <c r="B49" s="7"/>
      <c r="C49" s="170"/>
      <c r="D49" s="331">
        <v>42</v>
      </c>
      <c r="E49" s="544">
        <f>+DATE(YEAR(E48),MONTH(E48)-1,DAY(E48))</f>
        <v>25569.041666666668</v>
      </c>
      <c r="F49" s="333">
        <f>IF(DATE(YEAR($B$6),MONTH($B$6)+1,DAY(1))=E49,1,IF(MONTH(E49)=1,F50*(1+$F$5),F50))</f>
      </c>
      <c r="G49" s="333">
        <f>IF('Simulador - 1º Pilar'!$E$99="Sí",IF('Aportaciones PPE'!$B$13&lt;'Aportaciones PPE'!E49,0,F49*$B$8/12),F49*$B$8/12)</f>
      </c>
      <c r="H49" s="333">
        <f>$H$5*G49</f>
      </c>
      <c r="I49" s="333">
        <f>$I$5*G49</f>
      </c>
      <c r="J49" s="333">
        <f>+I49</f>
      </c>
      <c r="K49" s="333">
        <f>(1+$O$5)^(D49/12)*(H49+IF(AND(F49=1,F50=0),$S$4,0))</f>
      </c>
      <c r="L49" s="333">
        <f>(1+$O$5)^(D49/12)*(I49+IF(AND(F49=1,F50=0),0))</f>
      </c>
      <c r="M49" s="333">
        <f>+L49</f>
      </c>
      <c r="N49" s="333">
        <f>L49+K49+M49</f>
      </c>
      <c r="O49" s="170"/>
      <c r="P49" s="7"/>
      <c r="Q49" s="1"/>
      <c r="R49" s="331">
        <f>D49</f>
      </c>
      <c r="S49" s="169"/>
      <c r="T49" s="1"/>
      <c r="U49" s="217"/>
      <c r="V49" s="331">
        <f>+IF(V48=11,12,IF(V48=12,1,V48+1))</f>
      </c>
      <c r="W49" s="331">
        <f>+W48+IF(V48=12,1,0)</f>
      </c>
      <c r="X49" s="555">
        <f>+DATE(W49,V49,1)</f>
        <v>25569.041666666668</v>
      </c>
      <c r="Y49" s="333">
        <f>+_xlfn.IFNA(AN49+AS49+AX49,0)</f>
      </c>
      <c r="Z49" s="333">
        <f>+_xlfn.IFNA(AO49+AT49+AY49,0)</f>
      </c>
      <c r="AA49" s="333">
        <f>Y49*(1+$O$5)^(($B$7-X49)/365.25)</f>
      </c>
      <c r="AB49" s="333">
        <f>Z49*(1+$O$5)^(($B$7-X49)/365.25)</f>
      </c>
      <c r="AC49" s="1"/>
      <c r="AD49" s="1"/>
      <c r="AE49" s="1"/>
      <c r="AF49" s="111">
        <f>+MONTH(E49)&amp;YEAR(E49)</f>
      </c>
      <c r="AG49" s="217">
        <f>+I49</f>
      </c>
      <c r="AH49" s="217">
        <f>+J49</f>
      </c>
      <c r="AI49" s="217">
        <f>+H49</f>
      </c>
      <c r="AJ49" s="111">
        <f>+V49&amp;W49</f>
      </c>
      <c r="AK49" s="217">
        <f>+_xlfn.IFNA(VLOOKUP(AJ49,$AF$7:$AG$1066,2,0),0)</f>
      </c>
      <c r="AL49" s="217">
        <f>+IF(W49&gt;W48,AK49,AL48+AK49)</f>
      </c>
      <c r="AM49" s="217">
        <f>IF(W49&gt;W48,IF(AL49&gt;=$AZ$8,$AZ$8,AL49),IF(OR(AM48=$AZ$8,AM48=0),0,IF(AL49&gt;=$AZ$8,$AZ$8,AL49)))</f>
      </c>
      <c r="AN49" s="748">
        <f>+IF(OR(AM49&gt;AZ48,AM49=0),0,IF(AM49=AL49,AK49,$AZ$7-AL48))</f>
      </c>
      <c r="AO49" s="748">
        <f>+AK49-AN49</f>
      </c>
      <c r="AP49" s="217">
        <f>+_xlfn.IFNA(VLOOKUP(AJ49,$AF$7:$AI$1066,3,0),0)</f>
      </c>
      <c r="AQ49" s="217">
        <f>+IF(W49&gt;W48,AP49,AQ48+AP49)</f>
      </c>
      <c r="AR49" s="217">
        <f>+MAX($AM$2-SUMIF($W$7:$W$1066,W49,$AN$7:$AN$1066),0)</f>
      </c>
      <c r="AS49" s="748">
        <f>+MAX(IF(AQ49&gt;AR49,AR49-AQ48,AP49),0)</f>
      </c>
      <c r="AT49" s="748">
        <f>+AP49-AS49</f>
      </c>
      <c r="AU49" s="217">
        <f>+_xlfn.IFNA(VLOOKUP(AJ49,$AF$7:$AI$1066,4,0),0)</f>
      </c>
      <c r="AV49" s="217">
        <f>+IF(W49&gt;W48,AU49,AV48+AU49)</f>
      </c>
      <c r="AW49" s="217">
        <f>+MAX($AM$2-SUMIF($W$7:$W$1066,W49,$AN$7:$AN$1066)-SUMIF($W$7:$W$1066,W49,$AS$7:$AS$1066),0)</f>
      </c>
      <c r="AX49" s="748">
        <f>+MAX(IF(AV49&gt;AW49,AW49-AV48,AU49),0)</f>
      </c>
      <c r="AY49" s="748">
        <f>+AU49-AX49</f>
      </c>
      <c r="AZ49" s="331">
        <f>+$AM$1+IF($AP$1&gt;$AP$2,$AM$3/2)</f>
      </c>
    </row>
    <row x14ac:dyDescent="0.25" r="50" customHeight="1" ht="18.75">
      <c r="A50" s="1"/>
      <c r="B50" s="7"/>
      <c r="C50" s="170"/>
      <c r="D50" s="331">
        <v>43</v>
      </c>
      <c r="E50" s="544">
        <f>+DATE(YEAR(E49),MONTH(E49)-1,DAY(E49))</f>
        <v>25569.041666666668</v>
      </c>
      <c r="F50" s="333">
        <f>IF(DATE(YEAR($B$6),MONTH($B$6)+1,DAY(1))=E50,1,IF(MONTH(E50)=1,F51*(1+$F$5),F51))</f>
      </c>
      <c r="G50" s="333">
        <f>IF('Simulador - 1º Pilar'!$E$99="Sí",IF('Aportaciones PPE'!$B$13&lt;'Aportaciones PPE'!E50,0,F50*$B$8/12),F50*$B$8/12)</f>
      </c>
      <c r="H50" s="333">
        <f>$H$5*G50</f>
      </c>
      <c r="I50" s="333">
        <f>$I$5*G50</f>
      </c>
      <c r="J50" s="333">
        <f>+I50</f>
      </c>
      <c r="K50" s="333">
        <f>(1+$O$5)^(D50/12)*(H50+IF(AND(F50=1,F51=0),$S$4,0))</f>
      </c>
      <c r="L50" s="333">
        <f>(1+$O$5)^(D50/12)*(I50+IF(AND(F50=1,F51=0),0))</f>
      </c>
      <c r="M50" s="333">
        <f>+L50</f>
      </c>
      <c r="N50" s="333">
        <f>L50+K50+M50</f>
      </c>
      <c r="O50" s="170"/>
      <c r="P50" s="7"/>
      <c r="Q50" s="1"/>
      <c r="R50" s="331">
        <f>D50</f>
      </c>
      <c r="S50" s="169"/>
      <c r="T50" s="1"/>
      <c r="U50" s="217"/>
      <c r="V50" s="331">
        <f>+IF(V49=11,12,IF(V49=12,1,V49+1))</f>
      </c>
      <c r="W50" s="331">
        <f>+W49+IF(V49=12,1,0)</f>
      </c>
      <c r="X50" s="555">
        <f>+DATE(W50,V50,1)</f>
        <v>25569.041666666668</v>
      </c>
      <c r="Y50" s="333">
        <f>+_xlfn.IFNA(AN50+AS50+AX50,0)</f>
      </c>
      <c r="Z50" s="333">
        <f>+_xlfn.IFNA(AO50+AT50+AY50,0)</f>
      </c>
      <c r="AA50" s="333">
        <f>Y50*(1+$O$5)^(($B$7-X50)/365.25)</f>
      </c>
      <c r="AB50" s="333">
        <f>Z50*(1+$O$5)^(($B$7-X50)/365.25)</f>
      </c>
      <c r="AC50" s="1"/>
      <c r="AD50" s="1"/>
      <c r="AE50" s="1"/>
      <c r="AF50" s="111">
        <f>+MONTH(E50)&amp;YEAR(E50)</f>
      </c>
      <c r="AG50" s="217">
        <f>+I50</f>
      </c>
      <c r="AH50" s="217">
        <f>+J50</f>
      </c>
      <c r="AI50" s="217">
        <f>+H50</f>
      </c>
      <c r="AJ50" s="111">
        <f>+V50&amp;W50</f>
      </c>
      <c r="AK50" s="217">
        <f>+_xlfn.IFNA(VLOOKUP(AJ50,$AF$7:$AG$1066,2,0),0)</f>
      </c>
      <c r="AL50" s="217">
        <f>+IF(W50&gt;W49,AK50,AL49+AK50)</f>
      </c>
      <c r="AM50" s="217">
        <f>IF(W50&gt;W49,IF(AL50&gt;=$AZ$8,$AZ$8,AL50),IF(OR(AM49=$AZ$8,AM49=0),0,IF(AL50&gt;=$AZ$8,$AZ$8,AL50)))</f>
      </c>
      <c r="AN50" s="748">
        <f>+IF(OR(AM50&gt;AZ49,AM50=0),0,IF(AM50=AL50,AK50,$AZ$7-AL49))</f>
      </c>
      <c r="AO50" s="748">
        <f>+AK50-AN50</f>
      </c>
      <c r="AP50" s="217">
        <f>+_xlfn.IFNA(VLOOKUP(AJ50,$AF$7:$AI$1066,3,0),0)</f>
      </c>
      <c r="AQ50" s="217">
        <f>+IF(W50&gt;W49,AP50,AQ49+AP50)</f>
      </c>
      <c r="AR50" s="217">
        <f>+MAX($AM$2-SUMIF($W$7:$W$1066,W50,$AN$7:$AN$1066),0)</f>
      </c>
      <c r="AS50" s="748">
        <f>+MAX(IF(AQ50&gt;AR50,AR50-AQ49,AP50),0)</f>
      </c>
      <c r="AT50" s="748">
        <f>+AP50-AS50</f>
      </c>
      <c r="AU50" s="217">
        <f>+_xlfn.IFNA(VLOOKUP(AJ50,$AF$7:$AI$1066,4,0),0)</f>
      </c>
      <c r="AV50" s="217">
        <f>+IF(W50&gt;W49,AU50,AV49+AU50)</f>
      </c>
      <c r="AW50" s="217">
        <f>+MAX($AM$2-SUMIF($W$7:$W$1066,W50,$AN$7:$AN$1066)-SUMIF($W$7:$W$1066,W50,$AS$7:$AS$1066),0)</f>
      </c>
      <c r="AX50" s="748">
        <f>+MAX(IF(AV50&gt;AW50,AW50-AV49,AU50),0)</f>
      </c>
      <c r="AY50" s="748">
        <f>+AU50-AX50</f>
      </c>
      <c r="AZ50" s="331">
        <f>+$AM$1+IF($AP$1&gt;$AP$2,$AM$3/2)</f>
      </c>
    </row>
    <row x14ac:dyDescent="0.25" r="51" customHeight="1" ht="18.75">
      <c r="A51" s="1"/>
      <c r="B51" s="7"/>
      <c r="C51" s="170"/>
      <c r="D51" s="331">
        <v>44</v>
      </c>
      <c r="E51" s="544">
        <f>+DATE(YEAR(E50),MONTH(E50)-1,DAY(E50))</f>
        <v>25569.041666666668</v>
      </c>
      <c r="F51" s="333">
        <f>IF(DATE(YEAR($B$6),MONTH($B$6)+1,DAY(1))=E51,1,IF(MONTH(E51)=1,F52*(1+$F$5),F52))</f>
      </c>
      <c r="G51" s="333">
        <f>IF('Simulador - 1º Pilar'!$E$99="Sí",IF('Aportaciones PPE'!$B$13&lt;'Aportaciones PPE'!E51,0,F51*$B$8/12),F51*$B$8/12)</f>
      </c>
      <c r="H51" s="333">
        <f>$H$5*G51</f>
      </c>
      <c r="I51" s="333">
        <f>$I$5*G51</f>
      </c>
      <c r="J51" s="333">
        <f>+I51</f>
      </c>
      <c r="K51" s="333">
        <f>(1+$O$5)^(D51/12)*(H51+IF(AND(F51=1,F52=0),$S$4,0))</f>
      </c>
      <c r="L51" s="333">
        <f>(1+$O$5)^(D51/12)*(I51+IF(AND(F51=1,F52=0),0))</f>
      </c>
      <c r="M51" s="333">
        <f>+L51</f>
      </c>
      <c r="N51" s="333">
        <f>L51+K51+M51</f>
      </c>
      <c r="O51" s="170"/>
      <c r="P51" s="7"/>
      <c r="Q51" s="1"/>
      <c r="R51" s="331">
        <f>D51</f>
      </c>
      <c r="S51" s="169"/>
      <c r="T51" s="1"/>
      <c r="U51" s="217"/>
      <c r="V51" s="331">
        <f>+IF(V50=11,12,IF(V50=12,1,V50+1))</f>
      </c>
      <c r="W51" s="331">
        <f>+W50+IF(V50=12,1,0)</f>
      </c>
      <c r="X51" s="555">
        <f>+DATE(W51,V51,1)</f>
        <v>25569.041666666668</v>
      </c>
      <c r="Y51" s="333">
        <f>+_xlfn.IFNA(AN51+AS51+AX51,0)</f>
      </c>
      <c r="Z51" s="333">
        <f>+_xlfn.IFNA(AO51+AT51+AY51,0)</f>
      </c>
      <c r="AA51" s="333">
        <f>Y51*(1+$O$5)^(($B$7-X51)/365.25)</f>
      </c>
      <c r="AB51" s="333">
        <f>Z51*(1+$O$5)^(($B$7-X51)/365.25)</f>
      </c>
      <c r="AC51" s="1"/>
      <c r="AD51" s="1"/>
      <c r="AE51" s="1"/>
      <c r="AF51" s="111">
        <f>+MONTH(E51)&amp;YEAR(E51)</f>
      </c>
      <c r="AG51" s="217">
        <f>+I51</f>
      </c>
      <c r="AH51" s="217">
        <f>+J51</f>
      </c>
      <c r="AI51" s="217">
        <f>+H51</f>
      </c>
      <c r="AJ51" s="111">
        <f>+V51&amp;W51</f>
      </c>
      <c r="AK51" s="217">
        <f>+_xlfn.IFNA(VLOOKUP(AJ51,$AF$7:$AG$1066,2,0),0)</f>
      </c>
      <c r="AL51" s="217">
        <f>+IF(W51&gt;W50,AK51,AL50+AK51)</f>
      </c>
      <c r="AM51" s="217">
        <f>IF(W51&gt;W50,IF(AL51&gt;=$AZ$8,$AZ$8,AL51),IF(OR(AM50=$AZ$8,AM50=0),0,IF(AL51&gt;=$AZ$8,$AZ$8,AL51)))</f>
      </c>
      <c r="AN51" s="748">
        <f>+IF(OR(AM51&gt;AZ50,AM51=0),0,IF(AM51=AL51,AK51,$AZ$7-AL50))</f>
      </c>
      <c r="AO51" s="748">
        <f>+AK51-AN51</f>
      </c>
      <c r="AP51" s="217">
        <f>+_xlfn.IFNA(VLOOKUP(AJ51,$AF$7:$AI$1066,3,0),0)</f>
      </c>
      <c r="AQ51" s="217">
        <f>+IF(W51&gt;W50,AP51,AQ50+AP51)</f>
      </c>
      <c r="AR51" s="217">
        <f>+MAX($AM$2-SUMIF($W$7:$W$1066,W51,$AN$7:$AN$1066),0)</f>
      </c>
      <c r="AS51" s="748">
        <f>+MAX(IF(AQ51&gt;AR51,AR51-AQ50,AP51),0)</f>
      </c>
      <c r="AT51" s="748">
        <f>+AP51-AS51</f>
      </c>
      <c r="AU51" s="217">
        <f>+_xlfn.IFNA(VLOOKUP(AJ51,$AF$7:$AI$1066,4,0),0)</f>
      </c>
      <c r="AV51" s="217">
        <f>+IF(W51&gt;W50,AU51,AV50+AU51)</f>
      </c>
      <c r="AW51" s="217">
        <f>+MAX($AM$2-SUMIF($W$7:$W$1066,W51,$AN$7:$AN$1066)-SUMIF($W$7:$W$1066,W51,$AS$7:$AS$1066),0)</f>
      </c>
      <c r="AX51" s="748">
        <f>+MAX(IF(AV51&gt;AW51,AW51-AV50,AU51),0)</f>
      </c>
      <c r="AY51" s="748">
        <f>+AU51-AX51</f>
      </c>
      <c r="AZ51" s="331">
        <f>+$AM$1+IF($AP$1&gt;$AP$2,$AM$3/2)</f>
      </c>
    </row>
    <row x14ac:dyDescent="0.25" r="52" customHeight="1" ht="18.75">
      <c r="A52" s="1"/>
      <c r="B52" s="7"/>
      <c r="C52" s="170"/>
      <c r="D52" s="331">
        <v>45</v>
      </c>
      <c r="E52" s="544">
        <f>+DATE(YEAR(E51),MONTH(E51)-1,DAY(E51))</f>
        <v>25569.041666666668</v>
      </c>
      <c r="F52" s="333">
        <f>IF(DATE(YEAR($B$6),MONTH($B$6)+1,DAY(1))=E52,1,IF(MONTH(E52)=1,F53*(1+$F$5),F53))</f>
      </c>
      <c r="G52" s="333">
        <f>IF('Simulador - 1º Pilar'!$E$99="Sí",IF('Aportaciones PPE'!$B$13&lt;'Aportaciones PPE'!E52,0,F52*$B$8/12),F52*$B$8/12)</f>
      </c>
      <c r="H52" s="333">
        <f>$H$5*G52</f>
      </c>
      <c r="I52" s="333">
        <f>$I$5*G52</f>
      </c>
      <c r="J52" s="333">
        <f>+I52</f>
      </c>
      <c r="K52" s="333">
        <f>(1+$O$5)^(D52/12)*(H52+IF(AND(F52=1,F53=0),$S$4,0))</f>
      </c>
      <c r="L52" s="333">
        <f>(1+$O$5)^(D52/12)*(I52+IF(AND(F52=1,F53=0),0))</f>
      </c>
      <c r="M52" s="333">
        <f>+L52</f>
      </c>
      <c r="N52" s="333">
        <f>L52+K52+M52</f>
      </c>
      <c r="O52" s="170"/>
      <c r="P52" s="7"/>
      <c r="Q52" s="1"/>
      <c r="R52" s="331">
        <f>D52</f>
      </c>
      <c r="S52" s="169"/>
      <c r="T52" s="1"/>
      <c r="U52" s="217"/>
      <c r="V52" s="331">
        <f>+IF(V51=11,12,IF(V51=12,1,V51+1))</f>
      </c>
      <c r="W52" s="331">
        <f>+W51+IF(V51=12,1,0)</f>
      </c>
      <c r="X52" s="555">
        <f>+DATE(W52,V52,1)</f>
        <v>25569.041666666668</v>
      </c>
      <c r="Y52" s="333">
        <f>+_xlfn.IFNA(AN52+AS52+AX52,0)</f>
      </c>
      <c r="Z52" s="333">
        <f>+_xlfn.IFNA(AO52+AT52+AY52,0)</f>
      </c>
      <c r="AA52" s="333">
        <f>Y52*(1+$O$5)^(($B$7-X52)/365.25)</f>
      </c>
      <c r="AB52" s="333">
        <f>Z52*(1+$O$5)^(($B$7-X52)/365.25)</f>
      </c>
      <c r="AC52" s="1"/>
      <c r="AD52" s="1"/>
      <c r="AE52" s="1"/>
      <c r="AF52" s="111">
        <f>+MONTH(E52)&amp;YEAR(E52)</f>
      </c>
      <c r="AG52" s="217">
        <f>+I52</f>
      </c>
      <c r="AH52" s="217">
        <f>+J52</f>
      </c>
      <c r="AI52" s="217">
        <f>+H52</f>
      </c>
      <c r="AJ52" s="111">
        <f>+V52&amp;W52</f>
      </c>
      <c r="AK52" s="217">
        <f>+_xlfn.IFNA(VLOOKUP(AJ52,$AF$7:$AG$1066,2,0),0)</f>
      </c>
      <c r="AL52" s="217">
        <f>+IF(W52&gt;W51,AK52,AL51+AK52)</f>
      </c>
      <c r="AM52" s="217">
        <f>IF(W52&gt;W51,IF(AL52&gt;=$AZ$8,$AZ$8,AL52),IF(OR(AM51=$AZ$8,AM51=0),0,IF(AL52&gt;=$AZ$8,$AZ$8,AL52)))</f>
      </c>
      <c r="AN52" s="748">
        <f>+IF(OR(AM52&gt;AZ51,AM52=0),0,IF(AM52=AL52,AK52,$AZ$7-AL51))</f>
      </c>
      <c r="AO52" s="748">
        <f>+AK52-AN52</f>
      </c>
      <c r="AP52" s="217">
        <f>+_xlfn.IFNA(VLOOKUP(AJ52,$AF$7:$AI$1066,3,0),0)</f>
      </c>
      <c r="AQ52" s="217">
        <f>+IF(W52&gt;W51,AP52,AQ51+AP52)</f>
      </c>
      <c r="AR52" s="217">
        <f>+MAX($AM$2-SUMIF($W$7:$W$1066,W52,$AN$7:$AN$1066),0)</f>
      </c>
      <c r="AS52" s="748">
        <f>+MAX(IF(AQ52&gt;AR52,AR52-AQ51,AP52),0)</f>
      </c>
      <c r="AT52" s="748">
        <f>+AP52-AS52</f>
      </c>
      <c r="AU52" s="217">
        <f>+_xlfn.IFNA(VLOOKUP(AJ52,$AF$7:$AI$1066,4,0),0)</f>
      </c>
      <c r="AV52" s="217">
        <f>+IF(W52&gt;W51,AU52,AV51+AU52)</f>
      </c>
      <c r="AW52" s="217">
        <f>+MAX($AM$2-SUMIF($W$7:$W$1066,W52,$AN$7:$AN$1066)-SUMIF($W$7:$W$1066,W52,$AS$7:$AS$1066),0)</f>
      </c>
      <c r="AX52" s="748">
        <f>+MAX(IF(AV52&gt;AW52,AW52-AV51,AU52),0)</f>
      </c>
      <c r="AY52" s="748">
        <f>+AU52-AX52</f>
      </c>
      <c r="AZ52" s="331">
        <f>+$AM$1+IF($AP$1&gt;$AP$2,$AM$3/2)</f>
      </c>
    </row>
    <row x14ac:dyDescent="0.25" r="53" customHeight="1" ht="18.75">
      <c r="A53" s="1"/>
      <c r="B53" s="7"/>
      <c r="C53" s="170"/>
      <c r="D53" s="331">
        <v>46</v>
      </c>
      <c r="E53" s="544">
        <f>+DATE(YEAR(E52),MONTH(E52)-1,DAY(E52))</f>
        <v>25569.041666666668</v>
      </c>
      <c r="F53" s="333">
        <f>IF(DATE(YEAR($B$6),MONTH($B$6)+1,DAY(1))=E53,1,IF(MONTH(E53)=1,F54*(1+$F$5),F54))</f>
      </c>
      <c r="G53" s="333">
        <f>IF('Simulador - 1º Pilar'!$E$99="Sí",IF('Aportaciones PPE'!$B$13&lt;'Aportaciones PPE'!E53,0,F53*$B$8/12),F53*$B$8/12)</f>
      </c>
      <c r="H53" s="333">
        <f>$H$5*G53</f>
      </c>
      <c r="I53" s="333">
        <f>$I$5*G53</f>
      </c>
      <c r="J53" s="333">
        <f>+I53</f>
      </c>
      <c r="K53" s="333">
        <f>(1+$O$5)^(D53/12)*(H53+IF(AND(F53=1,F54=0),$S$4,0))</f>
      </c>
      <c r="L53" s="333">
        <f>(1+$O$5)^(D53/12)*(I53+IF(AND(F53=1,F54=0),0))</f>
      </c>
      <c r="M53" s="333">
        <f>+L53</f>
      </c>
      <c r="N53" s="333">
        <f>L53+K53+M53</f>
      </c>
      <c r="O53" s="170"/>
      <c r="P53" s="7"/>
      <c r="Q53" s="1"/>
      <c r="R53" s="331">
        <f>D53</f>
      </c>
      <c r="S53" s="169"/>
      <c r="T53" s="1"/>
      <c r="U53" s="217"/>
      <c r="V53" s="331">
        <f>+IF(V52=11,12,IF(V52=12,1,V52+1))</f>
      </c>
      <c r="W53" s="331">
        <f>+W52+IF(V52=12,1,0)</f>
      </c>
      <c r="X53" s="555">
        <f>+DATE(W53,V53,1)</f>
        <v>25569.041666666668</v>
      </c>
      <c r="Y53" s="333">
        <f>+_xlfn.IFNA(AN53+AS53+AX53,0)</f>
      </c>
      <c r="Z53" s="333">
        <f>+_xlfn.IFNA(AO53+AT53+AY53,0)</f>
      </c>
      <c r="AA53" s="333">
        <f>Y53*(1+$O$5)^(($B$7-X53)/365.25)</f>
      </c>
      <c r="AB53" s="333">
        <f>Z53*(1+$O$5)^(($B$7-X53)/365.25)</f>
      </c>
      <c r="AC53" s="1"/>
      <c r="AD53" s="1"/>
      <c r="AE53" s="1"/>
      <c r="AF53" s="111">
        <f>+MONTH(E53)&amp;YEAR(E53)</f>
      </c>
      <c r="AG53" s="217">
        <f>+I53</f>
      </c>
      <c r="AH53" s="217">
        <f>+J53</f>
      </c>
      <c r="AI53" s="217">
        <f>+H53</f>
      </c>
      <c r="AJ53" s="111">
        <f>+V53&amp;W53</f>
      </c>
      <c r="AK53" s="217">
        <f>+_xlfn.IFNA(VLOOKUP(AJ53,$AF$7:$AG$1066,2,0),0)</f>
      </c>
      <c r="AL53" s="217">
        <f>+IF(W53&gt;W52,AK53,AL52+AK53)</f>
      </c>
      <c r="AM53" s="217">
        <f>IF(W53&gt;W52,IF(AL53&gt;=$AZ$8,$AZ$8,AL53),IF(OR(AM52=$AZ$8,AM52=0),0,IF(AL53&gt;=$AZ$8,$AZ$8,AL53)))</f>
      </c>
      <c r="AN53" s="748">
        <f>+IF(OR(AM53&gt;AZ52,AM53=0),0,IF(AM53=AL53,AK53,$AZ$7-AL52))</f>
      </c>
      <c r="AO53" s="748">
        <f>+AK53-AN53</f>
      </c>
      <c r="AP53" s="217">
        <f>+_xlfn.IFNA(VLOOKUP(AJ53,$AF$7:$AI$1066,3,0),0)</f>
      </c>
      <c r="AQ53" s="217">
        <f>+IF(W53&gt;W52,AP53,AQ52+AP53)</f>
      </c>
      <c r="AR53" s="217">
        <f>+MAX($AM$2-SUMIF($W$7:$W$1066,W53,$AN$7:$AN$1066),0)</f>
      </c>
      <c r="AS53" s="748">
        <f>+MAX(IF(AQ53&gt;AR53,AR53-AQ52,AP53),0)</f>
      </c>
      <c r="AT53" s="748">
        <f>+AP53-AS53</f>
      </c>
      <c r="AU53" s="217">
        <f>+_xlfn.IFNA(VLOOKUP(AJ53,$AF$7:$AI$1066,4,0),0)</f>
      </c>
      <c r="AV53" s="217">
        <f>+IF(W53&gt;W52,AU53,AV52+AU53)</f>
      </c>
      <c r="AW53" s="217">
        <f>+MAX($AM$2-SUMIF($W$7:$W$1066,W53,$AN$7:$AN$1066)-SUMIF($W$7:$W$1066,W53,$AS$7:$AS$1066),0)</f>
      </c>
      <c r="AX53" s="748">
        <f>+MAX(IF(AV53&gt;AW53,AW53-AV52,AU53),0)</f>
      </c>
      <c r="AY53" s="748">
        <f>+AU53-AX53</f>
      </c>
      <c r="AZ53" s="331">
        <f>+$AM$1+IF($AP$1&gt;$AP$2,$AM$3/2)</f>
      </c>
    </row>
    <row x14ac:dyDescent="0.25" r="54" customHeight="1" ht="18.75">
      <c r="A54" s="1"/>
      <c r="B54" s="7"/>
      <c r="C54" s="170"/>
      <c r="D54" s="331">
        <v>47</v>
      </c>
      <c r="E54" s="544">
        <f>+DATE(YEAR(E53),MONTH(E53)-1,DAY(E53))</f>
        <v>25569.041666666668</v>
      </c>
      <c r="F54" s="333">
        <f>IF(DATE(YEAR($B$6),MONTH($B$6)+1,DAY(1))=E54,1,IF(MONTH(E54)=1,F55*(1+$F$5),F55))</f>
      </c>
      <c r="G54" s="333">
        <f>IF('Simulador - 1º Pilar'!$E$99="Sí",IF('Aportaciones PPE'!$B$13&lt;'Aportaciones PPE'!E54,0,F54*$B$8/12),F54*$B$8/12)</f>
      </c>
      <c r="H54" s="333">
        <f>$H$5*G54</f>
      </c>
      <c r="I54" s="333">
        <f>$I$5*G54</f>
      </c>
      <c r="J54" s="333">
        <f>+I54</f>
      </c>
      <c r="K54" s="333">
        <f>(1+$O$5)^(D54/12)*(H54+IF(AND(F54=1,F55=0),$S$4,0))</f>
      </c>
      <c r="L54" s="333">
        <f>(1+$O$5)^(D54/12)*(I54+IF(AND(F54=1,F55=0),0))</f>
      </c>
      <c r="M54" s="333">
        <f>+L54</f>
      </c>
      <c r="N54" s="333">
        <f>L54+K54+M54</f>
      </c>
      <c r="O54" s="170"/>
      <c r="P54" s="7"/>
      <c r="Q54" s="1"/>
      <c r="R54" s="331">
        <f>D54</f>
      </c>
      <c r="S54" s="169"/>
      <c r="T54" s="1"/>
      <c r="U54" s="217"/>
      <c r="V54" s="331">
        <f>+IF(V53=11,12,IF(V53=12,1,V53+1))</f>
      </c>
      <c r="W54" s="331">
        <f>+W53+IF(V53=12,1,0)</f>
      </c>
      <c r="X54" s="555">
        <f>+DATE(W54,V54,1)</f>
        <v>25569.041666666668</v>
      </c>
      <c r="Y54" s="333">
        <f>+_xlfn.IFNA(AN54+AS54+AX54,0)</f>
      </c>
      <c r="Z54" s="333">
        <f>+_xlfn.IFNA(AO54+AT54+AY54,0)</f>
      </c>
      <c r="AA54" s="333">
        <f>Y54*(1+$O$5)^(($B$7-X54)/365.25)</f>
      </c>
      <c r="AB54" s="333">
        <f>Z54*(1+$O$5)^(($B$7-X54)/365.25)</f>
      </c>
      <c r="AC54" s="1"/>
      <c r="AD54" s="1"/>
      <c r="AE54" s="1"/>
      <c r="AF54" s="111">
        <f>+MONTH(E54)&amp;YEAR(E54)</f>
      </c>
      <c r="AG54" s="217">
        <f>+I54</f>
      </c>
      <c r="AH54" s="217">
        <f>+J54</f>
      </c>
      <c r="AI54" s="217">
        <f>+H54</f>
      </c>
      <c r="AJ54" s="111">
        <f>+V54&amp;W54</f>
      </c>
      <c r="AK54" s="217">
        <f>+_xlfn.IFNA(VLOOKUP(AJ54,$AF$7:$AG$1066,2,0),0)</f>
      </c>
      <c r="AL54" s="217">
        <f>+IF(W54&gt;W53,AK54,AL53+AK54)</f>
      </c>
      <c r="AM54" s="217">
        <f>IF(W54&gt;W53,IF(AL54&gt;=$AZ$8,$AZ$8,AL54),IF(OR(AM53=$AZ$8,AM53=0),0,IF(AL54&gt;=$AZ$8,$AZ$8,AL54)))</f>
      </c>
      <c r="AN54" s="748">
        <f>+IF(OR(AM54&gt;AZ53,AM54=0),0,IF(AM54=AL54,AK54,$AZ$7-AL53))</f>
      </c>
      <c r="AO54" s="748">
        <f>+AK54-AN54</f>
      </c>
      <c r="AP54" s="217">
        <f>+_xlfn.IFNA(VLOOKUP(AJ54,$AF$7:$AI$1066,3,0),0)</f>
      </c>
      <c r="AQ54" s="217">
        <f>+IF(W54&gt;W53,AP54,AQ53+AP54)</f>
      </c>
      <c r="AR54" s="217">
        <f>+MAX($AM$2-SUMIF($W$7:$W$1066,W54,$AN$7:$AN$1066),0)</f>
      </c>
      <c r="AS54" s="748">
        <f>+MAX(IF(AQ54&gt;AR54,AR54-AQ53,AP54),0)</f>
      </c>
      <c r="AT54" s="748">
        <f>+AP54-AS54</f>
      </c>
      <c r="AU54" s="217">
        <f>+_xlfn.IFNA(VLOOKUP(AJ54,$AF$7:$AI$1066,4,0),0)</f>
      </c>
      <c r="AV54" s="217">
        <f>+IF(W54&gt;W53,AU54,AV53+AU54)</f>
      </c>
      <c r="AW54" s="217">
        <f>+MAX($AM$2-SUMIF($W$7:$W$1066,W54,$AN$7:$AN$1066)-SUMIF($W$7:$W$1066,W54,$AS$7:$AS$1066),0)</f>
      </c>
      <c r="AX54" s="748">
        <f>+MAX(IF(AV54&gt;AW54,AW54-AV53,AU54),0)</f>
      </c>
      <c r="AY54" s="748">
        <f>+AU54-AX54</f>
      </c>
      <c r="AZ54" s="331">
        <f>+$AM$1+IF($AP$1&gt;$AP$2,$AM$3/2)</f>
      </c>
    </row>
    <row x14ac:dyDescent="0.25" r="55" customHeight="1" ht="18.75">
      <c r="A55" s="1"/>
      <c r="B55" s="7"/>
      <c r="C55" s="170"/>
      <c r="D55" s="331">
        <v>48</v>
      </c>
      <c r="E55" s="544">
        <f>+DATE(YEAR(E54),MONTH(E54)-1,DAY(E54))</f>
        <v>25569.041666666668</v>
      </c>
      <c r="F55" s="333">
        <f>IF(DATE(YEAR($B$6),MONTH($B$6)+1,DAY(1))=E55,1,IF(MONTH(E55)=1,F56*(1+$F$5),F56))</f>
      </c>
      <c r="G55" s="333">
        <f>IF('Simulador - 1º Pilar'!$E$99="Sí",IF('Aportaciones PPE'!$B$13&lt;'Aportaciones PPE'!E55,0,F55*$B$8/12),F55*$B$8/12)</f>
      </c>
      <c r="H55" s="333">
        <f>$H$5*G55</f>
      </c>
      <c r="I55" s="333">
        <f>$I$5*G55</f>
      </c>
      <c r="J55" s="333">
        <f>+I55</f>
      </c>
      <c r="K55" s="333">
        <f>(1+$O$5)^(D55/12)*(H55+IF(AND(F55=1,F56=0),$S$4,0))</f>
      </c>
      <c r="L55" s="333">
        <f>(1+$O$5)^(D55/12)*(I55+IF(AND(F55=1,F56=0),0))</f>
      </c>
      <c r="M55" s="333">
        <f>+L55</f>
      </c>
      <c r="N55" s="333">
        <f>L55+K55+M55</f>
      </c>
      <c r="O55" s="170"/>
      <c r="P55" s="7"/>
      <c r="Q55" s="1"/>
      <c r="R55" s="331">
        <f>D55</f>
      </c>
      <c r="S55" s="169"/>
      <c r="T55" s="1"/>
      <c r="U55" s="217"/>
      <c r="V55" s="331">
        <f>+IF(V54=11,12,IF(V54=12,1,V54+1))</f>
      </c>
      <c r="W55" s="331">
        <f>+W54+IF(V54=12,1,0)</f>
      </c>
      <c r="X55" s="555">
        <f>+DATE(W55,V55,1)</f>
        <v>25569.041666666668</v>
      </c>
      <c r="Y55" s="333">
        <f>+_xlfn.IFNA(AN55+AS55+AX55,0)</f>
      </c>
      <c r="Z55" s="333">
        <f>+_xlfn.IFNA(AO55+AT55+AY55,0)</f>
      </c>
      <c r="AA55" s="333">
        <f>Y55*(1+$O$5)^(($B$7-X55)/365.25)</f>
      </c>
      <c r="AB55" s="333">
        <f>Z55*(1+$O$5)^(($B$7-X55)/365.25)</f>
      </c>
      <c r="AC55" s="1"/>
      <c r="AD55" s="1"/>
      <c r="AE55" s="1"/>
      <c r="AF55" s="111">
        <f>+MONTH(E55)&amp;YEAR(E55)</f>
      </c>
      <c r="AG55" s="217">
        <f>+I55</f>
      </c>
      <c r="AH55" s="217">
        <f>+J55</f>
      </c>
      <c r="AI55" s="217">
        <f>+H55</f>
      </c>
      <c r="AJ55" s="111">
        <f>+V55&amp;W55</f>
      </c>
      <c r="AK55" s="217">
        <f>+_xlfn.IFNA(VLOOKUP(AJ55,$AF$7:$AG$1066,2,0),0)</f>
      </c>
      <c r="AL55" s="217">
        <f>+IF(W55&gt;W54,AK55,AL54+AK55)</f>
      </c>
      <c r="AM55" s="217">
        <f>IF(W55&gt;W54,IF(AL55&gt;=$AZ$8,$AZ$8,AL55),IF(OR(AM54=$AZ$8,AM54=0),0,IF(AL55&gt;=$AZ$8,$AZ$8,AL55)))</f>
      </c>
      <c r="AN55" s="748">
        <f>+IF(OR(AM55&gt;AZ54,AM55=0),0,IF(AM55=AL55,AK55,$AZ$7-AL54))</f>
      </c>
      <c r="AO55" s="748">
        <f>+AK55-AN55</f>
      </c>
      <c r="AP55" s="217">
        <f>+_xlfn.IFNA(VLOOKUP(AJ55,$AF$7:$AI$1066,3,0),0)</f>
      </c>
      <c r="AQ55" s="217">
        <f>+IF(W55&gt;W54,AP55,AQ54+AP55)</f>
      </c>
      <c r="AR55" s="217">
        <f>+MAX($AM$2-SUMIF($W$7:$W$1066,W55,$AN$7:$AN$1066),0)</f>
      </c>
      <c r="AS55" s="748">
        <f>+MAX(IF(AQ55&gt;AR55,AR55-AQ54,AP55),0)</f>
      </c>
      <c r="AT55" s="748">
        <f>+AP55-AS55</f>
      </c>
      <c r="AU55" s="217">
        <f>+_xlfn.IFNA(VLOOKUP(AJ55,$AF$7:$AI$1066,4,0),0)</f>
      </c>
      <c r="AV55" s="217">
        <f>+IF(W55&gt;W54,AU55,AV54+AU55)</f>
      </c>
      <c r="AW55" s="217">
        <f>+MAX($AM$2-SUMIF($W$7:$W$1066,W55,$AN$7:$AN$1066)-SUMIF($W$7:$W$1066,W55,$AS$7:$AS$1066),0)</f>
      </c>
      <c r="AX55" s="748">
        <f>+MAX(IF(AV55&gt;AW55,AW55-AV54,AU55),0)</f>
      </c>
      <c r="AY55" s="748">
        <f>+AU55-AX55</f>
      </c>
      <c r="AZ55" s="331">
        <f>+$AM$1+IF($AP$1&gt;$AP$2,$AM$3/2)</f>
      </c>
    </row>
    <row x14ac:dyDescent="0.25" r="56" customHeight="1" ht="18.75">
      <c r="A56" s="1"/>
      <c r="B56" s="7"/>
      <c r="C56" s="170"/>
      <c r="D56" s="331">
        <v>49</v>
      </c>
      <c r="E56" s="544">
        <f>+DATE(YEAR(E55),MONTH(E55)-1,DAY(E55))</f>
        <v>25569.041666666668</v>
      </c>
      <c r="F56" s="333">
        <f>IF(DATE(YEAR($B$6),MONTH($B$6)+1,DAY(1))=E56,1,IF(MONTH(E56)=1,F57*(1+$F$5),F57))</f>
      </c>
      <c r="G56" s="333">
        <f>IF('Simulador - 1º Pilar'!$E$99="Sí",IF('Aportaciones PPE'!$B$13&lt;'Aportaciones PPE'!E56,0,F56*$B$8/12),F56*$B$8/12)</f>
      </c>
      <c r="H56" s="333">
        <f>$H$5*G56</f>
      </c>
      <c r="I56" s="333">
        <f>$I$5*G56</f>
      </c>
      <c r="J56" s="333">
        <f>+I56</f>
      </c>
      <c r="K56" s="333">
        <f>(1+$O$5)^(D56/12)*(H56+IF(AND(F56=1,F57=0),$S$4,0))</f>
      </c>
      <c r="L56" s="333">
        <f>(1+$O$5)^(D56/12)*(I56+IF(AND(F56=1,F57=0),0))</f>
      </c>
      <c r="M56" s="333">
        <f>+L56</f>
      </c>
      <c r="N56" s="333">
        <f>L56+K56+M56</f>
      </c>
      <c r="O56" s="170"/>
      <c r="P56" s="7"/>
      <c r="Q56" s="1"/>
      <c r="R56" s="331">
        <f>D56</f>
      </c>
      <c r="S56" s="169"/>
      <c r="T56" s="1"/>
      <c r="U56" s="217"/>
      <c r="V56" s="331">
        <f>+IF(V55=11,12,IF(V55=12,1,V55+1))</f>
      </c>
      <c r="W56" s="331">
        <f>+W55+IF(V55=12,1,0)</f>
      </c>
      <c r="X56" s="555">
        <f>+DATE(W56,V56,1)</f>
        <v>25569.041666666668</v>
      </c>
      <c r="Y56" s="333">
        <f>+_xlfn.IFNA(AN56+AS56+AX56,0)</f>
      </c>
      <c r="Z56" s="333">
        <f>+_xlfn.IFNA(AO56+AT56+AY56,0)</f>
      </c>
      <c r="AA56" s="333">
        <f>Y56*(1+$O$5)^(($B$7-X56)/365.25)</f>
      </c>
      <c r="AB56" s="333">
        <f>Z56*(1+$O$5)^(($B$7-X56)/365.25)</f>
      </c>
      <c r="AC56" s="1"/>
      <c r="AD56" s="1"/>
      <c r="AE56" s="1"/>
      <c r="AF56" s="111">
        <f>+MONTH(E56)&amp;YEAR(E56)</f>
      </c>
      <c r="AG56" s="217">
        <f>+I56</f>
      </c>
      <c r="AH56" s="217">
        <f>+J56</f>
      </c>
      <c r="AI56" s="217">
        <f>+H56</f>
      </c>
      <c r="AJ56" s="111">
        <f>+V56&amp;W56</f>
      </c>
      <c r="AK56" s="217">
        <f>+_xlfn.IFNA(VLOOKUP(AJ56,$AF$7:$AG$1066,2,0),0)</f>
      </c>
      <c r="AL56" s="217">
        <f>+IF(W56&gt;W55,AK56,AL55+AK56)</f>
      </c>
      <c r="AM56" s="217">
        <f>IF(W56&gt;W55,IF(AL56&gt;=$AZ$8,$AZ$8,AL56),IF(OR(AM55=$AZ$8,AM55=0),0,IF(AL56&gt;=$AZ$8,$AZ$8,AL56)))</f>
      </c>
      <c r="AN56" s="748">
        <f>+IF(OR(AM56&gt;AZ55,AM56=0),0,IF(AM56=AL56,AK56,$AZ$7-AL55))</f>
      </c>
      <c r="AO56" s="748">
        <f>+AK56-AN56</f>
      </c>
      <c r="AP56" s="217">
        <f>+_xlfn.IFNA(VLOOKUP(AJ56,$AF$7:$AI$1066,3,0),0)</f>
      </c>
      <c r="AQ56" s="217">
        <f>+IF(W56&gt;W55,AP56,AQ55+AP56)</f>
      </c>
      <c r="AR56" s="217">
        <f>+MAX($AM$2-SUMIF($W$7:$W$1066,W56,$AN$7:$AN$1066),0)</f>
      </c>
      <c r="AS56" s="748">
        <f>+MAX(IF(AQ56&gt;AR56,AR56-AQ55,AP56),0)</f>
      </c>
      <c r="AT56" s="748">
        <f>+AP56-AS56</f>
      </c>
      <c r="AU56" s="217">
        <f>+_xlfn.IFNA(VLOOKUP(AJ56,$AF$7:$AI$1066,4,0),0)</f>
      </c>
      <c r="AV56" s="217">
        <f>+IF(W56&gt;W55,AU56,AV55+AU56)</f>
      </c>
      <c r="AW56" s="217">
        <f>+MAX($AM$2-SUMIF($W$7:$W$1066,W56,$AN$7:$AN$1066)-SUMIF($W$7:$W$1066,W56,$AS$7:$AS$1066),0)</f>
      </c>
      <c r="AX56" s="748">
        <f>+MAX(IF(AV56&gt;AW56,AW56-AV55,AU56),0)</f>
      </c>
      <c r="AY56" s="748">
        <f>+AU56-AX56</f>
      </c>
      <c r="AZ56" s="331">
        <f>+$AM$1+IF($AP$1&gt;$AP$2,$AM$3/2)</f>
      </c>
    </row>
    <row x14ac:dyDescent="0.25" r="57" customHeight="1" ht="18.75">
      <c r="A57" s="1"/>
      <c r="B57" s="7"/>
      <c r="C57" s="170"/>
      <c r="D57" s="331">
        <v>50</v>
      </c>
      <c r="E57" s="544">
        <f>+DATE(YEAR(E56),MONTH(E56)-1,DAY(E56))</f>
        <v>25569.041666666668</v>
      </c>
      <c r="F57" s="333">
        <f>IF(DATE(YEAR($B$6),MONTH($B$6)+1,DAY(1))=E57,1,IF(MONTH(E57)=1,F58*(1+$F$5),F58))</f>
      </c>
      <c r="G57" s="333">
        <f>IF('Simulador - 1º Pilar'!$E$99="Sí",IF('Aportaciones PPE'!$B$13&lt;'Aportaciones PPE'!E57,0,F57*$B$8/12),F57*$B$8/12)</f>
      </c>
      <c r="H57" s="333">
        <f>$H$5*G57</f>
      </c>
      <c r="I57" s="333">
        <f>$I$5*G57</f>
      </c>
      <c r="J57" s="333">
        <f>+I57</f>
      </c>
      <c r="K57" s="333">
        <f>(1+$O$5)^(D57/12)*(H57+IF(AND(F57=1,F58=0),$S$4,0))</f>
      </c>
      <c r="L57" s="333">
        <f>(1+$O$5)^(D57/12)*(I57+IF(AND(F57=1,F58=0),0))</f>
      </c>
      <c r="M57" s="333">
        <f>+L57</f>
      </c>
      <c r="N57" s="333">
        <f>L57+K57+M57</f>
      </c>
      <c r="O57" s="170"/>
      <c r="P57" s="7"/>
      <c r="Q57" s="1"/>
      <c r="R57" s="331">
        <f>D57</f>
      </c>
      <c r="S57" s="169"/>
      <c r="T57" s="1"/>
      <c r="U57" s="217"/>
      <c r="V57" s="331">
        <f>+IF(V56=11,12,IF(V56=12,1,V56+1))</f>
      </c>
      <c r="W57" s="331">
        <f>+W56+IF(V56=12,1,0)</f>
      </c>
      <c r="X57" s="555">
        <f>+DATE(W57,V57,1)</f>
        <v>25569.041666666668</v>
      </c>
      <c r="Y57" s="333">
        <f>+_xlfn.IFNA(AN57+AS57+AX57,0)</f>
      </c>
      <c r="Z57" s="333">
        <f>+_xlfn.IFNA(AO57+AT57+AY57,0)</f>
      </c>
      <c r="AA57" s="333">
        <f>Y57*(1+$O$5)^(($B$7-X57)/365.25)</f>
      </c>
      <c r="AB57" s="333">
        <f>Z57*(1+$O$5)^(($B$7-X57)/365.25)</f>
      </c>
      <c r="AC57" s="1"/>
      <c r="AD57" s="1"/>
      <c r="AE57" s="1"/>
      <c r="AF57" s="111">
        <f>+MONTH(E57)&amp;YEAR(E57)</f>
      </c>
      <c r="AG57" s="217">
        <f>+I57</f>
      </c>
      <c r="AH57" s="217">
        <f>+J57</f>
      </c>
      <c r="AI57" s="217">
        <f>+H57</f>
      </c>
      <c r="AJ57" s="111">
        <f>+V57&amp;W57</f>
      </c>
      <c r="AK57" s="217">
        <f>+_xlfn.IFNA(VLOOKUP(AJ57,$AF$7:$AG$1066,2,0),0)</f>
      </c>
      <c r="AL57" s="217">
        <f>+IF(W57&gt;W56,AK57,AL56+AK57)</f>
      </c>
      <c r="AM57" s="217">
        <f>IF(W57&gt;W56,IF(AL57&gt;=$AZ$8,$AZ$8,AL57),IF(OR(AM56=$AZ$8,AM56=0),0,IF(AL57&gt;=$AZ$8,$AZ$8,AL57)))</f>
      </c>
      <c r="AN57" s="748">
        <f>+IF(OR(AM57&gt;AZ56,AM57=0),0,IF(AM57=AL57,AK57,$AZ$7-AL56))</f>
      </c>
      <c r="AO57" s="748">
        <f>+AK57-AN57</f>
      </c>
      <c r="AP57" s="217">
        <f>+_xlfn.IFNA(VLOOKUP(AJ57,$AF$7:$AI$1066,3,0),0)</f>
      </c>
      <c r="AQ57" s="217">
        <f>+IF(W57&gt;W56,AP57,AQ56+AP57)</f>
      </c>
      <c r="AR57" s="217">
        <f>+MAX($AM$2-SUMIF($W$7:$W$1066,W57,$AN$7:$AN$1066),0)</f>
      </c>
      <c r="AS57" s="748">
        <f>+MAX(IF(AQ57&gt;AR57,AR57-AQ56,AP57),0)</f>
      </c>
      <c r="AT57" s="748">
        <f>+AP57-AS57</f>
      </c>
      <c r="AU57" s="217">
        <f>+_xlfn.IFNA(VLOOKUP(AJ57,$AF$7:$AI$1066,4,0),0)</f>
      </c>
      <c r="AV57" s="217">
        <f>+IF(W57&gt;W56,AU57,AV56+AU57)</f>
      </c>
      <c r="AW57" s="217">
        <f>+MAX($AM$2-SUMIF($W$7:$W$1066,W57,$AN$7:$AN$1066)-SUMIF($W$7:$W$1066,W57,$AS$7:$AS$1066),0)</f>
      </c>
      <c r="AX57" s="748">
        <f>+MAX(IF(AV57&gt;AW57,AW57-AV56,AU57),0)</f>
      </c>
      <c r="AY57" s="748">
        <f>+AU57-AX57</f>
      </c>
      <c r="AZ57" s="331">
        <f>+$AM$1+IF($AP$1&gt;$AP$2,$AM$3/2)</f>
      </c>
    </row>
    <row x14ac:dyDescent="0.25" r="58" customHeight="1" ht="18.75">
      <c r="A58" s="1"/>
      <c r="B58" s="7"/>
      <c r="C58" s="170"/>
      <c r="D58" s="331">
        <v>51</v>
      </c>
      <c r="E58" s="544">
        <f>+DATE(YEAR(E57),MONTH(E57)-1,DAY(E57))</f>
        <v>25569.041666666668</v>
      </c>
      <c r="F58" s="333">
        <f>IF(DATE(YEAR($B$6),MONTH($B$6)+1,DAY(1))=E58,1,IF(MONTH(E58)=1,F59*(1+$F$5),F59))</f>
      </c>
      <c r="G58" s="333">
        <f>IF('Simulador - 1º Pilar'!$E$99="Sí",IF('Aportaciones PPE'!$B$13&lt;'Aportaciones PPE'!E58,0,F58*$B$8/12),F58*$B$8/12)</f>
      </c>
      <c r="H58" s="333">
        <f>$H$5*G58</f>
      </c>
      <c r="I58" s="333">
        <f>$I$5*G58</f>
      </c>
      <c r="J58" s="333">
        <f>+I58</f>
      </c>
      <c r="K58" s="333">
        <f>(1+$O$5)^(D58/12)*(H58+IF(AND(F58=1,F59=0),$S$4,0))</f>
      </c>
      <c r="L58" s="333">
        <f>(1+$O$5)^(D58/12)*(I58+IF(AND(F58=1,F59=0),0))</f>
      </c>
      <c r="M58" s="333">
        <f>+L58</f>
      </c>
      <c r="N58" s="333">
        <f>L58+K58+M58</f>
      </c>
      <c r="O58" s="170"/>
      <c r="P58" s="7"/>
      <c r="Q58" s="1"/>
      <c r="R58" s="331">
        <f>D58</f>
      </c>
      <c r="S58" s="169"/>
      <c r="T58" s="1"/>
      <c r="U58" s="217"/>
      <c r="V58" s="331">
        <f>+IF(V57=11,12,IF(V57=12,1,V57+1))</f>
      </c>
      <c r="W58" s="331">
        <f>+W57+IF(V57=12,1,0)</f>
      </c>
      <c r="X58" s="555">
        <f>+DATE(W58,V58,1)</f>
        <v>25569.041666666668</v>
      </c>
      <c r="Y58" s="333">
        <f>+_xlfn.IFNA(AN58+AS58+AX58,0)</f>
      </c>
      <c r="Z58" s="333">
        <f>+_xlfn.IFNA(AO58+AT58+AY58,0)</f>
      </c>
      <c r="AA58" s="333">
        <f>Y58*(1+$O$5)^(($B$7-X58)/365.25)</f>
      </c>
      <c r="AB58" s="333">
        <f>Z58*(1+$O$5)^(($B$7-X58)/365.25)</f>
      </c>
      <c r="AC58" s="1"/>
      <c r="AD58" s="1"/>
      <c r="AE58" s="1"/>
      <c r="AF58" s="111">
        <f>+MONTH(E58)&amp;YEAR(E58)</f>
      </c>
      <c r="AG58" s="217">
        <f>+I58</f>
      </c>
      <c r="AH58" s="217">
        <f>+J58</f>
      </c>
      <c r="AI58" s="217">
        <f>+H58</f>
      </c>
      <c r="AJ58" s="111">
        <f>+V58&amp;W58</f>
      </c>
      <c r="AK58" s="217">
        <f>+_xlfn.IFNA(VLOOKUP(AJ58,$AF$7:$AG$1066,2,0),0)</f>
      </c>
      <c r="AL58" s="217">
        <f>+IF(W58&gt;W57,AK58,AL57+AK58)</f>
      </c>
      <c r="AM58" s="217">
        <f>IF(W58&gt;W57,IF(AL58&gt;=$AZ$8,$AZ$8,AL58),IF(OR(AM57=$AZ$8,AM57=0),0,IF(AL58&gt;=$AZ$8,$AZ$8,AL58)))</f>
      </c>
      <c r="AN58" s="748">
        <f>+IF(OR(AM58&gt;AZ57,AM58=0),0,IF(AM58=AL58,AK58,$AZ$7-AL57))</f>
      </c>
      <c r="AO58" s="748">
        <f>+AK58-AN58</f>
      </c>
      <c r="AP58" s="217">
        <f>+_xlfn.IFNA(VLOOKUP(AJ58,$AF$7:$AI$1066,3,0),0)</f>
      </c>
      <c r="AQ58" s="217">
        <f>+IF(W58&gt;W57,AP58,AQ57+AP58)</f>
      </c>
      <c r="AR58" s="217">
        <f>+MAX($AM$2-SUMIF($W$7:$W$1066,W58,$AN$7:$AN$1066),0)</f>
      </c>
      <c r="AS58" s="748">
        <f>+MAX(IF(AQ58&gt;AR58,AR58-AQ57,AP58),0)</f>
      </c>
      <c r="AT58" s="748">
        <f>+AP58-AS58</f>
      </c>
      <c r="AU58" s="217">
        <f>+_xlfn.IFNA(VLOOKUP(AJ58,$AF$7:$AI$1066,4,0),0)</f>
      </c>
      <c r="AV58" s="217">
        <f>+IF(W58&gt;W57,AU58,AV57+AU58)</f>
      </c>
      <c r="AW58" s="217">
        <f>+MAX($AM$2-SUMIF($W$7:$W$1066,W58,$AN$7:$AN$1066)-SUMIF($W$7:$W$1066,W58,$AS$7:$AS$1066),0)</f>
      </c>
      <c r="AX58" s="748">
        <f>+MAX(IF(AV58&gt;AW58,AW58-AV57,AU58),0)</f>
      </c>
      <c r="AY58" s="748">
        <f>+AU58-AX58</f>
      </c>
      <c r="AZ58" s="331">
        <f>+$AM$1+IF($AP$1&gt;$AP$2,$AM$3/2)</f>
      </c>
    </row>
    <row x14ac:dyDescent="0.25" r="59" customHeight="1" ht="18.75">
      <c r="A59" s="1"/>
      <c r="B59" s="7"/>
      <c r="C59" s="170"/>
      <c r="D59" s="331">
        <v>52</v>
      </c>
      <c r="E59" s="544">
        <f>+DATE(YEAR(E58),MONTH(E58)-1,DAY(E58))</f>
        <v>25569.041666666668</v>
      </c>
      <c r="F59" s="333">
        <f>IF(DATE(YEAR($B$6),MONTH($B$6)+1,DAY(1))=E59,1,IF(MONTH(E59)=1,F60*(1+$F$5),F60))</f>
      </c>
      <c r="G59" s="333">
        <f>IF('Simulador - 1º Pilar'!$E$99="Sí",IF('Aportaciones PPE'!$B$13&lt;'Aportaciones PPE'!E59,0,F59*$B$8/12),F59*$B$8/12)</f>
      </c>
      <c r="H59" s="333">
        <f>$H$5*G59</f>
      </c>
      <c r="I59" s="333">
        <f>$I$5*G59</f>
      </c>
      <c r="J59" s="333">
        <f>+I59</f>
      </c>
      <c r="K59" s="333">
        <f>(1+$O$5)^(D59/12)*(H59+IF(AND(F59=1,F60=0),$S$4,0))</f>
      </c>
      <c r="L59" s="333">
        <f>(1+$O$5)^(D59/12)*(I59+IF(AND(F59=1,F60=0),0))</f>
      </c>
      <c r="M59" s="333">
        <f>+L59</f>
      </c>
      <c r="N59" s="333">
        <f>L59+K59+M59</f>
      </c>
      <c r="O59" s="170"/>
      <c r="P59" s="7"/>
      <c r="Q59" s="1"/>
      <c r="R59" s="331">
        <f>D59</f>
      </c>
      <c r="S59" s="169"/>
      <c r="T59" s="1"/>
      <c r="U59" s="217"/>
      <c r="V59" s="331">
        <f>+IF(V58=11,12,IF(V58=12,1,V58+1))</f>
      </c>
      <c r="W59" s="331">
        <f>+W58+IF(V58=12,1,0)</f>
      </c>
      <c r="X59" s="555">
        <f>+DATE(W59,V59,1)</f>
        <v>25569.041666666668</v>
      </c>
      <c r="Y59" s="333">
        <f>+_xlfn.IFNA(AN59+AS59+AX59,0)</f>
      </c>
      <c r="Z59" s="333">
        <f>+_xlfn.IFNA(AO59+AT59+AY59,0)</f>
      </c>
      <c r="AA59" s="333">
        <f>Y59*(1+$O$5)^(($B$7-X59)/365.25)</f>
      </c>
      <c r="AB59" s="333">
        <f>Z59*(1+$O$5)^(($B$7-X59)/365.25)</f>
      </c>
      <c r="AC59" s="1"/>
      <c r="AD59" s="1"/>
      <c r="AE59" s="1"/>
      <c r="AF59" s="111">
        <f>+MONTH(E59)&amp;YEAR(E59)</f>
      </c>
      <c r="AG59" s="217">
        <f>+I59</f>
      </c>
      <c r="AH59" s="217">
        <f>+J59</f>
      </c>
      <c r="AI59" s="217">
        <f>+H59</f>
      </c>
      <c r="AJ59" s="111">
        <f>+V59&amp;W59</f>
      </c>
      <c r="AK59" s="217">
        <f>+_xlfn.IFNA(VLOOKUP(AJ59,$AF$7:$AG$1066,2,0),0)</f>
      </c>
      <c r="AL59" s="217">
        <f>+IF(W59&gt;W58,AK59,AL58+AK59)</f>
      </c>
      <c r="AM59" s="217">
        <f>IF(W59&gt;W58,IF(AL59&gt;=$AZ$8,$AZ$8,AL59),IF(OR(AM58=$AZ$8,AM58=0),0,IF(AL59&gt;=$AZ$8,$AZ$8,AL59)))</f>
      </c>
      <c r="AN59" s="748">
        <f>+IF(OR(AM59&gt;AZ58,AM59=0),0,IF(AM59=AL59,AK59,$AZ$7-AL58))</f>
      </c>
      <c r="AO59" s="748">
        <f>+AK59-AN59</f>
      </c>
      <c r="AP59" s="217">
        <f>+_xlfn.IFNA(VLOOKUP(AJ59,$AF$7:$AI$1066,3,0),0)</f>
      </c>
      <c r="AQ59" s="217">
        <f>+IF(W59&gt;W58,AP59,AQ58+AP59)</f>
      </c>
      <c r="AR59" s="217">
        <f>+MAX($AM$2-SUMIF($W$7:$W$1066,W59,$AN$7:$AN$1066),0)</f>
      </c>
      <c r="AS59" s="748">
        <f>+MAX(IF(AQ59&gt;AR59,AR59-AQ58,AP59),0)</f>
      </c>
      <c r="AT59" s="748">
        <f>+AP59-AS59</f>
      </c>
      <c r="AU59" s="217">
        <f>+_xlfn.IFNA(VLOOKUP(AJ59,$AF$7:$AI$1066,4,0),0)</f>
      </c>
      <c r="AV59" s="217">
        <f>+IF(W59&gt;W58,AU59,AV58+AU59)</f>
      </c>
      <c r="AW59" s="217">
        <f>+MAX($AM$2-SUMIF($W$7:$W$1066,W59,$AN$7:$AN$1066)-SUMIF($W$7:$W$1066,W59,$AS$7:$AS$1066),0)</f>
      </c>
      <c r="AX59" s="748">
        <f>+MAX(IF(AV59&gt;AW59,AW59-AV58,AU59),0)</f>
      </c>
      <c r="AY59" s="748">
        <f>+AU59-AX59</f>
      </c>
      <c r="AZ59" s="331">
        <f>+$AM$1+IF($AP$1&gt;$AP$2,$AM$3/2)</f>
      </c>
    </row>
    <row x14ac:dyDescent="0.25" r="60" customHeight="1" ht="18.75">
      <c r="A60" s="1"/>
      <c r="B60" s="7"/>
      <c r="C60" s="170"/>
      <c r="D60" s="331">
        <v>53</v>
      </c>
      <c r="E60" s="544">
        <f>+DATE(YEAR(E59),MONTH(E59)-1,DAY(E59))</f>
        <v>25569.041666666668</v>
      </c>
      <c r="F60" s="333">
        <f>IF(DATE(YEAR($B$6),MONTH($B$6)+1,DAY(1))=E60,1,IF(MONTH(E60)=1,F61*(1+$F$5),F61))</f>
      </c>
      <c r="G60" s="333">
        <f>IF('Simulador - 1º Pilar'!$E$99="Sí",IF('Aportaciones PPE'!$B$13&lt;'Aportaciones PPE'!E60,0,F60*$B$8/12),F60*$B$8/12)</f>
      </c>
      <c r="H60" s="333">
        <f>$H$5*G60</f>
      </c>
      <c r="I60" s="333">
        <f>$I$5*G60</f>
      </c>
      <c r="J60" s="333">
        <f>+I60</f>
      </c>
      <c r="K60" s="333">
        <f>(1+$O$5)^(D60/12)*(H60+IF(AND(F60=1,F61=0),$S$4,0))</f>
      </c>
      <c r="L60" s="333">
        <f>(1+$O$5)^(D60/12)*(I60+IF(AND(F60=1,F61=0),0))</f>
      </c>
      <c r="M60" s="333">
        <f>+L60</f>
      </c>
      <c r="N60" s="333">
        <f>L60+K60+M60</f>
      </c>
      <c r="O60" s="170"/>
      <c r="P60" s="7"/>
      <c r="Q60" s="1"/>
      <c r="R60" s="331">
        <f>D60</f>
      </c>
      <c r="S60" s="169"/>
      <c r="T60" s="1"/>
      <c r="U60" s="217"/>
      <c r="V60" s="331">
        <f>+IF(V59=11,12,IF(V59=12,1,V59+1))</f>
      </c>
      <c r="W60" s="331">
        <f>+W59+IF(V59=12,1,0)</f>
      </c>
      <c r="X60" s="555">
        <f>+DATE(W60,V60,1)</f>
        <v>25569.041666666668</v>
      </c>
      <c r="Y60" s="333">
        <f>+_xlfn.IFNA(AN60+AS60+AX60,0)</f>
      </c>
      <c r="Z60" s="333">
        <f>+_xlfn.IFNA(AO60+AT60+AY60,0)</f>
      </c>
      <c r="AA60" s="333">
        <f>Y60*(1+$O$5)^(($B$7-X60)/365.25)</f>
      </c>
      <c r="AB60" s="333">
        <f>Z60*(1+$O$5)^(($B$7-X60)/365.25)</f>
      </c>
      <c r="AC60" s="1"/>
      <c r="AD60" s="1"/>
      <c r="AE60" s="1"/>
      <c r="AF60" s="111">
        <f>+MONTH(E60)&amp;YEAR(E60)</f>
      </c>
      <c r="AG60" s="217">
        <f>+I60</f>
      </c>
      <c r="AH60" s="217">
        <f>+J60</f>
      </c>
      <c r="AI60" s="217">
        <f>+H60</f>
      </c>
      <c r="AJ60" s="111">
        <f>+V60&amp;W60</f>
      </c>
      <c r="AK60" s="217">
        <f>+_xlfn.IFNA(VLOOKUP(AJ60,$AF$7:$AG$1066,2,0),0)</f>
      </c>
      <c r="AL60" s="217">
        <f>+IF(W60&gt;W59,AK60,AL59+AK60)</f>
      </c>
      <c r="AM60" s="217">
        <f>IF(W60&gt;W59,IF(AL60&gt;=$AZ$8,$AZ$8,AL60),IF(OR(AM59=$AZ$8,AM59=0),0,IF(AL60&gt;=$AZ$8,$AZ$8,AL60)))</f>
      </c>
      <c r="AN60" s="748">
        <f>+IF(OR(AM60&gt;AZ59,AM60=0),0,IF(AM60=AL60,AK60,$AZ$7-AL59))</f>
      </c>
      <c r="AO60" s="748">
        <f>+AK60-AN60</f>
      </c>
      <c r="AP60" s="217">
        <f>+_xlfn.IFNA(VLOOKUP(AJ60,$AF$7:$AI$1066,3,0),0)</f>
      </c>
      <c r="AQ60" s="217">
        <f>+IF(W60&gt;W59,AP60,AQ59+AP60)</f>
      </c>
      <c r="AR60" s="217">
        <f>+MAX($AM$2-SUMIF($W$7:$W$1066,W60,$AN$7:$AN$1066),0)</f>
      </c>
      <c r="AS60" s="748">
        <f>+MAX(IF(AQ60&gt;AR60,AR60-AQ59,AP60),0)</f>
      </c>
      <c r="AT60" s="748">
        <f>+AP60-AS60</f>
      </c>
      <c r="AU60" s="217">
        <f>+_xlfn.IFNA(VLOOKUP(AJ60,$AF$7:$AI$1066,4,0),0)</f>
      </c>
      <c r="AV60" s="217">
        <f>+IF(W60&gt;W59,AU60,AV59+AU60)</f>
      </c>
      <c r="AW60" s="217">
        <f>+MAX($AM$2-SUMIF($W$7:$W$1066,W60,$AN$7:$AN$1066)-SUMIF($W$7:$W$1066,W60,$AS$7:$AS$1066),0)</f>
      </c>
      <c r="AX60" s="748">
        <f>+MAX(IF(AV60&gt;AW60,AW60-AV59,AU60),0)</f>
      </c>
      <c r="AY60" s="748">
        <f>+AU60-AX60</f>
      </c>
      <c r="AZ60" s="331">
        <f>+$AM$1+IF($AP$1&gt;$AP$2,$AM$3/2)</f>
      </c>
    </row>
    <row x14ac:dyDescent="0.25" r="61" customHeight="1" ht="18.75">
      <c r="A61" s="1"/>
      <c r="B61" s="7"/>
      <c r="C61" s="170"/>
      <c r="D61" s="331">
        <v>54</v>
      </c>
      <c r="E61" s="544">
        <f>+DATE(YEAR(E60),MONTH(E60)-1,DAY(E60))</f>
        <v>25569.041666666668</v>
      </c>
      <c r="F61" s="333">
        <f>IF(DATE(YEAR($B$6),MONTH($B$6)+1,DAY(1))=E61,1,IF(MONTH(E61)=1,F62*(1+$F$5),F62))</f>
      </c>
      <c r="G61" s="333">
        <f>IF('Simulador - 1º Pilar'!$E$99="Sí",IF('Aportaciones PPE'!$B$13&lt;'Aportaciones PPE'!E61,0,F61*$B$8/12),F61*$B$8/12)</f>
      </c>
      <c r="H61" s="333">
        <f>$H$5*G61</f>
      </c>
      <c r="I61" s="333">
        <f>$I$5*G61</f>
      </c>
      <c r="J61" s="333">
        <f>+I61</f>
      </c>
      <c r="K61" s="333">
        <f>(1+$O$5)^(D61/12)*(H61+IF(AND(F61=1,F62=0),$S$4,0))</f>
      </c>
      <c r="L61" s="333">
        <f>(1+$O$5)^(D61/12)*(I61+IF(AND(F61=1,F62=0),0))</f>
      </c>
      <c r="M61" s="333">
        <f>+L61</f>
      </c>
      <c r="N61" s="333">
        <f>L61+K61+M61</f>
      </c>
      <c r="O61" s="170"/>
      <c r="P61" s="7"/>
      <c r="Q61" s="1"/>
      <c r="R61" s="331">
        <f>D61</f>
      </c>
      <c r="S61" s="169"/>
      <c r="T61" s="1"/>
      <c r="U61" s="217"/>
      <c r="V61" s="331">
        <f>+IF(V60=11,12,IF(V60=12,1,V60+1))</f>
      </c>
      <c r="W61" s="331">
        <f>+W60+IF(V60=12,1,0)</f>
      </c>
      <c r="X61" s="555">
        <f>+DATE(W61,V61,1)</f>
        <v>25569.041666666668</v>
      </c>
      <c r="Y61" s="333">
        <f>+_xlfn.IFNA(AN61+AS61+AX61,0)</f>
      </c>
      <c r="Z61" s="333">
        <f>+_xlfn.IFNA(AO61+AT61+AY61,0)</f>
      </c>
      <c r="AA61" s="333">
        <f>Y61*(1+$O$5)^(($B$7-X61)/365.25)</f>
      </c>
      <c r="AB61" s="333">
        <f>Z61*(1+$O$5)^(($B$7-X61)/365.25)</f>
      </c>
      <c r="AC61" s="1"/>
      <c r="AD61" s="1"/>
      <c r="AE61" s="1"/>
      <c r="AF61" s="111">
        <f>+MONTH(E61)&amp;YEAR(E61)</f>
      </c>
      <c r="AG61" s="217">
        <f>+I61</f>
      </c>
      <c r="AH61" s="217">
        <f>+J61</f>
      </c>
      <c r="AI61" s="217">
        <f>+H61</f>
      </c>
      <c r="AJ61" s="111">
        <f>+V61&amp;W61</f>
      </c>
      <c r="AK61" s="217">
        <f>+_xlfn.IFNA(VLOOKUP(AJ61,$AF$7:$AG$1066,2,0),0)</f>
      </c>
      <c r="AL61" s="217">
        <f>+IF(W61&gt;W60,AK61,AL60+AK61)</f>
      </c>
      <c r="AM61" s="217">
        <f>IF(W61&gt;W60,IF(AL61&gt;=$AZ$8,$AZ$8,AL61),IF(OR(AM60=$AZ$8,AM60=0),0,IF(AL61&gt;=$AZ$8,$AZ$8,AL61)))</f>
      </c>
      <c r="AN61" s="748">
        <f>+IF(OR(AM61&gt;AZ60,AM61=0),0,IF(AM61=AL61,AK61,$AZ$7-AL60))</f>
      </c>
      <c r="AO61" s="748">
        <f>+AK61-AN61</f>
      </c>
      <c r="AP61" s="217">
        <f>+_xlfn.IFNA(VLOOKUP(AJ61,$AF$7:$AI$1066,3,0),0)</f>
      </c>
      <c r="AQ61" s="217">
        <f>+IF(W61&gt;W60,AP61,AQ60+AP61)</f>
      </c>
      <c r="AR61" s="217">
        <f>+MAX($AM$2-SUMIF($W$7:$W$1066,W61,$AN$7:$AN$1066),0)</f>
      </c>
      <c r="AS61" s="748">
        <f>+MAX(IF(AQ61&gt;AR61,AR61-AQ60,AP61),0)</f>
      </c>
      <c r="AT61" s="748">
        <f>+AP61-AS61</f>
      </c>
      <c r="AU61" s="217">
        <f>+_xlfn.IFNA(VLOOKUP(AJ61,$AF$7:$AI$1066,4,0),0)</f>
      </c>
      <c r="AV61" s="217">
        <f>+IF(W61&gt;W60,AU61,AV60+AU61)</f>
      </c>
      <c r="AW61" s="217">
        <f>+MAX($AM$2-SUMIF($W$7:$W$1066,W61,$AN$7:$AN$1066)-SUMIF($W$7:$W$1066,W61,$AS$7:$AS$1066),0)</f>
      </c>
      <c r="AX61" s="748">
        <f>+MAX(IF(AV61&gt;AW61,AW61-AV60,AU61),0)</f>
      </c>
      <c r="AY61" s="748">
        <f>+AU61-AX61</f>
      </c>
      <c r="AZ61" s="331">
        <f>+$AM$1+IF($AP$1&gt;$AP$2,$AM$3/2)</f>
      </c>
    </row>
    <row x14ac:dyDescent="0.25" r="62" customHeight="1" ht="18.75">
      <c r="A62" s="1"/>
      <c r="B62" s="7"/>
      <c r="C62" s="170"/>
      <c r="D62" s="331">
        <v>55</v>
      </c>
      <c r="E62" s="544">
        <f>+DATE(YEAR(E61),MONTH(E61)-1,DAY(E61))</f>
        <v>25569.041666666668</v>
      </c>
      <c r="F62" s="333">
        <f>IF(DATE(YEAR($B$6),MONTH($B$6)+1,DAY(1))=E62,1,IF(MONTH(E62)=1,F63*(1+$F$5),F63))</f>
      </c>
      <c r="G62" s="333">
        <f>IF('Simulador - 1º Pilar'!$E$99="Sí",IF('Aportaciones PPE'!$B$13&lt;'Aportaciones PPE'!E62,0,F62*$B$8/12),F62*$B$8/12)</f>
      </c>
      <c r="H62" s="333">
        <f>$H$5*G62</f>
      </c>
      <c r="I62" s="333">
        <f>$I$5*G62</f>
      </c>
      <c r="J62" s="333">
        <f>+I62</f>
      </c>
      <c r="K62" s="333">
        <f>(1+$O$5)^(D62/12)*(H62+IF(AND(F62=1,F63=0),$S$4,0))</f>
      </c>
      <c r="L62" s="333">
        <f>(1+$O$5)^(D62/12)*(I62+IF(AND(F62=1,F63=0),0))</f>
      </c>
      <c r="M62" s="333">
        <f>+L62</f>
      </c>
      <c r="N62" s="333">
        <f>L62+K62+M62</f>
      </c>
      <c r="O62" s="170"/>
      <c r="P62" s="7"/>
      <c r="Q62" s="1"/>
      <c r="R62" s="331">
        <f>D62</f>
      </c>
      <c r="S62" s="169"/>
      <c r="T62" s="1"/>
      <c r="U62" s="217"/>
      <c r="V62" s="331">
        <f>+IF(V61=11,12,IF(V61=12,1,V61+1))</f>
      </c>
      <c r="W62" s="331">
        <f>+W61+IF(V61=12,1,0)</f>
      </c>
      <c r="X62" s="555">
        <f>+DATE(W62,V62,1)</f>
        <v>25569.041666666668</v>
      </c>
      <c r="Y62" s="333">
        <f>+_xlfn.IFNA(AN62+AS62+AX62,0)</f>
      </c>
      <c r="Z62" s="333">
        <f>+_xlfn.IFNA(AO62+AT62+AY62,0)</f>
      </c>
      <c r="AA62" s="333">
        <f>Y62*(1+$O$5)^(($B$7-X62)/365.25)</f>
      </c>
      <c r="AB62" s="333">
        <f>Z62*(1+$O$5)^(($B$7-X62)/365.25)</f>
      </c>
      <c r="AC62" s="1"/>
      <c r="AD62" s="1"/>
      <c r="AE62" s="1"/>
      <c r="AF62" s="111">
        <f>+MONTH(E62)&amp;YEAR(E62)</f>
      </c>
      <c r="AG62" s="217">
        <f>+I62</f>
      </c>
      <c r="AH62" s="217">
        <f>+J62</f>
      </c>
      <c r="AI62" s="217">
        <f>+H62</f>
      </c>
      <c r="AJ62" s="111">
        <f>+V62&amp;W62</f>
      </c>
      <c r="AK62" s="217">
        <f>+_xlfn.IFNA(VLOOKUP(AJ62,$AF$7:$AG$1066,2,0),0)</f>
      </c>
      <c r="AL62" s="217">
        <f>+IF(W62&gt;W61,AK62,AL61+AK62)</f>
      </c>
      <c r="AM62" s="217">
        <f>IF(W62&gt;W61,IF(AL62&gt;=$AZ$8,$AZ$8,AL62),IF(OR(AM61=$AZ$8,AM61=0),0,IF(AL62&gt;=$AZ$8,$AZ$8,AL62)))</f>
      </c>
      <c r="AN62" s="748">
        <f>+IF(OR(AM62&gt;AZ61,AM62=0),0,IF(AM62=AL62,AK62,$AZ$7-AL61))</f>
      </c>
      <c r="AO62" s="748">
        <f>+AK62-AN62</f>
      </c>
      <c r="AP62" s="217">
        <f>+_xlfn.IFNA(VLOOKUP(AJ62,$AF$7:$AI$1066,3,0),0)</f>
      </c>
      <c r="AQ62" s="217">
        <f>+IF(W62&gt;W61,AP62,AQ61+AP62)</f>
      </c>
      <c r="AR62" s="217">
        <f>+MAX($AM$2-SUMIF($W$7:$W$1066,W62,$AN$7:$AN$1066),0)</f>
      </c>
      <c r="AS62" s="748">
        <f>+MAX(IF(AQ62&gt;AR62,AR62-AQ61,AP62),0)</f>
      </c>
      <c r="AT62" s="748">
        <f>+AP62-AS62</f>
      </c>
      <c r="AU62" s="217">
        <f>+_xlfn.IFNA(VLOOKUP(AJ62,$AF$7:$AI$1066,4,0),0)</f>
      </c>
      <c r="AV62" s="217">
        <f>+IF(W62&gt;W61,AU62,AV61+AU62)</f>
      </c>
      <c r="AW62" s="217">
        <f>+MAX($AM$2-SUMIF($W$7:$W$1066,W62,$AN$7:$AN$1066)-SUMIF($W$7:$W$1066,W62,$AS$7:$AS$1066),0)</f>
      </c>
      <c r="AX62" s="748">
        <f>+MAX(IF(AV62&gt;AW62,AW62-AV61,AU62),0)</f>
      </c>
      <c r="AY62" s="748">
        <f>+AU62-AX62</f>
      </c>
      <c r="AZ62" s="331">
        <f>+$AM$1+IF($AP$1&gt;$AP$2,$AM$3/2)</f>
      </c>
    </row>
    <row x14ac:dyDescent="0.25" r="63" customHeight="1" ht="18.75">
      <c r="A63" s="1"/>
      <c r="B63" s="7"/>
      <c r="C63" s="170"/>
      <c r="D63" s="331">
        <v>56</v>
      </c>
      <c r="E63" s="544">
        <f>+DATE(YEAR(E62),MONTH(E62)-1,DAY(E62))</f>
        <v>25569.041666666668</v>
      </c>
      <c r="F63" s="333">
        <f>IF(DATE(YEAR($B$6),MONTH($B$6)+1,DAY(1))=E63,1,IF(MONTH(E63)=1,F64*(1+$F$5),F64))</f>
      </c>
      <c r="G63" s="333">
        <f>IF('Simulador - 1º Pilar'!$E$99="Sí",IF('Aportaciones PPE'!$B$13&lt;'Aportaciones PPE'!E63,0,F63*$B$8/12),F63*$B$8/12)</f>
      </c>
      <c r="H63" s="333">
        <f>$H$5*G63</f>
      </c>
      <c r="I63" s="333">
        <f>$I$5*G63</f>
      </c>
      <c r="J63" s="333">
        <f>+I63</f>
      </c>
      <c r="K63" s="333">
        <f>(1+$O$5)^(D63/12)*(H63+IF(AND(F63=1,F64=0),$S$4,0))</f>
      </c>
      <c r="L63" s="333">
        <f>(1+$O$5)^(D63/12)*(I63+IF(AND(F63=1,F64=0),0))</f>
      </c>
      <c r="M63" s="333">
        <f>+L63</f>
      </c>
      <c r="N63" s="333">
        <f>L63+K63+M63</f>
      </c>
      <c r="O63" s="170"/>
      <c r="P63" s="7"/>
      <c r="Q63" s="1"/>
      <c r="R63" s="331">
        <f>D63</f>
      </c>
      <c r="S63" s="169"/>
      <c r="T63" s="1"/>
      <c r="U63" s="217"/>
      <c r="V63" s="331">
        <f>+IF(V62=11,12,IF(V62=12,1,V62+1))</f>
      </c>
      <c r="W63" s="331">
        <f>+W62+IF(V62=12,1,0)</f>
      </c>
      <c r="X63" s="555">
        <f>+DATE(W63,V63,1)</f>
        <v>25569.041666666668</v>
      </c>
      <c r="Y63" s="333">
        <f>+_xlfn.IFNA(AN63+AS63+AX63,0)</f>
      </c>
      <c r="Z63" s="333">
        <f>+_xlfn.IFNA(AO63+AT63+AY63,0)</f>
      </c>
      <c r="AA63" s="333">
        <f>Y63*(1+$O$5)^(($B$7-X63)/365.25)</f>
      </c>
      <c r="AB63" s="333">
        <f>Z63*(1+$O$5)^(($B$7-X63)/365.25)</f>
      </c>
      <c r="AC63" s="1"/>
      <c r="AD63" s="1"/>
      <c r="AE63" s="1"/>
      <c r="AF63" s="111">
        <f>+MONTH(E63)&amp;YEAR(E63)</f>
      </c>
      <c r="AG63" s="217">
        <f>+I63</f>
      </c>
      <c r="AH63" s="217">
        <f>+J63</f>
      </c>
      <c r="AI63" s="217">
        <f>+H63</f>
      </c>
      <c r="AJ63" s="111">
        <f>+V63&amp;W63</f>
      </c>
      <c r="AK63" s="217">
        <f>+_xlfn.IFNA(VLOOKUP(AJ63,$AF$7:$AG$1066,2,0),0)</f>
      </c>
      <c r="AL63" s="217">
        <f>+IF(W63&gt;W62,AK63,AL62+AK63)</f>
      </c>
      <c r="AM63" s="217">
        <f>IF(W63&gt;W62,IF(AL63&gt;=$AZ$8,$AZ$8,AL63),IF(OR(AM62=$AZ$8,AM62=0),0,IF(AL63&gt;=$AZ$8,$AZ$8,AL63)))</f>
      </c>
      <c r="AN63" s="748">
        <f>+IF(OR(AM63&gt;AZ62,AM63=0),0,IF(AM63=AL63,AK63,$AZ$7-AL62))</f>
      </c>
      <c r="AO63" s="748">
        <f>+AK63-AN63</f>
      </c>
      <c r="AP63" s="217">
        <f>+_xlfn.IFNA(VLOOKUP(AJ63,$AF$7:$AI$1066,3,0),0)</f>
      </c>
      <c r="AQ63" s="217">
        <f>+IF(W63&gt;W62,AP63,AQ62+AP63)</f>
      </c>
      <c r="AR63" s="217">
        <f>+MAX($AM$2-SUMIF($W$7:$W$1066,W63,$AN$7:$AN$1066),0)</f>
      </c>
      <c r="AS63" s="748">
        <f>+MAX(IF(AQ63&gt;AR63,AR63-AQ62,AP63),0)</f>
      </c>
      <c r="AT63" s="748">
        <f>+AP63-AS63</f>
      </c>
      <c r="AU63" s="217">
        <f>+_xlfn.IFNA(VLOOKUP(AJ63,$AF$7:$AI$1066,4,0),0)</f>
      </c>
      <c r="AV63" s="217">
        <f>+IF(W63&gt;W62,AU63,AV62+AU63)</f>
      </c>
      <c r="AW63" s="217">
        <f>+MAX($AM$2-SUMIF($W$7:$W$1066,W63,$AN$7:$AN$1066)-SUMIF($W$7:$W$1066,W63,$AS$7:$AS$1066),0)</f>
      </c>
      <c r="AX63" s="748">
        <f>+MAX(IF(AV63&gt;AW63,AW63-AV62,AU63),0)</f>
      </c>
      <c r="AY63" s="748">
        <f>+AU63-AX63</f>
      </c>
      <c r="AZ63" s="331">
        <f>+$AM$1+IF($AP$1&gt;$AP$2,$AM$3/2)</f>
      </c>
    </row>
    <row x14ac:dyDescent="0.25" r="64" customHeight="1" ht="18.75">
      <c r="A64" s="1"/>
      <c r="B64" s="7"/>
      <c r="C64" s="170"/>
      <c r="D64" s="331">
        <v>57</v>
      </c>
      <c r="E64" s="544">
        <f>+DATE(YEAR(E63),MONTH(E63)-1,DAY(E63))</f>
        <v>25569.041666666668</v>
      </c>
      <c r="F64" s="333">
        <f>IF(DATE(YEAR($B$6),MONTH($B$6)+1,DAY(1))=E64,1,IF(MONTH(E64)=1,F65*(1+$F$5),F65))</f>
      </c>
      <c r="G64" s="333">
        <f>IF('Simulador - 1º Pilar'!$E$99="Sí",IF('Aportaciones PPE'!$B$13&lt;'Aportaciones PPE'!E64,0,F64*$B$8/12),F64*$B$8/12)</f>
      </c>
      <c r="H64" s="333">
        <f>$H$5*G64</f>
      </c>
      <c r="I64" s="333">
        <f>$I$5*G64</f>
      </c>
      <c r="J64" s="333">
        <f>+I64</f>
      </c>
      <c r="K64" s="333">
        <f>(1+$O$5)^(D64/12)*(H64+IF(AND(F64=1,F65=0),$S$4,0))</f>
      </c>
      <c r="L64" s="333">
        <f>(1+$O$5)^(D64/12)*(I64+IF(AND(F64=1,F65=0),0))</f>
      </c>
      <c r="M64" s="333">
        <f>+L64</f>
      </c>
      <c r="N64" s="333">
        <f>L64+K64+M64</f>
      </c>
      <c r="O64" s="170"/>
      <c r="P64" s="7"/>
      <c r="Q64" s="1"/>
      <c r="R64" s="331">
        <f>D64</f>
      </c>
      <c r="S64" s="169"/>
      <c r="T64" s="1"/>
      <c r="U64" s="217"/>
      <c r="V64" s="331">
        <f>+IF(V63=11,12,IF(V63=12,1,V63+1))</f>
      </c>
      <c r="W64" s="331">
        <f>+W63+IF(V63=12,1,0)</f>
      </c>
      <c r="X64" s="555">
        <f>+DATE(W64,V64,1)</f>
        <v>25569.041666666668</v>
      </c>
      <c r="Y64" s="333">
        <f>+_xlfn.IFNA(AN64+AS64+AX64,0)</f>
      </c>
      <c r="Z64" s="333">
        <f>+_xlfn.IFNA(AO64+AT64+AY64,0)</f>
      </c>
      <c r="AA64" s="333">
        <f>Y64*(1+$O$5)^(($B$7-X64)/365.25)</f>
      </c>
      <c r="AB64" s="333">
        <f>Z64*(1+$O$5)^(($B$7-X64)/365.25)</f>
      </c>
      <c r="AC64" s="1"/>
      <c r="AD64" s="1"/>
      <c r="AE64" s="1"/>
      <c r="AF64" s="111">
        <f>+MONTH(E64)&amp;YEAR(E64)</f>
      </c>
      <c r="AG64" s="217">
        <f>+I64</f>
      </c>
      <c r="AH64" s="217">
        <f>+J64</f>
      </c>
      <c r="AI64" s="217">
        <f>+H64</f>
      </c>
      <c r="AJ64" s="111">
        <f>+V64&amp;W64</f>
      </c>
      <c r="AK64" s="217">
        <f>+_xlfn.IFNA(VLOOKUP(AJ64,$AF$7:$AG$1066,2,0),0)</f>
      </c>
      <c r="AL64" s="217">
        <f>+IF(W64&gt;W63,AK64,AL63+AK64)</f>
      </c>
      <c r="AM64" s="217">
        <f>IF(W64&gt;W63,IF(AL64&gt;=$AZ$8,$AZ$8,AL64),IF(OR(AM63=$AZ$8,AM63=0),0,IF(AL64&gt;=$AZ$8,$AZ$8,AL64)))</f>
      </c>
      <c r="AN64" s="748">
        <f>+IF(OR(AM64&gt;AZ63,AM64=0),0,IF(AM64=AL64,AK64,$AZ$7-AL63))</f>
      </c>
      <c r="AO64" s="748">
        <f>+AK64-AN64</f>
      </c>
      <c r="AP64" s="217">
        <f>+_xlfn.IFNA(VLOOKUP(AJ64,$AF$7:$AI$1066,3,0),0)</f>
      </c>
      <c r="AQ64" s="217">
        <f>+IF(W64&gt;W63,AP64,AQ63+AP64)</f>
      </c>
      <c r="AR64" s="217">
        <f>+MAX($AM$2-SUMIF($W$7:$W$1066,W64,$AN$7:$AN$1066),0)</f>
      </c>
      <c r="AS64" s="748">
        <f>+MAX(IF(AQ64&gt;AR64,AR64-AQ63,AP64),0)</f>
      </c>
      <c r="AT64" s="748">
        <f>+AP64-AS64</f>
      </c>
      <c r="AU64" s="217">
        <f>+_xlfn.IFNA(VLOOKUP(AJ64,$AF$7:$AI$1066,4,0),0)</f>
      </c>
      <c r="AV64" s="217">
        <f>+IF(W64&gt;W63,AU64,AV63+AU64)</f>
      </c>
      <c r="AW64" s="217">
        <f>+MAX($AM$2-SUMIF($W$7:$W$1066,W64,$AN$7:$AN$1066)-SUMIF($W$7:$W$1066,W64,$AS$7:$AS$1066),0)</f>
      </c>
      <c r="AX64" s="748">
        <f>+MAX(IF(AV64&gt;AW64,AW64-AV63,AU64),0)</f>
      </c>
      <c r="AY64" s="748">
        <f>+AU64-AX64</f>
      </c>
      <c r="AZ64" s="331">
        <f>+$AM$1+IF($AP$1&gt;$AP$2,$AM$3/2)</f>
      </c>
    </row>
    <row x14ac:dyDescent="0.25" r="65" customHeight="1" ht="18.75">
      <c r="A65" s="1"/>
      <c r="B65" s="7"/>
      <c r="C65" s="170"/>
      <c r="D65" s="331">
        <v>58</v>
      </c>
      <c r="E65" s="544">
        <f>+DATE(YEAR(E64),MONTH(E64)-1,DAY(E64))</f>
        <v>25569.041666666668</v>
      </c>
      <c r="F65" s="333">
        <f>IF(DATE(YEAR($B$6),MONTH($B$6)+1,DAY(1))=E65,1,IF(MONTH(E65)=1,F66*(1+$F$5),F66))</f>
      </c>
      <c r="G65" s="333">
        <f>IF('Simulador - 1º Pilar'!$E$99="Sí",IF('Aportaciones PPE'!$B$13&lt;'Aportaciones PPE'!E65,0,F65*$B$8/12),F65*$B$8/12)</f>
      </c>
      <c r="H65" s="333">
        <f>$H$5*G65</f>
      </c>
      <c r="I65" s="333">
        <f>$I$5*G65</f>
      </c>
      <c r="J65" s="333">
        <f>+I65</f>
      </c>
      <c r="K65" s="333">
        <f>(1+$O$5)^(D65/12)*(H65+IF(AND(F65=1,F66=0),$S$4,0))</f>
      </c>
      <c r="L65" s="333">
        <f>(1+$O$5)^(D65/12)*(I65+IF(AND(F65=1,F66=0),0))</f>
      </c>
      <c r="M65" s="333">
        <f>+L65</f>
      </c>
      <c r="N65" s="333">
        <f>L65+K65+M65</f>
      </c>
      <c r="O65" s="170"/>
      <c r="P65" s="7"/>
      <c r="Q65" s="1"/>
      <c r="R65" s="331">
        <f>D65</f>
      </c>
      <c r="S65" s="169"/>
      <c r="T65" s="1"/>
      <c r="U65" s="217"/>
      <c r="V65" s="331">
        <f>+IF(V64=11,12,IF(V64=12,1,V64+1))</f>
      </c>
      <c r="W65" s="331">
        <f>+W64+IF(V64=12,1,0)</f>
      </c>
      <c r="X65" s="555">
        <f>+DATE(W65,V65,1)</f>
        <v>25569.041666666668</v>
      </c>
      <c r="Y65" s="333">
        <f>+_xlfn.IFNA(AN65+AS65+AX65,0)</f>
      </c>
      <c r="Z65" s="333">
        <f>+_xlfn.IFNA(AO65+AT65+AY65,0)</f>
      </c>
      <c r="AA65" s="333">
        <f>Y65*(1+$O$5)^(($B$7-X65)/365.25)</f>
      </c>
      <c r="AB65" s="333">
        <f>Z65*(1+$O$5)^(($B$7-X65)/365.25)</f>
      </c>
      <c r="AC65" s="1"/>
      <c r="AD65" s="1"/>
      <c r="AE65" s="1"/>
      <c r="AF65" s="111">
        <f>+MONTH(E65)&amp;YEAR(E65)</f>
      </c>
      <c r="AG65" s="217">
        <f>+I65</f>
      </c>
      <c r="AH65" s="217">
        <f>+J65</f>
      </c>
      <c r="AI65" s="217">
        <f>+H65</f>
      </c>
      <c r="AJ65" s="111">
        <f>+V65&amp;W65</f>
      </c>
      <c r="AK65" s="217">
        <f>+_xlfn.IFNA(VLOOKUP(AJ65,$AF$7:$AG$1066,2,0),0)</f>
      </c>
      <c r="AL65" s="217">
        <f>+IF(W65&gt;W64,AK65,AL64+AK65)</f>
      </c>
      <c r="AM65" s="217">
        <f>IF(W65&gt;W64,IF(AL65&gt;=$AZ$8,$AZ$8,AL65),IF(OR(AM64=$AZ$8,AM64=0),0,IF(AL65&gt;=$AZ$8,$AZ$8,AL65)))</f>
      </c>
      <c r="AN65" s="748">
        <f>+IF(OR(AM65&gt;AZ64,AM65=0),0,IF(AM65=AL65,AK65,$AZ$7-AL64))</f>
      </c>
      <c r="AO65" s="748">
        <f>+AK65-AN65</f>
      </c>
      <c r="AP65" s="217">
        <f>+_xlfn.IFNA(VLOOKUP(AJ65,$AF$7:$AI$1066,3,0),0)</f>
      </c>
      <c r="AQ65" s="217">
        <f>+IF(W65&gt;W64,AP65,AQ64+AP65)</f>
      </c>
      <c r="AR65" s="217">
        <f>+MAX($AM$2-SUMIF($W$7:$W$1066,W65,$AN$7:$AN$1066),0)</f>
      </c>
      <c r="AS65" s="748">
        <f>+MAX(IF(AQ65&gt;AR65,AR65-AQ64,AP65),0)</f>
      </c>
      <c r="AT65" s="748">
        <f>+AP65-AS65</f>
      </c>
      <c r="AU65" s="217">
        <f>+_xlfn.IFNA(VLOOKUP(AJ65,$AF$7:$AI$1066,4,0),0)</f>
      </c>
      <c r="AV65" s="217">
        <f>+IF(W65&gt;W64,AU65,AV64+AU65)</f>
      </c>
      <c r="AW65" s="217">
        <f>+MAX($AM$2-SUMIF($W$7:$W$1066,W65,$AN$7:$AN$1066)-SUMIF($W$7:$W$1066,W65,$AS$7:$AS$1066),0)</f>
      </c>
      <c r="AX65" s="748">
        <f>+MAX(IF(AV65&gt;AW65,AW65-AV64,AU65),0)</f>
      </c>
      <c r="AY65" s="748">
        <f>+AU65-AX65</f>
      </c>
      <c r="AZ65" s="331">
        <f>+$AM$1+IF($AP$1&gt;$AP$2,$AM$3/2)</f>
      </c>
    </row>
    <row x14ac:dyDescent="0.25" r="66" customHeight="1" ht="18.75">
      <c r="A66" s="1"/>
      <c r="B66" s="7"/>
      <c r="C66" s="170"/>
      <c r="D66" s="752">
        <v>59</v>
      </c>
      <c r="E66" s="544">
        <f>+DATE(YEAR(E65),MONTH(E65)-1,DAY(E65))</f>
        <v>25569.041666666668</v>
      </c>
      <c r="F66" s="333">
        <f>IF(DATE(YEAR($B$6),MONTH($B$6)+1,DAY(1))=E66,1,IF(MONTH(E66)=1,F67*(1+$F$5),F67))</f>
      </c>
      <c r="G66" s="333">
        <f>IF('Simulador - 1º Pilar'!$E$99="Sí",IF('Aportaciones PPE'!$B$13&lt;'Aportaciones PPE'!E66,0,F66*$B$8/12),F66*$B$8/12)</f>
      </c>
      <c r="H66" s="333">
        <f>$H$5*G66</f>
      </c>
      <c r="I66" s="333">
        <f>$I$5*G66</f>
      </c>
      <c r="J66" s="333">
        <f>+I66</f>
      </c>
      <c r="K66" s="333">
        <f>(1+$O$5)^(D66/12)*(H66+IF(AND(F66=1,F67=0),$S$4,0))</f>
      </c>
      <c r="L66" s="333">
        <f>(1+$O$5)^(D66/12)*(I66+IF(AND(F66=1,F67=0),0))</f>
      </c>
      <c r="M66" s="333">
        <f>+L66</f>
      </c>
      <c r="N66" s="333">
        <f>L66+K66+M66</f>
      </c>
      <c r="O66" s="170"/>
      <c r="P66" s="7"/>
      <c r="Q66" s="1"/>
      <c r="R66" s="752">
        <f>D66</f>
      </c>
      <c r="S66" s="169"/>
      <c r="T66" s="1"/>
      <c r="U66" s="750"/>
      <c r="V66" s="752">
        <f>+IF(V65=11,12,IF(V65=12,1,V65+1))</f>
      </c>
      <c r="W66" s="752">
        <f>+W65+IF(V65=12,1,0)</f>
      </c>
      <c r="X66" s="753">
        <f>+DATE(W66,V66,1)</f>
        <v>25569.041666666668</v>
      </c>
      <c r="Y66" s="333">
        <f>+_xlfn.IFNA(AN66+AS66+AX66,0)</f>
      </c>
      <c r="Z66" s="333">
        <f>+_xlfn.IFNA(AO66+AT66+AY66,0)</f>
      </c>
      <c r="AA66" s="333">
        <f>Y66*(1+$O$5)^(($B$7-X66)/365.25)</f>
      </c>
      <c r="AB66" s="333">
        <f>Z66*(1+$O$5)^(($B$7-X66)/365.25)</f>
      </c>
      <c r="AC66" s="1"/>
      <c r="AD66" s="1"/>
      <c r="AE66" s="1"/>
      <c r="AF66" s="749">
        <f>+MONTH(E66)&amp;YEAR(E66)</f>
      </c>
      <c r="AG66" s="750">
        <f>+I66</f>
      </c>
      <c r="AH66" s="750">
        <f>+J66</f>
      </c>
      <c r="AI66" s="750">
        <f>+H66</f>
      </c>
      <c r="AJ66" s="749">
        <f>+V66&amp;W66</f>
      </c>
      <c r="AK66" s="750">
        <f>+_xlfn.IFNA(VLOOKUP(AJ66,$AF$7:$AG$1066,2,0),0)</f>
      </c>
      <c r="AL66" s="750">
        <f>+IF(W66&gt;W65,AK66,AL65+AK66)</f>
      </c>
      <c r="AM66" s="750">
        <f>IF(W66&gt;W65,IF(AL66&gt;=$AZ$8,$AZ$8,AL66),IF(OR(AM65=$AZ$8,AM65=0),0,IF(AL66&gt;=$AZ$8,$AZ$8,AL66)))</f>
      </c>
      <c r="AN66" s="751">
        <f>+IF(OR(AM66&gt;AZ65,AM66=0),0,IF(AM66=AL66,AK66,$AZ$7-AL65))</f>
      </c>
      <c r="AO66" s="751">
        <f>+AK66-AN66</f>
      </c>
      <c r="AP66" s="750">
        <f>+_xlfn.IFNA(VLOOKUP(AJ66,$AF$7:$AI$1066,3,0),0)</f>
      </c>
      <c r="AQ66" s="750">
        <f>+IF(W66&gt;W65,AP66,AQ65+AP66)</f>
      </c>
      <c r="AR66" s="750">
        <f>+MAX($AM$2-SUMIF($W$7:$W$1066,W66,$AN$7:$AN$1066),0)</f>
      </c>
      <c r="AS66" s="751">
        <f>+MAX(IF(AQ66&gt;AR66,AR66-AQ65,AP66),0)</f>
      </c>
      <c r="AT66" s="751">
        <f>+AP66-AS66</f>
      </c>
      <c r="AU66" s="750">
        <f>+_xlfn.IFNA(VLOOKUP(AJ66,$AF$7:$AI$1066,4,0),0)</f>
      </c>
      <c r="AV66" s="750">
        <f>+IF(W66&gt;W65,AU66,AV65+AU66)</f>
      </c>
      <c r="AW66" s="750">
        <f>+MAX($AM$2-SUMIF($W$7:$W$1066,W66,$AN$7:$AN$1066)-SUMIF($W$7:$W$1066,W66,$AS$7:$AS$1066),0)</f>
      </c>
      <c r="AX66" s="751">
        <f>+MAX(IF(AV66&gt;AW66,AW66-AV65,AU66),0)</f>
      </c>
      <c r="AY66" s="751">
        <f>+AU66-AX66</f>
      </c>
      <c r="AZ66" s="752">
        <f>+$AM$1+IF($AP$1&gt;$AP$2,$AM$3/2)</f>
      </c>
    </row>
    <row x14ac:dyDescent="0.25" r="67" customHeight="1" ht="18.75">
      <c r="A67" s="1"/>
      <c r="B67" s="7"/>
      <c r="C67" s="170"/>
      <c r="D67" s="331">
        <v>60</v>
      </c>
      <c r="E67" s="754">
        <f>+DATE(YEAR(E66),MONTH(E66)-1,DAY(E66))</f>
        <v>25569.041666666668</v>
      </c>
      <c r="F67" s="755">
        <f>IF(DATE(YEAR($B$6),MONTH($B$6)+1,DAY(1))=E67,1,IF(MONTH(E67)=1,F68*(1+$F$5),F68))</f>
      </c>
      <c r="G67" s="755">
        <f>IF('Simulador - 1º Pilar'!$E$99="Sí",IF('Aportaciones PPE'!$B$13&lt;'Aportaciones PPE'!E67,0,F67*$B$8/12),F67*$B$8/12)</f>
      </c>
      <c r="H67" s="755">
        <f>$H$5*G67</f>
      </c>
      <c r="I67" s="755">
        <f>$I$5*G67</f>
      </c>
      <c r="J67" s="755">
        <f>+I67</f>
      </c>
      <c r="K67" s="755">
        <f>(1+$O$5)^(D67/12)*(H67+IF(AND(F67=1,F68=0),$S$4,0))</f>
      </c>
      <c r="L67" s="755">
        <f>(1+$O$5)^(D67/12)*(I67+IF(AND(F67=1,F68=0),0))</f>
      </c>
      <c r="M67" s="755">
        <f>+L67</f>
      </c>
      <c r="N67" s="755">
        <f>L67+K67+M67</f>
      </c>
      <c r="O67" s="170"/>
      <c r="P67" s="7"/>
      <c r="Q67" s="1"/>
      <c r="R67" s="331">
        <f>D67</f>
      </c>
      <c r="S67" s="169"/>
      <c r="T67" s="1"/>
      <c r="U67" s="217"/>
      <c r="V67" s="331">
        <f>+IF(V66=11,12,IF(V66=12,1,V66+1))</f>
      </c>
      <c r="W67" s="331">
        <f>+W66+IF(V66=12,1,0)</f>
      </c>
      <c r="X67" s="555">
        <f>+DATE(W67,V67,1)</f>
        <v>25569.041666666668</v>
      </c>
      <c r="Y67" s="755">
        <f>+_xlfn.IFNA(AN67+AS67+AX67,0)</f>
      </c>
      <c r="Z67" s="755">
        <f>+_xlfn.IFNA(AO67+AT67+AY67,0)</f>
      </c>
      <c r="AA67" s="755">
        <f>Y67*(1+$O$5)^(($B$7-X67)/365.25)</f>
      </c>
      <c r="AB67" s="755">
        <f>Z67*(1+$O$5)^(($B$7-X67)/365.25)</f>
      </c>
      <c r="AC67" s="1"/>
      <c r="AD67" s="1"/>
      <c r="AE67" s="1"/>
      <c r="AF67" s="111">
        <f>+MONTH(E67)&amp;YEAR(E67)</f>
      </c>
      <c r="AG67" s="217">
        <f>+I67</f>
      </c>
      <c r="AH67" s="217">
        <f>+J67</f>
      </c>
      <c r="AI67" s="217">
        <f>+H67</f>
      </c>
      <c r="AJ67" s="111">
        <f>+V67&amp;W67</f>
      </c>
      <c r="AK67" s="217">
        <f>+_xlfn.IFNA(VLOOKUP(AJ67,$AF$7:$AG$1066,2,0),0)</f>
      </c>
      <c r="AL67" s="217">
        <f>+IF(W67&gt;W66,AK67,AL66+AK67)</f>
      </c>
      <c r="AM67" s="217">
        <f>IF(W67&gt;W66,IF(AL67&gt;=$AZ$8,$AZ$8,AL67),IF(OR(AM66=$AZ$8,AM66=0),0,IF(AL67&gt;=$AZ$8,$AZ$8,AL67)))</f>
      </c>
      <c r="AN67" s="748">
        <f>+IF(OR(AM67&gt;AZ66,AM67=0),0,IF(AM67=AL67,AK67,$AZ$7-AL66))</f>
      </c>
      <c r="AO67" s="748">
        <f>+AK67-AN67</f>
      </c>
      <c r="AP67" s="217">
        <f>+_xlfn.IFNA(VLOOKUP(AJ67,$AF$7:$AI$1066,3,0),0)</f>
      </c>
      <c r="AQ67" s="217">
        <f>+IF(W67&gt;W66,AP67,AQ66+AP67)</f>
      </c>
      <c r="AR67" s="217">
        <f>+MAX($AM$2-SUMIF($W$7:$W$1066,W67,$AN$7:$AN$1066),0)</f>
      </c>
      <c r="AS67" s="748">
        <f>+MAX(IF(AQ67&gt;AR67,AR67-AQ66,AP67),0)</f>
      </c>
      <c r="AT67" s="748">
        <f>+AP67-AS67</f>
      </c>
      <c r="AU67" s="217">
        <f>+_xlfn.IFNA(VLOOKUP(AJ67,$AF$7:$AI$1066,4,0),0)</f>
      </c>
      <c r="AV67" s="217">
        <f>+IF(W67&gt;W66,AU67,AV66+AU67)</f>
      </c>
      <c r="AW67" s="217">
        <f>+MAX($AM$2-SUMIF($W$7:$W$1066,W67,$AN$7:$AN$1066)-SUMIF($W$7:$W$1066,W67,$AS$7:$AS$1066),0)</f>
      </c>
      <c r="AX67" s="748">
        <f>+MAX(IF(AV67&gt;AW67,AW67-AV66,AU67),0)</f>
      </c>
      <c r="AY67" s="748">
        <f>+AU67-AX67</f>
      </c>
      <c r="AZ67" s="331">
        <f>+$AM$1+IF($AP$1&gt;$AP$2,$AM$3/2)</f>
      </c>
    </row>
    <row x14ac:dyDescent="0.25" r="68" customHeight="1" ht="18.75">
      <c r="A68" s="1"/>
      <c r="B68" s="7"/>
      <c r="C68" s="170"/>
      <c r="D68" s="331">
        <v>61</v>
      </c>
      <c r="E68" s="544">
        <f>+DATE(YEAR(E67),MONTH(E67)-1,DAY(E67))</f>
        <v>25569.041666666668</v>
      </c>
      <c r="F68" s="333">
        <f>IF(DATE(YEAR($B$6),MONTH($B$6)+1,DAY(1))=E68,1,IF(MONTH(E68)=1,F69*(1+$F$5),F69))</f>
      </c>
      <c r="G68" s="333">
        <f>IF('Simulador - 1º Pilar'!$E$99="Sí",IF('Aportaciones PPE'!$B$13&lt;'Aportaciones PPE'!E68,0,F68*$B$8/12),F68*$B$8/12)</f>
      </c>
      <c r="H68" s="333">
        <f>$H$5*G68</f>
      </c>
      <c r="I68" s="333">
        <f>$I$5*G68</f>
      </c>
      <c r="J68" s="333">
        <f>+I68</f>
      </c>
      <c r="K68" s="333">
        <f>(1+$O$5)^(D68/12)*(H68+IF(AND(F68=1,F69=0),$S$4,0))</f>
      </c>
      <c r="L68" s="333">
        <f>(1+$O$5)^(D68/12)*(I68+IF(AND(F68=1,F69=0),0))</f>
      </c>
      <c r="M68" s="333">
        <f>+L68</f>
      </c>
      <c r="N68" s="333">
        <f>L68+K68+M68</f>
      </c>
      <c r="O68" s="170"/>
      <c r="P68" s="7"/>
      <c r="Q68" s="1"/>
      <c r="R68" s="331">
        <f>D68</f>
      </c>
      <c r="S68" s="169"/>
      <c r="T68" s="1"/>
      <c r="U68" s="217"/>
      <c r="V68" s="331">
        <f>+IF(V67=11,12,IF(V67=12,1,V67+1))</f>
      </c>
      <c r="W68" s="331">
        <f>+W67+IF(V67=12,1,0)</f>
      </c>
      <c r="X68" s="555">
        <f>+DATE(W68,V68,1)</f>
        <v>25569.041666666668</v>
      </c>
      <c r="Y68" s="333">
        <f>+_xlfn.IFNA(AN68+AS68+AX68,0)</f>
      </c>
      <c r="Z68" s="333">
        <f>+_xlfn.IFNA(AO68+AT68+AY68,0)</f>
      </c>
      <c r="AA68" s="333">
        <f>Y68*(1+$O$5)^(($B$7-X68)/365.25)</f>
      </c>
      <c r="AB68" s="333">
        <f>Z68*(1+$O$5)^(($B$7-X68)/365.25)</f>
      </c>
      <c r="AC68" s="1"/>
      <c r="AD68" s="1"/>
      <c r="AE68" s="1"/>
      <c r="AF68" s="111">
        <f>+MONTH(E68)&amp;YEAR(E68)</f>
      </c>
      <c r="AG68" s="217">
        <f>+I68</f>
      </c>
      <c r="AH68" s="217">
        <f>+J68</f>
      </c>
      <c r="AI68" s="217">
        <f>+H68</f>
      </c>
      <c r="AJ68" s="111">
        <f>+V68&amp;W68</f>
      </c>
      <c r="AK68" s="217">
        <f>+_xlfn.IFNA(VLOOKUP(AJ68,$AF$7:$AG$1066,2,0),0)</f>
      </c>
      <c r="AL68" s="217">
        <f>+IF(W68&gt;W67,AK68,AL67+AK68)</f>
      </c>
      <c r="AM68" s="217">
        <f>IF(W68&gt;W67,IF(AL68&gt;=$AZ$8,$AZ$8,AL68),IF(OR(AM67=$AZ$8,AM67=0),0,IF(AL68&gt;=$AZ$8,$AZ$8,AL68)))</f>
      </c>
      <c r="AN68" s="748">
        <f>+IF(OR(AM68&gt;AZ67,AM68=0),0,IF(AM68=AL68,AK68,$AZ$7-AL67))</f>
      </c>
      <c r="AO68" s="748">
        <f>+AK68-AN68</f>
      </c>
      <c r="AP68" s="217">
        <f>+_xlfn.IFNA(VLOOKUP(AJ68,$AF$7:$AI$1066,3,0),0)</f>
      </c>
      <c r="AQ68" s="217">
        <f>+IF(W68&gt;W67,AP68,AQ67+AP68)</f>
      </c>
      <c r="AR68" s="217">
        <f>+MAX($AM$2-SUMIF($W$7:$W$1066,W68,$AN$7:$AN$1066),0)</f>
      </c>
      <c r="AS68" s="748">
        <f>+MAX(IF(AQ68&gt;AR68,AR68-AQ67,AP68),0)</f>
      </c>
      <c r="AT68" s="748">
        <f>+AP68-AS68</f>
      </c>
      <c r="AU68" s="217">
        <f>+_xlfn.IFNA(VLOOKUP(AJ68,$AF$7:$AI$1066,4,0),0)</f>
      </c>
      <c r="AV68" s="217">
        <f>+IF(W68&gt;W67,AU68,AV67+AU68)</f>
      </c>
      <c r="AW68" s="217">
        <f>+MAX($AM$2-SUMIF($W$7:$W$1066,W68,$AN$7:$AN$1066)-SUMIF($W$7:$W$1066,W68,$AS$7:$AS$1066),0)</f>
      </c>
      <c r="AX68" s="748">
        <f>+MAX(IF(AV68&gt;AW68,AW68-AV67,AU68),0)</f>
      </c>
      <c r="AY68" s="748">
        <f>+AU68-AX68</f>
      </c>
      <c r="AZ68" s="331">
        <f>+$AM$1+IF($AP$1&gt;$AP$2,$AM$3/2)</f>
      </c>
    </row>
    <row x14ac:dyDescent="0.25" r="69" customHeight="1" ht="18.75">
      <c r="A69" s="1"/>
      <c r="B69" s="7"/>
      <c r="C69" s="170"/>
      <c r="D69" s="331">
        <v>62</v>
      </c>
      <c r="E69" s="544">
        <f>+DATE(YEAR(E68),MONTH(E68)-1,DAY(E68))</f>
        <v>25569.041666666668</v>
      </c>
      <c r="F69" s="333">
        <f>IF(DATE(YEAR($B$6),MONTH($B$6)+1,DAY(1))=E69,1,IF(MONTH(E69)=1,F70*(1+$F$5),F70))</f>
      </c>
      <c r="G69" s="333">
        <f>IF('Simulador - 1º Pilar'!$E$99="Sí",IF('Aportaciones PPE'!$B$13&lt;'Aportaciones PPE'!E69,0,F69*$B$8/12),F69*$B$8/12)</f>
      </c>
      <c r="H69" s="333">
        <f>$H$5*G69</f>
      </c>
      <c r="I69" s="333">
        <f>$I$5*G69</f>
      </c>
      <c r="J69" s="333">
        <f>+I69</f>
      </c>
      <c r="K69" s="333">
        <f>(1+$O$5)^(D69/12)*(H69+IF(AND(F69=1,F70=0),$S$4,0))</f>
      </c>
      <c r="L69" s="333">
        <f>(1+$O$5)^(D69/12)*(I69+IF(AND(F69=1,F70=0),0))</f>
      </c>
      <c r="M69" s="333">
        <f>+L69</f>
      </c>
      <c r="N69" s="333">
        <f>L69+K69+M69</f>
      </c>
      <c r="O69" s="170"/>
      <c r="P69" s="7"/>
      <c r="Q69" s="1"/>
      <c r="R69" s="331">
        <f>D69</f>
      </c>
      <c r="S69" s="169"/>
      <c r="T69" s="1"/>
      <c r="U69" s="217"/>
      <c r="V69" s="331">
        <f>+IF(V68=11,12,IF(V68=12,1,V68+1))</f>
      </c>
      <c r="W69" s="331">
        <f>+W68+IF(V68=12,1,0)</f>
      </c>
      <c r="X69" s="555">
        <f>+DATE(W69,V69,1)</f>
        <v>25569.041666666668</v>
      </c>
      <c r="Y69" s="333">
        <f>+_xlfn.IFNA(AN69+AS69+AX69,0)</f>
      </c>
      <c r="Z69" s="333">
        <f>+_xlfn.IFNA(AO69+AT69+AY69,0)</f>
      </c>
      <c r="AA69" s="333">
        <f>Y69*(1+$O$5)^(($B$7-X69)/365.25)</f>
      </c>
      <c r="AB69" s="333">
        <f>Z69*(1+$O$5)^(($B$7-X69)/365.25)</f>
      </c>
      <c r="AC69" s="1"/>
      <c r="AD69" s="1"/>
      <c r="AE69" s="1"/>
      <c r="AF69" s="111">
        <f>+MONTH(E69)&amp;YEAR(E69)</f>
      </c>
      <c r="AG69" s="217">
        <f>+I69</f>
      </c>
      <c r="AH69" s="217">
        <f>+J69</f>
      </c>
      <c r="AI69" s="217">
        <f>+H69</f>
      </c>
      <c r="AJ69" s="111">
        <f>+V69&amp;W69</f>
      </c>
      <c r="AK69" s="217">
        <f>+_xlfn.IFNA(VLOOKUP(AJ69,$AF$7:$AG$1066,2,0),0)</f>
      </c>
      <c r="AL69" s="217">
        <f>+IF(W69&gt;W68,AK69,AL68+AK69)</f>
      </c>
      <c r="AM69" s="217">
        <f>IF(W69&gt;W68,IF(AL69&gt;=$AZ$8,$AZ$8,AL69),IF(OR(AM68=$AZ$8,AM68=0),0,IF(AL69&gt;=$AZ$8,$AZ$8,AL69)))</f>
      </c>
      <c r="AN69" s="748">
        <f>+IF(OR(AM69&gt;AZ68,AM69=0),0,IF(AM69=AL69,AK69,$AZ$7-AL68))</f>
      </c>
      <c r="AO69" s="748">
        <f>+AK69-AN69</f>
      </c>
      <c r="AP69" s="217">
        <f>+_xlfn.IFNA(VLOOKUP(AJ69,$AF$7:$AI$1066,3,0),0)</f>
      </c>
      <c r="AQ69" s="217">
        <f>+IF(W69&gt;W68,AP69,AQ68+AP69)</f>
      </c>
      <c r="AR69" s="217">
        <f>+MAX($AM$2-SUMIF($W$7:$W$1066,W69,$AN$7:$AN$1066),0)</f>
      </c>
      <c r="AS69" s="748">
        <f>+MAX(IF(AQ69&gt;AR69,AR69-AQ68,AP69),0)</f>
      </c>
      <c r="AT69" s="748">
        <f>+AP69-AS69</f>
      </c>
      <c r="AU69" s="217">
        <f>+_xlfn.IFNA(VLOOKUP(AJ69,$AF$7:$AI$1066,4,0),0)</f>
      </c>
      <c r="AV69" s="217">
        <f>+IF(W69&gt;W68,AU69,AV68+AU69)</f>
      </c>
      <c r="AW69" s="217">
        <f>+MAX($AM$2-SUMIF($W$7:$W$1066,W69,$AN$7:$AN$1066)-SUMIF($W$7:$W$1066,W69,$AS$7:$AS$1066),0)</f>
      </c>
      <c r="AX69" s="748">
        <f>+MAX(IF(AV69&gt;AW69,AW69-AV68,AU69),0)</f>
      </c>
      <c r="AY69" s="748">
        <f>+AU69-AX69</f>
      </c>
      <c r="AZ69" s="331">
        <f>+$AM$1+IF($AP$1&gt;$AP$2,$AM$3/2)</f>
      </c>
    </row>
    <row x14ac:dyDescent="0.25" r="70" customHeight="1" ht="18.75">
      <c r="A70" s="1"/>
      <c r="B70" s="7"/>
      <c r="C70" s="170"/>
      <c r="D70" s="331">
        <v>63</v>
      </c>
      <c r="E70" s="544">
        <f>+DATE(YEAR(E69),MONTH(E69)-1,DAY(E69))</f>
        <v>25569.041666666668</v>
      </c>
      <c r="F70" s="333">
        <f>IF(DATE(YEAR($B$6),MONTH($B$6)+1,DAY(1))=E70,1,IF(MONTH(E70)=1,F71*(1+$F$5),F71))</f>
      </c>
      <c r="G70" s="333">
        <f>IF('Simulador - 1º Pilar'!$E$99="Sí",IF('Aportaciones PPE'!$B$13&lt;'Aportaciones PPE'!E70,0,F70*$B$8/12),F70*$B$8/12)</f>
      </c>
      <c r="H70" s="333">
        <f>$H$5*G70</f>
      </c>
      <c r="I70" s="333">
        <f>$I$5*G70</f>
      </c>
      <c r="J70" s="333">
        <f>+I70</f>
      </c>
      <c r="K70" s="333">
        <f>(1+$O$5)^(D70/12)*(H70+IF(AND(F70=1,F71=0),$S$4,0))</f>
      </c>
      <c r="L70" s="333">
        <f>(1+$O$5)^(D70/12)*(I70+IF(AND(F70=1,F71=0),0))</f>
      </c>
      <c r="M70" s="333">
        <f>+L70</f>
      </c>
      <c r="N70" s="333">
        <f>L70+K70+M70</f>
      </c>
      <c r="O70" s="170"/>
      <c r="P70" s="7"/>
      <c r="Q70" s="1"/>
      <c r="R70" s="331">
        <f>D70</f>
      </c>
      <c r="S70" s="169"/>
      <c r="T70" s="1"/>
      <c r="U70" s="217"/>
      <c r="V70" s="331">
        <f>+IF(V69=11,12,IF(V69=12,1,V69+1))</f>
      </c>
      <c r="W70" s="331">
        <f>+W69+IF(V69=12,1,0)</f>
      </c>
      <c r="X70" s="555">
        <f>+DATE(W70,V70,1)</f>
        <v>25569.041666666668</v>
      </c>
      <c r="Y70" s="333">
        <f>+_xlfn.IFNA(AN70+AS70+AX70,0)</f>
      </c>
      <c r="Z70" s="333">
        <f>+_xlfn.IFNA(AO70+AT70+AY70,0)</f>
      </c>
      <c r="AA70" s="333">
        <f>Y70*(1+$O$5)^(($B$7-X70)/365.25)</f>
      </c>
      <c r="AB70" s="333">
        <f>Z70*(1+$O$5)^(($B$7-X70)/365.25)</f>
      </c>
      <c r="AC70" s="1"/>
      <c r="AD70" s="1"/>
      <c r="AE70" s="1"/>
      <c r="AF70" s="111">
        <f>+MONTH(E70)&amp;YEAR(E70)</f>
      </c>
      <c r="AG70" s="217">
        <f>+I70</f>
      </c>
      <c r="AH70" s="217">
        <f>+J70</f>
      </c>
      <c r="AI70" s="217">
        <f>+H70</f>
      </c>
      <c r="AJ70" s="111">
        <f>+V70&amp;W70</f>
      </c>
      <c r="AK70" s="217">
        <f>+_xlfn.IFNA(VLOOKUP(AJ70,$AF$7:$AG$1066,2,0),0)</f>
      </c>
      <c r="AL70" s="217">
        <f>+IF(W70&gt;W69,AK70,AL69+AK70)</f>
      </c>
      <c r="AM70" s="217">
        <f>IF(W70&gt;W69,IF(AL70&gt;=$AZ$8,$AZ$8,AL70),IF(OR(AM69=$AZ$8,AM69=0),0,IF(AL70&gt;=$AZ$8,$AZ$8,AL70)))</f>
      </c>
      <c r="AN70" s="748">
        <f>+IF(OR(AM70&gt;AZ69,AM70=0),0,IF(AM70=AL70,AK70,$AZ$7-AL69))</f>
      </c>
      <c r="AO70" s="748">
        <f>+AK70-AN70</f>
      </c>
      <c r="AP70" s="217">
        <f>+_xlfn.IFNA(VLOOKUP(AJ70,$AF$7:$AI$1066,3,0),0)</f>
      </c>
      <c r="AQ70" s="217">
        <f>+IF(W70&gt;W69,AP70,AQ69+AP70)</f>
      </c>
      <c r="AR70" s="217">
        <f>+MAX($AM$2-SUMIF($W$7:$W$1066,W70,$AN$7:$AN$1066),0)</f>
      </c>
      <c r="AS70" s="748">
        <f>+MAX(IF(AQ70&gt;AR70,AR70-AQ69,AP70),0)</f>
      </c>
      <c r="AT70" s="748">
        <f>+AP70-AS70</f>
      </c>
      <c r="AU70" s="217">
        <f>+_xlfn.IFNA(VLOOKUP(AJ70,$AF$7:$AI$1066,4,0),0)</f>
      </c>
      <c r="AV70" s="217">
        <f>+IF(W70&gt;W69,AU70,AV69+AU70)</f>
      </c>
      <c r="AW70" s="217">
        <f>+MAX($AM$2-SUMIF($W$7:$W$1066,W70,$AN$7:$AN$1066)-SUMIF($W$7:$W$1066,W70,$AS$7:$AS$1066),0)</f>
      </c>
      <c r="AX70" s="748">
        <f>+MAX(IF(AV70&gt;AW70,AW70-AV69,AU70),0)</f>
      </c>
      <c r="AY70" s="748">
        <f>+AU70-AX70</f>
      </c>
      <c r="AZ70" s="331">
        <f>+$AM$1+IF($AP$1&gt;$AP$2,$AM$3/2)</f>
      </c>
    </row>
    <row x14ac:dyDescent="0.25" r="71" customHeight="1" ht="18.75">
      <c r="A71" s="1"/>
      <c r="B71" s="7"/>
      <c r="C71" s="170"/>
      <c r="D71" s="331">
        <v>64</v>
      </c>
      <c r="E71" s="544">
        <f>+DATE(YEAR(E70),MONTH(E70)-1,DAY(E70))</f>
        <v>25569.041666666668</v>
      </c>
      <c r="F71" s="333">
        <f>IF(DATE(YEAR($B$6),MONTH($B$6)+1,DAY(1))=E71,1,IF(MONTH(E71)=1,F72*(1+$F$5),F72))</f>
      </c>
      <c r="G71" s="333">
        <f>IF('Simulador - 1º Pilar'!$E$99="Sí",IF('Aportaciones PPE'!$B$13&lt;'Aportaciones PPE'!E71,0,F71*$B$8/12),F71*$B$8/12)</f>
      </c>
      <c r="H71" s="333">
        <f>$H$5*G71</f>
      </c>
      <c r="I71" s="333">
        <f>$I$5*G71</f>
      </c>
      <c r="J71" s="333">
        <f>+I71</f>
      </c>
      <c r="K71" s="333">
        <f>(1+$O$5)^(D71/12)*(H71+IF(AND(F71=1,F72=0),$S$4,0))</f>
      </c>
      <c r="L71" s="333">
        <f>(1+$O$5)^(D71/12)*(I71+IF(AND(F71=1,F72=0),0))</f>
      </c>
      <c r="M71" s="333">
        <f>+L71</f>
      </c>
      <c r="N71" s="333">
        <f>L71+K71+M71</f>
      </c>
      <c r="O71" s="170"/>
      <c r="P71" s="7"/>
      <c r="Q71" s="1"/>
      <c r="R71" s="331">
        <f>D71</f>
      </c>
      <c r="S71" s="169"/>
      <c r="T71" s="1"/>
      <c r="U71" s="217"/>
      <c r="V71" s="331">
        <f>+IF(V70=11,12,IF(V70=12,1,V70+1))</f>
      </c>
      <c r="W71" s="331">
        <f>+W70+IF(V70=12,1,0)</f>
      </c>
      <c r="X71" s="555">
        <f>+DATE(W71,V71,1)</f>
        <v>25569.041666666668</v>
      </c>
      <c r="Y71" s="333">
        <f>+_xlfn.IFNA(AN71+AS71+AX71,0)</f>
      </c>
      <c r="Z71" s="333">
        <f>+_xlfn.IFNA(AO71+AT71+AY71,0)</f>
      </c>
      <c r="AA71" s="333">
        <f>Y71*(1+$O$5)^(($B$7-X71)/365.25)</f>
      </c>
      <c r="AB71" s="333">
        <f>Z71*(1+$O$5)^(($B$7-X71)/365.25)</f>
      </c>
      <c r="AC71" s="1"/>
      <c r="AD71" s="1"/>
      <c r="AE71" s="1"/>
      <c r="AF71" s="111">
        <f>+MONTH(E71)&amp;YEAR(E71)</f>
      </c>
      <c r="AG71" s="217">
        <f>+I71</f>
      </c>
      <c r="AH71" s="217">
        <f>+J71</f>
      </c>
      <c r="AI71" s="217">
        <f>+H71</f>
      </c>
      <c r="AJ71" s="111">
        <f>+V71&amp;W71</f>
      </c>
      <c r="AK71" s="217">
        <f>+_xlfn.IFNA(VLOOKUP(AJ71,$AF$7:$AG$1066,2,0),0)</f>
      </c>
      <c r="AL71" s="217">
        <f>+IF(W71&gt;W70,AK71,AL70+AK71)</f>
      </c>
      <c r="AM71" s="217">
        <f>IF(W71&gt;W70,IF(AL71&gt;=$AZ$8,$AZ$8,AL71),IF(OR(AM70=$AZ$8,AM70=0),0,IF(AL71&gt;=$AZ$8,$AZ$8,AL71)))</f>
      </c>
      <c r="AN71" s="748">
        <f>+IF(OR(AM71&gt;AZ70,AM71=0),0,IF(AM71=AL71,AK71,$AZ$7-AL70))</f>
      </c>
      <c r="AO71" s="748">
        <f>+AK71-AN71</f>
      </c>
      <c r="AP71" s="217">
        <f>+_xlfn.IFNA(VLOOKUP(AJ71,$AF$7:$AI$1066,3,0),0)</f>
      </c>
      <c r="AQ71" s="217">
        <f>+IF(W71&gt;W70,AP71,AQ70+AP71)</f>
      </c>
      <c r="AR71" s="217">
        <f>+MAX($AM$2-SUMIF($W$7:$W$1066,W71,$AN$7:$AN$1066),0)</f>
      </c>
      <c r="AS71" s="748">
        <f>+MAX(IF(AQ71&gt;AR71,AR71-AQ70,AP71),0)</f>
      </c>
      <c r="AT71" s="748">
        <f>+AP71-AS71</f>
      </c>
      <c r="AU71" s="217">
        <f>+_xlfn.IFNA(VLOOKUP(AJ71,$AF$7:$AI$1066,4,0),0)</f>
      </c>
      <c r="AV71" s="217">
        <f>+IF(W71&gt;W70,AU71,AV70+AU71)</f>
      </c>
      <c r="AW71" s="217">
        <f>+MAX($AM$2-SUMIF($W$7:$W$1066,W71,$AN$7:$AN$1066)-SUMIF($W$7:$W$1066,W71,$AS$7:$AS$1066),0)</f>
      </c>
      <c r="AX71" s="748">
        <f>+MAX(IF(AV71&gt;AW71,AW71-AV70,AU71),0)</f>
      </c>
      <c r="AY71" s="748">
        <f>+AU71-AX71</f>
      </c>
      <c r="AZ71" s="331">
        <f>+$AM$1+IF($AP$1&gt;$AP$2,$AM$3/2)</f>
      </c>
    </row>
    <row x14ac:dyDescent="0.25" r="72" customHeight="1" ht="18.75">
      <c r="A72" s="1"/>
      <c r="B72" s="7"/>
      <c r="C72" s="170"/>
      <c r="D72" s="331">
        <v>65</v>
      </c>
      <c r="E72" s="544">
        <f>+DATE(YEAR(E71),MONTH(E71)-1,DAY(E71))</f>
        <v>25569.041666666668</v>
      </c>
      <c r="F72" s="333">
        <f>IF(DATE(YEAR($B$6),MONTH($B$6)+1,DAY(1))=E72,1,IF(MONTH(E72)=1,F73*(1+$F$5),F73))</f>
      </c>
      <c r="G72" s="333">
        <f>IF('Simulador - 1º Pilar'!$E$99="Sí",IF('Aportaciones PPE'!$B$13&lt;'Aportaciones PPE'!E72,0,F72*$B$8/12),F72*$B$8/12)</f>
      </c>
      <c r="H72" s="333">
        <f>$H$5*G72</f>
      </c>
      <c r="I72" s="333">
        <f>$I$5*G72</f>
      </c>
      <c r="J72" s="333">
        <f>+I72</f>
      </c>
      <c r="K72" s="333">
        <f>(1+$O$5)^(D72/12)*(H72+IF(AND(F72=1,F73=0),$S$4,0))</f>
      </c>
      <c r="L72" s="333">
        <f>(1+$O$5)^(D72/12)*(I72+IF(AND(F72=1,F73=0),0))</f>
      </c>
      <c r="M72" s="333">
        <f>+L72</f>
      </c>
      <c r="N72" s="333">
        <f>L72+K72+M72</f>
      </c>
      <c r="O72" s="170"/>
      <c r="P72" s="7"/>
      <c r="Q72" s="1"/>
      <c r="R72" s="331">
        <f>D72</f>
      </c>
      <c r="S72" s="169"/>
      <c r="T72" s="1"/>
      <c r="U72" s="217"/>
      <c r="V72" s="331">
        <f>+IF(V71=11,12,IF(V71=12,1,V71+1))</f>
      </c>
      <c r="W72" s="331">
        <f>+W71+IF(V71=12,1,0)</f>
      </c>
      <c r="X72" s="555">
        <f>+DATE(W72,V72,1)</f>
        <v>25569.041666666668</v>
      </c>
      <c r="Y72" s="333">
        <f>+_xlfn.IFNA(AN72+AS72+AX72,0)</f>
      </c>
      <c r="Z72" s="333">
        <f>+_xlfn.IFNA(AO72+AT72+AY72,0)</f>
      </c>
      <c r="AA72" s="333">
        <f>Y72*(1+$O$5)^(($B$7-X72)/365.25)</f>
      </c>
      <c r="AB72" s="333">
        <f>Z72*(1+$O$5)^(($B$7-X72)/365.25)</f>
      </c>
      <c r="AC72" s="1"/>
      <c r="AD72" s="1"/>
      <c r="AE72" s="1"/>
      <c r="AF72" s="111">
        <f>+MONTH(E72)&amp;YEAR(E72)</f>
      </c>
      <c r="AG72" s="217">
        <f>+I72</f>
      </c>
      <c r="AH72" s="217">
        <f>+J72</f>
      </c>
      <c r="AI72" s="217">
        <f>+H72</f>
      </c>
      <c r="AJ72" s="111">
        <f>+V72&amp;W72</f>
      </c>
      <c r="AK72" s="217">
        <f>+_xlfn.IFNA(VLOOKUP(AJ72,$AF$7:$AG$1066,2,0),0)</f>
      </c>
      <c r="AL72" s="217">
        <f>+IF(W72&gt;W71,AK72,AL71+AK72)</f>
      </c>
      <c r="AM72" s="217">
        <f>IF(W72&gt;W71,IF(AL72&gt;=$AZ$8,$AZ$8,AL72),IF(OR(AM71=$AZ$8,AM71=0),0,IF(AL72&gt;=$AZ$8,$AZ$8,AL72)))</f>
      </c>
      <c r="AN72" s="748">
        <f>+IF(OR(AM72&gt;AZ71,AM72=0),0,IF(AM72=AL72,AK72,$AZ$7-AL71))</f>
      </c>
      <c r="AO72" s="748">
        <f>+AK72-AN72</f>
      </c>
      <c r="AP72" s="217">
        <f>+_xlfn.IFNA(VLOOKUP(AJ72,$AF$7:$AI$1066,3,0),0)</f>
      </c>
      <c r="AQ72" s="217">
        <f>+IF(W72&gt;W71,AP72,AQ71+AP72)</f>
      </c>
      <c r="AR72" s="217">
        <f>+MAX($AM$2-SUMIF($W$7:$W$1066,W72,$AN$7:$AN$1066),0)</f>
      </c>
      <c r="AS72" s="748">
        <f>+MAX(IF(AQ72&gt;AR72,AR72-AQ71,AP72),0)</f>
      </c>
      <c r="AT72" s="748">
        <f>+AP72-AS72</f>
      </c>
      <c r="AU72" s="217">
        <f>+_xlfn.IFNA(VLOOKUP(AJ72,$AF$7:$AI$1066,4,0),0)</f>
      </c>
      <c r="AV72" s="217">
        <f>+IF(W72&gt;W71,AU72,AV71+AU72)</f>
      </c>
      <c r="AW72" s="217">
        <f>+MAX($AM$2-SUMIF($W$7:$W$1066,W72,$AN$7:$AN$1066)-SUMIF($W$7:$W$1066,W72,$AS$7:$AS$1066),0)</f>
      </c>
      <c r="AX72" s="748">
        <f>+MAX(IF(AV72&gt;AW72,AW72-AV71,AU72),0)</f>
      </c>
      <c r="AY72" s="748">
        <f>+AU72-AX72</f>
      </c>
      <c r="AZ72" s="331">
        <f>+$AM$1+IF($AP$1&gt;$AP$2,$AM$3/2)</f>
      </c>
    </row>
    <row x14ac:dyDescent="0.25" r="73" customHeight="1" ht="18.75">
      <c r="A73" s="1"/>
      <c r="B73" s="7"/>
      <c r="C73" s="170"/>
      <c r="D73" s="331">
        <v>66</v>
      </c>
      <c r="E73" s="544">
        <f>+DATE(YEAR(E72),MONTH(E72)-1,DAY(E72))</f>
        <v>25569.041666666668</v>
      </c>
      <c r="F73" s="333">
        <f>IF(DATE(YEAR($B$6),MONTH($B$6)+1,DAY(1))=E73,1,IF(MONTH(E73)=1,F74*(1+$F$5),F74))</f>
      </c>
      <c r="G73" s="333">
        <f>IF('Simulador - 1º Pilar'!$E$99="Sí",IF('Aportaciones PPE'!$B$13&lt;'Aportaciones PPE'!E73,0,F73*$B$8/12),F73*$B$8/12)</f>
      </c>
      <c r="H73" s="333">
        <f>$H$5*G73</f>
      </c>
      <c r="I73" s="333">
        <f>$I$5*G73</f>
      </c>
      <c r="J73" s="333">
        <f>+I73</f>
      </c>
      <c r="K73" s="333">
        <f>(1+$O$5)^(D73/12)*(H73+IF(AND(F73=1,F74=0),$S$4,0))</f>
      </c>
      <c r="L73" s="333">
        <f>(1+$O$5)^(D73/12)*(I73+IF(AND(F73=1,F74=0),0))</f>
      </c>
      <c r="M73" s="333">
        <f>+L73</f>
      </c>
      <c r="N73" s="333">
        <f>L73+K73+M73</f>
      </c>
      <c r="O73" s="170"/>
      <c r="P73" s="7"/>
      <c r="Q73" s="1"/>
      <c r="R73" s="331">
        <f>D73</f>
      </c>
      <c r="S73" s="169"/>
      <c r="T73" s="1"/>
      <c r="U73" s="217"/>
      <c r="V73" s="331">
        <f>+IF(V72=11,12,IF(V72=12,1,V72+1))</f>
      </c>
      <c r="W73" s="331">
        <f>+W72+IF(V72=12,1,0)</f>
      </c>
      <c r="X73" s="555">
        <f>+DATE(W73,V73,1)</f>
        <v>25569.041666666668</v>
      </c>
      <c r="Y73" s="333">
        <f>+_xlfn.IFNA(AN73+AS73+AX73,0)</f>
      </c>
      <c r="Z73" s="333">
        <f>+_xlfn.IFNA(AO73+AT73+AY73,0)</f>
      </c>
      <c r="AA73" s="333">
        <f>Y73*(1+$O$5)^(($B$7-X73)/365.25)</f>
      </c>
      <c r="AB73" s="333">
        <f>Z73*(1+$O$5)^(($B$7-X73)/365.25)</f>
      </c>
      <c r="AC73" s="1"/>
      <c r="AD73" s="1"/>
      <c r="AE73" s="1"/>
      <c r="AF73" s="111">
        <f>+MONTH(E73)&amp;YEAR(E73)</f>
      </c>
      <c r="AG73" s="217">
        <f>+I73</f>
      </c>
      <c r="AH73" s="217">
        <f>+J73</f>
      </c>
      <c r="AI73" s="217">
        <f>+H73</f>
      </c>
      <c r="AJ73" s="111">
        <f>+V73&amp;W73</f>
      </c>
      <c r="AK73" s="217">
        <f>+_xlfn.IFNA(VLOOKUP(AJ73,$AF$7:$AG$1066,2,0),0)</f>
      </c>
      <c r="AL73" s="217">
        <f>+IF(W73&gt;W72,AK73,AL72+AK73)</f>
      </c>
      <c r="AM73" s="217">
        <f>IF(W73&gt;W72,IF(AL73&gt;=$AZ$8,$AZ$8,AL73),IF(OR(AM72=$AZ$8,AM72=0),0,IF(AL73&gt;=$AZ$8,$AZ$8,AL73)))</f>
      </c>
      <c r="AN73" s="748">
        <f>+IF(OR(AM73&gt;AZ72,AM73=0),0,IF(AM73=AL73,AK73,$AZ$7-AL72))</f>
      </c>
      <c r="AO73" s="748">
        <f>+AK73-AN73</f>
      </c>
      <c r="AP73" s="217">
        <f>+_xlfn.IFNA(VLOOKUP(AJ73,$AF$7:$AI$1066,3,0),0)</f>
      </c>
      <c r="AQ73" s="217">
        <f>+IF(W73&gt;W72,AP73,AQ72+AP73)</f>
      </c>
      <c r="AR73" s="217">
        <f>+MAX($AM$2-SUMIF($W$7:$W$1066,W73,$AN$7:$AN$1066),0)</f>
      </c>
      <c r="AS73" s="748">
        <f>+MAX(IF(AQ73&gt;AR73,AR73-AQ72,AP73),0)</f>
      </c>
      <c r="AT73" s="748">
        <f>+AP73-AS73</f>
      </c>
      <c r="AU73" s="217">
        <f>+_xlfn.IFNA(VLOOKUP(AJ73,$AF$7:$AI$1066,4,0),0)</f>
      </c>
      <c r="AV73" s="217">
        <f>+IF(W73&gt;W72,AU73,AV72+AU73)</f>
      </c>
      <c r="AW73" s="217">
        <f>+MAX($AM$2-SUMIF($W$7:$W$1066,W73,$AN$7:$AN$1066)-SUMIF($W$7:$W$1066,W73,$AS$7:$AS$1066),0)</f>
      </c>
      <c r="AX73" s="748">
        <f>+MAX(IF(AV73&gt;AW73,AW73-AV72,AU73),0)</f>
      </c>
      <c r="AY73" s="748">
        <f>+AU73-AX73</f>
      </c>
      <c r="AZ73" s="331">
        <f>+$AM$1+IF($AP$1&gt;$AP$2,$AM$3/2)</f>
      </c>
    </row>
    <row x14ac:dyDescent="0.25" r="74" customHeight="1" ht="18.75">
      <c r="A74" s="1"/>
      <c r="B74" s="7"/>
      <c r="C74" s="170"/>
      <c r="D74" s="331">
        <v>67</v>
      </c>
      <c r="E74" s="544">
        <f>+DATE(YEAR(E73),MONTH(E73)-1,DAY(E73))</f>
        <v>25569.041666666668</v>
      </c>
      <c r="F74" s="333">
        <f>IF(DATE(YEAR($B$6),MONTH($B$6)+1,DAY(1))=E74,1,IF(MONTH(E74)=1,F75*(1+$F$5),F75))</f>
      </c>
      <c r="G74" s="333">
        <f>IF('Simulador - 1º Pilar'!$E$99="Sí",IF('Aportaciones PPE'!$B$13&lt;'Aportaciones PPE'!E74,0,F74*$B$8/12),F74*$B$8/12)</f>
      </c>
      <c r="H74" s="333">
        <f>$H$5*G74</f>
      </c>
      <c r="I74" s="333">
        <f>$I$5*G74</f>
      </c>
      <c r="J74" s="333">
        <f>+I74</f>
      </c>
      <c r="K74" s="333">
        <f>(1+$O$5)^(D74/12)*(H74+IF(AND(F74=1,F75=0),$S$4,0))</f>
      </c>
      <c r="L74" s="333">
        <f>(1+$O$5)^(D74/12)*(I74+IF(AND(F74=1,F75=0),0))</f>
      </c>
      <c r="M74" s="333">
        <f>+L74</f>
      </c>
      <c r="N74" s="333">
        <f>L74+K74+M74</f>
      </c>
      <c r="O74" s="170"/>
      <c r="P74" s="7"/>
      <c r="Q74" s="1"/>
      <c r="R74" s="331">
        <f>D74</f>
      </c>
      <c r="S74" s="169"/>
      <c r="T74" s="1"/>
      <c r="U74" s="217"/>
      <c r="V74" s="331">
        <f>+IF(V73=11,12,IF(V73=12,1,V73+1))</f>
      </c>
      <c r="W74" s="331">
        <f>+W73+IF(V73=12,1,0)</f>
      </c>
      <c r="X74" s="555">
        <f>+DATE(W74,V74,1)</f>
        <v>25569.041666666668</v>
      </c>
      <c r="Y74" s="333">
        <f>+_xlfn.IFNA(AN74+AS74+AX74,0)</f>
      </c>
      <c r="Z74" s="333">
        <f>+_xlfn.IFNA(AO74+AT74+AY74,0)</f>
      </c>
      <c r="AA74" s="333">
        <f>Y74*(1+$O$5)^(($B$7-X74)/365.25)</f>
      </c>
      <c r="AB74" s="333">
        <f>Z74*(1+$O$5)^(($B$7-X74)/365.25)</f>
      </c>
      <c r="AC74" s="1"/>
      <c r="AD74" s="1"/>
      <c r="AE74" s="1"/>
      <c r="AF74" s="111">
        <f>+MONTH(E74)&amp;YEAR(E74)</f>
      </c>
      <c r="AG74" s="217">
        <f>+I74</f>
      </c>
      <c r="AH74" s="217">
        <f>+J74</f>
      </c>
      <c r="AI74" s="217">
        <f>+H74</f>
      </c>
      <c r="AJ74" s="111">
        <f>+V74&amp;W74</f>
      </c>
      <c r="AK74" s="217">
        <f>+_xlfn.IFNA(VLOOKUP(AJ74,$AF$7:$AG$1066,2,0),0)</f>
      </c>
      <c r="AL74" s="217">
        <f>+IF(W74&gt;W73,AK74,AL73+AK74)</f>
      </c>
      <c r="AM74" s="217">
        <f>IF(W74&gt;W73,IF(AL74&gt;=$AZ$8,$AZ$8,AL74),IF(OR(AM73=$AZ$8,AM73=0),0,IF(AL74&gt;=$AZ$8,$AZ$8,AL74)))</f>
      </c>
      <c r="AN74" s="748">
        <f>+IF(OR(AM74&gt;AZ73,AM74=0),0,IF(AM74=AL74,AK74,$AZ$7-AL73))</f>
      </c>
      <c r="AO74" s="748">
        <f>+AK74-AN74</f>
      </c>
      <c r="AP74" s="217">
        <f>+_xlfn.IFNA(VLOOKUP(AJ74,$AF$7:$AI$1066,3,0),0)</f>
      </c>
      <c r="AQ74" s="217">
        <f>+IF(W74&gt;W73,AP74,AQ73+AP74)</f>
      </c>
      <c r="AR74" s="217">
        <f>+MAX($AM$2-SUMIF($W$7:$W$1066,W74,$AN$7:$AN$1066),0)</f>
      </c>
      <c r="AS74" s="748">
        <f>+MAX(IF(AQ74&gt;AR74,AR74-AQ73,AP74),0)</f>
      </c>
      <c r="AT74" s="748">
        <f>+AP74-AS74</f>
      </c>
      <c r="AU74" s="217">
        <f>+_xlfn.IFNA(VLOOKUP(AJ74,$AF$7:$AI$1066,4,0),0)</f>
      </c>
      <c r="AV74" s="217">
        <f>+IF(W74&gt;W73,AU74,AV73+AU74)</f>
      </c>
      <c r="AW74" s="217">
        <f>+MAX($AM$2-SUMIF($W$7:$W$1066,W74,$AN$7:$AN$1066)-SUMIF($W$7:$W$1066,W74,$AS$7:$AS$1066),0)</f>
      </c>
      <c r="AX74" s="748">
        <f>+MAX(IF(AV74&gt;AW74,AW74-AV73,AU74),0)</f>
      </c>
      <c r="AY74" s="748">
        <f>+AU74-AX74</f>
      </c>
      <c r="AZ74" s="331">
        <f>+$AM$1+IF($AP$1&gt;$AP$2,$AM$3/2)</f>
      </c>
    </row>
    <row x14ac:dyDescent="0.25" r="75" customHeight="1" ht="18.75">
      <c r="A75" s="1"/>
      <c r="B75" s="7"/>
      <c r="C75" s="170"/>
      <c r="D75" s="331">
        <v>68</v>
      </c>
      <c r="E75" s="544">
        <f>+DATE(YEAR(E74),MONTH(E74)-1,DAY(E74))</f>
        <v>25569.041666666668</v>
      </c>
      <c r="F75" s="333">
        <f>IF(DATE(YEAR($B$6),MONTH($B$6)+1,DAY(1))=E75,1,IF(MONTH(E75)=1,F76*(1+$F$5),F76))</f>
      </c>
      <c r="G75" s="333">
        <f>IF('Simulador - 1º Pilar'!$E$99="Sí",IF('Aportaciones PPE'!$B$13&lt;'Aportaciones PPE'!E75,0,F75*$B$8/12),F75*$B$8/12)</f>
      </c>
      <c r="H75" s="333">
        <f>$H$5*G75</f>
      </c>
      <c r="I75" s="333">
        <f>$I$5*G75</f>
      </c>
      <c r="J75" s="333">
        <f>+I75</f>
      </c>
      <c r="K75" s="333">
        <f>(1+$O$5)^(D75/12)*(H75+IF(AND(F75=1,F76=0),$S$4,0))</f>
      </c>
      <c r="L75" s="333">
        <f>(1+$O$5)^(D75/12)*(I75+IF(AND(F75=1,F76=0),0))</f>
      </c>
      <c r="M75" s="333">
        <f>+L75</f>
      </c>
      <c r="N75" s="333">
        <f>L75+K75+M75</f>
      </c>
      <c r="O75" s="170"/>
      <c r="P75" s="7"/>
      <c r="Q75" s="1"/>
      <c r="R75" s="331">
        <f>D75</f>
      </c>
      <c r="S75" s="169"/>
      <c r="T75" s="1"/>
      <c r="U75" s="217"/>
      <c r="V75" s="331">
        <f>+IF(V74=11,12,IF(V74=12,1,V74+1))</f>
      </c>
      <c r="W75" s="331">
        <f>+W74+IF(V74=12,1,0)</f>
      </c>
      <c r="X75" s="555">
        <f>+DATE(W75,V75,1)</f>
        <v>25569.041666666668</v>
      </c>
      <c r="Y75" s="333">
        <f>+_xlfn.IFNA(AN75+AS75+AX75,0)</f>
      </c>
      <c r="Z75" s="333">
        <f>+_xlfn.IFNA(AO75+AT75+AY75,0)</f>
      </c>
      <c r="AA75" s="333">
        <f>Y75*(1+$O$5)^(($B$7-X75)/365.25)</f>
      </c>
      <c r="AB75" s="333">
        <f>Z75*(1+$O$5)^(($B$7-X75)/365.25)</f>
      </c>
      <c r="AC75" s="1"/>
      <c r="AD75" s="1"/>
      <c r="AE75" s="1"/>
      <c r="AF75" s="111">
        <f>+MONTH(E75)&amp;YEAR(E75)</f>
      </c>
      <c r="AG75" s="217">
        <f>+I75</f>
      </c>
      <c r="AH75" s="217">
        <f>+J75</f>
      </c>
      <c r="AI75" s="217">
        <f>+H75</f>
      </c>
      <c r="AJ75" s="111">
        <f>+V75&amp;W75</f>
      </c>
      <c r="AK75" s="217">
        <f>+_xlfn.IFNA(VLOOKUP(AJ75,$AF$7:$AG$1066,2,0),0)</f>
      </c>
      <c r="AL75" s="217">
        <f>+IF(W75&gt;W74,AK75,AL74+AK75)</f>
      </c>
      <c r="AM75" s="217">
        <f>IF(W75&gt;W74,IF(AL75&gt;=$AZ$8,$AZ$8,AL75),IF(OR(AM74=$AZ$8,AM74=0),0,IF(AL75&gt;=$AZ$8,$AZ$8,AL75)))</f>
      </c>
      <c r="AN75" s="748">
        <f>+IF(OR(AM75&gt;AZ74,AM75=0),0,IF(AM75=AL75,AK75,$AZ$7-AL74))</f>
      </c>
      <c r="AO75" s="748">
        <f>+AK75-AN75</f>
      </c>
      <c r="AP75" s="217">
        <f>+_xlfn.IFNA(VLOOKUP(AJ75,$AF$7:$AI$1066,3,0),0)</f>
      </c>
      <c r="AQ75" s="217">
        <f>+IF(W75&gt;W74,AP75,AQ74+AP75)</f>
      </c>
      <c r="AR75" s="217">
        <f>+MAX($AM$2-SUMIF($W$7:$W$1066,W75,$AN$7:$AN$1066),0)</f>
      </c>
      <c r="AS75" s="748">
        <f>+MAX(IF(AQ75&gt;AR75,AR75-AQ74,AP75),0)</f>
      </c>
      <c r="AT75" s="748">
        <f>+AP75-AS75</f>
      </c>
      <c r="AU75" s="217">
        <f>+_xlfn.IFNA(VLOOKUP(AJ75,$AF$7:$AI$1066,4,0),0)</f>
      </c>
      <c r="AV75" s="217">
        <f>+IF(W75&gt;W74,AU75,AV74+AU75)</f>
      </c>
      <c r="AW75" s="217">
        <f>+MAX($AM$2-SUMIF($W$7:$W$1066,W75,$AN$7:$AN$1066)-SUMIF($W$7:$W$1066,W75,$AS$7:$AS$1066),0)</f>
      </c>
      <c r="AX75" s="748">
        <f>+MAX(IF(AV75&gt;AW75,AW75-AV74,AU75),0)</f>
      </c>
      <c r="AY75" s="748">
        <f>+AU75-AX75</f>
      </c>
      <c r="AZ75" s="331">
        <f>+$AM$1+IF($AP$1&gt;$AP$2,$AM$3/2)</f>
      </c>
    </row>
    <row x14ac:dyDescent="0.25" r="76" customHeight="1" ht="18.75">
      <c r="A76" s="1"/>
      <c r="B76" s="7"/>
      <c r="C76" s="170"/>
      <c r="D76" s="331">
        <v>69</v>
      </c>
      <c r="E76" s="544">
        <f>+DATE(YEAR(E75),MONTH(E75)-1,DAY(E75))</f>
        <v>25569.041666666668</v>
      </c>
      <c r="F76" s="333">
        <f>IF(DATE(YEAR($B$6),MONTH($B$6)+1,DAY(1))=E76,1,IF(MONTH(E76)=1,F77*(1+$F$5),F77))</f>
      </c>
      <c r="G76" s="333">
        <f>IF('Simulador - 1º Pilar'!$E$99="Sí",IF('Aportaciones PPE'!$B$13&lt;'Aportaciones PPE'!E76,0,F76*$B$8/12),F76*$B$8/12)</f>
      </c>
      <c r="H76" s="333">
        <f>$H$5*G76</f>
      </c>
      <c r="I76" s="333">
        <f>$I$5*G76</f>
      </c>
      <c r="J76" s="333">
        <f>+I76</f>
      </c>
      <c r="K76" s="333">
        <f>(1+$O$5)^(D76/12)*(H76+IF(AND(F76=1,F77=0),$S$4,0))</f>
      </c>
      <c r="L76" s="333">
        <f>(1+$O$5)^(D76/12)*(I76+IF(AND(F76=1,F77=0),0))</f>
      </c>
      <c r="M76" s="333">
        <f>+L76</f>
      </c>
      <c r="N76" s="333">
        <f>L76+K76+M76</f>
      </c>
      <c r="O76" s="170"/>
      <c r="P76" s="7"/>
      <c r="Q76" s="1"/>
      <c r="R76" s="331">
        <f>D76</f>
      </c>
      <c r="S76" s="169"/>
      <c r="T76" s="1"/>
      <c r="U76" s="217"/>
      <c r="V76" s="331">
        <f>+IF(V75=11,12,IF(V75=12,1,V75+1))</f>
      </c>
      <c r="W76" s="331">
        <f>+W75+IF(V75=12,1,0)</f>
      </c>
      <c r="X76" s="555">
        <f>+DATE(W76,V76,1)</f>
        <v>25569.041666666668</v>
      </c>
      <c r="Y76" s="333">
        <f>+_xlfn.IFNA(AN76+AS76+AX76,0)</f>
      </c>
      <c r="Z76" s="333">
        <f>+_xlfn.IFNA(AO76+AT76+AY76,0)</f>
      </c>
      <c r="AA76" s="333">
        <f>Y76*(1+$O$5)^(($B$7-X76)/365.25)</f>
      </c>
      <c r="AB76" s="333">
        <f>Z76*(1+$O$5)^(($B$7-X76)/365.25)</f>
      </c>
      <c r="AC76" s="1"/>
      <c r="AD76" s="1"/>
      <c r="AE76" s="1"/>
      <c r="AF76" s="111">
        <f>+MONTH(E76)&amp;YEAR(E76)</f>
      </c>
      <c r="AG76" s="217">
        <f>+I76</f>
      </c>
      <c r="AH76" s="217">
        <f>+J76</f>
      </c>
      <c r="AI76" s="217">
        <f>+H76</f>
      </c>
      <c r="AJ76" s="111">
        <f>+V76&amp;W76</f>
      </c>
      <c r="AK76" s="217">
        <f>+_xlfn.IFNA(VLOOKUP(AJ76,$AF$7:$AG$1066,2,0),0)</f>
      </c>
      <c r="AL76" s="217">
        <f>+IF(W76&gt;W75,AK76,AL75+AK76)</f>
      </c>
      <c r="AM76" s="217">
        <f>IF(W76&gt;W75,IF(AL76&gt;=$AZ$8,$AZ$8,AL76),IF(OR(AM75=$AZ$8,AM75=0),0,IF(AL76&gt;=$AZ$8,$AZ$8,AL76)))</f>
      </c>
      <c r="AN76" s="748">
        <f>+IF(OR(AM76&gt;AZ75,AM76=0),0,IF(AM76=AL76,AK76,$AZ$7-AL75))</f>
      </c>
      <c r="AO76" s="748">
        <f>+AK76-AN76</f>
      </c>
      <c r="AP76" s="217">
        <f>+_xlfn.IFNA(VLOOKUP(AJ76,$AF$7:$AI$1066,3,0),0)</f>
      </c>
      <c r="AQ76" s="217">
        <f>+IF(W76&gt;W75,AP76,AQ75+AP76)</f>
      </c>
      <c r="AR76" s="217">
        <f>+MAX($AM$2-SUMIF($W$7:$W$1066,W76,$AN$7:$AN$1066),0)</f>
      </c>
      <c r="AS76" s="748">
        <f>+MAX(IF(AQ76&gt;AR76,AR76-AQ75,AP76),0)</f>
      </c>
      <c r="AT76" s="748">
        <f>+AP76-AS76</f>
      </c>
      <c r="AU76" s="217">
        <f>+_xlfn.IFNA(VLOOKUP(AJ76,$AF$7:$AI$1066,4,0),0)</f>
      </c>
      <c r="AV76" s="217">
        <f>+IF(W76&gt;W75,AU76,AV75+AU76)</f>
      </c>
      <c r="AW76" s="217">
        <f>+MAX($AM$2-SUMIF($W$7:$W$1066,W76,$AN$7:$AN$1066)-SUMIF($W$7:$W$1066,W76,$AS$7:$AS$1066),0)</f>
      </c>
      <c r="AX76" s="748">
        <f>+MAX(IF(AV76&gt;AW76,AW76-AV75,AU76),0)</f>
      </c>
      <c r="AY76" s="748">
        <f>+AU76-AX76</f>
      </c>
      <c r="AZ76" s="331">
        <f>+$AM$1+IF($AP$1&gt;$AP$2,$AM$3/2)</f>
      </c>
    </row>
    <row x14ac:dyDescent="0.25" r="77" customHeight="1" ht="18.75">
      <c r="A77" s="1"/>
      <c r="B77" s="7"/>
      <c r="C77" s="170"/>
      <c r="D77" s="331">
        <v>70</v>
      </c>
      <c r="E77" s="544">
        <f>+DATE(YEAR(E76),MONTH(E76)-1,DAY(E76))</f>
        <v>25569.041666666668</v>
      </c>
      <c r="F77" s="333">
        <f>IF(DATE(YEAR($B$6),MONTH($B$6)+1,DAY(1))=E77,1,IF(MONTH(E77)=1,F78*(1+$F$5),F78))</f>
      </c>
      <c r="G77" s="333">
        <f>IF('Simulador - 1º Pilar'!$E$99="Sí",IF('Aportaciones PPE'!$B$13&lt;'Aportaciones PPE'!E77,0,F77*$B$8/12),F77*$B$8/12)</f>
      </c>
      <c r="H77" s="333">
        <f>$H$5*G77</f>
      </c>
      <c r="I77" s="333">
        <f>$I$5*G77</f>
      </c>
      <c r="J77" s="333">
        <f>+I77</f>
      </c>
      <c r="K77" s="333">
        <f>(1+$O$5)^(D77/12)*(H77+IF(AND(F77=1,F78=0),$S$4,0))</f>
      </c>
      <c r="L77" s="333">
        <f>(1+$O$5)^(D77/12)*(I77+IF(AND(F77=1,F78=0),0))</f>
      </c>
      <c r="M77" s="333">
        <f>+L77</f>
      </c>
      <c r="N77" s="333">
        <f>L77+K77+M77</f>
      </c>
      <c r="O77" s="170"/>
      <c r="P77" s="7"/>
      <c r="Q77" s="1"/>
      <c r="R77" s="331">
        <f>D77</f>
      </c>
      <c r="S77" s="169"/>
      <c r="T77" s="1"/>
      <c r="U77" s="217"/>
      <c r="V77" s="331">
        <f>+IF(V76=11,12,IF(V76=12,1,V76+1))</f>
      </c>
      <c r="W77" s="331">
        <f>+W76+IF(V76=12,1,0)</f>
      </c>
      <c r="X77" s="555">
        <f>+DATE(W77,V77,1)</f>
        <v>25569.041666666668</v>
      </c>
      <c r="Y77" s="333">
        <f>+_xlfn.IFNA(AN77+AS77+AX77,0)</f>
      </c>
      <c r="Z77" s="333">
        <f>+_xlfn.IFNA(AO77+AT77+AY77,0)</f>
      </c>
      <c r="AA77" s="333">
        <f>Y77*(1+$O$5)^(($B$7-X77)/365.25)</f>
      </c>
      <c r="AB77" s="333">
        <f>Z77*(1+$O$5)^(($B$7-X77)/365.25)</f>
      </c>
      <c r="AC77" s="1"/>
      <c r="AD77" s="1"/>
      <c r="AE77" s="1"/>
      <c r="AF77" s="111">
        <f>+MONTH(E77)&amp;YEAR(E77)</f>
      </c>
      <c r="AG77" s="217">
        <f>+I77</f>
      </c>
      <c r="AH77" s="217">
        <f>+J77</f>
      </c>
      <c r="AI77" s="217">
        <f>+H77</f>
      </c>
      <c r="AJ77" s="111">
        <f>+V77&amp;W77</f>
      </c>
      <c r="AK77" s="217">
        <f>+_xlfn.IFNA(VLOOKUP(AJ77,$AF$7:$AG$1066,2,0),0)</f>
      </c>
      <c r="AL77" s="217">
        <f>+IF(W77&gt;W76,AK77,AL76+AK77)</f>
      </c>
      <c r="AM77" s="217">
        <f>IF(W77&gt;W76,IF(AL77&gt;=$AZ$8,$AZ$8,AL77),IF(OR(AM76=$AZ$8,AM76=0),0,IF(AL77&gt;=$AZ$8,$AZ$8,AL77)))</f>
      </c>
      <c r="AN77" s="748">
        <f>+IF(OR(AM77&gt;AZ76,AM77=0),0,IF(AM77=AL77,AK77,$AZ$7-AL76))</f>
      </c>
      <c r="AO77" s="748">
        <f>+AK77-AN77</f>
      </c>
      <c r="AP77" s="217">
        <f>+_xlfn.IFNA(VLOOKUP(AJ77,$AF$7:$AI$1066,3,0),0)</f>
      </c>
      <c r="AQ77" s="217">
        <f>+IF(W77&gt;W76,AP77,AQ76+AP77)</f>
      </c>
      <c r="AR77" s="217">
        <f>+MAX($AM$2-SUMIF($W$7:$W$1066,W77,$AN$7:$AN$1066),0)</f>
      </c>
      <c r="AS77" s="748">
        <f>+MAX(IF(AQ77&gt;AR77,AR77-AQ76,AP77),0)</f>
      </c>
      <c r="AT77" s="748">
        <f>+AP77-AS77</f>
      </c>
      <c r="AU77" s="217">
        <f>+_xlfn.IFNA(VLOOKUP(AJ77,$AF$7:$AI$1066,4,0),0)</f>
      </c>
      <c r="AV77" s="217">
        <f>+IF(W77&gt;W76,AU77,AV76+AU77)</f>
      </c>
      <c r="AW77" s="217">
        <f>+MAX($AM$2-SUMIF($W$7:$W$1066,W77,$AN$7:$AN$1066)-SUMIF($W$7:$W$1066,W77,$AS$7:$AS$1066),0)</f>
      </c>
      <c r="AX77" s="748">
        <f>+MAX(IF(AV77&gt;AW77,AW77-AV76,AU77),0)</f>
      </c>
      <c r="AY77" s="748">
        <f>+AU77-AX77</f>
      </c>
      <c r="AZ77" s="331">
        <f>+$AM$1+IF($AP$1&gt;$AP$2,$AM$3/2)</f>
      </c>
    </row>
    <row x14ac:dyDescent="0.25" r="78" customHeight="1" ht="18.75">
      <c r="A78" s="1"/>
      <c r="B78" s="7"/>
      <c r="C78" s="170"/>
      <c r="D78" s="752">
        <v>71</v>
      </c>
      <c r="E78" s="544">
        <f>+DATE(YEAR(E77),MONTH(E77)-1,DAY(E77))</f>
        <v>25569.041666666668</v>
      </c>
      <c r="F78" s="333">
        <f>IF(DATE(YEAR($B$6),MONTH($B$6)+1,DAY(1))=E78,1,IF(MONTH(E78)=1,F79*(1+$F$5),F79))</f>
      </c>
      <c r="G78" s="333">
        <f>IF('Simulador - 1º Pilar'!$E$99="Sí",IF('Aportaciones PPE'!$B$13&lt;'Aportaciones PPE'!E78,0,F78*$B$8/12),F78*$B$8/12)</f>
      </c>
      <c r="H78" s="333">
        <f>$H$5*G78</f>
      </c>
      <c r="I78" s="333">
        <f>$I$5*G78</f>
      </c>
      <c r="J78" s="333">
        <f>+I78</f>
      </c>
      <c r="K78" s="333">
        <f>(1+$O$5)^(D78/12)*(H78+IF(AND(F78=1,F79=0),$S$4,0))</f>
      </c>
      <c r="L78" s="333">
        <f>(1+$O$5)^(D78/12)*(I78+IF(AND(F78=1,F79=0),0))</f>
      </c>
      <c r="M78" s="333">
        <f>+L78</f>
      </c>
      <c r="N78" s="333">
        <f>L78+K78+M78</f>
      </c>
      <c r="O78" s="170"/>
      <c r="P78" s="7"/>
      <c r="Q78" s="1"/>
      <c r="R78" s="752">
        <f>D78</f>
      </c>
      <c r="S78" s="169"/>
      <c r="T78" s="1"/>
      <c r="U78" s="750"/>
      <c r="V78" s="752">
        <f>+IF(V77=11,12,IF(V77=12,1,V77+1))</f>
      </c>
      <c r="W78" s="752">
        <f>+W77+IF(V77=12,1,0)</f>
      </c>
      <c r="X78" s="753">
        <f>+DATE(W78,V78,1)</f>
        <v>25569.041666666668</v>
      </c>
      <c r="Y78" s="333">
        <f>+_xlfn.IFNA(AN78+AS78+AX78,0)</f>
      </c>
      <c r="Z78" s="333">
        <f>+_xlfn.IFNA(AO78+AT78+AY78,0)</f>
      </c>
      <c r="AA78" s="333">
        <f>Y78*(1+$O$5)^(($B$7-X78)/365.25)</f>
      </c>
      <c r="AB78" s="333">
        <f>Z78*(1+$O$5)^(($B$7-X78)/365.25)</f>
      </c>
      <c r="AC78" s="1"/>
      <c r="AD78" s="1"/>
      <c r="AE78" s="1"/>
      <c r="AF78" s="749">
        <f>+MONTH(E78)&amp;YEAR(E78)</f>
      </c>
      <c r="AG78" s="750">
        <f>+I78</f>
      </c>
      <c r="AH78" s="750">
        <f>+J78</f>
      </c>
      <c r="AI78" s="750">
        <f>+H78</f>
      </c>
      <c r="AJ78" s="749">
        <f>+V78&amp;W78</f>
      </c>
      <c r="AK78" s="750">
        <f>+_xlfn.IFNA(VLOOKUP(AJ78,$AF$7:$AG$1066,2,0),0)</f>
      </c>
      <c r="AL78" s="750">
        <f>+IF(W78&gt;W77,AK78,AL77+AK78)</f>
      </c>
      <c r="AM78" s="750">
        <f>IF(W78&gt;W77,IF(AL78&gt;=$AZ$8,$AZ$8,AL78),IF(OR(AM77=$AZ$8,AM77=0),0,IF(AL78&gt;=$AZ$8,$AZ$8,AL78)))</f>
      </c>
      <c r="AN78" s="751">
        <f>+IF(OR(AM78&gt;AZ77,AM78=0),0,IF(AM78=AL78,AK78,$AZ$7-AL77))</f>
      </c>
      <c r="AO78" s="751">
        <f>+AK78-AN78</f>
      </c>
      <c r="AP78" s="750">
        <f>+_xlfn.IFNA(VLOOKUP(AJ78,$AF$7:$AI$1066,3,0),0)</f>
      </c>
      <c r="AQ78" s="750">
        <f>+IF(W78&gt;W77,AP78,AQ77+AP78)</f>
      </c>
      <c r="AR78" s="750">
        <f>+MAX($AM$2-SUMIF($W$7:$W$1066,W78,$AN$7:$AN$1066),0)</f>
      </c>
      <c r="AS78" s="751">
        <f>+MAX(IF(AQ78&gt;AR78,AR78-AQ77,AP78),0)</f>
      </c>
      <c r="AT78" s="751">
        <f>+AP78-AS78</f>
      </c>
      <c r="AU78" s="750">
        <f>+_xlfn.IFNA(VLOOKUP(AJ78,$AF$7:$AI$1066,4,0),0)</f>
      </c>
      <c r="AV78" s="750">
        <f>+IF(W78&gt;W77,AU78,AV77+AU78)</f>
      </c>
      <c r="AW78" s="750">
        <f>+MAX($AM$2-SUMIF($W$7:$W$1066,W78,$AN$7:$AN$1066)-SUMIF($W$7:$W$1066,W78,$AS$7:$AS$1066),0)</f>
      </c>
      <c r="AX78" s="751">
        <f>+MAX(IF(AV78&gt;AW78,AW78-AV77,AU78),0)</f>
      </c>
      <c r="AY78" s="751">
        <f>+AU78-AX78</f>
      </c>
      <c r="AZ78" s="752">
        <f>+$AM$1+IF($AP$1&gt;$AP$2,$AM$3/2)</f>
      </c>
    </row>
    <row x14ac:dyDescent="0.25" r="79" customHeight="1" ht="18.75">
      <c r="A79" s="1"/>
      <c r="B79" s="7"/>
      <c r="C79" s="170"/>
      <c r="D79" s="331">
        <v>72</v>
      </c>
      <c r="E79" s="754">
        <f>+DATE(YEAR(E78),MONTH(E78)-1,DAY(E78))</f>
        <v>25569.041666666668</v>
      </c>
      <c r="F79" s="755">
        <f>IF(DATE(YEAR($B$6),MONTH($B$6)+1,DAY(1))=E79,1,IF(MONTH(E79)=1,F80*(1+$F$5),F80))</f>
      </c>
      <c r="G79" s="755">
        <f>IF('Simulador - 1º Pilar'!$E$99="Sí",IF('Aportaciones PPE'!$B$13&lt;'Aportaciones PPE'!E79,0,F79*$B$8/12),F79*$B$8/12)</f>
      </c>
      <c r="H79" s="755">
        <f>$H$5*G79</f>
      </c>
      <c r="I79" s="755">
        <f>$I$5*G79</f>
      </c>
      <c r="J79" s="755">
        <f>+I79</f>
      </c>
      <c r="K79" s="755">
        <f>(1+$O$5)^(D79/12)*(H79+IF(AND(F79=1,F80=0),$S$4,0))</f>
      </c>
      <c r="L79" s="755">
        <f>(1+$O$5)^(D79/12)*(I79+IF(AND(F79=1,F80=0),0))</f>
      </c>
      <c r="M79" s="755">
        <f>+L79</f>
      </c>
      <c r="N79" s="755">
        <f>L79+K79+M79</f>
      </c>
      <c r="O79" s="170"/>
      <c r="P79" s="7"/>
      <c r="Q79" s="1"/>
      <c r="R79" s="331">
        <f>D79</f>
      </c>
      <c r="S79" s="169"/>
      <c r="T79" s="1"/>
      <c r="U79" s="217"/>
      <c r="V79" s="331">
        <f>+IF(V78=11,12,IF(V78=12,1,V78+1))</f>
      </c>
      <c r="W79" s="331">
        <f>+W78+IF(V78=12,1,0)</f>
      </c>
      <c r="X79" s="555">
        <f>+DATE(W79,V79,1)</f>
        <v>25569.041666666668</v>
      </c>
      <c r="Y79" s="755">
        <f>+_xlfn.IFNA(AN79+AS79+AX79,0)</f>
      </c>
      <c r="Z79" s="755">
        <f>+_xlfn.IFNA(AO79+AT79+AY79,0)</f>
      </c>
      <c r="AA79" s="755">
        <f>Y79*(1+$O$5)^(($B$7-X79)/365.25)</f>
      </c>
      <c r="AB79" s="755">
        <f>Z79*(1+$O$5)^(($B$7-X79)/365.25)</f>
      </c>
      <c r="AC79" s="1"/>
      <c r="AD79" s="1"/>
      <c r="AE79" s="1"/>
      <c r="AF79" s="111">
        <f>+MONTH(E79)&amp;YEAR(E79)</f>
      </c>
      <c r="AG79" s="217">
        <f>+I79</f>
      </c>
      <c r="AH79" s="217">
        <f>+J79</f>
      </c>
      <c r="AI79" s="217">
        <f>+H79</f>
      </c>
      <c r="AJ79" s="111">
        <f>+V79&amp;W79</f>
      </c>
      <c r="AK79" s="217">
        <f>+_xlfn.IFNA(VLOOKUP(AJ79,$AF$7:$AG$1066,2,0),0)</f>
      </c>
      <c r="AL79" s="217">
        <f>+IF(W79&gt;W78,AK79,AL78+AK79)</f>
      </c>
      <c r="AM79" s="217">
        <f>IF(W79&gt;W78,IF(AL79&gt;=$AZ$8,$AZ$8,AL79),IF(OR(AM78=$AZ$8,AM78=0),0,IF(AL79&gt;=$AZ$8,$AZ$8,AL79)))</f>
      </c>
      <c r="AN79" s="748">
        <f>+IF(OR(AM79&gt;AZ78,AM79=0),0,IF(AM79=AL79,AK79,$AZ$7-AL78))</f>
      </c>
      <c r="AO79" s="748">
        <f>+AK79-AN79</f>
      </c>
      <c r="AP79" s="217">
        <f>+_xlfn.IFNA(VLOOKUP(AJ79,$AF$7:$AI$1066,3,0),0)</f>
      </c>
      <c r="AQ79" s="217">
        <f>+IF(W79&gt;W78,AP79,AQ78+AP79)</f>
      </c>
      <c r="AR79" s="217">
        <f>+MAX($AM$2-SUMIF($W$7:$W$1066,W79,$AN$7:$AN$1066),0)</f>
      </c>
      <c r="AS79" s="748">
        <f>+MAX(IF(AQ79&gt;AR79,AR79-AQ78,AP79),0)</f>
      </c>
      <c r="AT79" s="748">
        <f>+AP79-AS79</f>
      </c>
      <c r="AU79" s="217">
        <f>+_xlfn.IFNA(VLOOKUP(AJ79,$AF$7:$AI$1066,4,0),0)</f>
      </c>
      <c r="AV79" s="217">
        <f>+IF(W79&gt;W78,AU79,AV78+AU79)</f>
      </c>
      <c r="AW79" s="217">
        <f>+MAX($AM$2-SUMIF($W$7:$W$1066,W79,$AN$7:$AN$1066)-SUMIF($W$7:$W$1066,W79,$AS$7:$AS$1066),0)</f>
      </c>
      <c r="AX79" s="748">
        <f>+MAX(IF(AV79&gt;AW79,AW79-AV78,AU79),0)</f>
      </c>
      <c r="AY79" s="748">
        <f>+AU79-AX79</f>
      </c>
      <c r="AZ79" s="331">
        <f>+$AM$1+IF($AP$1&gt;$AP$2,$AM$3/2)</f>
      </c>
    </row>
    <row x14ac:dyDescent="0.25" r="80" customHeight="1" ht="18.75">
      <c r="A80" s="1"/>
      <c r="B80" s="7"/>
      <c r="C80" s="170"/>
      <c r="D80" s="331">
        <v>73</v>
      </c>
      <c r="E80" s="544">
        <f>+DATE(YEAR(E79),MONTH(E79)-1,DAY(E79))</f>
        <v>25569.041666666668</v>
      </c>
      <c r="F80" s="333">
        <f>IF(DATE(YEAR($B$6),MONTH($B$6)+1,DAY(1))=E80,1,IF(MONTH(E80)=1,F81*(1+$F$5),F81))</f>
      </c>
      <c r="G80" s="333">
        <f>IF('Simulador - 1º Pilar'!$E$99="Sí",IF('Aportaciones PPE'!$B$13&lt;'Aportaciones PPE'!E80,0,F80*$B$8/12),F80*$B$8/12)</f>
      </c>
      <c r="H80" s="333">
        <f>$H$5*G80</f>
      </c>
      <c r="I80" s="333">
        <f>$I$5*G80</f>
      </c>
      <c r="J80" s="333">
        <f>+I80</f>
      </c>
      <c r="K80" s="333">
        <f>(1+$O$5)^(D80/12)*(H80+IF(AND(F80=1,F81=0),$S$4,0))</f>
      </c>
      <c r="L80" s="333">
        <f>(1+$O$5)^(D80/12)*(I80+IF(AND(F80=1,F81=0),0))</f>
      </c>
      <c r="M80" s="333">
        <f>+L80</f>
      </c>
      <c r="N80" s="333">
        <f>L80+K80+M80</f>
      </c>
      <c r="O80" s="170"/>
      <c r="P80" s="7"/>
      <c r="Q80" s="1"/>
      <c r="R80" s="331">
        <f>D80</f>
      </c>
      <c r="S80" s="169"/>
      <c r="T80" s="1"/>
      <c r="U80" s="217"/>
      <c r="V80" s="331">
        <f>+IF(V79=11,12,IF(V79=12,1,V79+1))</f>
      </c>
      <c r="W80" s="331">
        <f>+W79+IF(V79=12,1,0)</f>
      </c>
      <c r="X80" s="555">
        <f>+DATE(W80,V80,1)</f>
        <v>25569.041666666668</v>
      </c>
      <c r="Y80" s="333">
        <f>+_xlfn.IFNA(AN80+AS80+AX80,0)</f>
      </c>
      <c r="Z80" s="333">
        <f>+_xlfn.IFNA(AO80+AT80+AY80,0)</f>
      </c>
      <c r="AA80" s="333">
        <f>Y80*(1+$O$5)^(($B$7-X80)/365.25)</f>
      </c>
      <c r="AB80" s="333">
        <f>Z80*(1+$O$5)^(($B$7-X80)/365.25)</f>
      </c>
      <c r="AC80" s="1"/>
      <c r="AD80" s="1"/>
      <c r="AE80" s="1"/>
      <c r="AF80" s="111">
        <f>+MONTH(E80)&amp;YEAR(E80)</f>
      </c>
      <c r="AG80" s="217">
        <f>+I80</f>
      </c>
      <c r="AH80" s="217">
        <f>+J80</f>
      </c>
      <c r="AI80" s="217">
        <f>+H80</f>
      </c>
      <c r="AJ80" s="111">
        <f>+V80&amp;W80</f>
      </c>
      <c r="AK80" s="217">
        <f>+_xlfn.IFNA(VLOOKUP(AJ80,$AF$7:$AG$1066,2,0),0)</f>
      </c>
      <c r="AL80" s="217">
        <f>+IF(W80&gt;W79,AK80,AL79+AK80)</f>
      </c>
      <c r="AM80" s="217">
        <f>IF(W80&gt;W79,IF(AL80&gt;=$AZ$8,$AZ$8,AL80),IF(OR(AM79=$AZ$8,AM79=0),0,IF(AL80&gt;=$AZ$8,$AZ$8,AL80)))</f>
      </c>
      <c r="AN80" s="748">
        <f>+IF(OR(AM80&gt;AZ79,AM80=0),0,IF(AM80=AL80,AK80,$AZ$7-AL79))</f>
      </c>
      <c r="AO80" s="748">
        <f>+AK80-AN80</f>
      </c>
      <c r="AP80" s="217">
        <f>+_xlfn.IFNA(VLOOKUP(AJ80,$AF$7:$AI$1066,3,0),0)</f>
      </c>
      <c r="AQ80" s="217">
        <f>+IF(W80&gt;W79,AP80,AQ79+AP80)</f>
      </c>
      <c r="AR80" s="217">
        <f>+MAX($AM$2-SUMIF($W$7:$W$1066,W80,$AN$7:$AN$1066),0)</f>
      </c>
      <c r="AS80" s="748">
        <f>+MAX(IF(AQ80&gt;AR80,AR80-AQ79,AP80),0)</f>
      </c>
      <c r="AT80" s="748">
        <f>+AP80-AS80</f>
      </c>
      <c r="AU80" s="217">
        <f>+_xlfn.IFNA(VLOOKUP(AJ80,$AF$7:$AI$1066,4,0),0)</f>
      </c>
      <c r="AV80" s="217">
        <f>+IF(W80&gt;W79,AU80,AV79+AU80)</f>
      </c>
      <c r="AW80" s="217">
        <f>+MAX($AM$2-SUMIF($W$7:$W$1066,W80,$AN$7:$AN$1066)-SUMIF($W$7:$W$1066,W80,$AS$7:$AS$1066),0)</f>
      </c>
      <c r="AX80" s="748">
        <f>+MAX(IF(AV80&gt;AW80,AW80-AV79,AU80),0)</f>
      </c>
      <c r="AY80" s="748">
        <f>+AU80-AX80</f>
      </c>
      <c r="AZ80" s="331">
        <f>+$AM$1+IF($AP$1&gt;$AP$2,$AM$3/2)</f>
      </c>
    </row>
    <row x14ac:dyDescent="0.25" r="81" customHeight="1" ht="18.75">
      <c r="A81" s="1"/>
      <c r="B81" s="7"/>
      <c r="C81" s="170"/>
      <c r="D81" s="331">
        <v>74</v>
      </c>
      <c r="E81" s="544">
        <f>+DATE(YEAR(E80),MONTH(E80)-1,DAY(E80))</f>
        <v>25569.041666666668</v>
      </c>
      <c r="F81" s="333">
        <f>IF(DATE(YEAR($B$6),MONTH($B$6)+1,DAY(1))=E81,1,IF(MONTH(E81)=1,F82*(1+$F$5),F82))</f>
      </c>
      <c r="G81" s="333">
        <f>IF('Simulador - 1º Pilar'!$E$99="Sí",IF('Aportaciones PPE'!$B$13&lt;'Aportaciones PPE'!E81,0,F81*$B$8/12),F81*$B$8/12)</f>
      </c>
      <c r="H81" s="333">
        <f>$H$5*G81</f>
      </c>
      <c r="I81" s="333">
        <f>$I$5*G81</f>
      </c>
      <c r="J81" s="333">
        <f>+I81</f>
      </c>
      <c r="K81" s="333">
        <f>(1+$O$5)^(D81/12)*(H81+IF(AND(F81=1,F82=0),$S$4,0))</f>
      </c>
      <c r="L81" s="333">
        <f>(1+$O$5)^(D81/12)*(I81+IF(AND(F81=1,F82=0),0))</f>
      </c>
      <c r="M81" s="333">
        <f>+L81</f>
      </c>
      <c r="N81" s="333">
        <f>L81+K81+M81</f>
      </c>
      <c r="O81" s="170"/>
      <c r="P81" s="7"/>
      <c r="Q81" s="1"/>
      <c r="R81" s="331">
        <f>D81</f>
      </c>
      <c r="S81" s="169"/>
      <c r="T81" s="1"/>
      <c r="U81" s="217"/>
      <c r="V81" s="331">
        <f>+IF(V80=11,12,IF(V80=12,1,V80+1))</f>
      </c>
      <c r="W81" s="331">
        <f>+W80+IF(V80=12,1,0)</f>
      </c>
      <c r="X81" s="555">
        <f>+DATE(W81,V81,1)</f>
        <v>25569.041666666668</v>
      </c>
      <c r="Y81" s="333">
        <f>+_xlfn.IFNA(AN81+AS81+AX81,0)</f>
      </c>
      <c r="Z81" s="333">
        <f>+_xlfn.IFNA(AO81+AT81+AY81,0)</f>
      </c>
      <c r="AA81" s="333">
        <f>Y81*(1+$O$5)^(($B$7-X81)/365.25)</f>
      </c>
      <c r="AB81" s="333">
        <f>Z81*(1+$O$5)^(($B$7-X81)/365.25)</f>
      </c>
      <c r="AC81" s="1"/>
      <c r="AD81" s="1"/>
      <c r="AE81" s="1"/>
      <c r="AF81" s="111">
        <f>+MONTH(E81)&amp;YEAR(E81)</f>
      </c>
      <c r="AG81" s="217">
        <f>+I81</f>
      </c>
      <c r="AH81" s="217">
        <f>+J81</f>
      </c>
      <c r="AI81" s="217">
        <f>+H81</f>
      </c>
      <c r="AJ81" s="111">
        <f>+V81&amp;W81</f>
      </c>
      <c r="AK81" s="217">
        <f>+_xlfn.IFNA(VLOOKUP(AJ81,$AF$7:$AG$1066,2,0),0)</f>
      </c>
      <c r="AL81" s="217">
        <f>+IF(W81&gt;W80,AK81,AL80+AK81)</f>
      </c>
      <c r="AM81" s="217">
        <f>IF(W81&gt;W80,IF(AL81&gt;=$AZ$8,$AZ$8,AL81),IF(OR(AM80=$AZ$8,AM80=0),0,IF(AL81&gt;=$AZ$8,$AZ$8,AL81)))</f>
      </c>
      <c r="AN81" s="748">
        <f>+IF(OR(AM81&gt;AZ80,AM81=0),0,IF(AM81=AL81,AK81,$AZ$7-AL80))</f>
      </c>
      <c r="AO81" s="748">
        <f>+AK81-AN81</f>
      </c>
      <c r="AP81" s="217">
        <f>+_xlfn.IFNA(VLOOKUP(AJ81,$AF$7:$AI$1066,3,0),0)</f>
      </c>
      <c r="AQ81" s="217">
        <f>+IF(W81&gt;W80,AP81,AQ80+AP81)</f>
      </c>
      <c r="AR81" s="217">
        <f>+MAX($AM$2-SUMIF($W$7:$W$1066,W81,$AN$7:$AN$1066),0)</f>
      </c>
      <c r="AS81" s="748">
        <f>+MAX(IF(AQ81&gt;AR81,AR81-AQ80,AP81),0)</f>
      </c>
      <c r="AT81" s="748">
        <f>+AP81-AS81</f>
      </c>
      <c r="AU81" s="217">
        <f>+_xlfn.IFNA(VLOOKUP(AJ81,$AF$7:$AI$1066,4,0),0)</f>
      </c>
      <c r="AV81" s="217">
        <f>+IF(W81&gt;W80,AU81,AV80+AU81)</f>
      </c>
      <c r="AW81" s="217">
        <f>+MAX($AM$2-SUMIF($W$7:$W$1066,W81,$AN$7:$AN$1066)-SUMIF($W$7:$W$1066,W81,$AS$7:$AS$1066),0)</f>
      </c>
      <c r="AX81" s="748">
        <f>+MAX(IF(AV81&gt;AW81,AW81-AV80,AU81),0)</f>
      </c>
      <c r="AY81" s="748">
        <f>+AU81-AX81</f>
      </c>
      <c r="AZ81" s="331">
        <f>+$AM$1+IF($AP$1&gt;$AP$2,$AM$3/2)</f>
      </c>
    </row>
    <row x14ac:dyDescent="0.25" r="82" customHeight="1" ht="18.75">
      <c r="A82" s="1"/>
      <c r="B82" s="7"/>
      <c r="C82" s="170"/>
      <c r="D82" s="331">
        <v>75</v>
      </c>
      <c r="E82" s="544">
        <f>+DATE(YEAR(E81),MONTH(E81)-1,DAY(E81))</f>
        <v>25569.041666666668</v>
      </c>
      <c r="F82" s="333">
        <f>IF(DATE(YEAR($B$6),MONTH($B$6)+1,DAY(1))=E82,1,IF(MONTH(E82)=1,F83*(1+$F$5),F83))</f>
      </c>
      <c r="G82" s="333">
        <f>IF('Simulador - 1º Pilar'!$E$99="Sí",IF('Aportaciones PPE'!$B$13&lt;'Aportaciones PPE'!E82,0,F82*$B$8/12),F82*$B$8/12)</f>
      </c>
      <c r="H82" s="333">
        <f>$H$5*G82</f>
      </c>
      <c r="I82" s="333">
        <f>$I$5*G82</f>
      </c>
      <c r="J82" s="333">
        <f>+I82</f>
      </c>
      <c r="K82" s="333">
        <f>(1+$O$5)^(D82/12)*(H82+IF(AND(F82=1,F83=0),$S$4,0))</f>
      </c>
      <c r="L82" s="333">
        <f>(1+$O$5)^(D82/12)*(I82+IF(AND(F82=1,F83=0),0))</f>
      </c>
      <c r="M82" s="333">
        <f>+L82</f>
      </c>
      <c r="N82" s="333">
        <f>L82+K82+M82</f>
      </c>
      <c r="O82" s="170"/>
      <c r="P82" s="7"/>
      <c r="Q82" s="1"/>
      <c r="R82" s="331">
        <f>D82</f>
      </c>
      <c r="S82" s="169"/>
      <c r="T82" s="1"/>
      <c r="U82" s="217"/>
      <c r="V82" s="331">
        <f>+IF(V81=11,12,IF(V81=12,1,V81+1))</f>
      </c>
      <c r="W82" s="331">
        <f>+W81+IF(V81=12,1,0)</f>
      </c>
      <c r="X82" s="555">
        <f>+DATE(W82,V82,1)</f>
        <v>25569.041666666668</v>
      </c>
      <c r="Y82" s="333">
        <f>+_xlfn.IFNA(AN82+AS82+AX82,0)</f>
      </c>
      <c r="Z82" s="333">
        <f>+_xlfn.IFNA(AO82+AT82+AY82,0)</f>
      </c>
      <c r="AA82" s="333">
        <f>Y82*(1+$O$5)^(($B$7-X82)/365.25)</f>
      </c>
      <c r="AB82" s="333">
        <f>Z82*(1+$O$5)^(($B$7-X82)/365.25)</f>
      </c>
      <c r="AC82" s="1"/>
      <c r="AD82" s="1"/>
      <c r="AE82" s="1"/>
      <c r="AF82" s="111">
        <f>+MONTH(E82)&amp;YEAR(E82)</f>
      </c>
      <c r="AG82" s="217">
        <f>+I82</f>
      </c>
      <c r="AH82" s="217">
        <f>+J82</f>
      </c>
      <c r="AI82" s="217">
        <f>+H82</f>
      </c>
      <c r="AJ82" s="111">
        <f>+V82&amp;W82</f>
      </c>
      <c r="AK82" s="217">
        <f>+_xlfn.IFNA(VLOOKUP(AJ82,$AF$7:$AG$1066,2,0),0)</f>
      </c>
      <c r="AL82" s="217">
        <f>+IF(W82&gt;W81,AK82,AL81+AK82)</f>
      </c>
      <c r="AM82" s="217">
        <f>IF(W82&gt;W81,IF(AL82&gt;=$AZ$8,$AZ$8,AL82),IF(OR(AM81=$AZ$8,AM81=0),0,IF(AL82&gt;=$AZ$8,$AZ$8,AL82)))</f>
      </c>
      <c r="AN82" s="748">
        <f>+IF(OR(AM82&gt;AZ81,AM82=0),0,IF(AM82=AL82,AK82,$AZ$7-AL81))</f>
      </c>
      <c r="AO82" s="748">
        <f>+AK82-AN82</f>
      </c>
      <c r="AP82" s="217">
        <f>+_xlfn.IFNA(VLOOKUP(AJ82,$AF$7:$AI$1066,3,0),0)</f>
      </c>
      <c r="AQ82" s="217">
        <f>+IF(W82&gt;W81,AP82,AQ81+AP82)</f>
      </c>
      <c r="AR82" s="217">
        <f>+MAX($AM$2-SUMIF($W$7:$W$1066,W82,$AN$7:$AN$1066),0)</f>
      </c>
      <c r="AS82" s="748">
        <f>+MAX(IF(AQ82&gt;AR82,AR82-AQ81,AP82),0)</f>
      </c>
      <c r="AT82" s="748">
        <f>+AP82-AS82</f>
      </c>
      <c r="AU82" s="217">
        <f>+_xlfn.IFNA(VLOOKUP(AJ82,$AF$7:$AI$1066,4,0),0)</f>
      </c>
      <c r="AV82" s="217">
        <f>+IF(W82&gt;W81,AU82,AV81+AU82)</f>
      </c>
      <c r="AW82" s="217">
        <f>+MAX($AM$2-SUMIF($W$7:$W$1066,W82,$AN$7:$AN$1066)-SUMIF($W$7:$W$1066,W82,$AS$7:$AS$1066),0)</f>
      </c>
      <c r="AX82" s="748">
        <f>+MAX(IF(AV82&gt;AW82,AW82-AV81,AU82),0)</f>
      </c>
      <c r="AY82" s="748">
        <f>+AU82-AX82</f>
      </c>
      <c r="AZ82" s="331">
        <f>+$AM$1+IF($AP$1&gt;$AP$2,$AM$3/2)</f>
      </c>
    </row>
    <row x14ac:dyDescent="0.25" r="83" customHeight="1" ht="18.75">
      <c r="A83" s="1"/>
      <c r="B83" s="7"/>
      <c r="C83" s="170"/>
      <c r="D83" s="331">
        <v>76</v>
      </c>
      <c r="E83" s="544">
        <f>+DATE(YEAR(E82),MONTH(E82)-1,DAY(E82))</f>
        <v>25569.041666666668</v>
      </c>
      <c r="F83" s="333">
        <f>IF(DATE(YEAR($B$6),MONTH($B$6)+1,DAY(1))=E83,1,IF(MONTH(E83)=1,F84*(1+$F$5),F84))</f>
      </c>
      <c r="G83" s="333">
        <f>IF('Simulador - 1º Pilar'!$E$99="Sí",IF('Aportaciones PPE'!$B$13&lt;'Aportaciones PPE'!E83,0,F83*$B$8/12),F83*$B$8/12)</f>
      </c>
      <c r="H83" s="333">
        <f>$H$5*G83</f>
      </c>
      <c r="I83" s="333">
        <f>$I$5*G83</f>
      </c>
      <c r="J83" s="333">
        <f>+I83</f>
      </c>
      <c r="K83" s="333">
        <f>(1+$O$5)^(D83/12)*(H83+IF(AND(F83=1,F84=0),$S$4,0))</f>
      </c>
      <c r="L83" s="333">
        <f>(1+$O$5)^(D83/12)*(I83+IF(AND(F83=1,F84=0),0))</f>
      </c>
      <c r="M83" s="333">
        <f>+L83</f>
      </c>
      <c r="N83" s="333">
        <f>L83+K83+M83</f>
      </c>
      <c r="O83" s="170"/>
      <c r="P83" s="7"/>
      <c r="Q83" s="1"/>
      <c r="R83" s="331">
        <f>D83</f>
      </c>
      <c r="S83" s="169"/>
      <c r="T83" s="1"/>
      <c r="U83" s="217"/>
      <c r="V83" s="331">
        <f>+IF(V82=11,12,IF(V82=12,1,V82+1))</f>
      </c>
      <c r="W83" s="331">
        <f>+W82+IF(V82=12,1,0)</f>
      </c>
      <c r="X83" s="555">
        <f>+DATE(W83,V83,1)</f>
        <v>25569.041666666668</v>
      </c>
      <c r="Y83" s="333">
        <f>+_xlfn.IFNA(AN83+AS83+AX83,0)</f>
      </c>
      <c r="Z83" s="333">
        <f>+_xlfn.IFNA(AO83+AT83+AY83,0)</f>
      </c>
      <c r="AA83" s="333">
        <f>Y83*(1+$O$5)^(($B$7-X83)/365.25)</f>
      </c>
      <c r="AB83" s="333">
        <f>Z83*(1+$O$5)^(($B$7-X83)/365.25)</f>
      </c>
      <c r="AC83" s="1"/>
      <c r="AD83" s="1"/>
      <c r="AE83" s="1"/>
      <c r="AF83" s="111">
        <f>+MONTH(E83)&amp;YEAR(E83)</f>
      </c>
      <c r="AG83" s="217">
        <f>+I83</f>
      </c>
      <c r="AH83" s="217">
        <f>+J83</f>
      </c>
      <c r="AI83" s="217">
        <f>+H83</f>
      </c>
      <c r="AJ83" s="111">
        <f>+V83&amp;W83</f>
      </c>
      <c r="AK83" s="217">
        <f>+_xlfn.IFNA(VLOOKUP(AJ83,$AF$7:$AG$1066,2,0),0)</f>
      </c>
      <c r="AL83" s="217">
        <f>+IF(W83&gt;W82,AK83,AL82+AK83)</f>
      </c>
      <c r="AM83" s="217">
        <f>IF(W83&gt;W82,IF(AL83&gt;=$AZ$8,$AZ$8,AL83),IF(OR(AM82=$AZ$8,AM82=0),0,IF(AL83&gt;=$AZ$8,$AZ$8,AL83)))</f>
      </c>
      <c r="AN83" s="748">
        <f>+IF(OR(AM83&gt;AZ82,AM83=0),0,IF(AM83=AL83,AK83,$AZ$7-AL82))</f>
      </c>
      <c r="AO83" s="748">
        <f>+AK83-AN83</f>
      </c>
      <c r="AP83" s="217">
        <f>+_xlfn.IFNA(VLOOKUP(AJ83,$AF$7:$AI$1066,3,0),0)</f>
      </c>
      <c r="AQ83" s="217">
        <f>+IF(W83&gt;W82,AP83,AQ82+AP83)</f>
      </c>
      <c r="AR83" s="217">
        <f>+MAX($AM$2-SUMIF($W$7:$W$1066,W83,$AN$7:$AN$1066),0)</f>
      </c>
      <c r="AS83" s="748">
        <f>+MAX(IF(AQ83&gt;AR83,AR83-AQ82,AP83),0)</f>
      </c>
      <c r="AT83" s="748">
        <f>+AP83-AS83</f>
      </c>
      <c r="AU83" s="217">
        <f>+_xlfn.IFNA(VLOOKUP(AJ83,$AF$7:$AI$1066,4,0),0)</f>
      </c>
      <c r="AV83" s="217">
        <f>+IF(W83&gt;W82,AU83,AV82+AU83)</f>
      </c>
      <c r="AW83" s="217">
        <f>+MAX($AM$2-SUMIF($W$7:$W$1066,W83,$AN$7:$AN$1066)-SUMIF($W$7:$W$1066,W83,$AS$7:$AS$1066),0)</f>
      </c>
      <c r="AX83" s="748">
        <f>+MAX(IF(AV83&gt;AW83,AW83-AV82,AU83),0)</f>
      </c>
      <c r="AY83" s="748">
        <f>+AU83-AX83</f>
      </c>
      <c r="AZ83" s="331">
        <f>+$AM$1+IF($AP$1&gt;$AP$2,$AM$3/2)</f>
      </c>
    </row>
    <row x14ac:dyDescent="0.25" r="84" customHeight="1" ht="18.75">
      <c r="A84" s="1"/>
      <c r="B84" s="7"/>
      <c r="C84" s="170"/>
      <c r="D84" s="331">
        <v>77</v>
      </c>
      <c r="E84" s="544">
        <f>+DATE(YEAR(E83),MONTH(E83)-1,DAY(E83))</f>
        <v>25569.041666666668</v>
      </c>
      <c r="F84" s="333">
        <f>IF(DATE(YEAR($B$6),MONTH($B$6)+1,DAY(1))=E84,1,IF(MONTH(E84)=1,F85*(1+$F$5),F85))</f>
      </c>
      <c r="G84" s="333">
        <f>IF('Simulador - 1º Pilar'!$E$99="Sí",IF('Aportaciones PPE'!$B$13&lt;'Aportaciones PPE'!E84,0,F84*$B$8/12),F84*$B$8/12)</f>
      </c>
      <c r="H84" s="333">
        <f>$H$5*G84</f>
      </c>
      <c r="I84" s="333">
        <f>$I$5*G84</f>
      </c>
      <c r="J84" s="333">
        <f>+I84</f>
      </c>
      <c r="K84" s="333">
        <f>(1+$O$5)^(D84/12)*(H84+IF(AND(F84=1,F85=0),$S$4,0))</f>
      </c>
      <c r="L84" s="333">
        <f>(1+$O$5)^(D84/12)*(I84+IF(AND(F84=1,F85=0),0))</f>
      </c>
      <c r="M84" s="333">
        <f>+L84</f>
      </c>
      <c r="N84" s="333">
        <f>L84+K84+M84</f>
      </c>
      <c r="O84" s="170"/>
      <c r="P84" s="7"/>
      <c r="Q84" s="1"/>
      <c r="R84" s="331">
        <f>D84</f>
      </c>
      <c r="S84" s="169"/>
      <c r="T84" s="1"/>
      <c r="U84" s="217"/>
      <c r="V84" s="331">
        <f>+IF(V83=11,12,IF(V83=12,1,V83+1))</f>
      </c>
      <c r="W84" s="331">
        <f>+W83+IF(V83=12,1,0)</f>
      </c>
      <c r="X84" s="555">
        <f>+DATE(W84,V84,1)</f>
        <v>25569.041666666668</v>
      </c>
      <c r="Y84" s="333">
        <f>+_xlfn.IFNA(AN84+AS84+AX84,0)</f>
      </c>
      <c r="Z84" s="333">
        <f>+_xlfn.IFNA(AO84+AT84+AY84,0)</f>
      </c>
      <c r="AA84" s="333">
        <f>Y84*(1+$O$5)^(($B$7-X84)/365.25)</f>
      </c>
      <c r="AB84" s="333">
        <f>Z84*(1+$O$5)^(($B$7-X84)/365.25)</f>
      </c>
      <c r="AC84" s="1"/>
      <c r="AD84" s="1"/>
      <c r="AE84" s="1"/>
      <c r="AF84" s="111">
        <f>+MONTH(E84)&amp;YEAR(E84)</f>
      </c>
      <c r="AG84" s="217">
        <f>+I84</f>
      </c>
      <c r="AH84" s="217">
        <f>+J84</f>
      </c>
      <c r="AI84" s="217">
        <f>+H84</f>
      </c>
      <c r="AJ84" s="111">
        <f>+V84&amp;W84</f>
      </c>
      <c r="AK84" s="217">
        <f>+_xlfn.IFNA(VLOOKUP(AJ84,$AF$7:$AG$1066,2,0),0)</f>
      </c>
      <c r="AL84" s="217">
        <f>+IF(W84&gt;W83,AK84,AL83+AK84)</f>
      </c>
      <c r="AM84" s="217">
        <f>IF(W84&gt;W83,IF(AL84&gt;=$AZ$8,$AZ$8,AL84),IF(OR(AM83=$AZ$8,AM83=0),0,IF(AL84&gt;=$AZ$8,$AZ$8,AL84)))</f>
      </c>
      <c r="AN84" s="748">
        <f>+IF(OR(AM84&gt;AZ83,AM84=0),0,IF(AM84=AL84,AK84,$AZ$7-AL83))</f>
      </c>
      <c r="AO84" s="748">
        <f>+AK84-AN84</f>
      </c>
      <c r="AP84" s="217">
        <f>+_xlfn.IFNA(VLOOKUP(AJ84,$AF$7:$AI$1066,3,0),0)</f>
      </c>
      <c r="AQ84" s="217">
        <f>+IF(W84&gt;W83,AP84,AQ83+AP84)</f>
      </c>
      <c r="AR84" s="217">
        <f>+MAX($AM$2-SUMIF($W$7:$W$1066,W84,$AN$7:$AN$1066),0)</f>
      </c>
      <c r="AS84" s="748">
        <f>+MAX(IF(AQ84&gt;AR84,AR84-AQ83,AP84),0)</f>
      </c>
      <c r="AT84" s="748">
        <f>+AP84-AS84</f>
      </c>
      <c r="AU84" s="217">
        <f>+_xlfn.IFNA(VLOOKUP(AJ84,$AF$7:$AI$1066,4,0),0)</f>
      </c>
      <c r="AV84" s="217">
        <f>+IF(W84&gt;W83,AU84,AV83+AU84)</f>
      </c>
      <c r="AW84" s="217">
        <f>+MAX($AM$2-SUMIF($W$7:$W$1066,W84,$AN$7:$AN$1066)-SUMIF($W$7:$W$1066,W84,$AS$7:$AS$1066),0)</f>
      </c>
      <c r="AX84" s="748">
        <f>+MAX(IF(AV84&gt;AW84,AW84-AV83,AU84),0)</f>
      </c>
      <c r="AY84" s="748">
        <f>+AU84-AX84</f>
      </c>
      <c r="AZ84" s="331">
        <f>+$AM$1+IF($AP$1&gt;$AP$2,$AM$3/2)</f>
      </c>
    </row>
    <row x14ac:dyDescent="0.25" r="85" customHeight="1" ht="18.75">
      <c r="A85" s="1"/>
      <c r="B85" s="7"/>
      <c r="C85" s="170"/>
      <c r="D85" s="331">
        <v>78</v>
      </c>
      <c r="E85" s="544">
        <f>+DATE(YEAR(E84),MONTH(E84)-1,DAY(E84))</f>
        <v>25569.041666666668</v>
      </c>
      <c r="F85" s="333">
        <f>IF(DATE(YEAR($B$6),MONTH($B$6)+1,DAY(1))=E85,1,IF(MONTH(E85)=1,F86*(1+$F$5),F86))</f>
      </c>
      <c r="G85" s="333">
        <f>IF('Simulador - 1º Pilar'!$E$99="Sí",IF('Aportaciones PPE'!$B$13&lt;'Aportaciones PPE'!E85,0,F85*$B$8/12),F85*$B$8/12)</f>
      </c>
      <c r="H85" s="333">
        <f>$H$5*G85</f>
      </c>
      <c r="I85" s="333">
        <f>$I$5*G85</f>
      </c>
      <c r="J85" s="333">
        <f>+I85</f>
      </c>
      <c r="K85" s="333">
        <f>(1+$O$5)^(D85/12)*(H85+IF(AND(F85=1,F86=0),$S$4,0))</f>
      </c>
      <c r="L85" s="333">
        <f>(1+$O$5)^(D85/12)*(I85+IF(AND(F85=1,F86=0),0))</f>
      </c>
      <c r="M85" s="333">
        <f>+L85</f>
      </c>
      <c r="N85" s="333">
        <f>L85+K85+M85</f>
      </c>
      <c r="O85" s="170"/>
      <c r="P85" s="7"/>
      <c r="Q85" s="1"/>
      <c r="R85" s="331">
        <f>D85</f>
      </c>
      <c r="S85" s="169"/>
      <c r="T85" s="1"/>
      <c r="U85" s="217"/>
      <c r="V85" s="331">
        <f>+IF(V84=11,12,IF(V84=12,1,V84+1))</f>
      </c>
      <c r="W85" s="331">
        <f>+W84+IF(V84=12,1,0)</f>
      </c>
      <c r="X85" s="555">
        <f>+DATE(W85,V85,1)</f>
        <v>25569.041666666668</v>
      </c>
      <c r="Y85" s="333">
        <f>+_xlfn.IFNA(AN85+AS85+AX85,0)</f>
      </c>
      <c r="Z85" s="333">
        <f>+_xlfn.IFNA(AO85+AT85+AY85,0)</f>
      </c>
      <c r="AA85" s="333">
        <f>Y85*(1+$O$5)^(($B$7-X85)/365.25)</f>
      </c>
      <c r="AB85" s="333">
        <f>Z85*(1+$O$5)^(($B$7-X85)/365.25)</f>
      </c>
      <c r="AC85" s="1"/>
      <c r="AD85" s="1"/>
      <c r="AE85" s="1"/>
      <c r="AF85" s="111">
        <f>+MONTH(E85)&amp;YEAR(E85)</f>
      </c>
      <c r="AG85" s="217">
        <f>+I85</f>
      </c>
      <c r="AH85" s="217">
        <f>+J85</f>
      </c>
      <c r="AI85" s="217">
        <f>+H85</f>
      </c>
      <c r="AJ85" s="111">
        <f>+V85&amp;W85</f>
      </c>
      <c r="AK85" s="217">
        <f>+_xlfn.IFNA(VLOOKUP(AJ85,$AF$7:$AG$1066,2,0),0)</f>
      </c>
      <c r="AL85" s="217">
        <f>+IF(W85&gt;W84,AK85,AL84+AK85)</f>
      </c>
      <c r="AM85" s="217">
        <f>IF(W85&gt;W84,IF(AL85&gt;=$AZ$8,$AZ$8,AL85),IF(OR(AM84=$AZ$8,AM84=0),0,IF(AL85&gt;=$AZ$8,$AZ$8,AL85)))</f>
      </c>
      <c r="AN85" s="748">
        <f>+IF(OR(AM85&gt;AZ84,AM85=0),0,IF(AM85=AL85,AK85,$AZ$7-AL84))</f>
      </c>
      <c r="AO85" s="748">
        <f>+AK85-AN85</f>
      </c>
      <c r="AP85" s="217">
        <f>+_xlfn.IFNA(VLOOKUP(AJ85,$AF$7:$AI$1066,3,0),0)</f>
      </c>
      <c r="AQ85" s="217">
        <f>+IF(W85&gt;W84,AP85,AQ84+AP85)</f>
      </c>
      <c r="AR85" s="217">
        <f>+MAX($AM$2-SUMIF($W$7:$W$1066,W85,$AN$7:$AN$1066),0)</f>
      </c>
      <c r="AS85" s="748">
        <f>+MAX(IF(AQ85&gt;AR85,AR85-AQ84,AP85),0)</f>
      </c>
      <c r="AT85" s="748">
        <f>+AP85-AS85</f>
      </c>
      <c r="AU85" s="217">
        <f>+_xlfn.IFNA(VLOOKUP(AJ85,$AF$7:$AI$1066,4,0),0)</f>
      </c>
      <c r="AV85" s="217">
        <f>+IF(W85&gt;W84,AU85,AV84+AU85)</f>
      </c>
      <c r="AW85" s="217">
        <f>+MAX($AM$2-SUMIF($W$7:$W$1066,W85,$AN$7:$AN$1066)-SUMIF($W$7:$W$1066,W85,$AS$7:$AS$1066),0)</f>
      </c>
      <c r="AX85" s="748">
        <f>+MAX(IF(AV85&gt;AW85,AW85-AV84,AU85),0)</f>
      </c>
      <c r="AY85" s="748">
        <f>+AU85-AX85</f>
      </c>
      <c r="AZ85" s="331">
        <f>+$AM$1+IF($AP$1&gt;$AP$2,$AM$3/2)</f>
      </c>
    </row>
    <row x14ac:dyDescent="0.25" r="86" customHeight="1" ht="18.75">
      <c r="A86" s="1"/>
      <c r="B86" s="7"/>
      <c r="C86" s="170"/>
      <c r="D86" s="331">
        <v>79</v>
      </c>
      <c r="E86" s="544">
        <f>+DATE(YEAR(E85),MONTH(E85)-1,DAY(E85))</f>
        <v>25569.041666666668</v>
      </c>
      <c r="F86" s="333">
        <f>IF(DATE(YEAR($B$6),MONTH($B$6)+1,DAY(1))=E86,1,IF(MONTH(E86)=1,F87*(1+$F$5),F87))</f>
      </c>
      <c r="G86" s="333">
        <f>IF('Simulador - 1º Pilar'!$E$99="Sí",IF('Aportaciones PPE'!$B$13&lt;'Aportaciones PPE'!E86,0,F86*$B$8/12),F86*$B$8/12)</f>
      </c>
      <c r="H86" s="333">
        <f>$H$5*G86</f>
      </c>
      <c r="I86" s="333">
        <f>$I$5*G86</f>
      </c>
      <c r="J86" s="333">
        <f>+I86</f>
      </c>
      <c r="K86" s="333">
        <f>(1+$O$5)^(D86/12)*(H86+IF(AND(F86=1,F87=0),$S$4,0))</f>
      </c>
      <c r="L86" s="333">
        <f>(1+$O$5)^(D86/12)*(I86+IF(AND(F86=1,F87=0),0))</f>
      </c>
      <c r="M86" s="333">
        <f>+L86</f>
      </c>
      <c r="N86" s="333">
        <f>L86+K86+M86</f>
      </c>
      <c r="O86" s="170"/>
      <c r="P86" s="7"/>
      <c r="Q86" s="1"/>
      <c r="R86" s="331">
        <f>D86</f>
      </c>
      <c r="S86" s="169"/>
      <c r="T86" s="1"/>
      <c r="U86" s="217"/>
      <c r="V86" s="331">
        <f>+IF(V85=11,12,IF(V85=12,1,V85+1))</f>
      </c>
      <c r="W86" s="331">
        <f>+W85+IF(V85=12,1,0)</f>
      </c>
      <c r="X86" s="555">
        <f>+DATE(W86,V86,1)</f>
        <v>25569.041666666668</v>
      </c>
      <c r="Y86" s="333">
        <f>+_xlfn.IFNA(AN86+AS86+AX86,0)</f>
      </c>
      <c r="Z86" s="333">
        <f>+_xlfn.IFNA(AO86+AT86+AY86,0)</f>
      </c>
      <c r="AA86" s="333">
        <f>Y86*(1+$O$5)^(($B$7-X86)/365.25)</f>
      </c>
      <c r="AB86" s="333">
        <f>Z86*(1+$O$5)^(($B$7-X86)/365.25)</f>
      </c>
      <c r="AC86" s="1"/>
      <c r="AD86" s="1"/>
      <c r="AE86" s="1"/>
      <c r="AF86" s="111">
        <f>+MONTH(E86)&amp;YEAR(E86)</f>
      </c>
      <c r="AG86" s="217">
        <f>+I86</f>
      </c>
      <c r="AH86" s="217">
        <f>+J86</f>
      </c>
      <c r="AI86" s="217">
        <f>+H86</f>
      </c>
      <c r="AJ86" s="111">
        <f>+V86&amp;W86</f>
      </c>
      <c r="AK86" s="217">
        <f>+_xlfn.IFNA(VLOOKUP(AJ86,$AF$7:$AG$1066,2,0),0)</f>
      </c>
      <c r="AL86" s="217">
        <f>+IF(W86&gt;W85,AK86,AL85+AK86)</f>
      </c>
      <c r="AM86" s="217">
        <f>IF(W86&gt;W85,IF(AL86&gt;=$AZ$8,$AZ$8,AL86),IF(OR(AM85=$AZ$8,AM85=0),0,IF(AL86&gt;=$AZ$8,$AZ$8,AL86)))</f>
      </c>
      <c r="AN86" s="748">
        <f>+IF(OR(AM86&gt;AZ85,AM86=0),0,IF(AM86=AL86,AK86,$AZ$7-AL85))</f>
      </c>
      <c r="AO86" s="748">
        <f>+AK86-AN86</f>
      </c>
      <c r="AP86" s="217">
        <f>+_xlfn.IFNA(VLOOKUP(AJ86,$AF$7:$AI$1066,3,0),0)</f>
      </c>
      <c r="AQ86" s="217">
        <f>+IF(W86&gt;W85,AP86,AQ85+AP86)</f>
      </c>
      <c r="AR86" s="217">
        <f>+MAX($AM$2-SUMIF($W$7:$W$1066,W86,$AN$7:$AN$1066),0)</f>
      </c>
      <c r="AS86" s="748">
        <f>+MAX(IF(AQ86&gt;AR86,AR86-AQ85,AP86),0)</f>
      </c>
      <c r="AT86" s="748">
        <f>+AP86-AS86</f>
      </c>
      <c r="AU86" s="217">
        <f>+_xlfn.IFNA(VLOOKUP(AJ86,$AF$7:$AI$1066,4,0),0)</f>
      </c>
      <c r="AV86" s="217">
        <f>+IF(W86&gt;W85,AU86,AV85+AU86)</f>
      </c>
      <c r="AW86" s="217">
        <f>+MAX($AM$2-SUMIF($W$7:$W$1066,W86,$AN$7:$AN$1066)-SUMIF($W$7:$W$1066,W86,$AS$7:$AS$1066),0)</f>
      </c>
      <c r="AX86" s="748">
        <f>+MAX(IF(AV86&gt;AW86,AW86-AV85,AU86),0)</f>
      </c>
      <c r="AY86" s="748">
        <f>+AU86-AX86</f>
      </c>
      <c r="AZ86" s="331">
        <f>+$AM$1+IF($AP$1&gt;$AP$2,$AM$3/2)</f>
      </c>
    </row>
    <row x14ac:dyDescent="0.25" r="87" customHeight="1" ht="18.75">
      <c r="A87" s="1"/>
      <c r="B87" s="7"/>
      <c r="C87" s="170"/>
      <c r="D87" s="331">
        <v>80</v>
      </c>
      <c r="E87" s="544">
        <f>+DATE(YEAR(E86),MONTH(E86)-1,DAY(E86))</f>
        <v>25569.041666666668</v>
      </c>
      <c r="F87" s="333">
        <f>IF(DATE(YEAR($B$6),MONTH($B$6)+1,DAY(1))=E87,1,IF(MONTH(E87)=1,F88*(1+$F$5),F88))</f>
      </c>
      <c r="G87" s="333">
        <f>IF('Simulador - 1º Pilar'!$E$99="Sí",IF('Aportaciones PPE'!$B$13&lt;'Aportaciones PPE'!E87,0,F87*$B$8/12),F87*$B$8/12)</f>
      </c>
      <c r="H87" s="333">
        <f>$H$5*G87</f>
      </c>
      <c r="I87" s="333">
        <f>$I$5*G87</f>
      </c>
      <c r="J87" s="333">
        <f>+I87</f>
      </c>
      <c r="K87" s="333">
        <f>(1+$O$5)^(D87/12)*(H87+IF(AND(F87=1,F88=0),$S$4,0))</f>
      </c>
      <c r="L87" s="333">
        <f>(1+$O$5)^(D87/12)*(I87+IF(AND(F87=1,F88=0),0))</f>
      </c>
      <c r="M87" s="333">
        <f>+L87</f>
      </c>
      <c r="N87" s="333">
        <f>L87+K87+M87</f>
      </c>
      <c r="O87" s="170"/>
      <c r="P87" s="7"/>
      <c r="Q87" s="1"/>
      <c r="R87" s="331">
        <f>D87</f>
      </c>
      <c r="S87" s="169"/>
      <c r="T87" s="1"/>
      <c r="U87" s="217"/>
      <c r="V87" s="331">
        <f>+IF(V86=11,12,IF(V86=12,1,V86+1))</f>
      </c>
      <c r="W87" s="331">
        <f>+W86+IF(V86=12,1,0)</f>
      </c>
      <c r="X87" s="555">
        <f>+DATE(W87,V87,1)</f>
        <v>25569.041666666668</v>
      </c>
      <c r="Y87" s="333">
        <f>+_xlfn.IFNA(AN87+AS87+AX87,0)</f>
      </c>
      <c r="Z87" s="333">
        <f>+_xlfn.IFNA(AO87+AT87+AY87,0)</f>
      </c>
      <c r="AA87" s="333">
        <f>Y87*(1+$O$5)^(($B$7-X87)/365.25)</f>
      </c>
      <c r="AB87" s="333">
        <f>Z87*(1+$O$5)^(($B$7-X87)/365.25)</f>
      </c>
      <c r="AC87" s="1"/>
      <c r="AD87" s="1"/>
      <c r="AE87" s="1"/>
      <c r="AF87" s="111">
        <f>+MONTH(E87)&amp;YEAR(E87)</f>
      </c>
      <c r="AG87" s="217">
        <f>+I87</f>
      </c>
      <c r="AH87" s="217">
        <f>+J87</f>
      </c>
      <c r="AI87" s="217">
        <f>+H87</f>
      </c>
      <c r="AJ87" s="111">
        <f>+V87&amp;W87</f>
      </c>
      <c r="AK87" s="217">
        <f>+_xlfn.IFNA(VLOOKUP(AJ87,$AF$7:$AG$1066,2,0),0)</f>
      </c>
      <c r="AL87" s="217">
        <f>+IF(W87&gt;W86,AK87,AL86+AK87)</f>
      </c>
      <c r="AM87" s="217">
        <f>IF(W87&gt;W86,IF(AL87&gt;=$AZ$8,$AZ$8,AL87),IF(OR(AM86=$AZ$8,AM86=0),0,IF(AL87&gt;=$AZ$8,$AZ$8,AL87)))</f>
      </c>
      <c r="AN87" s="748">
        <f>+IF(OR(AM87&gt;AZ86,AM87=0),0,IF(AM87=AL87,AK87,$AZ$7-AL86))</f>
      </c>
      <c r="AO87" s="748">
        <f>+AK87-AN87</f>
      </c>
      <c r="AP87" s="217">
        <f>+_xlfn.IFNA(VLOOKUP(AJ87,$AF$7:$AI$1066,3,0),0)</f>
      </c>
      <c r="AQ87" s="217">
        <f>+IF(W87&gt;W86,AP87,AQ86+AP87)</f>
      </c>
      <c r="AR87" s="217">
        <f>+MAX($AM$2-SUMIF($W$7:$W$1066,W87,$AN$7:$AN$1066),0)</f>
      </c>
      <c r="AS87" s="748">
        <f>+MAX(IF(AQ87&gt;AR87,AR87-AQ86,AP87),0)</f>
      </c>
      <c r="AT87" s="748">
        <f>+AP87-AS87</f>
      </c>
      <c r="AU87" s="217">
        <f>+_xlfn.IFNA(VLOOKUP(AJ87,$AF$7:$AI$1066,4,0),0)</f>
      </c>
      <c r="AV87" s="217">
        <f>+IF(W87&gt;W86,AU87,AV86+AU87)</f>
      </c>
      <c r="AW87" s="217">
        <f>+MAX($AM$2-SUMIF($W$7:$W$1066,W87,$AN$7:$AN$1066)-SUMIF($W$7:$W$1066,W87,$AS$7:$AS$1066),0)</f>
      </c>
      <c r="AX87" s="748">
        <f>+MAX(IF(AV87&gt;AW87,AW87-AV86,AU87),0)</f>
      </c>
      <c r="AY87" s="748">
        <f>+AU87-AX87</f>
      </c>
      <c r="AZ87" s="331">
        <f>+$AM$1+IF($AP$1&gt;$AP$2,$AM$3/2)</f>
      </c>
    </row>
    <row x14ac:dyDescent="0.25" r="88" customHeight="1" ht="18.75">
      <c r="A88" s="1"/>
      <c r="B88" s="7"/>
      <c r="C88" s="170"/>
      <c r="D88" s="331">
        <v>81</v>
      </c>
      <c r="E88" s="544">
        <f>+DATE(YEAR(E87),MONTH(E87)-1,DAY(E87))</f>
        <v>25569.041666666668</v>
      </c>
      <c r="F88" s="333">
        <f>IF(DATE(YEAR($B$6),MONTH($B$6)+1,DAY(1))=E88,1,IF(MONTH(E88)=1,F89*(1+$F$5),F89))</f>
      </c>
      <c r="G88" s="333">
        <f>IF('Simulador - 1º Pilar'!$E$99="Sí",IF('Aportaciones PPE'!$B$13&lt;'Aportaciones PPE'!E88,0,F88*$B$8/12),F88*$B$8/12)</f>
      </c>
      <c r="H88" s="333">
        <f>$H$5*G88</f>
      </c>
      <c r="I88" s="333">
        <f>$I$5*G88</f>
      </c>
      <c r="J88" s="333">
        <f>+I88</f>
      </c>
      <c r="K88" s="333">
        <f>(1+$O$5)^(D88/12)*(H88+IF(AND(F88=1,F89=0),$S$4,0))</f>
      </c>
      <c r="L88" s="333">
        <f>(1+$O$5)^(D88/12)*(I88+IF(AND(F88=1,F89=0),0))</f>
      </c>
      <c r="M88" s="333">
        <f>+L88</f>
      </c>
      <c r="N88" s="333">
        <f>L88+K88+M88</f>
      </c>
      <c r="O88" s="170"/>
      <c r="P88" s="7"/>
      <c r="Q88" s="1"/>
      <c r="R88" s="331">
        <f>D88</f>
      </c>
      <c r="S88" s="169"/>
      <c r="T88" s="1"/>
      <c r="U88" s="217"/>
      <c r="V88" s="331">
        <f>+IF(V87=11,12,IF(V87=12,1,V87+1))</f>
      </c>
      <c r="W88" s="331">
        <f>+W87+IF(V87=12,1,0)</f>
      </c>
      <c r="X88" s="555">
        <f>+DATE(W88,V88,1)</f>
        <v>25569.041666666668</v>
      </c>
      <c r="Y88" s="333">
        <f>+_xlfn.IFNA(AN88+AS88+AX88,0)</f>
      </c>
      <c r="Z88" s="333">
        <f>+_xlfn.IFNA(AO88+AT88+AY88,0)</f>
      </c>
      <c r="AA88" s="333">
        <f>Y88*(1+$O$5)^(($B$7-X88)/365.25)</f>
      </c>
      <c r="AB88" s="333">
        <f>Z88*(1+$O$5)^(($B$7-X88)/365.25)</f>
      </c>
      <c r="AC88" s="1"/>
      <c r="AD88" s="1"/>
      <c r="AE88" s="1"/>
      <c r="AF88" s="111">
        <f>+MONTH(E88)&amp;YEAR(E88)</f>
      </c>
      <c r="AG88" s="217">
        <f>+I88</f>
      </c>
      <c r="AH88" s="217">
        <f>+J88</f>
      </c>
      <c r="AI88" s="217">
        <f>+H88</f>
      </c>
      <c r="AJ88" s="111">
        <f>+V88&amp;W88</f>
      </c>
      <c r="AK88" s="217">
        <f>+_xlfn.IFNA(VLOOKUP(AJ88,$AF$7:$AG$1066,2,0),0)</f>
      </c>
      <c r="AL88" s="217">
        <f>+IF(W88&gt;W87,AK88,AL87+AK88)</f>
      </c>
      <c r="AM88" s="217">
        <f>IF(W88&gt;W87,IF(AL88&gt;=$AZ$8,$AZ$8,AL88),IF(OR(AM87=$AZ$8,AM87=0),0,IF(AL88&gt;=$AZ$8,$AZ$8,AL88)))</f>
      </c>
      <c r="AN88" s="748">
        <f>+IF(OR(AM88&gt;AZ87,AM88=0),0,IF(AM88=AL88,AK88,$AZ$7-AL87))</f>
      </c>
      <c r="AO88" s="748">
        <f>+AK88-AN88</f>
      </c>
      <c r="AP88" s="217">
        <f>+_xlfn.IFNA(VLOOKUP(AJ88,$AF$7:$AI$1066,3,0),0)</f>
      </c>
      <c r="AQ88" s="217">
        <f>+IF(W88&gt;W87,AP88,AQ87+AP88)</f>
      </c>
      <c r="AR88" s="217">
        <f>+MAX($AM$2-SUMIF($W$7:$W$1066,W88,$AN$7:$AN$1066),0)</f>
      </c>
      <c r="AS88" s="748">
        <f>+MAX(IF(AQ88&gt;AR88,AR88-AQ87,AP88),0)</f>
      </c>
      <c r="AT88" s="748">
        <f>+AP88-AS88</f>
      </c>
      <c r="AU88" s="217">
        <f>+_xlfn.IFNA(VLOOKUP(AJ88,$AF$7:$AI$1066,4,0),0)</f>
      </c>
      <c r="AV88" s="217">
        <f>+IF(W88&gt;W87,AU88,AV87+AU88)</f>
      </c>
      <c r="AW88" s="217">
        <f>+MAX($AM$2-SUMIF($W$7:$W$1066,W88,$AN$7:$AN$1066)-SUMIF($W$7:$W$1066,W88,$AS$7:$AS$1066),0)</f>
      </c>
      <c r="AX88" s="748">
        <f>+MAX(IF(AV88&gt;AW88,AW88-AV87,AU88),0)</f>
      </c>
      <c r="AY88" s="748">
        <f>+AU88-AX88</f>
      </c>
      <c r="AZ88" s="331">
        <f>+$AM$1+IF($AP$1&gt;$AP$2,$AM$3/2)</f>
      </c>
    </row>
    <row x14ac:dyDescent="0.25" r="89" customHeight="1" ht="18.75">
      <c r="A89" s="1"/>
      <c r="B89" s="7"/>
      <c r="C89" s="170"/>
      <c r="D89" s="331">
        <v>82</v>
      </c>
      <c r="E89" s="544">
        <f>+DATE(YEAR(E88),MONTH(E88)-1,DAY(E88))</f>
        <v>25569.041666666668</v>
      </c>
      <c r="F89" s="333">
        <f>IF(DATE(YEAR($B$6),MONTH($B$6)+1,DAY(1))=E89,1,IF(MONTH(E89)=1,F90*(1+$F$5),F90))</f>
      </c>
      <c r="G89" s="333">
        <f>IF('Simulador - 1º Pilar'!$E$99="Sí",IF('Aportaciones PPE'!$B$13&lt;'Aportaciones PPE'!E89,0,F89*$B$8/12),F89*$B$8/12)</f>
      </c>
      <c r="H89" s="333">
        <f>$H$5*G89</f>
      </c>
      <c r="I89" s="333">
        <f>$I$5*G89</f>
      </c>
      <c r="J89" s="333">
        <f>+I89</f>
      </c>
      <c r="K89" s="333">
        <f>(1+$O$5)^(D89/12)*(H89+IF(AND(F89=1,F90=0),$S$4,0))</f>
      </c>
      <c r="L89" s="333">
        <f>(1+$O$5)^(D89/12)*(I89+IF(AND(F89=1,F90=0),0))</f>
      </c>
      <c r="M89" s="333">
        <f>+L89</f>
      </c>
      <c r="N89" s="333">
        <f>L89+K89+M89</f>
      </c>
      <c r="O89" s="170"/>
      <c r="P89" s="7"/>
      <c r="Q89" s="1"/>
      <c r="R89" s="331">
        <f>D89</f>
      </c>
      <c r="S89" s="169"/>
      <c r="T89" s="1"/>
      <c r="U89" s="217"/>
      <c r="V89" s="331">
        <f>+IF(V88=11,12,IF(V88=12,1,V88+1))</f>
      </c>
      <c r="W89" s="331">
        <f>+W88+IF(V88=12,1,0)</f>
      </c>
      <c r="X89" s="555">
        <f>+DATE(W89,V89,1)</f>
        <v>25569.041666666668</v>
      </c>
      <c r="Y89" s="333">
        <f>+_xlfn.IFNA(AN89+AS89+AX89,0)</f>
      </c>
      <c r="Z89" s="333">
        <f>+_xlfn.IFNA(AO89+AT89+AY89,0)</f>
      </c>
      <c r="AA89" s="333">
        <f>Y89*(1+$O$5)^(($B$7-X89)/365.25)</f>
      </c>
      <c r="AB89" s="333">
        <f>Z89*(1+$O$5)^(($B$7-X89)/365.25)</f>
      </c>
      <c r="AC89" s="1"/>
      <c r="AD89" s="1"/>
      <c r="AE89" s="1"/>
      <c r="AF89" s="111">
        <f>+MONTH(E89)&amp;YEAR(E89)</f>
      </c>
      <c r="AG89" s="217">
        <f>+I89</f>
      </c>
      <c r="AH89" s="217">
        <f>+J89</f>
      </c>
      <c r="AI89" s="217">
        <f>+H89</f>
      </c>
      <c r="AJ89" s="111">
        <f>+V89&amp;W89</f>
      </c>
      <c r="AK89" s="217">
        <f>+_xlfn.IFNA(VLOOKUP(AJ89,$AF$7:$AG$1066,2,0),0)</f>
      </c>
      <c r="AL89" s="217">
        <f>+IF(W89&gt;W88,AK89,AL88+AK89)</f>
      </c>
      <c r="AM89" s="217">
        <f>IF(W89&gt;W88,IF(AL89&gt;=$AZ$8,$AZ$8,AL89),IF(OR(AM88=$AZ$8,AM88=0),0,IF(AL89&gt;=$AZ$8,$AZ$8,AL89)))</f>
      </c>
      <c r="AN89" s="748">
        <f>+IF(OR(AM89&gt;AZ88,AM89=0),0,IF(AM89=AL89,AK89,$AZ$7-AL88))</f>
      </c>
      <c r="AO89" s="748">
        <f>+AK89-AN89</f>
      </c>
      <c r="AP89" s="217">
        <f>+_xlfn.IFNA(VLOOKUP(AJ89,$AF$7:$AI$1066,3,0),0)</f>
      </c>
      <c r="AQ89" s="217">
        <f>+IF(W89&gt;W88,AP89,AQ88+AP89)</f>
      </c>
      <c r="AR89" s="217">
        <f>+MAX($AM$2-SUMIF($W$7:$W$1066,W89,$AN$7:$AN$1066),0)</f>
      </c>
      <c r="AS89" s="748">
        <f>+MAX(IF(AQ89&gt;AR89,AR89-AQ88,AP89),0)</f>
      </c>
      <c r="AT89" s="748">
        <f>+AP89-AS89</f>
      </c>
      <c r="AU89" s="217">
        <f>+_xlfn.IFNA(VLOOKUP(AJ89,$AF$7:$AI$1066,4,0),0)</f>
      </c>
      <c r="AV89" s="217">
        <f>+IF(W89&gt;W88,AU89,AV88+AU89)</f>
      </c>
      <c r="AW89" s="217">
        <f>+MAX($AM$2-SUMIF($W$7:$W$1066,W89,$AN$7:$AN$1066)-SUMIF($W$7:$W$1066,W89,$AS$7:$AS$1066),0)</f>
      </c>
      <c r="AX89" s="748">
        <f>+MAX(IF(AV89&gt;AW89,AW89-AV88,AU89),0)</f>
      </c>
      <c r="AY89" s="748">
        <f>+AU89-AX89</f>
      </c>
      <c r="AZ89" s="331">
        <f>+$AM$1+IF($AP$1&gt;$AP$2,$AM$3/2)</f>
      </c>
    </row>
    <row x14ac:dyDescent="0.25" r="90" customHeight="1" ht="18.75">
      <c r="A90" s="1"/>
      <c r="B90" s="7"/>
      <c r="C90" s="170"/>
      <c r="D90" s="331">
        <v>83</v>
      </c>
      <c r="E90" s="544">
        <f>+DATE(YEAR(E89),MONTH(E89)-1,DAY(E89))</f>
        <v>25569.041666666668</v>
      </c>
      <c r="F90" s="333">
        <f>IF(DATE(YEAR($B$6),MONTH($B$6)+1,DAY(1))=E90,1,IF(MONTH(E90)=1,F91*(1+$F$5),F91))</f>
      </c>
      <c r="G90" s="333">
        <f>IF('Simulador - 1º Pilar'!$E$99="Sí",IF('Aportaciones PPE'!$B$13&lt;'Aportaciones PPE'!E90,0,F90*$B$8/12),F90*$B$8/12)</f>
      </c>
      <c r="H90" s="333">
        <f>$H$5*G90</f>
      </c>
      <c r="I90" s="333">
        <f>$I$5*G90</f>
      </c>
      <c r="J90" s="333">
        <f>+I90</f>
      </c>
      <c r="K90" s="333">
        <f>(1+$O$5)^(D90/12)*(H90+IF(AND(F90=1,F91=0),$S$4,0))</f>
      </c>
      <c r="L90" s="333">
        <f>(1+$O$5)^(D90/12)*(I90+IF(AND(F90=1,F91=0),0))</f>
      </c>
      <c r="M90" s="333">
        <f>+L90</f>
      </c>
      <c r="N90" s="333">
        <f>L90+K90+M90</f>
      </c>
      <c r="O90" s="170"/>
      <c r="P90" s="7"/>
      <c r="Q90" s="1"/>
      <c r="R90" s="331">
        <f>D90</f>
      </c>
      <c r="S90" s="169"/>
      <c r="T90" s="1"/>
      <c r="U90" s="217"/>
      <c r="V90" s="331">
        <f>+IF(V89=11,12,IF(V89=12,1,V89+1))</f>
      </c>
      <c r="W90" s="331">
        <f>+W89+IF(V89=12,1,0)</f>
      </c>
      <c r="X90" s="555">
        <f>+DATE(W90,V90,1)</f>
        <v>25569.041666666668</v>
      </c>
      <c r="Y90" s="333">
        <f>+_xlfn.IFNA(AN90+AS90+AX90,0)</f>
      </c>
      <c r="Z90" s="333">
        <f>+_xlfn.IFNA(AO90+AT90+AY90,0)</f>
      </c>
      <c r="AA90" s="333">
        <f>Y90*(1+$O$5)^(($B$7-X90)/365.25)</f>
      </c>
      <c r="AB90" s="333">
        <f>Z90*(1+$O$5)^(($B$7-X90)/365.25)</f>
      </c>
      <c r="AC90" s="1"/>
      <c r="AD90" s="1"/>
      <c r="AE90" s="1"/>
      <c r="AF90" s="111">
        <f>+MONTH(E90)&amp;YEAR(E90)</f>
      </c>
      <c r="AG90" s="217">
        <f>+I90</f>
      </c>
      <c r="AH90" s="217">
        <f>+J90</f>
      </c>
      <c r="AI90" s="217">
        <f>+H90</f>
      </c>
      <c r="AJ90" s="111">
        <f>+V90&amp;W90</f>
      </c>
      <c r="AK90" s="217">
        <f>+_xlfn.IFNA(VLOOKUP(AJ90,$AF$7:$AG$1066,2,0),0)</f>
      </c>
      <c r="AL90" s="217">
        <f>+IF(W90&gt;W89,AK90,AL89+AK90)</f>
      </c>
      <c r="AM90" s="217">
        <f>IF(W90&gt;W89,IF(AL90&gt;=$AZ$8,$AZ$8,AL90),IF(OR(AM89=$AZ$8,AM89=0),0,IF(AL90&gt;=$AZ$8,$AZ$8,AL90)))</f>
      </c>
      <c r="AN90" s="748">
        <f>+IF(OR(AM90&gt;AZ89,AM90=0),0,IF(AM90=AL90,AK90,$AZ$7-AL89))</f>
      </c>
      <c r="AO90" s="748">
        <f>+AK90-AN90</f>
      </c>
      <c r="AP90" s="217">
        <f>+_xlfn.IFNA(VLOOKUP(AJ90,$AF$7:$AI$1066,3,0),0)</f>
      </c>
      <c r="AQ90" s="217">
        <f>+IF(W90&gt;W89,AP90,AQ89+AP90)</f>
      </c>
      <c r="AR90" s="217">
        <f>+MAX($AM$2-SUMIF($W$7:$W$1066,W90,$AN$7:$AN$1066),0)</f>
      </c>
      <c r="AS90" s="748">
        <f>+MAX(IF(AQ90&gt;AR90,AR90-AQ89,AP90),0)</f>
      </c>
      <c r="AT90" s="748">
        <f>+AP90-AS90</f>
      </c>
      <c r="AU90" s="217">
        <f>+_xlfn.IFNA(VLOOKUP(AJ90,$AF$7:$AI$1066,4,0),0)</f>
      </c>
      <c r="AV90" s="217">
        <f>+IF(W90&gt;W89,AU90,AV89+AU90)</f>
      </c>
      <c r="AW90" s="217">
        <f>+MAX($AM$2-SUMIF($W$7:$W$1066,W90,$AN$7:$AN$1066)-SUMIF($W$7:$W$1066,W90,$AS$7:$AS$1066),0)</f>
      </c>
      <c r="AX90" s="748">
        <f>+MAX(IF(AV90&gt;AW90,AW90-AV89,AU90),0)</f>
      </c>
      <c r="AY90" s="748">
        <f>+AU90-AX90</f>
      </c>
      <c r="AZ90" s="331">
        <f>+$AM$1+IF($AP$1&gt;$AP$2,$AM$3/2)</f>
      </c>
    </row>
    <row x14ac:dyDescent="0.25" r="91" customHeight="1" ht="18.75">
      <c r="A91" s="1"/>
      <c r="B91" s="7"/>
      <c r="C91" s="170"/>
      <c r="D91" s="331">
        <v>84</v>
      </c>
      <c r="E91" s="544">
        <f>+DATE(YEAR(E90),MONTH(E90)-1,DAY(E90))</f>
        <v>25569.041666666668</v>
      </c>
      <c r="F91" s="333">
        <f>IF(DATE(YEAR($B$6),MONTH($B$6)+1,DAY(1))=E91,1,IF(MONTH(E91)=1,F92*(1+$F$5),F92))</f>
      </c>
      <c r="G91" s="333">
        <f>IF('Simulador - 1º Pilar'!$E$99="Sí",IF('Aportaciones PPE'!$B$13&lt;'Aportaciones PPE'!E91,0,F91*$B$8/12),F91*$B$8/12)</f>
      </c>
      <c r="H91" s="333">
        <f>$H$5*G91</f>
      </c>
      <c r="I91" s="333">
        <f>$I$5*G91</f>
      </c>
      <c r="J91" s="333">
        <f>+I91</f>
      </c>
      <c r="K91" s="333">
        <f>(1+$O$5)^(D91/12)*(H91+IF(AND(F91=1,F92=0),$S$4,0))</f>
      </c>
      <c r="L91" s="333">
        <f>(1+$O$5)^(D91/12)*(I91+IF(AND(F91=1,F92=0),0))</f>
      </c>
      <c r="M91" s="333">
        <f>+L91</f>
      </c>
      <c r="N91" s="333">
        <f>L91+K91+M91</f>
      </c>
      <c r="O91" s="170"/>
      <c r="P91" s="7"/>
      <c r="Q91" s="1"/>
      <c r="R91" s="331">
        <f>D91</f>
      </c>
      <c r="S91" s="169"/>
      <c r="T91" s="1"/>
      <c r="U91" s="217"/>
      <c r="V91" s="331">
        <f>+IF(V90=11,12,IF(V90=12,1,V90+1))</f>
      </c>
      <c r="W91" s="331">
        <f>+W90+IF(V90=12,1,0)</f>
      </c>
      <c r="X91" s="555">
        <f>+DATE(W91,V91,1)</f>
        <v>25569.041666666668</v>
      </c>
      <c r="Y91" s="333">
        <f>+_xlfn.IFNA(AN91+AS91+AX91,0)</f>
      </c>
      <c r="Z91" s="333">
        <f>+_xlfn.IFNA(AO91+AT91+AY91,0)</f>
      </c>
      <c r="AA91" s="333">
        <f>Y91*(1+$O$5)^(($B$7-X91)/365.25)</f>
      </c>
      <c r="AB91" s="333">
        <f>Z91*(1+$O$5)^(($B$7-X91)/365.25)</f>
      </c>
      <c r="AC91" s="1"/>
      <c r="AD91" s="1"/>
      <c r="AE91" s="1"/>
      <c r="AF91" s="111">
        <f>+MONTH(E91)&amp;YEAR(E91)</f>
      </c>
      <c r="AG91" s="217">
        <f>+I91</f>
      </c>
      <c r="AH91" s="217">
        <f>+J91</f>
      </c>
      <c r="AI91" s="217">
        <f>+H91</f>
      </c>
      <c r="AJ91" s="111">
        <f>+V91&amp;W91</f>
      </c>
      <c r="AK91" s="217">
        <f>+_xlfn.IFNA(VLOOKUP(AJ91,$AF$7:$AG$1066,2,0),0)</f>
      </c>
      <c r="AL91" s="217">
        <f>+IF(W91&gt;W90,AK91,AL90+AK91)</f>
      </c>
      <c r="AM91" s="217">
        <f>IF(W91&gt;W90,IF(AL91&gt;=$AZ$8,$AZ$8,AL91),IF(OR(AM90=$AZ$8,AM90=0),0,IF(AL91&gt;=$AZ$8,$AZ$8,AL91)))</f>
      </c>
      <c r="AN91" s="748">
        <f>+IF(OR(AM91&gt;AZ90,AM91=0),0,IF(AM91=AL91,AK91,$AZ$7-AL90))</f>
      </c>
      <c r="AO91" s="748">
        <f>+AK91-AN91</f>
      </c>
      <c r="AP91" s="217">
        <f>+_xlfn.IFNA(VLOOKUP(AJ91,$AF$7:$AI$1066,3,0),0)</f>
      </c>
      <c r="AQ91" s="217">
        <f>+IF(W91&gt;W90,AP91,AQ90+AP91)</f>
      </c>
      <c r="AR91" s="217">
        <f>+MAX($AM$2-SUMIF($W$7:$W$1066,W91,$AN$7:$AN$1066),0)</f>
      </c>
      <c r="AS91" s="748">
        <f>+MAX(IF(AQ91&gt;AR91,AR91-AQ90,AP91),0)</f>
      </c>
      <c r="AT91" s="748">
        <f>+AP91-AS91</f>
      </c>
      <c r="AU91" s="217">
        <f>+_xlfn.IFNA(VLOOKUP(AJ91,$AF$7:$AI$1066,4,0),0)</f>
      </c>
      <c r="AV91" s="217">
        <f>+IF(W91&gt;W90,AU91,AV90+AU91)</f>
      </c>
      <c r="AW91" s="217">
        <f>+MAX($AM$2-SUMIF($W$7:$W$1066,W91,$AN$7:$AN$1066)-SUMIF($W$7:$W$1066,W91,$AS$7:$AS$1066),0)</f>
      </c>
      <c r="AX91" s="748">
        <f>+MAX(IF(AV91&gt;AW91,AW91-AV90,AU91),0)</f>
      </c>
      <c r="AY91" s="748">
        <f>+AU91-AX91</f>
      </c>
      <c r="AZ91" s="331">
        <f>+$AM$1+IF($AP$1&gt;$AP$2,$AM$3/2)</f>
      </c>
    </row>
    <row x14ac:dyDescent="0.25" r="92" customHeight="1" ht="18.75">
      <c r="A92" s="1"/>
      <c r="B92" s="7"/>
      <c r="C92" s="170"/>
      <c r="D92" s="331">
        <v>85</v>
      </c>
      <c r="E92" s="544">
        <f>+DATE(YEAR(E91),MONTH(E91)-1,DAY(E91))</f>
        <v>25569.041666666668</v>
      </c>
      <c r="F92" s="333">
        <f>IF(DATE(YEAR($B$6),MONTH($B$6)+1,DAY(1))=E92,1,IF(MONTH(E92)=1,F93*(1+$F$5),F93))</f>
      </c>
      <c r="G92" s="333">
        <f>IF('Simulador - 1º Pilar'!$E$99="Sí",IF('Aportaciones PPE'!$B$13&lt;'Aportaciones PPE'!E92,0,F92*$B$8/12),F92*$B$8/12)</f>
      </c>
      <c r="H92" s="333">
        <f>$H$5*G92</f>
      </c>
      <c r="I92" s="333">
        <f>$I$5*G92</f>
      </c>
      <c r="J92" s="333">
        <f>+I92</f>
      </c>
      <c r="K92" s="333">
        <f>(1+$O$5)^(D92/12)*(H92+IF(AND(F92=1,F93=0),$S$4,0))</f>
      </c>
      <c r="L92" s="333">
        <f>(1+$O$5)^(D92/12)*(I92+IF(AND(F92=1,F93=0),0))</f>
      </c>
      <c r="M92" s="333">
        <f>+L92</f>
      </c>
      <c r="N92" s="333">
        <f>L92+K92+M92</f>
      </c>
      <c r="O92" s="170"/>
      <c r="P92" s="7"/>
      <c r="Q92" s="1"/>
      <c r="R92" s="331">
        <f>D92</f>
      </c>
      <c r="S92" s="169"/>
      <c r="T92" s="1"/>
      <c r="U92" s="217"/>
      <c r="V92" s="331">
        <f>+IF(V91=11,12,IF(V91=12,1,V91+1))</f>
      </c>
      <c r="W92" s="331">
        <f>+W91+IF(V91=12,1,0)</f>
      </c>
      <c r="X92" s="555">
        <f>+DATE(W92,V92,1)</f>
        <v>25569.041666666668</v>
      </c>
      <c r="Y92" s="333">
        <f>+_xlfn.IFNA(AN92+AS92+AX92,0)</f>
      </c>
      <c r="Z92" s="333">
        <f>+_xlfn.IFNA(AO92+AT92+AY92,0)</f>
      </c>
      <c r="AA92" s="333">
        <f>Y92*(1+$O$5)^(($B$7-X92)/365.25)</f>
      </c>
      <c r="AB92" s="333">
        <f>Z92*(1+$O$5)^(($B$7-X92)/365.25)</f>
      </c>
      <c r="AC92" s="1"/>
      <c r="AD92" s="1"/>
      <c r="AE92" s="1"/>
      <c r="AF92" s="111">
        <f>+MONTH(E92)&amp;YEAR(E92)</f>
      </c>
      <c r="AG92" s="217">
        <f>+I92</f>
      </c>
      <c r="AH92" s="217">
        <f>+J92</f>
      </c>
      <c r="AI92" s="217">
        <f>+H92</f>
      </c>
      <c r="AJ92" s="111">
        <f>+V92&amp;W92</f>
      </c>
      <c r="AK92" s="217">
        <f>+_xlfn.IFNA(VLOOKUP(AJ92,$AF$7:$AG$1066,2,0),0)</f>
      </c>
      <c r="AL92" s="217">
        <f>+IF(W92&gt;W91,AK92,AL91+AK92)</f>
      </c>
      <c r="AM92" s="217">
        <f>IF(W92&gt;W91,IF(AL92&gt;=$AZ$8,$AZ$8,AL92),IF(OR(AM91=$AZ$8,AM91=0),0,IF(AL92&gt;=$AZ$8,$AZ$8,AL92)))</f>
      </c>
      <c r="AN92" s="748">
        <f>+IF(OR(AM92&gt;AZ91,AM92=0),0,IF(AM92=AL92,AK92,$AZ$7-AL91))</f>
      </c>
      <c r="AO92" s="748">
        <f>+AK92-AN92</f>
      </c>
      <c r="AP92" s="217">
        <f>+_xlfn.IFNA(VLOOKUP(AJ92,$AF$7:$AI$1066,3,0),0)</f>
      </c>
      <c r="AQ92" s="217">
        <f>+IF(W92&gt;W91,AP92,AQ91+AP92)</f>
      </c>
      <c r="AR92" s="217">
        <f>+MAX($AM$2-SUMIF($W$7:$W$1066,W92,$AN$7:$AN$1066),0)</f>
      </c>
      <c r="AS92" s="748">
        <f>+MAX(IF(AQ92&gt;AR92,AR92-AQ91,AP92),0)</f>
      </c>
      <c r="AT92" s="748">
        <f>+AP92-AS92</f>
      </c>
      <c r="AU92" s="217">
        <f>+_xlfn.IFNA(VLOOKUP(AJ92,$AF$7:$AI$1066,4,0),0)</f>
      </c>
      <c r="AV92" s="217">
        <f>+IF(W92&gt;W91,AU92,AV91+AU92)</f>
      </c>
      <c r="AW92" s="217">
        <f>+MAX($AM$2-SUMIF($W$7:$W$1066,W92,$AN$7:$AN$1066)-SUMIF($W$7:$W$1066,W92,$AS$7:$AS$1066),0)</f>
      </c>
      <c r="AX92" s="748">
        <f>+MAX(IF(AV92&gt;AW92,AW92-AV91,AU92),0)</f>
      </c>
      <c r="AY92" s="748">
        <f>+AU92-AX92</f>
      </c>
      <c r="AZ92" s="331">
        <f>+$AM$1+IF($AP$1&gt;$AP$2,$AM$3/2)</f>
      </c>
    </row>
    <row x14ac:dyDescent="0.25" r="93" customHeight="1" ht="18.75">
      <c r="A93" s="1"/>
      <c r="B93" s="7"/>
      <c r="C93" s="170"/>
      <c r="D93" s="331">
        <v>86</v>
      </c>
      <c r="E93" s="544">
        <f>+DATE(YEAR(E92),MONTH(E92)-1,DAY(E92))</f>
        <v>25569.041666666668</v>
      </c>
      <c r="F93" s="333">
        <f>IF(DATE(YEAR($B$6),MONTH($B$6)+1,DAY(1))=E93,1,IF(MONTH(E93)=1,F94*(1+$F$5),F94))</f>
      </c>
      <c r="G93" s="333">
        <f>IF('Simulador - 1º Pilar'!$E$99="Sí",IF('Aportaciones PPE'!$B$13&lt;'Aportaciones PPE'!E93,0,F93*$B$8/12),F93*$B$8/12)</f>
      </c>
      <c r="H93" s="333">
        <f>$H$5*G93</f>
      </c>
      <c r="I93" s="333">
        <f>$I$5*G93</f>
      </c>
      <c r="J93" s="333">
        <f>+I93</f>
      </c>
      <c r="K93" s="333">
        <f>(1+$O$5)^(D93/12)*(H93+IF(AND(F93=1,F94=0),$S$4,0))</f>
      </c>
      <c r="L93" s="333">
        <f>(1+$O$5)^(D93/12)*(I93+IF(AND(F93=1,F94=0),0))</f>
      </c>
      <c r="M93" s="333">
        <f>+L93</f>
      </c>
      <c r="N93" s="333">
        <f>L93+K93+M93</f>
      </c>
      <c r="O93" s="170"/>
      <c r="P93" s="7"/>
      <c r="Q93" s="1"/>
      <c r="R93" s="331">
        <f>D93</f>
      </c>
      <c r="S93" s="169"/>
      <c r="T93" s="1"/>
      <c r="U93" s="217"/>
      <c r="V93" s="331">
        <f>+IF(V92=11,12,IF(V92=12,1,V92+1))</f>
      </c>
      <c r="W93" s="331">
        <f>+W92+IF(V92=12,1,0)</f>
      </c>
      <c r="X93" s="555">
        <f>+DATE(W93,V93,1)</f>
        <v>25569.041666666668</v>
      </c>
      <c r="Y93" s="333">
        <f>+_xlfn.IFNA(AN93+AS93+AX93,0)</f>
      </c>
      <c r="Z93" s="333">
        <f>+_xlfn.IFNA(AO93+AT93+AY93,0)</f>
      </c>
      <c r="AA93" s="333">
        <f>Y93*(1+$O$5)^(($B$7-X93)/365.25)</f>
      </c>
      <c r="AB93" s="333">
        <f>Z93*(1+$O$5)^(($B$7-X93)/365.25)</f>
      </c>
      <c r="AC93" s="1"/>
      <c r="AD93" s="1"/>
      <c r="AE93" s="1"/>
      <c r="AF93" s="111">
        <f>+MONTH(E93)&amp;YEAR(E93)</f>
      </c>
      <c r="AG93" s="217">
        <f>+I93</f>
      </c>
      <c r="AH93" s="217">
        <f>+J93</f>
      </c>
      <c r="AI93" s="217">
        <f>+H93</f>
      </c>
      <c r="AJ93" s="111">
        <f>+V93&amp;W93</f>
      </c>
      <c r="AK93" s="217">
        <f>+_xlfn.IFNA(VLOOKUP(AJ93,$AF$7:$AG$1066,2,0),0)</f>
      </c>
      <c r="AL93" s="217">
        <f>+IF(W93&gt;W92,AK93,AL92+AK93)</f>
      </c>
      <c r="AM93" s="217">
        <f>IF(W93&gt;W92,IF(AL93&gt;=$AZ$8,$AZ$8,AL93),IF(OR(AM92=$AZ$8,AM92=0),0,IF(AL93&gt;=$AZ$8,$AZ$8,AL93)))</f>
      </c>
      <c r="AN93" s="748">
        <f>+IF(OR(AM93&gt;AZ92,AM93=0),0,IF(AM93=AL93,AK93,$AZ$7-AL92))</f>
      </c>
      <c r="AO93" s="748">
        <f>+AK93-AN93</f>
      </c>
      <c r="AP93" s="217">
        <f>+_xlfn.IFNA(VLOOKUP(AJ93,$AF$7:$AI$1066,3,0),0)</f>
      </c>
      <c r="AQ93" s="217">
        <f>+IF(W93&gt;W92,AP93,AQ92+AP93)</f>
      </c>
      <c r="AR93" s="217">
        <f>+MAX($AM$2-SUMIF($W$7:$W$1066,W93,$AN$7:$AN$1066),0)</f>
      </c>
      <c r="AS93" s="748">
        <f>+MAX(IF(AQ93&gt;AR93,AR93-AQ92,AP93),0)</f>
      </c>
      <c r="AT93" s="748">
        <f>+AP93-AS93</f>
      </c>
      <c r="AU93" s="217">
        <f>+_xlfn.IFNA(VLOOKUP(AJ93,$AF$7:$AI$1066,4,0),0)</f>
      </c>
      <c r="AV93" s="217">
        <f>+IF(W93&gt;W92,AU93,AV92+AU93)</f>
      </c>
      <c r="AW93" s="217">
        <f>+MAX($AM$2-SUMIF($W$7:$W$1066,W93,$AN$7:$AN$1066)-SUMIF($W$7:$W$1066,W93,$AS$7:$AS$1066),0)</f>
      </c>
      <c r="AX93" s="748">
        <f>+MAX(IF(AV93&gt;AW93,AW93-AV92,AU93),0)</f>
      </c>
      <c r="AY93" s="748">
        <f>+AU93-AX93</f>
      </c>
      <c r="AZ93" s="331">
        <f>+$AM$1+IF($AP$1&gt;$AP$2,$AM$3/2)</f>
      </c>
    </row>
    <row x14ac:dyDescent="0.25" r="94" customHeight="1" ht="18.75">
      <c r="A94" s="1"/>
      <c r="B94" s="7"/>
      <c r="C94" s="170"/>
      <c r="D94" s="331">
        <v>87</v>
      </c>
      <c r="E94" s="544">
        <f>+DATE(YEAR(E93),MONTH(E93)-1,DAY(E93))</f>
        <v>25569.041666666668</v>
      </c>
      <c r="F94" s="333">
        <f>IF(DATE(YEAR($B$6),MONTH($B$6)+1,DAY(1))=E94,1,IF(MONTH(E94)=1,F95*(1+$F$5),F95))</f>
      </c>
      <c r="G94" s="333">
        <f>IF('Simulador - 1º Pilar'!$E$99="Sí",IF('Aportaciones PPE'!$B$13&lt;'Aportaciones PPE'!E94,0,F94*$B$8/12),F94*$B$8/12)</f>
      </c>
      <c r="H94" s="333">
        <f>$H$5*G94</f>
      </c>
      <c r="I94" s="333">
        <f>$I$5*G94</f>
      </c>
      <c r="J94" s="333">
        <f>+I94</f>
      </c>
      <c r="K94" s="333">
        <f>(1+$O$5)^(D94/12)*(H94+IF(AND(F94=1,F95=0),$S$4,0))</f>
      </c>
      <c r="L94" s="333">
        <f>(1+$O$5)^(D94/12)*(I94+IF(AND(F94=1,F95=0),0))</f>
      </c>
      <c r="M94" s="333">
        <f>+L94</f>
      </c>
      <c r="N94" s="333">
        <f>L94+K94+M94</f>
      </c>
      <c r="O94" s="170"/>
      <c r="P94" s="7"/>
      <c r="Q94" s="1"/>
      <c r="R94" s="331">
        <f>D94</f>
      </c>
      <c r="S94" s="169"/>
      <c r="T94" s="1"/>
      <c r="U94" s="217"/>
      <c r="V94" s="331">
        <f>+IF(V93=11,12,IF(V93=12,1,V93+1))</f>
      </c>
      <c r="W94" s="331">
        <f>+W93+IF(V93=12,1,0)</f>
      </c>
      <c r="X94" s="555">
        <f>+DATE(W94,V94,1)</f>
        <v>25569.041666666668</v>
      </c>
      <c r="Y94" s="333">
        <f>+_xlfn.IFNA(AN94+AS94+AX94,0)</f>
      </c>
      <c r="Z94" s="333">
        <f>+_xlfn.IFNA(AO94+AT94+AY94,0)</f>
      </c>
      <c r="AA94" s="333">
        <f>Y94*(1+$O$5)^(($B$7-X94)/365.25)</f>
      </c>
      <c r="AB94" s="333">
        <f>Z94*(1+$O$5)^(($B$7-X94)/365.25)</f>
      </c>
      <c r="AC94" s="1"/>
      <c r="AD94" s="1"/>
      <c r="AE94" s="1"/>
      <c r="AF94" s="111">
        <f>+MONTH(E94)&amp;YEAR(E94)</f>
      </c>
      <c r="AG94" s="217">
        <f>+I94</f>
      </c>
      <c r="AH94" s="217">
        <f>+J94</f>
      </c>
      <c r="AI94" s="217">
        <f>+H94</f>
      </c>
      <c r="AJ94" s="111">
        <f>+V94&amp;W94</f>
      </c>
      <c r="AK94" s="217">
        <f>+_xlfn.IFNA(VLOOKUP(AJ94,$AF$7:$AG$1066,2,0),0)</f>
      </c>
      <c r="AL94" s="217">
        <f>+IF(W94&gt;W93,AK94,AL93+AK94)</f>
      </c>
      <c r="AM94" s="217">
        <f>IF(W94&gt;W93,IF(AL94&gt;=$AZ$8,$AZ$8,AL94),IF(OR(AM93=$AZ$8,AM93=0),0,IF(AL94&gt;=$AZ$8,$AZ$8,AL94)))</f>
      </c>
      <c r="AN94" s="748">
        <f>+IF(OR(AM94&gt;AZ93,AM94=0),0,IF(AM94=AL94,AK94,$AZ$7-AL93))</f>
      </c>
      <c r="AO94" s="748">
        <f>+AK94-AN94</f>
      </c>
      <c r="AP94" s="217">
        <f>+_xlfn.IFNA(VLOOKUP(AJ94,$AF$7:$AI$1066,3,0),0)</f>
      </c>
      <c r="AQ94" s="217">
        <f>+IF(W94&gt;W93,AP94,AQ93+AP94)</f>
      </c>
      <c r="AR94" s="217">
        <f>+MAX($AM$2-SUMIF($W$7:$W$1066,W94,$AN$7:$AN$1066),0)</f>
      </c>
      <c r="AS94" s="748">
        <f>+MAX(IF(AQ94&gt;AR94,AR94-AQ93,AP94),0)</f>
      </c>
      <c r="AT94" s="748">
        <f>+AP94-AS94</f>
      </c>
      <c r="AU94" s="217">
        <f>+_xlfn.IFNA(VLOOKUP(AJ94,$AF$7:$AI$1066,4,0),0)</f>
      </c>
      <c r="AV94" s="217">
        <f>+IF(W94&gt;W93,AU94,AV93+AU94)</f>
      </c>
      <c r="AW94" s="217">
        <f>+MAX($AM$2-SUMIF($W$7:$W$1066,W94,$AN$7:$AN$1066)-SUMIF($W$7:$W$1066,W94,$AS$7:$AS$1066),0)</f>
      </c>
      <c r="AX94" s="748">
        <f>+MAX(IF(AV94&gt;AW94,AW94-AV93,AU94),0)</f>
      </c>
      <c r="AY94" s="748">
        <f>+AU94-AX94</f>
      </c>
      <c r="AZ94" s="331">
        <f>+$AM$1+IF($AP$1&gt;$AP$2,$AM$3/2)</f>
      </c>
    </row>
    <row x14ac:dyDescent="0.25" r="95" customHeight="1" ht="18.75">
      <c r="A95" s="1"/>
      <c r="B95" s="7"/>
      <c r="C95" s="170"/>
      <c r="D95" s="331">
        <v>88</v>
      </c>
      <c r="E95" s="544">
        <f>+DATE(YEAR(E94),MONTH(E94)-1,DAY(E94))</f>
        <v>25569.041666666668</v>
      </c>
      <c r="F95" s="333">
        <f>IF(DATE(YEAR($B$6),MONTH($B$6)+1,DAY(1))=E95,1,IF(MONTH(E95)=1,F96*(1+$F$5),F96))</f>
      </c>
      <c r="G95" s="333">
        <f>IF('Simulador - 1º Pilar'!$E$99="Sí",IF('Aportaciones PPE'!$B$13&lt;'Aportaciones PPE'!E95,0,F95*$B$8/12),F95*$B$8/12)</f>
      </c>
      <c r="H95" s="333">
        <f>$H$5*G95</f>
      </c>
      <c r="I95" s="333">
        <f>$I$5*G95</f>
      </c>
      <c r="J95" s="333">
        <f>+I95</f>
      </c>
      <c r="K95" s="333">
        <f>(1+$O$5)^(D95/12)*(H95+IF(AND(F95=1,F96=0),$S$4,0))</f>
      </c>
      <c r="L95" s="333">
        <f>(1+$O$5)^(D95/12)*(I95+IF(AND(F95=1,F96=0),0))</f>
      </c>
      <c r="M95" s="333">
        <f>+L95</f>
      </c>
      <c r="N95" s="333">
        <f>L95+K95+M95</f>
      </c>
      <c r="O95" s="170"/>
      <c r="P95" s="7"/>
      <c r="Q95" s="1"/>
      <c r="R95" s="331">
        <f>D95</f>
      </c>
      <c r="S95" s="169"/>
      <c r="T95" s="1"/>
      <c r="U95" s="217"/>
      <c r="V95" s="331">
        <f>+IF(V94=11,12,IF(V94=12,1,V94+1))</f>
      </c>
      <c r="W95" s="331">
        <f>+W94+IF(V94=12,1,0)</f>
      </c>
      <c r="X95" s="555">
        <f>+DATE(W95,V95,1)</f>
        <v>25569.041666666668</v>
      </c>
      <c r="Y95" s="333">
        <f>+_xlfn.IFNA(AN95+AS95+AX95,0)</f>
      </c>
      <c r="Z95" s="333">
        <f>+_xlfn.IFNA(AO95+AT95+AY95,0)</f>
      </c>
      <c r="AA95" s="333">
        <f>Y95*(1+$O$5)^(($B$7-X95)/365.25)</f>
      </c>
      <c r="AB95" s="333">
        <f>Z95*(1+$O$5)^(($B$7-X95)/365.25)</f>
      </c>
      <c r="AC95" s="1"/>
      <c r="AD95" s="1"/>
      <c r="AE95" s="1"/>
      <c r="AF95" s="111">
        <f>+MONTH(E95)&amp;YEAR(E95)</f>
      </c>
      <c r="AG95" s="217">
        <f>+I95</f>
      </c>
      <c r="AH95" s="217">
        <f>+J95</f>
      </c>
      <c r="AI95" s="217">
        <f>+H95</f>
      </c>
      <c r="AJ95" s="111">
        <f>+V95&amp;W95</f>
      </c>
      <c r="AK95" s="217">
        <f>+_xlfn.IFNA(VLOOKUP(AJ95,$AF$7:$AG$1066,2,0),0)</f>
      </c>
      <c r="AL95" s="217">
        <f>+IF(W95&gt;W94,AK95,AL94+AK95)</f>
      </c>
      <c r="AM95" s="217">
        <f>IF(W95&gt;W94,IF(AL95&gt;=$AZ$8,$AZ$8,AL95),IF(OR(AM94=$AZ$8,AM94=0),0,IF(AL95&gt;=$AZ$8,$AZ$8,AL95)))</f>
      </c>
      <c r="AN95" s="748">
        <f>+IF(OR(AM95&gt;AZ94,AM95=0),0,IF(AM95=AL95,AK95,$AZ$7-AL94))</f>
      </c>
      <c r="AO95" s="748">
        <f>+AK95-AN95</f>
      </c>
      <c r="AP95" s="217">
        <f>+_xlfn.IFNA(VLOOKUP(AJ95,$AF$7:$AI$1066,3,0),0)</f>
      </c>
      <c r="AQ95" s="217">
        <f>+IF(W95&gt;W94,AP95,AQ94+AP95)</f>
      </c>
      <c r="AR95" s="217">
        <f>+MAX($AM$2-SUMIF($W$7:$W$1066,W95,$AN$7:$AN$1066),0)</f>
      </c>
      <c r="AS95" s="748">
        <f>+MAX(IF(AQ95&gt;AR95,AR95-AQ94,AP95),0)</f>
      </c>
      <c r="AT95" s="748">
        <f>+AP95-AS95</f>
      </c>
      <c r="AU95" s="217">
        <f>+_xlfn.IFNA(VLOOKUP(AJ95,$AF$7:$AI$1066,4,0),0)</f>
      </c>
      <c r="AV95" s="217">
        <f>+IF(W95&gt;W94,AU95,AV94+AU95)</f>
      </c>
      <c r="AW95" s="217">
        <f>+MAX($AM$2-SUMIF($W$7:$W$1066,W95,$AN$7:$AN$1066)-SUMIF($W$7:$W$1066,W95,$AS$7:$AS$1066),0)</f>
      </c>
      <c r="AX95" s="748">
        <f>+MAX(IF(AV95&gt;AW95,AW95-AV94,AU95),0)</f>
      </c>
      <c r="AY95" s="748">
        <f>+AU95-AX95</f>
      </c>
      <c r="AZ95" s="331">
        <f>+$AM$1+IF($AP$1&gt;$AP$2,$AM$3/2)</f>
      </c>
    </row>
    <row x14ac:dyDescent="0.25" r="96" customHeight="1" ht="18.75">
      <c r="A96" s="1"/>
      <c r="B96" s="7"/>
      <c r="C96" s="170"/>
      <c r="D96" s="331">
        <v>89</v>
      </c>
      <c r="E96" s="544">
        <f>+DATE(YEAR(E95),MONTH(E95)-1,DAY(E95))</f>
        <v>25569.041666666668</v>
      </c>
      <c r="F96" s="333">
        <f>IF(DATE(YEAR($B$6),MONTH($B$6)+1,DAY(1))=E96,1,IF(MONTH(E96)=1,F97*(1+$F$5),F97))</f>
      </c>
      <c r="G96" s="333">
        <f>IF('Simulador - 1º Pilar'!$E$99="Sí",IF('Aportaciones PPE'!$B$13&lt;'Aportaciones PPE'!E96,0,F96*$B$8/12),F96*$B$8/12)</f>
      </c>
      <c r="H96" s="333">
        <f>$H$5*G96</f>
      </c>
      <c r="I96" s="333">
        <f>$I$5*G96</f>
      </c>
      <c r="J96" s="333">
        <f>+I96</f>
      </c>
      <c r="K96" s="333">
        <f>(1+$O$5)^(D96/12)*(H96+IF(AND(F96=1,F97=0),$S$4,0))</f>
      </c>
      <c r="L96" s="333">
        <f>(1+$O$5)^(D96/12)*(I96+IF(AND(F96=1,F97=0),0))</f>
      </c>
      <c r="M96" s="333">
        <f>+L96</f>
      </c>
      <c r="N96" s="333">
        <f>L96+K96+M96</f>
      </c>
      <c r="O96" s="170"/>
      <c r="P96" s="7"/>
      <c r="Q96" s="1"/>
      <c r="R96" s="331">
        <f>D96</f>
      </c>
      <c r="S96" s="169"/>
      <c r="T96" s="1"/>
      <c r="U96" s="217"/>
      <c r="V96" s="331">
        <f>+IF(V95=11,12,IF(V95=12,1,V95+1))</f>
      </c>
      <c r="W96" s="331">
        <f>+W95+IF(V95=12,1,0)</f>
      </c>
      <c r="X96" s="555">
        <f>+DATE(W96,V96,1)</f>
        <v>25569.041666666668</v>
      </c>
      <c r="Y96" s="333">
        <f>+_xlfn.IFNA(AN96+AS96+AX96,0)</f>
      </c>
      <c r="Z96" s="333">
        <f>+_xlfn.IFNA(AO96+AT96+AY96,0)</f>
      </c>
      <c r="AA96" s="333">
        <f>Y96*(1+$O$5)^(($B$7-X96)/365.25)</f>
      </c>
      <c r="AB96" s="333">
        <f>Z96*(1+$O$5)^(($B$7-X96)/365.25)</f>
      </c>
      <c r="AC96" s="1"/>
      <c r="AD96" s="1"/>
      <c r="AE96" s="1"/>
      <c r="AF96" s="111">
        <f>+MONTH(E96)&amp;YEAR(E96)</f>
      </c>
      <c r="AG96" s="217">
        <f>+I96</f>
      </c>
      <c r="AH96" s="217">
        <f>+J96</f>
      </c>
      <c r="AI96" s="217">
        <f>+H96</f>
      </c>
      <c r="AJ96" s="111">
        <f>+V96&amp;W96</f>
      </c>
      <c r="AK96" s="217">
        <f>+_xlfn.IFNA(VLOOKUP(AJ96,$AF$7:$AG$1066,2,0),0)</f>
      </c>
      <c r="AL96" s="217">
        <f>+IF(W96&gt;W95,AK96,AL95+AK96)</f>
      </c>
      <c r="AM96" s="217">
        <f>IF(W96&gt;W95,IF(AL96&gt;=$AZ$8,$AZ$8,AL96),IF(OR(AM95=$AZ$8,AM95=0),0,IF(AL96&gt;=$AZ$8,$AZ$8,AL96)))</f>
      </c>
      <c r="AN96" s="748">
        <f>+IF(OR(AM96&gt;AZ95,AM96=0),0,IF(AM96=AL96,AK96,$AZ$7-AL95))</f>
      </c>
      <c r="AO96" s="748">
        <f>+AK96-AN96</f>
      </c>
      <c r="AP96" s="217">
        <f>+_xlfn.IFNA(VLOOKUP(AJ96,$AF$7:$AI$1066,3,0),0)</f>
      </c>
      <c r="AQ96" s="217">
        <f>+IF(W96&gt;W95,AP96,AQ95+AP96)</f>
      </c>
      <c r="AR96" s="217">
        <f>+MAX($AM$2-SUMIF($W$7:$W$1066,W96,$AN$7:$AN$1066),0)</f>
      </c>
      <c r="AS96" s="748">
        <f>+MAX(IF(AQ96&gt;AR96,AR96-AQ95,AP96),0)</f>
      </c>
      <c r="AT96" s="748">
        <f>+AP96-AS96</f>
      </c>
      <c r="AU96" s="217">
        <f>+_xlfn.IFNA(VLOOKUP(AJ96,$AF$7:$AI$1066,4,0),0)</f>
      </c>
      <c r="AV96" s="217">
        <f>+IF(W96&gt;W95,AU96,AV95+AU96)</f>
      </c>
      <c r="AW96" s="217">
        <f>+MAX($AM$2-SUMIF($W$7:$W$1066,W96,$AN$7:$AN$1066)-SUMIF($W$7:$W$1066,W96,$AS$7:$AS$1066),0)</f>
      </c>
      <c r="AX96" s="748">
        <f>+MAX(IF(AV96&gt;AW96,AW96-AV95,AU96),0)</f>
      </c>
      <c r="AY96" s="748">
        <f>+AU96-AX96</f>
      </c>
      <c r="AZ96" s="331">
        <f>+$AM$1+IF($AP$1&gt;$AP$2,$AM$3/2)</f>
      </c>
    </row>
    <row x14ac:dyDescent="0.25" r="97" customHeight="1" ht="18.75">
      <c r="A97" s="1"/>
      <c r="B97" s="7"/>
      <c r="C97" s="170"/>
      <c r="D97" s="331">
        <v>90</v>
      </c>
      <c r="E97" s="544">
        <f>+DATE(YEAR(E96),MONTH(E96)-1,DAY(E96))</f>
        <v>25569.041666666668</v>
      </c>
      <c r="F97" s="333">
        <f>IF(DATE(YEAR($B$6),MONTH($B$6)+1,DAY(1))=E97,1,IF(MONTH(E97)=1,F98*(1+$F$5),F98))</f>
      </c>
      <c r="G97" s="333">
        <f>IF('Simulador - 1º Pilar'!$E$99="Sí",IF('Aportaciones PPE'!$B$13&lt;'Aportaciones PPE'!E97,0,F97*$B$8/12),F97*$B$8/12)</f>
      </c>
      <c r="H97" s="333">
        <f>$H$5*G97</f>
      </c>
      <c r="I97" s="333">
        <f>$I$5*G97</f>
      </c>
      <c r="J97" s="333">
        <f>+I97</f>
      </c>
      <c r="K97" s="333">
        <f>(1+$O$5)^(D97/12)*(H97+IF(AND(F97=1,F98=0),$S$4,0))</f>
      </c>
      <c r="L97" s="333">
        <f>(1+$O$5)^(D97/12)*(I97+IF(AND(F97=1,F98=0),0))</f>
      </c>
      <c r="M97" s="333">
        <f>+L97</f>
      </c>
      <c r="N97" s="333">
        <f>L97+K97+M97</f>
      </c>
      <c r="O97" s="170"/>
      <c r="P97" s="7"/>
      <c r="Q97" s="1"/>
      <c r="R97" s="331">
        <f>D97</f>
      </c>
      <c r="S97" s="169"/>
      <c r="T97" s="1"/>
      <c r="U97" s="217"/>
      <c r="V97" s="331">
        <f>+IF(V96=11,12,IF(V96=12,1,V96+1))</f>
      </c>
      <c r="W97" s="331">
        <f>+W96+IF(V96=12,1,0)</f>
      </c>
      <c r="X97" s="555">
        <f>+DATE(W97,V97,1)</f>
        <v>25569.041666666668</v>
      </c>
      <c r="Y97" s="333">
        <f>+_xlfn.IFNA(AN97+AS97+AX97,0)</f>
      </c>
      <c r="Z97" s="333">
        <f>+_xlfn.IFNA(AO97+AT97+AY97,0)</f>
      </c>
      <c r="AA97" s="333">
        <f>Y97*(1+$O$5)^(($B$7-X97)/365.25)</f>
      </c>
      <c r="AB97" s="333">
        <f>Z97*(1+$O$5)^(($B$7-X97)/365.25)</f>
      </c>
      <c r="AC97" s="1"/>
      <c r="AD97" s="1"/>
      <c r="AE97" s="1"/>
      <c r="AF97" s="111">
        <f>+MONTH(E97)&amp;YEAR(E97)</f>
      </c>
      <c r="AG97" s="217">
        <f>+I97</f>
      </c>
      <c r="AH97" s="217">
        <f>+J97</f>
      </c>
      <c r="AI97" s="217">
        <f>+H97</f>
      </c>
      <c r="AJ97" s="111">
        <f>+V97&amp;W97</f>
      </c>
      <c r="AK97" s="217">
        <f>+_xlfn.IFNA(VLOOKUP(AJ97,$AF$7:$AG$1066,2,0),0)</f>
      </c>
      <c r="AL97" s="217">
        <f>+IF(W97&gt;W96,AK97,AL96+AK97)</f>
      </c>
      <c r="AM97" s="217">
        <f>IF(W97&gt;W96,IF(AL97&gt;=$AZ$8,$AZ$8,AL97),IF(OR(AM96=$AZ$8,AM96=0),0,IF(AL97&gt;=$AZ$8,$AZ$8,AL97)))</f>
      </c>
      <c r="AN97" s="748">
        <f>+IF(OR(AM97&gt;AZ96,AM97=0),0,IF(AM97=AL97,AK97,$AZ$7-AL96))</f>
      </c>
      <c r="AO97" s="748">
        <f>+AK97-AN97</f>
      </c>
      <c r="AP97" s="217">
        <f>+_xlfn.IFNA(VLOOKUP(AJ97,$AF$7:$AI$1066,3,0),0)</f>
      </c>
      <c r="AQ97" s="217">
        <f>+IF(W97&gt;W96,AP97,AQ96+AP97)</f>
      </c>
      <c r="AR97" s="217">
        <f>+MAX($AM$2-SUMIF($W$7:$W$1066,W97,$AN$7:$AN$1066),0)</f>
      </c>
      <c r="AS97" s="748">
        <f>+MAX(IF(AQ97&gt;AR97,AR97-AQ96,AP97),0)</f>
      </c>
      <c r="AT97" s="748">
        <f>+AP97-AS97</f>
      </c>
      <c r="AU97" s="217">
        <f>+_xlfn.IFNA(VLOOKUP(AJ97,$AF$7:$AI$1066,4,0),0)</f>
      </c>
      <c r="AV97" s="217">
        <f>+IF(W97&gt;W96,AU97,AV96+AU97)</f>
      </c>
      <c r="AW97" s="217">
        <f>+MAX($AM$2-SUMIF($W$7:$W$1066,W97,$AN$7:$AN$1066)-SUMIF($W$7:$W$1066,W97,$AS$7:$AS$1066),0)</f>
      </c>
      <c r="AX97" s="748">
        <f>+MAX(IF(AV97&gt;AW97,AW97-AV96,AU97),0)</f>
      </c>
      <c r="AY97" s="748">
        <f>+AU97-AX97</f>
      </c>
      <c r="AZ97" s="331">
        <f>+$AM$1+IF($AP$1&gt;$AP$2,$AM$3/2)</f>
      </c>
    </row>
    <row x14ac:dyDescent="0.25" r="98" customHeight="1" ht="18.75">
      <c r="A98" s="1"/>
      <c r="B98" s="7"/>
      <c r="C98" s="170"/>
      <c r="D98" s="331">
        <v>91</v>
      </c>
      <c r="E98" s="544">
        <f>+DATE(YEAR(E97),MONTH(E97)-1,DAY(E97))</f>
        <v>25569.041666666668</v>
      </c>
      <c r="F98" s="333">
        <f>IF(DATE(YEAR($B$6),MONTH($B$6)+1,DAY(1))=E98,1,IF(MONTH(E98)=1,F99*(1+$F$5),F99))</f>
      </c>
      <c r="G98" s="333">
        <f>IF('Simulador - 1º Pilar'!$E$99="Sí",IF('Aportaciones PPE'!$B$13&lt;'Aportaciones PPE'!E98,0,F98*$B$8/12),F98*$B$8/12)</f>
      </c>
      <c r="H98" s="333">
        <f>$H$5*G98</f>
      </c>
      <c r="I98" s="333">
        <f>$I$5*G98</f>
      </c>
      <c r="J98" s="333">
        <f>+I98</f>
      </c>
      <c r="K98" s="333">
        <f>(1+$O$5)^(D98/12)*(H98+IF(AND(F98=1,F99=0),$S$4,0))</f>
      </c>
      <c r="L98" s="333">
        <f>(1+$O$5)^(D98/12)*(I98+IF(AND(F98=1,F99=0),0))</f>
      </c>
      <c r="M98" s="333">
        <f>+L98</f>
      </c>
      <c r="N98" s="333">
        <f>L98+K98+M98</f>
      </c>
      <c r="O98" s="170"/>
      <c r="P98" s="7"/>
      <c r="Q98" s="1"/>
      <c r="R98" s="331">
        <f>D98</f>
      </c>
      <c r="S98" s="169"/>
      <c r="T98" s="1"/>
      <c r="U98" s="217"/>
      <c r="V98" s="331">
        <f>+IF(V97=11,12,IF(V97=12,1,V97+1))</f>
      </c>
      <c r="W98" s="331">
        <f>+W97+IF(V97=12,1,0)</f>
      </c>
      <c r="X98" s="555">
        <f>+DATE(W98,V98,1)</f>
        <v>25569.041666666668</v>
      </c>
      <c r="Y98" s="333">
        <f>+_xlfn.IFNA(AN98+AS98+AX98,0)</f>
      </c>
      <c r="Z98" s="333">
        <f>+_xlfn.IFNA(AO98+AT98+AY98,0)</f>
      </c>
      <c r="AA98" s="333">
        <f>Y98*(1+$O$5)^(($B$7-X98)/365.25)</f>
      </c>
      <c r="AB98" s="333">
        <f>Z98*(1+$O$5)^(($B$7-X98)/365.25)</f>
      </c>
      <c r="AC98" s="1"/>
      <c r="AD98" s="1"/>
      <c r="AE98" s="1"/>
      <c r="AF98" s="111">
        <f>+MONTH(E98)&amp;YEAR(E98)</f>
      </c>
      <c r="AG98" s="217">
        <f>+I98</f>
      </c>
      <c r="AH98" s="217">
        <f>+J98</f>
      </c>
      <c r="AI98" s="217">
        <f>+H98</f>
      </c>
      <c r="AJ98" s="111">
        <f>+V98&amp;W98</f>
      </c>
      <c r="AK98" s="217">
        <f>+_xlfn.IFNA(VLOOKUP(AJ98,$AF$7:$AG$1066,2,0),0)</f>
      </c>
      <c r="AL98" s="217">
        <f>+IF(W98&gt;W97,AK98,AL97+AK98)</f>
      </c>
      <c r="AM98" s="217">
        <f>IF(W98&gt;W97,IF(AL98&gt;=$AZ$8,$AZ$8,AL98),IF(OR(AM97=$AZ$8,AM97=0),0,IF(AL98&gt;=$AZ$8,$AZ$8,AL98)))</f>
      </c>
      <c r="AN98" s="748">
        <f>+IF(OR(AM98&gt;AZ97,AM98=0),0,IF(AM98=AL98,AK98,$AZ$7-AL97))</f>
      </c>
      <c r="AO98" s="748">
        <f>+AK98-AN98</f>
      </c>
      <c r="AP98" s="217">
        <f>+_xlfn.IFNA(VLOOKUP(AJ98,$AF$7:$AI$1066,3,0),0)</f>
      </c>
      <c r="AQ98" s="217">
        <f>+IF(W98&gt;W97,AP98,AQ97+AP98)</f>
      </c>
      <c r="AR98" s="217">
        <f>+MAX($AM$2-SUMIF($W$7:$W$1066,W98,$AN$7:$AN$1066),0)</f>
      </c>
      <c r="AS98" s="748">
        <f>+MAX(IF(AQ98&gt;AR98,AR98-AQ97,AP98),0)</f>
      </c>
      <c r="AT98" s="748">
        <f>+AP98-AS98</f>
      </c>
      <c r="AU98" s="217">
        <f>+_xlfn.IFNA(VLOOKUP(AJ98,$AF$7:$AI$1066,4,0),0)</f>
      </c>
      <c r="AV98" s="217">
        <f>+IF(W98&gt;W97,AU98,AV97+AU98)</f>
      </c>
      <c r="AW98" s="217">
        <f>+MAX($AM$2-SUMIF($W$7:$W$1066,W98,$AN$7:$AN$1066)-SUMIF($W$7:$W$1066,W98,$AS$7:$AS$1066),0)</f>
      </c>
      <c r="AX98" s="748">
        <f>+MAX(IF(AV98&gt;AW98,AW98-AV97,AU98),0)</f>
      </c>
      <c r="AY98" s="748">
        <f>+AU98-AX98</f>
      </c>
      <c r="AZ98" s="331">
        <f>+$AM$1+IF($AP$1&gt;$AP$2,$AM$3/2)</f>
      </c>
    </row>
    <row x14ac:dyDescent="0.25" r="99" customHeight="1" ht="18.75">
      <c r="A99" s="1"/>
      <c r="B99" s="7"/>
      <c r="C99" s="170"/>
      <c r="D99" s="331">
        <v>92</v>
      </c>
      <c r="E99" s="544">
        <f>+DATE(YEAR(E98),MONTH(E98)-1,DAY(E98))</f>
        <v>25569.041666666668</v>
      </c>
      <c r="F99" s="333">
        <f>IF(DATE(YEAR($B$6),MONTH($B$6)+1,DAY(1))=E99,1,IF(MONTH(E99)=1,F100*(1+$F$5),F100))</f>
      </c>
      <c r="G99" s="333">
        <f>IF('Simulador - 1º Pilar'!$E$99="Sí",IF('Aportaciones PPE'!$B$13&lt;'Aportaciones PPE'!E99,0,F99*$B$8/12),F99*$B$8/12)</f>
      </c>
      <c r="H99" s="333">
        <f>$H$5*G99</f>
      </c>
      <c r="I99" s="333">
        <f>$I$5*G99</f>
      </c>
      <c r="J99" s="333">
        <f>+I99</f>
      </c>
      <c r="K99" s="333">
        <f>(1+$O$5)^(D99/12)*(H99+IF(AND(F99=1,F100=0),$S$4,0))</f>
      </c>
      <c r="L99" s="333">
        <f>(1+$O$5)^(D99/12)*(I99+IF(AND(F99=1,F100=0),0))</f>
      </c>
      <c r="M99" s="333">
        <f>+L99</f>
      </c>
      <c r="N99" s="333">
        <f>L99+K99+M99</f>
      </c>
      <c r="O99" s="170"/>
      <c r="P99" s="7"/>
      <c r="Q99" s="1"/>
      <c r="R99" s="331">
        <f>D99</f>
      </c>
      <c r="S99" s="169"/>
      <c r="T99" s="1"/>
      <c r="U99" s="217"/>
      <c r="V99" s="331">
        <f>+IF(V98=11,12,IF(V98=12,1,V98+1))</f>
      </c>
      <c r="W99" s="331">
        <f>+W98+IF(V98=12,1,0)</f>
      </c>
      <c r="X99" s="555">
        <f>+DATE(W99,V99,1)</f>
        <v>25569.041666666668</v>
      </c>
      <c r="Y99" s="333">
        <f>+_xlfn.IFNA(AN99+AS99+AX99,0)</f>
      </c>
      <c r="Z99" s="333">
        <f>+_xlfn.IFNA(AO99+AT99+AY99,0)</f>
      </c>
      <c r="AA99" s="333">
        <f>Y99*(1+$O$5)^(($B$7-X99)/365.25)</f>
      </c>
      <c r="AB99" s="333">
        <f>Z99*(1+$O$5)^(($B$7-X99)/365.25)</f>
      </c>
      <c r="AC99" s="1"/>
      <c r="AD99" s="1"/>
      <c r="AE99" s="1"/>
      <c r="AF99" s="111">
        <f>+MONTH(E99)&amp;YEAR(E99)</f>
      </c>
      <c r="AG99" s="217">
        <f>+I99</f>
      </c>
      <c r="AH99" s="217">
        <f>+J99</f>
      </c>
      <c r="AI99" s="217">
        <f>+H99</f>
      </c>
      <c r="AJ99" s="111">
        <f>+V99&amp;W99</f>
      </c>
      <c r="AK99" s="217">
        <f>+_xlfn.IFNA(VLOOKUP(AJ99,$AF$7:$AG$1066,2,0),0)</f>
      </c>
      <c r="AL99" s="217">
        <f>+IF(W99&gt;W98,AK99,AL98+AK99)</f>
      </c>
      <c r="AM99" s="217">
        <f>IF(W99&gt;W98,IF(AL99&gt;=$AZ$8,$AZ$8,AL99),IF(OR(AM98=$AZ$8,AM98=0),0,IF(AL99&gt;=$AZ$8,$AZ$8,AL99)))</f>
      </c>
      <c r="AN99" s="748">
        <f>+IF(OR(AM99&gt;AZ98,AM99=0),0,IF(AM99=AL99,AK99,$AZ$7-AL98))</f>
      </c>
      <c r="AO99" s="748">
        <f>+AK99-AN99</f>
      </c>
      <c r="AP99" s="217">
        <f>+_xlfn.IFNA(VLOOKUP(AJ99,$AF$7:$AI$1066,3,0),0)</f>
      </c>
      <c r="AQ99" s="217">
        <f>+IF(W99&gt;W98,AP99,AQ98+AP99)</f>
      </c>
      <c r="AR99" s="217">
        <f>+MAX($AM$2-SUMIF($W$7:$W$1066,W99,$AN$7:$AN$1066),0)</f>
      </c>
      <c r="AS99" s="748">
        <f>+MAX(IF(AQ99&gt;AR99,AR99-AQ98,AP99),0)</f>
      </c>
      <c r="AT99" s="748">
        <f>+AP99-AS99</f>
      </c>
      <c r="AU99" s="217">
        <f>+_xlfn.IFNA(VLOOKUP(AJ99,$AF$7:$AI$1066,4,0),0)</f>
      </c>
      <c r="AV99" s="217">
        <f>+IF(W99&gt;W98,AU99,AV98+AU99)</f>
      </c>
      <c r="AW99" s="217">
        <f>+MAX($AM$2-SUMIF($W$7:$W$1066,W99,$AN$7:$AN$1066)-SUMIF($W$7:$W$1066,W99,$AS$7:$AS$1066),0)</f>
      </c>
      <c r="AX99" s="748">
        <f>+MAX(IF(AV99&gt;AW99,AW99-AV98,AU99),0)</f>
      </c>
      <c r="AY99" s="748">
        <f>+AU99-AX99</f>
      </c>
      <c r="AZ99" s="331">
        <f>+$AM$1+IF($AP$1&gt;$AP$2,$AM$3/2)</f>
      </c>
    </row>
    <row x14ac:dyDescent="0.25" r="100" customHeight="1" ht="18.75">
      <c r="A100" s="1"/>
      <c r="B100" s="7"/>
      <c r="C100" s="170"/>
      <c r="D100" s="331">
        <v>93</v>
      </c>
      <c r="E100" s="544">
        <f>+DATE(YEAR(E99),MONTH(E99)-1,DAY(E99))</f>
        <v>25569.041666666668</v>
      </c>
      <c r="F100" s="333">
        <f>IF(DATE(YEAR($B$6),MONTH($B$6)+1,DAY(1))=E100,1,IF(MONTH(E100)=1,F101*(1+$F$5),F101))</f>
      </c>
      <c r="G100" s="333">
        <f>IF('Simulador - 1º Pilar'!$E$99="Sí",IF('Aportaciones PPE'!$B$13&lt;'Aportaciones PPE'!E100,0,F100*$B$8/12),F100*$B$8/12)</f>
      </c>
      <c r="H100" s="333">
        <f>$H$5*G100</f>
      </c>
      <c r="I100" s="333">
        <f>$I$5*G100</f>
      </c>
      <c r="J100" s="333">
        <f>+I100</f>
      </c>
      <c r="K100" s="333">
        <f>(1+$O$5)^(D100/12)*(H100+IF(AND(F100=1,F101=0),$S$4,0))</f>
      </c>
      <c r="L100" s="333">
        <f>(1+$O$5)^(D100/12)*(I100+IF(AND(F100=1,F101=0),0))</f>
      </c>
      <c r="M100" s="333">
        <f>+L100</f>
      </c>
      <c r="N100" s="333">
        <f>L100+K100+M100</f>
      </c>
      <c r="O100" s="170"/>
      <c r="P100" s="7"/>
      <c r="Q100" s="1"/>
      <c r="R100" s="331">
        <f>D100</f>
      </c>
      <c r="S100" s="169"/>
      <c r="T100" s="1"/>
      <c r="U100" s="217"/>
      <c r="V100" s="331">
        <f>+IF(V99=11,12,IF(V99=12,1,V99+1))</f>
      </c>
      <c r="W100" s="331">
        <f>+W99+IF(V99=12,1,0)</f>
      </c>
      <c r="X100" s="555">
        <f>+DATE(W100,V100,1)</f>
        <v>25569.041666666668</v>
      </c>
      <c r="Y100" s="333">
        <f>+_xlfn.IFNA(AN100+AS100+AX100,0)</f>
      </c>
      <c r="Z100" s="333">
        <f>+_xlfn.IFNA(AO100+AT100+AY100,0)</f>
      </c>
      <c r="AA100" s="333">
        <f>Y100*(1+$O$5)^(($B$7-X100)/365.25)</f>
      </c>
      <c r="AB100" s="333">
        <f>Z100*(1+$O$5)^(($B$7-X100)/365.25)</f>
      </c>
      <c r="AC100" s="1"/>
      <c r="AD100" s="1"/>
      <c r="AE100" s="1"/>
      <c r="AF100" s="111">
        <f>+MONTH(E100)&amp;YEAR(E100)</f>
      </c>
      <c r="AG100" s="217">
        <f>+I100</f>
      </c>
      <c r="AH100" s="217">
        <f>+J100</f>
      </c>
      <c r="AI100" s="217">
        <f>+H100</f>
      </c>
      <c r="AJ100" s="111">
        <f>+V100&amp;W100</f>
      </c>
      <c r="AK100" s="217">
        <f>+_xlfn.IFNA(VLOOKUP(AJ100,$AF$7:$AG$1066,2,0),0)</f>
      </c>
      <c r="AL100" s="217">
        <f>+IF(W100&gt;W99,AK100,AL99+AK100)</f>
      </c>
      <c r="AM100" s="217">
        <f>IF(W100&gt;W99,IF(AL100&gt;=$AZ$8,$AZ$8,AL100),IF(OR(AM99=$AZ$8,AM99=0),0,IF(AL100&gt;=$AZ$8,$AZ$8,AL100)))</f>
      </c>
      <c r="AN100" s="748">
        <f>+IF(OR(AM100&gt;AZ99,AM100=0),0,IF(AM100=AL100,AK100,$AZ$7-AL99))</f>
      </c>
      <c r="AO100" s="748">
        <f>+AK100-AN100</f>
      </c>
      <c r="AP100" s="217">
        <f>+_xlfn.IFNA(VLOOKUP(AJ100,$AF$7:$AI$1066,3,0),0)</f>
      </c>
      <c r="AQ100" s="217">
        <f>+IF(W100&gt;W99,AP100,AQ99+AP100)</f>
      </c>
      <c r="AR100" s="217">
        <f>+MAX($AM$2-SUMIF($W$7:$W$1066,W100,$AN$7:$AN$1066),0)</f>
      </c>
      <c r="AS100" s="748">
        <f>+MAX(IF(AQ100&gt;AR100,AR100-AQ99,AP100),0)</f>
      </c>
      <c r="AT100" s="748">
        <f>+AP100-AS100</f>
      </c>
      <c r="AU100" s="217">
        <f>+_xlfn.IFNA(VLOOKUP(AJ100,$AF$7:$AI$1066,4,0),0)</f>
      </c>
      <c r="AV100" s="217">
        <f>+IF(W100&gt;W99,AU100,AV99+AU100)</f>
      </c>
      <c r="AW100" s="217">
        <f>+MAX($AM$2-SUMIF($W$7:$W$1066,W100,$AN$7:$AN$1066)-SUMIF($W$7:$W$1066,W100,$AS$7:$AS$1066),0)</f>
      </c>
      <c r="AX100" s="748">
        <f>+MAX(IF(AV100&gt;AW100,AW100-AV99,AU100),0)</f>
      </c>
      <c r="AY100" s="748">
        <f>+AU100-AX100</f>
      </c>
      <c r="AZ100" s="331">
        <f>+$AM$1+IF($AP$1&gt;$AP$2,$AM$3/2)</f>
      </c>
    </row>
    <row x14ac:dyDescent="0.25" r="101" customHeight="1" ht="18.75">
      <c r="A101" s="1"/>
      <c r="B101" s="7"/>
      <c r="C101" s="170"/>
      <c r="D101" s="331">
        <v>94</v>
      </c>
      <c r="E101" s="544">
        <f>+DATE(YEAR(E100),MONTH(E100)-1,DAY(E100))</f>
        <v>25569.041666666668</v>
      </c>
      <c r="F101" s="333">
        <f>IF(DATE(YEAR($B$6),MONTH($B$6)+1,DAY(1))=E101,1,IF(MONTH(E101)=1,F102*(1+$F$5),F102))</f>
      </c>
      <c r="G101" s="333">
        <f>IF('Simulador - 1º Pilar'!$E$99="Sí",IF('Aportaciones PPE'!$B$13&lt;'Aportaciones PPE'!E101,0,F101*$B$8/12),F101*$B$8/12)</f>
      </c>
      <c r="H101" s="333">
        <f>$H$5*G101</f>
      </c>
      <c r="I101" s="333">
        <f>$I$5*G101</f>
      </c>
      <c r="J101" s="333">
        <f>+I101</f>
      </c>
      <c r="K101" s="333">
        <f>(1+$O$5)^(D101/12)*(H101+IF(AND(F101=1,F102=0),$S$4,0))</f>
      </c>
      <c r="L101" s="333">
        <f>(1+$O$5)^(D101/12)*(I101+IF(AND(F101=1,F102=0),0))</f>
      </c>
      <c r="M101" s="333">
        <f>+L101</f>
      </c>
      <c r="N101" s="333">
        <f>L101+K101+M101</f>
      </c>
      <c r="O101" s="170"/>
      <c r="P101" s="7"/>
      <c r="Q101" s="1"/>
      <c r="R101" s="331">
        <f>D101</f>
      </c>
      <c r="S101" s="169"/>
      <c r="T101" s="1"/>
      <c r="U101" s="217"/>
      <c r="V101" s="331">
        <f>+IF(V100=11,12,IF(V100=12,1,V100+1))</f>
      </c>
      <c r="W101" s="331">
        <f>+W100+IF(V100=12,1,0)</f>
      </c>
      <c r="X101" s="555">
        <f>+DATE(W101,V101,1)</f>
        <v>25569.041666666668</v>
      </c>
      <c r="Y101" s="333">
        <f>+_xlfn.IFNA(AN101+AS101+AX101,0)</f>
      </c>
      <c r="Z101" s="333">
        <f>+_xlfn.IFNA(AO101+AT101+AY101,0)</f>
      </c>
      <c r="AA101" s="333">
        <f>Y101*(1+$O$5)^(($B$7-X101)/365.25)</f>
      </c>
      <c r="AB101" s="333">
        <f>Z101*(1+$O$5)^(($B$7-X101)/365.25)</f>
      </c>
      <c r="AC101" s="1"/>
      <c r="AD101" s="1"/>
      <c r="AE101" s="1"/>
      <c r="AF101" s="111">
        <f>+MONTH(E101)&amp;YEAR(E101)</f>
      </c>
      <c r="AG101" s="217">
        <f>+I101</f>
      </c>
      <c r="AH101" s="217">
        <f>+J101</f>
      </c>
      <c r="AI101" s="217">
        <f>+H101</f>
      </c>
      <c r="AJ101" s="111">
        <f>+V101&amp;W101</f>
      </c>
      <c r="AK101" s="217">
        <f>+_xlfn.IFNA(VLOOKUP(AJ101,$AF$7:$AG$1066,2,0),0)</f>
      </c>
      <c r="AL101" s="217">
        <f>+IF(W101&gt;W100,AK101,AL100+AK101)</f>
      </c>
      <c r="AM101" s="217">
        <f>IF(W101&gt;W100,IF(AL101&gt;=$AZ$8,$AZ$8,AL101),IF(OR(AM100=$AZ$8,AM100=0),0,IF(AL101&gt;=$AZ$8,$AZ$8,AL101)))</f>
      </c>
      <c r="AN101" s="748">
        <f>+IF(OR(AM101&gt;AZ100,AM101=0),0,IF(AM101=AL101,AK101,$AZ$7-AL100))</f>
      </c>
      <c r="AO101" s="748">
        <f>+AK101-AN101</f>
      </c>
      <c r="AP101" s="217">
        <f>+_xlfn.IFNA(VLOOKUP(AJ101,$AF$7:$AI$1066,3,0),0)</f>
      </c>
      <c r="AQ101" s="217">
        <f>+IF(W101&gt;W100,AP101,AQ100+AP101)</f>
      </c>
      <c r="AR101" s="217">
        <f>+MAX($AM$2-SUMIF($W$7:$W$1066,W101,$AN$7:$AN$1066),0)</f>
      </c>
      <c r="AS101" s="748">
        <f>+MAX(IF(AQ101&gt;AR101,AR101-AQ100,AP101),0)</f>
      </c>
      <c r="AT101" s="748">
        <f>+AP101-AS101</f>
      </c>
      <c r="AU101" s="217">
        <f>+_xlfn.IFNA(VLOOKUP(AJ101,$AF$7:$AI$1066,4,0),0)</f>
      </c>
      <c r="AV101" s="217">
        <f>+IF(W101&gt;W100,AU101,AV100+AU101)</f>
      </c>
      <c r="AW101" s="217">
        <f>+MAX($AM$2-SUMIF($W$7:$W$1066,W101,$AN$7:$AN$1066)-SUMIF($W$7:$W$1066,W101,$AS$7:$AS$1066),0)</f>
      </c>
      <c r="AX101" s="748">
        <f>+MAX(IF(AV101&gt;AW101,AW101-AV100,AU101),0)</f>
      </c>
      <c r="AY101" s="748">
        <f>+AU101-AX101</f>
      </c>
      <c r="AZ101" s="331">
        <f>+$AM$1+IF($AP$1&gt;$AP$2,$AM$3/2)</f>
      </c>
    </row>
    <row x14ac:dyDescent="0.25" r="102" customHeight="1" ht="18.75">
      <c r="A102" s="1"/>
      <c r="B102" s="7"/>
      <c r="C102" s="170"/>
      <c r="D102" s="331">
        <v>95</v>
      </c>
      <c r="E102" s="544">
        <f>+DATE(YEAR(E101),MONTH(E101)-1,DAY(E101))</f>
        <v>25569.041666666668</v>
      </c>
      <c r="F102" s="333">
        <f>IF(DATE(YEAR($B$6),MONTH($B$6)+1,DAY(1))=E102,1,IF(MONTH(E102)=1,F103*(1+$F$5),F103))</f>
      </c>
      <c r="G102" s="333">
        <f>IF('Simulador - 1º Pilar'!$E$99="Sí",IF('Aportaciones PPE'!$B$13&lt;'Aportaciones PPE'!E102,0,F102*$B$8/12),F102*$B$8/12)</f>
      </c>
      <c r="H102" s="333">
        <f>$H$5*G102</f>
      </c>
      <c r="I102" s="333">
        <f>$I$5*G102</f>
      </c>
      <c r="J102" s="333">
        <f>+I102</f>
      </c>
      <c r="K102" s="333">
        <f>(1+$O$5)^(D102/12)*(H102+IF(AND(F102=1,F103=0),$S$4,0))</f>
      </c>
      <c r="L102" s="333">
        <f>(1+$O$5)^(D102/12)*(I102+IF(AND(F102=1,F103=0),0))</f>
      </c>
      <c r="M102" s="333">
        <f>+L102</f>
      </c>
      <c r="N102" s="333">
        <f>L102+K102+M102</f>
      </c>
      <c r="O102" s="170"/>
      <c r="P102" s="7"/>
      <c r="Q102" s="1"/>
      <c r="R102" s="331">
        <f>D102</f>
      </c>
      <c r="S102" s="169"/>
      <c r="T102" s="1"/>
      <c r="U102" s="217"/>
      <c r="V102" s="331">
        <f>+IF(V101=11,12,IF(V101=12,1,V101+1))</f>
      </c>
      <c r="W102" s="331">
        <f>+W101+IF(V101=12,1,0)</f>
      </c>
      <c r="X102" s="555">
        <f>+DATE(W102,V102,1)</f>
        <v>25569.041666666668</v>
      </c>
      <c r="Y102" s="333">
        <f>+_xlfn.IFNA(AN102+AS102+AX102,0)</f>
      </c>
      <c r="Z102" s="333">
        <f>+_xlfn.IFNA(AO102+AT102+AY102,0)</f>
      </c>
      <c r="AA102" s="333">
        <f>Y102*(1+$O$5)^(($B$7-X102)/365.25)</f>
      </c>
      <c r="AB102" s="333">
        <f>Z102*(1+$O$5)^(($B$7-X102)/365.25)</f>
      </c>
      <c r="AC102" s="1"/>
      <c r="AD102" s="1"/>
      <c r="AE102" s="1"/>
      <c r="AF102" s="111">
        <f>+MONTH(E102)&amp;YEAR(E102)</f>
      </c>
      <c r="AG102" s="217">
        <f>+I102</f>
      </c>
      <c r="AH102" s="217">
        <f>+J102</f>
      </c>
      <c r="AI102" s="217">
        <f>+H102</f>
      </c>
      <c r="AJ102" s="111">
        <f>+V102&amp;W102</f>
      </c>
      <c r="AK102" s="217">
        <f>+_xlfn.IFNA(VLOOKUP(AJ102,$AF$7:$AG$1066,2,0),0)</f>
      </c>
      <c r="AL102" s="217">
        <f>+IF(W102&gt;W101,AK102,AL101+AK102)</f>
      </c>
      <c r="AM102" s="217">
        <f>IF(W102&gt;W101,IF(AL102&gt;=$AZ$8,$AZ$8,AL102),IF(OR(AM101=$AZ$8,AM101=0),0,IF(AL102&gt;=$AZ$8,$AZ$8,AL102)))</f>
      </c>
      <c r="AN102" s="748">
        <f>+IF(OR(AM102&gt;AZ101,AM102=0),0,IF(AM102=AL102,AK102,$AZ$7-AL101))</f>
      </c>
      <c r="AO102" s="748">
        <f>+AK102-AN102</f>
      </c>
      <c r="AP102" s="217">
        <f>+_xlfn.IFNA(VLOOKUP(AJ102,$AF$7:$AI$1066,3,0),0)</f>
      </c>
      <c r="AQ102" s="217">
        <f>+IF(W102&gt;W101,AP102,AQ101+AP102)</f>
      </c>
      <c r="AR102" s="217">
        <f>+MAX($AM$2-SUMIF($W$7:$W$1066,W102,$AN$7:$AN$1066),0)</f>
      </c>
      <c r="AS102" s="748">
        <f>+MAX(IF(AQ102&gt;AR102,AR102-AQ101,AP102),0)</f>
      </c>
      <c r="AT102" s="748">
        <f>+AP102-AS102</f>
      </c>
      <c r="AU102" s="217">
        <f>+_xlfn.IFNA(VLOOKUP(AJ102,$AF$7:$AI$1066,4,0),0)</f>
      </c>
      <c r="AV102" s="217">
        <f>+IF(W102&gt;W101,AU102,AV101+AU102)</f>
      </c>
      <c r="AW102" s="217">
        <f>+MAX($AM$2-SUMIF($W$7:$W$1066,W102,$AN$7:$AN$1066)-SUMIF($W$7:$W$1066,W102,$AS$7:$AS$1066),0)</f>
      </c>
      <c r="AX102" s="748">
        <f>+MAX(IF(AV102&gt;AW102,AW102-AV101,AU102),0)</f>
      </c>
      <c r="AY102" s="748">
        <f>+AU102-AX102</f>
      </c>
      <c r="AZ102" s="331">
        <f>+$AM$1+IF($AP$1&gt;$AP$2,$AM$3/2)</f>
      </c>
    </row>
    <row x14ac:dyDescent="0.25" r="103" customHeight="1" ht="18.75">
      <c r="A103" s="1"/>
      <c r="B103" s="7"/>
      <c r="C103" s="170"/>
      <c r="D103" s="331">
        <v>96</v>
      </c>
      <c r="E103" s="544">
        <f>+DATE(YEAR(E102),MONTH(E102)-1,DAY(E102))</f>
        <v>25569.041666666668</v>
      </c>
      <c r="F103" s="333">
        <f>IF(DATE(YEAR($B$6),MONTH($B$6)+1,DAY(1))=E103,1,IF(MONTH(E103)=1,F104*(1+$F$5),F104))</f>
      </c>
      <c r="G103" s="333">
        <f>IF('Simulador - 1º Pilar'!$E$99="Sí",IF('Aportaciones PPE'!$B$13&lt;'Aportaciones PPE'!E103,0,F103*$B$8/12),F103*$B$8/12)</f>
      </c>
      <c r="H103" s="333">
        <f>$H$5*G103</f>
      </c>
      <c r="I103" s="333">
        <f>$I$5*G103</f>
      </c>
      <c r="J103" s="333">
        <f>+I103</f>
      </c>
      <c r="K103" s="333">
        <f>(1+$O$5)^(D103/12)*(H103+IF(AND(F103=1,F104=0),$S$4,0))</f>
      </c>
      <c r="L103" s="333">
        <f>(1+$O$5)^(D103/12)*(I103+IF(AND(F103=1,F104=0),0))</f>
      </c>
      <c r="M103" s="333">
        <f>+L103</f>
      </c>
      <c r="N103" s="333">
        <f>L103+K103+M103</f>
      </c>
      <c r="O103" s="170"/>
      <c r="P103" s="7"/>
      <c r="Q103" s="1"/>
      <c r="R103" s="331">
        <f>D103</f>
      </c>
      <c r="S103" s="169"/>
      <c r="T103" s="1"/>
      <c r="U103" s="217"/>
      <c r="V103" s="331">
        <f>+IF(V102=11,12,IF(V102=12,1,V102+1))</f>
      </c>
      <c r="W103" s="331">
        <f>+W102+IF(V102=12,1,0)</f>
      </c>
      <c r="X103" s="555">
        <f>+DATE(W103,V103,1)</f>
        <v>25569.041666666668</v>
      </c>
      <c r="Y103" s="333">
        <f>+_xlfn.IFNA(AN103+AS103+AX103,0)</f>
      </c>
      <c r="Z103" s="333">
        <f>+_xlfn.IFNA(AO103+AT103+AY103,0)</f>
      </c>
      <c r="AA103" s="333">
        <f>Y103*(1+$O$5)^(($B$7-X103)/365.25)</f>
      </c>
      <c r="AB103" s="333">
        <f>Z103*(1+$O$5)^(($B$7-X103)/365.25)</f>
      </c>
      <c r="AC103" s="1"/>
      <c r="AD103" s="1"/>
      <c r="AE103" s="1"/>
      <c r="AF103" s="111">
        <f>+MONTH(E103)&amp;YEAR(E103)</f>
      </c>
      <c r="AG103" s="217">
        <f>+I103</f>
      </c>
      <c r="AH103" s="217">
        <f>+J103</f>
      </c>
      <c r="AI103" s="217">
        <f>+H103</f>
      </c>
      <c r="AJ103" s="111">
        <f>+V103&amp;W103</f>
      </c>
      <c r="AK103" s="217">
        <f>+_xlfn.IFNA(VLOOKUP(AJ103,$AF$7:$AG$1066,2,0),0)</f>
      </c>
      <c r="AL103" s="217">
        <f>+IF(W103&gt;W102,AK103,AL102+AK103)</f>
      </c>
      <c r="AM103" s="217">
        <f>IF(W103&gt;W102,IF(AL103&gt;=$AZ$8,$AZ$8,AL103),IF(OR(AM102=$AZ$8,AM102=0),0,IF(AL103&gt;=$AZ$8,$AZ$8,AL103)))</f>
      </c>
      <c r="AN103" s="748">
        <f>+IF(OR(AM103&gt;AZ102,AM103=0),0,IF(AM103=AL103,AK103,$AZ$7-AL102))</f>
      </c>
      <c r="AO103" s="748">
        <f>+AK103-AN103</f>
      </c>
      <c r="AP103" s="217">
        <f>+_xlfn.IFNA(VLOOKUP(AJ103,$AF$7:$AI$1066,3,0),0)</f>
      </c>
      <c r="AQ103" s="217">
        <f>+IF(W103&gt;W102,AP103,AQ102+AP103)</f>
      </c>
      <c r="AR103" s="217">
        <f>+MAX($AM$2-SUMIF($W$7:$W$1066,W103,$AN$7:$AN$1066),0)</f>
      </c>
      <c r="AS103" s="748">
        <f>+MAX(IF(AQ103&gt;AR103,AR103-AQ102,AP103),0)</f>
      </c>
      <c r="AT103" s="748">
        <f>+AP103-AS103</f>
      </c>
      <c r="AU103" s="217">
        <f>+_xlfn.IFNA(VLOOKUP(AJ103,$AF$7:$AI$1066,4,0),0)</f>
      </c>
      <c r="AV103" s="217">
        <f>+IF(W103&gt;W102,AU103,AV102+AU103)</f>
      </c>
      <c r="AW103" s="217">
        <f>+MAX($AM$2-SUMIF($W$7:$W$1066,W103,$AN$7:$AN$1066)-SUMIF($W$7:$W$1066,W103,$AS$7:$AS$1066),0)</f>
      </c>
      <c r="AX103" s="748">
        <f>+MAX(IF(AV103&gt;AW103,AW103-AV102,AU103),0)</f>
      </c>
      <c r="AY103" s="748">
        <f>+AU103-AX103</f>
      </c>
      <c r="AZ103" s="331">
        <f>+$AM$1+IF($AP$1&gt;$AP$2,$AM$3/2)</f>
      </c>
    </row>
    <row x14ac:dyDescent="0.25" r="104" customHeight="1" ht="18.75">
      <c r="A104" s="1"/>
      <c r="B104" s="7"/>
      <c r="C104" s="170"/>
      <c r="D104" s="331">
        <v>97</v>
      </c>
      <c r="E104" s="544">
        <f>+DATE(YEAR(E103),MONTH(E103)-1,DAY(E103))</f>
        <v>25569.041666666668</v>
      </c>
      <c r="F104" s="333">
        <f>IF(DATE(YEAR($B$6),MONTH($B$6)+1,DAY(1))=E104,1,IF(MONTH(E104)=1,F105*(1+$F$5),F105))</f>
      </c>
      <c r="G104" s="333">
        <f>IF('Simulador - 1º Pilar'!$E$99="Sí",IF('Aportaciones PPE'!$B$13&lt;'Aportaciones PPE'!E104,0,F104*$B$8/12),F104*$B$8/12)</f>
      </c>
      <c r="H104" s="333">
        <f>$H$5*G104</f>
      </c>
      <c r="I104" s="333">
        <f>$I$5*G104</f>
      </c>
      <c r="J104" s="333">
        <f>+I104</f>
      </c>
      <c r="K104" s="333">
        <f>(1+$O$5)^(D104/12)*(H104+IF(AND(F104=1,F105=0),$S$4,0))</f>
      </c>
      <c r="L104" s="333">
        <f>(1+$O$5)^(D104/12)*(I104+IF(AND(F104=1,F105=0),0))</f>
      </c>
      <c r="M104" s="333">
        <f>+L104</f>
      </c>
      <c r="N104" s="333">
        <f>L104+K104+M104</f>
      </c>
      <c r="O104" s="170"/>
      <c r="P104" s="7"/>
      <c r="Q104" s="1"/>
      <c r="R104" s="331">
        <f>D104</f>
      </c>
      <c r="S104" s="169"/>
      <c r="T104" s="1"/>
      <c r="U104" s="217"/>
      <c r="V104" s="331">
        <f>+IF(V103=11,12,IF(V103=12,1,V103+1))</f>
      </c>
      <c r="W104" s="331">
        <f>+W103+IF(V103=12,1,0)</f>
      </c>
      <c r="X104" s="555">
        <f>+DATE(W104,V104,1)</f>
        <v>25569.041666666668</v>
      </c>
      <c r="Y104" s="333">
        <f>+_xlfn.IFNA(AN104+AS104+AX104,0)</f>
      </c>
      <c r="Z104" s="333">
        <f>+_xlfn.IFNA(AO104+AT104+AY104,0)</f>
      </c>
      <c r="AA104" s="333">
        <f>Y104*(1+$O$5)^(($B$7-X104)/365.25)</f>
      </c>
      <c r="AB104" s="333">
        <f>Z104*(1+$O$5)^(($B$7-X104)/365.25)</f>
      </c>
      <c r="AC104" s="1"/>
      <c r="AD104" s="1"/>
      <c r="AE104" s="1"/>
      <c r="AF104" s="111">
        <f>+MONTH(E104)&amp;YEAR(E104)</f>
      </c>
      <c r="AG104" s="217">
        <f>+I104</f>
      </c>
      <c r="AH104" s="217">
        <f>+J104</f>
      </c>
      <c r="AI104" s="217">
        <f>+H104</f>
      </c>
      <c r="AJ104" s="111">
        <f>+V104&amp;W104</f>
      </c>
      <c r="AK104" s="217">
        <f>+_xlfn.IFNA(VLOOKUP(AJ104,$AF$7:$AG$1066,2,0),0)</f>
      </c>
      <c r="AL104" s="217">
        <f>+IF(W104&gt;W103,AK104,AL103+AK104)</f>
      </c>
      <c r="AM104" s="217">
        <f>IF(W104&gt;W103,IF(AL104&gt;=$AZ$8,$AZ$8,AL104),IF(OR(AM103=$AZ$8,AM103=0),0,IF(AL104&gt;=$AZ$8,$AZ$8,AL104)))</f>
      </c>
      <c r="AN104" s="748">
        <f>+IF(OR(AM104&gt;AZ103,AM104=0),0,IF(AM104=AL104,AK104,$AZ$7-AL103))</f>
      </c>
      <c r="AO104" s="748">
        <f>+AK104-AN104</f>
      </c>
      <c r="AP104" s="217">
        <f>+_xlfn.IFNA(VLOOKUP(AJ104,$AF$7:$AI$1066,3,0),0)</f>
      </c>
      <c r="AQ104" s="217">
        <f>+IF(W104&gt;W103,AP104,AQ103+AP104)</f>
      </c>
      <c r="AR104" s="217">
        <f>+MAX($AM$2-SUMIF($W$7:$W$1066,W104,$AN$7:$AN$1066),0)</f>
      </c>
      <c r="AS104" s="748">
        <f>+MAX(IF(AQ104&gt;AR104,AR104-AQ103,AP104),0)</f>
      </c>
      <c r="AT104" s="748">
        <f>+AP104-AS104</f>
      </c>
      <c r="AU104" s="217">
        <f>+_xlfn.IFNA(VLOOKUP(AJ104,$AF$7:$AI$1066,4,0),0)</f>
      </c>
      <c r="AV104" s="217">
        <f>+IF(W104&gt;W103,AU104,AV103+AU104)</f>
      </c>
      <c r="AW104" s="217">
        <f>+MAX($AM$2-SUMIF($W$7:$W$1066,W104,$AN$7:$AN$1066)-SUMIF($W$7:$W$1066,W104,$AS$7:$AS$1066),0)</f>
      </c>
      <c r="AX104" s="748">
        <f>+MAX(IF(AV104&gt;AW104,AW104-AV103,AU104),0)</f>
      </c>
      <c r="AY104" s="748">
        <f>+AU104-AX104</f>
      </c>
      <c r="AZ104" s="331">
        <f>+$AM$1+IF($AP$1&gt;$AP$2,$AM$3/2)</f>
      </c>
    </row>
    <row x14ac:dyDescent="0.25" r="105" customHeight="1" ht="18.75">
      <c r="A105" s="1"/>
      <c r="B105" s="7"/>
      <c r="C105" s="170"/>
      <c r="D105" s="331">
        <v>98</v>
      </c>
      <c r="E105" s="544">
        <f>+DATE(YEAR(E104),MONTH(E104)-1,DAY(E104))</f>
        <v>25569.041666666668</v>
      </c>
      <c r="F105" s="333">
        <f>IF(DATE(YEAR($B$6),MONTH($B$6)+1,DAY(1))=E105,1,IF(MONTH(E105)=1,F106*(1+$F$5),F106))</f>
      </c>
      <c r="G105" s="333">
        <f>IF('Simulador - 1º Pilar'!$E$99="Sí",IF('Aportaciones PPE'!$B$13&lt;'Aportaciones PPE'!E105,0,F105*$B$8/12),F105*$B$8/12)</f>
      </c>
      <c r="H105" s="333">
        <f>$H$5*G105</f>
      </c>
      <c r="I105" s="333">
        <f>$I$5*G105</f>
      </c>
      <c r="J105" s="333">
        <f>+I105</f>
      </c>
      <c r="K105" s="333">
        <f>(1+$O$5)^(D105/12)*(H105+IF(AND(F105=1,F106=0),$S$4,0))</f>
      </c>
      <c r="L105" s="333">
        <f>(1+$O$5)^(D105/12)*(I105+IF(AND(F105=1,F106=0),0))</f>
      </c>
      <c r="M105" s="333">
        <f>+L105</f>
      </c>
      <c r="N105" s="333">
        <f>L105+K105+M105</f>
      </c>
      <c r="O105" s="170"/>
      <c r="P105" s="7"/>
      <c r="Q105" s="1"/>
      <c r="R105" s="331">
        <f>D105</f>
      </c>
      <c r="S105" s="169"/>
      <c r="T105" s="1"/>
      <c r="U105" s="217"/>
      <c r="V105" s="331">
        <f>+IF(V104=11,12,IF(V104=12,1,V104+1))</f>
      </c>
      <c r="W105" s="331">
        <f>+W104+IF(V104=12,1,0)</f>
      </c>
      <c r="X105" s="555">
        <f>+DATE(W105,V105,1)</f>
        <v>25569.041666666668</v>
      </c>
      <c r="Y105" s="333">
        <f>+_xlfn.IFNA(AN105+AS105+AX105,0)</f>
      </c>
      <c r="Z105" s="333">
        <f>+_xlfn.IFNA(AO105+AT105+AY105,0)</f>
      </c>
      <c r="AA105" s="333">
        <f>Y105*(1+$O$5)^(($B$7-X105)/365.25)</f>
      </c>
      <c r="AB105" s="333">
        <f>Z105*(1+$O$5)^(($B$7-X105)/365.25)</f>
      </c>
      <c r="AC105" s="1"/>
      <c r="AD105" s="1"/>
      <c r="AE105" s="1"/>
      <c r="AF105" s="111">
        <f>+MONTH(E105)&amp;YEAR(E105)</f>
      </c>
      <c r="AG105" s="217">
        <f>+I105</f>
      </c>
      <c r="AH105" s="217">
        <f>+J105</f>
      </c>
      <c r="AI105" s="217">
        <f>+H105</f>
      </c>
      <c r="AJ105" s="111">
        <f>+V105&amp;W105</f>
      </c>
      <c r="AK105" s="217">
        <f>+_xlfn.IFNA(VLOOKUP(AJ105,$AF$7:$AG$1066,2,0),0)</f>
      </c>
      <c r="AL105" s="217">
        <f>+IF(W105&gt;W104,AK105,AL104+AK105)</f>
      </c>
      <c r="AM105" s="217">
        <f>IF(W105&gt;W104,IF(AL105&gt;=$AZ$8,$AZ$8,AL105),IF(OR(AM104=$AZ$8,AM104=0),0,IF(AL105&gt;=$AZ$8,$AZ$8,AL105)))</f>
      </c>
      <c r="AN105" s="748">
        <f>+IF(OR(AM105&gt;AZ104,AM105=0),0,IF(AM105=AL105,AK105,$AZ$7-AL104))</f>
      </c>
      <c r="AO105" s="748">
        <f>+AK105-AN105</f>
      </c>
      <c r="AP105" s="217">
        <f>+_xlfn.IFNA(VLOOKUP(AJ105,$AF$7:$AI$1066,3,0),0)</f>
      </c>
      <c r="AQ105" s="217">
        <f>+IF(W105&gt;W104,AP105,AQ104+AP105)</f>
      </c>
      <c r="AR105" s="217">
        <f>+MAX($AM$2-SUMIF($W$7:$W$1066,W105,$AN$7:$AN$1066),0)</f>
      </c>
      <c r="AS105" s="748">
        <f>+MAX(IF(AQ105&gt;AR105,AR105-AQ104,AP105),0)</f>
      </c>
      <c r="AT105" s="748">
        <f>+AP105-AS105</f>
      </c>
      <c r="AU105" s="217">
        <f>+_xlfn.IFNA(VLOOKUP(AJ105,$AF$7:$AI$1066,4,0),0)</f>
      </c>
      <c r="AV105" s="217">
        <f>+IF(W105&gt;W104,AU105,AV104+AU105)</f>
      </c>
      <c r="AW105" s="217">
        <f>+MAX($AM$2-SUMIF($W$7:$W$1066,W105,$AN$7:$AN$1066)-SUMIF($W$7:$W$1066,W105,$AS$7:$AS$1066),0)</f>
      </c>
      <c r="AX105" s="748">
        <f>+MAX(IF(AV105&gt;AW105,AW105-AV104,AU105),0)</f>
      </c>
      <c r="AY105" s="748">
        <f>+AU105-AX105</f>
      </c>
      <c r="AZ105" s="331">
        <f>+$AM$1+IF($AP$1&gt;$AP$2,$AM$3/2)</f>
      </c>
    </row>
    <row x14ac:dyDescent="0.25" r="106" customHeight="1" ht="18.75">
      <c r="A106" s="1"/>
      <c r="B106" s="7"/>
      <c r="C106" s="170"/>
      <c r="D106" s="331">
        <v>99</v>
      </c>
      <c r="E106" s="544">
        <f>+DATE(YEAR(E105),MONTH(E105)-1,DAY(E105))</f>
        <v>25569.041666666668</v>
      </c>
      <c r="F106" s="333">
        <f>IF(DATE(YEAR($B$6),MONTH($B$6)+1,DAY(1))=E106,1,IF(MONTH(E106)=1,F107*(1+$F$5),F107))</f>
      </c>
      <c r="G106" s="333">
        <f>IF('Simulador - 1º Pilar'!$E$99="Sí",IF('Aportaciones PPE'!$B$13&lt;'Aportaciones PPE'!E106,0,F106*$B$8/12),F106*$B$8/12)</f>
      </c>
      <c r="H106" s="333">
        <f>$H$5*G106</f>
      </c>
      <c r="I106" s="333">
        <f>$I$5*G106</f>
      </c>
      <c r="J106" s="333">
        <f>+I106</f>
      </c>
      <c r="K106" s="333">
        <f>(1+$O$5)^(D106/12)*(H106+IF(AND(F106=1,F107=0),$S$4,0))</f>
      </c>
      <c r="L106" s="333">
        <f>(1+$O$5)^(D106/12)*(I106+IF(AND(F106=1,F107=0),0))</f>
      </c>
      <c r="M106" s="333">
        <f>+L106</f>
      </c>
      <c r="N106" s="333">
        <f>L106+K106+M106</f>
      </c>
      <c r="O106" s="170"/>
      <c r="P106" s="7"/>
      <c r="Q106" s="1"/>
      <c r="R106" s="331">
        <f>D106</f>
      </c>
      <c r="S106" s="169"/>
      <c r="T106" s="1"/>
      <c r="U106" s="217"/>
      <c r="V106" s="331">
        <f>+IF(V105=11,12,IF(V105=12,1,V105+1))</f>
      </c>
      <c r="W106" s="331">
        <f>+W105+IF(V105=12,1,0)</f>
      </c>
      <c r="X106" s="555">
        <f>+DATE(W106,V106,1)</f>
        <v>25569.041666666668</v>
      </c>
      <c r="Y106" s="333">
        <f>+_xlfn.IFNA(AN106+AS106+AX106,0)</f>
      </c>
      <c r="Z106" s="333">
        <f>+_xlfn.IFNA(AO106+AT106+AY106,0)</f>
      </c>
      <c r="AA106" s="333">
        <f>Y106*(1+$O$5)^(($B$7-X106)/365.25)</f>
      </c>
      <c r="AB106" s="333">
        <f>Z106*(1+$O$5)^(($B$7-X106)/365.25)</f>
      </c>
      <c r="AC106" s="1"/>
      <c r="AD106" s="1"/>
      <c r="AE106" s="1"/>
      <c r="AF106" s="111">
        <f>+MONTH(E106)&amp;YEAR(E106)</f>
      </c>
      <c r="AG106" s="217">
        <f>+I106</f>
      </c>
      <c r="AH106" s="217">
        <f>+J106</f>
      </c>
      <c r="AI106" s="217">
        <f>+H106</f>
      </c>
      <c r="AJ106" s="111">
        <f>+V106&amp;W106</f>
      </c>
      <c r="AK106" s="217">
        <f>+_xlfn.IFNA(VLOOKUP(AJ106,$AF$7:$AG$1066,2,0),0)</f>
      </c>
      <c r="AL106" s="217">
        <f>+IF(W106&gt;W105,AK106,AL105+AK106)</f>
      </c>
      <c r="AM106" s="217">
        <f>IF(W106&gt;W105,IF(AL106&gt;=$AZ$8,$AZ$8,AL106),IF(OR(AM105=$AZ$8,AM105=0),0,IF(AL106&gt;=$AZ$8,$AZ$8,AL106)))</f>
      </c>
      <c r="AN106" s="748">
        <f>+IF(OR(AM106&gt;AZ105,AM106=0),0,IF(AM106=AL106,AK106,$AZ$7-AL105))</f>
      </c>
      <c r="AO106" s="748">
        <f>+AK106-AN106</f>
      </c>
      <c r="AP106" s="217">
        <f>+_xlfn.IFNA(VLOOKUP(AJ106,$AF$7:$AI$1066,3,0),0)</f>
      </c>
      <c r="AQ106" s="217">
        <f>+IF(W106&gt;W105,AP106,AQ105+AP106)</f>
      </c>
      <c r="AR106" s="217">
        <f>+MAX($AM$2-SUMIF($W$7:$W$1066,W106,$AN$7:$AN$1066),0)</f>
      </c>
      <c r="AS106" s="748">
        <f>+MAX(IF(AQ106&gt;AR106,AR106-AQ105,AP106),0)</f>
      </c>
      <c r="AT106" s="748">
        <f>+AP106-AS106</f>
      </c>
      <c r="AU106" s="217">
        <f>+_xlfn.IFNA(VLOOKUP(AJ106,$AF$7:$AI$1066,4,0),0)</f>
      </c>
      <c r="AV106" s="217">
        <f>+IF(W106&gt;W105,AU106,AV105+AU106)</f>
      </c>
      <c r="AW106" s="217">
        <f>+MAX($AM$2-SUMIF($W$7:$W$1066,W106,$AN$7:$AN$1066)-SUMIF($W$7:$W$1066,W106,$AS$7:$AS$1066),0)</f>
      </c>
      <c r="AX106" s="748">
        <f>+MAX(IF(AV106&gt;AW106,AW106-AV105,AU106),0)</f>
      </c>
      <c r="AY106" s="748">
        <f>+AU106-AX106</f>
      </c>
      <c r="AZ106" s="331">
        <f>+$AM$1+IF($AP$1&gt;$AP$2,$AM$3/2)</f>
      </c>
    </row>
    <row x14ac:dyDescent="0.25" r="107" customHeight="1" ht="18.75">
      <c r="A107" s="1"/>
      <c r="B107" s="7"/>
      <c r="C107" s="170"/>
      <c r="D107" s="331">
        <v>100</v>
      </c>
      <c r="E107" s="544">
        <f>+DATE(YEAR(E106),MONTH(E106)-1,DAY(E106))</f>
        <v>25569.041666666668</v>
      </c>
      <c r="F107" s="333">
        <f>IF(DATE(YEAR($B$6),MONTH($B$6)+1,DAY(1))=E107,1,IF(MONTH(E107)=1,F108*(1+$F$5),F108))</f>
      </c>
      <c r="G107" s="333">
        <f>IF('Simulador - 1º Pilar'!$E$99="Sí",IF('Aportaciones PPE'!$B$13&lt;'Aportaciones PPE'!E107,0,F107*$B$8/12),F107*$B$8/12)</f>
      </c>
      <c r="H107" s="333">
        <f>$H$5*G107</f>
      </c>
      <c r="I107" s="333">
        <f>$I$5*G107</f>
      </c>
      <c r="J107" s="333">
        <f>+I107</f>
      </c>
      <c r="K107" s="333">
        <f>(1+$O$5)^(D107/12)*(H107+IF(AND(F107=1,F108=0),$S$4,0))</f>
      </c>
      <c r="L107" s="333">
        <f>(1+$O$5)^(D107/12)*(I107+IF(AND(F107=1,F108=0),0))</f>
      </c>
      <c r="M107" s="333">
        <f>+L107</f>
      </c>
      <c r="N107" s="333">
        <f>L107+K107+M107</f>
      </c>
      <c r="O107" s="170"/>
      <c r="P107" s="7"/>
      <c r="Q107" s="1"/>
      <c r="R107" s="331">
        <f>D107</f>
      </c>
      <c r="S107" s="169"/>
      <c r="T107" s="1"/>
      <c r="U107" s="217"/>
      <c r="V107" s="331">
        <f>+IF(V106=11,12,IF(V106=12,1,V106+1))</f>
      </c>
      <c r="W107" s="331">
        <f>+W106+IF(V106=12,1,0)</f>
      </c>
      <c r="X107" s="555">
        <f>+DATE(W107,V107,1)</f>
        <v>25569.041666666668</v>
      </c>
      <c r="Y107" s="333">
        <f>+_xlfn.IFNA(AN107+AS107+AX107,0)</f>
      </c>
      <c r="Z107" s="333">
        <f>+_xlfn.IFNA(AO107+AT107+AY107,0)</f>
      </c>
      <c r="AA107" s="333">
        <f>Y107*(1+$O$5)^(($B$7-X107)/365.25)</f>
      </c>
      <c r="AB107" s="333">
        <f>Z107*(1+$O$5)^(($B$7-X107)/365.25)</f>
      </c>
      <c r="AC107" s="1"/>
      <c r="AD107" s="1"/>
      <c r="AE107" s="1"/>
      <c r="AF107" s="111">
        <f>+MONTH(E107)&amp;YEAR(E107)</f>
      </c>
      <c r="AG107" s="217">
        <f>+I107</f>
      </c>
      <c r="AH107" s="217">
        <f>+J107</f>
      </c>
      <c r="AI107" s="217">
        <f>+H107</f>
      </c>
      <c r="AJ107" s="111">
        <f>+V107&amp;W107</f>
      </c>
      <c r="AK107" s="217">
        <f>+_xlfn.IFNA(VLOOKUP(AJ107,$AF$7:$AG$1066,2,0),0)</f>
      </c>
      <c r="AL107" s="217">
        <f>+IF(W107&gt;W106,AK107,AL106+AK107)</f>
      </c>
      <c r="AM107" s="217">
        <f>IF(W107&gt;W106,IF(AL107&gt;=$AZ$8,$AZ$8,AL107),IF(OR(AM106=$AZ$8,AM106=0),0,IF(AL107&gt;=$AZ$8,$AZ$8,AL107)))</f>
      </c>
      <c r="AN107" s="748">
        <f>+IF(OR(AM107&gt;AZ106,AM107=0),0,IF(AM107=AL107,AK107,$AZ$7-AL106))</f>
      </c>
      <c r="AO107" s="748">
        <f>+AK107-AN107</f>
      </c>
      <c r="AP107" s="217">
        <f>+_xlfn.IFNA(VLOOKUP(AJ107,$AF$7:$AI$1066,3,0),0)</f>
      </c>
      <c r="AQ107" s="217">
        <f>+IF(W107&gt;W106,AP107,AQ106+AP107)</f>
      </c>
      <c r="AR107" s="217">
        <f>+MAX($AM$2-SUMIF($W$7:$W$1066,W107,$AN$7:$AN$1066),0)</f>
      </c>
      <c r="AS107" s="748">
        <f>+MAX(IF(AQ107&gt;AR107,AR107-AQ106,AP107),0)</f>
      </c>
      <c r="AT107" s="748">
        <f>+AP107-AS107</f>
      </c>
      <c r="AU107" s="217">
        <f>+_xlfn.IFNA(VLOOKUP(AJ107,$AF$7:$AI$1066,4,0),0)</f>
      </c>
      <c r="AV107" s="217">
        <f>+IF(W107&gt;W106,AU107,AV106+AU107)</f>
      </c>
      <c r="AW107" s="217">
        <f>+MAX($AM$2-SUMIF($W$7:$W$1066,W107,$AN$7:$AN$1066)-SUMIF($W$7:$W$1066,W107,$AS$7:$AS$1066),0)</f>
      </c>
      <c r="AX107" s="748">
        <f>+MAX(IF(AV107&gt;AW107,AW107-AV106,AU107),0)</f>
      </c>
      <c r="AY107" s="748">
        <f>+AU107-AX107</f>
      </c>
      <c r="AZ107" s="331">
        <f>+$AM$1+IF($AP$1&gt;$AP$2,$AM$3/2)</f>
      </c>
    </row>
    <row x14ac:dyDescent="0.25" r="108" customHeight="1" ht="18.75">
      <c r="A108" s="1"/>
      <c r="B108" s="7"/>
      <c r="C108" s="170"/>
      <c r="D108" s="331">
        <v>101</v>
      </c>
      <c r="E108" s="544">
        <f>+DATE(YEAR(E107),MONTH(E107)-1,DAY(E107))</f>
        <v>25569.041666666668</v>
      </c>
      <c r="F108" s="333">
        <f>IF(DATE(YEAR($B$6),MONTH($B$6)+1,DAY(1))=E108,1,IF(MONTH(E108)=1,F109*(1+$F$5),F109))</f>
      </c>
      <c r="G108" s="333">
        <f>IF('Simulador - 1º Pilar'!$E$99="Sí",IF('Aportaciones PPE'!$B$13&lt;'Aportaciones PPE'!E108,0,F108*$B$8/12),F108*$B$8/12)</f>
      </c>
      <c r="H108" s="333">
        <f>$H$5*G108</f>
      </c>
      <c r="I108" s="333">
        <f>$I$5*G108</f>
      </c>
      <c r="J108" s="333">
        <f>+I108</f>
      </c>
      <c r="K108" s="333">
        <f>(1+$O$5)^(D108/12)*(H108+IF(AND(F108=1,F109=0),$S$4,0))</f>
      </c>
      <c r="L108" s="333">
        <f>(1+$O$5)^(D108/12)*(I108+IF(AND(F108=1,F109=0),0))</f>
      </c>
      <c r="M108" s="333">
        <f>+L108</f>
      </c>
      <c r="N108" s="333">
        <f>L108+K108+M108</f>
      </c>
      <c r="O108" s="170"/>
      <c r="P108" s="7"/>
      <c r="Q108" s="1"/>
      <c r="R108" s="331">
        <f>D108</f>
      </c>
      <c r="S108" s="169"/>
      <c r="T108" s="1"/>
      <c r="U108" s="217"/>
      <c r="V108" s="331">
        <f>+IF(V107=11,12,IF(V107=12,1,V107+1))</f>
      </c>
      <c r="W108" s="331">
        <f>+W107+IF(V107=12,1,0)</f>
      </c>
      <c r="X108" s="555">
        <f>+DATE(W108,V108,1)</f>
        <v>25569.041666666668</v>
      </c>
      <c r="Y108" s="333">
        <f>+_xlfn.IFNA(AN108+AS108+AX108,0)</f>
      </c>
      <c r="Z108" s="333">
        <f>+_xlfn.IFNA(AO108+AT108+AY108,0)</f>
      </c>
      <c r="AA108" s="333">
        <f>Y108*(1+$O$5)^(($B$7-X108)/365.25)</f>
      </c>
      <c r="AB108" s="333">
        <f>Z108*(1+$O$5)^(($B$7-X108)/365.25)</f>
      </c>
      <c r="AC108" s="1"/>
      <c r="AD108" s="1"/>
      <c r="AE108" s="1"/>
      <c r="AF108" s="111">
        <f>+MONTH(E108)&amp;YEAR(E108)</f>
      </c>
      <c r="AG108" s="217">
        <f>+I108</f>
      </c>
      <c r="AH108" s="217">
        <f>+J108</f>
      </c>
      <c r="AI108" s="217">
        <f>+H108</f>
      </c>
      <c r="AJ108" s="111">
        <f>+V108&amp;W108</f>
      </c>
      <c r="AK108" s="217">
        <f>+_xlfn.IFNA(VLOOKUP(AJ108,$AF$7:$AG$1066,2,0),0)</f>
      </c>
      <c r="AL108" s="217">
        <f>+IF(W108&gt;W107,AK108,AL107+AK108)</f>
      </c>
      <c r="AM108" s="217">
        <f>IF(W108&gt;W107,IF(AL108&gt;=$AZ$8,$AZ$8,AL108),IF(OR(AM107=$AZ$8,AM107=0),0,IF(AL108&gt;=$AZ$8,$AZ$8,AL108)))</f>
      </c>
      <c r="AN108" s="748">
        <f>+IF(OR(AM108&gt;AZ107,AM108=0),0,IF(AM108=AL108,AK108,$AZ$7-AL107))</f>
      </c>
      <c r="AO108" s="748">
        <f>+AK108-AN108</f>
      </c>
      <c r="AP108" s="217">
        <f>+_xlfn.IFNA(VLOOKUP(AJ108,$AF$7:$AI$1066,3,0),0)</f>
      </c>
      <c r="AQ108" s="217">
        <f>+IF(W108&gt;W107,AP108,AQ107+AP108)</f>
      </c>
      <c r="AR108" s="217">
        <f>+MAX($AM$2-SUMIF($W$7:$W$1066,W108,$AN$7:$AN$1066),0)</f>
      </c>
      <c r="AS108" s="748">
        <f>+MAX(IF(AQ108&gt;AR108,AR108-AQ107,AP108),0)</f>
      </c>
      <c r="AT108" s="748">
        <f>+AP108-AS108</f>
      </c>
      <c r="AU108" s="217">
        <f>+_xlfn.IFNA(VLOOKUP(AJ108,$AF$7:$AI$1066,4,0),0)</f>
      </c>
      <c r="AV108" s="217">
        <f>+IF(W108&gt;W107,AU108,AV107+AU108)</f>
      </c>
      <c r="AW108" s="217">
        <f>+MAX($AM$2-SUMIF($W$7:$W$1066,W108,$AN$7:$AN$1066)-SUMIF($W$7:$W$1066,W108,$AS$7:$AS$1066),0)</f>
      </c>
      <c r="AX108" s="748">
        <f>+MAX(IF(AV108&gt;AW108,AW108-AV107,AU108),0)</f>
      </c>
      <c r="AY108" s="748">
        <f>+AU108-AX108</f>
      </c>
      <c r="AZ108" s="331">
        <f>+$AM$1+IF($AP$1&gt;$AP$2,$AM$3/2)</f>
      </c>
    </row>
    <row x14ac:dyDescent="0.25" r="109" customHeight="1" ht="18.75">
      <c r="A109" s="1"/>
      <c r="B109" s="7"/>
      <c r="C109" s="170"/>
      <c r="D109" s="331">
        <v>102</v>
      </c>
      <c r="E109" s="544">
        <f>+DATE(YEAR(E108),MONTH(E108)-1,DAY(E108))</f>
        <v>25569.041666666668</v>
      </c>
      <c r="F109" s="333">
        <f>IF(DATE(YEAR($B$6),MONTH($B$6)+1,DAY(1))=E109,1,IF(MONTH(E109)=1,F110*(1+$F$5),F110))</f>
      </c>
      <c r="G109" s="333">
        <f>IF('Simulador - 1º Pilar'!$E$99="Sí",IF('Aportaciones PPE'!$B$13&lt;'Aportaciones PPE'!E109,0,F109*$B$8/12),F109*$B$8/12)</f>
      </c>
      <c r="H109" s="333">
        <f>$H$5*G109</f>
      </c>
      <c r="I109" s="333">
        <f>$I$5*G109</f>
      </c>
      <c r="J109" s="333">
        <f>+I109</f>
      </c>
      <c r="K109" s="333">
        <f>(1+$O$5)^(D109/12)*(H109+IF(AND(F109=1,F110=0),$S$4,0))</f>
      </c>
      <c r="L109" s="333">
        <f>(1+$O$5)^(D109/12)*(I109+IF(AND(F109=1,F110=0),0))</f>
      </c>
      <c r="M109" s="333">
        <f>+L109</f>
      </c>
      <c r="N109" s="333">
        <f>L109+K109+M109</f>
      </c>
      <c r="O109" s="170"/>
      <c r="P109" s="7"/>
      <c r="Q109" s="1"/>
      <c r="R109" s="331">
        <f>D109</f>
      </c>
      <c r="S109" s="169"/>
      <c r="T109" s="1"/>
      <c r="U109" s="217"/>
      <c r="V109" s="331">
        <f>+IF(V108=11,12,IF(V108=12,1,V108+1))</f>
      </c>
      <c r="W109" s="331">
        <f>+W108+IF(V108=12,1,0)</f>
      </c>
      <c r="X109" s="555">
        <f>+DATE(W109,V109,1)</f>
        <v>25569.041666666668</v>
      </c>
      <c r="Y109" s="333">
        <f>+_xlfn.IFNA(AN109+AS109+AX109,0)</f>
      </c>
      <c r="Z109" s="333">
        <f>+_xlfn.IFNA(AO109+AT109+AY109,0)</f>
      </c>
      <c r="AA109" s="333">
        <f>Y109*(1+$O$5)^(($B$7-X109)/365.25)</f>
      </c>
      <c r="AB109" s="333">
        <f>Z109*(1+$O$5)^(($B$7-X109)/365.25)</f>
      </c>
      <c r="AC109" s="1"/>
      <c r="AD109" s="1"/>
      <c r="AE109" s="1"/>
      <c r="AF109" s="111">
        <f>+MONTH(E109)&amp;YEAR(E109)</f>
      </c>
      <c r="AG109" s="217">
        <f>+I109</f>
      </c>
      <c r="AH109" s="217">
        <f>+J109</f>
      </c>
      <c r="AI109" s="217">
        <f>+H109</f>
      </c>
      <c r="AJ109" s="111">
        <f>+V109&amp;W109</f>
      </c>
      <c r="AK109" s="217">
        <f>+_xlfn.IFNA(VLOOKUP(AJ109,$AF$7:$AG$1066,2,0),0)</f>
      </c>
      <c r="AL109" s="217">
        <f>+IF(W109&gt;W108,AK109,AL108+AK109)</f>
      </c>
      <c r="AM109" s="217">
        <f>IF(W109&gt;W108,IF(AL109&gt;=$AZ$8,$AZ$8,AL109),IF(OR(AM108=$AZ$8,AM108=0),0,IF(AL109&gt;=$AZ$8,$AZ$8,AL109)))</f>
      </c>
      <c r="AN109" s="748">
        <f>+IF(OR(AM109&gt;AZ108,AM109=0),0,IF(AM109=AL109,AK109,$AZ$7-AL108))</f>
      </c>
      <c r="AO109" s="748">
        <f>+AK109-AN109</f>
      </c>
      <c r="AP109" s="217">
        <f>+_xlfn.IFNA(VLOOKUP(AJ109,$AF$7:$AI$1066,3,0),0)</f>
      </c>
      <c r="AQ109" s="217">
        <f>+IF(W109&gt;W108,AP109,AQ108+AP109)</f>
      </c>
      <c r="AR109" s="217">
        <f>+MAX($AM$2-SUMIF($W$7:$W$1066,W109,$AN$7:$AN$1066),0)</f>
      </c>
      <c r="AS109" s="748">
        <f>+MAX(IF(AQ109&gt;AR109,AR109-AQ108,AP109),0)</f>
      </c>
      <c r="AT109" s="748">
        <f>+AP109-AS109</f>
      </c>
      <c r="AU109" s="217">
        <f>+_xlfn.IFNA(VLOOKUP(AJ109,$AF$7:$AI$1066,4,0),0)</f>
      </c>
      <c r="AV109" s="217">
        <f>+IF(W109&gt;W108,AU109,AV108+AU109)</f>
      </c>
      <c r="AW109" s="217">
        <f>+MAX($AM$2-SUMIF($W$7:$W$1066,W109,$AN$7:$AN$1066)-SUMIF($W$7:$W$1066,W109,$AS$7:$AS$1066),0)</f>
      </c>
      <c r="AX109" s="748">
        <f>+MAX(IF(AV109&gt;AW109,AW109-AV108,AU109),0)</f>
      </c>
      <c r="AY109" s="748">
        <f>+AU109-AX109</f>
      </c>
      <c r="AZ109" s="331">
        <f>+$AM$1+IF($AP$1&gt;$AP$2,$AM$3/2)</f>
      </c>
    </row>
    <row x14ac:dyDescent="0.25" r="110" customHeight="1" ht="18.75">
      <c r="A110" s="1"/>
      <c r="B110" s="7"/>
      <c r="C110" s="170"/>
      <c r="D110" s="331">
        <v>103</v>
      </c>
      <c r="E110" s="544">
        <f>+DATE(YEAR(E109),MONTH(E109)-1,DAY(E109))</f>
        <v>25569.041666666668</v>
      </c>
      <c r="F110" s="333">
        <f>IF(DATE(YEAR($B$6),MONTH($B$6)+1,DAY(1))=E110,1,IF(MONTH(E110)=1,F111*(1+$F$5),F111))</f>
      </c>
      <c r="G110" s="333">
        <f>IF('Simulador - 1º Pilar'!$E$99="Sí",IF('Aportaciones PPE'!$B$13&lt;'Aportaciones PPE'!E110,0,F110*$B$8/12),F110*$B$8/12)</f>
      </c>
      <c r="H110" s="333">
        <f>$H$5*G110</f>
      </c>
      <c r="I110" s="333">
        <f>$I$5*G110</f>
      </c>
      <c r="J110" s="333">
        <f>+I110</f>
      </c>
      <c r="K110" s="333">
        <f>(1+$O$5)^(D110/12)*(H110+IF(AND(F110=1,F111=0),$S$4,0))</f>
      </c>
      <c r="L110" s="333">
        <f>(1+$O$5)^(D110/12)*(I110+IF(AND(F110=1,F111=0),0))</f>
      </c>
      <c r="M110" s="333">
        <f>+L110</f>
      </c>
      <c r="N110" s="333">
        <f>L110+K110+M110</f>
      </c>
      <c r="O110" s="170"/>
      <c r="P110" s="7"/>
      <c r="Q110" s="1"/>
      <c r="R110" s="331">
        <f>D110</f>
      </c>
      <c r="S110" s="169"/>
      <c r="T110" s="1"/>
      <c r="U110" s="217"/>
      <c r="V110" s="331">
        <f>+IF(V109=11,12,IF(V109=12,1,V109+1))</f>
      </c>
      <c r="W110" s="331">
        <f>+W109+IF(V109=12,1,0)</f>
      </c>
      <c r="X110" s="555">
        <f>+DATE(W110,V110,1)</f>
        <v>25569.041666666668</v>
      </c>
      <c r="Y110" s="333">
        <f>+_xlfn.IFNA(AN110+AS110+AX110,0)</f>
      </c>
      <c r="Z110" s="333">
        <f>+_xlfn.IFNA(AO110+AT110+AY110,0)</f>
      </c>
      <c r="AA110" s="333">
        <f>Y110*(1+$O$5)^(($B$7-X110)/365.25)</f>
      </c>
      <c r="AB110" s="333">
        <f>Z110*(1+$O$5)^(($B$7-X110)/365.25)</f>
      </c>
      <c r="AC110" s="1"/>
      <c r="AD110" s="1"/>
      <c r="AE110" s="1"/>
      <c r="AF110" s="111">
        <f>+MONTH(E110)&amp;YEAR(E110)</f>
      </c>
      <c r="AG110" s="217">
        <f>+I110</f>
      </c>
      <c r="AH110" s="217">
        <f>+J110</f>
      </c>
      <c r="AI110" s="217">
        <f>+H110</f>
      </c>
      <c r="AJ110" s="111">
        <f>+V110&amp;W110</f>
      </c>
      <c r="AK110" s="217">
        <f>+_xlfn.IFNA(VLOOKUP(AJ110,$AF$7:$AG$1066,2,0),0)</f>
      </c>
      <c r="AL110" s="217">
        <f>+IF(W110&gt;W109,AK110,AL109+AK110)</f>
      </c>
      <c r="AM110" s="217">
        <f>IF(W110&gt;W109,IF(AL110&gt;=$AZ$8,$AZ$8,AL110),IF(OR(AM109=$AZ$8,AM109=0),0,IF(AL110&gt;=$AZ$8,$AZ$8,AL110)))</f>
      </c>
      <c r="AN110" s="748">
        <f>+IF(OR(AM110&gt;AZ109,AM110=0),0,IF(AM110=AL110,AK110,$AZ$7-AL109))</f>
      </c>
      <c r="AO110" s="748">
        <f>+AK110-AN110</f>
      </c>
      <c r="AP110" s="217">
        <f>+_xlfn.IFNA(VLOOKUP(AJ110,$AF$7:$AI$1066,3,0),0)</f>
      </c>
      <c r="AQ110" s="217">
        <f>+IF(W110&gt;W109,AP110,AQ109+AP110)</f>
      </c>
      <c r="AR110" s="217">
        <f>+MAX($AM$2-SUMIF($W$7:$W$1066,W110,$AN$7:$AN$1066),0)</f>
      </c>
      <c r="AS110" s="748">
        <f>+MAX(IF(AQ110&gt;AR110,AR110-AQ109,AP110),0)</f>
      </c>
      <c r="AT110" s="748">
        <f>+AP110-AS110</f>
      </c>
      <c r="AU110" s="217">
        <f>+_xlfn.IFNA(VLOOKUP(AJ110,$AF$7:$AI$1066,4,0),0)</f>
      </c>
      <c r="AV110" s="217">
        <f>+IF(W110&gt;W109,AU110,AV109+AU110)</f>
      </c>
      <c r="AW110" s="217">
        <f>+MAX($AM$2-SUMIF($W$7:$W$1066,W110,$AN$7:$AN$1066)-SUMIF($W$7:$W$1066,W110,$AS$7:$AS$1066),0)</f>
      </c>
      <c r="AX110" s="748">
        <f>+MAX(IF(AV110&gt;AW110,AW110-AV109,AU110),0)</f>
      </c>
      <c r="AY110" s="748">
        <f>+AU110-AX110</f>
      </c>
      <c r="AZ110" s="331">
        <f>+$AM$1+IF($AP$1&gt;$AP$2,$AM$3/2)</f>
      </c>
    </row>
    <row x14ac:dyDescent="0.25" r="111" customHeight="1" ht="18.75">
      <c r="A111" s="1"/>
      <c r="B111" s="7"/>
      <c r="C111" s="170"/>
      <c r="D111" s="331">
        <v>104</v>
      </c>
      <c r="E111" s="544">
        <f>+DATE(YEAR(E110),MONTH(E110)-1,DAY(E110))</f>
        <v>25569.041666666668</v>
      </c>
      <c r="F111" s="333">
        <f>IF(DATE(YEAR($B$6),MONTH($B$6)+1,DAY(1))=E111,1,IF(MONTH(E111)=1,F112*(1+$F$5),F112))</f>
      </c>
      <c r="G111" s="333">
        <f>IF('Simulador - 1º Pilar'!$E$99="Sí",IF('Aportaciones PPE'!$B$13&lt;'Aportaciones PPE'!E111,0,F111*$B$8/12),F111*$B$8/12)</f>
      </c>
      <c r="H111" s="333">
        <f>$H$5*G111</f>
      </c>
      <c r="I111" s="333">
        <f>$I$5*G111</f>
      </c>
      <c r="J111" s="333">
        <f>+I111</f>
      </c>
      <c r="K111" s="333">
        <f>(1+$O$5)^(D111/12)*(H111+IF(AND(F111=1,F112=0),$S$4,0))</f>
      </c>
      <c r="L111" s="333">
        <f>(1+$O$5)^(D111/12)*(I111+IF(AND(F111=1,F112=0),0))</f>
      </c>
      <c r="M111" s="333">
        <f>+L111</f>
      </c>
      <c r="N111" s="333">
        <f>L111+K111+M111</f>
      </c>
      <c r="O111" s="170"/>
      <c r="P111" s="7"/>
      <c r="Q111" s="1"/>
      <c r="R111" s="331">
        <f>D111</f>
      </c>
      <c r="S111" s="169"/>
      <c r="T111" s="1"/>
      <c r="U111" s="217"/>
      <c r="V111" s="331">
        <f>+IF(V110=11,12,IF(V110=12,1,V110+1))</f>
      </c>
      <c r="W111" s="331">
        <f>+W110+IF(V110=12,1,0)</f>
      </c>
      <c r="X111" s="555">
        <f>+DATE(W111,V111,1)</f>
        <v>25569.041666666668</v>
      </c>
      <c r="Y111" s="333">
        <f>+_xlfn.IFNA(AN111+AS111+AX111,0)</f>
      </c>
      <c r="Z111" s="333">
        <f>+_xlfn.IFNA(AO111+AT111+AY111,0)</f>
      </c>
      <c r="AA111" s="333">
        <f>Y111*(1+$O$5)^(($B$7-X111)/365.25)</f>
      </c>
      <c r="AB111" s="333">
        <f>Z111*(1+$O$5)^(($B$7-X111)/365.25)</f>
      </c>
      <c r="AC111" s="1"/>
      <c r="AD111" s="1"/>
      <c r="AE111" s="1"/>
      <c r="AF111" s="111">
        <f>+MONTH(E111)&amp;YEAR(E111)</f>
      </c>
      <c r="AG111" s="217">
        <f>+I111</f>
      </c>
      <c r="AH111" s="217">
        <f>+J111</f>
      </c>
      <c r="AI111" s="217">
        <f>+H111</f>
      </c>
      <c r="AJ111" s="111">
        <f>+V111&amp;W111</f>
      </c>
      <c r="AK111" s="217">
        <f>+_xlfn.IFNA(VLOOKUP(AJ111,$AF$7:$AG$1066,2,0),0)</f>
      </c>
      <c r="AL111" s="217">
        <f>+IF(W111&gt;W110,AK111,AL110+AK111)</f>
      </c>
      <c r="AM111" s="217">
        <f>IF(W111&gt;W110,IF(AL111&gt;=$AZ$8,$AZ$8,AL111),IF(OR(AM110=$AZ$8,AM110=0),0,IF(AL111&gt;=$AZ$8,$AZ$8,AL111)))</f>
      </c>
      <c r="AN111" s="748">
        <f>+IF(OR(AM111&gt;AZ110,AM111=0),0,IF(AM111=AL111,AK111,$AZ$7-AL110))</f>
      </c>
      <c r="AO111" s="748">
        <f>+AK111-AN111</f>
      </c>
      <c r="AP111" s="217">
        <f>+_xlfn.IFNA(VLOOKUP(AJ111,$AF$7:$AI$1066,3,0),0)</f>
      </c>
      <c r="AQ111" s="217">
        <f>+IF(W111&gt;W110,AP111,AQ110+AP111)</f>
      </c>
      <c r="AR111" s="217">
        <f>+MAX($AM$2-SUMIF($W$7:$W$1066,W111,$AN$7:$AN$1066),0)</f>
      </c>
      <c r="AS111" s="748">
        <f>+MAX(IF(AQ111&gt;AR111,AR111-AQ110,AP111),0)</f>
      </c>
      <c r="AT111" s="748">
        <f>+AP111-AS111</f>
      </c>
      <c r="AU111" s="217">
        <f>+_xlfn.IFNA(VLOOKUP(AJ111,$AF$7:$AI$1066,4,0),0)</f>
      </c>
      <c r="AV111" s="217">
        <f>+IF(W111&gt;W110,AU111,AV110+AU111)</f>
      </c>
      <c r="AW111" s="217">
        <f>+MAX($AM$2-SUMIF($W$7:$W$1066,W111,$AN$7:$AN$1066)-SUMIF($W$7:$W$1066,W111,$AS$7:$AS$1066),0)</f>
      </c>
      <c r="AX111" s="748">
        <f>+MAX(IF(AV111&gt;AW111,AW111-AV110,AU111),0)</f>
      </c>
      <c r="AY111" s="748">
        <f>+AU111-AX111</f>
      </c>
      <c r="AZ111" s="331">
        <f>+$AM$1+IF($AP$1&gt;$AP$2,$AM$3/2)</f>
      </c>
    </row>
    <row x14ac:dyDescent="0.25" r="112" customHeight="1" ht="18.75">
      <c r="A112" s="1"/>
      <c r="B112" s="7"/>
      <c r="C112" s="170"/>
      <c r="D112" s="331">
        <v>105</v>
      </c>
      <c r="E112" s="544">
        <f>+DATE(YEAR(E111),MONTH(E111)-1,DAY(E111))</f>
        <v>25569.041666666668</v>
      </c>
      <c r="F112" s="333">
        <f>IF(DATE(YEAR($B$6),MONTH($B$6)+1,DAY(1))=E112,1,IF(MONTH(E112)=1,F113*(1+$F$5),F113))</f>
      </c>
      <c r="G112" s="333">
        <f>IF('Simulador - 1º Pilar'!$E$99="Sí",IF('Aportaciones PPE'!$B$13&lt;'Aportaciones PPE'!E112,0,F112*$B$8/12),F112*$B$8/12)</f>
      </c>
      <c r="H112" s="333">
        <f>$H$5*G112</f>
      </c>
      <c r="I112" s="333">
        <f>$I$5*G112</f>
      </c>
      <c r="J112" s="333">
        <f>+I112</f>
      </c>
      <c r="K112" s="333">
        <f>(1+$O$5)^(D112/12)*(H112+IF(AND(F112=1,F113=0),$S$4,0))</f>
      </c>
      <c r="L112" s="333">
        <f>(1+$O$5)^(D112/12)*(I112+IF(AND(F112=1,F113=0),0))</f>
      </c>
      <c r="M112" s="333">
        <f>+L112</f>
      </c>
      <c r="N112" s="333">
        <f>L112+K112+M112</f>
      </c>
      <c r="O112" s="170"/>
      <c r="P112" s="7"/>
      <c r="Q112" s="1"/>
      <c r="R112" s="331">
        <f>D112</f>
      </c>
      <c r="S112" s="169"/>
      <c r="T112" s="1"/>
      <c r="U112" s="217"/>
      <c r="V112" s="331">
        <f>+IF(V111=11,12,IF(V111=12,1,V111+1))</f>
      </c>
      <c r="W112" s="331">
        <f>+W111+IF(V111=12,1,0)</f>
      </c>
      <c r="X112" s="555">
        <f>+DATE(W112,V112,1)</f>
        <v>25569.041666666668</v>
      </c>
      <c r="Y112" s="333">
        <f>+_xlfn.IFNA(AN112+AS112+AX112,0)</f>
      </c>
      <c r="Z112" s="333">
        <f>+_xlfn.IFNA(AO112+AT112+AY112,0)</f>
      </c>
      <c r="AA112" s="333">
        <f>Y112*(1+$O$5)^(($B$7-X112)/365.25)</f>
      </c>
      <c r="AB112" s="333">
        <f>Z112*(1+$O$5)^(($B$7-X112)/365.25)</f>
      </c>
      <c r="AC112" s="1"/>
      <c r="AD112" s="1"/>
      <c r="AE112" s="1"/>
      <c r="AF112" s="111">
        <f>+MONTH(E112)&amp;YEAR(E112)</f>
      </c>
      <c r="AG112" s="217">
        <f>+I112</f>
      </c>
      <c r="AH112" s="217">
        <f>+J112</f>
      </c>
      <c r="AI112" s="217">
        <f>+H112</f>
      </c>
      <c r="AJ112" s="111">
        <f>+V112&amp;W112</f>
      </c>
      <c r="AK112" s="217">
        <f>+_xlfn.IFNA(VLOOKUP(AJ112,$AF$7:$AG$1066,2,0),0)</f>
      </c>
      <c r="AL112" s="217">
        <f>+IF(W112&gt;W111,AK112,AL111+AK112)</f>
      </c>
      <c r="AM112" s="217">
        <f>IF(W112&gt;W111,IF(AL112&gt;=$AZ$8,$AZ$8,AL112),IF(OR(AM111=$AZ$8,AM111=0),0,IF(AL112&gt;=$AZ$8,$AZ$8,AL112)))</f>
      </c>
      <c r="AN112" s="748">
        <f>+IF(OR(AM112&gt;AZ111,AM112=0),0,IF(AM112=AL112,AK112,$AZ$7-AL111))</f>
      </c>
      <c r="AO112" s="748">
        <f>+AK112-AN112</f>
      </c>
      <c r="AP112" s="217">
        <f>+_xlfn.IFNA(VLOOKUP(AJ112,$AF$7:$AI$1066,3,0),0)</f>
      </c>
      <c r="AQ112" s="217">
        <f>+IF(W112&gt;W111,AP112,AQ111+AP112)</f>
      </c>
      <c r="AR112" s="217">
        <f>+MAX($AM$2-SUMIF($W$7:$W$1066,W112,$AN$7:$AN$1066),0)</f>
      </c>
      <c r="AS112" s="748">
        <f>+MAX(IF(AQ112&gt;AR112,AR112-AQ111,AP112),0)</f>
      </c>
      <c r="AT112" s="748">
        <f>+AP112-AS112</f>
      </c>
      <c r="AU112" s="217">
        <f>+_xlfn.IFNA(VLOOKUP(AJ112,$AF$7:$AI$1066,4,0),0)</f>
      </c>
      <c r="AV112" s="217">
        <f>+IF(W112&gt;W111,AU112,AV111+AU112)</f>
      </c>
      <c r="AW112" s="217">
        <f>+MAX($AM$2-SUMIF($W$7:$W$1066,W112,$AN$7:$AN$1066)-SUMIF($W$7:$W$1066,W112,$AS$7:$AS$1066),0)</f>
      </c>
      <c r="AX112" s="748">
        <f>+MAX(IF(AV112&gt;AW112,AW112-AV111,AU112),0)</f>
      </c>
      <c r="AY112" s="748">
        <f>+AU112-AX112</f>
      </c>
      <c r="AZ112" s="331">
        <f>+$AM$1+IF($AP$1&gt;$AP$2,$AM$3/2)</f>
      </c>
    </row>
    <row x14ac:dyDescent="0.25" r="113" customHeight="1" ht="18.75">
      <c r="A113" s="1"/>
      <c r="B113" s="7"/>
      <c r="C113" s="170"/>
      <c r="D113" s="331">
        <v>106</v>
      </c>
      <c r="E113" s="544">
        <f>+DATE(YEAR(E112),MONTH(E112)-1,DAY(E112))</f>
        <v>25569.041666666668</v>
      </c>
      <c r="F113" s="333">
        <f>IF(DATE(YEAR($B$6),MONTH($B$6)+1,DAY(1))=E113,1,IF(MONTH(E113)=1,F114*(1+$F$5),F114))</f>
      </c>
      <c r="G113" s="333">
        <f>IF('Simulador - 1º Pilar'!$E$99="Sí",IF('Aportaciones PPE'!$B$13&lt;'Aportaciones PPE'!E113,0,F113*$B$8/12),F113*$B$8/12)</f>
      </c>
      <c r="H113" s="333">
        <f>$H$5*G113</f>
      </c>
      <c r="I113" s="333">
        <f>$I$5*G113</f>
      </c>
      <c r="J113" s="333">
        <f>+I113</f>
      </c>
      <c r="K113" s="333">
        <f>(1+$O$5)^(D113/12)*(H113+IF(AND(F113=1,F114=0),$S$4,0))</f>
      </c>
      <c r="L113" s="333">
        <f>(1+$O$5)^(D113/12)*(I113+IF(AND(F113=1,F114=0),0))</f>
      </c>
      <c r="M113" s="333">
        <f>+L113</f>
      </c>
      <c r="N113" s="333">
        <f>L113+K113+M113</f>
      </c>
      <c r="O113" s="170"/>
      <c r="P113" s="7"/>
      <c r="Q113" s="1"/>
      <c r="R113" s="331">
        <f>D113</f>
      </c>
      <c r="S113" s="169"/>
      <c r="T113" s="1"/>
      <c r="U113" s="217"/>
      <c r="V113" s="331">
        <f>+IF(V112=11,12,IF(V112=12,1,V112+1))</f>
      </c>
      <c r="W113" s="331">
        <f>+W112+IF(V112=12,1,0)</f>
      </c>
      <c r="X113" s="555">
        <f>+DATE(W113,V113,1)</f>
        <v>25569.041666666668</v>
      </c>
      <c r="Y113" s="333">
        <f>+_xlfn.IFNA(AN113+AS113+AX113,0)</f>
      </c>
      <c r="Z113" s="333">
        <f>+_xlfn.IFNA(AO113+AT113+AY113,0)</f>
      </c>
      <c r="AA113" s="333">
        <f>Y113*(1+$O$5)^(($B$7-X113)/365.25)</f>
      </c>
      <c r="AB113" s="333">
        <f>Z113*(1+$O$5)^(($B$7-X113)/365.25)</f>
      </c>
      <c r="AC113" s="1"/>
      <c r="AD113" s="1"/>
      <c r="AE113" s="1"/>
      <c r="AF113" s="111">
        <f>+MONTH(E113)&amp;YEAR(E113)</f>
      </c>
      <c r="AG113" s="217">
        <f>+I113</f>
      </c>
      <c r="AH113" s="217">
        <f>+J113</f>
      </c>
      <c r="AI113" s="217">
        <f>+H113</f>
      </c>
      <c r="AJ113" s="111">
        <f>+V113&amp;W113</f>
      </c>
      <c r="AK113" s="217">
        <f>+_xlfn.IFNA(VLOOKUP(AJ113,$AF$7:$AG$1066,2,0),0)</f>
      </c>
      <c r="AL113" s="217">
        <f>+IF(W113&gt;W112,AK113,AL112+AK113)</f>
      </c>
      <c r="AM113" s="217">
        <f>IF(W113&gt;W112,IF(AL113&gt;=$AZ$8,$AZ$8,AL113),IF(OR(AM112=$AZ$8,AM112=0),0,IF(AL113&gt;=$AZ$8,$AZ$8,AL113)))</f>
      </c>
      <c r="AN113" s="748">
        <f>+IF(OR(AM113&gt;AZ112,AM113=0),0,IF(AM113=AL113,AK113,$AZ$7-AL112))</f>
      </c>
      <c r="AO113" s="748">
        <f>+AK113-AN113</f>
      </c>
      <c r="AP113" s="217">
        <f>+_xlfn.IFNA(VLOOKUP(AJ113,$AF$7:$AI$1066,3,0),0)</f>
      </c>
      <c r="AQ113" s="217">
        <f>+IF(W113&gt;W112,AP113,AQ112+AP113)</f>
      </c>
      <c r="AR113" s="217">
        <f>+MAX($AM$2-SUMIF($W$7:$W$1066,W113,$AN$7:$AN$1066),0)</f>
      </c>
      <c r="AS113" s="748">
        <f>+MAX(IF(AQ113&gt;AR113,AR113-AQ112,AP113),0)</f>
      </c>
      <c r="AT113" s="748">
        <f>+AP113-AS113</f>
      </c>
      <c r="AU113" s="217">
        <f>+_xlfn.IFNA(VLOOKUP(AJ113,$AF$7:$AI$1066,4,0),0)</f>
      </c>
      <c r="AV113" s="217">
        <f>+IF(W113&gt;W112,AU113,AV112+AU113)</f>
      </c>
      <c r="AW113" s="217">
        <f>+MAX($AM$2-SUMIF($W$7:$W$1066,W113,$AN$7:$AN$1066)-SUMIF($W$7:$W$1066,W113,$AS$7:$AS$1066),0)</f>
      </c>
      <c r="AX113" s="748">
        <f>+MAX(IF(AV113&gt;AW113,AW113-AV112,AU113),0)</f>
      </c>
      <c r="AY113" s="748">
        <f>+AU113-AX113</f>
      </c>
      <c r="AZ113" s="331">
        <f>+$AM$1+IF($AP$1&gt;$AP$2,$AM$3/2)</f>
      </c>
    </row>
    <row x14ac:dyDescent="0.25" r="114" customHeight="1" ht="18.75">
      <c r="A114" s="1"/>
      <c r="B114" s="7"/>
      <c r="C114" s="170"/>
      <c r="D114" s="331">
        <v>107</v>
      </c>
      <c r="E114" s="544">
        <f>+DATE(YEAR(E113),MONTH(E113)-1,DAY(E113))</f>
        <v>25569.041666666668</v>
      </c>
      <c r="F114" s="333">
        <f>IF(DATE(YEAR($B$6),MONTH($B$6)+1,DAY(1))=E114,1,IF(MONTH(E114)=1,F115*(1+$F$5),F115))</f>
      </c>
      <c r="G114" s="333">
        <f>IF('Simulador - 1º Pilar'!$E$99="Sí",IF('Aportaciones PPE'!$B$13&lt;'Aportaciones PPE'!E114,0,F114*$B$8/12),F114*$B$8/12)</f>
      </c>
      <c r="H114" s="333">
        <f>$H$5*G114</f>
      </c>
      <c r="I114" s="333">
        <f>$I$5*G114</f>
      </c>
      <c r="J114" s="333">
        <f>+I114</f>
      </c>
      <c r="K114" s="333">
        <f>(1+$O$5)^(D114/12)*(H114+IF(AND(F114=1,F115=0),$S$4,0))</f>
      </c>
      <c r="L114" s="333">
        <f>(1+$O$5)^(D114/12)*(I114+IF(AND(F114=1,F115=0),0))</f>
      </c>
      <c r="M114" s="333">
        <f>+L114</f>
      </c>
      <c r="N114" s="333">
        <f>L114+K114+M114</f>
      </c>
      <c r="O114" s="170"/>
      <c r="P114" s="7"/>
      <c r="Q114" s="1"/>
      <c r="R114" s="331">
        <f>D114</f>
      </c>
      <c r="S114" s="169"/>
      <c r="T114" s="1"/>
      <c r="U114" s="217"/>
      <c r="V114" s="331">
        <f>+IF(V113=11,12,IF(V113=12,1,V113+1))</f>
      </c>
      <c r="W114" s="331">
        <f>+W113+IF(V113=12,1,0)</f>
      </c>
      <c r="X114" s="555">
        <f>+DATE(W114,V114,1)</f>
        <v>25569.041666666668</v>
      </c>
      <c r="Y114" s="333">
        <f>+_xlfn.IFNA(AN114+AS114+AX114,0)</f>
      </c>
      <c r="Z114" s="333">
        <f>+_xlfn.IFNA(AO114+AT114+AY114,0)</f>
      </c>
      <c r="AA114" s="333">
        <f>Y114*(1+$O$5)^(($B$7-X114)/365.25)</f>
      </c>
      <c r="AB114" s="333">
        <f>Z114*(1+$O$5)^(($B$7-X114)/365.25)</f>
      </c>
      <c r="AC114" s="1"/>
      <c r="AD114" s="1"/>
      <c r="AE114" s="1"/>
      <c r="AF114" s="111">
        <f>+MONTH(E114)&amp;YEAR(E114)</f>
      </c>
      <c r="AG114" s="217">
        <f>+I114</f>
      </c>
      <c r="AH114" s="217">
        <f>+J114</f>
      </c>
      <c r="AI114" s="217">
        <f>+H114</f>
      </c>
      <c r="AJ114" s="111">
        <f>+V114&amp;W114</f>
      </c>
      <c r="AK114" s="217">
        <f>+_xlfn.IFNA(VLOOKUP(AJ114,$AF$7:$AG$1066,2,0),0)</f>
      </c>
      <c r="AL114" s="217">
        <f>+IF(W114&gt;W113,AK114,AL113+AK114)</f>
      </c>
      <c r="AM114" s="217">
        <f>IF(W114&gt;W113,IF(AL114&gt;=$AZ$8,$AZ$8,AL114),IF(OR(AM113=$AZ$8,AM113=0),0,IF(AL114&gt;=$AZ$8,$AZ$8,AL114)))</f>
      </c>
      <c r="AN114" s="748">
        <f>+IF(OR(AM114&gt;AZ113,AM114=0),0,IF(AM114=AL114,AK114,$AZ$7-AL113))</f>
      </c>
      <c r="AO114" s="748">
        <f>+AK114-AN114</f>
      </c>
      <c r="AP114" s="217">
        <f>+_xlfn.IFNA(VLOOKUP(AJ114,$AF$7:$AI$1066,3,0),0)</f>
      </c>
      <c r="AQ114" s="217">
        <f>+IF(W114&gt;W113,AP114,AQ113+AP114)</f>
      </c>
      <c r="AR114" s="217">
        <f>+MAX($AM$2-SUMIF($W$7:$W$1066,W114,$AN$7:$AN$1066),0)</f>
      </c>
      <c r="AS114" s="748">
        <f>+MAX(IF(AQ114&gt;AR114,AR114-AQ113,AP114),0)</f>
      </c>
      <c r="AT114" s="748">
        <f>+AP114-AS114</f>
      </c>
      <c r="AU114" s="217">
        <f>+_xlfn.IFNA(VLOOKUP(AJ114,$AF$7:$AI$1066,4,0),0)</f>
      </c>
      <c r="AV114" s="217">
        <f>+IF(W114&gt;W113,AU114,AV113+AU114)</f>
      </c>
      <c r="AW114" s="217">
        <f>+MAX($AM$2-SUMIF($W$7:$W$1066,W114,$AN$7:$AN$1066)-SUMIF($W$7:$W$1066,W114,$AS$7:$AS$1066),0)</f>
      </c>
      <c r="AX114" s="748">
        <f>+MAX(IF(AV114&gt;AW114,AW114-AV113,AU114),0)</f>
      </c>
      <c r="AY114" s="748">
        <f>+AU114-AX114</f>
      </c>
      <c r="AZ114" s="331">
        <f>+$AM$1+IF($AP$1&gt;$AP$2,$AM$3/2)</f>
      </c>
    </row>
    <row x14ac:dyDescent="0.25" r="115" customHeight="1" ht="18.75">
      <c r="A115" s="1"/>
      <c r="B115" s="7"/>
      <c r="C115" s="170"/>
      <c r="D115" s="331">
        <v>108</v>
      </c>
      <c r="E115" s="544">
        <f>+DATE(YEAR(E114),MONTH(E114)-1,DAY(E114))</f>
        <v>25569.041666666668</v>
      </c>
      <c r="F115" s="333">
        <f>IF(DATE(YEAR($B$6),MONTH($B$6)+1,DAY(1))=E115,1,IF(MONTH(E115)=1,F116*(1+$F$5),F116))</f>
      </c>
      <c r="G115" s="333">
        <f>IF('Simulador - 1º Pilar'!$E$99="Sí",IF('Aportaciones PPE'!$B$13&lt;'Aportaciones PPE'!E115,0,F115*$B$8/12),F115*$B$8/12)</f>
      </c>
      <c r="H115" s="333">
        <f>$H$5*G115</f>
      </c>
      <c r="I115" s="333">
        <f>$I$5*G115</f>
      </c>
      <c r="J115" s="333">
        <f>+I115</f>
      </c>
      <c r="K115" s="333">
        <f>(1+$O$5)^(D115/12)*(H115+IF(AND(F115=1,F116=0),$S$4,0))</f>
      </c>
      <c r="L115" s="333">
        <f>(1+$O$5)^(D115/12)*(I115+IF(AND(F115=1,F116=0),0))</f>
      </c>
      <c r="M115" s="333">
        <f>+L115</f>
      </c>
      <c r="N115" s="333">
        <f>L115+K115+M115</f>
      </c>
      <c r="O115" s="170"/>
      <c r="P115" s="7"/>
      <c r="Q115" s="1"/>
      <c r="R115" s="331">
        <f>D115</f>
      </c>
      <c r="S115" s="169"/>
      <c r="T115" s="1"/>
      <c r="U115" s="217"/>
      <c r="V115" s="331">
        <f>+IF(V114=11,12,IF(V114=12,1,V114+1))</f>
      </c>
      <c r="W115" s="331">
        <f>+W114+IF(V114=12,1,0)</f>
      </c>
      <c r="X115" s="555">
        <f>+DATE(W115,V115,1)</f>
        <v>25569.041666666668</v>
      </c>
      <c r="Y115" s="333">
        <f>+_xlfn.IFNA(AN115+AS115+AX115,0)</f>
      </c>
      <c r="Z115" s="333">
        <f>+_xlfn.IFNA(AO115+AT115+AY115,0)</f>
      </c>
      <c r="AA115" s="333">
        <f>Y115*(1+$O$5)^(($B$7-X115)/365.25)</f>
      </c>
      <c r="AB115" s="333">
        <f>Z115*(1+$O$5)^(($B$7-X115)/365.25)</f>
      </c>
      <c r="AC115" s="1"/>
      <c r="AD115" s="1"/>
      <c r="AE115" s="1"/>
      <c r="AF115" s="111">
        <f>+MONTH(E115)&amp;YEAR(E115)</f>
      </c>
      <c r="AG115" s="217">
        <f>+I115</f>
      </c>
      <c r="AH115" s="217">
        <f>+J115</f>
      </c>
      <c r="AI115" s="217">
        <f>+H115</f>
      </c>
      <c r="AJ115" s="111">
        <f>+V115&amp;W115</f>
      </c>
      <c r="AK115" s="217">
        <f>+_xlfn.IFNA(VLOOKUP(AJ115,$AF$7:$AG$1066,2,0),0)</f>
      </c>
      <c r="AL115" s="217">
        <f>+IF(W115&gt;W114,AK115,AL114+AK115)</f>
      </c>
      <c r="AM115" s="217">
        <f>IF(W115&gt;W114,IF(AL115&gt;=$AZ$8,$AZ$8,AL115),IF(OR(AM114=$AZ$8,AM114=0),0,IF(AL115&gt;=$AZ$8,$AZ$8,AL115)))</f>
      </c>
      <c r="AN115" s="748">
        <f>+IF(OR(AM115&gt;AZ114,AM115=0),0,IF(AM115=AL115,AK115,$AZ$7-AL114))</f>
      </c>
      <c r="AO115" s="748">
        <f>+AK115-AN115</f>
      </c>
      <c r="AP115" s="217">
        <f>+_xlfn.IFNA(VLOOKUP(AJ115,$AF$7:$AI$1066,3,0),0)</f>
      </c>
      <c r="AQ115" s="217">
        <f>+IF(W115&gt;W114,AP115,AQ114+AP115)</f>
      </c>
      <c r="AR115" s="217">
        <f>+MAX($AM$2-SUMIF($W$7:$W$1066,W115,$AN$7:$AN$1066),0)</f>
      </c>
      <c r="AS115" s="748">
        <f>+MAX(IF(AQ115&gt;AR115,AR115-AQ114,AP115),0)</f>
      </c>
      <c r="AT115" s="748">
        <f>+AP115-AS115</f>
      </c>
      <c r="AU115" s="217">
        <f>+_xlfn.IFNA(VLOOKUP(AJ115,$AF$7:$AI$1066,4,0),0)</f>
      </c>
      <c r="AV115" s="217">
        <f>+IF(W115&gt;W114,AU115,AV114+AU115)</f>
      </c>
      <c r="AW115" s="217">
        <f>+MAX($AM$2-SUMIF($W$7:$W$1066,W115,$AN$7:$AN$1066)-SUMIF($W$7:$W$1066,W115,$AS$7:$AS$1066),0)</f>
      </c>
      <c r="AX115" s="748">
        <f>+MAX(IF(AV115&gt;AW115,AW115-AV114,AU115),0)</f>
      </c>
      <c r="AY115" s="748">
        <f>+AU115-AX115</f>
      </c>
      <c r="AZ115" s="331">
        <f>+$AM$1+IF($AP$1&gt;$AP$2,$AM$3/2)</f>
      </c>
    </row>
    <row x14ac:dyDescent="0.25" r="116" customHeight="1" ht="18.75">
      <c r="A116" s="1"/>
      <c r="B116" s="7"/>
      <c r="C116" s="170"/>
      <c r="D116" s="331">
        <v>109</v>
      </c>
      <c r="E116" s="544">
        <f>+DATE(YEAR(E115),MONTH(E115)-1,DAY(E115))</f>
        <v>25569.041666666668</v>
      </c>
      <c r="F116" s="333">
        <f>IF(DATE(YEAR($B$6),MONTH($B$6)+1,DAY(1))=E116,1,IF(MONTH(E116)=1,F117*(1+$F$5),F117))</f>
      </c>
      <c r="G116" s="333">
        <f>IF('Simulador - 1º Pilar'!$E$99="Sí",IF('Aportaciones PPE'!$B$13&lt;'Aportaciones PPE'!E116,0,F116*$B$8/12),F116*$B$8/12)</f>
      </c>
      <c r="H116" s="333">
        <f>$H$5*G116</f>
      </c>
      <c r="I116" s="333">
        <f>$I$5*G116</f>
      </c>
      <c r="J116" s="333">
        <f>+I116</f>
      </c>
      <c r="K116" s="333">
        <f>(1+$O$5)^(D116/12)*(H116+IF(AND(F116=1,F117=0),$S$4,0))</f>
      </c>
      <c r="L116" s="333">
        <f>(1+$O$5)^(D116/12)*(I116+IF(AND(F116=1,F117=0),0))</f>
      </c>
      <c r="M116" s="333">
        <f>+L116</f>
      </c>
      <c r="N116" s="333">
        <f>L116+K116+M116</f>
      </c>
      <c r="O116" s="170"/>
      <c r="P116" s="7"/>
      <c r="Q116" s="1"/>
      <c r="R116" s="331">
        <f>D116</f>
      </c>
      <c r="S116" s="169"/>
      <c r="T116" s="1"/>
      <c r="U116" s="217"/>
      <c r="V116" s="331">
        <f>+IF(V115=11,12,IF(V115=12,1,V115+1))</f>
      </c>
      <c r="W116" s="331">
        <f>+W115+IF(V115=12,1,0)</f>
      </c>
      <c r="X116" s="555">
        <f>+DATE(W116,V116,1)</f>
        <v>25569.041666666668</v>
      </c>
      <c r="Y116" s="333">
        <f>+_xlfn.IFNA(AN116+AS116+AX116,0)</f>
      </c>
      <c r="Z116" s="333">
        <f>+_xlfn.IFNA(AO116+AT116+AY116,0)</f>
      </c>
      <c r="AA116" s="333">
        <f>Y116*(1+$O$5)^(($B$7-X116)/365.25)</f>
      </c>
      <c r="AB116" s="333">
        <f>Z116*(1+$O$5)^(($B$7-X116)/365.25)</f>
      </c>
      <c r="AC116" s="1"/>
      <c r="AD116" s="1"/>
      <c r="AE116" s="1"/>
      <c r="AF116" s="111">
        <f>+MONTH(E116)&amp;YEAR(E116)</f>
      </c>
      <c r="AG116" s="217">
        <f>+I116</f>
      </c>
      <c r="AH116" s="217">
        <f>+J116</f>
      </c>
      <c r="AI116" s="217">
        <f>+H116</f>
      </c>
      <c r="AJ116" s="111">
        <f>+V116&amp;W116</f>
      </c>
      <c r="AK116" s="217">
        <f>+_xlfn.IFNA(VLOOKUP(AJ116,$AF$7:$AG$1066,2,0),0)</f>
      </c>
      <c r="AL116" s="217">
        <f>+IF(W116&gt;W115,AK116,AL115+AK116)</f>
      </c>
      <c r="AM116" s="217">
        <f>IF(W116&gt;W115,IF(AL116&gt;=$AZ$8,$AZ$8,AL116),IF(OR(AM115=$AZ$8,AM115=0),0,IF(AL116&gt;=$AZ$8,$AZ$8,AL116)))</f>
      </c>
      <c r="AN116" s="748">
        <f>+IF(OR(AM116&gt;AZ115,AM116=0),0,IF(AM116=AL116,AK116,$AZ$7-AL115))</f>
      </c>
      <c r="AO116" s="748">
        <f>+AK116-AN116</f>
      </c>
      <c r="AP116" s="217">
        <f>+_xlfn.IFNA(VLOOKUP(AJ116,$AF$7:$AI$1066,3,0),0)</f>
      </c>
      <c r="AQ116" s="217">
        <f>+IF(W116&gt;W115,AP116,AQ115+AP116)</f>
      </c>
      <c r="AR116" s="217">
        <f>+MAX($AM$2-SUMIF($W$7:$W$1066,W116,$AN$7:$AN$1066),0)</f>
      </c>
      <c r="AS116" s="748">
        <f>+MAX(IF(AQ116&gt;AR116,AR116-AQ115,AP116),0)</f>
      </c>
      <c r="AT116" s="748">
        <f>+AP116-AS116</f>
      </c>
      <c r="AU116" s="217">
        <f>+_xlfn.IFNA(VLOOKUP(AJ116,$AF$7:$AI$1066,4,0),0)</f>
      </c>
      <c r="AV116" s="217">
        <f>+IF(W116&gt;W115,AU116,AV115+AU116)</f>
      </c>
      <c r="AW116" s="217">
        <f>+MAX($AM$2-SUMIF($W$7:$W$1066,W116,$AN$7:$AN$1066)-SUMIF($W$7:$W$1066,W116,$AS$7:$AS$1066),0)</f>
      </c>
      <c r="AX116" s="748">
        <f>+MAX(IF(AV116&gt;AW116,AW116-AV115,AU116),0)</f>
      </c>
      <c r="AY116" s="748">
        <f>+AU116-AX116</f>
      </c>
      <c r="AZ116" s="331">
        <f>+$AM$1+IF($AP$1&gt;$AP$2,$AM$3/2)</f>
      </c>
    </row>
    <row x14ac:dyDescent="0.25" r="117" customHeight="1" ht="18.75">
      <c r="A117" s="1"/>
      <c r="B117" s="7"/>
      <c r="C117" s="170"/>
      <c r="D117" s="331">
        <v>110</v>
      </c>
      <c r="E117" s="544">
        <f>+DATE(YEAR(E116),MONTH(E116)-1,DAY(E116))</f>
        <v>25569.041666666668</v>
      </c>
      <c r="F117" s="333">
        <f>IF(DATE(YEAR($B$6),MONTH($B$6)+1,DAY(1))=E117,1,IF(MONTH(E117)=1,F118*(1+$F$5),F118))</f>
      </c>
      <c r="G117" s="333">
        <f>IF('Simulador - 1º Pilar'!$E$99="Sí",IF('Aportaciones PPE'!$B$13&lt;'Aportaciones PPE'!E117,0,F117*$B$8/12),F117*$B$8/12)</f>
      </c>
      <c r="H117" s="333">
        <f>$H$5*G117</f>
      </c>
      <c r="I117" s="333">
        <f>$I$5*G117</f>
      </c>
      <c r="J117" s="333">
        <f>+I117</f>
      </c>
      <c r="K117" s="333">
        <f>(1+$O$5)^(D117/12)*(H117+IF(AND(F117=1,F118=0),$S$4,0))</f>
      </c>
      <c r="L117" s="333">
        <f>(1+$O$5)^(D117/12)*(I117+IF(AND(F117=1,F118=0),0))</f>
      </c>
      <c r="M117" s="333">
        <f>+L117</f>
      </c>
      <c r="N117" s="333">
        <f>L117+K117+M117</f>
      </c>
      <c r="O117" s="170"/>
      <c r="P117" s="7"/>
      <c r="Q117" s="1"/>
      <c r="R117" s="331">
        <f>D117</f>
      </c>
      <c r="S117" s="169"/>
      <c r="T117" s="1"/>
      <c r="U117" s="217"/>
      <c r="V117" s="331">
        <f>+IF(V116=11,12,IF(V116=12,1,V116+1))</f>
      </c>
      <c r="W117" s="331">
        <f>+W116+IF(V116=12,1,0)</f>
      </c>
      <c r="X117" s="555">
        <f>+DATE(W117,V117,1)</f>
        <v>25569.041666666668</v>
      </c>
      <c r="Y117" s="333">
        <f>+_xlfn.IFNA(AN117+AS117+AX117,0)</f>
      </c>
      <c r="Z117" s="333">
        <f>+_xlfn.IFNA(AO117+AT117+AY117,0)</f>
      </c>
      <c r="AA117" s="333">
        <f>Y117*(1+$O$5)^(($B$7-X117)/365.25)</f>
      </c>
      <c r="AB117" s="333">
        <f>Z117*(1+$O$5)^(($B$7-X117)/365.25)</f>
      </c>
      <c r="AC117" s="1"/>
      <c r="AD117" s="1"/>
      <c r="AE117" s="1"/>
      <c r="AF117" s="111">
        <f>+MONTH(E117)&amp;YEAR(E117)</f>
      </c>
      <c r="AG117" s="217">
        <f>+I117</f>
      </c>
      <c r="AH117" s="217">
        <f>+J117</f>
      </c>
      <c r="AI117" s="217">
        <f>+H117</f>
      </c>
      <c r="AJ117" s="111">
        <f>+V117&amp;W117</f>
      </c>
      <c r="AK117" s="217">
        <f>+_xlfn.IFNA(VLOOKUP(AJ117,$AF$7:$AG$1066,2,0),0)</f>
      </c>
      <c r="AL117" s="217">
        <f>+IF(W117&gt;W116,AK117,AL116+AK117)</f>
      </c>
      <c r="AM117" s="217">
        <f>IF(W117&gt;W116,IF(AL117&gt;=$AZ$8,$AZ$8,AL117),IF(OR(AM116=$AZ$8,AM116=0),0,IF(AL117&gt;=$AZ$8,$AZ$8,AL117)))</f>
      </c>
      <c r="AN117" s="748">
        <f>+IF(OR(AM117&gt;AZ116,AM117=0),0,IF(AM117=AL117,AK117,$AZ$7-AL116))</f>
      </c>
      <c r="AO117" s="748">
        <f>+AK117-AN117</f>
      </c>
      <c r="AP117" s="217">
        <f>+_xlfn.IFNA(VLOOKUP(AJ117,$AF$7:$AI$1066,3,0),0)</f>
      </c>
      <c r="AQ117" s="217">
        <f>+IF(W117&gt;W116,AP117,AQ116+AP117)</f>
      </c>
      <c r="AR117" s="217">
        <f>+MAX($AM$2-SUMIF($W$7:$W$1066,W117,$AN$7:$AN$1066),0)</f>
      </c>
      <c r="AS117" s="748">
        <f>+MAX(IF(AQ117&gt;AR117,AR117-AQ116,AP117),0)</f>
      </c>
      <c r="AT117" s="748">
        <f>+AP117-AS117</f>
      </c>
      <c r="AU117" s="217">
        <f>+_xlfn.IFNA(VLOOKUP(AJ117,$AF$7:$AI$1066,4,0),0)</f>
      </c>
      <c r="AV117" s="217">
        <f>+IF(W117&gt;W116,AU117,AV116+AU117)</f>
      </c>
      <c r="AW117" s="217">
        <f>+MAX($AM$2-SUMIF($W$7:$W$1066,W117,$AN$7:$AN$1066)-SUMIF($W$7:$W$1066,W117,$AS$7:$AS$1066),0)</f>
      </c>
      <c r="AX117" s="748">
        <f>+MAX(IF(AV117&gt;AW117,AW117-AV116,AU117),0)</f>
      </c>
      <c r="AY117" s="748">
        <f>+AU117-AX117</f>
      </c>
      <c r="AZ117" s="331">
        <f>+$AM$1+IF($AP$1&gt;$AP$2,$AM$3/2)</f>
      </c>
    </row>
    <row x14ac:dyDescent="0.25" r="118" customHeight="1" ht="18.75">
      <c r="A118" s="1"/>
      <c r="B118" s="7"/>
      <c r="C118" s="170"/>
      <c r="D118" s="331">
        <v>111</v>
      </c>
      <c r="E118" s="544">
        <f>+DATE(YEAR(E117),MONTH(E117)-1,DAY(E117))</f>
        <v>25569.041666666668</v>
      </c>
      <c r="F118" s="333">
        <f>IF(DATE(YEAR($B$6),MONTH($B$6)+1,DAY(1))=E118,1,IF(MONTH(E118)=1,F119*(1+$F$5),F119))</f>
      </c>
      <c r="G118" s="333">
        <f>IF('Simulador - 1º Pilar'!$E$99="Sí",IF('Aportaciones PPE'!$B$13&lt;'Aportaciones PPE'!E118,0,F118*$B$8/12),F118*$B$8/12)</f>
      </c>
      <c r="H118" s="333">
        <f>$H$5*G118</f>
      </c>
      <c r="I118" s="333">
        <f>$I$5*G118</f>
      </c>
      <c r="J118" s="333">
        <f>+I118</f>
      </c>
      <c r="K118" s="333">
        <f>(1+$O$5)^(D118/12)*(H118+IF(AND(F118=1,F119=0),$S$4,0))</f>
      </c>
      <c r="L118" s="333">
        <f>(1+$O$5)^(D118/12)*(I118+IF(AND(F118=1,F119=0),0))</f>
      </c>
      <c r="M118" s="333">
        <f>+L118</f>
      </c>
      <c r="N118" s="333">
        <f>L118+K118+M118</f>
      </c>
      <c r="O118" s="170"/>
      <c r="P118" s="7"/>
      <c r="Q118" s="1"/>
      <c r="R118" s="331">
        <f>D118</f>
      </c>
      <c r="S118" s="169"/>
      <c r="T118" s="1"/>
      <c r="U118" s="217"/>
      <c r="V118" s="331">
        <f>+IF(V117=11,12,IF(V117=12,1,V117+1))</f>
      </c>
      <c r="W118" s="331">
        <f>+W117+IF(V117=12,1,0)</f>
      </c>
      <c r="X118" s="555">
        <f>+DATE(W118,V118,1)</f>
        <v>25569.041666666668</v>
      </c>
      <c r="Y118" s="333">
        <f>+_xlfn.IFNA(AN118+AS118+AX118,0)</f>
      </c>
      <c r="Z118" s="333">
        <f>+_xlfn.IFNA(AO118+AT118+AY118,0)</f>
      </c>
      <c r="AA118" s="333">
        <f>Y118*(1+$O$5)^(($B$7-X118)/365.25)</f>
      </c>
      <c r="AB118" s="333">
        <f>Z118*(1+$O$5)^(($B$7-X118)/365.25)</f>
      </c>
      <c r="AC118" s="1"/>
      <c r="AD118" s="1"/>
      <c r="AE118" s="1"/>
      <c r="AF118" s="111">
        <f>+MONTH(E118)&amp;YEAR(E118)</f>
      </c>
      <c r="AG118" s="217">
        <f>+I118</f>
      </c>
      <c r="AH118" s="217">
        <f>+J118</f>
      </c>
      <c r="AI118" s="217">
        <f>+H118</f>
      </c>
      <c r="AJ118" s="111">
        <f>+V118&amp;W118</f>
      </c>
      <c r="AK118" s="217">
        <f>+_xlfn.IFNA(VLOOKUP(AJ118,$AF$7:$AG$1066,2,0),0)</f>
      </c>
      <c r="AL118" s="217">
        <f>+IF(W118&gt;W117,AK118,AL117+AK118)</f>
      </c>
      <c r="AM118" s="217">
        <f>IF(W118&gt;W117,IF(AL118&gt;=$AZ$8,$AZ$8,AL118),IF(OR(AM117=$AZ$8,AM117=0),0,IF(AL118&gt;=$AZ$8,$AZ$8,AL118)))</f>
      </c>
      <c r="AN118" s="748">
        <f>+IF(OR(AM118&gt;AZ117,AM118=0),0,IF(AM118=AL118,AK118,$AZ$7-AL117))</f>
      </c>
      <c r="AO118" s="748">
        <f>+AK118-AN118</f>
      </c>
      <c r="AP118" s="217">
        <f>+_xlfn.IFNA(VLOOKUP(AJ118,$AF$7:$AI$1066,3,0),0)</f>
      </c>
      <c r="AQ118" s="217">
        <f>+IF(W118&gt;W117,AP118,AQ117+AP118)</f>
      </c>
      <c r="AR118" s="217">
        <f>+MAX($AM$2-SUMIF($W$7:$W$1066,W118,$AN$7:$AN$1066),0)</f>
      </c>
      <c r="AS118" s="748">
        <f>+MAX(IF(AQ118&gt;AR118,AR118-AQ117,AP118),0)</f>
      </c>
      <c r="AT118" s="748">
        <f>+AP118-AS118</f>
      </c>
      <c r="AU118" s="217">
        <f>+_xlfn.IFNA(VLOOKUP(AJ118,$AF$7:$AI$1066,4,0),0)</f>
      </c>
      <c r="AV118" s="217">
        <f>+IF(W118&gt;W117,AU118,AV117+AU118)</f>
      </c>
      <c r="AW118" s="217">
        <f>+MAX($AM$2-SUMIF($W$7:$W$1066,W118,$AN$7:$AN$1066)-SUMIF($W$7:$W$1066,W118,$AS$7:$AS$1066),0)</f>
      </c>
      <c r="AX118" s="748">
        <f>+MAX(IF(AV118&gt;AW118,AW118-AV117,AU118),0)</f>
      </c>
      <c r="AY118" s="748">
        <f>+AU118-AX118</f>
      </c>
      <c r="AZ118" s="331">
        <f>+$AM$1+IF($AP$1&gt;$AP$2,$AM$3/2)</f>
      </c>
    </row>
    <row x14ac:dyDescent="0.25" r="119" customHeight="1" ht="18.75">
      <c r="A119" s="1"/>
      <c r="B119" s="7"/>
      <c r="C119" s="170"/>
      <c r="D119" s="331">
        <v>112</v>
      </c>
      <c r="E119" s="544">
        <f>+DATE(YEAR(E118),MONTH(E118)-1,DAY(E118))</f>
        <v>25569.041666666668</v>
      </c>
      <c r="F119" s="333">
        <f>IF(DATE(YEAR($B$6),MONTH($B$6)+1,DAY(1))=E119,1,IF(MONTH(E119)=1,F120*(1+$F$5),F120))</f>
      </c>
      <c r="G119" s="333">
        <f>IF('Simulador - 1º Pilar'!$E$99="Sí",IF('Aportaciones PPE'!$B$13&lt;'Aportaciones PPE'!E119,0,F119*$B$8/12),F119*$B$8/12)</f>
      </c>
      <c r="H119" s="333">
        <f>$H$5*G119</f>
      </c>
      <c r="I119" s="333">
        <f>$I$5*G119</f>
      </c>
      <c r="J119" s="333">
        <f>+I119</f>
      </c>
      <c r="K119" s="333">
        <f>(1+$O$5)^(D119/12)*(H119+IF(AND(F119=1,F120=0),$S$4,0))</f>
      </c>
      <c r="L119" s="333">
        <f>(1+$O$5)^(D119/12)*(I119+IF(AND(F119=1,F120=0),0))</f>
      </c>
      <c r="M119" s="333">
        <f>+L119</f>
      </c>
      <c r="N119" s="333">
        <f>L119+K119+M119</f>
      </c>
      <c r="O119" s="170"/>
      <c r="P119" s="7"/>
      <c r="Q119" s="1"/>
      <c r="R119" s="331">
        <f>D119</f>
      </c>
      <c r="S119" s="169"/>
      <c r="T119" s="1"/>
      <c r="U119" s="217"/>
      <c r="V119" s="331">
        <f>+IF(V118=11,12,IF(V118=12,1,V118+1))</f>
      </c>
      <c r="W119" s="331">
        <f>+W118+IF(V118=12,1,0)</f>
      </c>
      <c r="X119" s="555">
        <f>+DATE(W119,V119,1)</f>
        <v>25569.041666666668</v>
      </c>
      <c r="Y119" s="333">
        <f>+_xlfn.IFNA(AN119+AS119+AX119,0)</f>
      </c>
      <c r="Z119" s="333">
        <f>+_xlfn.IFNA(AO119+AT119+AY119,0)</f>
      </c>
      <c r="AA119" s="333">
        <f>Y119*(1+$O$5)^(($B$7-X119)/365.25)</f>
      </c>
      <c r="AB119" s="333">
        <f>Z119*(1+$O$5)^(($B$7-X119)/365.25)</f>
      </c>
      <c r="AC119" s="1"/>
      <c r="AD119" s="1"/>
      <c r="AE119" s="1"/>
      <c r="AF119" s="111">
        <f>+MONTH(E119)&amp;YEAR(E119)</f>
      </c>
      <c r="AG119" s="217">
        <f>+I119</f>
      </c>
      <c r="AH119" s="217">
        <f>+J119</f>
      </c>
      <c r="AI119" s="217">
        <f>+H119</f>
      </c>
      <c r="AJ119" s="111">
        <f>+V119&amp;W119</f>
      </c>
      <c r="AK119" s="217">
        <f>+_xlfn.IFNA(VLOOKUP(AJ119,$AF$7:$AG$1066,2,0),0)</f>
      </c>
      <c r="AL119" s="217">
        <f>+IF(W119&gt;W118,AK119,AL118+AK119)</f>
      </c>
      <c r="AM119" s="217">
        <f>IF(W119&gt;W118,IF(AL119&gt;=$AZ$8,$AZ$8,AL119),IF(OR(AM118=$AZ$8,AM118=0),0,IF(AL119&gt;=$AZ$8,$AZ$8,AL119)))</f>
      </c>
      <c r="AN119" s="748">
        <f>+IF(OR(AM119&gt;AZ118,AM119=0),0,IF(AM119=AL119,AK119,$AZ$7-AL118))</f>
      </c>
      <c r="AO119" s="748">
        <f>+AK119-AN119</f>
      </c>
      <c r="AP119" s="217">
        <f>+_xlfn.IFNA(VLOOKUP(AJ119,$AF$7:$AI$1066,3,0),0)</f>
      </c>
      <c r="AQ119" s="217">
        <f>+IF(W119&gt;W118,AP119,AQ118+AP119)</f>
      </c>
      <c r="AR119" s="217">
        <f>+MAX($AM$2-SUMIF($W$7:$W$1066,W119,$AN$7:$AN$1066),0)</f>
      </c>
      <c r="AS119" s="748">
        <f>+MAX(IF(AQ119&gt;AR119,AR119-AQ118,AP119),0)</f>
      </c>
      <c r="AT119" s="748">
        <f>+AP119-AS119</f>
      </c>
      <c r="AU119" s="217">
        <f>+_xlfn.IFNA(VLOOKUP(AJ119,$AF$7:$AI$1066,4,0),0)</f>
      </c>
      <c r="AV119" s="217">
        <f>+IF(W119&gt;W118,AU119,AV118+AU119)</f>
      </c>
      <c r="AW119" s="217">
        <f>+MAX($AM$2-SUMIF($W$7:$W$1066,W119,$AN$7:$AN$1066)-SUMIF($W$7:$W$1066,W119,$AS$7:$AS$1066),0)</f>
      </c>
      <c r="AX119" s="748">
        <f>+MAX(IF(AV119&gt;AW119,AW119-AV118,AU119),0)</f>
      </c>
      <c r="AY119" s="748">
        <f>+AU119-AX119</f>
      </c>
      <c r="AZ119" s="331">
        <f>+$AM$1+IF($AP$1&gt;$AP$2,$AM$3/2)</f>
      </c>
    </row>
    <row x14ac:dyDescent="0.25" r="120" customHeight="1" ht="18.75">
      <c r="A120" s="1"/>
      <c r="B120" s="7"/>
      <c r="C120" s="170"/>
      <c r="D120" s="331">
        <v>113</v>
      </c>
      <c r="E120" s="544">
        <f>+DATE(YEAR(E119),MONTH(E119)-1,DAY(E119))</f>
        <v>25569.041666666668</v>
      </c>
      <c r="F120" s="333">
        <f>IF(DATE(YEAR($B$6),MONTH($B$6)+1,DAY(1))=E120,1,IF(MONTH(E120)=1,F121*(1+$F$5),F121))</f>
      </c>
      <c r="G120" s="333">
        <f>IF('Simulador - 1º Pilar'!$E$99="Sí",IF('Aportaciones PPE'!$B$13&lt;'Aportaciones PPE'!E120,0,F120*$B$8/12),F120*$B$8/12)</f>
      </c>
      <c r="H120" s="333">
        <f>$H$5*G120</f>
      </c>
      <c r="I120" s="333">
        <f>$I$5*G120</f>
      </c>
      <c r="J120" s="333">
        <f>+I120</f>
      </c>
      <c r="K120" s="333">
        <f>(1+$O$5)^(D120/12)*(H120+IF(AND(F120=1,F121=0),$S$4,0))</f>
      </c>
      <c r="L120" s="333">
        <f>(1+$O$5)^(D120/12)*(I120+IF(AND(F120=1,F121=0),0))</f>
      </c>
      <c r="M120" s="333">
        <f>+L120</f>
      </c>
      <c r="N120" s="333">
        <f>L120+K120+M120</f>
      </c>
      <c r="O120" s="170"/>
      <c r="P120" s="7"/>
      <c r="Q120" s="1"/>
      <c r="R120" s="331">
        <f>D120</f>
      </c>
      <c r="S120" s="169"/>
      <c r="T120" s="1"/>
      <c r="U120" s="217"/>
      <c r="V120" s="331">
        <f>+IF(V119=11,12,IF(V119=12,1,V119+1))</f>
      </c>
      <c r="W120" s="331">
        <f>+W119+IF(V119=12,1,0)</f>
      </c>
      <c r="X120" s="555">
        <f>+DATE(W120,V120,1)</f>
        <v>25569.041666666668</v>
      </c>
      <c r="Y120" s="333">
        <f>+_xlfn.IFNA(AN120+AS120+AX120,0)</f>
      </c>
      <c r="Z120" s="333">
        <f>+_xlfn.IFNA(AO120+AT120+AY120,0)</f>
      </c>
      <c r="AA120" s="333">
        <f>Y120*(1+$O$5)^(($B$7-X120)/365.25)</f>
      </c>
      <c r="AB120" s="333">
        <f>Z120*(1+$O$5)^(($B$7-X120)/365.25)</f>
      </c>
      <c r="AC120" s="1"/>
      <c r="AD120" s="1"/>
      <c r="AE120" s="1"/>
      <c r="AF120" s="111">
        <f>+MONTH(E120)&amp;YEAR(E120)</f>
      </c>
      <c r="AG120" s="217">
        <f>+I120</f>
      </c>
      <c r="AH120" s="217">
        <f>+J120</f>
      </c>
      <c r="AI120" s="217">
        <f>+H120</f>
      </c>
      <c r="AJ120" s="111">
        <f>+V120&amp;W120</f>
      </c>
      <c r="AK120" s="217">
        <f>+_xlfn.IFNA(VLOOKUP(AJ120,$AF$7:$AG$1066,2,0),0)</f>
      </c>
      <c r="AL120" s="217">
        <f>+IF(W120&gt;W119,AK120,AL119+AK120)</f>
      </c>
      <c r="AM120" s="217">
        <f>IF(W120&gt;W119,IF(AL120&gt;=$AZ$8,$AZ$8,AL120),IF(OR(AM119=$AZ$8,AM119=0),0,IF(AL120&gt;=$AZ$8,$AZ$8,AL120)))</f>
      </c>
      <c r="AN120" s="748">
        <f>+IF(OR(AM120&gt;AZ119,AM120=0),0,IF(AM120=AL120,AK120,$AZ$7-AL119))</f>
      </c>
      <c r="AO120" s="748">
        <f>+AK120-AN120</f>
      </c>
      <c r="AP120" s="217">
        <f>+_xlfn.IFNA(VLOOKUP(AJ120,$AF$7:$AI$1066,3,0),0)</f>
      </c>
      <c r="AQ120" s="217">
        <f>+IF(W120&gt;W119,AP120,AQ119+AP120)</f>
      </c>
      <c r="AR120" s="217">
        <f>+MAX($AM$2-SUMIF($W$7:$W$1066,W120,$AN$7:$AN$1066),0)</f>
      </c>
      <c r="AS120" s="748">
        <f>+MAX(IF(AQ120&gt;AR120,AR120-AQ119,AP120),0)</f>
      </c>
      <c r="AT120" s="748">
        <f>+AP120-AS120</f>
      </c>
      <c r="AU120" s="217">
        <f>+_xlfn.IFNA(VLOOKUP(AJ120,$AF$7:$AI$1066,4,0),0)</f>
      </c>
      <c r="AV120" s="217">
        <f>+IF(W120&gt;W119,AU120,AV119+AU120)</f>
      </c>
      <c r="AW120" s="217">
        <f>+MAX($AM$2-SUMIF($W$7:$W$1066,W120,$AN$7:$AN$1066)-SUMIF($W$7:$W$1066,W120,$AS$7:$AS$1066),0)</f>
      </c>
      <c r="AX120" s="748">
        <f>+MAX(IF(AV120&gt;AW120,AW120-AV119,AU120),0)</f>
      </c>
      <c r="AY120" s="748">
        <f>+AU120-AX120</f>
      </c>
      <c r="AZ120" s="331">
        <f>+$AM$1+IF($AP$1&gt;$AP$2,$AM$3/2)</f>
      </c>
    </row>
    <row x14ac:dyDescent="0.25" r="121" customHeight="1" ht="18.75">
      <c r="A121" s="1"/>
      <c r="B121" s="7"/>
      <c r="C121" s="170"/>
      <c r="D121" s="331">
        <v>114</v>
      </c>
      <c r="E121" s="544">
        <f>+DATE(YEAR(E120),MONTH(E120)-1,DAY(E120))</f>
        <v>25569.041666666668</v>
      </c>
      <c r="F121" s="333">
        <f>IF(DATE(YEAR($B$6),MONTH($B$6)+1,DAY(1))=E121,1,IF(MONTH(E121)=1,F122*(1+$F$5),F122))</f>
      </c>
      <c r="G121" s="333">
        <f>IF('Simulador - 1º Pilar'!$E$99="Sí",IF('Aportaciones PPE'!$B$13&lt;'Aportaciones PPE'!E121,0,F121*$B$8/12),F121*$B$8/12)</f>
      </c>
      <c r="H121" s="333">
        <f>$H$5*G121</f>
      </c>
      <c r="I121" s="333">
        <f>$I$5*G121</f>
      </c>
      <c r="J121" s="333">
        <f>+I121</f>
      </c>
      <c r="K121" s="333">
        <f>(1+$O$5)^(D121/12)*(H121+IF(AND(F121=1,F122=0),$S$4,0))</f>
      </c>
      <c r="L121" s="333">
        <f>(1+$O$5)^(D121/12)*(I121+IF(AND(F121=1,F122=0),0))</f>
      </c>
      <c r="M121" s="333">
        <f>+L121</f>
      </c>
      <c r="N121" s="333">
        <f>L121+K121+M121</f>
      </c>
      <c r="O121" s="170"/>
      <c r="P121" s="7"/>
      <c r="Q121" s="1"/>
      <c r="R121" s="331">
        <f>D121</f>
      </c>
      <c r="S121" s="169"/>
      <c r="T121" s="1"/>
      <c r="U121" s="217"/>
      <c r="V121" s="331">
        <f>+IF(V120=11,12,IF(V120=12,1,V120+1))</f>
      </c>
      <c r="W121" s="331">
        <f>+W120+IF(V120=12,1,0)</f>
      </c>
      <c r="X121" s="555">
        <f>+DATE(W121,V121,1)</f>
        <v>25569.041666666668</v>
      </c>
      <c r="Y121" s="333">
        <f>+_xlfn.IFNA(AN121+AS121+AX121,0)</f>
      </c>
      <c r="Z121" s="333">
        <f>+_xlfn.IFNA(AO121+AT121+AY121,0)</f>
      </c>
      <c r="AA121" s="333">
        <f>Y121*(1+$O$5)^(($B$7-X121)/365.25)</f>
      </c>
      <c r="AB121" s="333">
        <f>Z121*(1+$O$5)^(($B$7-X121)/365.25)</f>
      </c>
      <c r="AC121" s="1"/>
      <c r="AD121" s="1"/>
      <c r="AE121" s="1"/>
      <c r="AF121" s="111">
        <f>+MONTH(E121)&amp;YEAR(E121)</f>
      </c>
      <c r="AG121" s="217">
        <f>+I121</f>
      </c>
      <c r="AH121" s="217">
        <f>+J121</f>
      </c>
      <c r="AI121" s="217">
        <f>+H121</f>
      </c>
      <c r="AJ121" s="111">
        <f>+V121&amp;W121</f>
      </c>
      <c r="AK121" s="217">
        <f>+_xlfn.IFNA(VLOOKUP(AJ121,$AF$7:$AG$1066,2,0),0)</f>
      </c>
      <c r="AL121" s="217">
        <f>+IF(W121&gt;W120,AK121,AL120+AK121)</f>
      </c>
      <c r="AM121" s="217">
        <f>IF(W121&gt;W120,IF(AL121&gt;=$AZ$8,$AZ$8,AL121),IF(OR(AM120=$AZ$8,AM120=0),0,IF(AL121&gt;=$AZ$8,$AZ$8,AL121)))</f>
      </c>
      <c r="AN121" s="748">
        <f>+IF(OR(AM121&gt;AZ120,AM121=0),0,IF(AM121=AL121,AK121,$AZ$7-AL120))</f>
      </c>
      <c r="AO121" s="748">
        <f>+AK121-AN121</f>
      </c>
      <c r="AP121" s="217">
        <f>+_xlfn.IFNA(VLOOKUP(AJ121,$AF$7:$AI$1066,3,0),0)</f>
      </c>
      <c r="AQ121" s="217">
        <f>+IF(W121&gt;W120,AP121,AQ120+AP121)</f>
      </c>
      <c r="AR121" s="217">
        <f>+MAX($AM$2-SUMIF($W$7:$W$1066,W121,$AN$7:$AN$1066),0)</f>
      </c>
      <c r="AS121" s="748">
        <f>+MAX(IF(AQ121&gt;AR121,AR121-AQ120,AP121),0)</f>
      </c>
      <c r="AT121" s="748">
        <f>+AP121-AS121</f>
      </c>
      <c r="AU121" s="217">
        <f>+_xlfn.IFNA(VLOOKUP(AJ121,$AF$7:$AI$1066,4,0),0)</f>
      </c>
      <c r="AV121" s="217">
        <f>+IF(W121&gt;W120,AU121,AV120+AU121)</f>
      </c>
      <c r="AW121" s="217">
        <f>+MAX($AM$2-SUMIF($W$7:$W$1066,W121,$AN$7:$AN$1066)-SUMIF($W$7:$W$1066,W121,$AS$7:$AS$1066),0)</f>
      </c>
      <c r="AX121" s="748">
        <f>+MAX(IF(AV121&gt;AW121,AW121-AV120,AU121),0)</f>
      </c>
      <c r="AY121" s="748">
        <f>+AU121-AX121</f>
      </c>
      <c r="AZ121" s="331">
        <f>+$AM$1+IF($AP$1&gt;$AP$2,$AM$3/2)</f>
      </c>
    </row>
    <row x14ac:dyDescent="0.25" r="122" customHeight="1" ht="18.75">
      <c r="A122" s="1"/>
      <c r="B122" s="7"/>
      <c r="C122" s="170"/>
      <c r="D122" s="331">
        <v>115</v>
      </c>
      <c r="E122" s="544">
        <f>+DATE(YEAR(E121),MONTH(E121)-1,DAY(E121))</f>
        <v>25569.041666666668</v>
      </c>
      <c r="F122" s="333">
        <f>IF(DATE(YEAR($B$6),MONTH($B$6)+1,DAY(1))=E122,1,IF(MONTH(E122)=1,F123*(1+$F$5),F123))</f>
      </c>
      <c r="G122" s="333">
        <f>IF('Simulador - 1º Pilar'!$E$99="Sí",IF('Aportaciones PPE'!$B$13&lt;'Aportaciones PPE'!E122,0,F122*$B$8/12),F122*$B$8/12)</f>
      </c>
      <c r="H122" s="333">
        <f>$H$5*G122</f>
      </c>
      <c r="I122" s="333">
        <f>$I$5*G122</f>
      </c>
      <c r="J122" s="333">
        <f>+I122</f>
      </c>
      <c r="K122" s="333">
        <f>(1+$O$5)^(D122/12)*(H122+IF(AND(F122=1,F123=0),$S$4,0))</f>
      </c>
      <c r="L122" s="333">
        <f>(1+$O$5)^(D122/12)*(I122+IF(AND(F122=1,F123=0),0))</f>
      </c>
      <c r="M122" s="333">
        <f>+L122</f>
      </c>
      <c r="N122" s="333">
        <f>L122+K122+M122</f>
      </c>
      <c r="O122" s="170"/>
      <c r="P122" s="7"/>
      <c r="Q122" s="1"/>
      <c r="R122" s="331">
        <f>D122</f>
      </c>
      <c r="S122" s="169"/>
      <c r="T122" s="1"/>
      <c r="U122" s="217"/>
      <c r="V122" s="331">
        <f>+IF(V121=11,12,IF(V121=12,1,V121+1))</f>
      </c>
      <c r="W122" s="331">
        <f>+W121+IF(V121=12,1,0)</f>
      </c>
      <c r="X122" s="555">
        <f>+DATE(W122,V122,1)</f>
        <v>25569.041666666668</v>
      </c>
      <c r="Y122" s="333">
        <f>+_xlfn.IFNA(AN122+AS122+AX122,0)</f>
      </c>
      <c r="Z122" s="333">
        <f>+_xlfn.IFNA(AO122+AT122+AY122,0)</f>
      </c>
      <c r="AA122" s="333">
        <f>Y122*(1+$O$5)^(($B$7-X122)/365.25)</f>
      </c>
      <c r="AB122" s="333">
        <f>Z122*(1+$O$5)^(($B$7-X122)/365.25)</f>
      </c>
      <c r="AC122" s="1"/>
      <c r="AD122" s="1"/>
      <c r="AE122" s="1"/>
      <c r="AF122" s="111">
        <f>+MONTH(E122)&amp;YEAR(E122)</f>
      </c>
      <c r="AG122" s="217">
        <f>+I122</f>
      </c>
      <c r="AH122" s="217">
        <f>+J122</f>
      </c>
      <c r="AI122" s="217">
        <f>+H122</f>
      </c>
      <c r="AJ122" s="111">
        <f>+V122&amp;W122</f>
      </c>
      <c r="AK122" s="217">
        <f>+_xlfn.IFNA(VLOOKUP(AJ122,$AF$7:$AG$1066,2,0),0)</f>
      </c>
      <c r="AL122" s="217">
        <f>+IF(W122&gt;W121,AK122,AL121+AK122)</f>
      </c>
      <c r="AM122" s="217">
        <f>IF(W122&gt;W121,IF(AL122&gt;=$AZ$8,$AZ$8,AL122),IF(OR(AM121=$AZ$8,AM121=0),0,IF(AL122&gt;=$AZ$8,$AZ$8,AL122)))</f>
      </c>
      <c r="AN122" s="748">
        <f>+IF(OR(AM122&gt;AZ121,AM122=0),0,IF(AM122=AL122,AK122,$AZ$7-AL121))</f>
      </c>
      <c r="AO122" s="748">
        <f>+AK122-AN122</f>
      </c>
      <c r="AP122" s="217">
        <f>+_xlfn.IFNA(VLOOKUP(AJ122,$AF$7:$AI$1066,3,0),0)</f>
      </c>
      <c r="AQ122" s="217">
        <f>+IF(W122&gt;W121,AP122,AQ121+AP122)</f>
      </c>
      <c r="AR122" s="217">
        <f>+MAX($AM$2-SUMIF($W$7:$W$1066,W122,$AN$7:$AN$1066),0)</f>
      </c>
      <c r="AS122" s="748">
        <f>+MAX(IF(AQ122&gt;AR122,AR122-AQ121,AP122),0)</f>
      </c>
      <c r="AT122" s="748">
        <f>+AP122-AS122</f>
      </c>
      <c r="AU122" s="217">
        <f>+_xlfn.IFNA(VLOOKUP(AJ122,$AF$7:$AI$1066,4,0),0)</f>
      </c>
      <c r="AV122" s="217">
        <f>+IF(W122&gt;W121,AU122,AV121+AU122)</f>
      </c>
      <c r="AW122" s="217">
        <f>+MAX($AM$2-SUMIF($W$7:$W$1066,W122,$AN$7:$AN$1066)-SUMIF($W$7:$W$1066,W122,$AS$7:$AS$1066),0)</f>
      </c>
      <c r="AX122" s="748">
        <f>+MAX(IF(AV122&gt;AW122,AW122-AV121,AU122),0)</f>
      </c>
      <c r="AY122" s="748">
        <f>+AU122-AX122</f>
      </c>
      <c r="AZ122" s="331">
        <f>+$AM$1+IF($AP$1&gt;$AP$2,$AM$3/2)</f>
      </c>
    </row>
    <row x14ac:dyDescent="0.25" r="123" customHeight="1" ht="18.75">
      <c r="A123" s="1"/>
      <c r="B123" s="7"/>
      <c r="C123" s="170"/>
      <c r="D123" s="331">
        <v>116</v>
      </c>
      <c r="E123" s="544">
        <f>+DATE(YEAR(E122),MONTH(E122)-1,DAY(E122))</f>
        <v>25569.041666666668</v>
      </c>
      <c r="F123" s="333">
        <f>IF(DATE(YEAR($B$6),MONTH($B$6)+1,DAY(1))=E123,1,IF(MONTH(E123)=1,F124*(1+$F$5),F124))</f>
      </c>
      <c r="G123" s="333">
        <f>IF('Simulador - 1º Pilar'!$E$99="Sí",IF('Aportaciones PPE'!$B$13&lt;'Aportaciones PPE'!E123,0,F123*$B$8/12),F123*$B$8/12)</f>
      </c>
      <c r="H123" s="333">
        <f>$H$5*G123</f>
      </c>
      <c r="I123" s="333">
        <f>$I$5*G123</f>
      </c>
      <c r="J123" s="333">
        <f>+I123</f>
      </c>
      <c r="K123" s="333">
        <f>(1+$O$5)^(D123/12)*(H123+IF(AND(F123=1,F124=0),$S$4,0))</f>
      </c>
      <c r="L123" s="333">
        <f>(1+$O$5)^(D123/12)*(I123+IF(AND(F123=1,F124=0),0))</f>
      </c>
      <c r="M123" s="333">
        <f>+L123</f>
      </c>
      <c r="N123" s="333">
        <f>L123+K123+M123</f>
      </c>
      <c r="O123" s="170"/>
      <c r="P123" s="7"/>
      <c r="Q123" s="1"/>
      <c r="R123" s="331">
        <f>D123</f>
      </c>
      <c r="S123" s="169"/>
      <c r="T123" s="1"/>
      <c r="U123" s="217"/>
      <c r="V123" s="331">
        <f>+IF(V122=11,12,IF(V122=12,1,V122+1))</f>
      </c>
      <c r="W123" s="331">
        <f>+W122+IF(V122=12,1,0)</f>
      </c>
      <c r="X123" s="555">
        <f>+DATE(W123,V123,1)</f>
        <v>25569.041666666668</v>
      </c>
      <c r="Y123" s="333">
        <f>+_xlfn.IFNA(AN123+AS123+AX123,0)</f>
      </c>
      <c r="Z123" s="333">
        <f>+_xlfn.IFNA(AO123+AT123+AY123,0)</f>
      </c>
      <c r="AA123" s="333">
        <f>Y123*(1+$O$5)^(($B$7-X123)/365.25)</f>
      </c>
      <c r="AB123" s="333">
        <f>Z123*(1+$O$5)^(($B$7-X123)/365.25)</f>
      </c>
      <c r="AC123" s="1"/>
      <c r="AD123" s="1"/>
      <c r="AE123" s="1"/>
      <c r="AF123" s="111">
        <f>+MONTH(E123)&amp;YEAR(E123)</f>
      </c>
      <c r="AG123" s="217">
        <f>+I123</f>
      </c>
      <c r="AH123" s="217">
        <f>+J123</f>
      </c>
      <c r="AI123" s="217">
        <f>+H123</f>
      </c>
      <c r="AJ123" s="111">
        <f>+V123&amp;W123</f>
      </c>
      <c r="AK123" s="217">
        <f>+_xlfn.IFNA(VLOOKUP(AJ123,$AF$7:$AG$1066,2,0),0)</f>
      </c>
      <c r="AL123" s="217">
        <f>+IF(W123&gt;W122,AK123,AL122+AK123)</f>
      </c>
      <c r="AM123" s="217">
        <f>IF(W123&gt;W122,IF(AL123&gt;=$AZ$8,$AZ$8,AL123),IF(OR(AM122=$AZ$8,AM122=0),0,IF(AL123&gt;=$AZ$8,$AZ$8,AL123)))</f>
      </c>
      <c r="AN123" s="748">
        <f>+IF(OR(AM123&gt;AZ122,AM123=0),0,IF(AM123=AL123,AK123,$AZ$7-AL122))</f>
      </c>
      <c r="AO123" s="748">
        <f>+AK123-AN123</f>
      </c>
      <c r="AP123" s="217">
        <f>+_xlfn.IFNA(VLOOKUP(AJ123,$AF$7:$AI$1066,3,0),0)</f>
      </c>
      <c r="AQ123" s="217">
        <f>+IF(W123&gt;W122,AP123,AQ122+AP123)</f>
      </c>
      <c r="AR123" s="217">
        <f>+MAX($AM$2-SUMIF($W$7:$W$1066,W123,$AN$7:$AN$1066),0)</f>
      </c>
      <c r="AS123" s="748">
        <f>+MAX(IF(AQ123&gt;AR123,AR123-AQ122,AP123),0)</f>
      </c>
      <c r="AT123" s="748">
        <f>+AP123-AS123</f>
      </c>
      <c r="AU123" s="217">
        <f>+_xlfn.IFNA(VLOOKUP(AJ123,$AF$7:$AI$1066,4,0),0)</f>
      </c>
      <c r="AV123" s="217">
        <f>+IF(W123&gt;W122,AU123,AV122+AU123)</f>
      </c>
      <c r="AW123" s="217">
        <f>+MAX($AM$2-SUMIF($W$7:$W$1066,W123,$AN$7:$AN$1066)-SUMIF($W$7:$W$1066,W123,$AS$7:$AS$1066),0)</f>
      </c>
      <c r="AX123" s="748">
        <f>+MAX(IF(AV123&gt;AW123,AW123-AV122,AU123),0)</f>
      </c>
      <c r="AY123" s="748">
        <f>+AU123-AX123</f>
      </c>
      <c r="AZ123" s="331">
        <f>+$AM$1+IF($AP$1&gt;$AP$2,$AM$3/2)</f>
      </c>
    </row>
    <row x14ac:dyDescent="0.25" r="124" customHeight="1" ht="18.75">
      <c r="A124" s="1"/>
      <c r="B124" s="7"/>
      <c r="C124" s="170"/>
      <c r="D124" s="331">
        <v>117</v>
      </c>
      <c r="E124" s="544">
        <f>+DATE(YEAR(E123),MONTH(E123)-1,DAY(E123))</f>
        <v>25569.041666666668</v>
      </c>
      <c r="F124" s="333">
        <f>IF(DATE(YEAR($B$6),MONTH($B$6)+1,DAY(1))=E124,1,IF(MONTH(E124)=1,F125*(1+$F$5),F125))</f>
      </c>
      <c r="G124" s="333">
        <f>IF('Simulador - 1º Pilar'!$E$99="Sí",IF('Aportaciones PPE'!$B$13&lt;'Aportaciones PPE'!E124,0,F124*$B$8/12),F124*$B$8/12)</f>
      </c>
      <c r="H124" s="333">
        <f>$H$5*G124</f>
      </c>
      <c r="I124" s="333">
        <f>$I$5*G124</f>
      </c>
      <c r="J124" s="333">
        <f>+I124</f>
      </c>
      <c r="K124" s="333">
        <f>(1+$O$5)^(D124/12)*(H124+IF(AND(F124=1,F125=0),$S$4,0))</f>
      </c>
      <c r="L124" s="333">
        <f>(1+$O$5)^(D124/12)*(I124+IF(AND(F124=1,F125=0),0))</f>
      </c>
      <c r="M124" s="333">
        <f>+L124</f>
      </c>
      <c r="N124" s="333">
        <f>L124+K124+M124</f>
      </c>
      <c r="O124" s="170"/>
      <c r="P124" s="7"/>
      <c r="Q124" s="1"/>
      <c r="R124" s="331">
        <f>D124</f>
      </c>
      <c r="S124" s="169"/>
      <c r="T124" s="1"/>
      <c r="U124" s="217"/>
      <c r="V124" s="331">
        <f>+IF(V123=11,12,IF(V123=12,1,V123+1))</f>
      </c>
      <c r="W124" s="331">
        <f>+W123+IF(V123=12,1,0)</f>
      </c>
      <c r="X124" s="555">
        <f>+DATE(W124,V124,1)</f>
        <v>25569.041666666668</v>
      </c>
      <c r="Y124" s="333">
        <f>+_xlfn.IFNA(AN124+AS124+AX124,0)</f>
      </c>
      <c r="Z124" s="333">
        <f>+_xlfn.IFNA(AO124+AT124+AY124,0)</f>
      </c>
      <c r="AA124" s="333">
        <f>Y124*(1+$O$5)^(($B$7-X124)/365.25)</f>
      </c>
      <c r="AB124" s="333">
        <f>Z124*(1+$O$5)^(($B$7-X124)/365.25)</f>
      </c>
      <c r="AC124" s="1"/>
      <c r="AD124" s="1"/>
      <c r="AE124" s="1"/>
      <c r="AF124" s="111">
        <f>+MONTH(E124)&amp;YEAR(E124)</f>
      </c>
      <c r="AG124" s="217">
        <f>+I124</f>
      </c>
      <c r="AH124" s="217">
        <f>+J124</f>
      </c>
      <c r="AI124" s="217">
        <f>+H124</f>
      </c>
      <c r="AJ124" s="111">
        <f>+V124&amp;W124</f>
      </c>
      <c r="AK124" s="217">
        <f>+_xlfn.IFNA(VLOOKUP(AJ124,$AF$7:$AG$1066,2,0),0)</f>
      </c>
      <c r="AL124" s="217">
        <f>+IF(W124&gt;W123,AK124,AL123+AK124)</f>
      </c>
      <c r="AM124" s="217">
        <f>IF(W124&gt;W123,IF(AL124&gt;=$AZ$8,$AZ$8,AL124),IF(OR(AM123=$AZ$8,AM123=0),0,IF(AL124&gt;=$AZ$8,$AZ$8,AL124)))</f>
      </c>
      <c r="AN124" s="748">
        <f>+IF(OR(AM124&gt;AZ123,AM124=0),0,IF(AM124=AL124,AK124,$AZ$7-AL123))</f>
      </c>
      <c r="AO124" s="748">
        <f>+AK124-AN124</f>
      </c>
      <c r="AP124" s="217">
        <f>+_xlfn.IFNA(VLOOKUP(AJ124,$AF$7:$AI$1066,3,0),0)</f>
      </c>
      <c r="AQ124" s="217">
        <f>+IF(W124&gt;W123,AP124,AQ123+AP124)</f>
      </c>
      <c r="AR124" s="217">
        <f>+MAX($AM$2-SUMIF($W$7:$W$1066,W124,$AN$7:$AN$1066),0)</f>
      </c>
      <c r="AS124" s="748">
        <f>+MAX(IF(AQ124&gt;AR124,AR124-AQ123,AP124),0)</f>
      </c>
      <c r="AT124" s="748">
        <f>+AP124-AS124</f>
      </c>
      <c r="AU124" s="217">
        <f>+_xlfn.IFNA(VLOOKUP(AJ124,$AF$7:$AI$1066,4,0),0)</f>
      </c>
      <c r="AV124" s="217">
        <f>+IF(W124&gt;W123,AU124,AV123+AU124)</f>
      </c>
      <c r="AW124" s="217">
        <f>+MAX($AM$2-SUMIF($W$7:$W$1066,W124,$AN$7:$AN$1066)-SUMIF($W$7:$W$1066,W124,$AS$7:$AS$1066),0)</f>
      </c>
      <c r="AX124" s="748">
        <f>+MAX(IF(AV124&gt;AW124,AW124-AV123,AU124),0)</f>
      </c>
      <c r="AY124" s="748">
        <f>+AU124-AX124</f>
      </c>
      <c r="AZ124" s="331">
        <f>+$AM$1+IF($AP$1&gt;$AP$2,$AM$3/2)</f>
      </c>
    </row>
    <row x14ac:dyDescent="0.25" r="125" customHeight="1" ht="18.75">
      <c r="A125" s="1"/>
      <c r="B125" s="7"/>
      <c r="C125" s="170"/>
      <c r="D125" s="331">
        <v>118</v>
      </c>
      <c r="E125" s="544">
        <f>+DATE(YEAR(E124),MONTH(E124)-1,DAY(E124))</f>
        <v>25569.041666666668</v>
      </c>
      <c r="F125" s="333">
        <f>IF(DATE(YEAR($B$6),MONTH($B$6)+1,DAY(1))=E125,1,IF(MONTH(E125)=1,F126*(1+$F$5),F126))</f>
      </c>
      <c r="G125" s="333">
        <f>IF('Simulador - 1º Pilar'!$E$99="Sí",IF('Aportaciones PPE'!$B$13&lt;'Aportaciones PPE'!E125,0,F125*$B$8/12),F125*$B$8/12)</f>
      </c>
      <c r="H125" s="333">
        <f>$H$5*G125</f>
      </c>
      <c r="I125" s="333">
        <f>$I$5*G125</f>
      </c>
      <c r="J125" s="333">
        <f>+I125</f>
      </c>
      <c r="K125" s="333">
        <f>(1+$O$5)^(D125/12)*(H125+IF(AND(F125=1,F126=0),$S$4,0))</f>
      </c>
      <c r="L125" s="333">
        <f>(1+$O$5)^(D125/12)*(I125+IF(AND(F125=1,F126=0),0))</f>
      </c>
      <c r="M125" s="333">
        <f>+L125</f>
      </c>
      <c r="N125" s="333">
        <f>L125+K125+M125</f>
      </c>
      <c r="O125" s="170"/>
      <c r="P125" s="7"/>
      <c r="Q125" s="1"/>
      <c r="R125" s="331">
        <f>D125</f>
      </c>
      <c r="S125" s="169"/>
      <c r="T125" s="1"/>
      <c r="U125" s="217"/>
      <c r="V125" s="331">
        <f>+IF(V124=11,12,IF(V124=12,1,V124+1))</f>
      </c>
      <c r="W125" s="331">
        <f>+W124+IF(V124=12,1,0)</f>
      </c>
      <c r="X125" s="555">
        <f>+DATE(W125,V125,1)</f>
        <v>25569.041666666668</v>
      </c>
      <c r="Y125" s="333">
        <f>+_xlfn.IFNA(AN125+AS125+AX125,0)</f>
      </c>
      <c r="Z125" s="333">
        <f>+_xlfn.IFNA(AO125+AT125+AY125,0)</f>
      </c>
      <c r="AA125" s="333">
        <f>Y125*(1+$O$5)^(($B$7-X125)/365.25)</f>
      </c>
      <c r="AB125" s="333">
        <f>Z125*(1+$O$5)^(($B$7-X125)/365.25)</f>
      </c>
      <c r="AC125" s="1"/>
      <c r="AD125" s="1"/>
      <c r="AE125" s="1"/>
      <c r="AF125" s="111">
        <f>+MONTH(E125)&amp;YEAR(E125)</f>
      </c>
      <c r="AG125" s="217">
        <f>+I125</f>
      </c>
      <c r="AH125" s="217">
        <f>+J125</f>
      </c>
      <c r="AI125" s="217">
        <f>+H125</f>
      </c>
      <c r="AJ125" s="111">
        <f>+V125&amp;W125</f>
      </c>
      <c r="AK125" s="217">
        <f>+_xlfn.IFNA(VLOOKUP(AJ125,$AF$7:$AG$1066,2,0),0)</f>
      </c>
      <c r="AL125" s="217">
        <f>+IF(W125&gt;W124,AK125,AL124+AK125)</f>
      </c>
      <c r="AM125" s="217">
        <f>IF(W125&gt;W124,IF(AL125&gt;=$AZ$8,$AZ$8,AL125),IF(OR(AM124=$AZ$8,AM124=0),0,IF(AL125&gt;=$AZ$8,$AZ$8,AL125)))</f>
      </c>
      <c r="AN125" s="748">
        <f>+IF(OR(AM125&gt;AZ124,AM125=0),0,IF(AM125=AL125,AK125,$AZ$7-AL124))</f>
      </c>
      <c r="AO125" s="748">
        <f>+AK125-AN125</f>
      </c>
      <c r="AP125" s="217">
        <f>+_xlfn.IFNA(VLOOKUP(AJ125,$AF$7:$AI$1066,3,0),0)</f>
      </c>
      <c r="AQ125" s="217">
        <f>+IF(W125&gt;W124,AP125,AQ124+AP125)</f>
      </c>
      <c r="AR125" s="217">
        <f>+MAX($AM$2-SUMIF($W$7:$W$1066,W125,$AN$7:$AN$1066),0)</f>
      </c>
      <c r="AS125" s="748">
        <f>+MAX(IF(AQ125&gt;AR125,AR125-AQ124,AP125),0)</f>
      </c>
      <c r="AT125" s="748">
        <f>+AP125-AS125</f>
      </c>
      <c r="AU125" s="217">
        <f>+_xlfn.IFNA(VLOOKUP(AJ125,$AF$7:$AI$1066,4,0),0)</f>
      </c>
      <c r="AV125" s="217">
        <f>+IF(W125&gt;W124,AU125,AV124+AU125)</f>
      </c>
      <c r="AW125" s="217">
        <f>+MAX($AM$2-SUMIF($W$7:$W$1066,W125,$AN$7:$AN$1066)-SUMIF($W$7:$W$1066,W125,$AS$7:$AS$1066),0)</f>
      </c>
      <c r="AX125" s="748">
        <f>+MAX(IF(AV125&gt;AW125,AW125-AV124,AU125),0)</f>
      </c>
      <c r="AY125" s="748">
        <f>+AU125-AX125</f>
      </c>
      <c r="AZ125" s="331">
        <f>+$AM$1+IF($AP$1&gt;$AP$2,$AM$3/2)</f>
      </c>
    </row>
    <row x14ac:dyDescent="0.25" r="126" customHeight="1" ht="18.75">
      <c r="A126" s="1"/>
      <c r="B126" s="7"/>
      <c r="C126" s="170"/>
      <c r="D126" s="331">
        <v>119</v>
      </c>
      <c r="E126" s="544">
        <f>+DATE(YEAR(E125),MONTH(E125)-1,DAY(E125))</f>
        <v>25569.041666666668</v>
      </c>
      <c r="F126" s="333">
        <f>IF(DATE(YEAR($B$6),MONTH($B$6)+1,DAY(1))=E126,1,IF(MONTH(E126)=1,F127*(1+$F$5),F127))</f>
      </c>
      <c r="G126" s="333">
        <f>IF('Simulador - 1º Pilar'!$E$99="Sí",IF('Aportaciones PPE'!$B$13&lt;'Aportaciones PPE'!E126,0,F126*$B$8/12),F126*$B$8/12)</f>
      </c>
      <c r="H126" s="333">
        <f>$H$5*G126</f>
      </c>
      <c r="I126" s="333">
        <f>$I$5*G126</f>
      </c>
      <c r="J126" s="333">
        <f>+I126</f>
      </c>
      <c r="K126" s="333">
        <f>(1+$O$5)^(D126/12)*(H126+IF(AND(F126=1,F127=0),$S$4,0))</f>
      </c>
      <c r="L126" s="333">
        <f>(1+$O$5)^(D126/12)*(I126+IF(AND(F126=1,F127=0),0))</f>
      </c>
      <c r="M126" s="333">
        <f>+L126</f>
      </c>
      <c r="N126" s="333">
        <f>L126+K126+M126</f>
      </c>
      <c r="O126" s="170"/>
      <c r="P126" s="7"/>
      <c r="Q126" s="1"/>
      <c r="R126" s="331">
        <f>D126</f>
      </c>
      <c r="S126" s="169"/>
      <c r="T126" s="1"/>
      <c r="U126" s="217"/>
      <c r="V126" s="331">
        <f>+IF(V125=11,12,IF(V125=12,1,V125+1))</f>
      </c>
      <c r="W126" s="331">
        <f>+W125+IF(V125=12,1,0)</f>
      </c>
      <c r="X126" s="555">
        <f>+DATE(W126,V126,1)</f>
        <v>25569.041666666668</v>
      </c>
      <c r="Y126" s="333">
        <f>+_xlfn.IFNA(AN126+AS126+AX126,0)</f>
      </c>
      <c r="Z126" s="333">
        <f>+_xlfn.IFNA(AO126+AT126+AY126,0)</f>
      </c>
      <c r="AA126" s="333">
        <f>Y126*(1+$O$5)^(($B$7-X126)/365.25)</f>
      </c>
      <c r="AB126" s="333">
        <f>Z126*(1+$O$5)^(($B$7-X126)/365.25)</f>
      </c>
      <c r="AC126" s="1"/>
      <c r="AD126" s="1"/>
      <c r="AE126" s="1"/>
      <c r="AF126" s="111">
        <f>+MONTH(E126)&amp;YEAR(E126)</f>
      </c>
      <c r="AG126" s="217">
        <f>+I126</f>
      </c>
      <c r="AH126" s="217">
        <f>+J126</f>
      </c>
      <c r="AI126" s="217">
        <f>+H126</f>
      </c>
      <c r="AJ126" s="111">
        <f>+V126&amp;W126</f>
      </c>
      <c r="AK126" s="217">
        <f>+_xlfn.IFNA(VLOOKUP(AJ126,$AF$7:$AG$1066,2,0),0)</f>
      </c>
      <c r="AL126" s="217">
        <f>+IF(W126&gt;W125,AK126,AL125+AK126)</f>
      </c>
      <c r="AM126" s="217">
        <f>IF(W126&gt;W125,IF(AL126&gt;=$AZ$8,$AZ$8,AL126),IF(OR(AM125=$AZ$8,AM125=0),0,IF(AL126&gt;=$AZ$8,$AZ$8,AL126)))</f>
      </c>
      <c r="AN126" s="748">
        <f>+IF(OR(AM126&gt;AZ125,AM126=0),0,IF(AM126=AL126,AK126,$AZ$7-AL125))</f>
      </c>
      <c r="AO126" s="748">
        <f>+AK126-AN126</f>
      </c>
      <c r="AP126" s="217">
        <f>+_xlfn.IFNA(VLOOKUP(AJ126,$AF$7:$AI$1066,3,0),0)</f>
      </c>
      <c r="AQ126" s="217">
        <f>+IF(W126&gt;W125,AP126,AQ125+AP126)</f>
      </c>
      <c r="AR126" s="217">
        <f>+MAX($AM$2-SUMIF($W$7:$W$1066,W126,$AN$7:$AN$1066),0)</f>
      </c>
      <c r="AS126" s="748">
        <f>+MAX(IF(AQ126&gt;AR126,AR126-AQ125,AP126),0)</f>
      </c>
      <c r="AT126" s="748">
        <f>+AP126-AS126</f>
      </c>
      <c r="AU126" s="217">
        <f>+_xlfn.IFNA(VLOOKUP(AJ126,$AF$7:$AI$1066,4,0),0)</f>
      </c>
      <c r="AV126" s="217">
        <f>+IF(W126&gt;W125,AU126,AV125+AU126)</f>
      </c>
      <c r="AW126" s="217">
        <f>+MAX($AM$2-SUMIF($W$7:$W$1066,W126,$AN$7:$AN$1066)-SUMIF($W$7:$W$1066,W126,$AS$7:$AS$1066),0)</f>
      </c>
      <c r="AX126" s="748">
        <f>+MAX(IF(AV126&gt;AW126,AW126-AV125,AU126),0)</f>
      </c>
      <c r="AY126" s="748">
        <f>+AU126-AX126</f>
      </c>
      <c r="AZ126" s="331">
        <f>+$AM$1+IF($AP$1&gt;$AP$2,$AM$3/2)</f>
      </c>
    </row>
    <row x14ac:dyDescent="0.25" r="127" customHeight="1" ht="18.75">
      <c r="A127" s="1"/>
      <c r="B127" s="7"/>
      <c r="C127" s="170"/>
      <c r="D127" s="331">
        <v>120</v>
      </c>
      <c r="E127" s="544">
        <f>+DATE(YEAR(E126),MONTH(E126)-1,DAY(E126))</f>
        <v>25569.041666666668</v>
      </c>
      <c r="F127" s="333">
        <f>IF(DATE(YEAR($B$6),MONTH($B$6)+1,DAY(1))=E127,1,IF(MONTH(E127)=1,F128*(1+$F$5),F128))</f>
      </c>
      <c r="G127" s="333">
        <f>IF('Simulador - 1º Pilar'!$E$99="Sí",IF('Aportaciones PPE'!$B$13&lt;'Aportaciones PPE'!E127,0,F127*$B$8/12),F127*$B$8/12)</f>
      </c>
      <c r="H127" s="333">
        <f>$H$5*G127</f>
      </c>
      <c r="I127" s="333">
        <f>$I$5*G127</f>
      </c>
      <c r="J127" s="333">
        <f>+I127</f>
      </c>
      <c r="K127" s="333">
        <f>(1+$O$5)^(D127/12)*(H127+IF(AND(F127=1,F128=0),$S$4,0))</f>
      </c>
      <c r="L127" s="333">
        <f>(1+$O$5)^(D127/12)*(I127+IF(AND(F127=1,F128=0),0))</f>
      </c>
      <c r="M127" s="333">
        <f>+L127</f>
      </c>
      <c r="N127" s="333">
        <f>L127+K127+M127</f>
      </c>
      <c r="O127" s="170"/>
      <c r="P127" s="7"/>
      <c r="Q127" s="1"/>
      <c r="R127" s="331">
        <f>D127</f>
      </c>
      <c r="S127" s="169"/>
      <c r="T127" s="1"/>
      <c r="U127" s="217"/>
      <c r="V127" s="331">
        <f>+IF(V126=11,12,IF(V126=12,1,V126+1))</f>
      </c>
      <c r="W127" s="331">
        <f>+W126+IF(V126=12,1,0)</f>
      </c>
      <c r="X127" s="555">
        <f>+DATE(W127,V127,1)</f>
        <v>25569.041666666668</v>
      </c>
      <c r="Y127" s="333">
        <f>+_xlfn.IFNA(AN127+AS127+AX127,0)</f>
      </c>
      <c r="Z127" s="333">
        <f>+_xlfn.IFNA(AO127+AT127+AY127,0)</f>
      </c>
      <c r="AA127" s="333">
        <f>Y127*(1+$O$5)^(($B$7-X127)/365.25)</f>
      </c>
      <c r="AB127" s="333">
        <f>Z127*(1+$O$5)^(($B$7-X127)/365.25)</f>
      </c>
      <c r="AC127" s="1"/>
      <c r="AD127" s="1"/>
      <c r="AE127" s="1"/>
      <c r="AF127" s="111">
        <f>+MONTH(E127)&amp;YEAR(E127)</f>
      </c>
      <c r="AG127" s="217">
        <f>+I127</f>
      </c>
      <c r="AH127" s="217">
        <f>+J127</f>
      </c>
      <c r="AI127" s="217">
        <f>+H127</f>
      </c>
      <c r="AJ127" s="111">
        <f>+V127&amp;W127</f>
      </c>
      <c r="AK127" s="217">
        <f>+_xlfn.IFNA(VLOOKUP(AJ127,$AF$7:$AG$1066,2,0),0)</f>
      </c>
      <c r="AL127" s="217">
        <f>+IF(W127&gt;W126,AK127,AL126+AK127)</f>
      </c>
      <c r="AM127" s="217">
        <f>IF(W127&gt;W126,IF(AL127&gt;=$AZ$8,$AZ$8,AL127),IF(OR(AM126=$AZ$8,AM126=0),0,IF(AL127&gt;=$AZ$8,$AZ$8,AL127)))</f>
      </c>
      <c r="AN127" s="748">
        <f>+IF(OR(AM127&gt;AZ126,AM127=0),0,IF(AM127=AL127,AK127,$AZ$7-AL126))</f>
      </c>
      <c r="AO127" s="748">
        <f>+AK127-AN127</f>
      </c>
      <c r="AP127" s="217">
        <f>+_xlfn.IFNA(VLOOKUP(AJ127,$AF$7:$AI$1066,3,0),0)</f>
      </c>
      <c r="AQ127" s="217">
        <f>+IF(W127&gt;W126,AP127,AQ126+AP127)</f>
      </c>
      <c r="AR127" s="217">
        <f>+MAX($AM$2-SUMIF($W$7:$W$1066,W127,$AN$7:$AN$1066),0)</f>
      </c>
      <c r="AS127" s="748">
        <f>+MAX(IF(AQ127&gt;AR127,AR127-AQ126,AP127),0)</f>
      </c>
      <c r="AT127" s="748">
        <f>+AP127-AS127</f>
      </c>
      <c r="AU127" s="217">
        <f>+_xlfn.IFNA(VLOOKUP(AJ127,$AF$7:$AI$1066,4,0),0)</f>
      </c>
      <c r="AV127" s="217">
        <f>+IF(W127&gt;W126,AU127,AV126+AU127)</f>
      </c>
      <c r="AW127" s="217">
        <f>+MAX($AM$2-SUMIF($W$7:$W$1066,W127,$AN$7:$AN$1066)-SUMIF($W$7:$W$1066,W127,$AS$7:$AS$1066),0)</f>
      </c>
      <c r="AX127" s="748">
        <f>+MAX(IF(AV127&gt;AW127,AW127-AV126,AU127),0)</f>
      </c>
      <c r="AY127" s="748">
        <f>+AU127-AX127</f>
      </c>
      <c r="AZ127" s="331">
        <f>+$AM$1+IF($AP$1&gt;$AP$2,$AM$3/2)</f>
      </c>
    </row>
    <row x14ac:dyDescent="0.25" r="128" customHeight="1" ht="18.75">
      <c r="A128" s="1"/>
      <c r="B128" s="7"/>
      <c r="C128" s="170"/>
      <c r="D128" s="331">
        <v>121</v>
      </c>
      <c r="E128" s="544">
        <f>+DATE(YEAR(E127),MONTH(E127)-1,DAY(E127))</f>
        <v>25569.041666666668</v>
      </c>
      <c r="F128" s="333">
        <f>IF(DATE(YEAR($B$6),MONTH($B$6)+1,DAY(1))=E128,1,IF(MONTH(E128)=1,F129*(1+$F$5),F129))</f>
      </c>
      <c r="G128" s="333">
        <f>IF('Simulador - 1º Pilar'!$E$99="Sí",IF('Aportaciones PPE'!$B$13&lt;'Aportaciones PPE'!E128,0,F128*$B$8/12),F128*$B$8/12)</f>
      </c>
      <c r="H128" s="333">
        <f>$H$5*G128</f>
      </c>
      <c r="I128" s="333">
        <f>$I$5*G128</f>
      </c>
      <c r="J128" s="333">
        <f>+I128</f>
      </c>
      <c r="K128" s="333">
        <f>(1+$O$5)^(D128/12)*(H128+IF(AND(F128=1,F129=0),$S$4,0))</f>
      </c>
      <c r="L128" s="333">
        <f>(1+$O$5)^(D128/12)*(I128+IF(AND(F128=1,F129=0),0))</f>
      </c>
      <c r="M128" s="333">
        <f>+L128</f>
      </c>
      <c r="N128" s="333">
        <f>L128+K128+M128</f>
      </c>
      <c r="O128" s="170"/>
      <c r="P128" s="7"/>
      <c r="Q128" s="1"/>
      <c r="R128" s="331">
        <f>D128</f>
      </c>
      <c r="S128" s="169"/>
      <c r="T128" s="1"/>
      <c r="U128" s="217"/>
      <c r="V128" s="331">
        <f>+IF(V127=11,12,IF(V127=12,1,V127+1))</f>
      </c>
      <c r="W128" s="331">
        <f>+W127+IF(V127=12,1,0)</f>
      </c>
      <c r="X128" s="555">
        <f>+DATE(W128,V128,1)</f>
        <v>25569.041666666668</v>
      </c>
      <c r="Y128" s="333">
        <f>+_xlfn.IFNA(AN128+AS128+AX128,0)</f>
      </c>
      <c r="Z128" s="333">
        <f>+_xlfn.IFNA(AO128+AT128+AY128,0)</f>
      </c>
      <c r="AA128" s="333">
        <f>Y128*(1+$O$5)^(($B$7-X128)/365.25)</f>
      </c>
      <c r="AB128" s="333">
        <f>Z128*(1+$O$5)^(($B$7-X128)/365.25)</f>
      </c>
      <c r="AC128" s="1"/>
      <c r="AD128" s="1"/>
      <c r="AE128" s="1"/>
      <c r="AF128" s="111">
        <f>+MONTH(E128)&amp;YEAR(E128)</f>
      </c>
      <c r="AG128" s="217">
        <f>+I128</f>
      </c>
      <c r="AH128" s="217">
        <f>+J128</f>
      </c>
      <c r="AI128" s="217">
        <f>+H128</f>
      </c>
      <c r="AJ128" s="111">
        <f>+V128&amp;W128</f>
      </c>
      <c r="AK128" s="217">
        <f>+_xlfn.IFNA(VLOOKUP(AJ128,$AF$7:$AG$1066,2,0),0)</f>
      </c>
      <c r="AL128" s="217">
        <f>+IF(W128&gt;W127,AK128,AL127+AK128)</f>
      </c>
      <c r="AM128" s="217">
        <f>IF(W128&gt;W127,IF(AL128&gt;=$AZ$8,$AZ$8,AL128),IF(OR(AM127=$AZ$8,AM127=0),0,IF(AL128&gt;=$AZ$8,$AZ$8,AL128)))</f>
      </c>
      <c r="AN128" s="748">
        <f>+IF(OR(AM128&gt;AZ127,AM128=0),0,IF(AM128=AL128,AK128,$AZ$7-AL127))</f>
      </c>
      <c r="AO128" s="748">
        <f>+AK128-AN128</f>
      </c>
      <c r="AP128" s="217">
        <f>+_xlfn.IFNA(VLOOKUP(AJ128,$AF$7:$AI$1066,3,0),0)</f>
      </c>
      <c r="AQ128" s="217">
        <f>+IF(W128&gt;W127,AP128,AQ127+AP128)</f>
      </c>
      <c r="AR128" s="217">
        <f>+MAX($AM$2-SUMIF($W$7:$W$1066,W128,$AN$7:$AN$1066),0)</f>
      </c>
      <c r="AS128" s="748">
        <f>+MAX(IF(AQ128&gt;AR128,AR128-AQ127,AP128),0)</f>
      </c>
      <c r="AT128" s="748">
        <f>+AP128-AS128</f>
      </c>
      <c r="AU128" s="217">
        <f>+_xlfn.IFNA(VLOOKUP(AJ128,$AF$7:$AI$1066,4,0),0)</f>
      </c>
      <c r="AV128" s="217">
        <f>+IF(W128&gt;W127,AU128,AV127+AU128)</f>
      </c>
      <c r="AW128" s="217">
        <f>+MAX($AM$2-SUMIF($W$7:$W$1066,W128,$AN$7:$AN$1066)-SUMIF($W$7:$W$1066,W128,$AS$7:$AS$1066),0)</f>
      </c>
      <c r="AX128" s="748">
        <f>+MAX(IF(AV128&gt;AW128,AW128-AV127,AU128),0)</f>
      </c>
      <c r="AY128" s="748">
        <f>+AU128-AX128</f>
      </c>
      <c r="AZ128" s="331">
        <f>+$AM$1+IF($AP$1&gt;$AP$2,$AM$3/2)</f>
      </c>
    </row>
    <row x14ac:dyDescent="0.25" r="129" customHeight="1" ht="18.75">
      <c r="A129" s="1"/>
      <c r="B129" s="7"/>
      <c r="C129" s="170"/>
      <c r="D129" s="331">
        <v>122</v>
      </c>
      <c r="E129" s="544">
        <f>+DATE(YEAR(E128),MONTH(E128)-1,DAY(E128))</f>
        <v>25569.041666666668</v>
      </c>
      <c r="F129" s="333">
        <f>IF(DATE(YEAR($B$6),MONTH($B$6)+1,DAY(1))=E129,1,IF(MONTH(E129)=1,F130*(1+$F$5),F130))</f>
      </c>
      <c r="G129" s="333">
        <f>IF('Simulador - 1º Pilar'!$E$99="Sí",IF('Aportaciones PPE'!$B$13&lt;'Aportaciones PPE'!E129,0,F129*$B$8/12),F129*$B$8/12)</f>
      </c>
      <c r="H129" s="333">
        <f>$H$5*G129</f>
      </c>
      <c r="I129" s="333">
        <f>$I$5*G129</f>
      </c>
      <c r="J129" s="333">
        <f>+I129</f>
      </c>
      <c r="K129" s="333">
        <f>(1+$O$5)^(D129/12)*(H129+IF(AND(F129=1,F130=0),$S$4,0))</f>
      </c>
      <c r="L129" s="333">
        <f>(1+$O$5)^(D129/12)*(I129+IF(AND(F129=1,F130=0),0))</f>
      </c>
      <c r="M129" s="333">
        <f>+L129</f>
      </c>
      <c r="N129" s="333">
        <f>L129+K129+M129</f>
      </c>
      <c r="O129" s="170"/>
      <c r="P129" s="7"/>
      <c r="Q129" s="1"/>
      <c r="R129" s="331">
        <f>D129</f>
      </c>
      <c r="S129" s="169"/>
      <c r="T129" s="1"/>
      <c r="U129" s="217"/>
      <c r="V129" s="331">
        <f>+IF(V128=11,12,IF(V128=12,1,V128+1))</f>
      </c>
      <c r="W129" s="331">
        <f>+W128+IF(V128=12,1,0)</f>
      </c>
      <c r="X129" s="555">
        <f>+DATE(W129,V129,1)</f>
        <v>25569.041666666668</v>
      </c>
      <c r="Y129" s="333">
        <f>+_xlfn.IFNA(AN129+AS129+AX129,0)</f>
      </c>
      <c r="Z129" s="333">
        <f>+_xlfn.IFNA(AO129+AT129+AY129,0)</f>
      </c>
      <c r="AA129" s="333">
        <f>Y129*(1+$O$5)^(($B$7-X129)/365.25)</f>
      </c>
      <c r="AB129" s="333">
        <f>Z129*(1+$O$5)^(($B$7-X129)/365.25)</f>
      </c>
      <c r="AC129" s="1"/>
      <c r="AD129" s="1"/>
      <c r="AE129" s="1"/>
      <c r="AF129" s="111">
        <f>+MONTH(E129)&amp;YEAR(E129)</f>
      </c>
      <c r="AG129" s="217">
        <f>+I129</f>
      </c>
      <c r="AH129" s="217">
        <f>+J129</f>
      </c>
      <c r="AI129" s="217">
        <f>+H129</f>
      </c>
      <c r="AJ129" s="111">
        <f>+V129&amp;W129</f>
      </c>
      <c r="AK129" s="217">
        <f>+_xlfn.IFNA(VLOOKUP(AJ129,$AF$7:$AG$1066,2,0),0)</f>
      </c>
      <c r="AL129" s="217">
        <f>+IF(W129&gt;W128,AK129,AL128+AK129)</f>
      </c>
      <c r="AM129" s="217">
        <f>IF(W129&gt;W128,IF(AL129&gt;=$AZ$8,$AZ$8,AL129),IF(OR(AM128=$AZ$8,AM128=0),0,IF(AL129&gt;=$AZ$8,$AZ$8,AL129)))</f>
      </c>
      <c r="AN129" s="748">
        <f>+IF(OR(AM129&gt;AZ128,AM129=0),0,IF(AM129=AL129,AK129,$AZ$7-AL128))</f>
      </c>
      <c r="AO129" s="748">
        <f>+AK129-AN129</f>
      </c>
      <c r="AP129" s="217">
        <f>+_xlfn.IFNA(VLOOKUP(AJ129,$AF$7:$AI$1066,3,0),0)</f>
      </c>
      <c r="AQ129" s="217">
        <f>+IF(W129&gt;W128,AP129,AQ128+AP129)</f>
      </c>
      <c r="AR129" s="217">
        <f>+MAX($AM$2-SUMIF($W$7:$W$1066,W129,$AN$7:$AN$1066),0)</f>
      </c>
      <c r="AS129" s="748">
        <f>+MAX(IF(AQ129&gt;AR129,AR129-AQ128,AP129),0)</f>
      </c>
      <c r="AT129" s="748">
        <f>+AP129-AS129</f>
      </c>
      <c r="AU129" s="217">
        <f>+_xlfn.IFNA(VLOOKUP(AJ129,$AF$7:$AI$1066,4,0),0)</f>
      </c>
      <c r="AV129" s="217">
        <f>+IF(W129&gt;W128,AU129,AV128+AU129)</f>
      </c>
      <c r="AW129" s="217">
        <f>+MAX($AM$2-SUMIF($W$7:$W$1066,W129,$AN$7:$AN$1066)-SUMIF($W$7:$W$1066,W129,$AS$7:$AS$1066),0)</f>
      </c>
      <c r="AX129" s="748">
        <f>+MAX(IF(AV129&gt;AW129,AW129-AV128,AU129),0)</f>
      </c>
      <c r="AY129" s="748">
        <f>+AU129-AX129</f>
      </c>
      <c r="AZ129" s="331">
        <f>+$AM$1+IF($AP$1&gt;$AP$2,$AM$3/2)</f>
      </c>
    </row>
    <row x14ac:dyDescent="0.25" r="130" customHeight="1" ht="18.75">
      <c r="A130" s="1"/>
      <c r="B130" s="7"/>
      <c r="C130" s="170"/>
      <c r="D130" s="331">
        <v>123</v>
      </c>
      <c r="E130" s="544">
        <f>+DATE(YEAR(E129),MONTH(E129)-1,DAY(E129))</f>
        <v>25569.041666666668</v>
      </c>
      <c r="F130" s="333">
        <f>IF(DATE(YEAR($B$6),MONTH($B$6)+1,DAY(1))=E130,1,IF(MONTH(E130)=1,F131*(1+$F$5),F131))</f>
      </c>
      <c r="G130" s="333">
        <f>IF('Simulador - 1º Pilar'!$E$99="Sí",IF('Aportaciones PPE'!$B$13&lt;'Aportaciones PPE'!E130,0,F130*$B$8/12),F130*$B$8/12)</f>
      </c>
      <c r="H130" s="333">
        <f>$H$5*G130</f>
      </c>
      <c r="I130" s="333">
        <f>$I$5*G130</f>
      </c>
      <c r="J130" s="333">
        <f>+I130</f>
      </c>
      <c r="K130" s="333">
        <f>(1+$O$5)^(D130/12)*(H130+IF(AND(F130=1,F131=0),$S$4,0))</f>
      </c>
      <c r="L130" s="333">
        <f>(1+$O$5)^(D130/12)*(I130+IF(AND(F130=1,F131=0),0))</f>
      </c>
      <c r="M130" s="333">
        <f>+L130</f>
      </c>
      <c r="N130" s="333">
        <f>L130+K130+M130</f>
      </c>
      <c r="O130" s="170"/>
      <c r="P130" s="7"/>
      <c r="Q130" s="1"/>
      <c r="R130" s="331">
        <f>D130</f>
      </c>
      <c r="S130" s="169"/>
      <c r="T130" s="1"/>
      <c r="U130" s="217"/>
      <c r="V130" s="331">
        <f>+IF(V129=11,12,IF(V129=12,1,V129+1))</f>
      </c>
      <c r="W130" s="331">
        <f>+W129+IF(V129=12,1,0)</f>
      </c>
      <c r="X130" s="555">
        <f>+DATE(W130,V130,1)</f>
        <v>25569.041666666668</v>
      </c>
      <c r="Y130" s="333">
        <f>+_xlfn.IFNA(AN130+AS130+AX130,0)</f>
      </c>
      <c r="Z130" s="333">
        <f>+_xlfn.IFNA(AO130+AT130+AY130,0)</f>
      </c>
      <c r="AA130" s="333">
        <f>Y130*(1+$O$5)^(($B$7-X130)/365.25)</f>
      </c>
      <c r="AB130" s="333">
        <f>Z130*(1+$O$5)^(($B$7-X130)/365.25)</f>
      </c>
      <c r="AC130" s="1"/>
      <c r="AD130" s="1"/>
      <c r="AE130" s="1"/>
      <c r="AF130" s="111">
        <f>+MONTH(E130)&amp;YEAR(E130)</f>
      </c>
      <c r="AG130" s="217">
        <f>+I130</f>
      </c>
      <c r="AH130" s="217">
        <f>+J130</f>
      </c>
      <c r="AI130" s="217">
        <f>+H130</f>
      </c>
      <c r="AJ130" s="111">
        <f>+V130&amp;W130</f>
      </c>
      <c r="AK130" s="217">
        <f>+_xlfn.IFNA(VLOOKUP(AJ130,$AF$7:$AG$1066,2,0),0)</f>
      </c>
      <c r="AL130" s="217">
        <f>+IF(W130&gt;W129,AK130,AL129+AK130)</f>
      </c>
      <c r="AM130" s="217">
        <f>IF(W130&gt;W129,IF(AL130&gt;=$AZ$8,$AZ$8,AL130),IF(OR(AM129=$AZ$8,AM129=0),0,IF(AL130&gt;=$AZ$8,$AZ$8,AL130)))</f>
      </c>
      <c r="AN130" s="748">
        <f>+IF(OR(AM130&gt;AZ129,AM130=0),0,IF(AM130=AL130,AK130,$AZ$7-AL129))</f>
      </c>
      <c r="AO130" s="748">
        <f>+AK130-AN130</f>
      </c>
      <c r="AP130" s="217">
        <f>+_xlfn.IFNA(VLOOKUP(AJ130,$AF$7:$AI$1066,3,0),0)</f>
      </c>
      <c r="AQ130" s="217">
        <f>+IF(W130&gt;W129,AP130,AQ129+AP130)</f>
      </c>
      <c r="AR130" s="217">
        <f>+MAX($AM$2-SUMIF($W$7:$W$1066,W130,$AN$7:$AN$1066),0)</f>
      </c>
      <c r="AS130" s="748">
        <f>+MAX(IF(AQ130&gt;AR130,AR130-AQ129,AP130),0)</f>
      </c>
      <c r="AT130" s="748">
        <f>+AP130-AS130</f>
      </c>
      <c r="AU130" s="217">
        <f>+_xlfn.IFNA(VLOOKUP(AJ130,$AF$7:$AI$1066,4,0),0)</f>
      </c>
      <c r="AV130" s="217">
        <f>+IF(W130&gt;W129,AU130,AV129+AU130)</f>
      </c>
      <c r="AW130" s="217">
        <f>+MAX($AM$2-SUMIF($W$7:$W$1066,W130,$AN$7:$AN$1066)-SUMIF($W$7:$W$1066,W130,$AS$7:$AS$1066),0)</f>
      </c>
      <c r="AX130" s="748">
        <f>+MAX(IF(AV130&gt;AW130,AW130-AV129,AU130),0)</f>
      </c>
      <c r="AY130" s="748">
        <f>+AU130-AX130</f>
      </c>
      <c r="AZ130" s="331">
        <f>+$AM$1+IF($AP$1&gt;$AP$2,$AM$3/2)</f>
      </c>
    </row>
    <row x14ac:dyDescent="0.25" r="131" customHeight="1" ht="18.75">
      <c r="A131" s="1"/>
      <c r="B131" s="7"/>
      <c r="C131" s="170"/>
      <c r="D131" s="331">
        <v>124</v>
      </c>
      <c r="E131" s="544">
        <f>+DATE(YEAR(E130),MONTH(E130)-1,DAY(E130))</f>
        <v>25569.041666666668</v>
      </c>
      <c r="F131" s="333">
        <f>IF(DATE(YEAR($B$6),MONTH($B$6)+1,DAY(1))=E131,1,IF(MONTH(E131)=1,F132*(1+$F$5),F132))</f>
      </c>
      <c r="G131" s="333">
        <f>IF('Simulador - 1º Pilar'!$E$99="Sí",IF('Aportaciones PPE'!$B$13&lt;'Aportaciones PPE'!E131,0,F131*$B$8/12),F131*$B$8/12)</f>
      </c>
      <c r="H131" s="333">
        <f>$H$5*G131</f>
      </c>
      <c r="I131" s="333">
        <f>$I$5*G131</f>
      </c>
      <c r="J131" s="333">
        <f>+I131</f>
      </c>
      <c r="K131" s="333">
        <f>(1+$O$5)^(D131/12)*(H131+IF(AND(F131=1,F132=0),$S$4,0))</f>
      </c>
      <c r="L131" s="333">
        <f>(1+$O$5)^(D131/12)*(I131+IF(AND(F131=1,F132=0),0))</f>
      </c>
      <c r="M131" s="333">
        <f>+L131</f>
      </c>
      <c r="N131" s="333">
        <f>L131+K131+M131</f>
      </c>
      <c r="O131" s="170"/>
      <c r="P131" s="7"/>
      <c r="Q131" s="1"/>
      <c r="R131" s="331">
        <f>D131</f>
      </c>
      <c r="S131" s="169"/>
      <c r="T131" s="1"/>
      <c r="U131" s="217"/>
      <c r="V131" s="331">
        <f>+IF(V130=11,12,IF(V130=12,1,V130+1))</f>
      </c>
      <c r="W131" s="331">
        <f>+W130+IF(V130=12,1,0)</f>
      </c>
      <c r="X131" s="555">
        <f>+DATE(W131,V131,1)</f>
        <v>25569.041666666668</v>
      </c>
      <c r="Y131" s="333">
        <f>+_xlfn.IFNA(AN131+AS131+AX131,0)</f>
      </c>
      <c r="Z131" s="333">
        <f>+_xlfn.IFNA(AO131+AT131+AY131,0)</f>
      </c>
      <c r="AA131" s="333">
        <f>Y131*(1+$O$5)^(($B$7-X131)/365.25)</f>
      </c>
      <c r="AB131" s="333">
        <f>Z131*(1+$O$5)^(($B$7-X131)/365.25)</f>
      </c>
      <c r="AC131" s="1"/>
      <c r="AD131" s="1"/>
      <c r="AE131" s="1"/>
      <c r="AF131" s="111">
        <f>+MONTH(E131)&amp;YEAR(E131)</f>
      </c>
      <c r="AG131" s="217">
        <f>+I131</f>
      </c>
      <c r="AH131" s="217">
        <f>+J131</f>
      </c>
      <c r="AI131" s="217">
        <f>+H131</f>
      </c>
      <c r="AJ131" s="111">
        <f>+V131&amp;W131</f>
      </c>
      <c r="AK131" s="217">
        <f>+_xlfn.IFNA(VLOOKUP(AJ131,$AF$7:$AG$1066,2,0),0)</f>
      </c>
      <c r="AL131" s="217">
        <f>+IF(W131&gt;W130,AK131,AL130+AK131)</f>
      </c>
      <c r="AM131" s="217">
        <f>IF(W131&gt;W130,IF(AL131&gt;=$AZ$8,$AZ$8,AL131),IF(OR(AM130=$AZ$8,AM130=0),0,IF(AL131&gt;=$AZ$8,$AZ$8,AL131)))</f>
      </c>
      <c r="AN131" s="748">
        <f>+IF(OR(AM131&gt;AZ130,AM131=0),0,IF(AM131=AL131,AK131,$AZ$7-AL130))</f>
      </c>
      <c r="AO131" s="748">
        <f>+AK131-AN131</f>
      </c>
      <c r="AP131" s="217">
        <f>+_xlfn.IFNA(VLOOKUP(AJ131,$AF$7:$AI$1066,3,0),0)</f>
      </c>
      <c r="AQ131" s="217">
        <f>+IF(W131&gt;W130,AP131,AQ130+AP131)</f>
      </c>
      <c r="AR131" s="217">
        <f>+MAX($AM$2-SUMIF($W$7:$W$1066,W131,$AN$7:$AN$1066),0)</f>
      </c>
      <c r="AS131" s="748">
        <f>+MAX(IF(AQ131&gt;AR131,AR131-AQ130,AP131),0)</f>
      </c>
      <c r="AT131" s="748">
        <f>+AP131-AS131</f>
      </c>
      <c r="AU131" s="217">
        <f>+_xlfn.IFNA(VLOOKUP(AJ131,$AF$7:$AI$1066,4,0),0)</f>
      </c>
      <c r="AV131" s="217">
        <f>+IF(W131&gt;W130,AU131,AV130+AU131)</f>
      </c>
      <c r="AW131" s="217">
        <f>+MAX($AM$2-SUMIF($W$7:$W$1066,W131,$AN$7:$AN$1066)-SUMIF($W$7:$W$1066,W131,$AS$7:$AS$1066),0)</f>
      </c>
      <c r="AX131" s="748">
        <f>+MAX(IF(AV131&gt;AW131,AW131-AV130,AU131),0)</f>
      </c>
      <c r="AY131" s="748">
        <f>+AU131-AX131</f>
      </c>
      <c r="AZ131" s="331">
        <f>+$AM$1+IF($AP$1&gt;$AP$2,$AM$3/2)</f>
      </c>
    </row>
    <row x14ac:dyDescent="0.25" r="132" customHeight="1" ht="18.75">
      <c r="A132" s="1"/>
      <c r="B132" s="7"/>
      <c r="C132" s="170"/>
      <c r="D132" s="331">
        <v>125</v>
      </c>
      <c r="E132" s="544">
        <f>+DATE(YEAR(E131),MONTH(E131)-1,DAY(E131))</f>
        <v>25569.041666666668</v>
      </c>
      <c r="F132" s="333">
        <f>IF(DATE(YEAR($B$6),MONTH($B$6)+1,DAY(1))=E132,1,IF(MONTH(E132)=1,F133*(1+$F$5),F133))</f>
      </c>
      <c r="G132" s="333">
        <f>IF('Simulador - 1º Pilar'!$E$99="Sí",IF('Aportaciones PPE'!$B$13&lt;'Aportaciones PPE'!E132,0,F132*$B$8/12),F132*$B$8/12)</f>
      </c>
      <c r="H132" s="333">
        <f>$H$5*G132</f>
      </c>
      <c r="I132" s="333">
        <f>$I$5*G132</f>
      </c>
      <c r="J132" s="333">
        <f>+I132</f>
      </c>
      <c r="K132" s="333">
        <f>(1+$O$5)^(D132/12)*(H132+IF(AND(F132=1,F133=0),$S$4,0))</f>
      </c>
      <c r="L132" s="333">
        <f>(1+$O$5)^(D132/12)*(I132+IF(AND(F132=1,F133=0),0))</f>
      </c>
      <c r="M132" s="333">
        <f>+L132</f>
      </c>
      <c r="N132" s="333">
        <f>L132+K132+M132</f>
      </c>
      <c r="O132" s="170"/>
      <c r="P132" s="7"/>
      <c r="Q132" s="1"/>
      <c r="R132" s="331">
        <f>D132</f>
      </c>
      <c r="S132" s="169"/>
      <c r="T132" s="1"/>
      <c r="U132" s="217"/>
      <c r="V132" s="331">
        <f>+IF(V131=11,12,IF(V131=12,1,V131+1))</f>
      </c>
      <c r="W132" s="331">
        <f>+W131+IF(V131=12,1,0)</f>
      </c>
      <c r="X132" s="555">
        <f>+DATE(W132,V132,1)</f>
        <v>25569.041666666668</v>
      </c>
      <c r="Y132" s="333">
        <f>+_xlfn.IFNA(AN132+AS132+AX132,0)</f>
      </c>
      <c r="Z132" s="333">
        <f>+_xlfn.IFNA(AO132+AT132+AY132,0)</f>
      </c>
      <c r="AA132" s="333">
        <f>Y132*(1+$O$5)^(($B$7-X132)/365.25)</f>
      </c>
      <c r="AB132" s="333">
        <f>Z132*(1+$O$5)^(($B$7-X132)/365.25)</f>
      </c>
      <c r="AC132" s="1"/>
      <c r="AD132" s="1"/>
      <c r="AE132" s="1"/>
      <c r="AF132" s="111">
        <f>+MONTH(E132)&amp;YEAR(E132)</f>
      </c>
      <c r="AG132" s="217">
        <f>+I132</f>
      </c>
      <c r="AH132" s="217">
        <f>+J132</f>
      </c>
      <c r="AI132" s="217">
        <f>+H132</f>
      </c>
      <c r="AJ132" s="111">
        <f>+V132&amp;W132</f>
      </c>
      <c r="AK132" s="217">
        <f>+_xlfn.IFNA(VLOOKUP(AJ132,$AF$7:$AG$1066,2,0),0)</f>
      </c>
      <c r="AL132" s="217">
        <f>+IF(W132&gt;W131,AK132,AL131+AK132)</f>
      </c>
      <c r="AM132" s="217">
        <f>IF(W132&gt;W131,IF(AL132&gt;=$AZ$8,$AZ$8,AL132),IF(OR(AM131=$AZ$8,AM131=0),0,IF(AL132&gt;=$AZ$8,$AZ$8,AL132)))</f>
      </c>
      <c r="AN132" s="748">
        <f>+IF(OR(AM132&gt;AZ131,AM132=0),0,IF(AM132=AL132,AK132,$AZ$7-AL131))</f>
      </c>
      <c r="AO132" s="748">
        <f>+AK132-AN132</f>
      </c>
      <c r="AP132" s="217">
        <f>+_xlfn.IFNA(VLOOKUP(AJ132,$AF$7:$AI$1066,3,0),0)</f>
      </c>
      <c r="AQ132" s="217">
        <f>+IF(W132&gt;W131,AP132,AQ131+AP132)</f>
      </c>
      <c r="AR132" s="217">
        <f>+MAX($AM$2-SUMIF($W$7:$W$1066,W132,$AN$7:$AN$1066),0)</f>
      </c>
      <c r="AS132" s="748">
        <f>+MAX(IF(AQ132&gt;AR132,AR132-AQ131,AP132),0)</f>
      </c>
      <c r="AT132" s="748">
        <f>+AP132-AS132</f>
      </c>
      <c r="AU132" s="217">
        <f>+_xlfn.IFNA(VLOOKUP(AJ132,$AF$7:$AI$1066,4,0),0)</f>
      </c>
      <c r="AV132" s="217">
        <f>+IF(W132&gt;W131,AU132,AV131+AU132)</f>
      </c>
      <c r="AW132" s="217">
        <f>+MAX($AM$2-SUMIF($W$7:$W$1066,W132,$AN$7:$AN$1066)-SUMIF($W$7:$W$1066,W132,$AS$7:$AS$1066),0)</f>
      </c>
      <c r="AX132" s="748">
        <f>+MAX(IF(AV132&gt;AW132,AW132-AV131,AU132),0)</f>
      </c>
      <c r="AY132" s="748">
        <f>+AU132-AX132</f>
      </c>
      <c r="AZ132" s="331">
        <f>+$AM$1+IF($AP$1&gt;$AP$2,$AM$3/2)</f>
      </c>
    </row>
    <row x14ac:dyDescent="0.25" r="133" customHeight="1" ht="18.75">
      <c r="A133" s="1"/>
      <c r="B133" s="7"/>
      <c r="C133" s="170"/>
      <c r="D133" s="331">
        <v>126</v>
      </c>
      <c r="E133" s="544">
        <f>+DATE(YEAR(E132),MONTH(E132)-1,DAY(E132))</f>
        <v>25569.041666666668</v>
      </c>
      <c r="F133" s="333">
        <f>IF(DATE(YEAR($B$6),MONTH($B$6)+1,DAY(1))=E133,1,IF(MONTH(E133)=1,F134*(1+$F$5),F134))</f>
      </c>
      <c r="G133" s="333">
        <f>IF('Simulador - 1º Pilar'!$E$99="Sí",IF('Aportaciones PPE'!$B$13&lt;'Aportaciones PPE'!E133,0,F133*$B$8/12),F133*$B$8/12)</f>
      </c>
      <c r="H133" s="333">
        <f>$H$5*G133</f>
      </c>
      <c r="I133" s="333">
        <f>$I$5*G133</f>
      </c>
      <c r="J133" s="333">
        <f>+I133</f>
      </c>
      <c r="K133" s="333">
        <f>(1+$O$5)^(D133/12)*(H133+IF(AND(F133=1,F134=0),$S$4,0))</f>
      </c>
      <c r="L133" s="333">
        <f>(1+$O$5)^(D133/12)*(I133+IF(AND(F133=1,F134=0),0))</f>
      </c>
      <c r="M133" s="333">
        <f>+L133</f>
      </c>
      <c r="N133" s="333">
        <f>L133+K133+M133</f>
      </c>
      <c r="O133" s="170"/>
      <c r="P133" s="7"/>
      <c r="Q133" s="1"/>
      <c r="R133" s="331">
        <f>D133</f>
      </c>
      <c r="S133" s="169"/>
      <c r="T133" s="1"/>
      <c r="U133" s="217"/>
      <c r="V133" s="331">
        <f>+IF(V132=11,12,IF(V132=12,1,V132+1))</f>
      </c>
      <c r="W133" s="331">
        <f>+W132+IF(V132=12,1,0)</f>
      </c>
      <c r="X133" s="555">
        <f>+DATE(W133,V133,1)</f>
        <v>25569.041666666668</v>
      </c>
      <c r="Y133" s="333">
        <f>+_xlfn.IFNA(AN133+AS133+AX133,0)</f>
      </c>
      <c r="Z133" s="333">
        <f>+_xlfn.IFNA(AO133+AT133+AY133,0)</f>
      </c>
      <c r="AA133" s="333">
        <f>Y133*(1+$O$5)^(($B$7-X133)/365.25)</f>
      </c>
      <c r="AB133" s="333">
        <f>Z133*(1+$O$5)^(($B$7-X133)/365.25)</f>
      </c>
      <c r="AC133" s="1"/>
      <c r="AD133" s="1"/>
      <c r="AE133" s="1"/>
      <c r="AF133" s="111">
        <f>+MONTH(E133)&amp;YEAR(E133)</f>
      </c>
      <c r="AG133" s="217">
        <f>+I133</f>
      </c>
      <c r="AH133" s="217">
        <f>+J133</f>
      </c>
      <c r="AI133" s="217">
        <f>+H133</f>
      </c>
      <c r="AJ133" s="111">
        <f>+V133&amp;W133</f>
      </c>
      <c r="AK133" s="217">
        <f>+_xlfn.IFNA(VLOOKUP(AJ133,$AF$7:$AG$1066,2,0),0)</f>
      </c>
      <c r="AL133" s="217">
        <f>+IF(W133&gt;W132,AK133,AL132+AK133)</f>
      </c>
      <c r="AM133" s="217">
        <f>IF(W133&gt;W132,IF(AL133&gt;=$AZ$8,$AZ$8,AL133),IF(OR(AM132=$AZ$8,AM132=0),0,IF(AL133&gt;=$AZ$8,$AZ$8,AL133)))</f>
      </c>
      <c r="AN133" s="748">
        <f>+IF(OR(AM133&gt;AZ132,AM133=0),0,IF(AM133=AL133,AK133,$AZ$7-AL132))</f>
      </c>
      <c r="AO133" s="748">
        <f>+AK133-AN133</f>
      </c>
      <c r="AP133" s="217">
        <f>+_xlfn.IFNA(VLOOKUP(AJ133,$AF$7:$AI$1066,3,0),0)</f>
      </c>
      <c r="AQ133" s="217">
        <f>+IF(W133&gt;W132,AP133,AQ132+AP133)</f>
      </c>
      <c r="AR133" s="217">
        <f>+MAX($AM$2-SUMIF($W$7:$W$1066,W133,$AN$7:$AN$1066),0)</f>
      </c>
      <c r="AS133" s="748">
        <f>+MAX(IF(AQ133&gt;AR133,AR133-AQ132,AP133),0)</f>
      </c>
      <c r="AT133" s="748">
        <f>+AP133-AS133</f>
      </c>
      <c r="AU133" s="217">
        <f>+_xlfn.IFNA(VLOOKUP(AJ133,$AF$7:$AI$1066,4,0),0)</f>
      </c>
      <c r="AV133" s="217">
        <f>+IF(W133&gt;W132,AU133,AV132+AU133)</f>
      </c>
      <c r="AW133" s="217">
        <f>+MAX($AM$2-SUMIF($W$7:$W$1066,W133,$AN$7:$AN$1066)-SUMIF($W$7:$W$1066,W133,$AS$7:$AS$1066),0)</f>
      </c>
      <c r="AX133" s="748">
        <f>+MAX(IF(AV133&gt;AW133,AW133-AV132,AU133),0)</f>
      </c>
      <c r="AY133" s="748">
        <f>+AU133-AX133</f>
      </c>
      <c r="AZ133" s="331">
        <f>+$AM$1+IF($AP$1&gt;$AP$2,$AM$3/2)</f>
      </c>
    </row>
    <row x14ac:dyDescent="0.25" r="134" customHeight="1" ht="18.75">
      <c r="A134" s="1"/>
      <c r="B134" s="7"/>
      <c r="C134" s="170"/>
      <c r="D134" s="331">
        <v>127</v>
      </c>
      <c r="E134" s="544">
        <f>+DATE(YEAR(E133),MONTH(E133)-1,DAY(E133))</f>
        <v>25569.041666666668</v>
      </c>
      <c r="F134" s="333">
        <f>IF(DATE(YEAR($B$6),MONTH($B$6)+1,DAY(1))=E134,1,IF(MONTH(E134)=1,F135*(1+$F$5),F135))</f>
      </c>
      <c r="G134" s="333">
        <f>IF('Simulador - 1º Pilar'!$E$99="Sí",IF('Aportaciones PPE'!$B$13&lt;'Aportaciones PPE'!E134,0,F134*$B$8/12),F134*$B$8/12)</f>
      </c>
      <c r="H134" s="333">
        <f>$H$5*G134</f>
      </c>
      <c r="I134" s="333">
        <f>$I$5*G134</f>
      </c>
      <c r="J134" s="333">
        <f>+I134</f>
      </c>
      <c r="K134" s="333">
        <f>(1+$O$5)^(D134/12)*(H134+IF(AND(F134=1,F135=0),$S$4,0))</f>
      </c>
      <c r="L134" s="333">
        <f>(1+$O$5)^(D134/12)*(I134+IF(AND(F134=1,F135=0),0))</f>
      </c>
      <c r="M134" s="333">
        <f>+L134</f>
      </c>
      <c r="N134" s="333">
        <f>L134+K134+M134</f>
      </c>
      <c r="O134" s="170"/>
      <c r="P134" s="7"/>
      <c r="Q134" s="1"/>
      <c r="R134" s="331">
        <f>D134</f>
      </c>
      <c r="S134" s="169"/>
      <c r="T134" s="1"/>
      <c r="U134" s="217"/>
      <c r="V134" s="331">
        <f>+IF(V133=11,12,IF(V133=12,1,V133+1))</f>
      </c>
      <c r="W134" s="331">
        <f>+W133+IF(V133=12,1,0)</f>
      </c>
      <c r="X134" s="555">
        <f>+DATE(W134,V134,1)</f>
        <v>25569.041666666668</v>
      </c>
      <c r="Y134" s="333">
        <f>+_xlfn.IFNA(AN134+AS134+AX134,0)</f>
      </c>
      <c r="Z134" s="333">
        <f>+_xlfn.IFNA(AO134+AT134+AY134,0)</f>
      </c>
      <c r="AA134" s="333">
        <f>Y134*(1+$O$5)^(($B$7-X134)/365.25)</f>
      </c>
      <c r="AB134" s="333">
        <f>Z134*(1+$O$5)^(($B$7-X134)/365.25)</f>
      </c>
      <c r="AC134" s="1"/>
      <c r="AD134" s="1"/>
      <c r="AE134" s="1"/>
      <c r="AF134" s="111">
        <f>+MONTH(E134)&amp;YEAR(E134)</f>
      </c>
      <c r="AG134" s="217">
        <f>+I134</f>
      </c>
      <c r="AH134" s="217">
        <f>+J134</f>
      </c>
      <c r="AI134" s="217">
        <f>+H134</f>
      </c>
      <c r="AJ134" s="111">
        <f>+V134&amp;W134</f>
      </c>
      <c r="AK134" s="217">
        <f>+_xlfn.IFNA(VLOOKUP(AJ134,$AF$7:$AG$1066,2,0),0)</f>
      </c>
      <c r="AL134" s="217">
        <f>+IF(W134&gt;W133,AK134,AL133+AK134)</f>
      </c>
      <c r="AM134" s="217">
        <f>IF(W134&gt;W133,IF(AL134&gt;=$AZ$8,$AZ$8,AL134),IF(OR(AM133=$AZ$8,AM133=0),0,IF(AL134&gt;=$AZ$8,$AZ$8,AL134)))</f>
      </c>
      <c r="AN134" s="748">
        <f>+IF(OR(AM134&gt;AZ133,AM134=0),0,IF(AM134=AL134,AK134,$AZ$7-AL133))</f>
      </c>
      <c r="AO134" s="748">
        <f>+AK134-AN134</f>
      </c>
      <c r="AP134" s="217">
        <f>+_xlfn.IFNA(VLOOKUP(AJ134,$AF$7:$AI$1066,3,0),0)</f>
      </c>
      <c r="AQ134" s="217">
        <f>+IF(W134&gt;W133,AP134,AQ133+AP134)</f>
      </c>
      <c r="AR134" s="217">
        <f>+MAX($AM$2-SUMIF($W$7:$W$1066,W134,$AN$7:$AN$1066),0)</f>
      </c>
      <c r="AS134" s="748">
        <f>+MAX(IF(AQ134&gt;AR134,AR134-AQ133,AP134),0)</f>
      </c>
      <c r="AT134" s="748">
        <f>+AP134-AS134</f>
      </c>
      <c r="AU134" s="217">
        <f>+_xlfn.IFNA(VLOOKUP(AJ134,$AF$7:$AI$1066,4,0),0)</f>
      </c>
      <c r="AV134" s="217">
        <f>+IF(W134&gt;W133,AU134,AV133+AU134)</f>
      </c>
      <c r="AW134" s="217">
        <f>+MAX($AM$2-SUMIF($W$7:$W$1066,W134,$AN$7:$AN$1066)-SUMIF($W$7:$W$1066,W134,$AS$7:$AS$1066),0)</f>
      </c>
      <c r="AX134" s="748">
        <f>+MAX(IF(AV134&gt;AW134,AW134-AV133,AU134),0)</f>
      </c>
      <c r="AY134" s="748">
        <f>+AU134-AX134</f>
      </c>
      <c r="AZ134" s="331">
        <f>+$AM$1+IF($AP$1&gt;$AP$2,$AM$3/2)</f>
      </c>
    </row>
    <row x14ac:dyDescent="0.25" r="135" customHeight="1" ht="18.75">
      <c r="A135" s="1"/>
      <c r="B135" s="7"/>
      <c r="C135" s="170"/>
      <c r="D135" s="331">
        <v>128</v>
      </c>
      <c r="E135" s="544">
        <f>+DATE(YEAR(E134),MONTH(E134)-1,DAY(E134))</f>
        <v>25569.041666666668</v>
      </c>
      <c r="F135" s="333">
        <f>IF(DATE(YEAR($B$6),MONTH($B$6)+1,DAY(1))=E135,1,IF(MONTH(E135)=1,F136*(1+$F$5),F136))</f>
      </c>
      <c r="G135" s="333">
        <f>IF('Simulador - 1º Pilar'!$E$99="Sí",IF('Aportaciones PPE'!$B$13&lt;'Aportaciones PPE'!E135,0,F135*$B$8/12),F135*$B$8/12)</f>
      </c>
      <c r="H135" s="333">
        <f>$H$5*G135</f>
      </c>
      <c r="I135" s="333">
        <f>$I$5*G135</f>
      </c>
      <c r="J135" s="333">
        <f>+I135</f>
      </c>
      <c r="K135" s="333">
        <f>(1+$O$5)^(D135/12)*(H135+IF(AND(F135=1,F136=0),$S$4,0))</f>
      </c>
      <c r="L135" s="333">
        <f>(1+$O$5)^(D135/12)*(I135+IF(AND(F135=1,F136=0),0))</f>
      </c>
      <c r="M135" s="333">
        <f>+L135</f>
      </c>
      <c r="N135" s="333">
        <f>L135+K135+M135</f>
      </c>
      <c r="O135" s="170"/>
      <c r="P135" s="7"/>
      <c r="Q135" s="1"/>
      <c r="R135" s="331">
        <f>D135</f>
      </c>
      <c r="S135" s="169"/>
      <c r="T135" s="1"/>
      <c r="U135" s="217"/>
      <c r="V135" s="331">
        <f>+IF(V134=11,12,IF(V134=12,1,V134+1))</f>
      </c>
      <c r="W135" s="331">
        <f>+W134+IF(V134=12,1,0)</f>
      </c>
      <c r="X135" s="555">
        <f>+DATE(W135,V135,1)</f>
        <v>25569.041666666668</v>
      </c>
      <c r="Y135" s="333">
        <f>+_xlfn.IFNA(AN135+AS135+AX135,0)</f>
      </c>
      <c r="Z135" s="333">
        <f>+_xlfn.IFNA(AO135+AT135+AY135,0)</f>
      </c>
      <c r="AA135" s="333">
        <f>Y135*(1+$O$5)^(($B$7-X135)/365.25)</f>
      </c>
      <c r="AB135" s="333">
        <f>Z135*(1+$O$5)^(($B$7-X135)/365.25)</f>
      </c>
      <c r="AC135" s="1"/>
      <c r="AD135" s="1"/>
      <c r="AE135" s="1"/>
      <c r="AF135" s="111">
        <f>+MONTH(E135)&amp;YEAR(E135)</f>
      </c>
      <c r="AG135" s="217">
        <f>+I135</f>
      </c>
      <c r="AH135" s="217">
        <f>+J135</f>
      </c>
      <c r="AI135" s="217">
        <f>+H135</f>
      </c>
      <c r="AJ135" s="111">
        <f>+V135&amp;W135</f>
      </c>
      <c r="AK135" s="217">
        <f>+_xlfn.IFNA(VLOOKUP(AJ135,$AF$7:$AG$1066,2,0),0)</f>
      </c>
      <c r="AL135" s="217">
        <f>+IF(W135&gt;W134,AK135,AL134+AK135)</f>
      </c>
      <c r="AM135" s="217">
        <f>IF(W135&gt;W134,IF(AL135&gt;=$AZ$8,$AZ$8,AL135),IF(OR(AM134=$AZ$8,AM134=0),0,IF(AL135&gt;=$AZ$8,$AZ$8,AL135)))</f>
      </c>
      <c r="AN135" s="748">
        <f>+IF(OR(AM135&gt;AZ134,AM135=0),0,IF(AM135=AL135,AK135,$AZ$7-AL134))</f>
      </c>
      <c r="AO135" s="748">
        <f>+AK135-AN135</f>
      </c>
      <c r="AP135" s="217">
        <f>+_xlfn.IFNA(VLOOKUP(AJ135,$AF$7:$AI$1066,3,0),0)</f>
      </c>
      <c r="AQ135" s="217">
        <f>+IF(W135&gt;W134,AP135,AQ134+AP135)</f>
      </c>
      <c r="AR135" s="217">
        <f>+MAX($AM$2-SUMIF($W$7:$W$1066,W135,$AN$7:$AN$1066),0)</f>
      </c>
      <c r="AS135" s="748">
        <f>+MAX(IF(AQ135&gt;AR135,AR135-AQ134,AP135),0)</f>
      </c>
      <c r="AT135" s="748">
        <f>+AP135-AS135</f>
      </c>
      <c r="AU135" s="217">
        <f>+_xlfn.IFNA(VLOOKUP(AJ135,$AF$7:$AI$1066,4,0),0)</f>
      </c>
      <c r="AV135" s="217">
        <f>+IF(W135&gt;W134,AU135,AV134+AU135)</f>
      </c>
      <c r="AW135" s="217">
        <f>+MAX($AM$2-SUMIF($W$7:$W$1066,W135,$AN$7:$AN$1066)-SUMIF($W$7:$W$1066,W135,$AS$7:$AS$1066),0)</f>
      </c>
      <c r="AX135" s="748">
        <f>+MAX(IF(AV135&gt;AW135,AW135-AV134,AU135),0)</f>
      </c>
      <c r="AY135" s="748">
        <f>+AU135-AX135</f>
      </c>
      <c r="AZ135" s="331">
        <f>+$AM$1+IF($AP$1&gt;$AP$2,$AM$3/2)</f>
      </c>
    </row>
    <row x14ac:dyDescent="0.25" r="136" customHeight="1" ht="18.75">
      <c r="A136" s="1"/>
      <c r="B136" s="7"/>
      <c r="C136" s="217"/>
      <c r="D136" s="331">
        <v>129</v>
      </c>
      <c r="E136" s="544">
        <f>+DATE(YEAR(E135),MONTH(E135)-1,DAY(E135))</f>
        <v>25569.041666666668</v>
      </c>
      <c r="F136" s="333">
        <f>IF(DATE(YEAR($B$6),MONTH($B$6)+1,DAY(1))=E136,1,IF(MONTH(E136)=1,F137*(1+$F$5),F137))</f>
      </c>
      <c r="G136" s="333">
        <f>IF('Simulador - 1º Pilar'!$E$99="Sí",IF('Aportaciones PPE'!$B$13&lt;'Aportaciones PPE'!E136,0,F136*$B$8/12),F136*$B$8/12)</f>
      </c>
      <c r="H136" s="333">
        <f>$H$5*G136</f>
      </c>
      <c r="I136" s="333">
        <f>$I$5*G136</f>
      </c>
      <c r="J136" s="333">
        <f>+I136</f>
      </c>
      <c r="K136" s="333">
        <f>(1+$O$5)^(D136/12)*(H136+IF(AND(F136=1,F137=0),$S$4,0))</f>
      </c>
      <c r="L136" s="333">
        <f>(1+$O$5)^(D136/12)*(I136+IF(AND(F136=1,F137=0),0))</f>
      </c>
      <c r="M136" s="333">
        <f>+L136</f>
      </c>
      <c r="N136" s="333">
        <f>L136+K136+M136</f>
      </c>
      <c r="O136" s="170"/>
      <c r="P136" s="7"/>
      <c r="Q136" s="1"/>
      <c r="R136" s="331">
        <f>D136</f>
      </c>
      <c r="S136" s="169"/>
      <c r="T136" s="1"/>
      <c r="U136" s="217"/>
      <c r="V136" s="331">
        <f>+IF(V135=11,12,IF(V135=12,1,V135+1))</f>
      </c>
      <c r="W136" s="331">
        <f>+W135+IF(V135=12,1,0)</f>
      </c>
      <c r="X136" s="555">
        <f>+DATE(W136,V136,1)</f>
        <v>25569.041666666668</v>
      </c>
      <c r="Y136" s="333">
        <f>+_xlfn.IFNA(AN136+AS136+AX136,0)</f>
      </c>
      <c r="Z136" s="333">
        <f>+_xlfn.IFNA(AO136+AT136+AY136,0)</f>
      </c>
      <c r="AA136" s="333">
        <f>Y136*(1+$O$5)^(($B$7-X136)/365.25)</f>
      </c>
      <c r="AB136" s="333">
        <f>Z136*(1+$O$5)^(($B$7-X136)/365.25)</f>
      </c>
      <c r="AC136" s="1"/>
      <c r="AD136" s="1"/>
      <c r="AE136" s="1"/>
      <c r="AF136" s="111">
        <f>+MONTH(E136)&amp;YEAR(E136)</f>
      </c>
      <c r="AG136" s="217">
        <f>+I136</f>
      </c>
      <c r="AH136" s="217">
        <f>+J136</f>
      </c>
      <c r="AI136" s="217">
        <f>+H136</f>
      </c>
      <c r="AJ136" s="111">
        <f>+V136&amp;W136</f>
      </c>
      <c r="AK136" s="217">
        <f>+_xlfn.IFNA(VLOOKUP(AJ136,$AF$7:$AG$1066,2,0),0)</f>
      </c>
      <c r="AL136" s="217">
        <f>+IF(W136&gt;W135,AK136,AL135+AK136)</f>
      </c>
      <c r="AM136" s="217">
        <f>IF(W136&gt;W135,IF(AL136&gt;=$AZ$8,$AZ$8,AL136),IF(OR(AM135=$AZ$8,AM135=0),0,IF(AL136&gt;=$AZ$8,$AZ$8,AL136)))</f>
      </c>
      <c r="AN136" s="748">
        <f>+IF(OR(AM136&gt;AZ135,AM136=0),0,IF(AM136=AL136,AK136,$AZ$7-AL135))</f>
      </c>
      <c r="AO136" s="748">
        <f>+AK136-AN136</f>
      </c>
      <c r="AP136" s="217">
        <f>+_xlfn.IFNA(VLOOKUP(AJ136,$AF$7:$AI$1066,3,0),0)</f>
      </c>
      <c r="AQ136" s="217">
        <f>+IF(W136&gt;W135,AP136,AQ135+AP136)</f>
      </c>
      <c r="AR136" s="217">
        <f>+MAX($AM$2-SUMIF($W$7:$W$1066,W136,$AN$7:$AN$1066),0)</f>
      </c>
      <c r="AS136" s="748">
        <f>+MAX(IF(AQ136&gt;AR136,AR136-AQ135,AP136),0)</f>
      </c>
      <c r="AT136" s="748">
        <f>+AP136-AS136</f>
      </c>
      <c r="AU136" s="217">
        <f>+_xlfn.IFNA(VLOOKUP(AJ136,$AF$7:$AI$1066,4,0),0)</f>
      </c>
      <c r="AV136" s="217">
        <f>+IF(W136&gt;W135,AU136,AV135+AU136)</f>
      </c>
      <c r="AW136" s="217">
        <f>+MAX($AM$2-SUMIF($W$7:$W$1066,W136,$AN$7:$AN$1066)-SUMIF($W$7:$W$1066,W136,$AS$7:$AS$1066),0)</f>
      </c>
      <c r="AX136" s="748">
        <f>+MAX(IF(AV136&gt;AW136,AW136-AV135,AU136),0)</f>
      </c>
      <c r="AY136" s="748">
        <f>+AU136-AX136</f>
      </c>
      <c r="AZ136" s="331">
        <f>+$AM$1+IF($AP$1&gt;$AP$2,$AM$3/2)</f>
      </c>
    </row>
    <row x14ac:dyDescent="0.25" r="137" customHeight="1" ht="18.75">
      <c r="A137" s="1"/>
      <c r="B137" s="7"/>
      <c r="C137" s="170"/>
      <c r="D137" s="331">
        <v>130</v>
      </c>
      <c r="E137" s="544">
        <f>+DATE(YEAR(E136),MONTH(E136)-1,DAY(E136))</f>
        <v>25569.041666666668</v>
      </c>
      <c r="F137" s="333">
        <f>IF(DATE(YEAR($B$6),MONTH($B$6)+1,DAY(1))=E137,1,IF(MONTH(E137)=1,F138*(1+$F$5),F138))</f>
      </c>
      <c r="G137" s="333">
        <f>IF('Simulador - 1º Pilar'!$E$99="Sí",IF('Aportaciones PPE'!$B$13&lt;'Aportaciones PPE'!E137,0,F137*$B$8/12),F137*$B$8/12)</f>
      </c>
      <c r="H137" s="333">
        <f>$H$5*G137</f>
      </c>
      <c r="I137" s="333">
        <f>$I$5*G137</f>
      </c>
      <c r="J137" s="333">
        <f>+I137</f>
      </c>
      <c r="K137" s="333">
        <f>(1+$O$5)^(D137/12)*(H137+IF(AND(F137=1,F138=0),$S$4,0))</f>
      </c>
      <c r="L137" s="333">
        <f>(1+$O$5)^(D137/12)*(I137+IF(AND(F137=1,F138=0),0))</f>
      </c>
      <c r="M137" s="333">
        <f>+L137</f>
      </c>
      <c r="N137" s="333">
        <f>L137+K137+M137</f>
      </c>
      <c r="O137" s="170"/>
      <c r="P137" s="7"/>
      <c r="Q137" s="1"/>
      <c r="R137" s="331">
        <f>D137</f>
      </c>
      <c r="S137" s="169"/>
      <c r="T137" s="1"/>
      <c r="U137" s="217"/>
      <c r="V137" s="331">
        <f>+IF(V136=11,12,IF(V136=12,1,V136+1))</f>
      </c>
      <c r="W137" s="331">
        <f>+W136+IF(V136=12,1,0)</f>
      </c>
      <c r="X137" s="555">
        <f>+DATE(W137,V137,1)</f>
        <v>25569.041666666668</v>
      </c>
      <c r="Y137" s="333">
        <f>+_xlfn.IFNA(AN137+AS137+AX137,0)</f>
      </c>
      <c r="Z137" s="333">
        <f>+_xlfn.IFNA(AO137+AT137+AY137,0)</f>
      </c>
      <c r="AA137" s="333">
        <f>Y137*(1+$O$5)^(($B$7-X137)/365.25)</f>
      </c>
      <c r="AB137" s="333">
        <f>Z137*(1+$O$5)^(($B$7-X137)/365.25)</f>
      </c>
      <c r="AC137" s="1"/>
      <c r="AD137" s="1"/>
      <c r="AE137" s="1"/>
      <c r="AF137" s="111">
        <f>+MONTH(E137)&amp;YEAR(E137)</f>
      </c>
      <c r="AG137" s="217">
        <f>+I137</f>
      </c>
      <c r="AH137" s="217">
        <f>+J137</f>
      </c>
      <c r="AI137" s="217">
        <f>+H137</f>
      </c>
      <c r="AJ137" s="111">
        <f>+V137&amp;W137</f>
      </c>
      <c r="AK137" s="217">
        <f>+_xlfn.IFNA(VLOOKUP(AJ137,$AF$7:$AG$1066,2,0),0)</f>
      </c>
      <c r="AL137" s="217">
        <f>+IF(W137&gt;W136,AK137,AL136+AK137)</f>
      </c>
      <c r="AM137" s="217">
        <f>IF(W137&gt;W136,IF(AL137&gt;=$AZ$8,$AZ$8,AL137),IF(OR(AM136=$AZ$8,AM136=0),0,IF(AL137&gt;=$AZ$8,$AZ$8,AL137)))</f>
      </c>
      <c r="AN137" s="748">
        <f>+IF(OR(AM137&gt;AZ136,AM137=0),0,IF(AM137=AL137,AK137,$AZ$7-AL136))</f>
      </c>
      <c r="AO137" s="748">
        <f>+AK137-AN137</f>
      </c>
      <c r="AP137" s="217">
        <f>+_xlfn.IFNA(VLOOKUP(AJ137,$AF$7:$AI$1066,3,0),0)</f>
      </c>
      <c r="AQ137" s="217">
        <f>+IF(W137&gt;W136,AP137,AQ136+AP137)</f>
      </c>
      <c r="AR137" s="217">
        <f>+MAX($AM$2-SUMIF($W$7:$W$1066,W137,$AN$7:$AN$1066),0)</f>
      </c>
      <c r="AS137" s="748">
        <f>+MAX(IF(AQ137&gt;AR137,AR137-AQ136,AP137),0)</f>
      </c>
      <c r="AT137" s="748">
        <f>+AP137-AS137</f>
      </c>
      <c r="AU137" s="217">
        <f>+_xlfn.IFNA(VLOOKUP(AJ137,$AF$7:$AI$1066,4,0),0)</f>
      </c>
      <c r="AV137" s="217">
        <f>+IF(W137&gt;W136,AU137,AV136+AU137)</f>
      </c>
      <c r="AW137" s="217">
        <f>+MAX($AM$2-SUMIF($W$7:$W$1066,W137,$AN$7:$AN$1066)-SUMIF($W$7:$W$1066,W137,$AS$7:$AS$1066),0)</f>
      </c>
      <c r="AX137" s="748">
        <f>+MAX(IF(AV137&gt;AW137,AW137-AV136,AU137),0)</f>
      </c>
      <c r="AY137" s="748">
        <f>+AU137-AX137</f>
      </c>
      <c r="AZ137" s="331">
        <f>+$AM$1+IF($AP$1&gt;$AP$2,$AM$3/2)</f>
      </c>
    </row>
    <row x14ac:dyDescent="0.25" r="138" customHeight="1" ht="18.75">
      <c r="A138" s="1"/>
      <c r="B138" s="7"/>
      <c r="C138" s="170"/>
      <c r="D138" s="331">
        <v>131</v>
      </c>
      <c r="E138" s="544">
        <f>+DATE(YEAR(E137),MONTH(E137)-1,DAY(E137))</f>
        <v>25569.041666666668</v>
      </c>
      <c r="F138" s="333">
        <f>IF(DATE(YEAR($B$6),MONTH($B$6)+1,DAY(1))=E138,1,IF(MONTH(E138)=1,F139*(1+$F$5),F139))</f>
      </c>
      <c r="G138" s="333">
        <f>IF('Simulador - 1º Pilar'!$E$99="Sí",IF('Aportaciones PPE'!$B$13&lt;'Aportaciones PPE'!E138,0,F138*$B$8/12),F138*$B$8/12)</f>
      </c>
      <c r="H138" s="333">
        <f>$H$5*G138</f>
      </c>
      <c r="I138" s="333">
        <f>$I$5*G138</f>
      </c>
      <c r="J138" s="333">
        <f>+I138</f>
      </c>
      <c r="K138" s="333">
        <f>(1+$O$5)^(D138/12)*(H138+IF(AND(F138=1,F139=0),$S$4,0))</f>
      </c>
      <c r="L138" s="333">
        <f>(1+$O$5)^(D138/12)*(I138+IF(AND(F138=1,F139=0),0))</f>
      </c>
      <c r="M138" s="333">
        <f>+L138</f>
      </c>
      <c r="N138" s="333">
        <f>L138+K138+M138</f>
      </c>
      <c r="O138" s="170"/>
      <c r="P138" s="7"/>
      <c r="Q138" s="1"/>
      <c r="R138" s="331">
        <f>D138</f>
      </c>
      <c r="S138" s="169"/>
      <c r="T138" s="1"/>
      <c r="U138" s="217"/>
      <c r="V138" s="331">
        <f>+IF(V137=11,12,IF(V137=12,1,V137+1))</f>
      </c>
      <c r="W138" s="331">
        <f>+W137+IF(V137=12,1,0)</f>
      </c>
      <c r="X138" s="555">
        <f>+DATE(W138,V138,1)</f>
        <v>25569.041666666668</v>
      </c>
      <c r="Y138" s="333">
        <f>+_xlfn.IFNA(AN138+AS138+AX138,0)</f>
      </c>
      <c r="Z138" s="333">
        <f>+_xlfn.IFNA(AO138+AT138+AY138,0)</f>
      </c>
      <c r="AA138" s="333">
        <f>Y138*(1+$O$5)^(($B$7-X138)/365.25)</f>
      </c>
      <c r="AB138" s="333">
        <f>Z138*(1+$O$5)^(($B$7-X138)/365.25)</f>
      </c>
      <c r="AC138" s="1"/>
      <c r="AD138" s="1"/>
      <c r="AE138" s="1"/>
      <c r="AF138" s="111">
        <f>+MONTH(E138)&amp;YEAR(E138)</f>
      </c>
      <c r="AG138" s="217">
        <f>+I138</f>
      </c>
      <c r="AH138" s="217">
        <f>+J138</f>
      </c>
      <c r="AI138" s="217">
        <f>+H138</f>
      </c>
      <c r="AJ138" s="111">
        <f>+V138&amp;W138</f>
      </c>
      <c r="AK138" s="217">
        <f>+_xlfn.IFNA(VLOOKUP(AJ138,$AF$7:$AG$1066,2,0),0)</f>
      </c>
      <c r="AL138" s="217">
        <f>+IF(W138&gt;W137,AK138,AL137+AK138)</f>
      </c>
      <c r="AM138" s="217">
        <f>IF(W138&gt;W137,IF(AL138&gt;=$AZ$8,$AZ$8,AL138),IF(OR(AM137=$AZ$8,AM137=0),0,IF(AL138&gt;=$AZ$8,$AZ$8,AL138)))</f>
      </c>
      <c r="AN138" s="748">
        <f>+IF(OR(AM138&gt;AZ137,AM138=0),0,IF(AM138=AL138,AK138,$AZ$7-AL137))</f>
      </c>
      <c r="AO138" s="748">
        <f>+AK138-AN138</f>
      </c>
      <c r="AP138" s="217">
        <f>+_xlfn.IFNA(VLOOKUP(AJ138,$AF$7:$AI$1066,3,0),0)</f>
      </c>
      <c r="AQ138" s="217">
        <f>+IF(W138&gt;W137,AP138,AQ137+AP138)</f>
      </c>
      <c r="AR138" s="217">
        <f>+MAX($AM$2-SUMIF($W$7:$W$1066,W138,$AN$7:$AN$1066),0)</f>
      </c>
      <c r="AS138" s="748">
        <f>+MAX(IF(AQ138&gt;AR138,AR138-AQ137,AP138),0)</f>
      </c>
      <c r="AT138" s="748">
        <f>+AP138-AS138</f>
      </c>
      <c r="AU138" s="217">
        <f>+_xlfn.IFNA(VLOOKUP(AJ138,$AF$7:$AI$1066,4,0),0)</f>
      </c>
      <c r="AV138" s="217">
        <f>+IF(W138&gt;W137,AU138,AV137+AU138)</f>
      </c>
      <c r="AW138" s="217">
        <f>+MAX($AM$2-SUMIF($W$7:$W$1066,W138,$AN$7:$AN$1066)-SUMIF($W$7:$W$1066,W138,$AS$7:$AS$1066),0)</f>
      </c>
      <c r="AX138" s="748">
        <f>+MAX(IF(AV138&gt;AW138,AW138-AV137,AU138),0)</f>
      </c>
      <c r="AY138" s="748">
        <f>+AU138-AX138</f>
      </c>
      <c r="AZ138" s="331">
        <f>+$AM$1+IF($AP$1&gt;$AP$2,$AM$3/2)</f>
      </c>
    </row>
    <row x14ac:dyDescent="0.25" r="139" customHeight="1" ht="18.75">
      <c r="A139" s="1"/>
      <c r="B139" s="7"/>
      <c r="C139" s="170"/>
      <c r="D139" s="331">
        <v>132</v>
      </c>
      <c r="E139" s="544">
        <f>+DATE(YEAR(E138),MONTH(E138)-1,DAY(E138))</f>
        <v>25569.041666666668</v>
      </c>
      <c r="F139" s="333">
        <f>IF(DATE(YEAR($B$6),MONTH($B$6)+1,DAY(1))=E139,1,IF(MONTH(E139)=1,F140*(1+$F$5),F140))</f>
      </c>
      <c r="G139" s="333">
        <f>IF('Simulador - 1º Pilar'!$E$99="Sí",IF('Aportaciones PPE'!$B$13&lt;'Aportaciones PPE'!E139,0,F139*$B$8/12),F139*$B$8/12)</f>
      </c>
      <c r="H139" s="333">
        <f>$H$5*G139</f>
      </c>
      <c r="I139" s="333">
        <f>$I$5*G139</f>
      </c>
      <c r="J139" s="333">
        <f>+I139</f>
      </c>
      <c r="K139" s="333">
        <f>(1+$O$5)^(D139/12)*(H139+IF(AND(F139=1,F140=0),$S$4,0))</f>
      </c>
      <c r="L139" s="333">
        <f>(1+$O$5)^(D139/12)*(I139+IF(AND(F139=1,F140=0),0))</f>
      </c>
      <c r="M139" s="333">
        <f>+L139</f>
      </c>
      <c r="N139" s="333">
        <f>L139+K139+M139</f>
      </c>
      <c r="O139" s="170"/>
      <c r="P139" s="7"/>
      <c r="Q139" s="1"/>
      <c r="R139" s="331">
        <f>D139</f>
      </c>
      <c r="S139" s="169"/>
      <c r="T139" s="1"/>
      <c r="U139" s="217"/>
      <c r="V139" s="331">
        <f>+IF(V138=11,12,IF(V138=12,1,V138+1))</f>
      </c>
      <c r="W139" s="331">
        <f>+W138+IF(V138=12,1,0)</f>
      </c>
      <c r="X139" s="555">
        <f>+DATE(W139,V139,1)</f>
        <v>25569.041666666668</v>
      </c>
      <c r="Y139" s="333">
        <f>+_xlfn.IFNA(AN139+AS139+AX139,0)</f>
      </c>
      <c r="Z139" s="333">
        <f>+_xlfn.IFNA(AO139+AT139+AY139,0)</f>
      </c>
      <c r="AA139" s="333">
        <f>Y139*(1+$O$5)^(($B$7-X139)/365.25)</f>
      </c>
      <c r="AB139" s="333">
        <f>Z139*(1+$O$5)^(($B$7-X139)/365.25)</f>
      </c>
      <c r="AC139" s="1"/>
      <c r="AD139" s="1"/>
      <c r="AE139" s="1"/>
      <c r="AF139" s="111">
        <f>+MONTH(E139)&amp;YEAR(E139)</f>
      </c>
      <c r="AG139" s="217">
        <f>+I139</f>
      </c>
      <c r="AH139" s="217">
        <f>+J139</f>
      </c>
      <c r="AI139" s="217">
        <f>+H139</f>
      </c>
      <c r="AJ139" s="111">
        <f>+V139&amp;W139</f>
      </c>
      <c r="AK139" s="217">
        <f>+_xlfn.IFNA(VLOOKUP(AJ139,$AF$7:$AG$1066,2,0),0)</f>
      </c>
      <c r="AL139" s="217">
        <f>+IF(W139&gt;W138,AK139,AL138+AK139)</f>
      </c>
      <c r="AM139" s="217">
        <f>IF(W139&gt;W138,IF(AL139&gt;=$AZ$8,$AZ$8,AL139),IF(OR(AM138=$AZ$8,AM138=0),0,IF(AL139&gt;=$AZ$8,$AZ$8,AL139)))</f>
      </c>
      <c r="AN139" s="748">
        <f>+IF(OR(AM139&gt;AZ138,AM139=0),0,IF(AM139=AL139,AK139,$AZ$7-AL138))</f>
      </c>
      <c r="AO139" s="748">
        <f>+AK139-AN139</f>
      </c>
      <c r="AP139" s="217">
        <f>+_xlfn.IFNA(VLOOKUP(AJ139,$AF$7:$AI$1066,3,0),0)</f>
      </c>
      <c r="AQ139" s="217">
        <f>+IF(W139&gt;W138,AP139,AQ138+AP139)</f>
      </c>
      <c r="AR139" s="217">
        <f>+MAX($AM$2-SUMIF($W$7:$W$1066,W139,$AN$7:$AN$1066),0)</f>
      </c>
      <c r="AS139" s="748">
        <f>+MAX(IF(AQ139&gt;AR139,AR139-AQ138,AP139),0)</f>
      </c>
      <c r="AT139" s="748">
        <f>+AP139-AS139</f>
      </c>
      <c r="AU139" s="217">
        <f>+_xlfn.IFNA(VLOOKUP(AJ139,$AF$7:$AI$1066,4,0),0)</f>
      </c>
      <c r="AV139" s="217">
        <f>+IF(W139&gt;W138,AU139,AV138+AU139)</f>
      </c>
      <c r="AW139" s="217">
        <f>+MAX($AM$2-SUMIF($W$7:$W$1066,W139,$AN$7:$AN$1066)-SUMIF($W$7:$W$1066,W139,$AS$7:$AS$1066),0)</f>
      </c>
      <c r="AX139" s="748">
        <f>+MAX(IF(AV139&gt;AW139,AW139-AV138,AU139),0)</f>
      </c>
      <c r="AY139" s="748">
        <f>+AU139-AX139</f>
      </c>
      <c r="AZ139" s="331">
        <f>+$AM$1+IF($AP$1&gt;$AP$2,$AM$3/2)</f>
      </c>
    </row>
    <row x14ac:dyDescent="0.25" r="140" customHeight="1" ht="18.75">
      <c r="A140" s="1"/>
      <c r="B140" s="7"/>
      <c r="C140" s="170"/>
      <c r="D140" s="331">
        <v>133</v>
      </c>
      <c r="E140" s="544">
        <f>+DATE(YEAR(E139),MONTH(E139)-1,DAY(E139))</f>
        <v>25569.041666666668</v>
      </c>
      <c r="F140" s="333">
        <f>IF(DATE(YEAR($B$6),MONTH($B$6)+1,DAY(1))=E140,1,IF(MONTH(E140)=1,F141*(1+$F$5),F141))</f>
      </c>
      <c r="G140" s="333">
        <f>IF('Simulador - 1º Pilar'!$E$99="Sí",IF('Aportaciones PPE'!$B$13&lt;'Aportaciones PPE'!E140,0,F140*$B$8/12),F140*$B$8/12)</f>
      </c>
      <c r="H140" s="333">
        <f>$H$5*G140</f>
      </c>
      <c r="I140" s="333">
        <f>$I$5*G140</f>
      </c>
      <c r="J140" s="333">
        <f>+I140</f>
      </c>
      <c r="K140" s="333">
        <f>(1+$O$5)^(D140/12)*(H140+IF(AND(F140=1,F141=0),$S$4,0))</f>
      </c>
      <c r="L140" s="333">
        <f>(1+$O$5)^(D140/12)*(I140+IF(AND(F140=1,F141=0),0))</f>
      </c>
      <c r="M140" s="333">
        <f>+L140</f>
      </c>
      <c r="N140" s="333">
        <f>L140+K140+M140</f>
      </c>
      <c r="O140" s="170"/>
      <c r="P140" s="7"/>
      <c r="Q140" s="1"/>
      <c r="R140" s="331">
        <f>D140</f>
      </c>
      <c r="S140" s="169"/>
      <c r="T140" s="1"/>
      <c r="U140" s="217"/>
      <c r="V140" s="331">
        <f>+IF(V139=11,12,IF(V139=12,1,V139+1))</f>
      </c>
      <c r="W140" s="331">
        <f>+W139+IF(V139=12,1,0)</f>
      </c>
      <c r="X140" s="555">
        <f>+DATE(W140,V140,1)</f>
        <v>25569.041666666668</v>
      </c>
      <c r="Y140" s="333">
        <f>+_xlfn.IFNA(AN140+AS140+AX140,0)</f>
      </c>
      <c r="Z140" s="333">
        <f>+_xlfn.IFNA(AO140+AT140+AY140,0)</f>
      </c>
      <c r="AA140" s="333">
        <f>Y140*(1+$O$5)^(($B$7-X140)/365.25)</f>
      </c>
      <c r="AB140" s="333">
        <f>Z140*(1+$O$5)^(($B$7-X140)/365.25)</f>
      </c>
      <c r="AC140" s="1"/>
      <c r="AD140" s="1"/>
      <c r="AE140" s="1"/>
      <c r="AF140" s="111">
        <f>+MONTH(E140)&amp;YEAR(E140)</f>
      </c>
      <c r="AG140" s="217">
        <f>+I140</f>
      </c>
      <c r="AH140" s="217">
        <f>+J140</f>
      </c>
      <c r="AI140" s="217">
        <f>+H140</f>
      </c>
      <c r="AJ140" s="111">
        <f>+V140&amp;W140</f>
      </c>
      <c r="AK140" s="217">
        <f>+_xlfn.IFNA(VLOOKUP(AJ140,$AF$7:$AG$1066,2,0),0)</f>
      </c>
      <c r="AL140" s="217">
        <f>+IF(W140&gt;W139,AK140,AL139+AK140)</f>
      </c>
      <c r="AM140" s="217">
        <f>IF(W140&gt;W139,IF(AL140&gt;=$AZ$8,$AZ$8,AL140),IF(OR(AM139=$AZ$8,AM139=0),0,IF(AL140&gt;=$AZ$8,$AZ$8,AL140)))</f>
      </c>
      <c r="AN140" s="748">
        <f>+IF(OR(AM140&gt;AZ139,AM140=0),0,IF(AM140=AL140,AK140,$AZ$7-AL139))</f>
      </c>
      <c r="AO140" s="748">
        <f>+AK140-AN140</f>
      </c>
      <c r="AP140" s="217">
        <f>+_xlfn.IFNA(VLOOKUP(AJ140,$AF$7:$AI$1066,3,0),0)</f>
      </c>
      <c r="AQ140" s="217">
        <f>+IF(W140&gt;W139,AP140,AQ139+AP140)</f>
      </c>
      <c r="AR140" s="217">
        <f>+MAX($AM$2-SUMIF($W$7:$W$1066,W140,$AN$7:$AN$1066),0)</f>
      </c>
      <c r="AS140" s="748">
        <f>+MAX(IF(AQ140&gt;AR140,AR140-AQ139,AP140),0)</f>
      </c>
      <c r="AT140" s="748">
        <f>+AP140-AS140</f>
      </c>
      <c r="AU140" s="217">
        <f>+_xlfn.IFNA(VLOOKUP(AJ140,$AF$7:$AI$1066,4,0),0)</f>
      </c>
      <c r="AV140" s="217">
        <f>+IF(W140&gt;W139,AU140,AV139+AU140)</f>
      </c>
      <c r="AW140" s="217">
        <f>+MAX($AM$2-SUMIF($W$7:$W$1066,W140,$AN$7:$AN$1066)-SUMIF($W$7:$W$1066,W140,$AS$7:$AS$1066),0)</f>
      </c>
      <c r="AX140" s="748">
        <f>+MAX(IF(AV140&gt;AW140,AW140-AV139,AU140),0)</f>
      </c>
      <c r="AY140" s="748">
        <f>+AU140-AX140</f>
      </c>
      <c r="AZ140" s="331">
        <f>+$AM$1+IF($AP$1&gt;$AP$2,$AM$3/2)</f>
      </c>
    </row>
    <row x14ac:dyDescent="0.25" r="141" customHeight="1" ht="18.75">
      <c r="A141" s="1"/>
      <c r="B141" s="7"/>
      <c r="C141" s="170"/>
      <c r="D141" s="331">
        <v>134</v>
      </c>
      <c r="E141" s="544">
        <f>+DATE(YEAR(E140),MONTH(E140)-1,DAY(E140))</f>
        <v>25569.041666666668</v>
      </c>
      <c r="F141" s="333">
        <f>IF(DATE(YEAR($B$6),MONTH($B$6)+1,DAY(1))=E141,1,IF(MONTH(E141)=1,F142*(1+$F$5),F142))</f>
      </c>
      <c r="G141" s="333">
        <f>IF('Simulador - 1º Pilar'!$E$99="Sí",IF('Aportaciones PPE'!$B$13&lt;'Aportaciones PPE'!E141,0,F141*$B$8/12),F141*$B$8/12)</f>
      </c>
      <c r="H141" s="333">
        <f>$H$5*G141</f>
      </c>
      <c r="I141" s="333">
        <f>$I$5*G141</f>
      </c>
      <c r="J141" s="333">
        <f>+I141</f>
      </c>
      <c r="K141" s="333">
        <f>(1+$O$5)^(D141/12)*(H141+IF(AND(F141=1,F142=0),$S$4,0))</f>
      </c>
      <c r="L141" s="333">
        <f>(1+$O$5)^(D141/12)*(I141+IF(AND(F141=1,F142=0),0))</f>
      </c>
      <c r="M141" s="333">
        <f>+L141</f>
      </c>
      <c r="N141" s="333">
        <f>L141+K141+M141</f>
      </c>
      <c r="O141" s="170"/>
      <c r="P141" s="7"/>
      <c r="Q141" s="1"/>
      <c r="R141" s="331">
        <f>D141</f>
      </c>
      <c r="S141" s="169"/>
      <c r="T141" s="1"/>
      <c r="U141" s="217"/>
      <c r="V141" s="331">
        <f>+IF(V140=11,12,IF(V140=12,1,V140+1))</f>
      </c>
      <c r="W141" s="331">
        <f>+W140+IF(V140=12,1,0)</f>
      </c>
      <c r="X141" s="555">
        <f>+DATE(W141,V141,1)</f>
        <v>25569.041666666668</v>
      </c>
      <c r="Y141" s="333">
        <f>+_xlfn.IFNA(AN141+AS141+AX141,0)</f>
      </c>
      <c r="Z141" s="333">
        <f>+_xlfn.IFNA(AO141+AT141+AY141,0)</f>
      </c>
      <c r="AA141" s="333">
        <f>Y141*(1+$O$5)^(($B$7-X141)/365.25)</f>
      </c>
      <c r="AB141" s="333">
        <f>Z141*(1+$O$5)^(($B$7-X141)/365.25)</f>
      </c>
      <c r="AC141" s="1"/>
      <c r="AD141" s="1"/>
      <c r="AE141" s="1"/>
      <c r="AF141" s="111">
        <f>+MONTH(E141)&amp;YEAR(E141)</f>
      </c>
      <c r="AG141" s="217">
        <f>+I141</f>
      </c>
      <c r="AH141" s="217">
        <f>+J141</f>
      </c>
      <c r="AI141" s="217">
        <f>+H141</f>
      </c>
      <c r="AJ141" s="111">
        <f>+V141&amp;W141</f>
      </c>
      <c r="AK141" s="217">
        <f>+_xlfn.IFNA(VLOOKUP(AJ141,$AF$7:$AG$1066,2,0),0)</f>
      </c>
      <c r="AL141" s="217">
        <f>+IF(W141&gt;W140,AK141,AL140+AK141)</f>
      </c>
      <c r="AM141" s="217">
        <f>IF(W141&gt;W140,IF(AL141&gt;=$AZ$8,$AZ$8,AL141),IF(OR(AM140=$AZ$8,AM140=0),0,IF(AL141&gt;=$AZ$8,$AZ$8,AL141)))</f>
      </c>
      <c r="AN141" s="748">
        <f>+IF(OR(AM141&gt;AZ140,AM141=0),0,IF(AM141=AL141,AK141,$AZ$7-AL140))</f>
      </c>
      <c r="AO141" s="748">
        <f>+AK141-AN141</f>
      </c>
      <c r="AP141" s="217">
        <f>+_xlfn.IFNA(VLOOKUP(AJ141,$AF$7:$AI$1066,3,0),0)</f>
      </c>
      <c r="AQ141" s="217">
        <f>+IF(W141&gt;W140,AP141,AQ140+AP141)</f>
      </c>
      <c r="AR141" s="217">
        <f>+MAX($AM$2-SUMIF($W$7:$W$1066,W141,$AN$7:$AN$1066),0)</f>
      </c>
      <c r="AS141" s="748">
        <f>+MAX(IF(AQ141&gt;AR141,AR141-AQ140,AP141),0)</f>
      </c>
      <c r="AT141" s="748">
        <f>+AP141-AS141</f>
      </c>
      <c r="AU141" s="217">
        <f>+_xlfn.IFNA(VLOOKUP(AJ141,$AF$7:$AI$1066,4,0),0)</f>
      </c>
      <c r="AV141" s="217">
        <f>+IF(W141&gt;W140,AU141,AV140+AU141)</f>
      </c>
      <c r="AW141" s="217">
        <f>+MAX($AM$2-SUMIF($W$7:$W$1066,W141,$AN$7:$AN$1066)-SUMIF($W$7:$W$1066,W141,$AS$7:$AS$1066),0)</f>
      </c>
      <c r="AX141" s="748">
        <f>+MAX(IF(AV141&gt;AW141,AW141-AV140,AU141),0)</f>
      </c>
      <c r="AY141" s="748">
        <f>+AU141-AX141</f>
      </c>
      <c r="AZ141" s="331">
        <f>+$AM$1+IF($AP$1&gt;$AP$2,$AM$3/2)</f>
      </c>
    </row>
    <row x14ac:dyDescent="0.25" r="142" customHeight="1" ht="18.75">
      <c r="A142" s="1"/>
      <c r="B142" s="7"/>
      <c r="C142" s="170"/>
      <c r="D142" s="331">
        <v>135</v>
      </c>
      <c r="E142" s="544">
        <f>+DATE(YEAR(E141),MONTH(E141)-1,DAY(E141))</f>
        <v>25569.041666666668</v>
      </c>
      <c r="F142" s="333">
        <f>IF(DATE(YEAR($B$6),MONTH($B$6)+1,DAY(1))=E142,1,IF(MONTH(E142)=1,F143*(1+$F$5),F143))</f>
      </c>
      <c r="G142" s="333">
        <f>IF('Simulador - 1º Pilar'!$E$99="Sí",IF('Aportaciones PPE'!$B$13&lt;'Aportaciones PPE'!E142,0,F142*$B$8/12),F142*$B$8/12)</f>
      </c>
      <c r="H142" s="333">
        <f>$H$5*G142</f>
      </c>
      <c r="I142" s="333">
        <f>$I$5*G142</f>
      </c>
      <c r="J142" s="333">
        <f>+I142</f>
      </c>
      <c r="K142" s="333">
        <f>(1+$O$5)^(D142/12)*(H142+IF(AND(F142=1,F143=0),$S$4,0))</f>
      </c>
      <c r="L142" s="333">
        <f>(1+$O$5)^(D142/12)*(I142+IF(AND(F142=1,F143=0),0))</f>
      </c>
      <c r="M142" s="333">
        <f>+L142</f>
      </c>
      <c r="N142" s="333">
        <f>L142+K142+M142</f>
      </c>
      <c r="O142" s="170"/>
      <c r="P142" s="7"/>
      <c r="Q142" s="1"/>
      <c r="R142" s="331">
        <f>D142</f>
      </c>
      <c r="S142" s="169"/>
      <c r="T142" s="1"/>
      <c r="U142" s="217"/>
      <c r="V142" s="331">
        <f>+IF(V141=11,12,IF(V141=12,1,V141+1))</f>
      </c>
      <c r="W142" s="331">
        <f>+W141+IF(V141=12,1,0)</f>
      </c>
      <c r="X142" s="555">
        <f>+DATE(W142,V142,1)</f>
        <v>25569.041666666668</v>
      </c>
      <c r="Y142" s="333">
        <f>+_xlfn.IFNA(AN142+AS142+AX142,0)</f>
      </c>
      <c r="Z142" s="333">
        <f>+_xlfn.IFNA(AO142+AT142+AY142,0)</f>
      </c>
      <c r="AA142" s="333">
        <f>Y142*(1+$O$5)^(($B$7-X142)/365.25)</f>
      </c>
      <c r="AB142" s="333">
        <f>Z142*(1+$O$5)^(($B$7-X142)/365.25)</f>
      </c>
      <c r="AC142" s="1"/>
      <c r="AD142" s="1"/>
      <c r="AE142" s="1"/>
      <c r="AF142" s="111">
        <f>+MONTH(E142)&amp;YEAR(E142)</f>
      </c>
      <c r="AG142" s="217">
        <f>+I142</f>
      </c>
      <c r="AH142" s="217">
        <f>+J142</f>
      </c>
      <c r="AI142" s="217">
        <f>+H142</f>
      </c>
      <c r="AJ142" s="111">
        <f>+V142&amp;W142</f>
      </c>
      <c r="AK142" s="217">
        <f>+_xlfn.IFNA(VLOOKUP(AJ142,$AF$7:$AG$1066,2,0),0)</f>
      </c>
      <c r="AL142" s="217">
        <f>+IF(W142&gt;W141,AK142,AL141+AK142)</f>
      </c>
      <c r="AM142" s="217">
        <f>IF(W142&gt;W141,IF(AL142&gt;=$AZ$8,$AZ$8,AL142),IF(OR(AM141=$AZ$8,AM141=0),0,IF(AL142&gt;=$AZ$8,$AZ$8,AL142)))</f>
      </c>
      <c r="AN142" s="748">
        <f>+IF(OR(AM142&gt;AZ141,AM142=0),0,IF(AM142=AL142,AK142,$AZ$7-AL141))</f>
      </c>
      <c r="AO142" s="748">
        <f>+AK142-AN142</f>
      </c>
      <c r="AP142" s="217">
        <f>+_xlfn.IFNA(VLOOKUP(AJ142,$AF$7:$AI$1066,3,0),0)</f>
      </c>
      <c r="AQ142" s="217">
        <f>+IF(W142&gt;W141,AP142,AQ141+AP142)</f>
      </c>
      <c r="AR142" s="217">
        <f>+MAX($AM$2-SUMIF($W$7:$W$1066,W142,$AN$7:$AN$1066),0)</f>
      </c>
      <c r="AS142" s="748">
        <f>+MAX(IF(AQ142&gt;AR142,AR142-AQ141,AP142),0)</f>
      </c>
      <c r="AT142" s="748">
        <f>+AP142-AS142</f>
      </c>
      <c r="AU142" s="217">
        <f>+_xlfn.IFNA(VLOOKUP(AJ142,$AF$7:$AI$1066,4,0),0)</f>
      </c>
      <c r="AV142" s="217">
        <f>+IF(W142&gt;W141,AU142,AV141+AU142)</f>
      </c>
      <c r="AW142" s="217">
        <f>+MAX($AM$2-SUMIF($W$7:$W$1066,W142,$AN$7:$AN$1066)-SUMIF($W$7:$W$1066,W142,$AS$7:$AS$1066),0)</f>
      </c>
      <c r="AX142" s="748">
        <f>+MAX(IF(AV142&gt;AW142,AW142-AV141,AU142),0)</f>
      </c>
      <c r="AY142" s="748">
        <f>+AU142-AX142</f>
      </c>
      <c r="AZ142" s="331">
        <f>+$AM$1+IF($AP$1&gt;$AP$2,$AM$3/2)</f>
      </c>
    </row>
    <row x14ac:dyDescent="0.25" r="143" customHeight="1" ht="18.75">
      <c r="A143" s="1"/>
      <c r="B143" s="7"/>
      <c r="C143" s="170"/>
      <c r="D143" s="331">
        <v>136</v>
      </c>
      <c r="E143" s="544">
        <f>+DATE(YEAR(E142),MONTH(E142)-1,DAY(E142))</f>
        <v>25569.041666666668</v>
      </c>
      <c r="F143" s="333">
        <f>IF(DATE(YEAR($B$6),MONTH($B$6)+1,DAY(1))=E143,1,IF(MONTH(E143)=1,F144*(1+$F$5),F144))</f>
      </c>
      <c r="G143" s="333">
        <f>IF('Simulador - 1º Pilar'!$E$99="Sí",IF('Aportaciones PPE'!$B$13&lt;'Aportaciones PPE'!E143,0,F143*$B$8/12),F143*$B$8/12)</f>
      </c>
      <c r="H143" s="333">
        <f>$H$5*G143</f>
      </c>
      <c r="I143" s="333">
        <f>$I$5*G143</f>
      </c>
      <c r="J143" s="333">
        <f>+I143</f>
      </c>
      <c r="K143" s="333">
        <f>(1+$O$5)^(D143/12)*(H143+IF(AND(F143=1,F144=0),$S$4,0))</f>
      </c>
      <c r="L143" s="333">
        <f>(1+$O$5)^(D143/12)*(I143+IF(AND(F143=1,F144=0),0))</f>
      </c>
      <c r="M143" s="333">
        <f>+L143</f>
      </c>
      <c r="N143" s="333">
        <f>L143+K143+M143</f>
      </c>
      <c r="O143" s="170"/>
      <c r="P143" s="7"/>
      <c r="Q143" s="1"/>
      <c r="R143" s="331">
        <f>D143</f>
      </c>
      <c r="S143" s="169"/>
      <c r="T143" s="1"/>
      <c r="U143" s="217"/>
      <c r="V143" s="331">
        <f>+IF(V142=11,12,IF(V142=12,1,V142+1))</f>
      </c>
      <c r="W143" s="331">
        <f>+W142+IF(V142=12,1,0)</f>
      </c>
      <c r="X143" s="555">
        <f>+DATE(W143,V143,1)</f>
        <v>25569.041666666668</v>
      </c>
      <c r="Y143" s="333">
        <f>+_xlfn.IFNA(AN143+AS143+AX143,0)</f>
      </c>
      <c r="Z143" s="333">
        <f>+_xlfn.IFNA(AO143+AT143+AY143,0)</f>
      </c>
      <c r="AA143" s="333">
        <f>Y143*(1+$O$5)^(($B$7-X143)/365.25)</f>
      </c>
      <c r="AB143" s="333">
        <f>Z143*(1+$O$5)^(($B$7-X143)/365.25)</f>
      </c>
      <c r="AC143" s="1"/>
      <c r="AD143" s="1"/>
      <c r="AE143" s="1"/>
      <c r="AF143" s="111">
        <f>+MONTH(E143)&amp;YEAR(E143)</f>
      </c>
      <c r="AG143" s="217">
        <f>+I143</f>
      </c>
      <c r="AH143" s="217">
        <f>+J143</f>
      </c>
      <c r="AI143" s="217">
        <f>+H143</f>
      </c>
      <c r="AJ143" s="111">
        <f>+V143&amp;W143</f>
      </c>
      <c r="AK143" s="217">
        <f>+_xlfn.IFNA(VLOOKUP(AJ143,$AF$7:$AG$1066,2,0),0)</f>
      </c>
      <c r="AL143" s="217">
        <f>+IF(W143&gt;W142,AK143,AL142+AK143)</f>
      </c>
      <c r="AM143" s="217">
        <f>IF(W143&gt;W142,IF(AL143&gt;=$AZ$8,$AZ$8,AL143),IF(OR(AM142=$AZ$8,AM142=0),0,IF(AL143&gt;=$AZ$8,$AZ$8,AL143)))</f>
      </c>
      <c r="AN143" s="748">
        <f>+IF(OR(AM143&gt;AZ142,AM143=0),0,IF(AM143=AL143,AK143,$AZ$7-AL142))</f>
      </c>
      <c r="AO143" s="748">
        <f>+AK143-AN143</f>
      </c>
      <c r="AP143" s="217">
        <f>+_xlfn.IFNA(VLOOKUP(AJ143,$AF$7:$AI$1066,3,0),0)</f>
      </c>
      <c r="AQ143" s="217">
        <f>+IF(W143&gt;W142,AP143,AQ142+AP143)</f>
      </c>
      <c r="AR143" s="217">
        <f>+MAX($AM$2-SUMIF($W$7:$W$1066,W143,$AN$7:$AN$1066),0)</f>
      </c>
      <c r="AS143" s="748">
        <f>+MAX(IF(AQ143&gt;AR143,AR143-AQ142,AP143),0)</f>
      </c>
      <c r="AT143" s="748">
        <f>+AP143-AS143</f>
      </c>
      <c r="AU143" s="217">
        <f>+_xlfn.IFNA(VLOOKUP(AJ143,$AF$7:$AI$1066,4,0),0)</f>
      </c>
      <c r="AV143" s="217">
        <f>+IF(W143&gt;W142,AU143,AV142+AU143)</f>
      </c>
      <c r="AW143" s="217">
        <f>+MAX($AM$2-SUMIF($W$7:$W$1066,W143,$AN$7:$AN$1066)-SUMIF($W$7:$W$1066,W143,$AS$7:$AS$1066),0)</f>
      </c>
      <c r="AX143" s="748">
        <f>+MAX(IF(AV143&gt;AW143,AW143-AV142,AU143),0)</f>
      </c>
      <c r="AY143" s="748">
        <f>+AU143-AX143</f>
      </c>
      <c r="AZ143" s="331">
        <f>+$AM$1+IF($AP$1&gt;$AP$2,$AM$3/2)</f>
      </c>
    </row>
    <row x14ac:dyDescent="0.25" r="144" customHeight="1" ht="18.75">
      <c r="A144" s="1"/>
      <c r="B144" s="7"/>
      <c r="C144" s="170"/>
      <c r="D144" s="331">
        <v>137</v>
      </c>
      <c r="E144" s="544">
        <f>+DATE(YEAR(E143),MONTH(E143)-1,DAY(E143))</f>
        <v>25569.041666666668</v>
      </c>
      <c r="F144" s="333">
        <f>IF(DATE(YEAR($B$6),MONTH($B$6)+1,DAY(1))=E144,1,IF(MONTH(E144)=1,F145*(1+$F$5),F145))</f>
      </c>
      <c r="G144" s="333">
        <f>IF('Simulador - 1º Pilar'!$E$99="Sí",IF('Aportaciones PPE'!$B$13&lt;'Aportaciones PPE'!E144,0,F144*$B$8/12),F144*$B$8/12)</f>
      </c>
      <c r="H144" s="333">
        <f>$H$5*G144</f>
      </c>
      <c r="I144" s="333">
        <f>$I$5*G144</f>
      </c>
      <c r="J144" s="333">
        <f>+I144</f>
      </c>
      <c r="K144" s="333">
        <f>(1+$O$5)^(D144/12)*(H144+IF(AND(F144=1,F145=0),$S$4,0))</f>
      </c>
      <c r="L144" s="333">
        <f>(1+$O$5)^(D144/12)*(I144+IF(AND(F144=1,F145=0),0))</f>
      </c>
      <c r="M144" s="333">
        <f>+L144</f>
      </c>
      <c r="N144" s="333">
        <f>L144+K144+M144</f>
      </c>
      <c r="O144" s="170"/>
      <c r="P144" s="7"/>
      <c r="Q144" s="1"/>
      <c r="R144" s="331">
        <f>D144</f>
      </c>
      <c r="S144" s="169"/>
      <c r="T144" s="1"/>
      <c r="U144" s="217"/>
      <c r="V144" s="331">
        <f>+IF(V143=11,12,IF(V143=12,1,V143+1))</f>
      </c>
      <c r="W144" s="331">
        <f>+W143+IF(V143=12,1,0)</f>
      </c>
      <c r="X144" s="555">
        <f>+DATE(W144,V144,1)</f>
        <v>25569.041666666668</v>
      </c>
      <c r="Y144" s="333">
        <f>+_xlfn.IFNA(AN144+AS144+AX144,0)</f>
      </c>
      <c r="Z144" s="333">
        <f>+_xlfn.IFNA(AO144+AT144+AY144,0)</f>
      </c>
      <c r="AA144" s="333">
        <f>Y144*(1+$O$5)^(($B$7-X144)/365.25)</f>
      </c>
      <c r="AB144" s="333">
        <f>Z144*(1+$O$5)^(($B$7-X144)/365.25)</f>
      </c>
      <c r="AC144" s="1"/>
      <c r="AD144" s="1"/>
      <c r="AE144" s="1"/>
      <c r="AF144" s="111">
        <f>+MONTH(E144)&amp;YEAR(E144)</f>
      </c>
      <c r="AG144" s="217">
        <f>+I144</f>
      </c>
      <c r="AH144" s="217">
        <f>+J144</f>
      </c>
      <c r="AI144" s="217">
        <f>+H144</f>
      </c>
      <c r="AJ144" s="111">
        <f>+V144&amp;W144</f>
      </c>
      <c r="AK144" s="217">
        <f>+_xlfn.IFNA(VLOOKUP(AJ144,$AF$7:$AG$1066,2,0),0)</f>
      </c>
      <c r="AL144" s="217">
        <f>+IF(W144&gt;W143,AK144,AL143+AK144)</f>
      </c>
      <c r="AM144" s="217">
        <f>IF(W144&gt;W143,IF(AL144&gt;=$AZ$8,$AZ$8,AL144),IF(OR(AM143=$AZ$8,AM143=0),0,IF(AL144&gt;=$AZ$8,$AZ$8,AL144)))</f>
      </c>
      <c r="AN144" s="748">
        <f>+IF(OR(AM144&gt;AZ143,AM144=0),0,IF(AM144=AL144,AK144,$AZ$7-AL143))</f>
      </c>
      <c r="AO144" s="748">
        <f>+AK144-AN144</f>
      </c>
      <c r="AP144" s="217">
        <f>+_xlfn.IFNA(VLOOKUP(AJ144,$AF$7:$AI$1066,3,0),0)</f>
      </c>
      <c r="AQ144" s="217">
        <f>+IF(W144&gt;W143,AP144,AQ143+AP144)</f>
      </c>
      <c r="AR144" s="217">
        <f>+MAX($AM$2-SUMIF($W$7:$W$1066,W144,$AN$7:$AN$1066),0)</f>
      </c>
      <c r="AS144" s="748">
        <f>+MAX(IF(AQ144&gt;AR144,AR144-AQ143,AP144),0)</f>
      </c>
      <c r="AT144" s="748">
        <f>+AP144-AS144</f>
      </c>
      <c r="AU144" s="217">
        <f>+_xlfn.IFNA(VLOOKUP(AJ144,$AF$7:$AI$1066,4,0),0)</f>
      </c>
      <c r="AV144" s="217">
        <f>+IF(W144&gt;W143,AU144,AV143+AU144)</f>
      </c>
      <c r="AW144" s="217">
        <f>+MAX($AM$2-SUMIF($W$7:$W$1066,W144,$AN$7:$AN$1066)-SUMIF($W$7:$W$1066,W144,$AS$7:$AS$1066),0)</f>
      </c>
      <c r="AX144" s="748">
        <f>+MAX(IF(AV144&gt;AW144,AW144-AV143,AU144),0)</f>
      </c>
      <c r="AY144" s="748">
        <f>+AU144-AX144</f>
      </c>
      <c r="AZ144" s="331">
        <f>+$AM$1+IF($AP$1&gt;$AP$2,$AM$3/2)</f>
      </c>
    </row>
    <row x14ac:dyDescent="0.25" r="145" customHeight="1" ht="18.75">
      <c r="A145" s="1"/>
      <c r="B145" s="7"/>
      <c r="C145" s="170"/>
      <c r="D145" s="331">
        <v>138</v>
      </c>
      <c r="E145" s="544">
        <f>+DATE(YEAR(E144),MONTH(E144)-1,DAY(E144))</f>
        <v>25569.041666666668</v>
      </c>
      <c r="F145" s="333">
        <f>IF(DATE(YEAR($B$6),MONTH($B$6)+1,DAY(1))=E145,1,IF(MONTH(E145)=1,F146*(1+$F$5),F146))</f>
      </c>
      <c r="G145" s="333">
        <f>IF('Simulador - 1º Pilar'!$E$99="Sí",IF('Aportaciones PPE'!$B$13&lt;'Aportaciones PPE'!E145,0,F145*$B$8/12),F145*$B$8/12)</f>
      </c>
      <c r="H145" s="333">
        <f>$H$5*G145</f>
      </c>
      <c r="I145" s="333">
        <f>$I$5*G145</f>
      </c>
      <c r="J145" s="333">
        <f>+I145</f>
      </c>
      <c r="K145" s="333">
        <f>(1+$O$5)^(D145/12)*(H145+IF(AND(F145=1,F146=0),$S$4,0))</f>
      </c>
      <c r="L145" s="333">
        <f>(1+$O$5)^(D145/12)*(I145+IF(AND(F145=1,F146=0),0))</f>
      </c>
      <c r="M145" s="333">
        <f>+L145</f>
      </c>
      <c r="N145" s="333">
        <f>L145+K145+M145</f>
      </c>
      <c r="O145" s="170"/>
      <c r="P145" s="7"/>
      <c r="Q145" s="1"/>
      <c r="R145" s="331">
        <f>D145</f>
      </c>
      <c r="S145" s="169"/>
      <c r="T145" s="1"/>
      <c r="U145" s="217"/>
      <c r="V145" s="331">
        <f>+IF(V144=11,12,IF(V144=12,1,V144+1))</f>
      </c>
      <c r="W145" s="331">
        <f>+W144+IF(V144=12,1,0)</f>
      </c>
      <c r="X145" s="555">
        <f>+DATE(W145,V145,1)</f>
        <v>25569.041666666668</v>
      </c>
      <c r="Y145" s="333">
        <f>+_xlfn.IFNA(AN145+AS145+AX145,0)</f>
      </c>
      <c r="Z145" s="333">
        <f>+_xlfn.IFNA(AO145+AT145+AY145,0)</f>
      </c>
      <c r="AA145" s="333">
        <f>Y145*(1+$O$5)^(($B$7-X145)/365.25)</f>
      </c>
      <c r="AB145" s="333">
        <f>Z145*(1+$O$5)^(($B$7-X145)/365.25)</f>
      </c>
      <c r="AC145" s="1"/>
      <c r="AD145" s="1"/>
      <c r="AE145" s="1"/>
      <c r="AF145" s="111">
        <f>+MONTH(E145)&amp;YEAR(E145)</f>
      </c>
      <c r="AG145" s="217">
        <f>+I145</f>
      </c>
      <c r="AH145" s="217">
        <f>+J145</f>
      </c>
      <c r="AI145" s="217">
        <f>+H145</f>
      </c>
      <c r="AJ145" s="111">
        <f>+V145&amp;W145</f>
      </c>
      <c r="AK145" s="217">
        <f>+_xlfn.IFNA(VLOOKUP(AJ145,$AF$7:$AG$1066,2,0),0)</f>
      </c>
      <c r="AL145" s="217">
        <f>+IF(W145&gt;W144,AK145,AL144+AK145)</f>
      </c>
      <c r="AM145" s="217">
        <f>IF(W145&gt;W144,IF(AL145&gt;=$AZ$8,$AZ$8,AL145),IF(OR(AM144=$AZ$8,AM144=0),0,IF(AL145&gt;=$AZ$8,$AZ$8,AL145)))</f>
      </c>
      <c r="AN145" s="748">
        <f>+IF(OR(AM145&gt;AZ144,AM145=0),0,IF(AM145=AL145,AK145,$AZ$7-AL144))</f>
      </c>
      <c r="AO145" s="748">
        <f>+AK145-AN145</f>
      </c>
      <c r="AP145" s="217">
        <f>+_xlfn.IFNA(VLOOKUP(AJ145,$AF$7:$AI$1066,3,0),0)</f>
      </c>
      <c r="AQ145" s="217">
        <f>+IF(W145&gt;W144,AP145,AQ144+AP145)</f>
      </c>
      <c r="AR145" s="217">
        <f>+MAX($AM$2-SUMIF($W$7:$W$1066,W145,$AN$7:$AN$1066),0)</f>
      </c>
      <c r="AS145" s="748">
        <f>+MAX(IF(AQ145&gt;AR145,AR145-AQ144,AP145),0)</f>
      </c>
      <c r="AT145" s="748">
        <f>+AP145-AS145</f>
      </c>
      <c r="AU145" s="217">
        <f>+_xlfn.IFNA(VLOOKUP(AJ145,$AF$7:$AI$1066,4,0),0)</f>
      </c>
      <c r="AV145" s="217">
        <f>+IF(W145&gt;W144,AU145,AV144+AU145)</f>
      </c>
      <c r="AW145" s="217">
        <f>+MAX($AM$2-SUMIF($W$7:$W$1066,W145,$AN$7:$AN$1066)-SUMIF($W$7:$W$1066,W145,$AS$7:$AS$1066),0)</f>
      </c>
      <c r="AX145" s="748">
        <f>+MAX(IF(AV145&gt;AW145,AW145-AV144,AU145),0)</f>
      </c>
      <c r="AY145" s="748">
        <f>+AU145-AX145</f>
      </c>
      <c r="AZ145" s="331">
        <f>+$AM$1+IF($AP$1&gt;$AP$2,$AM$3/2)</f>
      </c>
    </row>
    <row x14ac:dyDescent="0.25" r="146" customHeight="1" ht="18.75">
      <c r="A146" s="1"/>
      <c r="B146" s="7"/>
      <c r="C146" s="170"/>
      <c r="D146" s="331">
        <v>139</v>
      </c>
      <c r="E146" s="544">
        <f>+DATE(YEAR(E145),MONTH(E145)-1,DAY(E145))</f>
        <v>25569.041666666668</v>
      </c>
      <c r="F146" s="333">
        <f>IF(DATE(YEAR($B$6),MONTH($B$6)+1,DAY(1))=E146,1,IF(MONTH(E146)=1,F147*(1+$F$5),F147))</f>
      </c>
      <c r="G146" s="333">
        <f>IF('Simulador - 1º Pilar'!$E$99="Sí",IF('Aportaciones PPE'!$B$13&lt;'Aportaciones PPE'!E146,0,F146*$B$8/12),F146*$B$8/12)</f>
      </c>
      <c r="H146" s="333">
        <f>$H$5*G146</f>
      </c>
      <c r="I146" s="333">
        <f>$I$5*G146</f>
      </c>
      <c r="J146" s="333">
        <f>+I146</f>
      </c>
      <c r="K146" s="333">
        <f>(1+$O$5)^(D146/12)*(H146+IF(AND(F146=1,F147=0),$S$4,0))</f>
      </c>
      <c r="L146" s="333">
        <f>(1+$O$5)^(D146/12)*(I146+IF(AND(F146=1,F147=0),0))</f>
      </c>
      <c r="M146" s="333">
        <f>+L146</f>
      </c>
      <c r="N146" s="333">
        <f>L146+K146+M146</f>
      </c>
      <c r="O146" s="170"/>
      <c r="P146" s="7"/>
      <c r="Q146" s="1"/>
      <c r="R146" s="331">
        <f>D146</f>
      </c>
      <c r="S146" s="169"/>
      <c r="T146" s="1"/>
      <c r="U146" s="217"/>
      <c r="V146" s="331">
        <f>+IF(V145=11,12,IF(V145=12,1,V145+1))</f>
      </c>
      <c r="W146" s="331">
        <f>+W145+IF(V145=12,1,0)</f>
      </c>
      <c r="X146" s="555">
        <f>+DATE(W146,V146,1)</f>
        <v>25569.041666666668</v>
      </c>
      <c r="Y146" s="333">
        <f>+_xlfn.IFNA(AN146+AS146+AX146,0)</f>
      </c>
      <c r="Z146" s="333">
        <f>+_xlfn.IFNA(AO146+AT146+AY146,0)</f>
      </c>
      <c r="AA146" s="333">
        <f>Y146*(1+$O$5)^(($B$7-X146)/365.25)</f>
      </c>
      <c r="AB146" s="333">
        <f>Z146*(1+$O$5)^(($B$7-X146)/365.25)</f>
      </c>
      <c r="AC146" s="1"/>
      <c r="AD146" s="1"/>
      <c r="AE146" s="1"/>
      <c r="AF146" s="111">
        <f>+MONTH(E146)&amp;YEAR(E146)</f>
      </c>
      <c r="AG146" s="217">
        <f>+I146</f>
      </c>
      <c r="AH146" s="217">
        <f>+J146</f>
      </c>
      <c r="AI146" s="217">
        <f>+H146</f>
      </c>
      <c r="AJ146" s="111">
        <f>+V146&amp;W146</f>
      </c>
      <c r="AK146" s="217">
        <f>+_xlfn.IFNA(VLOOKUP(AJ146,$AF$7:$AG$1066,2,0),0)</f>
      </c>
      <c r="AL146" s="217">
        <f>+IF(W146&gt;W145,AK146,AL145+AK146)</f>
      </c>
      <c r="AM146" s="217">
        <f>IF(W146&gt;W145,IF(AL146&gt;=$AZ$8,$AZ$8,AL146),IF(OR(AM145=$AZ$8,AM145=0),0,IF(AL146&gt;=$AZ$8,$AZ$8,AL146)))</f>
      </c>
      <c r="AN146" s="748">
        <f>+IF(OR(AM146&gt;AZ145,AM146=0),0,IF(AM146=AL146,AK146,$AZ$7-AL145))</f>
      </c>
      <c r="AO146" s="748">
        <f>+AK146-AN146</f>
      </c>
      <c r="AP146" s="217">
        <f>+_xlfn.IFNA(VLOOKUP(AJ146,$AF$7:$AI$1066,3,0),0)</f>
      </c>
      <c r="AQ146" s="217">
        <f>+IF(W146&gt;W145,AP146,AQ145+AP146)</f>
      </c>
      <c r="AR146" s="217">
        <f>+MAX($AM$2-SUMIF($W$7:$W$1066,W146,$AN$7:$AN$1066),0)</f>
      </c>
      <c r="AS146" s="748">
        <f>+MAX(IF(AQ146&gt;AR146,AR146-AQ145,AP146),0)</f>
      </c>
      <c r="AT146" s="748">
        <f>+AP146-AS146</f>
      </c>
      <c r="AU146" s="217">
        <f>+_xlfn.IFNA(VLOOKUP(AJ146,$AF$7:$AI$1066,4,0),0)</f>
      </c>
      <c r="AV146" s="217">
        <f>+IF(W146&gt;W145,AU146,AV145+AU146)</f>
      </c>
      <c r="AW146" s="217">
        <f>+MAX($AM$2-SUMIF($W$7:$W$1066,W146,$AN$7:$AN$1066)-SUMIF($W$7:$W$1066,W146,$AS$7:$AS$1066),0)</f>
      </c>
      <c r="AX146" s="748">
        <f>+MAX(IF(AV146&gt;AW146,AW146-AV145,AU146),0)</f>
      </c>
      <c r="AY146" s="748">
        <f>+AU146-AX146</f>
      </c>
      <c r="AZ146" s="331">
        <f>+$AM$1+IF($AP$1&gt;$AP$2,$AM$3/2)</f>
      </c>
    </row>
    <row x14ac:dyDescent="0.25" r="147" customHeight="1" ht="18.75">
      <c r="A147" s="1"/>
      <c r="B147" s="7"/>
      <c r="C147" s="170"/>
      <c r="D147" s="331">
        <v>140</v>
      </c>
      <c r="E147" s="544">
        <f>+DATE(YEAR(E146),MONTH(E146)-1,DAY(E146))</f>
        <v>25569.041666666668</v>
      </c>
      <c r="F147" s="333">
        <f>IF(DATE(YEAR($B$6),MONTH($B$6)+1,DAY(1))=E147,1,IF(MONTH(E147)=1,F148*(1+$F$5),F148))</f>
      </c>
      <c r="G147" s="333">
        <f>IF('Simulador - 1º Pilar'!$E$99="Sí",IF('Aportaciones PPE'!$B$13&lt;'Aportaciones PPE'!E147,0,F147*$B$8/12),F147*$B$8/12)</f>
      </c>
      <c r="H147" s="333">
        <f>$H$5*G147</f>
      </c>
      <c r="I147" s="333">
        <f>$I$5*G147</f>
      </c>
      <c r="J147" s="333">
        <f>+I147</f>
      </c>
      <c r="K147" s="333">
        <f>(1+$O$5)^(D147/12)*(H147+IF(AND(F147=1,F148=0),$S$4,0))</f>
      </c>
      <c r="L147" s="333">
        <f>(1+$O$5)^(D147/12)*(I147+IF(AND(F147=1,F148=0),0))</f>
      </c>
      <c r="M147" s="333">
        <f>+L147</f>
      </c>
      <c r="N147" s="333">
        <f>L147+K147+M147</f>
      </c>
      <c r="O147" s="170"/>
      <c r="P147" s="7"/>
      <c r="Q147" s="1"/>
      <c r="R147" s="331">
        <f>D147</f>
      </c>
      <c r="S147" s="169"/>
      <c r="T147" s="1"/>
      <c r="U147" s="217"/>
      <c r="V147" s="331">
        <f>+IF(V146=11,12,IF(V146=12,1,V146+1))</f>
      </c>
      <c r="W147" s="331">
        <f>+W146+IF(V146=12,1,0)</f>
      </c>
      <c r="X147" s="555">
        <f>+DATE(W147,V147,1)</f>
        <v>25569.041666666668</v>
      </c>
      <c r="Y147" s="333">
        <f>+_xlfn.IFNA(AN147+AS147+AX147,0)</f>
      </c>
      <c r="Z147" s="333">
        <f>+_xlfn.IFNA(AO147+AT147+AY147,0)</f>
      </c>
      <c r="AA147" s="333">
        <f>Y147*(1+$O$5)^(($B$7-X147)/365.25)</f>
      </c>
      <c r="AB147" s="333">
        <f>Z147*(1+$O$5)^(($B$7-X147)/365.25)</f>
      </c>
      <c r="AC147" s="1"/>
      <c r="AD147" s="1"/>
      <c r="AE147" s="1"/>
      <c r="AF147" s="111">
        <f>+MONTH(E147)&amp;YEAR(E147)</f>
      </c>
      <c r="AG147" s="217">
        <f>+I147</f>
      </c>
      <c r="AH147" s="217">
        <f>+J147</f>
      </c>
      <c r="AI147" s="217">
        <f>+H147</f>
      </c>
      <c r="AJ147" s="111">
        <f>+V147&amp;W147</f>
      </c>
      <c r="AK147" s="217">
        <f>+_xlfn.IFNA(VLOOKUP(AJ147,$AF$7:$AG$1066,2,0),0)</f>
      </c>
      <c r="AL147" s="217">
        <f>+IF(W147&gt;W146,AK147,AL146+AK147)</f>
      </c>
      <c r="AM147" s="217">
        <f>IF(W147&gt;W146,IF(AL147&gt;=$AZ$8,$AZ$8,AL147),IF(OR(AM146=$AZ$8,AM146=0),0,IF(AL147&gt;=$AZ$8,$AZ$8,AL147)))</f>
      </c>
      <c r="AN147" s="748">
        <f>+IF(OR(AM147&gt;AZ146,AM147=0),0,IF(AM147=AL147,AK147,$AZ$7-AL146))</f>
      </c>
      <c r="AO147" s="748">
        <f>+AK147-AN147</f>
      </c>
      <c r="AP147" s="217">
        <f>+_xlfn.IFNA(VLOOKUP(AJ147,$AF$7:$AI$1066,3,0),0)</f>
      </c>
      <c r="AQ147" s="217">
        <f>+IF(W147&gt;W146,AP147,AQ146+AP147)</f>
      </c>
      <c r="AR147" s="217">
        <f>+MAX($AM$2-SUMIF($W$7:$W$1066,W147,$AN$7:$AN$1066),0)</f>
      </c>
      <c r="AS147" s="748">
        <f>+MAX(IF(AQ147&gt;AR147,AR147-AQ146,AP147),0)</f>
      </c>
      <c r="AT147" s="748">
        <f>+AP147-AS147</f>
      </c>
      <c r="AU147" s="217">
        <f>+_xlfn.IFNA(VLOOKUP(AJ147,$AF$7:$AI$1066,4,0),0)</f>
      </c>
      <c r="AV147" s="217">
        <f>+IF(W147&gt;W146,AU147,AV146+AU147)</f>
      </c>
      <c r="AW147" s="217">
        <f>+MAX($AM$2-SUMIF($W$7:$W$1066,W147,$AN$7:$AN$1066)-SUMIF($W$7:$W$1066,W147,$AS$7:$AS$1066),0)</f>
      </c>
      <c r="AX147" s="748">
        <f>+MAX(IF(AV147&gt;AW147,AW147-AV146,AU147),0)</f>
      </c>
      <c r="AY147" s="748">
        <f>+AU147-AX147</f>
      </c>
      <c r="AZ147" s="331">
        <f>+$AM$1+IF($AP$1&gt;$AP$2,$AM$3/2)</f>
      </c>
    </row>
    <row x14ac:dyDescent="0.25" r="148" customHeight="1" ht="18.75">
      <c r="A148" s="1"/>
      <c r="B148" s="7"/>
      <c r="C148" s="170"/>
      <c r="D148" s="331">
        <v>141</v>
      </c>
      <c r="E148" s="544">
        <f>+DATE(YEAR(E147),MONTH(E147)-1,DAY(E147))</f>
        <v>25569.041666666668</v>
      </c>
      <c r="F148" s="333">
        <f>IF(DATE(YEAR($B$6),MONTH($B$6)+1,DAY(1))=E148,1,IF(MONTH(E148)=1,F149*(1+$F$5),F149))</f>
      </c>
      <c r="G148" s="333">
        <f>IF('Simulador - 1º Pilar'!$E$99="Sí",IF('Aportaciones PPE'!$B$13&lt;'Aportaciones PPE'!E148,0,F148*$B$8/12),F148*$B$8/12)</f>
      </c>
      <c r="H148" s="333">
        <f>$H$5*G148</f>
      </c>
      <c r="I148" s="333">
        <f>$I$5*G148</f>
      </c>
      <c r="J148" s="333">
        <f>+I148</f>
      </c>
      <c r="K148" s="333">
        <f>(1+$O$5)^(D148/12)*(H148+IF(AND(F148=1,F149=0),$S$4,0))</f>
      </c>
      <c r="L148" s="333">
        <f>(1+$O$5)^(D148/12)*(I148+IF(AND(F148=1,F149=0),0))</f>
      </c>
      <c r="M148" s="333">
        <f>+L148</f>
      </c>
      <c r="N148" s="333">
        <f>L148+K148+M148</f>
      </c>
      <c r="O148" s="170"/>
      <c r="P148" s="7"/>
      <c r="Q148" s="1"/>
      <c r="R148" s="331">
        <f>D148</f>
      </c>
      <c r="S148" s="169"/>
      <c r="T148" s="1"/>
      <c r="U148" s="217"/>
      <c r="V148" s="331">
        <f>+IF(V147=11,12,IF(V147=12,1,V147+1))</f>
      </c>
      <c r="W148" s="331">
        <f>+W147+IF(V147=12,1,0)</f>
      </c>
      <c r="X148" s="555">
        <f>+DATE(W148,V148,1)</f>
        <v>25569.041666666668</v>
      </c>
      <c r="Y148" s="333">
        <f>+_xlfn.IFNA(AN148+AS148+AX148,0)</f>
      </c>
      <c r="Z148" s="333">
        <f>+_xlfn.IFNA(AO148+AT148+AY148,0)</f>
      </c>
      <c r="AA148" s="333">
        <f>Y148*(1+$O$5)^(($B$7-X148)/365.25)</f>
      </c>
      <c r="AB148" s="333">
        <f>Z148*(1+$O$5)^(($B$7-X148)/365.25)</f>
      </c>
      <c r="AC148" s="1"/>
      <c r="AD148" s="1"/>
      <c r="AE148" s="1"/>
      <c r="AF148" s="111">
        <f>+MONTH(E148)&amp;YEAR(E148)</f>
      </c>
      <c r="AG148" s="217">
        <f>+I148</f>
      </c>
      <c r="AH148" s="217">
        <f>+J148</f>
      </c>
      <c r="AI148" s="217">
        <f>+H148</f>
      </c>
      <c r="AJ148" s="111">
        <f>+V148&amp;W148</f>
      </c>
      <c r="AK148" s="217">
        <f>+_xlfn.IFNA(VLOOKUP(AJ148,$AF$7:$AG$1066,2,0),0)</f>
      </c>
      <c r="AL148" s="217">
        <f>+IF(W148&gt;W147,AK148,AL147+AK148)</f>
      </c>
      <c r="AM148" s="217">
        <f>IF(W148&gt;W147,IF(AL148&gt;=$AZ$8,$AZ$8,AL148),IF(OR(AM147=$AZ$8,AM147=0),0,IF(AL148&gt;=$AZ$8,$AZ$8,AL148)))</f>
      </c>
      <c r="AN148" s="748">
        <f>+IF(OR(AM148&gt;AZ147,AM148=0),0,IF(AM148=AL148,AK148,$AZ$7-AL147))</f>
      </c>
      <c r="AO148" s="748">
        <f>+AK148-AN148</f>
      </c>
      <c r="AP148" s="217">
        <f>+_xlfn.IFNA(VLOOKUP(AJ148,$AF$7:$AI$1066,3,0),0)</f>
      </c>
      <c r="AQ148" s="217">
        <f>+IF(W148&gt;W147,AP148,AQ147+AP148)</f>
      </c>
      <c r="AR148" s="217">
        <f>+MAX($AM$2-SUMIF($W$7:$W$1066,W148,$AN$7:$AN$1066),0)</f>
      </c>
      <c r="AS148" s="748">
        <f>+MAX(IF(AQ148&gt;AR148,AR148-AQ147,AP148),0)</f>
      </c>
      <c r="AT148" s="748">
        <f>+AP148-AS148</f>
      </c>
      <c r="AU148" s="217">
        <f>+_xlfn.IFNA(VLOOKUP(AJ148,$AF$7:$AI$1066,4,0),0)</f>
      </c>
      <c r="AV148" s="217">
        <f>+IF(W148&gt;W147,AU148,AV147+AU148)</f>
      </c>
      <c r="AW148" s="217">
        <f>+MAX($AM$2-SUMIF($W$7:$W$1066,W148,$AN$7:$AN$1066)-SUMIF($W$7:$W$1066,W148,$AS$7:$AS$1066),0)</f>
      </c>
      <c r="AX148" s="748">
        <f>+MAX(IF(AV148&gt;AW148,AW148-AV147,AU148),0)</f>
      </c>
      <c r="AY148" s="748">
        <f>+AU148-AX148</f>
      </c>
      <c r="AZ148" s="331">
        <f>+$AM$1+IF($AP$1&gt;$AP$2,$AM$3/2)</f>
      </c>
    </row>
    <row x14ac:dyDescent="0.25" r="149" customHeight="1" ht="18.75">
      <c r="A149" s="1"/>
      <c r="B149" s="7"/>
      <c r="C149" s="170"/>
      <c r="D149" s="331">
        <v>142</v>
      </c>
      <c r="E149" s="544">
        <f>+DATE(YEAR(E148),MONTH(E148)-1,DAY(E148))</f>
        <v>25569.041666666668</v>
      </c>
      <c r="F149" s="333">
        <f>IF(DATE(YEAR($B$6),MONTH($B$6)+1,DAY(1))=E149,1,IF(MONTH(E149)=1,F150*(1+$F$5),F150))</f>
      </c>
      <c r="G149" s="333">
        <f>IF('Simulador - 1º Pilar'!$E$99="Sí",IF('Aportaciones PPE'!$B$13&lt;'Aportaciones PPE'!E149,0,F149*$B$8/12),F149*$B$8/12)</f>
      </c>
      <c r="H149" s="333">
        <f>$H$5*G149</f>
      </c>
      <c r="I149" s="333">
        <f>$I$5*G149</f>
      </c>
      <c r="J149" s="333">
        <f>+I149</f>
      </c>
      <c r="K149" s="333">
        <f>(1+$O$5)^(D149/12)*(H149+IF(AND(F149=1,F150=0),$S$4,0))</f>
      </c>
      <c r="L149" s="333">
        <f>(1+$O$5)^(D149/12)*(I149+IF(AND(F149=1,F150=0),0))</f>
      </c>
      <c r="M149" s="333">
        <f>+L149</f>
      </c>
      <c r="N149" s="333">
        <f>L149+K149+M149</f>
      </c>
      <c r="O149" s="170"/>
      <c r="P149" s="7"/>
      <c r="Q149" s="1"/>
      <c r="R149" s="331">
        <f>D149</f>
      </c>
      <c r="S149" s="169"/>
      <c r="T149" s="1"/>
      <c r="U149" s="217"/>
      <c r="V149" s="331">
        <f>+IF(V148=11,12,IF(V148=12,1,V148+1))</f>
      </c>
      <c r="W149" s="331">
        <f>+W148+IF(V148=12,1,0)</f>
      </c>
      <c r="X149" s="555">
        <f>+DATE(W149,V149,1)</f>
        <v>25569.041666666668</v>
      </c>
      <c r="Y149" s="333">
        <f>+_xlfn.IFNA(AN149+AS149+AX149,0)</f>
      </c>
      <c r="Z149" s="333">
        <f>+_xlfn.IFNA(AO149+AT149+AY149,0)</f>
      </c>
      <c r="AA149" s="333">
        <f>Y149*(1+$O$5)^(($B$7-X149)/365.25)</f>
      </c>
      <c r="AB149" s="333">
        <f>Z149*(1+$O$5)^(($B$7-X149)/365.25)</f>
      </c>
      <c r="AC149" s="1"/>
      <c r="AD149" s="1"/>
      <c r="AE149" s="1"/>
      <c r="AF149" s="111">
        <f>+MONTH(E149)&amp;YEAR(E149)</f>
      </c>
      <c r="AG149" s="217">
        <f>+I149</f>
      </c>
      <c r="AH149" s="217">
        <f>+J149</f>
      </c>
      <c r="AI149" s="217">
        <f>+H149</f>
      </c>
      <c r="AJ149" s="111">
        <f>+V149&amp;W149</f>
      </c>
      <c r="AK149" s="217">
        <f>+_xlfn.IFNA(VLOOKUP(AJ149,$AF$7:$AG$1066,2,0),0)</f>
      </c>
      <c r="AL149" s="217">
        <f>+IF(W149&gt;W148,AK149,AL148+AK149)</f>
      </c>
      <c r="AM149" s="217">
        <f>IF(W149&gt;W148,IF(AL149&gt;=$AZ$8,$AZ$8,AL149),IF(OR(AM148=$AZ$8,AM148=0),0,IF(AL149&gt;=$AZ$8,$AZ$8,AL149)))</f>
      </c>
      <c r="AN149" s="748">
        <f>+IF(OR(AM149&gt;AZ148,AM149=0),0,IF(AM149=AL149,AK149,$AZ$7-AL148))</f>
      </c>
      <c r="AO149" s="748">
        <f>+AK149-AN149</f>
      </c>
      <c r="AP149" s="217">
        <f>+_xlfn.IFNA(VLOOKUP(AJ149,$AF$7:$AI$1066,3,0),0)</f>
      </c>
      <c r="AQ149" s="217">
        <f>+IF(W149&gt;W148,AP149,AQ148+AP149)</f>
      </c>
      <c r="AR149" s="217">
        <f>+MAX($AM$2-SUMIF($W$7:$W$1066,W149,$AN$7:$AN$1066),0)</f>
      </c>
      <c r="AS149" s="748">
        <f>+MAX(IF(AQ149&gt;AR149,AR149-AQ148,AP149),0)</f>
      </c>
      <c r="AT149" s="748">
        <f>+AP149-AS149</f>
      </c>
      <c r="AU149" s="217">
        <f>+_xlfn.IFNA(VLOOKUP(AJ149,$AF$7:$AI$1066,4,0),0)</f>
      </c>
      <c r="AV149" s="217">
        <f>+IF(W149&gt;W148,AU149,AV148+AU149)</f>
      </c>
      <c r="AW149" s="217">
        <f>+MAX($AM$2-SUMIF($W$7:$W$1066,W149,$AN$7:$AN$1066)-SUMIF($W$7:$W$1066,W149,$AS$7:$AS$1066),0)</f>
      </c>
      <c r="AX149" s="748">
        <f>+MAX(IF(AV149&gt;AW149,AW149-AV148,AU149),0)</f>
      </c>
      <c r="AY149" s="748">
        <f>+AU149-AX149</f>
      </c>
      <c r="AZ149" s="331">
        <f>+$AM$1+IF($AP$1&gt;$AP$2,$AM$3/2)</f>
      </c>
    </row>
    <row x14ac:dyDescent="0.25" r="150" customHeight="1" ht="18.75">
      <c r="A150" s="1"/>
      <c r="B150" s="7"/>
      <c r="C150" s="170"/>
      <c r="D150" s="331">
        <v>143</v>
      </c>
      <c r="E150" s="544">
        <f>+DATE(YEAR(E149),MONTH(E149)-1,DAY(E149))</f>
        <v>25569.041666666668</v>
      </c>
      <c r="F150" s="333">
        <f>IF(DATE(YEAR($B$6),MONTH($B$6)+1,DAY(1))=E150,1,IF(MONTH(E150)=1,F151*(1+$F$5),F151))</f>
      </c>
      <c r="G150" s="333">
        <f>IF('Simulador - 1º Pilar'!$E$99="Sí",IF('Aportaciones PPE'!$B$13&lt;'Aportaciones PPE'!E150,0,F150*$B$8/12),F150*$B$8/12)</f>
      </c>
      <c r="H150" s="333">
        <f>$H$5*G150</f>
      </c>
      <c r="I150" s="333">
        <f>$I$5*G150</f>
      </c>
      <c r="J150" s="333">
        <f>+I150</f>
      </c>
      <c r="K150" s="333">
        <f>(1+$O$5)^(D150/12)*(H150+IF(AND(F150=1,F151=0),$S$4,0))</f>
      </c>
      <c r="L150" s="333">
        <f>(1+$O$5)^(D150/12)*(I150+IF(AND(F150=1,F151=0),0))</f>
      </c>
      <c r="M150" s="333">
        <f>+L150</f>
      </c>
      <c r="N150" s="333">
        <f>L150+K150+M150</f>
      </c>
      <c r="O150" s="170"/>
      <c r="P150" s="7"/>
      <c r="Q150" s="1"/>
      <c r="R150" s="331">
        <f>D150</f>
      </c>
      <c r="S150" s="169"/>
      <c r="T150" s="1"/>
      <c r="U150" s="217"/>
      <c r="V150" s="331">
        <f>+IF(V149=11,12,IF(V149=12,1,V149+1))</f>
      </c>
      <c r="W150" s="331">
        <f>+W149+IF(V149=12,1,0)</f>
      </c>
      <c r="X150" s="555">
        <f>+DATE(W150,V150,1)</f>
        <v>25569.041666666668</v>
      </c>
      <c r="Y150" s="333">
        <f>+_xlfn.IFNA(AN150+AS150+AX150,0)</f>
      </c>
      <c r="Z150" s="333">
        <f>+_xlfn.IFNA(AO150+AT150+AY150,0)</f>
      </c>
      <c r="AA150" s="333">
        <f>Y150*(1+$O$5)^(($B$7-X150)/365.25)</f>
      </c>
      <c r="AB150" s="333">
        <f>Z150*(1+$O$5)^(($B$7-X150)/365.25)</f>
      </c>
      <c r="AC150" s="1"/>
      <c r="AD150" s="1"/>
      <c r="AE150" s="1"/>
      <c r="AF150" s="111">
        <f>+MONTH(E150)&amp;YEAR(E150)</f>
      </c>
      <c r="AG150" s="217">
        <f>+I150</f>
      </c>
      <c r="AH150" s="217">
        <f>+J150</f>
      </c>
      <c r="AI150" s="217">
        <f>+H150</f>
      </c>
      <c r="AJ150" s="111">
        <f>+V150&amp;W150</f>
      </c>
      <c r="AK150" s="217">
        <f>+_xlfn.IFNA(VLOOKUP(AJ150,$AF$7:$AG$1066,2,0),0)</f>
      </c>
      <c r="AL150" s="217">
        <f>+IF(W150&gt;W149,AK150,AL149+AK150)</f>
      </c>
      <c r="AM150" s="217">
        <f>IF(W150&gt;W149,IF(AL150&gt;=$AZ$8,$AZ$8,AL150),IF(OR(AM149=$AZ$8,AM149=0),0,IF(AL150&gt;=$AZ$8,$AZ$8,AL150)))</f>
      </c>
      <c r="AN150" s="748">
        <f>+IF(OR(AM150&gt;AZ149,AM150=0),0,IF(AM150=AL150,AK150,$AZ$7-AL149))</f>
      </c>
      <c r="AO150" s="748">
        <f>+AK150-AN150</f>
      </c>
      <c r="AP150" s="217">
        <f>+_xlfn.IFNA(VLOOKUP(AJ150,$AF$7:$AI$1066,3,0),0)</f>
      </c>
      <c r="AQ150" s="217">
        <f>+IF(W150&gt;W149,AP150,AQ149+AP150)</f>
      </c>
      <c r="AR150" s="217">
        <f>+MAX($AM$2-SUMIF($W$7:$W$1066,W150,$AN$7:$AN$1066),0)</f>
      </c>
      <c r="AS150" s="748">
        <f>+MAX(IF(AQ150&gt;AR150,AR150-AQ149,AP150),0)</f>
      </c>
      <c r="AT150" s="748">
        <f>+AP150-AS150</f>
      </c>
      <c r="AU150" s="217">
        <f>+_xlfn.IFNA(VLOOKUP(AJ150,$AF$7:$AI$1066,4,0),0)</f>
      </c>
      <c r="AV150" s="217">
        <f>+IF(W150&gt;W149,AU150,AV149+AU150)</f>
      </c>
      <c r="AW150" s="217">
        <f>+MAX($AM$2-SUMIF($W$7:$W$1066,W150,$AN$7:$AN$1066)-SUMIF($W$7:$W$1066,W150,$AS$7:$AS$1066),0)</f>
      </c>
      <c r="AX150" s="748">
        <f>+MAX(IF(AV150&gt;AW150,AW150-AV149,AU150),0)</f>
      </c>
      <c r="AY150" s="748">
        <f>+AU150-AX150</f>
      </c>
      <c r="AZ150" s="331">
        <f>+$AM$1+IF($AP$1&gt;$AP$2,$AM$3/2)</f>
      </c>
    </row>
    <row x14ac:dyDescent="0.25" r="151" customHeight="1" ht="18.75">
      <c r="A151" s="1"/>
      <c r="B151" s="7"/>
      <c r="C151" s="170"/>
      <c r="D151" s="331">
        <v>144</v>
      </c>
      <c r="E151" s="544">
        <f>+DATE(YEAR(E150),MONTH(E150)-1,DAY(E150))</f>
        <v>25569.041666666668</v>
      </c>
      <c r="F151" s="333">
        <f>IF(DATE(YEAR($B$6),MONTH($B$6)+1,DAY(1))=E151,1,IF(MONTH(E151)=1,F152*(1+$F$5),F152))</f>
      </c>
      <c r="G151" s="333">
        <f>IF('Simulador - 1º Pilar'!$E$99="Sí",IF('Aportaciones PPE'!$B$13&lt;'Aportaciones PPE'!E151,0,F151*$B$8/12),F151*$B$8/12)</f>
      </c>
      <c r="H151" s="333">
        <f>$H$5*G151</f>
      </c>
      <c r="I151" s="333">
        <f>$I$5*G151</f>
      </c>
      <c r="J151" s="333">
        <f>+I151</f>
      </c>
      <c r="K151" s="333">
        <f>(1+$O$5)^(D151/12)*(H151+IF(AND(F151=1,F152=0),$S$4,0))</f>
      </c>
      <c r="L151" s="333">
        <f>(1+$O$5)^(D151/12)*(I151+IF(AND(F151=1,F152=0),0))</f>
      </c>
      <c r="M151" s="333">
        <f>+L151</f>
      </c>
      <c r="N151" s="333">
        <f>L151+K151+M151</f>
      </c>
      <c r="O151" s="170"/>
      <c r="P151" s="7"/>
      <c r="Q151" s="1"/>
      <c r="R151" s="331">
        <f>D151</f>
      </c>
      <c r="S151" s="169"/>
      <c r="T151" s="1"/>
      <c r="U151" s="217"/>
      <c r="V151" s="331">
        <f>+IF(V150=11,12,IF(V150=12,1,V150+1))</f>
      </c>
      <c r="W151" s="331">
        <f>+W150+IF(V150=12,1,0)</f>
      </c>
      <c r="X151" s="555">
        <f>+DATE(W151,V151,1)</f>
        <v>25569.041666666668</v>
      </c>
      <c r="Y151" s="333">
        <f>+_xlfn.IFNA(AN151+AS151+AX151,0)</f>
      </c>
      <c r="Z151" s="333">
        <f>+_xlfn.IFNA(AO151+AT151+AY151,0)</f>
      </c>
      <c r="AA151" s="333">
        <f>Y151*(1+$O$5)^(($B$7-X151)/365.25)</f>
      </c>
      <c r="AB151" s="333">
        <f>Z151*(1+$O$5)^(($B$7-X151)/365.25)</f>
      </c>
      <c r="AC151" s="1"/>
      <c r="AD151" s="1"/>
      <c r="AE151" s="1"/>
      <c r="AF151" s="111">
        <f>+MONTH(E151)&amp;YEAR(E151)</f>
      </c>
      <c r="AG151" s="217">
        <f>+I151</f>
      </c>
      <c r="AH151" s="217">
        <f>+J151</f>
      </c>
      <c r="AI151" s="217">
        <f>+H151</f>
      </c>
      <c r="AJ151" s="111">
        <f>+V151&amp;W151</f>
      </c>
      <c r="AK151" s="217">
        <f>+_xlfn.IFNA(VLOOKUP(AJ151,$AF$7:$AG$1066,2,0),0)</f>
      </c>
      <c r="AL151" s="217">
        <f>+IF(W151&gt;W150,AK151,AL150+AK151)</f>
      </c>
      <c r="AM151" s="217">
        <f>IF(W151&gt;W150,IF(AL151&gt;=$AZ$8,$AZ$8,AL151),IF(OR(AM150=$AZ$8,AM150=0),0,IF(AL151&gt;=$AZ$8,$AZ$8,AL151)))</f>
      </c>
      <c r="AN151" s="748">
        <f>+IF(OR(AM151&gt;AZ150,AM151=0),0,IF(AM151=AL151,AK151,$AZ$7-AL150))</f>
      </c>
      <c r="AO151" s="748">
        <f>+AK151-AN151</f>
      </c>
      <c r="AP151" s="217">
        <f>+_xlfn.IFNA(VLOOKUP(AJ151,$AF$7:$AI$1066,3,0),0)</f>
      </c>
      <c r="AQ151" s="217">
        <f>+IF(W151&gt;W150,AP151,AQ150+AP151)</f>
      </c>
      <c r="AR151" s="217">
        <f>+MAX($AM$2-SUMIF($W$7:$W$1066,W151,$AN$7:$AN$1066),0)</f>
      </c>
      <c r="AS151" s="748">
        <f>+MAX(IF(AQ151&gt;AR151,AR151-AQ150,AP151),0)</f>
      </c>
      <c r="AT151" s="748">
        <f>+AP151-AS151</f>
      </c>
      <c r="AU151" s="217">
        <f>+_xlfn.IFNA(VLOOKUP(AJ151,$AF$7:$AI$1066,4,0),0)</f>
      </c>
      <c r="AV151" s="217">
        <f>+IF(W151&gt;W150,AU151,AV150+AU151)</f>
      </c>
      <c r="AW151" s="217">
        <f>+MAX($AM$2-SUMIF($W$7:$W$1066,W151,$AN$7:$AN$1066)-SUMIF($W$7:$W$1066,W151,$AS$7:$AS$1066),0)</f>
      </c>
      <c r="AX151" s="748">
        <f>+MAX(IF(AV151&gt;AW151,AW151-AV150,AU151),0)</f>
      </c>
      <c r="AY151" s="748">
        <f>+AU151-AX151</f>
      </c>
      <c r="AZ151" s="331">
        <f>+$AM$1+IF($AP$1&gt;$AP$2,$AM$3/2)</f>
      </c>
    </row>
    <row x14ac:dyDescent="0.25" r="152" customHeight="1" ht="18.75">
      <c r="A152" s="1"/>
      <c r="B152" s="7"/>
      <c r="C152" s="170"/>
      <c r="D152" s="331">
        <v>145</v>
      </c>
      <c r="E152" s="544">
        <f>+DATE(YEAR(E151),MONTH(E151)-1,DAY(E151))</f>
        <v>25569.041666666668</v>
      </c>
      <c r="F152" s="333">
        <f>IF(DATE(YEAR($B$6),MONTH($B$6)+1,DAY(1))=E152,1,IF(MONTH(E152)=1,F153*(1+$F$5),F153))</f>
      </c>
      <c r="G152" s="333">
        <f>IF('Simulador - 1º Pilar'!$E$99="Sí",IF('Aportaciones PPE'!$B$13&lt;'Aportaciones PPE'!E152,0,F152*$B$8/12),F152*$B$8/12)</f>
      </c>
      <c r="H152" s="333">
        <f>$H$5*G152</f>
      </c>
      <c r="I152" s="333">
        <f>$I$5*G152</f>
      </c>
      <c r="J152" s="333">
        <f>+I152</f>
      </c>
      <c r="K152" s="333">
        <f>(1+$O$5)^(D152/12)*(H152+IF(AND(F152=1,F153=0),$S$4,0))</f>
      </c>
      <c r="L152" s="333">
        <f>(1+$O$5)^(D152/12)*(I152+IF(AND(F152=1,F153=0),0))</f>
      </c>
      <c r="M152" s="333">
        <f>+L152</f>
      </c>
      <c r="N152" s="333">
        <f>L152+K152+M152</f>
      </c>
      <c r="O152" s="170"/>
      <c r="P152" s="7"/>
      <c r="Q152" s="1"/>
      <c r="R152" s="331">
        <f>D152</f>
      </c>
      <c r="S152" s="169"/>
      <c r="T152" s="1"/>
      <c r="U152" s="217"/>
      <c r="V152" s="331">
        <f>+IF(V151=11,12,IF(V151=12,1,V151+1))</f>
      </c>
      <c r="W152" s="331">
        <f>+W151+IF(V151=12,1,0)</f>
      </c>
      <c r="X152" s="555">
        <f>+DATE(W152,V152,1)</f>
        <v>25569.041666666668</v>
      </c>
      <c r="Y152" s="333">
        <f>+_xlfn.IFNA(AN152+AS152+AX152,0)</f>
      </c>
      <c r="Z152" s="333">
        <f>+_xlfn.IFNA(AO152+AT152+AY152,0)</f>
      </c>
      <c r="AA152" s="333">
        <f>Y152*(1+$O$5)^(($B$7-X152)/365.25)</f>
      </c>
      <c r="AB152" s="333">
        <f>Z152*(1+$O$5)^(($B$7-X152)/365.25)</f>
      </c>
      <c r="AC152" s="1"/>
      <c r="AD152" s="1"/>
      <c r="AE152" s="1"/>
      <c r="AF152" s="111">
        <f>+MONTH(E152)&amp;YEAR(E152)</f>
      </c>
      <c r="AG152" s="217">
        <f>+I152</f>
      </c>
      <c r="AH152" s="217">
        <f>+J152</f>
      </c>
      <c r="AI152" s="217">
        <f>+H152</f>
      </c>
      <c r="AJ152" s="111">
        <f>+V152&amp;W152</f>
      </c>
      <c r="AK152" s="217">
        <f>+_xlfn.IFNA(VLOOKUP(AJ152,$AF$7:$AG$1066,2,0),0)</f>
      </c>
      <c r="AL152" s="217">
        <f>+IF(W152&gt;W151,AK152,AL151+AK152)</f>
      </c>
      <c r="AM152" s="217">
        <f>IF(W152&gt;W151,IF(AL152&gt;=$AZ$8,$AZ$8,AL152),IF(OR(AM151=$AZ$8,AM151=0),0,IF(AL152&gt;=$AZ$8,$AZ$8,AL152)))</f>
      </c>
      <c r="AN152" s="748">
        <f>+IF(OR(AM152&gt;AZ151,AM152=0),0,IF(AM152=AL152,AK152,$AZ$7-AL151))</f>
      </c>
      <c r="AO152" s="748">
        <f>+AK152-AN152</f>
      </c>
      <c r="AP152" s="217">
        <f>+_xlfn.IFNA(VLOOKUP(AJ152,$AF$7:$AI$1066,3,0),0)</f>
      </c>
      <c r="AQ152" s="217">
        <f>+IF(W152&gt;W151,AP152,AQ151+AP152)</f>
      </c>
      <c r="AR152" s="217">
        <f>+MAX($AM$2-SUMIF($W$7:$W$1066,W152,$AN$7:$AN$1066),0)</f>
      </c>
      <c r="AS152" s="748">
        <f>+MAX(IF(AQ152&gt;AR152,AR152-AQ151,AP152),0)</f>
      </c>
      <c r="AT152" s="748">
        <f>+AP152-AS152</f>
      </c>
      <c r="AU152" s="217">
        <f>+_xlfn.IFNA(VLOOKUP(AJ152,$AF$7:$AI$1066,4,0),0)</f>
      </c>
      <c r="AV152" s="217">
        <f>+IF(W152&gt;W151,AU152,AV151+AU152)</f>
      </c>
      <c r="AW152" s="217">
        <f>+MAX($AM$2-SUMIF($W$7:$W$1066,W152,$AN$7:$AN$1066)-SUMIF($W$7:$W$1066,W152,$AS$7:$AS$1066),0)</f>
      </c>
      <c r="AX152" s="748">
        <f>+MAX(IF(AV152&gt;AW152,AW152-AV151,AU152),0)</f>
      </c>
      <c r="AY152" s="748">
        <f>+AU152-AX152</f>
      </c>
      <c r="AZ152" s="331">
        <f>+$AM$1+IF($AP$1&gt;$AP$2,$AM$3/2)</f>
      </c>
    </row>
    <row x14ac:dyDescent="0.25" r="153" customHeight="1" ht="18.75">
      <c r="A153" s="1"/>
      <c r="B153" s="7"/>
      <c r="C153" s="170"/>
      <c r="D153" s="331">
        <v>146</v>
      </c>
      <c r="E153" s="544">
        <f>+DATE(YEAR(E152),MONTH(E152)-1,DAY(E152))</f>
        <v>25569.041666666668</v>
      </c>
      <c r="F153" s="333">
        <f>IF(DATE(YEAR($B$6),MONTH($B$6)+1,DAY(1))=E153,1,IF(MONTH(E153)=1,F154*(1+$F$5),F154))</f>
      </c>
      <c r="G153" s="333">
        <f>IF('Simulador - 1º Pilar'!$E$99="Sí",IF('Aportaciones PPE'!$B$13&lt;'Aportaciones PPE'!E153,0,F153*$B$8/12),F153*$B$8/12)</f>
      </c>
      <c r="H153" s="333">
        <f>$H$5*G153</f>
      </c>
      <c r="I153" s="333">
        <f>$I$5*G153</f>
      </c>
      <c r="J153" s="333">
        <f>+I153</f>
      </c>
      <c r="K153" s="333">
        <f>(1+$O$5)^(D153/12)*(H153+IF(AND(F153=1,F154=0),$S$4,0))</f>
      </c>
      <c r="L153" s="333">
        <f>(1+$O$5)^(D153/12)*(I153+IF(AND(F153=1,F154=0),0))</f>
      </c>
      <c r="M153" s="333">
        <f>+L153</f>
      </c>
      <c r="N153" s="333">
        <f>L153+K153+M153</f>
      </c>
      <c r="O153" s="170"/>
      <c r="P153" s="7"/>
      <c r="Q153" s="1"/>
      <c r="R153" s="331">
        <f>D153</f>
      </c>
      <c r="S153" s="169"/>
      <c r="T153" s="1"/>
      <c r="U153" s="217"/>
      <c r="V153" s="331">
        <f>+IF(V152=11,12,IF(V152=12,1,V152+1))</f>
      </c>
      <c r="W153" s="331">
        <f>+W152+IF(V152=12,1,0)</f>
      </c>
      <c r="X153" s="555">
        <f>+DATE(W153,V153,1)</f>
        <v>25569.041666666668</v>
      </c>
      <c r="Y153" s="333">
        <f>+_xlfn.IFNA(AN153+AS153+AX153,0)</f>
      </c>
      <c r="Z153" s="333">
        <f>+_xlfn.IFNA(AO153+AT153+AY153,0)</f>
      </c>
      <c r="AA153" s="333">
        <f>Y153*(1+$O$5)^(($B$7-X153)/365.25)</f>
      </c>
      <c r="AB153" s="333">
        <f>Z153*(1+$O$5)^(($B$7-X153)/365.25)</f>
      </c>
      <c r="AC153" s="1"/>
      <c r="AD153" s="1"/>
      <c r="AE153" s="1"/>
      <c r="AF153" s="111">
        <f>+MONTH(E153)&amp;YEAR(E153)</f>
      </c>
      <c r="AG153" s="217">
        <f>+I153</f>
      </c>
      <c r="AH153" s="217">
        <f>+J153</f>
      </c>
      <c r="AI153" s="217">
        <f>+H153</f>
      </c>
      <c r="AJ153" s="111">
        <f>+V153&amp;W153</f>
      </c>
      <c r="AK153" s="217">
        <f>+_xlfn.IFNA(VLOOKUP(AJ153,$AF$7:$AG$1066,2,0),0)</f>
      </c>
      <c r="AL153" s="217">
        <f>+IF(W153&gt;W152,AK153,AL152+AK153)</f>
      </c>
      <c r="AM153" s="217">
        <f>IF(W153&gt;W152,IF(AL153&gt;=$AZ$8,$AZ$8,AL153),IF(OR(AM152=$AZ$8,AM152=0),0,IF(AL153&gt;=$AZ$8,$AZ$8,AL153)))</f>
      </c>
      <c r="AN153" s="748">
        <f>+IF(OR(AM153&gt;AZ152,AM153=0),0,IF(AM153=AL153,AK153,$AZ$7-AL152))</f>
      </c>
      <c r="AO153" s="748">
        <f>+AK153-AN153</f>
      </c>
      <c r="AP153" s="217">
        <f>+_xlfn.IFNA(VLOOKUP(AJ153,$AF$7:$AI$1066,3,0),0)</f>
      </c>
      <c r="AQ153" s="217">
        <f>+IF(W153&gt;W152,AP153,AQ152+AP153)</f>
      </c>
      <c r="AR153" s="217">
        <f>+MAX($AM$2-SUMIF($W$7:$W$1066,W153,$AN$7:$AN$1066),0)</f>
      </c>
      <c r="AS153" s="748">
        <f>+MAX(IF(AQ153&gt;AR153,AR153-AQ152,AP153),0)</f>
      </c>
      <c r="AT153" s="748">
        <f>+AP153-AS153</f>
      </c>
      <c r="AU153" s="217">
        <f>+_xlfn.IFNA(VLOOKUP(AJ153,$AF$7:$AI$1066,4,0),0)</f>
      </c>
      <c r="AV153" s="217">
        <f>+IF(W153&gt;W152,AU153,AV152+AU153)</f>
      </c>
      <c r="AW153" s="217">
        <f>+MAX($AM$2-SUMIF($W$7:$W$1066,W153,$AN$7:$AN$1066)-SUMIF($W$7:$W$1066,W153,$AS$7:$AS$1066),0)</f>
      </c>
      <c r="AX153" s="748">
        <f>+MAX(IF(AV153&gt;AW153,AW153-AV152,AU153),0)</f>
      </c>
      <c r="AY153" s="748">
        <f>+AU153-AX153</f>
      </c>
      <c r="AZ153" s="331">
        <f>+$AM$1+IF($AP$1&gt;$AP$2,$AM$3/2)</f>
      </c>
    </row>
    <row x14ac:dyDescent="0.25" r="154" customHeight="1" ht="18.75">
      <c r="A154" s="1"/>
      <c r="B154" s="7"/>
      <c r="C154" s="170"/>
      <c r="D154" s="331">
        <v>147</v>
      </c>
      <c r="E154" s="544">
        <f>+DATE(YEAR(E153),MONTH(E153)-1,DAY(E153))</f>
        <v>25569.041666666668</v>
      </c>
      <c r="F154" s="333">
        <f>IF(DATE(YEAR($B$6),MONTH($B$6)+1,DAY(1))=E154,1,IF(MONTH(E154)=1,F155*(1+$F$5),F155))</f>
      </c>
      <c r="G154" s="333">
        <f>IF('Simulador - 1º Pilar'!$E$99="Sí",IF('Aportaciones PPE'!$B$13&lt;'Aportaciones PPE'!E154,0,F154*$B$8/12),F154*$B$8/12)</f>
      </c>
      <c r="H154" s="333">
        <f>$H$5*G154</f>
      </c>
      <c r="I154" s="333">
        <f>$I$5*G154</f>
      </c>
      <c r="J154" s="333">
        <f>+I154</f>
      </c>
      <c r="K154" s="333">
        <f>(1+$O$5)^(D154/12)*(H154+IF(AND(F154=1,F155=0),$S$4,0))</f>
      </c>
      <c r="L154" s="333">
        <f>(1+$O$5)^(D154/12)*(I154+IF(AND(F154=1,F155=0),0))</f>
      </c>
      <c r="M154" s="333">
        <f>+L154</f>
      </c>
      <c r="N154" s="333">
        <f>L154+K154+M154</f>
      </c>
      <c r="O154" s="170"/>
      <c r="P154" s="7"/>
      <c r="Q154" s="1"/>
      <c r="R154" s="331">
        <f>D154</f>
      </c>
      <c r="S154" s="169"/>
      <c r="T154" s="1"/>
      <c r="U154" s="217"/>
      <c r="V154" s="331">
        <f>+IF(V153=11,12,IF(V153=12,1,V153+1))</f>
      </c>
      <c r="W154" s="331">
        <f>+W153+IF(V153=12,1,0)</f>
      </c>
      <c r="X154" s="555">
        <f>+DATE(W154,V154,1)</f>
        <v>25569.041666666668</v>
      </c>
      <c r="Y154" s="333">
        <f>+_xlfn.IFNA(AN154+AS154+AX154,0)</f>
      </c>
      <c r="Z154" s="333">
        <f>+_xlfn.IFNA(AO154+AT154+AY154,0)</f>
      </c>
      <c r="AA154" s="333">
        <f>Y154*(1+$O$5)^(($B$7-X154)/365.25)</f>
      </c>
      <c r="AB154" s="333">
        <f>Z154*(1+$O$5)^(($B$7-X154)/365.25)</f>
      </c>
      <c r="AC154" s="1"/>
      <c r="AD154" s="1"/>
      <c r="AE154" s="1"/>
      <c r="AF154" s="111">
        <f>+MONTH(E154)&amp;YEAR(E154)</f>
      </c>
      <c r="AG154" s="217">
        <f>+I154</f>
      </c>
      <c r="AH154" s="217">
        <f>+J154</f>
      </c>
      <c r="AI154" s="217">
        <f>+H154</f>
      </c>
      <c r="AJ154" s="111">
        <f>+V154&amp;W154</f>
      </c>
      <c r="AK154" s="217">
        <f>+_xlfn.IFNA(VLOOKUP(AJ154,$AF$7:$AG$1066,2,0),0)</f>
      </c>
      <c r="AL154" s="217">
        <f>+IF(W154&gt;W153,AK154,AL153+AK154)</f>
      </c>
      <c r="AM154" s="217">
        <f>IF(W154&gt;W153,IF(AL154&gt;=$AZ$8,$AZ$8,AL154),IF(OR(AM153=$AZ$8,AM153=0),0,IF(AL154&gt;=$AZ$8,$AZ$8,AL154)))</f>
      </c>
      <c r="AN154" s="748">
        <f>+IF(OR(AM154&gt;AZ153,AM154=0),0,IF(AM154=AL154,AK154,$AZ$7-AL153))</f>
      </c>
      <c r="AO154" s="748">
        <f>+AK154-AN154</f>
      </c>
      <c r="AP154" s="217">
        <f>+_xlfn.IFNA(VLOOKUP(AJ154,$AF$7:$AI$1066,3,0),0)</f>
      </c>
      <c r="AQ154" s="217">
        <f>+IF(W154&gt;W153,AP154,AQ153+AP154)</f>
      </c>
      <c r="AR154" s="217">
        <f>+MAX($AM$2-SUMIF($W$7:$W$1066,W154,$AN$7:$AN$1066),0)</f>
      </c>
      <c r="AS154" s="748">
        <f>+MAX(IF(AQ154&gt;AR154,AR154-AQ153,AP154),0)</f>
      </c>
      <c r="AT154" s="748">
        <f>+AP154-AS154</f>
      </c>
      <c r="AU154" s="217">
        <f>+_xlfn.IFNA(VLOOKUP(AJ154,$AF$7:$AI$1066,4,0),0)</f>
      </c>
      <c r="AV154" s="217">
        <f>+IF(W154&gt;W153,AU154,AV153+AU154)</f>
      </c>
      <c r="AW154" s="217">
        <f>+MAX($AM$2-SUMIF($W$7:$W$1066,W154,$AN$7:$AN$1066)-SUMIF($W$7:$W$1066,W154,$AS$7:$AS$1066),0)</f>
      </c>
      <c r="AX154" s="748">
        <f>+MAX(IF(AV154&gt;AW154,AW154-AV153,AU154),0)</f>
      </c>
      <c r="AY154" s="748">
        <f>+AU154-AX154</f>
      </c>
      <c r="AZ154" s="331">
        <f>+$AM$1+IF($AP$1&gt;$AP$2,$AM$3/2)</f>
      </c>
    </row>
    <row x14ac:dyDescent="0.25" r="155" customHeight="1" ht="18.75">
      <c r="A155" s="1"/>
      <c r="B155" s="7"/>
      <c r="C155" s="170"/>
      <c r="D155" s="331">
        <v>148</v>
      </c>
      <c r="E155" s="544">
        <f>+DATE(YEAR(E154),MONTH(E154)-1,DAY(E154))</f>
        <v>25569.041666666668</v>
      </c>
      <c r="F155" s="333">
        <f>IF(DATE(YEAR($B$6),MONTH($B$6)+1,DAY(1))=E155,1,IF(MONTH(E155)=1,F156*(1+$F$5),F156))</f>
      </c>
      <c r="G155" s="333">
        <f>IF('Simulador - 1º Pilar'!$E$99="Sí",IF('Aportaciones PPE'!$B$13&lt;'Aportaciones PPE'!E155,0,F155*$B$8/12),F155*$B$8/12)</f>
      </c>
      <c r="H155" s="333">
        <f>$H$5*G155</f>
      </c>
      <c r="I155" s="333">
        <f>$I$5*G155</f>
      </c>
      <c r="J155" s="333">
        <f>+I155</f>
      </c>
      <c r="K155" s="333">
        <f>(1+$O$5)^(D155/12)*(H155+IF(AND(F155=1,F156=0),$S$4,0))</f>
      </c>
      <c r="L155" s="333">
        <f>(1+$O$5)^(D155/12)*(I155+IF(AND(F155=1,F156=0),0))</f>
      </c>
      <c r="M155" s="333">
        <f>+L155</f>
      </c>
      <c r="N155" s="333">
        <f>L155+K155+M155</f>
      </c>
      <c r="O155" s="170"/>
      <c r="P155" s="7"/>
      <c r="Q155" s="1"/>
      <c r="R155" s="331">
        <f>D155</f>
      </c>
      <c r="S155" s="169"/>
      <c r="T155" s="1"/>
      <c r="U155" s="217"/>
      <c r="V155" s="331">
        <f>+IF(V154=11,12,IF(V154=12,1,V154+1))</f>
      </c>
      <c r="W155" s="331">
        <f>+W154+IF(V154=12,1,0)</f>
      </c>
      <c r="X155" s="555">
        <f>+DATE(W155,V155,1)</f>
        <v>25569.041666666668</v>
      </c>
      <c r="Y155" s="333">
        <f>+_xlfn.IFNA(AN155+AS155+AX155,0)</f>
      </c>
      <c r="Z155" s="333">
        <f>+_xlfn.IFNA(AO155+AT155+AY155,0)</f>
      </c>
      <c r="AA155" s="333">
        <f>Y155*(1+$O$5)^(($B$7-X155)/365.25)</f>
      </c>
      <c r="AB155" s="333">
        <f>Z155*(1+$O$5)^(($B$7-X155)/365.25)</f>
      </c>
      <c r="AC155" s="1"/>
      <c r="AD155" s="1"/>
      <c r="AE155" s="1"/>
      <c r="AF155" s="111">
        <f>+MONTH(E155)&amp;YEAR(E155)</f>
      </c>
      <c r="AG155" s="217">
        <f>+I155</f>
      </c>
      <c r="AH155" s="217">
        <f>+J155</f>
      </c>
      <c r="AI155" s="217">
        <f>+H155</f>
      </c>
      <c r="AJ155" s="111">
        <f>+V155&amp;W155</f>
      </c>
      <c r="AK155" s="217">
        <f>+_xlfn.IFNA(VLOOKUP(AJ155,$AF$7:$AG$1066,2,0),0)</f>
      </c>
      <c r="AL155" s="217">
        <f>+IF(W155&gt;W154,AK155,AL154+AK155)</f>
      </c>
      <c r="AM155" s="217">
        <f>IF(W155&gt;W154,IF(AL155&gt;=$AZ$8,$AZ$8,AL155),IF(OR(AM154=$AZ$8,AM154=0),0,IF(AL155&gt;=$AZ$8,$AZ$8,AL155)))</f>
      </c>
      <c r="AN155" s="748">
        <f>+IF(OR(AM155&gt;AZ154,AM155=0),0,IF(AM155=AL155,AK155,$AZ$7-AL154))</f>
      </c>
      <c r="AO155" s="748">
        <f>+AK155-AN155</f>
      </c>
      <c r="AP155" s="217">
        <f>+_xlfn.IFNA(VLOOKUP(AJ155,$AF$7:$AI$1066,3,0),0)</f>
      </c>
      <c r="AQ155" s="217">
        <f>+IF(W155&gt;W154,AP155,AQ154+AP155)</f>
      </c>
      <c r="AR155" s="217">
        <f>+MAX($AM$2-SUMIF($W$7:$W$1066,W155,$AN$7:$AN$1066),0)</f>
      </c>
      <c r="AS155" s="748">
        <f>+MAX(IF(AQ155&gt;AR155,AR155-AQ154,AP155),0)</f>
      </c>
      <c r="AT155" s="748">
        <f>+AP155-AS155</f>
      </c>
      <c r="AU155" s="217">
        <f>+_xlfn.IFNA(VLOOKUP(AJ155,$AF$7:$AI$1066,4,0),0)</f>
      </c>
      <c r="AV155" s="217">
        <f>+IF(W155&gt;W154,AU155,AV154+AU155)</f>
      </c>
      <c r="AW155" s="217">
        <f>+MAX($AM$2-SUMIF($W$7:$W$1066,W155,$AN$7:$AN$1066)-SUMIF($W$7:$W$1066,W155,$AS$7:$AS$1066),0)</f>
      </c>
      <c r="AX155" s="748">
        <f>+MAX(IF(AV155&gt;AW155,AW155-AV154,AU155),0)</f>
      </c>
      <c r="AY155" s="748">
        <f>+AU155-AX155</f>
      </c>
      <c r="AZ155" s="331">
        <f>+$AM$1+IF($AP$1&gt;$AP$2,$AM$3/2)</f>
      </c>
    </row>
    <row x14ac:dyDescent="0.25" r="156" customHeight="1" ht="18.75">
      <c r="A156" s="1"/>
      <c r="B156" s="7"/>
      <c r="C156" s="170"/>
      <c r="D156" s="331">
        <v>149</v>
      </c>
      <c r="E156" s="544">
        <f>+DATE(YEAR(E155),MONTH(E155)-1,DAY(E155))</f>
        <v>25569.041666666668</v>
      </c>
      <c r="F156" s="333">
        <f>IF(DATE(YEAR($B$6),MONTH($B$6)+1,DAY(1))=E156,1,IF(MONTH(E156)=1,F157*(1+$F$5),F157))</f>
      </c>
      <c r="G156" s="333">
        <f>IF('Simulador - 1º Pilar'!$E$99="Sí",IF('Aportaciones PPE'!$B$13&lt;'Aportaciones PPE'!E156,0,F156*$B$8/12),F156*$B$8/12)</f>
      </c>
      <c r="H156" s="333">
        <f>$H$5*G156</f>
      </c>
      <c r="I156" s="333">
        <f>$I$5*G156</f>
      </c>
      <c r="J156" s="333">
        <f>+I156</f>
      </c>
      <c r="K156" s="333">
        <f>(1+$O$5)^(D156/12)*(H156+IF(AND(F156=1,F157=0),$S$4,0))</f>
      </c>
      <c r="L156" s="333">
        <f>(1+$O$5)^(D156/12)*(I156+IF(AND(F156=1,F157=0),0))</f>
      </c>
      <c r="M156" s="333">
        <f>+L156</f>
      </c>
      <c r="N156" s="333">
        <f>L156+K156+M156</f>
      </c>
      <c r="O156" s="170"/>
      <c r="P156" s="7"/>
      <c r="Q156" s="1"/>
      <c r="R156" s="331">
        <f>D156</f>
      </c>
      <c r="S156" s="169"/>
      <c r="T156" s="1"/>
      <c r="U156" s="217"/>
      <c r="V156" s="331">
        <f>+IF(V155=11,12,IF(V155=12,1,V155+1))</f>
      </c>
      <c r="W156" s="331">
        <f>+W155+IF(V155=12,1,0)</f>
      </c>
      <c r="X156" s="555">
        <f>+DATE(W156,V156,1)</f>
        <v>25569.041666666668</v>
      </c>
      <c r="Y156" s="333">
        <f>+_xlfn.IFNA(AN156+AS156+AX156,0)</f>
      </c>
      <c r="Z156" s="333">
        <f>+_xlfn.IFNA(AO156+AT156+AY156,0)</f>
      </c>
      <c r="AA156" s="333">
        <f>Y156*(1+$O$5)^(($B$7-X156)/365.25)</f>
      </c>
      <c r="AB156" s="333">
        <f>Z156*(1+$O$5)^(($B$7-X156)/365.25)</f>
      </c>
      <c r="AC156" s="1"/>
      <c r="AD156" s="1"/>
      <c r="AE156" s="1"/>
      <c r="AF156" s="111">
        <f>+MONTH(E156)&amp;YEAR(E156)</f>
      </c>
      <c r="AG156" s="217">
        <f>+I156</f>
      </c>
      <c r="AH156" s="217">
        <f>+J156</f>
      </c>
      <c r="AI156" s="217">
        <f>+H156</f>
      </c>
      <c r="AJ156" s="111">
        <f>+V156&amp;W156</f>
      </c>
      <c r="AK156" s="217">
        <f>+_xlfn.IFNA(VLOOKUP(AJ156,$AF$7:$AG$1066,2,0),0)</f>
      </c>
      <c r="AL156" s="217">
        <f>+IF(W156&gt;W155,AK156,AL155+AK156)</f>
      </c>
      <c r="AM156" s="217">
        <f>IF(W156&gt;W155,IF(AL156&gt;=$AZ$8,$AZ$8,AL156),IF(OR(AM155=$AZ$8,AM155=0),0,IF(AL156&gt;=$AZ$8,$AZ$8,AL156)))</f>
      </c>
      <c r="AN156" s="748">
        <f>+IF(OR(AM156&gt;AZ155,AM156=0),0,IF(AM156=AL156,AK156,$AZ$7-AL155))</f>
      </c>
      <c r="AO156" s="748">
        <f>+AK156-AN156</f>
      </c>
      <c r="AP156" s="217">
        <f>+_xlfn.IFNA(VLOOKUP(AJ156,$AF$7:$AI$1066,3,0),0)</f>
      </c>
      <c r="AQ156" s="217">
        <f>+IF(W156&gt;W155,AP156,AQ155+AP156)</f>
      </c>
      <c r="AR156" s="217">
        <f>+MAX($AM$2-SUMIF($W$7:$W$1066,W156,$AN$7:$AN$1066),0)</f>
      </c>
      <c r="AS156" s="748">
        <f>+MAX(IF(AQ156&gt;AR156,AR156-AQ155,AP156),0)</f>
      </c>
      <c r="AT156" s="748">
        <f>+AP156-AS156</f>
      </c>
      <c r="AU156" s="217">
        <f>+_xlfn.IFNA(VLOOKUP(AJ156,$AF$7:$AI$1066,4,0),0)</f>
      </c>
      <c r="AV156" s="217">
        <f>+IF(W156&gt;W155,AU156,AV155+AU156)</f>
      </c>
      <c r="AW156" s="217">
        <f>+MAX($AM$2-SUMIF($W$7:$W$1066,W156,$AN$7:$AN$1066)-SUMIF($W$7:$W$1066,W156,$AS$7:$AS$1066),0)</f>
      </c>
      <c r="AX156" s="748">
        <f>+MAX(IF(AV156&gt;AW156,AW156-AV155,AU156),0)</f>
      </c>
      <c r="AY156" s="748">
        <f>+AU156-AX156</f>
      </c>
      <c r="AZ156" s="331">
        <f>+$AM$1+IF($AP$1&gt;$AP$2,$AM$3/2)</f>
      </c>
    </row>
    <row x14ac:dyDescent="0.25" r="157" customHeight="1" ht="18.75">
      <c r="A157" s="1"/>
      <c r="B157" s="7"/>
      <c r="C157" s="170"/>
      <c r="D157" s="331">
        <v>150</v>
      </c>
      <c r="E157" s="544">
        <f>+DATE(YEAR(E156),MONTH(E156)-1,DAY(E156))</f>
        <v>25569.041666666668</v>
      </c>
      <c r="F157" s="333">
        <f>IF(DATE(YEAR($B$6),MONTH($B$6)+1,DAY(1))=E157,1,IF(MONTH(E157)=1,F158*(1+$F$5),F158))</f>
      </c>
      <c r="G157" s="333">
        <f>IF('Simulador - 1º Pilar'!$E$99="Sí",IF('Aportaciones PPE'!$B$13&lt;'Aportaciones PPE'!E157,0,F157*$B$8/12),F157*$B$8/12)</f>
      </c>
      <c r="H157" s="333">
        <f>$H$5*G157</f>
      </c>
      <c r="I157" s="333">
        <f>$I$5*G157</f>
      </c>
      <c r="J157" s="333">
        <f>+I157</f>
      </c>
      <c r="K157" s="333">
        <f>(1+$O$5)^(D157/12)*(H157+IF(AND(F157=1,F158=0),$S$4,0))</f>
      </c>
      <c r="L157" s="333">
        <f>(1+$O$5)^(D157/12)*(I157+IF(AND(F157=1,F158=0),0))</f>
      </c>
      <c r="M157" s="333">
        <f>+L157</f>
      </c>
      <c r="N157" s="333">
        <f>L157+K157+M157</f>
      </c>
      <c r="O157" s="170"/>
      <c r="P157" s="7"/>
      <c r="Q157" s="1"/>
      <c r="R157" s="331">
        <f>D157</f>
      </c>
      <c r="S157" s="169"/>
      <c r="T157" s="1"/>
      <c r="U157" s="217"/>
      <c r="V157" s="331">
        <f>+IF(V156=11,12,IF(V156=12,1,V156+1))</f>
      </c>
      <c r="W157" s="331">
        <f>+W156+IF(V156=12,1,0)</f>
      </c>
      <c r="X157" s="555">
        <f>+DATE(W157,V157,1)</f>
        <v>25569.041666666668</v>
      </c>
      <c r="Y157" s="333">
        <f>+_xlfn.IFNA(AN157+AS157+AX157,0)</f>
      </c>
      <c r="Z157" s="333">
        <f>+_xlfn.IFNA(AO157+AT157+AY157,0)</f>
      </c>
      <c r="AA157" s="333">
        <f>Y157*(1+$O$5)^(($B$7-X157)/365.25)</f>
      </c>
      <c r="AB157" s="333">
        <f>Z157*(1+$O$5)^(($B$7-X157)/365.25)</f>
      </c>
      <c r="AC157" s="1"/>
      <c r="AD157" s="1"/>
      <c r="AE157" s="1"/>
      <c r="AF157" s="111">
        <f>+MONTH(E157)&amp;YEAR(E157)</f>
      </c>
      <c r="AG157" s="217">
        <f>+I157</f>
      </c>
      <c r="AH157" s="217">
        <f>+J157</f>
      </c>
      <c r="AI157" s="217">
        <f>+H157</f>
      </c>
      <c r="AJ157" s="111">
        <f>+V157&amp;W157</f>
      </c>
      <c r="AK157" s="217">
        <f>+_xlfn.IFNA(VLOOKUP(AJ157,$AF$7:$AG$1066,2,0),0)</f>
      </c>
      <c r="AL157" s="217">
        <f>+IF(W157&gt;W156,AK157,AL156+AK157)</f>
      </c>
      <c r="AM157" s="217">
        <f>IF(W157&gt;W156,IF(AL157&gt;=$AZ$8,$AZ$8,AL157),IF(OR(AM156=$AZ$8,AM156=0),0,IF(AL157&gt;=$AZ$8,$AZ$8,AL157)))</f>
      </c>
      <c r="AN157" s="748">
        <f>+IF(OR(AM157&gt;AZ156,AM157=0),0,IF(AM157=AL157,AK157,$AZ$7-AL156))</f>
      </c>
      <c r="AO157" s="748">
        <f>+AK157-AN157</f>
      </c>
      <c r="AP157" s="217">
        <f>+_xlfn.IFNA(VLOOKUP(AJ157,$AF$7:$AI$1066,3,0),0)</f>
      </c>
      <c r="AQ157" s="217">
        <f>+IF(W157&gt;W156,AP157,AQ156+AP157)</f>
      </c>
      <c r="AR157" s="217">
        <f>+MAX($AM$2-SUMIF($W$7:$W$1066,W157,$AN$7:$AN$1066),0)</f>
      </c>
      <c r="AS157" s="748">
        <f>+MAX(IF(AQ157&gt;AR157,AR157-AQ156,AP157),0)</f>
      </c>
      <c r="AT157" s="748">
        <f>+AP157-AS157</f>
      </c>
      <c r="AU157" s="217">
        <f>+_xlfn.IFNA(VLOOKUP(AJ157,$AF$7:$AI$1066,4,0),0)</f>
      </c>
      <c r="AV157" s="217">
        <f>+IF(W157&gt;W156,AU157,AV156+AU157)</f>
      </c>
      <c r="AW157" s="217">
        <f>+MAX($AM$2-SUMIF($W$7:$W$1066,W157,$AN$7:$AN$1066)-SUMIF($W$7:$W$1066,W157,$AS$7:$AS$1066),0)</f>
      </c>
      <c r="AX157" s="748">
        <f>+MAX(IF(AV157&gt;AW157,AW157-AV156,AU157),0)</f>
      </c>
      <c r="AY157" s="748">
        <f>+AU157-AX157</f>
      </c>
      <c r="AZ157" s="331">
        <f>+$AM$1+IF($AP$1&gt;$AP$2,$AM$3/2)</f>
      </c>
    </row>
    <row x14ac:dyDescent="0.25" r="158" customHeight="1" ht="18.75">
      <c r="A158" s="1"/>
      <c r="B158" s="7"/>
      <c r="C158" s="170"/>
      <c r="D158" s="331">
        <v>151</v>
      </c>
      <c r="E158" s="544">
        <f>+DATE(YEAR(E157),MONTH(E157)-1,DAY(E157))</f>
        <v>25569.041666666668</v>
      </c>
      <c r="F158" s="333">
        <f>IF(DATE(YEAR($B$6),MONTH($B$6)+1,DAY(1))=E158,1,IF(MONTH(E158)=1,F159*(1+$F$5),F159))</f>
      </c>
      <c r="G158" s="333">
        <f>IF('Simulador - 1º Pilar'!$E$99="Sí",IF('Aportaciones PPE'!$B$13&lt;'Aportaciones PPE'!E158,0,F158*$B$8/12),F158*$B$8/12)</f>
      </c>
      <c r="H158" s="333">
        <f>$H$5*G158</f>
      </c>
      <c r="I158" s="333">
        <f>$I$5*G158</f>
      </c>
      <c r="J158" s="333">
        <f>+I158</f>
      </c>
      <c r="K158" s="333">
        <f>(1+$O$5)^(D158/12)*(H158+IF(AND(F158=1,F159=0),$S$4,0))</f>
      </c>
      <c r="L158" s="333">
        <f>(1+$O$5)^(D158/12)*(I158+IF(AND(F158=1,F159=0),0))</f>
      </c>
      <c r="M158" s="333">
        <f>+L158</f>
      </c>
      <c r="N158" s="333">
        <f>L158+K158+M158</f>
      </c>
      <c r="O158" s="170"/>
      <c r="P158" s="7"/>
      <c r="Q158" s="1"/>
      <c r="R158" s="331">
        <f>D158</f>
      </c>
      <c r="S158" s="169"/>
      <c r="T158" s="1"/>
      <c r="U158" s="217"/>
      <c r="V158" s="331">
        <f>+IF(V157=11,12,IF(V157=12,1,V157+1))</f>
      </c>
      <c r="W158" s="331">
        <f>+W157+IF(V157=12,1,0)</f>
      </c>
      <c r="X158" s="555">
        <f>+DATE(W158,V158,1)</f>
        <v>25569.041666666668</v>
      </c>
      <c r="Y158" s="333">
        <f>+_xlfn.IFNA(AN158+AS158+AX158,0)</f>
      </c>
      <c r="Z158" s="333">
        <f>+_xlfn.IFNA(AO158+AT158+AY158,0)</f>
      </c>
      <c r="AA158" s="333">
        <f>Y158*(1+$O$5)^(($B$7-X158)/365.25)</f>
      </c>
      <c r="AB158" s="333">
        <f>Z158*(1+$O$5)^(($B$7-X158)/365.25)</f>
      </c>
      <c r="AC158" s="1"/>
      <c r="AD158" s="1"/>
      <c r="AE158" s="1"/>
      <c r="AF158" s="111">
        <f>+MONTH(E158)&amp;YEAR(E158)</f>
      </c>
      <c r="AG158" s="217">
        <f>+I158</f>
      </c>
      <c r="AH158" s="217">
        <f>+J158</f>
      </c>
      <c r="AI158" s="217">
        <f>+H158</f>
      </c>
      <c r="AJ158" s="111">
        <f>+V158&amp;W158</f>
      </c>
      <c r="AK158" s="217">
        <f>+_xlfn.IFNA(VLOOKUP(AJ158,$AF$7:$AG$1066,2,0),0)</f>
      </c>
      <c r="AL158" s="217">
        <f>+IF(W158&gt;W157,AK158,AL157+AK158)</f>
      </c>
      <c r="AM158" s="217">
        <f>IF(W158&gt;W157,IF(AL158&gt;=$AZ$8,$AZ$8,AL158),IF(OR(AM157=$AZ$8,AM157=0),0,IF(AL158&gt;=$AZ$8,$AZ$8,AL158)))</f>
      </c>
      <c r="AN158" s="748">
        <f>+IF(OR(AM158&gt;AZ157,AM158=0),0,IF(AM158=AL158,AK158,$AZ$7-AL157))</f>
      </c>
      <c r="AO158" s="748">
        <f>+AK158-AN158</f>
      </c>
      <c r="AP158" s="217">
        <f>+_xlfn.IFNA(VLOOKUP(AJ158,$AF$7:$AI$1066,3,0),0)</f>
      </c>
      <c r="AQ158" s="217">
        <f>+IF(W158&gt;W157,AP158,AQ157+AP158)</f>
      </c>
      <c r="AR158" s="217">
        <f>+MAX($AM$2-SUMIF($W$7:$W$1066,W158,$AN$7:$AN$1066),0)</f>
      </c>
      <c r="AS158" s="748">
        <f>+MAX(IF(AQ158&gt;AR158,AR158-AQ157,AP158),0)</f>
      </c>
      <c r="AT158" s="748">
        <f>+AP158-AS158</f>
      </c>
      <c r="AU158" s="217">
        <f>+_xlfn.IFNA(VLOOKUP(AJ158,$AF$7:$AI$1066,4,0),0)</f>
      </c>
      <c r="AV158" s="217">
        <f>+IF(W158&gt;W157,AU158,AV157+AU158)</f>
      </c>
      <c r="AW158" s="217">
        <f>+MAX($AM$2-SUMIF($W$7:$W$1066,W158,$AN$7:$AN$1066)-SUMIF($W$7:$W$1066,W158,$AS$7:$AS$1066),0)</f>
      </c>
      <c r="AX158" s="748">
        <f>+MAX(IF(AV158&gt;AW158,AW158-AV157,AU158),0)</f>
      </c>
      <c r="AY158" s="748">
        <f>+AU158-AX158</f>
      </c>
      <c r="AZ158" s="331">
        <f>+$AM$1+IF($AP$1&gt;$AP$2,$AM$3/2)</f>
      </c>
    </row>
    <row x14ac:dyDescent="0.25" r="159" customHeight="1" ht="18.75">
      <c r="A159" s="1"/>
      <c r="B159" s="7"/>
      <c r="C159" s="170"/>
      <c r="D159" s="331">
        <v>152</v>
      </c>
      <c r="E159" s="544">
        <f>+DATE(YEAR(E158),MONTH(E158)-1,DAY(E158))</f>
        <v>25569.041666666668</v>
      </c>
      <c r="F159" s="333">
        <f>IF(DATE(YEAR($B$6),MONTH($B$6)+1,DAY(1))=E159,1,IF(MONTH(E159)=1,F160*(1+$F$5),F160))</f>
      </c>
      <c r="G159" s="333">
        <f>IF('Simulador - 1º Pilar'!$E$99="Sí",IF('Aportaciones PPE'!$B$13&lt;'Aportaciones PPE'!E159,0,F159*$B$8/12),F159*$B$8/12)</f>
      </c>
      <c r="H159" s="333">
        <f>$H$5*G159</f>
      </c>
      <c r="I159" s="333">
        <f>$I$5*G159</f>
      </c>
      <c r="J159" s="333">
        <f>+I159</f>
      </c>
      <c r="K159" s="333">
        <f>(1+$O$5)^(D159/12)*(H159+IF(AND(F159=1,F160=0),$S$4,0))</f>
      </c>
      <c r="L159" s="333">
        <f>(1+$O$5)^(D159/12)*(I159+IF(AND(F159=1,F160=0),0))</f>
      </c>
      <c r="M159" s="333">
        <f>+L159</f>
      </c>
      <c r="N159" s="333">
        <f>L159+K159+M159</f>
      </c>
      <c r="O159" s="170"/>
      <c r="P159" s="7"/>
      <c r="Q159" s="1"/>
      <c r="R159" s="331">
        <f>D159</f>
      </c>
      <c r="S159" s="169"/>
      <c r="T159" s="1"/>
      <c r="U159" s="217"/>
      <c r="V159" s="331">
        <f>+IF(V158=11,12,IF(V158=12,1,V158+1))</f>
      </c>
      <c r="W159" s="331">
        <f>+W158+IF(V158=12,1,0)</f>
      </c>
      <c r="X159" s="555">
        <f>+DATE(W159,V159,1)</f>
        <v>25569.041666666668</v>
      </c>
      <c r="Y159" s="333">
        <f>+_xlfn.IFNA(AN159+AS159+AX159,0)</f>
      </c>
      <c r="Z159" s="333">
        <f>+_xlfn.IFNA(AO159+AT159+AY159,0)</f>
      </c>
      <c r="AA159" s="333">
        <f>Y159*(1+$O$5)^(($B$7-X159)/365.25)</f>
      </c>
      <c r="AB159" s="333">
        <f>Z159*(1+$O$5)^(($B$7-X159)/365.25)</f>
      </c>
      <c r="AC159" s="1"/>
      <c r="AD159" s="1"/>
      <c r="AE159" s="1"/>
      <c r="AF159" s="111">
        <f>+MONTH(E159)&amp;YEAR(E159)</f>
      </c>
      <c r="AG159" s="217">
        <f>+I159</f>
      </c>
      <c r="AH159" s="217">
        <f>+J159</f>
      </c>
      <c r="AI159" s="217">
        <f>+H159</f>
      </c>
      <c r="AJ159" s="111">
        <f>+V159&amp;W159</f>
      </c>
      <c r="AK159" s="217">
        <f>+_xlfn.IFNA(VLOOKUP(AJ159,$AF$7:$AG$1066,2,0),0)</f>
      </c>
      <c r="AL159" s="217">
        <f>+IF(W159&gt;W158,AK159,AL158+AK159)</f>
      </c>
      <c r="AM159" s="217">
        <f>IF(W159&gt;W158,IF(AL159&gt;=$AZ$8,$AZ$8,AL159),IF(OR(AM158=$AZ$8,AM158=0),0,IF(AL159&gt;=$AZ$8,$AZ$8,AL159)))</f>
      </c>
      <c r="AN159" s="748">
        <f>+IF(OR(AM159&gt;AZ158,AM159=0),0,IF(AM159=AL159,AK159,$AZ$7-AL158))</f>
      </c>
      <c r="AO159" s="748">
        <f>+AK159-AN159</f>
      </c>
      <c r="AP159" s="217">
        <f>+_xlfn.IFNA(VLOOKUP(AJ159,$AF$7:$AI$1066,3,0),0)</f>
      </c>
      <c r="AQ159" s="217">
        <f>+IF(W159&gt;W158,AP159,AQ158+AP159)</f>
      </c>
      <c r="AR159" s="217">
        <f>+MAX($AM$2-SUMIF($W$7:$W$1066,W159,$AN$7:$AN$1066),0)</f>
      </c>
      <c r="AS159" s="748">
        <f>+MAX(IF(AQ159&gt;AR159,AR159-AQ158,AP159),0)</f>
      </c>
      <c r="AT159" s="748">
        <f>+AP159-AS159</f>
      </c>
      <c r="AU159" s="217">
        <f>+_xlfn.IFNA(VLOOKUP(AJ159,$AF$7:$AI$1066,4,0),0)</f>
      </c>
      <c r="AV159" s="217">
        <f>+IF(W159&gt;W158,AU159,AV158+AU159)</f>
      </c>
      <c r="AW159" s="217">
        <f>+MAX($AM$2-SUMIF($W$7:$W$1066,W159,$AN$7:$AN$1066)-SUMIF($W$7:$W$1066,W159,$AS$7:$AS$1066),0)</f>
      </c>
      <c r="AX159" s="748">
        <f>+MAX(IF(AV159&gt;AW159,AW159-AV158,AU159),0)</f>
      </c>
      <c r="AY159" s="748">
        <f>+AU159-AX159</f>
      </c>
      <c r="AZ159" s="331">
        <f>+$AM$1+IF($AP$1&gt;$AP$2,$AM$3/2)</f>
      </c>
    </row>
    <row x14ac:dyDescent="0.25" r="160" customHeight="1" ht="18.75">
      <c r="A160" s="1"/>
      <c r="B160" s="7"/>
      <c r="C160" s="170"/>
      <c r="D160" s="331">
        <v>153</v>
      </c>
      <c r="E160" s="544">
        <f>+DATE(YEAR(E159),MONTH(E159)-1,DAY(E159))</f>
        <v>25569.041666666668</v>
      </c>
      <c r="F160" s="333">
        <f>IF(DATE(YEAR($B$6),MONTH($B$6)+1,DAY(1))=E160,1,IF(MONTH(E160)=1,F161*(1+$F$5),F161))</f>
      </c>
      <c r="G160" s="333">
        <f>IF('Simulador - 1º Pilar'!$E$99="Sí",IF('Aportaciones PPE'!$B$13&lt;'Aportaciones PPE'!E160,0,F160*$B$8/12),F160*$B$8/12)</f>
      </c>
      <c r="H160" s="333">
        <f>$H$5*G160</f>
      </c>
      <c r="I160" s="333">
        <f>$I$5*G160</f>
      </c>
      <c r="J160" s="333">
        <f>+I160</f>
      </c>
      <c r="K160" s="333">
        <f>(1+$O$5)^(D160/12)*(H160+IF(AND(F160=1,F161=0),$S$4,0))</f>
      </c>
      <c r="L160" s="333">
        <f>(1+$O$5)^(D160/12)*(I160+IF(AND(F160=1,F161=0),0))</f>
      </c>
      <c r="M160" s="333">
        <f>+L160</f>
      </c>
      <c r="N160" s="333">
        <f>L160+K160+M160</f>
      </c>
      <c r="O160" s="170"/>
      <c r="P160" s="7"/>
      <c r="Q160" s="1"/>
      <c r="R160" s="331">
        <f>D160</f>
      </c>
      <c r="S160" s="169"/>
      <c r="T160" s="1"/>
      <c r="U160" s="217"/>
      <c r="V160" s="331">
        <f>+IF(V159=11,12,IF(V159=12,1,V159+1))</f>
      </c>
      <c r="W160" s="331">
        <f>+W159+IF(V159=12,1,0)</f>
      </c>
      <c r="X160" s="555">
        <f>+DATE(W160,V160,1)</f>
        <v>25569.041666666668</v>
      </c>
      <c r="Y160" s="333">
        <f>+_xlfn.IFNA(AN160+AS160+AX160,0)</f>
      </c>
      <c r="Z160" s="333">
        <f>+_xlfn.IFNA(AO160+AT160+AY160,0)</f>
      </c>
      <c r="AA160" s="333">
        <f>Y160*(1+$O$5)^(($B$7-X160)/365.25)</f>
      </c>
      <c r="AB160" s="333">
        <f>Z160*(1+$O$5)^(($B$7-X160)/365.25)</f>
      </c>
      <c r="AC160" s="1"/>
      <c r="AD160" s="1"/>
      <c r="AE160" s="1"/>
      <c r="AF160" s="111">
        <f>+MONTH(E160)&amp;YEAR(E160)</f>
      </c>
      <c r="AG160" s="217">
        <f>+I160</f>
      </c>
      <c r="AH160" s="217">
        <f>+J160</f>
      </c>
      <c r="AI160" s="217">
        <f>+H160</f>
      </c>
      <c r="AJ160" s="111">
        <f>+V160&amp;W160</f>
      </c>
      <c r="AK160" s="217">
        <f>+_xlfn.IFNA(VLOOKUP(AJ160,$AF$7:$AG$1066,2,0),0)</f>
      </c>
      <c r="AL160" s="217">
        <f>+IF(W160&gt;W159,AK160,AL159+AK160)</f>
      </c>
      <c r="AM160" s="217">
        <f>IF(W160&gt;W159,IF(AL160&gt;=$AZ$8,$AZ$8,AL160),IF(OR(AM159=$AZ$8,AM159=0),0,IF(AL160&gt;=$AZ$8,$AZ$8,AL160)))</f>
      </c>
      <c r="AN160" s="748">
        <f>+IF(OR(AM160&gt;AZ159,AM160=0),0,IF(AM160=AL160,AK160,$AZ$7-AL159))</f>
      </c>
      <c r="AO160" s="748">
        <f>+AK160-AN160</f>
      </c>
      <c r="AP160" s="217">
        <f>+_xlfn.IFNA(VLOOKUP(AJ160,$AF$7:$AI$1066,3,0),0)</f>
      </c>
      <c r="AQ160" s="217">
        <f>+IF(W160&gt;W159,AP160,AQ159+AP160)</f>
      </c>
      <c r="AR160" s="217">
        <f>+MAX($AM$2-SUMIF($W$7:$W$1066,W160,$AN$7:$AN$1066),0)</f>
      </c>
      <c r="AS160" s="748">
        <f>+MAX(IF(AQ160&gt;AR160,AR160-AQ159,AP160),0)</f>
      </c>
      <c r="AT160" s="748">
        <f>+AP160-AS160</f>
      </c>
      <c r="AU160" s="217">
        <f>+_xlfn.IFNA(VLOOKUP(AJ160,$AF$7:$AI$1066,4,0),0)</f>
      </c>
      <c r="AV160" s="217">
        <f>+IF(W160&gt;W159,AU160,AV159+AU160)</f>
      </c>
      <c r="AW160" s="217">
        <f>+MAX($AM$2-SUMIF($W$7:$W$1066,W160,$AN$7:$AN$1066)-SUMIF($W$7:$W$1066,W160,$AS$7:$AS$1066),0)</f>
      </c>
      <c r="AX160" s="748">
        <f>+MAX(IF(AV160&gt;AW160,AW160-AV159,AU160),0)</f>
      </c>
      <c r="AY160" s="748">
        <f>+AU160-AX160</f>
      </c>
      <c r="AZ160" s="331">
        <f>+$AM$1+IF($AP$1&gt;$AP$2,$AM$3/2)</f>
      </c>
    </row>
    <row x14ac:dyDescent="0.25" r="161" customHeight="1" ht="18.75">
      <c r="A161" s="1"/>
      <c r="B161" s="7"/>
      <c r="C161" s="170"/>
      <c r="D161" s="331">
        <v>154</v>
      </c>
      <c r="E161" s="544">
        <f>+DATE(YEAR(E160),MONTH(E160)-1,DAY(E160))</f>
        <v>25569.041666666668</v>
      </c>
      <c r="F161" s="333">
        <f>IF(DATE(YEAR($B$6),MONTH($B$6)+1,DAY(1))=E161,1,IF(MONTH(E161)=1,F162*(1+$F$5),F162))</f>
      </c>
      <c r="G161" s="333">
        <f>IF('Simulador - 1º Pilar'!$E$99="Sí",IF('Aportaciones PPE'!$B$13&lt;'Aportaciones PPE'!E161,0,F161*$B$8/12),F161*$B$8/12)</f>
      </c>
      <c r="H161" s="333">
        <f>$H$5*G161</f>
      </c>
      <c r="I161" s="333">
        <f>$I$5*G161</f>
      </c>
      <c r="J161" s="333">
        <f>+I161</f>
      </c>
      <c r="K161" s="333">
        <f>(1+$O$5)^(D161/12)*(H161+IF(AND(F161=1,F162=0),$S$4,0))</f>
      </c>
      <c r="L161" s="333">
        <f>(1+$O$5)^(D161/12)*(I161+IF(AND(F161=1,F162=0),0))</f>
      </c>
      <c r="M161" s="333">
        <f>+L161</f>
      </c>
      <c r="N161" s="333">
        <f>L161+K161+M161</f>
      </c>
      <c r="O161" s="170"/>
      <c r="P161" s="7"/>
      <c r="Q161" s="1"/>
      <c r="R161" s="331">
        <f>D161</f>
      </c>
      <c r="S161" s="169"/>
      <c r="T161" s="1"/>
      <c r="U161" s="217"/>
      <c r="V161" s="331">
        <f>+IF(V160=11,12,IF(V160=12,1,V160+1))</f>
      </c>
      <c r="W161" s="331">
        <f>+W160+IF(V160=12,1,0)</f>
      </c>
      <c r="X161" s="555">
        <f>+DATE(W161,V161,1)</f>
        <v>25569.041666666668</v>
      </c>
      <c r="Y161" s="333">
        <f>+_xlfn.IFNA(AN161+AS161+AX161,0)</f>
      </c>
      <c r="Z161" s="333">
        <f>+_xlfn.IFNA(AO161+AT161+AY161,0)</f>
      </c>
      <c r="AA161" s="333">
        <f>Y161*(1+$O$5)^(($B$7-X161)/365.25)</f>
      </c>
      <c r="AB161" s="333">
        <f>Z161*(1+$O$5)^(($B$7-X161)/365.25)</f>
      </c>
      <c r="AC161" s="1"/>
      <c r="AD161" s="1"/>
      <c r="AE161" s="1"/>
      <c r="AF161" s="111">
        <f>+MONTH(E161)&amp;YEAR(E161)</f>
      </c>
      <c r="AG161" s="217">
        <f>+I161</f>
      </c>
      <c r="AH161" s="217">
        <f>+J161</f>
      </c>
      <c r="AI161" s="217">
        <f>+H161</f>
      </c>
      <c r="AJ161" s="111">
        <f>+V161&amp;W161</f>
      </c>
      <c r="AK161" s="217">
        <f>+_xlfn.IFNA(VLOOKUP(AJ161,$AF$7:$AG$1066,2,0),0)</f>
      </c>
      <c r="AL161" s="217">
        <f>+IF(W161&gt;W160,AK161,AL160+AK161)</f>
      </c>
      <c r="AM161" s="217">
        <f>IF(W161&gt;W160,IF(AL161&gt;=$AZ$8,$AZ$8,AL161),IF(OR(AM160=$AZ$8,AM160=0),0,IF(AL161&gt;=$AZ$8,$AZ$8,AL161)))</f>
      </c>
      <c r="AN161" s="748">
        <f>+IF(OR(AM161&gt;AZ160,AM161=0),0,IF(AM161=AL161,AK161,$AZ$7-AL160))</f>
      </c>
      <c r="AO161" s="748">
        <f>+AK161-AN161</f>
      </c>
      <c r="AP161" s="217">
        <f>+_xlfn.IFNA(VLOOKUP(AJ161,$AF$7:$AI$1066,3,0),0)</f>
      </c>
      <c r="AQ161" s="217">
        <f>+IF(W161&gt;W160,AP161,AQ160+AP161)</f>
      </c>
      <c r="AR161" s="217">
        <f>+MAX($AM$2-SUMIF($W$7:$W$1066,W161,$AN$7:$AN$1066),0)</f>
      </c>
      <c r="AS161" s="748">
        <f>+MAX(IF(AQ161&gt;AR161,AR161-AQ160,AP161),0)</f>
      </c>
      <c r="AT161" s="748">
        <f>+AP161-AS161</f>
      </c>
      <c r="AU161" s="217">
        <f>+_xlfn.IFNA(VLOOKUP(AJ161,$AF$7:$AI$1066,4,0),0)</f>
      </c>
      <c r="AV161" s="217">
        <f>+IF(W161&gt;W160,AU161,AV160+AU161)</f>
      </c>
      <c r="AW161" s="217">
        <f>+MAX($AM$2-SUMIF($W$7:$W$1066,W161,$AN$7:$AN$1066)-SUMIF($W$7:$W$1066,W161,$AS$7:$AS$1066),0)</f>
      </c>
      <c r="AX161" s="748">
        <f>+MAX(IF(AV161&gt;AW161,AW161-AV160,AU161),0)</f>
      </c>
      <c r="AY161" s="748">
        <f>+AU161-AX161</f>
      </c>
      <c r="AZ161" s="331">
        <f>+$AM$1+IF($AP$1&gt;$AP$2,$AM$3/2)</f>
      </c>
    </row>
    <row x14ac:dyDescent="0.25" r="162" customHeight="1" ht="18.75">
      <c r="A162" s="1"/>
      <c r="B162" s="7"/>
      <c r="C162" s="170"/>
      <c r="D162" s="331">
        <v>155</v>
      </c>
      <c r="E162" s="544">
        <f>+DATE(YEAR(E161),MONTH(E161)-1,DAY(E161))</f>
        <v>25569.041666666668</v>
      </c>
      <c r="F162" s="333">
        <f>IF(DATE(YEAR($B$6),MONTH($B$6)+1,DAY(1))=E162,1,IF(MONTH(E162)=1,F163*(1+$F$5),F163))</f>
      </c>
      <c r="G162" s="333">
        <f>IF('Simulador - 1º Pilar'!$E$99="Sí",IF('Aportaciones PPE'!$B$13&lt;'Aportaciones PPE'!E162,0,F162*$B$8/12),F162*$B$8/12)</f>
      </c>
      <c r="H162" s="333">
        <f>$H$5*G162</f>
      </c>
      <c r="I162" s="333">
        <f>$I$5*G162</f>
      </c>
      <c r="J162" s="333">
        <f>+I162</f>
      </c>
      <c r="K162" s="333">
        <f>(1+$O$5)^(D162/12)*(H162+IF(AND(F162=1,F163=0),$S$4,0))</f>
      </c>
      <c r="L162" s="333">
        <f>(1+$O$5)^(D162/12)*(I162+IF(AND(F162=1,F163=0),0))</f>
      </c>
      <c r="M162" s="333">
        <f>+L162</f>
      </c>
      <c r="N162" s="333">
        <f>L162+K162+M162</f>
      </c>
      <c r="O162" s="170"/>
      <c r="P162" s="7"/>
      <c r="Q162" s="1"/>
      <c r="R162" s="331">
        <f>D162</f>
      </c>
      <c r="S162" s="169"/>
      <c r="T162" s="1"/>
      <c r="U162" s="217"/>
      <c r="V162" s="331">
        <f>+IF(V161=11,12,IF(V161=12,1,V161+1))</f>
      </c>
      <c r="W162" s="331">
        <f>+W161+IF(V161=12,1,0)</f>
      </c>
      <c r="X162" s="555">
        <f>+DATE(W162,V162,1)</f>
        <v>25569.041666666668</v>
      </c>
      <c r="Y162" s="333">
        <f>+_xlfn.IFNA(AN162+AS162+AX162,0)</f>
      </c>
      <c r="Z162" s="333">
        <f>+_xlfn.IFNA(AO162+AT162+AY162,0)</f>
      </c>
      <c r="AA162" s="333">
        <f>Y162*(1+$O$5)^(($B$7-X162)/365.25)</f>
      </c>
      <c r="AB162" s="333">
        <f>Z162*(1+$O$5)^(($B$7-X162)/365.25)</f>
      </c>
      <c r="AC162" s="1"/>
      <c r="AD162" s="1"/>
      <c r="AE162" s="1"/>
      <c r="AF162" s="111">
        <f>+MONTH(E162)&amp;YEAR(E162)</f>
      </c>
      <c r="AG162" s="217">
        <f>+I162</f>
      </c>
      <c r="AH162" s="217">
        <f>+J162</f>
      </c>
      <c r="AI162" s="217">
        <f>+H162</f>
      </c>
      <c r="AJ162" s="111">
        <f>+V162&amp;W162</f>
      </c>
      <c r="AK162" s="217">
        <f>+_xlfn.IFNA(VLOOKUP(AJ162,$AF$7:$AG$1066,2,0),0)</f>
      </c>
      <c r="AL162" s="217">
        <f>+IF(W162&gt;W161,AK162,AL161+AK162)</f>
      </c>
      <c r="AM162" s="217">
        <f>IF(W162&gt;W161,IF(AL162&gt;=$AZ$8,$AZ$8,AL162),IF(OR(AM161=$AZ$8,AM161=0),0,IF(AL162&gt;=$AZ$8,$AZ$8,AL162)))</f>
      </c>
      <c r="AN162" s="748">
        <f>+IF(OR(AM162&gt;AZ161,AM162=0),0,IF(AM162=AL162,AK162,$AZ$7-AL161))</f>
      </c>
      <c r="AO162" s="748">
        <f>+AK162-AN162</f>
      </c>
      <c r="AP162" s="217">
        <f>+_xlfn.IFNA(VLOOKUP(AJ162,$AF$7:$AI$1066,3,0),0)</f>
      </c>
      <c r="AQ162" s="217">
        <f>+IF(W162&gt;W161,AP162,AQ161+AP162)</f>
      </c>
      <c r="AR162" s="217">
        <f>+MAX($AM$2-SUMIF($W$7:$W$1066,W162,$AN$7:$AN$1066),0)</f>
      </c>
      <c r="AS162" s="748">
        <f>+MAX(IF(AQ162&gt;AR162,AR162-AQ161,AP162),0)</f>
      </c>
      <c r="AT162" s="748">
        <f>+AP162-AS162</f>
      </c>
      <c r="AU162" s="217">
        <f>+_xlfn.IFNA(VLOOKUP(AJ162,$AF$7:$AI$1066,4,0),0)</f>
      </c>
      <c r="AV162" s="217">
        <f>+IF(W162&gt;W161,AU162,AV161+AU162)</f>
      </c>
      <c r="AW162" s="217">
        <f>+MAX($AM$2-SUMIF($W$7:$W$1066,W162,$AN$7:$AN$1066)-SUMIF($W$7:$W$1066,W162,$AS$7:$AS$1066),0)</f>
      </c>
      <c r="AX162" s="748">
        <f>+MAX(IF(AV162&gt;AW162,AW162-AV161,AU162),0)</f>
      </c>
      <c r="AY162" s="748">
        <f>+AU162-AX162</f>
      </c>
      <c r="AZ162" s="331">
        <f>+$AM$1+IF($AP$1&gt;$AP$2,$AM$3/2)</f>
      </c>
    </row>
    <row x14ac:dyDescent="0.25" r="163" customHeight="1" ht="18.75">
      <c r="A163" s="1"/>
      <c r="B163" s="7"/>
      <c r="C163" s="170"/>
      <c r="D163" s="331">
        <v>156</v>
      </c>
      <c r="E163" s="544">
        <f>+DATE(YEAR(E162),MONTH(E162)-1,DAY(E162))</f>
        <v>25569.041666666668</v>
      </c>
      <c r="F163" s="333">
        <f>IF(DATE(YEAR($B$6),MONTH($B$6)+1,DAY(1))=E163,1,IF(MONTH(E163)=1,F164*(1+$F$5),F164))</f>
      </c>
      <c r="G163" s="333">
        <f>IF('Simulador - 1º Pilar'!$E$99="Sí",IF('Aportaciones PPE'!$B$13&lt;'Aportaciones PPE'!E163,0,F163*$B$8/12),F163*$B$8/12)</f>
      </c>
      <c r="H163" s="333">
        <f>$H$5*G163</f>
      </c>
      <c r="I163" s="333">
        <f>$I$5*G163</f>
      </c>
      <c r="J163" s="333">
        <f>+I163</f>
      </c>
      <c r="K163" s="333">
        <f>(1+$O$5)^(D163/12)*(H163+IF(AND(F163=1,F164=0),$S$4,0))</f>
      </c>
      <c r="L163" s="333">
        <f>(1+$O$5)^(D163/12)*(I163+IF(AND(F163=1,F164=0),0))</f>
      </c>
      <c r="M163" s="333">
        <f>+L163</f>
      </c>
      <c r="N163" s="333">
        <f>L163+K163+M163</f>
      </c>
      <c r="O163" s="170"/>
      <c r="P163" s="7"/>
      <c r="Q163" s="1"/>
      <c r="R163" s="331">
        <f>D163</f>
      </c>
      <c r="S163" s="169"/>
      <c r="T163" s="1"/>
      <c r="U163" s="217"/>
      <c r="V163" s="331">
        <f>+IF(V162=11,12,IF(V162=12,1,V162+1))</f>
      </c>
      <c r="W163" s="331">
        <f>+W162+IF(V162=12,1,0)</f>
      </c>
      <c r="X163" s="555">
        <f>+DATE(W163,V163,1)</f>
        <v>25569.041666666668</v>
      </c>
      <c r="Y163" s="333">
        <f>+_xlfn.IFNA(AN163+AS163+AX163,0)</f>
      </c>
      <c r="Z163" s="333">
        <f>+_xlfn.IFNA(AO163+AT163+AY163,0)</f>
      </c>
      <c r="AA163" s="333">
        <f>Y163*(1+$O$5)^(($B$7-X163)/365.25)</f>
      </c>
      <c r="AB163" s="333">
        <f>Z163*(1+$O$5)^(($B$7-X163)/365.25)</f>
      </c>
      <c r="AC163" s="1"/>
      <c r="AD163" s="1"/>
      <c r="AE163" s="1"/>
      <c r="AF163" s="111">
        <f>+MONTH(E163)&amp;YEAR(E163)</f>
      </c>
      <c r="AG163" s="217">
        <f>+I163</f>
      </c>
      <c r="AH163" s="217">
        <f>+J163</f>
      </c>
      <c r="AI163" s="217">
        <f>+H163</f>
      </c>
      <c r="AJ163" s="111">
        <f>+V163&amp;W163</f>
      </c>
      <c r="AK163" s="217">
        <f>+_xlfn.IFNA(VLOOKUP(AJ163,$AF$7:$AG$1066,2,0),0)</f>
      </c>
      <c r="AL163" s="217">
        <f>+IF(W163&gt;W162,AK163,AL162+AK163)</f>
      </c>
      <c r="AM163" s="217">
        <f>IF(W163&gt;W162,IF(AL163&gt;=$AZ$8,$AZ$8,AL163),IF(OR(AM162=$AZ$8,AM162=0),0,IF(AL163&gt;=$AZ$8,$AZ$8,AL163)))</f>
      </c>
      <c r="AN163" s="748">
        <f>+IF(OR(AM163&gt;AZ162,AM163=0),0,IF(AM163=AL163,AK163,$AZ$7-AL162))</f>
      </c>
      <c r="AO163" s="748">
        <f>+AK163-AN163</f>
      </c>
      <c r="AP163" s="217">
        <f>+_xlfn.IFNA(VLOOKUP(AJ163,$AF$7:$AI$1066,3,0),0)</f>
      </c>
      <c r="AQ163" s="217">
        <f>+IF(W163&gt;W162,AP163,AQ162+AP163)</f>
      </c>
      <c r="AR163" s="217">
        <f>+MAX($AM$2-SUMIF($W$7:$W$1066,W163,$AN$7:$AN$1066),0)</f>
      </c>
      <c r="AS163" s="748">
        <f>+MAX(IF(AQ163&gt;AR163,AR163-AQ162,AP163),0)</f>
      </c>
      <c r="AT163" s="748">
        <f>+AP163-AS163</f>
      </c>
      <c r="AU163" s="217">
        <f>+_xlfn.IFNA(VLOOKUP(AJ163,$AF$7:$AI$1066,4,0),0)</f>
      </c>
      <c r="AV163" s="217">
        <f>+IF(W163&gt;W162,AU163,AV162+AU163)</f>
      </c>
      <c r="AW163" s="217">
        <f>+MAX($AM$2-SUMIF($W$7:$W$1066,W163,$AN$7:$AN$1066)-SUMIF($W$7:$W$1066,W163,$AS$7:$AS$1066),0)</f>
      </c>
      <c r="AX163" s="748">
        <f>+MAX(IF(AV163&gt;AW163,AW163-AV162,AU163),0)</f>
      </c>
      <c r="AY163" s="748">
        <f>+AU163-AX163</f>
      </c>
      <c r="AZ163" s="331">
        <f>+$AM$1+IF($AP$1&gt;$AP$2,$AM$3/2)</f>
      </c>
    </row>
    <row x14ac:dyDescent="0.25" r="164" customHeight="1" ht="18.75">
      <c r="A164" s="1"/>
      <c r="B164" s="7"/>
      <c r="C164" s="170"/>
      <c r="D164" s="331">
        <v>157</v>
      </c>
      <c r="E164" s="544">
        <f>+DATE(YEAR(E163),MONTH(E163)-1,DAY(E163))</f>
        <v>25569.041666666668</v>
      </c>
      <c r="F164" s="333">
        <f>IF(DATE(YEAR($B$6),MONTH($B$6)+1,DAY(1))=E164,1,IF(MONTH(E164)=1,F165*(1+$F$5),F165))</f>
      </c>
      <c r="G164" s="333">
        <f>IF('Simulador - 1º Pilar'!$E$99="Sí",IF('Aportaciones PPE'!$B$13&lt;'Aportaciones PPE'!E164,0,F164*$B$8/12),F164*$B$8/12)</f>
      </c>
      <c r="H164" s="333">
        <f>$H$5*G164</f>
      </c>
      <c r="I164" s="333">
        <f>$I$5*G164</f>
      </c>
      <c r="J164" s="333">
        <f>+I164</f>
      </c>
      <c r="K164" s="333">
        <f>(1+$O$5)^(D164/12)*(H164+IF(AND(F164=1,F165=0),$S$4,0))</f>
      </c>
      <c r="L164" s="333">
        <f>(1+$O$5)^(D164/12)*(I164+IF(AND(F164=1,F165=0),0))</f>
      </c>
      <c r="M164" s="333">
        <f>+L164</f>
      </c>
      <c r="N164" s="333">
        <f>L164+K164+M164</f>
      </c>
      <c r="O164" s="170"/>
      <c r="P164" s="7"/>
      <c r="Q164" s="1"/>
      <c r="R164" s="331">
        <f>D164</f>
      </c>
      <c r="S164" s="169"/>
      <c r="T164" s="1"/>
      <c r="U164" s="217"/>
      <c r="V164" s="331">
        <f>+IF(V163=11,12,IF(V163=12,1,V163+1))</f>
      </c>
      <c r="W164" s="331">
        <f>+W163+IF(V163=12,1,0)</f>
      </c>
      <c r="X164" s="555">
        <f>+DATE(W164,V164,1)</f>
        <v>25569.041666666668</v>
      </c>
      <c r="Y164" s="333">
        <f>+_xlfn.IFNA(AN164+AS164+AX164,0)</f>
      </c>
      <c r="Z164" s="333">
        <f>+_xlfn.IFNA(AO164+AT164+AY164,0)</f>
      </c>
      <c r="AA164" s="333">
        <f>Y164*(1+$O$5)^(($B$7-X164)/365.25)</f>
      </c>
      <c r="AB164" s="333">
        <f>Z164*(1+$O$5)^(($B$7-X164)/365.25)</f>
      </c>
      <c r="AC164" s="1"/>
      <c r="AD164" s="1"/>
      <c r="AE164" s="1"/>
      <c r="AF164" s="111">
        <f>+MONTH(E164)&amp;YEAR(E164)</f>
      </c>
      <c r="AG164" s="217">
        <f>+I164</f>
      </c>
      <c r="AH164" s="217">
        <f>+J164</f>
      </c>
      <c r="AI164" s="217">
        <f>+H164</f>
      </c>
      <c r="AJ164" s="111">
        <f>+V164&amp;W164</f>
      </c>
      <c r="AK164" s="217">
        <f>+_xlfn.IFNA(VLOOKUP(AJ164,$AF$7:$AG$1066,2,0),0)</f>
      </c>
      <c r="AL164" s="217">
        <f>+IF(W164&gt;W163,AK164,AL163+AK164)</f>
      </c>
      <c r="AM164" s="217">
        <f>IF(W164&gt;W163,IF(AL164&gt;=$AZ$8,$AZ$8,AL164),IF(OR(AM163=$AZ$8,AM163=0),0,IF(AL164&gt;=$AZ$8,$AZ$8,AL164)))</f>
      </c>
      <c r="AN164" s="748">
        <f>+IF(OR(AM164&gt;AZ163,AM164=0),0,IF(AM164=AL164,AK164,$AZ$7-AL163))</f>
      </c>
      <c r="AO164" s="748">
        <f>+AK164-AN164</f>
      </c>
      <c r="AP164" s="217">
        <f>+_xlfn.IFNA(VLOOKUP(AJ164,$AF$7:$AI$1066,3,0),0)</f>
      </c>
      <c r="AQ164" s="217">
        <f>+IF(W164&gt;W163,AP164,AQ163+AP164)</f>
      </c>
      <c r="AR164" s="217">
        <f>+MAX($AM$2-SUMIF($W$7:$W$1066,W164,$AN$7:$AN$1066),0)</f>
      </c>
      <c r="AS164" s="748">
        <f>+MAX(IF(AQ164&gt;AR164,AR164-AQ163,AP164),0)</f>
      </c>
      <c r="AT164" s="748">
        <f>+AP164-AS164</f>
      </c>
      <c r="AU164" s="217">
        <f>+_xlfn.IFNA(VLOOKUP(AJ164,$AF$7:$AI$1066,4,0),0)</f>
      </c>
      <c r="AV164" s="217">
        <f>+IF(W164&gt;W163,AU164,AV163+AU164)</f>
      </c>
      <c r="AW164" s="217">
        <f>+MAX($AM$2-SUMIF($W$7:$W$1066,W164,$AN$7:$AN$1066)-SUMIF($W$7:$W$1066,W164,$AS$7:$AS$1066),0)</f>
      </c>
      <c r="AX164" s="748">
        <f>+MAX(IF(AV164&gt;AW164,AW164-AV163,AU164),0)</f>
      </c>
      <c r="AY164" s="748">
        <f>+AU164-AX164</f>
      </c>
      <c r="AZ164" s="331">
        <f>+$AM$1+IF($AP$1&gt;$AP$2,$AM$3/2)</f>
      </c>
    </row>
    <row x14ac:dyDescent="0.25" r="165" customHeight="1" ht="18.75">
      <c r="A165" s="1"/>
      <c r="B165" s="7"/>
      <c r="C165" s="170"/>
      <c r="D165" s="331">
        <v>158</v>
      </c>
      <c r="E165" s="544">
        <f>+DATE(YEAR(E164),MONTH(E164)-1,DAY(E164))</f>
        <v>25569.041666666668</v>
      </c>
      <c r="F165" s="333">
        <f>IF(DATE(YEAR($B$6),MONTH($B$6)+1,DAY(1))=E165,1,IF(MONTH(E165)=1,F166*(1+$F$5),F166))</f>
      </c>
      <c r="G165" s="333">
        <f>IF('Simulador - 1º Pilar'!$E$99="Sí",IF('Aportaciones PPE'!$B$13&lt;'Aportaciones PPE'!E165,0,F165*$B$8/12),F165*$B$8/12)</f>
      </c>
      <c r="H165" s="333">
        <f>$H$5*G165</f>
      </c>
      <c r="I165" s="333">
        <f>$I$5*G165</f>
      </c>
      <c r="J165" s="333">
        <f>+I165</f>
      </c>
      <c r="K165" s="333">
        <f>(1+$O$5)^(D165/12)*(H165+IF(AND(F165=1,F166=0),$S$4,0))</f>
      </c>
      <c r="L165" s="333">
        <f>(1+$O$5)^(D165/12)*(I165+IF(AND(F165=1,F166=0),0))</f>
      </c>
      <c r="M165" s="333">
        <f>+L165</f>
      </c>
      <c r="N165" s="333">
        <f>L165+K165+M165</f>
      </c>
      <c r="O165" s="170"/>
      <c r="P165" s="7"/>
      <c r="Q165" s="1"/>
      <c r="R165" s="331">
        <f>D165</f>
      </c>
      <c r="S165" s="169"/>
      <c r="T165" s="1"/>
      <c r="U165" s="217"/>
      <c r="V165" s="331">
        <f>+IF(V164=11,12,IF(V164=12,1,V164+1))</f>
      </c>
      <c r="W165" s="331">
        <f>+W164+IF(V164=12,1,0)</f>
      </c>
      <c r="X165" s="555">
        <f>+DATE(W165,V165,1)</f>
        <v>25569.041666666668</v>
      </c>
      <c r="Y165" s="333">
        <f>+_xlfn.IFNA(AN165+AS165+AX165,0)</f>
      </c>
      <c r="Z165" s="333">
        <f>+_xlfn.IFNA(AO165+AT165+AY165,0)</f>
      </c>
      <c r="AA165" s="333">
        <f>Y165*(1+$O$5)^(($B$7-X165)/365.25)</f>
      </c>
      <c r="AB165" s="333">
        <f>Z165*(1+$O$5)^(($B$7-X165)/365.25)</f>
      </c>
      <c r="AC165" s="1"/>
      <c r="AD165" s="1"/>
      <c r="AE165" s="1"/>
      <c r="AF165" s="111">
        <f>+MONTH(E165)&amp;YEAR(E165)</f>
      </c>
      <c r="AG165" s="217">
        <f>+I165</f>
      </c>
      <c r="AH165" s="217">
        <f>+J165</f>
      </c>
      <c r="AI165" s="217">
        <f>+H165</f>
      </c>
      <c r="AJ165" s="111">
        <f>+V165&amp;W165</f>
      </c>
      <c r="AK165" s="217">
        <f>+_xlfn.IFNA(VLOOKUP(AJ165,$AF$7:$AG$1066,2,0),0)</f>
      </c>
      <c r="AL165" s="217">
        <f>+IF(W165&gt;W164,AK165,AL164+AK165)</f>
      </c>
      <c r="AM165" s="217">
        <f>IF(W165&gt;W164,IF(AL165&gt;=$AZ$8,$AZ$8,AL165),IF(OR(AM164=$AZ$8,AM164=0),0,IF(AL165&gt;=$AZ$8,$AZ$8,AL165)))</f>
      </c>
      <c r="AN165" s="748">
        <f>+IF(OR(AM165&gt;AZ164,AM165=0),0,IF(AM165=AL165,AK165,$AZ$7-AL164))</f>
      </c>
      <c r="AO165" s="748">
        <f>+AK165-AN165</f>
      </c>
      <c r="AP165" s="217">
        <f>+_xlfn.IFNA(VLOOKUP(AJ165,$AF$7:$AI$1066,3,0),0)</f>
      </c>
      <c r="AQ165" s="217">
        <f>+IF(W165&gt;W164,AP165,AQ164+AP165)</f>
      </c>
      <c r="AR165" s="217">
        <f>+MAX($AM$2-SUMIF($W$7:$W$1066,W165,$AN$7:$AN$1066),0)</f>
      </c>
      <c r="AS165" s="748">
        <f>+MAX(IF(AQ165&gt;AR165,AR165-AQ164,AP165),0)</f>
      </c>
      <c r="AT165" s="748">
        <f>+AP165-AS165</f>
      </c>
      <c r="AU165" s="217">
        <f>+_xlfn.IFNA(VLOOKUP(AJ165,$AF$7:$AI$1066,4,0),0)</f>
      </c>
      <c r="AV165" s="217">
        <f>+IF(W165&gt;W164,AU165,AV164+AU165)</f>
      </c>
      <c r="AW165" s="217">
        <f>+MAX($AM$2-SUMIF($W$7:$W$1066,W165,$AN$7:$AN$1066)-SUMIF($W$7:$W$1066,W165,$AS$7:$AS$1066),0)</f>
      </c>
      <c r="AX165" s="748">
        <f>+MAX(IF(AV165&gt;AW165,AW165-AV164,AU165),0)</f>
      </c>
      <c r="AY165" s="748">
        <f>+AU165-AX165</f>
      </c>
      <c r="AZ165" s="331">
        <f>+$AM$1+IF($AP$1&gt;$AP$2,$AM$3/2)</f>
      </c>
    </row>
    <row x14ac:dyDescent="0.25" r="166" customHeight="1" ht="18.75">
      <c r="A166" s="1"/>
      <c r="B166" s="7"/>
      <c r="C166" s="170"/>
      <c r="D166" s="331">
        <v>159</v>
      </c>
      <c r="E166" s="544">
        <f>+DATE(YEAR(E165),MONTH(E165)-1,DAY(E165))</f>
        <v>25569.041666666668</v>
      </c>
      <c r="F166" s="333">
        <f>IF(DATE(YEAR($B$6),MONTH($B$6)+1,DAY(1))=E166,1,IF(MONTH(E166)=1,F167*(1+$F$5),F167))</f>
      </c>
      <c r="G166" s="333">
        <f>IF('Simulador - 1º Pilar'!$E$99="Sí",IF('Aportaciones PPE'!$B$13&lt;'Aportaciones PPE'!E166,0,F166*$B$8/12),F166*$B$8/12)</f>
      </c>
      <c r="H166" s="333">
        <f>$H$5*G166</f>
      </c>
      <c r="I166" s="333">
        <f>$I$5*G166</f>
      </c>
      <c r="J166" s="333">
        <f>+I166</f>
      </c>
      <c r="K166" s="333">
        <f>(1+$O$5)^(D166/12)*(H166+IF(AND(F166=1,F167=0),$S$4,0))</f>
      </c>
      <c r="L166" s="333">
        <f>(1+$O$5)^(D166/12)*(I166+IF(AND(F166=1,F167=0),0))</f>
      </c>
      <c r="M166" s="333">
        <f>+L166</f>
      </c>
      <c r="N166" s="333">
        <f>L166+K166+M166</f>
      </c>
      <c r="O166" s="170"/>
      <c r="P166" s="7"/>
      <c r="Q166" s="1"/>
      <c r="R166" s="331">
        <f>D166</f>
      </c>
      <c r="S166" s="169"/>
      <c r="T166" s="1"/>
      <c r="U166" s="217"/>
      <c r="V166" s="331">
        <f>+IF(V165=11,12,IF(V165=12,1,V165+1))</f>
      </c>
      <c r="W166" s="331">
        <f>+W165+IF(V165=12,1,0)</f>
      </c>
      <c r="X166" s="555">
        <f>+DATE(W166,V166,1)</f>
        <v>25569.041666666668</v>
      </c>
      <c r="Y166" s="333">
        <f>+_xlfn.IFNA(AN166+AS166+AX166,0)</f>
      </c>
      <c r="Z166" s="333">
        <f>+_xlfn.IFNA(AO166+AT166+AY166,0)</f>
      </c>
      <c r="AA166" s="333">
        <f>Y166*(1+$O$5)^(($B$7-X166)/365.25)</f>
      </c>
      <c r="AB166" s="333">
        <f>Z166*(1+$O$5)^(($B$7-X166)/365.25)</f>
      </c>
      <c r="AC166" s="1"/>
      <c r="AD166" s="1"/>
      <c r="AE166" s="1"/>
      <c r="AF166" s="111">
        <f>+MONTH(E166)&amp;YEAR(E166)</f>
      </c>
      <c r="AG166" s="217">
        <f>+I166</f>
      </c>
      <c r="AH166" s="217">
        <f>+J166</f>
      </c>
      <c r="AI166" s="217">
        <f>+H166</f>
      </c>
      <c r="AJ166" s="111">
        <f>+V166&amp;W166</f>
      </c>
      <c r="AK166" s="217">
        <f>+_xlfn.IFNA(VLOOKUP(AJ166,$AF$7:$AG$1066,2,0),0)</f>
      </c>
      <c r="AL166" s="217">
        <f>+IF(W166&gt;W165,AK166,AL165+AK166)</f>
      </c>
      <c r="AM166" s="217">
        <f>IF(W166&gt;W165,IF(AL166&gt;=$AZ$8,$AZ$8,AL166),IF(OR(AM165=$AZ$8,AM165=0),0,IF(AL166&gt;=$AZ$8,$AZ$8,AL166)))</f>
      </c>
      <c r="AN166" s="748">
        <f>+IF(OR(AM166&gt;AZ165,AM166=0),0,IF(AM166=AL166,AK166,$AZ$7-AL165))</f>
      </c>
      <c r="AO166" s="748">
        <f>+AK166-AN166</f>
      </c>
      <c r="AP166" s="217">
        <f>+_xlfn.IFNA(VLOOKUP(AJ166,$AF$7:$AI$1066,3,0),0)</f>
      </c>
      <c r="AQ166" s="217">
        <f>+IF(W166&gt;W165,AP166,AQ165+AP166)</f>
      </c>
      <c r="AR166" s="217">
        <f>+MAX($AM$2-SUMIF($W$7:$W$1066,W166,$AN$7:$AN$1066),0)</f>
      </c>
      <c r="AS166" s="748">
        <f>+MAX(IF(AQ166&gt;AR166,AR166-AQ165,AP166),0)</f>
      </c>
      <c r="AT166" s="748">
        <f>+AP166-AS166</f>
      </c>
      <c r="AU166" s="217">
        <f>+_xlfn.IFNA(VLOOKUP(AJ166,$AF$7:$AI$1066,4,0),0)</f>
      </c>
      <c r="AV166" s="217">
        <f>+IF(W166&gt;W165,AU166,AV165+AU166)</f>
      </c>
      <c r="AW166" s="217">
        <f>+MAX($AM$2-SUMIF($W$7:$W$1066,W166,$AN$7:$AN$1066)-SUMIF($W$7:$W$1066,W166,$AS$7:$AS$1066),0)</f>
      </c>
      <c r="AX166" s="748">
        <f>+MAX(IF(AV166&gt;AW166,AW166-AV165,AU166),0)</f>
      </c>
      <c r="AY166" s="748">
        <f>+AU166-AX166</f>
      </c>
      <c r="AZ166" s="331">
        <f>+$AM$1+IF($AP$1&gt;$AP$2,$AM$3/2)</f>
      </c>
    </row>
    <row x14ac:dyDescent="0.25" r="167" customHeight="1" ht="18.75">
      <c r="A167" s="1"/>
      <c r="B167" s="7"/>
      <c r="C167" s="170"/>
      <c r="D167" s="331">
        <v>160</v>
      </c>
      <c r="E167" s="544">
        <f>+DATE(YEAR(E166),MONTH(E166)-1,DAY(E166))</f>
        <v>25569.041666666668</v>
      </c>
      <c r="F167" s="333">
        <f>IF(DATE(YEAR($B$6),MONTH($B$6)+1,DAY(1))=E167,1,IF(MONTH(E167)=1,F168*(1+$F$5),F168))</f>
      </c>
      <c r="G167" s="333">
        <f>IF('Simulador - 1º Pilar'!$E$99="Sí",IF('Aportaciones PPE'!$B$13&lt;'Aportaciones PPE'!E167,0,F167*$B$8/12),F167*$B$8/12)</f>
      </c>
      <c r="H167" s="333">
        <f>$H$5*G167</f>
      </c>
      <c r="I167" s="333">
        <f>$I$5*G167</f>
      </c>
      <c r="J167" s="333">
        <f>+I167</f>
      </c>
      <c r="K167" s="333">
        <f>(1+$O$5)^(D167/12)*(H167+IF(AND(F167=1,F168=0),$S$4,0))</f>
      </c>
      <c r="L167" s="333">
        <f>(1+$O$5)^(D167/12)*(I167+IF(AND(F167=1,F168=0),0))</f>
      </c>
      <c r="M167" s="333">
        <f>+L167</f>
      </c>
      <c r="N167" s="333">
        <f>L167+K167+M167</f>
      </c>
      <c r="O167" s="170"/>
      <c r="P167" s="7"/>
      <c r="Q167" s="1"/>
      <c r="R167" s="331">
        <f>D167</f>
      </c>
      <c r="S167" s="169"/>
      <c r="T167" s="1"/>
      <c r="U167" s="217"/>
      <c r="V167" s="331">
        <f>+IF(V166=11,12,IF(V166=12,1,V166+1))</f>
      </c>
      <c r="W167" s="331">
        <f>+W166+IF(V166=12,1,0)</f>
      </c>
      <c r="X167" s="555">
        <f>+DATE(W167,V167,1)</f>
        <v>25569.041666666668</v>
      </c>
      <c r="Y167" s="333">
        <f>+_xlfn.IFNA(AN167+AS167+AX167,0)</f>
      </c>
      <c r="Z167" s="333">
        <f>+_xlfn.IFNA(AO167+AT167+AY167,0)</f>
      </c>
      <c r="AA167" s="333">
        <f>Y167*(1+$O$5)^(($B$7-X167)/365.25)</f>
      </c>
      <c r="AB167" s="333">
        <f>Z167*(1+$O$5)^(($B$7-X167)/365.25)</f>
      </c>
      <c r="AC167" s="1"/>
      <c r="AD167" s="1"/>
      <c r="AE167" s="1"/>
      <c r="AF167" s="111">
        <f>+MONTH(E167)&amp;YEAR(E167)</f>
      </c>
      <c r="AG167" s="217">
        <f>+I167</f>
      </c>
      <c r="AH167" s="217">
        <f>+J167</f>
      </c>
      <c r="AI167" s="217">
        <f>+H167</f>
      </c>
      <c r="AJ167" s="111">
        <f>+V167&amp;W167</f>
      </c>
      <c r="AK167" s="217">
        <f>+_xlfn.IFNA(VLOOKUP(AJ167,$AF$7:$AG$1066,2,0),0)</f>
      </c>
      <c r="AL167" s="217">
        <f>+IF(W167&gt;W166,AK167,AL166+AK167)</f>
      </c>
      <c r="AM167" s="217">
        <f>IF(W167&gt;W166,IF(AL167&gt;=$AZ$8,$AZ$8,AL167),IF(OR(AM166=$AZ$8,AM166=0),0,IF(AL167&gt;=$AZ$8,$AZ$8,AL167)))</f>
      </c>
      <c r="AN167" s="748">
        <f>+IF(OR(AM167&gt;AZ166,AM167=0),0,IF(AM167=AL167,AK167,$AZ$7-AL166))</f>
      </c>
      <c r="AO167" s="748">
        <f>+AK167-AN167</f>
      </c>
      <c r="AP167" s="217">
        <f>+_xlfn.IFNA(VLOOKUP(AJ167,$AF$7:$AI$1066,3,0),0)</f>
      </c>
      <c r="AQ167" s="217">
        <f>+IF(W167&gt;W166,AP167,AQ166+AP167)</f>
      </c>
      <c r="AR167" s="217">
        <f>+MAX($AM$2-SUMIF($W$7:$W$1066,W167,$AN$7:$AN$1066),0)</f>
      </c>
      <c r="AS167" s="748">
        <f>+MAX(IF(AQ167&gt;AR167,AR167-AQ166,AP167),0)</f>
      </c>
      <c r="AT167" s="748">
        <f>+AP167-AS167</f>
      </c>
      <c r="AU167" s="217">
        <f>+_xlfn.IFNA(VLOOKUP(AJ167,$AF$7:$AI$1066,4,0),0)</f>
      </c>
      <c r="AV167" s="217">
        <f>+IF(W167&gt;W166,AU167,AV166+AU167)</f>
      </c>
      <c r="AW167" s="217">
        <f>+MAX($AM$2-SUMIF($W$7:$W$1066,W167,$AN$7:$AN$1066)-SUMIF($W$7:$W$1066,W167,$AS$7:$AS$1066),0)</f>
      </c>
      <c r="AX167" s="748">
        <f>+MAX(IF(AV167&gt;AW167,AW167-AV166,AU167),0)</f>
      </c>
      <c r="AY167" s="748">
        <f>+AU167-AX167</f>
      </c>
      <c r="AZ167" s="331">
        <f>+$AM$1+IF($AP$1&gt;$AP$2,$AM$3/2)</f>
      </c>
    </row>
    <row x14ac:dyDescent="0.25" r="168" customHeight="1" ht="18.75">
      <c r="A168" s="1"/>
      <c r="B168" s="7"/>
      <c r="C168" s="170"/>
      <c r="D168" s="331">
        <v>161</v>
      </c>
      <c r="E168" s="544">
        <f>+DATE(YEAR(E167),MONTH(E167)-1,DAY(E167))</f>
        <v>25569.041666666668</v>
      </c>
      <c r="F168" s="333">
        <f>IF(DATE(YEAR($B$6),MONTH($B$6)+1,DAY(1))=E168,1,IF(MONTH(E168)=1,F169*(1+$F$5),F169))</f>
      </c>
      <c r="G168" s="333">
        <f>IF('Simulador - 1º Pilar'!$E$99="Sí",IF('Aportaciones PPE'!$B$13&lt;'Aportaciones PPE'!E168,0,F168*$B$8/12),F168*$B$8/12)</f>
      </c>
      <c r="H168" s="333">
        <f>$H$5*G168</f>
      </c>
      <c r="I168" s="333">
        <f>$I$5*G168</f>
      </c>
      <c r="J168" s="333">
        <f>+I168</f>
      </c>
      <c r="K168" s="333">
        <f>(1+$O$5)^(D168/12)*(H168+IF(AND(F168=1,F169=0),$S$4,0))</f>
      </c>
      <c r="L168" s="333">
        <f>(1+$O$5)^(D168/12)*(I168+IF(AND(F168=1,F169=0),0))</f>
      </c>
      <c r="M168" s="333">
        <f>+L168</f>
      </c>
      <c r="N168" s="333">
        <f>L168+K168+M168</f>
      </c>
      <c r="O168" s="170"/>
      <c r="P168" s="7"/>
      <c r="Q168" s="1"/>
      <c r="R168" s="331">
        <f>D168</f>
      </c>
      <c r="S168" s="169"/>
      <c r="T168" s="1"/>
      <c r="U168" s="217"/>
      <c r="V168" s="331">
        <f>+IF(V167=11,12,IF(V167=12,1,V167+1))</f>
      </c>
      <c r="W168" s="331">
        <f>+W167+IF(V167=12,1,0)</f>
      </c>
      <c r="X168" s="555">
        <f>+DATE(W168,V168,1)</f>
        <v>25569.041666666668</v>
      </c>
      <c r="Y168" s="333">
        <f>+_xlfn.IFNA(AN168+AS168+AX168,0)</f>
      </c>
      <c r="Z168" s="333">
        <f>+_xlfn.IFNA(AO168+AT168+AY168,0)</f>
      </c>
      <c r="AA168" s="333">
        <f>Y168*(1+$O$5)^(($B$7-X168)/365.25)</f>
      </c>
      <c r="AB168" s="333">
        <f>Z168*(1+$O$5)^(($B$7-X168)/365.25)</f>
      </c>
      <c r="AC168" s="1"/>
      <c r="AD168" s="1"/>
      <c r="AE168" s="1"/>
      <c r="AF168" s="111">
        <f>+MONTH(E168)&amp;YEAR(E168)</f>
      </c>
      <c r="AG168" s="217">
        <f>+I168</f>
      </c>
      <c r="AH168" s="217">
        <f>+J168</f>
      </c>
      <c r="AI168" s="217">
        <f>+H168</f>
      </c>
      <c r="AJ168" s="111">
        <f>+V168&amp;W168</f>
      </c>
      <c r="AK168" s="217">
        <f>+_xlfn.IFNA(VLOOKUP(AJ168,$AF$7:$AG$1066,2,0),0)</f>
      </c>
      <c r="AL168" s="217">
        <f>+IF(W168&gt;W167,AK168,AL167+AK168)</f>
      </c>
      <c r="AM168" s="217">
        <f>IF(W168&gt;W167,IF(AL168&gt;=$AZ$8,$AZ$8,AL168),IF(OR(AM167=$AZ$8,AM167=0),0,IF(AL168&gt;=$AZ$8,$AZ$8,AL168)))</f>
      </c>
      <c r="AN168" s="748">
        <f>+IF(OR(AM168&gt;AZ167,AM168=0),0,IF(AM168=AL168,AK168,$AZ$7-AL167))</f>
      </c>
      <c r="AO168" s="748">
        <f>+AK168-AN168</f>
      </c>
      <c r="AP168" s="217">
        <f>+_xlfn.IFNA(VLOOKUP(AJ168,$AF$7:$AI$1066,3,0),0)</f>
      </c>
      <c r="AQ168" s="217">
        <f>+IF(W168&gt;W167,AP168,AQ167+AP168)</f>
      </c>
      <c r="AR168" s="217">
        <f>+MAX($AM$2-SUMIF($W$7:$W$1066,W168,$AN$7:$AN$1066),0)</f>
      </c>
      <c r="AS168" s="748">
        <f>+MAX(IF(AQ168&gt;AR168,AR168-AQ167,AP168),0)</f>
      </c>
      <c r="AT168" s="748">
        <f>+AP168-AS168</f>
      </c>
      <c r="AU168" s="217">
        <f>+_xlfn.IFNA(VLOOKUP(AJ168,$AF$7:$AI$1066,4,0),0)</f>
      </c>
      <c r="AV168" s="217">
        <f>+IF(W168&gt;W167,AU168,AV167+AU168)</f>
      </c>
      <c r="AW168" s="217">
        <f>+MAX($AM$2-SUMIF($W$7:$W$1066,W168,$AN$7:$AN$1066)-SUMIF($W$7:$W$1066,W168,$AS$7:$AS$1066),0)</f>
      </c>
      <c r="AX168" s="748">
        <f>+MAX(IF(AV168&gt;AW168,AW168-AV167,AU168),0)</f>
      </c>
      <c r="AY168" s="748">
        <f>+AU168-AX168</f>
      </c>
      <c r="AZ168" s="331">
        <f>+$AM$1+IF($AP$1&gt;$AP$2,$AM$3/2)</f>
      </c>
    </row>
    <row x14ac:dyDescent="0.25" r="169" customHeight="1" ht="18.75">
      <c r="A169" s="1"/>
      <c r="B169" s="7"/>
      <c r="C169" s="170"/>
      <c r="D169" s="331">
        <v>162</v>
      </c>
      <c r="E169" s="544">
        <f>+DATE(YEAR(E168),MONTH(E168)-1,DAY(E168))</f>
        <v>25569.041666666668</v>
      </c>
      <c r="F169" s="333">
        <f>IF(DATE(YEAR($B$6),MONTH($B$6)+1,DAY(1))=E169,1,IF(MONTH(E169)=1,F170*(1+$F$5),F170))</f>
      </c>
      <c r="G169" s="333">
        <f>IF('Simulador - 1º Pilar'!$E$99="Sí",IF('Aportaciones PPE'!$B$13&lt;'Aportaciones PPE'!E169,0,F169*$B$8/12),F169*$B$8/12)</f>
      </c>
      <c r="H169" s="333">
        <f>$H$5*G169</f>
      </c>
      <c r="I169" s="333">
        <f>$I$5*G169</f>
      </c>
      <c r="J169" s="333">
        <f>+I169</f>
      </c>
      <c r="K169" s="333">
        <f>(1+$O$5)^(D169/12)*(H169+IF(AND(F169=1,F170=0),$S$4,0))</f>
      </c>
      <c r="L169" s="333">
        <f>(1+$O$5)^(D169/12)*(I169+IF(AND(F169=1,F170=0),0))</f>
      </c>
      <c r="M169" s="333">
        <f>+L169</f>
      </c>
      <c r="N169" s="333">
        <f>L169+K169+M169</f>
      </c>
      <c r="O169" s="170"/>
      <c r="P169" s="7"/>
      <c r="Q169" s="1"/>
      <c r="R169" s="331">
        <f>D169</f>
      </c>
      <c r="S169" s="169"/>
      <c r="T169" s="1"/>
      <c r="U169" s="217"/>
      <c r="V169" s="331">
        <f>+IF(V168=11,12,IF(V168=12,1,V168+1))</f>
      </c>
      <c r="W169" s="331">
        <f>+W168+IF(V168=12,1,0)</f>
      </c>
      <c r="X169" s="555">
        <f>+DATE(W169,V169,1)</f>
        <v>25569.041666666668</v>
      </c>
      <c r="Y169" s="333">
        <f>+_xlfn.IFNA(AN169+AS169+AX169,0)</f>
      </c>
      <c r="Z169" s="333">
        <f>+_xlfn.IFNA(AO169+AT169+AY169,0)</f>
      </c>
      <c r="AA169" s="333">
        <f>Y169*(1+$O$5)^(($B$7-X169)/365.25)</f>
      </c>
      <c r="AB169" s="333">
        <f>Z169*(1+$O$5)^(($B$7-X169)/365.25)</f>
      </c>
      <c r="AC169" s="1"/>
      <c r="AD169" s="1"/>
      <c r="AE169" s="1"/>
      <c r="AF169" s="111">
        <f>+MONTH(E169)&amp;YEAR(E169)</f>
      </c>
      <c r="AG169" s="217">
        <f>+I169</f>
      </c>
      <c r="AH169" s="217">
        <f>+J169</f>
      </c>
      <c r="AI169" s="217">
        <f>+H169</f>
      </c>
      <c r="AJ169" s="111">
        <f>+V169&amp;W169</f>
      </c>
      <c r="AK169" s="217">
        <f>+_xlfn.IFNA(VLOOKUP(AJ169,$AF$7:$AG$1066,2,0),0)</f>
      </c>
      <c r="AL169" s="217">
        <f>+IF(W169&gt;W168,AK169,AL168+AK169)</f>
      </c>
      <c r="AM169" s="217">
        <f>IF(W169&gt;W168,IF(AL169&gt;=$AZ$8,$AZ$8,AL169),IF(OR(AM168=$AZ$8,AM168=0),0,IF(AL169&gt;=$AZ$8,$AZ$8,AL169)))</f>
      </c>
      <c r="AN169" s="748">
        <f>+IF(OR(AM169&gt;AZ168,AM169=0),0,IF(AM169=AL169,AK169,$AZ$7-AL168))</f>
      </c>
      <c r="AO169" s="748">
        <f>+AK169-AN169</f>
      </c>
      <c r="AP169" s="217">
        <f>+_xlfn.IFNA(VLOOKUP(AJ169,$AF$7:$AI$1066,3,0),0)</f>
      </c>
      <c r="AQ169" s="217">
        <f>+IF(W169&gt;W168,AP169,AQ168+AP169)</f>
      </c>
      <c r="AR169" s="217">
        <f>+MAX($AM$2-SUMIF($W$7:$W$1066,W169,$AN$7:$AN$1066),0)</f>
      </c>
      <c r="AS169" s="748">
        <f>+MAX(IF(AQ169&gt;AR169,AR169-AQ168,AP169),0)</f>
      </c>
      <c r="AT169" s="748">
        <f>+AP169-AS169</f>
      </c>
      <c r="AU169" s="217">
        <f>+_xlfn.IFNA(VLOOKUP(AJ169,$AF$7:$AI$1066,4,0),0)</f>
      </c>
      <c r="AV169" s="217">
        <f>+IF(W169&gt;W168,AU169,AV168+AU169)</f>
      </c>
      <c r="AW169" s="217">
        <f>+MAX($AM$2-SUMIF($W$7:$W$1066,W169,$AN$7:$AN$1066)-SUMIF($W$7:$W$1066,W169,$AS$7:$AS$1066),0)</f>
      </c>
      <c r="AX169" s="748">
        <f>+MAX(IF(AV169&gt;AW169,AW169-AV168,AU169),0)</f>
      </c>
      <c r="AY169" s="748">
        <f>+AU169-AX169</f>
      </c>
      <c r="AZ169" s="331">
        <f>+$AM$1+IF($AP$1&gt;$AP$2,$AM$3/2)</f>
      </c>
    </row>
    <row x14ac:dyDescent="0.25" r="170" customHeight="1" ht="18.75">
      <c r="A170" s="1"/>
      <c r="B170" s="7"/>
      <c r="C170" s="170"/>
      <c r="D170" s="331">
        <v>163</v>
      </c>
      <c r="E170" s="544">
        <f>+DATE(YEAR(E169),MONTH(E169)-1,DAY(E169))</f>
        <v>25569.041666666668</v>
      </c>
      <c r="F170" s="333">
        <f>IF(DATE(YEAR($B$6),MONTH($B$6)+1,DAY(1))=E170,1,IF(MONTH(E170)=1,F171*(1+$F$5),F171))</f>
      </c>
      <c r="G170" s="333">
        <f>IF('Simulador - 1º Pilar'!$E$99="Sí",IF('Aportaciones PPE'!$B$13&lt;'Aportaciones PPE'!E170,0,F170*$B$8/12),F170*$B$8/12)</f>
      </c>
      <c r="H170" s="333">
        <f>$H$5*G170</f>
      </c>
      <c r="I170" s="333">
        <f>$I$5*G170</f>
      </c>
      <c r="J170" s="333">
        <f>+I170</f>
      </c>
      <c r="K170" s="333">
        <f>(1+$O$5)^(D170/12)*(H170+IF(AND(F170=1,F171=0),$S$4,0))</f>
      </c>
      <c r="L170" s="333">
        <f>(1+$O$5)^(D170/12)*(I170+IF(AND(F170=1,F171=0),0))</f>
      </c>
      <c r="M170" s="333">
        <f>+L170</f>
      </c>
      <c r="N170" s="333">
        <f>L170+K170+M170</f>
      </c>
      <c r="O170" s="170"/>
      <c r="P170" s="7"/>
      <c r="Q170" s="1"/>
      <c r="R170" s="331">
        <f>D170</f>
      </c>
      <c r="S170" s="169"/>
      <c r="T170" s="1"/>
      <c r="U170" s="217"/>
      <c r="V170" s="331">
        <f>+IF(V169=11,12,IF(V169=12,1,V169+1))</f>
      </c>
      <c r="W170" s="331">
        <f>+W169+IF(V169=12,1,0)</f>
      </c>
      <c r="X170" s="555">
        <f>+DATE(W170,V170,1)</f>
        <v>25569.041666666668</v>
      </c>
      <c r="Y170" s="333">
        <f>+_xlfn.IFNA(AN170+AS170+AX170,0)</f>
      </c>
      <c r="Z170" s="333">
        <f>+_xlfn.IFNA(AO170+AT170+AY170,0)</f>
      </c>
      <c r="AA170" s="333">
        <f>Y170*(1+$O$5)^(($B$7-X170)/365.25)</f>
      </c>
      <c r="AB170" s="333">
        <f>Z170*(1+$O$5)^(($B$7-X170)/365.25)</f>
      </c>
      <c r="AC170" s="1"/>
      <c r="AD170" s="1"/>
      <c r="AE170" s="1"/>
      <c r="AF170" s="111">
        <f>+MONTH(E170)&amp;YEAR(E170)</f>
      </c>
      <c r="AG170" s="217">
        <f>+I170</f>
      </c>
      <c r="AH170" s="217">
        <f>+J170</f>
      </c>
      <c r="AI170" s="217">
        <f>+H170</f>
      </c>
      <c r="AJ170" s="111">
        <f>+V170&amp;W170</f>
      </c>
      <c r="AK170" s="217">
        <f>+_xlfn.IFNA(VLOOKUP(AJ170,$AF$7:$AG$1066,2,0),0)</f>
      </c>
      <c r="AL170" s="217">
        <f>+IF(W170&gt;W169,AK170,AL169+AK170)</f>
      </c>
      <c r="AM170" s="217">
        <f>IF(W170&gt;W169,IF(AL170&gt;=$AZ$8,$AZ$8,AL170),IF(OR(AM169=$AZ$8,AM169=0),0,IF(AL170&gt;=$AZ$8,$AZ$8,AL170)))</f>
      </c>
      <c r="AN170" s="748">
        <f>+IF(OR(AM170&gt;AZ169,AM170=0),0,IF(AM170=AL170,AK170,$AZ$7-AL169))</f>
      </c>
      <c r="AO170" s="748">
        <f>+AK170-AN170</f>
      </c>
      <c r="AP170" s="217">
        <f>+_xlfn.IFNA(VLOOKUP(AJ170,$AF$7:$AI$1066,3,0),0)</f>
      </c>
      <c r="AQ170" s="217">
        <f>+IF(W170&gt;W169,AP170,AQ169+AP170)</f>
      </c>
      <c r="AR170" s="217">
        <f>+MAX($AM$2-SUMIF($W$7:$W$1066,W170,$AN$7:$AN$1066),0)</f>
      </c>
      <c r="AS170" s="748">
        <f>+MAX(IF(AQ170&gt;AR170,AR170-AQ169,AP170),0)</f>
      </c>
      <c r="AT170" s="748">
        <f>+AP170-AS170</f>
      </c>
      <c r="AU170" s="217">
        <f>+_xlfn.IFNA(VLOOKUP(AJ170,$AF$7:$AI$1066,4,0),0)</f>
      </c>
      <c r="AV170" s="217">
        <f>+IF(W170&gt;W169,AU170,AV169+AU170)</f>
      </c>
      <c r="AW170" s="217">
        <f>+MAX($AM$2-SUMIF($W$7:$W$1066,W170,$AN$7:$AN$1066)-SUMIF($W$7:$W$1066,W170,$AS$7:$AS$1066),0)</f>
      </c>
      <c r="AX170" s="748">
        <f>+MAX(IF(AV170&gt;AW170,AW170-AV169,AU170),0)</f>
      </c>
      <c r="AY170" s="748">
        <f>+AU170-AX170</f>
      </c>
      <c r="AZ170" s="331">
        <f>+$AM$1+IF($AP$1&gt;$AP$2,$AM$3/2)</f>
      </c>
    </row>
    <row x14ac:dyDescent="0.25" r="171" customHeight="1" ht="18.75">
      <c r="A171" s="1"/>
      <c r="B171" s="7"/>
      <c r="C171" s="170"/>
      <c r="D171" s="331">
        <v>164</v>
      </c>
      <c r="E171" s="544">
        <f>+DATE(YEAR(E170),MONTH(E170)-1,DAY(E170))</f>
        <v>25569.041666666668</v>
      </c>
      <c r="F171" s="333">
        <f>IF(DATE(YEAR($B$6),MONTH($B$6)+1,DAY(1))=E171,1,IF(MONTH(E171)=1,F172*(1+$F$5),F172))</f>
      </c>
      <c r="G171" s="333">
        <f>IF('Simulador - 1º Pilar'!$E$99="Sí",IF('Aportaciones PPE'!$B$13&lt;'Aportaciones PPE'!E171,0,F171*$B$8/12),F171*$B$8/12)</f>
      </c>
      <c r="H171" s="333">
        <f>$H$5*G171</f>
      </c>
      <c r="I171" s="333">
        <f>$I$5*G171</f>
      </c>
      <c r="J171" s="333">
        <f>+I171</f>
      </c>
      <c r="K171" s="333">
        <f>(1+$O$5)^(D171/12)*(H171+IF(AND(F171=1,F172=0),$S$4,0))</f>
      </c>
      <c r="L171" s="333">
        <f>(1+$O$5)^(D171/12)*(I171+IF(AND(F171=1,F172=0),0))</f>
      </c>
      <c r="M171" s="333">
        <f>+L171</f>
      </c>
      <c r="N171" s="333">
        <f>L171+K171+M171</f>
      </c>
      <c r="O171" s="170"/>
      <c r="P171" s="7"/>
      <c r="Q171" s="1"/>
      <c r="R171" s="331">
        <f>D171</f>
      </c>
      <c r="S171" s="169"/>
      <c r="T171" s="1"/>
      <c r="U171" s="217"/>
      <c r="V171" s="331">
        <f>+IF(V170=11,12,IF(V170=12,1,V170+1))</f>
      </c>
      <c r="W171" s="331">
        <f>+W170+IF(V170=12,1,0)</f>
      </c>
      <c r="X171" s="555">
        <f>+DATE(W171,V171,1)</f>
        <v>25569.041666666668</v>
      </c>
      <c r="Y171" s="333">
        <f>+_xlfn.IFNA(AN171+AS171+AX171,0)</f>
      </c>
      <c r="Z171" s="333">
        <f>+_xlfn.IFNA(AO171+AT171+AY171,0)</f>
      </c>
      <c r="AA171" s="333">
        <f>Y171*(1+$O$5)^(($B$7-X171)/365.25)</f>
      </c>
      <c r="AB171" s="333">
        <f>Z171*(1+$O$5)^(($B$7-X171)/365.25)</f>
      </c>
      <c r="AC171" s="1"/>
      <c r="AD171" s="1"/>
      <c r="AE171" s="1"/>
      <c r="AF171" s="111">
        <f>+MONTH(E171)&amp;YEAR(E171)</f>
      </c>
      <c r="AG171" s="217">
        <f>+I171</f>
      </c>
      <c r="AH171" s="217">
        <f>+J171</f>
      </c>
      <c r="AI171" s="217">
        <f>+H171</f>
      </c>
      <c r="AJ171" s="111">
        <f>+V171&amp;W171</f>
      </c>
      <c r="AK171" s="217">
        <f>+_xlfn.IFNA(VLOOKUP(AJ171,$AF$7:$AG$1066,2,0),0)</f>
      </c>
      <c r="AL171" s="217">
        <f>+IF(W171&gt;W170,AK171,AL170+AK171)</f>
      </c>
      <c r="AM171" s="217">
        <f>IF(W171&gt;W170,IF(AL171&gt;=$AZ$8,$AZ$8,AL171),IF(OR(AM170=$AZ$8,AM170=0),0,IF(AL171&gt;=$AZ$8,$AZ$8,AL171)))</f>
      </c>
      <c r="AN171" s="748">
        <f>+IF(OR(AM171&gt;AZ170,AM171=0),0,IF(AM171=AL171,AK171,$AZ$7-AL170))</f>
      </c>
      <c r="AO171" s="748">
        <f>+AK171-AN171</f>
      </c>
      <c r="AP171" s="217">
        <f>+_xlfn.IFNA(VLOOKUP(AJ171,$AF$7:$AI$1066,3,0),0)</f>
      </c>
      <c r="AQ171" s="217">
        <f>+IF(W171&gt;W170,AP171,AQ170+AP171)</f>
      </c>
      <c r="AR171" s="217">
        <f>+MAX($AM$2-SUMIF($W$7:$W$1066,W171,$AN$7:$AN$1066),0)</f>
      </c>
      <c r="AS171" s="748">
        <f>+MAX(IF(AQ171&gt;AR171,AR171-AQ170,AP171),0)</f>
      </c>
      <c r="AT171" s="748">
        <f>+AP171-AS171</f>
      </c>
      <c r="AU171" s="217">
        <f>+_xlfn.IFNA(VLOOKUP(AJ171,$AF$7:$AI$1066,4,0),0)</f>
      </c>
      <c r="AV171" s="217">
        <f>+IF(W171&gt;W170,AU171,AV170+AU171)</f>
      </c>
      <c r="AW171" s="217">
        <f>+MAX($AM$2-SUMIF($W$7:$W$1066,W171,$AN$7:$AN$1066)-SUMIF($W$7:$W$1066,W171,$AS$7:$AS$1066),0)</f>
      </c>
      <c r="AX171" s="748">
        <f>+MAX(IF(AV171&gt;AW171,AW171-AV170,AU171),0)</f>
      </c>
      <c r="AY171" s="748">
        <f>+AU171-AX171</f>
      </c>
      <c r="AZ171" s="331">
        <f>+$AM$1+IF($AP$1&gt;$AP$2,$AM$3/2)</f>
      </c>
    </row>
    <row x14ac:dyDescent="0.25" r="172" customHeight="1" ht="18.75">
      <c r="A172" s="1"/>
      <c r="B172" s="7"/>
      <c r="C172" s="170"/>
      <c r="D172" s="331">
        <v>165</v>
      </c>
      <c r="E172" s="544">
        <f>+DATE(YEAR(E171),MONTH(E171)-1,DAY(E171))</f>
        <v>25569.041666666668</v>
      </c>
      <c r="F172" s="333">
        <f>IF(DATE(YEAR($B$6),MONTH($B$6)+1,DAY(1))=E172,1,IF(MONTH(E172)=1,F173*(1+$F$5),F173))</f>
      </c>
      <c r="G172" s="333">
        <f>IF('Simulador - 1º Pilar'!$E$99="Sí",IF('Aportaciones PPE'!$B$13&lt;'Aportaciones PPE'!E172,0,F172*$B$8/12),F172*$B$8/12)</f>
      </c>
      <c r="H172" s="333">
        <f>$H$5*G172</f>
      </c>
      <c r="I172" s="333">
        <f>$I$5*G172</f>
      </c>
      <c r="J172" s="333">
        <f>+I172</f>
      </c>
      <c r="K172" s="333">
        <f>(1+$O$5)^(D172/12)*(H172+IF(AND(F172=1,F173=0),$S$4,0))</f>
      </c>
      <c r="L172" s="333">
        <f>(1+$O$5)^(D172/12)*(I172+IF(AND(F172=1,F173=0),0))</f>
      </c>
      <c r="M172" s="333">
        <f>+L172</f>
      </c>
      <c r="N172" s="333">
        <f>L172+K172+M172</f>
      </c>
      <c r="O172" s="170"/>
      <c r="P172" s="7"/>
      <c r="Q172" s="1"/>
      <c r="R172" s="331">
        <f>D172</f>
      </c>
      <c r="S172" s="169"/>
      <c r="T172" s="1"/>
      <c r="U172" s="217"/>
      <c r="V172" s="331">
        <f>+IF(V171=11,12,IF(V171=12,1,V171+1))</f>
      </c>
      <c r="W172" s="331">
        <f>+W171+IF(V171=12,1,0)</f>
      </c>
      <c r="X172" s="555">
        <f>+DATE(W172,V172,1)</f>
        <v>25569.041666666668</v>
      </c>
      <c r="Y172" s="333">
        <f>+_xlfn.IFNA(AN172+AS172+AX172,0)</f>
      </c>
      <c r="Z172" s="333">
        <f>+_xlfn.IFNA(AO172+AT172+AY172,0)</f>
      </c>
      <c r="AA172" s="333">
        <f>Y172*(1+$O$5)^(($B$7-X172)/365.25)</f>
      </c>
      <c r="AB172" s="333">
        <f>Z172*(1+$O$5)^(($B$7-X172)/365.25)</f>
      </c>
      <c r="AC172" s="1"/>
      <c r="AD172" s="1"/>
      <c r="AE172" s="1"/>
      <c r="AF172" s="111">
        <f>+MONTH(E172)&amp;YEAR(E172)</f>
      </c>
      <c r="AG172" s="217">
        <f>+I172</f>
      </c>
      <c r="AH172" s="217">
        <f>+J172</f>
      </c>
      <c r="AI172" s="217">
        <f>+H172</f>
      </c>
      <c r="AJ172" s="111">
        <f>+V172&amp;W172</f>
      </c>
      <c r="AK172" s="217">
        <f>+_xlfn.IFNA(VLOOKUP(AJ172,$AF$7:$AG$1066,2,0),0)</f>
      </c>
      <c r="AL172" s="217">
        <f>+IF(W172&gt;W171,AK172,AL171+AK172)</f>
      </c>
      <c r="AM172" s="217">
        <f>IF(W172&gt;W171,IF(AL172&gt;=$AZ$8,$AZ$8,AL172),IF(OR(AM171=$AZ$8,AM171=0),0,IF(AL172&gt;=$AZ$8,$AZ$8,AL172)))</f>
      </c>
      <c r="AN172" s="748">
        <f>+IF(OR(AM172&gt;AZ171,AM172=0),0,IF(AM172=AL172,AK172,$AZ$7-AL171))</f>
      </c>
      <c r="AO172" s="748">
        <f>+AK172-AN172</f>
      </c>
      <c r="AP172" s="217">
        <f>+_xlfn.IFNA(VLOOKUP(AJ172,$AF$7:$AI$1066,3,0),0)</f>
      </c>
      <c r="AQ172" s="217">
        <f>+IF(W172&gt;W171,AP172,AQ171+AP172)</f>
      </c>
      <c r="AR172" s="217">
        <f>+MAX($AM$2-SUMIF($W$7:$W$1066,W172,$AN$7:$AN$1066),0)</f>
      </c>
      <c r="AS172" s="748">
        <f>+MAX(IF(AQ172&gt;AR172,AR172-AQ171,AP172),0)</f>
      </c>
      <c r="AT172" s="748">
        <f>+AP172-AS172</f>
      </c>
      <c r="AU172" s="217">
        <f>+_xlfn.IFNA(VLOOKUP(AJ172,$AF$7:$AI$1066,4,0),0)</f>
      </c>
      <c r="AV172" s="217">
        <f>+IF(W172&gt;W171,AU172,AV171+AU172)</f>
      </c>
      <c r="AW172" s="217">
        <f>+MAX($AM$2-SUMIF($W$7:$W$1066,W172,$AN$7:$AN$1066)-SUMIF($W$7:$W$1066,W172,$AS$7:$AS$1066),0)</f>
      </c>
      <c r="AX172" s="748">
        <f>+MAX(IF(AV172&gt;AW172,AW172-AV171,AU172),0)</f>
      </c>
      <c r="AY172" s="748">
        <f>+AU172-AX172</f>
      </c>
      <c r="AZ172" s="331">
        <f>+$AM$1+IF($AP$1&gt;$AP$2,$AM$3/2)</f>
      </c>
    </row>
    <row x14ac:dyDescent="0.25" r="173" customHeight="1" ht="18.75">
      <c r="A173" s="1"/>
      <c r="B173" s="7"/>
      <c r="C173" s="170"/>
      <c r="D173" s="331">
        <v>166</v>
      </c>
      <c r="E173" s="544">
        <f>+DATE(YEAR(E172),MONTH(E172)-1,DAY(E172))</f>
        <v>25569.041666666668</v>
      </c>
      <c r="F173" s="333">
        <f>IF(DATE(YEAR($B$6),MONTH($B$6)+1,DAY(1))=E173,1,IF(MONTH(E173)=1,F174*(1+$F$5),F174))</f>
      </c>
      <c r="G173" s="333">
        <f>IF('Simulador - 1º Pilar'!$E$99="Sí",IF('Aportaciones PPE'!$B$13&lt;'Aportaciones PPE'!E173,0,F173*$B$8/12),F173*$B$8/12)</f>
      </c>
      <c r="H173" s="333">
        <f>$H$5*G173</f>
      </c>
      <c r="I173" s="333">
        <f>$I$5*G173</f>
      </c>
      <c r="J173" s="333">
        <f>+I173</f>
      </c>
      <c r="K173" s="333">
        <f>(1+$O$5)^(D173/12)*(H173+IF(AND(F173=1,F174=0),$S$4,0))</f>
      </c>
      <c r="L173" s="333">
        <f>(1+$O$5)^(D173/12)*(I173+IF(AND(F173=1,F174=0),0))</f>
      </c>
      <c r="M173" s="333">
        <f>+L173</f>
      </c>
      <c r="N173" s="333">
        <f>L173+K173+M173</f>
      </c>
      <c r="O173" s="170"/>
      <c r="P173" s="7"/>
      <c r="Q173" s="1"/>
      <c r="R173" s="331">
        <f>D173</f>
      </c>
      <c r="S173" s="169"/>
      <c r="T173" s="1"/>
      <c r="U173" s="217"/>
      <c r="V173" s="331">
        <f>+IF(V172=11,12,IF(V172=12,1,V172+1))</f>
      </c>
      <c r="W173" s="331">
        <f>+W172+IF(V172=12,1,0)</f>
      </c>
      <c r="X173" s="555">
        <f>+DATE(W173,V173,1)</f>
        <v>25569.041666666668</v>
      </c>
      <c r="Y173" s="333">
        <f>+_xlfn.IFNA(AN173+AS173+AX173,0)</f>
      </c>
      <c r="Z173" s="333">
        <f>+_xlfn.IFNA(AO173+AT173+AY173,0)</f>
      </c>
      <c r="AA173" s="333">
        <f>Y173*(1+$O$5)^(($B$7-X173)/365.25)</f>
      </c>
      <c r="AB173" s="333">
        <f>Z173*(1+$O$5)^(($B$7-X173)/365.25)</f>
      </c>
      <c r="AC173" s="1"/>
      <c r="AD173" s="1"/>
      <c r="AE173" s="1"/>
      <c r="AF173" s="111">
        <f>+MONTH(E173)&amp;YEAR(E173)</f>
      </c>
      <c r="AG173" s="217">
        <f>+I173</f>
      </c>
      <c r="AH173" s="217">
        <f>+J173</f>
      </c>
      <c r="AI173" s="217">
        <f>+H173</f>
      </c>
      <c r="AJ173" s="111">
        <f>+V173&amp;W173</f>
      </c>
      <c r="AK173" s="217">
        <f>+_xlfn.IFNA(VLOOKUP(AJ173,$AF$7:$AG$1066,2,0),0)</f>
      </c>
      <c r="AL173" s="217">
        <f>+IF(W173&gt;W172,AK173,AL172+AK173)</f>
      </c>
      <c r="AM173" s="217">
        <f>IF(W173&gt;W172,IF(AL173&gt;=$AZ$8,$AZ$8,AL173),IF(OR(AM172=$AZ$8,AM172=0),0,IF(AL173&gt;=$AZ$8,$AZ$8,AL173)))</f>
      </c>
      <c r="AN173" s="748">
        <f>+IF(OR(AM173&gt;AZ172,AM173=0),0,IF(AM173=AL173,AK173,$AZ$7-AL172))</f>
      </c>
      <c r="AO173" s="748">
        <f>+AK173-AN173</f>
      </c>
      <c r="AP173" s="217">
        <f>+_xlfn.IFNA(VLOOKUP(AJ173,$AF$7:$AI$1066,3,0),0)</f>
      </c>
      <c r="AQ173" s="217">
        <f>+IF(W173&gt;W172,AP173,AQ172+AP173)</f>
      </c>
      <c r="AR173" s="217">
        <f>+MAX($AM$2-SUMIF($W$7:$W$1066,W173,$AN$7:$AN$1066),0)</f>
      </c>
      <c r="AS173" s="748">
        <f>+MAX(IF(AQ173&gt;AR173,AR173-AQ172,AP173),0)</f>
      </c>
      <c r="AT173" s="748">
        <f>+AP173-AS173</f>
      </c>
      <c r="AU173" s="217">
        <f>+_xlfn.IFNA(VLOOKUP(AJ173,$AF$7:$AI$1066,4,0),0)</f>
      </c>
      <c r="AV173" s="217">
        <f>+IF(W173&gt;W172,AU173,AV172+AU173)</f>
      </c>
      <c r="AW173" s="217">
        <f>+MAX($AM$2-SUMIF($W$7:$W$1066,W173,$AN$7:$AN$1066)-SUMIF($W$7:$W$1066,W173,$AS$7:$AS$1066),0)</f>
      </c>
      <c r="AX173" s="748">
        <f>+MAX(IF(AV173&gt;AW173,AW173-AV172,AU173),0)</f>
      </c>
      <c r="AY173" s="748">
        <f>+AU173-AX173</f>
      </c>
      <c r="AZ173" s="331">
        <f>+$AM$1+IF($AP$1&gt;$AP$2,$AM$3/2)</f>
      </c>
    </row>
    <row x14ac:dyDescent="0.25" r="174" customHeight="1" ht="18.75">
      <c r="A174" s="1"/>
      <c r="B174" s="7"/>
      <c r="C174" s="170"/>
      <c r="D174" s="331">
        <v>167</v>
      </c>
      <c r="E174" s="544">
        <f>+DATE(YEAR(E173),MONTH(E173)-1,DAY(E173))</f>
        <v>25569.041666666668</v>
      </c>
      <c r="F174" s="333">
        <f>IF(DATE(YEAR($B$6),MONTH($B$6)+1,DAY(1))=E174,1,IF(MONTH(E174)=1,F175*(1+$F$5),F175))</f>
      </c>
      <c r="G174" s="333">
        <f>IF('Simulador - 1º Pilar'!$E$99="Sí",IF('Aportaciones PPE'!$B$13&lt;'Aportaciones PPE'!E174,0,F174*$B$8/12),F174*$B$8/12)</f>
      </c>
      <c r="H174" s="333">
        <f>$H$5*G174</f>
      </c>
      <c r="I174" s="333">
        <f>$I$5*G174</f>
      </c>
      <c r="J174" s="333">
        <f>+I174</f>
      </c>
      <c r="K174" s="333">
        <f>(1+$O$5)^(D174/12)*(H174+IF(AND(F174=1,F175=0),$S$4,0))</f>
      </c>
      <c r="L174" s="333">
        <f>(1+$O$5)^(D174/12)*(I174+IF(AND(F174=1,F175=0),0))</f>
      </c>
      <c r="M174" s="333">
        <f>+L174</f>
      </c>
      <c r="N174" s="333">
        <f>L174+K174+M174</f>
      </c>
      <c r="O174" s="170"/>
      <c r="P174" s="7"/>
      <c r="Q174" s="1"/>
      <c r="R174" s="331">
        <f>D174</f>
      </c>
      <c r="S174" s="169"/>
      <c r="T174" s="1"/>
      <c r="U174" s="217"/>
      <c r="V174" s="331">
        <f>+IF(V173=11,12,IF(V173=12,1,V173+1))</f>
      </c>
      <c r="W174" s="331">
        <f>+W173+IF(V173=12,1,0)</f>
      </c>
      <c r="X174" s="555">
        <f>+DATE(W174,V174,1)</f>
        <v>25569.041666666668</v>
      </c>
      <c r="Y174" s="333">
        <f>+_xlfn.IFNA(AN174+AS174+AX174,0)</f>
      </c>
      <c r="Z174" s="333">
        <f>+_xlfn.IFNA(AO174+AT174+AY174,0)</f>
      </c>
      <c r="AA174" s="333">
        <f>Y174*(1+$O$5)^(($B$7-X174)/365.25)</f>
      </c>
      <c r="AB174" s="333">
        <f>Z174*(1+$O$5)^(($B$7-X174)/365.25)</f>
      </c>
      <c r="AC174" s="1"/>
      <c r="AD174" s="1"/>
      <c r="AE174" s="1"/>
      <c r="AF174" s="111">
        <f>+MONTH(E174)&amp;YEAR(E174)</f>
      </c>
      <c r="AG174" s="217">
        <f>+I174</f>
      </c>
      <c r="AH174" s="217">
        <f>+J174</f>
      </c>
      <c r="AI174" s="217">
        <f>+H174</f>
      </c>
      <c r="AJ174" s="111">
        <f>+V174&amp;W174</f>
      </c>
      <c r="AK174" s="217">
        <f>+_xlfn.IFNA(VLOOKUP(AJ174,$AF$7:$AG$1066,2,0),0)</f>
      </c>
      <c r="AL174" s="217">
        <f>+IF(W174&gt;W173,AK174,AL173+AK174)</f>
      </c>
      <c r="AM174" s="217">
        <f>IF(W174&gt;W173,IF(AL174&gt;=$AZ$8,$AZ$8,AL174),IF(OR(AM173=$AZ$8,AM173=0),0,IF(AL174&gt;=$AZ$8,$AZ$8,AL174)))</f>
      </c>
      <c r="AN174" s="748">
        <f>+IF(OR(AM174&gt;AZ173,AM174=0),0,IF(AM174=AL174,AK174,$AZ$7-AL173))</f>
      </c>
      <c r="AO174" s="748">
        <f>+AK174-AN174</f>
      </c>
      <c r="AP174" s="217">
        <f>+_xlfn.IFNA(VLOOKUP(AJ174,$AF$7:$AI$1066,3,0),0)</f>
      </c>
      <c r="AQ174" s="217">
        <f>+IF(W174&gt;W173,AP174,AQ173+AP174)</f>
      </c>
      <c r="AR174" s="217">
        <f>+MAX($AM$2-SUMIF($W$7:$W$1066,W174,$AN$7:$AN$1066),0)</f>
      </c>
      <c r="AS174" s="748">
        <f>+MAX(IF(AQ174&gt;AR174,AR174-AQ173,AP174),0)</f>
      </c>
      <c r="AT174" s="748">
        <f>+AP174-AS174</f>
      </c>
      <c r="AU174" s="217">
        <f>+_xlfn.IFNA(VLOOKUP(AJ174,$AF$7:$AI$1066,4,0),0)</f>
      </c>
      <c r="AV174" s="217">
        <f>+IF(W174&gt;W173,AU174,AV173+AU174)</f>
      </c>
      <c r="AW174" s="217">
        <f>+MAX($AM$2-SUMIF($W$7:$W$1066,W174,$AN$7:$AN$1066)-SUMIF($W$7:$W$1066,W174,$AS$7:$AS$1066),0)</f>
      </c>
      <c r="AX174" s="748">
        <f>+MAX(IF(AV174&gt;AW174,AW174-AV173,AU174),0)</f>
      </c>
      <c r="AY174" s="748">
        <f>+AU174-AX174</f>
      </c>
      <c r="AZ174" s="331">
        <f>+$AM$1+IF($AP$1&gt;$AP$2,$AM$3/2)</f>
      </c>
    </row>
    <row x14ac:dyDescent="0.25" r="175" customHeight="1" ht="18.75">
      <c r="A175" s="1"/>
      <c r="B175" s="7"/>
      <c r="C175" s="170"/>
      <c r="D175" s="331">
        <v>168</v>
      </c>
      <c r="E175" s="544">
        <f>+DATE(YEAR(E174),MONTH(E174)-1,DAY(E174))</f>
        <v>25569.041666666668</v>
      </c>
      <c r="F175" s="333">
        <f>IF(DATE(YEAR($B$6),MONTH($B$6)+1,DAY(1))=E175,1,IF(MONTH(E175)=1,F176*(1+$F$5),F176))</f>
      </c>
      <c r="G175" s="333">
        <f>IF('Simulador - 1º Pilar'!$E$99="Sí",IF('Aportaciones PPE'!$B$13&lt;'Aportaciones PPE'!E175,0,F175*$B$8/12),F175*$B$8/12)</f>
      </c>
      <c r="H175" s="333">
        <f>$H$5*G175</f>
      </c>
      <c r="I175" s="333">
        <f>$I$5*G175</f>
      </c>
      <c r="J175" s="333">
        <f>+I175</f>
      </c>
      <c r="K175" s="333">
        <f>(1+$O$5)^(D175/12)*(H175+IF(AND(F175=1,F176=0),$S$4,0))</f>
      </c>
      <c r="L175" s="333">
        <f>(1+$O$5)^(D175/12)*(I175+IF(AND(F175=1,F176=0),0))</f>
      </c>
      <c r="M175" s="333">
        <f>+L175</f>
      </c>
      <c r="N175" s="333">
        <f>L175+K175+M175</f>
      </c>
      <c r="O175" s="170"/>
      <c r="P175" s="7"/>
      <c r="Q175" s="1"/>
      <c r="R175" s="331">
        <f>D175</f>
      </c>
      <c r="S175" s="169"/>
      <c r="T175" s="1"/>
      <c r="U175" s="217"/>
      <c r="V175" s="331">
        <f>+IF(V174=11,12,IF(V174=12,1,V174+1))</f>
      </c>
      <c r="W175" s="331">
        <f>+W174+IF(V174=12,1,0)</f>
      </c>
      <c r="X175" s="555">
        <f>+DATE(W175,V175,1)</f>
        <v>25569.041666666668</v>
      </c>
      <c r="Y175" s="333">
        <f>+_xlfn.IFNA(AN175+AS175+AX175,0)</f>
      </c>
      <c r="Z175" s="333">
        <f>+_xlfn.IFNA(AO175+AT175+AY175,0)</f>
      </c>
      <c r="AA175" s="333">
        <f>Y175*(1+$O$5)^(($B$7-X175)/365.25)</f>
      </c>
      <c r="AB175" s="333">
        <f>Z175*(1+$O$5)^(($B$7-X175)/365.25)</f>
      </c>
      <c r="AC175" s="1"/>
      <c r="AD175" s="1"/>
      <c r="AE175" s="1"/>
      <c r="AF175" s="111">
        <f>+MONTH(E175)&amp;YEAR(E175)</f>
      </c>
      <c r="AG175" s="217">
        <f>+I175</f>
      </c>
      <c r="AH175" s="217">
        <f>+J175</f>
      </c>
      <c r="AI175" s="217">
        <f>+H175</f>
      </c>
      <c r="AJ175" s="111">
        <f>+V175&amp;W175</f>
      </c>
      <c r="AK175" s="217">
        <f>+_xlfn.IFNA(VLOOKUP(AJ175,$AF$7:$AG$1066,2,0),0)</f>
      </c>
      <c r="AL175" s="217">
        <f>+IF(W175&gt;W174,AK175,AL174+AK175)</f>
      </c>
      <c r="AM175" s="217">
        <f>IF(W175&gt;W174,IF(AL175&gt;=$AZ$8,$AZ$8,AL175),IF(OR(AM174=$AZ$8,AM174=0),0,IF(AL175&gt;=$AZ$8,$AZ$8,AL175)))</f>
      </c>
      <c r="AN175" s="748">
        <f>+IF(OR(AM175&gt;AZ174,AM175=0),0,IF(AM175=AL175,AK175,$AZ$7-AL174))</f>
      </c>
      <c r="AO175" s="748">
        <f>+AK175-AN175</f>
      </c>
      <c r="AP175" s="217">
        <f>+_xlfn.IFNA(VLOOKUP(AJ175,$AF$7:$AI$1066,3,0),0)</f>
      </c>
      <c r="AQ175" s="217">
        <f>+IF(W175&gt;W174,AP175,AQ174+AP175)</f>
      </c>
      <c r="AR175" s="217">
        <f>+MAX($AM$2-SUMIF($W$7:$W$1066,W175,$AN$7:$AN$1066),0)</f>
      </c>
      <c r="AS175" s="748">
        <f>+MAX(IF(AQ175&gt;AR175,AR175-AQ174,AP175),0)</f>
      </c>
      <c r="AT175" s="748">
        <f>+AP175-AS175</f>
      </c>
      <c r="AU175" s="217">
        <f>+_xlfn.IFNA(VLOOKUP(AJ175,$AF$7:$AI$1066,4,0),0)</f>
      </c>
      <c r="AV175" s="217">
        <f>+IF(W175&gt;W174,AU175,AV174+AU175)</f>
      </c>
      <c r="AW175" s="217">
        <f>+MAX($AM$2-SUMIF($W$7:$W$1066,W175,$AN$7:$AN$1066)-SUMIF($W$7:$W$1066,W175,$AS$7:$AS$1066),0)</f>
      </c>
      <c r="AX175" s="748">
        <f>+MAX(IF(AV175&gt;AW175,AW175-AV174,AU175),0)</f>
      </c>
      <c r="AY175" s="748">
        <f>+AU175-AX175</f>
      </c>
      <c r="AZ175" s="331">
        <f>+$AM$1+IF($AP$1&gt;$AP$2,$AM$3/2)</f>
      </c>
    </row>
    <row x14ac:dyDescent="0.25" r="176" customHeight="1" ht="18.75">
      <c r="A176" s="1"/>
      <c r="B176" s="7"/>
      <c r="C176" s="170"/>
      <c r="D176" s="331">
        <v>169</v>
      </c>
      <c r="E176" s="544">
        <f>+DATE(YEAR(E175),MONTH(E175)-1,DAY(E175))</f>
        <v>25569.041666666668</v>
      </c>
      <c r="F176" s="333">
        <f>IF(DATE(YEAR($B$6),MONTH($B$6)+1,DAY(1))=E176,1,IF(MONTH(E176)=1,F177*(1+$F$5),F177))</f>
      </c>
      <c r="G176" s="333">
        <f>IF('Simulador - 1º Pilar'!$E$99="Sí",IF('Aportaciones PPE'!$B$13&lt;'Aportaciones PPE'!E176,0,F176*$B$8/12),F176*$B$8/12)</f>
      </c>
      <c r="H176" s="333">
        <f>$H$5*G176</f>
      </c>
      <c r="I176" s="333">
        <f>$I$5*G176</f>
      </c>
      <c r="J176" s="333">
        <f>+I176</f>
      </c>
      <c r="K176" s="333">
        <f>(1+$O$5)^(D176/12)*(H176+IF(AND(F176=1,F177=0),$S$4,0))</f>
      </c>
      <c r="L176" s="333">
        <f>(1+$O$5)^(D176/12)*(I176+IF(AND(F176=1,F177=0),0))</f>
      </c>
      <c r="M176" s="333">
        <f>+L176</f>
      </c>
      <c r="N176" s="333">
        <f>L176+K176+M176</f>
      </c>
      <c r="O176" s="170"/>
      <c r="P176" s="7"/>
      <c r="Q176" s="1"/>
      <c r="R176" s="331">
        <f>D176</f>
      </c>
      <c r="S176" s="169"/>
      <c r="T176" s="1"/>
      <c r="U176" s="217"/>
      <c r="V176" s="331">
        <f>+IF(V175=11,12,IF(V175=12,1,V175+1))</f>
      </c>
      <c r="W176" s="331">
        <f>+W175+IF(V175=12,1,0)</f>
      </c>
      <c r="X176" s="555">
        <f>+DATE(W176,V176,1)</f>
        <v>25569.041666666668</v>
      </c>
      <c r="Y176" s="333">
        <f>+_xlfn.IFNA(AN176+AS176+AX176,0)</f>
      </c>
      <c r="Z176" s="333">
        <f>+_xlfn.IFNA(AO176+AT176+AY176,0)</f>
      </c>
      <c r="AA176" s="333">
        <f>Y176*(1+$O$5)^(($B$7-X176)/365.25)</f>
      </c>
      <c r="AB176" s="333">
        <f>Z176*(1+$O$5)^(($B$7-X176)/365.25)</f>
      </c>
      <c r="AC176" s="1"/>
      <c r="AD176" s="1"/>
      <c r="AE176" s="1"/>
      <c r="AF176" s="111">
        <f>+MONTH(E176)&amp;YEAR(E176)</f>
      </c>
      <c r="AG176" s="217">
        <f>+I176</f>
      </c>
      <c r="AH176" s="217">
        <f>+J176</f>
      </c>
      <c r="AI176" s="217">
        <f>+H176</f>
      </c>
      <c r="AJ176" s="111">
        <f>+V176&amp;W176</f>
      </c>
      <c r="AK176" s="217">
        <f>+_xlfn.IFNA(VLOOKUP(AJ176,$AF$7:$AG$1066,2,0),0)</f>
      </c>
      <c r="AL176" s="217">
        <f>+IF(W176&gt;W175,AK176,AL175+AK176)</f>
      </c>
      <c r="AM176" s="217">
        <f>IF(W176&gt;W175,IF(AL176&gt;=$AZ$8,$AZ$8,AL176),IF(OR(AM175=$AZ$8,AM175=0),0,IF(AL176&gt;=$AZ$8,$AZ$8,AL176)))</f>
      </c>
      <c r="AN176" s="748">
        <f>+IF(OR(AM176&gt;AZ175,AM176=0),0,IF(AM176=AL176,AK176,$AZ$7-AL175))</f>
      </c>
      <c r="AO176" s="748">
        <f>+AK176-AN176</f>
      </c>
      <c r="AP176" s="217">
        <f>+_xlfn.IFNA(VLOOKUP(AJ176,$AF$7:$AI$1066,3,0),0)</f>
      </c>
      <c r="AQ176" s="217">
        <f>+IF(W176&gt;W175,AP176,AQ175+AP176)</f>
      </c>
      <c r="AR176" s="217">
        <f>+MAX($AM$2-SUMIF($W$7:$W$1066,W176,$AN$7:$AN$1066),0)</f>
      </c>
      <c r="AS176" s="748">
        <f>+MAX(IF(AQ176&gt;AR176,AR176-AQ175,AP176),0)</f>
      </c>
      <c r="AT176" s="748">
        <f>+AP176-AS176</f>
      </c>
      <c r="AU176" s="217">
        <f>+_xlfn.IFNA(VLOOKUP(AJ176,$AF$7:$AI$1066,4,0),0)</f>
      </c>
      <c r="AV176" s="217">
        <f>+IF(W176&gt;W175,AU176,AV175+AU176)</f>
      </c>
      <c r="AW176" s="217">
        <f>+MAX($AM$2-SUMIF($W$7:$W$1066,W176,$AN$7:$AN$1066)-SUMIF($W$7:$W$1066,W176,$AS$7:$AS$1066),0)</f>
      </c>
      <c r="AX176" s="748">
        <f>+MAX(IF(AV176&gt;AW176,AW176-AV175,AU176),0)</f>
      </c>
      <c r="AY176" s="748">
        <f>+AU176-AX176</f>
      </c>
      <c r="AZ176" s="331">
        <f>+$AM$1+IF($AP$1&gt;$AP$2,$AM$3/2)</f>
      </c>
    </row>
    <row x14ac:dyDescent="0.25" r="177" customHeight="1" ht="18.75">
      <c r="A177" s="1"/>
      <c r="B177" s="7"/>
      <c r="C177" s="170"/>
      <c r="D177" s="331">
        <v>170</v>
      </c>
      <c r="E177" s="544">
        <f>+DATE(YEAR(E176),MONTH(E176)-1,DAY(E176))</f>
        <v>25569.041666666668</v>
      </c>
      <c r="F177" s="333">
        <f>IF(DATE(YEAR($B$6),MONTH($B$6)+1,DAY(1))=E177,1,IF(MONTH(E177)=1,F178*(1+$F$5),F178))</f>
      </c>
      <c r="G177" s="333">
        <f>IF('Simulador - 1º Pilar'!$E$99="Sí",IF('Aportaciones PPE'!$B$13&lt;'Aportaciones PPE'!E177,0,F177*$B$8/12),F177*$B$8/12)</f>
      </c>
      <c r="H177" s="333">
        <f>$H$5*G177</f>
      </c>
      <c r="I177" s="333">
        <f>$I$5*G177</f>
      </c>
      <c r="J177" s="333">
        <f>+I177</f>
      </c>
      <c r="K177" s="333">
        <f>(1+$O$5)^(D177/12)*(H177+IF(AND(F177=1,F178=0),$S$4,0))</f>
      </c>
      <c r="L177" s="333">
        <f>(1+$O$5)^(D177/12)*(I177+IF(AND(F177=1,F178=0),0))</f>
      </c>
      <c r="M177" s="333">
        <f>+L177</f>
      </c>
      <c r="N177" s="333">
        <f>L177+K177+M177</f>
      </c>
      <c r="O177" s="170"/>
      <c r="P177" s="7"/>
      <c r="Q177" s="1"/>
      <c r="R177" s="331">
        <f>D177</f>
      </c>
      <c r="S177" s="169"/>
      <c r="T177" s="1"/>
      <c r="U177" s="217"/>
      <c r="V177" s="331">
        <f>+IF(V176=11,12,IF(V176=12,1,V176+1))</f>
      </c>
      <c r="W177" s="331">
        <f>+W176+IF(V176=12,1,0)</f>
      </c>
      <c r="X177" s="555">
        <f>+DATE(W177,V177,1)</f>
        <v>25569.041666666668</v>
      </c>
      <c r="Y177" s="333">
        <f>+_xlfn.IFNA(AN177+AS177+AX177,0)</f>
      </c>
      <c r="Z177" s="333">
        <f>+_xlfn.IFNA(AO177+AT177+AY177,0)</f>
      </c>
      <c r="AA177" s="333">
        <f>Y177*(1+$O$5)^(($B$7-X177)/365.25)</f>
      </c>
      <c r="AB177" s="333">
        <f>Z177*(1+$O$5)^(($B$7-X177)/365.25)</f>
      </c>
      <c r="AC177" s="1"/>
      <c r="AD177" s="1"/>
      <c r="AE177" s="1"/>
      <c r="AF177" s="111">
        <f>+MONTH(E177)&amp;YEAR(E177)</f>
      </c>
      <c r="AG177" s="217">
        <f>+I177</f>
      </c>
      <c r="AH177" s="217">
        <f>+J177</f>
      </c>
      <c r="AI177" s="217">
        <f>+H177</f>
      </c>
      <c r="AJ177" s="111">
        <f>+V177&amp;W177</f>
      </c>
      <c r="AK177" s="217">
        <f>+_xlfn.IFNA(VLOOKUP(AJ177,$AF$7:$AG$1066,2,0),0)</f>
      </c>
      <c r="AL177" s="217">
        <f>+IF(W177&gt;W176,AK177,AL176+AK177)</f>
      </c>
      <c r="AM177" s="217">
        <f>IF(W177&gt;W176,IF(AL177&gt;=$AZ$8,$AZ$8,AL177),IF(OR(AM176=$AZ$8,AM176=0),0,IF(AL177&gt;=$AZ$8,$AZ$8,AL177)))</f>
      </c>
      <c r="AN177" s="748">
        <f>+IF(OR(AM177&gt;AZ176,AM177=0),0,IF(AM177=AL177,AK177,$AZ$7-AL176))</f>
      </c>
      <c r="AO177" s="748">
        <f>+AK177-AN177</f>
      </c>
      <c r="AP177" s="217">
        <f>+_xlfn.IFNA(VLOOKUP(AJ177,$AF$7:$AI$1066,3,0),0)</f>
      </c>
      <c r="AQ177" s="217">
        <f>+IF(W177&gt;W176,AP177,AQ176+AP177)</f>
      </c>
      <c r="AR177" s="217">
        <f>+MAX($AM$2-SUMIF($W$7:$W$1066,W177,$AN$7:$AN$1066),0)</f>
      </c>
      <c r="AS177" s="748">
        <f>+MAX(IF(AQ177&gt;AR177,AR177-AQ176,AP177),0)</f>
      </c>
      <c r="AT177" s="748">
        <f>+AP177-AS177</f>
      </c>
      <c r="AU177" s="217">
        <f>+_xlfn.IFNA(VLOOKUP(AJ177,$AF$7:$AI$1066,4,0),0)</f>
      </c>
      <c r="AV177" s="217">
        <f>+IF(W177&gt;W176,AU177,AV176+AU177)</f>
      </c>
      <c r="AW177" s="217">
        <f>+MAX($AM$2-SUMIF($W$7:$W$1066,W177,$AN$7:$AN$1066)-SUMIF($W$7:$W$1066,W177,$AS$7:$AS$1066),0)</f>
      </c>
      <c r="AX177" s="748">
        <f>+MAX(IF(AV177&gt;AW177,AW177-AV176,AU177),0)</f>
      </c>
      <c r="AY177" s="748">
        <f>+AU177-AX177</f>
      </c>
      <c r="AZ177" s="331">
        <f>+$AM$1+IF($AP$1&gt;$AP$2,$AM$3/2)</f>
      </c>
    </row>
    <row x14ac:dyDescent="0.25" r="178" customHeight="1" ht="18.75">
      <c r="A178" s="1"/>
      <c r="B178" s="7"/>
      <c r="C178" s="170"/>
      <c r="D178" s="331">
        <v>171</v>
      </c>
      <c r="E178" s="544">
        <f>+DATE(YEAR(E177),MONTH(E177)-1,DAY(E177))</f>
        <v>25569.041666666668</v>
      </c>
      <c r="F178" s="333">
        <f>IF(DATE(YEAR($B$6),MONTH($B$6)+1,DAY(1))=E178,1,IF(MONTH(E178)=1,F179*(1+$F$5),F179))</f>
      </c>
      <c r="G178" s="333">
        <f>IF('Simulador - 1º Pilar'!$E$99="Sí",IF('Aportaciones PPE'!$B$13&lt;'Aportaciones PPE'!E178,0,F178*$B$8/12),F178*$B$8/12)</f>
      </c>
      <c r="H178" s="333">
        <f>$H$5*G178</f>
      </c>
      <c r="I178" s="333">
        <f>$I$5*G178</f>
      </c>
      <c r="J178" s="333">
        <f>+I178</f>
      </c>
      <c r="K178" s="333">
        <f>(1+$O$5)^(D178/12)*(H178+IF(AND(F178=1,F179=0),$S$4,0))</f>
      </c>
      <c r="L178" s="333">
        <f>(1+$O$5)^(D178/12)*(I178+IF(AND(F178=1,F179=0),0))</f>
      </c>
      <c r="M178" s="333">
        <f>+L178</f>
      </c>
      <c r="N178" s="333">
        <f>L178+K178+M178</f>
      </c>
      <c r="O178" s="170"/>
      <c r="P178" s="7"/>
      <c r="Q178" s="1"/>
      <c r="R178" s="331">
        <f>D178</f>
      </c>
      <c r="S178" s="169"/>
      <c r="T178" s="1"/>
      <c r="U178" s="217"/>
      <c r="V178" s="331">
        <f>+IF(V177=11,12,IF(V177=12,1,V177+1))</f>
      </c>
      <c r="W178" s="331">
        <f>+W177+IF(V177=12,1,0)</f>
      </c>
      <c r="X178" s="555">
        <f>+DATE(W178,V178,1)</f>
        <v>25569.041666666668</v>
      </c>
      <c r="Y178" s="333">
        <f>+_xlfn.IFNA(AN178+AS178+AX178,0)</f>
      </c>
      <c r="Z178" s="333">
        <f>+_xlfn.IFNA(AO178+AT178+AY178,0)</f>
      </c>
      <c r="AA178" s="333">
        <f>Y178*(1+$O$5)^(($B$7-X178)/365.25)</f>
      </c>
      <c r="AB178" s="333">
        <f>Z178*(1+$O$5)^(($B$7-X178)/365.25)</f>
      </c>
      <c r="AC178" s="1"/>
      <c r="AD178" s="1"/>
      <c r="AE178" s="1"/>
      <c r="AF178" s="111">
        <f>+MONTH(E178)&amp;YEAR(E178)</f>
      </c>
      <c r="AG178" s="217">
        <f>+I178</f>
      </c>
      <c r="AH178" s="217">
        <f>+J178</f>
      </c>
      <c r="AI178" s="217">
        <f>+H178</f>
      </c>
      <c r="AJ178" s="111">
        <f>+V178&amp;W178</f>
      </c>
      <c r="AK178" s="217">
        <f>+_xlfn.IFNA(VLOOKUP(AJ178,$AF$7:$AG$1066,2,0),0)</f>
      </c>
      <c r="AL178" s="217">
        <f>+IF(W178&gt;W177,AK178,AL177+AK178)</f>
      </c>
      <c r="AM178" s="217">
        <f>IF(W178&gt;W177,IF(AL178&gt;=$AZ$8,$AZ$8,AL178),IF(OR(AM177=$AZ$8,AM177=0),0,IF(AL178&gt;=$AZ$8,$AZ$8,AL178)))</f>
      </c>
      <c r="AN178" s="748">
        <f>+IF(OR(AM178&gt;AZ177,AM178=0),0,IF(AM178=AL178,AK178,$AZ$7-AL177))</f>
      </c>
      <c r="AO178" s="748">
        <f>+AK178-AN178</f>
      </c>
      <c r="AP178" s="217">
        <f>+_xlfn.IFNA(VLOOKUP(AJ178,$AF$7:$AI$1066,3,0),0)</f>
      </c>
      <c r="AQ178" s="217">
        <f>+IF(W178&gt;W177,AP178,AQ177+AP178)</f>
      </c>
      <c r="AR178" s="217">
        <f>+MAX($AM$2-SUMIF($W$7:$W$1066,W178,$AN$7:$AN$1066),0)</f>
      </c>
      <c r="AS178" s="748">
        <f>+MAX(IF(AQ178&gt;AR178,AR178-AQ177,AP178),0)</f>
      </c>
      <c r="AT178" s="748">
        <f>+AP178-AS178</f>
      </c>
      <c r="AU178" s="217">
        <f>+_xlfn.IFNA(VLOOKUP(AJ178,$AF$7:$AI$1066,4,0),0)</f>
      </c>
      <c r="AV178" s="217">
        <f>+IF(W178&gt;W177,AU178,AV177+AU178)</f>
      </c>
      <c r="AW178" s="217">
        <f>+MAX($AM$2-SUMIF($W$7:$W$1066,W178,$AN$7:$AN$1066)-SUMIF($W$7:$W$1066,W178,$AS$7:$AS$1066),0)</f>
      </c>
      <c r="AX178" s="748">
        <f>+MAX(IF(AV178&gt;AW178,AW178-AV177,AU178),0)</f>
      </c>
      <c r="AY178" s="748">
        <f>+AU178-AX178</f>
      </c>
      <c r="AZ178" s="331">
        <f>+$AM$1+IF($AP$1&gt;$AP$2,$AM$3/2)</f>
      </c>
    </row>
    <row x14ac:dyDescent="0.25" r="179" customHeight="1" ht="18.75">
      <c r="A179" s="1"/>
      <c r="B179" s="7"/>
      <c r="C179" s="170"/>
      <c r="D179" s="331">
        <v>172</v>
      </c>
      <c r="E179" s="544">
        <f>+DATE(YEAR(E178),MONTH(E178)-1,DAY(E178))</f>
        <v>25569.041666666668</v>
      </c>
      <c r="F179" s="333">
        <f>IF(DATE(YEAR($B$6),MONTH($B$6)+1,DAY(1))=E179,1,IF(MONTH(E179)=1,F180*(1+$F$5),F180))</f>
      </c>
      <c r="G179" s="333">
        <f>IF('Simulador - 1º Pilar'!$E$99="Sí",IF('Aportaciones PPE'!$B$13&lt;'Aportaciones PPE'!E179,0,F179*$B$8/12),F179*$B$8/12)</f>
      </c>
      <c r="H179" s="333">
        <f>$H$5*G179</f>
      </c>
      <c r="I179" s="333">
        <f>$I$5*G179</f>
      </c>
      <c r="J179" s="333">
        <f>+I179</f>
      </c>
      <c r="K179" s="333">
        <f>(1+$O$5)^(D179/12)*(H179+IF(AND(F179=1,F180=0),$S$4,0))</f>
      </c>
      <c r="L179" s="333">
        <f>(1+$O$5)^(D179/12)*(I179+IF(AND(F179=1,F180=0),0))</f>
      </c>
      <c r="M179" s="333">
        <f>+L179</f>
      </c>
      <c r="N179" s="333">
        <f>L179+K179+M179</f>
      </c>
      <c r="O179" s="170"/>
      <c r="P179" s="7"/>
      <c r="Q179" s="1"/>
      <c r="R179" s="331">
        <f>D179</f>
      </c>
      <c r="S179" s="169"/>
      <c r="T179" s="1"/>
      <c r="U179" s="217"/>
      <c r="V179" s="331">
        <f>+IF(V178=11,12,IF(V178=12,1,V178+1))</f>
      </c>
      <c r="W179" s="331">
        <f>+W178+IF(V178=12,1,0)</f>
      </c>
      <c r="X179" s="555">
        <f>+DATE(W179,V179,1)</f>
        <v>25569.041666666668</v>
      </c>
      <c r="Y179" s="333">
        <f>+_xlfn.IFNA(AN179+AS179+AX179,0)</f>
      </c>
      <c r="Z179" s="333">
        <f>+_xlfn.IFNA(AO179+AT179+AY179,0)</f>
      </c>
      <c r="AA179" s="333">
        <f>Y179*(1+$O$5)^(($B$7-X179)/365.25)</f>
      </c>
      <c r="AB179" s="333">
        <f>Z179*(1+$O$5)^(($B$7-X179)/365.25)</f>
      </c>
      <c r="AC179" s="1"/>
      <c r="AD179" s="1"/>
      <c r="AE179" s="1"/>
      <c r="AF179" s="111">
        <f>+MONTH(E179)&amp;YEAR(E179)</f>
      </c>
      <c r="AG179" s="217">
        <f>+I179</f>
      </c>
      <c r="AH179" s="217">
        <f>+J179</f>
      </c>
      <c r="AI179" s="217">
        <f>+H179</f>
      </c>
      <c r="AJ179" s="111">
        <f>+V179&amp;W179</f>
      </c>
      <c r="AK179" s="217">
        <f>+_xlfn.IFNA(VLOOKUP(AJ179,$AF$7:$AG$1066,2,0),0)</f>
      </c>
      <c r="AL179" s="217">
        <f>+IF(W179&gt;W178,AK179,AL178+AK179)</f>
      </c>
      <c r="AM179" s="217">
        <f>IF(W179&gt;W178,IF(AL179&gt;=$AZ$8,$AZ$8,AL179),IF(OR(AM178=$AZ$8,AM178=0),0,IF(AL179&gt;=$AZ$8,$AZ$8,AL179)))</f>
      </c>
      <c r="AN179" s="748">
        <f>+IF(OR(AM179&gt;AZ178,AM179=0),0,IF(AM179=AL179,AK179,$AZ$7-AL178))</f>
      </c>
      <c r="AO179" s="748">
        <f>+AK179-AN179</f>
      </c>
      <c r="AP179" s="217">
        <f>+_xlfn.IFNA(VLOOKUP(AJ179,$AF$7:$AI$1066,3,0),0)</f>
      </c>
      <c r="AQ179" s="217">
        <f>+IF(W179&gt;W178,AP179,AQ178+AP179)</f>
      </c>
      <c r="AR179" s="217">
        <f>+MAX($AM$2-SUMIF($W$7:$W$1066,W179,$AN$7:$AN$1066),0)</f>
      </c>
      <c r="AS179" s="748">
        <f>+MAX(IF(AQ179&gt;AR179,AR179-AQ178,AP179),0)</f>
      </c>
      <c r="AT179" s="748">
        <f>+AP179-AS179</f>
      </c>
      <c r="AU179" s="217">
        <f>+_xlfn.IFNA(VLOOKUP(AJ179,$AF$7:$AI$1066,4,0),0)</f>
      </c>
      <c r="AV179" s="217">
        <f>+IF(W179&gt;W178,AU179,AV178+AU179)</f>
      </c>
      <c r="AW179" s="217">
        <f>+MAX($AM$2-SUMIF($W$7:$W$1066,W179,$AN$7:$AN$1066)-SUMIF($W$7:$W$1066,W179,$AS$7:$AS$1066),0)</f>
      </c>
      <c r="AX179" s="748">
        <f>+MAX(IF(AV179&gt;AW179,AW179-AV178,AU179),0)</f>
      </c>
      <c r="AY179" s="748">
        <f>+AU179-AX179</f>
      </c>
      <c r="AZ179" s="331">
        <f>+$AM$1+IF($AP$1&gt;$AP$2,$AM$3/2)</f>
      </c>
    </row>
    <row x14ac:dyDescent="0.25" r="180" customHeight="1" ht="18.75">
      <c r="A180" s="1"/>
      <c r="B180" s="7"/>
      <c r="C180" s="170"/>
      <c r="D180" s="331">
        <v>173</v>
      </c>
      <c r="E180" s="544">
        <f>+DATE(YEAR(E179),MONTH(E179)-1,DAY(E179))</f>
        <v>25569.041666666668</v>
      </c>
      <c r="F180" s="333">
        <f>IF(DATE(YEAR($B$6),MONTH($B$6)+1,DAY(1))=E180,1,IF(MONTH(E180)=1,F181*(1+$F$5),F181))</f>
      </c>
      <c r="G180" s="333">
        <f>IF('Simulador - 1º Pilar'!$E$99="Sí",IF('Aportaciones PPE'!$B$13&lt;'Aportaciones PPE'!E180,0,F180*$B$8/12),F180*$B$8/12)</f>
      </c>
      <c r="H180" s="333">
        <f>$H$5*G180</f>
      </c>
      <c r="I180" s="333">
        <f>$I$5*G180</f>
      </c>
      <c r="J180" s="333">
        <f>+I180</f>
      </c>
      <c r="K180" s="333">
        <f>(1+$O$5)^(D180/12)*(H180+IF(AND(F180=1,F181=0),$S$4,0))</f>
      </c>
      <c r="L180" s="333">
        <f>(1+$O$5)^(D180/12)*(I180+IF(AND(F180=1,F181=0),0))</f>
      </c>
      <c r="M180" s="333">
        <f>+L180</f>
      </c>
      <c r="N180" s="333">
        <f>L180+K180+M180</f>
      </c>
      <c r="O180" s="170"/>
      <c r="P180" s="7"/>
      <c r="Q180" s="1"/>
      <c r="R180" s="331">
        <f>D180</f>
      </c>
      <c r="S180" s="169"/>
      <c r="T180" s="1"/>
      <c r="U180" s="217"/>
      <c r="V180" s="331">
        <f>+IF(V179=11,12,IF(V179=12,1,V179+1))</f>
      </c>
      <c r="W180" s="331">
        <f>+W179+IF(V179=12,1,0)</f>
      </c>
      <c r="X180" s="555">
        <f>+DATE(W180,V180,1)</f>
        <v>25569.041666666668</v>
      </c>
      <c r="Y180" s="333">
        <f>+_xlfn.IFNA(AN180+AS180+AX180,0)</f>
      </c>
      <c r="Z180" s="333">
        <f>+_xlfn.IFNA(AO180+AT180+AY180,0)</f>
      </c>
      <c r="AA180" s="333">
        <f>Y180*(1+$O$5)^(($B$7-X180)/365.25)</f>
      </c>
      <c r="AB180" s="333">
        <f>Z180*(1+$O$5)^(($B$7-X180)/365.25)</f>
      </c>
      <c r="AC180" s="1"/>
      <c r="AD180" s="1"/>
      <c r="AE180" s="1"/>
      <c r="AF180" s="111">
        <f>+MONTH(E180)&amp;YEAR(E180)</f>
      </c>
      <c r="AG180" s="217">
        <f>+I180</f>
      </c>
      <c r="AH180" s="217">
        <f>+J180</f>
      </c>
      <c r="AI180" s="217">
        <f>+H180</f>
      </c>
      <c r="AJ180" s="111">
        <f>+V180&amp;W180</f>
      </c>
      <c r="AK180" s="217">
        <f>+_xlfn.IFNA(VLOOKUP(AJ180,$AF$7:$AG$1066,2,0),0)</f>
      </c>
      <c r="AL180" s="217">
        <f>+IF(W180&gt;W179,AK180,AL179+AK180)</f>
      </c>
      <c r="AM180" s="217">
        <f>IF(W180&gt;W179,IF(AL180&gt;=$AZ$8,$AZ$8,AL180),IF(OR(AM179=$AZ$8,AM179=0),0,IF(AL180&gt;=$AZ$8,$AZ$8,AL180)))</f>
      </c>
      <c r="AN180" s="748">
        <f>+IF(OR(AM180&gt;AZ179,AM180=0),0,IF(AM180=AL180,AK180,$AZ$7-AL179))</f>
      </c>
      <c r="AO180" s="748">
        <f>+AK180-AN180</f>
      </c>
      <c r="AP180" s="217">
        <f>+_xlfn.IFNA(VLOOKUP(AJ180,$AF$7:$AI$1066,3,0),0)</f>
      </c>
      <c r="AQ180" s="217">
        <f>+IF(W180&gt;W179,AP180,AQ179+AP180)</f>
      </c>
      <c r="AR180" s="217">
        <f>+MAX($AM$2-SUMIF($W$7:$W$1066,W180,$AN$7:$AN$1066),0)</f>
      </c>
      <c r="AS180" s="748">
        <f>+MAX(IF(AQ180&gt;AR180,AR180-AQ179,AP180),0)</f>
      </c>
      <c r="AT180" s="748">
        <f>+AP180-AS180</f>
      </c>
      <c r="AU180" s="217">
        <f>+_xlfn.IFNA(VLOOKUP(AJ180,$AF$7:$AI$1066,4,0),0)</f>
      </c>
      <c r="AV180" s="217">
        <f>+IF(W180&gt;W179,AU180,AV179+AU180)</f>
      </c>
      <c r="AW180" s="217">
        <f>+MAX($AM$2-SUMIF($W$7:$W$1066,W180,$AN$7:$AN$1066)-SUMIF($W$7:$W$1066,W180,$AS$7:$AS$1066),0)</f>
      </c>
      <c r="AX180" s="748">
        <f>+MAX(IF(AV180&gt;AW180,AW180-AV179,AU180),0)</f>
      </c>
      <c r="AY180" s="748">
        <f>+AU180-AX180</f>
      </c>
      <c r="AZ180" s="331">
        <f>+$AM$1+IF($AP$1&gt;$AP$2,$AM$3/2)</f>
      </c>
    </row>
    <row x14ac:dyDescent="0.25" r="181" customHeight="1" ht="18.75">
      <c r="A181" s="1"/>
      <c r="B181" s="7"/>
      <c r="C181" s="170"/>
      <c r="D181" s="331">
        <v>174</v>
      </c>
      <c r="E181" s="544">
        <f>+DATE(YEAR(E180),MONTH(E180)-1,DAY(E180))</f>
        <v>25569.041666666668</v>
      </c>
      <c r="F181" s="333">
        <f>IF(DATE(YEAR($B$6),MONTH($B$6)+1,DAY(1))=E181,1,IF(MONTH(E181)=1,F182*(1+$F$5),F182))</f>
      </c>
      <c r="G181" s="333">
        <f>IF('Simulador - 1º Pilar'!$E$99="Sí",IF('Aportaciones PPE'!$B$13&lt;'Aportaciones PPE'!E181,0,F181*$B$8/12),F181*$B$8/12)</f>
      </c>
      <c r="H181" s="333">
        <f>$H$5*G181</f>
      </c>
      <c r="I181" s="333">
        <f>$I$5*G181</f>
      </c>
      <c r="J181" s="333">
        <f>+I181</f>
      </c>
      <c r="K181" s="333">
        <f>(1+$O$5)^(D181/12)*(H181+IF(AND(F181=1,F182=0),$S$4,0))</f>
      </c>
      <c r="L181" s="333">
        <f>(1+$O$5)^(D181/12)*(I181+IF(AND(F181=1,F182=0),0))</f>
      </c>
      <c r="M181" s="333">
        <f>+L181</f>
      </c>
      <c r="N181" s="333">
        <f>L181+K181+M181</f>
      </c>
      <c r="O181" s="170"/>
      <c r="P181" s="7"/>
      <c r="Q181" s="1"/>
      <c r="R181" s="331">
        <f>D181</f>
      </c>
      <c r="S181" s="169"/>
      <c r="T181" s="1"/>
      <c r="U181" s="217"/>
      <c r="V181" s="331">
        <f>+IF(V180=11,12,IF(V180=12,1,V180+1))</f>
      </c>
      <c r="W181" s="331">
        <f>+W180+IF(V180=12,1,0)</f>
      </c>
      <c r="X181" s="555">
        <f>+DATE(W181,V181,1)</f>
        <v>25569.041666666668</v>
      </c>
      <c r="Y181" s="333">
        <f>+_xlfn.IFNA(AN181+AS181+AX181,0)</f>
      </c>
      <c r="Z181" s="333">
        <f>+_xlfn.IFNA(AO181+AT181+AY181,0)</f>
      </c>
      <c r="AA181" s="333">
        <f>Y181*(1+$O$5)^(($B$7-X181)/365.25)</f>
      </c>
      <c r="AB181" s="333">
        <f>Z181*(1+$O$5)^(($B$7-X181)/365.25)</f>
      </c>
      <c r="AC181" s="1"/>
      <c r="AD181" s="1"/>
      <c r="AE181" s="1"/>
      <c r="AF181" s="111">
        <f>+MONTH(E181)&amp;YEAR(E181)</f>
      </c>
      <c r="AG181" s="217">
        <f>+I181</f>
      </c>
      <c r="AH181" s="217">
        <f>+J181</f>
      </c>
      <c r="AI181" s="217">
        <f>+H181</f>
      </c>
      <c r="AJ181" s="111">
        <f>+V181&amp;W181</f>
      </c>
      <c r="AK181" s="217">
        <f>+_xlfn.IFNA(VLOOKUP(AJ181,$AF$7:$AG$1066,2,0),0)</f>
      </c>
      <c r="AL181" s="217">
        <f>+IF(W181&gt;W180,AK181,AL180+AK181)</f>
      </c>
      <c r="AM181" s="217">
        <f>IF(W181&gt;W180,IF(AL181&gt;=$AZ$8,$AZ$8,AL181),IF(OR(AM180=$AZ$8,AM180=0),0,IF(AL181&gt;=$AZ$8,$AZ$8,AL181)))</f>
      </c>
      <c r="AN181" s="748">
        <f>+IF(OR(AM181&gt;AZ180,AM181=0),0,IF(AM181=AL181,AK181,$AZ$7-AL180))</f>
      </c>
      <c r="AO181" s="748">
        <f>+AK181-AN181</f>
      </c>
      <c r="AP181" s="217">
        <f>+_xlfn.IFNA(VLOOKUP(AJ181,$AF$7:$AI$1066,3,0),0)</f>
      </c>
      <c r="AQ181" s="217">
        <f>+IF(W181&gt;W180,AP181,AQ180+AP181)</f>
      </c>
      <c r="AR181" s="217">
        <f>+MAX($AM$2-SUMIF($W$7:$W$1066,W181,$AN$7:$AN$1066),0)</f>
      </c>
      <c r="AS181" s="748">
        <f>+MAX(IF(AQ181&gt;AR181,AR181-AQ180,AP181),0)</f>
      </c>
      <c r="AT181" s="748">
        <f>+AP181-AS181</f>
      </c>
      <c r="AU181" s="217">
        <f>+_xlfn.IFNA(VLOOKUP(AJ181,$AF$7:$AI$1066,4,0),0)</f>
      </c>
      <c r="AV181" s="217">
        <f>+IF(W181&gt;W180,AU181,AV180+AU181)</f>
      </c>
      <c r="AW181" s="217">
        <f>+MAX($AM$2-SUMIF($W$7:$W$1066,W181,$AN$7:$AN$1066)-SUMIF($W$7:$W$1066,W181,$AS$7:$AS$1066),0)</f>
      </c>
      <c r="AX181" s="748">
        <f>+MAX(IF(AV181&gt;AW181,AW181-AV180,AU181),0)</f>
      </c>
      <c r="AY181" s="748">
        <f>+AU181-AX181</f>
      </c>
      <c r="AZ181" s="331">
        <f>+$AM$1+IF($AP$1&gt;$AP$2,$AM$3/2)</f>
      </c>
    </row>
    <row x14ac:dyDescent="0.25" r="182" customHeight="1" ht="18.75">
      <c r="A182" s="1"/>
      <c r="B182" s="7"/>
      <c r="C182" s="170"/>
      <c r="D182" s="331">
        <v>175</v>
      </c>
      <c r="E182" s="544">
        <f>+DATE(YEAR(E181),MONTH(E181)-1,DAY(E181))</f>
        <v>25569.041666666668</v>
      </c>
      <c r="F182" s="333">
        <f>IF(DATE(YEAR($B$6),MONTH($B$6)+1,DAY(1))=E182,1,IF(MONTH(E182)=1,F183*(1+$F$5),F183))</f>
      </c>
      <c r="G182" s="333">
        <f>IF('Simulador - 1º Pilar'!$E$99="Sí",IF('Aportaciones PPE'!$B$13&lt;'Aportaciones PPE'!E182,0,F182*$B$8/12),F182*$B$8/12)</f>
      </c>
      <c r="H182" s="333">
        <f>$H$5*G182</f>
      </c>
      <c r="I182" s="333">
        <f>$I$5*G182</f>
      </c>
      <c r="J182" s="333">
        <f>+I182</f>
      </c>
      <c r="K182" s="333">
        <f>(1+$O$5)^(D182/12)*(H182+IF(AND(F182=1,F183=0),$S$4,0))</f>
      </c>
      <c r="L182" s="333">
        <f>(1+$O$5)^(D182/12)*(I182+IF(AND(F182=1,F183=0),0))</f>
      </c>
      <c r="M182" s="333">
        <f>+L182</f>
      </c>
      <c r="N182" s="333">
        <f>L182+K182+M182</f>
      </c>
      <c r="O182" s="170"/>
      <c r="P182" s="7"/>
      <c r="Q182" s="1"/>
      <c r="R182" s="331">
        <f>D182</f>
      </c>
      <c r="S182" s="169"/>
      <c r="T182" s="1"/>
      <c r="U182" s="217"/>
      <c r="V182" s="331">
        <f>+IF(V181=11,12,IF(V181=12,1,V181+1))</f>
      </c>
      <c r="W182" s="331">
        <f>+W181+IF(V181=12,1,0)</f>
      </c>
      <c r="X182" s="555">
        <f>+DATE(W182,V182,1)</f>
        <v>25569.041666666668</v>
      </c>
      <c r="Y182" s="333">
        <f>+_xlfn.IFNA(AN182+AS182+AX182,0)</f>
      </c>
      <c r="Z182" s="333">
        <f>+_xlfn.IFNA(AO182+AT182+AY182,0)</f>
      </c>
      <c r="AA182" s="333">
        <f>Y182*(1+$O$5)^(($B$7-X182)/365.25)</f>
      </c>
      <c r="AB182" s="333">
        <f>Z182*(1+$O$5)^(($B$7-X182)/365.25)</f>
      </c>
      <c r="AC182" s="1"/>
      <c r="AD182" s="1"/>
      <c r="AE182" s="1"/>
      <c r="AF182" s="111">
        <f>+MONTH(E182)&amp;YEAR(E182)</f>
      </c>
      <c r="AG182" s="217">
        <f>+I182</f>
      </c>
      <c r="AH182" s="217">
        <f>+J182</f>
      </c>
      <c r="AI182" s="217">
        <f>+H182</f>
      </c>
      <c r="AJ182" s="111">
        <f>+V182&amp;W182</f>
      </c>
      <c r="AK182" s="217">
        <f>+_xlfn.IFNA(VLOOKUP(AJ182,$AF$7:$AG$1066,2,0),0)</f>
      </c>
      <c r="AL182" s="217">
        <f>+IF(W182&gt;W181,AK182,AL181+AK182)</f>
      </c>
      <c r="AM182" s="217">
        <f>IF(W182&gt;W181,IF(AL182&gt;=$AZ$8,$AZ$8,AL182),IF(OR(AM181=$AZ$8,AM181=0),0,IF(AL182&gt;=$AZ$8,$AZ$8,AL182)))</f>
      </c>
      <c r="AN182" s="748">
        <f>+IF(OR(AM182&gt;AZ181,AM182=0),0,IF(AM182=AL182,AK182,$AZ$7-AL181))</f>
      </c>
      <c r="AO182" s="748">
        <f>+AK182-AN182</f>
      </c>
      <c r="AP182" s="217">
        <f>+_xlfn.IFNA(VLOOKUP(AJ182,$AF$7:$AI$1066,3,0),0)</f>
      </c>
      <c r="AQ182" s="217">
        <f>+IF(W182&gt;W181,AP182,AQ181+AP182)</f>
      </c>
      <c r="AR182" s="217">
        <f>+MAX($AM$2-SUMIF($W$7:$W$1066,W182,$AN$7:$AN$1066),0)</f>
      </c>
      <c r="AS182" s="748">
        <f>+MAX(IF(AQ182&gt;AR182,AR182-AQ181,AP182),0)</f>
      </c>
      <c r="AT182" s="748">
        <f>+AP182-AS182</f>
      </c>
      <c r="AU182" s="217">
        <f>+_xlfn.IFNA(VLOOKUP(AJ182,$AF$7:$AI$1066,4,0),0)</f>
      </c>
      <c r="AV182" s="217">
        <f>+IF(W182&gt;W181,AU182,AV181+AU182)</f>
      </c>
      <c r="AW182" s="217">
        <f>+MAX($AM$2-SUMIF($W$7:$W$1066,W182,$AN$7:$AN$1066)-SUMIF($W$7:$W$1066,W182,$AS$7:$AS$1066),0)</f>
      </c>
      <c r="AX182" s="748">
        <f>+MAX(IF(AV182&gt;AW182,AW182-AV181,AU182),0)</f>
      </c>
      <c r="AY182" s="748">
        <f>+AU182-AX182</f>
      </c>
      <c r="AZ182" s="331">
        <f>+$AM$1+IF($AP$1&gt;$AP$2,$AM$3/2)</f>
      </c>
    </row>
    <row x14ac:dyDescent="0.25" r="183" customHeight="1" ht="18.75">
      <c r="A183" s="1"/>
      <c r="B183" s="7"/>
      <c r="C183" s="170"/>
      <c r="D183" s="331">
        <v>176</v>
      </c>
      <c r="E183" s="544">
        <f>+DATE(YEAR(E182),MONTH(E182)-1,DAY(E182))</f>
        <v>25569.041666666668</v>
      </c>
      <c r="F183" s="333">
        <f>IF(DATE(YEAR($B$6),MONTH($B$6)+1,DAY(1))=E183,1,IF(MONTH(E183)=1,F184*(1+$F$5),F184))</f>
      </c>
      <c r="G183" s="333">
        <f>IF('Simulador - 1º Pilar'!$E$99="Sí",IF('Aportaciones PPE'!$B$13&lt;'Aportaciones PPE'!E183,0,F183*$B$8/12),F183*$B$8/12)</f>
      </c>
      <c r="H183" s="333">
        <f>$H$5*G183</f>
      </c>
      <c r="I183" s="333">
        <f>$I$5*G183</f>
      </c>
      <c r="J183" s="333">
        <f>+I183</f>
      </c>
      <c r="K183" s="333">
        <f>(1+$O$5)^(D183/12)*(H183+IF(AND(F183=1,F184=0),$S$4,0))</f>
      </c>
      <c r="L183" s="333">
        <f>(1+$O$5)^(D183/12)*(I183+IF(AND(F183=1,F184=0),0))</f>
      </c>
      <c r="M183" s="333">
        <f>+L183</f>
      </c>
      <c r="N183" s="333">
        <f>L183+K183+M183</f>
      </c>
      <c r="O183" s="170"/>
      <c r="P183" s="7"/>
      <c r="Q183" s="1"/>
      <c r="R183" s="331">
        <f>D183</f>
      </c>
      <c r="S183" s="169"/>
      <c r="T183" s="1"/>
      <c r="U183" s="217"/>
      <c r="V183" s="331">
        <f>+IF(V182=11,12,IF(V182=12,1,V182+1))</f>
      </c>
      <c r="W183" s="331">
        <f>+W182+IF(V182=12,1,0)</f>
      </c>
      <c r="X183" s="555">
        <f>+DATE(W183,V183,1)</f>
        <v>25569.041666666668</v>
      </c>
      <c r="Y183" s="333">
        <f>+_xlfn.IFNA(AN183+AS183+AX183,0)</f>
      </c>
      <c r="Z183" s="333">
        <f>+_xlfn.IFNA(AO183+AT183+AY183,0)</f>
      </c>
      <c r="AA183" s="333">
        <f>Y183*(1+$O$5)^(($B$7-X183)/365.25)</f>
      </c>
      <c r="AB183" s="333">
        <f>Z183*(1+$O$5)^(($B$7-X183)/365.25)</f>
      </c>
      <c r="AC183" s="1"/>
      <c r="AD183" s="1"/>
      <c r="AE183" s="1"/>
      <c r="AF183" s="111">
        <f>+MONTH(E183)&amp;YEAR(E183)</f>
      </c>
      <c r="AG183" s="217">
        <f>+I183</f>
      </c>
      <c r="AH183" s="217">
        <f>+J183</f>
      </c>
      <c r="AI183" s="217">
        <f>+H183</f>
      </c>
      <c r="AJ183" s="111">
        <f>+V183&amp;W183</f>
      </c>
      <c r="AK183" s="217">
        <f>+_xlfn.IFNA(VLOOKUP(AJ183,$AF$7:$AG$1066,2,0),0)</f>
      </c>
      <c r="AL183" s="217">
        <f>+IF(W183&gt;W182,AK183,AL182+AK183)</f>
      </c>
      <c r="AM183" s="217">
        <f>IF(W183&gt;W182,IF(AL183&gt;=$AZ$8,$AZ$8,AL183),IF(OR(AM182=$AZ$8,AM182=0),0,IF(AL183&gt;=$AZ$8,$AZ$8,AL183)))</f>
      </c>
      <c r="AN183" s="748">
        <f>+IF(OR(AM183&gt;AZ182,AM183=0),0,IF(AM183=AL183,AK183,$AZ$7-AL182))</f>
      </c>
      <c r="AO183" s="748">
        <f>+AK183-AN183</f>
      </c>
      <c r="AP183" s="217">
        <f>+_xlfn.IFNA(VLOOKUP(AJ183,$AF$7:$AI$1066,3,0),0)</f>
      </c>
      <c r="AQ183" s="217">
        <f>+IF(W183&gt;W182,AP183,AQ182+AP183)</f>
      </c>
      <c r="AR183" s="217">
        <f>+MAX($AM$2-SUMIF($W$7:$W$1066,W183,$AN$7:$AN$1066),0)</f>
      </c>
      <c r="AS183" s="748">
        <f>+MAX(IF(AQ183&gt;AR183,AR183-AQ182,AP183),0)</f>
      </c>
      <c r="AT183" s="748">
        <f>+AP183-AS183</f>
      </c>
      <c r="AU183" s="217">
        <f>+_xlfn.IFNA(VLOOKUP(AJ183,$AF$7:$AI$1066,4,0),0)</f>
      </c>
      <c r="AV183" s="217">
        <f>+IF(W183&gt;W182,AU183,AV182+AU183)</f>
      </c>
      <c r="AW183" s="217">
        <f>+MAX($AM$2-SUMIF($W$7:$W$1066,W183,$AN$7:$AN$1066)-SUMIF($W$7:$W$1066,W183,$AS$7:$AS$1066),0)</f>
      </c>
      <c r="AX183" s="748">
        <f>+MAX(IF(AV183&gt;AW183,AW183-AV182,AU183),0)</f>
      </c>
      <c r="AY183" s="748">
        <f>+AU183-AX183</f>
      </c>
      <c r="AZ183" s="331">
        <f>+$AM$1+IF($AP$1&gt;$AP$2,$AM$3/2)</f>
      </c>
    </row>
    <row x14ac:dyDescent="0.25" r="184" customHeight="1" ht="18.75">
      <c r="A184" s="1"/>
      <c r="B184" s="7"/>
      <c r="C184" s="170"/>
      <c r="D184" s="331">
        <v>177</v>
      </c>
      <c r="E184" s="544">
        <f>+DATE(YEAR(E183),MONTH(E183)-1,DAY(E183))</f>
        <v>25569.041666666668</v>
      </c>
      <c r="F184" s="333">
        <f>IF(DATE(YEAR($B$6),MONTH($B$6)+1,DAY(1))=E184,1,IF(MONTH(E184)=1,F185*(1+$F$5),F185))</f>
      </c>
      <c r="G184" s="333">
        <f>IF('Simulador - 1º Pilar'!$E$99="Sí",IF('Aportaciones PPE'!$B$13&lt;'Aportaciones PPE'!E184,0,F184*$B$8/12),F184*$B$8/12)</f>
      </c>
      <c r="H184" s="333">
        <f>$H$5*G184</f>
      </c>
      <c r="I184" s="333">
        <f>$I$5*G184</f>
      </c>
      <c r="J184" s="333">
        <f>+I184</f>
      </c>
      <c r="K184" s="333">
        <f>(1+$O$5)^(D184/12)*(H184+IF(AND(F184=1,F185=0),$S$4,0))</f>
      </c>
      <c r="L184" s="333">
        <f>(1+$O$5)^(D184/12)*(I184+IF(AND(F184=1,F185=0),0))</f>
      </c>
      <c r="M184" s="333">
        <f>+L184</f>
      </c>
      <c r="N184" s="333">
        <f>L184+K184+M184</f>
      </c>
      <c r="O184" s="170"/>
      <c r="P184" s="7"/>
      <c r="Q184" s="1"/>
      <c r="R184" s="331">
        <f>D184</f>
      </c>
      <c r="S184" s="169"/>
      <c r="T184" s="1"/>
      <c r="U184" s="217"/>
      <c r="V184" s="331">
        <f>+IF(V183=11,12,IF(V183=12,1,V183+1))</f>
      </c>
      <c r="W184" s="331">
        <f>+W183+IF(V183=12,1,0)</f>
      </c>
      <c r="X184" s="555">
        <f>+DATE(W184,V184,1)</f>
        <v>25569.041666666668</v>
      </c>
      <c r="Y184" s="333">
        <f>+_xlfn.IFNA(AN184+AS184+AX184,0)</f>
      </c>
      <c r="Z184" s="333">
        <f>+_xlfn.IFNA(AO184+AT184+AY184,0)</f>
      </c>
      <c r="AA184" s="333">
        <f>Y184*(1+$O$5)^(($B$7-X184)/365.25)</f>
      </c>
      <c r="AB184" s="333">
        <f>Z184*(1+$O$5)^(($B$7-X184)/365.25)</f>
      </c>
      <c r="AC184" s="1"/>
      <c r="AD184" s="1"/>
      <c r="AE184" s="1"/>
      <c r="AF184" s="111">
        <f>+MONTH(E184)&amp;YEAR(E184)</f>
      </c>
      <c r="AG184" s="217">
        <f>+I184</f>
      </c>
      <c r="AH184" s="217">
        <f>+J184</f>
      </c>
      <c r="AI184" s="217">
        <f>+H184</f>
      </c>
      <c r="AJ184" s="111">
        <f>+V184&amp;W184</f>
      </c>
      <c r="AK184" s="217">
        <f>+_xlfn.IFNA(VLOOKUP(AJ184,$AF$7:$AG$1066,2,0),0)</f>
      </c>
      <c r="AL184" s="217">
        <f>+IF(W184&gt;W183,AK184,AL183+AK184)</f>
      </c>
      <c r="AM184" s="217">
        <f>IF(W184&gt;W183,IF(AL184&gt;=$AZ$8,$AZ$8,AL184),IF(OR(AM183=$AZ$8,AM183=0),0,IF(AL184&gt;=$AZ$8,$AZ$8,AL184)))</f>
      </c>
      <c r="AN184" s="748">
        <f>+IF(OR(AM184&gt;AZ183,AM184=0),0,IF(AM184=AL184,AK184,$AZ$7-AL183))</f>
      </c>
      <c r="AO184" s="748">
        <f>+AK184-AN184</f>
      </c>
      <c r="AP184" s="217">
        <f>+_xlfn.IFNA(VLOOKUP(AJ184,$AF$7:$AI$1066,3,0),0)</f>
      </c>
      <c r="AQ184" s="217">
        <f>+IF(W184&gt;W183,AP184,AQ183+AP184)</f>
      </c>
      <c r="AR184" s="217">
        <f>+MAX($AM$2-SUMIF($W$7:$W$1066,W184,$AN$7:$AN$1066),0)</f>
      </c>
      <c r="AS184" s="748">
        <f>+MAX(IF(AQ184&gt;AR184,AR184-AQ183,AP184),0)</f>
      </c>
      <c r="AT184" s="748">
        <f>+AP184-AS184</f>
      </c>
      <c r="AU184" s="217">
        <f>+_xlfn.IFNA(VLOOKUP(AJ184,$AF$7:$AI$1066,4,0),0)</f>
      </c>
      <c r="AV184" s="217">
        <f>+IF(W184&gt;W183,AU184,AV183+AU184)</f>
      </c>
      <c r="AW184" s="217">
        <f>+MAX($AM$2-SUMIF($W$7:$W$1066,W184,$AN$7:$AN$1066)-SUMIF($W$7:$W$1066,W184,$AS$7:$AS$1066),0)</f>
      </c>
      <c r="AX184" s="748">
        <f>+MAX(IF(AV184&gt;AW184,AW184-AV183,AU184),0)</f>
      </c>
      <c r="AY184" s="748">
        <f>+AU184-AX184</f>
      </c>
      <c r="AZ184" s="331">
        <f>+$AM$1+IF($AP$1&gt;$AP$2,$AM$3/2)</f>
      </c>
    </row>
    <row x14ac:dyDescent="0.25" r="185" customHeight="1" ht="18.75">
      <c r="A185" s="1"/>
      <c r="B185" s="7"/>
      <c r="C185" s="170"/>
      <c r="D185" s="331">
        <v>178</v>
      </c>
      <c r="E185" s="544">
        <f>+DATE(YEAR(E184),MONTH(E184)-1,DAY(E184))</f>
        <v>25569.041666666668</v>
      </c>
      <c r="F185" s="333">
        <f>IF(DATE(YEAR($B$6),MONTH($B$6)+1,DAY(1))=E185,1,IF(MONTH(E185)=1,F186*(1+$F$5),F186))</f>
      </c>
      <c r="G185" s="333">
        <f>IF('Simulador - 1º Pilar'!$E$99="Sí",IF('Aportaciones PPE'!$B$13&lt;'Aportaciones PPE'!E185,0,F185*$B$8/12),F185*$B$8/12)</f>
      </c>
      <c r="H185" s="333">
        <f>$H$5*G185</f>
      </c>
      <c r="I185" s="333">
        <f>$I$5*G185</f>
      </c>
      <c r="J185" s="333">
        <f>+I185</f>
      </c>
      <c r="K185" s="333">
        <f>(1+$O$5)^(D185/12)*(H185+IF(AND(F185=1,F186=0),$S$4,0))</f>
      </c>
      <c r="L185" s="333">
        <f>(1+$O$5)^(D185/12)*(I185+IF(AND(F185=1,F186=0),0))</f>
      </c>
      <c r="M185" s="333">
        <f>+L185</f>
      </c>
      <c r="N185" s="333">
        <f>L185+K185+M185</f>
      </c>
      <c r="O185" s="170"/>
      <c r="P185" s="7"/>
      <c r="Q185" s="1"/>
      <c r="R185" s="331">
        <f>D185</f>
      </c>
      <c r="S185" s="169"/>
      <c r="T185" s="1"/>
      <c r="U185" s="217"/>
      <c r="V185" s="331">
        <f>+IF(V184=11,12,IF(V184=12,1,V184+1))</f>
      </c>
      <c r="W185" s="331">
        <f>+W184+IF(V184=12,1,0)</f>
      </c>
      <c r="X185" s="555">
        <f>+DATE(W185,V185,1)</f>
        <v>25569.041666666668</v>
      </c>
      <c r="Y185" s="333">
        <f>+_xlfn.IFNA(AN185+AS185+AX185,0)</f>
      </c>
      <c r="Z185" s="333">
        <f>+_xlfn.IFNA(AO185+AT185+AY185,0)</f>
      </c>
      <c r="AA185" s="333">
        <f>Y185*(1+$O$5)^(($B$7-X185)/365.25)</f>
      </c>
      <c r="AB185" s="333">
        <f>Z185*(1+$O$5)^(($B$7-X185)/365.25)</f>
      </c>
      <c r="AC185" s="1"/>
      <c r="AD185" s="1"/>
      <c r="AE185" s="1"/>
      <c r="AF185" s="111">
        <f>+MONTH(E185)&amp;YEAR(E185)</f>
      </c>
      <c r="AG185" s="217">
        <f>+I185</f>
      </c>
      <c r="AH185" s="217">
        <f>+J185</f>
      </c>
      <c r="AI185" s="217">
        <f>+H185</f>
      </c>
      <c r="AJ185" s="111">
        <f>+V185&amp;W185</f>
      </c>
      <c r="AK185" s="217">
        <f>+_xlfn.IFNA(VLOOKUP(AJ185,$AF$7:$AG$1066,2,0),0)</f>
      </c>
      <c r="AL185" s="217">
        <f>+IF(W185&gt;W184,AK185,AL184+AK185)</f>
      </c>
      <c r="AM185" s="217">
        <f>IF(W185&gt;W184,IF(AL185&gt;=$AZ$8,$AZ$8,AL185),IF(OR(AM184=$AZ$8,AM184=0),0,IF(AL185&gt;=$AZ$8,$AZ$8,AL185)))</f>
      </c>
      <c r="AN185" s="748">
        <f>+IF(OR(AM185&gt;AZ184,AM185=0),0,IF(AM185=AL185,AK185,$AZ$7-AL184))</f>
      </c>
      <c r="AO185" s="748">
        <f>+AK185-AN185</f>
      </c>
      <c r="AP185" s="217">
        <f>+_xlfn.IFNA(VLOOKUP(AJ185,$AF$7:$AI$1066,3,0),0)</f>
      </c>
      <c r="AQ185" s="217">
        <f>+IF(W185&gt;W184,AP185,AQ184+AP185)</f>
      </c>
      <c r="AR185" s="217">
        <f>+MAX($AM$2-SUMIF($W$7:$W$1066,W185,$AN$7:$AN$1066),0)</f>
      </c>
      <c r="AS185" s="748">
        <f>+MAX(IF(AQ185&gt;AR185,AR185-AQ184,AP185),0)</f>
      </c>
      <c r="AT185" s="748">
        <f>+AP185-AS185</f>
      </c>
      <c r="AU185" s="217">
        <f>+_xlfn.IFNA(VLOOKUP(AJ185,$AF$7:$AI$1066,4,0),0)</f>
      </c>
      <c r="AV185" s="217">
        <f>+IF(W185&gt;W184,AU185,AV184+AU185)</f>
      </c>
      <c r="AW185" s="217">
        <f>+MAX($AM$2-SUMIF($W$7:$W$1066,W185,$AN$7:$AN$1066)-SUMIF($W$7:$W$1066,W185,$AS$7:$AS$1066),0)</f>
      </c>
      <c r="AX185" s="748">
        <f>+MAX(IF(AV185&gt;AW185,AW185-AV184,AU185),0)</f>
      </c>
      <c r="AY185" s="748">
        <f>+AU185-AX185</f>
      </c>
      <c r="AZ185" s="331">
        <f>+$AM$1+IF($AP$1&gt;$AP$2,$AM$3/2)</f>
      </c>
    </row>
    <row x14ac:dyDescent="0.25" r="186" customHeight="1" ht="18.75">
      <c r="A186" s="1"/>
      <c r="B186" s="7"/>
      <c r="C186" s="170"/>
      <c r="D186" s="331">
        <v>179</v>
      </c>
      <c r="E186" s="544">
        <f>+DATE(YEAR(E185),MONTH(E185)-1,DAY(E185))</f>
        <v>25569.041666666668</v>
      </c>
      <c r="F186" s="333">
        <f>IF(DATE(YEAR($B$6),MONTH($B$6)+1,DAY(1))=E186,1,IF(MONTH(E186)=1,F187*(1+$F$5),F187))</f>
      </c>
      <c r="G186" s="333">
        <f>IF('Simulador - 1º Pilar'!$E$99="Sí",IF('Aportaciones PPE'!$B$13&lt;'Aportaciones PPE'!E186,0,F186*$B$8/12),F186*$B$8/12)</f>
      </c>
      <c r="H186" s="333">
        <f>$H$5*G186</f>
      </c>
      <c r="I186" s="333">
        <f>$I$5*G186</f>
      </c>
      <c r="J186" s="333">
        <f>+I186</f>
      </c>
      <c r="K186" s="333">
        <f>(1+$O$5)^(D186/12)*(H186+IF(AND(F186=1,F187=0),$S$4,0))</f>
      </c>
      <c r="L186" s="333">
        <f>(1+$O$5)^(D186/12)*(I186+IF(AND(F186=1,F187=0),0))</f>
      </c>
      <c r="M186" s="333">
        <f>+L186</f>
      </c>
      <c r="N186" s="333">
        <f>L186+K186+M186</f>
      </c>
      <c r="O186" s="170"/>
      <c r="P186" s="7"/>
      <c r="Q186" s="1"/>
      <c r="R186" s="331">
        <f>D186</f>
      </c>
      <c r="S186" s="169"/>
      <c r="T186" s="1"/>
      <c r="U186" s="217"/>
      <c r="V186" s="331">
        <f>+IF(V185=11,12,IF(V185=12,1,V185+1))</f>
      </c>
      <c r="W186" s="331">
        <f>+W185+IF(V185=12,1,0)</f>
      </c>
      <c r="X186" s="555">
        <f>+DATE(W186,V186,1)</f>
        <v>25569.041666666668</v>
      </c>
      <c r="Y186" s="333">
        <f>+_xlfn.IFNA(AN186+AS186+AX186,0)</f>
      </c>
      <c r="Z186" s="333">
        <f>+_xlfn.IFNA(AO186+AT186+AY186,0)</f>
      </c>
      <c r="AA186" s="333">
        <f>Y186*(1+$O$5)^(($B$7-X186)/365.25)</f>
      </c>
      <c r="AB186" s="333">
        <f>Z186*(1+$O$5)^(($B$7-X186)/365.25)</f>
      </c>
      <c r="AC186" s="1"/>
      <c r="AD186" s="1"/>
      <c r="AE186" s="1"/>
      <c r="AF186" s="111">
        <f>+MONTH(E186)&amp;YEAR(E186)</f>
      </c>
      <c r="AG186" s="217">
        <f>+I186</f>
      </c>
      <c r="AH186" s="217">
        <f>+J186</f>
      </c>
      <c r="AI186" s="217">
        <f>+H186</f>
      </c>
      <c r="AJ186" s="111">
        <f>+V186&amp;W186</f>
      </c>
      <c r="AK186" s="217">
        <f>+_xlfn.IFNA(VLOOKUP(AJ186,$AF$7:$AG$1066,2,0),0)</f>
      </c>
      <c r="AL186" s="217">
        <f>+IF(W186&gt;W185,AK186,AL185+AK186)</f>
      </c>
      <c r="AM186" s="217">
        <f>IF(W186&gt;W185,IF(AL186&gt;=$AZ$8,$AZ$8,AL186),IF(OR(AM185=$AZ$8,AM185=0),0,IF(AL186&gt;=$AZ$8,$AZ$8,AL186)))</f>
      </c>
      <c r="AN186" s="748">
        <f>+IF(OR(AM186&gt;AZ185,AM186=0),0,IF(AM186=AL186,AK186,$AZ$7-AL185))</f>
      </c>
      <c r="AO186" s="748">
        <f>+AK186-AN186</f>
      </c>
      <c r="AP186" s="217">
        <f>+_xlfn.IFNA(VLOOKUP(AJ186,$AF$7:$AI$1066,3,0),0)</f>
      </c>
      <c r="AQ186" s="217">
        <f>+IF(W186&gt;W185,AP186,AQ185+AP186)</f>
      </c>
      <c r="AR186" s="217">
        <f>+MAX($AM$2-SUMIF($W$7:$W$1066,W186,$AN$7:$AN$1066),0)</f>
      </c>
      <c r="AS186" s="748">
        <f>+MAX(IF(AQ186&gt;AR186,AR186-AQ185,AP186),0)</f>
      </c>
      <c r="AT186" s="748">
        <f>+AP186-AS186</f>
      </c>
      <c r="AU186" s="217">
        <f>+_xlfn.IFNA(VLOOKUP(AJ186,$AF$7:$AI$1066,4,0),0)</f>
      </c>
      <c r="AV186" s="217">
        <f>+IF(W186&gt;W185,AU186,AV185+AU186)</f>
      </c>
      <c r="AW186" s="217">
        <f>+MAX($AM$2-SUMIF($W$7:$W$1066,W186,$AN$7:$AN$1066)-SUMIF($W$7:$W$1066,W186,$AS$7:$AS$1066),0)</f>
      </c>
      <c r="AX186" s="748">
        <f>+MAX(IF(AV186&gt;AW186,AW186-AV185,AU186),0)</f>
      </c>
      <c r="AY186" s="748">
        <f>+AU186-AX186</f>
      </c>
      <c r="AZ186" s="331">
        <f>+$AM$1+IF($AP$1&gt;$AP$2,$AM$3/2)</f>
      </c>
    </row>
    <row x14ac:dyDescent="0.25" r="187" customHeight="1" ht="18.75">
      <c r="A187" s="1"/>
      <c r="B187" s="7"/>
      <c r="C187" s="170"/>
      <c r="D187" s="331">
        <v>180</v>
      </c>
      <c r="E187" s="544">
        <f>+DATE(YEAR(E186),MONTH(E186)-1,DAY(E186))</f>
        <v>25569.041666666668</v>
      </c>
      <c r="F187" s="333">
        <f>IF(DATE(YEAR($B$6),MONTH($B$6)+1,DAY(1))=E187,1,IF(MONTH(E187)=1,F188*(1+$F$5),F188))</f>
      </c>
      <c r="G187" s="333">
        <f>IF('Simulador - 1º Pilar'!$E$99="Sí",IF('Aportaciones PPE'!$B$13&lt;'Aportaciones PPE'!E187,0,F187*$B$8/12),F187*$B$8/12)</f>
      </c>
      <c r="H187" s="333">
        <f>$H$5*G187</f>
      </c>
      <c r="I187" s="333">
        <f>$I$5*G187</f>
      </c>
      <c r="J187" s="333">
        <f>+I187</f>
      </c>
      <c r="K187" s="333">
        <f>(1+$O$5)^(D187/12)*(H187+IF(AND(F187=1,F188=0),$S$4,0))</f>
      </c>
      <c r="L187" s="333">
        <f>(1+$O$5)^(D187/12)*(I187+IF(AND(F187=1,F188=0),0))</f>
      </c>
      <c r="M187" s="333">
        <f>+L187</f>
      </c>
      <c r="N187" s="333">
        <f>L187+K187+M187</f>
      </c>
      <c r="O187" s="170"/>
      <c r="P187" s="7"/>
      <c r="Q187" s="1"/>
      <c r="R187" s="331">
        <f>D187</f>
      </c>
      <c r="S187" s="169"/>
      <c r="T187" s="1"/>
      <c r="U187" s="217"/>
      <c r="V187" s="331">
        <f>+IF(V186=11,12,IF(V186=12,1,V186+1))</f>
      </c>
      <c r="W187" s="331">
        <f>+W186+IF(V186=12,1,0)</f>
      </c>
      <c r="X187" s="555">
        <f>+DATE(W187,V187,1)</f>
        <v>25569.041666666668</v>
      </c>
      <c r="Y187" s="333">
        <f>+_xlfn.IFNA(AN187+AS187+AX187,0)</f>
      </c>
      <c r="Z187" s="333">
        <f>+_xlfn.IFNA(AO187+AT187+AY187,0)</f>
      </c>
      <c r="AA187" s="333">
        <f>Y187*(1+$O$5)^(($B$7-X187)/365.25)</f>
      </c>
      <c r="AB187" s="333">
        <f>Z187*(1+$O$5)^(($B$7-X187)/365.25)</f>
      </c>
      <c r="AC187" s="1"/>
      <c r="AD187" s="1"/>
      <c r="AE187" s="1"/>
      <c r="AF187" s="111">
        <f>+MONTH(E187)&amp;YEAR(E187)</f>
      </c>
      <c r="AG187" s="217">
        <f>+I187</f>
      </c>
      <c r="AH187" s="217">
        <f>+J187</f>
      </c>
      <c r="AI187" s="217">
        <f>+H187</f>
      </c>
      <c r="AJ187" s="111">
        <f>+V187&amp;W187</f>
      </c>
      <c r="AK187" s="217">
        <f>+_xlfn.IFNA(VLOOKUP(AJ187,$AF$7:$AG$1066,2,0),0)</f>
      </c>
      <c r="AL187" s="217">
        <f>+IF(W187&gt;W186,AK187,AL186+AK187)</f>
      </c>
      <c r="AM187" s="217">
        <f>IF(W187&gt;W186,IF(AL187&gt;=$AZ$8,$AZ$8,AL187),IF(OR(AM186=$AZ$8,AM186=0),0,IF(AL187&gt;=$AZ$8,$AZ$8,AL187)))</f>
      </c>
      <c r="AN187" s="748">
        <f>+IF(OR(AM187&gt;AZ186,AM187=0),0,IF(AM187=AL187,AK187,$AZ$7-AL186))</f>
      </c>
      <c r="AO187" s="748">
        <f>+AK187-AN187</f>
      </c>
      <c r="AP187" s="217">
        <f>+_xlfn.IFNA(VLOOKUP(AJ187,$AF$7:$AI$1066,3,0),0)</f>
      </c>
      <c r="AQ187" s="217">
        <f>+IF(W187&gt;W186,AP187,AQ186+AP187)</f>
      </c>
      <c r="AR187" s="217">
        <f>+MAX($AM$2-SUMIF($W$7:$W$1066,W187,$AN$7:$AN$1066),0)</f>
      </c>
      <c r="AS187" s="748">
        <f>+MAX(IF(AQ187&gt;AR187,AR187-AQ186,AP187),0)</f>
      </c>
      <c r="AT187" s="748">
        <f>+AP187-AS187</f>
      </c>
      <c r="AU187" s="217">
        <f>+_xlfn.IFNA(VLOOKUP(AJ187,$AF$7:$AI$1066,4,0),0)</f>
      </c>
      <c r="AV187" s="217">
        <f>+IF(W187&gt;W186,AU187,AV186+AU187)</f>
      </c>
      <c r="AW187" s="217">
        <f>+MAX($AM$2-SUMIF($W$7:$W$1066,W187,$AN$7:$AN$1066)-SUMIF($W$7:$W$1066,W187,$AS$7:$AS$1066),0)</f>
      </c>
      <c r="AX187" s="748">
        <f>+MAX(IF(AV187&gt;AW187,AW187-AV186,AU187),0)</f>
      </c>
      <c r="AY187" s="748">
        <f>+AU187-AX187</f>
      </c>
      <c r="AZ187" s="331">
        <f>+$AM$1+IF($AP$1&gt;$AP$2,$AM$3/2)</f>
      </c>
    </row>
    <row x14ac:dyDescent="0.25" r="188" customHeight="1" ht="18.75">
      <c r="A188" s="1"/>
      <c r="B188" s="7"/>
      <c r="C188" s="170"/>
      <c r="D188" s="331">
        <v>181</v>
      </c>
      <c r="E188" s="544">
        <f>+DATE(YEAR(E187),MONTH(E187)-1,DAY(E187))</f>
        <v>25569.041666666668</v>
      </c>
      <c r="F188" s="333">
        <f>IF(DATE(YEAR($B$6),MONTH($B$6)+1,DAY(1))=E188,1,IF(MONTH(E188)=1,F189*(1+$F$5),F189))</f>
      </c>
      <c r="G188" s="333">
        <f>IF('Simulador - 1º Pilar'!$E$99="Sí",IF('Aportaciones PPE'!$B$13&lt;'Aportaciones PPE'!E188,0,F188*$B$8/12),F188*$B$8/12)</f>
      </c>
      <c r="H188" s="333">
        <f>$H$5*G188</f>
      </c>
      <c r="I188" s="333">
        <f>$I$5*G188</f>
      </c>
      <c r="J188" s="333">
        <f>+I188</f>
      </c>
      <c r="K188" s="333">
        <f>(1+$O$5)^(D188/12)*(H188+IF(AND(F188=1,F189=0),$S$4,0))</f>
      </c>
      <c r="L188" s="333">
        <f>(1+$O$5)^(D188/12)*(I188+IF(AND(F188=1,F189=0),0))</f>
      </c>
      <c r="M188" s="333">
        <f>+L188</f>
      </c>
      <c r="N188" s="333">
        <f>L188+K188+M188</f>
      </c>
      <c r="O188" s="170"/>
      <c r="P188" s="7"/>
      <c r="Q188" s="1"/>
      <c r="R188" s="331">
        <f>D188</f>
      </c>
      <c r="S188" s="169"/>
      <c r="T188" s="1"/>
      <c r="U188" s="217"/>
      <c r="V188" s="331">
        <f>+IF(V187=11,12,IF(V187=12,1,V187+1))</f>
      </c>
      <c r="W188" s="331">
        <f>+W187+IF(V187=12,1,0)</f>
      </c>
      <c r="X188" s="555">
        <f>+DATE(W188,V188,1)</f>
        <v>25569.041666666668</v>
      </c>
      <c r="Y188" s="333">
        <f>+_xlfn.IFNA(AN188+AS188+AX188,0)</f>
      </c>
      <c r="Z188" s="333">
        <f>+_xlfn.IFNA(AO188+AT188+AY188,0)</f>
      </c>
      <c r="AA188" s="333">
        <f>Y188*(1+$O$5)^(($B$7-X188)/365.25)</f>
      </c>
      <c r="AB188" s="333">
        <f>Z188*(1+$O$5)^(($B$7-X188)/365.25)</f>
      </c>
      <c r="AC188" s="1"/>
      <c r="AD188" s="1"/>
      <c r="AE188" s="1"/>
      <c r="AF188" s="111">
        <f>+MONTH(E188)&amp;YEAR(E188)</f>
      </c>
      <c r="AG188" s="217">
        <f>+I188</f>
      </c>
      <c r="AH188" s="217">
        <f>+J188</f>
      </c>
      <c r="AI188" s="217">
        <f>+H188</f>
      </c>
      <c r="AJ188" s="111">
        <f>+V188&amp;W188</f>
      </c>
      <c r="AK188" s="217">
        <f>+_xlfn.IFNA(VLOOKUP(AJ188,$AF$7:$AG$1066,2,0),0)</f>
      </c>
      <c r="AL188" s="217">
        <f>+IF(W188&gt;W187,AK188,AL187+AK188)</f>
      </c>
      <c r="AM188" s="217">
        <f>IF(W188&gt;W187,IF(AL188&gt;=$AZ$8,$AZ$8,AL188),IF(OR(AM187=$AZ$8,AM187=0),0,IF(AL188&gt;=$AZ$8,$AZ$8,AL188)))</f>
      </c>
      <c r="AN188" s="748">
        <f>+IF(OR(AM188&gt;AZ187,AM188=0),0,IF(AM188=AL188,AK188,$AZ$7-AL187))</f>
      </c>
      <c r="AO188" s="748">
        <f>+AK188-AN188</f>
      </c>
      <c r="AP188" s="217">
        <f>+_xlfn.IFNA(VLOOKUP(AJ188,$AF$7:$AI$1066,3,0),0)</f>
      </c>
      <c r="AQ188" s="217">
        <f>+IF(W188&gt;W187,AP188,AQ187+AP188)</f>
      </c>
      <c r="AR188" s="217">
        <f>+MAX($AM$2-SUMIF($W$7:$W$1066,W188,$AN$7:$AN$1066),0)</f>
      </c>
      <c r="AS188" s="748">
        <f>+MAX(IF(AQ188&gt;AR188,AR188-AQ187,AP188),0)</f>
      </c>
      <c r="AT188" s="748">
        <f>+AP188-AS188</f>
      </c>
      <c r="AU188" s="217">
        <f>+_xlfn.IFNA(VLOOKUP(AJ188,$AF$7:$AI$1066,4,0),0)</f>
      </c>
      <c r="AV188" s="217">
        <f>+IF(W188&gt;W187,AU188,AV187+AU188)</f>
      </c>
      <c r="AW188" s="217">
        <f>+MAX($AM$2-SUMIF($W$7:$W$1066,W188,$AN$7:$AN$1066)-SUMIF($W$7:$W$1066,W188,$AS$7:$AS$1066),0)</f>
      </c>
      <c r="AX188" s="748">
        <f>+MAX(IF(AV188&gt;AW188,AW188-AV187,AU188),0)</f>
      </c>
      <c r="AY188" s="748">
        <f>+AU188-AX188</f>
      </c>
      <c r="AZ188" s="331">
        <f>+$AM$1+IF($AP$1&gt;$AP$2,$AM$3/2)</f>
      </c>
    </row>
    <row x14ac:dyDescent="0.25" r="189" customHeight="1" ht="18.75">
      <c r="A189" s="1"/>
      <c r="B189" s="7"/>
      <c r="C189" s="170"/>
      <c r="D189" s="331">
        <v>182</v>
      </c>
      <c r="E189" s="544">
        <f>+DATE(YEAR(E188),MONTH(E188)-1,DAY(E188))</f>
        <v>25569.041666666668</v>
      </c>
      <c r="F189" s="333">
        <f>IF(DATE(YEAR($B$6),MONTH($B$6)+1,DAY(1))=E189,1,IF(MONTH(E189)=1,F190*(1+$F$5),F190))</f>
      </c>
      <c r="G189" s="333">
        <f>IF('Simulador - 1º Pilar'!$E$99="Sí",IF('Aportaciones PPE'!$B$13&lt;'Aportaciones PPE'!E189,0,F189*$B$8/12),F189*$B$8/12)</f>
      </c>
      <c r="H189" s="333">
        <f>$H$5*G189</f>
      </c>
      <c r="I189" s="333">
        <f>$I$5*G189</f>
      </c>
      <c r="J189" s="333">
        <f>+I189</f>
      </c>
      <c r="K189" s="333">
        <f>(1+$O$5)^(D189/12)*(H189+IF(AND(F189=1,F190=0),$S$4,0))</f>
      </c>
      <c r="L189" s="333">
        <f>(1+$O$5)^(D189/12)*(I189+IF(AND(F189=1,F190=0),0))</f>
      </c>
      <c r="M189" s="333">
        <f>+L189</f>
      </c>
      <c r="N189" s="333">
        <f>L189+K189+M189</f>
      </c>
      <c r="O189" s="170"/>
      <c r="P189" s="7"/>
      <c r="Q189" s="1"/>
      <c r="R189" s="331">
        <f>D189</f>
      </c>
      <c r="S189" s="169"/>
      <c r="T189" s="1"/>
      <c r="U189" s="217"/>
      <c r="V189" s="331">
        <f>+IF(V188=11,12,IF(V188=12,1,V188+1))</f>
      </c>
      <c r="W189" s="331">
        <f>+W188+IF(V188=12,1,0)</f>
      </c>
      <c r="X189" s="555">
        <f>+DATE(W189,V189,1)</f>
        <v>25569.041666666668</v>
      </c>
      <c r="Y189" s="333">
        <f>+_xlfn.IFNA(AN189+AS189+AX189,0)</f>
      </c>
      <c r="Z189" s="333">
        <f>+_xlfn.IFNA(AO189+AT189+AY189,0)</f>
      </c>
      <c r="AA189" s="333">
        <f>Y189*(1+$O$5)^(($B$7-X189)/365.25)</f>
      </c>
      <c r="AB189" s="333">
        <f>Z189*(1+$O$5)^(($B$7-X189)/365.25)</f>
      </c>
      <c r="AC189" s="1"/>
      <c r="AD189" s="1"/>
      <c r="AE189" s="1"/>
      <c r="AF189" s="111">
        <f>+MONTH(E189)&amp;YEAR(E189)</f>
      </c>
      <c r="AG189" s="217">
        <f>+I189</f>
      </c>
      <c r="AH189" s="217">
        <f>+J189</f>
      </c>
      <c r="AI189" s="217">
        <f>+H189</f>
      </c>
      <c r="AJ189" s="111">
        <f>+V189&amp;W189</f>
      </c>
      <c r="AK189" s="217">
        <f>+_xlfn.IFNA(VLOOKUP(AJ189,$AF$7:$AG$1066,2,0),0)</f>
      </c>
      <c r="AL189" s="217">
        <f>+IF(W189&gt;W188,AK189,AL188+AK189)</f>
      </c>
      <c r="AM189" s="217">
        <f>IF(W189&gt;W188,IF(AL189&gt;=$AZ$8,$AZ$8,AL189),IF(OR(AM188=$AZ$8,AM188=0),0,IF(AL189&gt;=$AZ$8,$AZ$8,AL189)))</f>
      </c>
      <c r="AN189" s="748">
        <f>+IF(OR(AM189&gt;AZ188,AM189=0),0,IF(AM189=AL189,AK189,$AZ$7-AL188))</f>
      </c>
      <c r="AO189" s="748">
        <f>+AK189-AN189</f>
      </c>
      <c r="AP189" s="217">
        <f>+_xlfn.IFNA(VLOOKUP(AJ189,$AF$7:$AI$1066,3,0),0)</f>
      </c>
      <c r="AQ189" s="217">
        <f>+IF(W189&gt;W188,AP189,AQ188+AP189)</f>
      </c>
      <c r="AR189" s="217">
        <f>+MAX($AM$2-SUMIF($W$7:$W$1066,W189,$AN$7:$AN$1066),0)</f>
      </c>
      <c r="AS189" s="748">
        <f>+MAX(IF(AQ189&gt;AR189,AR189-AQ188,AP189),0)</f>
      </c>
      <c r="AT189" s="748">
        <f>+AP189-AS189</f>
      </c>
      <c r="AU189" s="217">
        <f>+_xlfn.IFNA(VLOOKUP(AJ189,$AF$7:$AI$1066,4,0),0)</f>
      </c>
      <c r="AV189" s="217">
        <f>+IF(W189&gt;W188,AU189,AV188+AU189)</f>
      </c>
      <c r="AW189" s="217">
        <f>+MAX($AM$2-SUMIF($W$7:$W$1066,W189,$AN$7:$AN$1066)-SUMIF($W$7:$W$1066,W189,$AS$7:$AS$1066),0)</f>
      </c>
      <c r="AX189" s="748">
        <f>+MAX(IF(AV189&gt;AW189,AW189-AV188,AU189),0)</f>
      </c>
      <c r="AY189" s="748">
        <f>+AU189-AX189</f>
      </c>
      <c r="AZ189" s="331">
        <f>+$AM$1+IF($AP$1&gt;$AP$2,$AM$3/2)</f>
      </c>
    </row>
    <row x14ac:dyDescent="0.25" r="190" customHeight="1" ht="18.75">
      <c r="A190" s="1"/>
      <c r="B190" s="7"/>
      <c r="C190" s="170"/>
      <c r="D190" s="331">
        <v>183</v>
      </c>
      <c r="E190" s="544">
        <f>+DATE(YEAR(E189),MONTH(E189)-1,DAY(E189))</f>
        <v>25569.041666666668</v>
      </c>
      <c r="F190" s="333">
        <f>IF(DATE(YEAR($B$6),MONTH($B$6)+1,DAY(1))=E190,1,IF(MONTH(E190)=1,F191*(1+$F$5),F191))</f>
      </c>
      <c r="G190" s="333">
        <f>IF('Simulador - 1º Pilar'!$E$99="Sí",IF('Aportaciones PPE'!$B$13&lt;'Aportaciones PPE'!E190,0,F190*$B$8/12),F190*$B$8/12)</f>
      </c>
      <c r="H190" s="333">
        <f>$H$5*G190</f>
      </c>
      <c r="I190" s="333">
        <f>$I$5*G190</f>
      </c>
      <c r="J190" s="333">
        <f>+I190</f>
      </c>
      <c r="K190" s="333">
        <f>(1+$O$5)^(D190/12)*(H190+IF(AND(F190=1,F191=0),$S$4,0))</f>
      </c>
      <c r="L190" s="333">
        <f>(1+$O$5)^(D190/12)*(I190+IF(AND(F190=1,F191=0),0))</f>
      </c>
      <c r="M190" s="333">
        <f>+L190</f>
      </c>
      <c r="N190" s="333">
        <f>L190+K190+M190</f>
      </c>
      <c r="O190" s="170"/>
      <c r="P190" s="7"/>
      <c r="Q190" s="1"/>
      <c r="R190" s="331">
        <f>D190</f>
      </c>
      <c r="S190" s="169"/>
      <c r="T190" s="1"/>
      <c r="U190" s="217"/>
      <c r="V190" s="331">
        <f>+IF(V189=11,12,IF(V189=12,1,V189+1))</f>
      </c>
      <c r="W190" s="331">
        <f>+W189+IF(V189=12,1,0)</f>
      </c>
      <c r="X190" s="555">
        <f>+DATE(W190,V190,1)</f>
        <v>25569.041666666668</v>
      </c>
      <c r="Y190" s="333">
        <f>+_xlfn.IFNA(AN190+AS190+AX190,0)</f>
      </c>
      <c r="Z190" s="333">
        <f>+_xlfn.IFNA(AO190+AT190+AY190,0)</f>
      </c>
      <c r="AA190" s="333">
        <f>Y190*(1+$O$5)^(($B$7-X190)/365.25)</f>
      </c>
      <c r="AB190" s="333">
        <f>Z190*(1+$O$5)^(($B$7-X190)/365.25)</f>
      </c>
      <c r="AC190" s="1"/>
      <c r="AD190" s="1"/>
      <c r="AE190" s="1"/>
      <c r="AF190" s="111">
        <f>+MONTH(E190)&amp;YEAR(E190)</f>
      </c>
      <c r="AG190" s="217">
        <f>+I190</f>
      </c>
      <c r="AH190" s="217">
        <f>+J190</f>
      </c>
      <c r="AI190" s="217">
        <f>+H190</f>
      </c>
      <c r="AJ190" s="111">
        <f>+V190&amp;W190</f>
      </c>
      <c r="AK190" s="217">
        <f>+_xlfn.IFNA(VLOOKUP(AJ190,$AF$7:$AG$1066,2,0),0)</f>
      </c>
      <c r="AL190" s="217">
        <f>+IF(W190&gt;W189,AK190,AL189+AK190)</f>
      </c>
      <c r="AM190" s="217">
        <f>IF(W190&gt;W189,IF(AL190&gt;=$AZ$8,$AZ$8,AL190),IF(OR(AM189=$AZ$8,AM189=0),0,IF(AL190&gt;=$AZ$8,$AZ$8,AL190)))</f>
      </c>
      <c r="AN190" s="748">
        <f>+IF(OR(AM190&gt;AZ189,AM190=0),0,IF(AM190=AL190,AK190,$AZ$7-AL189))</f>
      </c>
      <c r="AO190" s="748">
        <f>+AK190-AN190</f>
      </c>
      <c r="AP190" s="217">
        <f>+_xlfn.IFNA(VLOOKUP(AJ190,$AF$7:$AI$1066,3,0),0)</f>
      </c>
      <c r="AQ190" s="217">
        <f>+IF(W190&gt;W189,AP190,AQ189+AP190)</f>
      </c>
      <c r="AR190" s="217">
        <f>+MAX($AM$2-SUMIF($W$7:$W$1066,W190,$AN$7:$AN$1066),0)</f>
      </c>
      <c r="AS190" s="748">
        <f>+MAX(IF(AQ190&gt;AR190,AR190-AQ189,AP190),0)</f>
      </c>
      <c r="AT190" s="748">
        <f>+AP190-AS190</f>
      </c>
      <c r="AU190" s="217">
        <f>+_xlfn.IFNA(VLOOKUP(AJ190,$AF$7:$AI$1066,4,0),0)</f>
      </c>
      <c r="AV190" s="217">
        <f>+IF(W190&gt;W189,AU190,AV189+AU190)</f>
      </c>
      <c r="AW190" s="217">
        <f>+MAX($AM$2-SUMIF($W$7:$W$1066,W190,$AN$7:$AN$1066)-SUMIF($W$7:$W$1066,W190,$AS$7:$AS$1066),0)</f>
      </c>
      <c r="AX190" s="748">
        <f>+MAX(IF(AV190&gt;AW190,AW190-AV189,AU190),0)</f>
      </c>
      <c r="AY190" s="748">
        <f>+AU190-AX190</f>
      </c>
      <c r="AZ190" s="331">
        <f>+$AM$1+IF($AP$1&gt;$AP$2,$AM$3/2)</f>
      </c>
    </row>
    <row x14ac:dyDescent="0.25" r="191" customHeight="1" ht="18.75">
      <c r="A191" s="1"/>
      <c r="B191" s="7"/>
      <c r="C191" s="170"/>
      <c r="D191" s="331">
        <v>184</v>
      </c>
      <c r="E191" s="544">
        <f>+DATE(YEAR(E190),MONTH(E190)-1,DAY(E190))</f>
        <v>25569.041666666668</v>
      </c>
      <c r="F191" s="333">
        <f>IF(DATE(YEAR($B$6),MONTH($B$6)+1,DAY(1))=E191,1,IF(MONTH(E191)=1,F192*(1+$F$5),F192))</f>
      </c>
      <c r="G191" s="333">
        <f>IF('Simulador - 1º Pilar'!$E$99="Sí",IF('Aportaciones PPE'!$B$13&lt;'Aportaciones PPE'!E191,0,F191*$B$8/12),F191*$B$8/12)</f>
      </c>
      <c r="H191" s="333">
        <f>$H$5*G191</f>
      </c>
      <c r="I191" s="333">
        <f>$I$5*G191</f>
      </c>
      <c r="J191" s="333">
        <f>+I191</f>
      </c>
      <c r="K191" s="333">
        <f>(1+$O$5)^(D191/12)*(H191+IF(AND(F191=1,F192=0),$S$4,0))</f>
      </c>
      <c r="L191" s="333">
        <f>(1+$O$5)^(D191/12)*(I191+IF(AND(F191=1,F192=0),0))</f>
      </c>
      <c r="M191" s="333">
        <f>+L191</f>
      </c>
      <c r="N191" s="333">
        <f>L191+K191+M191</f>
      </c>
      <c r="O191" s="170"/>
      <c r="P191" s="7"/>
      <c r="Q191" s="1"/>
      <c r="R191" s="331">
        <f>D191</f>
      </c>
      <c r="S191" s="169"/>
      <c r="T191" s="1"/>
      <c r="U191" s="217"/>
      <c r="V191" s="331">
        <f>+IF(V190=11,12,IF(V190=12,1,V190+1))</f>
      </c>
      <c r="W191" s="331">
        <f>+W190+IF(V190=12,1,0)</f>
      </c>
      <c r="X191" s="555">
        <f>+DATE(W191,V191,1)</f>
        <v>25569.041666666668</v>
      </c>
      <c r="Y191" s="333">
        <f>+_xlfn.IFNA(AN191+AS191+AX191,0)</f>
      </c>
      <c r="Z191" s="333">
        <f>+_xlfn.IFNA(AO191+AT191+AY191,0)</f>
      </c>
      <c r="AA191" s="333">
        <f>Y191*(1+$O$5)^(($B$7-X191)/365.25)</f>
      </c>
      <c r="AB191" s="333">
        <f>Z191*(1+$O$5)^(($B$7-X191)/365.25)</f>
      </c>
      <c r="AC191" s="1"/>
      <c r="AD191" s="1"/>
      <c r="AE191" s="1"/>
      <c r="AF191" s="111">
        <f>+MONTH(E191)&amp;YEAR(E191)</f>
      </c>
      <c r="AG191" s="217">
        <f>+I191</f>
      </c>
      <c r="AH191" s="217">
        <f>+J191</f>
      </c>
      <c r="AI191" s="217">
        <f>+H191</f>
      </c>
      <c r="AJ191" s="111">
        <f>+V191&amp;W191</f>
      </c>
      <c r="AK191" s="217">
        <f>+_xlfn.IFNA(VLOOKUP(AJ191,$AF$7:$AG$1066,2,0),0)</f>
      </c>
      <c r="AL191" s="217">
        <f>+IF(W191&gt;W190,AK191,AL190+AK191)</f>
      </c>
      <c r="AM191" s="217">
        <f>IF(W191&gt;W190,IF(AL191&gt;=$AZ$8,$AZ$8,AL191),IF(OR(AM190=$AZ$8,AM190=0),0,IF(AL191&gt;=$AZ$8,$AZ$8,AL191)))</f>
      </c>
      <c r="AN191" s="748">
        <f>+IF(OR(AM191&gt;AZ190,AM191=0),0,IF(AM191=AL191,AK191,$AZ$7-AL190))</f>
      </c>
      <c r="AO191" s="748">
        <f>+AK191-AN191</f>
      </c>
      <c r="AP191" s="217">
        <f>+_xlfn.IFNA(VLOOKUP(AJ191,$AF$7:$AI$1066,3,0),0)</f>
      </c>
      <c r="AQ191" s="217">
        <f>+IF(W191&gt;W190,AP191,AQ190+AP191)</f>
      </c>
      <c r="AR191" s="217">
        <f>+MAX($AM$2-SUMIF($W$7:$W$1066,W191,$AN$7:$AN$1066),0)</f>
      </c>
      <c r="AS191" s="748">
        <f>+MAX(IF(AQ191&gt;AR191,AR191-AQ190,AP191),0)</f>
      </c>
      <c r="AT191" s="748">
        <f>+AP191-AS191</f>
      </c>
      <c r="AU191" s="217">
        <f>+_xlfn.IFNA(VLOOKUP(AJ191,$AF$7:$AI$1066,4,0),0)</f>
      </c>
      <c r="AV191" s="217">
        <f>+IF(W191&gt;W190,AU191,AV190+AU191)</f>
      </c>
      <c r="AW191" s="217">
        <f>+MAX($AM$2-SUMIF($W$7:$W$1066,W191,$AN$7:$AN$1066)-SUMIF($W$7:$W$1066,W191,$AS$7:$AS$1066),0)</f>
      </c>
      <c r="AX191" s="748">
        <f>+MAX(IF(AV191&gt;AW191,AW191-AV190,AU191),0)</f>
      </c>
      <c r="AY191" s="748">
        <f>+AU191-AX191</f>
      </c>
      <c r="AZ191" s="331">
        <f>+$AM$1+IF($AP$1&gt;$AP$2,$AM$3/2)</f>
      </c>
    </row>
    <row x14ac:dyDescent="0.25" r="192" customHeight="1" ht="18.75">
      <c r="A192" s="1"/>
      <c r="B192" s="7"/>
      <c r="C192" s="170"/>
      <c r="D192" s="331">
        <v>185</v>
      </c>
      <c r="E192" s="544">
        <f>+DATE(YEAR(E191),MONTH(E191)-1,DAY(E191))</f>
        <v>25569.041666666668</v>
      </c>
      <c r="F192" s="333">
        <f>IF(DATE(YEAR($B$6),MONTH($B$6)+1,DAY(1))=E192,1,IF(MONTH(E192)=1,F193*(1+$F$5),F193))</f>
      </c>
      <c r="G192" s="333">
        <f>IF('Simulador - 1º Pilar'!$E$99="Sí",IF('Aportaciones PPE'!$B$13&lt;'Aportaciones PPE'!E192,0,F192*$B$8/12),F192*$B$8/12)</f>
      </c>
      <c r="H192" s="333">
        <f>$H$5*G192</f>
      </c>
      <c r="I192" s="333">
        <f>$I$5*G192</f>
      </c>
      <c r="J192" s="333">
        <f>+I192</f>
      </c>
      <c r="K192" s="333">
        <f>(1+$O$5)^(D192/12)*(H192+IF(AND(F192=1,F193=0),$S$4,0))</f>
      </c>
      <c r="L192" s="333">
        <f>(1+$O$5)^(D192/12)*(I192+IF(AND(F192=1,F193=0),0))</f>
      </c>
      <c r="M192" s="333">
        <f>+L192</f>
      </c>
      <c r="N192" s="333">
        <f>L192+K192+M192</f>
      </c>
      <c r="O192" s="170"/>
      <c r="P192" s="7"/>
      <c r="Q192" s="1"/>
      <c r="R192" s="331">
        <f>D192</f>
      </c>
      <c r="S192" s="169"/>
      <c r="T192" s="1"/>
      <c r="U192" s="217"/>
      <c r="V192" s="331">
        <f>+IF(V191=11,12,IF(V191=12,1,V191+1))</f>
      </c>
      <c r="W192" s="331">
        <f>+W191+IF(V191=12,1,0)</f>
      </c>
      <c r="X192" s="555">
        <f>+DATE(W192,V192,1)</f>
        <v>25569.041666666668</v>
      </c>
      <c r="Y192" s="333">
        <f>+_xlfn.IFNA(AN192+AS192+AX192,0)</f>
      </c>
      <c r="Z192" s="333">
        <f>+_xlfn.IFNA(AO192+AT192+AY192,0)</f>
      </c>
      <c r="AA192" s="333">
        <f>Y192*(1+$O$5)^(($B$7-X192)/365.25)</f>
      </c>
      <c r="AB192" s="333">
        <f>Z192*(1+$O$5)^(($B$7-X192)/365.25)</f>
      </c>
      <c r="AC192" s="1"/>
      <c r="AD192" s="1"/>
      <c r="AE192" s="1"/>
      <c r="AF192" s="111">
        <f>+MONTH(E192)&amp;YEAR(E192)</f>
      </c>
      <c r="AG192" s="217">
        <f>+I192</f>
      </c>
      <c r="AH192" s="217">
        <f>+J192</f>
      </c>
      <c r="AI192" s="217">
        <f>+H192</f>
      </c>
      <c r="AJ192" s="111">
        <f>+V192&amp;W192</f>
      </c>
      <c r="AK192" s="217">
        <f>+_xlfn.IFNA(VLOOKUP(AJ192,$AF$7:$AG$1066,2,0),0)</f>
      </c>
      <c r="AL192" s="217">
        <f>+IF(W192&gt;W191,AK192,AL191+AK192)</f>
      </c>
      <c r="AM192" s="217">
        <f>IF(W192&gt;W191,IF(AL192&gt;=$AZ$8,$AZ$8,AL192),IF(OR(AM191=$AZ$8,AM191=0),0,IF(AL192&gt;=$AZ$8,$AZ$8,AL192)))</f>
      </c>
      <c r="AN192" s="748">
        <f>+IF(OR(AM192&gt;AZ191,AM192=0),0,IF(AM192=AL192,AK192,$AZ$7-AL191))</f>
      </c>
      <c r="AO192" s="748">
        <f>+AK192-AN192</f>
      </c>
      <c r="AP192" s="217">
        <f>+_xlfn.IFNA(VLOOKUP(AJ192,$AF$7:$AI$1066,3,0),0)</f>
      </c>
      <c r="AQ192" s="217">
        <f>+IF(W192&gt;W191,AP192,AQ191+AP192)</f>
      </c>
      <c r="AR192" s="217">
        <f>+MAX($AM$2-SUMIF($W$7:$W$1066,W192,$AN$7:$AN$1066),0)</f>
      </c>
      <c r="AS192" s="748">
        <f>+MAX(IF(AQ192&gt;AR192,AR192-AQ191,AP192),0)</f>
      </c>
      <c r="AT192" s="748">
        <f>+AP192-AS192</f>
      </c>
      <c r="AU192" s="217">
        <f>+_xlfn.IFNA(VLOOKUP(AJ192,$AF$7:$AI$1066,4,0),0)</f>
      </c>
      <c r="AV192" s="217">
        <f>+IF(W192&gt;W191,AU192,AV191+AU192)</f>
      </c>
      <c r="AW192" s="217">
        <f>+MAX($AM$2-SUMIF($W$7:$W$1066,W192,$AN$7:$AN$1066)-SUMIF($W$7:$W$1066,W192,$AS$7:$AS$1066),0)</f>
      </c>
      <c r="AX192" s="748">
        <f>+MAX(IF(AV192&gt;AW192,AW192-AV191,AU192),0)</f>
      </c>
      <c r="AY192" s="748">
        <f>+AU192-AX192</f>
      </c>
      <c r="AZ192" s="331">
        <f>+$AM$1+IF($AP$1&gt;$AP$2,$AM$3/2)</f>
      </c>
    </row>
    <row x14ac:dyDescent="0.25" r="193" customHeight="1" ht="18.75">
      <c r="A193" s="1"/>
      <c r="B193" s="7"/>
      <c r="C193" s="170"/>
      <c r="D193" s="331">
        <v>186</v>
      </c>
      <c r="E193" s="544">
        <f>+DATE(YEAR(E192),MONTH(E192)-1,DAY(E192))</f>
        <v>25569.041666666668</v>
      </c>
      <c r="F193" s="333">
        <f>IF(DATE(YEAR($B$6),MONTH($B$6)+1,DAY(1))=E193,1,IF(MONTH(E193)=1,F194*(1+$F$5),F194))</f>
      </c>
      <c r="G193" s="333">
        <f>IF('Simulador - 1º Pilar'!$E$99="Sí",IF('Aportaciones PPE'!$B$13&lt;'Aportaciones PPE'!E193,0,F193*$B$8/12),F193*$B$8/12)</f>
      </c>
      <c r="H193" s="333">
        <f>$H$5*G193</f>
      </c>
      <c r="I193" s="333">
        <f>$I$5*G193</f>
      </c>
      <c r="J193" s="333">
        <f>+I193</f>
      </c>
      <c r="K193" s="333">
        <f>(1+$O$5)^(D193/12)*(H193+IF(AND(F193=1,F194=0),$S$4,0))</f>
      </c>
      <c r="L193" s="333">
        <f>(1+$O$5)^(D193/12)*(I193+IF(AND(F193=1,F194=0),0))</f>
      </c>
      <c r="M193" s="333">
        <f>+L193</f>
      </c>
      <c r="N193" s="333">
        <f>L193+K193+M193</f>
      </c>
      <c r="O193" s="170"/>
      <c r="P193" s="7"/>
      <c r="Q193" s="1"/>
      <c r="R193" s="331">
        <f>D193</f>
      </c>
      <c r="S193" s="169"/>
      <c r="T193" s="1"/>
      <c r="U193" s="217"/>
      <c r="V193" s="331">
        <f>+IF(V192=11,12,IF(V192=12,1,V192+1))</f>
      </c>
      <c r="W193" s="331">
        <f>+W192+IF(V192=12,1,0)</f>
      </c>
      <c r="X193" s="555">
        <f>+DATE(W193,V193,1)</f>
        <v>25569.041666666668</v>
      </c>
      <c r="Y193" s="333">
        <f>+_xlfn.IFNA(AN193+AS193+AX193,0)</f>
      </c>
      <c r="Z193" s="333">
        <f>+_xlfn.IFNA(AO193+AT193+AY193,0)</f>
      </c>
      <c r="AA193" s="333">
        <f>Y193*(1+$O$5)^(($B$7-X193)/365.25)</f>
      </c>
      <c r="AB193" s="333">
        <f>Z193*(1+$O$5)^(($B$7-X193)/365.25)</f>
      </c>
      <c r="AC193" s="1"/>
      <c r="AD193" s="1"/>
      <c r="AE193" s="1"/>
      <c r="AF193" s="111">
        <f>+MONTH(E193)&amp;YEAR(E193)</f>
      </c>
      <c r="AG193" s="217">
        <f>+I193</f>
      </c>
      <c r="AH193" s="217">
        <f>+J193</f>
      </c>
      <c r="AI193" s="217">
        <f>+H193</f>
      </c>
      <c r="AJ193" s="111">
        <f>+V193&amp;W193</f>
      </c>
      <c r="AK193" s="217">
        <f>+_xlfn.IFNA(VLOOKUP(AJ193,$AF$7:$AG$1066,2,0),0)</f>
      </c>
      <c r="AL193" s="217">
        <f>+IF(W193&gt;W192,AK193,AL192+AK193)</f>
      </c>
      <c r="AM193" s="217">
        <f>IF(W193&gt;W192,IF(AL193&gt;=$AZ$8,$AZ$8,AL193),IF(OR(AM192=$AZ$8,AM192=0),0,IF(AL193&gt;=$AZ$8,$AZ$8,AL193)))</f>
      </c>
      <c r="AN193" s="748">
        <f>+IF(OR(AM193&gt;AZ192,AM193=0),0,IF(AM193=AL193,AK193,$AZ$7-AL192))</f>
      </c>
      <c r="AO193" s="748">
        <f>+AK193-AN193</f>
      </c>
      <c r="AP193" s="217">
        <f>+_xlfn.IFNA(VLOOKUP(AJ193,$AF$7:$AI$1066,3,0),0)</f>
      </c>
      <c r="AQ193" s="217">
        <f>+IF(W193&gt;W192,AP193,AQ192+AP193)</f>
      </c>
      <c r="AR193" s="217">
        <f>+MAX($AM$2-SUMIF($W$7:$W$1066,W193,$AN$7:$AN$1066),0)</f>
      </c>
      <c r="AS193" s="748">
        <f>+MAX(IF(AQ193&gt;AR193,AR193-AQ192,AP193),0)</f>
      </c>
      <c r="AT193" s="748">
        <f>+AP193-AS193</f>
      </c>
      <c r="AU193" s="217">
        <f>+_xlfn.IFNA(VLOOKUP(AJ193,$AF$7:$AI$1066,4,0),0)</f>
      </c>
      <c r="AV193" s="217">
        <f>+IF(W193&gt;W192,AU193,AV192+AU193)</f>
      </c>
      <c r="AW193" s="217">
        <f>+MAX($AM$2-SUMIF($W$7:$W$1066,W193,$AN$7:$AN$1066)-SUMIF($W$7:$W$1066,W193,$AS$7:$AS$1066),0)</f>
      </c>
      <c r="AX193" s="748">
        <f>+MAX(IF(AV193&gt;AW193,AW193-AV192,AU193),0)</f>
      </c>
      <c r="AY193" s="748">
        <f>+AU193-AX193</f>
      </c>
      <c r="AZ193" s="331">
        <f>+$AM$1+IF($AP$1&gt;$AP$2,$AM$3/2)</f>
      </c>
    </row>
    <row x14ac:dyDescent="0.25" r="194" customHeight="1" ht="18.75">
      <c r="A194" s="1"/>
      <c r="B194" s="7"/>
      <c r="C194" s="170"/>
      <c r="D194" s="331">
        <v>187</v>
      </c>
      <c r="E194" s="544">
        <f>+DATE(YEAR(E193),MONTH(E193)-1,DAY(E193))</f>
        <v>25569.041666666668</v>
      </c>
      <c r="F194" s="333">
        <f>IF(DATE(YEAR($B$6),MONTH($B$6)+1,DAY(1))=E194,1,IF(MONTH(E194)=1,F195*(1+$F$5),F195))</f>
      </c>
      <c r="G194" s="333">
        <f>IF('Simulador - 1º Pilar'!$E$99="Sí",IF('Aportaciones PPE'!$B$13&lt;'Aportaciones PPE'!E194,0,F194*$B$8/12),F194*$B$8/12)</f>
      </c>
      <c r="H194" s="333">
        <f>$H$5*G194</f>
      </c>
      <c r="I194" s="333">
        <f>$I$5*G194</f>
      </c>
      <c r="J194" s="333">
        <f>+I194</f>
      </c>
      <c r="K194" s="333">
        <f>(1+$O$5)^(D194/12)*(H194+IF(AND(F194=1,F195=0),$S$4,0))</f>
      </c>
      <c r="L194" s="333">
        <f>(1+$O$5)^(D194/12)*(I194+IF(AND(F194=1,F195=0),0))</f>
      </c>
      <c r="M194" s="333">
        <f>+L194</f>
      </c>
      <c r="N194" s="333">
        <f>L194+K194+M194</f>
      </c>
      <c r="O194" s="170"/>
      <c r="P194" s="7"/>
      <c r="Q194" s="1"/>
      <c r="R194" s="331">
        <f>D194</f>
      </c>
      <c r="S194" s="169"/>
      <c r="T194" s="1"/>
      <c r="U194" s="217"/>
      <c r="V194" s="331">
        <f>+IF(V193=11,12,IF(V193=12,1,V193+1))</f>
      </c>
      <c r="W194" s="331">
        <f>+W193+IF(V193=12,1,0)</f>
      </c>
      <c r="X194" s="555">
        <f>+DATE(W194,V194,1)</f>
        <v>25569.041666666668</v>
      </c>
      <c r="Y194" s="333">
        <f>+_xlfn.IFNA(AN194+AS194+AX194,0)</f>
      </c>
      <c r="Z194" s="333">
        <f>+_xlfn.IFNA(AO194+AT194+AY194,0)</f>
      </c>
      <c r="AA194" s="333">
        <f>Y194*(1+$O$5)^(($B$7-X194)/365.25)</f>
      </c>
      <c r="AB194" s="333">
        <f>Z194*(1+$O$5)^(($B$7-X194)/365.25)</f>
      </c>
      <c r="AC194" s="1"/>
      <c r="AD194" s="1"/>
      <c r="AE194" s="1"/>
      <c r="AF194" s="111">
        <f>+MONTH(E194)&amp;YEAR(E194)</f>
      </c>
      <c r="AG194" s="217">
        <f>+I194</f>
      </c>
      <c r="AH194" s="217">
        <f>+J194</f>
      </c>
      <c r="AI194" s="217">
        <f>+H194</f>
      </c>
      <c r="AJ194" s="111">
        <f>+V194&amp;W194</f>
      </c>
      <c r="AK194" s="217">
        <f>+_xlfn.IFNA(VLOOKUP(AJ194,$AF$7:$AG$1066,2,0),0)</f>
      </c>
      <c r="AL194" s="217">
        <f>+IF(W194&gt;W193,AK194,AL193+AK194)</f>
      </c>
      <c r="AM194" s="217">
        <f>IF(W194&gt;W193,IF(AL194&gt;=$AZ$8,$AZ$8,AL194),IF(OR(AM193=$AZ$8,AM193=0),0,IF(AL194&gt;=$AZ$8,$AZ$8,AL194)))</f>
      </c>
      <c r="AN194" s="748">
        <f>+IF(OR(AM194&gt;AZ193,AM194=0),0,IF(AM194=AL194,AK194,$AZ$7-AL193))</f>
      </c>
      <c r="AO194" s="748">
        <f>+AK194-AN194</f>
      </c>
      <c r="AP194" s="217">
        <f>+_xlfn.IFNA(VLOOKUP(AJ194,$AF$7:$AI$1066,3,0),0)</f>
      </c>
      <c r="AQ194" s="217">
        <f>+IF(W194&gt;W193,AP194,AQ193+AP194)</f>
      </c>
      <c r="AR194" s="217">
        <f>+MAX($AM$2-SUMIF($W$7:$W$1066,W194,$AN$7:$AN$1066),0)</f>
      </c>
      <c r="AS194" s="748">
        <f>+MAX(IF(AQ194&gt;AR194,AR194-AQ193,AP194),0)</f>
      </c>
      <c r="AT194" s="748">
        <f>+AP194-AS194</f>
      </c>
      <c r="AU194" s="217">
        <f>+_xlfn.IFNA(VLOOKUP(AJ194,$AF$7:$AI$1066,4,0),0)</f>
      </c>
      <c r="AV194" s="217">
        <f>+IF(W194&gt;W193,AU194,AV193+AU194)</f>
      </c>
      <c r="AW194" s="217">
        <f>+MAX($AM$2-SUMIF($W$7:$W$1066,W194,$AN$7:$AN$1066)-SUMIF($W$7:$W$1066,W194,$AS$7:$AS$1066),0)</f>
      </c>
      <c r="AX194" s="748">
        <f>+MAX(IF(AV194&gt;AW194,AW194-AV193,AU194),0)</f>
      </c>
      <c r="AY194" s="748">
        <f>+AU194-AX194</f>
      </c>
      <c r="AZ194" s="331">
        <f>+$AM$1+IF($AP$1&gt;$AP$2,$AM$3/2)</f>
      </c>
    </row>
    <row x14ac:dyDescent="0.25" r="195" customHeight="1" ht="18.75">
      <c r="A195" s="1"/>
      <c r="B195" s="7"/>
      <c r="C195" s="170"/>
      <c r="D195" s="331">
        <v>188</v>
      </c>
      <c r="E195" s="544">
        <f>+DATE(YEAR(E194),MONTH(E194)-1,DAY(E194))</f>
        <v>25569.041666666668</v>
      </c>
      <c r="F195" s="333">
        <f>IF(DATE(YEAR($B$6),MONTH($B$6)+1,DAY(1))=E195,1,IF(MONTH(E195)=1,F196*(1+$F$5),F196))</f>
      </c>
      <c r="G195" s="333">
        <f>IF('Simulador - 1º Pilar'!$E$99="Sí",IF('Aportaciones PPE'!$B$13&lt;'Aportaciones PPE'!E195,0,F195*$B$8/12),F195*$B$8/12)</f>
      </c>
      <c r="H195" s="333">
        <f>$H$5*G195</f>
      </c>
      <c r="I195" s="333">
        <f>$I$5*G195</f>
      </c>
      <c r="J195" s="333">
        <f>+I195</f>
      </c>
      <c r="K195" s="333">
        <f>(1+$O$5)^(D195/12)*(H195+IF(AND(F195=1,F196=0),$S$4,0))</f>
      </c>
      <c r="L195" s="333">
        <f>(1+$O$5)^(D195/12)*(I195+IF(AND(F195=1,F196=0),0))</f>
      </c>
      <c r="M195" s="333">
        <f>+L195</f>
      </c>
      <c r="N195" s="333">
        <f>L195+K195+M195</f>
      </c>
      <c r="O195" s="170"/>
      <c r="P195" s="7"/>
      <c r="Q195" s="1"/>
      <c r="R195" s="331">
        <f>D195</f>
      </c>
      <c r="S195" s="169"/>
      <c r="T195" s="1"/>
      <c r="U195" s="217"/>
      <c r="V195" s="331">
        <f>+IF(V194=11,12,IF(V194=12,1,V194+1))</f>
      </c>
      <c r="W195" s="331">
        <f>+W194+IF(V194=12,1,0)</f>
      </c>
      <c r="X195" s="555">
        <f>+DATE(W195,V195,1)</f>
        <v>25569.041666666668</v>
      </c>
      <c r="Y195" s="333">
        <f>+_xlfn.IFNA(AN195+AS195+AX195,0)</f>
      </c>
      <c r="Z195" s="333">
        <f>+_xlfn.IFNA(AO195+AT195+AY195,0)</f>
      </c>
      <c r="AA195" s="333">
        <f>Y195*(1+$O$5)^(($B$7-X195)/365.25)</f>
      </c>
      <c r="AB195" s="333">
        <f>Z195*(1+$O$5)^(($B$7-X195)/365.25)</f>
      </c>
      <c r="AC195" s="1"/>
      <c r="AD195" s="1"/>
      <c r="AE195" s="1"/>
      <c r="AF195" s="111">
        <f>+MONTH(E195)&amp;YEAR(E195)</f>
      </c>
      <c r="AG195" s="217">
        <f>+I195</f>
      </c>
      <c r="AH195" s="217">
        <f>+J195</f>
      </c>
      <c r="AI195" s="217">
        <f>+H195</f>
      </c>
      <c r="AJ195" s="111">
        <f>+V195&amp;W195</f>
      </c>
      <c r="AK195" s="217">
        <f>+_xlfn.IFNA(VLOOKUP(AJ195,$AF$7:$AG$1066,2,0),0)</f>
      </c>
      <c r="AL195" s="217">
        <f>+IF(W195&gt;W194,AK195,AL194+AK195)</f>
      </c>
      <c r="AM195" s="217">
        <f>IF(W195&gt;W194,IF(AL195&gt;=$AZ$8,$AZ$8,AL195),IF(OR(AM194=$AZ$8,AM194=0),0,IF(AL195&gt;=$AZ$8,$AZ$8,AL195)))</f>
      </c>
      <c r="AN195" s="748">
        <f>+IF(OR(AM195&gt;AZ194,AM195=0),0,IF(AM195=AL195,AK195,$AZ$7-AL194))</f>
      </c>
      <c r="AO195" s="748">
        <f>+AK195-AN195</f>
      </c>
      <c r="AP195" s="217">
        <f>+_xlfn.IFNA(VLOOKUP(AJ195,$AF$7:$AI$1066,3,0),0)</f>
      </c>
      <c r="AQ195" s="217">
        <f>+IF(W195&gt;W194,AP195,AQ194+AP195)</f>
      </c>
      <c r="AR195" s="217">
        <f>+MAX($AM$2-SUMIF($W$7:$W$1066,W195,$AN$7:$AN$1066),0)</f>
      </c>
      <c r="AS195" s="748">
        <f>+MAX(IF(AQ195&gt;AR195,AR195-AQ194,AP195),0)</f>
      </c>
      <c r="AT195" s="748">
        <f>+AP195-AS195</f>
      </c>
      <c r="AU195" s="217">
        <f>+_xlfn.IFNA(VLOOKUP(AJ195,$AF$7:$AI$1066,4,0),0)</f>
      </c>
      <c r="AV195" s="217">
        <f>+IF(W195&gt;W194,AU195,AV194+AU195)</f>
      </c>
      <c r="AW195" s="217">
        <f>+MAX($AM$2-SUMIF($W$7:$W$1066,W195,$AN$7:$AN$1066)-SUMIF($W$7:$W$1066,W195,$AS$7:$AS$1066),0)</f>
      </c>
      <c r="AX195" s="748">
        <f>+MAX(IF(AV195&gt;AW195,AW195-AV194,AU195),0)</f>
      </c>
      <c r="AY195" s="748">
        <f>+AU195-AX195</f>
      </c>
      <c r="AZ195" s="331">
        <f>+$AM$1+IF($AP$1&gt;$AP$2,$AM$3/2)</f>
      </c>
    </row>
    <row x14ac:dyDescent="0.25" r="196" customHeight="1" ht="18.75">
      <c r="A196" s="1"/>
      <c r="B196" s="7"/>
      <c r="C196" s="170"/>
      <c r="D196" s="331">
        <v>189</v>
      </c>
      <c r="E196" s="544">
        <f>+DATE(YEAR(E195),MONTH(E195)-1,DAY(E195))</f>
        <v>25569.041666666668</v>
      </c>
      <c r="F196" s="333">
        <f>IF(DATE(YEAR($B$6),MONTH($B$6)+1,DAY(1))=E196,1,IF(MONTH(E196)=1,F197*(1+$F$5),F197))</f>
      </c>
      <c r="G196" s="333">
        <f>IF('Simulador - 1º Pilar'!$E$99="Sí",IF('Aportaciones PPE'!$B$13&lt;'Aportaciones PPE'!E196,0,F196*$B$8/12),F196*$B$8/12)</f>
      </c>
      <c r="H196" s="333">
        <f>$H$5*G196</f>
      </c>
      <c r="I196" s="333">
        <f>$I$5*G196</f>
      </c>
      <c r="J196" s="333">
        <f>+I196</f>
      </c>
      <c r="K196" s="333">
        <f>(1+$O$5)^(D196/12)*(H196+IF(AND(F196=1,F197=0),$S$4,0))</f>
      </c>
      <c r="L196" s="333">
        <f>(1+$O$5)^(D196/12)*(I196+IF(AND(F196=1,F197=0),0))</f>
      </c>
      <c r="M196" s="333">
        <f>+L196</f>
      </c>
      <c r="N196" s="333">
        <f>L196+K196+M196</f>
      </c>
      <c r="O196" s="170"/>
      <c r="P196" s="7"/>
      <c r="Q196" s="1"/>
      <c r="R196" s="331">
        <f>D196</f>
      </c>
      <c r="S196" s="169"/>
      <c r="T196" s="1"/>
      <c r="U196" s="217"/>
      <c r="V196" s="331">
        <f>+IF(V195=11,12,IF(V195=12,1,V195+1))</f>
      </c>
      <c r="W196" s="331">
        <f>+W195+IF(V195=12,1,0)</f>
      </c>
      <c r="X196" s="555">
        <f>+DATE(W196,V196,1)</f>
        <v>25569.041666666668</v>
      </c>
      <c r="Y196" s="333">
        <f>+_xlfn.IFNA(AN196+AS196+AX196,0)</f>
      </c>
      <c r="Z196" s="333">
        <f>+_xlfn.IFNA(AO196+AT196+AY196,0)</f>
      </c>
      <c r="AA196" s="333">
        <f>Y196*(1+$O$5)^(($B$7-X196)/365.25)</f>
      </c>
      <c r="AB196" s="333">
        <f>Z196*(1+$O$5)^(($B$7-X196)/365.25)</f>
      </c>
      <c r="AC196" s="1"/>
      <c r="AD196" s="1"/>
      <c r="AE196" s="1"/>
      <c r="AF196" s="111">
        <f>+MONTH(E196)&amp;YEAR(E196)</f>
      </c>
      <c r="AG196" s="217">
        <f>+I196</f>
      </c>
      <c r="AH196" s="217">
        <f>+J196</f>
      </c>
      <c r="AI196" s="217">
        <f>+H196</f>
      </c>
      <c r="AJ196" s="111">
        <f>+V196&amp;W196</f>
      </c>
      <c r="AK196" s="217">
        <f>+_xlfn.IFNA(VLOOKUP(AJ196,$AF$7:$AG$1066,2,0),0)</f>
      </c>
      <c r="AL196" s="217">
        <f>+IF(W196&gt;W195,AK196,AL195+AK196)</f>
      </c>
      <c r="AM196" s="217">
        <f>IF(W196&gt;W195,IF(AL196&gt;=$AZ$8,$AZ$8,AL196),IF(OR(AM195=$AZ$8,AM195=0),0,IF(AL196&gt;=$AZ$8,$AZ$8,AL196)))</f>
      </c>
      <c r="AN196" s="748">
        <f>+IF(OR(AM196&gt;AZ195,AM196=0),0,IF(AM196=AL196,AK196,$AZ$7-AL195))</f>
      </c>
      <c r="AO196" s="748">
        <f>+AK196-AN196</f>
      </c>
      <c r="AP196" s="217">
        <f>+_xlfn.IFNA(VLOOKUP(AJ196,$AF$7:$AI$1066,3,0),0)</f>
      </c>
      <c r="AQ196" s="217">
        <f>+IF(W196&gt;W195,AP196,AQ195+AP196)</f>
      </c>
      <c r="AR196" s="217">
        <f>+MAX($AM$2-SUMIF($W$7:$W$1066,W196,$AN$7:$AN$1066),0)</f>
      </c>
      <c r="AS196" s="748">
        <f>+MAX(IF(AQ196&gt;AR196,AR196-AQ195,AP196),0)</f>
      </c>
      <c r="AT196" s="748">
        <f>+AP196-AS196</f>
      </c>
      <c r="AU196" s="217">
        <f>+_xlfn.IFNA(VLOOKUP(AJ196,$AF$7:$AI$1066,4,0),0)</f>
      </c>
      <c r="AV196" s="217">
        <f>+IF(W196&gt;W195,AU196,AV195+AU196)</f>
      </c>
      <c r="AW196" s="217">
        <f>+MAX($AM$2-SUMIF($W$7:$W$1066,W196,$AN$7:$AN$1066)-SUMIF($W$7:$W$1066,W196,$AS$7:$AS$1066),0)</f>
      </c>
      <c r="AX196" s="748">
        <f>+MAX(IF(AV196&gt;AW196,AW196-AV195,AU196),0)</f>
      </c>
      <c r="AY196" s="748">
        <f>+AU196-AX196</f>
      </c>
      <c r="AZ196" s="331">
        <f>+$AM$1+IF($AP$1&gt;$AP$2,$AM$3/2)</f>
      </c>
    </row>
    <row x14ac:dyDescent="0.25" r="197" customHeight="1" ht="18.75">
      <c r="A197" s="1"/>
      <c r="B197" s="7"/>
      <c r="C197" s="170"/>
      <c r="D197" s="331">
        <v>190</v>
      </c>
      <c r="E197" s="544">
        <f>+DATE(YEAR(E196),MONTH(E196)-1,DAY(E196))</f>
        <v>25569.041666666668</v>
      </c>
      <c r="F197" s="333">
        <f>IF(DATE(YEAR($B$6),MONTH($B$6)+1,DAY(1))=E197,1,IF(MONTH(E197)=1,F198*(1+$F$5),F198))</f>
      </c>
      <c r="G197" s="333">
        <f>IF('Simulador - 1º Pilar'!$E$99="Sí",IF('Aportaciones PPE'!$B$13&lt;'Aportaciones PPE'!E197,0,F197*$B$8/12),F197*$B$8/12)</f>
      </c>
      <c r="H197" s="333">
        <f>$H$5*G197</f>
      </c>
      <c r="I197" s="333">
        <f>$I$5*G197</f>
      </c>
      <c r="J197" s="333">
        <f>+I197</f>
      </c>
      <c r="K197" s="333">
        <f>(1+$O$5)^(D197/12)*(H197+IF(AND(F197=1,F198=0),$S$4,0))</f>
      </c>
      <c r="L197" s="333">
        <f>(1+$O$5)^(D197/12)*(I197+IF(AND(F197=1,F198=0),0))</f>
      </c>
      <c r="M197" s="333">
        <f>+L197</f>
      </c>
      <c r="N197" s="333">
        <f>L197+K197+M197</f>
      </c>
      <c r="O197" s="170"/>
      <c r="P197" s="7"/>
      <c r="Q197" s="1"/>
      <c r="R197" s="331">
        <f>D197</f>
      </c>
      <c r="S197" s="169"/>
      <c r="T197" s="1"/>
      <c r="U197" s="217"/>
      <c r="V197" s="331">
        <f>+IF(V196=11,12,IF(V196=12,1,V196+1))</f>
      </c>
      <c r="W197" s="331">
        <f>+W196+IF(V196=12,1,0)</f>
      </c>
      <c r="X197" s="555">
        <f>+DATE(W197,V197,1)</f>
        <v>25569.041666666668</v>
      </c>
      <c r="Y197" s="333">
        <f>+_xlfn.IFNA(AN197+AS197+AX197,0)</f>
      </c>
      <c r="Z197" s="333">
        <f>+_xlfn.IFNA(AO197+AT197+AY197,0)</f>
      </c>
      <c r="AA197" s="333">
        <f>Y197*(1+$O$5)^(($B$7-X197)/365.25)</f>
      </c>
      <c r="AB197" s="333">
        <f>Z197*(1+$O$5)^(($B$7-X197)/365.25)</f>
      </c>
      <c r="AC197" s="1"/>
      <c r="AD197" s="1"/>
      <c r="AE197" s="1"/>
      <c r="AF197" s="111">
        <f>+MONTH(E197)&amp;YEAR(E197)</f>
      </c>
      <c r="AG197" s="217">
        <f>+I197</f>
      </c>
      <c r="AH197" s="217">
        <f>+J197</f>
      </c>
      <c r="AI197" s="217">
        <f>+H197</f>
      </c>
      <c r="AJ197" s="111">
        <f>+V197&amp;W197</f>
      </c>
      <c r="AK197" s="217">
        <f>+_xlfn.IFNA(VLOOKUP(AJ197,$AF$7:$AG$1066,2,0),0)</f>
      </c>
      <c r="AL197" s="217">
        <f>+IF(W197&gt;W196,AK197,AL196+AK197)</f>
      </c>
      <c r="AM197" s="217">
        <f>IF(W197&gt;W196,IF(AL197&gt;=$AZ$8,$AZ$8,AL197),IF(OR(AM196=$AZ$8,AM196=0),0,IF(AL197&gt;=$AZ$8,$AZ$8,AL197)))</f>
      </c>
      <c r="AN197" s="748">
        <f>+IF(OR(AM197&gt;AZ196,AM197=0),0,IF(AM197=AL197,AK197,$AZ$7-AL196))</f>
      </c>
      <c r="AO197" s="748">
        <f>+AK197-AN197</f>
      </c>
      <c r="AP197" s="217">
        <f>+_xlfn.IFNA(VLOOKUP(AJ197,$AF$7:$AI$1066,3,0),0)</f>
      </c>
      <c r="AQ197" s="217">
        <f>+IF(W197&gt;W196,AP197,AQ196+AP197)</f>
      </c>
      <c r="AR197" s="217">
        <f>+MAX($AM$2-SUMIF($W$7:$W$1066,W197,$AN$7:$AN$1066),0)</f>
      </c>
      <c r="AS197" s="748">
        <f>+MAX(IF(AQ197&gt;AR197,AR197-AQ196,AP197),0)</f>
      </c>
      <c r="AT197" s="748">
        <f>+AP197-AS197</f>
      </c>
      <c r="AU197" s="217">
        <f>+_xlfn.IFNA(VLOOKUP(AJ197,$AF$7:$AI$1066,4,0),0)</f>
      </c>
      <c r="AV197" s="217">
        <f>+IF(W197&gt;W196,AU197,AV196+AU197)</f>
      </c>
      <c r="AW197" s="217">
        <f>+MAX($AM$2-SUMIF($W$7:$W$1066,W197,$AN$7:$AN$1066)-SUMIF($W$7:$W$1066,W197,$AS$7:$AS$1066),0)</f>
      </c>
      <c r="AX197" s="748">
        <f>+MAX(IF(AV197&gt;AW197,AW197-AV196,AU197),0)</f>
      </c>
      <c r="AY197" s="748">
        <f>+AU197-AX197</f>
      </c>
      <c r="AZ197" s="331">
        <f>+$AM$1+IF($AP$1&gt;$AP$2,$AM$3/2)</f>
      </c>
    </row>
    <row x14ac:dyDescent="0.25" r="198" customHeight="1" ht="18.75">
      <c r="A198" s="1"/>
      <c r="B198" s="7"/>
      <c r="C198" s="170"/>
      <c r="D198" s="331">
        <v>191</v>
      </c>
      <c r="E198" s="544">
        <f>+DATE(YEAR(E197),MONTH(E197)-1,DAY(E197))</f>
        <v>25569.041666666668</v>
      </c>
      <c r="F198" s="333">
        <f>IF(DATE(YEAR($B$6),MONTH($B$6)+1,DAY(1))=E198,1,IF(MONTH(E198)=1,F199*(1+$F$5),F199))</f>
      </c>
      <c r="G198" s="333">
        <f>IF('Simulador - 1º Pilar'!$E$99="Sí",IF('Aportaciones PPE'!$B$13&lt;'Aportaciones PPE'!E198,0,F198*$B$8/12),F198*$B$8/12)</f>
      </c>
      <c r="H198" s="333">
        <f>$H$5*G198</f>
      </c>
      <c r="I198" s="333">
        <f>$I$5*G198</f>
      </c>
      <c r="J198" s="333">
        <f>+I198</f>
      </c>
      <c r="K198" s="333">
        <f>(1+$O$5)^(D198/12)*(H198+IF(AND(F198=1,F199=0),$S$4,0))</f>
      </c>
      <c r="L198" s="333">
        <f>(1+$O$5)^(D198/12)*(I198+IF(AND(F198=1,F199=0),0))</f>
      </c>
      <c r="M198" s="333">
        <f>+L198</f>
      </c>
      <c r="N198" s="333">
        <f>L198+K198+M198</f>
      </c>
      <c r="O198" s="170"/>
      <c r="P198" s="7"/>
      <c r="Q198" s="1"/>
      <c r="R198" s="331">
        <f>D198</f>
      </c>
      <c r="S198" s="169"/>
      <c r="T198" s="1"/>
      <c r="U198" s="217"/>
      <c r="V198" s="331">
        <f>+IF(V197=11,12,IF(V197=12,1,V197+1))</f>
      </c>
      <c r="W198" s="331">
        <f>+W197+IF(V197=12,1,0)</f>
      </c>
      <c r="X198" s="555">
        <f>+DATE(W198,V198,1)</f>
        <v>25569.041666666668</v>
      </c>
      <c r="Y198" s="333">
        <f>+_xlfn.IFNA(AN198+AS198+AX198,0)</f>
      </c>
      <c r="Z198" s="333">
        <f>+_xlfn.IFNA(AO198+AT198+AY198,0)</f>
      </c>
      <c r="AA198" s="333">
        <f>Y198*(1+$O$5)^(($B$7-X198)/365.25)</f>
      </c>
      <c r="AB198" s="333">
        <f>Z198*(1+$O$5)^(($B$7-X198)/365.25)</f>
      </c>
      <c r="AC198" s="1"/>
      <c r="AD198" s="1"/>
      <c r="AE198" s="1"/>
      <c r="AF198" s="111">
        <f>+MONTH(E198)&amp;YEAR(E198)</f>
      </c>
      <c r="AG198" s="217">
        <f>+I198</f>
      </c>
      <c r="AH198" s="217">
        <f>+J198</f>
      </c>
      <c r="AI198" s="217">
        <f>+H198</f>
      </c>
      <c r="AJ198" s="111">
        <f>+V198&amp;W198</f>
      </c>
      <c r="AK198" s="217">
        <f>+_xlfn.IFNA(VLOOKUP(AJ198,$AF$7:$AG$1066,2,0),0)</f>
      </c>
      <c r="AL198" s="217">
        <f>+IF(W198&gt;W197,AK198,AL197+AK198)</f>
      </c>
      <c r="AM198" s="217">
        <f>IF(W198&gt;W197,IF(AL198&gt;=$AZ$8,$AZ$8,AL198),IF(OR(AM197=$AZ$8,AM197=0),0,IF(AL198&gt;=$AZ$8,$AZ$8,AL198)))</f>
      </c>
      <c r="AN198" s="748">
        <f>+IF(OR(AM198&gt;AZ197,AM198=0),0,IF(AM198=AL198,AK198,$AZ$7-AL197))</f>
      </c>
      <c r="AO198" s="748">
        <f>+AK198-AN198</f>
      </c>
      <c r="AP198" s="217">
        <f>+_xlfn.IFNA(VLOOKUP(AJ198,$AF$7:$AI$1066,3,0),0)</f>
      </c>
      <c r="AQ198" s="217">
        <f>+IF(W198&gt;W197,AP198,AQ197+AP198)</f>
      </c>
      <c r="AR198" s="217">
        <f>+MAX($AM$2-SUMIF($W$7:$W$1066,W198,$AN$7:$AN$1066),0)</f>
      </c>
      <c r="AS198" s="748">
        <f>+MAX(IF(AQ198&gt;AR198,AR198-AQ197,AP198),0)</f>
      </c>
      <c r="AT198" s="748">
        <f>+AP198-AS198</f>
      </c>
      <c r="AU198" s="217">
        <f>+_xlfn.IFNA(VLOOKUP(AJ198,$AF$7:$AI$1066,4,0),0)</f>
      </c>
      <c r="AV198" s="217">
        <f>+IF(W198&gt;W197,AU198,AV197+AU198)</f>
      </c>
      <c r="AW198" s="217">
        <f>+MAX($AM$2-SUMIF($W$7:$W$1066,W198,$AN$7:$AN$1066)-SUMIF($W$7:$W$1066,W198,$AS$7:$AS$1066),0)</f>
      </c>
      <c r="AX198" s="748">
        <f>+MAX(IF(AV198&gt;AW198,AW198-AV197,AU198),0)</f>
      </c>
      <c r="AY198" s="748">
        <f>+AU198-AX198</f>
      </c>
      <c r="AZ198" s="331">
        <f>+$AM$1+IF($AP$1&gt;$AP$2,$AM$3/2)</f>
      </c>
    </row>
    <row x14ac:dyDescent="0.25" r="199" customHeight="1" ht="18.75">
      <c r="A199" s="1"/>
      <c r="B199" s="7"/>
      <c r="C199" s="170"/>
      <c r="D199" s="331">
        <v>192</v>
      </c>
      <c r="E199" s="544">
        <f>+DATE(YEAR(E198),MONTH(E198)-1,DAY(E198))</f>
        <v>25569.041666666668</v>
      </c>
      <c r="F199" s="333">
        <f>IF(DATE(YEAR($B$6),MONTH($B$6)+1,DAY(1))=E199,1,IF(MONTH(E199)=1,F200*(1+$F$5),F200))</f>
      </c>
      <c r="G199" s="333">
        <f>IF('Simulador - 1º Pilar'!$E$99="Sí",IF('Aportaciones PPE'!$B$13&lt;'Aportaciones PPE'!E199,0,F199*$B$8/12),F199*$B$8/12)</f>
      </c>
      <c r="H199" s="333">
        <f>$H$5*G199</f>
      </c>
      <c r="I199" s="333">
        <f>$I$5*G199</f>
      </c>
      <c r="J199" s="333">
        <f>+I199</f>
      </c>
      <c r="K199" s="333">
        <f>(1+$O$5)^(D199/12)*(H199+IF(AND(F199=1,F200=0),$S$4,0))</f>
      </c>
      <c r="L199" s="333">
        <f>(1+$O$5)^(D199/12)*(I199+IF(AND(F199=1,F200=0),0))</f>
      </c>
      <c r="M199" s="333">
        <f>+L199</f>
      </c>
      <c r="N199" s="333">
        <f>L199+K199+M199</f>
      </c>
      <c r="O199" s="170"/>
      <c r="P199" s="7"/>
      <c r="Q199" s="1"/>
      <c r="R199" s="331">
        <f>D199</f>
      </c>
      <c r="S199" s="169"/>
      <c r="T199" s="1"/>
      <c r="U199" s="217"/>
      <c r="V199" s="331">
        <f>+IF(V198=11,12,IF(V198=12,1,V198+1))</f>
      </c>
      <c r="W199" s="331">
        <f>+W198+IF(V198=12,1,0)</f>
      </c>
      <c r="X199" s="555">
        <f>+DATE(W199,V199,1)</f>
        <v>25569.041666666668</v>
      </c>
      <c r="Y199" s="333">
        <f>+_xlfn.IFNA(AN199+AS199+AX199,0)</f>
      </c>
      <c r="Z199" s="333">
        <f>+_xlfn.IFNA(AO199+AT199+AY199,0)</f>
      </c>
      <c r="AA199" s="333">
        <f>Y199*(1+$O$5)^(($B$7-X199)/365.25)</f>
      </c>
      <c r="AB199" s="333">
        <f>Z199*(1+$O$5)^(($B$7-X199)/365.25)</f>
      </c>
      <c r="AC199" s="1"/>
      <c r="AD199" s="1"/>
      <c r="AE199" s="1"/>
      <c r="AF199" s="111">
        <f>+MONTH(E199)&amp;YEAR(E199)</f>
      </c>
      <c r="AG199" s="217">
        <f>+I199</f>
      </c>
      <c r="AH199" s="217">
        <f>+J199</f>
      </c>
      <c r="AI199" s="217">
        <f>+H199</f>
      </c>
      <c r="AJ199" s="111">
        <f>+V199&amp;W199</f>
      </c>
      <c r="AK199" s="217">
        <f>+_xlfn.IFNA(VLOOKUP(AJ199,$AF$7:$AG$1066,2,0),0)</f>
      </c>
      <c r="AL199" s="217">
        <f>+IF(W199&gt;W198,AK199,AL198+AK199)</f>
      </c>
      <c r="AM199" s="217">
        <f>IF(W199&gt;W198,IF(AL199&gt;=$AZ$8,$AZ$8,AL199),IF(OR(AM198=$AZ$8,AM198=0),0,IF(AL199&gt;=$AZ$8,$AZ$8,AL199)))</f>
      </c>
      <c r="AN199" s="748">
        <f>+IF(OR(AM199&gt;AZ198,AM199=0),0,IF(AM199=AL199,AK199,$AZ$7-AL198))</f>
      </c>
      <c r="AO199" s="748">
        <f>+AK199-AN199</f>
      </c>
      <c r="AP199" s="217">
        <f>+_xlfn.IFNA(VLOOKUP(AJ199,$AF$7:$AI$1066,3,0),0)</f>
      </c>
      <c r="AQ199" s="217">
        <f>+IF(W199&gt;W198,AP199,AQ198+AP199)</f>
      </c>
      <c r="AR199" s="217">
        <f>+MAX($AM$2-SUMIF($W$7:$W$1066,W199,$AN$7:$AN$1066),0)</f>
      </c>
      <c r="AS199" s="748">
        <f>+MAX(IF(AQ199&gt;AR199,AR199-AQ198,AP199),0)</f>
      </c>
      <c r="AT199" s="748">
        <f>+AP199-AS199</f>
      </c>
      <c r="AU199" s="217">
        <f>+_xlfn.IFNA(VLOOKUP(AJ199,$AF$7:$AI$1066,4,0),0)</f>
      </c>
      <c r="AV199" s="217">
        <f>+IF(W199&gt;W198,AU199,AV198+AU199)</f>
      </c>
      <c r="AW199" s="217">
        <f>+MAX($AM$2-SUMIF($W$7:$W$1066,W199,$AN$7:$AN$1066)-SUMIF($W$7:$W$1066,W199,$AS$7:$AS$1066),0)</f>
      </c>
      <c r="AX199" s="748">
        <f>+MAX(IF(AV199&gt;AW199,AW199-AV198,AU199),0)</f>
      </c>
      <c r="AY199" s="748">
        <f>+AU199-AX199</f>
      </c>
      <c r="AZ199" s="331">
        <f>+$AM$1+IF($AP$1&gt;$AP$2,$AM$3/2)</f>
      </c>
    </row>
    <row x14ac:dyDescent="0.25" r="200" customHeight="1" ht="18.75">
      <c r="A200" s="1"/>
      <c r="B200" s="7"/>
      <c r="C200" s="170"/>
      <c r="D200" s="331">
        <v>193</v>
      </c>
      <c r="E200" s="544">
        <f>+DATE(YEAR(E199),MONTH(E199)-1,DAY(E199))</f>
        <v>25569.041666666668</v>
      </c>
      <c r="F200" s="333">
        <f>IF(DATE(YEAR($B$6),MONTH($B$6)+1,DAY(1))=E200,1,IF(MONTH(E200)=1,F201*(1+$F$5),F201))</f>
      </c>
      <c r="G200" s="333">
        <f>IF('Simulador - 1º Pilar'!$E$99="Sí",IF('Aportaciones PPE'!$B$13&lt;'Aportaciones PPE'!E200,0,F200*$B$8/12),F200*$B$8/12)</f>
      </c>
      <c r="H200" s="333">
        <f>$H$5*G200</f>
      </c>
      <c r="I200" s="333">
        <f>$I$5*G200</f>
      </c>
      <c r="J200" s="333">
        <f>+I200</f>
      </c>
      <c r="K200" s="333">
        <f>(1+$O$5)^(D200/12)*(H200+IF(AND(F200=1,F201=0),$S$4,0))</f>
      </c>
      <c r="L200" s="333">
        <f>(1+$O$5)^(D200/12)*(I200+IF(AND(F200=1,F201=0),0))</f>
      </c>
      <c r="M200" s="333">
        <f>+L200</f>
      </c>
      <c r="N200" s="333">
        <f>L200+K200+M200</f>
      </c>
      <c r="O200" s="170"/>
      <c r="P200" s="7"/>
      <c r="Q200" s="1"/>
      <c r="R200" s="331">
        <f>D200</f>
      </c>
      <c r="S200" s="169"/>
      <c r="T200" s="1"/>
      <c r="U200" s="217"/>
      <c r="V200" s="331">
        <f>+IF(V199=11,12,IF(V199=12,1,V199+1))</f>
      </c>
      <c r="W200" s="331">
        <f>+W199+IF(V199=12,1,0)</f>
      </c>
      <c r="X200" s="555">
        <f>+DATE(W200,V200,1)</f>
        <v>25569.041666666668</v>
      </c>
      <c r="Y200" s="333">
        <f>+_xlfn.IFNA(AN200+AS200+AX200,0)</f>
      </c>
      <c r="Z200" s="333">
        <f>+_xlfn.IFNA(AO200+AT200+AY200,0)</f>
      </c>
      <c r="AA200" s="333">
        <f>Y200*(1+$O$5)^(($B$7-X200)/365.25)</f>
      </c>
      <c r="AB200" s="333">
        <f>Z200*(1+$O$5)^(($B$7-X200)/365.25)</f>
      </c>
      <c r="AC200" s="1"/>
      <c r="AD200" s="1"/>
      <c r="AE200" s="1"/>
      <c r="AF200" s="111">
        <f>+MONTH(E200)&amp;YEAR(E200)</f>
      </c>
      <c r="AG200" s="217">
        <f>+I200</f>
      </c>
      <c r="AH200" s="217">
        <f>+J200</f>
      </c>
      <c r="AI200" s="217">
        <f>+H200</f>
      </c>
      <c r="AJ200" s="111">
        <f>+V200&amp;W200</f>
      </c>
      <c r="AK200" s="217">
        <f>+_xlfn.IFNA(VLOOKUP(AJ200,$AF$7:$AG$1066,2,0),0)</f>
      </c>
      <c r="AL200" s="217">
        <f>+IF(W200&gt;W199,AK200,AL199+AK200)</f>
      </c>
      <c r="AM200" s="217">
        <f>IF(W200&gt;W199,IF(AL200&gt;=$AZ$8,$AZ$8,AL200),IF(OR(AM199=$AZ$8,AM199=0),0,IF(AL200&gt;=$AZ$8,$AZ$8,AL200)))</f>
      </c>
      <c r="AN200" s="748">
        <f>+IF(OR(AM200&gt;AZ199,AM200=0),0,IF(AM200=AL200,AK200,$AZ$7-AL199))</f>
      </c>
      <c r="AO200" s="748">
        <f>+AK200-AN200</f>
      </c>
      <c r="AP200" s="217">
        <f>+_xlfn.IFNA(VLOOKUP(AJ200,$AF$7:$AI$1066,3,0),0)</f>
      </c>
      <c r="AQ200" s="217">
        <f>+IF(W200&gt;W199,AP200,AQ199+AP200)</f>
      </c>
      <c r="AR200" s="217">
        <f>+MAX($AM$2-SUMIF($W$7:$W$1066,W200,$AN$7:$AN$1066),0)</f>
      </c>
      <c r="AS200" s="748">
        <f>+MAX(IF(AQ200&gt;AR200,AR200-AQ199,AP200),0)</f>
      </c>
      <c r="AT200" s="748">
        <f>+AP200-AS200</f>
      </c>
      <c r="AU200" s="217">
        <f>+_xlfn.IFNA(VLOOKUP(AJ200,$AF$7:$AI$1066,4,0),0)</f>
      </c>
      <c r="AV200" s="217">
        <f>+IF(W200&gt;W199,AU200,AV199+AU200)</f>
      </c>
      <c r="AW200" s="217">
        <f>+MAX($AM$2-SUMIF($W$7:$W$1066,W200,$AN$7:$AN$1066)-SUMIF($W$7:$W$1066,W200,$AS$7:$AS$1066),0)</f>
      </c>
      <c r="AX200" s="748">
        <f>+MAX(IF(AV200&gt;AW200,AW200-AV199,AU200),0)</f>
      </c>
      <c r="AY200" s="748">
        <f>+AU200-AX200</f>
      </c>
      <c r="AZ200" s="331">
        <f>+$AM$1+IF($AP$1&gt;$AP$2,$AM$3/2)</f>
      </c>
    </row>
    <row x14ac:dyDescent="0.25" r="201" customHeight="1" ht="18.75">
      <c r="A201" s="1"/>
      <c r="B201" s="7"/>
      <c r="C201" s="170"/>
      <c r="D201" s="331">
        <v>194</v>
      </c>
      <c r="E201" s="544">
        <f>+DATE(YEAR(E200),MONTH(E200)-1,DAY(E200))</f>
        <v>25569.041666666668</v>
      </c>
      <c r="F201" s="333">
        <f>IF(DATE(YEAR($B$6),MONTH($B$6)+1,DAY(1))=E201,1,IF(MONTH(E201)=1,F202*(1+$F$5),F202))</f>
      </c>
      <c r="G201" s="333">
        <f>IF('Simulador - 1º Pilar'!$E$99="Sí",IF('Aportaciones PPE'!$B$13&lt;'Aportaciones PPE'!E201,0,F201*$B$8/12),F201*$B$8/12)</f>
      </c>
      <c r="H201" s="333">
        <f>$H$5*G201</f>
      </c>
      <c r="I201" s="333">
        <f>$I$5*G201</f>
      </c>
      <c r="J201" s="333">
        <f>+I201</f>
      </c>
      <c r="K201" s="333">
        <f>(1+$O$5)^(D201/12)*(H201+IF(AND(F201=1,F202=0),$S$4,0))</f>
      </c>
      <c r="L201" s="333">
        <f>(1+$O$5)^(D201/12)*(I201+IF(AND(F201=1,F202=0),0))</f>
      </c>
      <c r="M201" s="333">
        <f>+L201</f>
      </c>
      <c r="N201" s="333">
        <f>L201+K201+M201</f>
      </c>
      <c r="O201" s="170"/>
      <c r="P201" s="7"/>
      <c r="Q201" s="1"/>
      <c r="R201" s="331">
        <f>D201</f>
      </c>
      <c r="S201" s="169"/>
      <c r="T201" s="1"/>
      <c r="U201" s="217"/>
      <c r="V201" s="331">
        <f>+IF(V200=11,12,IF(V200=12,1,V200+1))</f>
      </c>
      <c r="W201" s="331">
        <f>+W200+IF(V200=12,1,0)</f>
      </c>
      <c r="X201" s="555">
        <f>+DATE(W201,V201,1)</f>
        <v>25569.041666666668</v>
      </c>
      <c r="Y201" s="333">
        <f>+_xlfn.IFNA(AN201+AS201+AX201,0)</f>
      </c>
      <c r="Z201" s="333">
        <f>+_xlfn.IFNA(AO201+AT201+AY201,0)</f>
      </c>
      <c r="AA201" s="333">
        <f>Y201*(1+$O$5)^(($B$7-X201)/365.25)</f>
      </c>
      <c r="AB201" s="333">
        <f>Z201*(1+$O$5)^(($B$7-X201)/365.25)</f>
      </c>
      <c r="AC201" s="1"/>
      <c r="AD201" s="1"/>
      <c r="AE201" s="1"/>
      <c r="AF201" s="111">
        <f>+MONTH(E201)&amp;YEAR(E201)</f>
      </c>
      <c r="AG201" s="217">
        <f>+I201</f>
      </c>
      <c r="AH201" s="217">
        <f>+J201</f>
      </c>
      <c r="AI201" s="217">
        <f>+H201</f>
      </c>
      <c r="AJ201" s="111">
        <f>+V201&amp;W201</f>
      </c>
      <c r="AK201" s="217">
        <f>+_xlfn.IFNA(VLOOKUP(AJ201,$AF$7:$AG$1066,2,0),0)</f>
      </c>
      <c r="AL201" s="217">
        <f>+IF(W201&gt;W200,AK201,AL200+AK201)</f>
      </c>
      <c r="AM201" s="217">
        <f>IF(W201&gt;W200,IF(AL201&gt;=$AZ$8,$AZ$8,AL201),IF(OR(AM200=$AZ$8,AM200=0),0,IF(AL201&gt;=$AZ$8,$AZ$8,AL201)))</f>
      </c>
      <c r="AN201" s="748">
        <f>+IF(OR(AM201&gt;AZ200,AM201=0),0,IF(AM201=AL201,AK201,$AZ$7-AL200))</f>
      </c>
      <c r="AO201" s="748">
        <f>+AK201-AN201</f>
      </c>
      <c r="AP201" s="217">
        <f>+_xlfn.IFNA(VLOOKUP(AJ201,$AF$7:$AI$1066,3,0),0)</f>
      </c>
      <c r="AQ201" s="217">
        <f>+IF(W201&gt;W200,AP201,AQ200+AP201)</f>
      </c>
      <c r="AR201" s="217">
        <f>+MAX($AM$2-SUMIF($W$7:$W$1066,W201,$AN$7:$AN$1066),0)</f>
      </c>
      <c r="AS201" s="748">
        <f>+MAX(IF(AQ201&gt;AR201,AR201-AQ200,AP201),0)</f>
      </c>
      <c r="AT201" s="748">
        <f>+AP201-AS201</f>
      </c>
      <c r="AU201" s="217">
        <f>+_xlfn.IFNA(VLOOKUP(AJ201,$AF$7:$AI$1066,4,0),0)</f>
      </c>
      <c r="AV201" s="217">
        <f>+IF(W201&gt;W200,AU201,AV200+AU201)</f>
      </c>
      <c r="AW201" s="217">
        <f>+MAX($AM$2-SUMIF($W$7:$W$1066,W201,$AN$7:$AN$1066)-SUMIF($W$7:$W$1066,W201,$AS$7:$AS$1066),0)</f>
      </c>
      <c r="AX201" s="748">
        <f>+MAX(IF(AV201&gt;AW201,AW201-AV200,AU201),0)</f>
      </c>
      <c r="AY201" s="748">
        <f>+AU201-AX201</f>
      </c>
      <c r="AZ201" s="331">
        <f>+$AM$1+IF($AP$1&gt;$AP$2,$AM$3/2)</f>
      </c>
    </row>
    <row x14ac:dyDescent="0.25" r="202" customHeight="1" ht="18.75">
      <c r="A202" s="1"/>
      <c r="B202" s="7"/>
      <c r="C202" s="170"/>
      <c r="D202" s="331">
        <v>195</v>
      </c>
      <c r="E202" s="544">
        <f>+DATE(YEAR(E201),MONTH(E201)-1,DAY(E201))</f>
        <v>25569.041666666668</v>
      </c>
      <c r="F202" s="333">
        <f>IF(DATE(YEAR($B$6),MONTH($B$6)+1,DAY(1))=E202,1,IF(MONTH(E202)=1,F203*(1+$F$5),F203))</f>
      </c>
      <c r="G202" s="333">
        <f>IF('Simulador - 1º Pilar'!$E$99="Sí",IF('Aportaciones PPE'!$B$13&lt;'Aportaciones PPE'!E202,0,F202*$B$8/12),F202*$B$8/12)</f>
      </c>
      <c r="H202" s="333">
        <f>$H$5*G202</f>
      </c>
      <c r="I202" s="333">
        <f>$I$5*G202</f>
      </c>
      <c r="J202" s="333">
        <f>+I202</f>
      </c>
      <c r="K202" s="333">
        <f>(1+$O$5)^(D202/12)*(H202+IF(AND(F202=1,F203=0),$S$4,0))</f>
      </c>
      <c r="L202" s="333">
        <f>(1+$O$5)^(D202/12)*(I202+IF(AND(F202=1,F203=0),0))</f>
      </c>
      <c r="M202" s="333">
        <f>+L202</f>
      </c>
      <c r="N202" s="333">
        <f>L202+K202+M202</f>
      </c>
      <c r="O202" s="170"/>
      <c r="P202" s="7"/>
      <c r="Q202" s="1"/>
      <c r="R202" s="331">
        <f>D202</f>
      </c>
      <c r="S202" s="169"/>
      <c r="T202" s="1"/>
      <c r="U202" s="217"/>
      <c r="V202" s="331">
        <f>+IF(V201=11,12,IF(V201=12,1,V201+1))</f>
      </c>
      <c r="W202" s="331">
        <f>+W201+IF(V201=12,1,0)</f>
      </c>
      <c r="X202" s="555">
        <f>+DATE(W202,V202,1)</f>
        <v>25569.041666666668</v>
      </c>
      <c r="Y202" s="333">
        <f>+_xlfn.IFNA(AN202+AS202+AX202,0)</f>
      </c>
      <c r="Z202" s="333">
        <f>+_xlfn.IFNA(AO202+AT202+AY202,0)</f>
      </c>
      <c r="AA202" s="333">
        <f>Y202*(1+$O$5)^(($B$7-X202)/365.25)</f>
      </c>
      <c r="AB202" s="333">
        <f>Z202*(1+$O$5)^(($B$7-X202)/365.25)</f>
      </c>
      <c r="AC202" s="1"/>
      <c r="AD202" s="1"/>
      <c r="AE202" s="1"/>
      <c r="AF202" s="111">
        <f>+MONTH(E202)&amp;YEAR(E202)</f>
      </c>
      <c r="AG202" s="217">
        <f>+I202</f>
      </c>
      <c r="AH202" s="217">
        <f>+J202</f>
      </c>
      <c r="AI202" s="217">
        <f>+H202</f>
      </c>
      <c r="AJ202" s="111">
        <f>+V202&amp;W202</f>
      </c>
      <c r="AK202" s="217">
        <f>+_xlfn.IFNA(VLOOKUP(AJ202,$AF$7:$AG$1066,2,0),0)</f>
      </c>
      <c r="AL202" s="217">
        <f>+IF(W202&gt;W201,AK202,AL201+AK202)</f>
      </c>
      <c r="AM202" s="217">
        <f>IF(W202&gt;W201,IF(AL202&gt;=$AZ$8,$AZ$8,AL202),IF(OR(AM201=$AZ$8,AM201=0),0,IF(AL202&gt;=$AZ$8,$AZ$8,AL202)))</f>
      </c>
      <c r="AN202" s="748">
        <f>+IF(OR(AM202&gt;AZ201,AM202=0),0,IF(AM202=AL202,AK202,$AZ$7-AL201))</f>
      </c>
      <c r="AO202" s="748">
        <f>+AK202-AN202</f>
      </c>
      <c r="AP202" s="217">
        <f>+_xlfn.IFNA(VLOOKUP(AJ202,$AF$7:$AI$1066,3,0),0)</f>
      </c>
      <c r="AQ202" s="217">
        <f>+IF(W202&gt;W201,AP202,AQ201+AP202)</f>
      </c>
      <c r="AR202" s="217">
        <f>+MAX($AM$2-SUMIF($W$7:$W$1066,W202,$AN$7:$AN$1066),0)</f>
      </c>
      <c r="AS202" s="748">
        <f>+MAX(IF(AQ202&gt;AR202,AR202-AQ201,AP202),0)</f>
      </c>
      <c r="AT202" s="748">
        <f>+AP202-AS202</f>
      </c>
      <c r="AU202" s="217">
        <f>+_xlfn.IFNA(VLOOKUP(AJ202,$AF$7:$AI$1066,4,0),0)</f>
      </c>
      <c r="AV202" s="217">
        <f>+IF(W202&gt;W201,AU202,AV201+AU202)</f>
      </c>
      <c r="AW202" s="217">
        <f>+MAX($AM$2-SUMIF($W$7:$W$1066,W202,$AN$7:$AN$1066)-SUMIF($W$7:$W$1066,W202,$AS$7:$AS$1066),0)</f>
      </c>
      <c r="AX202" s="748">
        <f>+MAX(IF(AV202&gt;AW202,AW202-AV201,AU202),0)</f>
      </c>
      <c r="AY202" s="748">
        <f>+AU202-AX202</f>
      </c>
      <c r="AZ202" s="331">
        <f>+$AM$1+IF($AP$1&gt;$AP$2,$AM$3/2)</f>
      </c>
    </row>
    <row x14ac:dyDescent="0.25" r="203" customHeight="1" ht="18.75">
      <c r="A203" s="1"/>
      <c r="B203" s="7"/>
      <c r="C203" s="170"/>
      <c r="D203" s="331">
        <v>196</v>
      </c>
      <c r="E203" s="544">
        <f>+DATE(YEAR(E202),MONTH(E202)-1,DAY(E202))</f>
        <v>25569.041666666668</v>
      </c>
      <c r="F203" s="333">
        <f>IF(DATE(YEAR($B$6),MONTH($B$6)+1,DAY(1))=E203,1,IF(MONTH(E203)=1,F204*(1+$F$5),F204))</f>
      </c>
      <c r="G203" s="333">
        <f>IF('Simulador - 1º Pilar'!$E$99="Sí",IF('Aportaciones PPE'!$B$13&lt;'Aportaciones PPE'!E203,0,F203*$B$8/12),F203*$B$8/12)</f>
      </c>
      <c r="H203" s="333">
        <f>$H$5*G203</f>
      </c>
      <c r="I203" s="333">
        <f>$I$5*G203</f>
      </c>
      <c r="J203" s="333">
        <f>+I203</f>
      </c>
      <c r="K203" s="333">
        <f>(1+$O$5)^(D203/12)*(H203+IF(AND(F203=1,F204=0),$S$4,0))</f>
      </c>
      <c r="L203" s="333">
        <f>(1+$O$5)^(D203/12)*(I203+IF(AND(F203=1,F204=0),0))</f>
      </c>
      <c r="M203" s="333">
        <f>+L203</f>
      </c>
      <c r="N203" s="333">
        <f>L203+K203+M203</f>
      </c>
      <c r="O203" s="170"/>
      <c r="P203" s="7"/>
      <c r="Q203" s="1"/>
      <c r="R203" s="331">
        <f>D203</f>
      </c>
      <c r="S203" s="169"/>
      <c r="T203" s="1"/>
      <c r="U203" s="217"/>
      <c r="V203" s="331">
        <f>+IF(V202=11,12,IF(V202=12,1,V202+1))</f>
      </c>
      <c r="W203" s="331">
        <f>+W202+IF(V202=12,1,0)</f>
      </c>
      <c r="X203" s="555">
        <f>+DATE(W203,V203,1)</f>
        <v>25569.041666666668</v>
      </c>
      <c r="Y203" s="333">
        <f>+_xlfn.IFNA(AN203+AS203+AX203,0)</f>
      </c>
      <c r="Z203" s="333">
        <f>+_xlfn.IFNA(AO203+AT203+AY203,0)</f>
      </c>
      <c r="AA203" s="333">
        <f>Y203*(1+$O$5)^(($B$7-X203)/365.25)</f>
      </c>
      <c r="AB203" s="333">
        <f>Z203*(1+$O$5)^(($B$7-X203)/365.25)</f>
      </c>
      <c r="AC203" s="1"/>
      <c r="AD203" s="1"/>
      <c r="AE203" s="1"/>
      <c r="AF203" s="111">
        <f>+MONTH(E203)&amp;YEAR(E203)</f>
      </c>
      <c r="AG203" s="217">
        <f>+I203</f>
      </c>
      <c r="AH203" s="217">
        <f>+J203</f>
      </c>
      <c r="AI203" s="217">
        <f>+H203</f>
      </c>
      <c r="AJ203" s="111">
        <f>+V203&amp;W203</f>
      </c>
      <c r="AK203" s="217">
        <f>+_xlfn.IFNA(VLOOKUP(AJ203,$AF$7:$AG$1066,2,0),0)</f>
      </c>
      <c r="AL203" s="217">
        <f>+IF(W203&gt;W202,AK203,AL202+AK203)</f>
      </c>
      <c r="AM203" s="217">
        <f>IF(W203&gt;W202,IF(AL203&gt;=$AZ$8,$AZ$8,AL203),IF(OR(AM202=$AZ$8,AM202=0),0,IF(AL203&gt;=$AZ$8,$AZ$8,AL203)))</f>
      </c>
      <c r="AN203" s="748">
        <f>+IF(OR(AM203&gt;AZ202,AM203=0),0,IF(AM203=AL203,AK203,$AZ$7-AL202))</f>
      </c>
      <c r="AO203" s="748">
        <f>+AK203-AN203</f>
      </c>
      <c r="AP203" s="217">
        <f>+_xlfn.IFNA(VLOOKUP(AJ203,$AF$7:$AI$1066,3,0),0)</f>
      </c>
      <c r="AQ203" s="217">
        <f>+IF(W203&gt;W202,AP203,AQ202+AP203)</f>
      </c>
      <c r="AR203" s="217">
        <f>+MAX($AM$2-SUMIF($W$7:$W$1066,W203,$AN$7:$AN$1066),0)</f>
      </c>
      <c r="AS203" s="748">
        <f>+MAX(IF(AQ203&gt;AR203,AR203-AQ202,AP203),0)</f>
      </c>
      <c r="AT203" s="748">
        <f>+AP203-AS203</f>
      </c>
      <c r="AU203" s="217">
        <f>+_xlfn.IFNA(VLOOKUP(AJ203,$AF$7:$AI$1066,4,0),0)</f>
      </c>
      <c r="AV203" s="217">
        <f>+IF(W203&gt;W202,AU203,AV202+AU203)</f>
      </c>
      <c r="AW203" s="217">
        <f>+MAX($AM$2-SUMIF($W$7:$W$1066,W203,$AN$7:$AN$1066)-SUMIF($W$7:$W$1066,W203,$AS$7:$AS$1066),0)</f>
      </c>
      <c r="AX203" s="748">
        <f>+MAX(IF(AV203&gt;AW203,AW203-AV202,AU203),0)</f>
      </c>
      <c r="AY203" s="748">
        <f>+AU203-AX203</f>
      </c>
      <c r="AZ203" s="331">
        <f>+$AM$1+IF($AP$1&gt;$AP$2,$AM$3/2)</f>
      </c>
    </row>
    <row x14ac:dyDescent="0.25" r="204" customHeight="1" ht="18.75">
      <c r="A204" s="1"/>
      <c r="B204" s="7"/>
      <c r="C204" s="170"/>
      <c r="D204" s="331">
        <v>197</v>
      </c>
      <c r="E204" s="544">
        <f>+DATE(YEAR(E203),MONTH(E203)-1,DAY(E203))</f>
        <v>25569.041666666668</v>
      </c>
      <c r="F204" s="333">
        <f>IF(DATE(YEAR($B$6),MONTH($B$6)+1,DAY(1))=E204,1,IF(MONTH(E204)=1,F205*(1+$F$5),F205))</f>
      </c>
      <c r="G204" s="333">
        <f>IF('Simulador - 1º Pilar'!$E$99="Sí",IF('Aportaciones PPE'!$B$13&lt;'Aportaciones PPE'!E204,0,F204*$B$8/12),F204*$B$8/12)</f>
      </c>
      <c r="H204" s="333">
        <f>$H$5*G204</f>
      </c>
      <c r="I204" s="333">
        <f>$I$5*G204</f>
      </c>
      <c r="J204" s="333">
        <f>+I204</f>
      </c>
      <c r="K204" s="333">
        <f>(1+$O$5)^(D204/12)*(H204+IF(AND(F204=1,F205=0),$S$4,0))</f>
      </c>
      <c r="L204" s="333">
        <f>(1+$O$5)^(D204/12)*(I204+IF(AND(F204=1,F205=0),0))</f>
      </c>
      <c r="M204" s="333">
        <f>+L204</f>
      </c>
      <c r="N204" s="333">
        <f>L204+K204+M204</f>
      </c>
      <c r="O204" s="170"/>
      <c r="P204" s="7"/>
      <c r="Q204" s="1"/>
      <c r="R204" s="331">
        <f>D204</f>
      </c>
      <c r="S204" s="169"/>
      <c r="T204" s="1"/>
      <c r="U204" s="217"/>
      <c r="V204" s="331">
        <f>+IF(V203=11,12,IF(V203=12,1,V203+1))</f>
      </c>
      <c r="W204" s="331">
        <f>+W203+IF(V203=12,1,0)</f>
      </c>
      <c r="X204" s="555">
        <f>+DATE(W204,V204,1)</f>
        <v>25569.041666666668</v>
      </c>
      <c r="Y204" s="333">
        <f>+_xlfn.IFNA(AN204+AS204+AX204,0)</f>
      </c>
      <c r="Z204" s="333">
        <f>+_xlfn.IFNA(AO204+AT204+AY204,0)</f>
      </c>
      <c r="AA204" s="333">
        <f>Y204*(1+$O$5)^(($B$7-X204)/365.25)</f>
      </c>
      <c r="AB204" s="333">
        <f>Z204*(1+$O$5)^(($B$7-X204)/365.25)</f>
      </c>
      <c r="AC204" s="1"/>
      <c r="AD204" s="1"/>
      <c r="AE204" s="1"/>
      <c r="AF204" s="111">
        <f>+MONTH(E204)&amp;YEAR(E204)</f>
      </c>
      <c r="AG204" s="217">
        <f>+I204</f>
      </c>
      <c r="AH204" s="217">
        <f>+J204</f>
      </c>
      <c r="AI204" s="217">
        <f>+H204</f>
      </c>
      <c r="AJ204" s="111">
        <f>+V204&amp;W204</f>
      </c>
      <c r="AK204" s="217">
        <f>+_xlfn.IFNA(VLOOKUP(AJ204,$AF$7:$AG$1066,2,0),0)</f>
      </c>
      <c r="AL204" s="217">
        <f>+IF(W204&gt;W203,AK204,AL203+AK204)</f>
      </c>
      <c r="AM204" s="217">
        <f>IF(W204&gt;W203,IF(AL204&gt;=$AZ$8,$AZ$8,AL204),IF(OR(AM203=$AZ$8,AM203=0),0,IF(AL204&gt;=$AZ$8,$AZ$8,AL204)))</f>
      </c>
      <c r="AN204" s="748">
        <f>+IF(OR(AM204&gt;AZ203,AM204=0),0,IF(AM204=AL204,AK204,$AZ$7-AL203))</f>
      </c>
      <c r="AO204" s="748">
        <f>+AK204-AN204</f>
      </c>
      <c r="AP204" s="217">
        <f>+_xlfn.IFNA(VLOOKUP(AJ204,$AF$7:$AI$1066,3,0),0)</f>
      </c>
      <c r="AQ204" s="217">
        <f>+IF(W204&gt;W203,AP204,AQ203+AP204)</f>
      </c>
      <c r="AR204" s="217">
        <f>+MAX($AM$2-SUMIF($W$7:$W$1066,W204,$AN$7:$AN$1066),0)</f>
      </c>
      <c r="AS204" s="748">
        <f>+MAX(IF(AQ204&gt;AR204,AR204-AQ203,AP204),0)</f>
      </c>
      <c r="AT204" s="748">
        <f>+AP204-AS204</f>
      </c>
      <c r="AU204" s="217">
        <f>+_xlfn.IFNA(VLOOKUP(AJ204,$AF$7:$AI$1066,4,0),0)</f>
      </c>
      <c r="AV204" s="217">
        <f>+IF(W204&gt;W203,AU204,AV203+AU204)</f>
      </c>
      <c r="AW204" s="217">
        <f>+MAX($AM$2-SUMIF($W$7:$W$1066,W204,$AN$7:$AN$1066)-SUMIF($W$7:$W$1066,W204,$AS$7:$AS$1066),0)</f>
      </c>
      <c r="AX204" s="748">
        <f>+MAX(IF(AV204&gt;AW204,AW204-AV203,AU204),0)</f>
      </c>
      <c r="AY204" s="748">
        <f>+AU204-AX204</f>
      </c>
      <c r="AZ204" s="331">
        <f>+$AM$1+IF($AP$1&gt;$AP$2,$AM$3/2)</f>
      </c>
    </row>
    <row x14ac:dyDescent="0.25" r="205" customHeight="1" ht="18.75">
      <c r="A205" s="1"/>
      <c r="B205" s="7"/>
      <c r="C205" s="170"/>
      <c r="D205" s="331">
        <v>198</v>
      </c>
      <c r="E205" s="544">
        <f>+DATE(YEAR(E204),MONTH(E204)-1,DAY(E204))</f>
        <v>25569.041666666668</v>
      </c>
      <c r="F205" s="333">
        <f>IF(DATE(YEAR($B$6),MONTH($B$6)+1,DAY(1))=E205,1,IF(MONTH(E205)=1,F206*(1+$F$5),F206))</f>
      </c>
      <c r="G205" s="333">
        <f>IF('Simulador - 1º Pilar'!$E$99="Sí",IF('Aportaciones PPE'!$B$13&lt;'Aportaciones PPE'!E205,0,F205*$B$8/12),F205*$B$8/12)</f>
      </c>
      <c r="H205" s="333">
        <f>$H$5*G205</f>
      </c>
      <c r="I205" s="333">
        <f>$I$5*G205</f>
      </c>
      <c r="J205" s="333">
        <f>+I205</f>
      </c>
      <c r="K205" s="333">
        <f>(1+$O$5)^(D205/12)*(H205+IF(AND(F205=1,F206=0),$S$4,0))</f>
      </c>
      <c r="L205" s="333">
        <f>(1+$O$5)^(D205/12)*(I205+IF(AND(F205=1,F206=0),0))</f>
      </c>
      <c r="M205" s="333">
        <f>+L205</f>
      </c>
      <c r="N205" s="333">
        <f>L205+K205+M205</f>
      </c>
      <c r="O205" s="170"/>
      <c r="P205" s="7"/>
      <c r="Q205" s="1"/>
      <c r="R205" s="331">
        <f>D205</f>
      </c>
      <c r="S205" s="169"/>
      <c r="T205" s="1"/>
      <c r="U205" s="217"/>
      <c r="V205" s="331">
        <f>+IF(V204=11,12,IF(V204=12,1,V204+1))</f>
      </c>
      <c r="W205" s="331">
        <f>+W204+IF(V204=12,1,0)</f>
      </c>
      <c r="X205" s="555">
        <f>+DATE(W205,V205,1)</f>
        <v>25569.041666666668</v>
      </c>
      <c r="Y205" s="333">
        <f>+_xlfn.IFNA(AN205+AS205+AX205,0)</f>
      </c>
      <c r="Z205" s="333">
        <f>+_xlfn.IFNA(AO205+AT205+AY205,0)</f>
      </c>
      <c r="AA205" s="333">
        <f>Y205*(1+$O$5)^(($B$7-X205)/365.25)</f>
      </c>
      <c r="AB205" s="333">
        <f>Z205*(1+$O$5)^(($B$7-X205)/365.25)</f>
      </c>
      <c r="AC205" s="1"/>
      <c r="AD205" s="1"/>
      <c r="AE205" s="1"/>
      <c r="AF205" s="111">
        <f>+MONTH(E205)&amp;YEAR(E205)</f>
      </c>
      <c r="AG205" s="217">
        <f>+I205</f>
      </c>
      <c r="AH205" s="217">
        <f>+J205</f>
      </c>
      <c r="AI205" s="217">
        <f>+H205</f>
      </c>
      <c r="AJ205" s="111">
        <f>+V205&amp;W205</f>
      </c>
      <c r="AK205" s="217">
        <f>+_xlfn.IFNA(VLOOKUP(AJ205,$AF$7:$AG$1066,2,0),0)</f>
      </c>
      <c r="AL205" s="217">
        <f>+IF(W205&gt;W204,AK205,AL204+AK205)</f>
      </c>
      <c r="AM205" s="217">
        <f>IF(W205&gt;W204,IF(AL205&gt;=$AZ$8,$AZ$8,AL205),IF(OR(AM204=$AZ$8,AM204=0),0,IF(AL205&gt;=$AZ$8,$AZ$8,AL205)))</f>
      </c>
      <c r="AN205" s="748">
        <f>+IF(OR(AM205&gt;AZ204,AM205=0),0,IF(AM205=AL205,AK205,$AZ$7-AL204))</f>
      </c>
      <c r="AO205" s="748">
        <f>+AK205-AN205</f>
      </c>
      <c r="AP205" s="217">
        <f>+_xlfn.IFNA(VLOOKUP(AJ205,$AF$7:$AI$1066,3,0),0)</f>
      </c>
      <c r="AQ205" s="217">
        <f>+IF(W205&gt;W204,AP205,AQ204+AP205)</f>
      </c>
      <c r="AR205" s="217">
        <f>+MAX($AM$2-SUMIF($W$7:$W$1066,W205,$AN$7:$AN$1066),0)</f>
      </c>
      <c r="AS205" s="748">
        <f>+MAX(IF(AQ205&gt;AR205,AR205-AQ204,AP205),0)</f>
      </c>
      <c r="AT205" s="748">
        <f>+AP205-AS205</f>
      </c>
      <c r="AU205" s="217">
        <f>+_xlfn.IFNA(VLOOKUP(AJ205,$AF$7:$AI$1066,4,0),0)</f>
      </c>
      <c r="AV205" s="217">
        <f>+IF(W205&gt;W204,AU205,AV204+AU205)</f>
      </c>
      <c r="AW205" s="217">
        <f>+MAX($AM$2-SUMIF($W$7:$W$1066,W205,$AN$7:$AN$1066)-SUMIF($W$7:$W$1066,W205,$AS$7:$AS$1066),0)</f>
      </c>
      <c r="AX205" s="748">
        <f>+MAX(IF(AV205&gt;AW205,AW205-AV204,AU205),0)</f>
      </c>
      <c r="AY205" s="748">
        <f>+AU205-AX205</f>
      </c>
      <c r="AZ205" s="331">
        <f>+$AM$1+IF($AP$1&gt;$AP$2,$AM$3/2)</f>
      </c>
    </row>
    <row x14ac:dyDescent="0.25" r="206" customHeight="1" ht="18.75">
      <c r="A206" s="1"/>
      <c r="B206" s="7"/>
      <c r="C206" s="170"/>
      <c r="D206" s="331">
        <v>199</v>
      </c>
      <c r="E206" s="544">
        <f>+DATE(YEAR(E205),MONTH(E205)-1,DAY(E205))</f>
        <v>25569.041666666668</v>
      </c>
      <c r="F206" s="333">
        <f>IF(DATE(YEAR($B$6),MONTH($B$6)+1,DAY(1))=E206,1,IF(MONTH(E206)=1,F207*(1+$F$5),F207))</f>
      </c>
      <c r="G206" s="333">
        <f>IF('Simulador - 1º Pilar'!$E$99="Sí",IF('Aportaciones PPE'!$B$13&lt;'Aportaciones PPE'!E206,0,F206*$B$8/12),F206*$B$8/12)</f>
      </c>
      <c r="H206" s="333">
        <f>$H$5*G206</f>
      </c>
      <c r="I206" s="333">
        <f>$I$5*G206</f>
      </c>
      <c r="J206" s="333">
        <f>+I206</f>
      </c>
      <c r="K206" s="333">
        <f>(1+$O$5)^(D206/12)*(H206+IF(AND(F206=1,F207=0),$S$4,0))</f>
      </c>
      <c r="L206" s="333">
        <f>(1+$O$5)^(D206/12)*(I206+IF(AND(F206=1,F207=0),0))</f>
      </c>
      <c r="M206" s="333">
        <f>+L206</f>
      </c>
      <c r="N206" s="333">
        <f>L206+K206+M206</f>
      </c>
      <c r="O206" s="170"/>
      <c r="P206" s="7"/>
      <c r="Q206" s="1"/>
      <c r="R206" s="331">
        <f>D206</f>
      </c>
      <c r="S206" s="169"/>
      <c r="T206" s="1"/>
      <c r="U206" s="217"/>
      <c r="V206" s="331">
        <f>+IF(V205=11,12,IF(V205=12,1,V205+1))</f>
      </c>
      <c r="W206" s="331">
        <f>+W205+IF(V205=12,1,0)</f>
      </c>
      <c r="X206" s="555">
        <f>+DATE(W206,V206,1)</f>
        <v>25569.041666666668</v>
      </c>
      <c r="Y206" s="333">
        <f>+_xlfn.IFNA(AN206+AS206+AX206,0)</f>
      </c>
      <c r="Z206" s="333">
        <f>+_xlfn.IFNA(AO206+AT206+AY206,0)</f>
      </c>
      <c r="AA206" s="333">
        <f>Y206*(1+$O$5)^(($B$7-X206)/365.25)</f>
      </c>
      <c r="AB206" s="333">
        <f>Z206*(1+$O$5)^(($B$7-X206)/365.25)</f>
      </c>
      <c r="AC206" s="1"/>
      <c r="AD206" s="1"/>
      <c r="AE206" s="1"/>
      <c r="AF206" s="111">
        <f>+MONTH(E206)&amp;YEAR(E206)</f>
      </c>
      <c r="AG206" s="217">
        <f>+I206</f>
      </c>
      <c r="AH206" s="217">
        <f>+J206</f>
      </c>
      <c r="AI206" s="217">
        <f>+H206</f>
      </c>
      <c r="AJ206" s="111">
        <f>+V206&amp;W206</f>
      </c>
      <c r="AK206" s="217">
        <f>+_xlfn.IFNA(VLOOKUP(AJ206,$AF$7:$AG$1066,2,0),0)</f>
      </c>
      <c r="AL206" s="217">
        <f>+IF(W206&gt;W205,AK206,AL205+AK206)</f>
      </c>
      <c r="AM206" s="217">
        <f>IF(W206&gt;W205,IF(AL206&gt;=$AZ$8,$AZ$8,AL206),IF(OR(AM205=$AZ$8,AM205=0),0,IF(AL206&gt;=$AZ$8,$AZ$8,AL206)))</f>
      </c>
      <c r="AN206" s="748">
        <f>+IF(OR(AM206&gt;AZ205,AM206=0),0,IF(AM206=AL206,AK206,$AZ$7-AL205))</f>
      </c>
      <c r="AO206" s="748">
        <f>+AK206-AN206</f>
      </c>
      <c r="AP206" s="217">
        <f>+_xlfn.IFNA(VLOOKUP(AJ206,$AF$7:$AI$1066,3,0),0)</f>
      </c>
      <c r="AQ206" s="217">
        <f>+IF(W206&gt;W205,AP206,AQ205+AP206)</f>
      </c>
      <c r="AR206" s="217">
        <f>+MAX($AM$2-SUMIF($W$7:$W$1066,W206,$AN$7:$AN$1066),0)</f>
      </c>
      <c r="AS206" s="748">
        <f>+MAX(IF(AQ206&gt;AR206,AR206-AQ205,AP206),0)</f>
      </c>
      <c r="AT206" s="748">
        <f>+AP206-AS206</f>
      </c>
      <c r="AU206" s="217">
        <f>+_xlfn.IFNA(VLOOKUP(AJ206,$AF$7:$AI$1066,4,0),0)</f>
      </c>
      <c r="AV206" s="217">
        <f>+IF(W206&gt;W205,AU206,AV205+AU206)</f>
      </c>
      <c r="AW206" s="217">
        <f>+MAX($AM$2-SUMIF($W$7:$W$1066,W206,$AN$7:$AN$1066)-SUMIF($W$7:$W$1066,W206,$AS$7:$AS$1066),0)</f>
      </c>
      <c r="AX206" s="748">
        <f>+MAX(IF(AV206&gt;AW206,AW206-AV205,AU206),0)</f>
      </c>
      <c r="AY206" s="748">
        <f>+AU206-AX206</f>
      </c>
      <c r="AZ206" s="331">
        <f>+$AM$1+IF($AP$1&gt;$AP$2,$AM$3/2)</f>
      </c>
    </row>
    <row x14ac:dyDescent="0.25" r="207" customHeight="1" ht="18.75">
      <c r="A207" s="1"/>
      <c r="B207" s="7"/>
      <c r="C207" s="170"/>
      <c r="D207" s="331">
        <v>200</v>
      </c>
      <c r="E207" s="544">
        <f>+DATE(YEAR(E206),MONTH(E206)-1,DAY(E206))</f>
        <v>25569.041666666668</v>
      </c>
      <c r="F207" s="333">
        <f>IF(DATE(YEAR($B$6),MONTH($B$6)+1,DAY(1))=E207,1,IF(MONTH(E207)=1,F208*(1+$F$5),F208))</f>
      </c>
      <c r="G207" s="333">
        <f>IF('Simulador - 1º Pilar'!$E$99="Sí",IF('Aportaciones PPE'!$B$13&lt;'Aportaciones PPE'!E207,0,F207*$B$8/12),F207*$B$8/12)</f>
      </c>
      <c r="H207" s="333">
        <f>$H$5*G207</f>
      </c>
      <c r="I207" s="333">
        <f>$I$5*G207</f>
      </c>
      <c r="J207" s="333">
        <f>+I207</f>
      </c>
      <c r="K207" s="333">
        <f>(1+$O$5)^(D207/12)*(H207+IF(AND(F207=1,F208=0),$S$4,0))</f>
      </c>
      <c r="L207" s="333">
        <f>(1+$O$5)^(D207/12)*(I207+IF(AND(F207=1,F208=0),0))</f>
      </c>
      <c r="M207" s="333">
        <f>+L207</f>
      </c>
      <c r="N207" s="333">
        <f>L207+K207+M207</f>
      </c>
      <c r="O207" s="170"/>
      <c r="P207" s="7"/>
      <c r="Q207" s="1"/>
      <c r="R207" s="331">
        <f>D207</f>
      </c>
      <c r="S207" s="169"/>
      <c r="T207" s="1"/>
      <c r="U207" s="217"/>
      <c r="V207" s="331">
        <f>+IF(V206=11,12,IF(V206=12,1,V206+1))</f>
      </c>
      <c r="W207" s="331">
        <f>+W206+IF(V206=12,1,0)</f>
      </c>
      <c r="X207" s="555">
        <f>+DATE(W207,V207,1)</f>
        <v>25569.041666666668</v>
      </c>
      <c r="Y207" s="333">
        <f>+_xlfn.IFNA(AN207+AS207+AX207,0)</f>
      </c>
      <c r="Z207" s="333">
        <f>+_xlfn.IFNA(AO207+AT207+AY207,0)</f>
      </c>
      <c r="AA207" s="333">
        <f>Y207*(1+$O$5)^(($B$7-X207)/365.25)</f>
      </c>
      <c r="AB207" s="333">
        <f>Z207*(1+$O$5)^(($B$7-X207)/365.25)</f>
      </c>
      <c r="AC207" s="1"/>
      <c r="AD207" s="1"/>
      <c r="AE207" s="1"/>
      <c r="AF207" s="111">
        <f>+MONTH(E207)&amp;YEAR(E207)</f>
      </c>
      <c r="AG207" s="217">
        <f>+I207</f>
      </c>
      <c r="AH207" s="217">
        <f>+J207</f>
      </c>
      <c r="AI207" s="217">
        <f>+H207</f>
      </c>
      <c r="AJ207" s="111">
        <f>+V207&amp;W207</f>
      </c>
      <c r="AK207" s="217">
        <f>+_xlfn.IFNA(VLOOKUP(AJ207,$AF$7:$AG$1066,2,0),0)</f>
      </c>
      <c r="AL207" s="217">
        <f>+IF(W207&gt;W206,AK207,AL206+AK207)</f>
      </c>
      <c r="AM207" s="217">
        <f>IF(W207&gt;W206,IF(AL207&gt;=$AZ$8,$AZ$8,AL207),IF(OR(AM206=$AZ$8,AM206=0),0,IF(AL207&gt;=$AZ$8,$AZ$8,AL207)))</f>
      </c>
      <c r="AN207" s="748">
        <f>+IF(OR(AM207&gt;AZ206,AM207=0),0,IF(AM207=AL207,AK207,$AZ$7-AL206))</f>
      </c>
      <c r="AO207" s="748">
        <f>+AK207-AN207</f>
      </c>
      <c r="AP207" s="217">
        <f>+_xlfn.IFNA(VLOOKUP(AJ207,$AF$7:$AI$1066,3,0),0)</f>
      </c>
      <c r="AQ207" s="217">
        <f>+IF(W207&gt;W206,AP207,AQ206+AP207)</f>
      </c>
      <c r="AR207" s="217">
        <f>+MAX($AM$2-SUMIF($W$7:$W$1066,W207,$AN$7:$AN$1066),0)</f>
      </c>
      <c r="AS207" s="748">
        <f>+MAX(IF(AQ207&gt;AR207,AR207-AQ206,AP207),0)</f>
      </c>
      <c r="AT207" s="748">
        <f>+AP207-AS207</f>
      </c>
      <c r="AU207" s="217">
        <f>+_xlfn.IFNA(VLOOKUP(AJ207,$AF$7:$AI$1066,4,0),0)</f>
      </c>
      <c r="AV207" s="217">
        <f>+IF(W207&gt;W206,AU207,AV206+AU207)</f>
      </c>
      <c r="AW207" s="217">
        <f>+MAX($AM$2-SUMIF($W$7:$W$1066,W207,$AN$7:$AN$1066)-SUMIF($W$7:$W$1066,W207,$AS$7:$AS$1066),0)</f>
      </c>
      <c r="AX207" s="748">
        <f>+MAX(IF(AV207&gt;AW207,AW207-AV206,AU207),0)</f>
      </c>
      <c r="AY207" s="748">
        <f>+AU207-AX207</f>
      </c>
      <c r="AZ207" s="331">
        <f>+$AM$1+IF($AP$1&gt;$AP$2,$AM$3/2)</f>
      </c>
    </row>
    <row x14ac:dyDescent="0.25" r="208" customHeight="1" ht="18.75">
      <c r="A208" s="1"/>
      <c r="B208" s="7"/>
      <c r="C208" s="170"/>
      <c r="D208" s="331">
        <v>201</v>
      </c>
      <c r="E208" s="544">
        <f>+DATE(YEAR(E207),MONTH(E207)-1,DAY(E207))</f>
        <v>25569.041666666668</v>
      </c>
      <c r="F208" s="333">
        <f>IF(DATE(YEAR($B$6),MONTH($B$6)+1,DAY(1))=E208,1,IF(MONTH(E208)=1,F209*(1+$F$5),F209))</f>
      </c>
      <c r="G208" s="333">
        <f>IF('Simulador - 1º Pilar'!$E$99="Sí",IF('Aportaciones PPE'!$B$13&lt;'Aportaciones PPE'!E208,0,F208*$B$8/12),F208*$B$8/12)</f>
      </c>
      <c r="H208" s="333">
        <f>$H$5*G208</f>
      </c>
      <c r="I208" s="333">
        <f>$I$5*G208</f>
      </c>
      <c r="J208" s="333">
        <f>+I208</f>
      </c>
      <c r="K208" s="333">
        <f>(1+$O$5)^(D208/12)*(H208+IF(AND(F208=1,F209=0),$S$4,0))</f>
      </c>
      <c r="L208" s="333">
        <f>(1+$O$5)^(D208/12)*(I208+IF(AND(F208=1,F209=0),0))</f>
      </c>
      <c r="M208" s="333">
        <f>+L208</f>
      </c>
      <c r="N208" s="333">
        <f>L208+K208+M208</f>
      </c>
      <c r="O208" s="170"/>
      <c r="P208" s="7"/>
      <c r="Q208" s="1"/>
      <c r="R208" s="331">
        <f>D208</f>
      </c>
      <c r="S208" s="169"/>
      <c r="T208" s="1"/>
      <c r="U208" s="217"/>
      <c r="V208" s="331">
        <f>+IF(V207=11,12,IF(V207=12,1,V207+1))</f>
      </c>
      <c r="W208" s="331">
        <f>+W207+IF(V207=12,1,0)</f>
      </c>
      <c r="X208" s="555">
        <f>+DATE(W208,V208,1)</f>
        <v>25569.041666666668</v>
      </c>
      <c r="Y208" s="333">
        <f>+_xlfn.IFNA(AN208+AS208+AX208,0)</f>
      </c>
      <c r="Z208" s="333">
        <f>+_xlfn.IFNA(AO208+AT208+AY208,0)</f>
      </c>
      <c r="AA208" s="333">
        <f>Y208*(1+$O$5)^(($B$7-X208)/365.25)</f>
      </c>
      <c r="AB208" s="333">
        <f>Z208*(1+$O$5)^(($B$7-X208)/365.25)</f>
      </c>
      <c r="AC208" s="1"/>
      <c r="AD208" s="1"/>
      <c r="AE208" s="1"/>
      <c r="AF208" s="111">
        <f>+MONTH(E208)&amp;YEAR(E208)</f>
      </c>
      <c r="AG208" s="217">
        <f>+I208</f>
      </c>
      <c r="AH208" s="217">
        <f>+J208</f>
      </c>
      <c r="AI208" s="217">
        <f>+H208</f>
      </c>
      <c r="AJ208" s="111">
        <f>+V208&amp;W208</f>
      </c>
      <c r="AK208" s="217">
        <f>+_xlfn.IFNA(VLOOKUP(AJ208,$AF$7:$AG$1066,2,0),0)</f>
      </c>
      <c r="AL208" s="217">
        <f>+IF(W208&gt;W207,AK208,AL207+AK208)</f>
      </c>
      <c r="AM208" s="217">
        <f>IF(W208&gt;W207,IF(AL208&gt;=$AZ$8,$AZ$8,AL208),IF(OR(AM207=$AZ$8,AM207=0),0,IF(AL208&gt;=$AZ$8,$AZ$8,AL208)))</f>
      </c>
      <c r="AN208" s="748">
        <f>+IF(OR(AM208&gt;AZ207,AM208=0),0,IF(AM208=AL208,AK208,$AZ$7-AL207))</f>
      </c>
      <c r="AO208" s="748">
        <f>+AK208-AN208</f>
      </c>
      <c r="AP208" s="217">
        <f>+_xlfn.IFNA(VLOOKUP(AJ208,$AF$7:$AI$1066,3,0),0)</f>
      </c>
      <c r="AQ208" s="217">
        <f>+IF(W208&gt;W207,AP208,AQ207+AP208)</f>
      </c>
      <c r="AR208" s="217">
        <f>+MAX($AM$2-SUMIF($W$7:$W$1066,W208,$AN$7:$AN$1066),0)</f>
      </c>
      <c r="AS208" s="748">
        <f>+MAX(IF(AQ208&gt;AR208,AR208-AQ207,AP208),0)</f>
      </c>
      <c r="AT208" s="748">
        <f>+AP208-AS208</f>
      </c>
      <c r="AU208" s="217">
        <f>+_xlfn.IFNA(VLOOKUP(AJ208,$AF$7:$AI$1066,4,0),0)</f>
      </c>
      <c r="AV208" s="217">
        <f>+IF(W208&gt;W207,AU208,AV207+AU208)</f>
      </c>
      <c r="AW208" s="217">
        <f>+MAX($AM$2-SUMIF($W$7:$W$1066,W208,$AN$7:$AN$1066)-SUMIF($W$7:$W$1066,W208,$AS$7:$AS$1066),0)</f>
      </c>
      <c r="AX208" s="748">
        <f>+MAX(IF(AV208&gt;AW208,AW208-AV207,AU208),0)</f>
      </c>
      <c r="AY208" s="748">
        <f>+AU208-AX208</f>
      </c>
      <c r="AZ208" s="331">
        <f>+$AM$1+IF($AP$1&gt;$AP$2,$AM$3/2)</f>
      </c>
    </row>
    <row x14ac:dyDescent="0.25" r="209" customHeight="1" ht="18.75">
      <c r="A209" s="1"/>
      <c r="B209" s="7"/>
      <c r="C209" s="170"/>
      <c r="D209" s="331">
        <v>202</v>
      </c>
      <c r="E209" s="544">
        <f>+DATE(YEAR(E208),MONTH(E208)-1,DAY(E208))</f>
        <v>25569.041666666668</v>
      </c>
      <c r="F209" s="333">
        <f>IF(DATE(YEAR($B$6),MONTH($B$6)+1,DAY(1))=E209,1,IF(MONTH(E209)=1,F210*(1+$F$5),F210))</f>
      </c>
      <c r="G209" s="333">
        <f>IF('Simulador - 1º Pilar'!$E$99="Sí",IF('Aportaciones PPE'!$B$13&lt;'Aportaciones PPE'!E209,0,F209*$B$8/12),F209*$B$8/12)</f>
      </c>
      <c r="H209" s="333">
        <f>$H$5*G209</f>
      </c>
      <c r="I209" s="333">
        <f>$I$5*G209</f>
      </c>
      <c r="J209" s="333">
        <f>+I209</f>
      </c>
      <c r="K209" s="333">
        <f>(1+$O$5)^(D209/12)*(H209+IF(AND(F209=1,F210=0),$S$4,0))</f>
      </c>
      <c r="L209" s="333">
        <f>(1+$O$5)^(D209/12)*(I209+IF(AND(F209=1,F210=0),0))</f>
      </c>
      <c r="M209" s="333">
        <f>+L209</f>
      </c>
      <c r="N209" s="333">
        <f>L209+K209+M209</f>
      </c>
      <c r="O209" s="170"/>
      <c r="P209" s="7"/>
      <c r="Q209" s="1"/>
      <c r="R209" s="331">
        <f>D209</f>
      </c>
      <c r="S209" s="169"/>
      <c r="T209" s="1"/>
      <c r="U209" s="217"/>
      <c r="V209" s="331">
        <f>+IF(V208=11,12,IF(V208=12,1,V208+1))</f>
      </c>
      <c r="W209" s="331">
        <f>+W208+IF(V208=12,1,0)</f>
      </c>
      <c r="X209" s="555">
        <f>+DATE(W209,V209,1)</f>
        <v>25569.041666666668</v>
      </c>
      <c r="Y209" s="333">
        <f>+_xlfn.IFNA(AN209+AS209+AX209,0)</f>
      </c>
      <c r="Z209" s="333">
        <f>+_xlfn.IFNA(AO209+AT209+AY209,0)</f>
      </c>
      <c r="AA209" s="333">
        <f>Y209*(1+$O$5)^(($B$7-X209)/365.25)</f>
      </c>
      <c r="AB209" s="333">
        <f>Z209*(1+$O$5)^(($B$7-X209)/365.25)</f>
      </c>
      <c r="AC209" s="1"/>
      <c r="AD209" s="1"/>
      <c r="AE209" s="1"/>
      <c r="AF209" s="111">
        <f>+MONTH(E209)&amp;YEAR(E209)</f>
      </c>
      <c r="AG209" s="217">
        <f>+I209</f>
      </c>
      <c r="AH209" s="217">
        <f>+J209</f>
      </c>
      <c r="AI209" s="217">
        <f>+H209</f>
      </c>
      <c r="AJ209" s="111">
        <f>+V209&amp;W209</f>
      </c>
      <c r="AK209" s="217">
        <f>+_xlfn.IFNA(VLOOKUP(AJ209,$AF$7:$AG$1066,2,0),0)</f>
      </c>
      <c r="AL209" s="217">
        <f>+IF(W209&gt;W208,AK209,AL208+AK209)</f>
      </c>
      <c r="AM209" s="217">
        <f>IF(W209&gt;W208,IF(AL209&gt;=$AZ$8,$AZ$8,AL209),IF(OR(AM208=$AZ$8,AM208=0),0,IF(AL209&gt;=$AZ$8,$AZ$8,AL209)))</f>
      </c>
      <c r="AN209" s="748">
        <f>+IF(OR(AM209&gt;AZ208,AM209=0),0,IF(AM209=AL209,AK209,$AZ$7-AL208))</f>
      </c>
      <c r="AO209" s="748">
        <f>+AK209-AN209</f>
      </c>
      <c r="AP209" s="217">
        <f>+_xlfn.IFNA(VLOOKUP(AJ209,$AF$7:$AI$1066,3,0),0)</f>
      </c>
      <c r="AQ209" s="217">
        <f>+IF(W209&gt;W208,AP209,AQ208+AP209)</f>
      </c>
      <c r="AR209" s="217">
        <f>+MAX($AM$2-SUMIF($W$7:$W$1066,W209,$AN$7:$AN$1066),0)</f>
      </c>
      <c r="AS209" s="748">
        <f>+MAX(IF(AQ209&gt;AR209,AR209-AQ208,AP209),0)</f>
      </c>
      <c r="AT209" s="748">
        <f>+AP209-AS209</f>
      </c>
      <c r="AU209" s="217">
        <f>+_xlfn.IFNA(VLOOKUP(AJ209,$AF$7:$AI$1066,4,0),0)</f>
      </c>
      <c r="AV209" s="217">
        <f>+IF(W209&gt;W208,AU209,AV208+AU209)</f>
      </c>
      <c r="AW209" s="217">
        <f>+MAX($AM$2-SUMIF($W$7:$W$1066,W209,$AN$7:$AN$1066)-SUMIF($W$7:$W$1066,W209,$AS$7:$AS$1066),0)</f>
      </c>
      <c r="AX209" s="748">
        <f>+MAX(IF(AV209&gt;AW209,AW209-AV208,AU209),0)</f>
      </c>
      <c r="AY209" s="748">
        <f>+AU209-AX209</f>
      </c>
      <c r="AZ209" s="331">
        <f>+$AM$1+IF($AP$1&gt;$AP$2,$AM$3/2)</f>
      </c>
    </row>
    <row x14ac:dyDescent="0.25" r="210" customHeight="1" ht="18.75">
      <c r="A210" s="1"/>
      <c r="B210" s="7"/>
      <c r="C210" s="170"/>
      <c r="D210" s="331">
        <v>203</v>
      </c>
      <c r="E210" s="544">
        <f>+DATE(YEAR(E209),MONTH(E209)-1,DAY(E209))</f>
        <v>25569.041666666668</v>
      </c>
      <c r="F210" s="333">
        <f>IF(DATE(YEAR($B$6),MONTH($B$6)+1,DAY(1))=E210,1,IF(MONTH(E210)=1,F211*(1+$F$5),F211))</f>
      </c>
      <c r="G210" s="333">
        <f>IF('Simulador - 1º Pilar'!$E$99="Sí",IF('Aportaciones PPE'!$B$13&lt;'Aportaciones PPE'!E210,0,F210*$B$8/12),F210*$B$8/12)</f>
      </c>
      <c r="H210" s="333">
        <f>$H$5*G210</f>
      </c>
      <c r="I210" s="333">
        <f>$I$5*G210</f>
      </c>
      <c r="J210" s="333">
        <f>+I210</f>
      </c>
      <c r="K210" s="333">
        <f>(1+$O$5)^(D210/12)*(H210+IF(AND(F210=1,F211=0),$S$4,0))</f>
      </c>
      <c r="L210" s="333">
        <f>(1+$O$5)^(D210/12)*(I210+IF(AND(F210=1,F211=0),0))</f>
      </c>
      <c r="M210" s="333">
        <f>+L210</f>
      </c>
      <c r="N210" s="333">
        <f>L210+K210+M210</f>
      </c>
      <c r="O210" s="170"/>
      <c r="P210" s="7"/>
      <c r="Q210" s="1"/>
      <c r="R210" s="331">
        <f>D210</f>
      </c>
      <c r="S210" s="169"/>
      <c r="T210" s="1"/>
      <c r="U210" s="217"/>
      <c r="V210" s="331">
        <f>+IF(V209=11,12,IF(V209=12,1,V209+1))</f>
      </c>
      <c r="W210" s="331">
        <f>+W209+IF(V209=12,1,0)</f>
      </c>
      <c r="X210" s="555">
        <f>+DATE(W210,V210,1)</f>
        <v>25569.041666666668</v>
      </c>
      <c r="Y210" s="333">
        <f>+_xlfn.IFNA(AN210+AS210+AX210,0)</f>
      </c>
      <c r="Z210" s="333">
        <f>+_xlfn.IFNA(AO210+AT210+AY210,0)</f>
      </c>
      <c r="AA210" s="333">
        <f>Y210*(1+$O$5)^(($B$7-X210)/365.25)</f>
      </c>
      <c r="AB210" s="333">
        <f>Z210*(1+$O$5)^(($B$7-X210)/365.25)</f>
      </c>
      <c r="AC210" s="1"/>
      <c r="AD210" s="1"/>
      <c r="AE210" s="1"/>
      <c r="AF210" s="111">
        <f>+MONTH(E210)&amp;YEAR(E210)</f>
      </c>
      <c r="AG210" s="217">
        <f>+I210</f>
      </c>
      <c r="AH210" s="217">
        <f>+J210</f>
      </c>
      <c r="AI210" s="217">
        <f>+H210</f>
      </c>
      <c r="AJ210" s="111">
        <f>+V210&amp;W210</f>
      </c>
      <c r="AK210" s="217">
        <f>+_xlfn.IFNA(VLOOKUP(AJ210,$AF$7:$AG$1066,2,0),0)</f>
      </c>
      <c r="AL210" s="217">
        <f>+IF(W210&gt;W209,AK210,AL209+AK210)</f>
      </c>
      <c r="AM210" s="217">
        <f>IF(W210&gt;W209,IF(AL210&gt;=$AZ$8,$AZ$8,AL210),IF(OR(AM209=$AZ$8,AM209=0),0,IF(AL210&gt;=$AZ$8,$AZ$8,AL210)))</f>
      </c>
      <c r="AN210" s="748">
        <f>+IF(OR(AM210&gt;AZ209,AM210=0),0,IF(AM210=AL210,AK210,$AZ$7-AL209))</f>
      </c>
      <c r="AO210" s="748">
        <f>+AK210-AN210</f>
      </c>
      <c r="AP210" s="217">
        <f>+_xlfn.IFNA(VLOOKUP(AJ210,$AF$7:$AI$1066,3,0),0)</f>
      </c>
      <c r="AQ210" s="217">
        <f>+IF(W210&gt;W209,AP210,AQ209+AP210)</f>
      </c>
      <c r="AR210" s="217">
        <f>+MAX($AM$2-SUMIF($W$7:$W$1066,W210,$AN$7:$AN$1066),0)</f>
      </c>
      <c r="AS210" s="748">
        <f>+MAX(IF(AQ210&gt;AR210,AR210-AQ209,AP210),0)</f>
      </c>
      <c r="AT210" s="748">
        <f>+AP210-AS210</f>
      </c>
      <c r="AU210" s="217">
        <f>+_xlfn.IFNA(VLOOKUP(AJ210,$AF$7:$AI$1066,4,0),0)</f>
      </c>
      <c r="AV210" s="217">
        <f>+IF(W210&gt;W209,AU210,AV209+AU210)</f>
      </c>
      <c r="AW210" s="217">
        <f>+MAX($AM$2-SUMIF($W$7:$W$1066,W210,$AN$7:$AN$1066)-SUMIF($W$7:$W$1066,W210,$AS$7:$AS$1066),0)</f>
      </c>
      <c r="AX210" s="748">
        <f>+MAX(IF(AV210&gt;AW210,AW210-AV209,AU210),0)</f>
      </c>
      <c r="AY210" s="748">
        <f>+AU210-AX210</f>
      </c>
      <c r="AZ210" s="331">
        <f>+$AM$1+IF($AP$1&gt;$AP$2,$AM$3/2)</f>
      </c>
    </row>
    <row x14ac:dyDescent="0.25" r="211" customHeight="1" ht="18.75">
      <c r="A211" s="1"/>
      <c r="B211" s="7"/>
      <c r="C211" s="170"/>
      <c r="D211" s="331">
        <v>204</v>
      </c>
      <c r="E211" s="544">
        <f>+DATE(YEAR(E210),MONTH(E210)-1,DAY(E210))</f>
        <v>25569.041666666668</v>
      </c>
      <c r="F211" s="333">
        <f>IF(DATE(YEAR($B$6),MONTH($B$6)+1,DAY(1))=E211,1,IF(MONTH(E211)=1,F212*(1+$F$5),F212))</f>
      </c>
      <c r="G211" s="333">
        <f>IF('Simulador - 1º Pilar'!$E$99="Sí",IF('Aportaciones PPE'!$B$13&lt;'Aportaciones PPE'!E211,0,F211*$B$8/12),F211*$B$8/12)</f>
      </c>
      <c r="H211" s="333">
        <f>$H$5*G211</f>
      </c>
      <c r="I211" s="333">
        <f>$I$5*G211</f>
      </c>
      <c r="J211" s="333">
        <f>+I211</f>
      </c>
      <c r="K211" s="333">
        <f>(1+$O$5)^(D211/12)*(H211+IF(AND(F211=1,F212=0),$S$4,0))</f>
      </c>
      <c r="L211" s="333">
        <f>(1+$O$5)^(D211/12)*(I211+IF(AND(F211=1,F212=0),0))</f>
      </c>
      <c r="M211" s="333">
        <f>+L211</f>
      </c>
      <c r="N211" s="333">
        <f>L211+K211+M211</f>
      </c>
      <c r="O211" s="170"/>
      <c r="P211" s="7"/>
      <c r="Q211" s="1"/>
      <c r="R211" s="331">
        <f>D211</f>
      </c>
      <c r="S211" s="169"/>
      <c r="T211" s="1"/>
      <c r="U211" s="217"/>
      <c r="V211" s="331">
        <f>+IF(V210=11,12,IF(V210=12,1,V210+1))</f>
      </c>
      <c r="W211" s="331">
        <f>+W210+IF(V210=12,1,0)</f>
      </c>
      <c r="X211" s="555">
        <f>+DATE(W211,V211,1)</f>
        <v>25569.041666666668</v>
      </c>
      <c r="Y211" s="333">
        <f>+_xlfn.IFNA(AN211+AS211+AX211,0)</f>
      </c>
      <c r="Z211" s="333">
        <f>+_xlfn.IFNA(AO211+AT211+AY211,0)</f>
      </c>
      <c r="AA211" s="333">
        <f>Y211*(1+$O$5)^(($B$7-X211)/365.25)</f>
      </c>
      <c r="AB211" s="333">
        <f>Z211*(1+$O$5)^(($B$7-X211)/365.25)</f>
      </c>
      <c r="AC211" s="1"/>
      <c r="AD211" s="1"/>
      <c r="AE211" s="1"/>
      <c r="AF211" s="111">
        <f>+MONTH(E211)&amp;YEAR(E211)</f>
      </c>
      <c r="AG211" s="217">
        <f>+I211</f>
      </c>
      <c r="AH211" s="217">
        <f>+J211</f>
      </c>
      <c r="AI211" s="217">
        <f>+H211</f>
      </c>
      <c r="AJ211" s="111">
        <f>+V211&amp;W211</f>
      </c>
      <c r="AK211" s="217">
        <f>+_xlfn.IFNA(VLOOKUP(AJ211,$AF$7:$AG$1066,2,0),0)</f>
      </c>
      <c r="AL211" s="217">
        <f>+IF(W211&gt;W210,AK211,AL210+AK211)</f>
      </c>
      <c r="AM211" s="217">
        <f>IF(W211&gt;W210,IF(AL211&gt;=$AZ$8,$AZ$8,AL211),IF(OR(AM210=$AZ$8,AM210=0),0,IF(AL211&gt;=$AZ$8,$AZ$8,AL211)))</f>
      </c>
      <c r="AN211" s="748">
        <f>+IF(OR(AM211&gt;AZ210,AM211=0),0,IF(AM211=AL211,AK211,$AZ$7-AL210))</f>
      </c>
      <c r="AO211" s="748">
        <f>+AK211-AN211</f>
      </c>
      <c r="AP211" s="217">
        <f>+_xlfn.IFNA(VLOOKUP(AJ211,$AF$7:$AI$1066,3,0),0)</f>
      </c>
      <c r="AQ211" s="217">
        <f>+IF(W211&gt;W210,AP211,AQ210+AP211)</f>
      </c>
      <c r="AR211" s="217">
        <f>+MAX($AM$2-SUMIF($W$7:$W$1066,W211,$AN$7:$AN$1066),0)</f>
      </c>
      <c r="AS211" s="748">
        <f>+MAX(IF(AQ211&gt;AR211,AR211-AQ210,AP211),0)</f>
      </c>
      <c r="AT211" s="748">
        <f>+AP211-AS211</f>
      </c>
      <c r="AU211" s="217">
        <f>+_xlfn.IFNA(VLOOKUP(AJ211,$AF$7:$AI$1066,4,0),0)</f>
      </c>
      <c r="AV211" s="217">
        <f>+IF(W211&gt;W210,AU211,AV210+AU211)</f>
      </c>
      <c r="AW211" s="217">
        <f>+MAX($AM$2-SUMIF($W$7:$W$1066,W211,$AN$7:$AN$1066)-SUMIF($W$7:$W$1066,W211,$AS$7:$AS$1066),0)</f>
      </c>
      <c r="AX211" s="748">
        <f>+MAX(IF(AV211&gt;AW211,AW211-AV210,AU211),0)</f>
      </c>
      <c r="AY211" s="748">
        <f>+AU211-AX211</f>
      </c>
      <c r="AZ211" s="331">
        <f>+$AM$1+IF($AP$1&gt;$AP$2,$AM$3/2)</f>
      </c>
    </row>
    <row x14ac:dyDescent="0.25" r="212" customHeight="1" ht="18.75">
      <c r="A212" s="1"/>
      <c r="B212" s="7"/>
      <c r="C212" s="170"/>
      <c r="D212" s="331">
        <v>205</v>
      </c>
      <c r="E212" s="544">
        <f>+DATE(YEAR(E211),MONTH(E211)-1,DAY(E211))</f>
        <v>25569.041666666668</v>
      </c>
      <c r="F212" s="333">
        <f>IF(DATE(YEAR($B$6),MONTH($B$6)+1,DAY(1))=E212,1,IF(MONTH(E212)=1,F213*(1+$F$5),F213))</f>
      </c>
      <c r="G212" s="333">
        <f>IF('Simulador - 1º Pilar'!$E$99="Sí",IF('Aportaciones PPE'!$B$13&lt;'Aportaciones PPE'!E212,0,F212*$B$8/12),F212*$B$8/12)</f>
      </c>
      <c r="H212" s="333">
        <f>$H$5*G212</f>
      </c>
      <c r="I212" s="333">
        <f>$I$5*G212</f>
      </c>
      <c r="J212" s="333">
        <f>+I212</f>
      </c>
      <c r="K212" s="333">
        <f>(1+$O$5)^(D212/12)*(H212+IF(AND(F212=1,F213=0),$S$4,0))</f>
      </c>
      <c r="L212" s="333">
        <f>(1+$O$5)^(D212/12)*(I212+IF(AND(F212=1,F213=0),0))</f>
      </c>
      <c r="M212" s="333">
        <f>+L212</f>
      </c>
      <c r="N212" s="333">
        <f>L212+K212+M212</f>
      </c>
      <c r="O212" s="170"/>
      <c r="P212" s="7"/>
      <c r="Q212" s="1"/>
      <c r="R212" s="331">
        <f>D212</f>
      </c>
      <c r="S212" s="169"/>
      <c r="T212" s="1"/>
      <c r="U212" s="217"/>
      <c r="V212" s="331">
        <f>+IF(V211=11,12,IF(V211=12,1,V211+1))</f>
      </c>
      <c r="W212" s="331">
        <f>+W211+IF(V211=12,1,0)</f>
      </c>
      <c r="X212" s="555">
        <f>+DATE(W212,V212,1)</f>
        <v>25569.041666666668</v>
      </c>
      <c r="Y212" s="333">
        <f>+_xlfn.IFNA(AN212+AS212+AX212,0)</f>
      </c>
      <c r="Z212" s="333">
        <f>+_xlfn.IFNA(AO212+AT212+AY212,0)</f>
      </c>
      <c r="AA212" s="333">
        <f>Y212*(1+$O$5)^(($B$7-X212)/365.25)</f>
      </c>
      <c r="AB212" s="333">
        <f>Z212*(1+$O$5)^(($B$7-X212)/365.25)</f>
      </c>
      <c r="AC212" s="1"/>
      <c r="AD212" s="1"/>
      <c r="AE212" s="1"/>
      <c r="AF212" s="111">
        <f>+MONTH(E212)&amp;YEAR(E212)</f>
      </c>
      <c r="AG212" s="217">
        <f>+I212</f>
      </c>
      <c r="AH212" s="217">
        <f>+J212</f>
      </c>
      <c r="AI212" s="217">
        <f>+H212</f>
      </c>
      <c r="AJ212" s="111">
        <f>+V212&amp;W212</f>
      </c>
      <c r="AK212" s="217">
        <f>+_xlfn.IFNA(VLOOKUP(AJ212,$AF$7:$AG$1066,2,0),0)</f>
      </c>
      <c r="AL212" s="217">
        <f>+IF(W212&gt;W211,AK212,AL211+AK212)</f>
      </c>
      <c r="AM212" s="217">
        <f>IF(W212&gt;W211,IF(AL212&gt;=$AZ$8,$AZ$8,AL212),IF(OR(AM211=$AZ$8,AM211=0),0,IF(AL212&gt;=$AZ$8,$AZ$8,AL212)))</f>
      </c>
      <c r="AN212" s="748">
        <f>+IF(OR(AM212&gt;AZ211,AM212=0),0,IF(AM212=AL212,AK212,$AZ$7-AL211))</f>
      </c>
      <c r="AO212" s="748">
        <f>+AK212-AN212</f>
      </c>
      <c r="AP212" s="217">
        <f>+_xlfn.IFNA(VLOOKUP(AJ212,$AF$7:$AI$1066,3,0),0)</f>
      </c>
      <c r="AQ212" s="217">
        <f>+IF(W212&gt;W211,AP212,AQ211+AP212)</f>
      </c>
      <c r="AR212" s="217">
        <f>+MAX($AM$2-SUMIF($W$7:$W$1066,W212,$AN$7:$AN$1066),0)</f>
      </c>
      <c r="AS212" s="748">
        <f>+MAX(IF(AQ212&gt;AR212,AR212-AQ211,AP212),0)</f>
      </c>
      <c r="AT212" s="748">
        <f>+AP212-AS212</f>
      </c>
      <c r="AU212" s="217">
        <f>+_xlfn.IFNA(VLOOKUP(AJ212,$AF$7:$AI$1066,4,0),0)</f>
      </c>
      <c r="AV212" s="217">
        <f>+IF(W212&gt;W211,AU212,AV211+AU212)</f>
      </c>
      <c r="AW212" s="217">
        <f>+MAX($AM$2-SUMIF($W$7:$W$1066,W212,$AN$7:$AN$1066)-SUMIF($W$7:$W$1066,W212,$AS$7:$AS$1066),0)</f>
      </c>
      <c r="AX212" s="748">
        <f>+MAX(IF(AV212&gt;AW212,AW212-AV211,AU212),0)</f>
      </c>
      <c r="AY212" s="748">
        <f>+AU212-AX212</f>
      </c>
      <c r="AZ212" s="331">
        <f>+$AM$1+IF($AP$1&gt;$AP$2,$AM$3/2)</f>
      </c>
    </row>
    <row x14ac:dyDescent="0.25" r="213" customHeight="1" ht="18.75">
      <c r="A213" s="1"/>
      <c r="B213" s="7"/>
      <c r="C213" s="170"/>
      <c r="D213" s="331">
        <v>206</v>
      </c>
      <c r="E213" s="544">
        <f>+DATE(YEAR(E212),MONTH(E212)-1,DAY(E212))</f>
        <v>25569.041666666668</v>
      </c>
      <c r="F213" s="333">
        <f>IF(DATE(YEAR($B$6),MONTH($B$6)+1,DAY(1))=E213,1,IF(MONTH(E213)=1,F214*(1+$F$5),F214))</f>
      </c>
      <c r="G213" s="333">
        <f>IF('Simulador - 1º Pilar'!$E$99="Sí",IF('Aportaciones PPE'!$B$13&lt;'Aportaciones PPE'!E213,0,F213*$B$8/12),F213*$B$8/12)</f>
      </c>
      <c r="H213" s="333">
        <f>$H$5*G213</f>
      </c>
      <c r="I213" s="333">
        <f>$I$5*G213</f>
      </c>
      <c r="J213" s="333">
        <f>+I213</f>
      </c>
      <c r="K213" s="333">
        <f>(1+$O$5)^(D213/12)*(H213+IF(AND(F213=1,F214=0),$S$4,0))</f>
      </c>
      <c r="L213" s="333">
        <f>(1+$O$5)^(D213/12)*(I213+IF(AND(F213=1,F214=0),0))</f>
      </c>
      <c r="M213" s="333">
        <f>+L213</f>
      </c>
      <c r="N213" s="333">
        <f>L213+K213+M213</f>
      </c>
      <c r="O213" s="170"/>
      <c r="P213" s="7"/>
      <c r="Q213" s="1"/>
      <c r="R213" s="331">
        <f>D213</f>
      </c>
      <c r="S213" s="169"/>
      <c r="T213" s="1"/>
      <c r="U213" s="217"/>
      <c r="V213" s="331">
        <f>+IF(V212=11,12,IF(V212=12,1,V212+1))</f>
      </c>
      <c r="W213" s="331">
        <f>+W212+IF(V212=12,1,0)</f>
      </c>
      <c r="X213" s="555">
        <f>+DATE(W213,V213,1)</f>
        <v>25569.041666666668</v>
      </c>
      <c r="Y213" s="333">
        <f>+_xlfn.IFNA(AN213+AS213+AX213,0)</f>
      </c>
      <c r="Z213" s="333">
        <f>+_xlfn.IFNA(AO213+AT213+AY213,0)</f>
      </c>
      <c r="AA213" s="333">
        <f>Y213*(1+$O$5)^(($B$7-X213)/365.25)</f>
      </c>
      <c r="AB213" s="333">
        <f>Z213*(1+$O$5)^(($B$7-X213)/365.25)</f>
      </c>
      <c r="AC213" s="1"/>
      <c r="AD213" s="1"/>
      <c r="AE213" s="1"/>
      <c r="AF213" s="111">
        <f>+MONTH(E213)&amp;YEAR(E213)</f>
      </c>
      <c r="AG213" s="217">
        <f>+I213</f>
      </c>
      <c r="AH213" s="217">
        <f>+J213</f>
      </c>
      <c r="AI213" s="217">
        <f>+H213</f>
      </c>
      <c r="AJ213" s="111">
        <f>+V213&amp;W213</f>
      </c>
      <c r="AK213" s="217">
        <f>+_xlfn.IFNA(VLOOKUP(AJ213,$AF$7:$AG$1066,2,0),0)</f>
      </c>
      <c r="AL213" s="217">
        <f>+IF(W213&gt;W212,AK213,AL212+AK213)</f>
      </c>
      <c r="AM213" s="217">
        <f>IF(W213&gt;W212,IF(AL213&gt;=$AZ$8,$AZ$8,AL213),IF(OR(AM212=$AZ$8,AM212=0),0,IF(AL213&gt;=$AZ$8,$AZ$8,AL213)))</f>
      </c>
      <c r="AN213" s="748">
        <f>+IF(OR(AM213&gt;AZ212,AM213=0),0,IF(AM213=AL213,AK213,$AZ$7-AL212))</f>
      </c>
      <c r="AO213" s="748">
        <f>+AK213-AN213</f>
      </c>
      <c r="AP213" s="217">
        <f>+_xlfn.IFNA(VLOOKUP(AJ213,$AF$7:$AI$1066,3,0),0)</f>
      </c>
      <c r="AQ213" s="217">
        <f>+IF(W213&gt;W212,AP213,AQ212+AP213)</f>
      </c>
      <c r="AR213" s="217">
        <f>+MAX($AM$2-SUMIF($W$7:$W$1066,W213,$AN$7:$AN$1066),0)</f>
      </c>
      <c r="AS213" s="748">
        <f>+MAX(IF(AQ213&gt;AR213,AR213-AQ212,AP213),0)</f>
      </c>
      <c r="AT213" s="748">
        <f>+AP213-AS213</f>
      </c>
      <c r="AU213" s="217">
        <f>+_xlfn.IFNA(VLOOKUP(AJ213,$AF$7:$AI$1066,4,0),0)</f>
      </c>
      <c r="AV213" s="217">
        <f>+IF(W213&gt;W212,AU213,AV212+AU213)</f>
      </c>
      <c r="AW213" s="217">
        <f>+MAX($AM$2-SUMIF($W$7:$W$1066,W213,$AN$7:$AN$1066)-SUMIF($W$7:$W$1066,W213,$AS$7:$AS$1066),0)</f>
      </c>
      <c r="AX213" s="748">
        <f>+MAX(IF(AV213&gt;AW213,AW213-AV212,AU213),0)</f>
      </c>
      <c r="AY213" s="748">
        <f>+AU213-AX213</f>
      </c>
      <c r="AZ213" s="331">
        <f>+$AM$1+IF($AP$1&gt;$AP$2,$AM$3/2)</f>
      </c>
    </row>
    <row x14ac:dyDescent="0.25" r="214" customHeight="1" ht="18.75">
      <c r="A214" s="1"/>
      <c r="B214" s="7"/>
      <c r="C214" s="170"/>
      <c r="D214" s="331">
        <v>207</v>
      </c>
      <c r="E214" s="544">
        <f>+DATE(YEAR(E213),MONTH(E213)-1,DAY(E213))</f>
        <v>25569.041666666668</v>
      </c>
      <c r="F214" s="333">
        <f>IF(DATE(YEAR($B$6),MONTH($B$6)+1,DAY(1))=E214,1,IF(MONTH(E214)=1,F215*(1+$F$5),F215))</f>
      </c>
      <c r="G214" s="333">
        <f>IF('Simulador - 1º Pilar'!$E$99="Sí",IF('Aportaciones PPE'!$B$13&lt;'Aportaciones PPE'!E214,0,F214*$B$8/12),F214*$B$8/12)</f>
      </c>
      <c r="H214" s="333">
        <f>$H$5*G214</f>
      </c>
      <c r="I214" s="333">
        <f>$I$5*G214</f>
      </c>
      <c r="J214" s="333">
        <f>+I214</f>
      </c>
      <c r="K214" s="333">
        <f>(1+$O$5)^(D214/12)*(H214+IF(AND(F214=1,F215=0),$S$4,0))</f>
      </c>
      <c r="L214" s="333">
        <f>(1+$O$5)^(D214/12)*(I214+IF(AND(F214=1,F215=0),0))</f>
      </c>
      <c r="M214" s="333">
        <f>+L214</f>
      </c>
      <c r="N214" s="333">
        <f>L214+K214+M214</f>
      </c>
      <c r="O214" s="170"/>
      <c r="P214" s="7"/>
      <c r="Q214" s="1"/>
      <c r="R214" s="331">
        <f>D214</f>
      </c>
      <c r="S214" s="169"/>
      <c r="T214" s="1"/>
      <c r="U214" s="217"/>
      <c r="V214" s="331">
        <f>+IF(V213=11,12,IF(V213=12,1,V213+1))</f>
      </c>
      <c r="W214" s="331">
        <f>+W213+IF(V213=12,1,0)</f>
      </c>
      <c r="X214" s="555">
        <f>+DATE(W214,V214,1)</f>
        <v>25569.041666666668</v>
      </c>
      <c r="Y214" s="333">
        <f>+_xlfn.IFNA(AN214+AS214+AX214,0)</f>
      </c>
      <c r="Z214" s="333">
        <f>+_xlfn.IFNA(AO214+AT214+AY214,0)</f>
      </c>
      <c r="AA214" s="333">
        <f>Y214*(1+$O$5)^(($B$7-X214)/365.25)</f>
      </c>
      <c r="AB214" s="333">
        <f>Z214*(1+$O$5)^(($B$7-X214)/365.25)</f>
      </c>
      <c r="AC214" s="1"/>
      <c r="AD214" s="1"/>
      <c r="AE214" s="1"/>
      <c r="AF214" s="111">
        <f>+MONTH(E214)&amp;YEAR(E214)</f>
      </c>
      <c r="AG214" s="217">
        <f>+I214</f>
      </c>
      <c r="AH214" s="217">
        <f>+J214</f>
      </c>
      <c r="AI214" s="217">
        <f>+H214</f>
      </c>
      <c r="AJ214" s="111">
        <f>+V214&amp;W214</f>
      </c>
      <c r="AK214" s="217">
        <f>+_xlfn.IFNA(VLOOKUP(AJ214,$AF$7:$AG$1066,2,0),0)</f>
      </c>
      <c r="AL214" s="217">
        <f>+IF(W214&gt;W213,AK214,AL213+AK214)</f>
      </c>
      <c r="AM214" s="217">
        <f>IF(W214&gt;W213,IF(AL214&gt;=$AZ$8,$AZ$8,AL214),IF(OR(AM213=$AZ$8,AM213=0),0,IF(AL214&gt;=$AZ$8,$AZ$8,AL214)))</f>
      </c>
      <c r="AN214" s="748">
        <f>+IF(OR(AM214&gt;AZ213,AM214=0),0,IF(AM214=AL214,AK214,$AZ$7-AL213))</f>
      </c>
      <c r="AO214" s="748">
        <f>+AK214-AN214</f>
      </c>
      <c r="AP214" s="217">
        <f>+_xlfn.IFNA(VLOOKUP(AJ214,$AF$7:$AI$1066,3,0),0)</f>
      </c>
      <c r="AQ214" s="217">
        <f>+IF(W214&gt;W213,AP214,AQ213+AP214)</f>
      </c>
      <c r="AR214" s="217">
        <f>+MAX($AM$2-SUMIF($W$7:$W$1066,W214,$AN$7:$AN$1066),0)</f>
      </c>
      <c r="AS214" s="748">
        <f>+MAX(IF(AQ214&gt;AR214,AR214-AQ213,AP214),0)</f>
      </c>
      <c r="AT214" s="748">
        <f>+AP214-AS214</f>
      </c>
      <c r="AU214" s="217">
        <f>+_xlfn.IFNA(VLOOKUP(AJ214,$AF$7:$AI$1066,4,0),0)</f>
      </c>
      <c r="AV214" s="217">
        <f>+IF(W214&gt;W213,AU214,AV213+AU214)</f>
      </c>
      <c r="AW214" s="217">
        <f>+MAX($AM$2-SUMIF($W$7:$W$1066,W214,$AN$7:$AN$1066)-SUMIF($W$7:$W$1066,W214,$AS$7:$AS$1066),0)</f>
      </c>
      <c r="AX214" s="748">
        <f>+MAX(IF(AV214&gt;AW214,AW214-AV213,AU214),0)</f>
      </c>
      <c r="AY214" s="748">
        <f>+AU214-AX214</f>
      </c>
      <c r="AZ214" s="331">
        <f>+$AM$1+IF($AP$1&gt;$AP$2,$AM$3/2)</f>
      </c>
    </row>
    <row x14ac:dyDescent="0.25" r="215" customHeight="1" ht="18.75">
      <c r="A215" s="1"/>
      <c r="B215" s="7"/>
      <c r="C215" s="170"/>
      <c r="D215" s="331">
        <v>208</v>
      </c>
      <c r="E215" s="544">
        <f>+DATE(YEAR(E214),MONTH(E214)-1,DAY(E214))</f>
        <v>25569.041666666668</v>
      </c>
      <c r="F215" s="333">
        <f>IF(DATE(YEAR($B$6),MONTH($B$6)+1,DAY(1))=E215,1,IF(MONTH(E215)=1,F216*(1+$F$5),F216))</f>
      </c>
      <c r="G215" s="333">
        <f>IF('Simulador - 1º Pilar'!$E$99="Sí",IF('Aportaciones PPE'!$B$13&lt;'Aportaciones PPE'!E215,0,F215*$B$8/12),F215*$B$8/12)</f>
      </c>
      <c r="H215" s="333">
        <f>$H$5*G215</f>
      </c>
      <c r="I215" s="333">
        <f>$I$5*G215</f>
      </c>
      <c r="J215" s="333">
        <f>+I215</f>
      </c>
      <c r="K215" s="333">
        <f>(1+$O$5)^(D215/12)*(H215+IF(AND(F215=1,F216=0),$S$4,0))</f>
      </c>
      <c r="L215" s="333">
        <f>(1+$O$5)^(D215/12)*(I215+IF(AND(F215=1,F216=0),0))</f>
      </c>
      <c r="M215" s="333">
        <f>+L215</f>
      </c>
      <c r="N215" s="333">
        <f>L215+K215+M215</f>
      </c>
      <c r="O215" s="170"/>
      <c r="P215" s="7"/>
      <c r="Q215" s="1"/>
      <c r="R215" s="331">
        <f>D215</f>
      </c>
      <c r="S215" s="169"/>
      <c r="T215" s="1"/>
      <c r="U215" s="217"/>
      <c r="V215" s="331">
        <f>+IF(V214=11,12,IF(V214=12,1,V214+1))</f>
      </c>
      <c r="W215" s="331">
        <f>+W214+IF(V214=12,1,0)</f>
      </c>
      <c r="X215" s="555">
        <f>+DATE(W215,V215,1)</f>
        <v>25569.041666666668</v>
      </c>
      <c r="Y215" s="333">
        <f>+_xlfn.IFNA(AN215+AS215+AX215,0)</f>
      </c>
      <c r="Z215" s="333">
        <f>+_xlfn.IFNA(AO215+AT215+AY215,0)</f>
      </c>
      <c r="AA215" s="333">
        <f>Y215*(1+$O$5)^(($B$7-X215)/365.25)</f>
      </c>
      <c r="AB215" s="333">
        <f>Z215*(1+$O$5)^(($B$7-X215)/365.25)</f>
      </c>
      <c r="AC215" s="1"/>
      <c r="AD215" s="1"/>
      <c r="AE215" s="1"/>
      <c r="AF215" s="111">
        <f>+MONTH(E215)&amp;YEAR(E215)</f>
      </c>
      <c r="AG215" s="217">
        <f>+I215</f>
      </c>
      <c r="AH215" s="217">
        <f>+J215</f>
      </c>
      <c r="AI215" s="217">
        <f>+H215</f>
      </c>
      <c r="AJ215" s="111">
        <f>+V215&amp;W215</f>
      </c>
      <c r="AK215" s="217">
        <f>+_xlfn.IFNA(VLOOKUP(AJ215,$AF$7:$AG$1066,2,0),0)</f>
      </c>
      <c r="AL215" s="217">
        <f>+IF(W215&gt;W214,AK215,AL214+AK215)</f>
      </c>
      <c r="AM215" s="217">
        <f>IF(W215&gt;W214,IF(AL215&gt;=$AZ$8,$AZ$8,AL215),IF(OR(AM214=$AZ$8,AM214=0),0,IF(AL215&gt;=$AZ$8,$AZ$8,AL215)))</f>
      </c>
      <c r="AN215" s="748">
        <f>+IF(OR(AM215&gt;AZ214,AM215=0),0,IF(AM215=AL215,AK215,$AZ$7-AL214))</f>
      </c>
      <c r="AO215" s="748">
        <f>+AK215-AN215</f>
      </c>
      <c r="AP215" s="217">
        <f>+_xlfn.IFNA(VLOOKUP(AJ215,$AF$7:$AI$1066,3,0),0)</f>
      </c>
      <c r="AQ215" s="217">
        <f>+IF(W215&gt;W214,AP215,AQ214+AP215)</f>
      </c>
      <c r="AR215" s="217">
        <f>+MAX($AM$2-SUMIF($W$7:$W$1066,W215,$AN$7:$AN$1066),0)</f>
      </c>
      <c r="AS215" s="748">
        <f>+MAX(IF(AQ215&gt;AR215,AR215-AQ214,AP215),0)</f>
      </c>
      <c r="AT215" s="748">
        <f>+AP215-AS215</f>
      </c>
      <c r="AU215" s="217">
        <f>+_xlfn.IFNA(VLOOKUP(AJ215,$AF$7:$AI$1066,4,0),0)</f>
      </c>
      <c r="AV215" s="217">
        <f>+IF(W215&gt;W214,AU215,AV214+AU215)</f>
      </c>
      <c r="AW215" s="217">
        <f>+MAX($AM$2-SUMIF($W$7:$W$1066,W215,$AN$7:$AN$1066)-SUMIF($W$7:$W$1066,W215,$AS$7:$AS$1066),0)</f>
      </c>
      <c r="AX215" s="748">
        <f>+MAX(IF(AV215&gt;AW215,AW215-AV214,AU215),0)</f>
      </c>
      <c r="AY215" s="748">
        <f>+AU215-AX215</f>
      </c>
      <c r="AZ215" s="331">
        <f>+$AM$1+IF($AP$1&gt;$AP$2,$AM$3/2)</f>
      </c>
    </row>
    <row x14ac:dyDescent="0.25" r="216" customHeight="1" ht="18.75">
      <c r="A216" s="1"/>
      <c r="B216" s="7"/>
      <c r="C216" s="170"/>
      <c r="D216" s="331">
        <v>209</v>
      </c>
      <c r="E216" s="544">
        <f>+DATE(YEAR(E215),MONTH(E215)-1,DAY(E215))</f>
        <v>25569.041666666668</v>
      </c>
      <c r="F216" s="333">
        <f>IF(DATE(YEAR($B$6),MONTH($B$6)+1,DAY(1))=E216,1,IF(MONTH(E216)=1,F217*(1+$F$5),F217))</f>
      </c>
      <c r="G216" s="333">
        <f>IF('Simulador - 1º Pilar'!$E$99="Sí",IF('Aportaciones PPE'!$B$13&lt;'Aportaciones PPE'!E216,0,F216*$B$8/12),F216*$B$8/12)</f>
      </c>
      <c r="H216" s="333">
        <f>$H$5*G216</f>
      </c>
      <c r="I216" s="333">
        <f>$I$5*G216</f>
      </c>
      <c r="J216" s="333">
        <f>+I216</f>
      </c>
      <c r="K216" s="333">
        <f>(1+$O$5)^(D216/12)*(H216+IF(AND(F216=1,F217=0),$S$4,0))</f>
      </c>
      <c r="L216" s="333">
        <f>(1+$O$5)^(D216/12)*(I216+IF(AND(F216=1,F217=0),0))</f>
      </c>
      <c r="M216" s="333">
        <f>+L216</f>
      </c>
      <c r="N216" s="333">
        <f>L216+K216+M216</f>
      </c>
      <c r="O216" s="170"/>
      <c r="P216" s="7"/>
      <c r="Q216" s="1"/>
      <c r="R216" s="331">
        <f>D216</f>
      </c>
      <c r="S216" s="169"/>
      <c r="T216" s="1"/>
      <c r="U216" s="217"/>
      <c r="V216" s="331">
        <f>+IF(V215=11,12,IF(V215=12,1,V215+1))</f>
      </c>
      <c r="W216" s="331">
        <f>+W215+IF(V215=12,1,0)</f>
      </c>
      <c r="X216" s="555">
        <f>+DATE(W216,V216,1)</f>
        <v>25569.041666666668</v>
      </c>
      <c r="Y216" s="333">
        <f>+_xlfn.IFNA(AN216+AS216+AX216,0)</f>
      </c>
      <c r="Z216" s="333">
        <f>+_xlfn.IFNA(AO216+AT216+AY216,0)</f>
      </c>
      <c r="AA216" s="333">
        <f>Y216*(1+$O$5)^(($B$7-X216)/365.25)</f>
      </c>
      <c r="AB216" s="333">
        <f>Z216*(1+$O$5)^(($B$7-X216)/365.25)</f>
      </c>
      <c r="AC216" s="1"/>
      <c r="AD216" s="1"/>
      <c r="AE216" s="1"/>
      <c r="AF216" s="111">
        <f>+MONTH(E216)&amp;YEAR(E216)</f>
      </c>
      <c r="AG216" s="217">
        <f>+I216</f>
      </c>
      <c r="AH216" s="217">
        <f>+J216</f>
      </c>
      <c r="AI216" s="217">
        <f>+H216</f>
      </c>
      <c r="AJ216" s="111">
        <f>+V216&amp;W216</f>
      </c>
      <c r="AK216" s="217">
        <f>+_xlfn.IFNA(VLOOKUP(AJ216,$AF$7:$AG$1066,2,0),0)</f>
      </c>
      <c r="AL216" s="217">
        <f>+IF(W216&gt;W215,AK216,AL215+AK216)</f>
      </c>
      <c r="AM216" s="217">
        <f>IF(W216&gt;W215,IF(AL216&gt;=$AZ$8,$AZ$8,AL216),IF(OR(AM215=$AZ$8,AM215=0),0,IF(AL216&gt;=$AZ$8,$AZ$8,AL216)))</f>
      </c>
      <c r="AN216" s="748">
        <f>+IF(OR(AM216&gt;AZ215,AM216=0),0,IF(AM216=AL216,AK216,$AZ$7-AL215))</f>
      </c>
      <c r="AO216" s="748">
        <f>+AK216-AN216</f>
      </c>
      <c r="AP216" s="217">
        <f>+_xlfn.IFNA(VLOOKUP(AJ216,$AF$7:$AI$1066,3,0),0)</f>
      </c>
      <c r="AQ216" s="217">
        <f>+IF(W216&gt;W215,AP216,AQ215+AP216)</f>
      </c>
      <c r="AR216" s="217">
        <f>+MAX($AM$2-SUMIF($W$7:$W$1066,W216,$AN$7:$AN$1066),0)</f>
      </c>
      <c r="AS216" s="748">
        <f>+MAX(IF(AQ216&gt;AR216,AR216-AQ215,AP216),0)</f>
      </c>
      <c r="AT216" s="748">
        <f>+AP216-AS216</f>
      </c>
      <c r="AU216" s="217">
        <f>+_xlfn.IFNA(VLOOKUP(AJ216,$AF$7:$AI$1066,4,0),0)</f>
      </c>
      <c r="AV216" s="217">
        <f>+IF(W216&gt;W215,AU216,AV215+AU216)</f>
      </c>
      <c r="AW216" s="217">
        <f>+MAX($AM$2-SUMIF($W$7:$W$1066,W216,$AN$7:$AN$1066)-SUMIF($W$7:$W$1066,W216,$AS$7:$AS$1066),0)</f>
      </c>
      <c r="AX216" s="748">
        <f>+MAX(IF(AV216&gt;AW216,AW216-AV215,AU216),0)</f>
      </c>
      <c r="AY216" s="748">
        <f>+AU216-AX216</f>
      </c>
      <c r="AZ216" s="331">
        <f>+$AM$1+IF($AP$1&gt;$AP$2,$AM$3/2)</f>
      </c>
    </row>
    <row x14ac:dyDescent="0.25" r="217" customHeight="1" ht="18.75">
      <c r="A217" s="1"/>
      <c r="B217" s="7"/>
      <c r="C217" s="170"/>
      <c r="D217" s="331">
        <v>210</v>
      </c>
      <c r="E217" s="544">
        <f>+DATE(YEAR(E216),MONTH(E216)-1,DAY(E216))</f>
        <v>25569.041666666668</v>
      </c>
      <c r="F217" s="333">
        <f>IF(DATE(YEAR($B$6),MONTH($B$6)+1,DAY(1))=E217,1,IF(MONTH(E217)=1,F218*(1+$F$5),F218))</f>
      </c>
      <c r="G217" s="333">
        <f>IF('Simulador - 1º Pilar'!$E$99="Sí",IF('Aportaciones PPE'!$B$13&lt;'Aportaciones PPE'!E217,0,F217*$B$8/12),F217*$B$8/12)</f>
      </c>
      <c r="H217" s="333">
        <f>$H$5*G217</f>
      </c>
      <c r="I217" s="333">
        <f>$I$5*G217</f>
      </c>
      <c r="J217" s="333">
        <f>+I217</f>
      </c>
      <c r="K217" s="333">
        <f>(1+$O$5)^(D217/12)*(H217+IF(AND(F217=1,F218=0),$S$4,0))</f>
      </c>
      <c r="L217" s="333">
        <f>(1+$O$5)^(D217/12)*(I217+IF(AND(F217=1,F218=0),0))</f>
      </c>
      <c r="M217" s="333">
        <f>+L217</f>
      </c>
      <c r="N217" s="333">
        <f>L217+K217+M217</f>
      </c>
      <c r="O217" s="170"/>
      <c r="P217" s="7"/>
      <c r="Q217" s="1"/>
      <c r="R217" s="331">
        <f>D217</f>
      </c>
      <c r="S217" s="169"/>
      <c r="T217" s="1"/>
      <c r="U217" s="217"/>
      <c r="V217" s="331">
        <f>+IF(V216=11,12,IF(V216=12,1,V216+1))</f>
      </c>
      <c r="W217" s="331">
        <f>+W216+IF(V216=12,1,0)</f>
      </c>
      <c r="X217" s="555">
        <f>+DATE(W217,V217,1)</f>
        <v>25569.041666666668</v>
      </c>
      <c r="Y217" s="333">
        <f>+_xlfn.IFNA(AN217+AS217+AX217,0)</f>
      </c>
      <c r="Z217" s="333">
        <f>+_xlfn.IFNA(AO217+AT217+AY217,0)</f>
      </c>
      <c r="AA217" s="333">
        <f>Y217*(1+$O$5)^(($B$7-X217)/365.25)</f>
      </c>
      <c r="AB217" s="333">
        <f>Z217*(1+$O$5)^(($B$7-X217)/365.25)</f>
      </c>
      <c r="AC217" s="1"/>
      <c r="AD217" s="1"/>
      <c r="AE217" s="1"/>
      <c r="AF217" s="111">
        <f>+MONTH(E217)&amp;YEAR(E217)</f>
      </c>
      <c r="AG217" s="217">
        <f>+I217</f>
      </c>
      <c r="AH217" s="217">
        <f>+J217</f>
      </c>
      <c r="AI217" s="217">
        <f>+H217</f>
      </c>
      <c r="AJ217" s="111">
        <f>+V217&amp;W217</f>
      </c>
      <c r="AK217" s="217">
        <f>+_xlfn.IFNA(VLOOKUP(AJ217,$AF$7:$AG$1066,2,0),0)</f>
      </c>
      <c r="AL217" s="217">
        <f>+IF(W217&gt;W216,AK217,AL216+AK217)</f>
      </c>
      <c r="AM217" s="217">
        <f>IF(W217&gt;W216,IF(AL217&gt;=$AZ$8,$AZ$8,AL217),IF(OR(AM216=$AZ$8,AM216=0),0,IF(AL217&gt;=$AZ$8,$AZ$8,AL217)))</f>
      </c>
      <c r="AN217" s="748">
        <f>+IF(OR(AM217&gt;AZ216,AM217=0),0,IF(AM217=AL217,AK217,$AZ$7-AL216))</f>
      </c>
      <c r="AO217" s="748">
        <f>+AK217-AN217</f>
      </c>
      <c r="AP217" s="217">
        <f>+_xlfn.IFNA(VLOOKUP(AJ217,$AF$7:$AI$1066,3,0),0)</f>
      </c>
      <c r="AQ217" s="217">
        <f>+IF(W217&gt;W216,AP217,AQ216+AP217)</f>
      </c>
      <c r="AR217" s="217">
        <f>+MAX($AM$2-SUMIF($W$7:$W$1066,W217,$AN$7:$AN$1066),0)</f>
      </c>
      <c r="AS217" s="748">
        <f>+MAX(IF(AQ217&gt;AR217,AR217-AQ216,AP217),0)</f>
      </c>
      <c r="AT217" s="748">
        <f>+AP217-AS217</f>
      </c>
      <c r="AU217" s="217">
        <f>+_xlfn.IFNA(VLOOKUP(AJ217,$AF$7:$AI$1066,4,0),0)</f>
      </c>
      <c r="AV217" s="217">
        <f>+IF(W217&gt;W216,AU217,AV216+AU217)</f>
      </c>
      <c r="AW217" s="217">
        <f>+MAX($AM$2-SUMIF($W$7:$W$1066,W217,$AN$7:$AN$1066)-SUMIF($W$7:$W$1066,W217,$AS$7:$AS$1066),0)</f>
      </c>
      <c r="AX217" s="748">
        <f>+MAX(IF(AV217&gt;AW217,AW217-AV216,AU217),0)</f>
      </c>
      <c r="AY217" s="748">
        <f>+AU217-AX217</f>
      </c>
      <c r="AZ217" s="331">
        <f>+$AM$1+IF($AP$1&gt;$AP$2,$AM$3/2)</f>
      </c>
    </row>
    <row x14ac:dyDescent="0.25" r="218" customHeight="1" ht="18.75">
      <c r="A218" s="1"/>
      <c r="B218" s="7"/>
      <c r="C218" s="170"/>
      <c r="D218" s="331">
        <v>211</v>
      </c>
      <c r="E218" s="544">
        <f>+DATE(YEAR(E217),MONTH(E217)-1,DAY(E217))</f>
        <v>25569.041666666668</v>
      </c>
      <c r="F218" s="333">
        <f>IF(DATE(YEAR($B$6),MONTH($B$6)+1,DAY(1))=E218,1,IF(MONTH(E218)=1,F219*(1+$F$5),F219))</f>
      </c>
      <c r="G218" s="333">
        <f>IF('Simulador - 1º Pilar'!$E$99="Sí",IF('Aportaciones PPE'!$B$13&lt;'Aportaciones PPE'!E218,0,F218*$B$8/12),F218*$B$8/12)</f>
      </c>
      <c r="H218" s="333">
        <f>$H$5*G218</f>
      </c>
      <c r="I218" s="333">
        <f>$I$5*G218</f>
      </c>
      <c r="J218" s="333">
        <f>+I218</f>
      </c>
      <c r="K218" s="333">
        <f>(1+$O$5)^(D218/12)*(H218+IF(AND(F218=1,F219=0),$S$4,0))</f>
      </c>
      <c r="L218" s="333">
        <f>(1+$O$5)^(D218/12)*(I218+IF(AND(F218=1,F219=0),0))</f>
      </c>
      <c r="M218" s="333">
        <f>+L218</f>
      </c>
      <c r="N218" s="333">
        <f>L218+K218+M218</f>
      </c>
      <c r="O218" s="170"/>
      <c r="P218" s="7"/>
      <c r="Q218" s="1"/>
      <c r="R218" s="331">
        <f>D218</f>
      </c>
      <c r="S218" s="169"/>
      <c r="T218" s="1"/>
      <c r="U218" s="217"/>
      <c r="V218" s="331">
        <f>+IF(V217=11,12,IF(V217=12,1,V217+1))</f>
      </c>
      <c r="W218" s="331">
        <f>+W217+IF(V217=12,1,0)</f>
      </c>
      <c r="X218" s="555">
        <f>+DATE(W218,V218,1)</f>
        <v>25569.041666666668</v>
      </c>
      <c r="Y218" s="333">
        <f>+_xlfn.IFNA(AN218+AS218+AX218,0)</f>
      </c>
      <c r="Z218" s="333">
        <f>+_xlfn.IFNA(AO218+AT218+AY218,0)</f>
      </c>
      <c r="AA218" s="333">
        <f>Y218*(1+$O$5)^(($B$7-X218)/365.25)</f>
      </c>
      <c r="AB218" s="333">
        <f>Z218*(1+$O$5)^(($B$7-X218)/365.25)</f>
      </c>
      <c r="AC218" s="1"/>
      <c r="AD218" s="1"/>
      <c r="AE218" s="1"/>
      <c r="AF218" s="111">
        <f>+MONTH(E218)&amp;YEAR(E218)</f>
      </c>
      <c r="AG218" s="217">
        <f>+I218</f>
      </c>
      <c r="AH218" s="217">
        <f>+J218</f>
      </c>
      <c r="AI218" s="217">
        <f>+H218</f>
      </c>
      <c r="AJ218" s="111">
        <f>+V218&amp;W218</f>
      </c>
      <c r="AK218" s="217">
        <f>+_xlfn.IFNA(VLOOKUP(AJ218,$AF$7:$AG$1066,2,0),0)</f>
      </c>
      <c r="AL218" s="217">
        <f>+IF(W218&gt;W217,AK218,AL217+AK218)</f>
      </c>
      <c r="AM218" s="217">
        <f>IF(W218&gt;W217,IF(AL218&gt;=$AZ$8,$AZ$8,AL218),IF(OR(AM217=$AZ$8,AM217=0),0,IF(AL218&gt;=$AZ$8,$AZ$8,AL218)))</f>
      </c>
      <c r="AN218" s="748">
        <f>+IF(OR(AM218&gt;AZ217,AM218=0),0,IF(AM218=AL218,AK218,$AZ$7-AL217))</f>
      </c>
      <c r="AO218" s="748">
        <f>+AK218-AN218</f>
      </c>
      <c r="AP218" s="217">
        <f>+_xlfn.IFNA(VLOOKUP(AJ218,$AF$7:$AI$1066,3,0),0)</f>
      </c>
      <c r="AQ218" s="217">
        <f>+IF(W218&gt;W217,AP218,AQ217+AP218)</f>
      </c>
      <c r="AR218" s="217">
        <f>+MAX($AM$2-SUMIF($W$7:$W$1066,W218,$AN$7:$AN$1066),0)</f>
      </c>
      <c r="AS218" s="748">
        <f>+MAX(IF(AQ218&gt;AR218,AR218-AQ217,AP218),0)</f>
      </c>
      <c r="AT218" s="748">
        <f>+AP218-AS218</f>
      </c>
      <c r="AU218" s="217">
        <f>+_xlfn.IFNA(VLOOKUP(AJ218,$AF$7:$AI$1066,4,0),0)</f>
      </c>
      <c r="AV218" s="217">
        <f>+IF(W218&gt;W217,AU218,AV217+AU218)</f>
      </c>
      <c r="AW218" s="217">
        <f>+MAX($AM$2-SUMIF($W$7:$W$1066,W218,$AN$7:$AN$1066)-SUMIF($W$7:$W$1066,W218,$AS$7:$AS$1066),0)</f>
      </c>
      <c r="AX218" s="748">
        <f>+MAX(IF(AV218&gt;AW218,AW218-AV217,AU218),0)</f>
      </c>
      <c r="AY218" s="748">
        <f>+AU218-AX218</f>
      </c>
      <c r="AZ218" s="331">
        <f>+$AM$1+IF($AP$1&gt;$AP$2,$AM$3/2)</f>
      </c>
    </row>
    <row x14ac:dyDescent="0.25" r="219" customHeight="1" ht="18.75">
      <c r="A219" s="1"/>
      <c r="B219" s="7"/>
      <c r="C219" s="170"/>
      <c r="D219" s="331">
        <v>212</v>
      </c>
      <c r="E219" s="544">
        <f>+DATE(YEAR(E218),MONTH(E218)-1,DAY(E218))</f>
        <v>25569.041666666668</v>
      </c>
      <c r="F219" s="333">
        <f>IF(DATE(YEAR($B$6),MONTH($B$6)+1,DAY(1))=E219,1,IF(MONTH(E219)=1,F220*(1+$F$5),F220))</f>
      </c>
      <c r="G219" s="333">
        <f>IF('Simulador - 1º Pilar'!$E$99="Sí",IF('Aportaciones PPE'!$B$13&lt;'Aportaciones PPE'!E219,0,F219*$B$8/12),F219*$B$8/12)</f>
      </c>
      <c r="H219" s="333">
        <f>$H$5*G219</f>
      </c>
      <c r="I219" s="333">
        <f>$I$5*G219</f>
      </c>
      <c r="J219" s="333">
        <f>+I219</f>
      </c>
      <c r="K219" s="333">
        <f>(1+$O$5)^(D219/12)*(H219+IF(AND(F219=1,F220=0),$S$4,0))</f>
      </c>
      <c r="L219" s="333">
        <f>(1+$O$5)^(D219/12)*(I219+IF(AND(F219=1,F220=0),0))</f>
      </c>
      <c r="M219" s="333">
        <f>+L219</f>
      </c>
      <c r="N219" s="333">
        <f>L219+K219+M219</f>
      </c>
      <c r="O219" s="170"/>
      <c r="P219" s="7"/>
      <c r="Q219" s="1"/>
      <c r="R219" s="331">
        <f>D219</f>
      </c>
      <c r="S219" s="169"/>
      <c r="T219" s="1"/>
      <c r="U219" s="217"/>
      <c r="V219" s="331">
        <f>+IF(V218=11,12,IF(V218=12,1,V218+1))</f>
      </c>
      <c r="W219" s="331">
        <f>+W218+IF(V218=12,1,0)</f>
      </c>
      <c r="X219" s="555">
        <f>+DATE(W219,V219,1)</f>
        <v>25569.041666666668</v>
      </c>
      <c r="Y219" s="333">
        <f>+_xlfn.IFNA(AN219+AS219+AX219,0)</f>
      </c>
      <c r="Z219" s="333">
        <f>+_xlfn.IFNA(AO219+AT219+AY219,0)</f>
      </c>
      <c r="AA219" s="333">
        <f>Y219*(1+$O$5)^(($B$7-X219)/365.25)</f>
      </c>
      <c r="AB219" s="333">
        <f>Z219*(1+$O$5)^(($B$7-X219)/365.25)</f>
      </c>
      <c r="AC219" s="1"/>
      <c r="AD219" s="1"/>
      <c r="AE219" s="1"/>
      <c r="AF219" s="111">
        <f>+MONTH(E219)&amp;YEAR(E219)</f>
      </c>
      <c r="AG219" s="217">
        <f>+I219</f>
      </c>
      <c r="AH219" s="217">
        <f>+J219</f>
      </c>
      <c r="AI219" s="217">
        <f>+H219</f>
      </c>
      <c r="AJ219" s="111">
        <f>+V219&amp;W219</f>
      </c>
      <c r="AK219" s="217">
        <f>+_xlfn.IFNA(VLOOKUP(AJ219,$AF$7:$AG$1066,2,0),0)</f>
      </c>
      <c r="AL219" s="217">
        <f>+IF(W219&gt;W218,AK219,AL218+AK219)</f>
      </c>
      <c r="AM219" s="217">
        <f>IF(W219&gt;W218,IF(AL219&gt;=$AZ$8,$AZ$8,AL219),IF(OR(AM218=$AZ$8,AM218=0),0,IF(AL219&gt;=$AZ$8,$AZ$8,AL219)))</f>
      </c>
      <c r="AN219" s="748">
        <f>+IF(OR(AM219&gt;AZ218,AM219=0),0,IF(AM219=AL219,AK219,$AZ$7-AL218))</f>
      </c>
      <c r="AO219" s="748">
        <f>+AK219-AN219</f>
      </c>
      <c r="AP219" s="217">
        <f>+_xlfn.IFNA(VLOOKUP(AJ219,$AF$7:$AI$1066,3,0),0)</f>
      </c>
      <c r="AQ219" s="217">
        <f>+IF(W219&gt;W218,AP219,AQ218+AP219)</f>
      </c>
      <c r="AR219" s="217">
        <f>+MAX($AM$2-SUMIF($W$7:$W$1066,W219,$AN$7:$AN$1066),0)</f>
      </c>
      <c r="AS219" s="748">
        <f>+MAX(IF(AQ219&gt;AR219,AR219-AQ218,AP219),0)</f>
      </c>
      <c r="AT219" s="748">
        <f>+AP219-AS219</f>
      </c>
      <c r="AU219" s="217">
        <f>+_xlfn.IFNA(VLOOKUP(AJ219,$AF$7:$AI$1066,4,0),0)</f>
      </c>
      <c r="AV219" s="217">
        <f>+IF(W219&gt;W218,AU219,AV218+AU219)</f>
      </c>
      <c r="AW219" s="217">
        <f>+MAX($AM$2-SUMIF($W$7:$W$1066,W219,$AN$7:$AN$1066)-SUMIF($W$7:$W$1066,W219,$AS$7:$AS$1066),0)</f>
      </c>
      <c r="AX219" s="748">
        <f>+MAX(IF(AV219&gt;AW219,AW219-AV218,AU219),0)</f>
      </c>
      <c r="AY219" s="748">
        <f>+AU219-AX219</f>
      </c>
      <c r="AZ219" s="331">
        <f>+$AM$1+IF($AP$1&gt;$AP$2,$AM$3/2)</f>
      </c>
    </row>
    <row x14ac:dyDescent="0.25" r="220" customHeight="1" ht="18.75">
      <c r="A220" s="1"/>
      <c r="B220" s="7"/>
      <c r="C220" s="170"/>
      <c r="D220" s="331">
        <v>213</v>
      </c>
      <c r="E220" s="544">
        <f>+DATE(YEAR(E219),MONTH(E219)-1,DAY(E219))</f>
        <v>25569.041666666668</v>
      </c>
      <c r="F220" s="333">
        <f>IF(DATE(YEAR($B$6),MONTH($B$6)+1,DAY(1))=E220,1,IF(MONTH(E220)=1,F221*(1+$F$5),F221))</f>
      </c>
      <c r="G220" s="333">
        <f>IF('Simulador - 1º Pilar'!$E$99="Sí",IF('Aportaciones PPE'!$B$13&lt;'Aportaciones PPE'!E220,0,F220*$B$8/12),F220*$B$8/12)</f>
      </c>
      <c r="H220" s="333">
        <f>$H$5*G220</f>
      </c>
      <c r="I220" s="333">
        <f>$I$5*G220</f>
      </c>
      <c r="J220" s="333">
        <f>+I220</f>
      </c>
      <c r="K220" s="333">
        <f>(1+$O$5)^(D220/12)*(H220+IF(AND(F220=1,F221=0),$S$4,0))</f>
      </c>
      <c r="L220" s="333">
        <f>(1+$O$5)^(D220/12)*(I220+IF(AND(F220=1,F221=0),0))</f>
      </c>
      <c r="M220" s="333">
        <f>+L220</f>
      </c>
      <c r="N220" s="333">
        <f>L220+K220+M220</f>
      </c>
      <c r="O220" s="170"/>
      <c r="P220" s="7"/>
      <c r="Q220" s="1"/>
      <c r="R220" s="331">
        <f>D220</f>
      </c>
      <c r="S220" s="169"/>
      <c r="T220" s="1"/>
      <c r="U220" s="217"/>
      <c r="V220" s="331">
        <f>+IF(V219=11,12,IF(V219=12,1,V219+1))</f>
      </c>
      <c r="W220" s="331">
        <f>+W219+IF(V219=12,1,0)</f>
      </c>
      <c r="X220" s="555">
        <f>+DATE(W220,V220,1)</f>
        <v>25569.041666666668</v>
      </c>
      <c r="Y220" s="333">
        <f>+_xlfn.IFNA(AN220+AS220+AX220,0)</f>
      </c>
      <c r="Z220" s="333">
        <f>+_xlfn.IFNA(AO220+AT220+AY220,0)</f>
      </c>
      <c r="AA220" s="333">
        <f>Y220*(1+$O$5)^(($B$7-X220)/365.25)</f>
      </c>
      <c r="AB220" s="333">
        <f>Z220*(1+$O$5)^(($B$7-X220)/365.25)</f>
      </c>
      <c r="AC220" s="1"/>
      <c r="AD220" s="1"/>
      <c r="AE220" s="1"/>
      <c r="AF220" s="111">
        <f>+MONTH(E220)&amp;YEAR(E220)</f>
      </c>
      <c r="AG220" s="217">
        <f>+I220</f>
      </c>
      <c r="AH220" s="217">
        <f>+J220</f>
      </c>
      <c r="AI220" s="217">
        <f>+H220</f>
      </c>
      <c r="AJ220" s="111">
        <f>+V220&amp;W220</f>
      </c>
      <c r="AK220" s="217">
        <f>+_xlfn.IFNA(VLOOKUP(AJ220,$AF$7:$AG$1066,2,0),0)</f>
      </c>
      <c r="AL220" s="217">
        <f>+IF(W220&gt;W219,AK220,AL219+AK220)</f>
      </c>
      <c r="AM220" s="217">
        <f>IF(W220&gt;W219,IF(AL220&gt;=$AZ$8,$AZ$8,AL220),IF(OR(AM219=$AZ$8,AM219=0),0,IF(AL220&gt;=$AZ$8,$AZ$8,AL220)))</f>
      </c>
      <c r="AN220" s="748">
        <f>+IF(OR(AM220&gt;AZ219,AM220=0),0,IF(AM220=AL220,AK220,$AZ$7-AL219))</f>
      </c>
      <c r="AO220" s="748">
        <f>+AK220-AN220</f>
      </c>
      <c r="AP220" s="217">
        <f>+_xlfn.IFNA(VLOOKUP(AJ220,$AF$7:$AI$1066,3,0),0)</f>
      </c>
      <c r="AQ220" s="217">
        <f>+IF(W220&gt;W219,AP220,AQ219+AP220)</f>
      </c>
      <c r="AR220" s="217">
        <f>+MAX($AM$2-SUMIF($W$7:$W$1066,W220,$AN$7:$AN$1066),0)</f>
      </c>
      <c r="AS220" s="748">
        <f>+MAX(IF(AQ220&gt;AR220,AR220-AQ219,AP220),0)</f>
      </c>
      <c r="AT220" s="748">
        <f>+AP220-AS220</f>
      </c>
      <c r="AU220" s="217">
        <f>+_xlfn.IFNA(VLOOKUP(AJ220,$AF$7:$AI$1066,4,0),0)</f>
      </c>
      <c r="AV220" s="217">
        <f>+IF(W220&gt;W219,AU220,AV219+AU220)</f>
      </c>
      <c r="AW220" s="217">
        <f>+MAX($AM$2-SUMIF($W$7:$W$1066,W220,$AN$7:$AN$1066)-SUMIF($W$7:$W$1066,W220,$AS$7:$AS$1066),0)</f>
      </c>
      <c r="AX220" s="748">
        <f>+MAX(IF(AV220&gt;AW220,AW220-AV219,AU220),0)</f>
      </c>
      <c r="AY220" s="748">
        <f>+AU220-AX220</f>
      </c>
      <c r="AZ220" s="331">
        <f>+$AM$1+IF($AP$1&gt;$AP$2,$AM$3/2)</f>
      </c>
    </row>
    <row x14ac:dyDescent="0.25" r="221" customHeight="1" ht="18.75">
      <c r="A221" s="1"/>
      <c r="B221" s="7"/>
      <c r="C221" s="170"/>
      <c r="D221" s="331">
        <v>214</v>
      </c>
      <c r="E221" s="544">
        <f>+DATE(YEAR(E220),MONTH(E220)-1,DAY(E220))</f>
        <v>25569.041666666668</v>
      </c>
      <c r="F221" s="333">
        <f>IF(DATE(YEAR($B$6),MONTH($B$6)+1,DAY(1))=E221,1,IF(MONTH(E221)=1,F222*(1+$F$5),F222))</f>
      </c>
      <c r="G221" s="333">
        <f>IF('Simulador - 1º Pilar'!$E$99="Sí",IF('Aportaciones PPE'!$B$13&lt;'Aportaciones PPE'!E221,0,F221*$B$8/12),F221*$B$8/12)</f>
      </c>
      <c r="H221" s="333">
        <f>$H$5*G221</f>
      </c>
      <c r="I221" s="333">
        <f>$I$5*G221</f>
      </c>
      <c r="J221" s="333">
        <f>+I221</f>
      </c>
      <c r="K221" s="333">
        <f>(1+$O$5)^(D221/12)*(H221+IF(AND(F221=1,F222=0),$S$4,0))</f>
      </c>
      <c r="L221" s="333">
        <f>(1+$O$5)^(D221/12)*(I221+IF(AND(F221=1,F222=0),0))</f>
      </c>
      <c r="M221" s="333">
        <f>+L221</f>
      </c>
      <c r="N221" s="333">
        <f>L221+K221+M221</f>
      </c>
      <c r="O221" s="170"/>
      <c r="P221" s="7"/>
      <c r="Q221" s="1"/>
      <c r="R221" s="331">
        <f>D221</f>
      </c>
      <c r="S221" s="169"/>
      <c r="T221" s="1"/>
      <c r="U221" s="217"/>
      <c r="V221" s="331">
        <f>+IF(V220=11,12,IF(V220=12,1,V220+1))</f>
      </c>
      <c r="W221" s="331">
        <f>+W220+IF(V220=12,1,0)</f>
      </c>
      <c r="X221" s="555">
        <f>+DATE(W221,V221,1)</f>
        <v>25569.041666666668</v>
      </c>
      <c r="Y221" s="333">
        <f>+_xlfn.IFNA(AN221+AS221+AX221,0)</f>
      </c>
      <c r="Z221" s="333">
        <f>+_xlfn.IFNA(AO221+AT221+AY221,0)</f>
      </c>
      <c r="AA221" s="333">
        <f>Y221*(1+$O$5)^(($B$7-X221)/365.25)</f>
      </c>
      <c r="AB221" s="333">
        <f>Z221*(1+$O$5)^(($B$7-X221)/365.25)</f>
      </c>
      <c r="AC221" s="1"/>
      <c r="AD221" s="1"/>
      <c r="AE221" s="1"/>
      <c r="AF221" s="111">
        <f>+MONTH(E221)&amp;YEAR(E221)</f>
      </c>
      <c r="AG221" s="217">
        <f>+I221</f>
      </c>
      <c r="AH221" s="217">
        <f>+J221</f>
      </c>
      <c r="AI221" s="217">
        <f>+H221</f>
      </c>
      <c r="AJ221" s="111">
        <f>+V221&amp;W221</f>
      </c>
      <c r="AK221" s="217">
        <f>+_xlfn.IFNA(VLOOKUP(AJ221,$AF$7:$AG$1066,2,0),0)</f>
      </c>
      <c r="AL221" s="217">
        <f>+IF(W221&gt;W220,AK221,AL220+AK221)</f>
      </c>
      <c r="AM221" s="217">
        <f>IF(W221&gt;W220,IF(AL221&gt;=$AZ$8,$AZ$8,AL221),IF(OR(AM220=$AZ$8,AM220=0),0,IF(AL221&gt;=$AZ$8,$AZ$8,AL221)))</f>
      </c>
      <c r="AN221" s="748">
        <f>+IF(OR(AM221&gt;AZ220,AM221=0),0,IF(AM221=AL221,AK221,$AZ$7-AL220))</f>
      </c>
      <c r="AO221" s="748">
        <f>+AK221-AN221</f>
      </c>
      <c r="AP221" s="217">
        <f>+_xlfn.IFNA(VLOOKUP(AJ221,$AF$7:$AI$1066,3,0),0)</f>
      </c>
      <c r="AQ221" s="217">
        <f>+IF(W221&gt;W220,AP221,AQ220+AP221)</f>
      </c>
      <c r="AR221" s="217">
        <f>+MAX($AM$2-SUMIF($W$7:$W$1066,W221,$AN$7:$AN$1066),0)</f>
      </c>
      <c r="AS221" s="748">
        <f>+MAX(IF(AQ221&gt;AR221,AR221-AQ220,AP221),0)</f>
      </c>
      <c r="AT221" s="748">
        <f>+AP221-AS221</f>
      </c>
      <c r="AU221" s="217">
        <f>+_xlfn.IFNA(VLOOKUP(AJ221,$AF$7:$AI$1066,4,0),0)</f>
      </c>
      <c r="AV221" s="217">
        <f>+IF(W221&gt;W220,AU221,AV220+AU221)</f>
      </c>
      <c r="AW221" s="217">
        <f>+MAX($AM$2-SUMIF($W$7:$W$1066,W221,$AN$7:$AN$1066)-SUMIF($W$7:$W$1066,W221,$AS$7:$AS$1066),0)</f>
      </c>
      <c r="AX221" s="748">
        <f>+MAX(IF(AV221&gt;AW221,AW221-AV220,AU221),0)</f>
      </c>
      <c r="AY221" s="748">
        <f>+AU221-AX221</f>
      </c>
      <c r="AZ221" s="331">
        <f>+$AM$1+IF($AP$1&gt;$AP$2,$AM$3/2)</f>
      </c>
    </row>
    <row x14ac:dyDescent="0.25" r="222" customHeight="1" ht="18.75">
      <c r="A222" s="1"/>
      <c r="B222" s="7"/>
      <c r="C222" s="170"/>
      <c r="D222" s="331">
        <v>215</v>
      </c>
      <c r="E222" s="544">
        <f>+DATE(YEAR(E221),MONTH(E221)-1,DAY(E221))</f>
        <v>25569.041666666668</v>
      </c>
      <c r="F222" s="333">
        <f>IF(DATE(YEAR($B$6),MONTH($B$6)+1,DAY(1))=E222,1,IF(MONTH(E222)=1,F223*(1+$F$5),F223))</f>
      </c>
      <c r="G222" s="333">
        <f>IF('Simulador - 1º Pilar'!$E$99="Sí",IF('Aportaciones PPE'!$B$13&lt;'Aportaciones PPE'!E222,0,F222*$B$8/12),F222*$B$8/12)</f>
      </c>
      <c r="H222" s="333">
        <f>$H$5*G222</f>
      </c>
      <c r="I222" s="333">
        <f>$I$5*G222</f>
      </c>
      <c r="J222" s="333">
        <f>+I222</f>
      </c>
      <c r="K222" s="333">
        <f>(1+$O$5)^(D222/12)*(H222+IF(AND(F222=1,F223=0),$S$4,0))</f>
      </c>
      <c r="L222" s="333">
        <f>(1+$O$5)^(D222/12)*(I222+IF(AND(F222=1,F223=0),0))</f>
      </c>
      <c r="M222" s="333">
        <f>+L222</f>
      </c>
      <c r="N222" s="333">
        <f>L222+K222+M222</f>
      </c>
      <c r="O222" s="170"/>
      <c r="P222" s="7"/>
      <c r="Q222" s="1"/>
      <c r="R222" s="331">
        <f>D222</f>
      </c>
      <c r="S222" s="169"/>
      <c r="T222" s="1"/>
      <c r="U222" s="217"/>
      <c r="V222" s="331">
        <f>+IF(V221=11,12,IF(V221=12,1,V221+1))</f>
      </c>
      <c r="W222" s="331">
        <f>+W221+IF(V221=12,1,0)</f>
      </c>
      <c r="X222" s="555">
        <f>+DATE(W222,V222,1)</f>
        <v>25569.041666666668</v>
      </c>
      <c r="Y222" s="333">
        <f>+_xlfn.IFNA(AN222+AS222+AX222,0)</f>
      </c>
      <c r="Z222" s="333">
        <f>+_xlfn.IFNA(AO222+AT222+AY222,0)</f>
      </c>
      <c r="AA222" s="333">
        <f>Y222*(1+$O$5)^(($B$7-X222)/365.25)</f>
      </c>
      <c r="AB222" s="333">
        <f>Z222*(1+$O$5)^(($B$7-X222)/365.25)</f>
      </c>
      <c r="AC222" s="1"/>
      <c r="AD222" s="1"/>
      <c r="AE222" s="1"/>
      <c r="AF222" s="111">
        <f>+MONTH(E222)&amp;YEAR(E222)</f>
      </c>
      <c r="AG222" s="217">
        <f>+I222</f>
      </c>
      <c r="AH222" s="217">
        <f>+J222</f>
      </c>
      <c r="AI222" s="217">
        <f>+H222</f>
      </c>
      <c r="AJ222" s="111">
        <f>+V222&amp;W222</f>
      </c>
      <c r="AK222" s="217">
        <f>+_xlfn.IFNA(VLOOKUP(AJ222,$AF$7:$AG$1066,2,0),0)</f>
      </c>
      <c r="AL222" s="217">
        <f>+IF(W222&gt;W221,AK222,AL221+AK222)</f>
      </c>
      <c r="AM222" s="217">
        <f>IF(W222&gt;W221,IF(AL222&gt;=$AZ$8,$AZ$8,AL222),IF(OR(AM221=$AZ$8,AM221=0),0,IF(AL222&gt;=$AZ$8,$AZ$8,AL222)))</f>
      </c>
      <c r="AN222" s="748">
        <f>+IF(OR(AM222&gt;AZ221,AM222=0),0,IF(AM222=AL222,AK222,$AZ$7-AL221))</f>
      </c>
      <c r="AO222" s="748">
        <f>+AK222-AN222</f>
      </c>
      <c r="AP222" s="217">
        <f>+_xlfn.IFNA(VLOOKUP(AJ222,$AF$7:$AI$1066,3,0),0)</f>
      </c>
      <c r="AQ222" s="217">
        <f>+IF(W222&gt;W221,AP222,AQ221+AP222)</f>
      </c>
      <c r="AR222" s="217">
        <f>+MAX($AM$2-SUMIF($W$7:$W$1066,W222,$AN$7:$AN$1066),0)</f>
      </c>
      <c r="AS222" s="748">
        <f>+MAX(IF(AQ222&gt;AR222,AR222-AQ221,AP222),0)</f>
      </c>
      <c r="AT222" s="748">
        <f>+AP222-AS222</f>
      </c>
      <c r="AU222" s="217">
        <f>+_xlfn.IFNA(VLOOKUP(AJ222,$AF$7:$AI$1066,4,0),0)</f>
      </c>
      <c r="AV222" s="217">
        <f>+IF(W222&gt;W221,AU222,AV221+AU222)</f>
      </c>
      <c r="AW222" s="217">
        <f>+MAX($AM$2-SUMIF($W$7:$W$1066,W222,$AN$7:$AN$1066)-SUMIF($W$7:$W$1066,W222,$AS$7:$AS$1066),0)</f>
      </c>
      <c r="AX222" s="748">
        <f>+MAX(IF(AV222&gt;AW222,AW222-AV221,AU222),0)</f>
      </c>
      <c r="AY222" s="748">
        <f>+AU222-AX222</f>
      </c>
      <c r="AZ222" s="331">
        <f>+$AM$1+IF($AP$1&gt;$AP$2,$AM$3/2)</f>
      </c>
    </row>
    <row x14ac:dyDescent="0.25" r="223" customHeight="1" ht="18.75">
      <c r="A223" s="1"/>
      <c r="B223" s="7"/>
      <c r="C223" s="170"/>
      <c r="D223" s="331">
        <v>216</v>
      </c>
      <c r="E223" s="544">
        <f>+DATE(YEAR(E222),MONTH(E222)-1,DAY(E222))</f>
        <v>25569.041666666668</v>
      </c>
      <c r="F223" s="333">
        <f>IF(DATE(YEAR($B$6),MONTH($B$6)+1,DAY(1))=E223,1,IF(MONTH(E223)=1,F224*(1+$F$5),F224))</f>
      </c>
      <c r="G223" s="333">
        <f>IF('Simulador - 1º Pilar'!$E$99="Sí",IF('Aportaciones PPE'!$B$13&lt;'Aportaciones PPE'!E223,0,F223*$B$8/12),F223*$B$8/12)</f>
      </c>
      <c r="H223" s="333">
        <f>$H$5*G223</f>
      </c>
      <c r="I223" s="333">
        <f>$I$5*G223</f>
      </c>
      <c r="J223" s="333">
        <f>+I223</f>
      </c>
      <c r="K223" s="333">
        <f>(1+$O$5)^(D223/12)*(H223+IF(AND(F223=1,F224=0),$S$4,0))</f>
      </c>
      <c r="L223" s="333">
        <f>(1+$O$5)^(D223/12)*(I223+IF(AND(F223=1,F224=0),0))</f>
      </c>
      <c r="M223" s="333">
        <f>+L223</f>
      </c>
      <c r="N223" s="333">
        <f>L223+K223+M223</f>
      </c>
      <c r="O223" s="170"/>
      <c r="P223" s="7"/>
      <c r="Q223" s="1"/>
      <c r="R223" s="331">
        <f>D223</f>
      </c>
      <c r="S223" s="169"/>
      <c r="T223" s="1"/>
      <c r="U223" s="217"/>
      <c r="V223" s="331">
        <f>+IF(V222=11,12,IF(V222=12,1,V222+1))</f>
      </c>
      <c r="W223" s="331">
        <f>+W222+IF(V222=12,1,0)</f>
      </c>
      <c r="X223" s="555">
        <f>+DATE(W223,V223,1)</f>
        <v>25569.041666666668</v>
      </c>
      <c r="Y223" s="333">
        <f>+_xlfn.IFNA(AN223+AS223+AX223,0)</f>
      </c>
      <c r="Z223" s="333">
        <f>+_xlfn.IFNA(AO223+AT223+AY223,0)</f>
      </c>
      <c r="AA223" s="333">
        <f>Y223*(1+$O$5)^(($B$7-X223)/365.25)</f>
      </c>
      <c r="AB223" s="333">
        <f>Z223*(1+$O$5)^(($B$7-X223)/365.25)</f>
      </c>
      <c r="AC223" s="1"/>
      <c r="AD223" s="1"/>
      <c r="AE223" s="1"/>
      <c r="AF223" s="111">
        <f>+MONTH(E223)&amp;YEAR(E223)</f>
      </c>
      <c r="AG223" s="217">
        <f>+I223</f>
      </c>
      <c r="AH223" s="217">
        <f>+J223</f>
      </c>
      <c r="AI223" s="217">
        <f>+H223</f>
      </c>
      <c r="AJ223" s="111">
        <f>+V223&amp;W223</f>
      </c>
      <c r="AK223" s="217">
        <f>+_xlfn.IFNA(VLOOKUP(AJ223,$AF$7:$AG$1066,2,0),0)</f>
      </c>
      <c r="AL223" s="217">
        <f>+IF(W223&gt;W222,AK223,AL222+AK223)</f>
      </c>
      <c r="AM223" s="217">
        <f>IF(W223&gt;W222,IF(AL223&gt;=$AZ$8,$AZ$8,AL223),IF(OR(AM222=$AZ$8,AM222=0),0,IF(AL223&gt;=$AZ$8,$AZ$8,AL223)))</f>
      </c>
      <c r="AN223" s="748">
        <f>+IF(OR(AM223&gt;AZ222,AM223=0),0,IF(AM223=AL223,AK223,$AZ$7-AL222))</f>
      </c>
      <c r="AO223" s="748">
        <f>+AK223-AN223</f>
      </c>
      <c r="AP223" s="217">
        <f>+_xlfn.IFNA(VLOOKUP(AJ223,$AF$7:$AI$1066,3,0),0)</f>
      </c>
      <c r="AQ223" s="217">
        <f>+IF(W223&gt;W222,AP223,AQ222+AP223)</f>
      </c>
      <c r="AR223" s="217">
        <f>+MAX($AM$2-SUMIF($W$7:$W$1066,W223,$AN$7:$AN$1066),0)</f>
      </c>
      <c r="AS223" s="748">
        <f>+MAX(IF(AQ223&gt;AR223,AR223-AQ222,AP223),0)</f>
      </c>
      <c r="AT223" s="748">
        <f>+AP223-AS223</f>
      </c>
      <c r="AU223" s="217">
        <f>+_xlfn.IFNA(VLOOKUP(AJ223,$AF$7:$AI$1066,4,0),0)</f>
      </c>
      <c r="AV223" s="217">
        <f>+IF(W223&gt;W222,AU223,AV222+AU223)</f>
      </c>
      <c r="AW223" s="217">
        <f>+MAX($AM$2-SUMIF($W$7:$W$1066,W223,$AN$7:$AN$1066)-SUMIF($W$7:$W$1066,W223,$AS$7:$AS$1066),0)</f>
      </c>
      <c r="AX223" s="748">
        <f>+MAX(IF(AV223&gt;AW223,AW223-AV222,AU223),0)</f>
      </c>
      <c r="AY223" s="748">
        <f>+AU223-AX223</f>
      </c>
      <c r="AZ223" s="331">
        <f>+$AM$1+IF($AP$1&gt;$AP$2,$AM$3/2)</f>
      </c>
    </row>
    <row x14ac:dyDescent="0.25" r="224" customHeight="1" ht="18.75">
      <c r="A224" s="1"/>
      <c r="B224" s="7"/>
      <c r="C224" s="170"/>
      <c r="D224" s="331">
        <v>217</v>
      </c>
      <c r="E224" s="544">
        <f>+DATE(YEAR(E223),MONTH(E223)-1,DAY(E223))</f>
        <v>25569.041666666668</v>
      </c>
      <c r="F224" s="333">
        <f>IF(DATE(YEAR($B$6),MONTH($B$6)+1,DAY(1))=E224,1,IF(MONTH(E224)=1,F225*(1+$F$5),F225))</f>
      </c>
      <c r="G224" s="333">
        <f>IF('Simulador - 1º Pilar'!$E$99="Sí",IF('Aportaciones PPE'!$B$13&lt;'Aportaciones PPE'!E224,0,F224*$B$8/12),F224*$B$8/12)</f>
      </c>
      <c r="H224" s="333">
        <f>$H$5*G224</f>
      </c>
      <c r="I224" s="333">
        <f>$I$5*G224</f>
      </c>
      <c r="J224" s="333">
        <f>+I224</f>
      </c>
      <c r="K224" s="333">
        <f>(1+$O$5)^(D224/12)*(H224+IF(AND(F224=1,F225=0),$S$4,0))</f>
      </c>
      <c r="L224" s="333">
        <f>(1+$O$5)^(D224/12)*(I224+IF(AND(F224=1,F225=0),0))</f>
      </c>
      <c r="M224" s="333">
        <f>+L224</f>
      </c>
      <c r="N224" s="333">
        <f>L224+K224+M224</f>
      </c>
      <c r="O224" s="170"/>
      <c r="P224" s="7"/>
      <c r="Q224" s="1"/>
      <c r="R224" s="331">
        <f>D224</f>
      </c>
      <c r="S224" s="169"/>
      <c r="T224" s="1"/>
      <c r="U224" s="217"/>
      <c r="V224" s="331">
        <f>+IF(V223=11,12,IF(V223=12,1,V223+1))</f>
      </c>
      <c r="W224" s="331">
        <f>+W223+IF(V223=12,1,0)</f>
      </c>
      <c r="X224" s="555">
        <f>+DATE(W224,V224,1)</f>
        <v>25569.041666666668</v>
      </c>
      <c r="Y224" s="333">
        <f>+_xlfn.IFNA(AN224+AS224+AX224,0)</f>
      </c>
      <c r="Z224" s="333">
        <f>+_xlfn.IFNA(AO224+AT224+AY224,0)</f>
      </c>
      <c r="AA224" s="333">
        <f>Y224*(1+$O$5)^(($B$7-X224)/365.25)</f>
      </c>
      <c r="AB224" s="333">
        <f>Z224*(1+$O$5)^(($B$7-X224)/365.25)</f>
      </c>
      <c r="AC224" s="1"/>
      <c r="AD224" s="1"/>
      <c r="AE224" s="1"/>
      <c r="AF224" s="111">
        <f>+MONTH(E224)&amp;YEAR(E224)</f>
      </c>
      <c r="AG224" s="217">
        <f>+I224</f>
      </c>
      <c r="AH224" s="217">
        <f>+J224</f>
      </c>
      <c r="AI224" s="217">
        <f>+H224</f>
      </c>
      <c r="AJ224" s="111">
        <f>+V224&amp;W224</f>
      </c>
      <c r="AK224" s="217">
        <f>+_xlfn.IFNA(VLOOKUP(AJ224,$AF$7:$AG$1066,2,0),0)</f>
      </c>
      <c r="AL224" s="217">
        <f>+IF(W224&gt;W223,AK224,AL223+AK224)</f>
      </c>
      <c r="AM224" s="217">
        <f>IF(W224&gt;W223,IF(AL224&gt;=$AZ$8,$AZ$8,AL224),IF(OR(AM223=$AZ$8,AM223=0),0,IF(AL224&gt;=$AZ$8,$AZ$8,AL224)))</f>
      </c>
      <c r="AN224" s="748">
        <f>+IF(OR(AM224&gt;AZ223,AM224=0),0,IF(AM224=AL224,AK224,$AZ$7-AL223))</f>
      </c>
      <c r="AO224" s="748">
        <f>+AK224-AN224</f>
      </c>
      <c r="AP224" s="217">
        <f>+_xlfn.IFNA(VLOOKUP(AJ224,$AF$7:$AI$1066,3,0),0)</f>
      </c>
      <c r="AQ224" s="217">
        <f>+IF(W224&gt;W223,AP224,AQ223+AP224)</f>
      </c>
      <c r="AR224" s="217">
        <f>+MAX($AM$2-SUMIF($W$7:$W$1066,W224,$AN$7:$AN$1066),0)</f>
      </c>
      <c r="AS224" s="748">
        <f>+MAX(IF(AQ224&gt;AR224,AR224-AQ223,AP224),0)</f>
      </c>
      <c r="AT224" s="748">
        <f>+AP224-AS224</f>
      </c>
      <c r="AU224" s="217">
        <f>+_xlfn.IFNA(VLOOKUP(AJ224,$AF$7:$AI$1066,4,0),0)</f>
      </c>
      <c r="AV224" s="217">
        <f>+IF(W224&gt;W223,AU224,AV223+AU224)</f>
      </c>
      <c r="AW224" s="217">
        <f>+MAX($AM$2-SUMIF($W$7:$W$1066,W224,$AN$7:$AN$1066)-SUMIF($W$7:$W$1066,W224,$AS$7:$AS$1066),0)</f>
      </c>
      <c r="AX224" s="748">
        <f>+MAX(IF(AV224&gt;AW224,AW224-AV223,AU224),0)</f>
      </c>
      <c r="AY224" s="748">
        <f>+AU224-AX224</f>
      </c>
      <c r="AZ224" s="331">
        <f>+$AM$1+IF($AP$1&gt;$AP$2,$AM$3/2)</f>
      </c>
    </row>
    <row x14ac:dyDescent="0.25" r="225" customHeight="1" ht="18.75">
      <c r="A225" s="1"/>
      <c r="B225" s="7"/>
      <c r="C225" s="170"/>
      <c r="D225" s="331">
        <v>218</v>
      </c>
      <c r="E225" s="544">
        <f>+DATE(YEAR(E224),MONTH(E224)-1,DAY(E224))</f>
        <v>25569.041666666668</v>
      </c>
      <c r="F225" s="333">
        <f>IF(DATE(YEAR($B$6),MONTH($B$6)+1,DAY(1))=E225,1,IF(MONTH(E225)=1,F226*(1+$F$5),F226))</f>
      </c>
      <c r="G225" s="333">
        <f>IF('Simulador - 1º Pilar'!$E$99="Sí",IF('Aportaciones PPE'!$B$13&lt;'Aportaciones PPE'!E225,0,F225*$B$8/12),F225*$B$8/12)</f>
      </c>
      <c r="H225" s="333">
        <f>$H$5*G225</f>
      </c>
      <c r="I225" s="333">
        <f>$I$5*G225</f>
      </c>
      <c r="J225" s="333">
        <f>+I225</f>
      </c>
      <c r="K225" s="333">
        <f>(1+$O$5)^(D225/12)*(H225+IF(AND(F225=1,F226=0),$S$4,0))</f>
      </c>
      <c r="L225" s="333">
        <f>(1+$O$5)^(D225/12)*(I225+IF(AND(F225=1,F226=0),0))</f>
      </c>
      <c r="M225" s="333">
        <f>+L225</f>
      </c>
      <c r="N225" s="333">
        <f>L225+K225+M225</f>
      </c>
      <c r="O225" s="170"/>
      <c r="P225" s="7"/>
      <c r="Q225" s="1"/>
      <c r="R225" s="331">
        <f>D225</f>
      </c>
      <c r="S225" s="169"/>
      <c r="T225" s="1"/>
      <c r="U225" s="217"/>
      <c r="V225" s="331">
        <f>+IF(V224=11,12,IF(V224=12,1,V224+1))</f>
      </c>
      <c r="W225" s="331">
        <f>+W224+IF(V224=12,1,0)</f>
      </c>
      <c r="X225" s="555">
        <f>+DATE(W225,V225,1)</f>
        <v>25569.041666666668</v>
      </c>
      <c r="Y225" s="333">
        <f>+_xlfn.IFNA(AN225+AS225+AX225,0)</f>
      </c>
      <c r="Z225" s="333">
        <f>+_xlfn.IFNA(AO225+AT225+AY225,0)</f>
      </c>
      <c r="AA225" s="333">
        <f>Y225*(1+$O$5)^(($B$7-X225)/365.25)</f>
      </c>
      <c r="AB225" s="333">
        <f>Z225*(1+$O$5)^(($B$7-X225)/365.25)</f>
      </c>
      <c r="AC225" s="1"/>
      <c r="AD225" s="1"/>
      <c r="AE225" s="1"/>
      <c r="AF225" s="111">
        <f>+MONTH(E225)&amp;YEAR(E225)</f>
      </c>
      <c r="AG225" s="217">
        <f>+I225</f>
      </c>
      <c r="AH225" s="217">
        <f>+J225</f>
      </c>
      <c r="AI225" s="217">
        <f>+H225</f>
      </c>
      <c r="AJ225" s="111">
        <f>+V225&amp;W225</f>
      </c>
      <c r="AK225" s="217">
        <f>+_xlfn.IFNA(VLOOKUP(AJ225,$AF$7:$AG$1066,2,0),0)</f>
      </c>
      <c r="AL225" s="217">
        <f>+IF(W225&gt;W224,AK225,AL224+AK225)</f>
      </c>
      <c r="AM225" s="217">
        <f>IF(W225&gt;W224,IF(AL225&gt;=$AZ$8,$AZ$8,AL225),IF(OR(AM224=$AZ$8,AM224=0),0,IF(AL225&gt;=$AZ$8,$AZ$8,AL225)))</f>
      </c>
      <c r="AN225" s="748">
        <f>+IF(OR(AM225&gt;AZ224,AM225=0),0,IF(AM225=AL225,AK225,$AZ$7-AL224))</f>
      </c>
      <c r="AO225" s="748">
        <f>+AK225-AN225</f>
      </c>
      <c r="AP225" s="217">
        <f>+_xlfn.IFNA(VLOOKUP(AJ225,$AF$7:$AI$1066,3,0),0)</f>
      </c>
      <c r="AQ225" s="217">
        <f>+IF(W225&gt;W224,AP225,AQ224+AP225)</f>
      </c>
      <c r="AR225" s="217">
        <f>+MAX($AM$2-SUMIF($W$7:$W$1066,W225,$AN$7:$AN$1066),0)</f>
      </c>
      <c r="AS225" s="748">
        <f>+MAX(IF(AQ225&gt;AR225,AR225-AQ224,AP225),0)</f>
      </c>
      <c r="AT225" s="748">
        <f>+AP225-AS225</f>
      </c>
      <c r="AU225" s="217">
        <f>+_xlfn.IFNA(VLOOKUP(AJ225,$AF$7:$AI$1066,4,0),0)</f>
      </c>
      <c r="AV225" s="217">
        <f>+IF(W225&gt;W224,AU225,AV224+AU225)</f>
      </c>
      <c r="AW225" s="217">
        <f>+MAX($AM$2-SUMIF($W$7:$W$1066,W225,$AN$7:$AN$1066)-SUMIF($W$7:$W$1066,W225,$AS$7:$AS$1066),0)</f>
      </c>
      <c r="AX225" s="748">
        <f>+MAX(IF(AV225&gt;AW225,AW225-AV224,AU225),0)</f>
      </c>
      <c r="AY225" s="748">
        <f>+AU225-AX225</f>
      </c>
      <c r="AZ225" s="331">
        <f>+$AM$1+IF($AP$1&gt;$AP$2,$AM$3/2)</f>
      </c>
    </row>
    <row x14ac:dyDescent="0.25" r="226" customHeight="1" ht="18.75">
      <c r="A226" s="1"/>
      <c r="B226" s="7"/>
      <c r="C226" s="170"/>
      <c r="D226" s="331">
        <v>219</v>
      </c>
      <c r="E226" s="544">
        <f>+DATE(YEAR(E225),MONTH(E225)-1,DAY(E225))</f>
        <v>25569.041666666668</v>
      </c>
      <c r="F226" s="333">
        <f>IF(DATE(YEAR($B$6),MONTH($B$6)+1,DAY(1))=E226,1,IF(MONTH(E226)=1,F227*(1+$F$5),F227))</f>
      </c>
      <c r="G226" s="333">
        <f>IF('Simulador - 1º Pilar'!$E$99="Sí",IF('Aportaciones PPE'!$B$13&lt;'Aportaciones PPE'!E226,0,F226*$B$8/12),F226*$B$8/12)</f>
      </c>
      <c r="H226" s="333">
        <f>$H$5*G226</f>
      </c>
      <c r="I226" s="333">
        <f>$I$5*G226</f>
      </c>
      <c r="J226" s="333">
        <f>+I226</f>
      </c>
      <c r="K226" s="333">
        <f>(1+$O$5)^(D226/12)*(H226+IF(AND(F226=1,F227=0),$S$4,0))</f>
      </c>
      <c r="L226" s="333">
        <f>(1+$O$5)^(D226/12)*(I226+IF(AND(F226=1,F227=0),0))</f>
      </c>
      <c r="M226" s="333">
        <f>+L226</f>
      </c>
      <c r="N226" s="333">
        <f>L226+K226+M226</f>
      </c>
      <c r="O226" s="170"/>
      <c r="P226" s="7"/>
      <c r="Q226" s="1"/>
      <c r="R226" s="331">
        <f>D226</f>
      </c>
      <c r="S226" s="169"/>
      <c r="T226" s="1"/>
      <c r="U226" s="217"/>
      <c r="V226" s="331">
        <f>+IF(V225=11,12,IF(V225=12,1,V225+1))</f>
      </c>
      <c r="W226" s="331">
        <f>+W225+IF(V225=12,1,0)</f>
      </c>
      <c r="X226" s="555">
        <f>+DATE(W226,V226,1)</f>
        <v>25569.041666666668</v>
      </c>
      <c r="Y226" s="333">
        <f>+_xlfn.IFNA(AN226+AS226+AX226,0)</f>
      </c>
      <c r="Z226" s="333">
        <f>+_xlfn.IFNA(AO226+AT226+AY226,0)</f>
      </c>
      <c r="AA226" s="333">
        <f>Y226*(1+$O$5)^(($B$7-X226)/365.25)</f>
      </c>
      <c r="AB226" s="333">
        <f>Z226*(1+$O$5)^(($B$7-X226)/365.25)</f>
      </c>
      <c r="AC226" s="1"/>
      <c r="AD226" s="1"/>
      <c r="AE226" s="1"/>
      <c r="AF226" s="111">
        <f>+MONTH(E226)&amp;YEAR(E226)</f>
      </c>
      <c r="AG226" s="217">
        <f>+I226</f>
      </c>
      <c r="AH226" s="217">
        <f>+J226</f>
      </c>
      <c r="AI226" s="217">
        <f>+H226</f>
      </c>
      <c r="AJ226" s="111">
        <f>+V226&amp;W226</f>
      </c>
      <c r="AK226" s="217">
        <f>+_xlfn.IFNA(VLOOKUP(AJ226,$AF$7:$AG$1066,2,0),0)</f>
      </c>
      <c r="AL226" s="217">
        <f>+IF(W226&gt;W225,AK226,AL225+AK226)</f>
      </c>
      <c r="AM226" s="217">
        <f>IF(W226&gt;W225,IF(AL226&gt;=$AZ$8,$AZ$8,AL226),IF(OR(AM225=$AZ$8,AM225=0),0,IF(AL226&gt;=$AZ$8,$AZ$8,AL226)))</f>
      </c>
      <c r="AN226" s="748">
        <f>+IF(OR(AM226&gt;AZ225,AM226=0),0,IF(AM226=AL226,AK226,$AZ$7-AL225))</f>
      </c>
      <c r="AO226" s="748">
        <f>+AK226-AN226</f>
      </c>
      <c r="AP226" s="217">
        <f>+_xlfn.IFNA(VLOOKUP(AJ226,$AF$7:$AI$1066,3,0),0)</f>
      </c>
      <c r="AQ226" s="217">
        <f>+IF(W226&gt;W225,AP226,AQ225+AP226)</f>
      </c>
      <c r="AR226" s="217">
        <f>+MAX($AM$2-SUMIF($W$7:$W$1066,W226,$AN$7:$AN$1066),0)</f>
      </c>
      <c r="AS226" s="748">
        <f>+MAX(IF(AQ226&gt;AR226,AR226-AQ225,AP226),0)</f>
      </c>
      <c r="AT226" s="748">
        <f>+AP226-AS226</f>
      </c>
      <c r="AU226" s="217">
        <f>+_xlfn.IFNA(VLOOKUP(AJ226,$AF$7:$AI$1066,4,0),0)</f>
      </c>
      <c r="AV226" s="217">
        <f>+IF(W226&gt;W225,AU226,AV225+AU226)</f>
      </c>
      <c r="AW226" s="217">
        <f>+MAX($AM$2-SUMIF($W$7:$W$1066,W226,$AN$7:$AN$1066)-SUMIF($W$7:$W$1066,W226,$AS$7:$AS$1066),0)</f>
      </c>
      <c r="AX226" s="748">
        <f>+MAX(IF(AV226&gt;AW226,AW226-AV225,AU226),0)</f>
      </c>
      <c r="AY226" s="748">
        <f>+AU226-AX226</f>
      </c>
      <c r="AZ226" s="331">
        <f>+$AM$1+IF($AP$1&gt;$AP$2,$AM$3/2)</f>
      </c>
    </row>
    <row x14ac:dyDescent="0.25" r="227" customHeight="1" ht="18.75">
      <c r="A227" s="1"/>
      <c r="B227" s="7"/>
      <c r="C227" s="170"/>
      <c r="D227" s="331">
        <v>220</v>
      </c>
      <c r="E227" s="544">
        <f>+DATE(YEAR(E226),MONTH(E226)-1,DAY(E226))</f>
        <v>25569.041666666668</v>
      </c>
      <c r="F227" s="333">
        <f>IF(DATE(YEAR($B$6),MONTH($B$6)+1,DAY(1))=E227,1,IF(MONTH(E227)=1,F228*(1+$F$5),F228))</f>
      </c>
      <c r="G227" s="333">
        <f>IF('Simulador - 1º Pilar'!$E$99="Sí",IF('Aportaciones PPE'!$B$13&lt;'Aportaciones PPE'!E227,0,F227*$B$8/12),F227*$B$8/12)</f>
      </c>
      <c r="H227" s="333">
        <f>$H$5*G227</f>
      </c>
      <c r="I227" s="333">
        <f>$I$5*G227</f>
      </c>
      <c r="J227" s="333">
        <f>+I227</f>
      </c>
      <c r="K227" s="333">
        <f>(1+$O$5)^(D227/12)*(H227+IF(AND(F227=1,F228=0),$S$4,0))</f>
      </c>
      <c r="L227" s="333">
        <f>(1+$O$5)^(D227/12)*(I227+IF(AND(F227=1,F228=0),0))</f>
      </c>
      <c r="M227" s="333">
        <f>+L227</f>
      </c>
      <c r="N227" s="333">
        <f>L227+K227+M227</f>
      </c>
      <c r="O227" s="170"/>
      <c r="P227" s="7"/>
      <c r="Q227" s="1"/>
      <c r="R227" s="331">
        <f>D227</f>
      </c>
      <c r="S227" s="169"/>
      <c r="T227" s="1"/>
      <c r="U227" s="217"/>
      <c r="V227" s="331">
        <f>+IF(V226=11,12,IF(V226=12,1,V226+1))</f>
      </c>
      <c r="W227" s="331">
        <f>+W226+IF(V226=12,1,0)</f>
      </c>
      <c r="X227" s="555">
        <f>+DATE(W227,V227,1)</f>
        <v>25569.041666666668</v>
      </c>
      <c r="Y227" s="333">
        <f>+_xlfn.IFNA(AN227+AS227+AX227,0)</f>
      </c>
      <c r="Z227" s="333">
        <f>+_xlfn.IFNA(AO227+AT227+AY227,0)</f>
      </c>
      <c r="AA227" s="333">
        <f>Y227*(1+$O$5)^(($B$7-X227)/365.25)</f>
      </c>
      <c r="AB227" s="333">
        <f>Z227*(1+$O$5)^(($B$7-X227)/365.25)</f>
      </c>
      <c r="AC227" s="1"/>
      <c r="AD227" s="1"/>
      <c r="AE227" s="1"/>
      <c r="AF227" s="111">
        <f>+MONTH(E227)&amp;YEAR(E227)</f>
      </c>
      <c r="AG227" s="217">
        <f>+I227</f>
      </c>
      <c r="AH227" s="217">
        <f>+J227</f>
      </c>
      <c r="AI227" s="217">
        <f>+H227</f>
      </c>
      <c r="AJ227" s="111">
        <f>+V227&amp;W227</f>
      </c>
      <c r="AK227" s="217">
        <f>+_xlfn.IFNA(VLOOKUP(AJ227,$AF$7:$AG$1066,2,0),0)</f>
      </c>
      <c r="AL227" s="217">
        <f>+IF(W227&gt;W226,AK227,AL226+AK227)</f>
      </c>
      <c r="AM227" s="217">
        <f>IF(W227&gt;W226,IF(AL227&gt;=$AZ$8,$AZ$8,AL227),IF(OR(AM226=$AZ$8,AM226=0),0,IF(AL227&gt;=$AZ$8,$AZ$8,AL227)))</f>
      </c>
      <c r="AN227" s="748">
        <f>+IF(OR(AM227&gt;AZ226,AM227=0),0,IF(AM227=AL227,AK227,$AZ$7-AL226))</f>
      </c>
      <c r="AO227" s="748">
        <f>+AK227-AN227</f>
      </c>
      <c r="AP227" s="217">
        <f>+_xlfn.IFNA(VLOOKUP(AJ227,$AF$7:$AI$1066,3,0),0)</f>
      </c>
      <c r="AQ227" s="217">
        <f>+IF(W227&gt;W226,AP227,AQ226+AP227)</f>
      </c>
      <c r="AR227" s="217">
        <f>+MAX($AM$2-SUMIF($W$7:$W$1066,W227,$AN$7:$AN$1066),0)</f>
      </c>
      <c r="AS227" s="748">
        <f>+MAX(IF(AQ227&gt;AR227,AR227-AQ226,AP227),0)</f>
      </c>
      <c r="AT227" s="748">
        <f>+AP227-AS227</f>
      </c>
      <c r="AU227" s="217">
        <f>+_xlfn.IFNA(VLOOKUP(AJ227,$AF$7:$AI$1066,4,0),0)</f>
      </c>
      <c r="AV227" s="217">
        <f>+IF(W227&gt;W226,AU227,AV226+AU227)</f>
      </c>
      <c r="AW227" s="217">
        <f>+MAX($AM$2-SUMIF($W$7:$W$1066,W227,$AN$7:$AN$1066)-SUMIF($W$7:$W$1066,W227,$AS$7:$AS$1066),0)</f>
      </c>
      <c r="AX227" s="748">
        <f>+MAX(IF(AV227&gt;AW227,AW227-AV226,AU227),0)</f>
      </c>
      <c r="AY227" s="748">
        <f>+AU227-AX227</f>
      </c>
      <c r="AZ227" s="331">
        <f>+$AM$1+IF($AP$1&gt;$AP$2,$AM$3/2)</f>
      </c>
    </row>
    <row x14ac:dyDescent="0.25" r="228" customHeight="1" ht="18.75">
      <c r="A228" s="1"/>
      <c r="B228" s="7"/>
      <c r="C228" s="170"/>
      <c r="D228" s="331">
        <v>221</v>
      </c>
      <c r="E228" s="544">
        <f>+DATE(YEAR(E227),MONTH(E227)-1,DAY(E227))</f>
        <v>25569.041666666668</v>
      </c>
      <c r="F228" s="333">
        <f>IF(DATE(YEAR($B$6),MONTH($B$6)+1,DAY(1))=E228,1,IF(MONTH(E228)=1,F229*(1+$F$5),F229))</f>
      </c>
      <c r="G228" s="333">
        <f>IF('Simulador - 1º Pilar'!$E$99="Sí",IF('Aportaciones PPE'!$B$13&lt;'Aportaciones PPE'!E228,0,F228*$B$8/12),F228*$B$8/12)</f>
      </c>
      <c r="H228" s="333">
        <f>$H$5*G228</f>
      </c>
      <c r="I228" s="333">
        <f>$I$5*G228</f>
      </c>
      <c r="J228" s="333">
        <f>+I228</f>
      </c>
      <c r="K228" s="333">
        <f>(1+$O$5)^(D228/12)*(H228+IF(AND(F228=1,F229=0),$S$4,0))</f>
      </c>
      <c r="L228" s="333">
        <f>(1+$O$5)^(D228/12)*(I228+IF(AND(F228=1,F229=0),0))</f>
      </c>
      <c r="M228" s="333">
        <f>+L228</f>
      </c>
      <c r="N228" s="333">
        <f>L228+K228+M228</f>
      </c>
      <c r="O228" s="170"/>
      <c r="P228" s="7"/>
      <c r="Q228" s="1"/>
      <c r="R228" s="331">
        <f>D228</f>
      </c>
      <c r="S228" s="169"/>
      <c r="T228" s="1"/>
      <c r="U228" s="217"/>
      <c r="V228" s="331">
        <f>+IF(V227=11,12,IF(V227=12,1,V227+1))</f>
      </c>
      <c r="W228" s="331">
        <f>+W227+IF(V227=12,1,0)</f>
      </c>
      <c r="X228" s="555">
        <f>+DATE(W228,V228,1)</f>
        <v>25569.041666666668</v>
      </c>
      <c r="Y228" s="333">
        <f>+_xlfn.IFNA(AN228+AS228+AX228,0)</f>
      </c>
      <c r="Z228" s="333">
        <f>+_xlfn.IFNA(AO228+AT228+AY228,0)</f>
      </c>
      <c r="AA228" s="333">
        <f>Y228*(1+$O$5)^(($B$7-X228)/365.25)</f>
      </c>
      <c r="AB228" s="333">
        <f>Z228*(1+$O$5)^(($B$7-X228)/365.25)</f>
      </c>
      <c r="AC228" s="1"/>
      <c r="AD228" s="1"/>
      <c r="AE228" s="1"/>
      <c r="AF228" s="111">
        <f>+MONTH(E228)&amp;YEAR(E228)</f>
      </c>
      <c r="AG228" s="217">
        <f>+I228</f>
      </c>
      <c r="AH228" s="217">
        <f>+J228</f>
      </c>
      <c r="AI228" s="217">
        <f>+H228</f>
      </c>
      <c r="AJ228" s="111">
        <f>+V228&amp;W228</f>
      </c>
      <c r="AK228" s="217">
        <f>+_xlfn.IFNA(VLOOKUP(AJ228,$AF$7:$AG$1066,2,0),0)</f>
      </c>
      <c r="AL228" s="217">
        <f>+IF(W228&gt;W227,AK228,AL227+AK228)</f>
      </c>
      <c r="AM228" s="217">
        <f>IF(W228&gt;W227,IF(AL228&gt;=$AZ$8,$AZ$8,AL228),IF(OR(AM227=$AZ$8,AM227=0),0,IF(AL228&gt;=$AZ$8,$AZ$8,AL228)))</f>
      </c>
      <c r="AN228" s="748">
        <f>+IF(OR(AM228&gt;AZ227,AM228=0),0,IF(AM228=AL228,AK228,$AZ$7-AL227))</f>
      </c>
      <c r="AO228" s="748">
        <f>+AK228-AN228</f>
      </c>
      <c r="AP228" s="217">
        <f>+_xlfn.IFNA(VLOOKUP(AJ228,$AF$7:$AI$1066,3,0),0)</f>
      </c>
      <c r="AQ228" s="217">
        <f>+IF(W228&gt;W227,AP228,AQ227+AP228)</f>
      </c>
      <c r="AR228" s="217">
        <f>+MAX($AM$2-SUMIF($W$7:$W$1066,W228,$AN$7:$AN$1066),0)</f>
      </c>
      <c r="AS228" s="748">
        <f>+MAX(IF(AQ228&gt;AR228,AR228-AQ227,AP228),0)</f>
      </c>
      <c r="AT228" s="748">
        <f>+AP228-AS228</f>
      </c>
      <c r="AU228" s="217">
        <f>+_xlfn.IFNA(VLOOKUP(AJ228,$AF$7:$AI$1066,4,0),0)</f>
      </c>
      <c r="AV228" s="217">
        <f>+IF(W228&gt;W227,AU228,AV227+AU228)</f>
      </c>
      <c r="AW228" s="217">
        <f>+MAX($AM$2-SUMIF($W$7:$W$1066,W228,$AN$7:$AN$1066)-SUMIF($W$7:$W$1066,W228,$AS$7:$AS$1066),0)</f>
      </c>
      <c r="AX228" s="748">
        <f>+MAX(IF(AV228&gt;AW228,AW228-AV227,AU228),0)</f>
      </c>
      <c r="AY228" s="748">
        <f>+AU228-AX228</f>
      </c>
      <c r="AZ228" s="331">
        <f>+$AM$1+IF($AP$1&gt;$AP$2,$AM$3/2)</f>
      </c>
    </row>
    <row x14ac:dyDescent="0.25" r="229" customHeight="1" ht="18.75">
      <c r="A229" s="1"/>
      <c r="B229" s="7"/>
      <c r="C229" s="170"/>
      <c r="D229" s="331">
        <v>222</v>
      </c>
      <c r="E229" s="544">
        <f>+DATE(YEAR(E228),MONTH(E228)-1,DAY(E228))</f>
        <v>25569.041666666668</v>
      </c>
      <c r="F229" s="333">
        <f>IF(DATE(YEAR($B$6),MONTH($B$6)+1,DAY(1))=E229,1,IF(MONTH(E229)=1,F230*(1+$F$5),F230))</f>
      </c>
      <c r="G229" s="333">
        <f>IF('Simulador - 1º Pilar'!$E$99="Sí",IF('Aportaciones PPE'!$B$13&lt;'Aportaciones PPE'!E229,0,F229*$B$8/12),F229*$B$8/12)</f>
      </c>
      <c r="H229" s="333">
        <f>$H$5*G229</f>
      </c>
      <c r="I229" s="333">
        <f>$I$5*G229</f>
      </c>
      <c r="J229" s="333">
        <f>+I229</f>
      </c>
      <c r="K229" s="333">
        <f>(1+$O$5)^(D229/12)*(H229+IF(AND(F229=1,F230=0),$S$4,0))</f>
      </c>
      <c r="L229" s="333">
        <f>(1+$O$5)^(D229/12)*(I229+IF(AND(F229=1,F230=0),0))</f>
      </c>
      <c r="M229" s="333">
        <f>+L229</f>
      </c>
      <c r="N229" s="333">
        <f>L229+K229+M229</f>
      </c>
      <c r="O229" s="170"/>
      <c r="P229" s="7"/>
      <c r="Q229" s="1"/>
      <c r="R229" s="331">
        <f>D229</f>
      </c>
      <c r="S229" s="169"/>
      <c r="T229" s="1"/>
      <c r="U229" s="217"/>
      <c r="V229" s="331">
        <f>+IF(V228=11,12,IF(V228=12,1,V228+1))</f>
      </c>
      <c r="W229" s="331">
        <f>+W228+IF(V228=12,1,0)</f>
      </c>
      <c r="X229" s="555">
        <f>+DATE(W229,V229,1)</f>
        <v>25569.041666666668</v>
      </c>
      <c r="Y229" s="333">
        <f>+_xlfn.IFNA(AN229+AS229+AX229,0)</f>
      </c>
      <c r="Z229" s="333">
        <f>+_xlfn.IFNA(AO229+AT229+AY229,0)</f>
      </c>
      <c r="AA229" s="333">
        <f>Y229*(1+$O$5)^(($B$7-X229)/365.25)</f>
      </c>
      <c r="AB229" s="333">
        <f>Z229*(1+$O$5)^(($B$7-X229)/365.25)</f>
      </c>
      <c r="AC229" s="1"/>
      <c r="AD229" s="1"/>
      <c r="AE229" s="1"/>
      <c r="AF229" s="111">
        <f>+MONTH(E229)&amp;YEAR(E229)</f>
      </c>
      <c r="AG229" s="217">
        <f>+I229</f>
      </c>
      <c r="AH229" s="217">
        <f>+J229</f>
      </c>
      <c r="AI229" s="217">
        <f>+H229</f>
      </c>
      <c r="AJ229" s="111">
        <f>+V229&amp;W229</f>
      </c>
      <c r="AK229" s="217">
        <f>+_xlfn.IFNA(VLOOKUP(AJ229,$AF$7:$AG$1066,2,0),0)</f>
      </c>
      <c r="AL229" s="217">
        <f>+IF(W229&gt;W228,AK229,AL228+AK229)</f>
      </c>
      <c r="AM229" s="217">
        <f>IF(W229&gt;W228,IF(AL229&gt;=$AZ$8,$AZ$8,AL229),IF(OR(AM228=$AZ$8,AM228=0),0,IF(AL229&gt;=$AZ$8,$AZ$8,AL229)))</f>
      </c>
      <c r="AN229" s="748">
        <f>+IF(OR(AM229&gt;AZ228,AM229=0),0,IF(AM229=AL229,AK229,$AZ$7-AL228))</f>
      </c>
      <c r="AO229" s="748">
        <f>+AK229-AN229</f>
      </c>
      <c r="AP229" s="217">
        <f>+_xlfn.IFNA(VLOOKUP(AJ229,$AF$7:$AI$1066,3,0),0)</f>
      </c>
      <c r="AQ229" s="217">
        <f>+IF(W229&gt;W228,AP229,AQ228+AP229)</f>
      </c>
      <c r="AR229" s="217">
        <f>+MAX($AM$2-SUMIF($W$7:$W$1066,W229,$AN$7:$AN$1066),0)</f>
      </c>
      <c r="AS229" s="748">
        <f>+MAX(IF(AQ229&gt;AR229,AR229-AQ228,AP229),0)</f>
      </c>
      <c r="AT229" s="748">
        <f>+AP229-AS229</f>
      </c>
      <c r="AU229" s="217">
        <f>+_xlfn.IFNA(VLOOKUP(AJ229,$AF$7:$AI$1066,4,0),0)</f>
      </c>
      <c r="AV229" s="217">
        <f>+IF(W229&gt;W228,AU229,AV228+AU229)</f>
      </c>
      <c r="AW229" s="217">
        <f>+MAX($AM$2-SUMIF($W$7:$W$1066,W229,$AN$7:$AN$1066)-SUMIF($W$7:$W$1066,W229,$AS$7:$AS$1066),0)</f>
      </c>
      <c r="AX229" s="748">
        <f>+MAX(IF(AV229&gt;AW229,AW229-AV228,AU229),0)</f>
      </c>
      <c r="AY229" s="748">
        <f>+AU229-AX229</f>
      </c>
      <c r="AZ229" s="331">
        <f>+$AM$1+IF($AP$1&gt;$AP$2,$AM$3/2)</f>
      </c>
    </row>
    <row x14ac:dyDescent="0.25" r="230" customHeight="1" ht="18.75">
      <c r="A230" s="1"/>
      <c r="B230" s="7"/>
      <c r="C230" s="170"/>
      <c r="D230" s="331">
        <v>223</v>
      </c>
      <c r="E230" s="544">
        <f>+DATE(YEAR(E229),MONTH(E229)-1,DAY(E229))</f>
        <v>25569.041666666668</v>
      </c>
      <c r="F230" s="333">
        <f>IF(DATE(YEAR($B$6),MONTH($B$6)+1,DAY(1))=E230,1,IF(MONTH(E230)=1,F231*(1+$F$5),F231))</f>
      </c>
      <c r="G230" s="333">
        <f>IF('Simulador - 1º Pilar'!$E$99="Sí",IF('Aportaciones PPE'!$B$13&lt;'Aportaciones PPE'!E230,0,F230*$B$8/12),F230*$B$8/12)</f>
      </c>
      <c r="H230" s="333">
        <f>$H$5*G230</f>
      </c>
      <c r="I230" s="333">
        <f>$I$5*G230</f>
      </c>
      <c r="J230" s="333">
        <f>+I230</f>
      </c>
      <c r="K230" s="333">
        <f>(1+$O$5)^(D230/12)*(H230+IF(AND(F230=1,F231=0),$S$4,0))</f>
      </c>
      <c r="L230" s="333">
        <f>(1+$O$5)^(D230/12)*(I230+IF(AND(F230=1,F231=0),0))</f>
      </c>
      <c r="M230" s="333">
        <f>+L230</f>
      </c>
      <c r="N230" s="333">
        <f>L230+K230+M230</f>
      </c>
      <c r="O230" s="170"/>
      <c r="P230" s="7"/>
      <c r="Q230" s="1"/>
      <c r="R230" s="331">
        <f>D230</f>
      </c>
      <c r="S230" s="169"/>
      <c r="T230" s="1"/>
      <c r="U230" s="217"/>
      <c r="V230" s="331">
        <f>+IF(V229=11,12,IF(V229=12,1,V229+1))</f>
      </c>
      <c r="W230" s="331">
        <f>+W229+IF(V229=12,1,0)</f>
      </c>
      <c r="X230" s="555">
        <f>+DATE(W230,V230,1)</f>
        <v>25569.041666666668</v>
      </c>
      <c r="Y230" s="333">
        <f>+_xlfn.IFNA(AN230+AS230+AX230,0)</f>
      </c>
      <c r="Z230" s="333">
        <f>+_xlfn.IFNA(AO230+AT230+AY230,0)</f>
      </c>
      <c r="AA230" s="333">
        <f>Y230*(1+$O$5)^(($B$7-X230)/365.25)</f>
      </c>
      <c r="AB230" s="333">
        <f>Z230*(1+$O$5)^(($B$7-X230)/365.25)</f>
      </c>
      <c r="AC230" s="1"/>
      <c r="AD230" s="1"/>
      <c r="AE230" s="1"/>
      <c r="AF230" s="111">
        <f>+MONTH(E230)&amp;YEAR(E230)</f>
      </c>
      <c r="AG230" s="217">
        <f>+I230</f>
      </c>
      <c r="AH230" s="217">
        <f>+J230</f>
      </c>
      <c r="AI230" s="217">
        <f>+H230</f>
      </c>
      <c r="AJ230" s="111">
        <f>+V230&amp;W230</f>
      </c>
      <c r="AK230" s="217">
        <f>+_xlfn.IFNA(VLOOKUP(AJ230,$AF$7:$AG$1066,2,0),0)</f>
      </c>
      <c r="AL230" s="217">
        <f>+IF(W230&gt;W229,AK230,AL229+AK230)</f>
      </c>
      <c r="AM230" s="217">
        <f>IF(W230&gt;W229,IF(AL230&gt;=$AZ$8,$AZ$8,AL230),IF(OR(AM229=$AZ$8,AM229=0),0,IF(AL230&gt;=$AZ$8,$AZ$8,AL230)))</f>
      </c>
      <c r="AN230" s="748">
        <f>+IF(OR(AM230&gt;AZ229,AM230=0),0,IF(AM230=AL230,AK230,$AZ$7-AL229))</f>
      </c>
      <c r="AO230" s="748">
        <f>+AK230-AN230</f>
      </c>
      <c r="AP230" s="217">
        <f>+_xlfn.IFNA(VLOOKUP(AJ230,$AF$7:$AI$1066,3,0),0)</f>
      </c>
      <c r="AQ230" s="217">
        <f>+IF(W230&gt;W229,AP230,AQ229+AP230)</f>
      </c>
      <c r="AR230" s="217">
        <f>+MAX($AM$2-SUMIF($W$7:$W$1066,W230,$AN$7:$AN$1066),0)</f>
      </c>
      <c r="AS230" s="748">
        <f>+MAX(IF(AQ230&gt;AR230,AR230-AQ229,AP230),0)</f>
      </c>
      <c r="AT230" s="748">
        <f>+AP230-AS230</f>
      </c>
      <c r="AU230" s="217">
        <f>+_xlfn.IFNA(VLOOKUP(AJ230,$AF$7:$AI$1066,4,0),0)</f>
      </c>
      <c r="AV230" s="217">
        <f>+IF(W230&gt;W229,AU230,AV229+AU230)</f>
      </c>
      <c r="AW230" s="217">
        <f>+MAX($AM$2-SUMIF($W$7:$W$1066,W230,$AN$7:$AN$1066)-SUMIF($W$7:$W$1066,W230,$AS$7:$AS$1066),0)</f>
      </c>
      <c r="AX230" s="748">
        <f>+MAX(IF(AV230&gt;AW230,AW230-AV229,AU230),0)</f>
      </c>
      <c r="AY230" s="748">
        <f>+AU230-AX230</f>
      </c>
      <c r="AZ230" s="331">
        <f>+$AM$1+IF($AP$1&gt;$AP$2,$AM$3/2)</f>
      </c>
    </row>
    <row x14ac:dyDescent="0.25" r="231" customHeight="1" ht="18.75">
      <c r="A231" s="1"/>
      <c r="B231" s="7"/>
      <c r="C231" s="170"/>
      <c r="D231" s="331">
        <v>224</v>
      </c>
      <c r="E231" s="544">
        <f>+DATE(YEAR(E230),MONTH(E230)-1,DAY(E230))</f>
        <v>25569.041666666668</v>
      </c>
      <c r="F231" s="333">
        <f>IF(DATE(YEAR($B$6),MONTH($B$6)+1,DAY(1))=E231,1,IF(MONTH(E231)=1,F232*(1+$F$5),F232))</f>
      </c>
      <c r="G231" s="333">
        <f>IF('Simulador - 1º Pilar'!$E$99="Sí",IF('Aportaciones PPE'!$B$13&lt;'Aportaciones PPE'!E231,0,F231*$B$8/12),F231*$B$8/12)</f>
      </c>
      <c r="H231" s="333">
        <f>$H$5*G231</f>
      </c>
      <c r="I231" s="333">
        <f>$I$5*G231</f>
      </c>
      <c r="J231" s="333">
        <f>+I231</f>
      </c>
      <c r="K231" s="333">
        <f>(1+$O$5)^(D231/12)*(H231+IF(AND(F231=1,F232=0),$S$4,0))</f>
      </c>
      <c r="L231" s="333">
        <f>(1+$O$5)^(D231/12)*(I231+IF(AND(F231=1,F232=0),0))</f>
      </c>
      <c r="M231" s="333">
        <f>+L231</f>
      </c>
      <c r="N231" s="333">
        <f>L231+K231+M231</f>
      </c>
      <c r="O231" s="170"/>
      <c r="P231" s="7"/>
      <c r="Q231" s="1"/>
      <c r="R231" s="331">
        <f>D231</f>
      </c>
      <c r="S231" s="169"/>
      <c r="T231" s="1"/>
      <c r="U231" s="217"/>
      <c r="V231" s="331">
        <f>+IF(V230=11,12,IF(V230=12,1,V230+1))</f>
      </c>
      <c r="W231" s="331">
        <f>+W230+IF(V230=12,1,0)</f>
      </c>
      <c r="X231" s="555">
        <f>+DATE(W231,V231,1)</f>
        <v>25569.041666666668</v>
      </c>
      <c r="Y231" s="333">
        <f>+_xlfn.IFNA(AN231+AS231+AX231,0)</f>
      </c>
      <c r="Z231" s="333">
        <f>+_xlfn.IFNA(AO231+AT231+AY231,0)</f>
      </c>
      <c r="AA231" s="333">
        <f>Y231*(1+$O$5)^(($B$7-X231)/365.25)</f>
      </c>
      <c r="AB231" s="333">
        <f>Z231*(1+$O$5)^(($B$7-X231)/365.25)</f>
      </c>
      <c r="AC231" s="1"/>
      <c r="AD231" s="1"/>
      <c r="AE231" s="1"/>
      <c r="AF231" s="111">
        <f>+MONTH(E231)&amp;YEAR(E231)</f>
      </c>
      <c r="AG231" s="217">
        <f>+I231</f>
      </c>
      <c r="AH231" s="217">
        <f>+J231</f>
      </c>
      <c r="AI231" s="217">
        <f>+H231</f>
      </c>
      <c r="AJ231" s="111">
        <f>+V231&amp;W231</f>
      </c>
      <c r="AK231" s="217">
        <f>+_xlfn.IFNA(VLOOKUP(AJ231,$AF$7:$AG$1066,2,0),0)</f>
      </c>
      <c r="AL231" s="217">
        <f>+IF(W231&gt;W230,AK231,AL230+AK231)</f>
      </c>
      <c r="AM231" s="217">
        <f>IF(W231&gt;W230,IF(AL231&gt;=$AZ$8,$AZ$8,AL231),IF(OR(AM230=$AZ$8,AM230=0),0,IF(AL231&gt;=$AZ$8,$AZ$8,AL231)))</f>
      </c>
      <c r="AN231" s="748">
        <f>+IF(OR(AM231&gt;AZ230,AM231=0),0,IF(AM231=AL231,AK231,$AZ$7-AL230))</f>
      </c>
      <c r="AO231" s="748">
        <f>+AK231-AN231</f>
      </c>
      <c r="AP231" s="217">
        <f>+_xlfn.IFNA(VLOOKUP(AJ231,$AF$7:$AI$1066,3,0),0)</f>
      </c>
      <c r="AQ231" s="217">
        <f>+IF(W231&gt;W230,AP231,AQ230+AP231)</f>
      </c>
      <c r="AR231" s="217">
        <f>+MAX($AM$2-SUMIF($W$7:$W$1066,W231,$AN$7:$AN$1066),0)</f>
      </c>
      <c r="AS231" s="748">
        <f>+MAX(IF(AQ231&gt;AR231,AR231-AQ230,AP231),0)</f>
      </c>
      <c r="AT231" s="748">
        <f>+AP231-AS231</f>
      </c>
      <c r="AU231" s="217">
        <f>+_xlfn.IFNA(VLOOKUP(AJ231,$AF$7:$AI$1066,4,0),0)</f>
      </c>
      <c r="AV231" s="217">
        <f>+IF(W231&gt;W230,AU231,AV230+AU231)</f>
      </c>
      <c r="AW231" s="217">
        <f>+MAX($AM$2-SUMIF($W$7:$W$1066,W231,$AN$7:$AN$1066)-SUMIF($W$7:$W$1066,W231,$AS$7:$AS$1066),0)</f>
      </c>
      <c r="AX231" s="748">
        <f>+MAX(IF(AV231&gt;AW231,AW231-AV230,AU231),0)</f>
      </c>
      <c r="AY231" s="748">
        <f>+AU231-AX231</f>
      </c>
      <c r="AZ231" s="331">
        <f>+$AM$1+IF($AP$1&gt;$AP$2,$AM$3/2)</f>
      </c>
    </row>
    <row x14ac:dyDescent="0.25" r="232" customHeight="1" ht="18.75">
      <c r="A232" s="1"/>
      <c r="B232" s="7"/>
      <c r="C232" s="170"/>
      <c r="D232" s="331">
        <v>225</v>
      </c>
      <c r="E232" s="544">
        <f>+DATE(YEAR(E231),MONTH(E231)-1,DAY(E231))</f>
        <v>25569.041666666668</v>
      </c>
      <c r="F232" s="333">
        <f>IF(DATE(YEAR($B$6),MONTH($B$6)+1,DAY(1))=E232,1,IF(MONTH(E232)=1,F233*(1+$F$5),F233))</f>
      </c>
      <c r="G232" s="333">
        <f>IF('Simulador - 1º Pilar'!$E$99="Sí",IF('Aportaciones PPE'!$B$13&lt;'Aportaciones PPE'!E232,0,F232*$B$8/12),F232*$B$8/12)</f>
      </c>
      <c r="H232" s="333">
        <f>$H$5*G232</f>
      </c>
      <c r="I232" s="333">
        <f>$I$5*G232</f>
      </c>
      <c r="J232" s="333">
        <f>+I232</f>
      </c>
      <c r="K232" s="333">
        <f>(1+$O$5)^(D232/12)*(H232+IF(AND(F232=1,F233=0),$S$4,0))</f>
      </c>
      <c r="L232" s="333">
        <f>(1+$O$5)^(D232/12)*(I232+IF(AND(F232=1,F233=0),0))</f>
      </c>
      <c r="M232" s="333">
        <f>+L232</f>
      </c>
      <c r="N232" s="333">
        <f>L232+K232+M232</f>
      </c>
      <c r="O232" s="170"/>
      <c r="P232" s="7"/>
      <c r="Q232" s="1"/>
      <c r="R232" s="331">
        <f>D232</f>
      </c>
      <c r="S232" s="169"/>
      <c r="T232" s="1"/>
      <c r="U232" s="217"/>
      <c r="V232" s="331">
        <f>+IF(V231=11,12,IF(V231=12,1,V231+1))</f>
      </c>
      <c r="W232" s="331">
        <f>+W231+IF(V231=12,1,0)</f>
      </c>
      <c r="X232" s="555">
        <f>+DATE(W232,V232,1)</f>
        <v>25569.041666666668</v>
      </c>
      <c r="Y232" s="333">
        <f>+_xlfn.IFNA(AN232+AS232+AX232,0)</f>
      </c>
      <c r="Z232" s="333">
        <f>+_xlfn.IFNA(AO232+AT232+AY232,0)</f>
      </c>
      <c r="AA232" s="333">
        <f>Y232*(1+$O$5)^(($B$7-X232)/365.25)</f>
      </c>
      <c r="AB232" s="333">
        <f>Z232*(1+$O$5)^(($B$7-X232)/365.25)</f>
      </c>
      <c r="AC232" s="1"/>
      <c r="AD232" s="1"/>
      <c r="AE232" s="1"/>
      <c r="AF232" s="111">
        <f>+MONTH(E232)&amp;YEAR(E232)</f>
      </c>
      <c r="AG232" s="217">
        <f>+I232</f>
      </c>
      <c r="AH232" s="217">
        <f>+J232</f>
      </c>
      <c r="AI232" s="217">
        <f>+H232</f>
      </c>
      <c r="AJ232" s="111">
        <f>+V232&amp;W232</f>
      </c>
      <c r="AK232" s="217">
        <f>+_xlfn.IFNA(VLOOKUP(AJ232,$AF$7:$AG$1066,2,0),0)</f>
      </c>
      <c r="AL232" s="217">
        <f>+IF(W232&gt;W231,AK232,AL231+AK232)</f>
      </c>
      <c r="AM232" s="217">
        <f>IF(W232&gt;W231,IF(AL232&gt;=$AZ$8,$AZ$8,AL232),IF(OR(AM231=$AZ$8,AM231=0),0,IF(AL232&gt;=$AZ$8,$AZ$8,AL232)))</f>
      </c>
      <c r="AN232" s="748">
        <f>+IF(OR(AM232&gt;AZ231,AM232=0),0,IF(AM232=AL232,AK232,$AZ$7-AL231))</f>
      </c>
      <c r="AO232" s="748">
        <f>+AK232-AN232</f>
      </c>
      <c r="AP232" s="217">
        <f>+_xlfn.IFNA(VLOOKUP(AJ232,$AF$7:$AI$1066,3,0),0)</f>
      </c>
      <c r="AQ232" s="217">
        <f>+IF(W232&gt;W231,AP232,AQ231+AP232)</f>
      </c>
      <c r="AR232" s="217">
        <f>+MAX($AM$2-SUMIF($W$7:$W$1066,W232,$AN$7:$AN$1066),0)</f>
      </c>
      <c r="AS232" s="748">
        <f>+MAX(IF(AQ232&gt;AR232,AR232-AQ231,AP232),0)</f>
      </c>
      <c r="AT232" s="748">
        <f>+AP232-AS232</f>
      </c>
      <c r="AU232" s="217">
        <f>+_xlfn.IFNA(VLOOKUP(AJ232,$AF$7:$AI$1066,4,0),0)</f>
      </c>
      <c r="AV232" s="217">
        <f>+IF(W232&gt;W231,AU232,AV231+AU232)</f>
      </c>
      <c r="AW232" s="217">
        <f>+MAX($AM$2-SUMIF($W$7:$W$1066,W232,$AN$7:$AN$1066)-SUMIF($W$7:$W$1066,W232,$AS$7:$AS$1066),0)</f>
      </c>
      <c r="AX232" s="748">
        <f>+MAX(IF(AV232&gt;AW232,AW232-AV231,AU232),0)</f>
      </c>
      <c r="AY232" s="748">
        <f>+AU232-AX232</f>
      </c>
      <c r="AZ232" s="331">
        <f>+$AM$1+IF($AP$1&gt;$AP$2,$AM$3/2)</f>
      </c>
    </row>
    <row x14ac:dyDescent="0.25" r="233" customHeight="1" ht="18.75">
      <c r="A233" s="1"/>
      <c r="B233" s="7"/>
      <c r="C233" s="170"/>
      <c r="D233" s="331">
        <v>226</v>
      </c>
      <c r="E233" s="544">
        <f>+DATE(YEAR(E232),MONTH(E232)-1,DAY(E232))</f>
        <v>25569.041666666668</v>
      </c>
      <c r="F233" s="333">
        <f>IF(DATE(YEAR($B$6),MONTH($B$6)+1,DAY(1))=E233,1,IF(MONTH(E233)=1,F234*(1+$F$5),F234))</f>
      </c>
      <c r="G233" s="333">
        <f>IF('Simulador - 1º Pilar'!$E$99="Sí",IF('Aportaciones PPE'!$B$13&lt;'Aportaciones PPE'!E233,0,F233*$B$8/12),F233*$B$8/12)</f>
      </c>
      <c r="H233" s="333">
        <f>$H$5*G233</f>
      </c>
      <c r="I233" s="333">
        <f>$I$5*G233</f>
      </c>
      <c r="J233" s="333">
        <f>+I233</f>
      </c>
      <c r="K233" s="333">
        <f>(1+$O$5)^(D233/12)*(H233+IF(AND(F233=1,F234=0),$S$4,0))</f>
      </c>
      <c r="L233" s="333">
        <f>(1+$O$5)^(D233/12)*(I233+IF(AND(F233=1,F234=0),0))</f>
      </c>
      <c r="M233" s="333">
        <f>+L233</f>
      </c>
      <c r="N233" s="333">
        <f>L233+K233+M233</f>
      </c>
      <c r="O233" s="170"/>
      <c r="P233" s="7"/>
      <c r="Q233" s="1"/>
      <c r="R233" s="331">
        <f>D233</f>
      </c>
      <c r="S233" s="169"/>
      <c r="T233" s="1"/>
      <c r="U233" s="217"/>
      <c r="V233" s="331">
        <f>+IF(V232=11,12,IF(V232=12,1,V232+1))</f>
      </c>
      <c r="W233" s="331">
        <f>+W232+IF(V232=12,1,0)</f>
      </c>
      <c r="X233" s="555">
        <f>+DATE(W233,V233,1)</f>
        <v>25569.041666666668</v>
      </c>
      <c r="Y233" s="333">
        <f>+_xlfn.IFNA(AN233+AS233+AX233,0)</f>
      </c>
      <c r="Z233" s="333">
        <f>+_xlfn.IFNA(AO233+AT233+AY233,0)</f>
      </c>
      <c r="AA233" s="333">
        <f>Y233*(1+$O$5)^(($B$7-X233)/365.25)</f>
      </c>
      <c r="AB233" s="333">
        <f>Z233*(1+$O$5)^(($B$7-X233)/365.25)</f>
      </c>
      <c r="AC233" s="1"/>
      <c r="AD233" s="1"/>
      <c r="AE233" s="1"/>
      <c r="AF233" s="111">
        <f>+MONTH(E233)&amp;YEAR(E233)</f>
      </c>
      <c r="AG233" s="217">
        <f>+I233</f>
      </c>
      <c r="AH233" s="217">
        <f>+J233</f>
      </c>
      <c r="AI233" s="217">
        <f>+H233</f>
      </c>
      <c r="AJ233" s="111">
        <f>+V233&amp;W233</f>
      </c>
      <c r="AK233" s="217">
        <f>+_xlfn.IFNA(VLOOKUP(AJ233,$AF$7:$AG$1066,2,0),0)</f>
      </c>
      <c r="AL233" s="217">
        <f>+IF(W233&gt;W232,AK233,AL232+AK233)</f>
      </c>
      <c r="AM233" s="217">
        <f>IF(W233&gt;W232,IF(AL233&gt;=$AZ$8,$AZ$8,AL233),IF(OR(AM232=$AZ$8,AM232=0),0,IF(AL233&gt;=$AZ$8,$AZ$8,AL233)))</f>
      </c>
      <c r="AN233" s="748">
        <f>+IF(OR(AM233&gt;AZ232,AM233=0),0,IF(AM233=AL233,AK233,$AZ$7-AL232))</f>
      </c>
      <c r="AO233" s="748">
        <f>+AK233-AN233</f>
      </c>
      <c r="AP233" s="217">
        <f>+_xlfn.IFNA(VLOOKUP(AJ233,$AF$7:$AI$1066,3,0),0)</f>
      </c>
      <c r="AQ233" s="217">
        <f>+IF(W233&gt;W232,AP233,AQ232+AP233)</f>
      </c>
      <c r="AR233" s="217">
        <f>+MAX($AM$2-SUMIF($W$7:$W$1066,W233,$AN$7:$AN$1066),0)</f>
      </c>
      <c r="AS233" s="748">
        <f>+MAX(IF(AQ233&gt;AR233,AR233-AQ232,AP233),0)</f>
      </c>
      <c r="AT233" s="748">
        <f>+AP233-AS233</f>
      </c>
      <c r="AU233" s="217">
        <f>+_xlfn.IFNA(VLOOKUP(AJ233,$AF$7:$AI$1066,4,0),0)</f>
      </c>
      <c r="AV233" s="217">
        <f>+IF(W233&gt;W232,AU233,AV232+AU233)</f>
      </c>
      <c r="AW233" s="217">
        <f>+MAX($AM$2-SUMIF($W$7:$W$1066,W233,$AN$7:$AN$1066)-SUMIF($W$7:$W$1066,W233,$AS$7:$AS$1066),0)</f>
      </c>
      <c r="AX233" s="748">
        <f>+MAX(IF(AV233&gt;AW233,AW233-AV232,AU233),0)</f>
      </c>
      <c r="AY233" s="748">
        <f>+AU233-AX233</f>
      </c>
      <c r="AZ233" s="331">
        <f>+$AM$1+IF($AP$1&gt;$AP$2,$AM$3/2)</f>
      </c>
    </row>
    <row x14ac:dyDescent="0.25" r="234" customHeight="1" ht="18.75">
      <c r="A234" s="1"/>
      <c r="B234" s="7"/>
      <c r="C234" s="170"/>
      <c r="D234" s="331">
        <v>227</v>
      </c>
      <c r="E234" s="544">
        <f>+DATE(YEAR(E233),MONTH(E233)-1,DAY(E233))</f>
        <v>25569.041666666668</v>
      </c>
      <c r="F234" s="333">
        <f>IF(DATE(YEAR($B$6),MONTH($B$6)+1,DAY(1))=E234,1,IF(MONTH(E234)=1,F235*(1+$F$5),F235))</f>
      </c>
      <c r="G234" s="333">
        <f>IF('Simulador - 1º Pilar'!$E$99="Sí",IF('Aportaciones PPE'!$B$13&lt;'Aportaciones PPE'!E234,0,F234*$B$8/12),F234*$B$8/12)</f>
      </c>
      <c r="H234" s="333">
        <f>$H$5*G234</f>
      </c>
      <c r="I234" s="333">
        <f>$I$5*G234</f>
      </c>
      <c r="J234" s="333">
        <f>+I234</f>
      </c>
      <c r="K234" s="333">
        <f>(1+$O$5)^(D234/12)*(H234+IF(AND(F234=1,F235=0),$S$4,0))</f>
      </c>
      <c r="L234" s="333">
        <f>(1+$O$5)^(D234/12)*(I234+IF(AND(F234=1,F235=0),0))</f>
      </c>
      <c r="M234" s="333">
        <f>+L234</f>
      </c>
      <c r="N234" s="333">
        <f>L234+K234+M234</f>
      </c>
      <c r="O234" s="170"/>
      <c r="P234" s="7"/>
      <c r="Q234" s="1"/>
      <c r="R234" s="331">
        <f>D234</f>
      </c>
      <c r="S234" s="169"/>
      <c r="T234" s="1"/>
      <c r="U234" s="217"/>
      <c r="V234" s="331">
        <f>+IF(V233=11,12,IF(V233=12,1,V233+1))</f>
      </c>
      <c r="W234" s="331">
        <f>+W233+IF(V233=12,1,0)</f>
      </c>
      <c r="X234" s="555">
        <f>+DATE(W234,V234,1)</f>
        <v>25569.041666666668</v>
      </c>
      <c r="Y234" s="333">
        <f>+_xlfn.IFNA(AN234+AS234+AX234,0)</f>
      </c>
      <c r="Z234" s="333">
        <f>+_xlfn.IFNA(AO234+AT234+AY234,0)</f>
      </c>
      <c r="AA234" s="333">
        <f>Y234*(1+$O$5)^(($B$7-X234)/365.25)</f>
      </c>
      <c r="AB234" s="333">
        <f>Z234*(1+$O$5)^(($B$7-X234)/365.25)</f>
      </c>
      <c r="AC234" s="1"/>
      <c r="AD234" s="1"/>
      <c r="AE234" s="1"/>
      <c r="AF234" s="111">
        <f>+MONTH(E234)&amp;YEAR(E234)</f>
      </c>
      <c r="AG234" s="217">
        <f>+I234</f>
      </c>
      <c r="AH234" s="217">
        <f>+J234</f>
      </c>
      <c r="AI234" s="217">
        <f>+H234</f>
      </c>
      <c r="AJ234" s="111">
        <f>+V234&amp;W234</f>
      </c>
      <c r="AK234" s="217">
        <f>+_xlfn.IFNA(VLOOKUP(AJ234,$AF$7:$AG$1066,2,0),0)</f>
      </c>
      <c r="AL234" s="217">
        <f>+IF(W234&gt;W233,AK234,AL233+AK234)</f>
      </c>
      <c r="AM234" s="217">
        <f>IF(W234&gt;W233,IF(AL234&gt;=$AZ$8,$AZ$8,AL234),IF(OR(AM233=$AZ$8,AM233=0),0,IF(AL234&gt;=$AZ$8,$AZ$8,AL234)))</f>
      </c>
      <c r="AN234" s="748">
        <f>+IF(OR(AM234&gt;AZ233,AM234=0),0,IF(AM234=AL234,AK234,$AZ$7-AL233))</f>
      </c>
      <c r="AO234" s="748">
        <f>+AK234-AN234</f>
      </c>
      <c r="AP234" s="217">
        <f>+_xlfn.IFNA(VLOOKUP(AJ234,$AF$7:$AI$1066,3,0),0)</f>
      </c>
      <c r="AQ234" s="217">
        <f>+IF(W234&gt;W233,AP234,AQ233+AP234)</f>
      </c>
      <c r="AR234" s="217">
        <f>+MAX($AM$2-SUMIF($W$7:$W$1066,W234,$AN$7:$AN$1066),0)</f>
      </c>
      <c r="AS234" s="748">
        <f>+MAX(IF(AQ234&gt;AR234,AR234-AQ233,AP234),0)</f>
      </c>
      <c r="AT234" s="748">
        <f>+AP234-AS234</f>
      </c>
      <c r="AU234" s="217">
        <f>+_xlfn.IFNA(VLOOKUP(AJ234,$AF$7:$AI$1066,4,0),0)</f>
      </c>
      <c r="AV234" s="217">
        <f>+IF(W234&gt;W233,AU234,AV233+AU234)</f>
      </c>
      <c r="AW234" s="217">
        <f>+MAX($AM$2-SUMIF($W$7:$W$1066,W234,$AN$7:$AN$1066)-SUMIF($W$7:$W$1066,W234,$AS$7:$AS$1066),0)</f>
      </c>
      <c r="AX234" s="748">
        <f>+MAX(IF(AV234&gt;AW234,AW234-AV233,AU234),0)</f>
      </c>
      <c r="AY234" s="748">
        <f>+AU234-AX234</f>
      </c>
      <c r="AZ234" s="331">
        <f>+$AM$1+IF($AP$1&gt;$AP$2,$AM$3/2)</f>
      </c>
    </row>
    <row x14ac:dyDescent="0.25" r="235" customHeight="1" ht="18.75">
      <c r="A235" s="1"/>
      <c r="B235" s="7"/>
      <c r="C235" s="170"/>
      <c r="D235" s="331">
        <v>228</v>
      </c>
      <c r="E235" s="544">
        <f>+DATE(YEAR(E234),MONTH(E234)-1,DAY(E234))</f>
        <v>25569.041666666668</v>
      </c>
      <c r="F235" s="333">
        <f>IF(DATE(YEAR($B$6),MONTH($B$6)+1,DAY(1))=E235,1,IF(MONTH(E235)=1,F236*(1+$F$5),F236))</f>
      </c>
      <c r="G235" s="333">
        <f>IF('Simulador - 1º Pilar'!$E$99="Sí",IF('Aportaciones PPE'!$B$13&lt;'Aportaciones PPE'!E235,0,F235*$B$8/12),F235*$B$8/12)</f>
      </c>
      <c r="H235" s="333">
        <f>$H$5*G235</f>
      </c>
      <c r="I235" s="333">
        <f>$I$5*G235</f>
      </c>
      <c r="J235" s="333">
        <f>+I235</f>
      </c>
      <c r="K235" s="333">
        <f>(1+$O$5)^(D235/12)*(H235+IF(AND(F235=1,F236=0),$S$4,0))</f>
      </c>
      <c r="L235" s="333">
        <f>(1+$O$5)^(D235/12)*(I235+IF(AND(F235=1,F236=0),0))</f>
      </c>
      <c r="M235" s="333">
        <f>+L235</f>
      </c>
      <c r="N235" s="333">
        <f>L235+K235+M235</f>
      </c>
      <c r="O235" s="170"/>
      <c r="P235" s="7"/>
      <c r="Q235" s="1"/>
      <c r="R235" s="331">
        <f>D235</f>
      </c>
      <c r="S235" s="169"/>
      <c r="T235" s="1"/>
      <c r="U235" s="217"/>
      <c r="V235" s="331">
        <f>+IF(V234=11,12,IF(V234=12,1,V234+1))</f>
      </c>
      <c r="W235" s="331">
        <f>+W234+IF(V234=12,1,0)</f>
      </c>
      <c r="X235" s="555">
        <f>+DATE(W235,V235,1)</f>
        <v>25569.041666666668</v>
      </c>
      <c r="Y235" s="333">
        <f>+_xlfn.IFNA(AN235+AS235+AX235,0)</f>
      </c>
      <c r="Z235" s="333">
        <f>+_xlfn.IFNA(AO235+AT235+AY235,0)</f>
      </c>
      <c r="AA235" s="333">
        <f>Y235*(1+$O$5)^(($B$7-X235)/365.25)</f>
      </c>
      <c r="AB235" s="333">
        <f>Z235*(1+$O$5)^(($B$7-X235)/365.25)</f>
      </c>
      <c r="AC235" s="1"/>
      <c r="AD235" s="1"/>
      <c r="AE235" s="1"/>
      <c r="AF235" s="111">
        <f>+MONTH(E235)&amp;YEAR(E235)</f>
      </c>
      <c r="AG235" s="217">
        <f>+I235</f>
      </c>
      <c r="AH235" s="217">
        <f>+J235</f>
      </c>
      <c r="AI235" s="217">
        <f>+H235</f>
      </c>
      <c r="AJ235" s="111">
        <f>+V235&amp;W235</f>
      </c>
      <c r="AK235" s="217">
        <f>+_xlfn.IFNA(VLOOKUP(AJ235,$AF$7:$AG$1066,2,0),0)</f>
      </c>
      <c r="AL235" s="217">
        <f>+IF(W235&gt;W234,AK235,AL234+AK235)</f>
      </c>
      <c r="AM235" s="217">
        <f>IF(W235&gt;W234,IF(AL235&gt;=$AZ$8,$AZ$8,AL235),IF(OR(AM234=$AZ$8,AM234=0),0,IF(AL235&gt;=$AZ$8,$AZ$8,AL235)))</f>
      </c>
      <c r="AN235" s="748">
        <f>+IF(OR(AM235&gt;AZ234,AM235=0),0,IF(AM235=AL235,AK235,$AZ$7-AL234))</f>
      </c>
      <c r="AO235" s="748">
        <f>+AK235-AN235</f>
      </c>
      <c r="AP235" s="217">
        <f>+_xlfn.IFNA(VLOOKUP(AJ235,$AF$7:$AI$1066,3,0),0)</f>
      </c>
      <c r="AQ235" s="217">
        <f>+IF(W235&gt;W234,AP235,AQ234+AP235)</f>
      </c>
      <c r="AR235" s="217">
        <f>+MAX($AM$2-SUMIF($W$7:$W$1066,W235,$AN$7:$AN$1066),0)</f>
      </c>
      <c r="AS235" s="748">
        <f>+MAX(IF(AQ235&gt;AR235,AR235-AQ234,AP235),0)</f>
      </c>
      <c r="AT235" s="748">
        <f>+AP235-AS235</f>
      </c>
      <c r="AU235" s="217">
        <f>+_xlfn.IFNA(VLOOKUP(AJ235,$AF$7:$AI$1066,4,0),0)</f>
      </c>
      <c r="AV235" s="217">
        <f>+IF(W235&gt;W234,AU235,AV234+AU235)</f>
      </c>
      <c r="AW235" s="217">
        <f>+MAX($AM$2-SUMIF($W$7:$W$1066,W235,$AN$7:$AN$1066)-SUMIF($W$7:$W$1066,W235,$AS$7:$AS$1066),0)</f>
      </c>
      <c r="AX235" s="748">
        <f>+MAX(IF(AV235&gt;AW235,AW235-AV234,AU235),0)</f>
      </c>
      <c r="AY235" s="748">
        <f>+AU235-AX235</f>
      </c>
      <c r="AZ235" s="331">
        <f>+$AM$1+IF($AP$1&gt;$AP$2,$AM$3/2)</f>
      </c>
    </row>
    <row x14ac:dyDescent="0.25" r="236" customHeight="1" ht="18.75">
      <c r="A236" s="1"/>
      <c r="B236" s="7"/>
      <c r="C236" s="170"/>
      <c r="D236" s="331">
        <v>229</v>
      </c>
      <c r="E236" s="544">
        <f>+DATE(YEAR(E235),MONTH(E235)-1,DAY(E235))</f>
        <v>25569.041666666668</v>
      </c>
      <c r="F236" s="333">
        <f>IF(DATE(YEAR($B$6),MONTH($B$6)+1,DAY(1))=E236,1,IF(MONTH(E236)=1,F237*(1+$F$5),F237))</f>
      </c>
      <c r="G236" s="333">
        <f>IF('Simulador - 1º Pilar'!$E$99="Sí",IF('Aportaciones PPE'!$B$13&lt;'Aportaciones PPE'!E236,0,F236*$B$8/12),F236*$B$8/12)</f>
      </c>
      <c r="H236" s="333">
        <f>$H$5*G236</f>
      </c>
      <c r="I236" s="333">
        <f>$I$5*G236</f>
      </c>
      <c r="J236" s="333">
        <f>+I236</f>
      </c>
      <c r="K236" s="333">
        <f>(1+$O$5)^(D236/12)*(H236+IF(AND(F236=1,F237=0),$S$4,0))</f>
      </c>
      <c r="L236" s="333">
        <f>(1+$O$5)^(D236/12)*(I236+IF(AND(F236=1,F237=0),0))</f>
      </c>
      <c r="M236" s="333">
        <f>+L236</f>
      </c>
      <c r="N236" s="333">
        <f>L236+K236+M236</f>
      </c>
      <c r="O236" s="170"/>
      <c r="P236" s="7"/>
      <c r="Q236" s="1"/>
      <c r="R236" s="331">
        <f>D236</f>
      </c>
      <c r="S236" s="169"/>
      <c r="T236" s="1"/>
      <c r="U236" s="217"/>
      <c r="V236" s="331">
        <f>+IF(V235=11,12,IF(V235=12,1,V235+1))</f>
      </c>
      <c r="W236" s="331">
        <f>+W235+IF(V235=12,1,0)</f>
      </c>
      <c r="X236" s="555">
        <f>+DATE(W236,V236,1)</f>
        <v>25569.041666666668</v>
      </c>
      <c r="Y236" s="333">
        <f>+_xlfn.IFNA(AN236+AS236+AX236,0)</f>
      </c>
      <c r="Z236" s="333">
        <f>+_xlfn.IFNA(AO236+AT236+AY236,0)</f>
      </c>
      <c r="AA236" s="333">
        <f>Y236*(1+$O$5)^(($B$7-X236)/365.25)</f>
      </c>
      <c r="AB236" s="333">
        <f>Z236*(1+$O$5)^(($B$7-X236)/365.25)</f>
      </c>
      <c r="AC236" s="1"/>
      <c r="AD236" s="1"/>
      <c r="AE236" s="1"/>
      <c r="AF236" s="111">
        <f>+MONTH(E236)&amp;YEAR(E236)</f>
      </c>
      <c r="AG236" s="217">
        <f>+I236</f>
      </c>
      <c r="AH236" s="217">
        <f>+J236</f>
      </c>
      <c r="AI236" s="217">
        <f>+H236</f>
      </c>
      <c r="AJ236" s="111">
        <f>+V236&amp;W236</f>
      </c>
      <c r="AK236" s="217">
        <f>+_xlfn.IFNA(VLOOKUP(AJ236,$AF$7:$AG$1066,2,0),0)</f>
      </c>
      <c r="AL236" s="217">
        <f>+IF(W236&gt;W235,AK236,AL235+AK236)</f>
      </c>
      <c r="AM236" s="217">
        <f>IF(W236&gt;W235,IF(AL236&gt;=$AZ$8,$AZ$8,AL236),IF(OR(AM235=$AZ$8,AM235=0),0,IF(AL236&gt;=$AZ$8,$AZ$8,AL236)))</f>
      </c>
      <c r="AN236" s="748">
        <f>+IF(OR(AM236&gt;AZ235,AM236=0),0,IF(AM236=AL236,AK236,$AZ$7-AL235))</f>
      </c>
      <c r="AO236" s="748">
        <f>+AK236-AN236</f>
      </c>
      <c r="AP236" s="217">
        <f>+_xlfn.IFNA(VLOOKUP(AJ236,$AF$7:$AI$1066,3,0),0)</f>
      </c>
      <c r="AQ236" s="217">
        <f>+IF(W236&gt;W235,AP236,AQ235+AP236)</f>
      </c>
      <c r="AR236" s="217">
        <f>+MAX($AM$2-SUMIF($W$7:$W$1066,W236,$AN$7:$AN$1066),0)</f>
      </c>
      <c r="AS236" s="748">
        <f>+MAX(IF(AQ236&gt;AR236,AR236-AQ235,AP236),0)</f>
      </c>
      <c r="AT236" s="748">
        <f>+AP236-AS236</f>
      </c>
      <c r="AU236" s="217">
        <f>+_xlfn.IFNA(VLOOKUP(AJ236,$AF$7:$AI$1066,4,0),0)</f>
      </c>
      <c r="AV236" s="217">
        <f>+IF(W236&gt;W235,AU236,AV235+AU236)</f>
      </c>
      <c r="AW236" s="217">
        <f>+MAX($AM$2-SUMIF($W$7:$W$1066,W236,$AN$7:$AN$1066)-SUMIF($W$7:$W$1066,W236,$AS$7:$AS$1066),0)</f>
      </c>
      <c r="AX236" s="748">
        <f>+MAX(IF(AV236&gt;AW236,AW236-AV235,AU236),0)</f>
      </c>
      <c r="AY236" s="748">
        <f>+AU236-AX236</f>
      </c>
      <c r="AZ236" s="331">
        <f>+$AM$1+IF($AP$1&gt;$AP$2,$AM$3/2)</f>
      </c>
    </row>
    <row x14ac:dyDescent="0.25" r="237" customHeight="1" ht="18.75">
      <c r="A237" s="1"/>
      <c r="B237" s="7"/>
      <c r="C237" s="170"/>
      <c r="D237" s="331">
        <v>230</v>
      </c>
      <c r="E237" s="544">
        <f>+DATE(YEAR(E236),MONTH(E236)-1,DAY(E236))</f>
        <v>25569.041666666668</v>
      </c>
      <c r="F237" s="333">
        <f>IF(DATE(YEAR($B$6),MONTH($B$6)+1,DAY(1))=E237,1,IF(MONTH(E237)=1,F238*(1+$F$5),F238))</f>
      </c>
      <c r="G237" s="333">
        <f>IF('Simulador - 1º Pilar'!$E$99="Sí",IF('Aportaciones PPE'!$B$13&lt;'Aportaciones PPE'!E237,0,F237*$B$8/12),F237*$B$8/12)</f>
      </c>
      <c r="H237" s="333">
        <f>$H$5*G237</f>
      </c>
      <c r="I237" s="333">
        <f>$I$5*G237</f>
      </c>
      <c r="J237" s="333">
        <f>+I237</f>
      </c>
      <c r="K237" s="333">
        <f>(1+$O$5)^(D237/12)*(H237+IF(AND(F237=1,F238=0),$S$4,0))</f>
      </c>
      <c r="L237" s="333">
        <f>(1+$O$5)^(D237/12)*(I237+IF(AND(F237=1,F238=0),0))</f>
      </c>
      <c r="M237" s="333">
        <f>+L237</f>
      </c>
      <c r="N237" s="333">
        <f>L237+K237+M237</f>
      </c>
      <c r="O237" s="170"/>
      <c r="P237" s="7"/>
      <c r="Q237" s="1"/>
      <c r="R237" s="331">
        <f>D237</f>
      </c>
      <c r="S237" s="169"/>
      <c r="T237" s="1"/>
      <c r="U237" s="217"/>
      <c r="V237" s="331">
        <f>+IF(V236=11,12,IF(V236=12,1,V236+1))</f>
      </c>
      <c r="W237" s="331">
        <f>+W236+IF(V236=12,1,0)</f>
      </c>
      <c r="X237" s="555">
        <f>+DATE(W237,V237,1)</f>
        <v>25569.041666666668</v>
      </c>
      <c r="Y237" s="333">
        <f>+_xlfn.IFNA(AN237+AS237+AX237,0)</f>
      </c>
      <c r="Z237" s="333">
        <f>+_xlfn.IFNA(AO237+AT237+AY237,0)</f>
      </c>
      <c r="AA237" s="333">
        <f>Y237*(1+$O$5)^(($B$7-X237)/365.25)</f>
      </c>
      <c r="AB237" s="333">
        <f>Z237*(1+$O$5)^(($B$7-X237)/365.25)</f>
      </c>
      <c r="AC237" s="1"/>
      <c r="AD237" s="1"/>
      <c r="AE237" s="1"/>
      <c r="AF237" s="111">
        <f>+MONTH(E237)&amp;YEAR(E237)</f>
      </c>
      <c r="AG237" s="217">
        <f>+I237</f>
      </c>
      <c r="AH237" s="217">
        <f>+J237</f>
      </c>
      <c r="AI237" s="217">
        <f>+H237</f>
      </c>
      <c r="AJ237" s="111">
        <f>+V237&amp;W237</f>
      </c>
      <c r="AK237" s="217">
        <f>+_xlfn.IFNA(VLOOKUP(AJ237,$AF$7:$AG$1066,2,0),0)</f>
      </c>
      <c r="AL237" s="217">
        <f>+IF(W237&gt;W236,AK237,AL236+AK237)</f>
      </c>
      <c r="AM237" s="217">
        <f>IF(W237&gt;W236,IF(AL237&gt;=$AZ$8,$AZ$8,AL237),IF(OR(AM236=$AZ$8,AM236=0),0,IF(AL237&gt;=$AZ$8,$AZ$8,AL237)))</f>
      </c>
      <c r="AN237" s="748">
        <f>+IF(OR(AM237&gt;AZ236,AM237=0),0,IF(AM237=AL237,AK237,$AZ$7-AL236))</f>
      </c>
      <c r="AO237" s="748">
        <f>+AK237-AN237</f>
      </c>
      <c r="AP237" s="217">
        <f>+_xlfn.IFNA(VLOOKUP(AJ237,$AF$7:$AI$1066,3,0),0)</f>
      </c>
      <c r="AQ237" s="217">
        <f>+IF(W237&gt;W236,AP237,AQ236+AP237)</f>
      </c>
      <c r="AR237" s="217">
        <f>+MAX($AM$2-SUMIF($W$7:$W$1066,W237,$AN$7:$AN$1066),0)</f>
      </c>
      <c r="AS237" s="748">
        <f>+MAX(IF(AQ237&gt;AR237,AR237-AQ236,AP237),0)</f>
      </c>
      <c r="AT237" s="748">
        <f>+AP237-AS237</f>
      </c>
      <c r="AU237" s="217">
        <f>+_xlfn.IFNA(VLOOKUP(AJ237,$AF$7:$AI$1066,4,0),0)</f>
      </c>
      <c r="AV237" s="217">
        <f>+IF(W237&gt;W236,AU237,AV236+AU237)</f>
      </c>
      <c r="AW237" s="217">
        <f>+MAX($AM$2-SUMIF($W$7:$W$1066,W237,$AN$7:$AN$1066)-SUMIF($W$7:$W$1066,W237,$AS$7:$AS$1066),0)</f>
      </c>
      <c r="AX237" s="748">
        <f>+MAX(IF(AV237&gt;AW237,AW237-AV236,AU237),0)</f>
      </c>
      <c r="AY237" s="748">
        <f>+AU237-AX237</f>
      </c>
      <c r="AZ237" s="331">
        <f>+$AM$1+IF($AP$1&gt;$AP$2,$AM$3/2)</f>
      </c>
    </row>
    <row x14ac:dyDescent="0.25" r="238" customHeight="1" ht="18.75">
      <c r="A238" s="1"/>
      <c r="B238" s="7"/>
      <c r="C238" s="170"/>
      <c r="D238" s="331">
        <v>231</v>
      </c>
      <c r="E238" s="544">
        <f>+DATE(YEAR(E237),MONTH(E237)-1,DAY(E237))</f>
        <v>25569.041666666668</v>
      </c>
      <c r="F238" s="333">
        <f>IF(DATE(YEAR($B$6),MONTH($B$6)+1,DAY(1))=E238,1,IF(MONTH(E238)=1,F239*(1+$F$5),F239))</f>
      </c>
      <c r="G238" s="333">
        <f>IF('Simulador - 1º Pilar'!$E$99="Sí",IF('Aportaciones PPE'!$B$13&lt;'Aportaciones PPE'!E238,0,F238*$B$8/12),F238*$B$8/12)</f>
      </c>
      <c r="H238" s="333">
        <f>$H$5*G238</f>
      </c>
      <c r="I238" s="333">
        <f>$I$5*G238</f>
      </c>
      <c r="J238" s="333">
        <f>+I238</f>
      </c>
      <c r="K238" s="333">
        <f>(1+$O$5)^(D238/12)*(H238+IF(AND(F238=1,F239=0),$S$4,0))</f>
      </c>
      <c r="L238" s="333">
        <f>(1+$O$5)^(D238/12)*(I238+IF(AND(F238=1,F239=0),0))</f>
      </c>
      <c r="M238" s="333">
        <f>+L238</f>
      </c>
      <c r="N238" s="333">
        <f>L238+K238+M238</f>
      </c>
      <c r="O238" s="170"/>
      <c r="P238" s="7"/>
      <c r="Q238" s="1"/>
      <c r="R238" s="331">
        <f>D238</f>
      </c>
      <c r="S238" s="169"/>
      <c r="T238" s="1"/>
      <c r="U238" s="217"/>
      <c r="V238" s="331">
        <f>+IF(V237=11,12,IF(V237=12,1,V237+1))</f>
      </c>
      <c r="W238" s="331">
        <f>+W237+IF(V237=12,1,0)</f>
      </c>
      <c r="X238" s="555">
        <f>+DATE(W238,V238,1)</f>
        <v>25569.041666666668</v>
      </c>
      <c r="Y238" s="333">
        <f>+_xlfn.IFNA(AN238+AS238+AX238,0)</f>
      </c>
      <c r="Z238" s="333">
        <f>+_xlfn.IFNA(AO238+AT238+AY238,0)</f>
      </c>
      <c r="AA238" s="333">
        <f>Y238*(1+$O$5)^(($B$7-X238)/365.25)</f>
      </c>
      <c r="AB238" s="333">
        <f>Z238*(1+$O$5)^(($B$7-X238)/365.25)</f>
      </c>
      <c r="AC238" s="1"/>
      <c r="AD238" s="1"/>
      <c r="AE238" s="1"/>
      <c r="AF238" s="111">
        <f>+MONTH(E238)&amp;YEAR(E238)</f>
      </c>
      <c r="AG238" s="217">
        <f>+I238</f>
      </c>
      <c r="AH238" s="217">
        <f>+J238</f>
      </c>
      <c r="AI238" s="217">
        <f>+H238</f>
      </c>
      <c r="AJ238" s="111">
        <f>+V238&amp;W238</f>
      </c>
      <c r="AK238" s="217">
        <f>+_xlfn.IFNA(VLOOKUP(AJ238,$AF$7:$AG$1066,2,0),0)</f>
      </c>
      <c r="AL238" s="217">
        <f>+IF(W238&gt;W237,AK238,AL237+AK238)</f>
      </c>
      <c r="AM238" s="217">
        <f>IF(W238&gt;W237,IF(AL238&gt;=$AZ$8,$AZ$8,AL238),IF(OR(AM237=$AZ$8,AM237=0),0,IF(AL238&gt;=$AZ$8,$AZ$8,AL238)))</f>
      </c>
      <c r="AN238" s="748">
        <f>+IF(OR(AM238&gt;AZ237,AM238=0),0,IF(AM238=AL238,AK238,$AZ$7-AL237))</f>
      </c>
      <c r="AO238" s="748">
        <f>+AK238-AN238</f>
      </c>
      <c r="AP238" s="217">
        <f>+_xlfn.IFNA(VLOOKUP(AJ238,$AF$7:$AI$1066,3,0),0)</f>
      </c>
      <c r="AQ238" s="217">
        <f>+IF(W238&gt;W237,AP238,AQ237+AP238)</f>
      </c>
      <c r="AR238" s="217">
        <f>+MAX($AM$2-SUMIF($W$7:$W$1066,W238,$AN$7:$AN$1066),0)</f>
      </c>
      <c r="AS238" s="748">
        <f>+MAX(IF(AQ238&gt;AR238,AR238-AQ237,AP238),0)</f>
      </c>
      <c r="AT238" s="748">
        <f>+AP238-AS238</f>
      </c>
      <c r="AU238" s="217">
        <f>+_xlfn.IFNA(VLOOKUP(AJ238,$AF$7:$AI$1066,4,0),0)</f>
      </c>
      <c r="AV238" s="217">
        <f>+IF(W238&gt;W237,AU238,AV237+AU238)</f>
      </c>
      <c r="AW238" s="217">
        <f>+MAX($AM$2-SUMIF($W$7:$W$1066,W238,$AN$7:$AN$1066)-SUMIF($W$7:$W$1066,W238,$AS$7:$AS$1066),0)</f>
      </c>
      <c r="AX238" s="748">
        <f>+MAX(IF(AV238&gt;AW238,AW238-AV237,AU238),0)</f>
      </c>
      <c r="AY238" s="748">
        <f>+AU238-AX238</f>
      </c>
      <c r="AZ238" s="331">
        <f>+$AM$1+IF($AP$1&gt;$AP$2,$AM$3/2)</f>
      </c>
    </row>
    <row x14ac:dyDescent="0.25" r="239" customHeight="1" ht="18.75">
      <c r="A239" s="1"/>
      <c r="B239" s="7"/>
      <c r="C239" s="170"/>
      <c r="D239" s="331">
        <v>232</v>
      </c>
      <c r="E239" s="544">
        <f>+DATE(YEAR(E238),MONTH(E238)-1,DAY(E238))</f>
        <v>25569.041666666668</v>
      </c>
      <c r="F239" s="333">
        <f>IF(DATE(YEAR($B$6),MONTH($B$6)+1,DAY(1))=E239,1,IF(MONTH(E239)=1,F240*(1+$F$5),F240))</f>
      </c>
      <c r="G239" s="333">
        <f>IF('Simulador - 1º Pilar'!$E$99="Sí",IF('Aportaciones PPE'!$B$13&lt;'Aportaciones PPE'!E239,0,F239*$B$8/12),F239*$B$8/12)</f>
      </c>
      <c r="H239" s="333">
        <f>$H$5*G239</f>
      </c>
      <c r="I239" s="333">
        <f>$I$5*G239</f>
      </c>
      <c r="J239" s="333">
        <f>+I239</f>
      </c>
      <c r="K239" s="333">
        <f>(1+$O$5)^(D239/12)*(H239+IF(AND(F239=1,F240=0),$S$4,0))</f>
      </c>
      <c r="L239" s="333">
        <f>(1+$O$5)^(D239/12)*(I239+IF(AND(F239=1,F240=0),0))</f>
      </c>
      <c r="M239" s="333">
        <f>+L239</f>
      </c>
      <c r="N239" s="333">
        <f>L239+K239+M239</f>
      </c>
      <c r="O239" s="170"/>
      <c r="P239" s="7"/>
      <c r="Q239" s="1"/>
      <c r="R239" s="331">
        <f>D239</f>
      </c>
      <c r="S239" s="169"/>
      <c r="T239" s="1"/>
      <c r="U239" s="217"/>
      <c r="V239" s="331">
        <f>+IF(V238=11,12,IF(V238=12,1,V238+1))</f>
      </c>
      <c r="W239" s="331">
        <f>+W238+IF(V238=12,1,0)</f>
      </c>
      <c r="X239" s="555">
        <f>+DATE(W239,V239,1)</f>
        <v>25569.041666666668</v>
      </c>
      <c r="Y239" s="333">
        <f>+_xlfn.IFNA(AN239+AS239+AX239,0)</f>
      </c>
      <c r="Z239" s="333">
        <f>+_xlfn.IFNA(AO239+AT239+AY239,0)</f>
      </c>
      <c r="AA239" s="333">
        <f>Y239*(1+$O$5)^(($B$7-X239)/365.25)</f>
      </c>
      <c r="AB239" s="333">
        <f>Z239*(1+$O$5)^(($B$7-X239)/365.25)</f>
      </c>
      <c r="AC239" s="1"/>
      <c r="AD239" s="1"/>
      <c r="AE239" s="1"/>
      <c r="AF239" s="111">
        <f>+MONTH(E239)&amp;YEAR(E239)</f>
      </c>
      <c r="AG239" s="217">
        <f>+I239</f>
      </c>
      <c r="AH239" s="217">
        <f>+J239</f>
      </c>
      <c r="AI239" s="217">
        <f>+H239</f>
      </c>
      <c r="AJ239" s="111">
        <f>+V239&amp;W239</f>
      </c>
      <c r="AK239" s="217">
        <f>+_xlfn.IFNA(VLOOKUP(AJ239,$AF$7:$AG$1066,2,0),0)</f>
      </c>
      <c r="AL239" s="217">
        <f>+IF(W239&gt;W238,AK239,AL238+AK239)</f>
      </c>
      <c r="AM239" s="217">
        <f>IF(W239&gt;W238,IF(AL239&gt;=$AZ$8,$AZ$8,AL239),IF(OR(AM238=$AZ$8,AM238=0),0,IF(AL239&gt;=$AZ$8,$AZ$8,AL239)))</f>
      </c>
      <c r="AN239" s="748">
        <f>+IF(OR(AM239&gt;AZ238,AM239=0),0,IF(AM239=AL239,AK239,$AZ$7-AL238))</f>
      </c>
      <c r="AO239" s="748">
        <f>+AK239-AN239</f>
      </c>
      <c r="AP239" s="217">
        <f>+_xlfn.IFNA(VLOOKUP(AJ239,$AF$7:$AI$1066,3,0),0)</f>
      </c>
      <c r="AQ239" s="217">
        <f>+IF(W239&gt;W238,AP239,AQ238+AP239)</f>
      </c>
      <c r="AR239" s="217">
        <f>+MAX($AM$2-SUMIF($W$7:$W$1066,W239,$AN$7:$AN$1066),0)</f>
      </c>
      <c r="AS239" s="748">
        <f>+MAX(IF(AQ239&gt;AR239,AR239-AQ238,AP239),0)</f>
      </c>
      <c r="AT239" s="748">
        <f>+AP239-AS239</f>
      </c>
      <c r="AU239" s="217">
        <f>+_xlfn.IFNA(VLOOKUP(AJ239,$AF$7:$AI$1066,4,0),0)</f>
      </c>
      <c r="AV239" s="217">
        <f>+IF(W239&gt;W238,AU239,AV238+AU239)</f>
      </c>
      <c r="AW239" s="217">
        <f>+MAX($AM$2-SUMIF($W$7:$W$1066,W239,$AN$7:$AN$1066)-SUMIF($W$7:$W$1066,W239,$AS$7:$AS$1066),0)</f>
      </c>
      <c r="AX239" s="748">
        <f>+MAX(IF(AV239&gt;AW239,AW239-AV238,AU239),0)</f>
      </c>
      <c r="AY239" s="748">
        <f>+AU239-AX239</f>
      </c>
      <c r="AZ239" s="331">
        <f>+$AM$1+IF($AP$1&gt;$AP$2,$AM$3/2)</f>
      </c>
    </row>
    <row x14ac:dyDescent="0.25" r="240" customHeight="1" ht="18.75">
      <c r="A240" s="1"/>
      <c r="B240" s="7"/>
      <c r="C240" s="170"/>
      <c r="D240" s="331">
        <v>233</v>
      </c>
      <c r="E240" s="544">
        <f>+DATE(YEAR(E239),MONTH(E239)-1,DAY(E239))</f>
        <v>25569.041666666668</v>
      </c>
      <c r="F240" s="333">
        <f>IF(DATE(YEAR($B$6),MONTH($B$6)+1,DAY(1))=E240,1,IF(MONTH(E240)=1,F241*(1+$F$5),F241))</f>
      </c>
      <c r="G240" s="333">
        <f>IF('Simulador - 1º Pilar'!$E$99="Sí",IF('Aportaciones PPE'!$B$13&lt;'Aportaciones PPE'!E240,0,F240*$B$8/12),F240*$B$8/12)</f>
      </c>
      <c r="H240" s="333">
        <f>$H$5*G240</f>
      </c>
      <c r="I240" s="333">
        <f>$I$5*G240</f>
      </c>
      <c r="J240" s="333">
        <f>+I240</f>
      </c>
      <c r="K240" s="333">
        <f>(1+$O$5)^(D240/12)*(H240+IF(AND(F240=1,F241=0),$S$4,0))</f>
      </c>
      <c r="L240" s="333">
        <f>(1+$O$5)^(D240/12)*(I240+IF(AND(F240=1,F241=0),0))</f>
      </c>
      <c r="M240" s="333">
        <f>+L240</f>
      </c>
      <c r="N240" s="333">
        <f>L240+K240+M240</f>
      </c>
      <c r="O240" s="170"/>
      <c r="P240" s="7"/>
      <c r="Q240" s="1"/>
      <c r="R240" s="331">
        <f>D240</f>
      </c>
      <c r="S240" s="169"/>
      <c r="T240" s="1"/>
      <c r="U240" s="217"/>
      <c r="V240" s="331">
        <f>+IF(V239=11,12,IF(V239=12,1,V239+1))</f>
      </c>
      <c r="W240" s="331">
        <f>+W239+IF(V239=12,1,0)</f>
      </c>
      <c r="X240" s="555">
        <f>+DATE(W240,V240,1)</f>
        <v>25569.041666666668</v>
      </c>
      <c r="Y240" s="333">
        <f>+_xlfn.IFNA(AN240+AS240+AX240,0)</f>
      </c>
      <c r="Z240" s="333">
        <f>+_xlfn.IFNA(AO240+AT240+AY240,0)</f>
      </c>
      <c r="AA240" s="333">
        <f>Y240*(1+$O$5)^(($B$7-X240)/365.25)</f>
      </c>
      <c r="AB240" s="333">
        <f>Z240*(1+$O$5)^(($B$7-X240)/365.25)</f>
      </c>
      <c r="AC240" s="1"/>
      <c r="AD240" s="1"/>
      <c r="AE240" s="1"/>
      <c r="AF240" s="111">
        <f>+MONTH(E240)&amp;YEAR(E240)</f>
      </c>
      <c r="AG240" s="217">
        <f>+I240</f>
      </c>
      <c r="AH240" s="217">
        <f>+J240</f>
      </c>
      <c r="AI240" s="217">
        <f>+H240</f>
      </c>
      <c r="AJ240" s="111">
        <f>+V240&amp;W240</f>
      </c>
      <c r="AK240" s="217">
        <f>+_xlfn.IFNA(VLOOKUP(AJ240,$AF$7:$AG$1066,2,0),0)</f>
      </c>
      <c r="AL240" s="217">
        <f>+IF(W240&gt;W239,AK240,AL239+AK240)</f>
      </c>
      <c r="AM240" s="217">
        <f>IF(W240&gt;W239,IF(AL240&gt;=$AZ$8,$AZ$8,AL240),IF(OR(AM239=$AZ$8,AM239=0),0,IF(AL240&gt;=$AZ$8,$AZ$8,AL240)))</f>
      </c>
      <c r="AN240" s="748">
        <f>+IF(OR(AM240&gt;AZ239,AM240=0),0,IF(AM240=AL240,AK240,$AZ$7-AL239))</f>
      </c>
      <c r="AO240" s="748">
        <f>+AK240-AN240</f>
      </c>
      <c r="AP240" s="217">
        <f>+_xlfn.IFNA(VLOOKUP(AJ240,$AF$7:$AI$1066,3,0),0)</f>
      </c>
      <c r="AQ240" s="217">
        <f>+IF(W240&gt;W239,AP240,AQ239+AP240)</f>
      </c>
      <c r="AR240" s="217">
        <f>+MAX($AM$2-SUMIF($W$7:$W$1066,W240,$AN$7:$AN$1066),0)</f>
      </c>
      <c r="AS240" s="748">
        <f>+MAX(IF(AQ240&gt;AR240,AR240-AQ239,AP240),0)</f>
      </c>
      <c r="AT240" s="748">
        <f>+AP240-AS240</f>
      </c>
      <c r="AU240" s="217">
        <f>+_xlfn.IFNA(VLOOKUP(AJ240,$AF$7:$AI$1066,4,0),0)</f>
      </c>
      <c r="AV240" s="217">
        <f>+IF(W240&gt;W239,AU240,AV239+AU240)</f>
      </c>
      <c r="AW240" s="217">
        <f>+MAX($AM$2-SUMIF($W$7:$W$1066,W240,$AN$7:$AN$1066)-SUMIF($W$7:$W$1066,W240,$AS$7:$AS$1066),0)</f>
      </c>
      <c r="AX240" s="748">
        <f>+MAX(IF(AV240&gt;AW240,AW240-AV239,AU240),0)</f>
      </c>
      <c r="AY240" s="748">
        <f>+AU240-AX240</f>
      </c>
      <c r="AZ240" s="331">
        <f>+$AM$1+IF($AP$1&gt;$AP$2,$AM$3/2)</f>
      </c>
    </row>
    <row x14ac:dyDescent="0.25" r="241" customHeight="1" ht="18.75">
      <c r="A241" s="1"/>
      <c r="B241" s="7"/>
      <c r="C241" s="170"/>
      <c r="D241" s="331">
        <v>234</v>
      </c>
      <c r="E241" s="544">
        <f>+DATE(YEAR(E240),MONTH(E240)-1,DAY(E240))</f>
        <v>25569.041666666668</v>
      </c>
      <c r="F241" s="333">
        <f>IF(DATE(YEAR($B$6),MONTH($B$6)+1,DAY(1))=E241,1,IF(MONTH(E241)=1,F242*(1+$F$5),F242))</f>
      </c>
      <c r="G241" s="333">
        <f>IF('Simulador - 1º Pilar'!$E$99="Sí",IF('Aportaciones PPE'!$B$13&lt;'Aportaciones PPE'!E241,0,F241*$B$8/12),F241*$B$8/12)</f>
      </c>
      <c r="H241" s="333">
        <f>$H$5*G241</f>
      </c>
      <c r="I241" s="333">
        <f>$I$5*G241</f>
      </c>
      <c r="J241" s="333">
        <f>+I241</f>
      </c>
      <c r="K241" s="333">
        <f>(1+$O$5)^(D241/12)*(H241+IF(AND(F241=1,F242=0),$S$4,0))</f>
      </c>
      <c r="L241" s="333">
        <f>(1+$O$5)^(D241/12)*(I241+IF(AND(F241=1,F242=0),0))</f>
      </c>
      <c r="M241" s="333">
        <f>+L241</f>
      </c>
      <c r="N241" s="333">
        <f>L241+K241+M241</f>
      </c>
      <c r="O241" s="170"/>
      <c r="P241" s="7"/>
      <c r="Q241" s="1"/>
      <c r="R241" s="331">
        <f>D241</f>
      </c>
      <c r="S241" s="169"/>
      <c r="T241" s="1"/>
      <c r="U241" s="217"/>
      <c r="V241" s="331">
        <f>+IF(V240=11,12,IF(V240=12,1,V240+1))</f>
      </c>
      <c r="W241" s="331">
        <f>+W240+IF(V240=12,1,0)</f>
      </c>
      <c r="X241" s="555">
        <f>+DATE(W241,V241,1)</f>
        <v>25569.041666666668</v>
      </c>
      <c r="Y241" s="333">
        <f>+_xlfn.IFNA(AN241+AS241+AX241,0)</f>
      </c>
      <c r="Z241" s="333">
        <f>+_xlfn.IFNA(AO241+AT241+AY241,0)</f>
      </c>
      <c r="AA241" s="333">
        <f>Y241*(1+$O$5)^(($B$7-X241)/365.25)</f>
      </c>
      <c r="AB241" s="333">
        <f>Z241*(1+$O$5)^(($B$7-X241)/365.25)</f>
      </c>
      <c r="AC241" s="1"/>
      <c r="AD241" s="1"/>
      <c r="AE241" s="1"/>
      <c r="AF241" s="111">
        <f>+MONTH(E241)&amp;YEAR(E241)</f>
      </c>
      <c r="AG241" s="217">
        <f>+I241</f>
      </c>
      <c r="AH241" s="217">
        <f>+J241</f>
      </c>
      <c r="AI241" s="217">
        <f>+H241</f>
      </c>
      <c r="AJ241" s="111">
        <f>+V241&amp;W241</f>
      </c>
      <c r="AK241" s="217">
        <f>+_xlfn.IFNA(VLOOKUP(AJ241,$AF$7:$AG$1066,2,0),0)</f>
      </c>
      <c r="AL241" s="217">
        <f>+IF(W241&gt;W240,AK241,AL240+AK241)</f>
      </c>
      <c r="AM241" s="217">
        <f>IF(W241&gt;W240,IF(AL241&gt;=$AZ$8,$AZ$8,AL241),IF(OR(AM240=$AZ$8,AM240=0),0,IF(AL241&gt;=$AZ$8,$AZ$8,AL241)))</f>
      </c>
      <c r="AN241" s="748">
        <f>+IF(OR(AM241&gt;AZ240,AM241=0),0,IF(AM241=AL241,AK241,$AZ$7-AL240))</f>
      </c>
      <c r="AO241" s="748">
        <f>+AK241-AN241</f>
      </c>
      <c r="AP241" s="217">
        <f>+_xlfn.IFNA(VLOOKUP(AJ241,$AF$7:$AI$1066,3,0),0)</f>
      </c>
      <c r="AQ241" s="217">
        <f>+IF(W241&gt;W240,AP241,AQ240+AP241)</f>
      </c>
      <c r="AR241" s="217">
        <f>+MAX($AM$2-SUMIF($W$7:$W$1066,W241,$AN$7:$AN$1066),0)</f>
      </c>
      <c r="AS241" s="748">
        <f>+MAX(IF(AQ241&gt;AR241,AR241-AQ240,AP241),0)</f>
      </c>
      <c r="AT241" s="748">
        <f>+AP241-AS241</f>
      </c>
      <c r="AU241" s="217">
        <f>+_xlfn.IFNA(VLOOKUP(AJ241,$AF$7:$AI$1066,4,0),0)</f>
      </c>
      <c r="AV241" s="217">
        <f>+IF(W241&gt;W240,AU241,AV240+AU241)</f>
      </c>
      <c r="AW241" s="217">
        <f>+MAX($AM$2-SUMIF($W$7:$W$1066,W241,$AN$7:$AN$1066)-SUMIF($W$7:$W$1066,W241,$AS$7:$AS$1066),0)</f>
      </c>
      <c r="AX241" s="748">
        <f>+MAX(IF(AV241&gt;AW241,AW241-AV240,AU241),0)</f>
      </c>
      <c r="AY241" s="748">
        <f>+AU241-AX241</f>
      </c>
      <c r="AZ241" s="331">
        <f>+$AM$1+IF($AP$1&gt;$AP$2,$AM$3/2)</f>
      </c>
    </row>
    <row x14ac:dyDescent="0.25" r="242" customHeight="1" ht="18.75">
      <c r="A242" s="1"/>
      <c r="B242" s="7"/>
      <c r="C242" s="170"/>
      <c r="D242" s="331">
        <v>235</v>
      </c>
      <c r="E242" s="544">
        <f>+DATE(YEAR(E241),MONTH(E241)-1,DAY(E241))</f>
        <v>25569.041666666668</v>
      </c>
      <c r="F242" s="333">
        <f>IF(DATE(YEAR($B$6),MONTH($B$6)+1,DAY(1))=E242,1,IF(MONTH(E242)=1,F243*(1+$F$5),F243))</f>
      </c>
      <c r="G242" s="333">
        <f>IF('Simulador - 1º Pilar'!$E$99="Sí",IF('Aportaciones PPE'!$B$13&lt;'Aportaciones PPE'!E242,0,F242*$B$8/12),F242*$B$8/12)</f>
      </c>
      <c r="H242" s="333">
        <f>$H$5*G242</f>
      </c>
      <c r="I242" s="333">
        <f>$I$5*G242</f>
      </c>
      <c r="J242" s="333">
        <f>+I242</f>
      </c>
      <c r="K242" s="333">
        <f>(1+$O$5)^(D242/12)*(H242+IF(AND(F242=1,F243=0),$S$4,0))</f>
      </c>
      <c r="L242" s="333">
        <f>(1+$O$5)^(D242/12)*(I242+IF(AND(F242=1,F243=0),0))</f>
      </c>
      <c r="M242" s="333">
        <f>+L242</f>
      </c>
      <c r="N242" s="333">
        <f>L242+K242+M242</f>
      </c>
      <c r="O242" s="170"/>
      <c r="P242" s="7"/>
      <c r="Q242" s="1"/>
      <c r="R242" s="331">
        <f>D242</f>
      </c>
      <c r="S242" s="169"/>
      <c r="T242" s="1"/>
      <c r="U242" s="217"/>
      <c r="V242" s="331">
        <f>+IF(V241=11,12,IF(V241=12,1,V241+1))</f>
      </c>
      <c r="W242" s="331">
        <f>+W241+IF(V241=12,1,0)</f>
      </c>
      <c r="X242" s="555">
        <f>+DATE(W242,V242,1)</f>
        <v>25569.041666666668</v>
      </c>
      <c r="Y242" s="333">
        <f>+_xlfn.IFNA(AN242+AS242+AX242,0)</f>
      </c>
      <c r="Z242" s="333">
        <f>+_xlfn.IFNA(AO242+AT242+AY242,0)</f>
      </c>
      <c r="AA242" s="333">
        <f>Y242*(1+$O$5)^(($B$7-X242)/365.25)</f>
      </c>
      <c r="AB242" s="333">
        <f>Z242*(1+$O$5)^(($B$7-X242)/365.25)</f>
      </c>
      <c r="AC242" s="1"/>
      <c r="AD242" s="1"/>
      <c r="AE242" s="1"/>
      <c r="AF242" s="111">
        <f>+MONTH(E242)&amp;YEAR(E242)</f>
      </c>
      <c r="AG242" s="217">
        <f>+I242</f>
      </c>
      <c r="AH242" s="217">
        <f>+J242</f>
      </c>
      <c r="AI242" s="217">
        <f>+H242</f>
      </c>
      <c r="AJ242" s="111">
        <f>+V242&amp;W242</f>
      </c>
      <c r="AK242" s="217">
        <f>+_xlfn.IFNA(VLOOKUP(AJ242,$AF$7:$AG$1066,2,0),0)</f>
      </c>
      <c r="AL242" s="217">
        <f>+IF(W242&gt;W241,AK242,AL241+AK242)</f>
      </c>
      <c r="AM242" s="217">
        <f>IF(W242&gt;W241,IF(AL242&gt;=$AZ$8,$AZ$8,AL242),IF(OR(AM241=$AZ$8,AM241=0),0,IF(AL242&gt;=$AZ$8,$AZ$8,AL242)))</f>
      </c>
      <c r="AN242" s="748">
        <f>+IF(OR(AM242&gt;AZ241,AM242=0),0,IF(AM242=AL242,AK242,$AZ$7-AL241))</f>
      </c>
      <c r="AO242" s="748">
        <f>+AK242-AN242</f>
      </c>
      <c r="AP242" s="217">
        <f>+_xlfn.IFNA(VLOOKUP(AJ242,$AF$7:$AI$1066,3,0),0)</f>
      </c>
      <c r="AQ242" s="217">
        <f>+IF(W242&gt;W241,AP242,AQ241+AP242)</f>
      </c>
      <c r="AR242" s="217">
        <f>+MAX($AM$2-SUMIF($W$7:$W$1066,W242,$AN$7:$AN$1066),0)</f>
      </c>
      <c r="AS242" s="748">
        <f>+MAX(IF(AQ242&gt;AR242,AR242-AQ241,AP242),0)</f>
      </c>
      <c r="AT242" s="748">
        <f>+AP242-AS242</f>
      </c>
      <c r="AU242" s="217">
        <f>+_xlfn.IFNA(VLOOKUP(AJ242,$AF$7:$AI$1066,4,0),0)</f>
      </c>
      <c r="AV242" s="217">
        <f>+IF(W242&gt;W241,AU242,AV241+AU242)</f>
      </c>
      <c r="AW242" s="217">
        <f>+MAX($AM$2-SUMIF($W$7:$W$1066,W242,$AN$7:$AN$1066)-SUMIF($W$7:$W$1066,W242,$AS$7:$AS$1066),0)</f>
      </c>
      <c r="AX242" s="748">
        <f>+MAX(IF(AV242&gt;AW242,AW242-AV241,AU242),0)</f>
      </c>
      <c r="AY242" s="748">
        <f>+AU242-AX242</f>
      </c>
      <c r="AZ242" s="331">
        <f>+$AM$1+IF($AP$1&gt;$AP$2,$AM$3/2)</f>
      </c>
    </row>
    <row x14ac:dyDescent="0.25" r="243" customHeight="1" ht="18.75">
      <c r="A243" s="1"/>
      <c r="B243" s="7"/>
      <c r="C243" s="170"/>
      <c r="D243" s="331">
        <v>236</v>
      </c>
      <c r="E243" s="544">
        <f>+DATE(YEAR(E242),MONTH(E242)-1,DAY(E242))</f>
        <v>25569.041666666668</v>
      </c>
      <c r="F243" s="333">
        <f>IF(DATE(YEAR($B$6),MONTH($B$6)+1,DAY(1))=E243,1,IF(MONTH(E243)=1,F244*(1+$F$5),F244))</f>
      </c>
      <c r="G243" s="333">
        <f>IF('Simulador - 1º Pilar'!$E$99="Sí",IF('Aportaciones PPE'!$B$13&lt;'Aportaciones PPE'!E243,0,F243*$B$8/12),F243*$B$8/12)</f>
      </c>
      <c r="H243" s="333">
        <f>$H$5*G243</f>
      </c>
      <c r="I243" s="333">
        <f>$I$5*G243</f>
      </c>
      <c r="J243" s="333">
        <f>+I243</f>
      </c>
      <c r="K243" s="333">
        <f>(1+$O$5)^(D243/12)*(H243+IF(AND(F243=1,F244=0),$S$4,0))</f>
      </c>
      <c r="L243" s="333">
        <f>(1+$O$5)^(D243/12)*(I243+IF(AND(F243=1,F244=0),0))</f>
      </c>
      <c r="M243" s="333">
        <f>+L243</f>
      </c>
      <c r="N243" s="333">
        <f>L243+K243+M243</f>
      </c>
      <c r="O243" s="170"/>
      <c r="P243" s="7"/>
      <c r="Q243" s="1"/>
      <c r="R243" s="331">
        <f>D243</f>
      </c>
      <c r="S243" s="169"/>
      <c r="T243" s="1"/>
      <c r="U243" s="217"/>
      <c r="V243" s="331">
        <f>+IF(V242=11,12,IF(V242=12,1,V242+1))</f>
      </c>
      <c r="W243" s="331">
        <f>+W242+IF(V242=12,1,0)</f>
      </c>
      <c r="X243" s="555">
        <f>+DATE(W243,V243,1)</f>
        <v>25569.041666666668</v>
      </c>
      <c r="Y243" s="333">
        <f>+_xlfn.IFNA(AN243+AS243+AX243,0)</f>
      </c>
      <c r="Z243" s="333">
        <f>+_xlfn.IFNA(AO243+AT243+AY243,0)</f>
      </c>
      <c r="AA243" s="333">
        <f>Y243*(1+$O$5)^(($B$7-X243)/365.25)</f>
      </c>
      <c r="AB243" s="333">
        <f>Z243*(1+$O$5)^(($B$7-X243)/365.25)</f>
      </c>
      <c r="AC243" s="1"/>
      <c r="AD243" s="1"/>
      <c r="AE243" s="1"/>
      <c r="AF243" s="111">
        <f>+MONTH(E243)&amp;YEAR(E243)</f>
      </c>
      <c r="AG243" s="217">
        <f>+I243</f>
      </c>
      <c r="AH243" s="217">
        <f>+J243</f>
      </c>
      <c r="AI243" s="217">
        <f>+H243</f>
      </c>
      <c r="AJ243" s="111">
        <f>+V243&amp;W243</f>
      </c>
      <c r="AK243" s="217">
        <f>+_xlfn.IFNA(VLOOKUP(AJ243,$AF$7:$AG$1066,2,0),0)</f>
      </c>
      <c r="AL243" s="217">
        <f>+IF(W243&gt;W242,AK243,AL242+AK243)</f>
      </c>
      <c r="AM243" s="217">
        <f>IF(W243&gt;W242,IF(AL243&gt;=$AZ$8,$AZ$8,AL243),IF(OR(AM242=$AZ$8,AM242=0),0,IF(AL243&gt;=$AZ$8,$AZ$8,AL243)))</f>
      </c>
      <c r="AN243" s="748">
        <f>+IF(OR(AM243&gt;AZ242,AM243=0),0,IF(AM243=AL243,AK243,$AZ$7-AL242))</f>
      </c>
      <c r="AO243" s="748">
        <f>+AK243-AN243</f>
      </c>
      <c r="AP243" s="217">
        <f>+_xlfn.IFNA(VLOOKUP(AJ243,$AF$7:$AI$1066,3,0),0)</f>
      </c>
      <c r="AQ243" s="217">
        <f>+IF(W243&gt;W242,AP243,AQ242+AP243)</f>
      </c>
      <c r="AR243" s="217">
        <f>+MAX($AM$2-SUMIF($W$7:$W$1066,W243,$AN$7:$AN$1066),0)</f>
      </c>
      <c r="AS243" s="748">
        <f>+MAX(IF(AQ243&gt;AR243,AR243-AQ242,AP243),0)</f>
      </c>
      <c r="AT243" s="748">
        <f>+AP243-AS243</f>
      </c>
      <c r="AU243" s="217">
        <f>+_xlfn.IFNA(VLOOKUP(AJ243,$AF$7:$AI$1066,4,0),0)</f>
      </c>
      <c r="AV243" s="217">
        <f>+IF(W243&gt;W242,AU243,AV242+AU243)</f>
      </c>
      <c r="AW243" s="217">
        <f>+MAX($AM$2-SUMIF($W$7:$W$1066,W243,$AN$7:$AN$1066)-SUMIF($W$7:$W$1066,W243,$AS$7:$AS$1066),0)</f>
      </c>
      <c r="AX243" s="748">
        <f>+MAX(IF(AV243&gt;AW243,AW243-AV242,AU243),0)</f>
      </c>
      <c r="AY243" s="748">
        <f>+AU243-AX243</f>
      </c>
      <c r="AZ243" s="331">
        <f>+$AM$1+IF($AP$1&gt;$AP$2,$AM$3/2)</f>
      </c>
    </row>
    <row x14ac:dyDescent="0.25" r="244" customHeight="1" ht="18.75">
      <c r="A244" s="1"/>
      <c r="B244" s="7"/>
      <c r="C244" s="170"/>
      <c r="D244" s="331">
        <v>237</v>
      </c>
      <c r="E244" s="544">
        <f>+DATE(YEAR(E243),MONTH(E243)-1,DAY(E243))</f>
        <v>25569.041666666668</v>
      </c>
      <c r="F244" s="333">
        <f>IF(DATE(YEAR($B$6),MONTH($B$6)+1,DAY(1))=E244,1,IF(MONTH(E244)=1,F245*(1+$F$5),F245))</f>
      </c>
      <c r="G244" s="333">
        <f>IF('Simulador - 1º Pilar'!$E$99="Sí",IF('Aportaciones PPE'!$B$13&lt;'Aportaciones PPE'!E244,0,F244*$B$8/12),F244*$B$8/12)</f>
      </c>
      <c r="H244" s="333">
        <f>$H$5*G244</f>
      </c>
      <c r="I244" s="333">
        <f>$I$5*G244</f>
      </c>
      <c r="J244" s="333">
        <f>+I244</f>
      </c>
      <c r="K244" s="333">
        <f>(1+$O$5)^(D244/12)*(H244+IF(AND(F244=1,F245=0),$S$4,0))</f>
      </c>
      <c r="L244" s="333">
        <f>(1+$O$5)^(D244/12)*(I244+IF(AND(F244=1,F245=0),0))</f>
      </c>
      <c r="M244" s="333">
        <f>+L244</f>
      </c>
      <c r="N244" s="333">
        <f>L244+K244+M244</f>
      </c>
      <c r="O244" s="170"/>
      <c r="P244" s="7"/>
      <c r="Q244" s="1"/>
      <c r="R244" s="331">
        <f>D244</f>
      </c>
      <c r="S244" s="169"/>
      <c r="T244" s="1"/>
      <c r="U244" s="217"/>
      <c r="V244" s="331">
        <f>+IF(V243=11,12,IF(V243=12,1,V243+1))</f>
      </c>
      <c r="W244" s="331">
        <f>+W243+IF(V243=12,1,0)</f>
      </c>
      <c r="X244" s="555">
        <f>+DATE(W244,V244,1)</f>
        <v>25569.041666666668</v>
      </c>
      <c r="Y244" s="333">
        <f>+_xlfn.IFNA(AN244+AS244+AX244,0)</f>
      </c>
      <c r="Z244" s="333">
        <f>+_xlfn.IFNA(AO244+AT244+AY244,0)</f>
      </c>
      <c r="AA244" s="333">
        <f>Y244*(1+$O$5)^(($B$7-X244)/365.25)</f>
      </c>
      <c r="AB244" s="333">
        <f>Z244*(1+$O$5)^(($B$7-X244)/365.25)</f>
      </c>
      <c r="AC244" s="1"/>
      <c r="AD244" s="1"/>
      <c r="AE244" s="1"/>
      <c r="AF244" s="111">
        <f>+MONTH(E244)&amp;YEAR(E244)</f>
      </c>
      <c r="AG244" s="217">
        <f>+I244</f>
      </c>
      <c r="AH244" s="217">
        <f>+J244</f>
      </c>
      <c r="AI244" s="217">
        <f>+H244</f>
      </c>
      <c r="AJ244" s="111">
        <f>+V244&amp;W244</f>
      </c>
      <c r="AK244" s="217">
        <f>+_xlfn.IFNA(VLOOKUP(AJ244,$AF$7:$AG$1066,2,0),0)</f>
      </c>
      <c r="AL244" s="217">
        <f>+IF(W244&gt;W243,AK244,AL243+AK244)</f>
      </c>
      <c r="AM244" s="217">
        <f>IF(W244&gt;W243,IF(AL244&gt;=$AZ$8,$AZ$8,AL244),IF(OR(AM243=$AZ$8,AM243=0),0,IF(AL244&gt;=$AZ$8,$AZ$8,AL244)))</f>
      </c>
      <c r="AN244" s="748">
        <f>+IF(OR(AM244&gt;AZ243,AM244=0),0,IF(AM244=AL244,AK244,$AZ$7-AL243))</f>
      </c>
      <c r="AO244" s="748">
        <f>+AK244-AN244</f>
      </c>
      <c r="AP244" s="217">
        <f>+_xlfn.IFNA(VLOOKUP(AJ244,$AF$7:$AI$1066,3,0),0)</f>
      </c>
      <c r="AQ244" s="217">
        <f>+IF(W244&gt;W243,AP244,AQ243+AP244)</f>
      </c>
      <c r="AR244" s="217">
        <f>+MAX($AM$2-SUMIF($W$7:$W$1066,W244,$AN$7:$AN$1066),0)</f>
      </c>
      <c r="AS244" s="748">
        <f>+MAX(IF(AQ244&gt;AR244,AR244-AQ243,AP244),0)</f>
      </c>
      <c r="AT244" s="748">
        <f>+AP244-AS244</f>
      </c>
      <c r="AU244" s="217">
        <f>+_xlfn.IFNA(VLOOKUP(AJ244,$AF$7:$AI$1066,4,0),0)</f>
      </c>
      <c r="AV244" s="217">
        <f>+IF(W244&gt;W243,AU244,AV243+AU244)</f>
      </c>
      <c r="AW244" s="217">
        <f>+MAX($AM$2-SUMIF($W$7:$W$1066,W244,$AN$7:$AN$1066)-SUMIF($W$7:$W$1066,W244,$AS$7:$AS$1066),0)</f>
      </c>
      <c r="AX244" s="748">
        <f>+MAX(IF(AV244&gt;AW244,AW244-AV243,AU244),0)</f>
      </c>
      <c r="AY244" s="748">
        <f>+AU244-AX244</f>
      </c>
      <c r="AZ244" s="331">
        <f>+$AM$1+IF($AP$1&gt;$AP$2,$AM$3/2)</f>
      </c>
    </row>
    <row x14ac:dyDescent="0.25" r="245" customHeight="1" ht="18.75">
      <c r="A245" s="1"/>
      <c r="B245" s="7"/>
      <c r="C245" s="170"/>
      <c r="D245" s="331">
        <v>238</v>
      </c>
      <c r="E245" s="544">
        <f>+DATE(YEAR(E244),MONTH(E244)-1,DAY(E244))</f>
        <v>25569.041666666668</v>
      </c>
      <c r="F245" s="333">
        <f>IF(DATE(YEAR($B$6),MONTH($B$6)+1,DAY(1))=E245,1,IF(MONTH(E245)=1,F246*(1+$F$5),F246))</f>
      </c>
      <c r="G245" s="333">
        <f>IF('Simulador - 1º Pilar'!$E$99="Sí",IF('Aportaciones PPE'!$B$13&lt;'Aportaciones PPE'!E245,0,F245*$B$8/12),F245*$B$8/12)</f>
      </c>
      <c r="H245" s="333">
        <f>$H$5*G245</f>
      </c>
      <c r="I245" s="333">
        <f>$I$5*G245</f>
      </c>
      <c r="J245" s="333">
        <f>+I245</f>
      </c>
      <c r="K245" s="333">
        <f>(1+$O$5)^(D245/12)*(H245+IF(AND(F245=1,F246=0),$S$4,0))</f>
      </c>
      <c r="L245" s="333">
        <f>(1+$O$5)^(D245/12)*(I245+IF(AND(F245=1,F246=0),0))</f>
      </c>
      <c r="M245" s="333">
        <f>+L245</f>
      </c>
      <c r="N245" s="333">
        <f>L245+K245+M245</f>
      </c>
      <c r="O245" s="170"/>
      <c r="P245" s="7"/>
      <c r="Q245" s="1"/>
      <c r="R245" s="331">
        <f>D245</f>
      </c>
      <c r="S245" s="169"/>
      <c r="T245" s="1"/>
      <c r="U245" s="217"/>
      <c r="V245" s="331">
        <f>+IF(V244=11,12,IF(V244=12,1,V244+1))</f>
      </c>
      <c r="W245" s="331">
        <f>+W244+IF(V244=12,1,0)</f>
      </c>
      <c r="X245" s="555">
        <f>+DATE(W245,V245,1)</f>
        <v>25569.041666666668</v>
      </c>
      <c r="Y245" s="333">
        <f>+_xlfn.IFNA(AN245+AS245+AX245,0)</f>
      </c>
      <c r="Z245" s="333">
        <f>+_xlfn.IFNA(AO245+AT245+AY245,0)</f>
      </c>
      <c r="AA245" s="333">
        <f>Y245*(1+$O$5)^(($B$7-X245)/365.25)</f>
      </c>
      <c r="AB245" s="333">
        <f>Z245*(1+$O$5)^(($B$7-X245)/365.25)</f>
      </c>
      <c r="AC245" s="1"/>
      <c r="AD245" s="1"/>
      <c r="AE245" s="1"/>
      <c r="AF245" s="111">
        <f>+MONTH(E245)&amp;YEAR(E245)</f>
      </c>
      <c r="AG245" s="217">
        <f>+I245</f>
      </c>
      <c r="AH245" s="217">
        <f>+J245</f>
      </c>
      <c r="AI245" s="217">
        <f>+H245</f>
      </c>
      <c r="AJ245" s="111">
        <f>+V245&amp;W245</f>
      </c>
      <c r="AK245" s="217">
        <f>+_xlfn.IFNA(VLOOKUP(AJ245,$AF$7:$AG$1066,2,0),0)</f>
      </c>
      <c r="AL245" s="217">
        <f>+IF(W245&gt;W244,AK245,AL244+AK245)</f>
      </c>
      <c r="AM245" s="217">
        <f>IF(W245&gt;W244,IF(AL245&gt;=$AZ$8,$AZ$8,AL245),IF(OR(AM244=$AZ$8,AM244=0),0,IF(AL245&gt;=$AZ$8,$AZ$8,AL245)))</f>
      </c>
      <c r="AN245" s="748">
        <f>+IF(OR(AM245&gt;AZ244,AM245=0),0,IF(AM245=AL245,AK245,$AZ$7-AL244))</f>
      </c>
      <c r="AO245" s="748">
        <f>+AK245-AN245</f>
      </c>
      <c r="AP245" s="217">
        <f>+_xlfn.IFNA(VLOOKUP(AJ245,$AF$7:$AI$1066,3,0),0)</f>
      </c>
      <c r="AQ245" s="217">
        <f>+IF(W245&gt;W244,AP245,AQ244+AP245)</f>
      </c>
      <c r="AR245" s="217">
        <f>+MAX($AM$2-SUMIF($W$7:$W$1066,W245,$AN$7:$AN$1066),0)</f>
      </c>
      <c r="AS245" s="748">
        <f>+MAX(IF(AQ245&gt;AR245,AR245-AQ244,AP245),0)</f>
      </c>
      <c r="AT245" s="748">
        <f>+AP245-AS245</f>
      </c>
      <c r="AU245" s="217">
        <f>+_xlfn.IFNA(VLOOKUP(AJ245,$AF$7:$AI$1066,4,0),0)</f>
      </c>
      <c r="AV245" s="217">
        <f>+IF(W245&gt;W244,AU245,AV244+AU245)</f>
      </c>
      <c r="AW245" s="217">
        <f>+MAX($AM$2-SUMIF($W$7:$W$1066,W245,$AN$7:$AN$1066)-SUMIF($W$7:$W$1066,W245,$AS$7:$AS$1066),0)</f>
      </c>
      <c r="AX245" s="748">
        <f>+MAX(IF(AV245&gt;AW245,AW245-AV244,AU245),0)</f>
      </c>
      <c r="AY245" s="748">
        <f>+AU245-AX245</f>
      </c>
      <c r="AZ245" s="331">
        <f>+$AM$1+IF($AP$1&gt;$AP$2,$AM$3/2)</f>
      </c>
    </row>
    <row x14ac:dyDescent="0.25" r="246" customHeight="1" ht="18.75">
      <c r="A246" s="1"/>
      <c r="B246" s="7"/>
      <c r="C246" s="170"/>
      <c r="D246" s="331">
        <v>239</v>
      </c>
      <c r="E246" s="544">
        <f>+DATE(YEAR(E245),MONTH(E245)-1,DAY(E245))</f>
        <v>25569.041666666668</v>
      </c>
      <c r="F246" s="333">
        <f>IF(DATE(YEAR($B$6),MONTH($B$6)+1,DAY(1))=E246,1,IF(MONTH(E246)=1,F247*(1+$F$5),F247))</f>
      </c>
      <c r="G246" s="333">
        <f>IF('Simulador - 1º Pilar'!$E$99="Sí",IF('Aportaciones PPE'!$B$13&lt;'Aportaciones PPE'!E246,0,F246*$B$8/12),F246*$B$8/12)</f>
      </c>
      <c r="H246" s="333">
        <f>$H$5*G246</f>
      </c>
      <c r="I246" s="333">
        <f>$I$5*G246</f>
      </c>
      <c r="J246" s="333">
        <f>+I246</f>
      </c>
      <c r="K246" s="333">
        <f>(1+$O$5)^(D246/12)*(H246+IF(AND(F246=1,F247=0),$S$4,0))</f>
      </c>
      <c r="L246" s="333">
        <f>(1+$O$5)^(D246/12)*(I246+IF(AND(F246=1,F247=0),0))</f>
      </c>
      <c r="M246" s="333">
        <f>+L246</f>
      </c>
      <c r="N246" s="333">
        <f>L246+K246+M246</f>
      </c>
      <c r="O246" s="170"/>
      <c r="P246" s="7"/>
      <c r="Q246" s="1"/>
      <c r="R246" s="331">
        <f>D246</f>
      </c>
      <c r="S246" s="169"/>
      <c r="T246" s="1"/>
      <c r="U246" s="217"/>
      <c r="V246" s="331">
        <f>+IF(V245=11,12,IF(V245=12,1,V245+1))</f>
      </c>
      <c r="W246" s="331">
        <f>+W245+IF(V245=12,1,0)</f>
      </c>
      <c r="X246" s="555">
        <f>+DATE(W246,V246,1)</f>
        <v>25569.041666666668</v>
      </c>
      <c r="Y246" s="333">
        <f>+_xlfn.IFNA(AN246+AS246+AX246,0)</f>
      </c>
      <c r="Z246" s="333">
        <f>+_xlfn.IFNA(AO246+AT246+AY246,0)</f>
      </c>
      <c r="AA246" s="333">
        <f>Y246*(1+$O$5)^(($B$7-X246)/365.25)</f>
      </c>
      <c r="AB246" s="333">
        <f>Z246*(1+$O$5)^(($B$7-X246)/365.25)</f>
      </c>
      <c r="AC246" s="1"/>
      <c r="AD246" s="1"/>
      <c r="AE246" s="1"/>
      <c r="AF246" s="111">
        <f>+MONTH(E246)&amp;YEAR(E246)</f>
      </c>
      <c r="AG246" s="217">
        <f>+I246</f>
      </c>
      <c r="AH246" s="217">
        <f>+J246</f>
      </c>
      <c r="AI246" s="217">
        <f>+H246</f>
      </c>
      <c r="AJ246" s="111">
        <f>+V246&amp;W246</f>
      </c>
      <c r="AK246" s="217">
        <f>+_xlfn.IFNA(VLOOKUP(AJ246,$AF$7:$AG$1066,2,0),0)</f>
      </c>
      <c r="AL246" s="217">
        <f>+IF(W246&gt;W245,AK246,AL245+AK246)</f>
      </c>
      <c r="AM246" s="217">
        <f>IF(W246&gt;W245,IF(AL246&gt;=$AZ$8,$AZ$8,AL246),IF(OR(AM245=$AZ$8,AM245=0),0,IF(AL246&gt;=$AZ$8,$AZ$8,AL246)))</f>
      </c>
      <c r="AN246" s="748">
        <f>+IF(OR(AM246&gt;AZ245,AM246=0),0,IF(AM246=AL246,AK246,$AZ$7-AL245))</f>
      </c>
      <c r="AO246" s="748">
        <f>+AK246-AN246</f>
      </c>
      <c r="AP246" s="217">
        <f>+_xlfn.IFNA(VLOOKUP(AJ246,$AF$7:$AI$1066,3,0),0)</f>
      </c>
      <c r="AQ246" s="217">
        <f>+IF(W246&gt;W245,AP246,AQ245+AP246)</f>
      </c>
      <c r="AR246" s="217">
        <f>+MAX($AM$2-SUMIF($W$7:$W$1066,W246,$AN$7:$AN$1066),0)</f>
      </c>
      <c r="AS246" s="748">
        <f>+MAX(IF(AQ246&gt;AR246,AR246-AQ245,AP246),0)</f>
      </c>
      <c r="AT246" s="748">
        <f>+AP246-AS246</f>
      </c>
      <c r="AU246" s="217">
        <f>+_xlfn.IFNA(VLOOKUP(AJ246,$AF$7:$AI$1066,4,0),0)</f>
      </c>
      <c r="AV246" s="217">
        <f>+IF(W246&gt;W245,AU246,AV245+AU246)</f>
      </c>
      <c r="AW246" s="217">
        <f>+MAX($AM$2-SUMIF($W$7:$W$1066,W246,$AN$7:$AN$1066)-SUMIF($W$7:$W$1066,W246,$AS$7:$AS$1066),0)</f>
      </c>
      <c r="AX246" s="748">
        <f>+MAX(IF(AV246&gt;AW246,AW246-AV245,AU246),0)</f>
      </c>
      <c r="AY246" s="748">
        <f>+AU246-AX246</f>
      </c>
      <c r="AZ246" s="331">
        <f>+$AM$1+IF($AP$1&gt;$AP$2,$AM$3/2)</f>
      </c>
    </row>
    <row x14ac:dyDescent="0.25" r="247" customHeight="1" ht="18.75">
      <c r="A247" s="1"/>
      <c r="B247" s="7"/>
      <c r="C247" s="170"/>
      <c r="D247" s="331">
        <v>240</v>
      </c>
      <c r="E247" s="544">
        <f>+DATE(YEAR(E246),MONTH(E246)-1,DAY(E246))</f>
        <v>25569.041666666668</v>
      </c>
      <c r="F247" s="333">
        <f>IF(DATE(YEAR($B$6),MONTH($B$6)+1,DAY(1))=E247,1,IF(MONTH(E247)=1,F248*(1+$F$5),F248))</f>
      </c>
      <c r="G247" s="333">
        <f>IF('Simulador - 1º Pilar'!$E$99="Sí",IF('Aportaciones PPE'!$B$13&lt;'Aportaciones PPE'!E247,0,F247*$B$8/12),F247*$B$8/12)</f>
      </c>
      <c r="H247" s="333">
        <f>$H$5*G247</f>
      </c>
      <c r="I247" s="333">
        <f>$I$5*G247</f>
      </c>
      <c r="J247" s="333">
        <f>+I247</f>
      </c>
      <c r="K247" s="333">
        <f>(1+$O$5)^(D247/12)*(H247+IF(AND(F247=1,F248=0),$S$4,0))</f>
      </c>
      <c r="L247" s="333">
        <f>(1+$O$5)^(D247/12)*(I247+IF(AND(F247=1,F248=0),0))</f>
      </c>
      <c r="M247" s="333">
        <f>+L247</f>
      </c>
      <c r="N247" s="333">
        <f>L247+K247+M247</f>
      </c>
      <c r="O247" s="170"/>
      <c r="P247" s="7"/>
      <c r="Q247" s="1"/>
      <c r="R247" s="331">
        <f>D247</f>
      </c>
      <c r="S247" s="169"/>
      <c r="T247" s="1"/>
      <c r="U247" s="217"/>
      <c r="V247" s="331">
        <f>+IF(V246=11,12,IF(V246=12,1,V246+1))</f>
      </c>
      <c r="W247" s="331">
        <f>+W246+IF(V246=12,1,0)</f>
      </c>
      <c r="X247" s="555">
        <f>+DATE(W247,V247,1)</f>
        <v>25569.041666666668</v>
      </c>
      <c r="Y247" s="333">
        <f>+_xlfn.IFNA(AN247+AS247+AX247,0)</f>
      </c>
      <c r="Z247" s="333">
        <f>+_xlfn.IFNA(AO247+AT247+AY247,0)</f>
      </c>
      <c r="AA247" s="333">
        <f>Y247*(1+$O$5)^(($B$7-X247)/365.25)</f>
      </c>
      <c r="AB247" s="333">
        <f>Z247*(1+$O$5)^(($B$7-X247)/365.25)</f>
      </c>
      <c r="AC247" s="1"/>
      <c r="AD247" s="1"/>
      <c r="AE247" s="1"/>
      <c r="AF247" s="111">
        <f>+MONTH(E247)&amp;YEAR(E247)</f>
      </c>
      <c r="AG247" s="217">
        <f>+I247</f>
      </c>
      <c r="AH247" s="217">
        <f>+J247</f>
      </c>
      <c r="AI247" s="217">
        <f>+H247</f>
      </c>
      <c r="AJ247" s="111">
        <f>+V247&amp;W247</f>
      </c>
      <c r="AK247" s="217">
        <f>+_xlfn.IFNA(VLOOKUP(AJ247,$AF$7:$AG$1066,2,0),0)</f>
      </c>
      <c r="AL247" s="217">
        <f>+IF(W247&gt;W246,AK247,AL246+AK247)</f>
      </c>
      <c r="AM247" s="217">
        <f>IF(W247&gt;W246,IF(AL247&gt;=$AZ$8,$AZ$8,AL247),IF(OR(AM246=$AZ$8,AM246=0),0,IF(AL247&gt;=$AZ$8,$AZ$8,AL247)))</f>
      </c>
      <c r="AN247" s="748">
        <f>+IF(OR(AM247&gt;AZ246,AM247=0),0,IF(AM247=AL247,AK247,$AZ$7-AL246))</f>
      </c>
      <c r="AO247" s="748">
        <f>+AK247-AN247</f>
      </c>
      <c r="AP247" s="217">
        <f>+_xlfn.IFNA(VLOOKUP(AJ247,$AF$7:$AI$1066,3,0),0)</f>
      </c>
      <c r="AQ247" s="217">
        <f>+IF(W247&gt;W246,AP247,AQ246+AP247)</f>
      </c>
      <c r="AR247" s="217">
        <f>+MAX($AM$2-SUMIF($W$7:$W$1066,W247,$AN$7:$AN$1066),0)</f>
      </c>
      <c r="AS247" s="748">
        <f>+MAX(IF(AQ247&gt;AR247,AR247-AQ246,AP247),0)</f>
      </c>
      <c r="AT247" s="748">
        <f>+AP247-AS247</f>
      </c>
      <c r="AU247" s="217">
        <f>+_xlfn.IFNA(VLOOKUP(AJ247,$AF$7:$AI$1066,4,0),0)</f>
      </c>
      <c r="AV247" s="217">
        <f>+IF(W247&gt;W246,AU247,AV246+AU247)</f>
      </c>
      <c r="AW247" s="217">
        <f>+MAX($AM$2-SUMIF($W$7:$W$1066,W247,$AN$7:$AN$1066)-SUMIF($W$7:$W$1066,W247,$AS$7:$AS$1066),0)</f>
      </c>
      <c r="AX247" s="748">
        <f>+MAX(IF(AV247&gt;AW247,AW247-AV246,AU247),0)</f>
      </c>
      <c r="AY247" s="748">
        <f>+AU247-AX247</f>
      </c>
      <c r="AZ247" s="331">
        <f>+$AM$1+IF($AP$1&gt;$AP$2,$AM$3/2)</f>
      </c>
    </row>
    <row x14ac:dyDescent="0.25" r="248" customHeight="1" ht="18.75">
      <c r="A248" s="1"/>
      <c r="B248" s="7"/>
      <c r="C248" s="170"/>
      <c r="D248" s="331">
        <v>241</v>
      </c>
      <c r="E248" s="544">
        <f>+DATE(YEAR(E247),MONTH(E247)-1,DAY(E247))</f>
        <v>25569.041666666668</v>
      </c>
      <c r="F248" s="333">
        <f>IF(DATE(YEAR($B$6),MONTH($B$6)+1,DAY(1))=E248,1,IF(MONTH(E248)=1,F249*(1+$F$5),F249))</f>
      </c>
      <c r="G248" s="333">
        <f>IF('Simulador - 1º Pilar'!$E$99="Sí",IF('Aportaciones PPE'!$B$13&lt;'Aportaciones PPE'!E248,0,F248*$B$8/12),F248*$B$8/12)</f>
      </c>
      <c r="H248" s="333">
        <f>$H$5*G248</f>
      </c>
      <c r="I248" s="333">
        <f>$I$5*G248</f>
      </c>
      <c r="J248" s="333">
        <f>+I248</f>
      </c>
      <c r="K248" s="333">
        <f>(1+$O$5)^(D248/12)*(H248+IF(AND(F248=1,F249=0),$S$4,0))</f>
      </c>
      <c r="L248" s="333">
        <f>(1+$O$5)^(D248/12)*(I248+IF(AND(F248=1,F249=0),0))</f>
      </c>
      <c r="M248" s="333">
        <f>+L248</f>
      </c>
      <c r="N248" s="333">
        <f>L248+K248+M248</f>
      </c>
      <c r="O248" s="170"/>
      <c r="P248" s="7"/>
      <c r="Q248" s="1"/>
      <c r="R248" s="331">
        <f>D248</f>
      </c>
      <c r="S248" s="169"/>
      <c r="T248" s="1"/>
      <c r="U248" s="217"/>
      <c r="V248" s="331">
        <f>+IF(V247=11,12,IF(V247=12,1,V247+1))</f>
      </c>
      <c r="W248" s="331">
        <f>+W247+IF(V247=12,1,0)</f>
      </c>
      <c r="X248" s="555">
        <f>+DATE(W248,V248,1)</f>
        <v>25569.041666666668</v>
      </c>
      <c r="Y248" s="333">
        <f>+_xlfn.IFNA(AN248+AS248+AX248,0)</f>
      </c>
      <c r="Z248" s="333">
        <f>+_xlfn.IFNA(AO248+AT248+AY248,0)</f>
      </c>
      <c r="AA248" s="333">
        <f>Y248*(1+$O$5)^(($B$7-X248)/365.25)</f>
      </c>
      <c r="AB248" s="333">
        <f>Z248*(1+$O$5)^(($B$7-X248)/365.25)</f>
      </c>
      <c r="AC248" s="1"/>
      <c r="AD248" s="1"/>
      <c r="AE248" s="1"/>
      <c r="AF248" s="111">
        <f>+MONTH(E248)&amp;YEAR(E248)</f>
      </c>
      <c r="AG248" s="217">
        <f>+I248</f>
      </c>
      <c r="AH248" s="217">
        <f>+J248</f>
      </c>
      <c r="AI248" s="217">
        <f>+H248</f>
      </c>
      <c r="AJ248" s="111">
        <f>+V248&amp;W248</f>
      </c>
      <c r="AK248" s="217">
        <f>+_xlfn.IFNA(VLOOKUP(AJ248,$AF$7:$AG$1066,2,0),0)</f>
      </c>
      <c r="AL248" s="217">
        <f>+IF(W248&gt;W247,AK248,AL247+AK248)</f>
      </c>
      <c r="AM248" s="217">
        <f>IF(W248&gt;W247,IF(AL248&gt;=$AZ$8,$AZ$8,AL248),IF(OR(AM247=$AZ$8,AM247=0),0,IF(AL248&gt;=$AZ$8,$AZ$8,AL248)))</f>
      </c>
      <c r="AN248" s="748">
        <f>+IF(OR(AM248&gt;AZ247,AM248=0),0,IF(AM248=AL248,AK248,$AZ$7-AL247))</f>
      </c>
      <c r="AO248" s="748">
        <f>+AK248-AN248</f>
      </c>
      <c r="AP248" s="217">
        <f>+_xlfn.IFNA(VLOOKUP(AJ248,$AF$7:$AI$1066,3,0),0)</f>
      </c>
      <c r="AQ248" s="217">
        <f>+IF(W248&gt;W247,AP248,AQ247+AP248)</f>
      </c>
      <c r="AR248" s="217">
        <f>+MAX($AM$2-SUMIF($W$7:$W$1066,W248,$AN$7:$AN$1066),0)</f>
      </c>
      <c r="AS248" s="748">
        <f>+MAX(IF(AQ248&gt;AR248,AR248-AQ247,AP248),0)</f>
      </c>
      <c r="AT248" s="748">
        <f>+AP248-AS248</f>
      </c>
      <c r="AU248" s="217">
        <f>+_xlfn.IFNA(VLOOKUP(AJ248,$AF$7:$AI$1066,4,0),0)</f>
      </c>
      <c r="AV248" s="217">
        <f>+IF(W248&gt;W247,AU248,AV247+AU248)</f>
      </c>
      <c r="AW248" s="217">
        <f>+MAX($AM$2-SUMIF($W$7:$W$1066,W248,$AN$7:$AN$1066)-SUMIF($W$7:$W$1066,W248,$AS$7:$AS$1066),0)</f>
      </c>
      <c r="AX248" s="748">
        <f>+MAX(IF(AV248&gt;AW248,AW248-AV247,AU248),0)</f>
      </c>
      <c r="AY248" s="748">
        <f>+AU248-AX248</f>
      </c>
      <c r="AZ248" s="331">
        <f>+$AM$1+IF($AP$1&gt;$AP$2,$AM$3/2)</f>
      </c>
    </row>
    <row x14ac:dyDescent="0.25" r="249" customHeight="1" ht="18.75">
      <c r="A249" s="1"/>
      <c r="B249" s="7"/>
      <c r="C249" s="170"/>
      <c r="D249" s="331">
        <v>242</v>
      </c>
      <c r="E249" s="544">
        <f>+DATE(YEAR(E248),MONTH(E248)-1,DAY(E248))</f>
        <v>25569.041666666668</v>
      </c>
      <c r="F249" s="333">
        <f>IF(DATE(YEAR($B$6),MONTH($B$6)+1,DAY(1))=E249,1,IF(MONTH(E249)=1,F250*(1+$F$5),F250))</f>
      </c>
      <c r="G249" s="333">
        <f>IF('Simulador - 1º Pilar'!$E$99="Sí",IF('Aportaciones PPE'!$B$13&lt;'Aportaciones PPE'!E249,0,F249*$B$8/12),F249*$B$8/12)</f>
      </c>
      <c r="H249" s="333">
        <f>$H$5*G249</f>
      </c>
      <c r="I249" s="333">
        <f>$I$5*G249</f>
      </c>
      <c r="J249" s="333">
        <f>+I249</f>
      </c>
      <c r="K249" s="333">
        <f>(1+$O$5)^(D249/12)*(H249+IF(AND(F249=1,F250=0),$S$4,0))</f>
      </c>
      <c r="L249" s="333">
        <f>(1+$O$5)^(D249/12)*(I249+IF(AND(F249=1,F250=0),0))</f>
      </c>
      <c r="M249" s="333">
        <f>+L249</f>
      </c>
      <c r="N249" s="333">
        <f>L249+K249+M249</f>
      </c>
      <c r="O249" s="170"/>
      <c r="P249" s="7"/>
      <c r="Q249" s="1"/>
      <c r="R249" s="331">
        <f>D249</f>
      </c>
      <c r="S249" s="169"/>
      <c r="T249" s="1"/>
      <c r="U249" s="217"/>
      <c r="V249" s="331">
        <f>+IF(V248=11,12,IF(V248=12,1,V248+1))</f>
      </c>
      <c r="W249" s="331">
        <f>+W248+IF(V248=12,1,0)</f>
      </c>
      <c r="X249" s="555">
        <f>+DATE(W249,V249,1)</f>
        <v>25569.041666666668</v>
      </c>
      <c r="Y249" s="333">
        <f>+_xlfn.IFNA(AN249+AS249+AX249,0)</f>
      </c>
      <c r="Z249" s="333">
        <f>+_xlfn.IFNA(AO249+AT249+AY249,0)</f>
      </c>
      <c r="AA249" s="333">
        <f>Y249*(1+$O$5)^(($B$7-X249)/365.25)</f>
      </c>
      <c r="AB249" s="333">
        <f>Z249*(1+$O$5)^(($B$7-X249)/365.25)</f>
      </c>
      <c r="AC249" s="1"/>
      <c r="AD249" s="1"/>
      <c r="AE249" s="1"/>
      <c r="AF249" s="111">
        <f>+MONTH(E249)&amp;YEAR(E249)</f>
      </c>
      <c r="AG249" s="217">
        <f>+I249</f>
      </c>
      <c r="AH249" s="217">
        <f>+J249</f>
      </c>
      <c r="AI249" s="217">
        <f>+H249</f>
      </c>
      <c r="AJ249" s="111">
        <f>+V249&amp;W249</f>
      </c>
      <c r="AK249" s="217">
        <f>+_xlfn.IFNA(VLOOKUP(AJ249,$AF$7:$AG$1066,2,0),0)</f>
      </c>
      <c r="AL249" s="217">
        <f>+IF(W249&gt;W248,AK249,AL248+AK249)</f>
      </c>
      <c r="AM249" s="217">
        <f>IF(W249&gt;W248,IF(AL249&gt;=$AZ$8,$AZ$8,AL249),IF(OR(AM248=$AZ$8,AM248=0),0,IF(AL249&gt;=$AZ$8,$AZ$8,AL249)))</f>
      </c>
      <c r="AN249" s="748">
        <f>+IF(OR(AM249&gt;AZ248,AM249=0),0,IF(AM249=AL249,AK249,$AZ$7-AL248))</f>
      </c>
      <c r="AO249" s="748">
        <f>+AK249-AN249</f>
      </c>
      <c r="AP249" s="217">
        <f>+_xlfn.IFNA(VLOOKUP(AJ249,$AF$7:$AI$1066,3,0),0)</f>
      </c>
      <c r="AQ249" s="217">
        <f>+IF(W249&gt;W248,AP249,AQ248+AP249)</f>
      </c>
      <c r="AR249" s="217">
        <f>+MAX($AM$2-SUMIF($W$7:$W$1066,W249,$AN$7:$AN$1066),0)</f>
      </c>
      <c r="AS249" s="748">
        <f>+MAX(IF(AQ249&gt;AR249,AR249-AQ248,AP249),0)</f>
      </c>
      <c r="AT249" s="748">
        <f>+AP249-AS249</f>
      </c>
      <c r="AU249" s="217">
        <f>+_xlfn.IFNA(VLOOKUP(AJ249,$AF$7:$AI$1066,4,0),0)</f>
      </c>
      <c r="AV249" s="217">
        <f>+IF(W249&gt;W248,AU249,AV248+AU249)</f>
      </c>
      <c r="AW249" s="217">
        <f>+MAX($AM$2-SUMIF($W$7:$W$1066,W249,$AN$7:$AN$1066)-SUMIF($W$7:$W$1066,W249,$AS$7:$AS$1066),0)</f>
      </c>
      <c r="AX249" s="748">
        <f>+MAX(IF(AV249&gt;AW249,AW249-AV248,AU249),0)</f>
      </c>
      <c r="AY249" s="748">
        <f>+AU249-AX249</f>
      </c>
      <c r="AZ249" s="331">
        <f>+$AM$1+IF($AP$1&gt;$AP$2,$AM$3/2)</f>
      </c>
    </row>
    <row x14ac:dyDescent="0.25" r="250" customHeight="1" ht="18.75">
      <c r="A250" s="1"/>
      <c r="B250" s="7"/>
      <c r="C250" s="170"/>
      <c r="D250" s="331">
        <v>243</v>
      </c>
      <c r="E250" s="544">
        <f>+DATE(YEAR(E249),MONTH(E249)-1,DAY(E249))</f>
        <v>25569.041666666668</v>
      </c>
      <c r="F250" s="333">
        <f>IF(DATE(YEAR($B$6),MONTH($B$6)+1,DAY(1))=E250,1,IF(MONTH(E250)=1,F251*(1+$F$5),F251))</f>
      </c>
      <c r="G250" s="333">
        <f>IF('Simulador - 1º Pilar'!$E$99="Sí",IF('Aportaciones PPE'!$B$13&lt;'Aportaciones PPE'!E250,0,F250*$B$8/12),F250*$B$8/12)</f>
      </c>
      <c r="H250" s="333">
        <f>$H$5*G250</f>
      </c>
      <c r="I250" s="333">
        <f>$I$5*G250</f>
      </c>
      <c r="J250" s="333">
        <f>+I250</f>
      </c>
      <c r="K250" s="333">
        <f>(1+$O$5)^(D250/12)*(H250+IF(AND(F250=1,F251=0),$S$4,0))</f>
      </c>
      <c r="L250" s="333">
        <f>(1+$O$5)^(D250/12)*(I250+IF(AND(F250=1,F251=0),0))</f>
      </c>
      <c r="M250" s="333">
        <f>+L250</f>
      </c>
      <c r="N250" s="333">
        <f>L250+K250+M250</f>
      </c>
      <c r="O250" s="170"/>
      <c r="P250" s="7"/>
      <c r="Q250" s="1"/>
      <c r="R250" s="331">
        <f>D250</f>
      </c>
      <c r="S250" s="169"/>
      <c r="T250" s="1"/>
      <c r="U250" s="217"/>
      <c r="V250" s="331">
        <f>+IF(V249=11,12,IF(V249=12,1,V249+1))</f>
      </c>
      <c r="W250" s="331">
        <f>+W249+IF(V249=12,1,0)</f>
      </c>
      <c r="X250" s="555">
        <f>+DATE(W250,V250,1)</f>
        <v>25569.041666666668</v>
      </c>
      <c r="Y250" s="333">
        <f>+_xlfn.IFNA(AN250+AS250+AX250,0)</f>
      </c>
      <c r="Z250" s="333">
        <f>+_xlfn.IFNA(AO250+AT250+AY250,0)</f>
      </c>
      <c r="AA250" s="333">
        <f>Y250*(1+$O$5)^(($B$7-X250)/365.25)</f>
      </c>
      <c r="AB250" s="333">
        <f>Z250*(1+$O$5)^(($B$7-X250)/365.25)</f>
      </c>
      <c r="AC250" s="1"/>
      <c r="AD250" s="1"/>
      <c r="AE250" s="1"/>
      <c r="AF250" s="111">
        <f>+MONTH(E250)&amp;YEAR(E250)</f>
      </c>
      <c r="AG250" s="217">
        <f>+I250</f>
      </c>
      <c r="AH250" s="217">
        <f>+J250</f>
      </c>
      <c r="AI250" s="217">
        <f>+H250</f>
      </c>
      <c r="AJ250" s="111">
        <f>+V250&amp;W250</f>
      </c>
      <c r="AK250" s="217">
        <f>+_xlfn.IFNA(VLOOKUP(AJ250,$AF$7:$AG$1066,2,0),0)</f>
      </c>
      <c r="AL250" s="217">
        <f>+IF(W250&gt;W249,AK250,AL249+AK250)</f>
      </c>
      <c r="AM250" s="217">
        <f>IF(W250&gt;W249,IF(AL250&gt;=$AZ$8,$AZ$8,AL250),IF(OR(AM249=$AZ$8,AM249=0),0,IF(AL250&gt;=$AZ$8,$AZ$8,AL250)))</f>
      </c>
      <c r="AN250" s="748">
        <f>+IF(OR(AM250&gt;AZ249,AM250=0),0,IF(AM250=AL250,AK250,$AZ$7-AL249))</f>
      </c>
      <c r="AO250" s="748">
        <f>+AK250-AN250</f>
      </c>
      <c r="AP250" s="217">
        <f>+_xlfn.IFNA(VLOOKUP(AJ250,$AF$7:$AI$1066,3,0),0)</f>
      </c>
      <c r="AQ250" s="217">
        <f>+IF(W250&gt;W249,AP250,AQ249+AP250)</f>
      </c>
      <c r="AR250" s="217">
        <f>+MAX($AM$2-SUMIF($W$7:$W$1066,W250,$AN$7:$AN$1066),0)</f>
      </c>
      <c r="AS250" s="748">
        <f>+MAX(IF(AQ250&gt;AR250,AR250-AQ249,AP250),0)</f>
      </c>
      <c r="AT250" s="748">
        <f>+AP250-AS250</f>
      </c>
      <c r="AU250" s="217">
        <f>+_xlfn.IFNA(VLOOKUP(AJ250,$AF$7:$AI$1066,4,0),0)</f>
      </c>
      <c r="AV250" s="217">
        <f>+IF(W250&gt;W249,AU250,AV249+AU250)</f>
      </c>
      <c r="AW250" s="217">
        <f>+MAX($AM$2-SUMIF($W$7:$W$1066,W250,$AN$7:$AN$1066)-SUMIF($W$7:$W$1066,W250,$AS$7:$AS$1066),0)</f>
      </c>
      <c r="AX250" s="748">
        <f>+MAX(IF(AV250&gt;AW250,AW250-AV249,AU250),0)</f>
      </c>
      <c r="AY250" s="748">
        <f>+AU250-AX250</f>
      </c>
      <c r="AZ250" s="331">
        <f>+$AM$1+IF($AP$1&gt;$AP$2,$AM$3/2)</f>
      </c>
    </row>
    <row x14ac:dyDescent="0.25" r="251" customHeight="1" ht="18.75">
      <c r="A251" s="1"/>
      <c r="B251" s="7"/>
      <c r="C251" s="170"/>
      <c r="D251" s="331">
        <v>244</v>
      </c>
      <c r="E251" s="544">
        <f>+DATE(YEAR(E250),MONTH(E250)-1,DAY(E250))</f>
        <v>25569.041666666668</v>
      </c>
      <c r="F251" s="333">
        <f>IF(DATE(YEAR($B$6),MONTH($B$6)+1,DAY(1))=E251,1,IF(MONTH(E251)=1,F252*(1+$F$5),F252))</f>
      </c>
      <c r="G251" s="333">
        <f>IF('Simulador - 1º Pilar'!$E$99="Sí",IF('Aportaciones PPE'!$B$13&lt;'Aportaciones PPE'!E251,0,F251*$B$8/12),F251*$B$8/12)</f>
      </c>
      <c r="H251" s="333">
        <f>$H$5*G251</f>
      </c>
      <c r="I251" s="333">
        <f>$I$5*G251</f>
      </c>
      <c r="J251" s="333">
        <f>+I251</f>
      </c>
      <c r="K251" s="333">
        <f>(1+$O$5)^(D251/12)*(H251+IF(AND(F251=1,F252=0),$S$4,0))</f>
      </c>
      <c r="L251" s="333">
        <f>(1+$O$5)^(D251/12)*(I251+IF(AND(F251=1,F252=0),0))</f>
      </c>
      <c r="M251" s="333">
        <f>+L251</f>
      </c>
      <c r="N251" s="333">
        <f>L251+K251+M251</f>
      </c>
      <c r="O251" s="170"/>
      <c r="P251" s="7"/>
      <c r="Q251" s="1"/>
      <c r="R251" s="331">
        <f>D251</f>
      </c>
      <c r="S251" s="169"/>
      <c r="T251" s="1"/>
      <c r="U251" s="217"/>
      <c r="V251" s="331">
        <f>+IF(V250=11,12,IF(V250=12,1,V250+1))</f>
      </c>
      <c r="W251" s="331">
        <f>+W250+IF(V250=12,1,0)</f>
      </c>
      <c r="X251" s="555">
        <f>+DATE(W251,V251,1)</f>
        <v>25569.041666666668</v>
      </c>
      <c r="Y251" s="333">
        <f>+_xlfn.IFNA(AN251+AS251+AX251,0)</f>
      </c>
      <c r="Z251" s="333">
        <f>+_xlfn.IFNA(AO251+AT251+AY251,0)</f>
      </c>
      <c r="AA251" s="333">
        <f>Y251*(1+$O$5)^(($B$7-X251)/365.25)</f>
      </c>
      <c r="AB251" s="333">
        <f>Z251*(1+$O$5)^(($B$7-X251)/365.25)</f>
      </c>
      <c r="AC251" s="1"/>
      <c r="AD251" s="1"/>
      <c r="AE251" s="1"/>
      <c r="AF251" s="111">
        <f>+MONTH(E251)&amp;YEAR(E251)</f>
      </c>
      <c r="AG251" s="217">
        <f>+I251</f>
      </c>
      <c r="AH251" s="217">
        <f>+J251</f>
      </c>
      <c r="AI251" s="217">
        <f>+H251</f>
      </c>
      <c r="AJ251" s="111">
        <f>+V251&amp;W251</f>
      </c>
      <c r="AK251" s="217">
        <f>+_xlfn.IFNA(VLOOKUP(AJ251,$AF$7:$AG$1066,2,0),0)</f>
      </c>
      <c r="AL251" s="217">
        <f>+IF(W251&gt;W250,AK251,AL250+AK251)</f>
      </c>
      <c r="AM251" s="217">
        <f>IF(W251&gt;W250,IF(AL251&gt;=$AZ$8,$AZ$8,AL251),IF(OR(AM250=$AZ$8,AM250=0),0,IF(AL251&gt;=$AZ$8,$AZ$8,AL251)))</f>
      </c>
      <c r="AN251" s="748">
        <f>+IF(OR(AM251&gt;AZ250,AM251=0),0,IF(AM251=AL251,AK251,$AZ$7-AL250))</f>
      </c>
      <c r="AO251" s="748">
        <f>+AK251-AN251</f>
      </c>
      <c r="AP251" s="217">
        <f>+_xlfn.IFNA(VLOOKUP(AJ251,$AF$7:$AI$1066,3,0),0)</f>
      </c>
      <c r="AQ251" s="217">
        <f>+IF(W251&gt;W250,AP251,AQ250+AP251)</f>
      </c>
      <c r="AR251" s="217">
        <f>+MAX($AM$2-SUMIF($W$7:$W$1066,W251,$AN$7:$AN$1066),0)</f>
      </c>
      <c r="AS251" s="748">
        <f>+MAX(IF(AQ251&gt;AR251,AR251-AQ250,AP251),0)</f>
      </c>
      <c r="AT251" s="748">
        <f>+AP251-AS251</f>
      </c>
      <c r="AU251" s="217">
        <f>+_xlfn.IFNA(VLOOKUP(AJ251,$AF$7:$AI$1066,4,0),0)</f>
      </c>
      <c r="AV251" s="217">
        <f>+IF(W251&gt;W250,AU251,AV250+AU251)</f>
      </c>
      <c r="AW251" s="217">
        <f>+MAX($AM$2-SUMIF($W$7:$W$1066,W251,$AN$7:$AN$1066)-SUMIF($W$7:$W$1066,W251,$AS$7:$AS$1066),0)</f>
      </c>
      <c r="AX251" s="748">
        <f>+MAX(IF(AV251&gt;AW251,AW251-AV250,AU251),0)</f>
      </c>
      <c r="AY251" s="748">
        <f>+AU251-AX251</f>
      </c>
      <c r="AZ251" s="331">
        <f>+$AM$1+IF($AP$1&gt;$AP$2,$AM$3/2)</f>
      </c>
    </row>
    <row x14ac:dyDescent="0.25" r="252" customHeight="1" ht="18.75">
      <c r="A252" s="1"/>
      <c r="B252" s="7"/>
      <c r="C252" s="170"/>
      <c r="D252" s="331">
        <v>245</v>
      </c>
      <c r="E252" s="544">
        <f>+DATE(YEAR(E251),MONTH(E251)-1,DAY(E251))</f>
        <v>25569.041666666668</v>
      </c>
      <c r="F252" s="333">
        <f>IF(DATE(YEAR($B$6),MONTH($B$6)+1,DAY(1))=E252,1,IF(MONTH(E252)=1,F253*(1+$F$5),F253))</f>
      </c>
      <c r="G252" s="333">
        <f>IF('Simulador - 1º Pilar'!$E$99="Sí",IF('Aportaciones PPE'!$B$13&lt;'Aportaciones PPE'!E252,0,F252*$B$8/12),F252*$B$8/12)</f>
      </c>
      <c r="H252" s="333">
        <f>$H$5*G252</f>
      </c>
      <c r="I252" s="333">
        <f>$I$5*G252</f>
      </c>
      <c r="J252" s="333">
        <f>+I252</f>
      </c>
      <c r="K252" s="333">
        <f>(1+$O$5)^(D252/12)*(H252+IF(AND(F252=1,F253=0),$S$4,0))</f>
      </c>
      <c r="L252" s="333">
        <f>(1+$O$5)^(D252/12)*(I252+IF(AND(F252=1,F253=0),0))</f>
      </c>
      <c r="M252" s="333">
        <f>+L252</f>
      </c>
      <c r="N252" s="333">
        <f>L252+K252+M252</f>
      </c>
      <c r="O252" s="170"/>
      <c r="P252" s="7"/>
      <c r="Q252" s="1"/>
      <c r="R252" s="331">
        <f>D252</f>
      </c>
      <c r="S252" s="169"/>
      <c r="T252" s="1"/>
      <c r="U252" s="217"/>
      <c r="V252" s="331">
        <f>+IF(V251=11,12,IF(V251=12,1,V251+1))</f>
      </c>
      <c r="W252" s="331">
        <f>+W251+IF(V251=12,1,0)</f>
      </c>
      <c r="X252" s="555">
        <f>+DATE(W252,V252,1)</f>
        <v>25569.041666666668</v>
      </c>
      <c r="Y252" s="333">
        <f>+_xlfn.IFNA(AN252+AS252+AX252,0)</f>
      </c>
      <c r="Z252" s="333">
        <f>+_xlfn.IFNA(AO252+AT252+AY252,0)</f>
      </c>
      <c r="AA252" s="333">
        <f>Y252*(1+$O$5)^(($B$7-X252)/365.25)</f>
      </c>
      <c r="AB252" s="333">
        <f>Z252*(1+$O$5)^(($B$7-X252)/365.25)</f>
      </c>
      <c r="AC252" s="1"/>
      <c r="AD252" s="1"/>
      <c r="AE252" s="1"/>
      <c r="AF252" s="111">
        <f>+MONTH(E252)&amp;YEAR(E252)</f>
      </c>
      <c r="AG252" s="217">
        <f>+I252</f>
      </c>
      <c r="AH252" s="217">
        <f>+J252</f>
      </c>
      <c r="AI252" s="217">
        <f>+H252</f>
      </c>
      <c r="AJ252" s="111">
        <f>+V252&amp;W252</f>
      </c>
      <c r="AK252" s="217">
        <f>+_xlfn.IFNA(VLOOKUP(AJ252,$AF$7:$AG$1066,2,0),0)</f>
      </c>
      <c r="AL252" s="217">
        <f>+IF(W252&gt;W251,AK252,AL251+AK252)</f>
      </c>
      <c r="AM252" s="217">
        <f>IF(W252&gt;W251,IF(AL252&gt;=$AZ$8,$AZ$8,AL252),IF(OR(AM251=$AZ$8,AM251=0),0,IF(AL252&gt;=$AZ$8,$AZ$8,AL252)))</f>
      </c>
      <c r="AN252" s="748">
        <f>+IF(OR(AM252&gt;AZ251,AM252=0),0,IF(AM252=AL252,AK252,$AZ$7-AL251))</f>
      </c>
      <c r="AO252" s="748">
        <f>+AK252-AN252</f>
      </c>
      <c r="AP252" s="217">
        <f>+_xlfn.IFNA(VLOOKUP(AJ252,$AF$7:$AI$1066,3,0),0)</f>
      </c>
      <c r="AQ252" s="217">
        <f>+IF(W252&gt;W251,AP252,AQ251+AP252)</f>
      </c>
      <c r="AR252" s="217">
        <f>+MAX($AM$2-SUMIF($W$7:$W$1066,W252,$AN$7:$AN$1066),0)</f>
      </c>
      <c r="AS252" s="748">
        <f>+MAX(IF(AQ252&gt;AR252,AR252-AQ251,AP252),0)</f>
      </c>
      <c r="AT252" s="748">
        <f>+AP252-AS252</f>
      </c>
      <c r="AU252" s="217">
        <f>+_xlfn.IFNA(VLOOKUP(AJ252,$AF$7:$AI$1066,4,0),0)</f>
      </c>
      <c r="AV252" s="217">
        <f>+IF(W252&gt;W251,AU252,AV251+AU252)</f>
      </c>
      <c r="AW252" s="217">
        <f>+MAX($AM$2-SUMIF($W$7:$W$1066,W252,$AN$7:$AN$1066)-SUMIF($W$7:$W$1066,W252,$AS$7:$AS$1066),0)</f>
      </c>
      <c r="AX252" s="748">
        <f>+MAX(IF(AV252&gt;AW252,AW252-AV251,AU252),0)</f>
      </c>
      <c r="AY252" s="748">
        <f>+AU252-AX252</f>
      </c>
      <c r="AZ252" s="331">
        <f>+$AM$1+IF($AP$1&gt;$AP$2,$AM$3/2)</f>
      </c>
    </row>
    <row x14ac:dyDescent="0.25" r="253" customHeight="1" ht="18.75">
      <c r="A253" s="1"/>
      <c r="B253" s="7"/>
      <c r="C253" s="170"/>
      <c r="D253" s="331">
        <v>246</v>
      </c>
      <c r="E253" s="544">
        <f>+DATE(YEAR(E252),MONTH(E252)-1,DAY(E252))</f>
        <v>25569.041666666668</v>
      </c>
      <c r="F253" s="333">
        <f>IF(DATE(YEAR($B$6),MONTH($B$6)+1,DAY(1))=E253,1,IF(MONTH(E253)=1,F254*(1+$F$5),F254))</f>
      </c>
      <c r="G253" s="333">
        <f>IF('Simulador - 1º Pilar'!$E$99="Sí",IF('Aportaciones PPE'!$B$13&lt;'Aportaciones PPE'!E253,0,F253*$B$8/12),F253*$B$8/12)</f>
      </c>
      <c r="H253" s="333">
        <f>$H$5*G253</f>
      </c>
      <c r="I253" s="333">
        <f>$I$5*G253</f>
      </c>
      <c r="J253" s="333">
        <f>+I253</f>
      </c>
      <c r="K253" s="333">
        <f>(1+$O$5)^(D253/12)*(H253+IF(AND(F253=1,F254=0),$S$4,0))</f>
      </c>
      <c r="L253" s="333">
        <f>(1+$O$5)^(D253/12)*(I253+IF(AND(F253=1,F254=0),0))</f>
      </c>
      <c r="M253" s="333">
        <f>+L253</f>
      </c>
      <c r="N253" s="333">
        <f>L253+K253+M253</f>
      </c>
      <c r="O253" s="170"/>
      <c r="P253" s="7"/>
      <c r="Q253" s="1"/>
      <c r="R253" s="331">
        <f>D253</f>
      </c>
      <c r="S253" s="169"/>
      <c r="T253" s="1"/>
      <c r="U253" s="217"/>
      <c r="V253" s="331">
        <f>+IF(V252=11,12,IF(V252=12,1,V252+1))</f>
      </c>
      <c r="W253" s="331">
        <f>+W252+IF(V252=12,1,0)</f>
      </c>
      <c r="X253" s="555">
        <f>+DATE(W253,V253,1)</f>
        <v>25569.041666666668</v>
      </c>
      <c r="Y253" s="333">
        <f>+_xlfn.IFNA(AN253+AS253+AX253,0)</f>
      </c>
      <c r="Z253" s="333">
        <f>+_xlfn.IFNA(AO253+AT253+AY253,0)</f>
      </c>
      <c r="AA253" s="333">
        <f>Y253*(1+$O$5)^(($B$7-X253)/365.25)</f>
      </c>
      <c r="AB253" s="333">
        <f>Z253*(1+$O$5)^(($B$7-X253)/365.25)</f>
      </c>
      <c r="AC253" s="1"/>
      <c r="AD253" s="1"/>
      <c r="AE253" s="1"/>
      <c r="AF253" s="111">
        <f>+MONTH(E253)&amp;YEAR(E253)</f>
      </c>
      <c r="AG253" s="217">
        <f>+I253</f>
      </c>
      <c r="AH253" s="217">
        <f>+J253</f>
      </c>
      <c r="AI253" s="217">
        <f>+H253</f>
      </c>
      <c r="AJ253" s="111">
        <f>+V253&amp;W253</f>
      </c>
      <c r="AK253" s="217">
        <f>+_xlfn.IFNA(VLOOKUP(AJ253,$AF$7:$AG$1066,2,0),0)</f>
      </c>
      <c r="AL253" s="217">
        <f>+IF(W253&gt;W252,AK253,AL252+AK253)</f>
      </c>
      <c r="AM253" s="217">
        <f>IF(W253&gt;W252,IF(AL253&gt;=$AZ$8,$AZ$8,AL253),IF(OR(AM252=$AZ$8,AM252=0),0,IF(AL253&gt;=$AZ$8,$AZ$8,AL253)))</f>
      </c>
      <c r="AN253" s="748">
        <f>+IF(OR(AM253&gt;AZ252,AM253=0),0,IF(AM253=AL253,AK253,$AZ$7-AL252))</f>
      </c>
      <c r="AO253" s="748">
        <f>+AK253-AN253</f>
      </c>
      <c r="AP253" s="217">
        <f>+_xlfn.IFNA(VLOOKUP(AJ253,$AF$7:$AI$1066,3,0),0)</f>
      </c>
      <c r="AQ253" s="217">
        <f>+IF(W253&gt;W252,AP253,AQ252+AP253)</f>
      </c>
      <c r="AR253" s="217">
        <f>+MAX($AM$2-SUMIF($W$7:$W$1066,W253,$AN$7:$AN$1066),0)</f>
      </c>
      <c r="AS253" s="748">
        <f>+MAX(IF(AQ253&gt;AR253,AR253-AQ252,AP253),0)</f>
      </c>
      <c r="AT253" s="748">
        <f>+AP253-AS253</f>
      </c>
      <c r="AU253" s="217">
        <f>+_xlfn.IFNA(VLOOKUP(AJ253,$AF$7:$AI$1066,4,0),0)</f>
      </c>
      <c r="AV253" s="217">
        <f>+IF(W253&gt;W252,AU253,AV252+AU253)</f>
      </c>
      <c r="AW253" s="217">
        <f>+MAX($AM$2-SUMIF($W$7:$W$1066,W253,$AN$7:$AN$1066)-SUMIF($W$7:$W$1066,W253,$AS$7:$AS$1066),0)</f>
      </c>
      <c r="AX253" s="748">
        <f>+MAX(IF(AV253&gt;AW253,AW253-AV252,AU253),0)</f>
      </c>
      <c r="AY253" s="748">
        <f>+AU253-AX253</f>
      </c>
      <c r="AZ253" s="331">
        <f>+$AM$1+IF($AP$1&gt;$AP$2,$AM$3/2)</f>
      </c>
    </row>
    <row x14ac:dyDescent="0.25" r="254" customHeight="1" ht="18.75">
      <c r="A254" s="1"/>
      <c r="B254" s="7"/>
      <c r="C254" s="170"/>
      <c r="D254" s="331">
        <v>247</v>
      </c>
      <c r="E254" s="544">
        <f>+DATE(YEAR(E253),MONTH(E253)-1,DAY(E253))</f>
        <v>25569.041666666668</v>
      </c>
      <c r="F254" s="333">
        <f>IF(DATE(YEAR($B$6),MONTH($B$6)+1,DAY(1))=E254,1,IF(MONTH(E254)=1,F255*(1+$F$5),F255))</f>
      </c>
      <c r="G254" s="333">
        <f>IF('Simulador - 1º Pilar'!$E$99="Sí",IF('Aportaciones PPE'!$B$13&lt;'Aportaciones PPE'!E254,0,F254*$B$8/12),F254*$B$8/12)</f>
      </c>
      <c r="H254" s="333">
        <f>$H$5*G254</f>
      </c>
      <c r="I254" s="333">
        <f>$I$5*G254</f>
      </c>
      <c r="J254" s="333">
        <f>+I254</f>
      </c>
      <c r="K254" s="333">
        <f>(1+$O$5)^(D254/12)*(H254+IF(AND(F254=1,F255=0),$S$4,0))</f>
      </c>
      <c r="L254" s="333">
        <f>(1+$O$5)^(D254/12)*(I254+IF(AND(F254=1,F255=0),0))</f>
      </c>
      <c r="M254" s="333">
        <f>+L254</f>
      </c>
      <c r="N254" s="333">
        <f>L254+K254+M254</f>
      </c>
      <c r="O254" s="170"/>
      <c r="P254" s="7"/>
      <c r="Q254" s="1"/>
      <c r="R254" s="331">
        <f>D254</f>
      </c>
      <c r="S254" s="169"/>
      <c r="T254" s="1"/>
      <c r="U254" s="217"/>
      <c r="V254" s="331">
        <f>+IF(V253=11,12,IF(V253=12,1,V253+1))</f>
      </c>
      <c r="W254" s="331">
        <f>+W253+IF(V253=12,1,0)</f>
      </c>
      <c r="X254" s="555">
        <f>+DATE(W254,V254,1)</f>
        <v>25569.041666666668</v>
      </c>
      <c r="Y254" s="333">
        <f>+_xlfn.IFNA(AN254+AS254+AX254,0)</f>
      </c>
      <c r="Z254" s="333">
        <f>+_xlfn.IFNA(AO254+AT254+AY254,0)</f>
      </c>
      <c r="AA254" s="333">
        <f>Y254*(1+$O$5)^(($B$7-X254)/365.25)</f>
      </c>
      <c r="AB254" s="333">
        <f>Z254*(1+$O$5)^(($B$7-X254)/365.25)</f>
      </c>
      <c r="AC254" s="1"/>
      <c r="AD254" s="1"/>
      <c r="AE254" s="1"/>
      <c r="AF254" s="111">
        <f>+MONTH(E254)&amp;YEAR(E254)</f>
      </c>
      <c r="AG254" s="217">
        <f>+I254</f>
      </c>
      <c r="AH254" s="217">
        <f>+J254</f>
      </c>
      <c r="AI254" s="217">
        <f>+H254</f>
      </c>
      <c r="AJ254" s="111">
        <f>+V254&amp;W254</f>
      </c>
      <c r="AK254" s="217">
        <f>+_xlfn.IFNA(VLOOKUP(AJ254,$AF$7:$AG$1066,2,0),0)</f>
      </c>
      <c r="AL254" s="217">
        <f>+IF(W254&gt;W253,AK254,AL253+AK254)</f>
      </c>
      <c r="AM254" s="217">
        <f>IF(W254&gt;W253,IF(AL254&gt;=$AZ$8,$AZ$8,AL254),IF(OR(AM253=$AZ$8,AM253=0),0,IF(AL254&gt;=$AZ$8,$AZ$8,AL254)))</f>
      </c>
      <c r="AN254" s="748">
        <f>+IF(OR(AM254&gt;AZ253,AM254=0),0,IF(AM254=AL254,AK254,$AZ$7-AL253))</f>
      </c>
      <c r="AO254" s="748">
        <f>+AK254-AN254</f>
      </c>
      <c r="AP254" s="217">
        <f>+_xlfn.IFNA(VLOOKUP(AJ254,$AF$7:$AI$1066,3,0),0)</f>
      </c>
      <c r="AQ254" s="217">
        <f>+IF(W254&gt;W253,AP254,AQ253+AP254)</f>
      </c>
      <c r="AR254" s="217">
        <f>+MAX($AM$2-SUMIF($W$7:$W$1066,W254,$AN$7:$AN$1066),0)</f>
      </c>
      <c r="AS254" s="748">
        <f>+MAX(IF(AQ254&gt;AR254,AR254-AQ253,AP254),0)</f>
      </c>
      <c r="AT254" s="748">
        <f>+AP254-AS254</f>
      </c>
      <c r="AU254" s="217">
        <f>+_xlfn.IFNA(VLOOKUP(AJ254,$AF$7:$AI$1066,4,0),0)</f>
      </c>
      <c r="AV254" s="217">
        <f>+IF(W254&gt;W253,AU254,AV253+AU254)</f>
      </c>
      <c r="AW254" s="217">
        <f>+MAX($AM$2-SUMIF($W$7:$W$1066,W254,$AN$7:$AN$1066)-SUMIF($W$7:$W$1066,W254,$AS$7:$AS$1066),0)</f>
      </c>
      <c r="AX254" s="748">
        <f>+MAX(IF(AV254&gt;AW254,AW254-AV253,AU254),0)</f>
      </c>
      <c r="AY254" s="748">
        <f>+AU254-AX254</f>
      </c>
      <c r="AZ254" s="331">
        <f>+$AM$1+IF($AP$1&gt;$AP$2,$AM$3/2)</f>
      </c>
    </row>
    <row x14ac:dyDescent="0.25" r="255" customHeight="1" ht="18.75">
      <c r="A255" s="1"/>
      <c r="B255" s="7"/>
      <c r="C255" s="170"/>
      <c r="D255" s="331">
        <v>248</v>
      </c>
      <c r="E255" s="544">
        <f>+DATE(YEAR(E254),MONTH(E254)-1,DAY(E254))</f>
        <v>25569.041666666668</v>
      </c>
      <c r="F255" s="333">
        <f>IF(DATE(YEAR($B$6),MONTH($B$6)+1,DAY(1))=E255,1,IF(MONTH(E255)=1,F256*(1+$F$5),F256))</f>
      </c>
      <c r="G255" s="333">
        <f>IF('Simulador - 1º Pilar'!$E$99="Sí",IF('Aportaciones PPE'!$B$13&lt;'Aportaciones PPE'!E255,0,F255*$B$8/12),F255*$B$8/12)</f>
      </c>
      <c r="H255" s="333">
        <f>$H$5*G255</f>
      </c>
      <c r="I255" s="333">
        <f>$I$5*G255</f>
      </c>
      <c r="J255" s="333">
        <f>+I255</f>
      </c>
      <c r="K255" s="333">
        <f>(1+$O$5)^(D255/12)*(H255+IF(AND(F255=1,F256=0),$S$4,0))</f>
      </c>
      <c r="L255" s="333">
        <f>(1+$O$5)^(D255/12)*(I255+IF(AND(F255=1,F256=0),0))</f>
      </c>
      <c r="M255" s="333">
        <f>+L255</f>
      </c>
      <c r="N255" s="333">
        <f>L255+K255+M255</f>
      </c>
      <c r="O255" s="170"/>
      <c r="P255" s="7"/>
      <c r="Q255" s="1"/>
      <c r="R255" s="331">
        <f>D255</f>
      </c>
      <c r="S255" s="169"/>
      <c r="T255" s="1"/>
      <c r="U255" s="217"/>
      <c r="V255" s="331">
        <f>+IF(V254=11,12,IF(V254=12,1,V254+1))</f>
      </c>
      <c r="W255" s="331">
        <f>+W254+IF(V254=12,1,0)</f>
      </c>
      <c r="X255" s="555">
        <f>+DATE(W255,V255,1)</f>
        <v>25569.041666666668</v>
      </c>
      <c r="Y255" s="333">
        <f>+_xlfn.IFNA(AN255+AS255+AX255,0)</f>
      </c>
      <c r="Z255" s="333">
        <f>+_xlfn.IFNA(AO255+AT255+AY255,0)</f>
      </c>
      <c r="AA255" s="333">
        <f>Y255*(1+$O$5)^(($B$7-X255)/365.25)</f>
      </c>
      <c r="AB255" s="333">
        <f>Z255*(1+$O$5)^(($B$7-X255)/365.25)</f>
      </c>
      <c r="AC255" s="1"/>
      <c r="AD255" s="1"/>
      <c r="AE255" s="1"/>
      <c r="AF255" s="111">
        <f>+MONTH(E255)&amp;YEAR(E255)</f>
      </c>
      <c r="AG255" s="217">
        <f>+I255</f>
      </c>
      <c r="AH255" s="217">
        <f>+J255</f>
      </c>
      <c r="AI255" s="217">
        <f>+H255</f>
      </c>
      <c r="AJ255" s="111">
        <f>+V255&amp;W255</f>
      </c>
      <c r="AK255" s="217">
        <f>+_xlfn.IFNA(VLOOKUP(AJ255,$AF$7:$AG$1066,2,0),0)</f>
      </c>
      <c r="AL255" s="217">
        <f>+IF(W255&gt;W254,AK255,AL254+AK255)</f>
      </c>
      <c r="AM255" s="217">
        <f>IF(W255&gt;W254,IF(AL255&gt;=$AZ$8,$AZ$8,AL255),IF(OR(AM254=$AZ$8,AM254=0),0,IF(AL255&gt;=$AZ$8,$AZ$8,AL255)))</f>
      </c>
      <c r="AN255" s="748">
        <f>+IF(OR(AM255&gt;AZ254,AM255=0),0,IF(AM255=AL255,AK255,$AZ$7-AL254))</f>
      </c>
      <c r="AO255" s="748">
        <f>+AK255-AN255</f>
      </c>
      <c r="AP255" s="217">
        <f>+_xlfn.IFNA(VLOOKUP(AJ255,$AF$7:$AI$1066,3,0),0)</f>
      </c>
      <c r="AQ255" s="217">
        <f>+IF(W255&gt;W254,AP255,AQ254+AP255)</f>
      </c>
      <c r="AR255" s="217">
        <f>+MAX($AM$2-SUMIF($W$7:$W$1066,W255,$AN$7:$AN$1066),0)</f>
      </c>
      <c r="AS255" s="748">
        <f>+MAX(IF(AQ255&gt;AR255,AR255-AQ254,AP255),0)</f>
      </c>
      <c r="AT255" s="748">
        <f>+AP255-AS255</f>
      </c>
      <c r="AU255" s="217">
        <f>+_xlfn.IFNA(VLOOKUP(AJ255,$AF$7:$AI$1066,4,0),0)</f>
      </c>
      <c r="AV255" s="217">
        <f>+IF(W255&gt;W254,AU255,AV254+AU255)</f>
      </c>
      <c r="AW255" s="217">
        <f>+MAX($AM$2-SUMIF($W$7:$W$1066,W255,$AN$7:$AN$1066)-SUMIF($W$7:$W$1066,W255,$AS$7:$AS$1066),0)</f>
      </c>
      <c r="AX255" s="748">
        <f>+MAX(IF(AV255&gt;AW255,AW255-AV254,AU255),0)</f>
      </c>
      <c r="AY255" s="748">
        <f>+AU255-AX255</f>
      </c>
      <c r="AZ255" s="331">
        <f>+$AM$1+IF($AP$1&gt;$AP$2,$AM$3/2)</f>
      </c>
    </row>
    <row x14ac:dyDescent="0.25" r="256" customHeight="1" ht="18.75">
      <c r="A256" s="1"/>
      <c r="B256" s="7"/>
      <c r="C256" s="170"/>
      <c r="D256" s="331">
        <v>249</v>
      </c>
      <c r="E256" s="544">
        <f>+DATE(YEAR(E255),MONTH(E255)-1,DAY(E255))</f>
        <v>25569.041666666668</v>
      </c>
      <c r="F256" s="333">
        <f>IF(DATE(YEAR($B$6),MONTH($B$6)+1,DAY(1))=E256,1,IF(MONTH(E256)=1,F257*(1+$F$5),F257))</f>
      </c>
      <c r="G256" s="333">
        <f>IF('Simulador - 1º Pilar'!$E$99="Sí",IF('Aportaciones PPE'!$B$13&lt;'Aportaciones PPE'!E256,0,F256*$B$8/12),F256*$B$8/12)</f>
      </c>
      <c r="H256" s="333">
        <f>$H$5*G256</f>
      </c>
      <c r="I256" s="333">
        <f>$I$5*G256</f>
      </c>
      <c r="J256" s="333">
        <f>+I256</f>
      </c>
      <c r="K256" s="333">
        <f>(1+$O$5)^(D256/12)*(H256+IF(AND(F256=1,F257=0),$S$4,0))</f>
      </c>
      <c r="L256" s="333">
        <f>(1+$O$5)^(D256/12)*(I256+IF(AND(F256=1,F257=0),0))</f>
      </c>
      <c r="M256" s="333">
        <f>+L256</f>
      </c>
      <c r="N256" s="333">
        <f>L256+K256+M256</f>
      </c>
      <c r="O256" s="170"/>
      <c r="P256" s="7"/>
      <c r="Q256" s="1"/>
      <c r="R256" s="331">
        <f>D256</f>
      </c>
      <c r="S256" s="169"/>
      <c r="T256" s="1"/>
      <c r="U256" s="217"/>
      <c r="V256" s="331">
        <f>+IF(V255=11,12,IF(V255=12,1,V255+1))</f>
      </c>
      <c r="W256" s="331">
        <f>+W255+IF(V255=12,1,0)</f>
      </c>
      <c r="X256" s="555">
        <f>+DATE(W256,V256,1)</f>
        <v>25569.041666666668</v>
      </c>
      <c r="Y256" s="333">
        <f>+_xlfn.IFNA(AN256+AS256+AX256,0)</f>
      </c>
      <c r="Z256" s="333">
        <f>+_xlfn.IFNA(AO256+AT256+AY256,0)</f>
      </c>
      <c r="AA256" s="333">
        <f>Y256*(1+$O$5)^(($B$7-X256)/365.25)</f>
      </c>
      <c r="AB256" s="333">
        <f>Z256*(1+$O$5)^(($B$7-X256)/365.25)</f>
      </c>
      <c r="AC256" s="1"/>
      <c r="AD256" s="1"/>
      <c r="AE256" s="1"/>
      <c r="AF256" s="111">
        <f>+MONTH(E256)&amp;YEAR(E256)</f>
      </c>
      <c r="AG256" s="217">
        <f>+I256</f>
      </c>
      <c r="AH256" s="217">
        <f>+J256</f>
      </c>
      <c r="AI256" s="217">
        <f>+H256</f>
      </c>
      <c r="AJ256" s="111">
        <f>+V256&amp;W256</f>
      </c>
      <c r="AK256" s="217">
        <f>+_xlfn.IFNA(VLOOKUP(AJ256,$AF$7:$AG$1066,2,0),0)</f>
      </c>
      <c r="AL256" s="217">
        <f>+IF(W256&gt;W255,AK256,AL255+AK256)</f>
      </c>
      <c r="AM256" s="217">
        <f>IF(W256&gt;W255,IF(AL256&gt;=$AZ$8,$AZ$8,AL256),IF(OR(AM255=$AZ$8,AM255=0),0,IF(AL256&gt;=$AZ$8,$AZ$8,AL256)))</f>
      </c>
      <c r="AN256" s="748">
        <f>+IF(OR(AM256&gt;AZ255,AM256=0),0,IF(AM256=AL256,AK256,$AZ$7-AL255))</f>
      </c>
      <c r="AO256" s="748">
        <f>+AK256-AN256</f>
      </c>
      <c r="AP256" s="217">
        <f>+_xlfn.IFNA(VLOOKUP(AJ256,$AF$7:$AI$1066,3,0),0)</f>
      </c>
      <c r="AQ256" s="217">
        <f>+IF(W256&gt;W255,AP256,AQ255+AP256)</f>
      </c>
      <c r="AR256" s="217">
        <f>+MAX($AM$2-SUMIF($W$7:$W$1066,W256,$AN$7:$AN$1066),0)</f>
      </c>
      <c r="AS256" s="748">
        <f>+MAX(IF(AQ256&gt;AR256,AR256-AQ255,AP256),0)</f>
      </c>
      <c r="AT256" s="748">
        <f>+AP256-AS256</f>
      </c>
      <c r="AU256" s="217">
        <f>+_xlfn.IFNA(VLOOKUP(AJ256,$AF$7:$AI$1066,4,0),0)</f>
      </c>
      <c r="AV256" s="217">
        <f>+IF(W256&gt;W255,AU256,AV255+AU256)</f>
      </c>
      <c r="AW256" s="217">
        <f>+MAX($AM$2-SUMIF($W$7:$W$1066,W256,$AN$7:$AN$1066)-SUMIF($W$7:$W$1066,W256,$AS$7:$AS$1066),0)</f>
      </c>
      <c r="AX256" s="748">
        <f>+MAX(IF(AV256&gt;AW256,AW256-AV255,AU256),0)</f>
      </c>
      <c r="AY256" s="748">
        <f>+AU256-AX256</f>
      </c>
      <c r="AZ256" s="331">
        <f>+$AM$1+IF($AP$1&gt;$AP$2,$AM$3/2)</f>
      </c>
    </row>
    <row x14ac:dyDescent="0.25" r="257" customHeight="1" ht="18.75">
      <c r="A257" s="1"/>
      <c r="B257" s="7"/>
      <c r="C257" s="170"/>
      <c r="D257" s="331">
        <v>250</v>
      </c>
      <c r="E257" s="544">
        <f>+DATE(YEAR(E256),MONTH(E256)-1,DAY(E256))</f>
        <v>25569.041666666668</v>
      </c>
      <c r="F257" s="333">
        <f>IF(DATE(YEAR($B$6),MONTH($B$6)+1,DAY(1))=E257,1,IF(MONTH(E257)=1,F258*(1+$F$5),F258))</f>
      </c>
      <c r="G257" s="333">
        <f>IF('Simulador - 1º Pilar'!$E$99="Sí",IF('Aportaciones PPE'!$B$13&lt;'Aportaciones PPE'!E257,0,F257*$B$8/12),F257*$B$8/12)</f>
      </c>
      <c r="H257" s="333">
        <f>$H$5*G257</f>
      </c>
      <c r="I257" s="333">
        <f>$I$5*G257</f>
      </c>
      <c r="J257" s="333">
        <f>+I257</f>
      </c>
      <c r="K257" s="333">
        <f>(1+$O$5)^(D257/12)*(H257+IF(AND(F257=1,F258=0),$S$4,0))</f>
      </c>
      <c r="L257" s="333">
        <f>(1+$O$5)^(D257/12)*(I257+IF(AND(F257=1,F258=0),0))</f>
      </c>
      <c r="M257" s="333">
        <f>+L257</f>
      </c>
      <c r="N257" s="333">
        <f>L257+K257+M257</f>
      </c>
      <c r="O257" s="170"/>
      <c r="P257" s="7"/>
      <c r="Q257" s="1"/>
      <c r="R257" s="331">
        <f>D257</f>
      </c>
      <c r="S257" s="169"/>
      <c r="T257" s="1"/>
      <c r="U257" s="217"/>
      <c r="V257" s="331">
        <f>+IF(V256=11,12,IF(V256=12,1,V256+1))</f>
      </c>
      <c r="W257" s="331">
        <f>+W256+IF(V256=12,1,0)</f>
      </c>
      <c r="X257" s="555">
        <f>+DATE(W257,V257,1)</f>
        <v>25569.041666666668</v>
      </c>
      <c r="Y257" s="333">
        <f>+_xlfn.IFNA(AN257+AS257+AX257,0)</f>
      </c>
      <c r="Z257" s="333">
        <f>+_xlfn.IFNA(AO257+AT257+AY257,0)</f>
      </c>
      <c r="AA257" s="333">
        <f>Y257*(1+$O$5)^(($B$7-X257)/365.25)</f>
      </c>
      <c r="AB257" s="333">
        <f>Z257*(1+$O$5)^(($B$7-X257)/365.25)</f>
      </c>
      <c r="AC257" s="1"/>
      <c r="AD257" s="1"/>
      <c r="AE257" s="1"/>
      <c r="AF257" s="111">
        <f>+MONTH(E257)&amp;YEAR(E257)</f>
      </c>
      <c r="AG257" s="217">
        <f>+I257</f>
      </c>
      <c r="AH257" s="217">
        <f>+J257</f>
      </c>
      <c r="AI257" s="217">
        <f>+H257</f>
      </c>
      <c r="AJ257" s="111">
        <f>+V257&amp;W257</f>
      </c>
      <c r="AK257" s="217">
        <f>+_xlfn.IFNA(VLOOKUP(AJ257,$AF$7:$AG$1066,2,0),0)</f>
      </c>
      <c r="AL257" s="217">
        <f>+IF(W257&gt;W256,AK257,AL256+AK257)</f>
      </c>
      <c r="AM257" s="217">
        <f>IF(W257&gt;W256,IF(AL257&gt;=$AZ$8,$AZ$8,AL257),IF(OR(AM256=$AZ$8,AM256=0),0,IF(AL257&gt;=$AZ$8,$AZ$8,AL257)))</f>
      </c>
      <c r="AN257" s="748">
        <f>+IF(OR(AM257&gt;AZ256,AM257=0),0,IF(AM257=AL257,AK257,$AZ$7-AL256))</f>
      </c>
      <c r="AO257" s="748">
        <f>+AK257-AN257</f>
      </c>
      <c r="AP257" s="217">
        <f>+_xlfn.IFNA(VLOOKUP(AJ257,$AF$7:$AI$1066,3,0),0)</f>
      </c>
      <c r="AQ257" s="217">
        <f>+IF(W257&gt;W256,AP257,AQ256+AP257)</f>
      </c>
      <c r="AR257" s="217">
        <f>+MAX($AM$2-SUMIF($W$7:$W$1066,W257,$AN$7:$AN$1066),0)</f>
      </c>
      <c r="AS257" s="748">
        <f>+MAX(IF(AQ257&gt;AR257,AR257-AQ256,AP257),0)</f>
      </c>
      <c r="AT257" s="748">
        <f>+AP257-AS257</f>
      </c>
      <c r="AU257" s="217">
        <f>+_xlfn.IFNA(VLOOKUP(AJ257,$AF$7:$AI$1066,4,0),0)</f>
      </c>
      <c r="AV257" s="217">
        <f>+IF(W257&gt;W256,AU257,AV256+AU257)</f>
      </c>
      <c r="AW257" s="217">
        <f>+MAX($AM$2-SUMIF($W$7:$W$1066,W257,$AN$7:$AN$1066)-SUMIF($W$7:$W$1066,W257,$AS$7:$AS$1066),0)</f>
      </c>
      <c r="AX257" s="748">
        <f>+MAX(IF(AV257&gt;AW257,AW257-AV256,AU257),0)</f>
      </c>
      <c r="AY257" s="748">
        <f>+AU257-AX257</f>
      </c>
      <c r="AZ257" s="331">
        <f>+$AM$1+IF($AP$1&gt;$AP$2,$AM$3/2)</f>
      </c>
    </row>
    <row x14ac:dyDescent="0.25" r="258" customHeight="1" ht="18.75">
      <c r="A258" s="1"/>
      <c r="B258" s="7"/>
      <c r="C258" s="170"/>
      <c r="D258" s="331">
        <v>251</v>
      </c>
      <c r="E258" s="544">
        <f>+DATE(YEAR(E257),MONTH(E257)-1,DAY(E257))</f>
        <v>25569.041666666668</v>
      </c>
      <c r="F258" s="333">
        <f>IF(DATE(YEAR($B$6),MONTH($B$6)+1,DAY(1))=E258,1,IF(MONTH(E258)=1,F259*(1+$F$5),F259))</f>
      </c>
      <c r="G258" s="333">
        <f>IF('Simulador - 1º Pilar'!$E$99="Sí",IF('Aportaciones PPE'!$B$13&lt;'Aportaciones PPE'!E258,0,F258*$B$8/12),F258*$B$8/12)</f>
      </c>
      <c r="H258" s="333">
        <f>$H$5*G258</f>
      </c>
      <c r="I258" s="333">
        <f>$I$5*G258</f>
      </c>
      <c r="J258" s="333">
        <f>+I258</f>
      </c>
      <c r="K258" s="333">
        <f>(1+$O$5)^(D258/12)*(H258+IF(AND(F258=1,F259=0),$S$4,0))</f>
      </c>
      <c r="L258" s="333">
        <f>(1+$O$5)^(D258/12)*(I258+IF(AND(F258=1,F259=0),0))</f>
      </c>
      <c r="M258" s="333">
        <f>+L258</f>
      </c>
      <c r="N258" s="333">
        <f>L258+K258+M258</f>
      </c>
      <c r="O258" s="170"/>
      <c r="P258" s="7"/>
      <c r="Q258" s="1"/>
      <c r="R258" s="331">
        <f>D258</f>
      </c>
      <c r="S258" s="169"/>
      <c r="T258" s="1"/>
      <c r="U258" s="217"/>
      <c r="V258" s="331">
        <f>+IF(V257=11,12,IF(V257=12,1,V257+1))</f>
      </c>
      <c r="W258" s="331">
        <f>+W257+IF(V257=12,1,0)</f>
      </c>
      <c r="X258" s="555">
        <f>+DATE(W258,V258,1)</f>
        <v>25569.041666666668</v>
      </c>
      <c r="Y258" s="333">
        <f>+_xlfn.IFNA(AN258+AS258+AX258,0)</f>
      </c>
      <c r="Z258" s="333">
        <f>+_xlfn.IFNA(AO258+AT258+AY258,0)</f>
      </c>
      <c r="AA258" s="333">
        <f>Y258*(1+$O$5)^(($B$7-X258)/365.25)</f>
      </c>
      <c r="AB258" s="333">
        <f>Z258*(1+$O$5)^(($B$7-X258)/365.25)</f>
      </c>
      <c r="AC258" s="1"/>
      <c r="AD258" s="1"/>
      <c r="AE258" s="1"/>
      <c r="AF258" s="111">
        <f>+MONTH(E258)&amp;YEAR(E258)</f>
      </c>
      <c r="AG258" s="217">
        <f>+I258</f>
      </c>
      <c r="AH258" s="217">
        <f>+J258</f>
      </c>
      <c r="AI258" s="217">
        <f>+H258</f>
      </c>
      <c r="AJ258" s="111">
        <f>+V258&amp;W258</f>
      </c>
      <c r="AK258" s="217">
        <f>+_xlfn.IFNA(VLOOKUP(AJ258,$AF$7:$AG$1066,2,0),0)</f>
      </c>
      <c r="AL258" s="217">
        <f>+IF(W258&gt;W257,AK258,AL257+AK258)</f>
      </c>
      <c r="AM258" s="217">
        <f>IF(W258&gt;W257,IF(AL258&gt;=$AZ$8,$AZ$8,AL258),IF(OR(AM257=$AZ$8,AM257=0),0,IF(AL258&gt;=$AZ$8,$AZ$8,AL258)))</f>
      </c>
      <c r="AN258" s="748">
        <f>+IF(OR(AM258&gt;AZ257,AM258=0),0,IF(AM258=AL258,AK258,$AZ$7-AL257))</f>
      </c>
      <c r="AO258" s="748">
        <f>+AK258-AN258</f>
      </c>
      <c r="AP258" s="217">
        <f>+_xlfn.IFNA(VLOOKUP(AJ258,$AF$7:$AI$1066,3,0),0)</f>
      </c>
      <c r="AQ258" s="217">
        <f>+IF(W258&gt;W257,AP258,AQ257+AP258)</f>
      </c>
      <c r="AR258" s="217">
        <f>+MAX($AM$2-SUMIF($W$7:$W$1066,W258,$AN$7:$AN$1066),0)</f>
      </c>
      <c r="AS258" s="748">
        <f>+MAX(IF(AQ258&gt;AR258,AR258-AQ257,AP258),0)</f>
      </c>
      <c r="AT258" s="748">
        <f>+AP258-AS258</f>
      </c>
      <c r="AU258" s="217">
        <f>+_xlfn.IFNA(VLOOKUP(AJ258,$AF$7:$AI$1066,4,0),0)</f>
      </c>
      <c r="AV258" s="217">
        <f>+IF(W258&gt;W257,AU258,AV257+AU258)</f>
      </c>
      <c r="AW258" s="217">
        <f>+MAX($AM$2-SUMIF($W$7:$W$1066,W258,$AN$7:$AN$1066)-SUMIF($W$7:$W$1066,W258,$AS$7:$AS$1066),0)</f>
      </c>
      <c r="AX258" s="748">
        <f>+MAX(IF(AV258&gt;AW258,AW258-AV257,AU258),0)</f>
      </c>
      <c r="AY258" s="748">
        <f>+AU258-AX258</f>
      </c>
      <c r="AZ258" s="331">
        <f>+$AM$1+IF($AP$1&gt;$AP$2,$AM$3/2)</f>
      </c>
    </row>
    <row x14ac:dyDescent="0.25" r="259" customHeight="1" ht="18.75">
      <c r="A259" s="1"/>
      <c r="B259" s="7"/>
      <c r="C259" s="170"/>
      <c r="D259" s="331">
        <v>252</v>
      </c>
      <c r="E259" s="544">
        <f>+DATE(YEAR(E258),MONTH(E258)-1,DAY(E258))</f>
        <v>25569.041666666668</v>
      </c>
      <c r="F259" s="333">
        <f>IF(DATE(YEAR($B$6),MONTH($B$6)+1,DAY(1))=E259,1,IF(MONTH(E259)=1,F260*(1+$F$5),F260))</f>
      </c>
      <c r="G259" s="333">
        <f>IF('Simulador - 1º Pilar'!$E$99="Sí",IF('Aportaciones PPE'!$B$13&lt;'Aportaciones PPE'!E259,0,F259*$B$8/12),F259*$B$8/12)</f>
      </c>
      <c r="H259" s="333">
        <f>$H$5*G259</f>
      </c>
      <c r="I259" s="333">
        <f>$I$5*G259</f>
      </c>
      <c r="J259" s="333">
        <f>+I259</f>
      </c>
      <c r="K259" s="333">
        <f>(1+$O$5)^(D259/12)*(H259+IF(AND(F259=1,F260=0),$S$4,0))</f>
      </c>
      <c r="L259" s="333">
        <f>(1+$O$5)^(D259/12)*(I259+IF(AND(F259=1,F260=0),0))</f>
      </c>
      <c r="M259" s="333">
        <f>+L259</f>
      </c>
      <c r="N259" s="333">
        <f>L259+K259+M259</f>
      </c>
      <c r="O259" s="170"/>
      <c r="P259" s="7"/>
      <c r="Q259" s="1"/>
      <c r="R259" s="331">
        <f>D259</f>
      </c>
      <c r="S259" s="169"/>
      <c r="T259" s="1"/>
      <c r="U259" s="217"/>
      <c r="V259" s="331">
        <f>+IF(V258=11,12,IF(V258=12,1,V258+1))</f>
      </c>
      <c r="W259" s="331">
        <f>+W258+IF(V258=12,1,0)</f>
      </c>
      <c r="X259" s="555">
        <f>+DATE(W259,V259,1)</f>
        <v>25569.041666666668</v>
      </c>
      <c r="Y259" s="333">
        <f>+_xlfn.IFNA(AN259+AS259+AX259,0)</f>
      </c>
      <c r="Z259" s="333">
        <f>+_xlfn.IFNA(AO259+AT259+AY259,0)</f>
      </c>
      <c r="AA259" s="333">
        <f>Y259*(1+$O$5)^(($B$7-X259)/365.25)</f>
      </c>
      <c r="AB259" s="333">
        <f>Z259*(1+$O$5)^(($B$7-X259)/365.25)</f>
      </c>
      <c r="AC259" s="1"/>
      <c r="AD259" s="1"/>
      <c r="AE259" s="1"/>
      <c r="AF259" s="111">
        <f>+MONTH(E259)&amp;YEAR(E259)</f>
      </c>
      <c r="AG259" s="217">
        <f>+I259</f>
      </c>
      <c r="AH259" s="217">
        <f>+J259</f>
      </c>
      <c r="AI259" s="217">
        <f>+H259</f>
      </c>
      <c r="AJ259" s="111">
        <f>+V259&amp;W259</f>
      </c>
      <c r="AK259" s="217">
        <f>+_xlfn.IFNA(VLOOKUP(AJ259,$AF$7:$AG$1066,2,0),0)</f>
      </c>
      <c r="AL259" s="217">
        <f>+IF(W259&gt;W258,AK259,AL258+AK259)</f>
      </c>
      <c r="AM259" s="217">
        <f>IF(W259&gt;W258,IF(AL259&gt;=$AZ$8,$AZ$8,AL259),IF(OR(AM258=$AZ$8,AM258=0),0,IF(AL259&gt;=$AZ$8,$AZ$8,AL259)))</f>
      </c>
      <c r="AN259" s="748">
        <f>+IF(OR(AM259&gt;AZ258,AM259=0),0,IF(AM259=AL259,AK259,$AZ$7-AL258))</f>
      </c>
      <c r="AO259" s="748">
        <f>+AK259-AN259</f>
      </c>
      <c r="AP259" s="217">
        <f>+_xlfn.IFNA(VLOOKUP(AJ259,$AF$7:$AI$1066,3,0),0)</f>
      </c>
      <c r="AQ259" s="217">
        <f>+IF(W259&gt;W258,AP259,AQ258+AP259)</f>
      </c>
      <c r="AR259" s="217">
        <f>+MAX($AM$2-SUMIF($W$7:$W$1066,W259,$AN$7:$AN$1066),0)</f>
      </c>
      <c r="AS259" s="748">
        <f>+MAX(IF(AQ259&gt;AR259,AR259-AQ258,AP259),0)</f>
      </c>
      <c r="AT259" s="748">
        <f>+AP259-AS259</f>
      </c>
      <c r="AU259" s="217">
        <f>+_xlfn.IFNA(VLOOKUP(AJ259,$AF$7:$AI$1066,4,0),0)</f>
      </c>
      <c r="AV259" s="217">
        <f>+IF(W259&gt;W258,AU259,AV258+AU259)</f>
      </c>
      <c r="AW259" s="217">
        <f>+MAX($AM$2-SUMIF($W$7:$W$1066,W259,$AN$7:$AN$1066)-SUMIF($W$7:$W$1066,W259,$AS$7:$AS$1066),0)</f>
      </c>
      <c r="AX259" s="748">
        <f>+MAX(IF(AV259&gt;AW259,AW259-AV258,AU259),0)</f>
      </c>
      <c r="AY259" s="748">
        <f>+AU259-AX259</f>
      </c>
      <c r="AZ259" s="331">
        <f>+$AM$1+IF($AP$1&gt;$AP$2,$AM$3/2)</f>
      </c>
    </row>
    <row x14ac:dyDescent="0.25" r="260" customHeight="1" ht="18.75">
      <c r="A260" s="1"/>
      <c r="B260" s="7"/>
      <c r="C260" s="170"/>
      <c r="D260" s="331">
        <v>253</v>
      </c>
      <c r="E260" s="544">
        <f>+DATE(YEAR(E259),MONTH(E259)-1,DAY(E259))</f>
        <v>25569.041666666668</v>
      </c>
      <c r="F260" s="333">
        <f>IF(DATE(YEAR($B$6),MONTH($B$6)+1,DAY(1))=E260,1,IF(MONTH(E260)=1,F261*(1+$F$5),F261))</f>
      </c>
      <c r="G260" s="333">
        <f>IF('Simulador - 1º Pilar'!$E$99="Sí",IF('Aportaciones PPE'!$B$13&lt;'Aportaciones PPE'!E260,0,F260*$B$8/12),F260*$B$8/12)</f>
      </c>
      <c r="H260" s="333">
        <f>$H$5*G260</f>
      </c>
      <c r="I260" s="333">
        <f>$I$5*G260</f>
      </c>
      <c r="J260" s="333">
        <f>+I260</f>
      </c>
      <c r="K260" s="333">
        <f>(1+$O$5)^(D260/12)*(H260+IF(AND(F260=1,F261=0),$S$4,0))</f>
      </c>
      <c r="L260" s="333">
        <f>(1+$O$5)^(D260/12)*(I260+IF(AND(F260=1,F261=0),0))</f>
      </c>
      <c r="M260" s="333">
        <f>+L260</f>
      </c>
      <c r="N260" s="333">
        <f>L260+K260+M260</f>
      </c>
      <c r="O260" s="170"/>
      <c r="P260" s="7"/>
      <c r="Q260" s="1"/>
      <c r="R260" s="331">
        <f>D260</f>
      </c>
      <c r="S260" s="169"/>
      <c r="T260" s="1"/>
      <c r="U260" s="217"/>
      <c r="V260" s="331">
        <f>+IF(V259=11,12,IF(V259=12,1,V259+1))</f>
      </c>
      <c r="W260" s="331">
        <f>+W259+IF(V259=12,1,0)</f>
      </c>
      <c r="X260" s="555">
        <f>+DATE(W260,V260,1)</f>
        <v>25569.041666666668</v>
      </c>
      <c r="Y260" s="333">
        <f>+_xlfn.IFNA(AN260+AS260+AX260,0)</f>
      </c>
      <c r="Z260" s="333">
        <f>+_xlfn.IFNA(AO260+AT260+AY260,0)</f>
      </c>
      <c r="AA260" s="333">
        <f>Y260*(1+$O$5)^(($B$7-X260)/365.25)</f>
      </c>
      <c r="AB260" s="333">
        <f>Z260*(1+$O$5)^(($B$7-X260)/365.25)</f>
      </c>
      <c r="AC260" s="1"/>
      <c r="AD260" s="1"/>
      <c r="AE260" s="1"/>
      <c r="AF260" s="111">
        <f>+MONTH(E260)&amp;YEAR(E260)</f>
      </c>
      <c r="AG260" s="217">
        <f>+I260</f>
      </c>
      <c r="AH260" s="217">
        <f>+J260</f>
      </c>
      <c r="AI260" s="217">
        <f>+H260</f>
      </c>
      <c r="AJ260" s="111">
        <f>+V260&amp;W260</f>
      </c>
      <c r="AK260" s="217">
        <f>+_xlfn.IFNA(VLOOKUP(AJ260,$AF$7:$AG$1066,2,0),0)</f>
      </c>
      <c r="AL260" s="217">
        <f>+IF(W260&gt;W259,AK260,AL259+AK260)</f>
      </c>
      <c r="AM260" s="217">
        <f>IF(W260&gt;W259,IF(AL260&gt;=$AZ$8,$AZ$8,AL260),IF(OR(AM259=$AZ$8,AM259=0),0,IF(AL260&gt;=$AZ$8,$AZ$8,AL260)))</f>
      </c>
      <c r="AN260" s="748">
        <f>+IF(OR(AM260&gt;AZ259,AM260=0),0,IF(AM260=AL260,AK260,$AZ$7-AL259))</f>
      </c>
      <c r="AO260" s="748">
        <f>+AK260-AN260</f>
      </c>
      <c r="AP260" s="217">
        <f>+_xlfn.IFNA(VLOOKUP(AJ260,$AF$7:$AI$1066,3,0),0)</f>
      </c>
      <c r="AQ260" s="217">
        <f>+IF(W260&gt;W259,AP260,AQ259+AP260)</f>
      </c>
      <c r="AR260" s="217">
        <f>+MAX($AM$2-SUMIF($W$7:$W$1066,W260,$AN$7:$AN$1066),0)</f>
      </c>
      <c r="AS260" s="748">
        <f>+MAX(IF(AQ260&gt;AR260,AR260-AQ259,AP260),0)</f>
      </c>
      <c r="AT260" s="748">
        <f>+AP260-AS260</f>
      </c>
      <c r="AU260" s="217">
        <f>+_xlfn.IFNA(VLOOKUP(AJ260,$AF$7:$AI$1066,4,0),0)</f>
      </c>
      <c r="AV260" s="217">
        <f>+IF(W260&gt;W259,AU260,AV259+AU260)</f>
      </c>
      <c r="AW260" s="217">
        <f>+MAX($AM$2-SUMIF($W$7:$W$1066,W260,$AN$7:$AN$1066)-SUMIF($W$7:$W$1066,W260,$AS$7:$AS$1066),0)</f>
      </c>
      <c r="AX260" s="748">
        <f>+MAX(IF(AV260&gt;AW260,AW260-AV259,AU260),0)</f>
      </c>
      <c r="AY260" s="748">
        <f>+AU260-AX260</f>
      </c>
      <c r="AZ260" s="331">
        <f>+$AM$1+IF($AP$1&gt;$AP$2,$AM$3/2)</f>
      </c>
    </row>
    <row x14ac:dyDescent="0.25" r="261" customHeight="1" ht="18.75">
      <c r="A261" s="1"/>
      <c r="B261" s="7"/>
      <c r="C261" s="170"/>
      <c r="D261" s="331">
        <v>254</v>
      </c>
      <c r="E261" s="544">
        <f>+DATE(YEAR(E260),MONTH(E260)-1,DAY(E260))</f>
        <v>25569.041666666668</v>
      </c>
      <c r="F261" s="333">
        <f>IF(DATE(YEAR($B$6),MONTH($B$6)+1,DAY(1))=E261,1,IF(MONTH(E261)=1,F262*(1+$F$5),F262))</f>
      </c>
      <c r="G261" s="333">
        <f>IF('Simulador - 1º Pilar'!$E$99="Sí",IF('Aportaciones PPE'!$B$13&lt;'Aportaciones PPE'!E261,0,F261*$B$8/12),F261*$B$8/12)</f>
      </c>
      <c r="H261" s="333">
        <f>$H$5*G261</f>
      </c>
      <c r="I261" s="333">
        <f>$I$5*G261</f>
      </c>
      <c r="J261" s="333">
        <f>+I261</f>
      </c>
      <c r="K261" s="333">
        <f>(1+$O$5)^(D261/12)*(H261+IF(AND(F261=1,F262=0),$S$4,0))</f>
      </c>
      <c r="L261" s="333">
        <f>(1+$O$5)^(D261/12)*(I261+IF(AND(F261=1,F262=0),0))</f>
      </c>
      <c r="M261" s="333">
        <f>+L261</f>
      </c>
      <c r="N261" s="333">
        <f>L261+K261+M261</f>
      </c>
      <c r="O261" s="170"/>
      <c r="P261" s="7"/>
      <c r="Q261" s="1"/>
      <c r="R261" s="331">
        <f>D261</f>
      </c>
      <c r="S261" s="169"/>
      <c r="T261" s="1"/>
      <c r="U261" s="217"/>
      <c r="V261" s="331">
        <f>+IF(V260=11,12,IF(V260=12,1,V260+1))</f>
      </c>
      <c r="W261" s="331">
        <f>+W260+IF(V260=12,1,0)</f>
      </c>
      <c r="X261" s="555">
        <f>+DATE(W261,V261,1)</f>
        <v>25569.041666666668</v>
      </c>
      <c r="Y261" s="333">
        <f>+_xlfn.IFNA(AN261+AS261+AX261,0)</f>
      </c>
      <c r="Z261" s="333">
        <f>+_xlfn.IFNA(AO261+AT261+AY261,0)</f>
      </c>
      <c r="AA261" s="333">
        <f>Y261*(1+$O$5)^(($B$7-X261)/365.25)</f>
      </c>
      <c r="AB261" s="333">
        <f>Z261*(1+$O$5)^(($B$7-X261)/365.25)</f>
      </c>
      <c r="AC261" s="1"/>
      <c r="AD261" s="1"/>
      <c r="AE261" s="1"/>
      <c r="AF261" s="111">
        <f>+MONTH(E261)&amp;YEAR(E261)</f>
      </c>
      <c r="AG261" s="217">
        <f>+I261</f>
      </c>
      <c r="AH261" s="217">
        <f>+J261</f>
      </c>
      <c r="AI261" s="217">
        <f>+H261</f>
      </c>
      <c r="AJ261" s="111">
        <f>+V261&amp;W261</f>
      </c>
      <c r="AK261" s="217">
        <f>+_xlfn.IFNA(VLOOKUP(AJ261,$AF$7:$AG$1066,2,0),0)</f>
      </c>
      <c r="AL261" s="217">
        <f>+IF(W261&gt;W260,AK261,AL260+AK261)</f>
      </c>
      <c r="AM261" s="217">
        <f>IF(W261&gt;W260,IF(AL261&gt;=$AZ$8,$AZ$8,AL261),IF(OR(AM260=$AZ$8,AM260=0),0,IF(AL261&gt;=$AZ$8,$AZ$8,AL261)))</f>
      </c>
      <c r="AN261" s="748">
        <f>+IF(OR(AM261&gt;AZ260,AM261=0),0,IF(AM261=AL261,AK261,$AZ$7-AL260))</f>
      </c>
      <c r="AO261" s="748">
        <f>+AK261-AN261</f>
      </c>
      <c r="AP261" s="217">
        <f>+_xlfn.IFNA(VLOOKUP(AJ261,$AF$7:$AI$1066,3,0),0)</f>
      </c>
      <c r="AQ261" s="217">
        <f>+IF(W261&gt;W260,AP261,AQ260+AP261)</f>
      </c>
      <c r="AR261" s="217">
        <f>+MAX($AM$2-SUMIF($W$7:$W$1066,W261,$AN$7:$AN$1066),0)</f>
      </c>
      <c r="AS261" s="748">
        <f>+MAX(IF(AQ261&gt;AR261,AR261-AQ260,AP261),0)</f>
      </c>
      <c r="AT261" s="748">
        <f>+AP261-AS261</f>
      </c>
      <c r="AU261" s="217">
        <f>+_xlfn.IFNA(VLOOKUP(AJ261,$AF$7:$AI$1066,4,0),0)</f>
      </c>
      <c r="AV261" s="217">
        <f>+IF(W261&gt;W260,AU261,AV260+AU261)</f>
      </c>
      <c r="AW261" s="217">
        <f>+MAX($AM$2-SUMIF($W$7:$W$1066,W261,$AN$7:$AN$1066)-SUMIF($W$7:$W$1066,W261,$AS$7:$AS$1066),0)</f>
      </c>
      <c r="AX261" s="748">
        <f>+MAX(IF(AV261&gt;AW261,AW261-AV260,AU261),0)</f>
      </c>
      <c r="AY261" s="748">
        <f>+AU261-AX261</f>
      </c>
      <c r="AZ261" s="331">
        <f>+$AM$1+IF($AP$1&gt;$AP$2,$AM$3/2)</f>
      </c>
    </row>
    <row x14ac:dyDescent="0.25" r="262" customHeight="1" ht="18.75">
      <c r="A262" s="1"/>
      <c r="B262" s="7"/>
      <c r="C262" s="170"/>
      <c r="D262" s="331">
        <v>255</v>
      </c>
      <c r="E262" s="544">
        <f>+DATE(YEAR(E261),MONTH(E261)-1,DAY(E261))</f>
        <v>25569.041666666668</v>
      </c>
      <c r="F262" s="333">
        <f>IF(DATE(YEAR($B$6),MONTH($B$6)+1,DAY(1))=E262,1,IF(MONTH(E262)=1,F263*(1+$F$5),F263))</f>
      </c>
      <c r="G262" s="333">
        <f>IF('Simulador - 1º Pilar'!$E$99="Sí",IF('Aportaciones PPE'!$B$13&lt;'Aportaciones PPE'!E262,0,F262*$B$8/12),F262*$B$8/12)</f>
      </c>
      <c r="H262" s="333">
        <f>$H$5*G262</f>
      </c>
      <c r="I262" s="333">
        <f>$I$5*G262</f>
      </c>
      <c r="J262" s="333">
        <f>+I262</f>
      </c>
      <c r="K262" s="333">
        <f>(1+$O$5)^(D262/12)*(H262+IF(AND(F262=1,F263=0),$S$4,0))</f>
      </c>
      <c r="L262" s="333">
        <f>(1+$O$5)^(D262/12)*(I262+IF(AND(F262=1,F263=0),0))</f>
      </c>
      <c r="M262" s="333">
        <f>+L262</f>
      </c>
      <c r="N262" s="333">
        <f>L262+K262+M262</f>
      </c>
      <c r="O262" s="170"/>
      <c r="P262" s="7"/>
      <c r="Q262" s="1"/>
      <c r="R262" s="331">
        <f>D262</f>
      </c>
      <c r="S262" s="169"/>
      <c r="T262" s="1"/>
      <c r="U262" s="217"/>
      <c r="V262" s="331">
        <f>+IF(V261=11,12,IF(V261=12,1,V261+1))</f>
      </c>
      <c r="W262" s="331">
        <f>+W261+IF(V261=12,1,0)</f>
      </c>
      <c r="X262" s="555">
        <f>+DATE(W262,V262,1)</f>
        <v>25569.041666666668</v>
      </c>
      <c r="Y262" s="333">
        <f>+_xlfn.IFNA(AN262+AS262+AX262,0)</f>
      </c>
      <c r="Z262" s="333">
        <f>+_xlfn.IFNA(AO262+AT262+AY262,0)</f>
      </c>
      <c r="AA262" s="333">
        <f>Y262*(1+$O$5)^(($B$7-X262)/365.25)</f>
      </c>
      <c r="AB262" s="333">
        <f>Z262*(1+$O$5)^(($B$7-X262)/365.25)</f>
      </c>
      <c r="AC262" s="1"/>
      <c r="AD262" s="1"/>
      <c r="AE262" s="1"/>
      <c r="AF262" s="111">
        <f>+MONTH(E262)&amp;YEAR(E262)</f>
      </c>
      <c r="AG262" s="217">
        <f>+I262</f>
      </c>
      <c r="AH262" s="217">
        <f>+J262</f>
      </c>
      <c r="AI262" s="217">
        <f>+H262</f>
      </c>
      <c r="AJ262" s="111">
        <f>+V262&amp;W262</f>
      </c>
      <c r="AK262" s="217">
        <f>+_xlfn.IFNA(VLOOKUP(AJ262,$AF$7:$AG$1066,2,0),0)</f>
      </c>
      <c r="AL262" s="217">
        <f>+IF(W262&gt;W261,AK262,AL261+AK262)</f>
      </c>
      <c r="AM262" s="217">
        <f>IF(W262&gt;W261,IF(AL262&gt;=$AZ$8,$AZ$8,AL262),IF(OR(AM261=$AZ$8,AM261=0),0,IF(AL262&gt;=$AZ$8,$AZ$8,AL262)))</f>
      </c>
      <c r="AN262" s="748">
        <f>+IF(OR(AM262&gt;AZ261,AM262=0),0,IF(AM262=AL262,AK262,$AZ$7-AL261))</f>
      </c>
      <c r="AO262" s="748">
        <f>+AK262-AN262</f>
      </c>
      <c r="AP262" s="217">
        <f>+_xlfn.IFNA(VLOOKUP(AJ262,$AF$7:$AI$1066,3,0),0)</f>
      </c>
      <c r="AQ262" s="217">
        <f>+IF(W262&gt;W261,AP262,AQ261+AP262)</f>
      </c>
      <c r="AR262" s="217">
        <f>+MAX($AM$2-SUMIF($W$7:$W$1066,W262,$AN$7:$AN$1066),0)</f>
      </c>
      <c r="AS262" s="748">
        <f>+MAX(IF(AQ262&gt;AR262,AR262-AQ261,AP262),0)</f>
      </c>
      <c r="AT262" s="748">
        <f>+AP262-AS262</f>
      </c>
      <c r="AU262" s="217">
        <f>+_xlfn.IFNA(VLOOKUP(AJ262,$AF$7:$AI$1066,4,0),0)</f>
      </c>
      <c r="AV262" s="217">
        <f>+IF(W262&gt;W261,AU262,AV261+AU262)</f>
      </c>
      <c r="AW262" s="217">
        <f>+MAX($AM$2-SUMIF($W$7:$W$1066,W262,$AN$7:$AN$1066)-SUMIF($W$7:$W$1066,W262,$AS$7:$AS$1066),0)</f>
      </c>
      <c r="AX262" s="748">
        <f>+MAX(IF(AV262&gt;AW262,AW262-AV261,AU262),0)</f>
      </c>
      <c r="AY262" s="748">
        <f>+AU262-AX262</f>
      </c>
      <c r="AZ262" s="331">
        <f>+$AM$1+IF($AP$1&gt;$AP$2,$AM$3/2)</f>
      </c>
    </row>
    <row x14ac:dyDescent="0.25" r="263" customHeight="1" ht="18.75">
      <c r="A263" s="1"/>
      <c r="B263" s="7"/>
      <c r="C263" s="170"/>
      <c r="D263" s="331">
        <v>256</v>
      </c>
      <c r="E263" s="544">
        <f>+DATE(YEAR(E262),MONTH(E262)-1,DAY(E262))</f>
        <v>25569.041666666668</v>
      </c>
      <c r="F263" s="333">
        <f>IF(DATE(YEAR($B$6),MONTH($B$6)+1,DAY(1))=E263,1,IF(MONTH(E263)=1,F264*(1+$F$5),F264))</f>
      </c>
      <c r="G263" s="333">
        <f>IF('Simulador - 1º Pilar'!$E$99="Sí",IF('Aportaciones PPE'!$B$13&lt;'Aportaciones PPE'!E263,0,F263*$B$8/12),F263*$B$8/12)</f>
      </c>
      <c r="H263" s="333">
        <f>$H$5*G263</f>
      </c>
      <c r="I263" s="333">
        <f>$I$5*G263</f>
      </c>
      <c r="J263" s="333">
        <f>+I263</f>
      </c>
      <c r="K263" s="333">
        <f>(1+$O$5)^(D263/12)*(H263+IF(AND(F263=1,F264=0),$S$4,0))</f>
      </c>
      <c r="L263" s="333">
        <f>(1+$O$5)^(D263/12)*(I263+IF(AND(F263=1,F264=0),0))</f>
      </c>
      <c r="M263" s="333">
        <f>+L263</f>
      </c>
      <c r="N263" s="333">
        <f>L263+K263+M263</f>
      </c>
      <c r="O263" s="170"/>
      <c r="P263" s="7"/>
      <c r="Q263" s="1"/>
      <c r="R263" s="331">
        <f>D263</f>
      </c>
      <c r="S263" s="169"/>
      <c r="T263" s="1"/>
      <c r="U263" s="217"/>
      <c r="V263" s="331">
        <f>+IF(V262=11,12,IF(V262=12,1,V262+1))</f>
      </c>
      <c r="W263" s="331">
        <f>+W262+IF(V262=12,1,0)</f>
      </c>
      <c r="X263" s="555">
        <f>+DATE(W263,V263,1)</f>
        <v>25569.041666666668</v>
      </c>
      <c r="Y263" s="333">
        <f>+_xlfn.IFNA(AN263+AS263+AX263,0)</f>
      </c>
      <c r="Z263" s="333">
        <f>+_xlfn.IFNA(AO263+AT263+AY263,0)</f>
      </c>
      <c r="AA263" s="333">
        <f>Y263*(1+$O$5)^(($B$7-X263)/365.25)</f>
      </c>
      <c r="AB263" s="333">
        <f>Z263*(1+$O$5)^(($B$7-X263)/365.25)</f>
      </c>
      <c r="AC263" s="1"/>
      <c r="AD263" s="1"/>
      <c r="AE263" s="1"/>
      <c r="AF263" s="111">
        <f>+MONTH(E263)&amp;YEAR(E263)</f>
      </c>
      <c r="AG263" s="217">
        <f>+I263</f>
      </c>
      <c r="AH263" s="217">
        <f>+J263</f>
      </c>
      <c r="AI263" s="217">
        <f>+H263</f>
      </c>
      <c r="AJ263" s="111">
        <f>+V263&amp;W263</f>
      </c>
      <c r="AK263" s="217">
        <f>+_xlfn.IFNA(VLOOKUP(AJ263,$AF$7:$AG$1066,2,0),0)</f>
      </c>
      <c r="AL263" s="217">
        <f>+IF(W263&gt;W262,AK263,AL262+AK263)</f>
      </c>
      <c r="AM263" s="217">
        <f>IF(W263&gt;W262,IF(AL263&gt;=$AZ$8,$AZ$8,AL263),IF(OR(AM262=$AZ$8,AM262=0),0,IF(AL263&gt;=$AZ$8,$AZ$8,AL263)))</f>
      </c>
      <c r="AN263" s="748">
        <f>+IF(OR(AM263&gt;AZ262,AM263=0),0,IF(AM263=AL263,AK263,$AZ$7-AL262))</f>
      </c>
      <c r="AO263" s="748">
        <f>+AK263-AN263</f>
      </c>
      <c r="AP263" s="217">
        <f>+_xlfn.IFNA(VLOOKUP(AJ263,$AF$7:$AI$1066,3,0),0)</f>
      </c>
      <c r="AQ263" s="217">
        <f>+IF(W263&gt;W262,AP263,AQ262+AP263)</f>
      </c>
      <c r="AR263" s="217">
        <f>+MAX($AM$2-SUMIF($W$7:$W$1066,W263,$AN$7:$AN$1066),0)</f>
      </c>
      <c r="AS263" s="748">
        <f>+MAX(IF(AQ263&gt;AR263,AR263-AQ262,AP263),0)</f>
      </c>
      <c r="AT263" s="748">
        <f>+AP263-AS263</f>
      </c>
      <c r="AU263" s="217">
        <f>+_xlfn.IFNA(VLOOKUP(AJ263,$AF$7:$AI$1066,4,0),0)</f>
      </c>
      <c r="AV263" s="217">
        <f>+IF(W263&gt;W262,AU263,AV262+AU263)</f>
      </c>
      <c r="AW263" s="217">
        <f>+MAX($AM$2-SUMIF($W$7:$W$1066,W263,$AN$7:$AN$1066)-SUMIF($W$7:$W$1066,W263,$AS$7:$AS$1066),0)</f>
      </c>
      <c r="AX263" s="748">
        <f>+MAX(IF(AV263&gt;AW263,AW263-AV262,AU263),0)</f>
      </c>
      <c r="AY263" s="748">
        <f>+AU263-AX263</f>
      </c>
      <c r="AZ263" s="331">
        <f>+$AM$1+IF($AP$1&gt;$AP$2,$AM$3/2)</f>
      </c>
    </row>
    <row x14ac:dyDescent="0.25" r="264" customHeight="1" ht="18.75">
      <c r="A264" s="1"/>
      <c r="B264" s="7"/>
      <c r="C264" s="170"/>
      <c r="D264" s="331">
        <v>257</v>
      </c>
      <c r="E264" s="544">
        <f>+DATE(YEAR(E263),MONTH(E263)-1,DAY(E263))</f>
        <v>25569.041666666668</v>
      </c>
      <c r="F264" s="333">
        <f>IF(DATE(YEAR($B$6),MONTH($B$6)+1,DAY(1))=E264,1,IF(MONTH(E264)=1,F265*(1+$F$5),F265))</f>
      </c>
      <c r="G264" s="333">
        <f>IF('Simulador - 1º Pilar'!$E$99="Sí",IF('Aportaciones PPE'!$B$13&lt;'Aportaciones PPE'!E264,0,F264*$B$8/12),F264*$B$8/12)</f>
      </c>
      <c r="H264" s="333">
        <f>$H$5*G264</f>
      </c>
      <c r="I264" s="333">
        <f>$I$5*G264</f>
      </c>
      <c r="J264" s="333">
        <f>+I264</f>
      </c>
      <c r="K264" s="333">
        <f>(1+$O$5)^(D264/12)*(H264+IF(AND(F264=1,F265=0),$S$4,0))</f>
      </c>
      <c r="L264" s="333">
        <f>(1+$O$5)^(D264/12)*(I264+IF(AND(F264=1,F265=0),0))</f>
      </c>
      <c r="M264" s="333">
        <f>+L264</f>
      </c>
      <c r="N264" s="333">
        <f>L264+K264+M264</f>
      </c>
      <c r="O264" s="170"/>
      <c r="P264" s="7"/>
      <c r="Q264" s="1"/>
      <c r="R264" s="331">
        <f>D264</f>
      </c>
      <c r="S264" s="169"/>
      <c r="T264" s="1"/>
      <c r="U264" s="217"/>
      <c r="V264" s="331">
        <f>+IF(V263=11,12,IF(V263=12,1,V263+1))</f>
      </c>
      <c r="W264" s="331">
        <f>+W263+IF(V263=12,1,0)</f>
      </c>
      <c r="X264" s="555">
        <f>+DATE(W264,V264,1)</f>
        <v>25569.041666666668</v>
      </c>
      <c r="Y264" s="333">
        <f>+_xlfn.IFNA(AN264+AS264+AX264,0)</f>
      </c>
      <c r="Z264" s="333">
        <f>+_xlfn.IFNA(AO264+AT264+AY264,0)</f>
      </c>
      <c r="AA264" s="333">
        <f>Y264*(1+$O$5)^(($B$7-X264)/365.25)</f>
      </c>
      <c r="AB264" s="333">
        <f>Z264*(1+$O$5)^(($B$7-X264)/365.25)</f>
      </c>
      <c r="AC264" s="1"/>
      <c r="AD264" s="1"/>
      <c r="AE264" s="1"/>
      <c r="AF264" s="111">
        <f>+MONTH(E264)&amp;YEAR(E264)</f>
      </c>
      <c r="AG264" s="217">
        <f>+I264</f>
      </c>
      <c r="AH264" s="217">
        <f>+J264</f>
      </c>
      <c r="AI264" s="217">
        <f>+H264</f>
      </c>
      <c r="AJ264" s="111">
        <f>+V264&amp;W264</f>
      </c>
      <c r="AK264" s="217">
        <f>+_xlfn.IFNA(VLOOKUP(AJ264,$AF$7:$AG$1066,2,0),0)</f>
      </c>
      <c r="AL264" s="217">
        <f>+IF(W264&gt;W263,AK264,AL263+AK264)</f>
      </c>
      <c r="AM264" s="217">
        <f>IF(W264&gt;W263,IF(AL264&gt;=$AZ$8,$AZ$8,AL264),IF(OR(AM263=$AZ$8,AM263=0),0,IF(AL264&gt;=$AZ$8,$AZ$8,AL264)))</f>
      </c>
      <c r="AN264" s="748">
        <f>+IF(OR(AM264&gt;AZ263,AM264=0),0,IF(AM264=AL264,AK264,$AZ$7-AL263))</f>
      </c>
      <c r="AO264" s="748">
        <f>+AK264-AN264</f>
      </c>
      <c r="AP264" s="217">
        <f>+_xlfn.IFNA(VLOOKUP(AJ264,$AF$7:$AI$1066,3,0),0)</f>
      </c>
      <c r="AQ264" s="217">
        <f>+IF(W264&gt;W263,AP264,AQ263+AP264)</f>
      </c>
      <c r="AR264" s="217">
        <f>+MAX($AM$2-SUMIF($W$7:$W$1066,W264,$AN$7:$AN$1066),0)</f>
      </c>
      <c r="AS264" s="748">
        <f>+MAX(IF(AQ264&gt;AR264,AR264-AQ263,AP264),0)</f>
      </c>
      <c r="AT264" s="748">
        <f>+AP264-AS264</f>
      </c>
      <c r="AU264" s="217">
        <f>+_xlfn.IFNA(VLOOKUP(AJ264,$AF$7:$AI$1066,4,0),0)</f>
      </c>
      <c r="AV264" s="217">
        <f>+IF(W264&gt;W263,AU264,AV263+AU264)</f>
      </c>
      <c r="AW264" s="217">
        <f>+MAX($AM$2-SUMIF($W$7:$W$1066,W264,$AN$7:$AN$1066)-SUMIF($W$7:$W$1066,W264,$AS$7:$AS$1066),0)</f>
      </c>
      <c r="AX264" s="748">
        <f>+MAX(IF(AV264&gt;AW264,AW264-AV263,AU264),0)</f>
      </c>
      <c r="AY264" s="748">
        <f>+AU264-AX264</f>
      </c>
      <c r="AZ264" s="331">
        <f>+$AM$1+IF($AP$1&gt;$AP$2,$AM$3/2)</f>
      </c>
    </row>
    <row x14ac:dyDescent="0.25" r="265" customHeight="1" ht="18.75">
      <c r="A265" s="1"/>
      <c r="B265" s="7"/>
      <c r="C265" s="170"/>
      <c r="D265" s="331">
        <v>258</v>
      </c>
      <c r="E265" s="544">
        <f>+DATE(YEAR(E264),MONTH(E264)-1,DAY(E264))</f>
        <v>25569.041666666668</v>
      </c>
      <c r="F265" s="333">
        <f>IF(DATE(YEAR($B$6),MONTH($B$6)+1,DAY(1))=E265,1,IF(MONTH(E265)=1,F266*(1+$F$5),F266))</f>
      </c>
      <c r="G265" s="333">
        <f>IF('Simulador - 1º Pilar'!$E$99="Sí",IF('Aportaciones PPE'!$B$13&lt;'Aportaciones PPE'!E265,0,F265*$B$8/12),F265*$B$8/12)</f>
      </c>
      <c r="H265" s="333">
        <f>$H$5*G265</f>
      </c>
      <c r="I265" s="333">
        <f>$I$5*G265</f>
      </c>
      <c r="J265" s="333">
        <f>+I265</f>
      </c>
      <c r="K265" s="333">
        <f>(1+$O$5)^(D265/12)*(H265+IF(AND(F265=1,F266=0),$S$4,0))</f>
      </c>
      <c r="L265" s="333">
        <f>(1+$O$5)^(D265/12)*(I265+IF(AND(F265=1,F266=0),0))</f>
      </c>
      <c r="M265" s="333">
        <f>+L265</f>
      </c>
      <c r="N265" s="333">
        <f>L265+K265+M265</f>
      </c>
      <c r="O265" s="170"/>
      <c r="P265" s="7"/>
      <c r="Q265" s="1"/>
      <c r="R265" s="331">
        <f>D265</f>
      </c>
      <c r="S265" s="169"/>
      <c r="T265" s="1"/>
      <c r="U265" s="217"/>
      <c r="V265" s="331">
        <f>+IF(V264=11,12,IF(V264=12,1,V264+1))</f>
      </c>
      <c r="W265" s="331">
        <f>+W264+IF(V264=12,1,0)</f>
      </c>
      <c r="X265" s="555">
        <f>+DATE(W265,V265,1)</f>
        <v>25569.041666666668</v>
      </c>
      <c r="Y265" s="333">
        <f>+_xlfn.IFNA(AN265+AS265+AX265,0)</f>
      </c>
      <c r="Z265" s="333">
        <f>+_xlfn.IFNA(AO265+AT265+AY265,0)</f>
      </c>
      <c r="AA265" s="333">
        <f>Y265*(1+$O$5)^(($B$7-X265)/365.25)</f>
      </c>
      <c r="AB265" s="333">
        <f>Z265*(1+$O$5)^(($B$7-X265)/365.25)</f>
      </c>
      <c r="AC265" s="1"/>
      <c r="AD265" s="1"/>
      <c r="AE265" s="1"/>
      <c r="AF265" s="111">
        <f>+MONTH(E265)&amp;YEAR(E265)</f>
      </c>
      <c r="AG265" s="217">
        <f>+I265</f>
      </c>
      <c r="AH265" s="217">
        <f>+J265</f>
      </c>
      <c r="AI265" s="217">
        <f>+H265</f>
      </c>
      <c r="AJ265" s="111">
        <f>+V265&amp;W265</f>
      </c>
      <c r="AK265" s="217">
        <f>+_xlfn.IFNA(VLOOKUP(AJ265,$AF$7:$AG$1066,2,0),0)</f>
      </c>
      <c r="AL265" s="217">
        <f>+IF(W265&gt;W264,AK265,AL264+AK265)</f>
      </c>
      <c r="AM265" s="217">
        <f>IF(W265&gt;W264,IF(AL265&gt;=$AZ$8,$AZ$8,AL265),IF(OR(AM264=$AZ$8,AM264=0),0,IF(AL265&gt;=$AZ$8,$AZ$8,AL265)))</f>
      </c>
      <c r="AN265" s="748">
        <f>+IF(OR(AM265&gt;AZ264,AM265=0),0,IF(AM265=AL265,AK265,$AZ$7-AL264))</f>
      </c>
      <c r="AO265" s="748">
        <f>+AK265-AN265</f>
      </c>
      <c r="AP265" s="217">
        <f>+_xlfn.IFNA(VLOOKUP(AJ265,$AF$7:$AI$1066,3,0),0)</f>
      </c>
      <c r="AQ265" s="217">
        <f>+IF(W265&gt;W264,AP265,AQ264+AP265)</f>
      </c>
      <c r="AR265" s="217">
        <f>+MAX($AM$2-SUMIF($W$7:$W$1066,W265,$AN$7:$AN$1066),0)</f>
      </c>
      <c r="AS265" s="748">
        <f>+MAX(IF(AQ265&gt;AR265,AR265-AQ264,AP265),0)</f>
      </c>
      <c r="AT265" s="748">
        <f>+AP265-AS265</f>
      </c>
      <c r="AU265" s="217">
        <f>+_xlfn.IFNA(VLOOKUP(AJ265,$AF$7:$AI$1066,4,0),0)</f>
      </c>
      <c r="AV265" s="217">
        <f>+IF(W265&gt;W264,AU265,AV264+AU265)</f>
      </c>
      <c r="AW265" s="217">
        <f>+MAX($AM$2-SUMIF($W$7:$W$1066,W265,$AN$7:$AN$1066)-SUMIF($W$7:$W$1066,W265,$AS$7:$AS$1066),0)</f>
      </c>
      <c r="AX265" s="748">
        <f>+MAX(IF(AV265&gt;AW265,AW265-AV264,AU265),0)</f>
      </c>
      <c r="AY265" s="748">
        <f>+AU265-AX265</f>
      </c>
      <c r="AZ265" s="331">
        <f>+$AM$1+IF($AP$1&gt;$AP$2,$AM$3/2)</f>
      </c>
    </row>
    <row x14ac:dyDescent="0.25" r="266" customHeight="1" ht="18.75">
      <c r="A266" s="1"/>
      <c r="B266" s="7"/>
      <c r="C266" s="170"/>
      <c r="D266" s="331">
        <v>259</v>
      </c>
      <c r="E266" s="544">
        <f>+DATE(YEAR(E265),MONTH(E265)-1,DAY(E265))</f>
        <v>25569.041666666668</v>
      </c>
      <c r="F266" s="333">
        <f>IF(DATE(YEAR($B$6),MONTH($B$6)+1,DAY(1))=E266,1,IF(MONTH(E266)=1,F267*(1+$F$5),F267))</f>
      </c>
      <c r="G266" s="333">
        <f>IF('Simulador - 1º Pilar'!$E$99="Sí",IF('Aportaciones PPE'!$B$13&lt;'Aportaciones PPE'!E266,0,F266*$B$8/12),F266*$B$8/12)</f>
      </c>
      <c r="H266" s="333">
        <f>$H$5*G266</f>
      </c>
      <c r="I266" s="333">
        <f>$I$5*G266</f>
      </c>
      <c r="J266" s="333">
        <f>+I266</f>
      </c>
      <c r="K266" s="333">
        <f>(1+$O$5)^(D266/12)*(H266+IF(AND(F266=1,F267=0),$S$4,0))</f>
      </c>
      <c r="L266" s="333">
        <f>(1+$O$5)^(D266/12)*(I266+IF(AND(F266=1,F267=0),0))</f>
      </c>
      <c r="M266" s="333">
        <f>+L266</f>
      </c>
      <c r="N266" s="333">
        <f>L266+K266+M266</f>
      </c>
      <c r="O266" s="170"/>
      <c r="P266" s="7"/>
      <c r="Q266" s="1"/>
      <c r="R266" s="331">
        <f>D266</f>
      </c>
      <c r="S266" s="169"/>
      <c r="T266" s="1"/>
      <c r="U266" s="217"/>
      <c r="V266" s="331">
        <f>+IF(V265=11,12,IF(V265=12,1,V265+1))</f>
      </c>
      <c r="W266" s="331">
        <f>+W265+IF(V265=12,1,0)</f>
      </c>
      <c r="X266" s="555">
        <f>+DATE(W266,V266,1)</f>
        <v>25569.041666666668</v>
      </c>
      <c r="Y266" s="333">
        <f>+_xlfn.IFNA(AN266+AS266+AX266,0)</f>
      </c>
      <c r="Z266" s="333">
        <f>+_xlfn.IFNA(AO266+AT266+AY266,0)</f>
      </c>
      <c r="AA266" s="333">
        <f>Y266*(1+$O$5)^(($B$7-X266)/365.25)</f>
      </c>
      <c r="AB266" s="333">
        <f>Z266*(1+$O$5)^(($B$7-X266)/365.25)</f>
      </c>
      <c r="AC266" s="1"/>
      <c r="AD266" s="1"/>
      <c r="AE266" s="1"/>
      <c r="AF266" s="111">
        <f>+MONTH(E266)&amp;YEAR(E266)</f>
      </c>
      <c r="AG266" s="217">
        <f>+I266</f>
      </c>
      <c r="AH266" s="217">
        <f>+J266</f>
      </c>
      <c r="AI266" s="217">
        <f>+H266</f>
      </c>
      <c r="AJ266" s="111">
        <f>+V266&amp;W266</f>
      </c>
      <c r="AK266" s="217">
        <f>+_xlfn.IFNA(VLOOKUP(AJ266,$AF$7:$AG$1066,2,0),0)</f>
      </c>
      <c r="AL266" s="217">
        <f>+IF(W266&gt;W265,AK266,AL265+AK266)</f>
      </c>
      <c r="AM266" s="217">
        <f>IF(W266&gt;W265,IF(AL266&gt;=$AZ$8,$AZ$8,AL266),IF(OR(AM265=$AZ$8,AM265=0),0,IF(AL266&gt;=$AZ$8,$AZ$8,AL266)))</f>
      </c>
      <c r="AN266" s="748">
        <f>+IF(OR(AM266&gt;AZ265,AM266=0),0,IF(AM266=AL266,AK266,$AZ$7-AL265))</f>
      </c>
      <c r="AO266" s="748">
        <f>+AK266-AN266</f>
      </c>
      <c r="AP266" s="217">
        <f>+_xlfn.IFNA(VLOOKUP(AJ266,$AF$7:$AI$1066,3,0),0)</f>
      </c>
      <c r="AQ266" s="217">
        <f>+IF(W266&gt;W265,AP266,AQ265+AP266)</f>
      </c>
      <c r="AR266" s="217">
        <f>+MAX($AM$2-SUMIF($W$7:$W$1066,W266,$AN$7:$AN$1066),0)</f>
      </c>
      <c r="AS266" s="748">
        <f>+MAX(IF(AQ266&gt;AR266,AR266-AQ265,AP266),0)</f>
      </c>
      <c r="AT266" s="748">
        <f>+AP266-AS266</f>
      </c>
      <c r="AU266" s="217">
        <f>+_xlfn.IFNA(VLOOKUP(AJ266,$AF$7:$AI$1066,4,0),0)</f>
      </c>
      <c r="AV266" s="217">
        <f>+IF(W266&gt;W265,AU266,AV265+AU266)</f>
      </c>
      <c r="AW266" s="217">
        <f>+MAX($AM$2-SUMIF($W$7:$W$1066,W266,$AN$7:$AN$1066)-SUMIF($W$7:$W$1066,W266,$AS$7:$AS$1066),0)</f>
      </c>
      <c r="AX266" s="748">
        <f>+MAX(IF(AV266&gt;AW266,AW266-AV265,AU266),0)</f>
      </c>
      <c r="AY266" s="748">
        <f>+AU266-AX266</f>
      </c>
      <c r="AZ266" s="331">
        <f>+$AM$1+IF($AP$1&gt;$AP$2,$AM$3/2)</f>
      </c>
    </row>
    <row x14ac:dyDescent="0.25" r="267" customHeight="1" ht="18.75">
      <c r="A267" s="1"/>
      <c r="B267" s="7"/>
      <c r="C267" s="170"/>
      <c r="D267" s="331">
        <v>260</v>
      </c>
      <c r="E267" s="544">
        <f>+DATE(YEAR(E266),MONTH(E266)-1,DAY(E266))</f>
        <v>25569.041666666668</v>
      </c>
      <c r="F267" s="333">
        <f>IF(DATE(YEAR($B$6),MONTH($B$6)+1,DAY(1))=E267,1,IF(MONTH(E267)=1,F268*(1+$F$5),F268))</f>
      </c>
      <c r="G267" s="333">
        <f>IF('Simulador - 1º Pilar'!$E$99="Sí",IF('Aportaciones PPE'!$B$13&lt;'Aportaciones PPE'!E267,0,F267*$B$8/12),F267*$B$8/12)</f>
      </c>
      <c r="H267" s="333">
        <f>$H$5*G267</f>
      </c>
      <c r="I267" s="333">
        <f>$I$5*G267</f>
      </c>
      <c r="J267" s="333">
        <f>+I267</f>
      </c>
      <c r="K267" s="333">
        <f>(1+$O$5)^(D267/12)*(H267+IF(AND(F267=1,F268=0),$S$4,0))</f>
      </c>
      <c r="L267" s="333">
        <f>(1+$O$5)^(D267/12)*(I267+IF(AND(F267=1,F268=0),0))</f>
      </c>
      <c r="M267" s="333">
        <f>+L267</f>
      </c>
      <c r="N267" s="333">
        <f>L267+K267+M267</f>
      </c>
      <c r="O267" s="170"/>
      <c r="P267" s="7"/>
      <c r="Q267" s="1"/>
      <c r="R267" s="331">
        <f>D267</f>
      </c>
      <c r="S267" s="169"/>
      <c r="T267" s="1"/>
      <c r="U267" s="217"/>
      <c r="V267" s="331">
        <f>+IF(V266=11,12,IF(V266=12,1,V266+1))</f>
      </c>
      <c r="W267" s="331">
        <f>+W266+IF(V266=12,1,0)</f>
      </c>
      <c r="X267" s="555">
        <f>+DATE(W267,V267,1)</f>
        <v>25569.041666666668</v>
      </c>
      <c r="Y267" s="333">
        <f>+_xlfn.IFNA(AN267+AS267+AX267,0)</f>
      </c>
      <c r="Z267" s="333">
        <f>+_xlfn.IFNA(AO267+AT267+AY267,0)</f>
      </c>
      <c r="AA267" s="333">
        <f>Y267*(1+$O$5)^(($B$7-X267)/365.25)</f>
      </c>
      <c r="AB267" s="333">
        <f>Z267*(1+$O$5)^(($B$7-X267)/365.25)</f>
      </c>
      <c r="AC267" s="1"/>
      <c r="AD267" s="1"/>
      <c r="AE267" s="1"/>
      <c r="AF267" s="111">
        <f>+MONTH(E267)&amp;YEAR(E267)</f>
      </c>
      <c r="AG267" s="217">
        <f>+I267</f>
      </c>
      <c r="AH267" s="217">
        <f>+J267</f>
      </c>
      <c r="AI267" s="217">
        <f>+H267</f>
      </c>
      <c r="AJ267" s="111">
        <f>+V267&amp;W267</f>
      </c>
      <c r="AK267" s="217">
        <f>+_xlfn.IFNA(VLOOKUP(AJ267,$AF$7:$AG$1066,2,0),0)</f>
      </c>
      <c r="AL267" s="217">
        <f>+IF(W267&gt;W266,AK267,AL266+AK267)</f>
      </c>
      <c r="AM267" s="217">
        <f>IF(W267&gt;W266,IF(AL267&gt;=$AZ$8,$AZ$8,AL267),IF(OR(AM266=$AZ$8,AM266=0),0,IF(AL267&gt;=$AZ$8,$AZ$8,AL267)))</f>
      </c>
      <c r="AN267" s="748">
        <f>+IF(OR(AM267&gt;AZ266,AM267=0),0,IF(AM267=AL267,AK267,$AZ$7-AL266))</f>
      </c>
      <c r="AO267" s="748">
        <f>+AK267-AN267</f>
      </c>
      <c r="AP267" s="217">
        <f>+_xlfn.IFNA(VLOOKUP(AJ267,$AF$7:$AI$1066,3,0),0)</f>
      </c>
      <c r="AQ267" s="217">
        <f>+IF(W267&gt;W266,AP267,AQ266+AP267)</f>
      </c>
      <c r="AR267" s="217">
        <f>+MAX($AM$2-SUMIF($W$7:$W$1066,W267,$AN$7:$AN$1066),0)</f>
      </c>
      <c r="AS267" s="748">
        <f>+MAX(IF(AQ267&gt;AR267,AR267-AQ266,AP267),0)</f>
      </c>
      <c r="AT267" s="748">
        <f>+AP267-AS267</f>
      </c>
      <c r="AU267" s="217">
        <f>+_xlfn.IFNA(VLOOKUP(AJ267,$AF$7:$AI$1066,4,0),0)</f>
      </c>
      <c r="AV267" s="217">
        <f>+IF(W267&gt;W266,AU267,AV266+AU267)</f>
      </c>
      <c r="AW267" s="217">
        <f>+MAX($AM$2-SUMIF($W$7:$W$1066,W267,$AN$7:$AN$1066)-SUMIF($W$7:$W$1066,W267,$AS$7:$AS$1066),0)</f>
      </c>
      <c r="AX267" s="748">
        <f>+MAX(IF(AV267&gt;AW267,AW267-AV266,AU267),0)</f>
      </c>
      <c r="AY267" s="748">
        <f>+AU267-AX267</f>
      </c>
      <c r="AZ267" s="331">
        <f>+$AM$1+IF($AP$1&gt;$AP$2,$AM$3/2)</f>
      </c>
    </row>
    <row x14ac:dyDescent="0.25" r="268" customHeight="1" ht="18.75">
      <c r="A268" s="1"/>
      <c r="B268" s="7"/>
      <c r="C268" s="170"/>
      <c r="D268" s="331">
        <v>261</v>
      </c>
      <c r="E268" s="544">
        <f>+DATE(YEAR(E267),MONTH(E267)-1,DAY(E267))</f>
        <v>25569.041666666668</v>
      </c>
      <c r="F268" s="333">
        <f>IF(DATE(YEAR($B$6),MONTH($B$6)+1,DAY(1))=E268,1,IF(MONTH(E268)=1,F269*(1+$F$5),F269))</f>
      </c>
      <c r="G268" s="333">
        <f>IF('Simulador - 1º Pilar'!$E$99="Sí",IF('Aportaciones PPE'!$B$13&lt;'Aportaciones PPE'!E268,0,F268*$B$8/12),F268*$B$8/12)</f>
      </c>
      <c r="H268" s="333">
        <f>$H$5*G268</f>
      </c>
      <c r="I268" s="333">
        <f>$I$5*G268</f>
      </c>
      <c r="J268" s="333">
        <f>+I268</f>
      </c>
      <c r="K268" s="333">
        <f>(1+$O$5)^(D268/12)*(H268+IF(AND(F268=1,F269=0),$S$4,0))</f>
      </c>
      <c r="L268" s="333">
        <f>(1+$O$5)^(D268/12)*(I268+IF(AND(F268=1,F269=0),0))</f>
      </c>
      <c r="M268" s="333">
        <f>+L268</f>
      </c>
      <c r="N268" s="333">
        <f>L268+K268+M268</f>
      </c>
      <c r="O268" s="170"/>
      <c r="P268" s="7"/>
      <c r="Q268" s="1"/>
      <c r="R268" s="331">
        <f>D268</f>
      </c>
      <c r="S268" s="169"/>
      <c r="T268" s="1"/>
      <c r="U268" s="217"/>
      <c r="V268" s="331">
        <f>+IF(V267=11,12,IF(V267=12,1,V267+1))</f>
      </c>
      <c r="W268" s="331">
        <f>+W267+IF(V267=12,1,0)</f>
      </c>
      <c r="X268" s="555">
        <f>+DATE(W268,V268,1)</f>
        <v>25569.041666666668</v>
      </c>
      <c r="Y268" s="333">
        <f>+_xlfn.IFNA(AN268+AS268+AX268,0)</f>
      </c>
      <c r="Z268" s="333">
        <f>+_xlfn.IFNA(AO268+AT268+AY268,0)</f>
      </c>
      <c r="AA268" s="333">
        <f>Y268*(1+$O$5)^(($B$7-X268)/365.25)</f>
      </c>
      <c r="AB268" s="333">
        <f>Z268*(1+$O$5)^(($B$7-X268)/365.25)</f>
      </c>
      <c r="AC268" s="1"/>
      <c r="AD268" s="1"/>
      <c r="AE268" s="1"/>
      <c r="AF268" s="111">
        <f>+MONTH(E268)&amp;YEAR(E268)</f>
      </c>
      <c r="AG268" s="217">
        <f>+I268</f>
      </c>
      <c r="AH268" s="217">
        <f>+J268</f>
      </c>
      <c r="AI268" s="217">
        <f>+H268</f>
      </c>
      <c r="AJ268" s="111">
        <f>+V268&amp;W268</f>
      </c>
      <c r="AK268" s="217">
        <f>+_xlfn.IFNA(VLOOKUP(AJ268,$AF$7:$AG$1066,2,0),0)</f>
      </c>
      <c r="AL268" s="217">
        <f>+IF(W268&gt;W267,AK268,AL267+AK268)</f>
      </c>
      <c r="AM268" s="217">
        <f>IF(W268&gt;W267,IF(AL268&gt;=$AZ$8,$AZ$8,AL268),IF(OR(AM267=$AZ$8,AM267=0),0,IF(AL268&gt;=$AZ$8,$AZ$8,AL268)))</f>
      </c>
      <c r="AN268" s="748">
        <f>+IF(OR(AM268&gt;AZ267,AM268=0),0,IF(AM268=AL268,AK268,$AZ$7-AL267))</f>
      </c>
      <c r="AO268" s="748">
        <f>+AK268-AN268</f>
      </c>
      <c r="AP268" s="217">
        <f>+_xlfn.IFNA(VLOOKUP(AJ268,$AF$7:$AI$1066,3,0),0)</f>
      </c>
      <c r="AQ268" s="217">
        <f>+IF(W268&gt;W267,AP268,AQ267+AP268)</f>
      </c>
      <c r="AR268" s="217">
        <f>+MAX($AM$2-SUMIF($W$7:$W$1066,W268,$AN$7:$AN$1066),0)</f>
      </c>
      <c r="AS268" s="748">
        <f>+MAX(IF(AQ268&gt;AR268,AR268-AQ267,AP268),0)</f>
      </c>
      <c r="AT268" s="748">
        <f>+AP268-AS268</f>
      </c>
      <c r="AU268" s="217">
        <f>+_xlfn.IFNA(VLOOKUP(AJ268,$AF$7:$AI$1066,4,0),0)</f>
      </c>
      <c r="AV268" s="217">
        <f>+IF(W268&gt;W267,AU268,AV267+AU268)</f>
      </c>
      <c r="AW268" s="217">
        <f>+MAX($AM$2-SUMIF($W$7:$W$1066,W268,$AN$7:$AN$1066)-SUMIF($W$7:$W$1066,W268,$AS$7:$AS$1066),0)</f>
      </c>
      <c r="AX268" s="748">
        <f>+MAX(IF(AV268&gt;AW268,AW268-AV267,AU268),0)</f>
      </c>
      <c r="AY268" s="748">
        <f>+AU268-AX268</f>
      </c>
      <c r="AZ268" s="331">
        <f>+$AM$1+IF($AP$1&gt;$AP$2,$AM$3/2)</f>
      </c>
    </row>
    <row x14ac:dyDescent="0.25" r="269" customHeight="1" ht="18.75">
      <c r="A269" s="1"/>
      <c r="B269" s="7"/>
      <c r="C269" s="170"/>
      <c r="D269" s="331">
        <v>262</v>
      </c>
      <c r="E269" s="544">
        <f>+DATE(YEAR(E268),MONTH(E268)-1,DAY(E268))</f>
        <v>25569.041666666668</v>
      </c>
      <c r="F269" s="333">
        <f>IF(DATE(YEAR($B$6),MONTH($B$6)+1,DAY(1))=E269,1,IF(MONTH(E269)=1,F270*(1+$F$5),F270))</f>
      </c>
      <c r="G269" s="333">
        <f>IF('Simulador - 1º Pilar'!$E$99="Sí",IF('Aportaciones PPE'!$B$13&lt;'Aportaciones PPE'!E269,0,F269*$B$8/12),F269*$B$8/12)</f>
      </c>
      <c r="H269" s="333">
        <f>$H$5*G269</f>
      </c>
      <c r="I269" s="333">
        <f>$I$5*G269</f>
      </c>
      <c r="J269" s="333">
        <f>+I269</f>
      </c>
      <c r="K269" s="333">
        <f>(1+$O$5)^(D269/12)*(H269+IF(AND(F269=1,F270=0),$S$4,0))</f>
      </c>
      <c r="L269" s="333">
        <f>(1+$O$5)^(D269/12)*(I269+IF(AND(F269=1,F270=0),0))</f>
      </c>
      <c r="M269" s="333">
        <f>+L269</f>
      </c>
      <c r="N269" s="333">
        <f>L269+K269+M269</f>
      </c>
      <c r="O269" s="170"/>
      <c r="P269" s="7"/>
      <c r="Q269" s="1"/>
      <c r="R269" s="331">
        <f>D269</f>
      </c>
      <c r="S269" s="169"/>
      <c r="T269" s="1"/>
      <c r="U269" s="217"/>
      <c r="V269" s="331">
        <f>+IF(V268=11,12,IF(V268=12,1,V268+1))</f>
      </c>
      <c r="W269" s="331">
        <f>+W268+IF(V268=12,1,0)</f>
      </c>
      <c r="X269" s="555">
        <f>+DATE(W269,V269,1)</f>
        <v>25569.041666666668</v>
      </c>
      <c r="Y269" s="333">
        <f>+_xlfn.IFNA(AN269+AS269+AX269,0)</f>
      </c>
      <c r="Z269" s="333">
        <f>+_xlfn.IFNA(AO269+AT269+AY269,0)</f>
      </c>
      <c r="AA269" s="333">
        <f>Y269*(1+$O$5)^(($B$7-X269)/365.25)</f>
      </c>
      <c r="AB269" s="333">
        <f>Z269*(1+$O$5)^(($B$7-X269)/365.25)</f>
      </c>
      <c r="AC269" s="1"/>
      <c r="AD269" s="1"/>
      <c r="AE269" s="1"/>
      <c r="AF269" s="111">
        <f>+MONTH(E269)&amp;YEAR(E269)</f>
      </c>
      <c r="AG269" s="217">
        <f>+I269</f>
      </c>
      <c r="AH269" s="217">
        <f>+J269</f>
      </c>
      <c r="AI269" s="217">
        <f>+H269</f>
      </c>
      <c r="AJ269" s="111">
        <f>+V269&amp;W269</f>
      </c>
      <c r="AK269" s="217">
        <f>+_xlfn.IFNA(VLOOKUP(AJ269,$AF$7:$AG$1066,2,0),0)</f>
      </c>
      <c r="AL269" s="217">
        <f>+IF(W269&gt;W268,AK269,AL268+AK269)</f>
      </c>
      <c r="AM269" s="217">
        <f>IF(W269&gt;W268,IF(AL269&gt;=$AZ$8,$AZ$8,AL269),IF(OR(AM268=$AZ$8,AM268=0),0,IF(AL269&gt;=$AZ$8,$AZ$8,AL269)))</f>
      </c>
      <c r="AN269" s="748">
        <f>+IF(OR(AM269&gt;AZ268,AM269=0),0,IF(AM269=AL269,AK269,$AZ$7-AL268))</f>
      </c>
      <c r="AO269" s="748">
        <f>+AK269-AN269</f>
      </c>
      <c r="AP269" s="217">
        <f>+_xlfn.IFNA(VLOOKUP(AJ269,$AF$7:$AI$1066,3,0),0)</f>
      </c>
      <c r="AQ269" s="217">
        <f>+IF(W269&gt;W268,AP269,AQ268+AP269)</f>
      </c>
      <c r="AR269" s="217">
        <f>+MAX($AM$2-SUMIF($W$7:$W$1066,W269,$AN$7:$AN$1066),0)</f>
      </c>
      <c r="AS269" s="748">
        <f>+MAX(IF(AQ269&gt;AR269,AR269-AQ268,AP269),0)</f>
      </c>
      <c r="AT269" s="748">
        <f>+AP269-AS269</f>
      </c>
      <c r="AU269" s="217">
        <f>+_xlfn.IFNA(VLOOKUP(AJ269,$AF$7:$AI$1066,4,0),0)</f>
      </c>
      <c r="AV269" s="217">
        <f>+IF(W269&gt;W268,AU269,AV268+AU269)</f>
      </c>
      <c r="AW269" s="217">
        <f>+MAX($AM$2-SUMIF($W$7:$W$1066,W269,$AN$7:$AN$1066)-SUMIF($W$7:$W$1066,W269,$AS$7:$AS$1066),0)</f>
      </c>
      <c r="AX269" s="748">
        <f>+MAX(IF(AV269&gt;AW269,AW269-AV268,AU269),0)</f>
      </c>
      <c r="AY269" s="748">
        <f>+AU269-AX269</f>
      </c>
      <c r="AZ269" s="331">
        <f>+$AM$1+IF($AP$1&gt;$AP$2,$AM$3/2)</f>
      </c>
    </row>
    <row x14ac:dyDescent="0.25" r="270" customHeight="1" ht="18.75">
      <c r="A270" s="1"/>
      <c r="B270" s="7"/>
      <c r="C270" s="170"/>
      <c r="D270" s="331">
        <v>263</v>
      </c>
      <c r="E270" s="544">
        <f>+DATE(YEAR(E269),MONTH(E269)-1,DAY(E269))</f>
        <v>25569.041666666668</v>
      </c>
      <c r="F270" s="333">
        <f>IF(DATE(YEAR($B$6),MONTH($B$6)+1,DAY(1))=E270,1,IF(MONTH(E270)=1,F271*(1+$F$5),F271))</f>
      </c>
      <c r="G270" s="333">
        <f>IF('Simulador - 1º Pilar'!$E$99="Sí",IF('Aportaciones PPE'!$B$13&lt;'Aportaciones PPE'!E270,0,F270*$B$8/12),F270*$B$8/12)</f>
      </c>
      <c r="H270" s="333">
        <f>$H$5*G270</f>
      </c>
      <c r="I270" s="333">
        <f>$I$5*G270</f>
      </c>
      <c r="J270" s="333">
        <f>+I270</f>
      </c>
      <c r="K270" s="333">
        <f>(1+$O$5)^(D270/12)*(H270+IF(AND(F270=1,F271=0),$S$4,0))</f>
      </c>
      <c r="L270" s="333">
        <f>(1+$O$5)^(D270/12)*(I270+IF(AND(F270=1,F271=0),0))</f>
      </c>
      <c r="M270" s="333">
        <f>+L270</f>
      </c>
      <c r="N270" s="333">
        <f>L270+K270+M270</f>
      </c>
      <c r="O270" s="170"/>
      <c r="P270" s="7"/>
      <c r="Q270" s="1"/>
      <c r="R270" s="331">
        <f>D270</f>
      </c>
      <c r="S270" s="169"/>
      <c r="T270" s="1"/>
      <c r="U270" s="217"/>
      <c r="V270" s="331">
        <f>+IF(V269=11,12,IF(V269=12,1,V269+1))</f>
      </c>
      <c r="W270" s="331">
        <f>+W269+IF(V269=12,1,0)</f>
      </c>
      <c r="X270" s="555">
        <f>+DATE(W270,V270,1)</f>
        <v>25569.041666666668</v>
      </c>
      <c r="Y270" s="333">
        <f>+_xlfn.IFNA(AN270+AS270+AX270,0)</f>
      </c>
      <c r="Z270" s="333">
        <f>+_xlfn.IFNA(AO270+AT270+AY270,0)</f>
      </c>
      <c r="AA270" s="333">
        <f>Y270*(1+$O$5)^(($B$7-X270)/365.25)</f>
      </c>
      <c r="AB270" s="333">
        <f>Z270*(1+$O$5)^(($B$7-X270)/365.25)</f>
      </c>
      <c r="AC270" s="1"/>
      <c r="AD270" s="1"/>
      <c r="AE270" s="1"/>
      <c r="AF270" s="111">
        <f>+MONTH(E270)&amp;YEAR(E270)</f>
      </c>
      <c r="AG270" s="217">
        <f>+I270</f>
      </c>
      <c r="AH270" s="217">
        <f>+J270</f>
      </c>
      <c r="AI270" s="217">
        <f>+H270</f>
      </c>
      <c r="AJ270" s="111">
        <f>+V270&amp;W270</f>
      </c>
      <c r="AK270" s="217">
        <f>+_xlfn.IFNA(VLOOKUP(AJ270,$AF$7:$AG$1066,2,0),0)</f>
      </c>
      <c r="AL270" s="217">
        <f>+IF(W270&gt;W269,AK270,AL269+AK270)</f>
      </c>
      <c r="AM270" s="217">
        <f>IF(W270&gt;W269,IF(AL270&gt;=$AZ$8,$AZ$8,AL270),IF(OR(AM269=$AZ$8,AM269=0),0,IF(AL270&gt;=$AZ$8,$AZ$8,AL270)))</f>
      </c>
      <c r="AN270" s="748">
        <f>+IF(OR(AM270&gt;AZ269,AM270=0),0,IF(AM270=AL270,AK270,$AZ$7-AL269))</f>
      </c>
      <c r="AO270" s="748">
        <f>+AK270-AN270</f>
      </c>
      <c r="AP270" s="217">
        <f>+_xlfn.IFNA(VLOOKUP(AJ270,$AF$7:$AI$1066,3,0),0)</f>
      </c>
      <c r="AQ270" s="217">
        <f>+IF(W270&gt;W269,AP270,AQ269+AP270)</f>
      </c>
      <c r="AR270" s="217">
        <f>+MAX($AM$2-SUMIF($W$7:$W$1066,W270,$AN$7:$AN$1066),0)</f>
      </c>
      <c r="AS270" s="748">
        <f>+MAX(IF(AQ270&gt;AR270,AR270-AQ269,AP270),0)</f>
      </c>
      <c r="AT270" s="748">
        <f>+AP270-AS270</f>
      </c>
      <c r="AU270" s="217">
        <f>+_xlfn.IFNA(VLOOKUP(AJ270,$AF$7:$AI$1066,4,0),0)</f>
      </c>
      <c r="AV270" s="217">
        <f>+IF(W270&gt;W269,AU270,AV269+AU270)</f>
      </c>
      <c r="AW270" s="217">
        <f>+MAX($AM$2-SUMIF($W$7:$W$1066,W270,$AN$7:$AN$1066)-SUMIF($W$7:$W$1066,W270,$AS$7:$AS$1066),0)</f>
      </c>
      <c r="AX270" s="748">
        <f>+MAX(IF(AV270&gt;AW270,AW270-AV269,AU270),0)</f>
      </c>
      <c r="AY270" s="748">
        <f>+AU270-AX270</f>
      </c>
      <c r="AZ270" s="331">
        <f>+$AM$1+IF($AP$1&gt;$AP$2,$AM$3/2)</f>
      </c>
    </row>
    <row x14ac:dyDescent="0.25" r="271" customHeight="1" ht="18.75">
      <c r="A271" s="1"/>
      <c r="B271" s="7"/>
      <c r="C271" s="170"/>
      <c r="D271" s="331">
        <v>264</v>
      </c>
      <c r="E271" s="544">
        <f>+DATE(YEAR(E270),MONTH(E270)-1,DAY(E270))</f>
        <v>25569.041666666668</v>
      </c>
      <c r="F271" s="333">
        <f>IF(DATE(YEAR($B$6),MONTH($B$6)+1,DAY(1))=E271,1,IF(MONTH(E271)=1,F272*(1+$F$5),F272))</f>
      </c>
      <c r="G271" s="333">
        <f>IF('Simulador - 1º Pilar'!$E$99="Sí",IF('Aportaciones PPE'!$B$13&lt;'Aportaciones PPE'!E271,0,F271*$B$8/12),F271*$B$8/12)</f>
      </c>
      <c r="H271" s="333">
        <f>$H$5*G271</f>
      </c>
      <c r="I271" s="333">
        <f>$I$5*G271</f>
      </c>
      <c r="J271" s="333">
        <f>+I271</f>
      </c>
      <c r="K271" s="333">
        <f>(1+$O$5)^(D271/12)*(H271+IF(AND(F271=1,F272=0),$S$4,0))</f>
      </c>
      <c r="L271" s="333">
        <f>(1+$O$5)^(D271/12)*(I271+IF(AND(F271=1,F272=0),0))</f>
      </c>
      <c r="M271" s="333">
        <f>+L271</f>
      </c>
      <c r="N271" s="333">
        <f>L271+K271+M271</f>
      </c>
      <c r="O271" s="170"/>
      <c r="P271" s="7"/>
      <c r="Q271" s="1"/>
      <c r="R271" s="331">
        <f>D271</f>
      </c>
      <c r="S271" s="169"/>
      <c r="T271" s="1"/>
      <c r="U271" s="217"/>
      <c r="V271" s="331">
        <f>+IF(V270=11,12,IF(V270=12,1,V270+1))</f>
      </c>
      <c r="W271" s="331">
        <f>+W270+IF(V270=12,1,0)</f>
      </c>
      <c r="X271" s="555">
        <f>+DATE(W271,V271,1)</f>
        <v>25569.041666666668</v>
      </c>
      <c r="Y271" s="333">
        <f>+_xlfn.IFNA(AN271+AS271+AX271,0)</f>
      </c>
      <c r="Z271" s="333">
        <f>+_xlfn.IFNA(AO271+AT271+AY271,0)</f>
      </c>
      <c r="AA271" s="333">
        <f>Y271*(1+$O$5)^(($B$7-X271)/365.25)</f>
      </c>
      <c r="AB271" s="333">
        <f>Z271*(1+$O$5)^(($B$7-X271)/365.25)</f>
      </c>
      <c r="AC271" s="1"/>
      <c r="AD271" s="1"/>
      <c r="AE271" s="1"/>
      <c r="AF271" s="111">
        <f>+MONTH(E271)&amp;YEAR(E271)</f>
      </c>
      <c r="AG271" s="217">
        <f>+I271</f>
      </c>
      <c r="AH271" s="217">
        <f>+J271</f>
      </c>
      <c r="AI271" s="217">
        <f>+H271</f>
      </c>
      <c r="AJ271" s="111">
        <f>+V271&amp;W271</f>
      </c>
      <c r="AK271" s="217">
        <f>+_xlfn.IFNA(VLOOKUP(AJ271,$AF$7:$AG$1066,2,0),0)</f>
      </c>
      <c r="AL271" s="217">
        <f>+IF(W271&gt;W270,AK271,AL270+AK271)</f>
      </c>
      <c r="AM271" s="217">
        <f>IF(W271&gt;W270,IF(AL271&gt;=$AZ$8,$AZ$8,AL271),IF(OR(AM270=$AZ$8,AM270=0),0,IF(AL271&gt;=$AZ$8,$AZ$8,AL271)))</f>
      </c>
      <c r="AN271" s="748">
        <f>+IF(OR(AM271&gt;AZ270,AM271=0),0,IF(AM271=AL271,AK271,$AZ$7-AL270))</f>
      </c>
      <c r="AO271" s="748">
        <f>+AK271-AN271</f>
      </c>
      <c r="AP271" s="217">
        <f>+_xlfn.IFNA(VLOOKUP(AJ271,$AF$7:$AI$1066,3,0),0)</f>
      </c>
      <c r="AQ271" s="217">
        <f>+IF(W271&gt;W270,AP271,AQ270+AP271)</f>
      </c>
      <c r="AR271" s="217">
        <f>+MAX($AM$2-SUMIF($W$7:$W$1066,W271,$AN$7:$AN$1066),0)</f>
      </c>
      <c r="AS271" s="748">
        <f>+MAX(IF(AQ271&gt;AR271,AR271-AQ270,AP271),0)</f>
      </c>
      <c r="AT271" s="748">
        <f>+AP271-AS271</f>
      </c>
      <c r="AU271" s="217">
        <f>+_xlfn.IFNA(VLOOKUP(AJ271,$AF$7:$AI$1066,4,0),0)</f>
      </c>
      <c r="AV271" s="217">
        <f>+IF(W271&gt;W270,AU271,AV270+AU271)</f>
      </c>
      <c r="AW271" s="217">
        <f>+MAX($AM$2-SUMIF($W$7:$W$1066,W271,$AN$7:$AN$1066)-SUMIF($W$7:$W$1066,W271,$AS$7:$AS$1066),0)</f>
      </c>
      <c r="AX271" s="748">
        <f>+MAX(IF(AV271&gt;AW271,AW271-AV270,AU271),0)</f>
      </c>
      <c r="AY271" s="748">
        <f>+AU271-AX271</f>
      </c>
      <c r="AZ271" s="331">
        <f>+$AM$1+IF($AP$1&gt;$AP$2,$AM$3/2)</f>
      </c>
    </row>
    <row x14ac:dyDescent="0.25" r="272" customHeight="1" ht="18.75">
      <c r="A272" s="1"/>
      <c r="B272" s="7"/>
      <c r="C272" s="170"/>
      <c r="D272" s="331">
        <v>265</v>
      </c>
      <c r="E272" s="544">
        <f>+DATE(YEAR(E271),MONTH(E271)-1,DAY(E271))</f>
        <v>25569.041666666668</v>
      </c>
      <c r="F272" s="333">
        <f>IF(DATE(YEAR($B$6),MONTH($B$6)+1,DAY(1))=E272,1,IF(MONTH(E272)=1,F273*(1+$F$5),F273))</f>
      </c>
      <c r="G272" s="333">
        <f>IF('Simulador - 1º Pilar'!$E$99="Sí",IF('Aportaciones PPE'!$B$13&lt;'Aportaciones PPE'!E272,0,F272*$B$8/12),F272*$B$8/12)</f>
      </c>
      <c r="H272" s="333">
        <f>$H$5*G272</f>
      </c>
      <c r="I272" s="333">
        <f>$I$5*G272</f>
      </c>
      <c r="J272" s="333">
        <f>+I272</f>
      </c>
      <c r="K272" s="333">
        <f>(1+$O$5)^(D272/12)*(H272+IF(AND(F272=1,F273=0),$S$4,0))</f>
      </c>
      <c r="L272" s="333">
        <f>(1+$O$5)^(D272/12)*(I272+IF(AND(F272=1,F273=0),0))</f>
      </c>
      <c r="M272" s="333">
        <f>+L272</f>
      </c>
      <c r="N272" s="333">
        <f>L272+K272+M272</f>
      </c>
      <c r="O272" s="170"/>
      <c r="P272" s="7"/>
      <c r="Q272" s="1"/>
      <c r="R272" s="331">
        <f>D272</f>
      </c>
      <c r="S272" s="169"/>
      <c r="T272" s="1"/>
      <c r="U272" s="217"/>
      <c r="V272" s="331">
        <f>+IF(V271=11,12,IF(V271=12,1,V271+1))</f>
      </c>
      <c r="W272" s="331">
        <f>+W271+IF(V271=12,1,0)</f>
      </c>
      <c r="X272" s="555">
        <f>+DATE(W272,V272,1)</f>
        <v>25569.041666666668</v>
      </c>
      <c r="Y272" s="333">
        <f>+_xlfn.IFNA(AN272+AS272+AX272,0)</f>
      </c>
      <c r="Z272" s="333">
        <f>+_xlfn.IFNA(AO272+AT272+AY272,0)</f>
      </c>
      <c r="AA272" s="333">
        <f>Y272*(1+$O$5)^(($B$7-X272)/365.25)</f>
      </c>
      <c r="AB272" s="333">
        <f>Z272*(1+$O$5)^(($B$7-X272)/365.25)</f>
      </c>
      <c r="AC272" s="1"/>
      <c r="AD272" s="1"/>
      <c r="AE272" s="1"/>
      <c r="AF272" s="111">
        <f>+MONTH(E272)&amp;YEAR(E272)</f>
      </c>
      <c r="AG272" s="217">
        <f>+I272</f>
      </c>
      <c r="AH272" s="217">
        <f>+J272</f>
      </c>
      <c r="AI272" s="217">
        <f>+H272</f>
      </c>
      <c r="AJ272" s="111">
        <f>+V272&amp;W272</f>
      </c>
      <c r="AK272" s="217">
        <f>+_xlfn.IFNA(VLOOKUP(AJ272,$AF$7:$AG$1066,2,0),0)</f>
      </c>
      <c r="AL272" s="217">
        <f>+IF(W272&gt;W271,AK272,AL271+AK272)</f>
      </c>
      <c r="AM272" s="217">
        <f>IF(W272&gt;W271,IF(AL272&gt;=$AZ$8,$AZ$8,AL272),IF(OR(AM271=$AZ$8,AM271=0),0,IF(AL272&gt;=$AZ$8,$AZ$8,AL272)))</f>
      </c>
      <c r="AN272" s="748">
        <f>+IF(OR(AM272&gt;AZ271,AM272=0),0,IF(AM272=AL272,AK272,$AZ$7-AL271))</f>
      </c>
      <c r="AO272" s="748">
        <f>+AK272-AN272</f>
      </c>
      <c r="AP272" s="217">
        <f>+_xlfn.IFNA(VLOOKUP(AJ272,$AF$7:$AI$1066,3,0),0)</f>
      </c>
      <c r="AQ272" s="217">
        <f>+IF(W272&gt;W271,AP272,AQ271+AP272)</f>
      </c>
      <c r="AR272" s="217">
        <f>+MAX($AM$2-SUMIF($W$7:$W$1066,W272,$AN$7:$AN$1066),0)</f>
      </c>
      <c r="AS272" s="748">
        <f>+MAX(IF(AQ272&gt;AR272,AR272-AQ271,AP272),0)</f>
      </c>
      <c r="AT272" s="748">
        <f>+AP272-AS272</f>
      </c>
      <c r="AU272" s="217">
        <f>+_xlfn.IFNA(VLOOKUP(AJ272,$AF$7:$AI$1066,4,0),0)</f>
      </c>
      <c r="AV272" s="217">
        <f>+IF(W272&gt;W271,AU272,AV271+AU272)</f>
      </c>
      <c r="AW272" s="217">
        <f>+MAX($AM$2-SUMIF($W$7:$W$1066,W272,$AN$7:$AN$1066)-SUMIF($W$7:$W$1066,W272,$AS$7:$AS$1066),0)</f>
      </c>
      <c r="AX272" s="748">
        <f>+MAX(IF(AV272&gt;AW272,AW272-AV271,AU272),0)</f>
      </c>
      <c r="AY272" s="748">
        <f>+AU272-AX272</f>
      </c>
      <c r="AZ272" s="331">
        <f>+$AM$1+IF($AP$1&gt;$AP$2,$AM$3/2)</f>
      </c>
    </row>
    <row x14ac:dyDescent="0.25" r="273" customHeight="1" ht="18.75">
      <c r="A273" s="1"/>
      <c r="B273" s="7"/>
      <c r="C273" s="170"/>
      <c r="D273" s="331">
        <v>266</v>
      </c>
      <c r="E273" s="544">
        <f>+DATE(YEAR(E272),MONTH(E272)-1,DAY(E272))</f>
        <v>25569.041666666668</v>
      </c>
      <c r="F273" s="333">
        <f>IF(DATE(YEAR($B$6),MONTH($B$6)+1,DAY(1))=E273,1,IF(MONTH(E273)=1,F274*(1+$F$5),F274))</f>
      </c>
      <c r="G273" s="333">
        <f>IF('Simulador - 1º Pilar'!$E$99="Sí",IF('Aportaciones PPE'!$B$13&lt;'Aportaciones PPE'!E273,0,F273*$B$8/12),F273*$B$8/12)</f>
      </c>
      <c r="H273" s="333">
        <f>$H$5*G273</f>
      </c>
      <c r="I273" s="333">
        <f>$I$5*G273</f>
      </c>
      <c r="J273" s="333">
        <f>+I273</f>
      </c>
      <c r="K273" s="333">
        <f>(1+$O$5)^(D273/12)*(H273+IF(AND(F273=1,F274=0),$S$4,0))</f>
      </c>
      <c r="L273" s="333">
        <f>(1+$O$5)^(D273/12)*(I273+IF(AND(F273=1,F274=0),0))</f>
      </c>
      <c r="M273" s="333">
        <f>+L273</f>
      </c>
      <c r="N273" s="333">
        <f>L273+K273+M273</f>
      </c>
      <c r="O273" s="170"/>
      <c r="P273" s="7"/>
      <c r="Q273" s="1"/>
      <c r="R273" s="331">
        <f>D273</f>
      </c>
      <c r="S273" s="169"/>
      <c r="T273" s="1"/>
      <c r="U273" s="217"/>
      <c r="V273" s="331">
        <f>+IF(V272=11,12,IF(V272=12,1,V272+1))</f>
      </c>
      <c r="W273" s="331">
        <f>+W272+IF(V272=12,1,0)</f>
      </c>
      <c r="X273" s="555">
        <f>+DATE(W273,V273,1)</f>
        <v>25569.041666666668</v>
      </c>
      <c r="Y273" s="333">
        <f>+_xlfn.IFNA(AN273+AS273+AX273,0)</f>
      </c>
      <c r="Z273" s="333">
        <f>+_xlfn.IFNA(AO273+AT273+AY273,0)</f>
      </c>
      <c r="AA273" s="333">
        <f>Y273*(1+$O$5)^(($B$7-X273)/365.25)</f>
      </c>
      <c r="AB273" s="333">
        <f>Z273*(1+$O$5)^(($B$7-X273)/365.25)</f>
      </c>
      <c r="AC273" s="1"/>
      <c r="AD273" s="1"/>
      <c r="AE273" s="1"/>
      <c r="AF273" s="111">
        <f>+MONTH(E273)&amp;YEAR(E273)</f>
      </c>
      <c r="AG273" s="217">
        <f>+I273</f>
      </c>
      <c r="AH273" s="217">
        <f>+J273</f>
      </c>
      <c r="AI273" s="217">
        <f>+H273</f>
      </c>
      <c r="AJ273" s="111">
        <f>+V273&amp;W273</f>
      </c>
      <c r="AK273" s="217">
        <f>+_xlfn.IFNA(VLOOKUP(AJ273,$AF$7:$AG$1066,2,0),0)</f>
      </c>
      <c r="AL273" s="217">
        <f>+IF(W273&gt;W272,AK273,AL272+AK273)</f>
      </c>
      <c r="AM273" s="217">
        <f>IF(W273&gt;W272,IF(AL273&gt;=$AZ$8,$AZ$8,AL273),IF(OR(AM272=$AZ$8,AM272=0),0,IF(AL273&gt;=$AZ$8,$AZ$8,AL273)))</f>
      </c>
      <c r="AN273" s="748">
        <f>+IF(OR(AM273&gt;AZ272,AM273=0),0,IF(AM273=AL273,AK273,$AZ$7-AL272))</f>
      </c>
      <c r="AO273" s="748">
        <f>+AK273-AN273</f>
      </c>
      <c r="AP273" s="217">
        <f>+_xlfn.IFNA(VLOOKUP(AJ273,$AF$7:$AI$1066,3,0),0)</f>
      </c>
      <c r="AQ273" s="217">
        <f>+IF(W273&gt;W272,AP273,AQ272+AP273)</f>
      </c>
      <c r="AR273" s="217">
        <f>+MAX($AM$2-SUMIF($W$7:$W$1066,W273,$AN$7:$AN$1066),0)</f>
      </c>
      <c r="AS273" s="748">
        <f>+MAX(IF(AQ273&gt;AR273,AR273-AQ272,AP273),0)</f>
      </c>
      <c r="AT273" s="748">
        <f>+AP273-AS273</f>
      </c>
      <c r="AU273" s="217">
        <f>+_xlfn.IFNA(VLOOKUP(AJ273,$AF$7:$AI$1066,4,0),0)</f>
      </c>
      <c r="AV273" s="217">
        <f>+IF(W273&gt;W272,AU273,AV272+AU273)</f>
      </c>
      <c r="AW273" s="217">
        <f>+MAX($AM$2-SUMIF($W$7:$W$1066,W273,$AN$7:$AN$1066)-SUMIF($W$7:$W$1066,W273,$AS$7:$AS$1066),0)</f>
      </c>
      <c r="AX273" s="748">
        <f>+MAX(IF(AV273&gt;AW273,AW273-AV272,AU273),0)</f>
      </c>
      <c r="AY273" s="748">
        <f>+AU273-AX273</f>
      </c>
      <c r="AZ273" s="331">
        <f>+$AM$1+IF($AP$1&gt;$AP$2,$AM$3/2)</f>
      </c>
    </row>
    <row x14ac:dyDescent="0.25" r="274" customHeight="1" ht="18.75">
      <c r="A274" s="1"/>
      <c r="B274" s="7"/>
      <c r="C274" s="170"/>
      <c r="D274" s="331">
        <v>267</v>
      </c>
      <c r="E274" s="544">
        <f>+DATE(YEAR(E273),MONTH(E273)-1,DAY(E273))</f>
        <v>25569.041666666668</v>
      </c>
      <c r="F274" s="333">
        <f>IF(DATE(YEAR($B$6),MONTH($B$6)+1,DAY(1))=E274,1,IF(MONTH(E274)=1,F275*(1+$F$5),F275))</f>
      </c>
      <c r="G274" s="333">
        <f>IF('Simulador - 1º Pilar'!$E$99="Sí",IF('Aportaciones PPE'!$B$13&lt;'Aportaciones PPE'!E274,0,F274*$B$8/12),F274*$B$8/12)</f>
      </c>
      <c r="H274" s="333">
        <f>$H$5*G274</f>
      </c>
      <c r="I274" s="333">
        <f>$I$5*G274</f>
      </c>
      <c r="J274" s="333">
        <f>+I274</f>
      </c>
      <c r="K274" s="333">
        <f>(1+$O$5)^(D274/12)*(H274+IF(AND(F274=1,F275=0),$S$4,0))</f>
      </c>
      <c r="L274" s="333">
        <f>(1+$O$5)^(D274/12)*(I274+IF(AND(F274=1,F275=0),0))</f>
      </c>
      <c r="M274" s="333">
        <f>+L274</f>
      </c>
      <c r="N274" s="333">
        <f>L274+K274+M274</f>
      </c>
      <c r="O274" s="170"/>
      <c r="P274" s="7"/>
      <c r="Q274" s="1"/>
      <c r="R274" s="331">
        <f>D274</f>
      </c>
      <c r="S274" s="169"/>
      <c r="T274" s="1"/>
      <c r="U274" s="217"/>
      <c r="V274" s="331">
        <f>+IF(V273=11,12,IF(V273=12,1,V273+1))</f>
      </c>
      <c r="W274" s="331">
        <f>+W273+IF(V273=12,1,0)</f>
      </c>
      <c r="X274" s="555">
        <f>+DATE(W274,V274,1)</f>
        <v>25569.041666666668</v>
      </c>
      <c r="Y274" s="333">
        <f>+_xlfn.IFNA(AN274+AS274+AX274,0)</f>
      </c>
      <c r="Z274" s="333">
        <f>+_xlfn.IFNA(AO274+AT274+AY274,0)</f>
      </c>
      <c r="AA274" s="333">
        <f>Y274*(1+$O$5)^(($B$7-X274)/365.25)</f>
      </c>
      <c r="AB274" s="333">
        <f>Z274*(1+$O$5)^(($B$7-X274)/365.25)</f>
      </c>
      <c r="AC274" s="1"/>
      <c r="AD274" s="1"/>
      <c r="AE274" s="1"/>
      <c r="AF274" s="111">
        <f>+MONTH(E274)&amp;YEAR(E274)</f>
      </c>
      <c r="AG274" s="217">
        <f>+I274</f>
      </c>
      <c r="AH274" s="217">
        <f>+J274</f>
      </c>
      <c r="AI274" s="217">
        <f>+H274</f>
      </c>
      <c r="AJ274" s="111">
        <f>+V274&amp;W274</f>
      </c>
      <c r="AK274" s="217">
        <f>+_xlfn.IFNA(VLOOKUP(AJ274,$AF$7:$AG$1066,2,0),0)</f>
      </c>
      <c r="AL274" s="217">
        <f>+IF(W274&gt;W273,AK274,AL273+AK274)</f>
      </c>
      <c r="AM274" s="217">
        <f>IF(W274&gt;W273,IF(AL274&gt;=$AZ$8,$AZ$8,AL274),IF(OR(AM273=$AZ$8,AM273=0),0,IF(AL274&gt;=$AZ$8,$AZ$8,AL274)))</f>
      </c>
      <c r="AN274" s="748">
        <f>+IF(OR(AM274&gt;AZ273,AM274=0),0,IF(AM274=AL274,AK274,$AZ$7-AL273))</f>
      </c>
      <c r="AO274" s="748">
        <f>+AK274-AN274</f>
      </c>
      <c r="AP274" s="217">
        <f>+_xlfn.IFNA(VLOOKUP(AJ274,$AF$7:$AI$1066,3,0),0)</f>
      </c>
      <c r="AQ274" s="217">
        <f>+IF(W274&gt;W273,AP274,AQ273+AP274)</f>
      </c>
      <c r="AR274" s="217">
        <f>+MAX($AM$2-SUMIF($W$7:$W$1066,W274,$AN$7:$AN$1066),0)</f>
      </c>
      <c r="AS274" s="748">
        <f>+MAX(IF(AQ274&gt;AR274,AR274-AQ273,AP274),0)</f>
      </c>
      <c r="AT274" s="748">
        <f>+AP274-AS274</f>
      </c>
      <c r="AU274" s="217">
        <f>+_xlfn.IFNA(VLOOKUP(AJ274,$AF$7:$AI$1066,4,0),0)</f>
      </c>
      <c r="AV274" s="217">
        <f>+IF(W274&gt;W273,AU274,AV273+AU274)</f>
      </c>
      <c r="AW274" s="217">
        <f>+MAX($AM$2-SUMIF($W$7:$W$1066,W274,$AN$7:$AN$1066)-SUMIF($W$7:$W$1066,W274,$AS$7:$AS$1066),0)</f>
      </c>
      <c r="AX274" s="748">
        <f>+MAX(IF(AV274&gt;AW274,AW274-AV273,AU274),0)</f>
      </c>
      <c r="AY274" s="748">
        <f>+AU274-AX274</f>
      </c>
      <c r="AZ274" s="331">
        <f>+$AM$1+IF($AP$1&gt;$AP$2,$AM$3/2)</f>
      </c>
    </row>
    <row x14ac:dyDescent="0.25" r="275" customHeight="1" ht="18.75">
      <c r="A275" s="1"/>
      <c r="B275" s="7"/>
      <c r="C275" s="170"/>
      <c r="D275" s="331">
        <v>268</v>
      </c>
      <c r="E275" s="544">
        <f>+DATE(YEAR(E274),MONTH(E274)-1,DAY(E274))</f>
        <v>25569.041666666668</v>
      </c>
      <c r="F275" s="333">
        <f>IF(DATE(YEAR($B$6),MONTH($B$6)+1,DAY(1))=E275,1,IF(MONTH(E275)=1,F276*(1+$F$5),F276))</f>
      </c>
      <c r="G275" s="333">
        <f>IF('Simulador - 1º Pilar'!$E$99="Sí",IF('Aportaciones PPE'!$B$13&lt;'Aportaciones PPE'!E275,0,F275*$B$8/12),F275*$B$8/12)</f>
      </c>
      <c r="H275" s="333">
        <f>$H$5*G275</f>
      </c>
      <c r="I275" s="333">
        <f>$I$5*G275</f>
      </c>
      <c r="J275" s="333">
        <f>+I275</f>
      </c>
      <c r="K275" s="333">
        <f>(1+$O$5)^(D275/12)*(H275+IF(AND(F275=1,F276=0),$S$4,0))</f>
      </c>
      <c r="L275" s="333">
        <f>(1+$O$5)^(D275/12)*(I275+IF(AND(F275=1,F276=0),0))</f>
      </c>
      <c r="M275" s="333">
        <f>+L275</f>
      </c>
      <c r="N275" s="333">
        <f>L275+K275+M275</f>
      </c>
      <c r="O275" s="170"/>
      <c r="P275" s="7"/>
      <c r="Q275" s="1"/>
      <c r="R275" s="331">
        <f>D275</f>
      </c>
      <c r="S275" s="169"/>
      <c r="T275" s="1"/>
      <c r="U275" s="217"/>
      <c r="V275" s="331">
        <f>+IF(V274=11,12,IF(V274=12,1,V274+1))</f>
      </c>
      <c r="W275" s="331">
        <f>+W274+IF(V274=12,1,0)</f>
      </c>
      <c r="X275" s="555">
        <f>+DATE(W275,V275,1)</f>
        <v>25569.041666666668</v>
      </c>
      <c r="Y275" s="333">
        <f>+_xlfn.IFNA(AN275+AS275+AX275,0)</f>
      </c>
      <c r="Z275" s="333">
        <f>+_xlfn.IFNA(AO275+AT275+AY275,0)</f>
      </c>
      <c r="AA275" s="333">
        <f>Y275*(1+$O$5)^(($B$7-X275)/365.25)</f>
      </c>
      <c r="AB275" s="333">
        <f>Z275*(1+$O$5)^(($B$7-X275)/365.25)</f>
      </c>
      <c r="AC275" s="1"/>
      <c r="AD275" s="1"/>
      <c r="AE275" s="1"/>
      <c r="AF275" s="111">
        <f>+MONTH(E275)&amp;YEAR(E275)</f>
      </c>
      <c r="AG275" s="217">
        <f>+I275</f>
      </c>
      <c r="AH275" s="217">
        <f>+J275</f>
      </c>
      <c r="AI275" s="217">
        <f>+H275</f>
      </c>
      <c r="AJ275" s="111">
        <f>+V275&amp;W275</f>
      </c>
      <c r="AK275" s="217">
        <f>+_xlfn.IFNA(VLOOKUP(AJ275,$AF$7:$AG$1066,2,0),0)</f>
      </c>
      <c r="AL275" s="217">
        <f>+IF(W275&gt;W274,AK275,AL274+AK275)</f>
      </c>
      <c r="AM275" s="217">
        <f>IF(W275&gt;W274,IF(AL275&gt;=$AZ$8,$AZ$8,AL275),IF(OR(AM274=$AZ$8,AM274=0),0,IF(AL275&gt;=$AZ$8,$AZ$8,AL275)))</f>
      </c>
      <c r="AN275" s="748">
        <f>+IF(OR(AM275&gt;AZ274,AM275=0),0,IF(AM275=AL275,AK275,$AZ$7-AL274))</f>
      </c>
      <c r="AO275" s="748">
        <f>+AK275-AN275</f>
      </c>
      <c r="AP275" s="217">
        <f>+_xlfn.IFNA(VLOOKUP(AJ275,$AF$7:$AI$1066,3,0),0)</f>
      </c>
      <c r="AQ275" s="217">
        <f>+IF(W275&gt;W274,AP275,AQ274+AP275)</f>
      </c>
      <c r="AR275" s="217">
        <f>+MAX($AM$2-SUMIF($W$7:$W$1066,W275,$AN$7:$AN$1066),0)</f>
      </c>
      <c r="AS275" s="748">
        <f>+MAX(IF(AQ275&gt;AR275,AR275-AQ274,AP275),0)</f>
      </c>
      <c r="AT275" s="748">
        <f>+AP275-AS275</f>
      </c>
      <c r="AU275" s="217">
        <f>+_xlfn.IFNA(VLOOKUP(AJ275,$AF$7:$AI$1066,4,0),0)</f>
      </c>
      <c r="AV275" s="217">
        <f>+IF(W275&gt;W274,AU275,AV274+AU275)</f>
      </c>
      <c r="AW275" s="217">
        <f>+MAX($AM$2-SUMIF($W$7:$W$1066,W275,$AN$7:$AN$1066)-SUMIF($W$7:$W$1066,W275,$AS$7:$AS$1066),0)</f>
      </c>
      <c r="AX275" s="748">
        <f>+MAX(IF(AV275&gt;AW275,AW275-AV274,AU275),0)</f>
      </c>
      <c r="AY275" s="748">
        <f>+AU275-AX275</f>
      </c>
      <c r="AZ275" s="331">
        <f>+$AM$1+IF($AP$1&gt;$AP$2,$AM$3/2)</f>
      </c>
    </row>
    <row x14ac:dyDescent="0.25" r="276" customHeight="1" ht="18.75">
      <c r="A276" s="1"/>
      <c r="B276" s="7"/>
      <c r="C276" s="170"/>
      <c r="D276" s="331">
        <v>269</v>
      </c>
      <c r="E276" s="544">
        <f>+DATE(YEAR(E275),MONTH(E275)-1,DAY(E275))</f>
        <v>25569.041666666668</v>
      </c>
      <c r="F276" s="333">
        <f>IF(DATE(YEAR($B$6),MONTH($B$6)+1,DAY(1))=E276,1,IF(MONTH(E276)=1,F277*(1+$F$5),F277))</f>
      </c>
      <c r="G276" s="333">
        <f>IF('Simulador - 1º Pilar'!$E$99="Sí",IF('Aportaciones PPE'!$B$13&lt;'Aportaciones PPE'!E276,0,F276*$B$8/12),F276*$B$8/12)</f>
      </c>
      <c r="H276" s="333">
        <f>$H$5*G276</f>
      </c>
      <c r="I276" s="333">
        <f>$I$5*G276</f>
      </c>
      <c r="J276" s="333">
        <f>+I276</f>
      </c>
      <c r="K276" s="333">
        <f>(1+$O$5)^(D276/12)*(H276+IF(AND(F276=1,F277=0),$S$4,0))</f>
      </c>
      <c r="L276" s="333">
        <f>(1+$O$5)^(D276/12)*(I276+IF(AND(F276=1,F277=0),0))</f>
      </c>
      <c r="M276" s="333">
        <f>+L276</f>
      </c>
      <c r="N276" s="333">
        <f>L276+K276+M276</f>
      </c>
      <c r="O276" s="170"/>
      <c r="P276" s="7"/>
      <c r="Q276" s="1"/>
      <c r="R276" s="331">
        <f>D276</f>
      </c>
      <c r="S276" s="169"/>
      <c r="T276" s="1"/>
      <c r="U276" s="217"/>
      <c r="V276" s="331">
        <f>+IF(V275=11,12,IF(V275=12,1,V275+1))</f>
      </c>
      <c r="W276" s="331">
        <f>+W275+IF(V275=12,1,0)</f>
      </c>
      <c r="X276" s="555">
        <f>+DATE(W276,V276,1)</f>
        <v>25569.041666666668</v>
      </c>
      <c r="Y276" s="333">
        <f>+_xlfn.IFNA(AN276+AS276+AX276,0)</f>
      </c>
      <c r="Z276" s="333">
        <f>+_xlfn.IFNA(AO276+AT276+AY276,0)</f>
      </c>
      <c r="AA276" s="333">
        <f>Y276*(1+$O$5)^(($B$7-X276)/365.25)</f>
      </c>
      <c r="AB276" s="333">
        <f>Z276*(1+$O$5)^(($B$7-X276)/365.25)</f>
      </c>
      <c r="AC276" s="1"/>
      <c r="AD276" s="1"/>
      <c r="AE276" s="1"/>
      <c r="AF276" s="111">
        <f>+MONTH(E276)&amp;YEAR(E276)</f>
      </c>
      <c r="AG276" s="217">
        <f>+I276</f>
      </c>
      <c r="AH276" s="217">
        <f>+J276</f>
      </c>
      <c r="AI276" s="217">
        <f>+H276</f>
      </c>
      <c r="AJ276" s="111">
        <f>+V276&amp;W276</f>
      </c>
      <c r="AK276" s="217">
        <f>+_xlfn.IFNA(VLOOKUP(AJ276,$AF$7:$AG$1066,2,0),0)</f>
      </c>
      <c r="AL276" s="217">
        <f>+IF(W276&gt;W275,AK276,AL275+AK276)</f>
      </c>
      <c r="AM276" s="217">
        <f>IF(W276&gt;W275,IF(AL276&gt;=$AZ$8,$AZ$8,AL276),IF(OR(AM275=$AZ$8,AM275=0),0,IF(AL276&gt;=$AZ$8,$AZ$8,AL276)))</f>
      </c>
      <c r="AN276" s="748">
        <f>+IF(OR(AM276&gt;AZ275,AM276=0),0,IF(AM276=AL276,AK276,$AZ$7-AL275))</f>
      </c>
      <c r="AO276" s="748">
        <f>+AK276-AN276</f>
      </c>
      <c r="AP276" s="217">
        <f>+_xlfn.IFNA(VLOOKUP(AJ276,$AF$7:$AI$1066,3,0),0)</f>
      </c>
      <c r="AQ276" s="217">
        <f>+IF(W276&gt;W275,AP276,AQ275+AP276)</f>
      </c>
      <c r="AR276" s="217">
        <f>+MAX($AM$2-SUMIF($W$7:$W$1066,W276,$AN$7:$AN$1066),0)</f>
      </c>
      <c r="AS276" s="748">
        <f>+MAX(IF(AQ276&gt;AR276,AR276-AQ275,AP276),0)</f>
      </c>
      <c r="AT276" s="748">
        <f>+AP276-AS276</f>
      </c>
      <c r="AU276" s="217">
        <f>+_xlfn.IFNA(VLOOKUP(AJ276,$AF$7:$AI$1066,4,0),0)</f>
      </c>
      <c r="AV276" s="217">
        <f>+IF(W276&gt;W275,AU276,AV275+AU276)</f>
      </c>
      <c r="AW276" s="217">
        <f>+MAX($AM$2-SUMIF($W$7:$W$1066,W276,$AN$7:$AN$1066)-SUMIF($W$7:$W$1066,W276,$AS$7:$AS$1066),0)</f>
      </c>
      <c r="AX276" s="748">
        <f>+MAX(IF(AV276&gt;AW276,AW276-AV275,AU276),0)</f>
      </c>
      <c r="AY276" s="748">
        <f>+AU276-AX276</f>
      </c>
      <c r="AZ276" s="331">
        <f>+$AM$1+IF($AP$1&gt;$AP$2,$AM$3/2)</f>
      </c>
    </row>
    <row x14ac:dyDescent="0.25" r="277" customHeight="1" ht="18.75">
      <c r="A277" s="1"/>
      <c r="B277" s="7"/>
      <c r="C277" s="170"/>
      <c r="D277" s="331">
        <v>270</v>
      </c>
      <c r="E277" s="544">
        <f>+DATE(YEAR(E276),MONTH(E276)-1,DAY(E276))</f>
        <v>25569.041666666668</v>
      </c>
      <c r="F277" s="333">
        <f>IF(DATE(YEAR($B$6),MONTH($B$6)+1,DAY(1))=E277,1,IF(MONTH(E277)=1,F278*(1+$F$5),F278))</f>
      </c>
      <c r="G277" s="333">
        <f>IF('Simulador - 1º Pilar'!$E$99="Sí",IF('Aportaciones PPE'!$B$13&lt;'Aportaciones PPE'!E277,0,F277*$B$8/12),F277*$B$8/12)</f>
      </c>
      <c r="H277" s="333">
        <f>$H$5*G277</f>
      </c>
      <c r="I277" s="333">
        <f>$I$5*G277</f>
      </c>
      <c r="J277" s="333">
        <f>+I277</f>
      </c>
      <c r="K277" s="333">
        <f>(1+$O$5)^(D277/12)*(H277+IF(AND(F277=1,F278=0),$S$4,0))</f>
      </c>
      <c r="L277" s="333">
        <f>(1+$O$5)^(D277/12)*(I277+IF(AND(F277=1,F278=0),0))</f>
      </c>
      <c r="M277" s="333">
        <f>+L277</f>
      </c>
      <c r="N277" s="333">
        <f>L277+K277+M277</f>
      </c>
      <c r="O277" s="170"/>
      <c r="P277" s="7"/>
      <c r="Q277" s="1"/>
      <c r="R277" s="331">
        <f>D277</f>
      </c>
      <c r="S277" s="169"/>
      <c r="T277" s="1"/>
      <c r="U277" s="217"/>
      <c r="V277" s="331">
        <f>+IF(V276=11,12,IF(V276=12,1,V276+1))</f>
      </c>
      <c r="W277" s="331">
        <f>+W276+IF(V276=12,1,0)</f>
      </c>
      <c r="X277" s="555">
        <f>+DATE(W277,V277,1)</f>
        <v>25569.041666666668</v>
      </c>
      <c r="Y277" s="333">
        <f>+_xlfn.IFNA(AN277+AS277+AX277,0)</f>
      </c>
      <c r="Z277" s="333">
        <f>+_xlfn.IFNA(AO277+AT277+AY277,0)</f>
      </c>
      <c r="AA277" s="333">
        <f>Y277*(1+$O$5)^(($B$7-X277)/365.25)</f>
      </c>
      <c r="AB277" s="333">
        <f>Z277*(1+$O$5)^(($B$7-X277)/365.25)</f>
      </c>
      <c r="AC277" s="1"/>
      <c r="AD277" s="1"/>
      <c r="AE277" s="1"/>
      <c r="AF277" s="111">
        <f>+MONTH(E277)&amp;YEAR(E277)</f>
      </c>
      <c r="AG277" s="217">
        <f>+I277</f>
      </c>
      <c r="AH277" s="217">
        <f>+J277</f>
      </c>
      <c r="AI277" s="217">
        <f>+H277</f>
      </c>
      <c r="AJ277" s="111">
        <f>+V277&amp;W277</f>
      </c>
      <c r="AK277" s="217">
        <f>+_xlfn.IFNA(VLOOKUP(AJ277,$AF$7:$AG$1066,2,0),0)</f>
      </c>
      <c r="AL277" s="217">
        <f>+IF(W277&gt;W276,AK277,AL276+AK277)</f>
      </c>
      <c r="AM277" s="217">
        <f>IF(W277&gt;W276,IF(AL277&gt;=$AZ$8,$AZ$8,AL277),IF(OR(AM276=$AZ$8,AM276=0),0,IF(AL277&gt;=$AZ$8,$AZ$8,AL277)))</f>
      </c>
      <c r="AN277" s="748">
        <f>+IF(OR(AM277&gt;AZ276,AM277=0),0,IF(AM277=AL277,AK277,$AZ$7-AL276))</f>
      </c>
      <c r="AO277" s="748">
        <f>+AK277-AN277</f>
      </c>
      <c r="AP277" s="217">
        <f>+_xlfn.IFNA(VLOOKUP(AJ277,$AF$7:$AI$1066,3,0),0)</f>
      </c>
      <c r="AQ277" s="217">
        <f>+IF(W277&gt;W276,AP277,AQ276+AP277)</f>
      </c>
      <c r="AR277" s="217">
        <f>+MAX($AM$2-SUMIF($W$7:$W$1066,W277,$AN$7:$AN$1066),0)</f>
      </c>
      <c r="AS277" s="748">
        <f>+MAX(IF(AQ277&gt;AR277,AR277-AQ276,AP277),0)</f>
      </c>
      <c r="AT277" s="748">
        <f>+AP277-AS277</f>
      </c>
      <c r="AU277" s="217">
        <f>+_xlfn.IFNA(VLOOKUP(AJ277,$AF$7:$AI$1066,4,0),0)</f>
      </c>
      <c r="AV277" s="217">
        <f>+IF(W277&gt;W276,AU277,AV276+AU277)</f>
      </c>
      <c r="AW277" s="217">
        <f>+MAX($AM$2-SUMIF($W$7:$W$1066,W277,$AN$7:$AN$1066)-SUMIF($W$7:$W$1066,W277,$AS$7:$AS$1066),0)</f>
      </c>
      <c r="AX277" s="748">
        <f>+MAX(IF(AV277&gt;AW277,AW277-AV276,AU277),0)</f>
      </c>
      <c r="AY277" s="748">
        <f>+AU277-AX277</f>
      </c>
      <c r="AZ277" s="331">
        <f>+$AM$1+IF($AP$1&gt;$AP$2,$AM$3/2)</f>
      </c>
    </row>
    <row x14ac:dyDescent="0.25" r="278" customHeight="1" ht="18.75">
      <c r="A278" s="1"/>
      <c r="B278" s="7"/>
      <c r="C278" s="170"/>
      <c r="D278" s="331">
        <v>271</v>
      </c>
      <c r="E278" s="544">
        <f>+DATE(YEAR(E277),MONTH(E277)-1,DAY(E277))</f>
        <v>25569.041666666668</v>
      </c>
      <c r="F278" s="333">
        <f>IF(DATE(YEAR($B$6),MONTH($B$6)+1,DAY(1))=E278,1,IF(MONTH(E278)=1,F279*(1+$F$5),F279))</f>
      </c>
      <c r="G278" s="333">
        <f>IF('Simulador - 1º Pilar'!$E$99="Sí",IF('Aportaciones PPE'!$B$13&lt;'Aportaciones PPE'!E278,0,F278*$B$8/12),F278*$B$8/12)</f>
      </c>
      <c r="H278" s="333">
        <f>$H$5*G278</f>
      </c>
      <c r="I278" s="333">
        <f>$I$5*G278</f>
      </c>
      <c r="J278" s="333">
        <f>+I278</f>
      </c>
      <c r="K278" s="333">
        <f>(1+$O$5)^(D278/12)*(H278+IF(AND(F278=1,F279=0),$S$4,0))</f>
      </c>
      <c r="L278" s="333">
        <f>(1+$O$5)^(D278/12)*(I278+IF(AND(F278=1,F279=0),0))</f>
      </c>
      <c r="M278" s="333">
        <f>+L278</f>
      </c>
      <c r="N278" s="333">
        <f>L278+K278+M278</f>
      </c>
      <c r="O278" s="170"/>
      <c r="P278" s="7"/>
      <c r="Q278" s="1"/>
      <c r="R278" s="331">
        <f>D278</f>
      </c>
      <c r="S278" s="169"/>
      <c r="T278" s="1"/>
      <c r="U278" s="217"/>
      <c r="V278" s="331">
        <f>+IF(V277=11,12,IF(V277=12,1,V277+1))</f>
      </c>
      <c r="W278" s="331">
        <f>+W277+IF(V277=12,1,0)</f>
      </c>
      <c r="X278" s="555">
        <f>+DATE(W278,V278,1)</f>
        <v>25569.041666666668</v>
      </c>
      <c r="Y278" s="333">
        <f>+_xlfn.IFNA(AN278+AS278+AX278,0)</f>
      </c>
      <c r="Z278" s="333">
        <f>+_xlfn.IFNA(AO278+AT278+AY278,0)</f>
      </c>
      <c r="AA278" s="333">
        <f>Y278*(1+$O$5)^(($B$7-X278)/365.25)</f>
      </c>
      <c r="AB278" s="333">
        <f>Z278*(1+$O$5)^(($B$7-X278)/365.25)</f>
      </c>
      <c r="AC278" s="1"/>
      <c r="AD278" s="1"/>
      <c r="AE278" s="1"/>
      <c r="AF278" s="111">
        <f>+MONTH(E278)&amp;YEAR(E278)</f>
      </c>
      <c r="AG278" s="217">
        <f>+I278</f>
      </c>
      <c r="AH278" s="217">
        <f>+J278</f>
      </c>
      <c r="AI278" s="217">
        <f>+H278</f>
      </c>
      <c r="AJ278" s="111">
        <f>+V278&amp;W278</f>
      </c>
      <c r="AK278" s="217">
        <f>+_xlfn.IFNA(VLOOKUP(AJ278,$AF$7:$AG$1066,2,0),0)</f>
      </c>
      <c r="AL278" s="217">
        <f>+IF(W278&gt;W277,AK278,AL277+AK278)</f>
      </c>
      <c r="AM278" s="217">
        <f>IF(W278&gt;W277,IF(AL278&gt;=$AZ$8,$AZ$8,AL278),IF(OR(AM277=$AZ$8,AM277=0),0,IF(AL278&gt;=$AZ$8,$AZ$8,AL278)))</f>
      </c>
      <c r="AN278" s="748">
        <f>+IF(OR(AM278&gt;AZ277,AM278=0),0,IF(AM278=AL278,AK278,$AZ$7-AL277))</f>
      </c>
      <c r="AO278" s="748">
        <f>+AK278-AN278</f>
      </c>
      <c r="AP278" s="217">
        <f>+_xlfn.IFNA(VLOOKUP(AJ278,$AF$7:$AI$1066,3,0),0)</f>
      </c>
      <c r="AQ278" s="217">
        <f>+IF(W278&gt;W277,AP278,AQ277+AP278)</f>
      </c>
      <c r="AR278" s="217">
        <f>+MAX($AM$2-SUMIF($W$7:$W$1066,W278,$AN$7:$AN$1066),0)</f>
      </c>
      <c r="AS278" s="748">
        <f>+MAX(IF(AQ278&gt;AR278,AR278-AQ277,AP278),0)</f>
      </c>
      <c r="AT278" s="748">
        <f>+AP278-AS278</f>
      </c>
      <c r="AU278" s="217">
        <f>+_xlfn.IFNA(VLOOKUP(AJ278,$AF$7:$AI$1066,4,0),0)</f>
      </c>
      <c r="AV278" s="217">
        <f>+IF(W278&gt;W277,AU278,AV277+AU278)</f>
      </c>
      <c r="AW278" s="217">
        <f>+MAX($AM$2-SUMIF($W$7:$W$1066,W278,$AN$7:$AN$1066)-SUMIF($W$7:$W$1066,W278,$AS$7:$AS$1066),0)</f>
      </c>
      <c r="AX278" s="748">
        <f>+MAX(IF(AV278&gt;AW278,AW278-AV277,AU278),0)</f>
      </c>
      <c r="AY278" s="748">
        <f>+AU278-AX278</f>
      </c>
      <c r="AZ278" s="331">
        <f>+$AM$1+IF($AP$1&gt;$AP$2,$AM$3/2)</f>
      </c>
    </row>
    <row x14ac:dyDescent="0.25" r="279" customHeight="1" ht="18.75">
      <c r="A279" s="1"/>
      <c r="B279" s="7"/>
      <c r="C279" s="170"/>
      <c r="D279" s="331">
        <v>272</v>
      </c>
      <c r="E279" s="544">
        <f>+DATE(YEAR(E278),MONTH(E278)-1,DAY(E278))</f>
        <v>25569.041666666668</v>
      </c>
      <c r="F279" s="333">
        <f>IF(DATE(YEAR($B$6),MONTH($B$6)+1,DAY(1))=E279,1,IF(MONTH(E279)=1,F280*(1+$F$5),F280))</f>
      </c>
      <c r="G279" s="333">
        <f>IF('Simulador - 1º Pilar'!$E$99="Sí",IF('Aportaciones PPE'!$B$13&lt;'Aportaciones PPE'!E279,0,F279*$B$8/12),F279*$B$8/12)</f>
      </c>
      <c r="H279" s="333">
        <f>$H$5*G279</f>
      </c>
      <c r="I279" s="333">
        <f>$I$5*G279</f>
      </c>
      <c r="J279" s="333">
        <f>+I279</f>
      </c>
      <c r="K279" s="333">
        <f>(1+$O$5)^(D279/12)*(H279+IF(AND(F279=1,F280=0),$S$4,0))</f>
      </c>
      <c r="L279" s="333">
        <f>(1+$O$5)^(D279/12)*(I279+IF(AND(F279=1,F280=0),0))</f>
      </c>
      <c r="M279" s="333">
        <f>+L279</f>
      </c>
      <c r="N279" s="333">
        <f>L279+K279+M279</f>
      </c>
      <c r="O279" s="170"/>
      <c r="P279" s="7"/>
      <c r="Q279" s="1"/>
      <c r="R279" s="331">
        <f>D279</f>
      </c>
      <c r="S279" s="169"/>
      <c r="T279" s="1"/>
      <c r="U279" s="217"/>
      <c r="V279" s="331">
        <f>+IF(V278=11,12,IF(V278=12,1,V278+1))</f>
      </c>
      <c r="W279" s="331">
        <f>+W278+IF(V278=12,1,0)</f>
      </c>
      <c r="X279" s="555">
        <f>+DATE(W279,V279,1)</f>
        <v>25569.041666666668</v>
      </c>
      <c r="Y279" s="333">
        <f>+_xlfn.IFNA(AN279+AS279+AX279,0)</f>
      </c>
      <c r="Z279" s="333">
        <f>+_xlfn.IFNA(AO279+AT279+AY279,0)</f>
      </c>
      <c r="AA279" s="333">
        <f>Y279*(1+$O$5)^(($B$7-X279)/365.25)</f>
      </c>
      <c r="AB279" s="333">
        <f>Z279*(1+$O$5)^(($B$7-X279)/365.25)</f>
      </c>
      <c r="AC279" s="1"/>
      <c r="AD279" s="1"/>
      <c r="AE279" s="1"/>
      <c r="AF279" s="111">
        <f>+MONTH(E279)&amp;YEAR(E279)</f>
      </c>
      <c r="AG279" s="217">
        <f>+I279</f>
      </c>
      <c r="AH279" s="217">
        <f>+J279</f>
      </c>
      <c r="AI279" s="217">
        <f>+H279</f>
      </c>
      <c r="AJ279" s="111">
        <f>+V279&amp;W279</f>
      </c>
      <c r="AK279" s="217">
        <f>+_xlfn.IFNA(VLOOKUP(AJ279,$AF$7:$AG$1066,2,0),0)</f>
      </c>
      <c r="AL279" s="217">
        <f>+IF(W279&gt;W278,AK279,AL278+AK279)</f>
      </c>
      <c r="AM279" s="217">
        <f>IF(W279&gt;W278,IF(AL279&gt;=$AZ$8,$AZ$8,AL279),IF(OR(AM278=$AZ$8,AM278=0),0,IF(AL279&gt;=$AZ$8,$AZ$8,AL279)))</f>
      </c>
      <c r="AN279" s="748">
        <f>+IF(OR(AM279&gt;AZ278,AM279=0),0,IF(AM279=AL279,AK279,$AZ$7-AL278))</f>
      </c>
      <c r="AO279" s="748">
        <f>+AK279-AN279</f>
      </c>
      <c r="AP279" s="217">
        <f>+_xlfn.IFNA(VLOOKUP(AJ279,$AF$7:$AI$1066,3,0),0)</f>
      </c>
      <c r="AQ279" s="217">
        <f>+IF(W279&gt;W278,AP279,AQ278+AP279)</f>
      </c>
      <c r="AR279" s="217">
        <f>+MAX($AM$2-SUMIF($W$7:$W$1066,W279,$AN$7:$AN$1066),0)</f>
      </c>
      <c r="AS279" s="748">
        <f>+MAX(IF(AQ279&gt;AR279,AR279-AQ278,AP279),0)</f>
      </c>
      <c r="AT279" s="748">
        <f>+AP279-AS279</f>
      </c>
      <c r="AU279" s="217">
        <f>+_xlfn.IFNA(VLOOKUP(AJ279,$AF$7:$AI$1066,4,0),0)</f>
      </c>
      <c r="AV279" s="217">
        <f>+IF(W279&gt;W278,AU279,AV278+AU279)</f>
      </c>
      <c r="AW279" s="217">
        <f>+MAX($AM$2-SUMIF($W$7:$W$1066,W279,$AN$7:$AN$1066)-SUMIF($W$7:$W$1066,W279,$AS$7:$AS$1066),0)</f>
      </c>
      <c r="AX279" s="748">
        <f>+MAX(IF(AV279&gt;AW279,AW279-AV278,AU279),0)</f>
      </c>
      <c r="AY279" s="748">
        <f>+AU279-AX279</f>
      </c>
      <c r="AZ279" s="331">
        <f>+$AM$1+IF($AP$1&gt;$AP$2,$AM$3/2)</f>
      </c>
    </row>
    <row x14ac:dyDescent="0.25" r="280" customHeight="1" ht="18.75">
      <c r="A280" s="1"/>
      <c r="B280" s="7"/>
      <c r="C280" s="170"/>
      <c r="D280" s="331">
        <v>273</v>
      </c>
      <c r="E280" s="544">
        <f>+DATE(YEAR(E279),MONTH(E279)-1,DAY(E279))</f>
        <v>25569.041666666668</v>
      </c>
      <c r="F280" s="333">
        <f>IF(DATE(YEAR($B$6),MONTH($B$6)+1,DAY(1))=E280,1,IF(MONTH(E280)=1,F281*(1+$F$5),F281))</f>
      </c>
      <c r="G280" s="333">
        <f>IF('Simulador - 1º Pilar'!$E$99="Sí",IF('Aportaciones PPE'!$B$13&lt;'Aportaciones PPE'!E280,0,F280*$B$8/12),F280*$B$8/12)</f>
      </c>
      <c r="H280" s="333">
        <f>$H$5*G280</f>
      </c>
      <c r="I280" s="333">
        <f>$I$5*G280</f>
      </c>
      <c r="J280" s="333">
        <f>+I280</f>
      </c>
      <c r="K280" s="333">
        <f>(1+$O$5)^(D280/12)*(H280+IF(AND(F280=1,F281=0),$S$4,0))</f>
      </c>
      <c r="L280" s="333">
        <f>(1+$O$5)^(D280/12)*(I280+IF(AND(F280=1,F281=0),0))</f>
      </c>
      <c r="M280" s="333">
        <f>+L280</f>
      </c>
      <c r="N280" s="333">
        <f>L280+K280+M280</f>
      </c>
      <c r="O280" s="170"/>
      <c r="P280" s="7"/>
      <c r="Q280" s="1"/>
      <c r="R280" s="331">
        <f>D280</f>
      </c>
      <c r="S280" s="169"/>
      <c r="T280" s="1"/>
      <c r="U280" s="217"/>
      <c r="V280" s="331">
        <f>+IF(V279=11,12,IF(V279=12,1,V279+1))</f>
      </c>
      <c r="W280" s="331">
        <f>+W279+IF(V279=12,1,0)</f>
      </c>
      <c r="X280" s="555">
        <f>+DATE(W280,V280,1)</f>
        <v>25569.041666666668</v>
      </c>
      <c r="Y280" s="333">
        <f>+_xlfn.IFNA(AN280+AS280+AX280,0)</f>
      </c>
      <c r="Z280" s="333">
        <f>+_xlfn.IFNA(AO280+AT280+AY280,0)</f>
      </c>
      <c r="AA280" s="333">
        <f>Y280*(1+$O$5)^(($B$7-X280)/365.25)</f>
      </c>
      <c r="AB280" s="333">
        <f>Z280*(1+$O$5)^(($B$7-X280)/365.25)</f>
      </c>
      <c r="AC280" s="1"/>
      <c r="AD280" s="1"/>
      <c r="AE280" s="1"/>
      <c r="AF280" s="111">
        <f>+MONTH(E280)&amp;YEAR(E280)</f>
      </c>
      <c r="AG280" s="217">
        <f>+I280</f>
      </c>
      <c r="AH280" s="217">
        <f>+J280</f>
      </c>
      <c r="AI280" s="217">
        <f>+H280</f>
      </c>
      <c r="AJ280" s="111">
        <f>+V280&amp;W280</f>
      </c>
      <c r="AK280" s="217">
        <f>+_xlfn.IFNA(VLOOKUP(AJ280,$AF$7:$AG$1066,2,0),0)</f>
      </c>
      <c r="AL280" s="217">
        <f>+IF(W280&gt;W279,AK280,AL279+AK280)</f>
      </c>
      <c r="AM280" s="217">
        <f>IF(W280&gt;W279,IF(AL280&gt;=$AZ$8,$AZ$8,AL280),IF(OR(AM279=$AZ$8,AM279=0),0,IF(AL280&gt;=$AZ$8,$AZ$8,AL280)))</f>
      </c>
      <c r="AN280" s="748">
        <f>+IF(OR(AM280&gt;AZ279,AM280=0),0,IF(AM280=AL280,AK280,$AZ$7-AL279))</f>
      </c>
      <c r="AO280" s="748">
        <f>+AK280-AN280</f>
      </c>
      <c r="AP280" s="217">
        <f>+_xlfn.IFNA(VLOOKUP(AJ280,$AF$7:$AI$1066,3,0),0)</f>
      </c>
      <c r="AQ280" s="217">
        <f>+IF(W280&gt;W279,AP280,AQ279+AP280)</f>
      </c>
      <c r="AR280" s="217">
        <f>+MAX($AM$2-SUMIF($W$7:$W$1066,W280,$AN$7:$AN$1066),0)</f>
      </c>
      <c r="AS280" s="748">
        <f>+MAX(IF(AQ280&gt;AR280,AR280-AQ279,AP280),0)</f>
      </c>
      <c r="AT280" s="748">
        <f>+AP280-AS280</f>
      </c>
      <c r="AU280" s="217">
        <f>+_xlfn.IFNA(VLOOKUP(AJ280,$AF$7:$AI$1066,4,0),0)</f>
      </c>
      <c r="AV280" s="217">
        <f>+IF(W280&gt;W279,AU280,AV279+AU280)</f>
      </c>
      <c r="AW280" s="217">
        <f>+MAX($AM$2-SUMIF($W$7:$W$1066,W280,$AN$7:$AN$1066)-SUMIF($W$7:$W$1066,W280,$AS$7:$AS$1066),0)</f>
      </c>
      <c r="AX280" s="748">
        <f>+MAX(IF(AV280&gt;AW280,AW280-AV279,AU280),0)</f>
      </c>
      <c r="AY280" s="748">
        <f>+AU280-AX280</f>
      </c>
      <c r="AZ280" s="331">
        <f>+$AM$1+IF($AP$1&gt;$AP$2,$AM$3/2)</f>
      </c>
    </row>
    <row x14ac:dyDescent="0.25" r="281" customHeight="1" ht="18.75">
      <c r="A281" s="1"/>
      <c r="B281" s="7"/>
      <c r="C281" s="170"/>
      <c r="D281" s="331">
        <v>274</v>
      </c>
      <c r="E281" s="544">
        <f>+DATE(YEAR(E280),MONTH(E280)-1,DAY(E280))</f>
        <v>25569.041666666668</v>
      </c>
      <c r="F281" s="333">
        <f>IF(DATE(YEAR($B$6),MONTH($B$6)+1,DAY(1))=E281,1,IF(MONTH(E281)=1,F282*(1+$F$5),F282))</f>
      </c>
      <c r="G281" s="333">
        <f>IF('Simulador - 1º Pilar'!$E$99="Sí",IF('Aportaciones PPE'!$B$13&lt;'Aportaciones PPE'!E281,0,F281*$B$8/12),F281*$B$8/12)</f>
      </c>
      <c r="H281" s="333">
        <f>$H$5*G281</f>
      </c>
      <c r="I281" s="333">
        <f>$I$5*G281</f>
      </c>
      <c r="J281" s="333">
        <f>+I281</f>
      </c>
      <c r="K281" s="333">
        <f>(1+$O$5)^(D281/12)*(H281+IF(AND(F281=1,F282=0),$S$4,0))</f>
      </c>
      <c r="L281" s="333">
        <f>(1+$O$5)^(D281/12)*(I281+IF(AND(F281=1,F282=0),0))</f>
      </c>
      <c r="M281" s="333">
        <f>+L281</f>
      </c>
      <c r="N281" s="333">
        <f>L281+K281+M281</f>
      </c>
      <c r="O281" s="170"/>
      <c r="P281" s="7"/>
      <c r="Q281" s="1"/>
      <c r="R281" s="331">
        <f>D281</f>
      </c>
      <c r="S281" s="169"/>
      <c r="T281" s="1"/>
      <c r="U281" s="217"/>
      <c r="V281" s="331">
        <f>+IF(V280=11,12,IF(V280=12,1,V280+1))</f>
      </c>
      <c r="W281" s="331">
        <f>+W280+IF(V280=12,1,0)</f>
      </c>
      <c r="X281" s="555">
        <f>+DATE(W281,V281,1)</f>
        <v>25569.041666666668</v>
      </c>
      <c r="Y281" s="333">
        <f>+_xlfn.IFNA(AN281+AS281+AX281,0)</f>
      </c>
      <c r="Z281" s="333">
        <f>+_xlfn.IFNA(AO281+AT281+AY281,0)</f>
      </c>
      <c r="AA281" s="333">
        <f>Y281*(1+$O$5)^(($B$7-X281)/365.25)</f>
      </c>
      <c r="AB281" s="333">
        <f>Z281*(1+$O$5)^(($B$7-X281)/365.25)</f>
      </c>
      <c r="AC281" s="1"/>
      <c r="AD281" s="1"/>
      <c r="AE281" s="1"/>
      <c r="AF281" s="111">
        <f>+MONTH(E281)&amp;YEAR(E281)</f>
      </c>
      <c r="AG281" s="217">
        <f>+I281</f>
      </c>
      <c r="AH281" s="217">
        <f>+J281</f>
      </c>
      <c r="AI281" s="217">
        <f>+H281</f>
      </c>
      <c r="AJ281" s="111">
        <f>+V281&amp;W281</f>
      </c>
      <c r="AK281" s="217">
        <f>+_xlfn.IFNA(VLOOKUP(AJ281,$AF$7:$AG$1066,2,0),0)</f>
      </c>
      <c r="AL281" s="217">
        <f>+IF(W281&gt;W280,AK281,AL280+AK281)</f>
      </c>
      <c r="AM281" s="217">
        <f>IF(W281&gt;W280,IF(AL281&gt;=$AZ$8,$AZ$8,AL281),IF(OR(AM280=$AZ$8,AM280=0),0,IF(AL281&gt;=$AZ$8,$AZ$8,AL281)))</f>
      </c>
      <c r="AN281" s="748">
        <f>+IF(OR(AM281&gt;AZ280,AM281=0),0,IF(AM281=AL281,AK281,$AZ$7-AL280))</f>
      </c>
      <c r="AO281" s="748">
        <f>+AK281-AN281</f>
      </c>
      <c r="AP281" s="217">
        <f>+_xlfn.IFNA(VLOOKUP(AJ281,$AF$7:$AI$1066,3,0),0)</f>
      </c>
      <c r="AQ281" s="217">
        <f>+IF(W281&gt;W280,AP281,AQ280+AP281)</f>
      </c>
      <c r="AR281" s="217">
        <f>+MAX($AM$2-SUMIF($W$7:$W$1066,W281,$AN$7:$AN$1066),0)</f>
      </c>
      <c r="AS281" s="748">
        <f>+MAX(IF(AQ281&gt;AR281,AR281-AQ280,AP281),0)</f>
      </c>
      <c r="AT281" s="748">
        <f>+AP281-AS281</f>
      </c>
      <c r="AU281" s="217">
        <f>+_xlfn.IFNA(VLOOKUP(AJ281,$AF$7:$AI$1066,4,0),0)</f>
      </c>
      <c r="AV281" s="217">
        <f>+IF(W281&gt;W280,AU281,AV280+AU281)</f>
      </c>
      <c r="AW281" s="217">
        <f>+MAX($AM$2-SUMIF($W$7:$W$1066,W281,$AN$7:$AN$1066)-SUMIF($W$7:$W$1066,W281,$AS$7:$AS$1066),0)</f>
      </c>
      <c r="AX281" s="748">
        <f>+MAX(IF(AV281&gt;AW281,AW281-AV280,AU281),0)</f>
      </c>
      <c r="AY281" s="748">
        <f>+AU281-AX281</f>
      </c>
      <c r="AZ281" s="331">
        <f>+$AM$1+IF($AP$1&gt;$AP$2,$AM$3/2)</f>
      </c>
    </row>
    <row x14ac:dyDescent="0.25" r="282" customHeight="1" ht="18.75">
      <c r="A282" s="1"/>
      <c r="B282" s="7"/>
      <c r="C282" s="170"/>
      <c r="D282" s="331">
        <v>275</v>
      </c>
      <c r="E282" s="544">
        <f>+DATE(YEAR(E281),MONTH(E281)-1,DAY(E281))</f>
        <v>25569.041666666668</v>
      </c>
      <c r="F282" s="333">
        <f>IF(DATE(YEAR($B$6),MONTH($B$6)+1,DAY(1))=E282,1,IF(MONTH(E282)=1,F283*(1+$F$5),F283))</f>
      </c>
      <c r="G282" s="333">
        <f>IF('Simulador - 1º Pilar'!$E$99="Sí",IF('Aportaciones PPE'!$B$13&lt;'Aportaciones PPE'!E282,0,F282*$B$8/12),F282*$B$8/12)</f>
      </c>
      <c r="H282" s="333">
        <f>$H$5*G282</f>
      </c>
      <c r="I282" s="333">
        <f>$I$5*G282</f>
      </c>
      <c r="J282" s="333">
        <f>+I282</f>
      </c>
      <c r="K282" s="333">
        <f>(1+$O$5)^(D282/12)*(H282+IF(AND(F282=1,F283=0),$S$4,0))</f>
      </c>
      <c r="L282" s="333">
        <f>(1+$O$5)^(D282/12)*(I282+IF(AND(F282=1,F283=0),0))</f>
      </c>
      <c r="M282" s="333">
        <f>+L282</f>
      </c>
      <c r="N282" s="333">
        <f>L282+K282+M282</f>
      </c>
      <c r="O282" s="170"/>
      <c r="P282" s="7"/>
      <c r="Q282" s="1"/>
      <c r="R282" s="331">
        <f>D282</f>
      </c>
      <c r="S282" s="169"/>
      <c r="T282" s="1"/>
      <c r="U282" s="217"/>
      <c r="V282" s="331">
        <f>+IF(V281=11,12,IF(V281=12,1,V281+1))</f>
      </c>
      <c r="W282" s="331">
        <f>+W281+IF(V281=12,1,0)</f>
      </c>
      <c r="X282" s="555">
        <f>+DATE(W282,V282,1)</f>
        <v>25569.041666666668</v>
      </c>
      <c r="Y282" s="333">
        <f>+_xlfn.IFNA(AN282+AS282+AX282,0)</f>
      </c>
      <c r="Z282" s="333">
        <f>+_xlfn.IFNA(AO282+AT282+AY282,0)</f>
      </c>
      <c r="AA282" s="333">
        <f>Y282*(1+$O$5)^(($B$7-X282)/365.25)</f>
      </c>
      <c r="AB282" s="333">
        <f>Z282*(1+$O$5)^(($B$7-X282)/365.25)</f>
      </c>
      <c r="AC282" s="1"/>
      <c r="AD282" s="1"/>
      <c r="AE282" s="1"/>
      <c r="AF282" s="111">
        <f>+MONTH(E282)&amp;YEAR(E282)</f>
      </c>
      <c r="AG282" s="217">
        <f>+I282</f>
      </c>
      <c r="AH282" s="217">
        <f>+J282</f>
      </c>
      <c r="AI282" s="217">
        <f>+H282</f>
      </c>
      <c r="AJ282" s="111">
        <f>+V282&amp;W282</f>
      </c>
      <c r="AK282" s="217">
        <f>+_xlfn.IFNA(VLOOKUP(AJ282,$AF$7:$AG$1066,2,0),0)</f>
      </c>
      <c r="AL282" s="217">
        <f>+IF(W282&gt;W281,AK282,AL281+AK282)</f>
      </c>
      <c r="AM282" s="217">
        <f>IF(W282&gt;W281,IF(AL282&gt;=$AZ$8,$AZ$8,AL282),IF(OR(AM281=$AZ$8,AM281=0),0,IF(AL282&gt;=$AZ$8,$AZ$8,AL282)))</f>
      </c>
      <c r="AN282" s="748">
        <f>+IF(OR(AM282&gt;AZ281,AM282=0),0,IF(AM282=AL282,AK282,$AZ$7-AL281))</f>
      </c>
      <c r="AO282" s="748">
        <f>+AK282-AN282</f>
      </c>
      <c r="AP282" s="217">
        <f>+_xlfn.IFNA(VLOOKUP(AJ282,$AF$7:$AI$1066,3,0),0)</f>
      </c>
      <c r="AQ282" s="217">
        <f>+IF(W282&gt;W281,AP282,AQ281+AP282)</f>
      </c>
      <c r="AR282" s="217">
        <f>+MAX($AM$2-SUMIF($W$7:$W$1066,W282,$AN$7:$AN$1066),0)</f>
      </c>
      <c r="AS282" s="748">
        <f>+MAX(IF(AQ282&gt;AR282,AR282-AQ281,AP282),0)</f>
      </c>
      <c r="AT282" s="748">
        <f>+AP282-AS282</f>
      </c>
      <c r="AU282" s="217">
        <f>+_xlfn.IFNA(VLOOKUP(AJ282,$AF$7:$AI$1066,4,0),0)</f>
      </c>
      <c r="AV282" s="217">
        <f>+IF(W282&gt;W281,AU282,AV281+AU282)</f>
      </c>
      <c r="AW282" s="217">
        <f>+MAX($AM$2-SUMIF($W$7:$W$1066,W282,$AN$7:$AN$1066)-SUMIF($W$7:$W$1066,W282,$AS$7:$AS$1066),0)</f>
      </c>
      <c r="AX282" s="748">
        <f>+MAX(IF(AV282&gt;AW282,AW282-AV281,AU282),0)</f>
      </c>
      <c r="AY282" s="748">
        <f>+AU282-AX282</f>
      </c>
      <c r="AZ282" s="331">
        <f>+$AM$1+IF($AP$1&gt;$AP$2,$AM$3/2)</f>
      </c>
    </row>
    <row x14ac:dyDescent="0.25" r="283" customHeight="1" ht="18.75">
      <c r="A283" s="1"/>
      <c r="B283" s="7"/>
      <c r="C283" s="170"/>
      <c r="D283" s="331">
        <v>276</v>
      </c>
      <c r="E283" s="544">
        <f>+DATE(YEAR(E282),MONTH(E282)-1,DAY(E282))</f>
        <v>25569.041666666668</v>
      </c>
      <c r="F283" s="333">
        <f>IF(DATE(YEAR($B$6),MONTH($B$6)+1,DAY(1))=E283,1,IF(MONTH(E283)=1,F284*(1+$F$5),F284))</f>
      </c>
      <c r="G283" s="333">
        <f>IF('Simulador - 1º Pilar'!$E$99="Sí",IF('Aportaciones PPE'!$B$13&lt;'Aportaciones PPE'!E283,0,F283*$B$8/12),F283*$B$8/12)</f>
      </c>
      <c r="H283" s="333">
        <f>$H$5*G283</f>
      </c>
      <c r="I283" s="333">
        <f>$I$5*G283</f>
      </c>
      <c r="J283" s="333">
        <f>+I283</f>
      </c>
      <c r="K283" s="333">
        <f>(1+$O$5)^(D283/12)*(H283+IF(AND(F283=1,F284=0),$S$4,0))</f>
      </c>
      <c r="L283" s="333">
        <f>(1+$O$5)^(D283/12)*(I283+IF(AND(F283=1,F284=0),0))</f>
      </c>
      <c r="M283" s="333">
        <f>+L283</f>
      </c>
      <c r="N283" s="333">
        <f>L283+K283+M283</f>
      </c>
      <c r="O283" s="170"/>
      <c r="P283" s="7"/>
      <c r="Q283" s="1"/>
      <c r="R283" s="331">
        <f>D283</f>
      </c>
      <c r="S283" s="169"/>
      <c r="T283" s="1"/>
      <c r="U283" s="217"/>
      <c r="V283" s="331">
        <f>+IF(V282=11,12,IF(V282=12,1,V282+1))</f>
      </c>
      <c r="W283" s="331">
        <f>+W282+IF(V282=12,1,0)</f>
      </c>
      <c r="X283" s="555">
        <f>+DATE(W283,V283,1)</f>
        <v>25569.041666666668</v>
      </c>
      <c r="Y283" s="333">
        <f>+_xlfn.IFNA(AN283+AS283+AX283,0)</f>
      </c>
      <c r="Z283" s="333">
        <f>+_xlfn.IFNA(AO283+AT283+AY283,0)</f>
      </c>
      <c r="AA283" s="333">
        <f>Y283*(1+$O$5)^(($B$7-X283)/365.25)</f>
      </c>
      <c r="AB283" s="333">
        <f>Z283*(1+$O$5)^(($B$7-X283)/365.25)</f>
      </c>
      <c r="AC283" s="1"/>
      <c r="AD283" s="1"/>
      <c r="AE283" s="1"/>
      <c r="AF283" s="111">
        <f>+MONTH(E283)&amp;YEAR(E283)</f>
      </c>
      <c r="AG283" s="217">
        <f>+I283</f>
      </c>
      <c r="AH283" s="217">
        <f>+J283</f>
      </c>
      <c r="AI283" s="217">
        <f>+H283</f>
      </c>
      <c r="AJ283" s="111">
        <f>+V283&amp;W283</f>
      </c>
      <c r="AK283" s="217">
        <f>+_xlfn.IFNA(VLOOKUP(AJ283,$AF$7:$AG$1066,2,0),0)</f>
      </c>
      <c r="AL283" s="217">
        <f>+IF(W283&gt;W282,AK283,AL282+AK283)</f>
      </c>
      <c r="AM283" s="217">
        <f>IF(W283&gt;W282,IF(AL283&gt;=$AZ$8,$AZ$8,AL283),IF(OR(AM282=$AZ$8,AM282=0),0,IF(AL283&gt;=$AZ$8,$AZ$8,AL283)))</f>
      </c>
      <c r="AN283" s="748">
        <f>+IF(OR(AM283&gt;AZ282,AM283=0),0,IF(AM283=AL283,AK283,$AZ$7-AL282))</f>
      </c>
      <c r="AO283" s="748">
        <f>+AK283-AN283</f>
      </c>
      <c r="AP283" s="217">
        <f>+_xlfn.IFNA(VLOOKUP(AJ283,$AF$7:$AI$1066,3,0),0)</f>
      </c>
      <c r="AQ283" s="217">
        <f>+IF(W283&gt;W282,AP283,AQ282+AP283)</f>
      </c>
      <c r="AR283" s="217">
        <f>+MAX($AM$2-SUMIF($W$7:$W$1066,W283,$AN$7:$AN$1066),0)</f>
      </c>
      <c r="AS283" s="748">
        <f>+MAX(IF(AQ283&gt;AR283,AR283-AQ282,AP283),0)</f>
      </c>
      <c r="AT283" s="748">
        <f>+AP283-AS283</f>
      </c>
      <c r="AU283" s="217">
        <f>+_xlfn.IFNA(VLOOKUP(AJ283,$AF$7:$AI$1066,4,0),0)</f>
      </c>
      <c r="AV283" s="217">
        <f>+IF(W283&gt;W282,AU283,AV282+AU283)</f>
      </c>
      <c r="AW283" s="217">
        <f>+MAX($AM$2-SUMIF($W$7:$W$1066,W283,$AN$7:$AN$1066)-SUMIF($W$7:$W$1066,W283,$AS$7:$AS$1066),0)</f>
      </c>
      <c r="AX283" s="748">
        <f>+MAX(IF(AV283&gt;AW283,AW283-AV282,AU283),0)</f>
      </c>
      <c r="AY283" s="748">
        <f>+AU283-AX283</f>
      </c>
      <c r="AZ283" s="331">
        <f>+$AM$1+IF($AP$1&gt;$AP$2,$AM$3/2)</f>
      </c>
    </row>
    <row x14ac:dyDescent="0.25" r="284" customHeight="1" ht="18.75">
      <c r="A284" s="1"/>
      <c r="B284" s="7"/>
      <c r="C284" s="170"/>
      <c r="D284" s="331">
        <v>277</v>
      </c>
      <c r="E284" s="544">
        <f>+DATE(YEAR(E283),MONTH(E283)-1,DAY(E283))</f>
        <v>25569.041666666668</v>
      </c>
      <c r="F284" s="333">
        <f>IF(DATE(YEAR($B$6),MONTH($B$6)+1,DAY(1))=E284,1,IF(MONTH(E284)=1,F285*(1+$F$5),F285))</f>
      </c>
      <c r="G284" s="333">
        <f>IF('Simulador - 1º Pilar'!$E$99="Sí",IF('Aportaciones PPE'!$B$13&lt;'Aportaciones PPE'!E284,0,F284*$B$8/12),F284*$B$8/12)</f>
      </c>
      <c r="H284" s="333">
        <f>$H$5*G284</f>
      </c>
      <c r="I284" s="333">
        <f>$I$5*G284</f>
      </c>
      <c r="J284" s="333">
        <f>+I284</f>
      </c>
      <c r="K284" s="333">
        <f>(1+$O$5)^(D284/12)*(H284+IF(AND(F284=1,F285=0),$S$4,0))</f>
      </c>
      <c r="L284" s="333">
        <f>(1+$O$5)^(D284/12)*(I284+IF(AND(F284=1,F285=0),0))</f>
      </c>
      <c r="M284" s="333">
        <f>+L284</f>
      </c>
      <c r="N284" s="333">
        <f>L284+K284+M284</f>
      </c>
      <c r="O284" s="170"/>
      <c r="P284" s="7"/>
      <c r="Q284" s="1"/>
      <c r="R284" s="331">
        <f>D284</f>
      </c>
      <c r="S284" s="169"/>
      <c r="T284" s="1"/>
      <c r="U284" s="217"/>
      <c r="V284" s="331">
        <f>+IF(V283=11,12,IF(V283=12,1,V283+1))</f>
      </c>
      <c r="W284" s="331">
        <f>+W283+IF(V283=12,1,0)</f>
      </c>
      <c r="X284" s="555">
        <f>+DATE(W284,V284,1)</f>
        <v>25569.041666666668</v>
      </c>
      <c r="Y284" s="333">
        <f>+_xlfn.IFNA(AN284+AS284+AX284,0)</f>
      </c>
      <c r="Z284" s="333">
        <f>+_xlfn.IFNA(AO284+AT284+AY284,0)</f>
      </c>
      <c r="AA284" s="333">
        <f>Y284*(1+$O$5)^(($B$7-X284)/365.25)</f>
      </c>
      <c r="AB284" s="333">
        <f>Z284*(1+$O$5)^(($B$7-X284)/365.25)</f>
      </c>
      <c r="AC284" s="1"/>
      <c r="AD284" s="1"/>
      <c r="AE284" s="1"/>
      <c r="AF284" s="111">
        <f>+MONTH(E284)&amp;YEAR(E284)</f>
      </c>
      <c r="AG284" s="217">
        <f>+I284</f>
      </c>
      <c r="AH284" s="217">
        <f>+J284</f>
      </c>
      <c r="AI284" s="217">
        <f>+H284</f>
      </c>
      <c r="AJ284" s="111">
        <f>+V284&amp;W284</f>
      </c>
      <c r="AK284" s="217">
        <f>+_xlfn.IFNA(VLOOKUP(AJ284,$AF$7:$AG$1066,2,0),0)</f>
      </c>
      <c r="AL284" s="217">
        <f>+IF(W284&gt;W283,AK284,AL283+AK284)</f>
      </c>
      <c r="AM284" s="217">
        <f>IF(W284&gt;W283,IF(AL284&gt;=$AZ$8,$AZ$8,AL284),IF(OR(AM283=$AZ$8,AM283=0),0,IF(AL284&gt;=$AZ$8,$AZ$8,AL284)))</f>
      </c>
      <c r="AN284" s="748">
        <f>+IF(OR(AM284&gt;AZ283,AM284=0),0,IF(AM284=AL284,AK284,$AZ$7-AL283))</f>
      </c>
      <c r="AO284" s="748">
        <f>+AK284-AN284</f>
      </c>
      <c r="AP284" s="217">
        <f>+_xlfn.IFNA(VLOOKUP(AJ284,$AF$7:$AI$1066,3,0),0)</f>
      </c>
      <c r="AQ284" s="217">
        <f>+IF(W284&gt;W283,AP284,AQ283+AP284)</f>
      </c>
      <c r="AR284" s="217">
        <f>+MAX($AM$2-SUMIF($W$7:$W$1066,W284,$AN$7:$AN$1066),0)</f>
      </c>
      <c r="AS284" s="748">
        <f>+MAX(IF(AQ284&gt;AR284,AR284-AQ283,AP284),0)</f>
      </c>
      <c r="AT284" s="748">
        <f>+AP284-AS284</f>
      </c>
      <c r="AU284" s="217">
        <f>+_xlfn.IFNA(VLOOKUP(AJ284,$AF$7:$AI$1066,4,0),0)</f>
      </c>
      <c r="AV284" s="217">
        <f>+IF(W284&gt;W283,AU284,AV283+AU284)</f>
      </c>
      <c r="AW284" s="217">
        <f>+MAX($AM$2-SUMIF($W$7:$W$1066,W284,$AN$7:$AN$1066)-SUMIF($W$7:$W$1066,W284,$AS$7:$AS$1066),0)</f>
      </c>
      <c r="AX284" s="748">
        <f>+MAX(IF(AV284&gt;AW284,AW284-AV283,AU284),0)</f>
      </c>
      <c r="AY284" s="748">
        <f>+AU284-AX284</f>
      </c>
      <c r="AZ284" s="331">
        <f>+$AM$1+IF($AP$1&gt;$AP$2,$AM$3/2)</f>
      </c>
    </row>
    <row x14ac:dyDescent="0.25" r="285" customHeight="1" ht="18.75">
      <c r="A285" s="1"/>
      <c r="B285" s="7"/>
      <c r="C285" s="170"/>
      <c r="D285" s="331">
        <v>278</v>
      </c>
      <c r="E285" s="544">
        <f>+DATE(YEAR(E284),MONTH(E284)-1,DAY(E284))</f>
        <v>25569.041666666668</v>
      </c>
      <c r="F285" s="333">
        <f>IF(DATE(YEAR($B$6),MONTH($B$6)+1,DAY(1))=E285,1,IF(MONTH(E285)=1,F286*(1+$F$5),F286))</f>
      </c>
      <c r="G285" s="333">
        <f>IF('Simulador - 1º Pilar'!$E$99="Sí",IF('Aportaciones PPE'!$B$13&lt;'Aportaciones PPE'!E285,0,F285*$B$8/12),F285*$B$8/12)</f>
      </c>
      <c r="H285" s="333">
        <f>$H$5*G285</f>
      </c>
      <c r="I285" s="333">
        <f>$I$5*G285</f>
      </c>
      <c r="J285" s="333">
        <f>+I285</f>
      </c>
      <c r="K285" s="333">
        <f>(1+$O$5)^(D285/12)*(H285+IF(AND(F285=1,F286=0),$S$4,0))</f>
      </c>
      <c r="L285" s="333">
        <f>(1+$O$5)^(D285/12)*(I285+IF(AND(F285=1,F286=0),0))</f>
      </c>
      <c r="M285" s="333">
        <f>+L285</f>
      </c>
      <c r="N285" s="333">
        <f>L285+K285+M285</f>
      </c>
      <c r="O285" s="170"/>
      <c r="P285" s="7"/>
      <c r="Q285" s="1"/>
      <c r="R285" s="331">
        <f>D285</f>
      </c>
      <c r="S285" s="169"/>
      <c r="T285" s="1"/>
      <c r="U285" s="217"/>
      <c r="V285" s="331">
        <f>+IF(V284=11,12,IF(V284=12,1,V284+1))</f>
      </c>
      <c r="W285" s="331">
        <f>+W284+IF(V284=12,1,0)</f>
      </c>
      <c r="X285" s="555">
        <f>+DATE(W285,V285,1)</f>
        <v>25569.041666666668</v>
      </c>
      <c r="Y285" s="333">
        <f>+_xlfn.IFNA(AN285+AS285+AX285,0)</f>
      </c>
      <c r="Z285" s="333">
        <f>+_xlfn.IFNA(AO285+AT285+AY285,0)</f>
      </c>
      <c r="AA285" s="333">
        <f>Y285*(1+$O$5)^(($B$7-X285)/365.25)</f>
      </c>
      <c r="AB285" s="333">
        <f>Z285*(1+$O$5)^(($B$7-X285)/365.25)</f>
      </c>
      <c r="AC285" s="1"/>
      <c r="AD285" s="1"/>
      <c r="AE285" s="1"/>
      <c r="AF285" s="111">
        <f>+MONTH(E285)&amp;YEAR(E285)</f>
      </c>
      <c r="AG285" s="217">
        <f>+I285</f>
      </c>
      <c r="AH285" s="217">
        <f>+J285</f>
      </c>
      <c r="AI285" s="217">
        <f>+H285</f>
      </c>
      <c r="AJ285" s="111">
        <f>+V285&amp;W285</f>
      </c>
      <c r="AK285" s="217">
        <f>+_xlfn.IFNA(VLOOKUP(AJ285,$AF$7:$AG$1066,2,0),0)</f>
      </c>
      <c r="AL285" s="217">
        <f>+IF(W285&gt;W284,AK285,AL284+AK285)</f>
      </c>
      <c r="AM285" s="217">
        <f>IF(W285&gt;W284,IF(AL285&gt;=$AZ$8,$AZ$8,AL285),IF(OR(AM284=$AZ$8,AM284=0),0,IF(AL285&gt;=$AZ$8,$AZ$8,AL285)))</f>
      </c>
      <c r="AN285" s="748">
        <f>+IF(OR(AM285&gt;AZ284,AM285=0),0,IF(AM285=AL285,AK285,$AZ$7-AL284))</f>
      </c>
      <c r="AO285" s="748">
        <f>+AK285-AN285</f>
      </c>
      <c r="AP285" s="217">
        <f>+_xlfn.IFNA(VLOOKUP(AJ285,$AF$7:$AI$1066,3,0),0)</f>
      </c>
      <c r="AQ285" s="217">
        <f>+IF(W285&gt;W284,AP285,AQ284+AP285)</f>
      </c>
      <c r="AR285" s="217">
        <f>+MAX($AM$2-SUMIF($W$7:$W$1066,W285,$AN$7:$AN$1066),0)</f>
      </c>
      <c r="AS285" s="748">
        <f>+MAX(IF(AQ285&gt;AR285,AR285-AQ284,AP285),0)</f>
      </c>
      <c r="AT285" s="748">
        <f>+AP285-AS285</f>
      </c>
      <c r="AU285" s="217">
        <f>+_xlfn.IFNA(VLOOKUP(AJ285,$AF$7:$AI$1066,4,0),0)</f>
      </c>
      <c r="AV285" s="217">
        <f>+IF(W285&gt;W284,AU285,AV284+AU285)</f>
      </c>
      <c r="AW285" s="217">
        <f>+MAX($AM$2-SUMIF($W$7:$W$1066,W285,$AN$7:$AN$1066)-SUMIF($W$7:$W$1066,W285,$AS$7:$AS$1066),0)</f>
      </c>
      <c r="AX285" s="748">
        <f>+MAX(IF(AV285&gt;AW285,AW285-AV284,AU285),0)</f>
      </c>
      <c r="AY285" s="748">
        <f>+AU285-AX285</f>
      </c>
      <c r="AZ285" s="331">
        <f>+$AM$1+IF($AP$1&gt;$AP$2,$AM$3/2)</f>
      </c>
    </row>
    <row x14ac:dyDescent="0.25" r="286" customHeight="1" ht="18.75">
      <c r="A286" s="1"/>
      <c r="B286" s="7"/>
      <c r="C286" s="170"/>
      <c r="D286" s="331">
        <v>279</v>
      </c>
      <c r="E286" s="544">
        <f>+DATE(YEAR(E285),MONTH(E285)-1,DAY(E285))</f>
        <v>25569.041666666668</v>
      </c>
      <c r="F286" s="333">
        <f>IF(DATE(YEAR($B$6),MONTH($B$6)+1,DAY(1))=E286,1,IF(MONTH(E286)=1,F287*(1+$F$5),F287))</f>
      </c>
      <c r="G286" s="333">
        <f>IF('Simulador - 1º Pilar'!$E$99="Sí",IF('Aportaciones PPE'!$B$13&lt;'Aportaciones PPE'!E286,0,F286*$B$8/12),F286*$B$8/12)</f>
      </c>
      <c r="H286" s="333">
        <f>$H$5*G286</f>
      </c>
      <c r="I286" s="333">
        <f>$I$5*G286</f>
      </c>
      <c r="J286" s="333">
        <f>+I286</f>
      </c>
      <c r="K286" s="333">
        <f>(1+$O$5)^(D286/12)*(H286+IF(AND(F286=1,F287=0),$S$4,0))</f>
      </c>
      <c r="L286" s="333">
        <f>(1+$O$5)^(D286/12)*(I286+IF(AND(F286=1,F287=0),0))</f>
      </c>
      <c r="M286" s="333">
        <f>+L286</f>
      </c>
      <c r="N286" s="333">
        <f>L286+K286+M286</f>
      </c>
      <c r="O286" s="170"/>
      <c r="P286" s="7"/>
      <c r="Q286" s="1"/>
      <c r="R286" s="331">
        <f>D286</f>
      </c>
      <c r="S286" s="169"/>
      <c r="T286" s="1"/>
      <c r="U286" s="217"/>
      <c r="V286" s="331">
        <f>+IF(V285=11,12,IF(V285=12,1,V285+1))</f>
      </c>
      <c r="W286" s="331">
        <f>+W285+IF(V285=12,1,0)</f>
      </c>
      <c r="X286" s="555">
        <f>+DATE(W286,V286,1)</f>
        <v>25569.041666666668</v>
      </c>
      <c r="Y286" s="333">
        <f>+_xlfn.IFNA(AN286+AS286+AX286,0)</f>
      </c>
      <c r="Z286" s="333">
        <f>+_xlfn.IFNA(AO286+AT286+AY286,0)</f>
      </c>
      <c r="AA286" s="333">
        <f>Y286*(1+$O$5)^(($B$7-X286)/365.25)</f>
      </c>
      <c r="AB286" s="333">
        <f>Z286*(1+$O$5)^(($B$7-X286)/365.25)</f>
      </c>
      <c r="AC286" s="1"/>
      <c r="AD286" s="1"/>
      <c r="AE286" s="1"/>
      <c r="AF286" s="111">
        <f>+MONTH(E286)&amp;YEAR(E286)</f>
      </c>
      <c r="AG286" s="217">
        <f>+I286</f>
      </c>
      <c r="AH286" s="217">
        <f>+J286</f>
      </c>
      <c r="AI286" s="217">
        <f>+H286</f>
      </c>
      <c r="AJ286" s="111">
        <f>+V286&amp;W286</f>
      </c>
      <c r="AK286" s="217">
        <f>+_xlfn.IFNA(VLOOKUP(AJ286,$AF$7:$AG$1066,2,0),0)</f>
      </c>
      <c r="AL286" s="217">
        <f>+IF(W286&gt;W285,AK286,AL285+AK286)</f>
      </c>
      <c r="AM286" s="217">
        <f>IF(W286&gt;W285,IF(AL286&gt;=$AZ$8,$AZ$8,AL286),IF(OR(AM285=$AZ$8,AM285=0),0,IF(AL286&gt;=$AZ$8,$AZ$8,AL286)))</f>
      </c>
      <c r="AN286" s="748">
        <f>+IF(OR(AM286&gt;AZ285,AM286=0),0,IF(AM286=AL286,AK286,$AZ$7-AL285))</f>
      </c>
      <c r="AO286" s="748">
        <f>+AK286-AN286</f>
      </c>
      <c r="AP286" s="217">
        <f>+_xlfn.IFNA(VLOOKUP(AJ286,$AF$7:$AI$1066,3,0),0)</f>
      </c>
      <c r="AQ286" s="217">
        <f>+IF(W286&gt;W285,AP286,AQ285+AP286)</f>
      </c>
      <c r="AR286" s="217">
        <f>+MAX($AM$2-SUMIF($W$7:$W$1066,W286,$AN$7:$AN$1066),0)</f>
      </c>
      <c r="AS286" s="748">
        <f>+MAX(IF(AQ286&gt;AR286,AR286-AQ285,AP286),0)</f>
      </c>
      <c r="AT286" s="748">
        <f>+AP286-AS286</f>
      </c>
      <c r="AU286" s="217">
        <f>+_xlfn.IFNA(VLOOKUP(AJ286,$AF$7:$AI$1066,4,0),0)</f>
      </c>
      <c r="AV286" s="217">
        <f>+IF(W286&gt;W285,AU286,AV285+AU286)</f>
      </c>
      <c r="AW286" s="217">
        <f>+MAX($AM$2-SUMIF($W$7:$W$1066,W286,$AN$7:$AN$1066)-SUMIF($W$7:$W$1066,W286,$AS$7:$AS$1066),0)</f>
      </c>
      <c r="AX286" s="748">
        <f>+MAX(IF(AV286&gt;AW286,AW286-AV285,AU286),0)</f>
      </c>
      <c r="AY286" s="748">
        <f>+AU286-AX286</f>
      </c>
      <c r="AZ286" s="331">
        <f>+$AM$1+IF($AP$1&gt;$AP$2,$AM$3/2)</f>
      </c>
    </row>
    <row x14ac:dyDescent="0.25" r="287" customHeight="1" ht="18.75">
      <c r="A287" s="1"/>
      <c r="B287" s="7"/>
      <c r="C287" s="170"/>
      <c r="D287" s="331">
        <v>280</v>
      </c>
      <c r="E287" s="544">
        <f>+DATE(YEAR(E286),MONTH(E286)-1,DAY(E286))</f>
        <v>25569.041666666668</v>
      </c>
      <c r="F287" s="333">
        <f>IF(DATE(YEAR($B$6),MONTH($B$6)+1,DAY(1))=E287,1,IF(MONTH(E287)=1,F288*(1+$F$5),F288))</f>
      </c>
      <c r="G287" s="333">
        <f>IF('Simulador - 1º Pilar'!$E$99="Sí",IF('Aportaciones PPE'!$B$13&lt;'Aportaciones PPE'!E287,0,F287*$B$8/12),F287*$B$8/12)</f>
      </c>
      <c r="H287" s="333">
        <f>$H$5*G287</f>
      </c>
      <c r="I287" s="333">
        <f>$I$5*G287</f>
      </c>
      <c r="J287" s="333">
        <f>+I287</f>
      </c>
      <c r="K287" s="333">
        <f>(1+$O$5)^(D287/12)*(H287+IF(AND(F287=1,F288=0),$S$4,0))</f>
      </c>
      <c r="L287" s="333">
        <f>(1+$O$5)^(D287/12)*(I287+IF(AND(F287=1,F288=0),0))</f>
      </c>
      <c r="M287" s="333">
        <f>+L287</f>
      </c>
      <c r="N287" s="333">
        <f>L287+K287+M287</f>
      </c>
      <c r="O287" s="170"/>
      <c r="P287" s="7"/>
      <c r="Q287" s="1"/>
      <c r="R287" s="331">
        <f>D287</f>
      </c>
      <c r="S287" s="169"/>
      <c r="T287" s="1"/>
      <c r="U287" s="217"/>
      <c r="V287" s="331">
        <f>+IF(V286=11,12,IF(V286=12,1,V286+1))</f>
      </c>
      <c r="W287" s="331">
        <f>+W286+IF(V286=12,1,0)</f>
      </c>
      <c r="X287" s="555">
        <f>+DATE(W287,V287,1)</f>
        <v>25569.041666666668</v>
      </c>
      <c r="Y287" s="333">
        <f>+_xlfn.IFNA(AN287+AS287+AX287,0)</f>
      </c>
      <c r="Z287" s="333">
        <f>+_xlfn.IFNA(AO287+AT287+AY287,0)</f>
      </c>
      <c r="AA287" s="333">
        <f>Y287*(1+$O$5)^(($B$7-X287)/365.25)</f>
      </c>
      <c r="AB287" s="333">
        <f>Z287*(1+$O$5)^(($B$7-X287)/365.25)</f>
      </c>
      <c r="AC287" s="1"/>
      <c r="AD287" s="1"/>
      <c r="AE287" s="1"/>
      <c r="AF287" s="111">
        <f>+MONTH(E287)&amp;YEAR(E287)</f>
      </c>
      <c r="AG287" s="217">
        <f>+I287</f>
      </c>
      <c r="AH287" s="217">
        <f>+J287</f>
      </c>
      <c r="AI287" s="217">
        <f>+H287</f>
      </c>
      <c r="AJ287" s="111">
        <f>+V287&amp;W287</f>
      </c>
      <c r="AK287" s="217">
        <f>+_xlfn.IFNA(VLOOKUP(AJ287,$AF$7:$AG$1066,2,0),0)</f>
      </c>
      <c r="AL287" s="217">
        <f>+IF(W287&gt;W286,AK287,AL286+AK287)</f>
      </c>
      <c r="AM287" s="217">
        <f>IF(W287&gt;W286,IF(AL287&gt;=$AZ$8,$AZ$8,AL287),IF(OR(AM286=$AZ$8,AM286=0),0,IF(AL287&gt;=$AZ$8,$AZ$8,AL287)))</f>
      </c>
      <c r="AN287" s="748">
        <f>+IF(OR(AM287&gt;AZ286,AM287=0),0,IF(AM287=AL287,AK287,$AZ$7-AL286))</f>
      </c>
      <c r="AO287" s="748">
        <f>+AK287-AN287</f>
      </c>
      <c r="AP287" s="217">
        <f>+_xlfn.IFNA(VLOOKUP(AJ287,$AF$7:$AI$1066,3,0),0)</f>
      </c>
      <c r="AQ287" s="217">
        <f>+IF(W287&gt;W286,AP287,AQ286+AP287)</f>
      </c>
      <c r="AR287" s="217">
        <f>+MAX($AM$2-SUMIF($W$7:$W$1066,W287,$AN$7:$AN$1066),0)</f>
      </c>
      <c r="AS287" s="748">
        <f>+MAX(IF(AQ287&gt;AR287,AR287-AQ286,AP287),0)</f>
      </c>
      <c r="AT287" s="748">
        <f>+AP287-AS287</f>
      </c>
      <c r="AU287" s="217">
        <f>+_xlfn.IFNA(VLOOKUP(AJ287,$AF$7:$AI$1066,4,0),0)</f>
      </c>
      <c r="AV287" s="217">
        <f>+IF(W287&gt;W286,AU287,AV286+AU287)</f>
      </c>
      <c r="AW287" s="217">
        <f>+MAX($AM$2-SUMIF($W$7:$W$1066,W287,$AN$7:$AN$1066)-SUMIF($W$7:$W$1066,W287,$AS$7:$AS$1066),0)</f>
      </c>
      <c r="AX287" s="748">
        <f>+MAX(IF(AV287&gt;AW287,AW287-AV286,AU287),0)</f>
      </c>
      <c r="AY287" s="748">
        <f>+AU287-AX287</f>
      </c>
      <c r="AZ287" s="331">
        <f>+$AM$1+IF($AP$1&gt;$AP$2,$AM$3/2)</f>
      </c>
    </row>
    <row x14ac:dyDescent="0.25" r="288" customHeight="1" ht="18.75">
      <c r="A288" s="1"/>
      <c r="B288" s="7"/>
      <c r="C288" s="170"/>
      <c r="D288" s="331">
        <v>281</v>
      </c>
      <c r="E288" s="544">
        <f>+DATE(YEAR(E287),MONTH(E287)-1,DAY(E287))</f>
        <v>25569.041666666668</v>
      </c>
      <c r="F288" s="333">
        <f>IF(DATE(YEAR($B$6),MONTH($B$6)+1,DAY(1))=E288,1,IF(MONTH(E288)=1,F289*(1+$F$5),F289))</f>
      </c>
      <c r="G288" s="333">
        <f>IF('Simulador - 1º Pilar'!$E$99="Sí",IF('Aportaciones PPE'!$B$13&lt;'Aportaciones PPE'!E288,0,F288*$B$8/12),F288*$B$8/12)</f>
      </c>
      <c r="H288" s="333">
        <f>$H$5*G288</f>
      </c>
      <c r="I288" s="333">
        <f>$I$5*G288</f>
      </c>
      <c r="J288" s="333">
        <f>+I288</f>
      </c>
      <c r="K288" s="333">
        <f>(1+$O$5)^(D288/12)*(H288+IF(AND(F288=1,F289=0),$S$4,0))</f>
      </c>
      <c r="L288" s="333">
        <f>(1+$O$5)^(D288/12)*(I288+IF(AND(F288=1,F289=0),0))</f>
      </c>
      <c r="M288" s="333">
        <f>+L288</f>
      </c>
      <c r="N288" s="333">
        <f>L288+K288+M288</f>
      </c>
      <c r="O288" s="170"/>
      <c r="P288" s="7"/>
      <c r="Q288" s="1"/>
      <c r="R288" s="331">
        <f>D288</f>
      </c>
      <c r="S288" s="169"/>
      <c r="T288" s="1"/>
      <c r="U288" s="217"/>
      <c r="V288" s="331">
        <f>+IF(V287=11,12,IF(V287=12,1,V287+1))</f>
      </c>
      <c r="W288" s="331">
        <f>+W287+IF(V287=12,1,0)</f>
      </c>
      <c r="X288" s="555">
        <f>+DATE(W288,V288,1)</f>
        <v>25569.041666666668</v>
      </c>
      <c r="Y288" s="333">
        <f>+_xlfn.IFNA(AN288+AS288+AX288,0)</f>
      </c>
      <c r="Z288" s="333">
        <f>+_xlfn.IFNA(AO288+AT288+AY288,0)</f>
      </c>
      <c r="AA288" s="333">
        <f>Y288*(1+$O$5)^(($B$7-X288)/365.25)</f>
      </c>
      <c r="AB288" s="333">
        <f>Z288*(1+$O$5)^(($B$7-X288)/365.25)</f>
      </c>
      <c r="AC288" s="1"/>
      <c r="AD288" s="1"/>
      <c r="AE288" s="1"/>
      <c r="AF288" s="111">
        <f>+MONTH(E288)&amp;YEAR(E288)</f>
      </c>
      <c r="AG288" s="217">
        <f>+I288</f>
      </c>
      <c r="AH288" s="217">
        <f>+J288</f>
      </c>
      <c r="AI288" s="217">
        <f>+H288</f>
      </c>
      <c r="AJ288" s="111">
        <f>+V288&amp;W288</f>
      </c>
      <c r="AK288" s="217">
        <f>+_xlfn.IFNA(VLOOKUP(AJ288,$AF$7:$AG$1066,2,0),0)</f>
      </c>
      <c r="AL288" s="217">
        <f>+IF(W288&gt;W287,AK288,AL287+AK288)</f>
      </c>
      <c r="AM288" s="217">
        <f>IF(W288&gt;W287,IF(AL288&gt;=$AZ$8,$AZ$8,AL288),IF(OR(AM287=$AZ$8,AM287=0),0,IF(AL288&gt;=$AZ$8,$AZ$8,AL288)))</f>
      </c>
      <c r="AN288" s="748">
        <f>+IF(OR(AM288&gt;AZ287,AM288=0),0,IF(AM288=AL288,AK288,$AZ$7-AL287))</f>
      </c>
      <c r="AO288" s="748">
        <f>+AK288-AN288</f>
      </c>
      <c r="AP288" s="217">
        <f>+_xlfn.IFNA(VLOOKUP(AJ288,$AF$7:$AI$1066,3,0),0)</f>
      </c>
      <c r="AQ288" s="217">
        <f>+IF(W288&gt;W287,AP288,AQ287+AP288)</f>
      </c>
      <c r="AR288" s="217">
        <f>+MAX($AM$2-SUMIF($W$7:$W$1066,W288,$AN$7:$AN$1066),0)</f>
      </c>
      <c r="AS288" s="748">
        <f>+MAX(IF(AQ288&gt;AR288,AR288-AQ287,AP288),0)</f>
      </c>
      <c r="AT288" s="748">
        <f>+AP288-AS288</f>
      </c>
      <c r="AU288" s="217">
        <f>+_xlfn.IFNA(VLOOKUP(AJ288,$AF$7:$AI$1066,4,0),0)</f>
      </c>
      <c r="AV288" s="217">
        <f>+IF(W288&gt;W287,AU288,AV287+AU288)</f>
      </c>
      <c r="AW288" s="217">
        <f>+MAX($AM$2-SUMIF($W$7:$W$1066,W288,$AN$7:$AN$1066)-SUMIF($W$7:$W$1066,W288,$AS$7:$AS$1066),0)</f>
      </c>
      <c r="AX288" s="748">
        <f>+MAX(IF(AV288&gt;AW288,AW288-AV287,AU288),0)</f>
      </c>
      <c r="AY288" s="748">
        <f>+AU288-AX288</f>
      </c>
      <c r="AZ288" s="331">
        <f>+$AM$1+IF($AP$1&gt;$AP$2,$AM$3/2)</f>
      </c>
    </row>
    <row x14ac:dyDescent="0.25" r="289" customHeight="1" ht="18.75">
      <c r="A289" s="1"/>
      <c r="B289" s="7"/>
      <c r="C289" s="170"/>
      <c r="D289" s="331">
        <v>282</v>
      </c>
      <c r="E289" s="544">
        <f>+DATE(YEAR(E288),MONTH(E288)-1,DAY(E288))</f>
        <v>25569.041666666668</v>
      </c>
      <c r="F289" s="333">
        <f>IF(DATE(YEAR($B$6),MONTH($B$6)+1,DAY(1))=E289,1,IF(MONTH(E289)=1,F290*(1+$F$5),F290))</f>
      </c>
      <c r="G289" s="333">
        <f>IF('Simulador - 1º Pilar'!$E$99="Sí",IF('Aportaciones PPE'!$B$13&lt;'Aportaciones PPE'!E289,0,F289*$B$8/12),F289*$B$8/12)</f>
      </c>
      <c r="H289" s="333">
        <f>$H$5*G289</f>
      </c>
      <c r="I289" s="333">
        <f>$I$5*G289</f>
      </c>
      <c r="J289" s="333">
        <f>+I289</f>
      </c>
      <c r="K289" s="333">
        <f>(1+$O$5)^(D289/12)*(H289+IF(AND(F289=1,F290=0),$S$4,0))</f>
      </c>
      <c r="L289" s="333">
        <f>(1+$O$5)^(D289/12)*(I289+IF(AND(F289=1,F290=0),0))</f>
      </c>
      <c r="M289" s="333">
        <f>+L289</f>
      </c>
      <c r="N289" s="333">
        <f>L289+K289+M289</f>
      </c>
      <c r="O289" s="170"/>
      <c r="P289" s="7"/>
      <c r="Q289" s="1"/>
      <c r="R289" s="331">
        <f>D289</f>
      </c>
      <c r="S289" s="169"/>
      <c r="T289" s="1"/>
      <c r="U289" s="217"/>
      <c r="V289" s="331">
        <f>+IF(V288=11,12,IF(V288=12,1,V288+1))</f>
      </c>
      <c r="W289" s="331">
        <f>+W288+IF(V288=12,1,0)</f>
      </c>
      <c r="X289" s="555">
        <f>+DATE(W289,V289,1)</f>
        <v>25569.041666666668</v>
      </c>
      <c r="Y289" s="333">
        <f>+_xlfn.IFNA(AN289+AS289+AX289,0)</f>
      </c>
      <c r="Z289" s="333">
        <f>+_xlfn.IFNA(AO289+AT289+AY289,0)</f>
      </c>
      <c r="AA289" s="333">
        <f>Y289*(1+$O$5)^(($B$7-X289)/365.25)</f>
      </c>
      <c r="AB289" s="333">
        <f>Z289*(1+$O$5)^(($B$7-X289)/365.25)</f>
      </c>
      <c r="AC289" s="1"/>
      <c r="AD289" s="1"/>
      <c r="AE289" s="1"/>
      <c r="AF289" s="111">
        <f>+MONTH(E289)&amp;YEAR(E289)</f>
      </c>
      <c r="AG289" s="217">
        <f>+I289</f>
      </c>
      <c r="AH289" s="217">
        <f>+J289</f>
      </c>
      <c r="AI289" s="217">
        <f>+H289</f>
      </c>
      <c r="AJ289" s="111">
        <f>+V289&amp;W289</f>
      </c>
      <c r="AK289" s="217">
        <f>+_xlfn.IFNA(VLOOKUP(AJ289,$AF$7:$AG$1066,2,0),0)</f>
      </c>
      <c r="AL289" s="217">
        <f>+IF(W289&gt;W288,AK289,AL288+AK289)</f>
      </c>
      <c r="AM289" s="217">
        <f>IF(W289&gt;W288,IF(AL289&gt;=$AZ$8,$AZ$8,AL289),IF(OR(AM288=$AZ$8,AM288=0),0,IF(AL289&gt;=$AZ$8,$AZ$8,AL289)))</f>
      </c>
      <c r="AN289" s="748">
        <f>+IF(OR(AM289&gt;AZ288,AM289=0),0,IF(AM289=AL289,AK289,$AZ$7-AL288))</f>
      </c>
      <c r="AO289" s="748">
        <f>+AK289-AN289</f>
      </c>
      <c r="AP289" s="217">
        <f>+_xlfn.IFNA(VLOOKUP(AJ289,$AF$7:$AI$1066,3,0),0)</f>
      </c>
      <c r="AQ289" s="217">
        <f>+IF(W289&gt;W288,AP289,AQ288+AP289)</f>
      </c>
      <c r="AR289" s="217">
        <f>+MAX($AM$2-SUMIF($W$7:$W$1066,W289,$AN$7:$AN$1066),0)</f>
      </c>
      <c r="AS289" s="748">
        <f>+MAX(IF(AQ289&gt;AR289,AR289-AQ288,AP289),0)</f>
      </c>
      <c r="AT289" s="748">
        <f>+AP289-AS289</f>
      </c>
      <c r="AU289" s="217">
        <f>+_xlfn.IFNA(VLOOKUP(AJ289,$AF$7:$AI$1066,4,0),0)</f>
      </c>
      <c r="AV289" s="217">
        <f>+IF(W289&gt;W288,AU289,AV288+AU289)</f>
      </c>
      <c r="AW289" s="217">
        <f>+MAX($AM$2-SUMIF($W$7:$W$1066,W289,$AN$7:$AN$1066)-SUMIF($W$7:$W$1066,W289,$AS$7:$AS$1066),0)</f>
      </c>
      <c r="AX289" s="748">
        <f>+MAX(IF(AV289&gt;AW289,AW289-AV288,AU289),0)</f>
      </c>
      <c r="AY289" s="748">
        <f>+AU289-AX289</f>
      </c>
      <c r="AZ289" s="331">
        <f>+$AM$1+IF($AP$1&gt;$AP$2,$AM$3/2)</f>
      </c>
    </row>
    <row x14ac:dyDescent="0.25" r="290" customHeight="1" ht="18.75">
      <c r="A290" s="1"/>
      <c r="B290" s="7"/>
      <c r="C290" s="170"/>
      <c r="D290" s="331">
        <v>283</v>
      </c>
      <c r="E290" s="544">
        <f>+DATE(YEAR(E289),MONTH(E289)-1,DAY(E289))</f>
        <v>25569.041666666668</v>
      </c>
      <c r="F290" s="333">
        <f>IF(DATE(YEAR($B$6),MONTH($B$6)+1,DAY(1))=E290,1,IF(MONTH(E290)=1,F291*(1+$F$5),F291))</f>
      </c>
      <c r="G290" s="333">
        <f>IF('Simulador - 1º Pilar'!$E$99="Sí",IF('Aportaciones PPE'!$B$13&lt;'Aportaciones PPE'!E290,0,F290*$B$8/12),F290*$B$8/12)</f>
      </c>
      <c r="H290" s="333">
        <f>$H$5*G290</f>
      </c>
      <c r="I290" s="333">
        <f>$I$5*G290</f>
      </c>
      <c r="J290" s="333">
        <f>+I290</f>
      </c>
      <c r="K290" s="333">
        <f>(1+$O$5)^(D290/12)*(H290+IF(AND(F290=1,F291=0),$S$4,0))</f>
      </c>
      <c r="L290" s="333">
        <f>(1+$O$5)^(D290/12)*(I290+IF(AND(F290=1,F291=0),0))</f>
      </c>
      <c r="M290" s="333">
        <f>+L290</f>
      </c>
      <c r="N290" s="333">
        <f>L290+K290+M290</f>
      </c>
      <c r="O290" s="170"/>
      <c r="P290" s="7"/>
      <c r="Q290" s="1"/>
      <c r="R290" s="331">
        <f>D290</f>
      </c>
      <c r="S290" s="169"/>
      <c r="T290" s="1"/>
      <c r="U290" s="217"/>
      <c r="V290" s="331">
        <f>+IF(V289=11,12,IF(V289=12,1,V289+1))</f>
      </c>
      <c r="W290" s="331">
        <f>+W289+IF(V289=12,1,0)</f>
      </c>
      <c r="X290" s="555">
        <f>+DATE(W290,V290,1)</f>
        <v>25569.041666666668</v>
      </c>
      <c r="Y290" s="333">
        <f>+_xlfn.IFNA(AN290+AS290+AX290,0)</f>
      </c>
      <c r="Z290" s="333">
        <f>+_xlfn.IFNA(AO290+AT290+AY290,0)</f>
      </c>
      <c r="AA290" s="333">
        <f>Y290*(1+$O$5)^(($B$7-X290)/365.25)</f>
      </c>
      <c r="AB290" s="333">
        <f>Z290*(1+$O$5)^(($B$7-X290)/365.25)</f>
      </c>
      <c r="AC290" s="1"/>
      <c r="AD290" s="1"/>
      <c r="AE290" s="1"/>
      <c r="AF290" s="111">
        <f>+MONTH(E290)&amp;YEAR(E290)</f>
      </c>
      <c r="AG290" s="217">
        <f>+I290</f>
      </c>
      <c r="AH290" s="217">
        <f>+J290</f>
      </c>
      <c r="AI290" s="217">
        <f>+H290</f>
      </c>
      <c r="AJ290" s="111">
        <f>+V290&amp;W290</f>
      </c>
      <c r="AK290" s="217">
        <f>+_xlfn.IFNA(VLOOKUP(AJ290,$AF$7:$AG$1066,2,0),0)</f>
      </c>
      <c r="AL290" s="217">
        <f>+IF(W290&gt;W289,AK290,AL289+AK290)</f>
      </c>
      <c r="AM290" s="217">
        <f>IF(W290&gt;W289,IF(AL290&gt;=$AZ$8,$AZ$8,AL290),IF(OR(AM289=$AZ$8,AM289=0),0,IF(AL290&gt;=$AZ$8,$AZ$8,AL290)))</f>
      </c>
      <c r="AN290" s="748">
        <f>+IF(OR(AM290&gt;AZ289,AM290=0),0,IF(AM290=AL290,AK290,$AZ$7-AL289))</f>
      </c>
      <c r="AO290" s="748">
        <f>+AK290-AN290</f>
      </c>
      <c r="AP290" s="217">
        <f>+_xlfn.IFNA(VLOOKUP(AJ290,$AF$7:$AI$1066,3,0),0)</f>
      </c>
      <c r="AQ290" s="217">
        <f>+IF(W290&gt;W289,AP290,AQ289+AP290)</f>
      </c>
      <c r="AR290" s="217">
        <f>+MAX($AM$2-SUMIF($W$7:$W$1066,W290,$AN$7:$AN$1066),0)</f>
      </c>
      <c r="AS290" s="748">
        <f>+MAX(IF(AQ290&gt;AR290,AR290-AQ289,AP290),0)</f>
      </c>
      <c r="AT290" s="748">
        <f>+AP290-AS290</f>
      </c>
      <c r="AU290" s="217">
        <f>+_xlfn.IFNA(VLOOKUP(AJ290,$AF$7:$AI$1066,4,0),0)</f>
      </c>
      <c r="AV290" s="217">
        <f>+IF(W290&gt;W289,AU290,AV289+AU290)</f>
      </c>
      <c r="AW290" s="217">
        <f>+MAX($AM$2-SUMIF($W$7:$W$1066,W290,$AN$7:$AN$1066)-SUMIF($W$7:$W$1066,W290,$AS$7:$AS$1066),0)</f>
      </c>
      <c r="AX290" s="748">
        <f>+MAX(IF(AV290&gt;AW290,AW290-AV289,AU290),0)</f>
      </c>
      <c r="AY290" s="748">
        <f>+AU290-AX290</f>
      </c>
      <c r="AZ290" s="331">
        <f>+$AM$1+IF($AP$1&gt;$AP$2,$AM$3/2)</f>
      </c>
    </row>
    <row x14ac:dyDescent="0.25" r="291" customHeight="1" ht="18.75">
      <c r="A291" s="1"/>
      <c r="B291" s="7"/>
      <c r="C291" s="170"/>
      <c r="D291" s="331">
        <v>284</v>
      </c>
      <c r="E291" s="544">
        <f>+DATE(YEAR(E290),MONTH(E290)-1,DAY(E290))</f>
        <v>25569.041666666668</v>
      </c>
      <c r="F291" s="333">
        <f>IF(DATE(YEAR($B$6),MONTH($B$6)+1,DAY(1))=E291,1,IF(MONTH(E291)=1,F292*(1+$F$5),F292))</f>
      </c>
      <c r="G291" s="333">
        <f>IF('Simulador - 1º Pilar'!$E$99="Sí",IF('Aportaciones PPE'!$B$13&lt;'Aportaciones PPE'!E291,0,F291*$B$8/12),F291*$B$8/12)</f>
      </c>
      <c r="H291" s="333">
        <f>$H$5*G291</f>
      </c>
      <c r="I291" s="333">
        <f>$I$5*G291</f>
      </c>
      <c r="J291" s="333">
        <f>+I291</f>
      </c>
      <c r="K291" s="333">
        <f>(1+$O$5)^(D291/12)*(H291+IF(AND(F291=1,F292=0),$S$4,0))</f>
      </c>
      <c r="L291" s="333">
        <f>(1+$O$5)^(D291/12)*(I291+IF(AND(F291=1,F292=0),0))</f>
      </c>
      <c r="M291" s="333">
        <f>+L291</f>
      </c>
      <c r="N291" s="333">
        <f>L291+K291+M291</f>
      </c>
      <c r="O291" s="170"/>
      <c r="P291" s="7"/>
      <c r="Q291" s="1"/>
      <c r="R291" s="331">
        <f>D291</f>
      </c>
      <c r="S291" s="169"/>
      <c r="T291" s="1"/>
      <c r="U291" s="217"/>
      <c r="V291" s="331">
        <f>+IF(V290=11,12,IF(V290=12,1,V290+1))</f>
      </c>
      <c r="W291" s="331">
        <f>+W290+IF(V290=12,1,0)</f>
      </c>
      <c r="X291" s="555">
        <f>+DATE(W291,V291,1)</f>
        <v>25569.041666666668</v>
      </c>
      <c r="Y291" s="333">
        <f>+_xlfn.IFNA(AN291+AS291+AX291,0)</f>
      </c>
      <c r="Z291" s="333">
        <f>+_xlfn.IFNA(AO291+AT291+AY291,0)</f>
      </c>
      <c r="AA291" s="333">
        <f>Y291*(1+$O$5)^(($B$7-X291)/365.25)</f>
      </c>
      <c r="AB291" s="333">
        <f>Z291*(1+$O$5)^(($B$7-X291)/365.25)</f>
      </c>
      <c r="AC291" s="1"/>
      <c r="AD291" s="1"/>
      <c r="AE291" s="1"/>
      <c r="AF291" s="111">
        <f>+MONTH(E291)&amp;YEAR(E291)</f>
      </c>
      <c r="AG291" s="217">
        <f>+I291</f>
      </c>
      <c r="AH291" s="217">
        <f>+J291</f>
      </c>
      <c r="AI291" s="217">
        <f>+H291</f>
      </c>
      <c r="AJ291" s="111">
        <f>+V291&amp;W291</f>
      </c>
      <c r="AK291" s="217">
        <f>+_xlfn.IFNA(VLOOKUP(AJ291,$AF$7:$AG$1066,2,0),0)</f>
      </c>
      <c r="AL291" s="217">
        <f>+IF(W291&gt;W290,AK291,AL290+AK291)</f>
      </c>
      <c r="AM291" s="217">
        <f>IF(W291&gt;W290,IF(AL291&gt;=$AZ$8,$AZ$8,AL291),IF(OR(AM290=$AZ$8,AM290=0),0,IF(AL291&gt;=$AZ$8,$AZ$8,AL291)))</f>
      </c>
      <c r="AN291" s="748">
        <f>+IF(OR(AM291&gt;AZ290,AM291=0),0,IF(AM291=AL291,AK291,$AZ$7-AL290))</f>
      </c>
      <c r="AO291" s="748">
        <f>+AK291-AN291</f>
      </c>
      <c r="AP291" s="217">
        <f>+_xlfn.IFNA(VLOOKUP(AJ291,$AF$7:$AI$1066,3,0),0)</f>
      </c>
      <c r="AQ291" s="217">
        <f>+IF(W291&gt;W290,AP291,AQ290+AP291)</f>
      </c>
      <c r="AR291" s="217">
        <f>+MAX($AM$2-SUMIF($W$7:$W$1066,W291,$AN$7:$AN$1066),0)</f>
      </c>
      <c r="AS291" s="748">
        <f>+MAX(IF(AQ291&gt;AR291,AR291-AQ290,AP291),0)</f>
      </c>
      <c r="AT291" s="748">
        <f>+AP291-AS291</f>
      </c>
      <c r="AU291" s="217">
        <f>+_xlfn.IFNA(VLOOKUP(AJ291,$AF$7:$AI$1066,4,0),0)</f>
      </c>
      <c r="AV291" s="217">
        <f>+IF(W291&gt;W290,AU291,AV290+AU291)</f>
      </c>
      <c r="AW291" s="217">
        <f>+MAX($AM$2-SUMIF($W$7:$W$1066,W291,$AN$7:$AN$1066)-SUMIF($W$7:$W$1066,W291,$AS$7:$AS$1066),0)</f>
      </c>
      <c r="AX291" s="748">
        <f>+MAX(IF(AV291&gt;AW291,AW291-AV290,AU291),0)</f>
      </c>
      <c r="AY291" s="748">
        <f>+AU291-AX291</f>
      </c>
      <c r="AZ291" s="331">
        <f>+$AM$1+IF($AP$1&gt;$AP$2,$AM$3/2)</f>
      </c>
    </row>
    <row x14ac:dyDescent="0.25" r="292" customHeight="1" ht="18.75">
      <c r="A292" s="1"/>
      <c r="B292" s="7"/>
      <c r="C292" s="170"/>
      <c r="D292" s="331">
        <v>285</v>
      </c>
      <c r="E292" s="544">
        <f>+DATE(YEAR(E291),MONTH(E291)-1,DAY(E291))</f>
        <v>25569.041666666668</v>
      </c>
      <c r="F292" s="333">
        <f>IF(DATE(YEAR($B$6),MONTH($B$6)+1,DAY(1))=E292,1,IF(MONTH(E292)=1,F293*(1+$F$5),F293))</f>
      </c>
      <c r="G292" s="333">
        <f>IF('Simulador - 1º Pilar'!$E$99="Sí",IF('Aportaciones PPE'!$B$13&lt;'Aportaciones PPE'!E292,0,F292*$B$8/12),F292*$B$8/12)</f>
      </c>
      <c r="H292" s="333">
        <f>$H$5*G292</f>
      </c>
      <c r="I292" s="333">
        <f>$I$5*G292</f>
      </c>
      <c r="J292" s="333">
        <f>+I292</f>
      </c>
      <c r="K292" s="333">
        <f>(1+$O$5)^(D292/12)*(H292+IF(AND(F292=1,F293=0),$S$4,0))</f>
      </c>
      <c r="L292" s="333">
        <f>(1+$O$5)^(D292/12)*(I292+IF(AND(F292=1,F293=0),0))</f>
      </c>
      <c r="M292" s="333">
        <f>+L292</f>
      </c>
      <c r="N292" s="333">
        <f>L292+K292+M292</f>
      </c>
      <c r="O292" s="170"/>
      <c r="P292" s="7"/>
      <c r="Q292" s="1"/>
      <c r="R292" s="331">
        <f>D292</f>
      </c>
      <c r="S292" s="169"/>
      <c r="T292" s="1"/>
      <c r="U292" s="217"/>
      <c r="V292" s="331">
        <f>+IF(V291=11,12,IF(V291=12,1,V291+1))</f>
      </c>
      <c r="W292" s="331">
        <f>+W291+IF(V291=12,1,0)</f>
      </c>
      <c r="X292" s="555">
        <f>+DATE(W292,V292,1)</f>
        <v>25569.041666666668</v>
      </c>
      <c r="Y292" s="333">
        <f>+_xlfn.IFNA(AN292+AS292+AX292,0)</f>
      </c>
      <c r="Z292" s="333">
        <f>+_xlfn.IFNA(AO292+AT292+AY292,0)</f>
      </c>
      <c r="AA292" s="333">
        <f>Y292*(1+$O$5)^(($B$7-X292)/365.25)</f>
      </c>
      <c r="AB292" s="333">
        <f>Z292*(1+$O$5)^(($B$7-X292)/365.25)</f>
      </c>
      <c r="AC292" s="1"/>
      <c r="AD292" s="1"/>
      <c r="AE292" s="1"/>
      <c r="AF292" s="111">
        <f>+MONTH(E292)&amp;YEAR(E292)</f>
      </c>
      <c r="AG292" s="217">
        <f>+I292</f>
      </c>
      <c r="AH292" s="217">
        <f>+J292</f>
      </c>
      <c r="AI292" s="217">
        <f>+H292</f>
      </c>
      <c r="AJ292" s="111">
        <f>+V292&amp;W292</f>
      </c>
      <c r="AK292" s="217">
        <f>+_xlfn.IFNA(VLOOKUP(AJ292,$AF$7:$AG$1066,2,0),0)</f>
      </c>
      <c r="AL292" s="217">
        <f>+IF(W292&gt;W291,AK292,AL291+AK292)</f>
      </c>
      <c r="AM292" s="217">
        <f>IF(W292&gt;W291,IF(AL292&gt;=$AZ$8,$AZ$8,AL292),IF(OR(AM291=$AZ$8,AM291=0),0,IF(AL292&gt;=$AZ$8,$AZ$8,AL292)))</f>
      </c>
      <c r="AN292" s="748">
        <f>+IF(OR(AM292&gt;AZ291,AM292=0),0,IF(AM292=AL292,AK292,$AZ$7-AL291))</f>
      </c>
      <c r="AO292" s="748">
        <f>+AK292-AN292</f>
      </c>
      <c r="AP292" s="217">
        <f>+_xlfn.IFNA(VLOOKUP(AJ292,$AF$7:$AI$1066,3,0),0)</f>
      </c>
      <c r="AQ292" s="217">
        <f>+IF(W292&gt;W291,AP292,AQ291+AP292)</f>
      </c>
      <c r="AR292" s="217">
        <f>+MAX($AM$2-SUMIF($W$7:$W$1066,W292,$AN$7:$AN$1066),0)</f>
      </c>
      <c r="AS292" s="748">
        <f>+MAX(IF(AQ292&gt;AR292,AR292-AQ291,AP292),0)</f>
      </c>
      <c r="AT292" s="748">
        <f>+AP292-AS292</f>
      </c>
      <c r="AU292" s="217">
        <f>+_xlfn.IFNA(VLOOKUP(AJ292,$AF$7:$AI$1066,4,0),0)</f>
      </c>
      <c r="AV292" s="217">
        <f>+IF(W292&gt;W291,AU292,AV291+AU292)</f>
      </c>
      <c r="AW292" s="217">
        <f>+MAX($AM$2-SUMIF($W$7:$W$1066,W292,$AN$7:$AN$1066)-SUMIF($W$7:$W$1066,W292,$AS$7:$AS$1066),0)</f>
      </c>
      <c r="AX292" s="748">
        <f>+MAX(IF(AV292&gt;AW292,AW292-AV291,AU292),0)</f>
      </c>
      <c r="AY292" s="748">
        <f>+AU292-AX292</f>
      </c>
      <c r="AZ292" s="331">
        <f>+$AM$1+IF($AP$1&gt;$AP$2,$AM$3/2)</f>
      </c>
    </row>
    <row x14ac:dyDescent="0.25" r="293" customHeight="1" ht="18.75">
      <c r="A293" s="1"/>
      <c r="B293" s="7"/>
      <c r="C293" s="170"/>
      <c r="D293" s="331">
        <v>286</v>
      </c>
      <c r="E293" s="544">
        <f>+DATE(YEAR(E292),MONTH(E292)-1,DAY(E292))</f>
        <v>25569.041666666668</v>
      </c>
      <c r="F293" s="333">
        <f>IF(DATE(YEAR($B$6),MONTH($B$6)+1,DAY(1))=E293,1,IF(MONTH(E293)=1,F294*(1+$F$5),F294))</f>
      </c>
      <c r="G293" s="333">
        <f>IF('Simulador - 1º Pilar'!$E$99="Sí",IF('Aportaciones PPE'!$B$13&lt;'Aportaciones PPE'!E293,0,F293*$B$8/12),F293*$B$8/12)</f>
      </c>
      <c r="H293" s="333">
        <f>$H$5*G293</f>
      </c>
      <c r="I293" s="333">
        <f>$I$5*G293</f>
      </c>
      <c r="J293" s="333">
        <f>+I293</f>
      </c>
      <c r="K293" s="333">
        <f>(1+$O$5)^(D293/12)*(H293+IF(AND(F293=1,F294=0),$S$4,0))</f>
      </c>
      <c r="L293" s="333">
        <f>(1+$O$5)^(D293/12)*(I293+IF(AND(F293=1,F294=0),0))</f>
      </c>
      <c r="M293" s="333">
        <f>+L293</f>
      </c>
      <c r="N293" s="333">
        <f>L293+K293+M293</f>
      </c>
      <c r="O293" s="170"/>
      <c r="P293" s="7"/>
      <c r="Q293" s="1"/>
      <c r="R293" s="331">
        <f>D293</f>
      </c>
      <c r="S293" s="169"/>
      <c r="T293" s="1"/>
      <c r="U293" s="217"/>
      <c r="V293" s="331">
        <f>+IF(V292=11,12,IF(V292=12,1,V292+1))</f>
      </c>
      <c r="W293" s="331">
        <f>+W292+IF(V292=12,1,0)</f>
      </c>
      <c r="X293" s="555">
        <f>+DATE(W293,V293,1)</f>
        <v>25569.041666666668</v>
      </c>
      <c r="Y293" s="333">
        <f>+_xlfn.IFNA(AN293+AS293+AX293,0)</f>
      </c>
      <c r="Z293" s="333">
        <f>+_xlfn.IFNA(AO293+AT293+AY293,0)</f>
      </c>
      <c r="AA293" s="333">
        <f>Y293*(1+$O$5)^(($B$7-X293)/365.25)</f>
      </c>
      <c r="AB293" s="333">
        <f>Z293*(1+$O$5)^(($B$7-X293)/365.25)</f>
      </c>
      <c r="AC293" s="1"/>
      <c r="AD293" s="1"/>
      <c r="AE293" s="1"/>
      <c r="AF293" s="111">
        <f>+MONTH(E293)&amp;YEAR(E293)</f>
      </c>
      <c r="AG293" s="217">
        <f>+I293</f>
      </c>
      <c r="AH293" s="217">
        <f>+J293</f>
      </c>
      <c r="AI293" s="217">
        <f>+H293</f>
      </c>
      <c r="AJ293" s="111">
        <f>+V293&amp;W293</f>
      </c>
      <c r="AK293" s="217">
        <f>+_xlfn.IFNA(VLOOKUP(AJ293,$AF$7:$AG$1066,2,0),0)</f>
      </c>
      <c r="AL293" s="217">
        <f>+IF(W293&gt;W292,AK293,AL292+AK293)</f>
      </c>
      <c r="AM293" s="217">
        <f>IF(W293&gt;W292,IF(AL293&gt;=$AZ$8,$AZ$8,AL293),IF(OR(AM292=$AZ$8,AM292=0),0,IF(AL293&gt;=$AZ$8,$AZ$8,AL293)))</f>
      </c>
      <c r="AN293" s="748">
        <f>+IF(OR(AM293&gt;AZ292,AM293=0),0,IF(AM293=AL293,AK293,$AZ$7-AL292))</f>
      </c>
      <c r="AO293" s="748">
        <f>+AK293-AN293</f>
      </c>
      <c r="AP293" s="217">
        <f>+_xlfn.IFNA(VLOOKUP(AJ293,$AF$7:$AI$1066,3,0),0)</f>
      </c>
      <c r="AQ293" s="217">
        <f>+IF(W293&gt;W292,AP293,AQ292+AP293)</f>
      </c>
      <c r="AR293" s="217">
        <f>+MAX($AM$2-SUMIF($W$7:$W$1066,W293,$AN$7:$AN$1066),0)</f>
      </c>
      <c r="AS293" s="748">
        <f>+MAX(IF(AQ293&gt;AR293,AR293-AQ292,AP293),0)</f>
      </c>
      <c r="AT293" s="748">
        <f>+AP293-AS293</f>
      </c>
      <c r="AU293" s="217">
        <f>+_xlfn.IFNA(VLOOKUP(AJ293,$AF$7:$AI$1066,4,0),0)</f>
      </c>
      <c r="AV293" s="217">
        <f>+IF(W293&gt;W292,AU293,AV292+AU293)</f>
      </c>
      <c r="AW293" s="217">
        <f>+MAX($AM$2-SUMIF($W$7:$W$1066,W293,$AN$7:$AN$1066)-SUMIF($W$7:$W$1066,W293,$AS$7:$AS$1066),0)</f>
      </c>
      <c r="AX293" s="748">
        <f>+MAX(IF(AV293&gt;AW293,AW293-AV292,AU293),0)</f>
      </c>
      <c r="AY293" s="748">
        <f>+AU293-AX293</f>
      </c>
      <c r="AZ293" s="331">
        <f>+$AM$1+IF($AP$1&gt;$AP$2,$AM$3/2)</f>
      </c>
    </row>
    <row x14ac:dyDescent="0.25" r="294" customHeight="1" ht="18.75">
      <c r="A294" s="1"/>
      <c r="B294" s="7"/>
      <c r="C294" s="170"/>
      <c r="D294" s="331">
        <v>287</v>
      </c>
      <c r="E294" s="544">
        <f>+DATE(YEAR(E293),MONTH(E293)-1,DAY(E293))</f>
        <v>25569.041666666668</v>
      </c>
      <c r="F294" s="333">
        <f>IF(DATE(YEAR($B$6),MONTH($B$6)+1,DAY(1))=E294,1,IF(MONTH(E294)=1,F295*(1+$F$5),F295))</f>
      </c>
      <c r="G294" s="333">
        <f>IF('Simulador - 1º Pilar'!$E$99="Sí",IF('Aportaciones PPE'!$B$13&lt;'Aportaciones PPE'!E294,0,F294*$B$8/12),F294*$B$8/12)</f>
      </c>
      <c r="H294" s="333">
        <f>$H$5*G294</f>
      </c>
      <c r="I294" s="333">
        <f>$I$5*G294</f>
      </c>
      <c r="J294" s="333">
        <f>+I294</f>
      </c>
      <c r="K294" s="333">
        <f>(1+$O$5)^(D294/12)*(H294+IF(AND(F294=1,F295=0),$S$4,0))</f>
      </c>
      <c r="L294" s="333">
        <f>(1+$O$5)^(D294/12)*(I294+IF(AND(F294=1,F295=0),0))</f>
      </c>
      <c r="M294" s="333">
        <f>+L294</f>
      </c>
      <c r="N294" s="333">
        <f>L294+K294+M294</f>
      </c>
      <c r="O294" s="170"/>
      <c r="P294" s="7"/>
      <c r="Q294" s="1"/>
      <c r="R294" s="331">
        <f>D294</f>
      </c>
      <c r="S294" s="169"/>
      <c r="T294" s="1"/>
      <c r="U294" s="217"/>
      <c r="V294" s="331">
        <f>+IF(V293=11,12,IF(V293=12,1,V293+1))</f>
      </c>
      <c r="W294" s="331">
        <f>+W293+IF(V293=12,1,0)</f>
      </c>
      <c r="X294" s="555">
        <f>+DATE(W294,V294,1)</f>
        <v>25569.041666666668</v>
      </c>
      <c r="Y294" s="333">
        <f>+_xlfn.IFNA(AN294+AS294+AX294,0)</f>
      </c>
      <c r="Z294" s="333">
        <f>+_xlfn.IFNA(AO294+AT294+AY294,0)</f>
      </c>
      <c r="AA294" s="333">
        <f>Y294*(1+$O$5)^(($B$7-X294)/365.25)</f>
      </c>
      <c r="AB294" s="333">
        <f>Z294*(1+$O$5)^(($B$7-X294)/365.25)</f>
      </c>
      <c r="AC294" s="1"/>
      <c r="AD294" s="1"/>
      <c r="AE294" s="1"/>
      <c r="AF294" s="111">
        <f>+MONTH(E294)&amp;YEAR(E294)</f>
      </c>
      <c r="AG294" s="217">
        <f>+I294</f>
      </c>
      <c r="AH294" s="217">
        <f>+J294</f>
      </c>
      <c r="AI294" s="217">
        <f>+H294</f>
      </c>
      <c r="AJ294" s="111">
        <f>+V294&amp;W294</f>
      </c>
      <c r="AK294" s="217">
        <f>+_xlfn.IFNA(VLOOKUP(AJ294,$AF$7:$AG$1066,2,0),0)</f>
      </c>
      <c r="AL294" s="217">
        <f>+IF(W294&gt;W293,AK294,AL293+AK294)</f>
      </c>
      <c r="AM294" s="217">
        <f>IF(W294&gt;W293,IF(AL294&gt;=$AZ$8,$AZ$8,AL294),IF(OR(AM293=$AZ$8,AM293=0),0,IF(AL294&gt;=$AZ$8,$AZ$8,AL294)))</f>
      </c>
      <c r="AN294" s="748">
        <f>+IF(OR(AM294&gt;AZ293,AM294=0),0,IF(AM294=AL294,AK294,$AZ$7-AL293))</f>
      </c>
      <c r="AO294" s="748">
        <f>+AK294-AN294</f>
      </c>
      <c r="AP294" s="217">
        <f>+_xlfn.IFNA(VLOOKUP(AJ294,$AF$7:$AI$1066,3,0),0)</f>
      </c>
      <c r="AQ294" s="217">
        <f>+IF(W294&gt;W293,AP294,AQ293+AP294)</f>
      </c>
      <c r="AR294" s="217">
        <f>+MAX($AM$2-SUMIF($W$7:$W$1066,W294,$AN$7:$AN$1066),0)</f>
      </c>
      <c r="AS294" s="748">
        <f>+MAX(IF(AQ294&gt;AR294,AR294-AQ293,AP294),0)</f>
      </c>
      <c r="AT294" s="748">
        <f>+AP294-AS294</f>
      </c>
      <c r="AU294" s="217">
        <f>+_xlfn.IFNA(VLOOKUP(AJ294,$AF$7:$AI$1066,4,0),0)</f>
      </c>
      <c r="AV294" s="217">
        <f>+IF(W294&gt;W293,AU294,AV293+AU294)</f>
      </c>
      <c r="AW294" s="217">
        <f>+MAX($AM$2-SUMIF($W$7:$W$1066,W294,$AN$7:$AN$1066)-SUMIF($W$7:$W$1066,W294,$AS$7:$AS$1066),0)</f>
      </c>
      <c r="AX294" s="748">
        <f>+MAX(IF(AV294&gt;AW294,AW294-AV293,AU294),0)</f>
      </c>
      <c r="AY294" s="748">
        <f>+AU294-AX294</f>
      </c>
      <c r="AZ294" s="331">
        <f>+$AM$1+IF($AP$1&gt;$AP$2,$AM$3/2)</f>
      </c>
    </row>
    <row x14ac:dyDescent="0.25" r="295" customHeight="1" ht="18.75">
      <c r="A295" s="1"/>
      <c r="B295" s="7"/>
      <c r="C295" s="170"/>
      <c r="D295" s="331">
        <v>288</v>
      </c>
      <c r="E295" s="544">
        <f>+DATE(YEAR(E294),MONTH(E294)-1,DAY(E294))</f>
        <v>25569.041666666668</v>
      </c>
      <c r="F295" s="333">
        <f>IF(DATE(YEAR($B$6),MONTH($B$6)+1,DAY(1))=E295,1,IF(MONTH(E295)=1,F296*(1+$F$5),F296))</f>
      </c>
      <c r="G295" s="333">
        <f>IF('Simulador - 1º Pilar'!$E$99="Sí",IF('Aportaciones PPE'!$B$13&lt;'Aportaciones PPE'!E295,0,F295*$B$8/12),F295*$B$8/12)</f>
      </c>
      <c r="H295" s="333">
        <f>$H$5*G295</f>
      </c>
      <c r="I295" s="333">
        <f>$I$5*G295</f>
      </c>
      <c r="J295" s="333">
        <f>+I295</f>
      </c>
      <c r="K295" s="333">
        <f>(1+$O$5)^(D295/12)*(H295+IF(AND(F295=1,F296=0),$S$4,0))</f>
      </c>
      <c r="L295" s="333">
        <f>(1+$O$5)^(D295/12)*(I295+IF(AND(F295=1,F296=0),0))</f>
      </c>
      <c r="M295" s="333">
        <f>+L295</f>
      </c>
      <c r="N295" s="333">
        <f>L295+K295+M295</f>
      </c>
      <c r="O295" s="170"/>
      <c r="P295" s="7"/>
      <c r="Q295" s="1"/>
      <c r="R295" s="331">
        <f>D295</f>
      </c>
      <c r="S295" s="169"/>
      <c r="T295" s="1"/>
      <c r="U295" s="217"/>
      <c r="V295" s="331">
        <f>+IF(V294=11,12,IF(V294=12,1,V294+1))</f>
      </c>
      <c r="W295" s="331">
        <f>+W294+IF(V294=12,1,0)</f>
      </c>
      <c r="X295" s="555">
        <f>+DATE(W295,V295,1)</f>
        <v>25569.041666666668</v>
      </c>
      <c r="Y295" s="333">
        <f>+_xlfn.IFNA(AN295+AS295+AX295,0)</f>
      </c>
      <c r="Z295" s="333">
        <f>+_xlfn.IFNA(AO295+AT295+AY295,0)</f>
      </c>
      <c r="AA295" s="333">
        <f>Y295*(1+$O$5)^(($B$7-X295)/365.25)</f>
      </c>
      <c r="AB295" s="333">
        <f>Z295*(1+$O$5)^(($B$7-X295)/365.25)</f>
      </c>
      <c r="AC295" s="1"/>
      <c r="AD295" s="1"/>
      <c r="AE295" s="1"/>
      <c r="AF295" s="111">
        <f>+MONTH(E295)&amp;YEAR(E295)</f>
      </c>
      <c r="AG295" s="217">
        <f>+I295</f>
      </c>
      <c r="AH295" s="217">
        <f>+J295</f>
      </c>
      <c r="AI295" s="217">
        <f>+H295</f>
      </c>
      <c r="AJ295" s="111">
        <f>+V295&amp;W295</f>
      </c>
      <c r="AK295" s="217">
        <f>+_xlfn.IFNA(VLOOKUP(AJ295,$AF$7:$AG$1066,2,0),0)</f>
      </c>
      <c r="AL295" s="217">
        <f>+IF(W295&gt;W294,AK295,AL294+AK295)</f>
      </c>
      <c r="AM295" s="217">
        <f>IF(W295&gt;W294,IF(AL295&gt;=$AZ$8,$AZ$8,AL295),IF(OR(AM294=$AZ$8,AM294=0),0,IF(AL295&gt;=$AZ$8,$AZ$8,AL295)))</f>
      </c>
      <c r="AN295" s="748">
        <f>+IF(OR(AM295&gt;AZ294,AM295=0),0,IF(AM295=AL295,AK295,$AZ$7-AL294))</f>
      </c>
      <c r="AO295" s="748">
        <f>+AK295-AN295</f>
      </c>
      <c r="AP295" s="217">
        <f>+_xlfn.IFNA(VLOOKUP(AJ295,$AF$7:$AI$1066,3,0),0)</f>
      </c>
      <c r="AQ295" s="217">
        <f>+IF(W295&gt;W294,AP295,AQ294+AP295)</f>
      </c>
      <c r="AR295" s="217">
        <f>+MAX($AM$2-SUMIF($W$7:$W$1066,W295,$AN$7:$AN$1066),0)</f>
      </c>
      <c r="AS295" s="748">
        <f>+MAX(IF(AQ295&gt;AR295,AR295-AQ294,AP295),0)</f>
      </c>
      <c r="AT295" s="748">
        <f>+AP295-AS295</f>
      </c>
      <c r="AU295" s="217">
        <f>+_xlfn.IFNA(VLOOKUP(AJ295,$AF$7:$AI$1066,4,0),0)</f>
      </c>
      <c r="AV295" s="217">
        <f>+IF(W295&gt;W294,AU295,AV294+AU295)</f>
      </c>
      <c r="AW295" s="217">
        <f>+MAX($AM$2-SUMIF($W$7:$W$1066,W295,$AN$7:$AN$1066)-SUMIF($W$7:$W$1066,W295,$AS$7:$AS$1066),0)</f>
      </c>
      <c r="AX295" s="748">
        <f>+MAX(IF(AV295&gt;AW295,AW295-AV294,AU295),0)</f>
      </c>
      <c r="AY295" s="748">
        <f>+AU295-AX295</f>
      </c>
      <c r="AZ295" s="331">
        <f>+$AM$1+IF($AP$1&gt;$AP$2,$AM$3/2)</f>
      </c>
    </row>
    <row x14ac:dyDescent="0.25" r="296" customHeight="1" ht="18.75">
      <c r="A296" s="1"/>
      <c r="B296" s="7"/>
      <c r="C296" s="170"/>
      <c r="D296" s="331">
        <v>289</v>
      </c>
      <c r="E296" s="544">
        <f>+DATE(YEAR(E295),MONTH(E295)-1,DAY(E295))</f>
        <v>25569.041666666668</v>
      </c>
      <c r="F296" s="333">
        <f>IF(DATE(YEAR($B$6),MONTH($B$6)+1,DAY(1))=E296,1,IF(MONTH(E296)=1,F297*(1+$F$5),F297))</f>
      </c>
      <c r="G296" s="333">
        <f>IF('Simulador - 1º Pilar'!$E$99="Sí",IF('Aportaciones PPE'!$B$13&lt;'Aportaciones PPE'!E296,0,F296*$B$8/12),F296*$B$8/12)</f>
      </c>
      <c r="H296" s="333">
        <f>$H$5*G296</f>
      </c>
      <c r="I296" s="333">
        <f>$I$5*G296</f>
      </c>
      <c r="J296" s="333">
        <f>+I296</f>
      </c>
      <c r="K296" s="333">
        <f>(1+$O$5)^(D296/12)*(H296+IF(AND(F296=1,F297=0),$S$4,0))</f>
      </c>
      <c r="L296" s="333">
        <f>(1+$O$5)^(D296/12)*(I296+IF(AND(F296=1,F297=0),0))</f>
      </c>
      <c r="M296" s="333">
        <f>+L296</f>
      </c>
      <c r="N296" s="333">
        <f>L296+K296+M296</f>
      </c>
      <c r="O296" s="170"/>
      <c r="P296" s="7"/>
      <c r="Q296" s="1"/>
      <c r="R296" s="331">
        <f>D296</f>
      </c>
      <c r="S296" s="169"/>
      <c r="T296" s="1"/>
      <c r="U296" s="217"/>
      <c r="V296" s="331">
        <f>+IF(V295=11,12,IF(V295=12,1,V295+1))</f>
      </c>
      <c r="W296" s="331">
        <f>+W295+IF(V295=12,1,0)</f>
      </c>
      <c r="X296" s="555">
        <f>+DATE(W296,V296,1)</f>
        <v>25569.041666666668</v>
      </c>
      <c r="Y296" s="333">
        <f>+_xlfn.IFNA(AN296+AS296+AX296,0)</f>
      </c>
      <c r="Z296" s="333">
        <f>+_xlfn.IFNA(AO296+AT296+AY296,0)</f>
      </c>
      <c r="AA296" s="333">
        <f>Y296*(1+$O$5)^(($B$7-X296)/365.25)</f>
      </c>
      <c r="AB296" s="333">
        <f>Z296*(1+$O$5)^(($B$7-X296)/365.25)</f>
      </c>
      <c r="AC296" s="1"/>
      <c r="AD296" s="1"/>
      <c r="AE296" s="1"/>
      <c r="AF296" s="111">
        <f>+MONTH(E296)&amp;YEAR(E296)</f>
      </c>
      <c r="AG296" s="217">
        <f>+I296</f>
      </c>
      <c r="AH296" s="217">
        <f>+J296</f>
      </c>
      <c r="AI296" s="217">
        <f>+H296</f>
      </c>
      <c r="AJ296" s="111">
        <f>+V296&amp;W296</f>
      </c>
      <c r="AK296" s="217">
        <f>+_xlfn.IFNA(VLOOKUP(AJ296,$AF$7:$AG$1066,2,0),0)</f>
      </c>
      <c r="AL296" s="217">
        <f>+IF(W296&gt;W295,AK296,AL295+AK296)</f>
      </c>
      <c r="AM296" s="217">
        <f>IF(W296&gt;W295,IF(AL296&gt;=$AZ$8,$AZ$8,AL296),IF(OR(AM295=$AZ$8,AM295=0),0,IF(AL296&gt;=$AZ$8,$AZ$8,AL296)))</f>
      </c>
      <c r="AN296" s="748">
        <f>+IF(OR(AM296&gt;AZ295,AM296=0),0,IF(AM296=AL296,AK296,$AZ$7-AL295))</f>
      </c>
      <c r="AO296" s="748">
        <f>+AK296-AN296</f>
      </c>
      <c r="AP296" s="217">
        <f>+_xlfn.IFNA(VLOOKUP(AJ296,$AF$7:$AI$1066,3,0),0)</f>
      </c>
      <c r="AQ296" s="217">
        <f>+IF(W296&gt;W295,AP296,AQ295+AP296)</f>
      </c>
      <c r="AR296" s="217">
        <f>+MAX($AM$2-SUMIF($W$7:$W$1066,W296,$AN$7:$AN$1066),0)</f>
      </c>
      <c r="AS296" s="748">
        <f>+MAX(IF(AQ296&gt;AR296,AR296-AQ295,AP296),0)</f>
      </c>
      <c r="AT296" s="748">
        <f>+AP296-AS296</f>
      </c>
      <c r="AU296" s="217">
        <f>+_xlfn.IFNA(VLOOKUP(AJ296,$AF$7:$AI$1066,4,0),0)</f>
      </c>
      <c r="AV296" s="217">
        <f>+IF(W296&gt;W295,AU296,AV295+AU296)</f>
      </c>
      <c r="AW296" s="217">
        <f>+MAX($AM$2-SUMIF($W$7:$W$1066,W296,$AN$7:$AN$1066)-SUMIF($W$7:$W$1066,W296,$AS$7:$AS$1066),0)</f>
      </c>
      <c r="AX296" s="748">
        <f>+MAX(IF(AV296&gt;AW296,AW296-AV295,AU296),0)</f>
      </c>
      <c r="AY296" s="748">
        <f>+AU296-AX296</f>
      </c>
      <c r="AZ296" s="331">
        <f>+$AM$1+IF($AP$1&gt;$AP$2,$AM$3/2)</f>
      </c>
    </row>
    <row x14ac:dyDescent="0.25" r="297" customHeight="1" ht="18.75">
      <c r="A297" s="1"/>
      <c r="B297" s="7"/>
      <c r="C297" s="170"/>
      <c r="D297" s="331">
        <v>290</v>
      </c>
      <c r="E297" s="544">
        <f>+DATE(YEAR(E296),MONTH(E296)-1,DAY(E296))</f>
        <v>25569.041666666668</v>
      </c>
      <c r="F297" s="333">
        <f>IF(DATE(YEAR($B$6),MONTH($B$6)+1,DAY(1))=E297,1,IF(MONTH(E297)=1,F298*(1+$F$5),F298))</f>
      </c>
      <c r="G297" s="333">
        <f>IF('Simulador - 1º Pilar'!$E$99="Sí",IF('Aportaciones PPE'!$B$13&lt;'Aportaciones PPE'!E297,0,F297*$B$8/12),F297*$B$8/12)</f>
      </c>
      <c r="H297" s="333">
        <f>$H$5*G297</f>
      </c>
      <c r="I297" s="333">
        <f>$I$5*G297</f>
      </c>
      <c r="J297" s="333">
        <f>+I297</f>
      </c>
      <c r="K297" s="333">
        <f>(1+$O$5)^(D297/12)*(H297+IF(AND(F297=1,F298=0),$S$4,0))</f>
      </c>
      <c r="L297" s="333">
        <f>(1+$O$5)^(D297/12)*(I297+IF(AND(F297=1,F298=0),0))</f>
      </c>
      <c r="M297" s="333">
        <f>+L297</f>
      </c>
      <c r="N297" s="333">
        <f>L297+K297+M297</f>
      </c>
      <c r="O297" s="170"/>
      <c r="P297" s="7"/>
      <c r="Q297" s="1"/>
      <c r="R297" s="331">
        <f>D297</f>
      </c>
      <c r="S297" s="169"/>
      <c r="T297" s="1"/>
      <c r="U297" s="217"/>
      <c r="V297" s="331">
        <f>+IF(V296=11,12,IF(V296=12,1,V296+1))</f>
      </c>
      <c r="W297" s="331">
        <f>+W296+IF(V296=12,1,0)</f>
      </c>
      <c r="X297" s="555">
        <f>+DATE(W297,V297,1)</f>
        <v>25569.041666666668</v>
      </c>
      <c r="Y297" s="333">
        <f>+_xlfn.IFNA(AN297+AS297+AX297,0)</f>
      </c>
      <c r="Z297" s="333">
        <f>+_xlfn.IFNA(AO297+AT297+AY297,0)</f>
      </c>
      <c r="AA297" s="333">
        <f>Y297*(1+$O$5)^(($B$7-X297)/365.25)</f>
      </c>
      <c r="AB297" s="333">
        <f>Z297*(1+$O$5)^(($B$7-X297)/365.25)</f>
      </c>
      <c r="AC297" s="1"/>
      <c r="AD297" s="1"/>
      <c r="AE297" s="1"/>
      <c r="AF297" s="111">
        <f>+MONTH(E297)&amp;YEAR(E297)</f>
      </c>
      <c r="AG297" s="217">
        <f>+I297</f>
      </c>
      <c r="AH297" s="217">
        <f>+J297</f>
      </c>
      <c r="AI297" s="217">
        <f>+H297</f>
      </c>
      <c r="AJ297" s="111">
        <f>+V297&amp;W297</f>
      </c>
      <c r="AK297" s="217">
        <f>+_xlfn.IFNA(VLOOKUP(AJ297,$AF$7:$AG$1066,2,0),0)</f>
      </c>
      <c r="AL297" s="217">
        <f>+IF(W297&gt;W296,AK297,AL296+AK297)</f>
      </c>
      <c r="AM297" s="217">
        <f>IF(W297&gt;W296,IF(AL297&gt;=$AZ$8,$AZ$8,AL297),IF(OR(AM296=$AZ$8,AM296=0),0,IF(AL297&gt;=$AZ$8,$AZ$8,AL297)))</f>
      </c>
      <c r="AN297" s="748">
        <f>+IF(OR(AM297&gt;AZ296,AM297=0),0,IF(AM297=AL297,AK297,$AZ$7-AL296))</f>
      </c>
      <c r="AO297" s="748">
        <f>+AK297-AN297</f>
      </c>
      <c r="AP297" s="217">
        <f>+_xlfn.IFNA(VLOOKUP(AJ297,$AF$7:$AI$1066,3,0),0)</f>
      </c>
      <c r="AQ297" s="217">
        <f>+IF(W297&gt;W296,AP297,AQ296+AP297)</f>
      </c>
      <c r="AR297" s="217">
        <f>+MAX($AM$2-SUMIF($W$7:$W$1066,W297,$AN$7:$AN$1066),0)</f>
      </c>
      <c r="AS297" s="748">
        <f>+MAX(IF(AQ297&gt;AR297,AR297-AQ296,AP297),0)</f>
      </c>
      <c r="AT297" s="748">
        <f>+AP297-AS297</f>
      </c>
      <c r="AU297" s="217">
        <f>+_xlfn.IFNA(VLOOKUP(AJ297,$AF$7:$AI$1066,4,0),0)</f>
      </c>
      <c r="AV297" s="217">
        <f>+IF(W297&gt;W296,AU297,AV296+AU297)</f>
      </c>
      <c r="AW297" s="217">
        <f>+MAX($AM$2-SUMIF($W$7:$W$1066,W297,$AN$7:$AN$1066)-SUMIF($W$7:$W$1066,W297,$AS$7:$AS$1066),0)</f>
      </c>
      <c r="AX297" s="748">
        <f>+MAX(IF(AV297&gt;AW297,AW297-AV296,AU297),0)</f>
      </c>
      <c r="AY297" s="748">
        <f>+AU297-AX297</f>
      </c>
      <c r="AZ297" s="331">
        <f>+$AM$1+IF($AP$1&gt;$AP$2,$AM$3/2)</f>
      </c>
    </row>
    <row x14ac:dyDescent="0.25" r="298" customHeight="1" ht="18.75">
      <c r="A298" s="1"/>
      <c r="B298" s="7"/>
      <c r="C298" s="170"/>
      <c r="D298" s="331">
        <v>291</v>
      </c>
      <c r="E298" s="544">
        <f>+DATE(YEAR(E297),MONTH(E297)-1,DAY(E297))</f>
        <v>25569.041666666668</v>
      </c>
      <c r="F298" s="333">
        <f>IF(DATE(YEAR($B$6),MONTH($B$6)+1,DAY(1))=E298,1,IF(MONTH(E298)=1,F299*(1+$F$5),F299))</f>
      </c>
      <c r="G298" s="333">
        <f>IF('Simulador - 1º Pilar'!$E$99="Sí",IF('Aportaciones PPE'!$B$13&lt;'Aportaciones PPE'!E298,0,F298*$B$8/12),F298*$B$8/12)</f>
      </c>
      <c r="H298" s="333">
        <f>$H$5*G298</f>
      </c>
      <c r="I298" s="333">
        <f>$I$5*G298</f>
      </c>
      <c r="J298" s="333">
        <f>+I298</f>
      </c>
      <c r="K298" s="333">
        <f>(1+$O$5)^(D298/12)*(H298+IF(AND(F298=1,F299=0),$S$4,0))</f>
      </c>
      <c r="L298" s="333">
        <f>(1+$O$5)^(D298/12)*(I298+IF(AND(F298=1,F299=0),0))</f>
      </c>
      <c r="M298" s="333">
        <f>+L298</f>
      </c>
      <c r="N298" s="333">
        <f>L298+K298+M298</f>
      </c>
      <c r="O298" s="170"/>
      <c r="P298" s="7"/>
      <c r="Q298" s="1"/>
      <c r="R298" s="331">
        <f>D298</f>
      </c>
      <c r="S298" s="169"/>
      <c r="T298" s="1"/>
      <c r="U298" s="217"/>
      <c r="V298" s="331">
        <f>+IF(V297=11,12,IF(V297=12,1,V297+1))</f>
      </c>
      <c r="W298" s="331">
        <f>+W297+IF(V297=12,1,0)</f>
      </c>
      <c r="X298" s="555">
        <f>+DATE(W298,V298,1)</f>
        <v>25569.041666666668</v>
      </c>
      <c r="Y298" s="333">
        <f>+_xlfn.IFNA(AN298+AS298+AX298,0)</f>
      </c>
      <c r="Z298" s="333">
        <f>+_xlfn.IFNA(AO298+AT298+AY298,0)</f>
      </c>
      <c r="AA298" s="333">
        <f>Y298*(1+$O$5)^(($B$7-X298)/365.25)</f>
      </c>
      <c r="AB298" s="333">
        <f>Z298*(1+$O$5)^(($B$7-X298)/365.25)</f>
      </c>
      <c r="AC298" s="1"/>
      <c r="AD298" s="1"/>
      <c r="AE298" s="1"/>
      <c r="AF298" s="111">
        <f>+MONTH(E298)&amp;YEAR(E298)</f>
      </c>
      <c r="AG298" s="217">
        <f>+I298</f>
      </c>
      <c r="AH298" s="217">
        <f>+J298</f>
      </c>
      <c r="AI298" s="217">
        <f>+H298</f>
      </c>
      <c r="AJ298" s="111">
        <f>+V298&amp;W298</f>
      </c>
      <c r="AK298" s="217">
        <f>+_xlfn.IFNA(VLOOKUP(AJ298,$AF$7:$AG$1066,2,0),0)</f>
      </c>
      <c r="AL298" s="217">
        <f>+IF(W298&gt;W297,AK298,AL297+AK298)</f>
      </c>
      <c r="AM298" s="217">
        <f>IF(W298&gt;W297,IF(AL298&gt;=$AZ$8,$AZ$8,AL298),IF(OR(AM297=$AZ$8,AM297=0),0,IF(AL298&gt;=$AZ$8,$AZ$8,AL298)))</f>
      </c>
      <c r="AN298" s="748">
        <f>+IF(OR(AM298&gt;AZ297,AM298=0),0,IF(AM298=AL298,AK298,$AZ$7-AL297))</f>
      </c>
      <c r="AO298" s="748">
        <f>+AK298-AN298</f>
      </c>
      <c r="AP298" s="217">
        <f>+_xlfn.IFNA(VLOOKUP(AJ298,$AF$7:$AI$1066,3,0),0)</f>
      </c>
      <c r="AQ298" s="217">
        <f>+IF(W298&gt;W297,AP298,AQ297+AP298)</f>
      </c>
      <c r="AR298" s="217">
        <f>+MAX($AM$2-SUMIF($W$7:$W$1066,W298,$AN$7:$AN$1066),0)</f>
      </c>
      <c r="AS298" s="748">
        <f>+MAX(IF(AQ298&gt;AR298,AR298-AQ297,AP298),0)</f>
      </c>
      <c r="AT298" s="748">
        <f>+AP298-AS298</f>
      </c>
      <c r="AU298" s="217">
        <f>+_xlfn.IFNA(VLOOKUP(AJ298,$AF$7:$AI$1066,4,0),0)</f>
      </c>
      <c r="AV298" s="217">
        <f>+IF(W298&gt;W297,AU298,AV297+AU298)</f>
      </c>
      <c r="AW298" s="217">
        <f>+MAX($AM$2-SUMIF($W$7:$W$1066,W298,$AN$7:$AN$1066)-SUMIF($W$7:$W$1066,W298,$AS$7:$AS$1066),0)</f>
      </c>
      <c r="AX298" s="748">
        <f>+MAX(IF(AV298&gt;AW298,AW298-AV297,AU298),0)</f>
      </c>
      <c r="AY298" s="748">
        <f>+AU298-AX298</f>
      </c>
      <c r="AZ298" s="331">
        <f>+$AM$1+IF($AP$1&gt;$AP$2,$AM$3/2)</f>
      </c>
    </row>
    <row x14ac:dyDescent="0.25" r="299" customHeight="1" ht="18.75">
      <c r="A299" s="1"/>
      <c r="B299" s="7"/>
      <c r="C299" s="170"/>
      <c r="D299" s="331">
        <v>292</v>
      </c>
      <c r="E299" s="544">
        <f>+DATE(YEAR(E298),MONTH(E298)-1,DAY(E298))</f>
        <v>25569.041666666668</v>
      </c>
      <c r="F299" s="333">
        <f>IF(DATE(YEAR($B$6),MONTH($B$6)+1,DAY(1))=E299,1,IF(MONTH(E299)=1,F300*(1+$F$5),F300))</f>
      </c>
      <c r="G299" s="333">
        <f>IF('Simulador - 1º Pilar'!$E$99="Sí",IF('Aportaciones PPE'!$B$13&lt;'Aportaciones PPE'!E299,0,F299*$B$8/12),F299*$B$8/12)</f>
      </c>
      <c r="H299" s="333">
        <f>$H$5*G299</f>
      </c>
      <c r="I299" s="333">
        <f>$I$5*G299</f>
      </c>
      <c r="J299" s="333">
        <f>+I299</f>
      </c>
      <c r="K299" s="333">
        <f>(1+$O$5)^(D299/12)*(H299+IF(AND(F299=1,F300=0),$S$4,0))</f>
      </c>
      <c r="L299" s="333">
        <f>(1+$O$5)^(D299/12)*(I299+IF(AND(F299=1,F300=0),0))</f>
      </c>
      <c r="M299" s="333">
        <f>+L299</f>
      </c>
      <c r="N299" s="333">
        <f>L299+K299+M299</f>
      </c>
      <c r="O299" s="170"/>
      <c r="P299" s="7"/>
      <c r="Q299" s="1"/>
      <c r="R299" s="331">
        <f>D299</f>
      </c>
      <c r="S299" s="169"/>
      <c r="T299" s="1"/>
      <c r="U299" s="217"/>
      <c r="V299" s="331">
        <f>+IF(V298=11,12,IF(V298=12,1,V298+1))</f>
      </c>
      <c r="W299" s="331">
        <f>+W298+IF(V298=12,1,0)</f>
      </c>
      <c r="X299" s="555">
        <f>+DATE(W299,V299,1)</f>
        <v>25569.041666666668</v>
      </c>
      <c r="Y299" s="333">
        <f>+_xlfn.IFNA(AN299+AS299+AX299,0)</f>
      </c>
      <c r="Z299" s="333">
        <f>+_xlfn.IFNA(AO299+AT299+AY299,0)</f>
      </c>
      <c r="AA299" s="333">
        <f>Y299*(1+$O$5)^(($B$7-X299)/365.25)</f>
      </c>
      <c r="AB299" s="333">
        <f>Z299*(1+$O$5)^(($B$7-X299)/365.25)</f>
      </c>
      <c r="AC299" s="1"/>
      <c r="AD299" s="1"/>
      <c r="AE299" s="1"/>
      <c r="AF299" s="111">
        <f>+MONTH(E299)&amp;YEAR(E299)</f>
      </c>
      <c r="AG299" s="217">
        <f>+I299</f>
      </c>
      <c r="AH299" s="217">
        <f>+J299</f>
      </c>
      <c r="AI299" s="217">
        <f>+H299</f>
      </c>
      <c r="AJ299" s="111">
        <f>+V299&amp;W299</f>
      </c>
      <c r="AK299" s="217">
        <f>+_xlfn.IFNA(VLOOKUP(AJ299,$AF$7:$AG$1066,2,0),0)</f>
      </c>
      <c r="AL299" s="217">
        <f>+IF(W299&gt;W298,AK299,AL298+AK299)</f>
      </c>
      <c r="AM299" s="217">
        <f>IF(W299&gt;W298,IF(AL299&gt;=$AZ$8,$AZ$8,AL299),IF(OR(AM298=$AZ$8,AM298=0),0,IF(AL299&gt;=$AZ$8,$AZ$8,AL299)))</f>
      </c>
      <c r="AN299" s="748">
        <f>+IF(OR(AM299&gt;AZ298,AM299=0),0,IF(AM299=AL299,AK299,$AZ$7-AL298))</f>
      </c>
      <c r="AO299" s="748">
        <f>+AK299-AN299</f>
      </c>
      <c r="AP299" s="217">
        <f>+_xlfn.IFNA(VLOOKUP(AJ299,$AF$7:$AI$1066,3,0),0)</f>
      </c>
      <c r="AQ299" s="217">
        <f>+IF(W299&gt;W298,AP299,AQ298+AP299)</f>
      </c>
      <c r="AR299" s="217">
        <f>+MAX($AM$2-SUMIF($W$7:$W$1066,W299,$AN$7:$AN$1066),0)</f>
      </c>
      <c r="AS299" s="748">
        <f>+MAX(IF(AQ299&gt;AR299,AR299-AQ298,AP299),0)</f>
      </c>
      <c r="AT299" s="748">
        <f>+AP299-AS299</f>
      </c>
      <c r="AU299" s="217">
        <f>+_xlfn.IFNA(VLOOKUP(AJ299,$AF$7:$AI$1066,4,0),0)</f>
      </c>
      <c r="AV299" s="217">
        <f>+IF(W299&gt;W298,AU299,AV298+AU299)</f>
      </c>
      <c r="AW299" s="217">
        <f>+MAX($AM$2-SUMIF($W$7:$W$1066,W299,$AN$7:$AN$1066)-SUMIF($W$7:$W$1066,W299,$AS$7:$AS$1066),0)</f>
      </c>
      <c r="AX299" s="748">
        <f>+MAX(IF(AV299&gt;AW299,AW299-AV298,AU299),0)</f>
      </c>
      <c r="AY299" s="748">
        <f>+AU299-AX299</f>
      </c>
      <c r="AZ299" s="331">
        <f>+$AM$1+IF($AP$1&gt;$AP$2,$AM$3/2)</f>
      </c>
    </row>
    <row x14ac:dyDescent="0.25" r="300" customHeight="1" ht="18.75">
      <c r="A300" s="1"/>
      <c r="B300" s="7"/>
      <c r="C300" s="170"/>
      <c r="D300" s="331">
        <v>293</v>
      </c>
      <c r="E300" s="544">
        <f>+DATE(YEAR(E299),MONTH(E299)-1,DAY(E299))</f>
        <v>25569.041666666668</v>
      </c>
      <c r="F300" s="333">
        <f>IF(DATE(YEAR($B$6),MONTH($B$6)+1,DAY(1))=E300,1,IF(MONTH(E300)=1,F301*(1+$F$5),F301))</f>
      </c>
      <c r="G300" s="333">
        <f>IF('Simulador - 1º Pilar'!$E$99="Sí",IF('Aportaciones PPE'!$B$13&lt;'Aportaciones PPE'!E300,0,F300*$B$8/12),F300*$B$8/12)</f>
      </c>
      <c r="H300" s="333">
        <f>$H$5*G300</f>
      </c>
      <c r="I300" s="333">
        <f>$I$5*G300</f>
      </c>
      <c r="J300" s="333">
        <f>+I300</f>
      </c>
      <c r="K300" s="333">
        <f>(1+$O$5)^(D300/12)*(H300+IF(AND(F300=1,F301=0),$S$4,0))</f>
      </c>
      <c r="L300" s="333">
        <f>(1+$O$5)^(D300/12)*(I300+IF(AND(F300=1,F301=0),0))</f>
      </c>
      <c r="M300" s="333">
        <f>+L300</f>
      </c>
      <c r="N300" s="333">
        <f>L300+K300+M300</f>
      </c>
      <c r="O300" s="170"/>
      <c r="P300" s="7"/>
      <c r="Q300" s="1"/>
      <c r="R300" s="331">
        <f>D300</f>
      </c>
      <c r="S300" s="169"/>
      <c r="T300" s="1"/>
      <c r="U300" s="217"/>
      <c r="V300" s="331">
        <f>+IF(V299=11,12,IF(V299=12,1,V299+1))</f>
      </c>
      <c r="W300" s="331">
        <f>+W299+IF(V299=12,1,0)</f>
      </c>
      <c r="X300" s="555">
        <f>+DATE(W300,V300,1)</f>
        <v>25569.041666666668</v>
      </c>
      <c r="Y300" s="333">
        <f>+_xlfn.IFNA(AN300+AS300+AX300,0)</f>
      </c>
      <c r="Z300" s="333">
        <f>+_xlfn.IFNA(AO300+AT300+AY300,0)</f>
      </c>
      <c r="AA300" s="333">
        <f>Y300*(1+$O$5)^(($B$7-X300)/365.25)</f>
      </c>
      <c r="AB300" s="333">
        <f>Z300*(1+$O$5)^(($B$7-X300)/365.25)</f>
      </c>
      <c r="AC300" s="1"/>
      <c r="AD300" s="1"/>
      <c r="AE300" s="1"/>
      <c r="AF300" s="111">
        <f>+MONTH(E300)&amp;YEAR(E300)</f>
      </c>
      <c r="AG300" s="217">
        <f>+I300</f>
      </c>
      <c r="AH300" s="217">
        <f>+J300</f>
      </c>
      <c r="AI300" s="217">
        <f>+H300</f>
      </c>
      <c r="AJ300" s="111">
        <f>+V300&amp;W300</f>
      </c>
      <c r="AK300" s="217">
        <f>+_xlfn.IFNA(VLOOKUP(AJ300,$AF$7:$AG$1066,2,0),0)</f>
      </c>
      <c r="AL300" s="217">
        <f>+IF(W300&gt;W299,AK300,AL299+AK300)</f>
      </c>
      <c r="AM300" s="217">
        <f>IF(W300&gt;W299,IF(AL300&gt;=$AZ$8,$AZ$8,AL300),IF(OR(AM299=$AZ$8,AM299=0),0,IF(AL300&gt;=$AZ$8,$AZ$8,AL300)))</f>
      </c>
      <c r="AN300" s="748">
        <f>+IF(OR(AM300&gt;AZ299,AM300=0),0,IF(AM300=AL300,AK300,$AZ$7-AL299))</f>
      </c>
      <c r="AO300" s="748">
        <f>+AK300-AN300</f>
      </c>
      <c r="AP300" s="217">
        <f>+_xlfn.IFNA(VLOOKUP(AJ300,$AF$7:$AI$1066,3,0),0)</f>
      </c>
      <c r="AQ300" s="217">
        <f>+IF(W300&gt;W299,AP300,AQ299+AP300)</f>
      </c>
      <c r="AR300" s="217">
        <f>+MAX($AM$2-SUMIF($W$7:$W$1066,W300,$AN$7:$AN$1066),0)</f>
      </c>
      <c r="AS300" s="748">
        <f>+MAX(IF(AQ300&gt;AR300,AR300-AQ299,AP300),0)</f>
      </c>
      <c r="AT300" s="748">
        <f>+AP300-AS300</f>
      </c>
      <c r="AU300" s="217">
        <f>+_xlfn.IFNA(VLOOKUP(AJ300,$AF$7:$AI$1066,4,0),0)</f>
      </c>
      <c r="AV300" s="217">
        <f>+IF(W300&gt;W299,AU300,AV299+AU300)</f>
      </c>
      <c r="AW300" s="217">
        <f>+MAX($AM$2-SUMIF($W$7:$W$1066,W300,$AN$7:$AN$1066)-SUMIF($W$7:$W$1066,W300,$AS$7:$AS$1066),0)</f>
      </c>
      <c r="AX300" s="748">
        <f>+MAX(IF(AV300&gt;AW300,AW300-AV299,AU300),0)</f>
      </c>
      <c r="AY300" s="748">
        <f>+AU300-AX300</f>
      </c>
      <c r="AZ300" s="331">
        <f>+$AM$1+IF($AP$1&gt;$AP$2,$AM$3/2)</f>
      </c>
    </row>
    <row x14ac:dyDescent="0.25" r="301" customHeight="1" ht="18.75">
      <c r="A301" s="1"/>
      <c r="B301" s="7"/>
      <c r="C301" s="170"/>
      <c r="D301" s="331">
        <v>294</v>
      </c>
      <c r="E301" s="544">
        <f>+DATE(YEAR(E300),MONTH(E300)-1,DAY(E300))</f>
        <v>25569.041666666668</v>
      </c>
      <c r="F301" s="333">
        <f>IF(DATE(YEAR($B$6),MONTH($B$6)+1,DAY(1))=E301,1,IF(MONTH(E301)=1,F302*(1+$F$5),F302))</f>
      </c>
      <c r="G301" s="333">
        <f>IF('Simulador - 1º Pilar'!$E$99="Sí",IF('Aportaciones PPE'!$B$13&lt;'Aportaciones PPE'!E301,0,F301*$B$8/12),F301*$B$8/12)</f>
      </c>
      <c r="H301" s="333">
        <f>$H$5*G301</f>
      </c>
      <c r="I301" s="333">
        <f>$I$5*G301</f>
      </c>
      <c r="J301" s="333">
        <f>+I301</f>
      </c>
      <c r="K301" s="333">
        <f>(1+$O$5)^(D301/12)*(H301+IF(AND(F301=1,F302=0),$S$4,0))</f>
      </c>
      <c r="L301" s="333">
        <f>(1+$O$5)^(D301/12)*(I301+IF(AND(F301=1,F302=0),0))</f>
      </c>
      <c r="M301" s="333">
        <f>+L301</f>
      </c>
      <c r="N301" s="333">
        <f>L301+K301+M301</f>
      </c>
      <c r="O301" s="170"/>
      <c r="P301" s="7"/>
      <c r="Q301" s="1"/>
      <c r="R301" s="331">
        <f>D301</f>
      </c>
      <c r="S301" s="169"/>
      <c r="T301" s="1"/>
      <c r="U301" s="217"/>
      <c r="V301" s="331">
        <f>+IF(V300=11,12,IF(V300=12,1,V300+1))</f>
      </c>
      <c r="W301" s="331">
        <f>+W300+IF(V300=12,1,0)</f>
      </c>
      <c r="X301" s="555">
        <f>+DATE(W301,V301,1)</f>
        <v>25569.041666666668</v>
      </c>
      <c r="Y301" s="333">
        <f>+_xlfn.IFNA(AN301+AS301+AX301,0)</f>
      </c>
      <c r="Z301" s="333">
        <f>+_xlfn.IFNA(AO301+AT301+AY301,0)</f>
      </c>
      <c r="AA301" s="333">
        <f>Y301*(1+$O$5)^(($B$7-X301)/365.25)</f>
      </c>
      <c r="AB301" s="333">
        <f>Z301*(1+$O$5)^(($B$7-X301)/365.25)</f>
      </c>
      <c r="AC301" s="1"/>
      <c r="AD301" s="1"/>
      <c r="AE301" s="1"/>
      <c r="AF301" s="111">
        <f>+MONTH(E301)&amp;YEAR(E301)</f>
      </c>
      <c r="AG301" s="217">
        <f>+I301</f>
      </c>
      <c r="AH301" s="217">
        <f>+J301</f>
      </c>
      <c r="AI301" s="217">
        <f>+H301</f>
      </c>
      <c r="AJ301" s="111">
        <f>+V301&amp;W301</f>
      </c>
      <c r="AK301" s="217">
        <f>+_xlfn.IFNA(VLOOKUP(AJ301,$AF$7:$AG$1066,2,0),0)</f>
      </c>
      <c r="AL301" s="217">
        <f>+IF(W301&gt;W300,AK301,AL300+AK301)</f>
      </c>
      <c r="AM301" s="217">
        <f>IF(W301&gt;W300,IF(AL301&gt;=$AZ$8,$AZ$8,AL301),IF(OR(AM300=$AZ$8,AM300=0),0,IF(AL301&gt;=$AZ$8,$AZ$8,AL301)))</f>
      </c>
      <c r="AN301" s="748">
        <f>+IF(OR(AM301&gt;AZ300,AM301=0),0,IF(AM301=AL301,AK301,$AZ$7-AL300))</f>
      </c>
      <c r="AO301" s="748">
        <f>+AK301-AN301</f>
      </c>
      <c r="AP301" s="217">
        <f>+_xlfn.IFNA(VLOOKUP(AJ301,$AF$7:$AI$1066,3,0),0)</f>
      </c>
      <c r="AQ301" s="217">
        <f>+IF(W301&gt;W300,AP301,AQ300+AP301)</f>
      </c>
      <c r="AR301" s="217">
        <f>+MAX($AM$2-SUMIF($W$7:$W$1066,W301,$AN$7:$AN$1066),0)</f>
      </c>
      <c r="AS301" s="748">
        <f>+MAX(IF(AQ301&gt;AR301,AR301-AQ300,AP301),0)</f>
      </c>
      <c r="AT301" s="748">
        <f>+AP301-AS301</f>
      </c>
      <c r="AU301" s="217">
        <f>+_xlfn.IFNA(VLOOKUP(AJ301,$AF$7:$AI$1066,4,0),0)</f>
      </c>
      <c r="AV301" s="217">
        <f>+IF(W301&gt;W300,AU301,AV300+AU301)</f>
      </c>
      <c r="AW301" s="217">
        <f>+MAX($AM$2-SUMIF($W$7:$W$1066,W301,$AN$7:$AN$1066)-SUMIF($W$7:$W$1066,W301,$AS$7:$AS$1066),0)</f>
      </c>
      <c r="AX301" s="748">
        <f>+MAX(IF(AV301&gt;AW301,AW301-AV300,AU301),0)</f>
      </c>
      <c r="AY301" s="748">
        <f>+AU301-AX301</f>
      </c>
      <c r="AZ301" s="331">
        <f>+$AM$1+IF($AP$1&gt;$AP$2,$AM$3/2)</f>
      </c>
    </row>
    <row x14ac:dyDescent="0.25" r="302" customHeight="1" ht="18.75">
      <c r="A302" s="1"/>
      <c r="B302" s="7"/>
      <c r="C302" s="170"/>
      <c r="D302" s="331">
        <v>295</v>
      </c>
      <c r="E302" s="544">
        <f>+DATE(YEAR(E301),MONTH(E301)-1,DAY(E301))</f>
        <v>25569.041666666668</v>
      </c>
      <c r="F302" s="333">
        <f>IF(DATE(YEAR($B$6),MONTH($B$6)+1,DAY(1))=E302,1,IF(MONTH(E302)=1,F303*(1+$F$5),F303))</f>
      </c>
      <c r="G302" s="333">
        <f>IF('Simulador - 1º Pilar'!$E$99="Sí",IF('Aportaciones PPE'!$B$13&lt;'Aportaciones PPE'!E302,0,F302*$B$8/12),F302*$B$8/12)</f>
      </c>
      <c r="H302" s="333">
        <f>$H$5*G302</f>
      </c>
      <c r="I302" s="333">
        <f>$I$5*G302</f>
      </c>
      <c r="J302" s="333">
        <f>+I302</f>
      </c>
      <c r="K302" s="333">
        <f>(1+$O$5)^(D302/12)*(H302+IF(AND(F302=1,F303=0),$S$4,0))</f>
      </c>
      <c r="L302" s="333">
        <f>(1+$O$5)^(D302/12)*(I302+IF(AND(F302=1,F303=0),0))</f>
      </c>
      <c r="M302" s="333">
        <f>+L302</f>
      </c>
      <c r="N302" s="333">
        <f>L302+K302+M302</f>
      </c>
      <c r="O302" s="170"/>
      <c r="P302" s="7"/>
      <c r="Q302" s="1"/>
      <c r="R302" s="331">
        <f>D302</f>
      </c>
      <c r="S302" s="169"/>
      <c r="T302" s="1"/>
      <c r="U302" s="217"/>
      <c r="V302" s="331">
        <f>+IF(V301=11,12,IF(V301=12,1,V301+1))</f>
      </c>
      <c r="W302" s="331">
        <f>+W301+IF(V301=12,1,0)</f>
      </c>
      <c r="X302" s="555">
        <f>+DATE(W302,V302,1)</f>
        <v>25569.041666666668</v>
      </c>
      <c r="Y302" s="333">
        <f>+_xlfn.IFNA(AN302+AS302+AX302,0)</f>
      </c>
      <c r="Z302" s="333">
        <f>+_xlfn.IFNA(AO302+AT302+AY302,0)</f>
      </c>
      <c r="AA302" s="333">
        <f>Y302*(1+$O$5)^(($B$7-X302)/365.25)</f>
      </c>
      <c r="AB302" s="333">
        <f>Z302*(1+$O$5)^(($B$7-X302)/365.25)</f>
      </c>
      <c r="AC302" s="1"/>
      <c r="AD302" s="1"/>
      <c r="AE302" s="1"/>
      <c r="AF302" s="111">
        <f>+MONTH(E302)&amp;YEAR(E302)</f>
      </c>
      <c r="AG302" s="217">
        <f>+I302</f>
      </c>
      <c r="AH302" s="217">
        <f>+J302</f>
      </c>
      <c r="AI302" s="217">
        <f>+H302</f>
      </c>
      <c r="AJ302" s="111">
        <f>+V302&amp;W302</f>
      </c>
      <c r="AK302" s="217">
        <f>+_xlfn.IFNA(VLOOKUP(AJ302,$AF$7:$AG$1066,2,0),0)</f>
      </c>
      <c r="AL302" s="217">
        <f>+IF(W302&gt;W301,AK302,AL301+AK302)</f>
      </c>
      <c r="AM302" s="217">
        <f>IF(W302&gt;W301,IF(AL302&gt;=$AZ$8,$AZ$8,AL302),IF(OR(AM301=$AZ$8,AM301=0),0,IF(AL302&gt;=$AZ$8,$AZ$8,AL302)))</f>
      </c>
      <c r="AN302" s="748">
        <f>+IF(OR(AM302&gt;AZ301,AM302=0),0,IF(AM302=AL302,AK302,$AZ$7-AL301))</f>
      </c>
      <c r="AO302" s="748">
        <f>+AK302-AN302</f>
      </c>
      <c r="AP302" s="217">
        <f>+_xlfn.IFNA(VLOOKUP(AJ302,$AF$7:$AI$1066,3,0),0)</f>
      </c>
      <c r="AQ302" s="217">
        <f>+IF(W302&gt;W301,AP302,AQ301+AP302)</f>
      </c>
      <c r="AR302" s="217">
        <f>+MAX($AM$2-SUMIF($W$7:$W$1066,W302,$AN$7:$AN$1066),0)</f>
      </c>
      <c r="AS302" s="748">
        <f>+MAX(IF(AQ302&gt;AR302,AR302-AQ301,AP302),0)</f>
      </c>
      <c r="AT302" s="748">
        <f>+AP302-AS302</f>
      </c>
      <c r="AU302" s="217">
        <f>+_xlfn.IFNA(VLOOKUP(AJ302,$AF$7:$AI$1066,4,0),0)</f>
      </c>
      <c r="AV302" s="217">
        <f>+IF(W302&gt;W301,AU302,AV301+AU302)</f>
      </c>
      <c r="AW302" s="217">
        <f>+MAX($AM$2-SUMIF($W$7:$W$1066,W302,$AN$7:$AN$1066)-SUMIF($W$7:$W$1066,W302,$AS$7:$AS$1066),0)</f>
      </c>
      <c r="AX302" s="748">
        <f>+MAX(IF(AV302&gt;AW302,AW302-AV301,AU302),0)</f>
      </c>
      <c r="AY302" s="748">
        <f>+AU302-AX302</f>
      </c>
      <c r="AZ302" s="331">
        <f>+$AM$1+IF($AP$1&gt;$AP$2,$AM$3/2)</f>
      </c>
    </row>
    <row x14ac:dyDescent="0.25" r="303" customHeight="1" ht="18.75">
      <c r="A303" s="1"/>
      <c r="B303" s="7"/>
      <c r="C303" s="170"/>
      <c r="D303" s="331">
        <v>296</v>
      </c>
      <c r="E303" s="544">
        <f>+DATE(YEAR(E302),MONTH(E302)-1,DAY(E302))</f>
        <v>25569.041666666668</v>
      </c>
      <c r="F303" s="333">
        <f>IF(DATE(YEAR($B$6),MONTH($B$6)+1,DAY(1))=E303,1,IF(MONTH(E303)=1,F304*(1+$F$5),F304))</f>
      </c>
      <c r="G303" s="333">
        <f>IF('Simulador - 1º Pilar'!$E$99="Sí",IF('Aportaciones PPE'!$B$13&lt;'Aportaciones PPE'!E303,0,F303*$B$8/12),F303*$B$8/12)</f>
      </c>
      <c r="H303" s="333">
        <f>$H$5*G303</f>
      </c>
      <c r="I303" s="333">
        <f>$I$5*G303</f>
      </c>
      <c r="J303" s="333">
        <f>+I303</f>
      </c>
      <c r="K303" s="333">
        <f>(1+$O$5)^(D303/12)*(H303+IF(AND(F303=1,F304=0),$S$4,0))</f>
      </c>
      <c r="L303" s="333">
        <f>(1+$O$5)^(D303/12)*(I303+IF(AND(F303=1,F304=0),0))</f>
      </c>
      <c r="M303" s="333">
        <f>+L303</f>
      </c>
      <c r="N303" s="333">
        <f>L303+K303+M303</f>
      </c>
      <c r="O303" s="170"/>
      <c r="P303" s="7"/>
      <c r="Q303" s="1"/>
      <c r="R303" s="331">
        <f>D303</f>
      </c>
      <c r="S303" s="169"/>
      <c r="T303" s="1"/>
      <c r="U303" s="217"/>
      <c r="V303" s="331">
        <f>+IF(V302=11,12,IF(V302=12,1,V302+1))</f>
      </c>
      <c r="W303" s="331">
        <f>+W302+IF(V302=12,1,0)</f>
      </c>
      <c r="X303" s="555">
        <f>+DATE(W303,V303,1)</f>
        <v>25569.041666666668</v>
      </c>
      <c r="Y303" s="333">
        <f>+_xlfn.IFNA(AN303+AS303+AX303,0)</f>
      </c>
      <c r="Z303" s="333">
        <f>+_xlfn.IFNA(AO303+AT303+AY303,0)</f>
      </c>
      <c r="AA303" s="333">
        <f>Y303*(1+$O$5)^(($B$7-X303)/365.25)</f>
      </c>
      <c r="AB303" s="333">
        <f>Z303*(1+$O$5)^(($B$7-X303)/365.25)</f>
      </c>
      <c r="AC303" s="1"/>
      <c r="AD303" s="1"/>
      <c r="AE303" s="1"/>
      <c r="AF303" s="111">
        <f>+MONTH(E303)&amp;YEAR(E303)</f>
      </c>
      <c r="AG303" s="217">
        <f>+I303</f>
      </c>
      <c r="AH303" s="217">
        <f>+J303</f>
      </c>
      <c r="AI303" s="217">
        <f>+H303</f>
      </c>
      <c r="AJ303" s="111">
        <f>+V303&amp;W303</f>
      </c>
      <c r="AK303" s="217">
        <f>+_xlfn.IFNA(VLOOKUP(AJ303,$AF$7:$AG$1066,2,0),0)</f>
      </c>
      <c r="AL303" s="217">
        <f>+IF(W303&gt;W302,AK303,AL302+AK303)</f>
      </c>
      <c r="AM303" s="217">
        <f>IF(W303&gt;W302,IF(AL303&gt;=$AZ$8,$AZ$8,AL303),IF(OR(AM302=$AZ$8,AM302=0),0,IF(AL303&gt;=$AZ$8,$AZ$8,AL303)))</f>
      </c>
      <c r="AN303" s="748">
        <f>+IF(OR(AM303&gt;AZ302,AM303=0),0,IF(AM303=AL303,AK303,$AZ$7-AL302))</f>
      </c>
      <c r="AO303" s="748">
        <f>+AK303-AN303</f>
      </c>
      <c r="AP303" s="217">
        <f>+_xlfn.IFNA(VLOOKUP(AJ303,$AF$7:$AI$1066,3,0),0)</f>
      </c>
      <c r="AQ303" s="217">
        <f>+IF(W303&gt;W302,AP303,AQ302+AP303)</f>
      </c>
      <c r="AR303" s="217">
        <f>+MAX($AM$2-SUMIF($W$7:$W$1066,W303,$AN$7:$AN$1066),0)</f>
      </c>
      <c r="AS303" s="748">
        <f>+MAX(IF(AQ303&gt;AR303,AR303-AQ302,AP303),0)</f>
      </c>
      <c r="AT303" s="748">
        <f>+AP303-AS303</f>
      </c>
      <c r="AU303" s="217">
        <f>+_xlfn.IFNA(VLOOKUP(AJ303,$AF$7:$AI$1066,4,0),0)</f>
      </c>
      <c r="AV303" s="217">
        <f>+IF(W303&gt;W302,AU303,AV302+AU303)</f>
      </c>
      <c r="AW303" s="217">
        <f>+MAX($AM$2-SUMIF($W$7:$W$1066,W303,$AN$7:$AN$1066)-SUMIF($W$7:$W$1066,W303,$AS$7:$AS$1066),0)</f>
      </c>
      <c r="AX303" s="748">
        <f>+MAX(IF(AV303&gt;AW303,AW303-AV302,AU303),0)</f>
      </c>
      <c r="AY303" s="748">
        <f>+AU303-AX303</f>
      </c>
      <c r="AZ303" s="331">
        <f>+$AM$1+IF($AP$1&gt;$AP$2,$AM$3/2)</f>
      </c>
    </row>
    <row x14ac:dyDescent="0.25" r="304" customHeight="1" ht="18.75">
      <c r="A304" s="1"/>
      <c r="B304" s="7"/>
      <c r="C304" s="170"/>
      <c r="D304" s="331">
        <v>297</v>
      </c>
      <c r="E304" s="544">
        <f>+DATE(YEAR(E303),MONTH(E303)-1,DAY(E303))</f>
        <v>25569.041666666668</v>
      </c>
      <c r="F304" s="333">
        <f>IF(DATE(YEAR($B$6),MONTH($B$6)+1,DAY(1))=E304,1,IF(MONTH(E304)=1,F305*(1+$F$5),F305))</f>
      </c>
      <c r="G304" s="333">
        <f>IF('Simulador - 1º Pilar'!$E$99="Sí",IF('Aportaciones PPE'!$B$13&lt;'Aportaciones PPE'!E304,0,F304*$B$8/12),F304*$B$8/12)</f>
      </c>
      <c r="H304" s="333">
        <f>$H$5*G304</f>
      </c>
      <c r="I304" s="333">
        <f>$I$5*G304</f>
      </c>
      <c r="J304" s="333">
        <f>+I304</f>
      </c>
      <c r="K304" s="333">
        <f>(1+$O$5)^(D304/12)*(H304+IF(AND(F304=1,F305=0),$S$4,0))</f>
      </c>
      <c r="L304" s="333">
        <f>(1+$O$5)^(D304/12)*(I304+IF(AND(F304=1,F305=0),0))</f>
      </c>
      <c r="M304" s="333">
        <f>+L304</f>
      </c>
      <c r="N304" s="333">
        <f>L304+K304+M304</f>
      </c>
      <c r="O304" s="170"/>
      <c r="P304" s="7"/>
      <c r="Q304" s="1"/>
      <c r="R304" s="331">
        <f>D304</f>
      </c>
      <c r="S304" s="169"/>
      <c r="T304" s="1"/>
      <c r="U304" s="217"/>
      <c r="V304" s="331">
        <f>+IF(V303=11,12,IF(V303=12,1,V303+1))</f>
      </c>
      <c r="W304" s="331">
        <f>+W303+IF(V303=12,1,0)</f>
      </c>
      <c r="X304" s="555">
        <f>+DATE(W304,V304,1)</f>
        <v>25569.041666666668</v>
      </c>
      <c r="Y304" s="333">
        <f>+_xlfn.IFNA(AN304+AS304+AX304,0)</f>
      </c>
      <c r="Z304" s="333">
        <f>+_xlfn.IFNA(AO304+AT304+AY304,0)</f>
      </c>
      <c r="AA304" s="333">
        <f>Y304*(1+$O$5)^(($B$7-X304)/365.25)</f>
      </c>
      <c r="AB304" s="333">
        <f>Z304*(1+$O$5)^(($B$7-X304)/365.25)</f>
      </c>
      <c r="AC304" s="1"/>
      <c r="AD304" s="1"/>
      <c r="AE304" s="1"/>
      <c r="AF304" s="111">
        <f>+MONTH(E304)&amp;YEAR(E304)</f>
      </c>
      <c r="AG304" s="217">
        <f>+I304</f>
      </c>
      <c r="AH304" s="217">
        <f>+J304</f>
      </c>
      <c r="AI304" s="217">
        <f>+H304</f>
      </c>
      <c r="AJ304" s="111">
        <f>+V304&amp;W304</f>
      </c>
      <c r="AK304" s="217">
        <f>+_xlfn.IFNA(VLOOKUP(AJ304,$AF$7:$AG$1066,2,0),0)</f>
      </c>
      <c r="AL304" s="217">
        <f>+IF(W304&gt;W303,AK304,AL303+AK304)</f>
      </c>
      <c r="AM304" s="217">
        <f>IF(W304&gt;W303,IF(AL304&gt;=$AZ$8,$AZ$8,AL304),IF(OR(AM303=$AZ$8,AM303=0),0,IF(AL304&gt;=$AZ$8,$AZ$8,AL304)))</f>
      </c>
      <c r="AN304" s="748">
        <f>+IF(OR(AM304&gt;AZ303,AM304=0),0,IF(AM304=AL304,AK304,$AZ$7-AL303))</f>
      </c>
      <c r="AO304" s="748">
        <f>+AK304-AN304</f>
      </c>
      <c r="AP304" s="217">
        <f>+_xlfn.IFNA(VLOOKUP(AJ304,$AF$7:$AI$1066,3,0),0)</f>
      </c>
      <c r="AQ304" s="217">
        <f>+IF(W304&gt;W303,AP304,AQ303+AP304)</f>
      </c>
      <c r="AR304" s="217">
        <f>+MAX($AM$2-SUMIF($W$7:$W$1066,W304,$AN$7:$AN$1066),0)</f>
      </c>
      <c r="AS304" s="748">
        <f>+MAX(IF(AQ304&gt;AR304,AR304-AQ303,AP304),0)</f>
      </c>
      <c r="AT304" s="748">
        <f>+AP304-AS304</f>
      </c>
      <c r="AU304" s="217">
        <f>+_xlfn.IFNA(VLOOKUP(AJ304,$AF$7:$AI$1066,4,0),0)</f>
      </c>
      <c r="AV304" s="217">
        <f>+IF(W304&gt;W303,AU304,AV303+AU304)</f>
      </c>
      <c r="AW304" s="217">
        <f>+MAX($AM$2-SUMIF($W$7:$W$1066,W304,$AN$7:$AN$1066)-SUMIF($W$7:$W$1066,W304,$AS$7:$AS$1066),0)</f>
      </c>
      <c r="AX304" s="748">
        <f>+MAX(IF(AV304&gt;AW304,AW304-AV303,AU304),0)</f>
      </c>
      <c r="AY304" s="748">
        <f>+AU304-AX304</f>
      </c>
      <c r="AZ304" s="331">
        <f>+$AM$1+IF($AP$1&gt;$AP$2,$AM$3/2)</f>
      </c>
    </row>
    <row x14ac:dyDescent="0.25" r="305" customHeight="1" ht="18.75">
      <c r="A305" s="1"/>
      <c r="B305" s="7"/>
      <c r="C305" s="170"/>
      <c r="D305" s="331">
        <v>298</v>
      </c>
      <c r="E305" s="544">
        <f>+DATE(YEAR(E304),MONTH(E304)-1,DAY(E304))</f>
        <v>25569.041666666668</v>
      </c>
      <c r="F305" s="333">
        <f>IF(DATE(YEAR($B$6),MONTH($B$6)+1,DAY(1))=E305,1,IF(MONTH(E305)=1,F306*(1+$F$5),F306))</f>
      </c>
      <c r="G305" s="333">
        <f>IF('Simulador - 1º Pilar'!$E$99="Sí",IF('Aportaciones PPE'!$B$13&lt;'Aportaciones PPE'!E305,0,F305*$B$8/12),F305*$B$8/12)</f>
      </c>
      <c r="H305" s="333">
        <f>$H$5*G305</f>
      </c>
      <c r="I305" s="333">
        <f>$I$5*G305</f>
      </c>
      <c r="J305" s="333">
        <f>+I305</f>
      </c>
      <c r="K305" s="333">
        <f>(1+$O$5)^(D305/12)*(H305+IF(AND(F305=1,F306=0),$S$4,0))</f>
      </c>
      <c r="L305" s="333">
        <f>(1+$O$5)^(D305/12)*(I305+IF(AND(F305=1,F306=0),0))</f>
      </c>
      <c r="M305" s="333">
        <f>+L305</f>
      </c>
      <c r="N305" s="333">
        <f>L305+K305+M305</f>
      </c>
      <c r="O305" s="170"/>
      <c r="P305" s="7"/>
      <c r="Q305" s="1"/>
      <c r="R305" s="331">
        <f>D305</f>
      </c>
      <c r="S305" s="169"/>
      <c r="T305" s="1"/>
      <c r="U305" s="217"/>
      <c r="V305" s="331">
        <f>+IF(V304=11,12,IF(V304=12,1,V304+1))</f>
      </c>
      <c r="W305" s="331">
        <f>+W304+IF(V304=12,1,0)</f>
      </c>
      <c r="X305" s="555">
        <f>+DATE(W305,V305,1)</f>
        <v>25569.041666666668</v>
      </c>
      <c r="Y305" s="333">
        <f>+_xlfn.IFNA(AN305+AS305+AX305,0)</f>
      </c>
      <c r="Z305" s="333">
        <f>+_xlfn.IFNA(AO305+AT305+AY305,0)</f>
      </c>
      <c r="AA305" s="333">
        <f>Y305*(1+$O$5)^(($B$7-X305)/365.25)</f>
      </c>
      <c r="AB305" s="333">
        <f>Z305*(1+$O$5)^(($B$7-X305)/365.25)</f>
      </c>
      <c r="AC305" s="1"/>
      <c r="AD305" s="1"/>
      <c r="AE305" s="1"/>
      <c r="AF305" s="111">
        <f>+MONTH(E305)&amp;YEAR(E305)</f>
      </c>
      <c r="AG305" s="217">
        <f>+I305</f>
      </c>
      <c r="AH305" s="217">
        <f>+J305</f>
      </c>
      <c r="AI305" s="217">
        <f>+H305</f>
      </c>
      <c r="AJ305" s="111">
        <f>+V305&amp;W305</f>
      </c>
      <c r="AK305" s="217">
        <f>+_xlfn.IFNA(VLOOKUP(AJ305,$AF$7:$AG$1066,2,0),0)</f>
      </c>
      <c r="AL305" s="217">
        <f>+IF(W305&gt;W304,AK305,AL304+AK305)</f>
      </c>
      <c r="AM305" s="217">
        <f>IF(W305&gt;W304,IF(AL305&gt;=$AZ$8,$AZ$8,AL305),IF(OR(AM304=$AZ$8,AM304=0),0,IF(AL305&gt;=$AZ$8,$AZ$8,AL305)))</f>
      </c>
      <c r="AN305" s="748">
        <f>+IF(OR(AM305&gt;AZ304,AM305=0),0,IF(AM305=AL305,AK305,$AZ$7-AL304))</f>
      </c>
      <c r="AO305" s="748">
        <f>+AK305-AN305</f>
      </c>
      <c r="AP305" s="217">
        <f>+_xlfn.IFNA(VLOOKUP(AJ305,$AF$7:$AI$1066,3,0),0)</f>
      </c>
      <c r="AQ305" s="217">
        <f>+IF(W305&gt;W304,AP305,AQ304+AP305)</f>
      </c>
      <c r="AR305" s="217">
        <f>+MAX($AM$2-SUMIF($W$7:$W$1066,W305,$AN$7:$AN$1066),0)</f>
      </c>
      <c r="AS305" s="748">
        <f>+MAX(IF(AQ305&gt;AR305,AR305-AQ304,AP305),0)</f>
      </c>
      <c r="AT305" s="748">
        <f>+AP305-AS305</f>
      </c>
      <c r="AU305" s="217">
        <f>+_xlfn.IFNA(VLOOKUP(AJ305,$AF$7:$AI$1066,4,0),0)</f>
      </c>
      <c r="AV305" s="217">
        <f>+IF(W305&gt;W304,AU305,AV304+AU305)</f>
      </c>
      <c r="AW305" s="217">
        <f>+MAX($AM$2-SUMIF($W$7:$W$1066,W305,$AN$7:$AN$1066)-SUMIF($W$7:$W$1066,W305,$AS$7:$AS$1066),0)</f>
      </c>
      <c r="AX305" s="748">
        <f>+MAX(IF(AV305&gt;AW305,AW305-AV304,AU305),0)</f>
      </c>
      <c r="AY305" s="748">
        <f>+AU305-AX305</f>
      </c>
      <c r="AZ305" s="331">
        <f>+$AM$1+IF($AP$1&gt;$AP$2,$AM$3/2)</f>
      </c>
    </row>
    <row x14ac:dyDescent="0.25" r="306" customHeight="1" ht="18.75">
      <c r="A306" s="1"/>
      <c r="B306" s="7"/>
      <c r="C306" s="170"/>
      <c r="D306" s="331">
        <v>299</v>
      </c>
      <c r="E306" s="544">
        <f>+DATE(YEAR(E305),MONTH(E305)-1,DAY(E305))</f>
        <v>25569.041666666668</v>
      </c>
      <c r="F306" s="333">
        <f>IF(DATE(YEAR($B$6),MONTH($B$6)+1,DAY(1))=E306,1,IF(MONTH(E306)=1,F307*(1+$F$5),F307))</f>
      </c>
      <c r="G306" s="333">
        <f>IF('Simulador - 1º Pilar'!$E$99="Sí",IF('Aportaciones PPE'!$B$13&lt;'Aportaciones PPE'!E306,0,F306*$B$8/12),F306*$B$8/12)</f>
      </c>
      <c r="H306" s="333">
        <f>$H$5*G306</f>
      </c>
      <c r="I306" s="333">
        <f>$I$5*G306</f>
      </c>
      <c r="J306" s="333">
        <f>+I306</f>
      </c>
      <c r="K306" s="333">
        <f>(1+$O$5)^(D306/12)*(H306+IF(AND(F306=1,F307=0),$S$4,0))</f>
      </c>
      <c r="L306" s="333">
        <f>(1+$O$5)^(D306/12)*(I306+IF(AND(F306=1,F307=0),0))</f>
      </c>
      <c r="M306" s="333">
        <f>+L306</f>
      </c>
      <c r="N306" s="333">
        <f>L306+K306+M306</f>
      </c>
      <c r="O306" s="170"/>
      <c r="P306" s="7"/>
      <c r="Q306" s="1"/>
      <c r="R306" s="331">
        <f>D306</f>
      </c>
      <c r="S306" s="169"/>
      <c r="T306" s="1"/>
      <c r="U306" s="217"/>
      <c r="V306" s="331">
        <f>+IF(V305=11,12,IF(V305=12,1,V305+1))</f>
      </c>
      <c r="W306" s="331">
        <f>+W305+IF(V305=12,1,0)</f>
      </c>
      <c r="X306" s="555">
        <f>+DATE(W306,V306,1)</f>
        <v>25569.041666666668</v>
      </c>
      <c r="Y306" s="333">
        <f>+_xlfn.IFNA(AN306+AS306+AX306,0)</f>
      </c>
      <c r="Z306" s="333">
        <f>+_xlfn.IFNA(AO306+AT306+AY306,0)</f>
      </c>
      <c r="AA306" s="333">
        <f>Y306*(1+$O$5)^(($B$7-X306)/365.25)</f>
      </c>
      <c r="AB306" s="333">
        <f>Z306*(1+$O$5)^(($B$7-X306)/365.25)</f>
      </c>
      <c r="AC306" s="1"/>
      <c r="AD306" s="1"/>
      <c r="AE306" s="1"/>
      <c r="AF306" s="111">
        <f>+MONTH(E306)&amp;YEAR(E306)</f>
      </c>
      <c r="AG306" s="217">
        <f>+I306</f>
      </c>
      <c r="AH306" s="217">
        <f>+J306</f>
      </c>
      <c r="AI306" s="217">
        <f>+H306</f>
      </c>
      <c r="AJ306" s="111">
        <f>+V306&amp;W306</f>
      </c>
      <c r="AK306" s="217">
        <f>+_xlfn.IFNA(VLOOKUP(AJ306,$AF$7:$AG$1066,2,0),0)</f>
      </c>
      <c r="AL306" s="217">
        <f>+IF(W306&gt;W305,AK306,AL305+AK306)</f>
      </c>
      <c r="AM306" s="217">
        <f>IF(W306&gt;W305,IF(AL306&gt;=$AZ$8,$AZ$8,AL306),IF(OR(AM305=$AZ$8,AM305=0),0,IF(AL306&gt;=$AZ$8,$AZ$8,AL306)))</f>
      </c>
      <c r="AN306" s="748">
        <f>+IF(OR(AM306&gt;AZ305,AM306=0),0,IF(AM306=AL306,AK306,$AZ$7-AL305))</f>
      </c>
      <c r="AO306" s="748">
        <f>+AK306-AN306</f>
      </c>
      <c r="AP306" s="217">
        <f>+_xlfn.IFNA(VLOOKUP(AJ306,$AF$7:$AI$1066,3,0),0)</f>
      </c>
      <c r="AQ306" s="217">
        <f>+IF(W306&gt;W305,AP306,AQ305+AP306)</f>
      </c>
      <c r="AR306" s="217">
        <f>+MAX($AM$2-SUMIF($W$7:$W$1066,W306,$AN$7:$AN$1066),0)</f>
      </c>
      <c r="AS306" s="748">
        <f>+MAX(IF(AQ306&gt;AR306,AR306-AQ305,AP306),0)</f>
      </c>
      <c r="AT306" s="748">
        <f>+AP306-AS306</f>
      </c>
      <c r="AU306" s="217">
        <f>+_xlfn.IFNA(VLOOKUP(AJ306,$AF$7:$AI$1066,4,0),0)</f>
      </c>
      <c r="AV306" s="217">
        <f>+IF(W306&gt;W305,AU306,AV305+AU306)</f>
      </c>
      <c r="AW306" s="217">
        <f>+MAX($AM$2-SUMIF($W$7:$W$1066,W306,$AN$7:$AN$1066)-SUMIF($W$7:$W$1066,W306,$AS$7:$AS$1066),0)</f>
      </c>
      <c r="AX306" s="748">
        <f>+MAX(IF(AV306&gt;AW306,AW306-AV305,AU306),0)</f>
      </c>
      <c r="AY306" s="748">
        <f>+AU306-AX306</f>
      </c>
      <c r="AZ306" s="331">
        <f>+$AM$1+IF($AP$1&gt;$AP$2,$AM$3/2)</f>
      </c>
    </row>
    <row x14ac:dyDescent="0.25" r="307" customHeight="1" ht="18.75">
      <c r="A307" s="1"/>
      <c r="B307" s="7"/>
      <c r="C307" s="170"/>
      <c r="D307" s="331">
        <v>300</v>
      </c>
      <c r="E307" s="544">
        <f>+DATE(YEAR(E306),MONTH(E306)-1,DAY(E306))</f>
        <v>25569.041666666668</v>
      </c>
      <c r="F307" s="333">
        <f>IF(DATE(YEAR($B$6),MONTH($B$6)+1,DAY(1))=E307,1,IF(MONTH(E307)=1,F308*(1+$F$5),F308))</f>
      </c>
      <c r="G307" s="333">
        <f>IF('Simulador - 1º Pilar'!$E$99="Sí",IF('Aportaciones PPE'!$B$13&lt;'Aportaciones PPE'!E307,0,F307*$B$8/12),F307*$B$8/12)</f>
      </c>
      <c r="H307" s="333">
        <f>$H$5*G307</f>
      </c>
      <c r="I307" s="333">
        <f>$I$5*G307</f>
      </c>
      <c r="J307" s="333">
        <f>+I307</f>
      </c>
      <c r="K307" s="333">
        <f>(1+$O$5)^(D307/12)*(H307+IF(AND(F307=1,F308=0),$S$4,0))</f>
      </c>
      <c r="L307" s="333">
        <f>(1+$O$5)^(D307/12)*(I307+IF(AND(F307=1,F308=0),0))</f>
      </c>
      <c r="M307" s="333">
        <f>+L307</f>
      </c>
      <c r="N307" s="333">
        <f>L307+K307+M307</f>
      </c>
      <c r="O307" s="170"/>
      <c r="P307" s="7"/>
      <c r="Q307" s="1"/>
      <c r="R307" s="331">
        <f>D307</f>
      </c>
      <c r="S307" s="169"/>
      <c r="T307" s="1"/>
      <c r="U307" s="217"/>
      <c r="V307" s="331">
        <f>+IF(V306=11,12,IF(V306=12,1,V306+1))</f>
      </c>
      <c r="W307" s="331">
        <f>+W306+IF(V306=12,1,0)</f>
      </c>
      <c r="X307" s="555">
        <f>+DATE(W307,V307,1)</f>
        <v>25569.041666666668</v>
      </c>
      <c r="Y307" s="333">
        <f>+_xlfn.IFNA(AN307+AS307+AX307,0)</f>
      </c>
      <c r="Z307" s="333">
        <f>+_xlfn.IFNA(AO307+AT307+AY307,0)</f>
      </c>
      <c r="AA307" s="333">
        <f>Y307*(1+$O$5)^(($B$7-X307)/365.25)</f>
      </c>
      <c r="AB307" s="333">
        <f>Z307*(1+$O$5)^(($B$7-X307)/365.25)</f>
      </c>
      <c r="AC307" s="1"/>
      <c r="AD307" s="1"/>
      <c r="AE307" s="1"/>
      <c r="AF307" s="111">
        <f>+MONTH(E307)&amp;YEAR(E307)</f>
      </c>
      <c r="AG307" s="217">
        <f>+I307</f>
      </c>
      <c r="AH307" s="217">
        <f>+J307</f>
      </c>
      <c r="AI307" s="217">
        <f>+H307</f>
      </c>
      <c r="AJ307" s="111">
        <f>+V307&amp;W307</f>
      </c>
      <c r="AK307" s="217">
        <f>+_xlfn.IFNA(VLOOKUP(AJ307,$AF$7:$AG$1066,2,0),0)</f>
      </c>
      <c r="AL307" s="217">
        <f>+IF(W307&gt;W306,AK307,AL306+AK307)</f>
      </c>
      <c r="AM307" s="217">
        <f>IF(W307&gt;W306,IF(AL307&gt;=$AZ$8,$AZ$8,AL307),IF(OR(AM306=$AZ$8,AM306=0),0,IF(AL307&gt;=$AZ$8,$AZ$8,AL307)))</f>
      </c>
      <c r="AN307" s="748">
        <f>+IF(OR(AM307&gt;AZ306,AM307=0),0,IF(AM307=AL307,AK307,$AZ$7-AL306))</f>
      </c>
      <c r="AO307" s="748">
        <f>+AK307-AN307</f>
      </c>
      <c r="AP307" s="217">
        <f>+_xlfn.IFNA(VLOOKUP(AJ307,$AF$7:$AI$1066,3,0),0)</f>
      </c>
      <c r="AQ307" s="217">
        <f>+IF(W307&gt;W306,AP307,AQ306+AP307)</f>
      </c>
      <c r="AR307" s="217">
        <f>+MAX($AM$2-SUMIF($W$7:$W$1066,W307,$AN$7:$AN$1066),0)</f>
      </c>
      <c r="AS307" s="748">
        <f>+MAX(IF(AQ307&gt;AR307,AR307-AQ306,AP307),0)</f>
      </c>
      <c r="AT307" s="748">
        <f>+AP307-AS307</f>
      </c>
      <c r="AU307" s="217">
        <f>+_xlfn.IFNA(VLOOKUP(AJ307,$AF$7:$AI$1066,4,0),0)</f>
      </c>
      <c r="AV307" s="217">
        <f>+IF(W307&gt;W306,AU307,AV306+AU307)</f>
      </c>
      <c r="AW307" s="217">
        <f>+MAX($AM$2-SUMIF($W$7:$W$1066,W307,$AN$7:$AN$1066)-SUMIF($W$7:$W$1066,W307,$AS$7:$AS$1066),0)</f>
      </c>
      <c r="AX307" s="748">
        <f>+MAX(IF(AV307&gt;AW307,AW307-AV306,AU307),0)</f>
      </c>
      <c r="AY307" s="748">
        <f>+AU307-AX307</f>
      </c>
      <c r="AZ307" s="331">
        <f>+$AM$1+IF($AP$1&gt;$AP$2,$AM$3/2)</f>
      </c>
    </row>
    <row x14ac:dyDescent="0.25" r="308" customHeight="1" ht="18.75">
      <c r="A308" s="1"/>
      <c r="B308" s="7"/>
      <c r="C308" s="170"/>
      <c r="D308" s="331">
        <v>301</v>
      </c>
      <c r="E308" s="544">
        <f>+DATE(YEAR(E307),MONTH(E307)-1,DAY(E307))</f>
        <v>25569.041666666668</v>
      </c>
      <c r="F308" s="333">
        <f>IF(DATE(YEAR($B$6),MONTH($B$6)+1,DAY(1))=E308,1,IF(MONTH(E308)=1,F309*(1+$F$5),F309))</f>
      </c>
      <c r="G308" s="333">
        <f>IF('Simulador - 1º Pilar'!$E$99="Sí",IF('Aportaciones PPE'!$B$13&lt;'Aportaciones PPE'!E308,0,F308*$B$8/12),F308*$B$8/12)</f>
      </c>
      <c r="H308" s="333">
        <f>$H$5*G308</f>
      </c>
      <c r="I308" s="333">
        <f>$I$5*G308</f>
      </c>
      <c r="J308" s="333">
        <f>+I308</f>
      </c>
      <c r="K308" s="333">
        <f>(1+$O$5)^(D308/12)*(H308+IF(AND(F308=1,F309=0),$S$4,0))</f>
      </c>
      <c r="L308" s="333">
        <f>(1+$O$5)^(D308/12)*(I308+IF(AND(F308=1,F309=0),0))</f>
      </c>
      <c r="M308" s="333">
        <f>+L308</f>
      </c>
      <c r="N308" s="333">
        <f>L308+K308+M308</f>
      </c>
      <c r="O308" s="170"/>
      <c r="P308" s="7"/>
      <c r="Q308" s="1"/>
      <c r="R308" s="331">
        <f>D308</f>
      </c>
      <c r="S308" s="169"/>
      <c r="T308" s="1"/>
      <c r="U308" s="217"/>
      <c r="V308" s="331">
        <f>+IF(V307=11,12,IF(V307=12,1,V307+1))</f>
      </c>
      <c r="W308" s="331">
        <f>+W307+IF(V307=12,1,0)</f>
      </c>
      <c r="X308" s="555">
        <f>+DATE(W308,V308,1)</f>
        <v>25569.041666666668</v>
      </c>
      <c r="Y308" s="333">
        <f>+_xlfn.IFNA(AN308+AS308+AX308,0)</f>
      </c>
      <c r="Z308" s="333">
        <f>+_xlfn.IFNA(AO308+AT308+AY308,0)</f>
      </c>
      <c r="AA308" s="333">
        <f>Y308*(1+$O$5)^(($B$7-X308)/365.25)</f>
      </c>
      <c r="AB308" s="333">
        <f>Z308*(1+$O$5)^(($B$7-X308)/365.25)</f>
      </c>
      <c r="AC308" s="1"/>
      <c r="AD308" s="1"/>
      <c r="AE308" s="1"/>
      <c r="AF308" s="111">
        <f>+MONTH(E308)&amp;YEAR(E308)</f>
      </c>
      <c r="AG308" s="217">
        <f>+I308</f>
      </c>
      <c r="AH308" s="217">
        <f>+J308</f>
      </c>
      <c r="AI308" s="217">
        <f>+H308</f>
      </c>
      <c r="AJ308" s="111">
        <f>+V308&amp;W308</f>
      </c>
      <c r="AK308" s="217">
        <f>+_xlfn.IFNA(VLOOKUP(AJ308,$AF$7:$AG$1066,2,0),0)</f>
      </c>
      <c r="AL308" s="217">
        <f>+IF(W308&gt;W307,AK308,AL307+AK308)</f>
      </c>
      <c r="AM308" s="217">
        <f>IF(W308&gt;W307,IF(AL308&gt;=$AZ$8,$AZ$8,AL308),IF(OR(AM307=$AZ$8,AM307=0),0,IF(AL308&gt;=$AZ$8,$AZ$8,AL308)))</f>
      </c>
      <c r="AN308" s="748">
        <f>+IF(OR(AM308&gt;AZ307,AM308=0),0,IF(AM308=AL308,AK308,$AZ$7-AL307))</f>
      </c>
      <c r="AO308" s="748">
        <f>+AK308-AN308</f>
      </c>
      <c r="AP308" s="217">
        <f>+_xlfn.IFNA(VLOOKUP(AJ308,$AF$7:$AI$1066,3,0),0)</f>
      </c>
      <c r="AQ308" s="217">
        <f>+IF(W308&gt;W307,AP308,AQ307+AP308)</f>
      </c>
      <c r="AR308" s="217">
        <f>+MAX($AM$2-SUMIF($W$7:$W$1066,W308,$AN$7:$AN$1066),0)</f>
      </c>
      <c r="AS308" s="748">
        <f>+MAX(IF(AQ308&gt;AR308,AR308-AQ307,AP308),0)</f>
      </c>
      <c r="AT308" s="748">
        <f>+AP308-AS308</f>
      </c>
      <c r="AU308" s="217">
        <f>+_xlfn.IFNA(VLOOKUP(AJ308,$AF$7:$AI$1066,4,0),0)</f>
      </c>
      <c r="AV308" s="217">
        <f>+IF(W308&gt;W307,AU308,AV307+AU308)</f>
      </c>
      <c r="AW308" s="217">
        <f>+MAX($AM$2-SUMIF($W$7:$W$1066,W308,$AN$7:$AN$1066)-SUMIF($W$7:$W$1066,W308,$AS$7:$AS$1066),0)</f>
      </c>
      <c r="AX308" s="748">
        <f>+MAX(IF(AV308&gt;AW308,AW308-AV307,AU308),0)</f>
      </c>
      <c r="AY308" s="748">
        <f>+AU308-AX308</f>
      </c>
      <c r="AZ308" s="331">
        <f>+$AM$1+IF($AP$1&gt;$AP$2,$AM$3/2)</f>
      </c>
    </row>
    <row x14ac:dyDescent="0.25" r="309" customHeight="1" ht="18.75">
      <c r="A309" s="1"/>
      <c r="B309" s="7"/>
      <c r="C309" s="170"/>
      <c r="D309" s="331">
        <v>302</v>
      </c>
      <c r="E309" s="544">
        <f>+DATE(YEAR(E308),MONTH(E308)-1,DAY(E308))</f>
        <v>25569.041666666668</v>
      </c>
      <c r="F309" s="333">
        <f>IF(DATE(YEAR($B$6),MONTH($B$6)+1,DAY(1))=E309,1,IF(MONTH(E309)=1,F310*(1+$F$5),F310))</f>
      </c>
      <c r="G309" s="333">
        <f>IF('Simulador - 1º Pilar'!$E$99="Sí",IF('Aportaciones PPE'!$B$13&lt;'Aportaciones PPE'!E309,0,F309*$B$8/12),F309*$B$8/12)</f>
      </c>
      <c r="H309" s="333">
        <f>$H$5*G309</f>
      </c>
      <c r="I309" s="333">
        <f>$I$5*G309</f>
      </c>
      <c r="J309" s="333">
        <f>+I309</f>
      </c>
      <c r="K309" s="333">
        <f>(1+$O$5)^(D309/12)*(H309+IF(AND(F309=1,F310=0),$S$4,0))</f>
      </c>
      <c r="L309" s="333">
        <f>(1+$O$5)^(D309/12)*(I309+IF(AND(F309=1,F310=0),0))</f>
      </c>
      <c r="M309" s="333">
        <f>+L309</f>
      </c>
      <c r="N309" s="333">
        <f>L309+K309+M309</f>
      </c>
      <c r="O309" s="170"/>
      <c r="P309" s="7"/>
      <c r="Q309" s="1"/>
      <c r="R309" s="331">
        <f>D309</f>
      </c>
      <c r="S309" s="169"/>
      <c r="T309" s="1"/>
      <c r="U309" s="217"/>
      <c r="V309" s="331">
        <f>+IF(V308=11,12,IF(V308=12,1,V308+1))</f>
      </c>
      <c r="W309" s="331">
        <f>+W308+IF(V308=12,1,0)</f>
      </c>
      <c r="X309" s="555">
        <f>+DATE(W309,V309,1)</f>
        <v>25569.041666666668</v>
      </c>
      <c r="Y309" s="333">
        <f>+_xlfn.IFNA(AN309+AS309+AX309,0)</f>
      </c>
      <c r="Z309" s="333">
        <f>+_xlfn.IFNA(AO309+AT309+AY309,0)</f>
      </c>
      <c r="AA309" s="333">
        <f>Y309*(1+$O$5)^(($B$7-X309)/365.25)</f>
      </c>
      <c r="AB309" s="333">
        <f>Z309*(1+$O$5)^(($B$7-X309)/365.25)</f>
      </c>
      <c r="AC309" s="1"/>
      <c r="AD309" s="1"/>
      <c r="AE309" s="1"/>
      <c r="AF309" s="111">
        <f>+MONTH(E309)&amp;YEAR(E309)</f>
      </c>
      <c r="AG309" s="217">
        <f>+I309</f>
      </c>
      <c r="AH309" s="217">
        <f>+J309</f>
      </c>
      <c r="AI309" s="217">
        <f>+H309</f>
      </c>
      <c r="AJ309" s="111">
        <f>+V309&amp;W309</f>
      </c>
      <c r="AK309" s="217">
        <f>+_xlfn.IFNA(VLOOKUP(AJ309,$AF$7:$AG$1066,2,0),0)</f>
      </c>
      <c r="AL309" s="217">
        <f>+IF(W309&gt;W308,AK309,AL308+AK309)</f>
      </c>
      <c r="AM309" s="217">
        <f>IF(W309&gt;W308,IF(AL309&gt;=$AZ$8,$AZ$8,AL309),IF(OR(AM308=$AZ$8,AM308=0),0,IF(AL309&gt;=$AZ$8,$AZ$8,AL309)))</f>
      </c>
      <c r="AN309" s="748">
        <f>+IF(OR(AM309&gt;AZ308,AM309=0),0,IF(AM309=AL309,AK309,$AZ$7-AL308))</f>
      </c>
      <c r="AO309" s="748">
        <f>+AK309-AN309</f>
      </c>
      <c r="AP309" s="217">
        <f>+_xlfn.IFNA(VLOOKUP(AJ309,$AF$7:$AI$1066,3,0),0)</f>
      </c>
      <c r="AQ309" s="217">
        <f>+IF(W309&gt;W308,AP309,AQ308+AP309)</f>
      </c>
      <c r="AR309" s="217">
        <f>+MAX($AM$2-SUMIF($W$7:$W$1066,W309,$AN$7:$AN$1066),0)</f>
      </c>
      <c r="AS309" s="748">
        <f>+MAX(IF(AQ309&gt;AR309,AR309-AQ308,AP309),0)</f>
      </c>
      <c r="AT309" s="748">
        <f>+AP309-AS309</f>
      </c>
      <c r="AU309" s="217">
        <f>+_xlfn.IFNA(VLOOKUP(AJ309,$AF$7:$AI$1066,4,0),0)</f>
      </c>
      <c r="AV309" s="217">
        <f>+IF(W309&gt;W308,AU309,AV308+AU309)</f>
      </c>
      <c r="AW309" s="217">
        <f>+MAX($AM$2-SUMIF($W$7:$W$1066,W309,$AN$7:$AN$1066)-SUMIF($W$7:$W$1066,W309,$AS$7:$AS$1066),0)</f>
      </c>
      <c r="AX309" s="748">
        <f>+MAX(IF(AV309&gt;AW309,AW309-AV308,AU309),0)</f>
      </c>
      <c r="AY309" s="748">
        <f>+AU309-AX309</f>
      </c>
      <c r="AZ309" s="331">
        <f>+$AM$1+IF($AP$1&gt;$AP$2,$AM$3/2)</f>
      </c>
    </row>
    <row x14ac:dyDescent="0.25" r="310" customHeight="1" ht="18.75">
      <c r="A310" s="1"/>
      <c r="B310" s="7"/>
      <c r="C310" s="170"/>
      <c r="D310" s="331">
        <v>303</v>
      </c>
      <c r="E310" s="544">
        <f>+DATE(YEAR(E309),MONTH(E309)-1,DAY(E309))</f>
        <v>25569.041666666668</v>
      </c>
      <c r="F310" s="333">
        <f>IF(DATE(YEAR($B$6),MONTH($B$6)+1,DAY(1))=E310,1,IF(MONTH(E310)=1,F311*(1+$F$5),F311))</f>
      </c>
      <c r="G310" s="333">
        <f>IF('Simulador - 1º Pilar'!$E$99="Sí",IF('Aportaciones PPE'!$B$13&lt;'Aportaciones PPE'!E310,0,F310*$B$8/12),F310*$B$8/12)</f>
      </c>
      <c r="H310" s="333">
        <f>$H$5*G310</f>
      </c>
      <c r="I310" s="333">
        <f>$I$5*G310</f>
      </c>
      <c r="J310" s="333">
        <f>+I310</f>
      </c>
      <c r="K310" s="333">
        <f>(1+$O$5)^(D310/12)*(H310+IF(AND(F310=1,F311=0),$S$4,0))</f>
      </c>
      <c r="L310" s="333">
        <f>(1+$O$5)^(D310/12)*(I310+IF(AND(F310=1,F311=0),0))</f>
      </c>
      <c r="M310" s="333">
        <f>+L310</f>
      </c>
      <c r="N310" s="333">
        <f>L310+K310+M310</f>
      </c>
      <c r="O310" s="170"/>
      <c r="P310" s="7"/>
      <c r="Q310" s="1"/>
      <c r="R310" s="331">
        <f>D310</f>
      </c>
      <c r="S310" s="169"/>
      <c r="T310" s="1"/>
      <c r="U310" s="217"/>
      <c r="V310" s="331">
        <f>+IF(V309=11,12,IF(V309=12,1,V309+1))</f>
      </c>
      <c r="W310" s="331">
        <f>+W309+IF(V309=12,1,0)</f>
      </c>
      <c r="X310" s="555">
        <f>+DATE(W310,V310,1)</f>
        <v>25569.041666666668</v>
      </c>
      <c r="Y310" s="333">
        <f>+_xlfn.IFNA(AN310+AS310+AX310,0)</f>
      </c>
      <c r="Z310" s="333">
        <f>+_xlfn.IFNA(AO310+AT310+AY310,0)</f>
      </c>
      <c r="AA310" s="333">
        <f>Y310*(1+$O$5)^(($B$7-X310)/365.25)</f>
      </c>
      <c r="AB310" s="333">
        <f>Z310*(1+$O$5)^(($B$7-X310)/365.25)</f>
      </c>
      <c r="AC310" s="1"/>
      <c r="AD310" s="1"/>
      <c r="AE310" s="1"/>
      <c r="AF310" s="111">
        <f>+MONTH(E310)&amp;YEAR(E310)</f>
      </c>
      <c r="AG310" s="217">
        <f>+I310</f>
      </c>
      <c r="AH310" s="217">
        <f>+J310</f>
      </c>
      <c r="AI310" s="217">
        <f>+H310</f>
      </c>
      <c r="AJ310" s="111">
        <f>+V310&amp;W310</f>
      </c>
      <c r="AK310" s="217">
        <f>+_xlfn.IFNA(VLOOKUP(AJ310,$AF$7:$AG$1066,2,0),0)</f>
      </c>
      <c r="AL310" s="217">
        <f>+IF(W310&gt;W309,AK310,AL309+AK310)</f>
      </c>
      <c r="AM310" s="217">
        <f>IF(W310&gt;W309,IF(AL310&gt;=$AZ$8,$AZ$8,AL310),IF(OR(AM309=$AZ$8,AM309=0),0,IF(AL310&gt;=$AZ$8,$AZ$8,AL310)))</f>
      </c>
      <c r="AN310" s="748">
        <f>+IF(OR(AM310&gt;AZ309,AM310=0),0,IF(AM310=AL310,AK310,$AZ$7-AL309))</f>
      </c>
      <c r="AO310" s="748">
        <f>+AK310-AN310</f>
      </c>
      <c r="AP310" s="217">
        <f>+_xlfn.IFNA(VLOOKUP(AJ310,$AF$7:$AI$1066,3,0),0)</f>
      </c>
      <c r="AQ310" s="217">
        <f>+IF(W310&gt;W309,AP310,AQ309+AP310)</f>
      </c>
      <c r="AR310" s="217">
        <f>+MAX($AM$2-SUMIF($W$7:$W$1066,W310,$AN$7:$AN$1066),0)</f>
      </c>
      <c r="AS310" s="748">
        <f>+MAX(IF(AQ310&gt;AR310,AR310-AQ309,AP310),0)</f>
      </c>
      <c r="AT310" s="748">
        <f>+AP310-AS310</f>
      </c>
      <c r="AU310" s="217">
        <f>+_xlfn.IFNA(VLOOKUP(AJ310,$AF$7:$AI$1066,4,0),0)</f>
      </c>
      <c r="AV310" s="217">
        <f>+IF(W310&gt;W309,AU310,AV309+AU310)</f>
      </c>
      <c r="AW310" s="217">
        <f>+MAX($AM$2-SUMIF($W$7:$W$1066,W310,$AN$7:$AN$1066)-SUMIF($W$7:$W$1066,W310,$AS$7:$AS$1066),0)</f>
      </c>
      <c r="AX310" s="748">
        <f>+MAX(IF(AV310&gt;AW310,AW310-AV309,AU310),0)</f>
      </c>
      <c r="AY310" s="748">
        <f>+AU310-AX310</f>
      </c>
      <c r="AZ310" s="331">
        <f>+$AM$1+IF($AP$1&gt;$AP$2,$AM$3/2)</f>
      </c>
    </row>
    <row x14ac:dyDescent="0.25" r="311" customHeight="1" ht="18.75">
      <c r="A311" s="1"/>
      <c r="B311" s="7"/>
      <c r="C311" s="170"/>
      <c r="D311" s="331">
        <v>304</v>
      </c>
      <c r="E311" s="544">
        <f>+DATE(YEAR(E310),MONTH(E310)-1,DAY(E310))</f>
        <v>25569.041666666668</v>
      </c>
      <c r="F311" s="333">
        <f>IF(DATE(YEAR($B$6),MONTH($B$6)+1,DAY(1))=E311,1,IF(MONTH(E311)=1,F312*(1+$F$5),F312))</f>
      </c>
      <c r="G311" s="333">
        <f>IF('Simulador - 1º Pilar'!$E$99="Sí",IF('Aportaciones PPE'!$B$13&lt;'Aportaciones PPE'!E311,0,F311*$B$8/12),F311*$B$8/12)</f>
      </c>
      <c r="H311" s="333">
        <f>$H$5*G311</f>
      </c>
      <c r="I311" s="333">
        <f>$I$5*G311</f>
      </c>
      <c r="J311" s="333">
        <f>+I311</f>
      </c>
      <c r="K311" s="333">
        <f>(1+$O$5)^(D311/12)*(H311+IF(AND(F311=1,F312=0),$S$4,0))</f>
      </c>
      <c r="L311" s="333">
        <f>(1+$O$5)^(D311/12)*(I311+IF(AND(F311=1,F312=0),0))</f>
      </c>
      <c r="M311" s="333">
        <f>+L311</f>
      </c>
      <c r="N311" s="333">
        <f>L311+K311+M311</f>
      </c>
      <c r="O311" s="170"/>
      <c r="P311" s="7"/>
      <c r="Q311" s="1"/>
      <c r="R311" s="331">
        <f>D311</f>
      </c>
      <c r="S311" s="169"/>
      <c r="T311" s="1"/>
      <c r="U311" s="217"/>
      <c r="V311" s="331">
        <f>+IF(V310=11,12,IF(V310=12,1,V310+1))</f>
      </c>
      <c r="W311" s="331">
        <f>+W310+IF(V310=12,1,0)</f>
      </c>
      <c r="X311" s="555">
        <f>+DATE(W311,V311,1)</f>
        <v>25569.041666666668</v>
      </c>
      <c r="Y311" s="333">
        <f>+_xlfn.IFNA(AN311+AS311+AX311,0)</f>
      </c>
      <c r="Z311" s="333">
        <f>+_xlfn.IFNA(AO311+AT311+AY311,0)</f>
      </c>
      <c r="AA311" s="333">
        <f>Y311*(1+$O$5)^(($B$7-X311)/365.25)</f>
      </c>
      <c r="AB311" s="333">
        <f>Z311*(1+$O$5)^(($B$7-X311)/365.25)</f>
      </c>
      <c r="AC311" s="1"/>
      <c r="AD311" s="1"/>
      <c r="AE311" s="1"/>
      <c r="AF311" s="111">
        <f>+MONTH(E311)&amp;YEAR(E311)</f>
      </c>
      <c r="AG311" s="217">
        <f>+I311</f>
      </c>
      <c r="AH311" s="217">
        <f>+J311</f>
      </c>
      <c r="AI311" s="217">
        <f>+H311</f>
      </c>
      <c r="AJ311" s="111">
        <f>+V311&amp;W311</f>
      </c>
      <c r="AK311" s="217">
        <f>+_xlfn.IFNA(VLOOKUP(AJ311,$AF$7:$AG$1066,2,0),0)</f>
      </c>
      <c r="AL311" s="217">
        <f>+IF(W311&gt;W310,AK311,AL310+AK311)</f>
      </c>
      <c r="AM311" s="217">
        <f>IF(W311&gt;W310,IF(AL311&gt;=$AZ$8,$AZ$8,AL311),IF(OR(AM310=$AZ$8,AM310=0),0,IF(AL311&gt;=$AZ$8,$AZ$8,AL311)))</f>
      </c>
      <c r="AN311" s="748">
        <f>+IF(OR(AM311&gt;AZ310,AM311=0),0,IF(AM311=AL311,AK311,$AZ$7-AL310))</f>
      </c>
      <c r="AO311" s="748">
        <f>+AK311-AN311</f>
      </c>
      <c r="AP311" s="217">
        <f>+_xlfn.IFNA(VLOOKUP(AJ311,$AF$7:$AI$1066,3,0),0)</f>
      </c>
      <c r="AQ311" s="217">
        <f>+IF(W311&gt;W310,AP311,AQ310+AP311)</f>
      </c>
      <c r="AR311" s="217">
        <f>+MAX($AM$2-SUMIF($W$7:$W$1066,W311,$AN$7:$AN$1066),0)</f>
      </c>
      <c r="AS311" s="748">
        <f>+MAX(IF(AQ311&gt;AR311,AR311-AQ310,AP311),0)</f>
      </c>
      <c r="AT311" s="748">
        <f>+AP311-AS311</f>
      </c>
      <c r="AU311" s="217">
        <f>+_xlfn.IFNA(VLOOKUP(AJ311,$AF$7:$AI$1066,4,0),0)</f>
      </c>
      <c r="AV311" s="217">
        <f>+IF(W311&gt;W310,AU311,AV310+AU311)</f>
      </c>
      <c r="AW311" s="217">
        <f>+MAX($AM$2-SUMIF($W$7:$W$1066,W311,$AN$7:$AN$1066)-SUMIF($W$7:$W$1066,W311,$AS$7:$AS$1066),0)</f>
      </c>
      <c r="AX311" s="748">
        <f>+MAX(IF(AV311&gt;AW311,AW311-AV310,AU311),0)</f>
      </c>
      <c r="AY311" s="748">
        <f>+AU311-AX311</f>
      </c>
      <c r="AZ311" s="331">
        <f>+$AM$1+IF($AP$1&gt;$AP$2,$AM$3/2)</f>
      </c>
    </row>
    <row x14ac:dyDescent="0.25" r="312" customHeight="1" ht="18.75">
      <c r="A312" s="1"/>
      <c r="B312" s="7"/>
      <c r="C312" s="170"/>
      <c r="D312" s="331">
        <v>305</v>
      </c>
      <c r="E312" s="544">
        <f>+DATE(YEAR(E311),MONTH(E311)-1,DAY(E311))</f>
        <v>25569.041666666668</v>
      </c>
      <c r="F312" s="333">
        <f>IF(DATE(YEAR($B$6),MONTH($B$6)+1,DAY(1))=E312,1,IF(MONTH(E312)=1,F313*(1+$F$5),F313))</f>
      </c>
      <c r="G312" s="333">
        <f>IF('Simulador - 1º Pilar'!$E$99="Sí",IF('Aportaciones PPE'!$B$13&lt;'Aportaciones PPE'!E312,0,F312*$B$8/12),F312*$B$8/12)</f>
      </c>
      <c r="H312" s="333">
        <f>$H$5*G312</f>
      </c>
      <c r="I312" s="333">
        <f>$I$5*G312</f>
      </c>
      <c r="J312" s="333">
        <f>+I312</f>
      </c>
      <c r="K312" s="333">
        <f>(1+$O$5)^(D312/12)*(H312+IF(AND(F312=1,F313=0),$S$4,0))</f>
      </c>
      <c r="L312" s="333">
        <f>(1+$O$5)^(D312/12)*(I312+IF(AND(F312=1,F313=0),0))</f>
      </c>
      <c r="M312" s="333">
        <f>+L312</f>
      </c>
      <c r="N312" s="333">
        <f>L312+K312+M312</f>
      </c>
      <c r="O312" s="170"/>
      <c r="P312" s="7"/>
      <c r="Q312" s="1"/>
      <c r="R312" s="331">
        <f>D312</f>
      </c>
      <c r="S312" s="169"/>
      <c r="T312" s="1"/>
      <c r="U312" s="217"/>
      <c r="V312" s="331">
        <f>+IF(V311=11,12,IF(V311=12,1,V311+1))</f>
      </c>
      <c r="W312" s="331">
        <f>+W311+IF(V311=12,1,0)</f>
      </c>
      <c r="X312" s="555">
        <f>+DATE(W312,V312,1)</f>
        <v>25569.041666666668</v>
      </c>
      <c r="Y312" s="333">
        <f>+_xlfn.IFNA(AN312+AS312+AX312,0)</f>
      </c>
      <c r="Z312" s="333">
        <f>+_xlfn.IFNA(AO312+AT312+AY312,0)</f>
      </c>
      <c r="AA312" s="333">
        <f>Y312*(1+$O$5)^(($B$7-X312)/365.25)</f>
      </c>
      <c r="AB312" s="333">
        <f>Z312*(1+$O$5)^(($B$7-X312)/365.25)</f>
      </c>
      <c r="AC312" s="1"/>
      <c r="AD312" s="1"/>
      <c r="AE312" s="1"/>
      <c r="AF312" s="111">
        <f>+MONTH(E312)&amp;YEAR(E312)</f>
      </c>
      <c r="AG312" s="217">
        <f>+I312</f>
      </c>
      <c r="AH312" s="217">
        <f>+J312</f>
      </c>
      <c r="AI312" s="217">
        <f>+H312</f>
      </c>
      <c r="AJ312" s="111">
        <f>+V312&amp;W312</f>
      </c>
      <c r="AK312" s="217">
        <f>+_xlfn.IFNA(VLOOKUP(AJ312,$AF$7:$AG$1066,2,0),0)</f>
      </c>
      <c r="AL312" s="217">
        <f>+IF(W312&gt;W311,AK312,AL311+AK312)</f>
      </c>
      <c r="AM312" s="217">
        <f>IF(W312&gt;W311,IF(AL312&gt;=$AZ$8,$AZ$8,AL312),IF(OR(AM311=$AZ$8,AM311=0),0,IF(AL312&gt;=$AZ$8,$AZ$8,AL312)))</f>
      </c>
      <c r="AN312" s="748">
        <f>+IF(OR(AM312&gt;AZ311,AM312=0),0,IF(AM312=AL312,AK312,$AZ$7-AL311))</f>
      </c>
      <c r="AO312" s="748">
        <f>+AK312-AN312</f>
      </c>
      <c r="AP312" s="217">
        <f>+_xlfn.IFNA(VLOOKUP(AJ312,$AF$7:$AI$1066,3,0),0)</f>
      </c>
      <c r="AQ312" s="217">
        <f>+IF(W312&gt;W311,AP312,AQ311+AP312)</f>
      </c>
      <c r="AR312" s="217">
        <f>+MAX($AM$2-SUMIF($W$7:$W$1066,W312,$AN$7:$AN$1066),0)</f>
      </c>
      <c r="AS312" s="748">
        <f>+MAX(IF(AQ312&gt;AR312,AR312-AQ311,AP312),0)</f>
      </c>
      <c r="AT312" s="748">
        <f>+AP312-AS312</f>
      </c>
      <c r="AU312" s="217">
        <f>+_xlfn.IFNA(VLOOKUP(AJ312,$AF$7:$AI$1066,4,0),0)</f>
      </c>
      <c r="AV312" s="217">
        <f>+IF(W312&gt;W311,AU312,AV311+AU312)</f>
      </c>
      <c r="AW312" s="217">
        <f>+MAX($AM$2-SUMIF($W$7:$W$1066,W312,$AN$7:$AN$1066)-SUMIF($W$7:$W$1066,W312,$AS$7:$AS$1066),0)</f>
      </c>
      <c r="AX312" s="748">
        <f>+MAX(IF(AV312&gt;AW312,AW312-AV311,AU312),0)</f>
      </c>
      <c r="AY312" s="748">
        <f>+AU312-AX312</f>
      </c>
      <c r="AZ312" s="331">
        <f>+$AM$1+IF($AP$1&gt;$AP$2,$AM$3/2)</f>
      </c>
    </row>
    <row x14ac:dyDescent="0.25" r="313" customHeight="1" ht="18.75">
      <c r="A313" s="1"/>
      <c r="B313" s="7"/>
      <c r="C313" s="170"/>
      <c r="D313" s="331">
        <v>306</v>
      </c>
      <c r="E313" s="544">
        <f>+DATE(YEAR(E312),MONTH(E312)-1,DAY(E312))</f>
        <v>25569.041666666668</v>
      </c>
      <c r="F313" s="333">
        <f>IF(DATE(YEAR($B$6),MONTH($B$6)+1,DAY(1))=E313,1,IF(MONTH(E313)=1,F314*(1+$F$5),F314))</f>
      </c>
      <c r="G313" s="333">
        <f>IF('Simulador - 1º Pilar'!$E$99="Sí",IF('Aportaciones PPE'!$B$13&lt;'Aportaciones PPE'!E313,0,F313*$B$8/12),F313*$B$8/12)</f>
      </c>
      <c r="H313" s="333">
        <f>$H$5*G313</f>
      </c>
      <c r="I313" s="333">
        <f>$I$5*G313</f>
      </c>
      <c r="J313" s="333">
        <f>+I313</f>
      </c>
      <c r="K313" s="333">
        <f>(1+$O$5)^(D313/12)*(H313+IF(AND(F313=1,F314=0),$S$4,0))</f>
      </c>
      <c r="L313" s="333">
        <f>(1+$O$5)^(D313/12)*(I313+IF(AND(F313=1,F314=0),0))</f>
      </c>
      <c r="M313" s="333">
        <f>+L313</f>
      </c>
      <c r="N313" s="333">
        <f>L313+K313+M313</f>
      </c>
      <c r="O313" s="217"/>
      <c r="P313" s="7"/>
      <c r="Q313" s="1"/>
      <c r="R313" s="331">
        <f>D313</f>
      </c>
      <c r="S313" s="169"/>
      <c r="T313" s="1"/>
      <c r="U313" s="217"/>
      <c r="V313" s="331">
        <f>+IF(V312=11,12,IF(V312=12,1,V312+1))</f>
      </c>
      <c r="W313" s="331">
        <f>+W312+IF(V312=12,1,0)</f>
      </c>
      <c r="X313" s="555">
        <f>+DATE(W313,V313,1)</f>
        <v>25569.041666666668</v>
      </c>
      <c r="Y313" s="333">
        <f>+_xlfn.IFNA(AN313+AS313+AX313,0)</f>
      </c>
      <c r="Z313" s="333">
        <f>+_xlfn.IFNA(AO313+AT313+AY313,0)</f>
      </c>
      <c r="AA313" s="333">
        <f>Y313*(1+$O$5)^(($B$7-X313)/365.25)</f>
      </c>
      <c r="AB313" s="333">
        <f>Z313*(1+$O$5)^(($B$7-X313)/365.25)</f>
      </c>
      <c r="AC313" s="1"/>
      <c r="AD313" s="1"/>
      <c r="AE313" s="1"/>
      <c r="AF313" s="111">
        <f>+MONTH(E313)&amp;YEAR(E313)</f>
      </c>
      <c r="AG313" s="217">
        <f>+I313</f>
      </c>
      <c r="AH313" s="217">
        <f>+J313</f>
      </c>
      <c r="AI313" s="217">
        <f>+H313</f>
      </c>
      <c r="AJ313" s="111">
        <f>+V313&amp;W313</f>
      </c>
      <c r="AK313" s="217">
        <f>+_xlfn.IFNA(VLOOKUP(AJ313,$AF$7:$AG$1066,2,0),0)</f>
      </c>
      <c r="AL313" s="217">
        <f>+IF(W313&gt;W312,AK313,AL312+AK313)</f>
      </c>
      <c r="AM313" s="217">
        <f>IF(W313&gt;W312,IF(AL313&gt;=$AZ$8,$AZ$8,AL313),IF(OR(AM312=$AZ$8,AM312=0),0,IF(AL313&gt;=$AZ$8,$AZ$8,AL313)))</f>
      </c>
      <c r="AN313" s="748">
        <f>+IF(OR(AM313&gt;AZ312,AM313=0),0,IF(AM313=AL313,AK313,$AZ$7-AL312))</f>
      </c>
      <c r="AO313" s="748">
        <f>+AK313-AN313</f>
      </c>
      <c r="AP313" s="217">
        <f>+_xlfn.IFNA(VLOOKUP(AJ313,$AF$7:$AI$1066,3,0),0)</f>
      </c>
      <c r="AQ313" s="217">
        <f>+IF(W313&gt;W312,AP313,AQ312+AP313)</f>
      </c>
      <c r="AR313" s="217">
        <f>+MAX($AM$2-SUMIF($W$7:$W$1066,W313,$AN$7:$AN$1066),0)</f>
      </c>
      <c r="AS313" s="748">
        <f>+MAX(IF(AQ313&gt;AR313,AR313-AQ312,AP313),0)</f>
      </c>
      <c r="AT313" s="748">
        <f>+AP313-AS313</f>
      </c>
      <c r="AU313" s="217">
        <f>+_xlfn.IFNA(VLOOKUP(AJ313,$AF$7:$AI$1066,4,0),0)</f>
      </c>
      <c r="AV313" s="217">
        <f>+IF(W313&gt;W312,AU313,AV312+AU313)</f>
      </c>
      <c r="AW313" s="217">
        <f>+MAX($AM$2-SUMIF($W$7:$W$1066,W313,$AN$7:$AN$1066)-SUMIF($W$7:$W$1066,W313,$AS$7:$AS$1066),0)</f>
      </c>
      <c r="AX313" s="748">
        <f>+MAX(IF(AV313&gt;AW313,AW313-AV312,AU313),0)</f>
      </c>
      <c r="AY313" s="748">
        <f>+AU313-AX313</f>
      </c>
      <c r="AZ313" s="331">
        <f>+$AM$1+IF($AP$1&gt;$AP$2,$AM$3/2)</f>
      </c>
    </row>
    <row x14ac:dyDescent="0.25" r="314" customHeight="1" ht="18.75">
      <c r="A314" s="1"/>
      <c r="B314" s="7"/>
      <c r="C314" s="170"/>
      <c r="D314" s="331">
        <v>307</v>
      </c>
      <c r="E314" s="544">
        <f>+DATE(YEAR(E313),MONTH(E313)-1,DAY(E313))</f>
        <v>25569.041666666668</v>
      </c>
      <c r="F314" s="333">
        <f>IF(DATE(YEAR($B$6),MONTH($B$6)+1,DAY(1))=E314,1,IF(MONTH(E314)=1,F315*(1+$F$5),F315))</f>
      </c>
      <c r="G314" s="333">
        <f>IF('Simulador - 1º Pilar'!$E$99="Sí",IF('Aportaciones PPE'!$B$13&lt;'Aportaciones PPE'!E314,0,F314*$B$8/12),F314*$B$8/12)</f>
      </c>
      <c r="H314" s="333">
        <f>$H$5*G314</f>
      </c>
      <c r="I314" s="333">
        <f>$I$5*G314</f>
      </c>
      <c r="J314" s="333">
        <f>+I314</f>
      </c>
      <c r="K314" s="333">
        <f>(1+$O$5)^(D314/12)*(H314+IF(AND(F314=1,F315=0),$S$4,0))</f>
      </c>
      <c r="L314" s="333">
        <f>(1+$O$5)^(D314/12)*(I314+IF(AND(F314=1,F315=0),0))</f>
      </c>
      <c r="M314" s="333">
        <f>+L314</f>
      </c>
      <c r="N314" s="333">
        <f>L314+K314+M314</f>
      </c>
      <c r="O314" s="170"/>
      <c r="P314" s="7"/>
      <c r="Q314" s="1"/>
      <c r="R314" s="331">
        <f>D314</f>
      </c>
      <c r="S314" s="169"/>
      <c r="T314" s="1"/>
      <c r="U314" s="217"/>
      <c r="V314" s="331">
        <f>+IF(V313=11,12,IF(V313=12,1,V313+1))</f>
      </c>
      <c r="W314" s="331">
        <f>+W313+IF(V313=12,1,0)</f>
      </c>
      <c r="X314" s="555">
        <f>+DATE(W314,V314,1)</f>
        <v>25569.041666666668</v>
      </c>
      <c r="Y314" s="333">
        <f>+_xlfn.IFNA(AN314+AS314+AX314,0)</f>
      </c>
      <c r="Z314" s="333">
        <f>+_xlfn.IFNA(AO314+AT314+AY314,0)</f>
      </c>
      <c r="AA314" s="333">
        <f>Y314*(1+$O$5)^(($B$7-X314)/365.25)</f>
      </c>
      <c r="AB314" s="333">
        <f>Z314*(1+$O$5)^(($B$7-X314)/365.25)</f>
      </c>
      <c r="AC314" s="1"/>
      <c r="AD314" s="1"/>
      <c r="AE314" s="1"/>
      <c r="AF314" s="111">
        <f>+MONTH(E314)&amp;YEAR(E314)</f>
      </c>
      <c r="AG314" s="217">
        <f>+I314</f>
      </c>
      <c r="AH314" s="217">
        <f>+J314</f>
      </c>
      <c r="AI314" s="217">
        <f>+H314</f>
      </c>
      <c r="AJ314" s="111">
        <f>+V314&amp;W314</f>
      </c>
      <c r="AK314" s="217">
        <f>+_xlfn.IFNA(VLOOKUP(AJ314,$AF$7:$AG$1066,2,0),0)</f>
      </c>
      <c r="AL314" s="217">
        <f>+IF(W314&gt;W313,AK314,AL313+AK314)</f>
      </c>
      <c r="AM314" s="217">
        <f>IF(W314&gt;W313,IF(AL314&gt;=$AZ$8,$AZ$8,AL314),IF(OR(AM313=$AZ$8,AM313=0),0,IF(AL314&gt;=$AZ$8,$AZ$8,AL314)))</f>
      </c>
      <c r="AN314" s="748">
        <f>+IF(OR(AM314&gt;AZ313,AM314=0),0,IF(AM314=AL314,AK314,$AZ$7-AL313))</f>
      </c>
      <c r="AO314" s="748">
        <f>+AK314-AN314</f>
      </c>
      <c r="AP314" s="217">
        <f>+_xlfn.IFNA(VLOOKUP(AJ314,$AF$7:$AI$1066,3,0),0)</f>
      </c>
      <c r="AQ314" s="217">
        <f>+IF(W314&gt;W313,AP314,AQ313+AP314)</f>
      </c>
      <c r="AR314" s="217">
        <f>+MAX($AM$2-SUMIF($W$7:$W$1066,W314,$AN$7:$AN$1066),0)</f>
      </c>
      <c r="AS314" s="748">
        <f>+MAX(IF(AQ314&gt;AR314,AR314-AQ313,AP314),0)</f>
      </c>
      <c r="AT314" s="748">
        <f>+AP314-AS314</f>
      </c>
      <c r="AU314" s="217">
        <f>+_xlfn.IFNA(VLOOKUP(AJ314,$AF$7:$AI$1066,4,0),0)</f>
      </c>
      <c r="AV314" s="217">
        <f>+IF(W314&gt;W313,AU314,AV313+AU314)</f>
      </c>
      <c r="AW314" s="217">
        <f>+MAX($AM$2-SUMIF($W$7:$W$1066,W314,$AN$7:$AN$1066)-SUMIF($W$7:$W$1066,W314,$AS$7:$AS$1066),0)</f>
      </c>
      <c r="AX314" s="748">
        <f>+MAX(IF(AV314&gt;AW314,AW314-AV313,AU314),0)</f>
      </c>
      <c r="AY314" s="748">
        <f>+AU314-AX314</f>
      </c>
      <c r="AZ314" s="331">
        <f>+$AM$1+IF($AP$1&gt;$AP$2,$AM$3/2)</f>
      </c>
    </row>
    <row x14ac:dyDescent="0.25" r="315" customHeight="1" ht="18.75">
      <c r="A315" s="1"/>
      <c r="B315" s="7"/>
      <c r="C315" s="170"/>
      <c r="D315" s="331">
        <v>308</v>
      </c>
      <c r="E315" s="544">
        <f>+DATE(YEAR(E314),MONTH(E314)-1,DAY(E314))</f>
        <v>25569.041666666668</v>
      </c>
      <c r="F315" s="333">
        <f>IF(DATE(YEAR($B$6),MONTH($B$6)+1,DAY(1))=E315,1,IF(MONTH(E315)=1,F316*(1+$F$5),F316))</f>
      </c>
      <c r="G315" s="333">
        <f>IF('Simulador - 1º Pilar'!$E$99="Sí",IF('Aportaciones PPE'!$B$13&lt;'Aportaciones PPE'!E315,0,F315*$B$8/12),F315*$B$8/12)</f>
      </c>
      <c r="H315" s="333">
        <f>$H$5*G315</f>
      </c>
      <c r="I315" s="333">
        <f>$I$5*G315</f>
      </c>
      <c r="J315" s="333">
        <f>+I315</f>
      </c>
      <c r="K315" s="333">
        <f>(1+$O$5)^(D315/12)*(H315+IF(AND(F315=1,F316=0),$S$4,0))</f>
      </c>
      <c r="L315" s="333">
        <f>(1+$O$5)^(D315/12)*(I315+IF(AND(F315=1,F316=0),0))</f>
      </c>
      <c r="M315" s="333">
        <f>+L315</f>
      </c>
      <c r="N315" s="333">
        <f>L315+K315+M315</f>
      </c>
      <c r="O315" s="170"/>
      <c r="P315" s="7"/>
      <c r="Q315" s="1"/>
      <c r="R315" s="331">
        <f>D315</f>
      </c>
      <c r="S315" s="169"/>
      <c r="T315" s="1"/>
      <c r="U315" s="217"/>
      <c r="V315" s="331">
        <f>+IF(V314=11,12,IF(V314=12,1,V314+1))</f>
      </c>
      <c r="W315" s="331">
        <f>+W314+IF(V314=12,1,0)</f>
      </c>
      <c r="X315" s="555">
        <f>+DATE(W315,V315,1)</f>
        <v>25569.041666666668</v>
      </c>
      <c r="Y315" s="333">
        <f>+_xlfn.IFNA(AN315+AS315+AX315,0)</f>
      </c>
      <c r="Z315" s="333">
        <f>+_xlfn.IFNA(AO315+AT315+AY315,0)</f>
      </c>
      <c r="AA315" s="333">
        <f>Y315*(1+$O$5)^(($B$7-X315)/365.25)</f>
      </c>
      <c r="AB315" s="333">
        <f>Z315*(1+$O$5)^(($B$7-X315)/365.25)</f>
      </c>
      <c r="AC315" s="1"/>
      <c r="AD315" s="1"/>
      <c r="AE315" s="1"/>
      <c r="AF315" s="111">
        <f>+MONTH(E315)&amp;YEAR(E315)</f>
      </c>
      <c r="AG315" s="217">
        <f>+I315</f>
      </c>
      <c r="AH315" s="217">
        <f>+J315</f>
      </c>
      <c r="AI315" s="217">
        <f>+H315</f>
      </c>
      <c r="AJ315" s="111">
        <f>+V315&amp;W315</f>
      </c>
      <c r="AK315" s="217">
        <f>+_xlfn.IFNA(VLOOKUP(AJ315,$AF$7:$AG$1066,2,0),0)</f>
      </c>
      <c r="AL315" s="217">
        <f>+IF(W315&gt;W314,AK315,AL314+AK315)</f>
      </c>
      <c r="AM315" s="217">
        <f>IF(W315&gt;W314,IF(AL315&gt;=$AZ$8,$AZ$8,AL315),IF(OR(AM314=$AZ$8,AM314=0),0,IF(AL315&gt;=$AZ$8,$AZ$8,AL315)))</f>
      </c>
      <c r="AN315" s="748">
        <f>+IF(OR(AM315&gt;AZ314,AM315=0),0,IF(AM315=AL315,AK315,$AZ$7-AL314))</f>
      </c>
      <c r="AO315" s="748">
        <f>+AK315-AN315</f>
      </c>
      <c r="AP315" s="217">
        <f>+_xlfn.IFNA(VLOOKUP(AJ315,$AF$7:$AI$1066,3,0),0)</f>
      </c>
      <c r="AQ315" s="217">
        <f>+IF(W315&gt;W314,AP315,AQ314+AP315)</f>
      </c>
      <c r="AR315" s="217">
        <f>+MAX($AM$2-SUMIF($W$7:$W$1066,W315,$AN$7:$AN$1066),0)</f>
      </c>
      <c r="AS315" s="748">
        <f>+MAX(IF(AQ315&gt;AR315,AR315-AQ314,AP315),0)</f>
      </c>
      <c r="AT315" s="748">
        <f>+AP315-AS315</f>
      </c>
      <c r="AU315" s="217">
        <f>+_xlfn.IFNA(VLOOKUP(AJ315,$AF$7:$AI$1066,4,0),0)</f>
      </c>
      <c r="AV315" s="217">
        <f>+IF(W315&gt;W314,AU315,AV314+AU315)</f>
      </c>
      <c r="AW315" s="217">
        <f>+MAX($AM$2-SUMIF($W$7:$W$1066,W315,$AN$7:$AN$1066)-SUMIF($W$7:$W$1066,W315,$AS$7:$AS$1066),0)</f>
      </c>
      <c r="AX315" s="748">
        <f>+MAX(IF(AV315&gt;AW315,AW315-AV314,AU315),0)</f>
      </c>
      <c r="AY315" s="748">
        <f>+AU315-AX315</f>
      </c>
      <c r="AZ315" s="331">
        <f>+$AM$1+IF($AP$1&gt;$AP$2,$AM$3/2)</f>
      </c>
    </row>
    <row x14ac:dyDescent="0.25" r="316" customHeight="1" ht="18.75">
      <c r="A316" s="1"/>
      <c r="B316" s="7"/>
      <c r="C316" s="170"/>
      <c r="D316" s="331">
        <v>309</v>
      </c>
      <c r="E316" s="544">
        <f>+DATE(YEAR(E315),MONTH(E315)-1,DAY(E315))</f>
        <v>25569.041666666668</v>
      </c>
      <c r="F316" s="333">
        <f>IF(DATE(YEAR($B$6),MONTH($B$6)+1,DAY(1))=E316,1,IF(MONTH(E316)=1,F317*(1+$F$5),F317))</f>
      </c>
      <c r="G316" s="333">
        <f>IF('Simulador - 1º Pilar'!$E$99="Sí",IF('Aportaciones PPE'!$B$13&lt;'Aportaciones PPE'!E316,0,F316*$B$8/12),F316*$B$8/12)</f>
      </c>
      <c r="H316" s="333">
        <f>$H$5*G316</f>
      </c>
      <c r="I316" s="333">
        <f>$I$5*G316</f>
      </c>
      <c r="J316" s="333">
        <f>+I316</f>
      </c>
      <c r="K316" s="333">
        <f>(1+$O$5)^(D316/12)*(H316+IF(AND(F316=1,F317=0),$S$4,0))</f>
      </c>
      <c r="L316" s="333">
        <f>(1+$O$5)^(D316/12)*(I316+IF(AND(F316=1,F317=0),0))</f>
      </c>
      <c r="M316" s="333">
        <f>+L316</f>
      </c>
      <c r="N316" s="333">
        <f>L316+K316+M316</f>
      </c>
      <c r="O316" s="170"/>
      <c r="P316" s="7"/>
      <c r="Q316" s="1"/>
      <c r="R316" s="331">
        <f>D316</f>
      </c>
      <c r="S316" s="169"/>
      <c r="T316" s="1"/>
      <c r="U316" s="217"/>
      <c r="V316" s="331">
        <f>+IF(V315=11,12,IF(V315=12,1,V315+1))</f>
      </c>
      <c r="W316" s="331">
        <f>+W315+IF(V315=12,1,0)</f>
      </c>
      <c r="X316" s="555">
        <f>+DATE(W316,V316,1)</f>
        <v>25569.041666666668</v>
      </c>
      <c r="Y316" s="333">
        <f>+_xlfn.IFNA(AN316+AS316+AX316,0)</f>
      </c>
      <c r="Z316" s="333">
        <f>+_xlfn.IFNA(AO316+AT316+AY316,0)</f>
      </c>
      <c r="AA316" s="333">
        <f>Y316*(1+$O$5)^(($B$7-X316)/365.25)</f>
      </c>
      <c r="AB316" s="333">
        <f>Z316*(1+$O$5)^(($B$7-X316)/365.25)</f>
      </c>
      <c r="AC316" s="1"/>
      <c r="AD316" s="1"/>
      <c r="AE316" s="1"/>
      <c r="AF316" s="111">
        <f>+MONTH(E316)&amp;YEAR(E316)</f>
      </c>
      <c r="AG316" s="217">
        <f>+I316</f>
      </c>
      <c r="AH316" s="217">
        <f>+J316</f>
      </c>
      <c r="AI316" s="217">
        <f>+H316</f>
      </c>
      <c r="AJ316" s="111">
        <f>+V316&amp;W316</f>
      </c>
      <c r="AK316" s="217">
        <f>+_xlfn.IFNA(VLOOKUP(AJ316,$AF$7:$AG$1066,2,0),0)</f>
      </c>
      <c r="AL316" s="217">
        <f>+IF(W316&gt;W315,AK316,AL315+AK316)</f>
      </c>
      <c r="AM316" s="217">
        <f>IF(W316&gt;W315,IF(AL316&gt;=$AZ$8,$AZ$8,AL316),IF(OR(AM315=$AZ$8,AM315=0),0,IF(AL316&gt;=$AZ$8,$AZ$8,AL316)))</f>
      </c>
      <c r="AN316" s="748">
        <f>+IF(OR(AM316&gt;AZ315,AM316=0),0,IF(AM316=AL316,AK316,$AZ$7-AL315))</f>
      </c>
      <c r="AO316" s="748">
        <f>+AK316-AN316</f>
      </c>
      <c r="AP316" s="217">
        <f>+_xlfn.IFNA(VLOOKUP(AJ316,$AF$7:$AI$1066,3,0),0)</f>
      </c>
      <c r="AQ316" s="217">
        <f>+IF(W316&gt;W315,AP316,AQ315+AP316)</f>
      </c>
      <c r="AR316" s="217">
        <f>+MAX($AM$2-SUMIF($W$7:$W$1066,W316,$AN$7:$AN$1066),0)</f>
      </c>
      <c r="AS316" s="748">
        <f>+MAX(IF(AQ316&gt;AR316,AR316-AQ315,AP316),0)</f>
      </c>
      <c r="AT316" s="748">
        <f>+AP316-AS316</f>
      </c>
      <c r="AU316" s="217">
        <f>+_xlfn.IFNA(VLOOKUP(AJ316,$AF$7:$AI$1066,4,0),0)</f>
      </c>
      <c r="AV316" s="217">
        <f>+IF(W316&gt;W315,AU316,AV315+AU316)</f>
      </c>
      <c r="AW316" s="217">
        <f>+MAX($AM$2-SUMIF($W$7:$W$1066,W316,$AN$7:$AN$1066)-SUMIF($W$7:$W$1066,W316,$AS$7:$AS$1066),0)</f>
      </c>
      <c r="AX316" s="748">
        <f>+MAX(IF(AV316&gt;AW316,AW316-AV315,AU316),0)</f>
      </c>
      <c r="AY316" s="748">
        <f>+AU316-AX316</f>
      </c>
      <c r="AZ316" s="331">
        <f>+$AM$1+IF($AP$1&gt;$AP$2,$AM$3/2)</f>
      </c>
    </row>
    <row x14ac:dyDescent="0.25" r="317" customHeight="1" ht="18.75">
      <c r="A317" s="1"/>
      <c r="B317" s="7"/>
      <c r="C317" s="170"/>
      <c r="D317" s="331">
        <v>310</v>
      </c>
      <c r="E317" s="544">
        <f>+DATE(YEAR(E316),MONTH(E316)-1,DAY(E316))</f>
        <v>25569.041666666668</v>
      </c>
      <c r="F317" s="333">
        <f>IF(DATE(YEAR($B$6),MONTH($B$6)+1,DAY(1))=E317,1,IF(MONTH(E317)=1,F318*(1+$F$5),F318))</f>
      </c>
      <c r="G317" s="333">
        <f>IF('Simulador - 1º Pilar'!$E$99="Sí",IF('Aportaciones PPE'!$B$13&lt;'Aportaciones PPE'!E317,0,F317*$B$8/12),F317*$B$8/12)</f>
      </c>
      <c r="H317" s="333">
        <f>$H$5*G317</f>
      </c>
      <c r="I317" s="333">
        <f>$I$5*G317</f>
      </c>
      <c r="J317" s="333">
        <f>+I317</f>
      </c>
      <c r="K317" s="333">
        <f>(1+$O$5)^(D317/12)*(H317+IF(AND(F317=1,F318=0),$S$4,0))</f>
      </c>
      <c r="L317" s="333">
        <f>(1+$O$5)^(D317/12)*(I317+IF(AND(F317=1,F318=0),0))</f>
      </c>
      <c r="M317" s="333">
        <f>+L317</f>
      </c>
      <c r="N317" s="333">
        <f>L317+K317+M317</f>
      </c>
      <c r="O317" s="170"/>
      <c r="P317" s="7"/>
      <c r="Q317" s="1"/>
      <c r="R317" s="331">
        <f>D317</f>
      </c>
      <c r="S317" s="169"/>
      <c r="T317" s="1"/>
      <c r="U317" s="217"/>
      <c r="V317" s="331">
        <f>+IF(V316=11,12,IF(V316=12,1,V316+1))</f>
      </c>
      <c r="W317" s="331">
        <f>+W316+IF(V316=12,1,0)</f>
      </c>
      <c r="X317" s="555">
        <f>+DATE(W317,V317,1)</f>
        <v>25569.041666666668</v>
      </c>
      <c r="Y317" s="333">
        <f>+_xlfn.IFNA(AN317+AS317+AX317,0)</f>
      </c>
      <c r="Z317" s="333">
        <f>+_xlfn.IFNA(AO317+AT317+AY317,0)</f>
      </c>
      <c r="AA317" s="333">
        <f>Y317*(1+$O$5)^(($B$7-X317)/365.25)</f>
      </c>
      <c r="AB317" s="333">
        <f>Z317*(1+$O$5)^(($B$7-X317)/365.25)</f>
      </c>
      <c r="AC317" s="1"/>
      <c r="AD317" s="1"/>
      <c r="AE317" s="1"/>
      <c r="AF317" s="111">
        <f>+MONTH(E317)&amp;YEAR(E317)</f>
      </c>
      <c r="AG317" s="217">
        <f>+I317</f>
      </c>
      <c r="AH317" s="217">
        <f>+J317</f>
      </c>
      <c r="AI317" s="217">
        <f>+H317</f>
      </c>
      <c r="AJ317" s="111">
        <f>+V317&amp;W317</f>
      </c>
      <c r="AK317" s="217">
        <f>+_xlfn.IFNA(VLOOKUP(AJ317,$AF$7:$AG$1066,2,0),0)</f>
      </c>
      <c r="AL317" s="217">
        <f>+IF(W317&gt;W316,AK317,AL316+AK317)</f>
      </c>
      <c r="AM317" s="217">
        <f>IF(W317&gt;W316,IF(AL317&gt;=$AZ$8,$AZ$8,AL317),IF(OR(AM316=$AZ$8,AM316=0),0,IF(AL317&gt;=$AZ$8,$AZ$8,AL317)))</f>
      </c>
      <c r="AN317" s="748">
        <f>+IF(OR(AM317&gt;AZ316,AM317=0),0,IF(AM317=AL317,AK317,$AZ$7-AL316))</f>
      </c>
      <c r="AO317" s="748">
        <f>+AK317-AN317</f>
      </c>
      <c r="AP317" s="217">
        <f>+_xlfn.IFNA(VLOOKUP(AJ317,$AF$7:$AI$1066,3,0),0)</f>
      </c>
      <c r="AQ317" s="217">
        <f>+IF(W317&gt;W316,AP317,AQ316+AP317)</f>
      </c>
      <c r="AR317" s="217">
        <f>+MAX($AM$2-SUMIF($W$7:$W$1066,W317,$AN$7:$AN$1066),0)</f>
      </c>
      <c r="AS317" s="748">
        <f>+MAX(IF(AQ317&gt;AR317,AR317-AQ316,AP317),0)</f>
      </c>
      <c r="AT317" s="748">
        <f>+AP317-AS317</f>
      </c>
      <c r="AU317" s="217">
        <f>+_xlfn.IFNA(VLOOKUP(AJ317,$AF$7:$AI$1066,4,0),0)</f>
      </c>
      <c r="AV317" s="217">
        <f>+IF(W317&gt;W316,AU317,AV316+AU317)</f>
      </c>
      <c r="AW317" s="217">
        <f>+MAX($AM$2-SUMIF($W$7:$W$1066,W317,$AN$7:$AN$1066)-SUMIF($W$7:$W$1066,W317,$AS$7:$AS$1066),0)</f>
      </c>
      <c r="AX317" s="748">
        <f>+MAX(IF(AV317&gt;AW317,AW317-AV316,AU317),0)</f>
      </c>
      <c r="AY317" s="748">
        <f>+AU317-AX317</f>
      </c>
      <c r="AZ317" s="331">
        <f>+$AM$1+IF($AP$1&gt;$AP$2,$AM$3/2)</f>
      </c>
    </row>
    <row x14ac:dyDescent="0.25" r="318" customHeight="1" ht="18.75">
      <c r="A318" s="1"/>
      <c r="B318" s="7"/>
      <c r="C318" s="170"/>
      <c r="D318" s="331">
        <v>311</v>
      </c>
      <c r="E318" s="544">
        <f>+DATE(YEAR(E317),MONTH(E317)-1,DAY(E317))</f>
        <v>25569.041666666668</v>
      </c>
      <c r="F318" s="333">
        <f>IF(DATE(YEAR($B$6),MONTH($B$6)+1,DAY(1))=E318,1,IF(MONTH(E318)=1,F319*(1+$F$5),F319))</f>
      </c>
      <c r="G318" s="333">
        <f>IF('Simulador - 1º Pilar'!$E$99="Sí",IF('Aportaciones PPE'!$B$13&lt;'Aportaciones PPE'!E318,0,F318*$B$8/12),F318*$B$8/12)</f>
      </c>
      <c r="H318" s="333">
        <f>$H$5*G318</f>
      </c>
      <c r="I318" s="333">
        <f>$I$5*G318</f>
      </c>
      <c r="J318" s="333">
        <f>+I318</f>
      </c>
      <c r="K318" s="333">
        <f>(1+$O$5)^(D318/12)*(H318+IF(AND(F318=1,F319=0),$S$4,0))</f>
      </c>
      <c r="L318" s="333">
        <f>(1+$O$5)^(D318/12)*(I318+IF(AND(F318=1,F319=0),0))</f>
      </c>
      <c r="M318" s="333">
        <f>+L318</f>
      </c>
      <c r="N318" s="333">
        <f>L318+K318+M318</f>
      </c>
      <c r="O318" s="170"/>
      <c r="P318" s="7"/>
      <c r="Q318" s="1"/>
      <c r="R318" s="331">
        <f>D318</f>
      </c>
      <c r="S318" s="169"/>
      <c r="T318" s="1"/>
      <c r="U318" s="217"/>
      <c r="V318" s="331">
        <f>+IF(V317=11,12,IF(V317=12,1,V317+1))</f>
      </c>
      <c r="W318" s="331">
        <f>+W317+IF(V317=12,1,0)</f>
      </c>
      <c r="X318" s="555">
        <f>+DATE(W318,V318,1)</f>
        <v>25569.041666666668</v>
      </c>
      <c r="Y318" s="333">
        <f>+_xlfn.IFNA(AN318+AS318+AX318,0)</f>
      </c>
      <c r="Z318" s="333">
        <f>+_xlfn.IFNA(AO318+AT318+AY318,0)</f>
      </c>
      <c r="AA318" s="333">
        <f>Y318*(1+$O$5)^(($B$7-X318)/365.25)</f>
      </c>
      <c r="AB318" s="333">
        <f>Z318*(1+$O$5)^(($B$7-X318)/365.25)</f>
      </c>
      <c r="AC318" s="1"/>
      <c r="AD318" s="1"/>
      <c r="AE318" s="1"/>
      <c r="AF318" s="111">
        <f>+MONTH(E318)&amp;YEAR(E318)</f>
      </c>
      <c r="AG318" s="217">
        <f>+I318</f>
      </c>
      <c r="AH318" s="217">
        <f>+J318</f>
      </c>
      <c r="AI318" s="217">
        <f>+H318</f>
      </c>
      <c r="AJ318" s="111">
        <f>+V318&amp;W318</f>
      </c>
      <c r="AK318" s="217">
        <f>+_xlfn.IFNA(VLOOKUP(AJ318,$AF$7:$AG$1066,2,0),0)</f>
      </c>
      <c r="AL318" s="217">
        <f>+IF(W318&gt;W317,AK318,AL317+AK318)</f>
      </c>
      <c r="AM318" s="217">
        <f>IF(W318&gt;W317,IF(AL318&gt;=$AZ$8,$AZ$8,AL318),IF(OR(AM317=$AZ$8,AM317=0),0,IF(AL318&gt;=$AZ$8,$AZ$8,AL318)))</f>
      </c>
      <c r="AN318" s="748">
        <f>+IF(OR(AM318&gt;AZ317,AM318=0),0,IF(AM318=AL318,AK318,$AZ$7-AL317))</f>
      </c>
      <c r="AO318" s="748">
        <f>+AK318-AN318</f>
      </c>
      <c r="AP318" s="217">
        <f>+_xlfn.IFNA(VLOOKUP(AJ318,$AF$7:$AI$1066,3,0),0)</f>
      </c>
      <c r="AQ318" s="217">
        <f>+IF(W318&gt;W317,AP318,AQ317+AP318)</f>
      </c>
      <c r="AR318" s="217">
        <f>+MAX($AM$2-SUMIF($W$7:$W$1066,W318,$AN$7:$AN$1066),0)</f>
      </c>
      <c r="AS318" s="748">
        <f>+MAX(IF(AQ318&gt;AR318,AR318-AQ317,AP318),0)</f>
      </c>
      <c r="AT318" s="748">
        <f>+AP318-AS318</f>
      </c>
      <c r="AU318" s="217">
        <f>+_xlfn.IFNA(VLOOKUP(AJ318,$AF$7:$AI$1066,4,0),0)</f>
      </c>
      <c r="AV318" s="217">
        <f>+IF(W318&gt;W317,AU318,AV317+AU318)</f>
      </c>
      <c r="AW318" s="217">
        <f>+MAX($AM$2-SUMIF($W$7:$W$1066,W318,$AN$7:$AN$1066)-SUMIF($W$7:$W$1066,W318,$AS$7:$AS$1066),0)</f>
      </c>
      <c r="AX318" s="748">
        <f>+MAX(IF(AV318&gt;AW318,AW318-AV317,AU318),0)</f>
      </c>
      <c r="AY318" s="748">
        <f>+AU318-AX318</f>
      </c>
      <c r="AZ318" s="331">
        <f>+$AM$1+IF($AP$1&gt;$AP$2,$AM$3/2)</f>
      </c>
    </row>
    <row x14ac:dyDescent="0.25" r="319" customHeight="1" ht="18.75">
      <c r="A319" s="1"/>
      <c r="B319" s="7"/>
      <c r="C319" s="170"/>
      <c r="D319" s="331">
        <v>312</v>
      </c>
      <c r="E319" s="544">
        <f>+DATE(YEAR(E318),MONTH(E318)-1,DAY(E318))</f>
        <v>25569.041666666668</v>
      </c>
      <c r="F319" s="333">
        <f>IF(DATE(YEAR($B$6),MONTH($B$6)+1,DAY(1))=E319,1,IF(MONTH(E319)=1,F320*(1+$F$5),F320))</f>
      </c>
      <c r="G319" s="333">
        <f>IF('Simulador - 1º Pilar'!$E$99="Sí",IF('Aportaciones PPE'!$B$13&lt;'Aportaciones PPE'!E319,0,F319*$B$8/12),F319*$B$8/12)</f>
      </c>
      <c r="H319" s="333">
        <f>$H$5*G319</f>
      </c>
      <c r="I319" s="333">
        <f>$I$5*G319</f>
      </c>
      <c r="J319" s="333">
        <f>+I319</f>
      </c>
      <c r="K319" s="333">
        <f>(1+$O$5)^(D319/12)*(H319+IF(AND(F319=1,F320=0),$S$4,0))</f>
      </c>
      <c r="L319" s="333">
        <f>(1+$O$5)^(D319/12)*(I319+IF(AND(F319=1,F320=0),0))</f>
      </c>
      <c r="M319" s="333">
        <f>+L319</f>
      </c>
      <c r="N319" s="333">
        <f>L319+K319+M319</f>
      </c>
      <c r="O319" s="170"/>
      <c r="P319" s="7"/>
      <c r="Q319" s="1"/>
      <c r="R319" s="331">
        <f>D319</f>
      </c>
      <c r="S319" s="169"/>
      <c r="T319" s="1"/>
      <c r="U319" s="217"/>
      <c r="V319" s="331">
        <f>+IF(V318=11,12,IF(V318=12,1,V318+1))</f>
      </c>
      <c r="W319" s="331">
        <f>+W318+IF(V318=12,1,0)</f>
      </c>
      <c r="X319" s="555">
        <f>+DATE(W319,V319,1)</f>
        <v>25569.041666666668</v>
      </c>
      <c r="Y319" s="333">
        <f>+_xlfn.IFNA(AN319+AS319+AX319,0)</f>
      </c>
      <c r="Z319" s="333">
        <f>+_xlfn.IFNA(AO319+AT319+AY319,0)</f>
      </c>
      <c r="AA319" s="333">
        <f>Y319*(1+$O$5)^(($B$7-X319)/365.25)</f>
      </c>
      <c r="AB319" s="333">
        <f>Z319*(1+$O$5)^(($B$7-X319)/365.25)</f>
      </c>
      <c r="AC319" s="1"/>
      <c r="AD319" s="1"/>
      <c r="AE319" s="1"/>
      <c r="AF319" s="111">
        <f>+MONTH(E319)&amp;YEAR(E319)</f>
      </c>
      <c r="AG319" s="217">
        <f>+I319</f>
      </c>
      <c r="AH319" s="217">
        <f>+J319</f>
      </c>
      <c r="AI319" s="217">
        <f>+H319</f>
      </c>
      <c r="AJ319" s="111">
        <f>+V319&amp;W319</f>
      </c>
      <c r="AK319" s="217">
        <f>+_xlfn.IFNA(VLOOKUP(AJ319,$AF$7:$AG$1066,2,0),0)</f>
      </c>
      <c r="AL319" s="217">
        <f>+IF(W319&gt;W318,AK319,AL318+AK319)</f>
      </c>
      <c r="AM319" s="217">
        <f>IF(W319&gt;W318,IF(AL319&gt;=$AZ$8,$AZ$8,AL319),IF(OR(AM318=$AZ$8,AM318=0),0,IF(AL319&gt;=$AZ$8,$AZ$8,AL319)))</f>
      </c>
      <c r="AN319" s="748">
        <f>+IF(OR(AM319&gt;AZ318,AM319=0),0,IF(AM319=AL319,AK319,$AZ$7-AL318))</f>
      </c>
      <c r="AO319" s="748">
        <f>+AK319-AN319</f>
      </c>
      <c r="AP319" s="217">
        <f>+_xlfn.IFNA(VLOOKUP(AJ319,$AF$7:$AI$1066,3,0),0)</f>
      </c>
      <c r="AQ319" s="217">
        <f>+IF(W319&gt;W318,AP319,AQ318+AP319)</f>
      </c>
      <c r="AR319" s="217">
        <f>+MAX($AM$2-SUMIF($W$7:$W$1066,W319,$AN$7:$AN$1066),0)</f>
      </c>
      <c r="AS319" s="748">
        <f>+MAX(IF(AQ319&gt;AR319,AR319-AQ318,AP319),0)</f>
      </c>
      <c r="AT319" s="748">
        <f>+AP319-AS319</f>
      </c>
      <c r="AU319" s="217">
        <f>+_xlfn.IFNA(VLOOKUP(AJ319,$AF$7:$AI$1066,4,0),0)</f>
      </c>
      <c r="AV319" s="217">
        <f>+IF(W319&gt;W318,AU319,AV318+AU319)</f>
      </c>
      <c r="AW319" s="217">
        <f>+MAX($AM$2-SUMIF($W$7:$W$1066,W319,$AN$7:$AN$1066)-SUMIF($W$7:$W$1066,W319,$AS$7:$AS$1066),0)</f>
      </c>
      <c r="AX319" s="748">
        <f>+MAX(IF(AV319&gt;AW319,AW319-AV318,AU319),0)</f>
      </c>
      <c r="AY319" s="748">
        <f>+AU319-AX319</f>
      </c>
      <c r="AZ319" s="331">
        <f>+$AM$1+IF($AP$1&gt;$AP$2,$AM$3/2)</f>
      </c>
    </row>
    <row x14ac:dyDescent="0.25" r="320" customHeight="1" ht="18.75">
      <c r="A320" s="1"/>
      <c r="B320" s="7"/>
      <c r="C320" s="170"/>
      <c r="D320" s="331">
        <v>313</v>
      </c>
      <c r="E320" s="544">
        <f>+DATE(YEAR(E319),MONTH(E319)-1,DAY(E319))</f>
        <v>25569.041666666668</v>
      </c>
      <c r="F320" s="333">
        <f>IF(DATE(YEAR($B$6),MONTH($B$6)+1,DAY(1))=E320,1,IF(MONTH(E320)=1,F321*(1+$F$5),F321))</f>
      </c>
      <c r="G320" s="333">
        <f>IF('Simulador - 1º Pilar'!$E$99="Sí",IF('Aportaciones PPE'!$B$13&lt;'Aportaciones PPE'!E320,0,F320*$B$8/12),F320*$B$8/12)</f>
      </c>
      <c r="H320" s="333">
        <f>$H$5*G320</f>
      </c>
      <c r="I320" s="333">
        <f>$I$5*G320</f>
      </c>
      <c r="J320" s="333">
        <f>+I320</f>
      </c>
      <c r="K320" s="333">
        <f>(1+$O$5)^(D320/12)*(H320+IF(AND(F320=1,F321=0),$S$4,0))</f>
      </c>
      <c r="L320" s="333">
        <f>(1+$O$5)^(D320/12)*(I320+IF(AND(F320=1,F321=0),0))</f>
      </c>
      <c r="M320" s="333">
        <f>+L320</f>
      </c>
      <c r="N320" s="333">
        <f>L320+K320+M320</f>
      </c>
      <c r="O320" s="170"/>
      <c r="P320" s="7"/>
      <c r="Q320" s="1"/>
      <c r="R320" s="331">
        <f>D320</f>
      </c>
      <c r="S320" s="169"/>
      <c r="T320" s="1"/>
      <c r="U320" s="217"/>
      <c r="V320" s="331">
        <f>+IF(V319=11,12,IF(V319=12,1,V319+1))</f>
      </c>
      <c r="W320" s="331">
        <f>+W319+IF(V319=12,1,0)</f>
      </c>
      <c r="X320" s="555">
        <f>+DATE(W320,V320,1)</f>
        <v>25569.041666666668</v>
      </c>
      <c r="Y320" s="333">
        <f>+_xlfn.IFNA(AN320+AS320+AX320,0)</f>
      </c>
      <c r="Z320" s="333">
        <f>+_xlfn.IFNA(AO320+AT320+AY320,0)</f>
      </c>
      <c r="AA320" s="333">
        <f>Y320*(1+$O$5)^(($B$7-X320)/365.25)</f>
      </c>
      <c r="AB320" s="333">
        <f>Z320*(1+$O$5)^(($B$7-X320)/365.25)</f>
      </c>
      <c r="AC320" s="1"/>
      <c r="AD320" s="1"/>
      <c r="AE320" s="1"/>
      <c r="AF320" s="111">
        <f>+MONTH(E320)&amp;YEAR(E320)</f>
      </c>
      <c r="AG320" s="217">
        <f>+I320</f>
      </c>
      <c r="AH320" s="217">
        <f>+J320</f>
      </c>
      <c r="AI320" s="217">
        <f>+H320</f>
      </c>
      <c r="AJ320" s="111">
        <f>+V320&amp;W320</f>
      </c>
      <c r="AK320" s="217">
        <f>+_xlfn.IFNA(VLOOKUP(AJ320,$AF$7:$AG$1066,2,0),0)</f>
      </c>
      <c r="AL320" s="217">
        <f>+IF(W320&gt;W319,AK320,AL319+AK320)</f>
      </c>
      <c r="AM320" s="217">
        <f>IF(W320&gt;W319,IF(AL320&gt;=$AZ$8,$AZ$8,AL320),IF(OR(AM319=$AZ$8,AM319=0),0,IF(AL320&gt;=$AZ$8,$AZ$8,AL320)))</f>
      </c>
      <c r="AN320" s="748">
        <f>+IF(OR(AM320&gt;AZ319,AM320=0),0,IF(AM320=AL320,AK320,$AZ$7-AL319))</f>
      </c>
      <c r="AO320" s="748">
        <f>+AK320-AN320</f>
      </c>
      <c r="AP320" s="217">
        <f>+_xlfn.IFNA(VLOOKUP(AJ320,$AF$7:$AI$1066,3,0),0)</f>
      </c>
      <c r="AQ320" s="217">
        <f>+IF(W320&gt;W319,AP320,AQ319+AP320)</f>
      </c>
      <c r="AR320" s="217">
        <f>+MAX($AM$2-SUMIF($W$7:$W$1066,W320,$AN$7:$AN$1066),0)</f>
      </c>
      <c r="AS320" s="748">
        <f>+MAX(IF(AQ320&gt;AR320,AR320-AQ319,AP320),0)</f>
      </c>
      <c r="AT320" s="748">
        <f>+AP320-AS320</f>
      </c>
      <c r="AU320" s="217">
        <f>+_xlfn.IFNA(VLOOKUP(AJ320,$AF$7:$AI$1066,4,0),0)</f>
      </c>
      <c r="AV320" s="217">
        <f>+IF(W320&gt;W319,AU320,AV319+AU320)</f>
      </c>
      <c r="AW320" s="217">
        <f>+MAX($AM$2-SUMIF($W$7:$W$1066,W320,$AN$7:$AN$1066)-SUMIF($W$7:$W$1066,W320,$AS$7:$AS$1066),0)</f>
      </c>
      <c r="AX320" s="748">
        <f>+MAX(IF(AV320&gt;AW320,AW320-AV319,AU320),0)</f>
      </c>
      <c r="AY320" s="748">
        <f>+AU320-AX320</f>
      </c>
      <c r="AZ320" s="331">
        <f>+$AM$1+IF($AP$1&gt;$AP$2,$AM$3/2)</f>
      </c>
    </row>
    <row x14ac:dyDescent="0.25" r="321" customHeight="1" ht="18.75">
      <c r="A321" s="1"/>
      <c r="B321" s="7"/>
      <c r="C321" s="170"/>
      <c r="D321" s="331">
        <v>314</v>
      </c>
      <c r="E321" s="544">
        <f>+DATE(YEAR(E320),MONTH(E320)-1,DAY(E320))</f>
        <v>25569.041666666668</v>
      </c>
      <c r="F321" s="333">
        <f>IF(DATE(YEAR($B$6),MONTH($B$6)+1,DAY(1))=E321,1,IF(MONTH(E321)=1,F322*(1+$F$5),F322))</f>
      </c>
      <c r="G321" s="333">
        <f>IF('Simulador - 1º Pilar'!$E$99="Sí",IF('Aportaciones PPE'!$B$13&lt;'Aportaciones PPE'!E321,0,F321*$B$8/12),F321*$B$8/12)</f>
      </c>
      <c r="H321" s="333">
        <f>$H$5*G321</f>
      </c>
      <c r="I321" s="333">
        <f>$I$5*G321</f>
      </c>
      <c r="J321" s="333">
        <f>+I321</f>
      </c>
      <c r="K321" s="333">
        <f>(1+$O$5)^(D321/12)*(H321+IF(AND(F321=1,F322=0),$S$4,0))</f>
      </c>
      <c r="L321" s="333">
        <f>(1+$O$5)^(D321/12)*(I321+IF(AND(F321=1,F322=0),0))</f>
      </c>
      <c r="M321" s="333">
        <f>+L321</f>
      </c>
      <c r="N321" s="333">
        <f>L321+K321+M321</f>
      </c>
      <c r="O321" s="170"/>
      <c r="P321" s="7"/>
      <c r="Q321" s="1"/>
      <c r="R321" s="331">
        <f>D321</f>
      </c>
      <c r="S321" s="169"/>
      <c r="T321" s="1"/>
      <c r="U321" s="217"/>
      <c r="V321" s="331">
        <f>+IF(V320=11,12,IF(V320=12,1,V320+1))</f>
      </c>
      <c r="W321" s="331">
        <f>+W320+IF(V320=12,1,0)</f>
      </c>
      <c r="X321" s="555">
        <f>+DATE(W321,V321,1)</f>
        <v>25569.041666666668</v>
      </c>
      <c r="Y321" s="333">
        <f>+_xlfn.IFNA(AN321+AS321+AX321,0)</f>
      </c>
      <c r="Z321" s="333">
        <f>+_xlfn.IFNA(AO321+AT321+AY321,0)</f>
      </c>
      <c r="AA321" s="333">
        <f>Y321*(1+$O$5)^(($B$7-X321)/365.25)</f>
      </c>
      <c r="AB321" s="333">
        <f>Z321*(1+$O$5)^(($B$7-X321)/365.25)</f>
      </c>
      <c r="AC321" s="1"/>
      <c r="AD321" s="1"/>
      <c r="AE321" s="1"/>
      <c r="AF321" s="111">
        <f>+MONTH(E321)&amp;YEAR(E321)</f>
      </c>
      <c r="AG321" s="217">
        <f>+I321</f>
      </c>
      <c r="AH321" s="217">
        <f>+J321</f>
      </c>
      <c r="AI321" s="217">
        <f>+H321</f>
      </c>
      <c r="AJ321" s="111">
        <f>+V321&amp;W321</f>
      </c>
      <c r="AK321" s="217">
        <f>+_xlfn.IFNA(VLOOKUP(AJ321,$AF$7:$AG$1066,2,0),0)</f>
      </c>
      <c r="AL321" s="217">
        <f>+IF(W321&gt;W320,AK321,AL320+AK321)</f>
      </c>
      <c r="AM321" s="217">
        <f>IF(W321&gt;W320,IF(AL321&gt;=$AZ$8,$AZ$8,AL321),IF(OR(AM320=$AZ$8,AM320=0),0,IF(AL321&gt;=$AZ$8,$AZ$8,AL321)))</f>
      </c>
      <c r="AN321" s="748">
        <f>+IF(OR(AM321&gt;AZ320,AM321=0),0,IF(AM321=AL321,AK321,$AZ$7-AL320))</f>
      </c>
      <c r="AO321" s="748">
        <f>+AK321-AN321</f>
      </c>
      <c r="AP321" s="217">
        <f>+_xlfn.IFNA(VLOOKUP(AJ321,$AF$7:$AI$1066,3,0),0)</f>
      </c>
      <c r="AQ321" s="217">
        <f>+IF(W321&gt;W320,AP321,AQ320+AP321)</f>
      </c>
      <c r="AR321" s="217">
        <f>+MAX($AM$2-SUMIF($W$7:$W$1066,W321,$AN$7:$AN$1066),0)</f>
      </c>
      <c r="AS321" s="748">
        <f>+MAX(IF(AQ321&gt;AR321,AR321-AQ320,AP321),0)</f>
      </c>
      <c r="AT321" s="748">
        <f>+AP321-AS321</f>
      </c>
      <c r="AU321" s="217">
        <f>+_xlfn.IFNA(VLOOKUP(AJ321,$AF$7:$AI$1066,4,0),0)</f>
      </c>
      <c r="AV321" s="217">
        <f>+IF(W321&gt;W320,AU321,AV320+AU321)</f>
      </c>
      <c r="AW321" s="217">
        <f>+MAX($AM$2-SUMIF($W$7:$W$1066,W321,$AN$7:$AN$1066)-SUMIF($W$7:$W$1066,W321,$AS$7:$AS$1066),0)</f>
      </c>
      <c r="AX321" s="748">
        <f>+MAX(IF(AV321&gt;AW321,AW321-AV320,AU321),0)</f>
      </c>
      <c r="AY321" s="748">
        <f>+AU321-AX321</f>
      </c>
      <c r="AZ321" s="331">
        <f>+$AM$1+IF($AP$1&gt;$AP$2,$AM$3/2)</f>
      </c>
    </row>
    <row x14ac:dyDescent="0.25" r="322" customHeight="1" ht="18.75">
      <c r="A322" s="1"/>
      <c r="B322" s="7"/>
      <c r="C322" s="170"/>
      <c r="D322" s="331">
        <v>315</v>
      </c>
      <c r="E322" s="544">
        <f>+DATE(YEAR(E321),MONTH(E321)-1,DAY(E321))</f>
        <v>25569.041666666668</v>
      </c>
      <c r="F322" s="333">
        <f>IF(DATE(YEAR($B$6),MONTH($B$6)+1,DAY(1))=E322,1,IF(MONTH(E322)=1,F323*(1+$F$5),F323))</f>
      </c>
      <c r="G322" s="333">
        <f>IF('Simulador - 1º Pilar'!$E$99="Sí",IF('Aportaciones PPE'!$B$13&lt;'Aportaciones PPE'!E322,0,F322*$B$8/12),F322*$B$8/12)</f>
      </c>
      <c r="H322" s="333">
        <f>$H$5*G322</f>
      </c>
      <c r="I322" s="333">
        <f>$I$5*G322</f>
      </c>
      <c r="J322" s="333">
        <f>+I322</f>
      </c>
      <c r="K322" s="333">
        <f>(1+$O$5)^(D322/12)*(H322+IF(AND(F322=1,F323=0),$S$4,0))</f>
      </c>
      <c r="L322" s="333">
        <f>(1+$O$5)^(D322/12)*(I322+IF(AND(F322=1,F323=0),0))</f>
      </c>
      <c r="M322" s="333">
        <f>+L322</f>
      </c>
      <c r="N322" s="333">
        <f>L322+K322+M322</f>
      </c>
      <c r="O322" s="170"/>
      <c r="P322" s="7"/>
      <c r="Q322" s="1"/>
      <c r="R322" s="331">
        <f>D322</f>
      </c>
      <c r="S322" s="169"/>
      <c r="T322" s="1"/>
      <c r="U322" s="217"/>
      <c r="V322" s="331">
        <f>+IF(V321=11,12,IF(V321=12,1,V321+1))</f>
      </c>
      <c r="W322" s="331">
        <f>+W321+IF(V321=12,1,0)</f>
      </c>
      <c r="X322" s="555">
        <f>+DATE(W322,V322,1)</f>
        <v>25569.041666666668</v>
      </c>
      <c r="Y322" s="333">
        <f>+_xlfn.IFNA(AN322+AS322+AX322,0)</f>
      </c>
      <c r="Z322" s="333">
        <f>+_xlfn.IFNA(AO322+AT322+AY322,0)</f>
      </c>
      <c r="AA322" s="333">
        <f>Y322*(1+$O$5)^(($B$7-X322)/365.25)</f>
      </c>
      <c r="AB322" s="333">
        <f>Z322*(1+$O$5)^(($B$7-X322)/365.25)</f>
      </c>
      <c r="AC322" s="1"/>
      <c r="AD322" s="1"/>
      <c r="AE322" s="1"/>
      <c r="AF322" s="111">
        <f>+MONTH(E322)&amp;YEAR(E322)</f>
      </c>
      <c r="AG322" s="217">
        <f>+I322</f>
      </c>
      <c r="AH322" s="217">
        <f>+J322</f>
      </c>
      <c r="AI322" s="217">
        <f>+H322</f>
      </c>
      <c r="AJ322" s="111">
        <f>+V322&amp;W322</f>
      </c>
      <c r="AK322" s="217">
        <f>+_xlfn.IFNA(VLOOKUP(AJ322,$AF$7:$AG$1066,2,0),0)</f>
      </c>
      <c r="AL322" s="217">
        <f>+IF(W322&gt;W321,AK322,AL321+AK322)</f>
      </c>
      <c r="AM322" s="217">
        <f>IF(W322&gt;W321,IF(AL322&gt;=$AZ$8,$AZ$8,AL322),IF(OR(AM321=$AZ$8,AM321=0),0,IF(AL322&gt;=$AZ$8,$AZ$8,AL322)))</f>
      </c>
      <c r="AN322" s="748">
        <f>+IF(OR(AM322&gt;AZ321,AM322=0),0,IF(AM322=AL322,AK322,$AZ$7-AL321))</f>
      </c>
      <c r="AO322" s="748">
        <f>+AK322-AN322</f>
      </c>
      <c r="AP322" s="217">
        <f>+_xlfn.IFNA(VLOOKUP(AJ322,$AF$7:$AI$1066,3,0),0)</f>
      </c>
      <c r="AQ322" s="217">
        <f>+IF(W322&gt;W321,AP322,AQ321+AP322)</f>
      </c>
      <c r="AR322" s="217">
        <f>+MAX($AM$2-SUMIF($W$7:$W$1066,W322,$AN$7:$AN$1066),0)</f>
      </c>
      <c r="AS322" s="748">
        <f>+MAX(IF(AQ322&gt;AR322,AR322-AQ321,AP322),0)</f>
      </c>
      <c r="AT322" s="748">
        <f>+AP322-AS322</f>
      </c>
      <c r="AU322" s="217">
        <f>+_xlfn.IFNA(VLOOKUP(AJ322,$AF$7:$AI$1066,4,0),0)</f>
      </c>
      <c r="AV322" s="217">
        <f>+IF(W322&gt;W321,AU322,AV321+AU322)</f>
      </c>
      <c r="AW322" s="217">
        <f>+MAX($AM$2-SUMIF($W$7:$W$1066,W322,$AN$7:$AN$1066)-SUMIF($W$7:$W$1066,W322,$AS$7:$AS$1066),0)</f>
      </c>
      <c r="AX322" s="748">
        <f>+MAX(IF(AV322&gt;AW322,AW322-AV321,AU322),0)</f>
      </c>
      <c r="AY322" s="748">
        <f>+AU322-AX322</f>
      </c>
      <c r="AZ322" s="331">
        <f>+$AM$1+IF($AP$1&gt;$AP$2,$AM$3/2)</f>
      </c>
    </row>
    <row x14ac:dyDescent="0.25" r="323" customHeight="1" ht="18.75">
      <c r="A323" s="1"/>
      <c r="B323" s="7"/>
      <c r="C323" s="170"/>
      <c r="D323" s="331">
        <v>316</v>
      </c>
      <c r="E323" s="544">
        <f>+DATE(YEAR(E322),MONTH(E322)-1,DAY(E322))</f>
        <v>25569.041666666668</v>
      </c>
      <c r="F323" s="333">
        <f>IF(DATE(YEAR($B$6),MONTH($B$6)+1,DAY(1))=E323,1,IF(MONTH(E323)=1,F324*(1+$F$5),F324))</f>
      </c>
      <c r="G323" s="333">
        <f>IF('Simulador - 1º Pilar'!$E$99="Sí",IF('Aportaciones PPE'!$B$13&lt;'Aportaciones PPE'!E323,0,F323*$B$8/12),F323*$B$8/12)</f>
      </c>
      <c r="H323" s="333">
        <f>$H$5*G323</f>
      </c>
      <c r="I323" s="333">
        <f>$I$5*G323</f>
      </c>
      <c r="J323" s="333">
        <f>+I323</f>
      </c>
      <c r="K323" s="333">
        <f>(1+$O$5)^(D323/12)*(H323+IF(AND(F323=1,F324=0),$S$4,0))</f>
      </c>
      <c r="L323" s="333">
        <f>(1+$O$5)^(D323/12)*(I323+IF(AND(F323=1,F324=0),0))</f>
      </c>
      <c r="M323" s="333">
        <f>+L323</f>
      </c>
      <c r="N323" s="333">
        <f>L323+K323+M323</f>
      </c>
      <c r="O323" s="170"/>
      <c r="P323" s="7"/>
      <c r="Q323" s="1"/>
      <c r="R323" s="331">
        <f>D323</f>
      </c>
      <c r="S323" s="169"/>
      <c r="T323" s="1"/>
      <c r="U323" s="217"/>
      <c r="V323" s="331">
        <f>+IF(V322=11,12,IF(V322=12,1,V322+1))</f>
      </c>
      <c r="W323" s="331">
        <f>+W322+IF(V322=12,1,0)</f>
      </c>
      <c r="X323" s="555">
        <f>+DATE(W323,V323,1)</f>
        <v>25569.041666666668</v>
      </c>
      <c r="Y323" s="333">
        <f>+_xlfn.IFNA(AN323+AS323+AX323,0)</f>
      </c>
      <c r="Z323" s="333">
        <f>+_xlfn.IFNA(AO323+AT323+AY323,0)</f>
      </c>
      <c r="AA323" s="333">
        <f>Y323*(1+$O$5)^(($B$7-X323)/365.25)</f>
      </c>
      <c r="AB323" s="333">
        <f>Z323*(1+$O$5)^(($B$7-X323)/365.25)</f>
      </c>
      <c r="AC323" s="1"/>
      <c r="AD323" s="1"/>
      <c r="AE323" s="1"/>
      <c r="AF323" s="111">
        <f>+MONTH(E323)&amp;YEAR(E323)</f>
      </c>
      <c r="AG323" s="217">
        <f>+I323</f>
      </c>
      <c r="AH323" s="217">
        <f>+J323</f>
      </c>
      <c r="AI323" s="217">
        <f>+H323</f>
      </c>
      <c r="AJ323" s="111">
        <f>+V323&amp;W323</f>
      </c>
      <c r="AK323" s="217">
        <f>+_xlfn.IFNA(VLOOKUP(AJ323,$AF$7:$AG$1066,2,0),0)</f>
      </c>
      <c r="AL323" s="217">
        <f>+IF(W323&gt;W322,AK323,AL322+AK323)</f>
      </c>
      <c r="AM323" s="217">
        <f>IF(W323&gt;W322,IF(AL323&gt;=$AZ$8,$AZ$8,AL323),IF(OR(AM322=$AZ$8,AM322=0),0,IF(AL323&gt;=$AZ$8,$AZ$8,AL323)))</f>
      </c>
      <c r="AN323" s="748">
        <f>+IF(OR(AM323&gt;AZ322,AM323=0),0,IF(AM323=AL323,AK323,$AZ$7-AL322))</f>
      </c>
      <c r="AO323" s="748">
        <f>+AK323-AN323</f>
      </c>
      <c r="AP323" s="217">
        <f>+_xlfn.IFNA(VLOOKUP(AJ323,$AF$7:$AI$1066,3,0),0)</f>
      </c>
      <c r="AQ323" s="217">
        <f>+IF(W323&gt;W322,AP323,AQ322+AP323)</f>
      </c>
      <c r="AR323" s="217">
        <f>+MAX($AM$2-SUMIF($W$7:$W$1066,W323,$AN$7:$AN$1066),0)</f>
      </c>
      <c r="AS323" s="748">
        <f>+MAX(IF(AQ323&gt;AR323,AR323-AQ322,AP323),0)</f>
      </c>
      <c r="AT323" s="748">
        <f>+AP323-AS323</f>
      </c>
      <c r="AU323" s="217">
        <f>+_xlfn.IFNA(VLOOKUP(AJ323,$AF$7:$AI$1066,4,0),0)</f>
      </c>
      <c r="AV323" s="217">
        <f>+IF(W323&gt;W322,AU323,AV322+AU323)</f>
      </c>
      <c r="AW323" s="217">
        <f>+MAX($AM$2-SUMIF($W$7:$W$1066,W323,$AN$7:$AN$1066)-SUMIF($W$7:$W$1066,W323,$AS$7:$AS$1066),0)</f>
      </c>
      <c r="AX323" s="748">
        <f>+MAX(IF(AV323&gt;AW323,AW323-AV322,AU323),0)</f>
      </c>
      <c r="AY323" s="748">
        <f>+AU323-AX323</f>
      </c>
      <c r="AZ323" s="331">
        <f>+$AM$1+IF($AP$1&gt;$AP$2,$AM$3/2)</f>
      </c>
    </row>
    <row x14ac:dyDescent="0.25" r="324" customHeight="1" ht="18.75">
      <c r="A324" s="1"/>
      <c r="B324" s="7"/>
      <c r="C324" s="170"/>
      <c r="D324" s="331">
        <v>317</v>
      </c>
      <c r="E324" s="544">
        <f>+DATE(YEAR(E323),MONTH(E323)-1,DAY(E323))</f>
        <v>25569.041666666668</v>
      </c>
      <c r="F324" s="333">
        <f>IF(DATE(YEAR($B$6),MONTH($B$6)+1,DAY(1))=E324,1,IF(MONTH(E324)=1,F325*(1+$F$5),F325))</f>
      </c>
      <c r="G324" s="333">
        <f>IF('Simulador - 1º Pilar'!$E$99="Sí",IF('Aportaciones PPE'!$B$13&lt;'Aportaciones PPE'!E324,0,F324*$B$8/12),F324*$B$8/12)</f>
      </c>
      <c r="H324" s="333">
        <f>$H$5*G324</f>
      </c>
      <c r="I324" s="333">
        <f>$I$5*G324</f>
      </c>
      <c r="J324" s="333">
        <f>+I324</f>
      </c>
      <c r="K324" s="333">
        <f>(1+$O$5)^(D324/12)*(H324+IF(AND(F324=1,F325=0),$S$4,0))</f>
      </c>
      <c r="L324" s="333">
        <f>(1+$O$5)^(D324/12)*(I324+IF(AND(F324=1,F325=0),0))</f>
      </c>
      <c r="M324" s="333">
        <f>+L324</f>
      </c>
      <c r="N324" s="333">
        <f>L324+K324+M324</f>
      </c>
      <c r="O324" s="170"/>
      <c r="P324" s="7"/>
      <c r="Q324" s="1"/>
      <c r="R324" s="331">
        <f>D324</f>
      </c>
      <c r="S324" s="169"/>
      <c r="T324" s="1"/>
      <c r="U324" s="217"/>
      <c r="V324" s="331">
        <f>+IF(V323=11,12,IF(V323=12,1,V323+1))</f>
      </c>
      <c r="W324" s="331">
        <f>+W323+IF(V323=12,1,0)</f>
      </c>
      <c r="X324" s="555">
        <f>+DATE(W324,V324,1)</f>
        <v>25569.041666666668</v>
      </c>
      <c r="Y324" s="333">
        <f>+_xlfn.IFNA(AN324+AS324+AX324,0)</f>
      </c>
      <c r="Z324" s="333">
        <f>+_xlfn.IFNA(AO324+AT324+AY324,0)</f>
      </c>
      <c r="AA324" s="333">
        <f>Y324*(1+$O$5)^(($B$7-X324)/365.25)</f>
      </c>
      <c r="AB324" s="333">
        <f>Z324*(1+$O$5)^(($B$7-X324)/365.25)</f>
      </c>
      <c r="AC324" s="1"/>
      <c r="AD324" s="1"/>
      <c r="AE324" s="1"/>
      <c r="AF324" s="111">
        <f>+MONTH(E324)&amp;YEAR(E324)</f>
      </c>
      <c r="AG324" s="217">
        <f>+I324</f>
      </c>
      <c r="AH324" s="217">
        <f>+J324</f>
      </c>
      <c r="AI324" s="217">
        <f>+H324</f>
      </c>
      <c r="AJ324" s="111">
        <f>+V324&amp;W324</f>
      </c>
      <c r="AK324" s="217">
        <f>+_xlfn.IFNA(VLOOKUP(AJ324,$AF$7:$AG$1066,2,0),0)</f>
      </c>
      <c r="AL324" s="217">
        <f>+IF(W324&gt;W323,AK324,AL323+AK324)</f>
      </c>
      <c r="AM324" s="217">
        <f>IF(W324&gt;W323,IF(AL324&gt;=$AZ$8,$AZ$8,AL324),IF(OR(AM323=$AZ$8,AM323=0),0,IF(AL324&gt;=$AZ$8,$AZ$8,AL324)))</f>
      </c>
      <c r="AN324" s="748">
        <f>+IF(OR(AM324&gt;AZ323,AM324=0),0,IF(AM324=AL324,AK324,$AZ$7-AL323))</f>
      </c>
      <c r="AO324" s="748">
        <f>+AK324-AN324</f>
      </c>
      <c r="AP324" s="217">
        <f>+_xlfn.IFNA(VLOOKUP(AJ324,$AF$7:$AI$1066,3,0),0)</f>
      </c>
      <c r="AQ324" s="217">
        <f>+IF(W324&gt;W323,AP324,AQ323+AP324)</f>
      </c>
      <c r="AR324" s="217">
        <f>+MAX($AM$2-SUMIF($W$7:$W$1066,W324,$AN$7:$AN$1066),0)</f>
      </c>
      <c r="AS324" s="748">
        <f>+MAX(IF(AQ324&gt;AR324,AR324-AQ323,AP324),0)</f>
      </c>
      <c r="AT324" s="748">
        <f>+AP324-AS324</f>
      </c>
      <c r="AU324" s="217">
        <f>+_xlfn.IFNA(VLOOKUP(AJ324,$AF$7:$AI$1066,4,0),0)</f>
      </c>
      <c r="AV324" s="217">
        <f>+IF(W324&gt;W323,AU324,AV323+AU324)</f>
      </c>
      <c r="AW324" s="217">
        <f>+MAX($AM$2-SUMIF($W$7:$W$1066,W324,$AN$7:$AN$1066)-SUMIF($W$7:$W$1066,W324,$AS$7:$AS$1066),0)</f>
      </c>
      <c r="AX324" s="748">
        <f>+MAX(IF(AV324&gt;AW324,AW324-AV323,AU324),0)</f>
      </c>
      <c r="AY324" s="748">
        <f>+AU324-AX324</f>
      </c>
      <c r="AZ324" s="331">
        <f>+$AM$1+IF($AP$1&gt;$AP$2,$AM$3/2)</f>
      </c>
    </row>
    <row x14ac:dyDescent="0.25" r="325" customHeight="1" ht="18.75">
      <c r="A325" s="1"/>
      <c r="B325" s="7"/>
      <c r="C325" s="170"/>
      <c r="D325" s="331">
        <v>318</v>
      </c>
      <c r="E325" s="544">
        <f>+DATE(YEAR(E324),MONTH(E324)-1,DAY(E324))</f>
        <v>25569.041666666668</v>
      </c>
      <c r="F325" s="333">
        <f>IF(DATE(YEAR($B$6),MONTH($B$6)+1,DAY(1))=E325,1,IF(MONTH(E325)=1,F326*(1+$F$5),F326))</f>
      </c>
      <c r="G325" s="333">
        <f>IF('Simulador - 1º Pilar'!$E$99="Sí",IF('Aportaciones PPE'!$B$13&lt;'Aportaciones PPE'!E325,0,F325*$B$8/12),F325*$B$8/12)</f>
      </c>
      <c r="H325" s="333">
        <f>$H$5*G325</f>
      </c>
      <c r="I325" s="333">
        <f>$I$5*G325</f>
      </c>
      <c r="J325" s="333">
        <f>+I325</f>
      </c>
      <c r="K325" s="333">
        <f>(1+$O$5)^(D325/12)*(H325+IF(AND(F325=1,F326=0),$S$4,0))</f>
      </c>
      <c r="L325" s="333">
        <f>(1+$O$5)^(D325/12)*(I325+IF(AND(F325=1,F326=0),0))</f>
      </c>
      <c r="M325" s="333">
        <f>+L325</f>
      </c>
      <c r="N325" s="333">
        <f>L325+K325+M325</f>
      </c>
      <c r="O325" s="170"/>
      <c r="P325" s="7"/>
      <c r="Q325" s="1"/>
      <c r="R325" s="331">
        <f>D325</f>
      </c>
      <c r="S325" s="169"/>
      <c r="T325" s="1"/>
      <c r="U325" s="217"/>
      <c r="V325" s="331">
        <f>+IF(V324=11,12,IF(V324=12,1,V324+1))</f>
      </c>
      <c r="W325" s="331">
        <f>+W324+IF(V324=12,1,0)</f>
      </c>
      <c r="X325" s="555">
        <f>+DATE(W325,V325,1)</f>
        <v>25569.041666666668</v>
      </c>
      <c r="Y325" s="333">
        <f>+_xlfn.IFNA(AN325+AS325+AX325,0)</f>
      </c>
      <c r="Z325" s="333">
        <f>+_xlfn.IFNA(AO325+AT325+AY325,0)</f>
      </c>
      <c r="AA325" s="333">
        <f>Y325*(1+$O$5)^(($B$7-X325)/365.25)</f>
      </c>
      <c r="AB325" s="333">
        <f>Z325*(1+$O$5)^(($B$7-X325)/365.25)</f>
      </c>
      <c r="AC325" s="1"/>
      <c r="AD325" s="1"/>
      <c r="AE325" s="1"/>
      <c r="AF325" s="111">
        <f>+MONTH(E325)&amp;YEAR(E325)</f>
      </c>
      <c r="AG325" s="217">
        <f>+I325</f>
      </c>
      <c r="AH325" s="217">
        <f>+J325</f>
      </c>
      <c r="AI325" s="217">
        <f>+H325</f>
      </c>
      <c r="AJ325" s="111">
        <f>+V325&amp;W325</f>
      </c>
      <c r="AK325" s="217">
        <f>+_xlfn.IFNA(VLOOKUP(AJ325,$AF$7:$AG$1066,2,0),0)</f>
      </c>
      <c r="AL325" s="217">
        <f>+IF(W325&gt;W324,AK325,AL324+AK325)</f>
      </c>
      <c r="AM325" s="217">
        <f>IF(W325&gt;W324,IF(AL325&gt;=$AZ$8,$AZ$8,AL325),IF(OR(AM324=$AZ$8,AM324=0),0,IF(AL325&gt;=$AZ$8,$AZ$8,AL325)))</f>
      </c>
      <c r="AN325" s="748">
        <f>+IF(OR(AM325&gt;AZ324,AM325=0),0,IF(AM325=AL325,AK325,$AZ$7-AL324))</f>
      </c>
      <c r="AO325" s="748">
        <f>+AK325-AN325</f>
      </c>
      <c r="AP325" s="217">
        <f>+_xlfn.IFNA(VLOOKUP(AJ325,$AF$7:$AI$1066,3,0),0)</f>
      </c>
      <c r="AQ325" s="217">
        <f>+IF(W325&gt;W324,AP325,AQ324+AP325)</f>
      </c>
      <c r="AR325" s="217">
        <f>+MAX($AM$2-SUMIF($W$7:$W$1066,W325,$AN$7:$AN$1066),0)</f>
      </c>
      <c r="AS325" s="748">
        <f>+MAX(IF(AQ325&gt;AR325,AR325-AQ324,AP325),0)</f>
      </c>
      <c r="AT325" s="748">
        <f>+AP325-AS325</f>
      </c>
      <c r="AU325" s="217">
        <f>+_xlfn.IFNA(VLOOKUP(AJ325,$AF$7:$AI$1066,4,0),0)</f>
      </c>
      <c r="AV325" s="217">
        <f>+IF(W325&gt;W324,AU325,AV324+AU325)</f>
      </c>
      <c r="AW325" s="217">
        <f>+MAX($AM$2-SUMIF($W$7:$W$1066,W325,$AN$7:$AN$1066)-SUMIF($W$7:$W$1066,W325,$AS$7:$AS$1066),0)</f>
      </c>
      <c r="AX325" s="748">
        <f>+MAX(IF(AV325&gt;AW325,AW325-AV324,AU325),0)</f>
      </c>
      <c r="AY325" s="748">
        <f>+AU325-AX325</f>
      </c>
      <c r="AZ325" s="331">
        <f>+$AM$1+IF($AP$1&gt;$AP$2,$AM$3/2)</f>
      </c>
    </row>
    <row x14ac:dyDescent="0.25" r="326" customHeight="1" ht="18.75">
      <c r="A326" s="1"/>
      <c r="B326" s="7"/>
      <c r="C326" s="170"/>
      <c r="D326" s="331">
        <v>319</v>
      </c>
      <c r="E326" s="544">
        <f>+DATE(YEAR(E325),MONTH(E325)-1,DAY(E325))</f>
        <v>25569.041666666668</v>
      </c>
      <c r="F326" s="333">
        <f>IF(DATE(YEAR($B$6),MONTH($B$6)+1,DAY(1))=E326,1,IF(MONTH(E326)=1,F327*(1+$F$5),F327))</f>
      </c>
      <c r="G326" s="333">
        <f>IF('Simulador - 1º Pilar'!$E$99="Sí",IF('Aportaciones PPE'!$B$13&lt;'Aportaciones PPE'!E326,0,F326*$B$8/12),F326*$B$8/12)</f>
      </c>
      <c r="H326" s="333">
        <f>$H$5*G326</f>
      </c>
      <c r="I326" s="333">
        <f>$I$5*G326</f>
      </c>
      <c r="J326" s="333">
        <f>+I326</f>
      </c>
      <c r="K326" s="333">
        <f>(1+$O$5)^(D326/12)*(H326+IF(AND(F326=1,F327=0),$S$4,0))</f>
      </c>
      <c r="L326" s="333">
        <f>(1+$O$5)^(D326/12)*(I326+IF(AND(F326=1,F327=0),0))</f>
      </c>
      <c r="M326" s="333">
        <f>+L326</f>
      </c>
      <c r="N326" s="333">
        <f>L326+K326+M326</f>
      </c>
      <c r="O326" s="170"/>
      <c r="P326" s="7"/>
      <c r="Q326" s="1"/>
      <c r="R326" s="331">
        <f>D326</f>
      </c>
      <c r="S326" s="169"/>
      <c r="T326" s="1"/>
      <c r="U326" s="217"/>
      <c r="V326" s="331">
        <f>+IF(V325=11,12,IF(V325=12,1,V325+1))</f>
      </c>
      <c r="W326" s="331">
        <f>+W325+IF(V325=12,1,0)</f>
      </c>
      <c r="X326" s="555">
        <f>+DATE(W326,V326,1)</f>
        <v>25569.041666666668</v>
      </c>
      <c r="Y326" s="333">
        <f>+_xlfn.IFNA(AN326+AS326+AX326,0)</f>
      </c>
      <c r="Z326" s="333">
        <f>+_xlfn.IFNA(AO326+AT326+AY326,0)</f>
      </c>
      <c r="AA326" s="333">
        <f>Y326*(1+$O$5)^(($B$7-X326)/365.25)</f>
      </c>
      <c r="AB326" s="333">
        <f>Z326*(1+$O$5)^(($B$7-X326)/365.25)</f>
      </c>
      <c r="AC326" s="1"/>
      <c r="AD326" s="1"/>
      <c r="AE326" s="1"/>
      <c r="AF326" s="111">
        <f>+MONTH(E326)&amp;YEAR(E326)</f>
      </c>
      <c r="AG326" s="217">
        <f>+I326</f>
      </c>
      <c r="AH326" s="217">
        <f>+J326</f>
      </c>
      <c r="AI326" s="217">
        <f>+H326</f>
      </c>
      <c r="AJ326" s="111">
        <f>+V326&amp;W326</f>
      </c>
      <c r="AK326" s="217">
        <f>+_xlfn.IFNA(VLOOKUP(AJ326,$AF$7:$AG$1066,2,0),0)</f>
      </c>
      <c r="AL326" s="217">
        <f>+IF(W326&gt;W325,AK326,AL325+AK326)</f>
      </c>
      <c r="AM326" s="217">
        <f>IF(W326&gt;W325,IF(AL326&gt;=$AZ$8,$AZ$8,AL326),IF(OR(AM325=$AZ$8,AM325=0),0,IF(AL326&gt;=$AZ$8,$AZ$8,AL326)))</f>
      </c>
      <c r="AN326" s="748">
        <f>+IF(OR(AM326&gt;AZ325,AM326=0),0,IF(AM326=AL326,AK326,$AZ$7-AL325))</f>
      </c>
      <c r="AO326" s="748">
        <f>+AK326-AN326</f>
      </c>
      <c r="AP326" s="217">
        <f>+_xlfn.IFNA(VLOOKUP(AJ326,$AF$7:$AI$1066,3,0),0)</f>
      </c>
      <c r="AQ326" s="217">
        <f>+IF(W326&gt;W325,AP326,AQ325+AP326)</f>
      </c>
      <c r="AR326" s="217">
        <f>+MAX($AM$2-SUMIF($W$7:$W$1066,W326,$AN$7:$AN$1066),0)</f>
      </c>
      <c r="AS326" s="748">
        <f>+MAX(IF(AQ326&gt;AR326,AR326-AQ325,AP326),0)</f>
      </c>
      <c r="AT326" s="748">
        <f>+AP326-AS326</f>
      </c>
      <c r="AU326" s="217">
        <f>+_xlfn.IFNA(VLOOKUP(AJ326,$AF$7:$AI$1066,4,0),0)</f>
      </c>
      <c r="AV326" s="217">
        <f>+IF(W326&gt;W325,AU326,AV325+AU326)</f>
      </c>
      <c r="AW326" s="217">
        <f>+MAX($AM$2-SUMIF($W$7:$W$1066,W326,$AN$7:$AN$1066)-SUMIF($W$7:$W$1066,W326,$AS$7:$AS$1066),0)</f>
      </c>
      <c r="AX326" s="748">
        <f>+MAX(IF(AV326&gt;AW326,AW326-AV325,AU326),0)</f>
      </c>
      <c r="AY326" s="748">
        <f>+AU326-AX326</f>
      </c>
      <c r="AZ326" s="331">
        <f>+$AM$1+IF($AP$1&gt;$AP$2,$AM$3/2)</f>
      </c>
    </row>
    <row x14ac:dyDescent="0.25" r="327" customHeight="1" ht="18.75">
      <c r="A327" s="1"/>
      <c r="B327" s="7"/>
      <c r="C327" s="170"/>
      <c r="D327" s="331">
        <v>320</v>
      </c>
      <c r="E327" s="544">
        <f>+DATE(YEAR(E326),MONTH(E326)-1,DAY(E326))</f>
        <v>25569.041666666668</v>
      </c>
      <c r="F327" s="333">
        <f>IF(DATE(YEAR($B$6),MONTH($B$6)+1,DAY(1))=E327,1,IF(MONTH(E327)=1,F328*(1+$F$5),F328))</f>
      </c>
      <c r="G327" s="333">
        <f>IF('Simulador - 1º Pilar'!$E$99="Sí",IF('Aportaciones PPE'!$B$13&lt;'Aportaciones PPE'!E327,0,F327*$B$8/12),F327*$B$8/12)</f>
      </c>
      <c r="H327" s="333">
        <f>$H$5*G327</f>
      </c>
      <c r="I327" s="333">
        <f>$I$5*G327</f>
      </c>
      <c r="J327" s="333">
        <f>+I327</f>
      </c>
      <c r="K327" s="333">
        <f>(1+$O$5)^(D327/12)*(H327+IF(AND(F327=1,F328=0),$S$4,0))</f>
      </c>
      <c r="L327" s="333">
        <f>(1+$O$5)^(D327/12)*(I327+IF(AND(F327=1,F328=0),0))</f>
      </c>
      <c r="M327" s="333">
        <f>+L327</f>
      </c>
      <c r="N327" s="333">
        <f>L327+K327+M327</f>
      </c>
      <c r="O327" s="170"/>
      <c r="P327" s="7"/>
      <c r="Q327" s="1"/>
      <c r="R327" s="331">
        <f>D327</f>
      </c>
      <c r="S327" s="169"/>
      <c r="T327" s="1"/>
      <c r="U327" s="217"/>
      <c r="V327" s="331">
        <f>+IF(V326=11,12,IF(V326=12,1,V326+1))</f>
      </c>
      <c r="W327" s="331">
        <f>+W326+IF(V326=12,1,0)</f>
      </c>
      <c r="X327" s="555">
        <f>+DATE(W327,V327,1)</f>
        <v>25569.041666666668</v>
      </c>
      <c r="Y327" s="333">
        <f>+_xlfn.IFNA(AN327+AS327+AX327,0)</f>
      </c>
      <c r="Z327" s="333">
        <f>+_xlfn.IFNA(AO327+AT327+AY327,0)</f>
      </c>
      <c r="AA327" s="333">
        <f>Y327*(1+$O$5)^(($B$7-X327)/365.25)</f>
      </c>
      <c r="AB327" s="333">
        <f>Z327*(1+$O$5)^(($B$7-X327)/365.25)</f>
      </c>
      <c r="AC327" s="1"/>
      <c r="AD327" s="1"/>
      <c r="AE327" s="1"/>
      <c r="AF327" s="111">
        <f>+MONTH(E327)&amp;YEAR(E327)</f>
      </c>
      <c r="AG327" s="217">
        <f>+I327</f>
      </c>
      <c r="AH327" s="217">
        <f>+J327</f>
      </c>
      <c r="AI327" s="217">
        <f>+H327</f>
      </c>
      <c r="AJ327" s="111">
        <f>+V327&amp;W327</f>
      </c>
      <c r="AK327" s="217">
        <f>+_xlfn.IFNA(VLOOKUP(AJ327,$AF$7:$AG$1066,2,0),0)</f>
      </c>
      <c r="AL327" s="217">
        <f>+IF(W327&gt;W326,AK327,AL326+AK327)</f>
      </c>
      <c r="AM327" s="217">
        <f>IF(W327&gt;W326,IF(AL327&gt;=$AZ$8,$AZ$8,AL327),IF(OR(AM326=$AZ$8,AM326=0),0,IF(AL327&gt;=$AZ$8,$AZ$8,AL327)))</f>
      </c>
      <c r="AN327" s="748">
        <f>+IF(OR(AM327&gt;AZ326,AM327=0),0,IF(AM327=AL327,AK327,$AZ$7-AL326))</f>
      </c>
      <c r="AO327" s="748">
        <f>+AK327-AN327</f>
      </c>
      <c r="AP327" s="217">
        <f>+_xlfn.IFNA(VLOOKUP(AJ327,$AF$7:$AI$1066,3,0),0)</f>
      </c>
      <c r="AQ327" s="217">
        <f>+IF(W327&gt;W326,AP327,AQ326+AP327)</f>
      </c>
      <c r="AR327" s="217">
        <f>+MAX($AM$2-SUMIF($W$7:$W$1066,W327,$AN$7:$AN$1066),0)</f>
      </c>
      <c r="AS327" s="748">
        <f>+MAX(IF(AQ327&gt;AR327,AR327-AQ326,AP327),0)</f>
      </c>
      <c r="AT327" s="748">
        <f>+AP327-AS327</f>
      </c>
      <c r="AU327" s="217">
        <f>+_xlfn.IFNA(VLOOKUP(AJ327,$AF$7:$AI$1066,4,0),0)</f>
      </c>
      <c r="AV327" s="217">
        <f>+IF(W327&gt;W326,AU327,AV326+AU327)</f>
      </c>
      <c r="AW327" s="217">
        <f>+MAX($AM$2-SUMIF($W$7:$W$1066,W327,$AN$7:$AN$1066)-SUMIF($W$7:$W$1066,W327,$AS$7:$AS$1066),0)</f>
      </c>
      <c r="AX327" s="748">
        <f>+MAX(IF(AV327&gt;AW327,AW327-AV326,AU327),0)</f>
      </c>
      <c r="AY327" s="748">
        <f>+AU327-AX327</f>
      </c>
      <c r="AZ327" s="331">
        <f>+$AM$1+IF($AP$1&gt;$AP$2,$AM$3/2)</f>
      </c>
    </row>
    <row x14ac:dyDescent="0.25" r="328" customHeight="1" ht="18.75">
      <c r="A328" s="1"/>
      <c r="B328" s="7"/>
      <c r="C328" s="170"/>
      <c r="D328" s="331">
        <v>321</v>
      </c>
      <c r="E328" s="544">
        <f>+DATE(YEAR(E327),MONTH(E327)-1,DAY(E327))</f>
        <v>25569.041666666668</v>
      </c>
      <c r="F328" s="333">
        <f>IF(DATE(YEAR($B$6),MONTH($B$6)+1,DAY(1))=E328,1,IF(MONTH(E328)=1,F329*(1+$F$5),F329))</f>
      </c>
      <c r="G328" s="333">
        <f>IF('Simulador - 1º Pilar'!$E$99="Sí",IF('Aportaciones PPE'!$B$13&lt;'Aportaciones PPE'!E328,0,F328*$B$8/12),F328*$B$8/12)</f>
      </c>
      <c r="H328" s="333">
        <f>$H$5*G328</f>
      </c>
      <c r="I328" s="333">
        <f>$I$5*G328</f>
      </c>
      <c r="J328" s="333">
        <f>+I328</f>
      </c>
      <c r="K328" s="333">
        <f>(1+$O$5)^(D328/12)*(H328+IF(AND(F328=1,F329=0),$S$4,0))</f>
      </c>
      <c r="L328" s="333">
        <f>(1+$O$5)^(D328/12)*(I328+IF(AND(F328=1,F329=0),0))</f>
      </c>
      <c r="M328" s="333">
        <f>+L328</f>
      </c>
      <c r="N328" s="333">
        <f>L328+K328+M328</f>
      </c>
      <c r="O328" s="170"/>
      <c r="P328" s="7"/>
      <c r="Q328" s="1"/>
      <c r="R328" s="331">
        <f>D328</f>
      </c>
      <c r="S328" s="169"/>
      <c r="T328" s="1"/>
      <c r="U328" s="217"/>
      <c r="V328" s="331">
        <f>+IF(V327=11,12,IF(V327=12,1,V327+1))</f>
      </c>
      <c r="W328" s="331">
        <f>+W327+IF(V327=12,1,0)</f>
      </c>
      <c r="X328" s="555">
        <f>+DATE(W328,V328,1)</f>
        <v>25569.041666666668</v>
      </c>
      <c r="Y328" s="333">
        <f>+_xlfn.IFNA(AN328+AS328+AX328,0)</f>
      </c>
      <c r="Z328" s="333">
        <f>+_xlfn.IFNA(AO328+AT328+AY328,0)</f>
      </c>
      <c r="AA328" s="333">
        <f>Y328*(1+$O$5)^(($B$7-X328)/365.25)</f>
      </c>
      <c r="AB328" s="333">
        <f>Z328*(1+$O$5)^(($B$7-X328)/365.25)</f>
      </c>
      <c r="AC328" s="1"/>
      <c r="AD328" s="1"/>
      <c r="AE328" s="1"/>
      <c r="AF328" s="111">
        <f>+MONTH(E328)&amp;YEAR(E328)</f>
      </c>
      <c r="AG328" s="217">
        <f>+I328</f>
      </c>
      <c r="AH328" s="217">
        <f>+J328</f>
      </c>
      <c r="AI328" s="217">
        <f>+H328</f>
      </c>
      <c r="AJ328" s="111">
        <f>+V328&amp;W328</f>
      </c>
      <c r="AK328" s="217">
        <f>+_xlfn.IFNA(VLOOKUP(AJ328,$AF$7:$AG$1066,2,0),0)</f>
      </c>
      <c r="AL328" s="217">
        <f>+IF(W328&gt;W327,AK328,AL327+AK328)</f>
      </c>
      <c r="AM328" s="217">
        <f>IF(W328&gt;W327,IF(AL328&gt;=$AZ$8,$AZ$8,AL328),IF(OR(AM327=$AZ$8,AM327=0),0,IF(AL328&gt;=$AZ$8,$AZ$8,AL328)))</f>
      </c>
      <c r="AN328" s="748">
        <f>+IF(OR(AM328&gt;AZ327,AM328=0),0,IF(AM328=AL328,AK328,$AZ$7-AL327))</f>
      </c>
      <c r="AO328" s="748">
        <f>+AK328-AN328</f>
      </c>
      <c r="AP328" s="217">
        <f>+_xlfn.IFNA(VLOOKUP(AJ328,$AF$7:$AI$1066,3,0),0)</f>
      </c>
      <c r="AQ328" s="217">
        <f>+IF(W328&gt;W327,AP328,AQ327+AP328)</f>
      </c>
      <c r="AR328" s="217">
        <f>+MAX($AM$2-SUMIF($W$7:$W$1066,W328,$AN$7:$AN$1066),0)</f>
      </c>
      <c r="AS328" s="748">
        <f>+MAX(IF(AQ328&gt;AR328,AR328-AQ327,AP328),0)</f>
      </c>
      <c r="AT328" s="748">
        <f>+AP328-AS328</f>
      </c>
      <c r="AU328" s="217">
        <f>+_xlfn.IFNA(VLOOKUP(AJ328,$AF$7:$AI$1066,4,0),0)</f>
      </c>
      <c r="AV328" s="217">
        <f>+IF(W328&gt;W327,AU328,AV327+AU328)</f>
      </c>
      <c r="AW328" s="217">
        <f>+MAX($AM$2-SUMIF($W$7:$W$1066,W328,$AN$7:$AN$1066)-SUMIF($W$7:$W$1066,W328,$AS$7:$AS$1066),0)</f>
      </c>
      <c r="AX328" s="748">
        <f>+MAX(IF(AV328&gt;AW328,AW328-AV327,AU328),0)</f>
      </c>
      <c r="AY328" s="748">
        <f>+AU328-AX328</f>
      </c>
      <c r="AZ328" s="331">
        <f>+$AM$1+IF($AP$1&gt;$AP$2,$AM$3/2)</f>
      </c>
    </row>
    <row x14ac:dyDescent="0.25" r="329" customHeight="1" ht="18.75">
      <c r="A329" s="1"/>
      <c r="B329" s="7"/>
      <c r="C329" s="170"/>
      <c r="D329" s="331">
        <v>322</v>
      </c>
      <c r="E329" s="544">
        <f>+DATE(YEAR(E328),MONTH(E328)-1,DAY(E328))</f>
        <v>25569.041666666668</v>
      </c>
      <c r="F329" s="333">
        <f>IF(DATE(YEAR($B$6),MONTH($B$6)+1,DAY(1))=E329,1,IF(MONTH(E329)=1,F330*(1+$F$5),F330))</f>
      </c>
      <c r="G329" s="333">
        <f>IF('Simulador - 1º Pilar'!$E$99="Sí",IF('Aportaciones PPE'!$B$13&lt;'Aportaciones PPE'!E329,0,F329*$B$8/12),F329*$B$8/12)</f>
      </c>
      <c r="H329" s="333">
        <f>$H$5*G329</f>
      </c>
      <c r="I329" s="333">
        <f>$I$5*G329</f>
      </c>
      <c r="J329" s="333">
        <f>+I329</f>
      </c>
      <c r="K329" s="333">
        <f>(1+$O$5)^(D329/12)*(H329+IF(AND(F329=1,F330=0),$S$4,0))</f>
      </c>
      <c r="L329" s="333">
        <f>(1+$O$5)^(D329/12)*(I329+IF(AND(F329=1,F330=0),0))</f>
      </c>
      <c r="M329" s="333">
        <f>+L329</f>
      </c>
      <c r="N329" s="333">
        <f>L329+K329+M329</f>
      </c>
      <c r="O329" s="170"/>
      <c r="P329" s="7"/>
      <c r="Q329" s="1"/>
      <c r="R329" s="331">
        <f>D329</f>
      </c>
      <c r="S329" s="169"/>
      <c r="T329" s="1"/>
      <c r="U329" s="217"/>
      <c r="V329" s="331">
        <f>+IF(V328=11,12,IF(V328=12,1,V328+1))</f>
      </c>
      <c r="W329" s="331">
        <f>+W328+IF(V328=12,1,0)</f>
      </c>
      <c r="X329" s="555">
        <f>+DATE(W329,V329,1)</f>
        <v>25569.041666666668</v>
      </c>
      <c r="Y329" s="333">
        <f>+_xlfn.IFNA(AN329+AS329+AX329,0)</f>
      </c>
      <c r="Z329" s="333">
        <f>+_xlfn.IFNA(AO329+AT329+AY329,0)</f>
      </c>
      <c r="AA329" s="333">
        <f>Y329*(1+$O$5)^(($B$7-X329)/365.25)</f>
      </c>
      <c r="AB329" s="333">
        <f>Z329*(1+$O$5)^(($B$7-X329)/365.25)</f>
      </c>
      <c r="AC329" s="1"/>
      <c r="AD329" s="1"/>
      <c r="AE329" s="1"/>
      <c r="AF329" s="111">
        <f>+MONTH(E329)&amp;YEAR(E329)</f>
      </c>
      <c r="AG329" s="217">
        <f>+I329</f>
      </c>
      <c r="AH329" s="217">
        <f>+J329</f>
      </c>
      <c r="AI329" s="217">
        <f>+H329</f>
      </c>
      <c r="AJ329" s="111">
        <f>+V329&amp;W329</f>
      </c>
      <c r="AK329" s="217">
        <f>+_xlfn.IFNA(VLOOKUP(AJ329,$AF$7:$AG$1066,2,0),0)</f>
      </c>
      <c r="AL329" s="217">
        <f>+IF(W329&gt;W328,AK329,AL328+AK329)</f>
      </c>
      <c r="AM329" s="217">
        <f>IF(W329&gt;W328,IF(AL329&gt;=$AZ$8,$AZ$8,AL329),IF(OR(AM328=$AZ$8,AM328=0),0,IF(AL329&gt;=$AZ$8,$AZ$8,AL329)))</f>
      </c>
      <c r="AN329" s="748">
        <f>+IF(OR(AM329&gt;AZ328,AM329=0),0,IF(AM329=AL329,AK329,$AZ$7-AL328))</f>
      </c>
      <c r="AO329" s="748">
        <f>+AK329-AN329</f>
      </c>
      <c r="AP329" s="217">
        <f>+_xlfn.IFNA(VLOOKUP(AJ329,$AF$7:$AI$1066,3,0),0)</f>
      </c>
      <c r="AQ329" s="217">
        <f>+IF(W329&gt;W328,AP329,AQ328+AP329)</f>
      </c>
      <c r="AR329" s="217">
        <f>+MAX($AM$2-SUMIF($W$7:$W$1066,W329,$AN$7:$AN$1066),0)</f>
      </c>
      <c r="AS329" s="748">
        <f>+MAX(IF(AQ329&gt;AR329,AR329-AQ328,AP329),0)</f>
      </c>
      <c r="AT329" s="748">
        <f>+AP329-AS329</f>
      </c>
      <c r="AU329" s="217">
        <f>+_xlfn.IFNA(VLOOKUP(AJ329,$AF$7:$AI$1066,4,0),0)</f>
      </c>
      <c r="AV329" s="217">
        <f>+IF(W329&gt;W328,AU329,AV328+AU329)</f>
      </c>
      <c r="AW329" s="217">
        <f>+MAX($AM$2-SUMIF($W$7:$W$1066,W329,$AN$7:$AN$1066)-SUMIF($W$7:$W$1066,W329,$AS$7:$AS$1066),0)</f>
      </c>
      <c r="AX329" s="748">
        <f>+MAX(IF(AV329&gt;AW329,AW329-AV328,AU329),0)</f>
      </c>
      <c r="AY329" s="748">
        <f>+AU329-AX329</f>
      </c>
      <c r="AZ329" s="331">
        <f>+$AM$1+IF($AP$1&gt;$AP$2,$AM$3/2)</f>
      </c>
    </row>
    <row x14ac:dyDescent="0.25" r="330" customHeight="1" ht="18.75">
      <c r="A330" s="1"/>
      <c r="B330" s="7"/>
      <c r="C330" s="170"/>
      <c r="D330" s="331">
        <v>323</v>
      </c>
      <c r="E330" s="544">
        <f>+DATE(YEAR(E329),MONTH(E329)-1,DAY(E329))</f>
        <v>25569.041666666668</v>
      </c>
      <c r="F330" s="333">
        <f>IF(DATE(YEAR($B$6),MONTH($B$6)+1,DAY(1))=E330,1,IF(MONTH(E330)=1,F331*(1+$F$5),F331))</f>
      </c>
      <c r="G330" s="333">
        <f>IF('Simulador - 1º Pilar'!$E$99="Sí",IF('Aportaciones PPE'!$B$13&lt;'Aportaciones PPE'!E330,0,F330*$B$8/12),F330*$B$8/12)</f>
      </c>
      <c r="H330" s="333">
        <f>$H$5*G330</f>
      </c>
      <c r="I330" s="333">
        <f>$I$5*G330</f>
      </c>
      <c r="J330" s="333">
        <f>+I330</f>
      </c>
      <c r="K330" s="333">
        <f>(1+$O$5)^(D330/12)*(H330+IF(AND(F330=1,F331=0),$S$4,0))</f>
      </c>
      <c r="L330" s="333">
        <f>(1+$O$5)^(D330/12)*(I330+IF(AND(F330=1,F331=0),0))</f>
      </c>
      <c r="M330" s="333">
        <f>+L330</f>
      </c>
      <c r="N330" s="333">
        <f>L330+K330+M330</f>
      </c>
      <c r="O330" s="170"/>
      <c r="P330" s="7"/>
      <c r="Q330" s="1"/>
      <c r="R330" s="331">
        <f>D330</f>
      </c>
      <c r="S330" s="169"/>
      <c r="T330" s="1"/>
      <c r="U330" s="217"/>
      <c r="V330" s="331">
        <f>+IF(V329=11,12,IF(V329=12,1,V329+1))</f>
      </c>
      <c r="W330" s="331">
        <f>+W329+IF(V329=12,1,0)</f>
      </c>
      <c r="X330" s="555">
        <f>+DATE(W330,V330,1)</f>
        <v>25569.041666666668</v>
      </c>
      <c r="Y330" s="333">
        <f>+_xlfn.IFNA(AN330+AS330+AX330,0)</f>
      </c>
      <c r="Z330" s="333">
        <f>+_xlfn.IFNA(AO330+AT330+AY330,0)</f>
      </c>
      <c r="AA330" s="333">
        <f>Y330*(1+$O$5)^(($B$7-X330)/365.25)</f>
      </c>
      <c r="AB330" s="333">
        <f>Z330*(1+$O$5)^(($B$7-X330)/365.25)</f>
      </c>
      <c r="AC330" s="1"/>
      <c r="AD330" s="1"/>
      <c r="AE330" s="1"/>
      <c r="AF330" s="111">
        <f>+MONTH(E330)&amp;YEAR(E330)</f>
      </c>
      <c r="AG330" s="217">
        <f>+I330</f>
      </c>
      <c r="AH330" s="217">
        <f>+J330</f>
      </c>
      <c r="AI330" s="217">
        <f>+H330</f>
      </c>
      <c r="AJ330" s="111">
        <f>+V330&amp;W330</f>
      </c>
      <c r="AK330" s="217">
        <f>+_xlfn.IFNA(VLOOKUP(AJ330,$AF$7:$AG$1066,2,0),0)</f>
      </c>
      <c r="AL330" s="217">
        <f>+IF(W330&gt;W329,AK330,AL329+AK330)</f>
      </c>
      <c r="AM330" s="217">
        <f>IF(W330&gt;W329,IF(AL330&gt;=$AZ$8,$AZ$8,AL330),IF(OR(AM329=$AZ$8,AM329=0),0,IF(AL330&gt;=$AZ$8,$AZ$8,AL330)))</f>
      </c>
      <c r="AN330" s="748">
        <f>+IF(OR(AM330&gt;AZ329,AM330=0),0,IF(AM330=AL330,AK330,$AZ$7-AL329))</f>
      </c>
      <c r="AO330" s="748">
        <f>+AK330-AN330</f>
      </c>
      <c r="AP330" s="217">
        <f>+_xlfn.IFNA(VLOOKUP(AJ330,$AF$7:$AI$1066,3,0),0)</f>
      </c>
      <c r="AQ330" s="217">
        <f>+IF(W330&gt;W329,AP330,AQ329+AP330)</f>
      </c>
      <c r="AR330" s="217">
        <f>+MAX($AM$2-SUMIF($W$7:$W$1066,W330,$AN$7:$AN$1066),0)</f>
      </c>
      <c r="AS330" s="748">
        <f>+MAX(IF(AQ330&gt;AR330,AR330-AQ329,AP330),0)</f>
      </c>
      <c r="AT330" s="748">
        <f>+AP330-AS330</f>
      </c>
      <c r="AU330" s="217">
        <f>+_xlfn.IFNA(VLOOKUP(AJ330,$AF$7:$AI$1066,4,0),0)</f>
      </c>
      <c r="AV330" s="217">
        <f>+IF(W330&gt;W329,AU330,AV329+AU330)</f>
      </c>
      <c r="AW330" s="217">
        <f>+MAX($AM$2-SUMIF($W$7:$W$1066,W330,$AN$7:$AN$1066)-SUMIF($W$7:$W$1066,W330,$AS$7:$AS$1066),0)</f>
      </c>
      <c r="AX330" s="748">
        <f>+MAX(IF(AV330&gt;AW330,AW330-AV329,AU330),0)</f>
      </c>
      <c r="AY330" s="748">
        <f>+AU330-AX330</f>
      </c>
      <c r="AZ330" s="331">
        <f>+$AM$1+IF($AP$1&gt;$AP$2,$AM$3/2)</f>
      </c>
    </row>
    <row x14ac:dyDescent="0.25" r="331" customHeight="1" ht="18.75">
      <c r="A331" s="1"/>
      <c r="B331" s="7"/>
      <c r="C331" s="170"/>
      <c r="D331" s="331">
        <v>324</v>
      </c>
      <c r="E331" s="544">
        <f>+DATE(YEAR(E330),MONTH(E330)-1,DAY(E330))</f>
        <v>25569.041666666668</v>
      </c>
      <c r="F331" s="333">
        <f>IF(DATE(YEAR($B$6),MONTH($B$6)+1,DAY(1))=E331,1,IF(MONTH(E331)=1,F332*(1+$F$5),F332))</f>
      </c>
      <c r="G331" s="333">
        <f>IF('Simulador - 1º Pilar'!$E$99="Sí",IF('Aportaciones PPE'!$B$13&lt;'Aportaciones PPE'!E331,0,F331*$B$8/12),F331*$B$8/12)</f>
      </c>
      <c r="H331" s="333">
        <f>$H$5*G331</f>
      </c>
      <c r="I331" s="333">
        <f>$I$5*G331</f>
      </c>
      <c r="J331" s="333">
        <f>+I331</f>
      </c>
      <c r="K331" s="333">
        <f>(1+$O$5)^(D331/12)*(H331+IF(AND(F331=1,F332=0),$S$4,0))</f>
      </c>
      <c r="L331" s="333">
        <f>(1+$O$5)^(D331/12)*(I331+IF(AND(F331=1,F332=0),0))</f>
      </c>
      <c r="M331" s="333">
        <f>+L331</f>
      </c>
      <c r="N331" s="333">
        <f>L331+K331+M331</f>
      </c>
      <c r="O331" s="170"/>
      <c r="P331" s="7"/>
      <c r="Q331" s="1"/>
      <c r="R331" s="331">
        <f>D331</f>
      </c>
      <c r="S331" s="169"/>
      <c r="T331" s="1"/>
      <c r="U331" s="217"/>
      <c r="V331" s="331">
        <f>+IF(V330=11,12,IF(V330=12,1,V330+1))</f>
      </c>
      <c r="W331" s="331">
        <f>+W330+IF(V330=12,1,0)</f>
      </c>
      <c r="X331" s="555">
        <f>+DATE(W331,V331,1)</f>
        <v>25569.041666666668</v>
      </c>
      <c r="Y331" s="333">
        <f>+_xlfn.IFNA(AN331+AS331+AX331,0)</f>
      </c>
      <c r="Z331" s="333">
        <f>+_xlfn.IFNA(AO331+AT331+AY331,0)</f>
      </c>
      <c r="AA331" s="333">
        <f>Y331*(1+$O$5)^(($B$7-X331)/365.25)</f>
      </c>
      <c r="AB331" s="333">
        <f>Z331*(1+$O$5)^(($B$7-X331)/365.25)</f>
      </c>
      <c r="AC331" s="1"/>
      <c r="AD331" s="1"/>
      <c r="AE331" s="1"/>
      <c r="AF331" s="111">
        <f>+MONTH(E331)&amp;YEAR(E331)</f>
      </c>
      <c r="AG331" s="217">
        <f>+I331</f>
      </c>
      <c r="AH331" s="217">
        <f>+J331</f>
      </c>
      <c r="AI331" s="217">
        <f>+H331</f>
      </c>
      <c r="AJ331" s="111">
        <f>+V331&amp;W331</f>
      </c>
      <c r="AK331" s="217">
        <f>+_xlfn.IFNA(VLOOKUP(AJ331,$AF$7:$AG$1066,2,0),0)</f>
      </c>
      <c r="AL331" s="217">
        <f>+IF(W331&gt;W330,AK331,AL330+AK331)</f>
      </c>
      <c r="AM331" s="217">
        <f>IF(W331&gt;W330,IF(AL331&gt;=$AZ$8,$AZ$8,AL331),IF(OR(AM330=$AZ$8,AM330=0),0,IF(AL331&gt;=$AZ$8,$AZ$8,AL331)))</f>
      </c>
      <c r="AN331" s="748">
        <f>+IF(OR(AM331&gt;AZ330,AM331=0),0,IF(AM331=AL331,AK331,$AZ$7-AL330))</f>
      </c>
      <c r="AO331" s="748">
        <f>+AK331-AN331</f>
      </c>
      <c r="AP331" s="217">
        <f>+_xlfn.IFNA(VLOOKUP(AJ331,$AF$7:$AI$1066,3,0),0)</f>
      </c>
      <c r="AQ331" s="217">
        <f>+IF(W331&gt;W330,AP331,AQ330+AP331)</f>
      </c>
      <c r="AR331" s="217">
        <f>+MAX($AM$2-SUMIF($W$7:$W$1066,W331,$AN$7:$AN$1066),0)</f>
      </c>
      <c r="AS331" s="748">
        <f>+MAX(IF(AQ331&gt;AR331,AR331-AQ330,AP331),0)</f>
      </c>
      <c r="AT331" s="748">
        <f>+AP331-AS331</f>
      </c>
      <c r="AU331" s="217">
        <f>+_xlfn.IFNA(VLOOKUP(AJ331,$AF$7:$AI$1066,4,0),0)</f>
      </c>
      <c r="AV331" s="217">
        <f>+IF(W331&gt;W330,AU331,AV330+AU331)</f>
      </c>
      <c r="AW331" s="217">
        <f>+MAX($AM$2-SUMIF($W$7:$W$1066,W331,$AN$7:$AN$1066)-SUMIF($W$7:$W$1066,W331,$AS$7:$AS$1066),0)</f>
      </c>
      <c r="AX331" s="748">
        <f>+MAX(IF(AV331&gt;AW331,AW331-AV330,AU331),0)</f>
      </c>
      <c r="AY331" s="748">
        <f>+AU331-AX331</f>
      </c>
      <c r="AZ331" s="331">
        <f>+$AM$1+IF($AP$1&gt;$AP$2,$AM$3/2)</f>
      </c>
    </row>
    <row x14ac:dyDescent="0.25" r="332" customHeight="1" ht="18.75">
      <c r="A332" s="1"/>
      <c r="B332" s="7"/>
      <c r="C332" s="170"/>
      <c r="D332" s="331">
        <v>325</v>
      </c>
      <c r="E332" s="544">
        <f>+DATE(YEAR(E331),MONTH(E331)-1,DAY(E331))</f>
        <v>25569.041666666668</v>
      </c>
      <c r="F332" s="333">
        <f>IF(DATE(YEAR($B$6),MONTH($B$6)+1,DAY(1))=E332,1,IF(MONTH(E332)=1,F333*(1+$F$5),F333))</f>
      </c>
      <c r="G332" s="333">
        <f>IF('Simulador - 1º Pilar'!$E$99="Sí",IF('Aportaciones PPE'!$B$13&lt;'Aportaciones PPE'!E332,0,F332*$B$8/12),F332*$B$8/12)</f>
      </c>
      <c r="H332" s="333">
        <f>$H$5*G332</f>
      </c>
      <c r="I332" s="333">
        <f>$I$5*G332</f>
      </c>
      <c r="J332" s="333">
        <f>+I332</f>
      </c>
      <c r="K332" s="333">
        <f>(1+$O$5)^(D332/12)*(H332+IF(AND(F332=1,F333=0),$S$4,0))</f>
      </c>
      <c r="L332" s="333">
        <f>(1+$O$5)^(D332/12)*(I332+IF(AND(F332=1,F333=0),0))</f>
      </c>
      <c r="M332" s="333">
        <f>+L332</f>
      </c>
      <c r="N332" s="333">
        <f>L332+K332+M332</f>
      </c>
      <c r="O332" s="170"/>
      <c r="P332" s="7"/>
      <c r="Q332" s="1"/>
      <c r="R332" s="331">
        <f>D332</f>
      </c>
      <c r="S332" s="169"/>
      <c r="T332" s="1"/>
      <c r="U332" s="217"/>
      <c r="V332" s="331">
        <f>+IF(V331=11,12,IF(V331=12,1,V331+1))</f>
      </c>
      <c r="W332" s="331">
        <f>+W331+IF(V331=12,1,0)</f>
      </c>
      <c r="X332" s="555">
        <f>+DATE(W332,V332,1)</f>
        <v>25569.041666666668</v>
      </c>
      <c r="Y332" s="333">
        <f>+_xlfn.IFNA(AN332+AS332+AX332,0)</f>
      </c>
      <c r="Z332" s="333">
        <f>+_xlfn.IFNA(AO332+AT332+AY332,0)</f>
      </c>
      <c r="AA332" s="333">
        <f>Y332*(1+$O$5)^(($B$7-X332)/365.25)</f>
      </c>
      <c r="AB332" s="333">
        <f>Z332*(1+$O$5)^(($B$7-X332)/365.25)</f>
      </c>
      <c r="AC332" s="1"/>
      <c r="AD332" s="1"/>
      <c r="AE332" s="1"/>
      <c r="AF332" s="111">
        <f>+MONTH(E332)&amp;YEAR(E332)</f>
      </c>
      <c r="AG332" s="217">
        <f>+I332</f>
      </c>
      <c r="AH332" s="217">
        <f>+J332</f>
      </c>
      <c r="AI332" s="217">
        <f>+H332</f>
      </c>
      <c r="AJ332" s="111">
        <f>+V332&amp;W332</f>
      </c>
      <c r="AK332" s="217">
        <f>+_xlfn.IFNA(VLOOKUP(AJ332,$AF$7:$AG$1066,2,0),0)</f>
      </c>
      <c r="AL332" s="217">
        <f>+IF(W332&gt;W331,AK332,AL331+AK332)</f>
      </c>
      <c r="AM332" s="217">
        <f>IF(W332&gt;W331,IF(AL332&gt;=$AZ$8,$AZ$8,AL332),IF(OR(AM331=$AZ$8,AM331=0),0,IF(AL332&gt;=$AZ$8,$AZ$8,AL332)))</f>
      </c>
      <c r="AN332" s="748">
        <f>+IF(OR(AM332&gt;AZ331,AM332=0),0,IF(AM332=AL332,AK332,$AZ$7-AL331))</f>
      </c>
      <c r="AO332" s="748">
        <f>+AK332-AN332</f>
      </c>
      <c r="AP332" s="217">
        <f>+_xlfn.IFNA(VLOOKUP(AJ332,$AF$7:$AI$1066,3,0),0)</f>
      </c>
      <c r="AQ332" s="217">
        <f>+IF(W332&gt;W331,AP332,AQ331+AP332)</f>
      </c>
      <c r="AR332" s="217">
        <f>+MAX($AM$2-SUMIF($W$7:$W$1066,W332,$AN$7:$AN$1066),0)</f>
      </c>
      <c r="AS332" s="748">
        <f>+MAX(IF(AQ332&gt;AR332,AR332-AQ331,AP332),0)</f>
      </c>
      <c r="AT332" s="748">
        <f>+AP332-AS332</f>
      </c>
      <c r="AU332" s="217">
        <f>+_xlfn.IFNA(VLOOKUP(AJ332,$AF$7:$AI$1066,4,0),0)</f>
      </c>
      <c r="AV332" s="217">
        <f>+IF(W332&gt;W331,AU332,AV331+AU332)</f>
      </c>
      <c r="AW332" s="217">
        <f>+MAX($AM$2-SUMIF($W$7:$W$1066,W332,$AN$7:$AN$1066)-SUMIF($W$7:$W$1066,W332,$AS$7:$AS$1066),0)</f>
      </c>
      <c r="AX332" s="748">
        <f>+MAX(IF(AV332&gt;AW332,AW332-AV331,AU332),0)</f>
      </c>
      <c r="AY332" s="748">
        <f>+AU332-AX332</f>
      </c>
      <c r="AZ332" s="331">
        <f>+$AM$1+IF($AP$1&gt;$AP$2,$AM$3/2)</f>
      </c>
    </row>
    <row x14ac:dyDescent="0.25" r="333" customHeight="1" ht="18.75">
      <c r="A333" s="1"/>
      <c r="B333" s="7"/>
      <c r="C333" s="170"/>
      <c r="D333" s="331">
        <v>326</v>
      </c>
      <c r="E333" s="544">
        <f>+DATE(YEAR(E332),MONTH(E332)-1,DAY(E332))</f>
        <v>25569.041666666668</v>
      </c>
      <c r="F333" s="333">
        <f>IF(DATE(YEAR($B$6),MONTH($B$6)+1,DAY(1))=E333,1,IF(MONTH(E333)=1,F334*(1+$F$5),F334))</f>
      </c>
      <c r="G333" s="333">
        <f>IF('Simulador - 1º Pilar'!$E$99="Sí",IF('Aportaciones PPE'!$B$13&lt;'Aportaciones PPE'!E333,0,F333*$B$8/12),F333*$B$8/12)</f>
      </c>
      <c r="H333" s="333">
        <f>$H$5*G333</f>
      </c>
      <c r="I333" s="333">
        <f>$I$5*G333</f>
      </c>
      <c r="J333" s="333">
        <f>+I333</f>
      </c>
      <c r="K333" s="333">
        <f>(1+$O$5)^(D333/12)*(H333+IF(AND(F333=1,F334=0),$S$4,0))</f>
      </c>
      <c r="L333" s="333">
        <f>(1+$O$5)^(D333/12)*(I333+IF(AND(F333=1,F334=0),0))</f>
      </c>
      <c r="M333" s="333">
        <f>+L333</f>
      </c>
      <c r="N333" s="333">
        <f>L333+K333+M333</f>
      </c>
      <c r="O333" s="170"/>
      <c r="P333" s="7"/>
      <c r="Q333" s="1"/>
      <c r="R333" s="331">
        <f>D333</f>
      </c>
      <c r="S333" s="169"/>
      <c r="T333" s="1"/>
      <c r="U333" s="217"/>
      <c r="V333" s="331">
        <f>+IF(V332=11,12,IF(V332=12,1,V332+1))</f>
      </c>
      <c r="W333" s="331">
        <f>+W332+IF(V332=12,1,0)</f>
      </c>
      <c r="X333" s="555">
        <f>+DATE(W333,V333,1)</f>
        <v>25569.041666666668</v>
      </c>
      <c r="Y333" s="333">
        <f>+_xlfn.IFNA(AN333+AS333+AX333,0)</f>
      </c>
      <c r="Z333" s="333">
        <f>+_xlfn.IFNA(AO333+AT333+AY333,0)</f>
      </c>
      <c r="AA333" s="333">
        <f>Y333*(1+$O$5)^(($B$7-X333)/365.25)</f>
      </c>
      <c r="AB333" s="333">
        <f>Z333*(1+$O$5)^(($B$7-X333)/365.25)</f>
      </c>
      <c r="AC333" s="1"/>
      <c r="AD333" s="1"/>
      <c r="AE333" s="1"/>
      <c r="AF333" s="111">
        <f>+MONTH(E333)&amp;YEAR(E333)</f>
      </c>
      <c r="AG333" s="217">
        <f>+I333</f>
      </c>
      <c r="AH333" s="217">
        <f>+J333</f>
      </c>
      <c r="AI333" s="217">
        <f>+H333</f>
      </c>
      <c r="AJ333" s="111">
        <f>+V333&amp;W333</f>
      </c>
      <c r="AK333" s="217">
        <f>+_xlfn.IFNA(VLOOKUP(AJ333,$AF$7:$AG$1066,2,0),0)</f>
      </c>
      <c r="AL333" s="217">
        <f>+IF(W333&gt;W332,AK333,AL332+AK333)</f>
      </c>
      <c r="AM333" s="217">
        <f>IF(W333&gt;W332,IF(AL333&gt;=$AZ$8,$AZ$8,AL333),IF(OR(AM332=$AZ$8,AM332=0),0,IF(AL333&gt;=$AZ$8,$AZ$8,AL333)))</f>
      </c>
      <c r="AN333" s="748">
        <f>+IF(OR(AM333&gt;AZ332,AM333=0),0,IF(AM333=AL333,AK333,$AZ$7-AL332))</f>
      </c>
      <c r="AO333" s="748">
        <f>+AK333-AN333</f>
      </c>
      <c r="AP333" s="217">
        <f>+_xlfn.IFNA(VLOOKUP(AJ333,$AF$7:$AI$1066,3,0),0)</f>
      </c>
      <c r="AQ333" s="217">
        <f>+IF(W333&gt;W332,AP333,AQ332+AP333)</f>
      </c>
      <c r="AR333" s="217">
        <f>+MAX($AM$2-SUMIF($W$7:$W$1066,W333,$AN$7:$AN$1066),0)</f>
      </c>
      <c r="AS333" s="748">
        <f>+MAX(IF(AQ333&gt;AR333,AR333-AQ332,AP333),0)</f>
      </c>
      <c r="AT333" s="748">
        <f>+AP333-AS333</f>
      </c>
      <c r="AU333" s="217">
        <f>+_xlfn.IFNA(VLOOKUP(AJ333,$AF$7:$AI$1066,4,0),0)</f>
      </c>
      <c r="AV333" s="217">
        <f>+IF(W333&gt;W332,AU333,AV332+AU333)</f>
      </c>
      <c r="AW333" s="217">
        <f>+MAX($AM$2-SUMIF($W$7:$W$1066,W333,$AN$7:$AN$1066)-SUMIF($W$7:$W$1066,W333,$AS$7:$AS$1066),0)</f>
      </c>
      <c r="AX333" s="748">
        <f>+MAX(IF(AV333&gt;AW333,AW333-AV332,AU333),0)</f>
      </c>
      <c r="AY333" s="748">
        <f>+AU333-AX333</f>
      </c>
      <c r="AZ333" s="331">
        <f>+$AM$1+IF($AP$1&gt;$AP$2,$AM$3/2)</f>
      </c>
    </row>
    <row x14ac:dyDescent="0.25" r="334" customHeight="1" ht="18.75">
      <c r="A334" s="1"/>
      <c r="B334" s="7"/>
      <c r="C334" s="170"/>
      <c r="D334" s="331">
        <v>327</v>
      </c>
      <c r="E334" s="544">
        <f>+DATE(YEAR(E333),MONTH(E333)-1,DAY(E333))</f>
        <v>25569.041666666668</v>
      </c>
      <c r="F334" s="333">
        <f>IF(DATE(YEAR($B$6),MONTH($B$6)+1,DAY(1))=E334,1,IF(MONTH(E334)=1,F335*(1+$F$5),F335))</f>
      </c>
      <c r="G334" s="333">
        <f>IF('Simulador - 1º Pilar'!$E$99="Sí",IF('Aportaciones PPE'!$B$13&lt;'Aportaciones PPE'!E334,0,F334*$B$8/12),F334*$B$8/12)</f>
      </c>
      <c r="H334" s="333">
        <f>$H$5*G334</f>
      </c>
      <c r="I334" s="333">
        <f>$I$5*G334</f>
      </c>
      <c r="J334" s="333">
        <f>+I334</f>
      </c>
      <c r="K334" s="333">
        <f>(1+$O$5)^(D334/12)*(H334+IF(AND(F334=1,F335=0),$S$4,0))</f>
      </c>
      <c r="L334" s="333">
        <f>(1+$O$5)^(D334/12)*(I334+IF(AND(F334=1,F335=0),0))</f>
      </c>
      <c r="M334" s="333">
        <f>+L334</f>
      </c>
      <c r="N334" s="333">
        <f>L334+K334+M334</f>
      </c>
      <c r="O334" s="170"/>
      <c r="P334" s="7"/>
      <c r="Q334" s="1"/>
      <c r="R334" s="331">
        <f>D334</f>
      </c>
      <c r="S334" s="169"/>
      <c r="T334" s="1"/>
      <c r="U334" s="217"/>
      <c r="V334" s="331">
        <f>+IF(V333=11,12,IF(V333=12,1,V333+1))</f>
      </c>
      <c r="W334" s="331">
        <f>+W333+IF(V333=12,1,0)</f>
      </c>
      <c r="X334" s="555">
        <f>+DATE(W334,V334,1)</f>
        <v>25569.041666666668</v>
      </c>
      <c r="Y334" s="333">
        <f>+_xlfn.IFNA(AN334+AS334+AX334,0)</f>
      </c>
      <c r="Z334" s="333">
        <f>+_xlfn.IFNA(AO334+AT334+AY334,0)</f>
      </c>
      <c r="AA334" s="333">
        <f>Y334*(1+$O$5)^(($B$7-X334)/365.25)</f>
      </c>
      <c r="AB334" s="333">
        <f>Z334*(1+$O$5)^(($B$7-X334)/365.25)</f>
      </c>
      <c r="AC334" s="1"/>
      <c r="AD334" s="1"/>
      <c r="AE334" s="1"/>
      <c r="AF334" s="111">
        <f>+MONTH(E334)&amp;YEAR(E334)</f>
      </c>
      <c r="AG334" s="217">
        <f>+I334</f>
      </c>
      <c r="AH334" s="217">
        <f>+J334</f>
      </c>
      <c r="AI334" s="217">
        <f>+H334</f>
      </c>
      <c r="AJ334" s="111">
        <f>+V334&amp;W334</f>
      </c>
      <c r="AK334" s="217">
        <f>+_xlfn.IFNA(VLOOKUP(AJ334,$AF$7:$AG$1066,2,0),0)</f>
      </c>
      <c r="AL334" s="217">
        <f>+IF(W334&gt;W333,AK334,AL333+AK334)</f>
      </c>
      <c r="AM334" s="217">
        <f>IF(W334&gt;W333,IF(AL334&gt;=$AZ$8,$AZ$8,AL334),IF(OR(AM333=$AZ$8,AM333=0),0,IF(AL334&gt;=$AZ$8,$AZ$8,AL334)))</f>
      </c>
      <c r="AN334" s="748">
        <f>+IF(OR(AM334&gt;AZ333,AM334=0),0,IF(AM334=AL334,AK334,$AZ$7-AL333))</f>
      </c>
      <c r="AO334" s="748">
        <f>+AK334-AN334</f>
      </c>
      <c r="AP334" s="217">
        <f>+_xlfn.IFNA(VLOOKUP(AJ334,$AF$7:$AI$1066,3,0),0)</f>
      </c>
      <c r="AQ334" s="217">
        <f>+IF(W334&gt;W333,AP334,AQ333+AP334)</f>
      </c>
      <c r="AR334" s="217">
        <f>+MAX($AM$2-SUMIF($W$7:$W$1066,W334,$AN$7:$AN$1066),0)</f>
      </c>
      <c r="AS334" s="748">
        <f>+MAX(IF(AQ334&gt;AR334,AR334-AQ333,AP334),0)</f>
      </c>
      <c r="AT334" s="748">
        <f>+AP334-AS334</f>
      </c>
      <c r="AU334" s="217">
        <f>+_xlfn.IFNA(VLOOKUP(AJ334,$AF$7:$AI$1066,4,0),0)</f>
      </c>
      <c r="AV334" s="217">
        <f>+IF(W334&gt;W333,AU334,AV333+AU334)</f>
      </c>
      <c r="AW334" s="217">
        <f>+MAX($AM$2-SUMIF($W$7:$W$1066,W334,$AN$7:$AN$1066)-SUMIF($W$7:$W$1066,W334,$AS$7:$AS$1066),0)</f>
      </c>
      <c r="AX334" s="748">
        <f>+MAX(IF(AV334&gt;AW334,AW334-AV333,AU334),0)</f>
      </c>
      <c r="AY334" s="748">
        <f>+AU334-AX334</f>
      </c>
      <c r="AZ334" s="331">
        <f>+$AM$1+IF($AP$1&gt;$AP$2,$AM$3/2)</f>
      </c>
    </row>
    <row x14ac:dyDescent="0.25" r="335" customHeight="1" ht="18.75">
      <c r="A335" s="1"/>
      <c r="B335" s="7"/>
      <c r="C335" s="170"/>
      <c r="D335" s="331">
        <v>328</v>
      </c>
      <c r="E335" s="544">
        <f>+DATE(YEAR(E334),MONTH(E334)-1,DAY(E334))</f>
        <v>25569.041666666668</v>
      </c>
      <c r="F335" s="333">
        <f>IF(DATE(YEAR($B$6),MONTH($B$6)+1,DAY(1))=E335,1,IF(MONTH(E335)=1,F336*(1+$F$5),F336))</f>
      </c>
      <c r="G335" s="333">
        <f>IF('Simulador - 1º Pilar'!$E$99="Sí",IF('Aportaciones PPE'!$B$13&lt;'Aportaciones PPE'!E335,0,F335*$B$8/12),F335*$B$8/12)</f>
      </c>
      <c r="H335" s="333">
        <f>$H$5*G335</f>
      </c>
      <c r="I335" s="333">
        <f>$I$5*G335</f>
      </c>
      <c r="J335" s="333">
        <f>+I335</f>
      </c>
      <c r="K335" s="333">
        <f>(1+$O$5)^(D335/12)*(H335+IF(AND(F335=1,F336=0),$S$4,0))</f>
      </c>
      <c r="L335" s="333">
        <f>(1+$O$5)^(D335/12)*(I335+IF(AND(F335=1,F336=0),0))</f>
      </c>
      <c r="M335" s="333">
        <f>+L335</f>
      </c>
      <c r="N335" s="333">
        <f>L335+K335+M335</f>
      </c>
      <c r="O335" s="170"/>
      <c r="P335" s="7"/>
      <c r="Q335" s="1"/>
      <c r="R335" s="331">
        <f>D335</f>
      </c>
      <c r="S335" s="169"/>
      <c r="T335" s="1"/>
      <c r="U335" s="217"/>
      <c r="V335" s="331">
        <f>+IF(V334=11,12,IF(V334=12,1,V334+1))</f>
      </c>
      <c r="W335" s="331">
        <f>+W334+IF(V334=12,1,0)</f>
      </c>
      <c r="X335" s="555">
        <f>+DATE(W335,V335,1)</f>
        <v>25569.041666666668</v>
      </c>
      <c r="Y335" s="333">
        <f>+_xlfn.IFNA(AN335+AS335+AX335,0)</f>
      </c>
      <c r="Z335" s="333">
        <f>+_xlfn.IFNA(AO335+AT335+AY335,0)</f>
      </c>
      <c r="AA335" s="333">
        <f>Y335*(1+$O$5)^(($B$7-X335)/365.25)</f>
      </c>
      <c r="AB335" s="333">
        <f>Z335*(1+$O$5)^(($B$7-X335)/365.25)</f>
      </c>
      <c r="AC335" s="1"/>
      <c r="AD335" s="1"/>
      <c r="AE335" s="1"/>
      <c r="AF335" s="111">
        <f>+MONTH(E335)&amp;YEAR(E335)</f>
      </c>
      <c r="AG335" s="217">
        <f>+I335</f>
      </c>
      <c r="AH335" s="217">
        <f>+J335</f>
      </c>
      <c r="AI335" s="217">
        <f>+H335</f>
      </c>
      <c r="AJ335" s="111">
        <f>+V335&amp;W335</f>
      </c>
      <c r="AK335" s="217">
        <f>+_xlfn.IFNA(VLOOKUP(AJ335,$AF$7:$AG$1066,2,0),0)</f>
      </c>
      <c r="AL335" s="217">
        <f>+IF(W335&gt;W334,AK335,AL334+AK335)</f>
      </c>
      <c r="AM335" s="217">
        <f>IF(W335&gt;W334,IF(AL335&gt;=$AZ$8,$AZ$8,AL335),IF(OR(AM334=$AZ$8,AM334=0),0,IF(AL335&gt;=$AZ$8,$AZ$8,AL335)))</f>
      </c>
      <c r="AN335" s="748">
        <f>+IF(OR(AM335&gt;AZ334,AM335=0),0,IF(AM335=AL335,AK335,$AZ$7-AL334))</f>
      </c>
      <c r="AO335" s="748">
        <f>+AK335-AN335</f>
      </c>
      <c r="AP335" s="217">
        <f>+_xlfn.IFNA(VLOOKUP(AJ335,$AF$7:$AI$1066,3,0),0)</f>
      </c>
      <c r="AQ335" s="217">
        <f>+IF(W335&gt;W334,AP335,AQ334+AP335)</f>
      </c>
      <c r="AR335" s="217">
        <f>+MAX($AM$2-SUMIF($W$7:$W$1066,W335,$AN$7:$AN$1066),0)</f>
      </c>
      <c r="AS335" s="748">
        <f>+MAX(IF(AQ335&gt;AR335,AR335-AQ334,AP335),0)</f>
      </c>
      <c r="AT335" s="748">
        <f>+AP335-AS335</f>
      </c>
      <c r="AU335" s="217">
        <f>+_xlfn.IFNA(VLOOKUP(AJ335,$AF$7:$AI$1066,4,0),0)</f>
      </c>
      <c r="AV335" s="217">
        <f>+IF(W335&gt;W334,AU335,AV334+AU335)</f>
      </c>
      <c r="AW335" s="217">
        <f>+MAX($AM$2-SUMIF($W$7:$W$1066,W335,$AN$7:$AN$1066)-SUMIF($W$7:$W$1066,W335,$AS$7:$AS$1066),0)</f>
      </c>
      <c r="AX335" s="748">
        <f>+MAX(IF(AV335&gt;AW335,AW335-AV334,AU335),0)</f>
      </c>
      <c r="AY335" s="748">
        <f>+AU335-AX335</f>
      </c>
      <c r="AZ335" s="331">
        <f>+$AM$1+IF($AP$1&gt;$AP$2,$AM$3/2)</f>
      </c>
    </row>
    <row x14ac:dyDescent="0.25" r="336" customHeight="1" ht="18.75">
      <c r="A336" s="1"/>
      <c r="B336" s="7"/>
      <c r="C336" s="170"/>
      <c r="D336" s="331">
        <v>329</v>
      </c>
      <c r="E336" s="544">
        <f>+DATE(YEAR(E335),MONTH(E335)-1,DAY(E335))</f>
        <v>25569.041666666668</v>
      </c>
      <c r="F336" s="333">
        <f>IF(DATE(YEAR($B$6),MONTH($B$6)+1,DAY(1))=E336,1,IF(MONTH(E336)=1,F337*(1+$F$5),F337))</f>
      </c>
      <c r="G336" s="333">
        <f>IF('Simulador - 1º Pilar'!$E$99="Sí",IF('Aportaciones PPE'!$B$13&lt;'Aportaciones PPE'!E336,0,F336*$B$8/12),F336*$B$8/12)</f>
      </c>
      <c r="H336" s="333">
        <f>$H$5*G336</f>
      </c>
      <c r="I336" s="333">
        <f>$I$5*G336</f>
      </c>
      <c r="J336" s="333">
        <f>+I336</f>
      </c>
      <c r="K336" s="333">
        <f>(1+$O$5)^(D336/12)*(H336+IF(AND(F336=1,F337=0),$S$4,0))</f>
      </c>
      <c r="L336" s="333">
        <f>(1+$O$5)^(D336/12)*(I336+IF(AND(F336=1,F337=0),0))</f>
      </c>
      <c r="M336" s="333">
        <f>+L336</f>
      </c>
      <c r="N336" s="333">
        <f>L336+K336+M336</f>
      </c>
      <c r="O336" s="170"/>
      <c r="P336" s="7"/>
      <c r="Q336" s="1"/>
      <c r="R336" s="331">
        <f>D336</f>
      </c>
      <c r="S336" s="169"/>
      <c r="T336" s="1"/>
      <c r="U336" s="217"/>
      <c r="V336" s="331">
        <f>+IF(V335=11,12,IF(V335=12,1,V335+1))</f>
      </c>
      <c r="W336" s="331">
        <f>+W335+IF(V335=12,1,0)</f>
      </c>
      <c r="X336" s="555">
        <f>+DATE(W336,V336,1)</f>
        <v>25569.041666666668</v>
      </c>
      <c r="Y336" s="333">
        <f>+_xlfn.IFNA(AN336+AS336+AX336,0)</f>
      </c>
      <c r="Z336" s="333">
        <f>+_xlfn.IFNA(AO336+AT336+AY336,0)</f>
      </c>
      <c r="AA336" s="333">
        <f>Y336*(1+$O$5)^(($B$7-X336)/365.25)</f>
      </c>
      <c r="AB336" s="333">
        <f>Z336*(1+$O$5)^(($B$7-X336)/365.25)</f>
      </c>
      <c r="AC336" s="1"/>
      <c r="AD336" s="1"/>
      <c r="AE336" s="1"/>
      <c r="AF336" s="111">
        <f>+MONTH(E336)&amp;YEAR(E336)</f>
      </c>
      <c r="AG336" s="217">
        <f>+I336</f>
      </c>
      <c r="AH336" s="217">
        <f>+J336</f>
      </c>
      <c r="AI336" s="217">
        <f>+H336</f>
      </c>
      <c r="AJ336" s="111">
        <f>+V336&amp;W336</f>
      </c>
      <c r="AK336" s="217">
        <f>+_xlfn.IFNA(VLOOKUP(AJ336,$AF$7:$AG$1066,2,0),0)</f>
      </c>
      <c r="AL336" s="217">
        <f>+IF(W336&gt;W335,AK336,AL335+AK336)</f>
      </c>
      <c r="AM336" s="217">
        <f>IF(W336&gt;W335,IF(AL336&gt;=$AZ$8,$AZ$8,AL336),IF(OR(AM335=$AZ$8,AM335=0),0,IF(AL336&gt;=$AZ$8,$AZ$8,AL336)))</f>
      </c>
      <c r="AN336" s="748">
        <f>+IF(OR(AM336&gt;AZ335,AM336=0),0,IF(AM336=AL336,AK336,$AZ$7-AL335))</f>
      </c>
      <c r="AO336" s="748">
        <f>+AK336-AN336</f>
      </c>
      <c r="AP336" s="217">
        <f>+_xlfn.IFNA(VLOOKUP(AJ336,$AF$7:$AI$1066,3,0),0)</f>
      </c>
      <c r="AQ336" s="217">
        <f>+IF(W336&gt;W335,AP336,AQ335+AP336)</f>
      </c>
      <c r="AR336" s="217">
        <f>+MAX($AM$2-SUMIF($W$7:$W$1066,W336,$AN$7:$AN$1066),0)</f>
      </c>
      <c r="AS336" s="748">
        <f>+MAX(IF(AQ336&gt;AR336,AR336-AQ335,AP336),0)</f>
      </c>
      <c r="AT336" s="748">
        <f>+AP336-AS336</f>
      </c>
      <c r="AU336" s="217">
        <f>+_xlfn.IFNA(VLOOKUP(AJ336,$AF$7:$AI$1066,4,0),0)</f>
      </c>
      <c r="AV336" s="217">
        <f>+IF(W336&gt;W335,AU336,AV335+AU336)</f>
      </c>
      <c r="AW336" s="217">
        <f>+MAX($AM$2-SUMIF($W$7:$W$1066,W336,$AN$7:$AN$1066)-SUMIF($W$7:$W$1066,W336,$AS$7:$AS$1066),0)</f>
      </c>
      <c r="AX336" s="748">
        <f>+MAX(IF(AV336&gt;AW336,AW336-AV335,AU336),0)</f>
      </c>
      <c r="AY336" s="748">
        <f>+AU336-AX336</f>
      </c>
      <c r="AZ336" s="331">
        <f>+$AM$1+IF($AP$1&gt;$AP$2,$AM$3/2)</f>
      </c>
    </row>
    <row x14ac:dyDescent="0.25" r="337" customHeight="1" ht="18.75">
      <c r="A337" s="1"/>
      <c r="B337" s="7"/>
      <c r="C337" s="170"/>
      <c r="D337" s="331">
        <v>330</v>
      </c>
      <c r="E337" s="544">
        <f>+DATE(YEAR(E336),MONTH(E336)-1,DAY(E336))</f>
        <v>25569.041666666668</v>
      </c>
      <c r="F337" s="333">
        <f>IF(DATE(YEAR($B$6),MONTH($B$6)+1,DAY(1))=E337,1,IF(MONTH(E337)=1,F338*(1+$F$5),F338))</f>
      </c>
      <c r="G337" s="333">
        <f>IF('Simulador - 1º Pilar'!$E$99="Sí",IF('Aportaciones PPE'!$B$13&lt;'Aportaciones PPE'!E337,0,F337*$B$8/12),F337*$B$8/12)</f>
      </c>
      <c r="H337" s="333">
        <f>$H$5*G337</f>
      </c>
      <c r="I337" s="333">
        <f>$I$5*G337</f>
      </c>
      <c r="J337" s="333">
        <f>+I337</f>
      </c>
      <c r="K337" s="333">
        <f>(1+$O$5)^(D337/12)*(H337+IF(AND(F337=1,F338=0),$S$4,0))</f>
      </c>
      <c r="L337" s="333">
        <f>(1+$O$5)^(D337/12)*(I337+IF(AND(F337=1,F338=0),0))</f>
      </c>
      <c r="M337" s="333">
        <f>+L337</f>
      </c>
      <c r="N337" s="333">
        <f>L337+K337+M337</f>
      </c>
      <c r="O337" s="170"/>
      <c r="P337" s="7"/>
      <c r="Q337" s="1"/>
      <c r="R337" s="331">
        <f>D337</f>
      </c>
      <c r="S337" s="169"/>
      <c r="T337" s="1"/>
      <c r="U337" s="217"/>
      <c r="V337" s="331">
        <f>+IF(V336=11,12,IF(V336=12,1,V336+1))</f>
      </c>
      <c r="W337" s="331">
        <f>+W336+IF(V336=12,1,0)</f>
      </c>
      <c r="X337" s="555">
        <f>+DATE(W337,V337,1)</f>
        <v>25569.041666666668</v>
      </c>
      <c r="Y337" s="333">
        <f>+_xlfn.IFNA(AN337+AS337+AX337,0)</f>
      </c>
      <c r="Z337" s="333">
        <f>+_xlfn.IFNA(AO337+AT337+AY337,0)</f>
      </c>
      <c r="AA337" s="333">
        <f>Y337*(1+$O$5)^(($B$7-X337)/365.25)</f>
      </c>
      <c r="AB337" s="333">
        <f>Z337*(1+$O$5)^(($B$7-X337)/365.25)</f>
      </c>
      <c r="AC337" s="1"/>
      <c r="AD337" s="1"/>
      <c r="AE337" s="1"/>
      <c r="AF337" s="111">
        <f>+MONTH(E337)&amp;YEAR(E337)</f>
      </c>
      <c r="AG337" s="217">
        <f>+I337</f>
      </c>
      <c r="AH337" s="217">
        <f>+J337</f>
      </c>
      <c r="AI337" s="217">
        <f>+H337</f>
      </c>
      <c r="AJ337" s="111">
        <f>+V337&amp;W337</f>
      </c>
      <c r="AK337" s="217">
        <f>+_xlfn.IFNA(VLOOKUP(AJ337,$AF$7:$AG$1066,2,0),0)</f>
      </c>
      <c r="AL337" s="217">
        <f>+IF(W337&gt;W336,AK337,AL336+AK337)</f>
      </c>
      <c r="AM337" s="217">
        <f>IF(W337&gt;W336,IF(AL337&gt;=$AZ$8,$AZ$8,AL337),IF(OR(AM336=$AZ$8,AM336=0),0,IF(AL337&gt;=$AZ$8,$AZ$8,AL337)))</f>
      </c>
      <c r="AN337" s="748">
        <f>+IF(OR(AM337&gt;AZ336,AM337=0),0,IF(AM337=AL337,AK337,$AZ$7-AL336))</f>
      </c>
      <c r="AO337" s="748">
        <f>+AK337-AN337</f>
      </c>
      <c r="AP337" s="217">
        <f>+_xlfn.IFNA(VLOOKUP(AJ337,$AF$7:$AI$1066,3,0),0)</f>
      </c>
      <c r="AQ337" s="217">
        <f>+IF(W337&gt;W336,AP337,AQ336+AP337)</f>
      </c>
      <c r="AR337" s="217">
        <f>+MAX($AM$2-SUMIF($W$7:$W$1066,W337,$AN$7:$AN$1066),0)</f>
      </c>
      <c r="AS337" s="748">
        <f>+MAX(IF(AQ337&gt;AR337,AR337-AQ336,AP337),0)</f>
      </c>
      <c r="AT337" s="748">
        <f>+AP337-AS337</f>
      </c>
      <c r="AU337" s="217">
        <f>+_xlfn.IFNA(VLOOKUP(AJ337,$AF$7:$AI$1066,4,0),0)</f>
      </c>
      <c r="AV337" s="217">
        <f>+IF(W337&gt;W336,AU337,AV336+AU337)</f>
      </c>
      <c r="AW337" s="217">
        <f>+MAX($AM$2-SUMIF($W$7:$W$1066,W337,$AN$7:$AN$1066)-SUMIF($W$7:$W$1066,W337,$AS$7:$AS$1066),0)</f>
      </c>
      <c r="AX337" s="748">
        <f>+MAX(IF(AV337&gt;AW337,AW337-AV336,AU337),0)</f>
      </c>
      <c r="AY337" s="748">
        <f>+AU337-AX337</f>
      </c>
      <c r="AZ337" s="331">
        <f>+$AM$1+IF($AP$1&gt;$AP$2,$AM$3/2)</f>
      </c>
    </row>
    <row x14ac:dyDescent="0.25" r="338" customHeight="1" ht="18.75">
      <c r="A338" s="1"/>
      <c r="B338" s="7"/>
      <c r="C338" s="170"/>
      <c r="D338" s="331">
        <v>331</v>
      </c>
      <c r="E338" s="544">
        <f>+DATE(YEAR(E337),MONTH(E337)-1,DAY(E337))</f>
        <v>25569.041666666668</v>
      </c>
      <c r="F338" s="333">
        <f>IF(DATE(YEAR($B$6),MONTH($B$6)+1,DAY(1))=E338,1,IF(MONTH(E338)=1,F339*(1+$F$5),F339))</f>
      </c>
      <c r="G338" s="333">
        <f>IF('Simulador - 1º Pilar'!$E$99="Sí",IF('Aportaciones PPE'!$B$13&lt;'Aportaciones PPE'!E338,0,F338*$B$8/12),F338*$B$8/12)</f>
      </c>
      <c r="H338" s="333">
        <f>$H$5*G338</f>
      </c>
      <c r="I338" s="333">
        <f>$I$5*G338</f>
      </c>
      <c r="J338" s="333">
        <f>+I338</f>
      </c>
      <c r="K338" s="333">
        <f>(1+$O$5)^(D338/12)*(H338+IF(AND(F338=1,F339=0),$S$4,0))</f>
      </c>
      <c r="L338" s="333">
        <f>(1+$O$5)^(D338/12)*(I338+IF(AND(F338=1,F339=0),0))</f>
      </c>
      <c r="M338" s="333">
        <f>+L338</f>
      </c>
      <c r="N338" s="333">
        <f>L338+K338+M338</f>
      </c>
      <c r="O338" s="170"/>
      <c r="P338" s="7"/>
      <c r="Q338" s="1"/>
      <c r="R338" s="331">
        <f>D338</f>
      </c>
      <c r="S338" s="169"/>
      <c r="T338" s="1"/>
      <c r="U338" s="217"/>
      <c r="V338" s="331">
        <f>+IF(V337=11,12,IF(V337=12,1,V337+1))</f>
      </c>
      <c r="W338" s="331">
        <f>+W337+IF(V337=12,1,0)</f>
      </c>
      <c r="X338" s="555">
        <f>+DATE(W338,V338,1)</f>
        <v>25569.041666666668</v>
      </c>
      <c r="Y338" s="333">
        <f>+_xlfn.IFNA(AN338+AS338+AX338,0)</f>
      </c>
      <c r="Z338" s="333">
        <f>+_xlfn.IFNA(AO338+AT338+AY338,0)</f>
      </c>
      <c r="AA338" s="333">
        <f>Y338*(1+$O$5)^(($B$7-X338)/365.25)</f>
      </c>
      <c r="AB338" s="333">
        <f>Z338*(1+$O$5)^(($B$7-X338)/365.25)</f>
      </c>
      <c r="AC338" s="1"/>
      <c r="AD338" s="1"/>
      <c r="AE338" s="1"/>
      <c r="AF338" s="111">
        <f>+MONTH(E338)&amp;YEAR(E338)</f>
      </c>
      <c r="AG338" s="217">
        <f>+I338</f>
      </c>
      <c r="AH338" s="217">
        <f>+J338</f>
      </c>
      <c r="AI338" s="217">
        <f>+H338</f>
      </c>
      <c r="AJ338" s="111">
        <f>+V338&amp;W338</f>
      </c>
      <c r="AK338" s="217">
        <f>+_xlfn.IFNA(VLOOKUP(AJ338,$AF$7:$AG$1066,2,0),0)</f>
      </c>
      <c r="AL338" s="217">
        <f>+IF(W338&gt;W337,AK338,AL337+AK338)</f>
      </c>
      <c r="AM338" s="217">
        <f>IF(W338&gt;W337,IF(AL338&gt;=$AZ$8,$AZ$8,AL338),IF(OR(AM337=$AZ$8,AM337=0),0,IF(AL338&gt;=$AZ$8,$AZ$8,AL338)))</f>
      </c>
      <c r="AN338" s="748">
        <f>+IF(OR(AM338&gt;AZ337,AM338=0),0,IF(AM338=AL338,AK338,$AZ$7-AL337))</f>
      </c>
      <c r="AO338" s="748">
        <f>+AK338-AN338</f>
      </c>
      <c r="AP338" s="217">
        <f>+_xlfn.IFNA(VLOOKUP(AJ338,$AF$7:$AI$1066,3,0),0)</f>
      </c>
      <c r="AQ338" s="217">
        <f>+IF(W338&gt;W337,AP338,AQ337+AP338)</f>
      </c>
      <c r="AR338" s="217">
        <f>+MAX($AM$2-SUMIF($W$7:$W$1066,W338,$AN$7:$AN$1066),0)</f>
      </c>
      <c r="AS338" s="748">
        <f>+MAX(IF(AQ338&gt;AR338,AR338-AQ337,AP338),0)</f>
      </c>
      <c r="AT338" s="748">
        <f>+AP338-AS338</f>
      </c>
      <c r="AU338" s="217">
        <f>+_xlfn.IFNA(VLOOKUP(AJ338,$AF$7:$AI$1066,4,0),0)</f>
      </c>
      <c r="AV338" s="217">
        <f>+IF(W338&gt;W337,AU338,AV337+AU338)</f>
      </c>
      <c r="AW338" s="217">
        <f>+MAX($AM$2-SUMIF($W$7:$W$1066,W338,$AN$7:$AN$1066)-SUMIF($W$7:$W$1066,W338,$AS$7:$AS$1066),0)</f>
      </c>
      <c r="AX338" s="748">
        <f>+MAX(IF(AV338&gt;AW338,AW338-AV337,AU338),0)</f>
      </c>
      <c r="AY338" s="748">
        <f>+AU338-AX338</f>
      </c>
      <c r="AZ338" s="331">
        <f>+$AM$1+IF($AP$1&gt;$AP$2,$AM$3/2)</f>
      </c>
    </row>
    <row x14ac:dyDescent="0.25" r="339" customHeight="1" ht="18.75">
      <c r="A339" s="1"/>
      <c r="B339" s="7"/>
      <c r="C339" s="170"/>
      <c r="D339" s="331">
        <v>332</v>
      </c>
      <c r="E339" s="544">
        <f>+DATE(YEAR(E338),MONTH(E338)-1,DAY(E338))</f>
        <v>25569.041666666668</v>
      </c>
      <c r="F339" s="333">
        <f>IF(DATE(YEAR($B$6),MONTH($B$6)+1,DAY(1))=E339,1,IF(MONTH(E339)=1,F340*(1+$F$5),F340))</f>
      </c>
      <c r="G339" s="333">
        <f>IF('Simulador - 1º Pilar'!$E$99="Sí",IF('Aportaciones PPE'!$B$13&lt;'Aportaciones PPE'!E339,0,F339*$B$8/12),F339*$B$8/12)</f>
      </c>
      <c r="H339" s="333">
        <f>$H$5*G339</f>
      </c>
      <c r="I339" s="333">
        <f>$I$5*G339</f>
      </c>
      <c r="J339" s="333">
        <f>+I339</f>
      </c>
      <c r="K339" s="333">
        <f>(1+$O$5)^(D339/12)*(H339+IF(AND(F339=1,F340=0),$S$4,0))</f>
      </c>
      <c r="L339" s="333">
        <f>(1+$O$5)^(D339/12)*(I339+IF(AND(F339=1,F340=0),0))</f>
      </c>
      <c r="M339" s="333">
        <f>+L339</f>
      </c>
      <c r="N339" s="333">
        <f>L339+K339+M339</f>
      </c>
      <c r="O339" s="170"/>
      <c r="P339" s="7"/>
      <c r="Q339" s="1"/>
      <c r="R339" s="331">
        <f>D339</f>
      </c>
      <c r="S339" s="169"/>
      <c r="T339" s="1"/>
      <c r="U339" s="217"/>
      <c r="V339" s="331">
        <f>+IF(V338=11,12,IF(V338=12,1,V338+1))</f>
      </c>
      <c r="W339" s="331">
        <f>+W338+IF(V338=12,1,0)</f>
      </c>
      <c r="X339" s="555">
        <f>+DATE(W339,V339,1)</f>
        <v>25569.041666666668</v>
      </c>
      <c r="Y339" s="333">
        <f>+_xlfn.IFNA(AN339+AS339+AX339,0)</f>
      </c>
      <c r="Z339" s="333">
        <f>+_xlfn.IFNA(AO339+AT339+AY339,0)</f>
      </c>
      <c r="AA339" s="333">
        <f>Y339*(1+$O$5)^(($B$7-X339)/365.25)</f>
      </c>
      <c r="AB339" s="333">
        <f>Z339*(1+$O$5)^(($B$7-X339)/365.25)</f>
      </c>
      <c r="AC339" s="1"/>
      <c r="AD339" s="1"/>
      <c r="AE339" s="1"/>
      <c r="AF339" s="111">
        <f>+MONTH(E339)&amp;YEAR(E339)</f>
      </c>
      <c r="AG339" s="217">
        <f>+I339</f>
      </c>
      <c r="AH339" s="217">
        <f>+J339</f>
      </c>
      <c r="AI339" s="217">
        <f>+H339</f>
      </c>
      <c r="AJ339" s="111">
        <f>+V339&amp;W339</f>
      </c>
      <c r="AK339" s="217">
        <f>+_xlfn.IFNA(VLOOKUP(AJ339,$AF$7:$AG$1066,2,0),0)</f>
      </c>
      <c r="AL339" s="217">
        <f>+IF(W339&gt;W338,AK339,AL338+AK339)</f>
      </c>
      <c r="AM339" s="217">
        <f>IF(W339&gt;W338,IF(AL339&gt;=$AZ$8,$AZ$8,AL339),IF(OR(AM338=$AZ$8,AM338=0),0,IF(AL339&gt;=$AZ$8,$AZ$8,AL339)))</f>
      </c>
      <c r="AN339" s="748">
        <f>+IF(OR(AM339&gt;AZ338,AM339=0),0,IF(AM339=AL339,AK339,$AZ$7-AL338))</f>
      </c>
      <c r="AO339" s="748">
        <f>+AK339-AN339</f>
      </c>
      <c r="AP339" s="217">
        <f>+_xlfn.IFNA(VLOOKUP(AJ339,$AF$7:$AI$1066,3,0),0)</f>
      </c>
      <c r="AQ339" s="217">
        <f>+IF(W339&gt;W338,AP339,AQ338+AP339)</f>
      </c>
      <c r="AR339" s="217">
        <f>+MAX($AM$2-SUMIF($W$7:$W$1066,W339,$AN$7:$AN$1066),0)</f>
      </c>
      <c r="AS339" s="748">
        <f>+MAX(IF(AQ339&gt;AR339,AR339-AQ338,AP339),0)</f>
      </c>
      <c r="AT339" s="748">
        <f>+AP339-AS339</f>
      </c>
      <c r="AU339" s="217">
        <f>+_xlfn.IFNA(VLOOKUP(AJ339,$AF$7:$AI$1066,4,0),0)</f>
      </c>
      <c r="AV339" s="217">
        <f>+IF(W339&gt;W338,AU339,AV338+AU339)</f>
      </c>
      <c r="AW339" s="217">
        <f>+MAX($AM$2-SUMIF($W$7:$W$1066,W339,$AN$7:$AN$1066)-SUMIF($W$7:$W$1066,W339,$AS$7:$AS$1066),0)</f>
      </c>
      <c r="AX339" s="748">
        <f>+MAX(IF(AV339&gt;AW339,AW339-AV338,AU339),0)</f>
      </c>
      <c r="AY339" s="748">
        <f>+AU339-AX339</f>
      </c>
      <c r="AZ339" s="331">
        <f>+$AM$1+IF($AP$1&gt;$AP$2,$AM$3/2)</f>
      </c>
    </row>
    <row x14ac:dyDescent="0.25" r="340" customHeight="1" ht="18.75">
      <c r="A340" s="1"/>
      <c r="B340" s="7"/>
      <c r="C340" s="170"/>
      <c r="D340" s="331">
        <v>333</v>
      </c>
      <c r="E340" s="544">
        <f>+DATE(YEAR(E339),MONTH(E339)-1,DAY(E339))</f>
        <v>25569.041666666668</v>
      </c>
      <c r="F340" s="333">
        <f>IF(DATE(YEAR($B$6),MONTH($B$6)+1,DAY(1))=E340,1,IF(MONTH(E340)=1,F341*(1+$F$5),F341))</f>
      </c>
      <c r="G340" s="333">
        <f>IF('Simulador - 1º Pilar'!$E$99="Sí",IF('Aportaciones PPE'!$B$13&lt;'Aportaciones PPE'!E340,0,F340*$B$8/12),F340*$B$8/12)</f>
      </c>
      <c r="H340" s="333">
        <f>$H$5*G340</f>
      </c>
      <c r="I340" s="333">
        <f>$I$5*G340</f>
      </c>
      <c r="J340" s="333">
        <f>+I340</f>
      </c>
      <c r="K340" s="333">
        <f>(1+$O$5)^(D340/12)*(H340+IF(AND(F340=1,F341=0),$S$4,0))</f>
      </c>
      <c r="L340" s="333">
        <f>(1+$O$5)^(D340/12)*(I340+IF(AND(F340=1,F341=0),0))</f>
      </c>
      <c r="M340" s="333">
        <f>+L340</f>
      </c>
      <c r="N340" s="333">
        <f>L340+K340+M340</f>
      </c>
      <c r="O340" s="170"/>
      <c r="P340" s="7"/>
      <c r="Q340" s="1"/>
      <c r="R340" s="331">
        <f>D340</f>
      </c>
      <c r="S340" s="169"/>
      <c r="T340" s="1"/>
      <c r="U340" s="217"/>
      <c r="V340" s="331">
        <f>+IF(V339=11,12,IF(V339=12,1,V339+1))</f>
      </c>
      <c r="W340" s="331">
        <f>+W339+IF(V339=12,1,0)</f>
      </c>
      <c r="X340" s="555">
        <f>+DATE(W340,V340,1)</f>
        <v>25569.041666666668</v>
      </c>
      <c r="Y340" s="333">
        <f>+_xlfn.IFNA(AN340+AS340+AX340,0)</f>
      </c>
      <c r="Z340" s="333">
        <f>+_xlfn.IFNA(AO340+AT340+AY340,0)</f>
      </c>
      <c r="AA340" s="333">
        <f>Y340*(1+$O$5)^(($B$7-X340)/365.25)</f>
      </c>
      <c r="AB340" s="333">
        <f>Z340*(1+$O$5)^(($B$7-X340)/365.25)</f>
      </c>
      <c r="AC340" s="1"/>
      <c r="AD340" s="1"/>
      <c r="AE340" s="1"/>
      <c r="AF340" s="111">
        <f>+MONTH(E340)&amp;YEAR(E340)</f>
      </c>
      <c r="AG340" s="217">
        <f>+I340</f>
      </c>
      <c r="AH340" s="217">
        <f>+J340</f>
      </c>
      <c r="AI340" s="217">
        <f>+H340</f>
      </c>
      <c r="AJ340" s="111">
        <f>+V340&amp;W340</f>
      </c>
      <c r="AK340" s="217">
        <f>+_xlfn.IFNA(VLOOKUP(AJ340,$AF$7:$AG$1066,2,0),0)</f>
      </c>
      <c r="AL340" s="217">
        <f>+IF(W340&gt;W339,AK340,AL339+AK340)</f>
      </c>
      <c r="AM340" s="217">
        <f>IF(W340&gt;W339,IF(AL340&gt;=$AZ$8,$AZ$8,AL340),IF(OR(AM339=$AZ$8,AM339=0),0,IF(AL340&gt;=$AZ$8,$AZ$8,AL340)))</f>
      </c>
      <c r="AN340" s="748">
        <f>+IF(OR(AM340&gt;AZ339,AM340=0),0,IF(AM340=AL340,AK340,$AZ$7-AL339))</f>
      </c>
      <c r="AO340" s="748">
        <f>+AK340-AN340</f>
      </c>
      <c r="AP340" s="217">
        <f>+_xlfn.IFNA(VLOOKUP(AJ340,$AF$7:$AI$1066,3,0),0)</f>
      </c>
      <c r="AQ340" s="217">
        <f>+IF(W340&gt;W339,AP340,AQ339+AP340)</f>
      </c>
      <c r="AR340" s="217">
        <f>+MAX($AM$2-SUMIF($W$7:$W$1066,W340,$AN$7:$AN$1066),0)</f>
      </c>
      <c r="AS340" s="748">
        <f>+MAX(IF(AQ340&gt;AR340,AR340-AQ339,AP340),0)</f>
      </c>
      <c r="AT340" s="748">
        <f>+AP340-AS340</f>
      </c>
      <c r="AU340" s="217">
        <f>+_xlfn.IFNA(VLOOKUP(AJ340,$AF$7:$AI$1066,4,0),0)</f>
      </c>
      <c r="AV340" s="217">
        <f>+IF(W340&gt;W339,AU340,AV339+AU340)</f>
      </c>
      <c r="AW340" s="217">
        <f>+MAX($AM$2-SUMIF($W$7:$W$1066,W340,$AN$7:$AN$1066)-SUMIF($W$7:$W$1066,W340,$AS$7:$AS$1066),0)</f>
      </c>
      <c r="AX340" s="748">
        <f>+MAX(IF(AV340&gt;AW340,AW340-AV339,AU340),0)</f>
      </c>
      <c r="AY340" s="748">
        <f>+AU340-AX340</f>
      </c>
      <c r="AZ340" s="331">
        <f>+$AM$1+IF($AP$1&gt;$AP$2,$AM$3/2)</f>
      </c>
    </row>
    <row x14ac:dyDescent="0.25" r="341" customHeight="1" ht="18.75">
      <c r="A341" s="1"/>
      <c r="B341" s="7"/>
      <c r="C341" s="170"/>
      <c r="D341" s="331">
        <v>334</v>
      </c>
      <c r="E341" s="544">
        <f>+DATE(YEAR(E340),MONTH(E340)-1,DAY(E340))</f>
        <v>25569.041666666668</v>
      </c>
      <c r="F341" s="333">
        <f>IF(DATE(YEAR($B$6),MONTH($B$6)+1,DAY(1))=E341,1,IF(MONTH(E341)=1,F342*(1+$F$5),F342))</f>
      </c>
      <c r="G341" s="333">
        <f>IF('Simulador - 1º Pilar'!$E$99="Sí",IF('Aportaciones PPE'!$B$13&lt;'Aportaciones PPE'!E341,0,F341*$B$8/12),F341*$B$8/12)</f>
      </c>
      <c r="H341" s="333">
        <f>$H$5*G341</f>
      </c>
      <c r="I341" s="333">
        <f>$I$5*G341</f>
      </c>
      <c r="J341" s="333">
        <f>+I341</f>
      </c>
      <c r="K341" s="333">
        <f>(1+$O$5)^(D341/12)*(H341+IF(AND(F341=1,F342=0),$S$4,0))</f>
      </c>
      <c r="L341" s="333">
        <f>(1+$O$5)^(D341/12)*(I341+IF(AND(F341=1,F342=0),0))</f>
      </c>
      <c r="M341" s="333">
        <f>+L341</f>
      </c>
      <c r="N341" s="333">
        <f>L341+K341+M341</f>
      </c>
      <c r="O341" s="170"/>
      <c r="P341" s="7"/>
      <c r="Q341" s="1"/>
      <c r="R341" s="331">
        <f>D341</f>
      </c>
      <c r="S341" s="169"/>
      <c r="T341" s="1"/>
      <c r="U341" s="217"/>
      <c r="V341" s="331">
        <f>+IF(V340=11,12,IF(V340=12,1,V340+1))</f>
      </c>
      <c r="W341" s="331">
        <f>+W340+IF(V340=12,1,0)</f>
      </c>
      <c r="X341" s="555">
        <f>+DATE(W341,V341,1)</f>
        <v>25569.041666666668</v>
      </c>
      <c r="Y341" s="333">
        <f>+_xlfn.IFNA(AN341+AS341+AX341,0)</f>
      </c>
      <c r="Z341" s="333">
        <f>+_xlfn.IFNA(AO341+AT341+AY341,0)</f>
      </c>
      <c r="AA341" s="333">
        <f>Y341*(1+$O$5)^(($B$7-X341)/365.25)</f>
      </c>
      <c r="AB341" s="333">
        <f>Z341*(1+$O$5)^(($B$7-X341)/365.25)</f>
      </c>
      <c r="AC341" s="1"/>
      <c r="AD341" s="1"/>
      <c r="AE341" s="1"/>
      <c r="AF341" s="111">
        <f>+MONTH(E341)&amp;YEAR(E341)</f>
      </c>
      <c r="AG341" s="217">
        <f>+I341</f>
      </c>
      <c r="AH341" s="217">
        <f>+J341</f>
      </c>
      <c r="AI341" s="217">
        <f>+H341</f>
      </c>
      <c r="AJ341" s="111">
        <f>+V341&amp;W341</f>
      </c>
      <c r="AK341" s="217">
        <f>+_xlfn.IFNA(VLOOKUP(AJ341,$AF$7:$AG$1066,2,0),0)</f>
      </c>
      <c r="AL341" s="217">
        <f>+IF(W341&gt;W340,AK341,AL340+AK341)</f>
      </c>
      <c r="AM341" s="217">
        <f>IF(W341&gt;W340,IF(AL341&gt;=$AZ$8,$AZ$8,AL341),IF(OR(AM340=$AZ$8,AM340=0),0,IF(AL341&gt;=$AZ$8,$AZ$8,AL341)))</f>
      </c>
      <c r="AN341" s="748">
        <f>+IF(OR(AM341&gt;AZ340,AM341=0),0,IF(AM341=AL341,AK341,$AZ$7-AL340))</f>
      </c>
      <c r="AO341" s="748">
        <f>+AK341-AN341</f>
      </c>
      <c r="AP341" s="217">
        <f>+_xlfn.IFNA(VLOOKUP(AJ341,$AF$7:$AI$1066,3,0),0)</f>
      </c>
      <c r="AQ341" s="217">
        <f>+IF(W341&gt;W340,AP341,AQ340+AP341)</f>
      </c>
      <c r="AR341" s="217">
        <f>+MAX($AM$2-SUMIF($W$7:$W$1066,W341,$AN$7:$AN$1066),0)</f>
      </c>
      <c r="AS341" s="748">
        <f>+MAX(IF(AQ341&gt;AR341,AR341-AQ340,AP341),0)</f>
      </c>
      <c r="AT341" s="748">
        <f>+AP341-AS341</f>
      </c>
      <c r="AU341" s="217">
        <f>+_xlfn.IFNA(VLOOKUP(AJ341,$AF$7:$AI$1066,4,0),0)</f>
      </c>
      <c r="AV341" s="217">
        <f>+IF(W341&gt;W340,AU341,AV340+AU341)</f>
      </c>
      <c r="AW341" s="217">
        <f>+MAX($AM$2-SUMIF($W$7:$W$1066,W341,$AN$7:$AN$1066)-SUMIF($W$7:$W$1066,W341,$AS$7:$AS$1066),0)</f>
      </c>
      <c r="AX341" s="748">
        <f>+MAX(IF(AV341&gt;AW341,AW341-AV340,AU341),0)</f>
      </c>
      <c r="AY341" s="748">
        <f>+AU341-AX341</f>
      </c>
      <c r="AZ341" s="331">
        <f>+$AM$1+IF($AP$1&gt;$AP$2,$AM$3/2)</f>
      </c>
    </row>
    <row x14ac:dyDescent="0.25" r="342" customHeight="1" ht="18.75">
      <c r="A342" s="1"/>
      <c r="B342" s="7"/>
      <c r="C342" s="170"/>
      <c r="D342" s="331">
        <v>335</v>
      </c>
      <c r="E342" s="544">
        <f>+DATE(YEAR(E341),MONTH(E341)-1,DAY(E341))</f>
        <v>25569.041666666668</v>
      </c>
      <c r="F342" s="333">
        <f>IF(DATE(YEAR($B$6),MONTH($B$6)+1,DAY(1))=E342,1,IF(MONTH(E342)=1,F343*(1+$F$5),F343))</f>
      </c>
      <c r="G342" s="333">
        <f>IF('Simulador - 1º Pilar'!$E$99="Sí",IF('Aportaciones PPE'!$B$13&lt;'Aportaciones PPE'!E342,0,F342*$B$8/12),F342*$B$8/12)</f>
      </c>
      <c r="H342" s="333">
        <f>$H$5*G342</f>
      </c>
      <c r="I342" s="333">
        <f>$I$5*G342</f>
      </c>
      <c r="J342" s="333">
        <f>+I342</f>
      </c>
      <c r="K342" s="333">
        <f>(1+$O$5)^(D342/12)*(H342+IF(AND(F342=1,F343=0),$S$4,0))</f>
      </c>
      <c r="L342" s="333">
        <f>(1+$O$5)^(D342/12)*(I342+IF(AND(F342=1,F343=0),0))</f>
      </c>
      <c r="M342" s="333">
        <f>+L342</f>
      </c>
      <c r="N342" s="333">
        <f>L342+K342+M342</f>
      </c>
      <c r="O342" s="170"/>
      <c r="P342" s="7"/>
      <c r="Q342" s="1"/>
      <c r="R342" s="331">
        <f>D342</f>
      </c>
      <c r="S342" s="169"/>
      <c r="T342" s="1"/>
      <c r="U342" s="217"/>
      <c r="V342" s="331">
        <f>+IF(V341=11,12,IF(V341=12,1,V341+1))</f>
      </c>
      <c r="W342" s="331">
        <f>+W341+IF(V341=12,1,0)</f>
      </c>
      <c r="X342" s="555">
        <f>+DATE(W342,V342,1)</f>
        <v>25569.041666666668</v>
      </c>
      <c r="Y342" s="333">
        <f>+_xlfn.IFNA(AN342+AS342+AX342,0)</f>
      </c>
      <c r="Z342" s="333">
        <f>+_xlfn.IFNA(AO342+AT342+AY342,0)</f>
      </c>
      <c r="AA342" s="333">
        <f>Y342*(1+$O$5)^(($B$7-X342)/365.25)</f>
      </c>
      <c r="AB342" s="333">
        <f>Z342*(1+$O$5)^(($B$7-X342)/365.25)</f>
      </c>
      <c r="AC342" s="1"/>
      <c r="AD342" s="1"/>
      <c r="AE342" s="1"/>
      <c r="AF342" s="111">
        <f>+MONTH(E342)&amp;YEAR(E342)</f>
      </c>
      <c r="AG342" s="217">
        <f>+I342</f>
      </c>
      <c r="AH342" s="217">
        <f>+J342</f>
      </c>
      <c r="AI342" s="217">
        <f>+H342</f>
      </c>
      <c r="AJ342" s="111">
        <f>+V342&amp;W342</f>
      </c>
      <c r="AK342" s="217">
        <f>+_xlfn.IFNA(VLOOKUP(AJ342,$AF$7:$AG$1066,2,0),0)</f>
      </c>
      <c r="AL342" s="217">
        <f>+IF(W342&gt;W341,AK342,AL341+AK342)</f>
      </c>
      <c r="AM342" s="217">
        <f>IF(W342&gt;W341,IF(AL342&gt;=$AZ$8,$AZ$8,AL342),IF(OR(AM341=$AZ$8,AM341=0),0,IF(AL342&gt;=$AZ$8,$AZ$8,AL342)))</f>
      </c>
      <c r="AN342" s="748">
        <f>+IF(OR(AM342&gt;AZ341,AM342=0),0,IF(AM342=AL342,AK342,$AZ$7-AL341))</f>
      </c>
      <c r="AO342" s="748">
        <f>+AK342-AN342</f>
      </c>
      <c r="AP342" s="217">
        <f>+_xlfn.IFNA(VLOOKUP(AJ342,$AF$7:$AI$1066,3,0),0)</f>
      </c>
      <c r="AQ342" s="217">
        <f>+IF(W342&gt;W341,AP342,AQ341+AP342)</f>
      </c>
      <c r="AR342" s="217">
        <f>+MAX($AM$2-SUMIF($W$7:$W$1066,W342,$AN$7:$AN$1066),0)</f>
      </c>
      <c r="AS342" s="748">
        <f>+MAX(IF(AQ342&gt;AR342,AR342-AQ341,AP342),0)</f>
      </c>
      <c r="AT342" s="748">
        <f>+AP342-AS342</f>
      </c>
      <c r="AU342" s="217">
        <f>+_xlfn.IFNA(VLOOKUP(AJ342,$AF$7:$AI$1066,4,0),0)</f>
      </c>
      <c r="AV342" s="217">
        <f>+IF(W342&gt;W341,AU342,AV341+AU342)</f>
      </c>
      <c r="AW342" s="217">
        <f>+MAX($AM$2-SUMIF($W$7:$W$1066,W342,$AN$7:$AN$1066)-SUMIF($W$7:$W$1066,W342,$AS$7:$AS$1066),0)</f>
      </c>
      <c r="AX342" s="748">
        <f>+MAX(IF(AV342&gt;AW342,AW342-AV341,AU342),0)</f>
      </c>
      <c r="AY342" s="748">
        <f>+AU342-AX342</f>
      </c>
      <c r="AZ342" s="331">
        <f>+$AM$1+IF($AP$1&gt;$AP$2,$AM$3/2)</f>
      </c>
    </row>
    <row x14ac:dyDescent="0.25" r="343" customHeight="1" ht="18.75">
      <c r="A343" s="1"/>
      <c r="B343" s="7"/>
      <c r="C343" s="170"/>
      <c r="D343" s="331">
        <v>336</v>
      </c>
      <c r="E343" s="544">
        <f>+DATE(YEAR(E342),MONTH(E342)-1,DAY(E342))</f>
        <v>25569.041666666668</v>
      </c>
      <c r="F343" s="333">
        <f>IF(DATE(YEAR($B$6),MONTH($B$6)+1,DAY(1))=E343,1,IF(MONTH(E343)=1,F344*(1+$F$5),F344))</f>
      </c>
      <c r="G343" s="333">
        <f>IF('Simulador - 1º Pilar'!$E$99="Sí",IF('Aportaciones PPE'!$B$13&lt;'Aportaciones PPE'!E343,0,F343*$B$8/12),F343*$B$8/12)</f>
      </c>
      <c r="H343" s="333">
        <f>$H$5*G343</f>
      </c>
      <c r="I343" s="333">
        <f>$I$5*G343</f>
      </c>
      <c r="J343" s="333">
        <f>+I343</f>
      </c>
      <c r="K343" s="333">
        <f>(1+$O$5)^(D343/12)*(H343+IF(AND(F343=1,F344=0),$S$4,0))</f>
      </c>
      <c r="L343" s="333">
        <f>(1+$O$5)^(D343/12)*(I343+IF(AND(F343=1,F344=0),0))</f>
      </c>
      <c r="M343" s="333">
        <f>+L343</f>
      </c>
      <c r="N343" s="333">
        <f>L343+K343+M343</f>
      </c>
      <c r="O343" s="170"/>
      <c r="P343" s="7"/>
      <c r="Q343" s="1"/>
      <c r="R343" s="331">
        <f>D343</f>
      </c>
      <c r="S343" s="169"/>
      <c r="T343" s="1"/>
      <c r="U343" s="217"/>
      <c r="V343" s="331">
        <f>+IF(V342=11,12,IF(V342=12,1,V342+1))</f>
      </c>
      <c r="W343" s="331">
        <f>+W342+IF(V342=12,1,0)</f>
      </c>
      <c r="X343" s="555">
        <f>+DATE(W343,V343,1)</f>
        <v>25569.041666666668</v>
      </c>
      <c r="Y343" s="333">
        <f>+_xlfn.IFNA(AN343+AS343+AX343,0)</f>
      </c>
      <c r="Z343" s="333">
        <f>+_xlfn.IFNA(AO343+AT343+AY343,0)</f>
      </c>
      <c r="AA343" s="333">
        <f>Y343*(1+$O$5)^(($B$7-X343)/365.25)</f>
      </c>
      <c r="AB343" s="333">
        <f>Z343*(1+$O$5)^(($B$7-X343)/365.25)</f>
      </c>
      <c r="AC343" s="1"/>
      <c r="AD343" s="1"/>
      <c r="AE343" s="1"/>
      <c r="AF343" s="111">
        <f>+MONTH(E343)&amp;YEAR(E343)</f>
      </c>
      <c r="AG343" s="217">
        <f>+I343</f>
      </c>
      <c r="AH343" s="217">
        <f>+J343</f>
      </c>
      <c r="AI343" s="217">
        <f>+H343</f>
      </c>
      <c r="AJ343" s="111">
        <f>+V343&amp;W343</f>
      </c>
      <c r="AK343" s="217">
        <f>+_xlfn.IFNA(VLOOKUP(AJ343,$AF$7:$AG$1066,2,0),0)</f>
      </c>
      <c r="AL343" s="217">
        <f>+IF(W343&gt;W342,AK343,AL342+AK343)</f>
      </c>
      <c r="AM343" s="217">
        <f>IF(W343&gt;W342,IF(AL343&gt;=$AZ$8,$AZ$8,AL343),IF(OR(AM342=$AZ$8,AM342=0),0,IF(AL343&gt;=$AZ$8,$AZ$8,AL343)))</f>
      </c>
      <c r="AN343" s="748">
        <f>+IF(OR(AM343&gt;AZ342,AM343=0),0,IF(AM343=AL343,AK343,$AZ$7-AL342))</f>
      </c>
      <c r="AO343" s="748">
        <f>+AK343-AN343</f>
      </c>
      <c r="AP343" s="217">
        <f>+_xlfn.IFNA(VLOOKUP(AJ343,$AF$7:$AI$1066,3,0),0)</f>
      </c>
      <c r="AQ343" s="217">
        <f>+IF(W343&gt;W342,AP343,AQ342+AP343)</f>
      </c>
      <c r="AR343" s="217">
        <f>+MAX($AM$2-SUMIF($W$7:$W$1066,W343,$AN$7:$AN$1066),0)</f>
      </c>
      <c r="AS343" s="748">
        <f>+MAX(IF(AQ343&gt;AR343,AR343-AQ342,AP343),0)</f>
      </c>
      <c r="AT343" s="748">
        <f>+AP343-AS343</f>
      </c>
      <c r="AU343" s="217">
        <f>+_xlfn.IFNA(VLOOKUP(AJ343,$AF$7:$AI$1066,4,0),0)</f>
      </c>
      <c r="AV343" s="217">
        <f>+IF(W343&gt;W342,AU343,AV342+AU343)</f>
      </c>
      <c r="AW343" s="217">
        <f>+MAX($AM$2-SUMIF($W$7:$W$1066,W343,$AN$7:$AN$1066)-SUMIF($W$7:$W$1066,W343,$AS$7:$AS$1066),0)</f>
      </c>
      <c r="AX343" s="748">
        <f>+MAX(IF(AV343&gt;AW343,AW343-AV342,AU343),0)</f>
      </c>
      <c r="AY343" s="748">
        <f>+AU343-AX343</f>
      </c>
      <c r="AZ343" s="331">
        <f>+$AM$1+IF($AP$1&gt;$AP$2,$AM$3/2)</f>
      </c>
    </row>
    <row x14ac:dyDescent="0.25" r="344" customHeight="1" ht="18.75">
      <c r="A344" s="1"/>
      <c r="B344" s="7"/>
      <c r="C344" s="170"/>
      <c r="D344" s="331">
        <v>337</v>
      </c>
      <c r="E344" s="544">
        <f>+DATE(YEAR(E343),MONTH(E343)-1,DAY(E343))</f>
        <v>25569.041666666668</v>
      </c>
      <c r="F344" s="333">
        <f>IF(DATE(YEAR($B$6),MONTH($B$6)+1,DAY(1))=E344,1,IF(MONTH(E344)=1,F345*(1+$F$5),F345))</f>
      </c>
      <c r="G344" s="333">
        <f>IF('Simulador - 1º Pilar'!$E$99="Sí",IF('Aportaciones PPE'!$B$13&lt;'Aportaciones PPE'!E344,0,F344*$B$8/12),F344*$B$8/12)</f>
      </c>
      <c r="H344" s="333">
        <f>$H$5*G344</f>
      </c>
      <c r="I344" s="333">
        <f>$I$5*G344</f>
      </c>
      <c r="J344" s="333">
        <f>+I344</f>
      </c>
      <c r="K344" s="333">
        <f>(1+$O$5)^(D344/12)*(H344+IF(AND(F344=1,F345=0),$S$4,0))</f>
      </c>
      <c r="L344" s="333">
        <f>(1+$O$5)^(D344/12)*(I344+IF(AND(F344=1,F345=0),0))</f>
      </c>
      <c r="M344" s="333">
        <f>+L344</f>
      </c>
      <c r="N344" s="333">
        <f>L344+K344+M344</f>
      </c>
      <c r="O344" s="170"/>
      <c r="P344" s="7"/>
      <c r="Q344" s="1"/>
      <c r="R344" s="331">
        <f>D344</f>
      </c>
      <c r="S344" s="169"/>
      <c r="T344" s="1"/>
      <c r="U344" s="217"/>
      <c r="V344" s="331">
        <f>+IF(V343=11,12,IF(V343=12,1,V343+1))</f>
      </c>
      <c r="W344" s="331">
        <f>+W343+IF(V343=12,1,0)</f>
      </c>
      <c r="X344" s="555">
        <f>+DATE(W344,V344,1)</f>
        <v>25569.041666666668</v>
      </c>
      <c r="Y344" s="333">
        <f>+_xlfn.IFNA(AN344+AS344+AX344,0)</f>
      </c>
      <c r="Z344" s="333">
        <f>+_xlfn.IFNA(AO344+AT344+AY344,0)</f>
      </c>
      <c r="AA344" s="333">
        <f>Y344*(1+$O$5)^(($B$7-X344)/365.25)</f>
      </c>
      <c r="AB344" s="333">
        <f>Z344*(1+$O$5)^(($B$7-X344)/365.25)</f>
      </c>
      <c r="AC344" s="1"/>
      <c r="AD344" s="1"/>
      <c r="AE344" s="1"/>
      <c r="AF344" s="111">
        <f>+MONTH(E344)&amp;YEAR(E344)</f>
      </c>
      <c r="AG344" s="217">
        <f>+I344</f>
      </c>
      <c r="AH344" s="217">
        <f>+J344</f>
      </c>
      <c r="AI344" s="217">
        <f>+H344</f>
      </c>
      <c r="AJ344" s="111">
        <f>+V344&amp;W344</f>
      </c>
      <c r="AK344" s="217">
        <f>+_xlfn.IFNA(VLOOKUP(AJ344,$AF$7:$AG$1066,2,0),0)</f>
      </c>
      <c r="AL344" s="217">
        <f>+IF(W344&gt;W343,AK344,AL343+AK344)</f>
      </c>
      <c r="AM344" s="217">
        <f>IF(W344&gt;W343,IF(AL344&gt;=$AZ$8,$AZ$8,AL344),IF(OR(AM343=$AZ$8,AM343=0),0,IF(AL344&gt;=$AZ$8,$AZ$8,AL344)))</f>
      </c>
      <c r="AN344" s="748">
        <f>+IF(OR(AM344&gt;AZ343,AM344=0),0,IF(AM344=AL344,AK344,$AZ$7-AL343))</f>
      </c>
      <c r="AO344" s="748">
        <f>+AK344-AN344</f>
      </c>
      <c r="AP344" s="217">
        <f>+_xlfn.IFNA(VLOOKUP(AJ344,$AF$7:$AI$1066,3,0),0)</f>
      </c>
      <c r="AQ344" s="217">
        <f>+IF(W344&gt;W343,AP344,AQ343+AP344)</f>
      </c>
      <c r="AR344" s="217">
        <f>+MAX($AM$2-SUMIF($W$7:$W$1066,W344,$AN$7:$AN$1066),0)</f>
      </c>
      <c r="AS344" s="748">
        <f>+MAX(IF(AQ344&gt;AR344,AR344-AQ343,AP344),0)</f>
      </c>
      <c r="AT344" s="748">
        <f>+AP344-AS344</f>
      </c>
      <c r="AU344" s="217">
        <f>+_xlfn.IFNA(VLOOKUP(AJ344,$AF$7:$AI$1066,4,0),0)</f>
      </c>
      <c r="AV344" s="217">
        <f>+IF(W344&gt;W343,AU344,AV343+AU344)</f>
      </c>
      <c r="AW344" s="217">
        <f>+MAX($AM$2-SUMIF($W$7:$W$1066,W344,$AN$7:$AN$1066)-SUMIF($W$7:$W$1066,W344,$AS$7:$AS$1066),0)</f>
      </c>
      <c r="AX344" s="748">
        <f>+MAX(IF(AV344&gt;AW344,AW344-AV343,AU344),0)</f>
      </c>
      <c r="AY344" s="748">
        <f>+AU344-AX344</f>
      </c>
      <c r="AZ344" s="331">
        <f>+$AM$1+IF($AP$1&gt;$AP$2,$AM$3/2)</f>
      </c>
    </row>
    <row x14ac:dyDescent="0.25" r="345" customHeight="1" ht="18.75">
      <c r="A345" s="1"/>
      <c r="B345" s="7"/>
      <c r="C345" s="170"/>
      <c r="D345" s="331">
        <v>338</v>
      </c>
      <c r="E345" s="544">
        <f>+DATE(YEAR(E344),MONTH(E344)-1,DAY(E344))</f>
        <v>25569.041666666668</v>
      </c>
      <c r="F345" s="333">
        <f>IF(DATE(YEAR($B$6),MONTH($B$6)+1,DAY(1))=E345,1,IF(MONTH(E345)=1,F346*(1+$F$5),F346))</f>
      </c>
      <c r="G345" s="333">
        <f>IF('Simulador - 1º Pilar'!$E$99="Sí",IF('Aportaciones PPE'!$B$13&lt;'Aportaciones PPE'!E345,0,F345*$B$8/12),F345*$B$8/12)</f>
      </c>
      <c r="H345" s="333">
        <f>$H$5*G345</f>
      </c>
      <c r="I345" s="333">
        <f>$I$5*G345</f>
      </c>
      <c r="J345" s="333">
        <f>+I345</f>
      </c>
      <c r="K345" s="333">
        <f>(1+$O$5)^(D345/12)*(H345+IF(AND(F345=1,F346=0),$S$4,0))</f>
      </c>
      <c r="L345" s="333">
        <f>(1+$O$5)^(D345/12)*(I345+IF(AND(F345=1,F346=0),0))</f>
      </c>
      <c r="M345" s="333">
        <f>+L345</f>
      </c>
      <c r="N345" s="333">
        <f>L345+K345+M345</f>
      </c>
      <c r="O345" s="170"/>
      <c r="P345" s="7"/>
      <c r="Q345" s="1"/>
      <c r="R345" s="331">
        <f>D345</f>
      </c>
      <c r="S345" s="169"/>
      <c r="T345" s="1"/>
      <c r="U345" s="217"/>
      <c r="V345" s="331">
        <f>+IF(V344=11,12,IF(V344=12,1,V344+1))</f>
      </c>
      <c r="W345" s="331">
        <f>+W344+IF(V344=12,1,0)</f>
      </c>
      <c r="X345" s="555">
        <f>+DATE(W345,V345,1)</f>
        <v>25569.041666666668</v>
      </c>
      <c r="Y345" s="333">
        <f>+_xlfn.IFNA(AN345+AS345+AX345,0)</f>
      </c>
      <c r="Z345" s="333">
        <f>+_xlfn.IFNA(AO345+AT345+AY345,0)</f>
      </c>
      <c r="AA345" s="333">
        <f>Y345*(1+$O$5)^(($B$7-X345)/365.25)</f>
      </c>
      <c r="AB345" s="333">
        <f>Z345*(1+$O$5)^(($B$7-X345)/365.25)</f>
      </c>
      <c r="AC345" s="1"/>
      <c r="AD345" s="1"/>
      <c r="AE345" s="1"/>
      <c r="AF345" s="111">
        <f>+MONTH(E345)&amp;YEAR(E345)</f>
      </c>
      <c r="AG345" s="217">
        <f>+I345</f>
      </c>
      <c r="AH345" s="217">
        <f>+J345</f>
      </c>
      <c r="AI345" s="217">
        <f>+H345</f>
      </c>
      <c r="AJ345" s="111">
        <f>+V345&amp;W345</f>
      </c>
      <c r="AK345" s="217">
        <f>+_xlfn.IFNA(VLOOKUP(AJ345,$AF$7:$AG$1066,2,0),0)</f>
      </c>
      <c r="AL345" s="217">
        <f>+IF(W345&gt;W344,AK345,AL344+AK345)</f>
      </c>
      <c r="AM345" s="217">
        <f>IF(W345&gt;W344,IF(AL345&gt;=$AZ$8,$AZ$8,AL345),IF(OR(AM344=$AZ$8,AM344=0),0,IF(AL345&gt;=$AZ$8,$AZ$8,AL345)))</f>
      </c>
      <c r="AN345" s="748">
        <f>+IF(OR(AM345&gt;AZ344,AM345=0),0,IF(AM345=AL345,AK345,$AZ$7-AL344))</f>
      </c>
      <c r="AO345" s="748">
        <f>+AK345-AN345</f>
      </c>
      <c r="AP345" s="217">
        <f>+_xlfn.IFNA(VLOOKUP(AJ345,$AF$7:$AI$1066,3,0),0)</f>
      </c>
      <c r="AQ345" s="217">
        <f>+IF(W345&gt;W344,AP345,AQ344+AP345)</f>
      </c>
      <c r="AR345" s="217">
        <f>+MAX($AM$2-SUMIF($W$7:$W$1066,W345,$AN$7:$AN$1066),0)</f>
      </c>
      <c r="AS345" s="748">
        <f>+MAX(IF(AQ345&gt;AR345,AR345-AQ344,AP345),0)</f>
      </c>
      <c r="AT345" s="748">
        <f>+AP345-AS345</f>
      </c>
      <c r="AU345" s="217">
        <f>+_xlfn.IFNA(VLOOKUP(AJ345,$AF$7:$AI$1066,4,0),0)</f>
      </c>
      <c r="AV345" s="217">
        <f>+IF(W345&gt;W344,AU345,AV344+AU345)</f>
      </c>
      <c r="AW345" s="217">
        <f>+MAX($AM$2-SUMIF($W$7:$W$1066,W345,$AN$7:$AN$1066)-SUMIF($W$7:$W$1066,W345,$AS$7:$AS$1066),0)</f>
      </c>
      <c r="AX345" s="748">
        <f>+MAX(IF(AV345&gt;AW345,AW345-AV344,AU345),0)</f>
      </c>
      <c r="AY345" s="748">
        <f>+AU345-AX345</f>
      </c>
      <c r="AZ345" s="331">
        <f>+$AM$1+IF($AP$1&gt;$AP$2,$AM$3/2)</f>
      </c>
    </row>
    <row x14ac:dyDescent="0.25" r="346" customHeight="1" ht="18.75">
      <c r="A346" s="1"/>
      <c r="B346" s="7"/>
      <c r="C346" s="170"/>
      <c r="D346" s="331">
        <v>339</v>
      </c>
      <c r="E346" s="544">
        <f>+DATE(YEAR(E345),MONTH(E345)-1,DAY(E345))</f>
        <v>25569.041666666668</v>
      </c>
      <c r="F346" s="333">
        <f>IF(DATE(YEAR($B$6),MONTH($B$6)+1,DAY(1))=E346,1,IF(MONTH(E346)=1,F347*(1+$F$5),F347))</f>
      </c>
      <c r="G346" s="333">
        <f>IF('Simulador - 1º Pilar'!$E$99="Sí",IF('Aportaciones PPE'!$B$13&lt;'Aportaciones PPE'!E346,0,F346*$B$8/12),F346*$B$8/12)</f>
      </c>
      <c r="H346" s="333">
        <f>$H$5*G346</f>
      </c>
      <c r="I346" s="333">
        <f>$I$5*G346</f>
      </c>
      <c r="J346" s="333">
        <f>+I346</f>
      </c>
      <c r="K346" s="333">
        <f>(1+$O$5)^(D346/12)*(H346+IF(AND(F346=1,F347=0),$S$4,0))</f>
      </c>
      <c r="L346" s="333">
        <f>(1+$O$5)^(D346/12)*(I346+IF(AND(F346=1,F347=0),0))</f>
      </c>
      <c r="M346" s="333">
        <f>+L346</f>
      </c>
      <c r="N346" s="333">
        <f>L346+K346+M346</f>
      </c>
      <c r="O346" s="170"/>
      <c r="P346" s="7"/>
      <c r="Q346" s="1"/>
      <c r="R346" s="331">
        <f>D346</f>
      </c>
      <c r="S346" s="169"/>
      <c r="T346" s="1"/>
      <c r="U346" s="217"/>
      <c r="V346" s="331">
        <f>+IF(V345=11,12,IF(V345=12,1,V345+1))</f>
      </c>
      <c r="W346" s="331">
        <f>+W345+IF(V345=12,1,0)</f>
      </c>
      <c r="X346" s="555">
        <f>+DATE(W346,V346,1)</f>
        <v>25569.041666666668</v>
      </c>
      <c r="Y346" s="333">
        <f>+_xlfn.IFNA(AN346+AS346+AX346,0)</f>
      </c>
      <c r="Z346" s="333">
        <f>+_xlfn.IFNA(AO346+AT346+AY346,0)</f>
      </c>
      <c r="AA346" s="333">
        <f>Y346*(1+$O$5)^(($B$7-X346)/365.25)</f>
      </c>
      <c r="AB346" s="333">
        <f>Z346*(1+$O$5)^(($B$7-X346)/365.25)</f>
      </c>
      <c r="AC346" s="1"/>
      <c r="AD346" s="1"/>
      <c r="AE346" s="1"/>
      <c r="AF346" s="111">
        <f>+MONTH(E346)&amp;YEAR(E346)</f>
      </c>
      <c r="AG346" s="217">
        <f>+I346</f>
      </c>
      <c r="AH346" s="217">
        <f>+J346</f>
      </c>
      <c r="AI346" s="217">
        <f>+H346</f>
      </c>
      <c r="AJ346" s="111">
        <f>+V346&amp;W346</f>
      </c>
      <c r="AK346" s="217">
        <f>+_xlfn.IFNA(VLOOKUP(AJ346,$AF$7:$AG$1066,2,0),0)</f>
      </c>
      <c r="AL346" s="217">
        <f>+IF(W346&gt;W345,AK346,AL345+AK346)</f>
      </c>
      <c r="AM346" s="217">
        <f>IF(W346&gt;W345,IF(AL346&gt;=$AZ$8,$AZ$8,AL346),IF(OR(AM345=$AZ$8,AM345=0),0,IF(AL346&gt;=$AZ$8,$AZ$8,AL346)))</f>
      </c>
      <c r="AN346" s="748">
        <f>+IF(OR(AM346&gt;AZ345,AM346=0),0,IF(AM346=AL346,AK346,$AZ$7-AL345))</f>
      </c>
      <c r="AO346" s="748">
        <f>+AK346-AN346</f>
      </c>
      <c r="AP346" s="217">
        <f>+_xlfn.IFNA(VLOOKUP(AJ346,$AF$7:$AI$1066,3,0),0)</f>
      </c>
      <c r="AQ346" s="217">
        <f>+IF(W346&gt;W345,AP346,AQ345+AP346)</f>
      </c>
      <c r="AR346" s="217">
        <f>+MAX($AM$2-SUMIF($W$7:$W$1066,W346,$AN$7:$AN$1066),0)</f>
      </c>
      <c r="AS346" s="748">
        <f>+MAX(IF(AQ346&gt;AR346,AR346-AQ345,AP346),0)</f>
      </c>
      <c r="AT346" s="748">
        <f>+AP346-AS346</f>
      </c>
      <c r="AU346" s="217">
        <f>+_xlfn.IFNA(VLOOKUP(AJ346,$AF$7:$AI$1066,4,0),0)</f>
      </c>
      <c r="AV346" s="217">
        <f>+IF(W346&gt;W345,AU346,AV345+AU346)</f>
      </c>
      <c r="AW346" s="217">
        <f>+MAX($AM$2-SUMIF($W$7:$W$1066,W346,$AN$7:$AN$1066)-SUMIF($W$7:$W$1066,W346,$AS$7:$AS$1066),0)</f>
      </c>
      <c r="AX346" s="748">
        <f>+MAX(IF(AV346&gt;AW346,AW346-AV345,AU346),0)</f>
      </c>
      <c r="AY346" s="748">
        <f>+AU346-AX346</f>
      </c>
      <c r="AZ346" s="331">
        <f>+$AM$1+IF($AP$1&gt;$AP$2,$AM$3/2)</f>
      </c>
    </row>
    <row x14ac:dyDescent="0.25" r="347" customHeight="1" ht="18.75">
      <c r="A347" s="1"/>
      <c r="B347" s="7"/>
      <c r="C347" s="170"/>
      <c r="D347" s="331">
        <v>340</v>
      </c>
      <c r="E347" s="544">
        <f>+DATE(YEAR(E346),MONTH(E346)-1,DAY(E346))</f>
        <v>25569.041666666668</v>
      </c>
      <c r="F347" s="333">
        <f>IF(DATE(YEAR($B$6),MONTH($B$6)+1,DAY(1))=E347,1,IF(MONTH(E347)=1,F348*(1+$F$5),F348))</f>
      </c>
      <c r="G347" s="333">
        <f>IF('Simulador - 1º Pilar'!$E$99="Sí",IF('Aportaciones PPE'!$B$13&lt;'Aportaciones PPE'!E347,0,F347*$B$8/12),F347*$B$8/12)</f>
      </c>
      <c r="H347" s="333">
        <f>$H$5*G347</f>
      </c>
      <c r="I347" s="333">
        <f>$I$5*G347</f>
      </c>
      <c r="J347" s="333">
        <f>+I347</f>
      </c>
      <c r="K347" s="333">
        <f>(1+$O$5)^(D347/12)*(H347+IF(AND(F347=1,F348=0),$S$4,0))</f>
      </c>
      <c r="L347" s="333">
        <f>(1+$O$5)^(D347/12)*(I347+IF(AND(F347=1,F348=0),0))</f>
      </c>
      <c r="M347" s="333">
        <f>+L347</f>
      </c>
      <c r="N347" s="333">
        <f>L347+K347+M347</f>
      </c>
      <c r="O347" s="170"/>
      <c r="P347" s="7"/>
      <c r="Q347" s="1"/>
      <c r="R347" s="331">
        <f>D347</f>
      </c>
      <c r="S347" s="169"/>
      <c r="T347" s="1"/>
      <c r="U347" s="217"/>
      <c r="V347" s="331">
        <f>+IF(V346=11,12,IF(V346=12,1,V346+1))</f>
      </c>
      <c r="W347" s="331">
        <f>+W346+IF(V346=12,1,0)</f>
      </c>
      <c r="X347" s="555">
        <f>+DATE(W347,V347,1)</f>
        <v>25569.041666666668</v>
      </c>
      <c r="Y347" s="333">
        <f>+_xlfn.IFNA(AN347+AS347+AX347,0)</f>
      </c>
      <c r="Z347" s="333">
        <f>+_xlfn.IFNA(AO347+AT347+AY347,0)</f>
      </c>
      <c r="AA347" s="333">
        <f>Y347*(1+$O$5)^(($B$7-X347)/365.25)</f>
      </c>
      <c r="AB347" s="333">
        <f>Z347*(1+$O$5)^(($B$7-X347)/365.25)</f>
      </c>
      <c r="AC347" s="1"/>
      <c r="AD347" s="1"/>
      <c r="AE347" s="1"/>
      <c r="AF347" s="111">
        <f>+MONTH(E347)&amp;YEAR(E347)</f>
      </c>
      <c r="AG347" s="217">
        <f>+I347</f>
      </c>
      <c r="AH347" s="217">
        <f>+J347</f>
      </c>
      <c r="AI347" s="217">
        <f>+H347</f>
      </c>
      <c r="AJ347" s="111">
        <f>+V347&amp;W347</f>
      </c>
      <c r="AK347" s="217">
        <f>+_xlfn.IFNA(VLOOKUP(AJ347,$AF$7:$AG$1066,2,0),0)</f>
      </c>
      <c r="AL347" s="217">
        <f>+IF(W347&gt;W346,AK347,AL346+AK347)</f>
      </c>
      <c r="AM347" s="217">
        <f>IF(W347&gt;W346,IF(AL347&gt;=$AZ$8,$AZ$8,AL347),IF(OR(AM346=$AZ$8,AM346=0),0,IF(AL347&gt;=$AZ$8,$AZ$8,AL347)))</f>
      </c>
      <c r="AN347" s="748">
        <f>+IF(OR(AM347&gt;AZ346,AM347=0),0,IF(AM347=AL347,AK347,$AZ$7-AL346))</f>
      </c>
      <c r="AO347" s="748">
        <f>+AK347-AN347</f>
      </c>
      <c r="AP347" s="217">
        <f>+_xlfn.IFNA(VLOOKUP(AJ347,$AF$7:$AI$1066,3,0),0)</f>
      </c>
      <c r="AQ347" s="217">
        <f>+IF(W347&gt;W346,AP347,AQ346+AP347)</f>
      </c>
      <c r="AR347" s="217">
        <f>+MAX($AM$2-SUMIF($W$7:$W$1066,W347,$AN$7:$AN$1066),0)</f>
      </c>
      <c r="AS347" s="748">
        <f>+MAX(IF(AQ347&gt;AR347,AR347-AQ346,AP347),0)</f>
      </c>
      <c r="AT347" s="748">
        <f>+AP347-AS347</f>
      </c>
      <c r="AU347" s="217">
        <f>+_xlfn.IFNA(VLOOKUP(AJ347,$AF$7:$AI$1066,4,0),0)</f>
      </c>
      <c r="AV347" s="217">
        <f>+IF(W347&gt;W346,AU347,AV346+AU347)</f>
      </c>
      <c r="AW347" s="217">
        <f>+MAX($AM$2-SUMIF($W$7:$W$1066,W347,$AN$7:$AN$1066)-SUMIF($W$7:$W$1066,W347,$AS$7:$AS$1066),0)</f>
      </c>
      <c r="AX347" s="748">
        <f>+MAX(IF(AV347&gt;AW347,AW347-AV346,AU347),0)</f>
      </c>
      <c r="AY347" s="748">
        <f>+AU347-AX347</f>
      </c>
      <c r="AZ347" s="331">
        <f>+$AM$1+IF($AP$1&gt;$AP$2,$AM$3/2)</f>
      </c>
    </row>
    <row x14ac:dyDescent="0.25" r="348" customHeight="1" ht="18.75">
      <c r="A348" s="1"/>
      <c r="B348" s="7"/>
      <c r="C348" s="170"/>
      <c r="D348" s="331">
        <v>341</v>
      </c>
      <c r="E348" s="544">
        <f>+DATE(YEAR(E347),MONTH(E347)-1,DAY(E347))</f>
        <v>25569.041666666668</v>
      </c>
      <c r="F348" s="333">
        <f>IF(DATE(YEAR($B$6),MONTH($B$6)+1,DAY(1))=E348,1,IF(MONTH(E348)=1,F349*(1+$F$5),F349))</f>
      </c>
      <c r="G348" s="333">
        <f>IF('Simulador - 1º Pilar'!$E$99="Sí",IF('Aportaciones PPE'!$B$13&lt;'Aportaciones PPE'!E348,0,F348*$B$8/12),F348*$B$8/12)</f>
      </c>
      <c r="H348" s="333">
        <f>$H$5*G348</f>
      </c>
      <c r="I348" s="333">
        <f>$I$5*G348</f>
      </c>
      <c r="J348" s="333">
        <f>+I348</f>
      </c>
      <c r="K348" s="333">
        <f>(1+$O$5)^(D348/12)*(H348+IF(AND(F348=1,F349=0),$S$4,0))</f>
      </c>
      <c r="L348" s="333">
        <f>(1+$O$5)^(D348/12)*(I348+IF(AND(F348=1,F349=0),0))</f>
      </c>
      <c r="M348" s="333">
        <f>+L348</f>
      </c>
      <c r="N348" s="333">
        <f>L348+K348+M348</f>
      </c>
      <c r="O348" s="170"/>
      <c r="P348" s="7"/>
      <c r="Q348" s="1"/>
      <c r="R348" s="331">
        <f>D348</f>
      </c>
      <c r="S348" s="169"/>
      <c r="T348" s="1"/>
      <c r="U348" s="217"/>
      <c r="V348" s="331">
        <f>+IF(V347=11,12,IF(V347=12,1,V347+1))</f>
      </c>
      <c r="W348" s="331">
        <f>+W347+IF(V347=12,1,0)</f>
      </c>
      <c r="X348" s="555">
        <f>+DATE(W348,V348,1)</f>
        <v>25569.041666666668</v>
      </c>
      <c r="Y348" s="333">
        <f>+_xlfn.IFNA(AN348+AS348+AX348,0)</f>
      </c>
      <c r="Z348" s="333">
        <f>+_xlfn.IFNA(AO348+AT348+AY348,0)</f>
      </c>
      <c r="AA348" s="333">
        <f>Y348*(1+$O$5)^(($B$7-X348)/365.25)</f>
      </c>
      <c r="AB348" s="333">
        <f>Z348*(1+$O$5)^(($B$7-X348)/365.25)</f>
      </c>
      <c r="AC348" s="1"/>
      <c r="AD348" s="1"/>
      <c r="AE348" s="1"/>
      <c r="AF348" s="111">
        <f>+MONTH(E348)&amp;YEAR(E348)</f>
      </c>
      <c r="AG348" s="217">
        <f>+I348</f>
      </c>
      <c r="AH348" s="217">
        <f>+J348</f>
      </c>
      <c r="AI348" s="217">
        <f>+H348</f>
      </c>
      <c r="AJ348" s="111">
        <f>+V348&amp;W348</f>
      </c>
      <c r="AK348" s="217">
        <f>+_xlfn.IFNA(VLOOKUP(AJ348,$AF$7:$AG$1066,2,0),0)</f>
      </c>
      <c r="AL348" s="217">
        <f>+IF(W348&gt;W347,AK348,AL347+AK348)</f>
      </c>
      <c r="AM348" s="217">
        <f>IF(W348&gt;W347,IF(AL348&gt;=$AZ$8,$AZ$8,AL348),IF(OR(AM347=$AZ$8,AM347=0),0,IF(AL348&gt;=$AZ$8,$AZ$8,AL348)))</f>
      </c>
      <c r="AN348" s="748">
        <f>+IF(OR(AM348&gt;AZ347,AM348=0),0,IF(AM348=AL348,AK348,$AZ$7-AL347))</f>
      </c>
      <c r="AO348" s="748">
        <f>+AK348-AN348</f>
      </c>
      <c r="AP348" s="217">
        <f>+_xlfn.IFNA(VLOOKUP(AJ348,$AF$7:$AI$1066,3,0),0)</f>
      </c>
      <c r="AQ348" s="217">
        <f>+IF(W348&gt;W347,AP348,AQ347+AP348)</f>
      </c>
      <c r="AR348" s="217">
        <f>+MAX($AM$2-SUMIF($W$7:$W$1066,W348,$AN$7:$AN$1066),0)</f>
      </c>
      <c r="AS348" s="748">
        <f>+MAX(IF(AQ348&gt;AR348,AR348-AQ347,AP348),0)</f>
      </c>
      <c r="AT348" s="748">
        <f>+AP348-AS348</f>
      </c>
      <c r="AU348" s="217">
        <f>+_xlfn.IFNA(VLOOKUP(AJ348,$AF$7:$AI$1066,4,0),0)</f>
      </c>
      <c r="AV348" s="217">
        <f>+IF(W348&gt;W347,AU348,AV347+AU348)</f>
      </c>
      <c r="AW348" s="217">
        <f>+MAX($AM$2-SUMIF($W$7:$W$1066,W348,$AN$7:$AN$1066)-SUMIF($W$7:$W$1066,W348,$AS$7:$AS$1066),0)</f>
      </c>
      <c r="AX348" s="748">
        <f>+MAX(IF(AV348&gt;AW348,AW348-AV347,AU348),0)</f>
      </c>
      <c r="AY348" s="748">
        <f>+AU348-AX348</f>
      </c>
      <c r="AZ348" s="331">
        <f>+$AM$1+IF($AP$1&gt;$AP$2,$AM$3/2)</f>
      </c>
    </row>
    <row x14ac:dyDescent="0.25" r="349" customHeight="1" ht="18.75">
      <c r="A349" s="1"/>
      <c r="B349" s="7"/>
      <c r="C349" s="170"/>
      <c r="D349" s="331">
        <v>342</v>
      </c>
      <c r="E349" s="544">
        <f>+DATE(YEAR(E348),MONTH(E348)-1,DAY(E348))</f>
        <v>25569.041666666668</v>
      </c>
      <c r="F349" s="333">
        <f>IF(DATE(YEAR($B$6),MONTH($B$6)+1,DAY(1))=E349,1,IF(MONTH(E349)=1,F350*(1+$F$5),F350))</f>
      </c>
      <c r="G349" s="333">
        <f>IF('Simulador - 1º Pilar'!$E$99="Sí",IF('Aportaciones PPE'!$B$13&lt;'Aportaciones PPE'!E349,0,F349*$B$8/12),F349*$B$8/12)</f>
      </c>
      <c r="H349" s="333">
        <f>$H$5*G349</f>
      </c>
      <c r="I349" s="333">
        <f>$I$5*G349</f>
      </c>
      <c r="J349" s="333">
        <f>+I349</f>
      </c>
      <c r="K349" s="333">
        <f>(1+$O$5)^(D349/12)*(H349+IF(AND(F349=1,F350=0),$S$4,0))</f>
      </c>
      <c r="L349" s="333">
        <f>(1+$O$5)^(D349/12)*(I349+IF(AND(F349=1,F350=0),0))</f>
      </c>
      <c r="M349" s="333">
        <f>+L349</f>
      </c>
      <c r="N349" s="333">
        <f>L349+K349+M349</f>
      </c>
      <c r="O349" s="170"/>
      <c r="P349" s="7"/>
      <c r="Q349" s="1"/>
      <c r="R349" s="331">
        <f>D349</f>
      </c>
      <c r="S349" s="169"/>
      <c r="T349" s="1"/>
      <c r="U349" s="217"/>
      <c r="V349" s="331">
        <f>+IF(V348=11,12,IF(V348=12,1,V348+1))</f>
      </c>
      <c r="W349" s="331">
        <f>+W348+IF(V348=12,1,0)</f>
      </c>
      <c r="X349" s="555">
        <f>+DATE(W349,V349,1)</f>
        <v>25569.041666666668</v>
      </c>
      <c r="Y349" s="333">
        <f>+_xlfn.IFNA(AN349+AS349+AX349,0)</f>
      </c>
      <c r="Z349" s="333">
        <f>+_xlfn.IFNA(AO349+AT349+AY349,0)</f>
      </c>
      <c r="AA349" s="333">
        <f>Y349*(1+$O$5)^(($B$7-X349)/365.25)</f>
      </c>
      <c r="AB349" s="333">
        <f>Z349*(1+$O$5)^(($B$7-X349)/365.25)</f>
      </c>
      <c r="AC349" s="1"/>
      <c r="AD349" s="1"/>
      <c r="AE349" s="1"/>
      <c r="AF349" s="111">
        <f>+MONTH(E349)&amp;YEAR(E349)</f>
      </c>
      <c r="AG349" s="217">
        <f>+I349</f>
      </c>
      <c r="AH349" s="217">
        <f>+J349</f>
      </c>
      <c r="AI349" s="217">
        <f>+H349</f>
      </c>
      <c r="AJ349" s="111">
        <f>+V349&amp;W349</f>
      </c>
      <c r="AK349" s="217">
        <f>+_xlfn.IFNA(VLOOKUP(AJ349,$AF$7:$AG$1066,2,0),0)</f>
      </c>
      <c r="AL349" s="217">
        <f>+IF(W349&gt;W348,AK349,AL348+AK349)</f>
      </c>
      <c r="AM349" s="217">
        <f>IF(W349&gt;W348,IF(AL349&gt;=$AZ$8,$AZ$8,AL349),IF(OR(AM348=$AZ$8,AM348=0),0,IF(AL349&gt;=$AZ$8,$AZ$8,AL349)))</f>
      </c>
      <c r="AN349" s="748">
        <f>+IF(OR(AM349&gt;AZ348,AM349=0),0,IF(AM349=AL349,AK349,$AZ$7-AL348))</f>
      </c>
      <c r="AO349" s="748">
        <f>+AK349-AN349</f>
      </c>
      <c r="AP349" s="217">
        <f>+_xlfn.IFNA(VLOOKUP(AJ349,$AF$7:$AI$1066,3,0),0)</f>
      </c>
      <c r="AQ349" s="217">
        <f>+IF(W349&gt;W348,AP349,AQ348+AP349)</f>
      </c>
      <c r="AR349" s="217">
        <f>+MAX($AM$2-SUMIF($W$7:$W$1066,W349,$AN$7:$AN$1066),0)</f>
      </c>
      <c r="AS349" s="748">
        <f>+MAX(IF(AQ349&gt;AR349,AR349-AQ348,AP349),0)</f>
      </c>
      <c r="AT349" s="748">
        <f>+AP349-AS349</f>
      </c>
      <c r="AU349" s="217">
        <f>+_xlfn.IFNA(VLOOKUP(AJ349,$AF$7:$AI$1066,4,0),0)</f>
      </c>
      <c r="AV349" s="217">
        <f>+IF(W349&gt;W348,AU349,AV348+AU349)</f>
      </c>
      <c r="AW349" s="217">
        <f>+MAX($AM$2-SUMIF($W$7:$W$1066,W349,$AN$7:$AN$1066)-SUMIF($W$7:$W$1066,W349,$AS$7:$AS$1066),0)</f>
      </c>
      <c r="AX349" s="748">
        <f>+MAX(IF(AV349&gt;AW349,AW349-AV348,AU349),0)</f>
      </c>
      <c r="AY349" s="748">
        <f>+AU349-AX349</f>
      </c>
      <c r="AZ349" s="331">
        <f>+$AM$1+IF($AP$1&gt;$AP$2,$AM$3/2)</f>
      </c>
    </row>
    <row x14ac:dyDescent="0.25" r="350" customHeight="1" ht="18.75">
      <c r="A350" s="1"/>
      <c r="B350" s="7"/>
      <c r="C350" s="170"/>
      <c r="D350" s="331">
        <v>343</v>
      </c>
      <c r="E350" s="544">
        <f>+DATE(YEAR(E349),MONTH(E349)-1,DAY(E349))</f>
        <v>25569.041666666668</v>
      </c>
      <c r="F350" s="333">
        <f>IF(DATE(YEAR($B$6),MONTH($B$6)+1,DAY(1))=E350,1,IF(MONTH(E350)=1,F351*(1+$F$5),F351))</f>
      </c>
      <c r="G350" s="333">
        <f>IF('Simulador - 1º Pilar'!$E$99="Sí",IF('Aportaciones PPE'!$B$13&lt;'Aportaciones PPE'!E350,0,F350*$B$8/12),F350*$B$8/12)</f>
      </c>
      <c r="H350" s="333">
        <f>$H$5*G350</f>
      </c>
      <c r="I350" s="333">
        <f>$I$5*G350</f>
      </c>
      <c r="J350" s="333">
        <f>+I350</f>
      </c>
      <c r="K350" s="333">
        <f>(1+$O$5)^(D350/12)*(H350+IF(AND(F350=1,F351=0),$S$4,0))</f>
      </c>
      <c r="L350" s="333">
        <f>(1+$O$5)^(D350/12)*(I350+IF(AND(F350=1,F351=0),0))</f>
      </c>
      <c r="M350" s="333">
        <f>+L350</f>
      </c>
      <c r="N350" s="333">
        <f>L350+K350+M350</f>
      </c>
      <c r="O350" s="170"/>
      <c r="P350" s="7"/>
      <c r="Q350" s="1"/>
      <c r="R350" s="331">
        <f>D350</f>
      </c>
      <c r="S350" s="169"/>
      <c r="T350" s="1"/>
      <c r="U350" s="217"/>
      <c r="V350" s="331">
        <f>+IF(V349=11,12,IF(V349=12,1,V349+1))</f>
      </c>
      <c r="W350" s="331">
        <f>+W349+IF(V349=12,1,0)</f>
      </c>
      <c r="X350" s="555">
        <f>+DATE(W350,V350,1)</f>
        <v>25569.041666666668</v>
      </c>
      <c r="Y350" s="333">
        <f>+_xlfn.IFNA(AN350+AS350+AX350,0)</f>
      </c>
      <c r="Z350" s="333">
        <f>+_xlfn.IFNA(AO350+AT350+AY350,0)</f>
      </c>
      <c r="AA350" s="333">
        <f>Y350*(1+$O$5)^(($B$7-X350)/365.25)</f>
      </c>
      <c r="AB350" s="333">
        <f>Z350*(1+$O$5)^(($B$7-X350)/365.25)</f>
      </c>
      <c r="AC350" s="1"/>
      <c r="AD350" s="1"/>
      <c r="AE350" s="1"/>
      <c r="AF350" s="111">
        <f>+MONTH(E350)&amp;YEAR(E350)</f>
      </c>
      <c r="AG350" s="217">
        <f>+I350</f>
      </c>
      <c r="AH350" s="217">
        <f>+J350</f>
      </c>
      <c r="AI350" s="217">
        <f>+H350</f>
      </c>
      <c r="AJ350" s="111">
        <f>+V350&amp;W350</f>
      </c>
      <c r="AK350" s="217">
        <f>+_xlfn.IFNA(VLOOKUP(AJ350,$AF$7:$AG$1066,2,0),0)</f>
      </c>
      <c r="AL350" s="217">
        <f>+IF(W350&gt;W349,AK350,AL349+AK350)</f>
      </c>
      <c r="AM350" s="217">
        <f>IF(W350&gt;W349,IF(AL350&gt;=$AZ$8,$AZ$8,AL350),IF(OR(AM349=$AZ$8,AM349=0),0,IF(AL350&gt;=$AZ$8,$AZ$8,AL350)))</f>
      </c>
      <c r="AN350" s="748">
        <f>+IF(OR(AM350&gt;AZ349,AM350=0),0,IF(AM350=AL350,AK350,$AZ$7-AL349))</f>
      </c>
      <c r="AO350" s="748">
        <f>+AK350-AN350</f>
      </c>
      <c r="AP350" s="217">
        <f>+_xlfn.IFNA(VLOOKUP(AJ350,$AF$7:$AI$1066,3,0),0)</f>
      </c>
      <c r="AQ350" s="217">
        <f>+IF(W350&gt;W349,AP350,AQ349+AP350)</f>
      </c>
      <c r="AR350" s="217">
        <f>+MAX($AM$2-SUMIF($W$7:$W$1066,W350,$AN$7:$AN$1066),0)</f>
      </c>
      <c r="AS350" s="748">
        <f>+MAX(IF(AQ350&gt;AR350,AR350-AQ349,AP350),0)</f>
      </c>
      <c r="AT350" s="748">
        <f>+AP350-AS350</f>
      </c>
      <c r="AU350" s="217">
        <f>+_xlfn.IFNA(VLOOKUP(AJ350,$AF$7:$AI$1066,4,0),0)</f>
      </c>
      <c r="AV350" s="217">
        <f>+IF(W350&gt;W349,AU350,AV349+AU350)</f>
      </c>
      <c r="AW350" s="217">
        <f>+MAX($AM$2-SUMIF($W$7:$W$1066,W350,$AN$7:$AN$1066)-SUMIF($W$7:$W$1066,W350,$AS$7:$AS$1066),0)</f>
      </c>
      <c r="AX350" s="748">
        <f>+MAX(IF(AV350&gt;AW350,AW350-AV349,AU350),0)</f>
      </c>
      <c r="AY350" s="748">
        <f>+AU350-AX350</f>
      </c>
      <c r="AZ350" s="331">
        <f>+$AM$1+IF($AP$1&gt;$AP$2,$AM$3/2)</f>
      </c>
    </row>
    <row x14ac:dyDescent="0.25" r="351" customHeight="1" ht="18.75">
      <c r="A351" s="1"/>
      <c r="B351" s="7"/>
      <c r="C351" s="170"/>
      <c r="D351" s="331">
        <v>344</v>
      </c>
      <c r="E351" s="544">
        <f>+DATE(YEAR(E350),MONTH(E350)-1,DAY(E350))</f>
        <v>25569.041666666668</v>
      </c>
      <c r="F351" s="333">
        <f>IF(DATE(YEAR($B$6),MONTH($B$6)+1,DAY(1))=E351,1,IF(MONTH(E351)=1,F352*(1+$F$5),F352))</f>
      </c>
      <c r="G351" s="333">
        <f>IF('Simulador - 1º Pilar'!$E$99="Sí",IF('Aportaciones PPE'!$B$13&lt;'Aportaciones PPE'!E351,0,F351*$B$8/12),F351*$B$8/12)</f>
      </c>
      <c r="H351" s="333">
        <f>$H$5*G351</f>
      </c>
      <c r="I351" s="333">
        <f>$I$5*G351</f>
      </c>
      <c r="J351" s="333">
        <f>+I351</f>
      </c>
      <c r="K351" s="333">
        <f>(1+$O$5)^(D351/12)*(H351+IF(AND(F351=1,F352=0),$S$4,0))</f>
      </c>
      <c r="L351" s="333">
        <f>(1+$O$5)^(D351/12)*(I351+IF(AND(F351=1,F352=0),0))</f>
      </c>
      <c r="M351" s="333">
        <f>+L351</f>
      </c>
      <c r="N351" s="333">
        <f>L351+K351+M351</f>
      </c>
      <c r="O351" s="170"/>
      <c r="P351" s="7"/>
      <c r="Q351" s="1"/>
      <c r="R351" s="331">
        <f>D351</f>
      </c>
      <c r="S351" s="169"/>
      <c r="T351" s="1"/>
      <c r="U351" s="217"/>
      <c r="V351" s="331">
        <f>+IF(V350=11,12,IF(V350=12,1,V350+1))</f>
      </c>
      <c r="W351" s="331">
        <f>+W350+IF(V350=12,1,0)</f>
      </c>
      <c r="X351" s="555">
        <f>+DATE(W351,V351,1)</f>
        <v>25569.041666666668</v>
      </c>
      <c r="Y351" s="333">
        <f>+_xlfn.IFNA(AN351+AS351+AX351,0)</f>
      </c>
      <c r="Z351" s="333">
        <f>+_xlfn.IFNA(AO351+AT351+AY351,0)</f>
      </c>
      <c r="AA351" s="333">
        <f>Y351*(1+$O$5)^(($B$7-X351)/365.25)</f>
      </c>
      <c r="AB351" s="333">
        <f>Z351*(1+$O$5)^(($B$7-X351)/365.25)</f>
      </c>
      <c r="AC351" s="1"/>
      <c r="AD351" s="1"/>
      <c r="AE351" s="1"/>
      <c r="AF351" s="111">
        <f>+MONTH(E351)&amp;YEAR(E351)</f>
      </c>
      <c r="AG351" s="217">
        <f>+I351</f>
      </c>
      <c r="AH351" s="217">
        <f>+J351</f>
      </c>
      <c r="AI351" s="217">
        <f>+H351</f>
      </c>
      <c r="AJ351" s="111">
        <f>+V351&amp;W351</f>
      </c>
      <c r="AK351" s="217">
        <f>+_xlfn.IFNA(VLOOKUP(AJ351,$AF$7:$AG$1066,2,0),0)</f>
      </c>
      <c r="AL351" s="217">
        <f>+IF(W351&gt;W350,AK351,AL350+AK351)</f>
      </c>
      <c r="AM351" s="217">
        <f>IF(W351&gt;W350,IF(AL351&gt;=$AZ$8,$AZ$8,AL351),IF(OR(AM350=$AZ$8,AM350=0),0,IF(AL351&gt;=$AZ$8,$AZ$8,AL351)))</f>
      </c>
      <c r="AN351" s="748">
        <f>+IF(OR(AM351&gt;AZ350,AM351=0),0,IF(AM351=AL351,AK351,$AZ$7-AL350))</f>
      </c>
      <c r="AO351" s="748">
        <f>+AK351-AN351</f>
      </c>
      <c r="AP351" s="217">
        <f>+_xlfn.IFNA(VLOOKUP(AJ351,$AF$7:$AI$1066,3,0),0)</f>
      </c>
      <c r="AQ351" s="217">
        <f>+IF(W351&gt;W350,AP351,AQ350+AP351)</f>
      </c>
      <c r="AR351" s="217">
        <f>+MAX($AM$2-SUMIF($W$7:$W$1066,W351,$AN$7:$AN$1066),0)</f>
      </c>
      <c r="AS351" s="748">
        <f>+MAX(IF(AQ351&gt;AR351,AR351-AQ350,AP351),0)</f>
      </c>
      <c r="AT351" s="748">
        <f>+AP351-AS351</f>
      </c>
      <c r="AU351" s="217">
        <f>+_xlfn.IFNA(VLOOKUP(AJ351,$AF$7:$AI$1066,4,0),0)</f>
      </c>
      <c r="AV351" s="217">
        <f>+IF(W351&gt;W350,AU351,AV350+AU351)</f>
      </c>
      <c r="AW351" s="217">
        <f>+MAX($AM$2-SUMIF($W$7:$W$1066,W351,$AN$7:$AN$1066)-SUMIF($W$7:$W$1066,W351,$AS$7:$AS$1066),0)</f>
      </c>
      <c r="AX351" s="748">
        <f>+MAX(IF(AV351&gt;AW351,AW351-AV350,AU351),0)</f>
      </c>
      <c r="AY351" s="748">
        <f>+AU351-AX351</f>
      </c>
      <c r="AZ351" s="331">
        <f>+$AM$1+IF($AP$1&gt;$AP$2,$AM$3/2)</f>
      </c>
    </row>
    <row x14ac:dyDescent="0.25" r="352" customHeight="1" ht="18.75">
      <c r="A352" s="1"/>
      <c r="B352" s="7"/>
      <c r="C352" s="170"/>
      <c r="D352" s="331">
        <v>345</v>
      </c>
      <c r="E352" s="544">
        <f>+DATE(YEAR(E351),MONTH(E351)-1,DAY(E351))</f>
        <v>25569.041666666668</v>
      </c>
      <c r="F352" s="333">
        <f>IF(DATE(YEAR($B$6),MONTH($B$6)+1,DAY(1))=E352,1,IF(MONTH(E352)=1,F353*(1+$F$5),F353))</f>
      </c>
      <c r="G352" s="333">
        <f>IF('Simulador - 1º Pilar'!$E$99="Sí",IF('Aportaciones PPE'!$B$13&lt;'Aportaciones PPE'!E352,0,F352*$B$8/12),F352*$B$8/12)</f>
      </c>
      <c r="H352" s="333">
        <f>$H$5*G352</f>
      </c>
      <c r="I352" s="333">
        <f>$I$5*G352</f>
      </c>
      <c r="J352" s="333">
        <f>+I352</f>
      </c>
      <c r="K352" s="333">
        <f>(1+$O$5)^(D352/12)*(H352+IF(AND(F352=1,F353=0),$S$4,0))</f>
      </c>
      <c r="L352" s="333">
        <f>(1+$O$5)^(D352/12)*(I352+IF(AND(F352=1,F353=0),0))</f>
      </c>
      <c r="M352" s="333">
        <f>+L352</f>
      </c>
      <c r="N352" s="333">
        <f>L352+K352+M352</f>
      </c>
      <c r="O352" s="170"/>
      <c r="P352" s="7"/>
      <c r="Q352" s="1"/>
      <c r="R352" s="331">
        <f>D352</f>
      </c>
      <c r="S352" s="169"/>
      <c r="T352" s="1"/>
      <c r="U352" s="217"/>
      <c r="V352" s="331">
        <f>+IF(V351=11,12,IF(V351=12,1,V351+1))</f>
      </c>
      <c r="W352" s="331">
        <f>+W351+IF(V351=12,1,0)</f>
      </c>
      <c r="X352" s="555">
        <f>+DATE(W352,V352,1)</f>
        <v>25569.041666666668</v>
      </c>
      <c r="Y352" s="333">
        <f>+_xlfn.IFNA(AN352+AS352+AX352,0)</f>
      </c>
      <c r="Z352" s="333">
        <f>+_xlfn.IFNA(AO352+AT352+AY352,0)</f>
      </c>
      <c r="AA352" s="333">
        <f>Y352*(1+$O$5)^(($B$7-X352)/365.25)</f>
      </c>
      <c r="AB352" s="333">
        <f>Z352*(1+$O$5)^(($B$7-X352)/365.25)</f>
      </c>
      <c r="AC352" s="1"/>
      <c r="AD352" s="1"/>
      <c r="AE352" s="1"/>
      <c r="AF352" s="111">
        <f>+MONTH(E352)&amp;YEAR(E352)</f>
      </c>
      <c r="AG352" s="217">
        <f>+I352</f>
      </c>
      <c r="AH352" s="217">
        <f>+J352</f>
      </c>
      <c r="AI352" s="217">
        <f>+H352</f>
      </c>
      <c r="AJ352" s="111">
        <f>+V352&amp;W352</f>
      </c>
      <c r="AK352" s="217">
        <f>+_xlfn.IFNA(VLOOKUP(AJ352,$AF$7:$AG$1066,2,0),0)</f>
      </c>
      <c r="AL352" s="217">
        <f>+IF(W352&gt;W351,AK352,AL351+AK352)</f>
      </c>
      <c r="AM352" s="217">
        <f>IF(W352&gt;W351,IF(AL352&gt;=$AZ$8,$AZ$8,AL352),IF(OR(AM351=$AZ$8,AM351=0),0,IF(AL352&gt;=$AZ$8,$AZ$8,AL352)))</f>
      </c>
      <c r="AN352" s="748">
        <f>+IF(OR(AM352&gt;AZ351,AM352=0),0,IF(AM352=AL352,AK352,$AZ$7-AL351))</f>
      </c>
      <c r="AO352" s="748">
        <f>+AK352-AN352</f>
      </c>
      <c r="AP352" s="217">
        <f>+_xlfn.IFNA(VLOOKUP(AJ352,$AF$7:$AI$1066,3,0),0)</f>
      </c>
      <c r="AQ352" s="217">
        <f>+IF(W352&gt;W351,AP352,AQ351+AP352)</f>
      </c>
      <c r="AR352" s="217">
        <f>+MAX($AM$2-SUMIF($W$7:$W$1066,W352,$AN$7:$AN$1066),0)</f>
      </c>
      <c r="AS352" s="748">
        <f>+MAX(IF(AQ352&gt;AR352,AR352-AQ351,AP352),0)</f>
      </c>
      <c r="AT352" s="748">
        <f>+AP352-AS352</f>
      </c>
      <c r="AU352" s="217">
        <f>+_xlfn.IFNA(VLOOKUP(AJ352,$AF$7:$AI$1066,4,0),0)</f>
      </c>
      <c r="AV352" s="217">
        <f>+IF(W352&gt;W351,AU352,AV351+AU352)</f>
      </c>
      <c r="AW352" s="217">
        <f>+MAX($AM$2-SUMIF($W$7:$W$1066,W352,$AN$7:$AN$1066)-SUMIF($W$7:$W$1066,W352,$AS$7:$AS$1066),0)</f>
      </c>
      <c r="AX352" s="748">
        <f>+MAX(IF(AV352&gt;AW352,AW352-AV351,AU352),0)</f>
      </c>
      <c r="AY352" s="748">
        <f>+AU352-AX352</f>
      </c>
      <c r="AZ352" s="331">
        <f>+$AM$1+IF($AP$1&gt;$AP$2,$AM$3/2)</f>
      </c>
    </row>
    <row x14ac:dyDescent="0.25" r="353" customHeight="1" ht="18.75">
      <c r="A353" s="1"/>
      <c r="B353" s="7"/>
      <c r="C353" s="170"/>
      <c r="D353" s="331">
        <v>346</v>
      </c>
      <c r="E353" s="544">
        <f>+DATE(YEAR(E352),MONTH(E352)-1,DAY(E352))</f>
        <v>25569.041666666668</v>
      </c>
      <c r="F353" s="333">
        <f>IF(DATE(YEAR($B$6),MONTH($B$6)+1,DAY(1))=E353,1,IF(MONTH(E353)=1,F354*(1+$F$5),F354))</f>
      </c>
      <c r="G353" s="333">
        <f>IF('Simulador - 1º Pilar'!$E$99="Sí",IF('Aportaciones PPE'!$B$13&lt;'Aportaciones PPE'!E353,0,F353*$B$8/12),F353*$B$8/12)</f>
      </c>
      <c r="H353" s="333">
        <f>$H$5*G353</f>
      </c>
      <c r="I353" s="333">
        <f>$I$5*G353</f>
      </c>
      <c r="J353" s="333">
        <f>+I353</f>
      </c>
      <c r="K353" s="333">
        <f>(1+$O$5)^(D353/12)*(H353+IF(AND(F353=1,F354=0),$S$4,0))</f>
      </c>
      <c r="L353" s="333">
        <f>(1+$O$5)^(D353/12)*(I353+IF(AND(F353=1,F354=0),0))</f>
      </c>
      <c r="M353" s="333">
        <f>+L353</f>
      </c>
      <c r="N353" s="333">
        <f>L353+K353+M353</f>
      </c>
      <c r="O353" s="170"/>
      <c r="P353" s="7"/>
      <c r="Q353" s="1"/>
      <c r="R353" s="331">
        <f>D353</f>
      </c>
      <c r="S353" s="169"/>
      <c r="T353" s="1"/>
      <c r="U353" s="217"/>
      <c r="V353" s="331">
        <f>+IF(V352=11,12,IF(V352=12,1,V352+1))</f>
      </c>
      <c r="W353" s="331">
        <f>+W352+IF(V352=12,1,0)</f>
      </c>
      <c r="X353" s="555">
        <f>+DATE(W353,V353,1)</f>
        <v>25569.041666666668</v>
      </c>
      <c r="Y353" s="333">
        <f>+_xlfn.IFNA(AN353+AS353+AX353,0)</f>
      </c>
      <c r="Z353" s="333">
        <f>+_xlfn.IFNA(AO353+AT353+AY353,0)</f>
      </c>
      <c r="AA353" s="333">
        <f>Y353*(1+$O$5)^(($B$7-X353)/365.25)</f>
      </c>
      <c r="AB353" s="333">
        <f>Z353*(1+$O$5)^(($B$7-X353)/365.25)</f>
      </c>
      <c r="AC353" s="1"/>
      <c r="AD353" s="1"/>
      <c r="AE353" s="1"/>
      <c r="AF353" s="111">
        <f>+MONTH(E353)&amp;YEAR(E353)</f>
      </c>
      <c r="AG353" s="217">
        <f>+I353</f>
      </c>
      <c r="AH353" s="217">
        <f>+J353</f>
      </c>
      <c r="AI353" s="217">
        <f>+H353</f>
      </c>
      <c r="AJ353" s="111">
        <f>+V353&amp;W353</f>
      </c>
      <c r="AK353" s="217">
        <f>+_xlfn.IFNA(VLOOKUP(AJ353,$AF$7:$AG$1066,2,0),0)</f>
      </c>
      <c r="AL353" s="217">
        <f>+IF(W353&gt;W352,AK353,AL352+AK353)</f>
      </c>
      <c r="AM353" s="217">
        <f>IF(W353&gt;W352,IF(AL353&gt;=$AZ$8,$AZ$8,AL353),IF(OR(AM352=$AZ$8,AM352=0),0,IF(AL353&gt;=$AZ$8,$AZ$8,AL353)))</f>
      </c>
      <c r="AN353" s="748">
        <f>+IF(OR(AM353&gt;AZ352,AM353=0),0,IF(AM353=AL353,AK353,$AZ$7-AL352))</f>
      </c>
      <c r="AO353" s="748">
        <f>+AK353-AN353</f>
      </c>
      <c r="AP353" s="217">
        <f>+_xlfn.IFNA(VLOOKUP(AJ353,$AF$7:$AI$1066,3,0),0)</f>
      </c>
      <c r="AQ353" s="217">
        <f>+IF(W353&gt;W352,AP353,AQ352+AP353)</f>
      </c>
      <c r="AR353" s="217">
        <f>+MAX($AM$2-SUMIF($W$7:$W$1066,W353,$AN$7:$AN$1066),0)</f>
      </c>
      <c r="AS353" s="748">
        <f>+MAX(IF(AQ353&gt;AR353,AR353-AQ352,AP353),0)</f>
      </c>
      <c r="AT353" s="748">
        <f>+AP353-AS353</f>
      </c>
      <c r="AU353" s="217">
        <f>+_xlfn.IFNA(VLOOKUP(AJ353,$AF$7:$AI$1066,4,0),0)</f>
      </c>
      <c r="AV353" s="217">
        <f>+IF(W353&gt;W352,AU353,AV352+AU353)</f>
      </c>
      <c r="AW353" s="217">
        <f>+MAX($AM$2-SUMIF($W$7:$W$1066,W353,$AN$7:$AN$1066)-SUMIF($W$7:$W$1066,W353,$AS$7:$AS$1066),0)</f>
      </c>
      <c r="AX353" s="748">
        <f>+MAX(IF(AV353&gt;AW353,AW353-AV352,AU353),0)</f>
      </c>
      <c r="AY353" s="748">
        <f>+AU353-AX353</f>
      </c>
      <c r="AZ353" s="331">
        <f>+$AM$1+IF($AP$1&gt;$AP$2,$AM$3/2)</f>
      </c>
    </row>
    <row x14ac:dyDescent="0.25" r="354" customHeight="1" ht="18.75">
      <c r="A354" s="1"/>
      <c r="B354" s="7"/>
      <c r="C354" s="170"/>
      <c r="D354" s="331">
        <v>347</v>
      </c>
      <c r="E354" s="544">
        <f>+DATE(YEAR(E353),MONTH(E353)-1,DAY(E353))</f>
        <v>25569.041666666668</v>
      </c>
      <c r="F354" s="333">
        <f>IF(DATE(YEAR($B$6),MONTH($B$6)+1,DAY(1))=E354,1,IF(MONTH(E354)=1,F355*(1+$F$5),F355))</f>
      </c>
      <c r="G354" s="333">
        <f>IF('Simulador - 1º Pilar'!$E$99="Sí",IF('Aportaciones PPE'!$B$13&lt;'Aportaciones PPE'!E354,0,F354*$B$8/12),F354*$B$8/12)</f>
      </c>
      <c r="H354" s="333">
        <f>$H$5*G354</f>
      </c>
      <c r="I354" s="333">
        <f>$I$5*G354</f>
      </c>
      <c r="J354" s="333">
        <f>+I354</f>
      </c>
      <c r="K354" s="333">
        <f>(1+$O$5)^(D354/12)*(H354+IF(AND(F354=1,F355=0),$S$4,0))</f>
      </c>
      <c r="L354" s="333">
        <f>(1+$O$5)^(D354/12)*(I354+IF(AND(F354=1,F355=0),0))</f>
      </c>
      <c r="M354" s="333">
        <f>+L354</f>
      </c>
      <c r="N354" s="333">
        <f>L354+K354+M354</f>
      </c>
      <c r="O354" s="170"/>
      <c r="P354" s="7"/>
      <c r="Q354" s="1"/>
      <c r="R354" s="331">
        <f>D354</f>
      </c>
      <c r="S354" s="169"/>
      <c r="T354" s="1"/>
      <c r="U354" s="217"/>
      <c r="V354" s="331">
        <f>+IF(V353=11,12,IF(V353=12,1,V353+1))</f>
      </c>
      <c r="W354" s="331">
        <f>+W353+IF(V353=12,1,0)</f>
      </c>
      <c r="X354" s="555">
        <f>+DATE(W354,V354,1)</f>
        <v>25569.041666666668</v>
      </c>
      <c r="Y354" s="333">
        <f>+_xlfn.IFNA(AN354+AS354+AX354,0)</f>
      </c>
      <c r="Z354" s="333">
        <f>+_xlfn.IFNA(AO354+AT354+AY354,0)</f>
      </c>
      <c r="AA354" s="333">
        <f>Y354*(1+$O$5)^(($B$7-X354)/365.25)</f>
      </c>
      <c r="AB354" s="333">
        <f>Z354*(1+$O$5)^(($B$7-X354)/365.25)</f>
      </c>
      <c r="AC354" s="1"/>
      <c r="AD354" s="1"/>
      <c r="AE354" s="1"/>
      <c r="AF354" s="111">
        <f>+MONTH(E354)&amp;YEAR(E354)</f>
      </c>
      <c r="AG354" s="217">
        <f>+I354</f>
      </c>
      <c r="AH354" s="217">
        <f>+J354</f>
      </c>
      <c r="AI354" s="217">
        <f>+H354</f>
      </c>
      <c r="AJ354" s="111">
        <f>+V354&amp;W354</f>
      </c>
      <c r="AK354" s="217">
        <f>+_xlfn.IFNA(VLOOKUP(AJ354,$AF$7:$AG$1066,2,0),0)</f>
      </c>
      <c r="AL354" s="217">
        <f>+IF(W354&gt;W353,AK354,AL353+AK354)</f>
      </c>
      <c r="AM354" s="217">
        <f>IF(W354&gt;W353,IF(AL354&gt;=$AZ$8,$AZ$8,AL354),IF(OR(AM353=$AZ$8,AM353=0),0,IF(AL354&gt;=$AZ$8,$AZ$8,AL354)))</f>
      </c>
      <c r="AN354" s="748">
        <f>+IF(OR(AM354&gt;AZ353,AM354=0),0,IF(AM354=AL354,AK354,$AZ$7-AL353))</f>
      </c>
      <c r="AO354" s="748">
        <f>+AK354-AN354</f>
      </c>
      <c r="AP354" s="217">
        <f>+_xlfn.IFNA(VLOOKUP(AJ354,$AF$7:$AI$1066,3,0),0)</f>
      </c>
      <c r="AQ354" s="217">
        <f>+IF(W354&gt;W353,AP354,AQ353+AP354)</f>
      </c>
      <c r="AR354" s="217">
        <f>+MAX($AM$2-SUMIF($W$7:$W$1066,W354,$AN$7:$AN$1066),0)</f>
      </c>
      <c r="AS354" s="748">
        <f>+MAX(IF(AQ354&gt;AR354,AR354-AQ353,AP354),0)</f>
      </c>
      <c r="AT354" s="748">
        <f>+AP354-AS354</f>
      </c>
      <c r="AU354" s="217">
        <f>+_xlfn.IFNA(VLOOKUP(AJ354,$AF$7:$AI$1066,4,0),0)</f>
      </c>
      <c r="AV354" s="217">
        <f>+IF(W354&gt;W353,AU354,AV353+AU354)</f>
      </c>
      <c r="AW354" s="217">
        <f>+MAX($AM$2-SUMIF($W$7:$W$1066,W354,$AN$7:$AN$1066)-SUMIF($W$7:$W$1066,W354,$AS$7:$AS$1066),0)</f>
      </c>
      <c r="AX354" s="748">
        <f>+MAX(IF(AV354&gt;AW354,AW354-AV353,AU354),0)</f>
      </c>
      <c r="AY354" s="748">
        <f>+AU354-AX354</f>
      </c>
      <c r="AZ354" s="331">
        <f>+$AM$1+IF($AP$1&gt;$AP$2,$AM$3/2)</f>
      </c>
    </row>
    <row x14ac:dyDescent="0.25" r="355" customHeight="1" ht="18.75">
      <c r="A355" s="1"/>
      <c r="B355" s="7"/>
      <c r="C355" s="170"/>
      <c r="D355" s="331">
        <v>348</v>
      </c>
      <c r="E355" s="544">
        <f>+DATE(YEAR(E354),MONTH(E354)-1,DAY(E354))</f>
        <v>25569.041666666668</v>
      </c>
      <c r="F355" s="333">
        <f>IF(DATE(YEAR($B$6),MONTH($B$6)+1,DAY(1))=E355,1,IF(MONTH(E355)=1,F356*(1+$F$5),F356))</f>
      </c>
      <c r="G355" s="333">
        <f>IF('Simulador - 1º Pilar'!$E$99="Sí",IF('Aportaciones PPE'!$B$13&lt;'Aportaciones PPE'!E355,0,F355*$B$8/12),F355*$B$8/12)</f>
      </c>
      <c r="H355" s="333">
        <f>$H$5*G355</f>
      </c>
      <c r="I355" s="333">
        <f>$I$5*G355</f>
      </c>
      <c r="J355" s="333">
        <f>+I355</f>
      </c>
      <c r="K355" s="333">
        <f>(1+$O$5)^(D355/12)*(H355+IF(AND(F355=1,F356=0),$S$4,0))</f>
      </c>
      <c r="L355" s="333">
        <f>(1+$O$5)^(D355/12)*(I355+IF(AND(F355=1,F356=0),0))</f>
      </c>
      <c r="M355" s="333">
        <f>+L355</f>
      </c>
      <c r="N355" s="333">
        <f>L355+K355+M355</f>
      </c>
      <c r="O355" s="170"/>
      <c r="P355" s="7"/>
      <c r="Q355" s="1"/>
      <c r="R355" s="331">
        <f>D355</f>
      </c>
      <c r="S355" s="169"/>
      <c r="T355" s="1"/>
      <c r="U355" s="217"/>
      <c r="V355" s="331">
        <f>+IF(V354=11,12,IF(V354=12,1,V354+1))</f>
      </c>
      <c r="W355" s="331">
        <f>+W354+IF(V354=12,1,0)</f>
      </c>
      <c r="X355" s="555">
        <f>+DATE(W355,V355,1)</f>
        <v>25569.041666666668</v>
      </c>
      <c r="Y355" s="333">
        <f>+_xlfn.IFNA(AN355+AS355+AX355,0)</f>
      </c>
      <c r="Z355" s="333">
        <f>+_xlfn.IFNA(AO355+AT355+AY355,0)</f>
      </c>
      <c r="AA355" s="333">
        <f>Y355*(1+$O$5)^(($B$7-X355)/365.25)</f>
      </c>
      <c r="AB355" s="333">
        <f>Z355*(1+$O$5)^(($B$7-X355)/365.25)</f>
      </c>
      <c r="AC355" s="1"/>
      <c r="AD355" s="1"/>
      <c r="AE355" s="1"/>
      <c r="AF355" s="111">
        <f>+MONTH(E355)&amp;YEAR(E355)</f>
      </c>
      <c r="AG355" s="217">
        <f>+I355</f>
      </c>
      <c r="AH355" s="217">
        <f>+J355</f>
      </c>
      <c r="AI355" s="217">
        <f>+H355</f>
      </c>
      <c r="AJ355" s="111">
        <f>+V355&amp;W355</f>
      </c>
      <c r="AK355" s="217">
        <f>+_xlfn.IFNA(VLOOKUP(AJ355,$AF$7:$AG$1066,2,0),0)</f>
      </c>
      <c r="AL355" s="217">
        <f>+IF(W355&gt;W354,AK355,AL354+AK355)</f>
      </c>
      <c r="AM355" s="217">
        <f>IF(W355&gt;W354,IF(AL355&gt;=$AZ$8,$AZ$8,AL355),IF(OR(AM354=$AZ$8,AM354=0),0,IF(AL355&gt;=$AZ$8,$AZ$8,AL355)))</f>
      </c>
      <c r="AN355" s="748">
        <f>+IF(OR(AM355&gt;AZ354,AM355=0),0,IF(AM355=AL355,AK355,$AZ$7-AL354))</f>
      </c>
      <c r="AO355" s="748">
        <f>+AK355-AN355</f>
      </c>
      <c r="AP355" s="217">
        <f>+_xlfn.IFNA(VLOOKUP(AJ355,$AF$7:$AI$1066,3,0),0)</f>
      </c>
      <c r="AQ355" s="217">
        <f>+IF(W355&gt;W354,AP355,AQ354+AP355)</f>
      </c>
      <c r="AR355" s="217">
        <f>+MAX($AM$2-SUMIF($W$7:$W$1066,W355,$AN$7:$AN$1066),0)</f>
      </c>
      <c r="AS355" s="748">
        <f>+MAX(IF(AQ355&gt;AR355,AR355-AQ354,AP355),0)</f>
      </c>
      <c r="AT355" s="748">
        <f>+AP355-AS355</f>
      </c>
      <c r="AU355" s="217">
        <f>+_xlfn.IFNA(VLOOKUP(AJ355,$AF$7:$AI$1066,4,0),0)</f>
      </c>
      <c r="AV355" s="217">
        <f>+IF(W355&gt;W354,AU355,AV354+AU355)</f>
      </c>
      <c r="AW355" s="217">
        <f>+MAX($AM$2-SUMIF($W$7:$W$1066,W355,$AN$7:$AN$1066)-SUMIF($W$7:$W$1066,W355,$AS$7:$AS$1066),0)</f>
      </c>
      <c r="AX355" s="748">
        <f>+MAX(IF(AV355&gt;AW355,AW355-AV354,AU355),0)</f>
      </c>
      <c r="AY355" s="748">
        <f>+AU355-AX355</f>
      </c>
      <c r="AZ355" s="331">
        <f>+$AM$1+IF($AP$1&gt;$AP$2,$AM$3/2)</f>
      </c>
    </row>
    <row x14ac:dyDescent="0.25" r="356" customHeight="1" ht="18.75">
      <c r="A356" s="1"/>
      <c r="B356" s="7"/>
      <c r="C356" s="170"/>
      <c r="D356" s="331">
        <v>349</v>
      </c>
      <c r="E356" s="544">
        <f>+DATE(YEAR(E355),MONTH(E355)-1,DAY(E355))</f>
        <v>25569.041666666668</v>
      </c>
      <c r="F356" s="333">
        <f>IF(DATE(YEAR($B$6),MONTH($B$6)+1,DAY(1))=E356,1,IF(MONTH(E356)=1,F357*(1+$F$5),F357))</f>
      </c>
      <c r="G356" s="333">
        <f>IF('Simulador - 1º Pilar'!$E$99="Sí",IF('Aportaciones PPE'!$B$13&lt;'Aportaciones PPE'!E356,0,F356*$B$8/12),F356*$B$8/12)</f>
      </c>
      <c r="H356" s="333">
        <f>$H$5*G356</f>
      </c>
      <c r="I356" s="333">
        <f>$I$5*G356</f>
      </c>
      <c r="J356" s="333">
        <f>+I356</f>
      </c>
      <c r="K356" s="333">
        <f>(1+$O$5)^(D356/12)*(H356+IF(AND(F356=1,F357=0),$S$4,0))</f>
      </c>
      <c r="L356" s="333">
        <f>(1+$O$5)^(D356/12)*(I356+IF(AND(F356=1,F357=0),0))</f>
      </c>
      <c r="M356" s="333">
        <f>+L356</f>
      </c>
      <c r="N356" s="333">
        <f>L356+K356+M356</f>
      </c>
      <c r="O356" s="170"/>
      <c r="P356" s="7"/>
      <c r="Q356" s="1"/>
      <c r="R356" s="331">
        <f>D356</f>
      </c>
      <c r="S356" s="169"/>
      <c r="T356" s="1"/>
      <c r="U356" s="217"/>
      <c r="V356" s="331">
        <f>+IF(V355=11,12,IF(V355=12,1,V355+1))</f>
      </c>
      <c r="W356" s="331">
        <f>+W355+IF(V355=12,1,0)</f>
      </c>
      <c r="X356" s="555">
        <f>+DATE(W356,V356,1)</f>
        <v>25569.041666666668</v>
      </c>
      <c r="Y356" s="333">
        <f>+_xlfn.IFNA(AN356+AS356+AX356,0)</f>
      </c>
      <c r="Z356" s="333">
        <f>+_xlfn.IFNA(AO356+AT356+AY356,0)</f>
      </c>
      <c r="AA356" s="333">
        <f>Y356*(1+$O$5)^(($B$7-X356)/365.25)</f>
      </c>
      <c r="AB356" s="333">
        <f>Z356*(1+$O$5)^(($B$7-X356)/365.25)</f>
      </c>
      <c r="AC356" s="1"/>
      <c r="AD356" s="1"/>
      <c r="AE356" s="1"/>
      <c r="AF356" s="111">
        <f>+MONTH(E356)&amp;YEAR(E356)</f>
      </c>
      <c r="AG356" s="217">
        <f>+I356</f>
      </c>
      <c r="AH356" s="217">
        <f>+J356</f>
      </c>
      <c r="AI356" s="217">
        <f>+H356</f>
      </c>
      <c r="AJ356" s="111">
        <f>+V356&amp;W356</f>
      </c>
      <c r="AK356" s="217">
        <f>+_xlfn.IFNA(VLOOKUP(AJ356,$AF$7:$AG$1066,2,0),0)</f>
      </c>
      <c r="AL356" s="217">
        <f>+IF(W356&gt;W355,AK356,AL355+AK356)</f>
      </c>
      <c r="AM356" s="217">
        <f>IF(W356&gt;W355,IF(AL356&gt;=$AZ$8,$AZ$8,AL356),IF(OR(AM355=$AZ$8,AM355=0),0,IF(AL356&gt;=$AZ$8,$AZ$8,AL356)))</f>
      </c>
      <c r="AN356" s="748">
        <f>+IF(OR(AM356&gt;AZ355,AM356=0),0,IF(AM356=AL356,AK356,$AZ$7-AL355))</f>
      </c>
      <c r="AO356" s="748">
        <f>+AK356-AN356</f>
      </c>
      <c r="AP356" s="217">
        <f>+_xlfn.IFNA(VLOOKUP(AJ356,$AF$7:$AI$1066,3,0),0)</f>
      </c>
      <c r="AQ356" s="217">
        <f>+IF(W356&gt;W355,AP356,AQ355+AP356)</f>
      </c>
      <c r="AR356" s="217">
        <f>+MAX($AM$2-SUMIF($W$7:$W$1066,W356,$AN$7:$AN$1066),0)</f>
      </c>
      <c r="AS356" s="748">
        <f>+MAX(IF(AQ356&gt;AR356,AR356-AQ355,AP356),0)</f>
      </c>
      <c r="AT356" s="748">
        <f>+AP356-AS356</f>
      </c>
      <c r="AU356" s="217">
        <f>+_xlfn.IFNA(VLOOKUP(AJ356,$AF$7:$AI$1066,4,0),0)</f>
      </c>
      <c r="AV356" s="217">
        <f>+IF(W356&gt;W355,AU356,AV355+AU356)</f>
      </c>
      <c r="AW356" s="217">
        <f>+MAX($AM$2-SUMIF($W$7:$W$1066,W356,$AN$7:$AN$1066)-SUMIF($W$7:$W$1066,W356,$AS$7:$AS$1066),0)</f>
      </c>
      <c r="AX356" s="748">
        <f>+MAX(IF(AV356&gt;AW356,AW356-AV355,AU356),0)</f>
      </c>
      <c r="AY356" s="748">
        <f>+AU356-AX356</f>
      </c>
      <c r="AZ356" s="331">
        <f>+$AM$1+IF($AP$1&gt;$AP$2,$AM$3/2)</f>
      </c>
    </row>
    <row x14ac:dyDescent="0.25" r="357" customHeight="1" ht="18.75">
      <c r="A357" s="1"/>
      <c r="B357" s="7"/>
      <c r="C357" s="170"/>
      <c r="D357" s="331">
        <v>350</v>
      </c>
      <c r="E357" s="544">
        <f>+DATE(YEAR(E356),MONTH(E356)-1,DAY(E356))</f>
        <v>25569.041666666668</v>
      </c>
      <c r="F357" s="333">
        <f>IF(DATE(YEAR($B$6),MONTH($B$6)+1,DAY(1))=E357,1,IF(MONTH(E357)=1,F358*(1+$F$5),F358))</f>
      </c>
      <c r="G357" s="333">
        <f>IF('Simulador - 1º Pilar'!$E$99="Sí",IF('Aportaciones PPE'!$B$13&lt;'Aportaciones PPE'!E357,0,F357*$B$8/12),F357*$B$8/12)</f>
      </c>
      <c r="H357" s="333">
        <f>$H$5*G357</f>
      </c>
      <c r="I357" s="333">
        <f>$I$5*G357</f>
      </c>
      <c r="J357" s="333">
        <f>+I357</f>
      </c>
      <c r="K357" s="333">
        <f>(1+$O$5)^(D357/12)*(H357+IF(AND(F357=1,F358=0),$S$4,0))</f>
      </c>
      <c r="L357" s="333">
        <f>(1+$O$5)^(D357/12)*(I357+IF(AND(F357=1,F358=0),0))</f>
      </c>
      <c r="M357" s="333">
        <f>+L357</f>
      </c>
      <c r="N357" s="333">
        <f>L357+K357+M357</f>
      </c>
      <c r="O357" s="170"/>
      <c r="P357" s="7"/>
      <c r="Q357" s="1"/>
      <c r="R357" s="331">
        <f>D357</f>
      </c>
      <c r="S357" s="169"/>
      <c r="T357" s="1"/>
      <c r="U357" s="217"/>
      <c r="V357" s="331">
        <f>+IF(V356=11,12,IF(V356=12,1,V356+1))</f>
      </c>
      <c r="W357" s="331">
        <f>+W356+IF(V356=12,1,0)</f>
      </c>
      <c r="X357" s="555">
        <f>+DATE(W357,V357,1)</f>
        <v>25569.041666666668</v>
      </c>
      <c r="Y357" s="333">
        <f>+_xlfn.IFNA(AN357+AS357+AX357,0)</f>
      </c>
      <c r="Z357" s="333">
        <f>+_xlfn.IFNA(AO357+AT357+AY357,0)</f>
      </c>
      <c r="AA357" s="333">
        <f>Y357*(1+$O$5)^(($B$7-X357)/365.25)</f>
      </c>
      <c r="AB357" s="333">
        <f>Z357*(1+$O$5)^(($B$7-X357)/365.25)</f>
      </c>
      <c r="AC357" s="1"/>
      <c r="AD357" s="1"/>
      <c r="AE357" s="1"/>
      <c r="AF357" s="111">
        <f>+MONTH(E357)&amp;YEAR(E357)</f>
      </c>
      <c r="AG357" s="217">
        <f>+I357</f>
      </c>
      <c r="AH357" s="217">
        <f>+J357</f>
      </c>
      <c r="AI357" s="217">
        <f>+H357</f>
      </c>
      <c r="AJ357" s="111">
        <f>+V357&amp;W357</f>
      </c>
      <c r="AK357" s="217">
        <f>+_xlfn.IFNA(VLOOKUP(AJ357,$AF$7:$AG$1066,2,0),0)</f>
      </c>
      <c r="AL357" s="217">
        <f>+IF(W357&gt;W356,AK357,AL356+AK357)</f>
      </c>
      <c r="AM357" s="217">
        <f>IF(W357&gt;W356,IF(AL357&gt;=$AZ$8,$AZ$8,AL357),IF(OR(AM356=$AZ$8,AM356=0),0,IF(AL357&gt;=$AZ$8,$AZ$8,AL357)))</f>
      </c>
      <c r="AN357" s="748">
        <f>+IF(OR(AM357&gt;AZ356,AM357=0),0,IF(AM357=AL357,AK357,$AZ$7-AL356))</f>
      </c>
      <c r="AO357" s="748">
        <f>+AK357-AN357</f>
      </c>
      <c r="AP357" s="217">
        <f>+_xlfn.IFNA(VLOOKUP(AJ357,$AF$7:$AI$1066,3,0),0)</f>
      </c>
      <c r="AQ357" s="217">
        <f>+IF(W357&gt;W356,AP357,AQ356+AP357)</f>
      </c>
      <c r="AR357" s="217">
        <f>+MAX($AM$2-SUMIF($W$7:$W$1066,W357,$AN$7:$AN$1066),0)</f>
      </c>
      <c r="AS357" s="748">
        <f>+MAX(IF(AQ357&gt;AR357,AR357-AQ356,AP357),0)</f>
      </c>
      <c r="AT357" s="748">
        <f>+AP357-AS357</f>
      </c>
      <c r="AU357" s="217">
        <f>+_xlfn.IFNA(VLOOKUP(AJ357,$AF$7:$AI$1066,4,0),0)</f>
      </c>
      <c r="AV357" s="217">
        <f>+IF(W357&gt;W356,AU357,AV356+AU357)</f>
      </c>
      <c r="AW357" s="217">
        <f>+MAX($AM$2-SUMIF($W$7:$W$1066,W357,$AN$7:$AN$1066)-SUMIF($W$7:$W$1066,W357,$AS$7:$AS$1066),0)</f>
      </c>
      <c r="AX357" s="748">
        <f>+MAX(IF(AV357&gt;AW357,AW357-AV356,AU357),0)</f>
      </c>
      <c r="AY357" s="748">
        <f>+AU357-AX357</f>
      </c>
      <c r="AZ357" s="331">
        <f>+$AM$1+IF($AP$1&gt;$AP$2,$AM$3/2)</f>
      </c>
    </row>
    <row x14ac:dyDescent="0.25" r="358" customHeight="1" ht="18.75">
      <c r="A358" s="1"/>
      <c r="B358" s="7"/>
      <c r="C358" s="170"/>
      <c r="D358" s="331">
        <v>351</v>
      </c>
      <c r="E358" s="544">
        <f>+DATE(YEAR(E357),MONTH(E357)-1,DAY(E357))</f>
        <v>25569.041666666668</v>
      </c>
      <c r="F358" s="333">
        <f>IF(DATE(YEAR($B$6),MONTH($B$6)+1,DAY(1))=E358,1,IF(MONTH(E358)=1,F359*(1+$F$5),F359))</f>
      </c>
      <c r="G358" s="333">
        <f>IF('Simulador - 1º Pilar'!$E$99="Sí",IF('Aportaciones PPE'!$B$13&lt;'Aportaciones PPE'!E358,0,F358*$B$8/12),F358*$B$8/12)</f>
      </c>
      <c r="H358" s="333">
        <f>$H$5*G358</f>
      </c>
      <c r="I358" s="333">
        <f>$I$5*G358</f>
      </c>
      <c r="J358" s="333">
        <f>+I358</f>
      </c>
      <c r="K358" s="333">
        <f>(1+$O$5)^(D358/12)*(H358+IF(AND(F358=1,F359=0),$S$4,0))</f>
      </c>
      <c r="L358" s="333">
        <f>(1+$O$5)^(D358/12)*(I358+IF(AND(F358=1,F359=0),0))</f>
      </c>
      <c r="M358" s="333">
        <f>+L358</f>
      </c>
      <c r="N358" s="333">
        <f>L358+K358+M358</f>
      </c>
      <c r="O358" s="170"/>
      <c r="P358" s="7"/>
      <c r="Q358" s="1"/>
      <c r="R358" s="331">
        <f>D358</f>
      </c>
      <c r="S358" s="169"/>
      <c r="T358" s="1"/>
      <c r="U358" s="217"/>
      <c r="V358" s="331">
        <f>+IF(V357=11,12,IF(V357=12,1,V357+1))</f>
      </c>
      <c r="W358" s="331">
        <f>+W357+IF(V357=12,1,0)</f>
      </c>
      <c r="X358" s="555">
        <f>+DATE(W358,V358,1)</f>
        <v>25569.041666666668</v>
      </c>
      <c r="Y358" s="333">
        <f>+_xlfn.IFNA(AN358+AS358+AX358,0)</f>
      </c>
      <c r="Z358" s="333">
        <f>+_xlfn.IFNA(AO358+AT358+AY358,0)</f>
      </c>
      <c r="AA358" s="333">
        <f>Y358*(1+$O$5)^(($B$7-X358)/365.25)</f>
      </c>
      <c r="AB358" s="333">
        <f>Z358*(1+$O$5)^(($B$7-X358)/365.25)</f>
      </c>
      <c r="AC358" s="1"/>
      <c r="AD358" s="1"/>
      <c r="AE358" s="1"/>
      <c r="AF358" s="111">
        <f>+MONTH(E358)&amp;YEAR(E358)</f>
      </c>
      <c r="AG358" s="217">
        <f>+I358</f>
      </c>
      <c r="AH358" s="217">
        <f>+J358</f>
      </c>
      <c r="AI358" s="217">
        <f>+H358</f>
      </c>
      <c r="AJ358" s="111">
        <f>+V358&amp;W358</f>
      </c>
      <c r="AK358" s="217">
        <f>+_xlfn.IFNA(VLOOKUP(AJ358,$AF$7:$AG$1066,2,0),0)</f>
      </c>
      <c r="AL358" s="217">
        <f>+IF(W358&gt;W357,AK358,AL357+AK358)</f>
      </c>
      <c r="AM358" s="217">
        <f>IF(W358&gt;W357,IF(AL358&gt;=$AZ$8,$AZ$8,AL358),IF(OR(AM357=$AZ$8,AM357=0),0,IF(AL358&gt;=$AZ$8,$AZ$8,AL358)))</f>
      </c>
      <c r="AN358" s="748">
        <f>+IF(OR(AM358&gt;AZ357,AM358=0),0,IF(AM358=AL358,AK358,$AZ$7-AL357))</f>
      </c>
      <c r="AO358" s="748">
        <f>+AK358-AN358</f>
      </c>
      <c r="AP358" s="217">
        <f>+_xlfn.IFNA(VLOOKUP(AJ358,$AF$7:$AI$1066,3,0),0)</f>
      </c>
      <c r="AQ358" s="217">
        <f>+IF(W358&gt;W357,AP358,AQ357+AP358)</f>
      </c>
      <c r="AR358" s="217">
        <f>+MAX($AM$2-SUMIF($W$7:$W$1066,W358,$AN$7:$AN$1066),0)</f>
      </c>
      <c r="AS358" s="748">
        <f>+MAX(IF(AQ358&gt;AR358,AR358-AQ357,AP358),0)</f>
      </c>
      <c r="AT358" s="748">
        <f>+AP358-AS358</f>
      </c>
      <c r="AU358" s="217">
        <f>+_xlfn.IFNA(VLOOKUP(AJ358,$AF$7:$AI$1066,4,0),0)</f>
      </c>
      <c r="AV358" s="217">
        <f>+IF(W358&gt;W357,AU358,AV357+AU358)</f>
      </c>
      <c r="AW358" s="217">
        <f>+MAX($AM$2-SUMIF($W$7:$W$1066,W358,$AN$7:$AN$1066)-SUMIF($W$7:$W$1066,W358,$AS$7:$AS$1066),0)</f>
      </c>
      <c r="AX358" s="748">
        <f>+MAX(IF(AV358&gt;AW358,AW358-AV357,AU358),0)</f>
      </c>
      <c r="AY358" s="748">
        <f>+AU358-AX358</f>
      </c>
      <c r="AZ358" s="331">
        <f>+$AM$1+IF($AP$1&gt;$AP$2,$AM$3/2)</f>
      </c>
    </row>
    <row x14ac:dyDescent="0.25" r="359" customHeight="1" ht="18.75">
      <c r="A359" s="1"/>
      <c r="B359" s="7"/>
      <c r="C359" s="170"/>
      <c r="D359" s="331">
        <v>352</v>
      </c>
      <c r="E359" s="544">
        <f>+DATE(YEAR(E358),MONTH(E358)-1,DAY(E358))</f>
        <v>25569.041666666668</v>
      </c>
      <c r="F359" s="333">
        <f>IF(DATE(YEAR($B$6),MONTH($B$6)+1,DAY(1))=E359,1,IF(MONTH(E359)=1,F360*(1+$F$5),F360))</f>
      </c>
      <c r="G359" s="333">
        <f>IF('Simulador - 1º Pilar'!$E$99="Sí",IF('Aportaciones PPE'!$B$13&lt;'Aportaciones PPE'!E359,0,F359*$B$8/12),F359*$B$8/12)</f>
      </c>
      <c r="H359" s="333">
        <f>$H$5*G359</f>
      </c>
      <c r="I359" s="333">
        <f>$I$5*G359</f>
      </c>
      <c r="J359" s="333">
        <f>+I359</f>
      </c>
      <c r="K359" s="333">
        <f>(1+$O$5)^(D359/12)*(H359+IF(AND(F359=1,F360=0),$S$4,0))</f>
      </c>
      <c r="L359" s="333">
        <f>(1+$O$5)^(D359/12)*(I359+IF(AND(F359=1,F360=0),0))</f>
      </c>
      <c r="M359" s="333">
        <f>+L359</f>
      </c>
      <c r="N359" s="333">
        <f>L359+K359+M359</f>
      </c>
      <c r="O359" s="170"/>
      <c r="P359" s="7"/>
      <c r="Q359" s="1"/>
      <c r="R359" s="331">
        <f>D359</f>
      </c>
      <c r="S359" s="169"/>
      <c r="T359" s="1"/>
      <c r="U359" s="217"/>
      <c r="V359" s="331">
        <f>+IF(V358=11,12,IF(V358=12,1,V358+1))</f>
      </c>
      <c r="W359" s="331">
        <f>+W358+IF(V358=12,1,0)</f>
      </c>
      <c r="X359" s="555">
        <f>+DATE(W359,V359,1)</f>
        <v>25569.041666666668</v>
      </c>
      <c r="Y359" s="333">
        <f>+_xlfn.IFNA(AN359+AS359+AX359,0)</f>
      </c>
      <c r="Z359" s="333">
        <f>+_xlfn.IFNA(AO359+AT359+AY359,0)</f>
      </c>
      <c r="AA359" s="333">
        <f>Y359*(1+$O$5)^(($B$7-X359)/365.25)</f>
      </c>
      <c r="AB359" s="333">
        <f>Z359*(1+$O$5)^(($B$7-X359)/365.25)</f>
      </c>
      <c r="AC359" s="1"/>
      <c r="AD359" s="1"/>
      <c r="AE359" s="1"/>
      <c r="AF359" s="111">
        <f>+MONTH(E359)&amp;YEAR(E359)</f>
      </c>
      <c r="AG359" s="217">
        <f>+I359</f>
      </c>
      <c r="AH359" s="217">
        <f>+J359</f>
      </c>
      <c r="AI359" s="217">
        <f>+H359</f>
      </c>
      <c r="AJ359" s="111">
        <f>+V359&amp;W359</f>
      </c>
      <c r="AK359" s="217">
        <f>+_xlfn.IFNA(VLOOKUP(AJ359,$AF$7:$AG$1066,2,0),0)</f>
      </c>
      <c r="AL359" s="217">
        <f>+IF(W359&gt;W358,AK359,AL358+AK359)</f>
      </c>
      <c r="AM359" s="217">
        <f>IF(W359&gt;W358,IF(AL359&gt;=$AZ$8,$AZ$8,AL359),IF(OR(AM358=$AZ$8,AM358=0),0,IF(AL359&gt;=$AZ$8,$AZ$8,AL359)))</f>
      </c>
      <c r="AN359" s="748">
        <f>+IF(OR(AM359&gt;AZ358,AM359=0),0,IF(AM359=AL359,AK359,$AZ$7-AL358))</f>
      </c>
      <c r="AO359" s="748">
        <f>+AK359-AN359</f>
      </c>
      <c r="AP359" s="217">
        <f>+_xlfn.IFNA(VLOOKUP(AJ359,$AF$7:$AI$1066,3,0),0)</f>
      </c>
      <c r="AQ359" s="217">
        <f>+IF(W359&gt;W358,AP359,AQ358+AP359)</f>
      </c>
      <c r="AR359" s="217">
        <f>+MAX($AM$2-SUMIF($W$7:$W$1066,W359,$AN$7:$AN$1066),0)</f>
      </c>
      <c r="AS359" s="748">
        <f>+MAX(IF(AQ359&gt;AR359,AR359-AQ358,AP359),0)</f>
      </c>
      <c r="AT359" s="748">
        <f>+AP359-AS359</f>
      </c>
      <c r="AU359" s="217">
        <f>+_xlfn.IFNA(VLOOKUP(AJ359,$AF$7:$AI$1066,4,0),0)</f>
      </c>
      <c r="AV359" s="217">
        <f>+IF(W359&gt;W358,AU359,AV358+AU359)</f>
      </c>
      <c r="AW359" s="217">
        <f>+MAX($AM$2-SUMIF($W$7:$W$1066,W359,$AN$7:$AN$1066)-SUMIF($W$7:$W$1066,W359,$AS$7:$AS$1066),0)</f>
      </c>
      <c r="AX359" s="748">
        <f>+MAX(IF(AV359&gt;AW359,AW359-AV358,AU359),0)</f>
      </c>
      <c r="AY359" s="748">
        <f>+AU359-AX359</f>
      </c>
      <c r="AZ359" s="331">
        <f>+$AM$1+IF($AP$1&gt;$AP$2,$AM$3/2)</f>
      </c>
    </row>
    <row x14ac:dyDescent="0.25" r="360" customHeight="1" ht="18.75">
      <c r="A360" s="1"/>
      <c r="B360" s="7"/>
      <c r="C360" s="170"/>
      <c r="D360" s="331">
        <v>353</v>
      </c>
      <c r="E360" s="544">
        <f>+DATE(YEAR(E359),MONTH(E359)-1,DAY(E359))</f>
        <v>25569.041666666668</v>
      </c>
      <c r="F360" s="333">
        <f>IF(DATE(YEAR($B$6),MONTH($B$6)+1,DAY(1))=E360,1,IF(MONTH(E360)=1,F361*(1+$F$5),F361))</f>
      </c>
      <c r="G360" s="333">
        <f>IF('Simulador - 1º Pilar'!$E$99="Sí",IF('Aportaciones PPE'!$B$13&lt;'Aportaciones PPE'!E360,0,F360*$B$8/12),F360*$B$8/12)</f>
      </c>
      <c r="H360" s="333">
        <f>$H$5*G360</f>
      </c>
      <c r="I360" s="333">
        <f>$I$5*G360</f>
      </c>
      <c r="J360" s="333">
        <f>+I360</f>
      </c>
      <c r="K360" s="333">
        <f>(1+$O$5)^(D360/12)*(H360+IF(AND(F360=1,F361=0),$S$4,0))</f>
      </c>
      <c r="L360" s="333">
        <f>(1+$O$5)^(D360/12)*(I360+IF(AND(F360=1,F361=0),0))</f>
      </c>
      <c r="M360" s="333">
        <f>+L360</f>
      </c>
      <c r="N360" s="333">
        <f>L360+K360+M360</f>
      </c>
      <c r="O360" s="170"/>
      <c r="P360" s="7"/>
      <c r="Q360" s="1"/>
      <c r="R360" s="331">
        <f>D360</f>
      </c>
      <c r="S360" s="169"/>
      <c r="T360" s="1"/>
      <c r="U360" s="217"/>
      <c r="V360" s="331">
        <f>+IF(V359=11,12,IF(V359=12,1,V359+1))</f>
      </c>
      <c r="W360" s="331">
        <f>+W359+IF(V359=12,1,0)</f>
      </c>
      <c r="X360" s="555">
        <f>+DATE(W360,V360,1)</f>
        <v>25569.041666666668</v>
      </c>
      <c r="Y360" s="333">
        <f>+_xlfn.IFNA(AN360+AS360+AX360,0)</f>
      </c>
      <c r="Z360" s="333">
        <f>+_xlfn.IFNA(AO360+AT360+AY360,0)</f>
      </c>
      <c r="AA360" s="333">
        <f>Y360*(1+$O$5)^(($B$7-X360)/365.25)</f>
      </c>
      <c r="AB360" s="333">
        <f>Z360*(1+$O$5)^(($B$7-X360)/365.25)</f>
      </c>
      <c r="AC360" s="1"/>
      <c r="AD360" s="1"/>
      <c r="AE360" s="1"/>
      <c r="AF360" s="111">
        <f>+MONTH(E360)&amp;YEAR(E360)</f>
      </c>
      <c r="AG360" s="217">
        <f>+I360</f>
      </c>
      <c r="AH360" s="217">
        <f>+J360</f>
      </c>
      <c r="AI360" s="217">
        <f>+H360</f>
      </c>
      <c r="AJ360" s="111">
        <f>+V360&amp;W360</f>
      </c>
      <c r="AK360" s="217">
        <f>+_xlfn.IFNA(VLOOKUP(AJ360,$AF$7:$AG$1066,2,0),0)</f>
      </c>
      <c r="AL360" s="217">
        <f>+IF(W360&gt;W359,AK360,AL359+AK360)</f>
      </c>
      <c r="AM360" s="217">
        <f>IF(W360&gt;W359,IF(AL360&gt;=$AZ$8,$AZ$8,AL360),IF(OR(AM359=$AZ$8,AM359=0),0,IF(AL360&gt;=$AZ$8,$AZ$8,AL360)))</f>
      </c>
      <c r="AN360" s="748">
        <f>+IF(OR(AM360&gt;AZ359,AM360=0),0,IF(AM360=AL360,AK360,$AZ$7-AL359))</f>
      </c>
      <c r="AO360" s="748">
        <f>+AK360-AN360</f>
      </c>
      <c r="AP360" s="217">
        <f>+_xlfn.IFNA(VLOOKUP(AJ360,$AF$7:$AI$1066,3,0),0)</f>
      </c>
      <c r="AQ360" s="217">
        <f>+IF(W360&gt;W359,AP360,AQ359+AP360)</f>
      </c>
      <c r="AR360" s="217">
        <f>+MAX($AM$2-SUMIF($W$7:$W$1066,W360,$AN$7:$AN$1066),0)</f>
      </c>
      <c r="AS360" s="748">
        <f>+MAX(IF(AQ360&gt;AR360,AR360-AQ359,AP360),0)</f>
      </c>
      <c r="AT360" s="748">
        <f>+AP360-AS360</f>
      </c>
      <c r="AU360" s="217">
        <f>+_xlfn.IFNA(VLOOKUP(AJ360,$AF$7:$AI$1066,4,0),0)</f>
      </c>
      <c r="AV360" s="217">
        <f>+IF(W360&gt;W359,AU360,AV359+AU360)</f>
      </c>
      <c r="AW360" s="217">
        <f>+MAX($AM$2-SUMIF($W$7:$W$1066,W360,$AN$7:$AN$1066)-SUMIF($W$7:$W$1066,W360,$AS$7:$AS$1066),0)</f>
      </c>
      <c r="AX360" s="748">
        <f>+MAX(IF(AV360&gt;AW360,AW360-AV359,AU360),0)</f>
      </c>
      <c r="AY360" s="748">
        <f>+AU360-AX360</f>
      </c>
      <c r="AZ360" s="331">
        <f>+$AM$1+IF($AP$1&gt;$AP$2,$AM$3/2)</f>
      </c>
    </row>
    <row x14ac:dyDescent="0.25" r="361" customHeight="1" ht="18.75">
      <c r="A361" s="1"/>
      <c r="B361" s="7"/>
      <c r="C361" s="170"/>
      <c r="D361" s="331">
        <v>354</v>
      </c>
      <c r="E361" s="544">
        <f>+DATE(YEAR(E360),MONTH(E360)-1,DAY(E360))</f>
        <v>25569.041666666668</v>
      </c>
      <c r="F361" s="333">
        <f>IF(DATE(YEAR($B$6),MONTH($B$6)+1,DAY(1))=E361,1,IF(MONTH(E361)=1,F362*(1+$F$5),F362))</f>
      </c>
      <c r="G361" s="333">
        <f>IF('Simulador - 1º Pilar'!$E$99="Sí",IF('Aportaciones PPE'!$B$13&lt;'Aportaciones PPE'!E361,0,F361*$B$8/12),F361*$B$8/12)</f>
      </c>
      <c r="H361" s="333">
        <f>$H$5*G361</f>
      </c>
      <c r="I361" s="333">
        <f>$I$5*G361</f>
      </c>
      <c r="J361" s="333">
        <f>+I361</f>
      </c>
      <c r="K361" s="333">
        <f>(1+$O$5)^(D361/12)*(H361+IF(AND(F361=1,F362=0),$S$4,0))</f>
      </c>
      <c r="L361" s="333">
        <f>(1+$O$5)^(D361/12)*(I361+IF(AND(F361=1,F362=0),0))</f>
      </c>
      <c r="M361" s="333">
        <f>+L361</f>
      </c>
      <c r="N361" s="333">
        <f>L361+K361+M361</f>
      </c>
      <c r="O361" s="170"/>
      <c r="P361" s="7"/>
      <c r="Q361" s="1"/>
      <c r="R361" s="331">
        <f>D361</f>
      </c>
      <c r="S361" s="169"/>
      <c r="T361" s="1"/>
      <c r="U361" s="217"/>
      <c r="V361" s="331">
        <f>+IF(V360=11,12,IF(V360=12,1,V360+1))</f>
      </c>
      <c r="W361" s="331">
        <f>+W360+IF(V360=12,1,0)</f>
      </c>
      <c r="X361" s="555">
        <f>+DATE(W361,V361,1)</f>
        <v>25569.041666666668</v>
      </c>
      <c r="Y361" s="333">
        <f>+_xlfn.IFNA(AN361+AS361+AX361,0)</f>
      </c>
      <c r="Z361" s="333">
        <f>+_xlfn.IFNA(AO361+AT361+AY361,0)</f>
      </c>
      <c r="AA361" s="333">
        <f>Y361*(1+$O$5)^(($B$7-X361)/365.25)</f>
      </c>
      <c r="AB361" s="333">
        <f>Z361*(1+$O$5)^(($B$7-X361)/365.25)</f>
      </c>
      <c r="AC361" s="1"/>
      <c r="AD361" s="1"/>
      <c r="AE361" s="1"/>
      <c r="AF361" s="111">
        <f>+MONTH(E361)&amp;YEAR(E361)</f>
      </c>
      <c r="AG361" s="217">
        <f>+I361</f>
      </c>
      <c r="AH361" s="217">
        <f>+J361</f>
      </c>
      <c r="AI361" s="217">
        <f>+H361</f>
      </c>
      <c r="AJ361" s="111">
        <f>+V361&amp;W361</f>
      </c>
      <c r="AK361" s="217">
        <f>+_xlfn.IFNA(VLOOKUP(AJ361,$AF$7:$AG$1066,2,0),0)</f>
      </c>
      <c r="AL361" s="217">
        <f>+IF(W361&gt;W360,AK361,AL360+AK361)</f>
      </c>
      <c r="AM361" s="217">
        <f>IF(W361&gt;W360,IF(AL361&gt;=$AZ$8,$AZ$8,AL361),IF(OR(AM360=$AZ$8,AM360=0),0,IF(AL361&gt;=$AZ$8,$AZ$8,AL361)))</f>
      </c>
      <c r="AN361" s="748">
        <f>+IF(OR(AM361&gt;AZ360,AM361=0),0,IF(AM361=AL361,AK361,$AZ$7-AL360))</f>
      </c>
      <c r="AO361" s="748">
        <f>+AK361-AN361</f>
      </c>
      <c r="AP361" s="217">
        <f>+_xlfn.IFNA(VLOOKUP(AJ361,$AF$7:$AI$1066,3,0),0)</f>
      </c>
      <c r="AQ361" s="217">
        <f>+IF(W361&gt;W360,AP361,AQ360+AP361)</f>
      </c>
      <c r="AR361" s="217">
        <f>+MAX($AM$2-SUMIF($W$7:$W$1066,W361,$AN$7:$AN$1066),0)</f>
      </c>
      <c r="AS361" s="748">
        <f>+MAX(IF(AQ361&gt;AR361,AR361-AQ360,AP361),0)</f>
      </c>
      <c r="AT361" s="748">
        <f>+AP361-AS361</f>
      </c>
      <c r="AU361" s="217">
        <f>+_xlfn.IFNA(VLOOKUP(AJ361,$AF$7:$AI$1066,4,0),0)</f>
      </c>
      <c r="AV361" s="217">
        <f>+IF(W361&gt;W360,AU361,AV360+AU361)</f>
      </c>
      <c r="AW361" s="217">
        <f>+MAX($AM$2-SUMIF($W$7:$W$1066,W361,$AN$7:$AN$1066)-SUMIF($W$7:$W$1066,W361,$AS$7:$AS$1066),0)</f>
      </c>
      <c r="AX361" s="748">
        <f>+MAX(IF(AV361&gt;AW361,AW361-AV360,AU361),0)</f>
      </c>
      <c r="AY361" s="748">
        <f>+AU361-AX361</f>
      </c>
      <c r="AZ361" s="331">
        <f>+$AM$1+IF($AP$1&gt;$AP$2,$AM$3/2)</f>
      </c>
    </row>
    <row x14ac:dyDescent="0.25" r="362" customHeight="1" ht="18.75">
      <c r="A362" s="1"/>
      <c r="B362" s="7"/>
      <c r="C362" s="170"/>
      <c r="D362" s="331">
        <v>355</v>
      </c>
      <c r="E362" s="544">
        <f>+DATE(YEAR(E361),MONTH(E361)-1,DAY(E361))</f>
        <v>25569.041666666668</v>
      </c>
      <c r="F362" s="333">
        <f>IF(DATE(YEAR($B$6),MONTH($B$6)+1,DAY(1))=E362,1,IF(MONTH(E362)=1,F363*(1+$F$5),F363))</f>
      </c>
      <c r="G362" s="333">
        <f>IF('Simulador - 1º Pilar'!$E$99="Sí",IF('Aportaciones PPE'!$B$13&lt;'Aportaciones PPE'!E362,0,F362*$B$8/12),F362*$B$8/12)</f>
      </c>
      <c r="H362" s="333">
        <f>$H$5*G362</f>
      </c>
      <c r="I362" s="333">
        <f>$I$5*G362</f>
      </c>
      <c r="J362" s="333">
        <f>+I362</f>
      </c>
      <c r="K362" s="333">
        <f>(1+$O$5)^(D362/12)*(H362+IF(AND(F362=1,F363=0),$S$4,0))</f>
      </c>
      <c r="L362" s="333">
        <f>(1+$O$5)^(D362/12)*(I362+IF(AND(F362=1,F363=0),0))</f>
      </c>
      <c r="M362" s="333">
        <f>+L362</f>
      </c>
      <c r="N362" s="333">
        <f>L362+K362+M362</f>
      </c>
      <c r="O362" s="170"/>
      <c r="P362" s="7"/>
      <c r="Q362" s="1"/>
      <c r="R362" s="331">
        <f>D362</f>
      </c>
      <c r="S362" s="169"/>
      <c r="T362" s="1"/>
      <c r="U362" s="217"/>
      <c r="V362" s="331">
        <f>+IF(V361=11,12,IF(V361=12,1,V361+1))</f>
      </c>
      <c r="W362" s="331">
        <f>+W361+IF(V361=12,1,0)</f>
      </c>
      <c r="X362" s="555">
        <f>+DATE(W362,V362,1)</f>
        <v>25569.041666666668</v>
      </c>
      <c r="Y362" s="333">
        <f>+_xlfn.IFNA(AN362+AS362+AX362,0)</f>
      </c>
      <c r="Z362" s="333">
        <f>+_xlfn.IFNA(AO362+AT362+AY362,0)</f>
      </c>
      <c r="AA362" s="333">
        <f>Y362*(1+$O$5)^(($B$7-X362)/365.25)</f>
      </c>
      <c r="AB362" s="333">
        <f>Z362*(1+$O$5)^(($B$7-X362)/365.25)</f>
      </c>
      <c r="AC362" s="1"/>
      <c r="AD362" s="1"/>
      <c r="AE362" s="1"/>
      <c r="AF362" s="111">
        <f>+MONTH(E362)&amp;YEAR(E362)</f>
      </c>
      <c r="AG362" s="217">
        <f>+I362</f>
      </c>
      <c r="AH362" s="217">
        <f>+J362</f>
      </c>
      <c r="AI362" s="217">
        <f>+H362</f>
      </c>
      <c r="AJ362" s="111">
        <f>+V362&amp;W362</f>
      </c>
      <c r="AK362" s="217">
        <f>+_xlfn.IFNA(VLOOKUP(AJ362,$AF$7:$AG$1066,2,0),0)</f>
      </c>
      <c r="AL362" s="217">
        <f>+IF(W362&gt;W361,AK362,AL361+AK362)</f>
      </c>
      <c r="AM362" s="217">
        <f>IF(W362&gt;W361,IF(AL362&gt;=$AZ$8,$AZ$8,AL362),IF(OR(AM361=$AZ$8,AM361=0),0,IF(AL362&gt;=$AZ$8,$AZ$8,AL362)))</f>
      </c>
      <c r="AN362" s="748">
        <f>+IF(OR(AM362&gt;AZ361,AM362=0),0,IF(AM362=AL362,AK362,$AZ$7-AL361))</f>
      </c>
      <c r="AO362" s="748">
        <f>+AK362-AN362</f>
      </c>
      <c r="AP362" s="217">
        <f>+_xlfn.IFNA(VLOOKUP(AJ362,$AF$7:$AI$1066,3,0),0)</f>
      </c>
      <c r="AQ362" s="217">
        <f>+IF(W362&gt;W361,AP362,AQ361+AP362)</f>
      </c>
      <c r="AR362" s="217">
        <f>+MAX($AM$2-SUMIF($W$7:$W$1066,W362,$AN$7:$AN$1066),0)</f>
      </c>
      <c r="AS362" s="748">
        <f>+MAX(IF(AQ362&gt;AR362,AR362-AQ361,AP362),0)</f>
      </c>
      <c r="AT362" s="748">
        <f>+AP362-AS362</f>
      </c>
      <c r="AU362" s="217">
        <f>+_xlfn.IFNA(VLOOKUP(AJ362,$AF$7:$AI$1066,4,0),0)</f>
      </c>
      <c r="AV362" s="217">
        <f>+IF(W362&gt;W361,AU362,AV361+AU362)</f>
      </c>
      <c r="AW362" s="217">
        <f>+MAX($AM$2-SUMIF($W$7:$W$1066,W362,$AN$7:$AN$1066)-SUMIF($W$7:$W$1066,W362,$AS$7:$AS$1066),0)</f>
      </c>
      <c r="AX362" s="748">
        <f>+MAX(IF(AV362&gt;AW362,AW362-AV361,AU362),0)</f>
      </c>
      <c r="AY362" s="748">
        <f>+AU362-AX362</f>
      </c>
      <c r="AZ362" s="331">
        <f>+$AM$1+IF($AP$1&gt;$AP$2,$AM$3/2)</f>
      </c>
    </row>
    <row x14ac:dyDescent="0.25" r="363" customHeight="1" ht="18.75">
      <c r="A363" s="1"/>
      <c r="B363" s="7"/>
      <c r="C363" s="170"/>
      <c r="D363" s="331">
        <v>356</v>
      </c>
      <c r="E363" s="544">
        <f>+DATE(YEAR(E362),MONTH(E362)-1,DAY(E362))</f>
        <v>25569.041666666668</v>
      </c>
      <c r="F363" s="333">
        <f>IF(DATE(YEAR($B$6),MONTH($B$6)+1,DAY(1))=E363,1,IF(MONTH(E363)=1,F364*(1+$F$5),F364))</f>
      </c>
      <c r="G363" s="333">
        <f>IF('Simulador - 1º Pilar'!$E$99="Sí",IF('Aportaciones PPE'!$B$13&lt;'Aportaciones PPE'!E363,0,F363*$B$8/12),F363*$B$8/12)</f>
      </c>
      <c r="H363" s="333">
        <f>$H$5*G363</f>
      </c>
      <c r="I363" s="333">
        <f>$I$5*G363</f>
      </c>
      <c r="J363" s="333">
        <f>+I363</f>
      </c>
      <c r="K363" s="333">
        <f>(1+$O$5)^(D363/12)*(H363+IF(AND(F363=1,F364=0),$S$4,0))</f>
      </c>
      <c r="L363" s="333">
        <f>(1+$O$5)^(D363/12)*(I363+IF(AND(F363=1,F364=0),0))</f>
      </c>
      <c r="M363" s="333">
        <f>+L363</f>
      </c>
      <c r="N363" s="333">
        <f>L363+K363+M363</f>
      </c>
      <c r="O363" s="170"/>
      <c r="P363" s="7"/>
      <c r="Q363" s="1"/>
      <c r="R363" s="331">
        <f>D363</f>
      </c>
      <c r="S363" s="169"/>
      <c r="T363" s="1"/>
      <c r="U363" s="217"/>
      <c r="V363" s="331">
        <f>+IF(V362=11,12,IF(V362=12,1,V362+1))</f>
      </c>
      <c r="W363" s="331">
        <f>+W362+IF(V362=12,1,0)</f>
      </c>
      <c r="X363" s="555">
        <f>+DATE(W363,V363,1)</f>
        <v>25569.041666666668</v>
      </c>
      <c r="Y363" s="333">
        <f>+_xlfn.IFNA(AN363+AS363+AX363,0)</f>
      </c>
      <c r="Z363" s="333">
        <f>+_xlfn.IFNA(AO363+AT363+AY363,0)</f>
      </c>
      <c r="AA363" s="333">
        <f>Y363*(1+$O$5)^(($B$7-X363)/365.25)</f>
      </c>
      <c r="AB363" s="333">
        <f>Z363*(1+$O$5)^(($B$7-X363)/365.25)</f>
      </c>
      <c r="AC363" s="1"/>
      <c r="AD363" s="1"/>
      <c r="AE363" s="1"/>
      <c r="AF363" s="111">
        <f>+MONTH(E363)&amp;YEAR(E363)</f>
      </c>
      <c r="AG363" s="217">
        <f>+I363</f>
      </c>
      <c r="AH363" s="217">
        <f>+J363</f>
      </c>
      <c r="AI363" s="217">
        <f>+H363</f>
      </c>
      <c r="AJ363" s="111">
        <f>+V363&amp;W363</f>
      </c>
      <c r="AK363" s="217">
        <f>+_xlfn.IFNA(VLOOKUP(AJ363,$AF$7:$AG$1066,2,0),0)</f>
      </c>
      <c r="AL363" s="217">
        <f>+IF(W363&gt;W362,AK363,AL362+AK363)</f>
      </c>
      <c r="AM363" s="217">
        <f>IF(W363&gt;W362,IF(AL363&gt;=$AZ$8,$AZ$8,AL363),IF(OR(AM362=$AZ$8,AM362=0),0,IF(AL363&gt;=$AZ$8,$AZ$8,AL363)))</f>
      </c>
      <c r="AN363" s="748">
        <f>+IF(OR(AM363&gt;AZ362,AM363=0),0,IF(AM363=AL363,AK363,$AZ$7-AL362))</f>
      </c>
      <c r="AO363" s="748">
        <f>+AK363-AN363</f>
      </c>
      <c r="AP363" s="217">
        <f>+_xlfn.IFNA(VLOOKUP(AJ363,$AF$7:$AI$1066,3,0),0)</f>
      </c>
      <c r="AQ363" s="217">
        <f>+IF(W363&gt;W362,AP363,AQ362+AP363)</f>
      </c>
      <c r="AR363" s="217">
        <f>+MAX($AM$2-SUMIF($W$7:$W$1066,W363,$AN$7:$AN$1066),0)</f>
      </c>
      <c r="AS363" s="748">
        <f>+MAX(IF(AQ363&gt;AR363,AR363-AQ362,AP363),0)</f>
      </c>
      <c r="AT363" s="748">
        <f>+AP363-AS363</f>
      </c>
      <c r="AU363" s="217">
        <f>+_xlfn.IFNA(VLOOKUP(AJ363,$AF$7:$AI$1066,4,0),0)</f>
      </c>
      <c r="AV363" s="217">
        <f>+IF(W363&gt;W362,AU363,AV362+AU363)</f>
      </c>
      <c r="AW363" s="217">
        <f>+MAX($AM$2-SUMIF($W$7:$W$1066,W363,$AN$7:$AN$1066)-SUMIF($W$7:$W$1066,W363,$AS$7:$AS$1066),0)</f>
      </c>
      <c r="AX363" s="748">
        <f>+MAX(IF(AV363&gt;AW363,AW363-AV362,AU363),0)</f>
      </c>
      <c r="AY363" s="748">
        <f>+AU363-AX363</f>
      </c>
      <c r="AZ363" s="331">
        <f>+$AM$1+IF($AP$1&gt;$AP$2,$AM$3/2)</f>
      </c>
    </row>
    <row x14ac:dyDescent="0.25" r="364" customHeight="1" ht="18.75">
      <c r="A364" s="1"/>
      <c r="B364" s="7"/>
      <c r="C364" s="170"/>
      <c r="D364" s="331">
        <v>357</v>
      </c>
      <c r="E364" s="544">
        <f>+DATE(YEAR(E363),MONTH(E363)-1,DAY(E363))</f>
        <v>25569.041666666668</v>
      </c>
      <c r="F364" s="333">
        <f>IF(DATE(YEAR($B$6),MONTH($B$6)+1,DAY(1))=E364,1,IF(MONTH(E364)=1,F365*(1+$F$5),F365))</f>
      </c>
      <c r="G364" s="333">
        <f>IF('Simulador - 1º Pilar'!$E$99="Sí",IF('Aportaciones PPE'!$B$13&lt;'Aportaciones PPE'!E364,0,F364*$B$8/12),F364*$B$8/12)</f>
      </c>
      <c r="H364" s="333">
        <f>$H$5*G364</f>
      </c>
      <c r="I364" s="333">
        <f>$I$5*G364</f>
      </c>
      <c r="J364" s="333">
        <f>+I364</f>
      </c>
      <c r="K364" s="333">
        <f>(1+$O$5)^(D364/12)*(H364+IF(AND(F364=1,F365=0),$S$4,0))</f>
      </c>
      <c r="L364" s="333">
        <f>(1+$O$5)^(D364/12)*(I364+IF(AND(F364=1,F365=0),0))</f>
      </c>
      <c r="M364" s="333">
        <f>+L364</f>
      </c>
      <c r="N364" s="333">
        <f>L364+K364+M364</f>
      </c>
      <c r="O364" s="170"/>
      <c r="P364" s="7"/>
      <c r="Q364" s="1"/>
      <c r="R364" s="331">
        <f>D364</f>
      </c>
      <c r="S364" s="169"/>
      <c r="T364" s="1"/>
      <c r="U364" s="217"/>
      <c r="V364" s="331">
        <f>+IF(V363=11,12,IF(V363=12,1,V363+1))</f>
      </c>
      <c r="W364" s="331">
        <f>+W363+IF(V363=12,1,0)</f>
      </c>
      <c r="X364" s="555">
        <f>+DATE(W364,V364,1)</f>
        <v>25569.041666666668</v>
      </c>
      <c r="Y364" s="333">
        <f>+_xlfn.IFNA(AN364+AS364+AX364,0)</f>
      </c>
      <c r="Z364" s="333">
        <f>+_xlfn.IFNA(AO364+AT364+AY364,0)</f>
      </c>
      <c r="AA364" s="333">
        <f>Y364*(1+$O$5)^(($B$7-X364)/365.25)</f>
      </c>
      <c r="AB364" s="333">
        <f>Z364*(1+$O$5)^(($B$7-X364)/365.25)</f>
      </c>
      <c r="AC364" s="1"/>
      <c r="AD364" s="1"/>
      <c r="AE364" s="1"/>
      <c r="AF364" s="111">
        <f>+MONTH(E364)&amp;YEAR(E364)</f>
      </c>
      <c r="AG364" s="217">
        <f>+I364</f>
      </c>
      <c r="AH364" s="217">
        <f>+J364</f>
      </c>
      <c r="AI364" s="217">
        <f>+H364</f>
      </c>
      <c r="AJ364" s="111">
        <f>+V364&amp;W364</f>
      </c>
      <c r="AK364" s="217">
        <f>+_xlfn.IFNA(VLOOKUP(AJ364,$AF$7:$AG$1066,2,0),0)</f>
      </c>
      <c r="AL364" s="217">
        <f>+IF(W364&gt;W363,AK364,AL363+AK364)</f>
      </c>
      <c r="AM364" s="217">
        <f>IF(W364&gt;W363,IF(AL364&gt;=$AZ$8,$AZ$8,AL364),IF(OR(AM363=$AZ$8,AM363=0),0,IF(AL364&gt;=$AZ$8,$AZ$8,AL364)))</f>
      </c>
      <c r="AN364" s="748">
        <f>+IF(OR(AM364&gt;AZ363,AM364=0),0,IF(AM364=AL364,AK364,$AZ$7-AL363))</f>
      </c>
      <c r="AO364" s="748">
        <f>+AK364-AN364</f>
      </c>
      <c r="AP364" s="217">
        <f>+_xlfn.IFNA(VLOOKUP(AJ364,$AF$7:$AI$1066,3,0),0)</f>
      </c>
      <c r="AQ364" s="217">
        <f>+IF(W364&gt;W363,AP364,AQ363+AP364)</f>
      </c>
      <c r="AR364" s="217">
        <f>+MAX($AM$2-SUMIF($W$7:$W$1066,W364,$AN$7:$AN$1066),0)</f>
      </c>
      <c r="AS364" s="748">
        <f>+MAX(IF(AQ364&gt;AR364,AR364-AQ363,AP364),0)</f>
      </c>
      <c r="AT364" s="748">
        <f>+AP364-AS364</f>
      </c>
      <c r="AU364" s="217">
        <f>+_xlfn.IFNA(VLOOKUP(AJ364,$AF$7:$AI$1066,4,0),0)</f>
      </c>
      <c r="AV364" s="217">
        <f>+IF(W364&gt;W363,AU364,AV363+AU364)</f>
      </c>
      <c r="AW364" s="217">
        <f>+MAX($AM$2-SUMIF($W$7:$W$1066,W364,$AN$7:$AN$1066)-SUMIF($W$7:$W$1066,W364,$AS$7:$AS$1066),0)</f>
      </c>
      <c r="AX364" s="748">
        <f>+MAX(IF(AV364&gt;AW364,AW364-AV363,AU364),0)</f>
      </c>
      <c r="AY364" s="748">
        <f>+AU364-AX364</f>
      </c>
      <c r="AZ364" s="331">
        <f>+$AM$1+IF($AP$1&gt;$AP$2,$AM$3/2)</f>
      </c>
    </row>
    <row x14ac:dyDescent="0.25" r="365" customHeight="1" ht="18.75">
      <c r="A365" s="1"/>
      <c r="B365" s="7"/>
      <c r="C365" s="170"/>
      <c r="D365" s="331">
        <v>358</v>
      </c>
      <c r="E365" s="544">
        <f>+DATE(YEAR(E364),MONTH(E364)-1,DAY(E364))</f>
        <v>25569.041666666668</v>
      </c>
      <c r="F365" s="333">
        <f>IF(DATE(YEAR($B$6),MONTH($B$6)+1,DAY(1))=E365,1,IF(MONTH(E365)=1,F366*(1+$F$5),F366))</f>
      </c>
      <c r="G365" s="333">
        <f>IF('Simulador - 1º Pilar'!$E$99="Sí",IF('Aportaciones PPE'!$B$13&lt;'Aportaciones PPE'!E365,0,F365*$B$8/12),F365*$B$8/12)</f>
      </c>
      <c r="H365" s="333">
        <f>$H$5*G365</f>
      </c>
      <c r="I365" s="333">
        <f>$I$5*G365</f>
      </c>
      <c r="J365" s="333">
        <f>+I365</f>
      </c>
      <c r="K365" s="333">
        <f>(1+$O$5)^(D365/12)*(H365+IF(AND(F365=1,F366=0),$S$4,0))</f>
      </c>
      <c r="L365" s="333">
        <f>(1+$O$5)^(D365/12)*(I365+IF(AND(F365=1,F366=0),0))</f>
      </c>
      <c r="M365" s="333">
        <f>+L365</f>
      </c>
      <c r="N365" s="333">
        <f>L365+K365+M365</f>
      </c>
      <c r="O365" s="170"/>
      <c r="P365" s="7"/>
      <c r="Q365" s="1"/>
      <c r="R365" s="331">
        <f>D365</f>
      </c>
      <c r="S365" s="169"/>
      <c r="T365" s="1"/>
      <c r="U365" s="217"/>
      <c r="V365" s="331">
        <f>+IF(V364=11,12,IF(V364=12,1,V364+1))</f>
      </c>
      <c r="W365" s="331">
        <f>+W364+IF(V364=12,1,0)</f>
      </c>
      <c r="X365" s="555">
        <f>+DATE(W365,V365,1)</f>
        <v>25569.041666666668</v>
      </c>
      <c r="Y365" s="333">
        <f>+_xlfn.IFNA(AN365+AS365+AX365,0)</f>
      </c>
      <c r="Z365" s="333">
        <f>+_xlfn.IFNA(AO365+AT365+AY365,0)</f>
      </c>
      <c r="AA365" s="333">
        <f>Y365*(1+$O$5)^(($B$7-X365)/365.25)</f>
      </c>
      <c r="AB365" s="333">
        <f>Z365*(1+$O$5)^(($B$7-X365)/365.25)</f>
      </c>
      <c r="AC365" s="1"/>
      <c r="AD365" s="1"/>
      <c r="AE365" s="1"/>
      <c r="AF365" s="111">
        <f>+MONTH(E365)&amp;YEAR(E365)</f>
      </c>
      <c r="AG365" s="217">
        <f>+I365</f>
      </c>
      <c r="AH365" s="217">
        <f>+J365</f>
      </c>
      <c r="AI365" s="217">
        <f>+H365</f>
      </c>
      <c r="AJ365" s="111">
        <f>+V365&amp;W365</f>
      </c>
      <c r="AK365" s="217">
        <f>+_xlfn.IFNA(VLOOKUP(AJ365,$AF$7:$AG$1066,2,0),0)</f>
      </c>
      <c r="AL365" s="217">
        <f>+IF(W365&gt;W364,AK365,AL364+AK365)</f>
      </c>
      <c r="AM365" s="217">
        <f>IF(W365&gt;W364,IF(AL365&gt;=$AZ$8,$AZ$8,AL365),IF(OR(AM364=$AZ$8,AM364=0),0,IF(AL365&gt;=$AZ$8,$AZ$8,AL365)))</f>
      </c>
      <c r="AN365" s="748">
        <f>+IF(OR(AM365&gt;AZ364,AM365=0),0,IF(AM365=AL365,AK365,$AZ$7-AL364))</f>
      </c>
      <c r="AO365" s="748">
        <f>+AK365-AN365</f>
      </c>
      <c r="AP365" s="217">
        <f>+_xlfn.IFNA(VLOOKUP(AJ365,$AF$7:$AI$1066,3,0),0)</f>
      </c>
      <c r="AQ365" s="217">
        <f>+IF(W365&gt;W364,AP365,AQ364+AP365)</f>
      </c>
      <c r="AR365" s="217">
        <f>+MAX($AM$2-SUMIF($W$7:$W$1066,W365,$AN$7:$AN$1066),0)</f>
      </c>
      <c r="AS365" s="748">
        <f>+MAX(IF(AQ365&gt;AR365,AR365-AQ364,AP365),0)</f>
      </c>
      <c r="AT365" s="748">
        <f>+AP365-AS365</f>
      </c>
      <c r="AU365" s="217">
        <f>+_xlfn.IFNA(VLOOKUP(AJ365,$AF$7:$AI$1066,4,0),0)</f>
      </c>
      <c r="AV365" s="217">
        <f>+IF(W365&gt;W364,AU365,AV364+AU365)</f>
      </c>
      <c r="AW365" s="217">
        <f>+MAX($AM$2-SUMIF($W$7:$W$1066,W365,$AN$7:$AN$1066)-SUMIF($W$7:$W$1066,W365,$AS$7:$AS$1066),0)</f>
      </c>
      <c r="AX365" s="748">
        <f>+MAX(IF(AV365&gt;AW365,AW365-AV364,AU365),0)</f>
      </c>
      <c r="AY365" s="748">
        <f>+AU365-AX365</f>
      </c>
      <c r="AZ365" s="331">
        <f>+$AM$1+IF($AP$1&gt;$AP$2,$AM$3/2)</f>
      </c>
    </row>
    <row x14ac:dyDescent="0.25" r="366" customHeight="1" ht="18.75">
      <c r="A366" s="1"/>
      <c r="B366" s="7"/>
      <c r="C366" s="170"/>
      <c r="D366" s="331">
        <v>359</v>
      </c>
      <c r="E366" s="544">
        <f>+DATE(YEAR(E365),MONTH(E365)-1,DAY(E365))</f>
        <v>25569.041666666668</v>
      </c>
      <c r="F366" s="333">
        <f>IF(DATE(YEAR($B$6),MONTH($B$6)+1,DAY(1))=E366,1,IF(MONTH(E366)=1,F367*(1+$F$5),F367))</f>
      </c>
      <c r="G366" s="333">
        <f>IF('Simulador - 1º Pilar'!$E$99="Sí",IF('Aportaciones PPE'!$B$13&lt;'Aportaciones PPE'!E366,0,F366*$B$8/12),F366*$B$8/12)</f>
      </c>
      <c r="H366" s="333">
        <f>$H$5*G366</f>
      </c>
      <c r="I366" s="333">
        <f>$I$5*G366</f>
      </c>
      <c r="J366" s="333">
        <f>+I366</f>
      </c>
      <c r="K366" s="333">
        <f>(1+$O$5)^(D366/12)*(H366+IF(AND(F366=1,F367=0),$S$4,0))</f>
      </c>
      <c r="L366" s="333">
        <f>(1+$O$5)^(D366/12)*(I366+IF(AND(F366=1,F367=0),0))</f>
      </c>
      <c r="M366" s="333">
        <f>+L366</f>
      </c>
      <c r="N366" s="333">
        <f>L366+K366+M366</f>
      </c>
      <c r="O366" s="170"/>
      <c r="P366" s="7"/>
      <c r="Q366" s="1"/>
      <c r="R366" s="331">
        <f>D366</f>
      </c>
      <c r="S366" s="169"/>
      <c r="T366" s="1"/>
      <c r="U366" s="217"/>
      <c r="V366" s="331">
        <f>+IF(V365=11,12,IF(V365=12,1,V365+1))</f>
      </c>
      <c r="W366" s="331">
        <f>+W365+IF(V365=12,1,0)</f>
      </c>
      <c r="X366" s="555">
        <f>+DATE(W366,V366,1)</f>
        <v>25569.041666666668</v>
      </c>
      <c r="Y366" s="333">
        <f>+_xlfn.IFNA(AN366+AS366+AX366,0)</f>
      </c>
      <c r="Z366" s="333">
        <f>+_xlfn.IFNA(AO366+AT366+AY366,0)</f>
      </c>
      <c r="AA366" s="333">
        <f>Y366*(1+$O$5)^(($B$7-X366)/365.25)</f>
      </c>
      <c r="AB366" s="333">
        <f>Z366*(1+$O$5)^(($B$7-X366)/365.25)</f>
      </c>
      <c r="AC366" s="1"/>
      <c r="AD366" s="1"/>
      <c r="AE366" s="1"/>
      <c r="AF366" s="111">
        <f>+MONTH(E366)&amp;YEAR(E366)</f>
      </c>
      <c r="AG366" s="217">
        <f>+I366</f>
      </c>
      <c r="AH366" s="217">
        <f>+J366</f>
      </c>
      <c r="AI366" s="217">
        <f>+H366</f>
      </c>
      <c r="AJ366" s="111">
        <f>+V366&amp;W366</f>
      </c>
      <c r="AK366" s="217">
        <f>+_xlfn.IFNA(VLOOKUP(AJ366,$AF$7:$AG$1066,2,0),0)</f>
      </c>
      <c r="AL366" s="217">
        <f>+IF(W366&gt;W365,AK366,AL365+AK366)</f>
      </c>
      <c r="AM366" s="217">
        <f>IF(W366&gt;W365,IF(AL366&gt;=$AZ$8,$AZ$8,AL366),IF(OR(AM365=$AZ$8,AM365=0),0,IF(AL366&gt;=$AZ$8,$AZ$8,AL366)))</f>
      </c>
      <c r="AN366" s="748">
        <f>+IF(OR(AM366&gt;AZ365,AM366=0),0,IF(AM366=AL366,AK366,$AZ$7-AL365))</f>
      </c>
      <c r="AO366" s="748">
        <f>+AK366-AN366</f>
      </c>
      <c r="AP366" s="217">
        <f>+_xlfn.IFNA(VLOOKUP(AJ366,$AF$7:$AI$1066,3,0),0)</f>
      </c>
      <c r="AQ366" s="217">
        <f>+IF(W366&gt;W365,AP366,AQ365+AP366)</f>
      </c>
      <c r="AR366" s="217">
        <f>+MAX($AM$2-SUMIF($W$7:$W$1066,W366,$AN$7:$AN$1066),0)</f>
      </c>
      <c r="AS366" s="748">
        <f>+MAX(IF(AQ366&gt;AR366,AR366-AQ365,AP366),0)</f>
      </c>
      <c r="AT366" s="748">
        <f>+AP366-AS366</f>
      </c>
      <c r="AU366" s="217">
        <f>+_xlfn.IFNA(VLOOKUP(AJ366,$AF$7:$AI$1066,4,0),0)</f>
      </c>
      <c r="AV366" s="217">
        <f>+IF(W366&gt;W365,AU366,AV365+AU366)</f>
      </c>
      <c r="AW366" s="217">
        <f>+MAX($AM$2-SUMIF($W$7:$W$1066,W366,$AN$7:$AN$1066)-SUMIF($W$7:$W$1066,W366,$AS$7:$AS$1066),0)</f>
      </c>
      <c r="AX366" s="748">
        <f>+MAX(IF(AV366&gt;AW366,AW366-AV365,AU366),0)</f>
      </c>
      <c r="AY366" s="748">
        <f>+AU366-AX366</f>
      </c>
      <c r="AZ366" s="331">
        <f>+$AM$1+IF($AP$1&gt;$AP$2,$AM$3/2)</f>
      </c>
    </row>
    <row x14ac:dyDescent="0.25" r="367" customHeight="1" ht="18.75">
      <c r="A367" s="1"/>
      <c r="B367" s="7"/>
      <c r="C367" s="170"/>
      <c r="D367" s="331">
        <v>360</v>
      </c>
      <c r="E367" s="544">
        <f>+DATE(YEAR(E366),MONTH(E366)-1,DAY(E366))</f>
        <v>25569.041666666668</v>
      </c>
      <c r="F367" s="333">
        <f>IF(DATE(YEAR($B$6),MONTH($B$6)+1,DAY(1))=E367,1,IF(MONTH(E367)=1,F368*(1+$F$5),F368))</f>
      </c>
      <c r="G367" s="333">
        <f>IF('Simulador - 1º Pilar'!$E$99="Sí",IF('Aportaciones PPE'!$B$13&lt;'Aportaciones PPE'!E367,0,F367*$B$8/12),F367*$B$8/12)</f>
      </c>
      <c r="H367" s="333">
        <f>$H$5*G367</f>
      </c>
      <c r="I367" s="333">
        <f>$I$5*G367</f>
      </c>
      <c r="J367" s="333">
        <f>+I367</f>
      </c>
      <c r="K367" s="333">
        <f>(1+$O$5)^(D367/12)*(H367+IF(AND(F367=1,F368=0),$S$4,0))</f>
      </c>
      <c r="L367" s="333">
        <f>(1+$O$5)^(D367/12)*(I367+IF(AND(F367=1,F368=0),0))</f>
      </c>
      <c r="M367" s="333">
        <f>+L367</f>
      </c>
      <c r="N367" s="333">
        <f>L367+K367+M367</f>
      </c>
      <c r="O367" s="170"/>
      <c r="P367" s="7"/>
      <c r="Q367" s="1"/>
      <c r="R367" s="331">
        <f>D367</f>
      </c>
      <c r="S367" s="169"/>
      <c r="T367" s="1"/>
      <c r="U367" s="217"/>
      <c r="V367" s="331">
        <f>+IF(V366=11,12,IF(V366=12,1,V366+1))</f>
      </c>
      <c r="W367" s="331">
        <f>+W366+IF(V366=12,1,0)</f>
      </c>
      <c r="X367" s="555">
        <f>+DATE(W367,V367,1)</f>
        <v>25569.041666666668</v>
      </c>
      <c r="Y367" s="333">
        <f>+_xlfn.IFNA(AN367+AS367+AX367,0)</f>
      </c>
      <c r="Z367" s="333">
        <f>+_xlfn.IFNA(AO367+AT367+AY367,0)</f>
      </c>
      <c r="AA367" s="333">
        <f>Y367*(1+$O$5)^(($B$7-X367)/365.25)</f>
      </c>
      <c r="AB367" s="333">
        <f>Z367*(1+$O$5)^(($B$7-X367)/365.25)</f>
      </c>
      <c r="AC367" s="1"/>
      <c r="AD367" s="1"/>
      <c r="AE367" s="1"/>
      <c r="AF367" s="111">
        <f>+MONTH(E367)&amp;YEAR(E367)</f>
      </c>
      <c r="AG367" s="217">
        <f>+I367</f>
      </c>
      <c r="AH367" s="217">
        <f>+J367</f>
      </c>
      <c r="AI367" s="217">
        <f>+H367</f>
      </c>
      <c r="AJ367" s="111">
        <f>+V367&amp;W367</f>
      </c>
      <c r="AK367" s="217">
        <f>+_xlfn.IFNA(VLOOKUP(AJ367,$AF$7:$AG$1066,2,0),0)</f>
      </c>
      <c r="AL367" s="217">
        <f>+IF(W367&gt;W366,AK367,AL366+AK367)</f>
      </c>
      <c r="AM367" s="217">
        <f>IF(W367&gt;W366,IF(AL367&gt;=$AZ$8,$AZ$8,AL367),IF(OR(AM366=$AZ$8,AM366=0),0,IF(AL367&gt;=$AZ$8,$AZ$8,AL367)))</f>
      </c>
      <c r="AN367" s="748">
        <f>+IF(OR(AM367&gt;AZ366,AM367=0),0,IF(AM367=AL367,AK367,$AZ$7-AL366))</f>
      </c>
      <c r="AO367" s="748">
        <f>+AK367-AN367</f>
      </c>
      <c r="AP367" s="217">
        <f>+_xlfn.IFNA(VLOOKUP(AJ367,$AF$7:$AI$1066,3,0),0)</f>
      </c>
      <c r="AQ367" s="217">
        <f>+IF(W367&gt;W366,AP367,AQ366+AP367)</f>
      </c>
      <c r="AR367" s="217">
        <f>+MAX($AM$2-SUMIF($W$7:$W$1066,W367,$AN$7:$AN$1066),0)</f>
      </c>
      <c r="AS367" s="748">
        <f>+MAX(IF(AQ367&gt;AR367,AR367-AQ366,AP367),0)</f>
      </c>
      <c r="AT367" s="748">
        <f>+AP367-AS367</f>
      </c>
      <c r="AU367" s="217">
        <f>+_xlfn.IFNA(VLOOKUP(AJ367,$AF$7:$AI$1066,4,0),0)</f>
      </c>
      <c r="AV367" s="217">
        <f>+IF(W367&gt;W366,AU367,AV366+AU367)</f>
      </c>
      <c r="AW367" s="217">
        <f>+MAX($AM$2-SUMIF($W$7:$W$1066,W367,$AN$7:$AN$1066)-SUMIF($W$7:$W$1066,W367,$AS$7:$AS$1066),0)</f>
      </c>
      <c r="AX367" s="748">
        <f>+MAX(IF(AV367&gt;AW367,AW367-AV366,AU367),0)</f>
      </c>
      <c r="AY367" s="748">
        <f>+AU367-AX367</f>
      </c>
      <c r="AZ367" s="331">
        <f>+$AM$1+IF($AP$1&gt;$AP$2,$AM$3/2)</f>
      </c>
    </row>
    <row x14ac:dyDescent="0.25" r="368" customHeight="1" ht="18.75">
      <c r="A368" s="1"/>
      <c r="B368" s="7"/>
      <c r="C368" s="170"/>
      <c r="D368" s="331">
        <v>361</v>
      </c>
      <c r="E368" s="544">
        <f>+DATE(YEAR(E367),MONTH(E367)-1,DAY(E367))</f>
        <v>25569.041666666668</v>
      </c>
      <c r="F368" s="333">
        <f>IF(DATE(YEAR($B$6),MONTH($B$6)+1,DAY(1))=E368,1,IF(MONTH(E368)=1,F369*(1+$F$5),F369))</f>
      </c>
      <c r="G368" s="333">
        <f>IF('Simulador - 1º Pilar'!$E$99="Sí",IF('Aportaciones PPE'!$B$13&lt;'Aportaciones PPE'!E368,0,F368*$B$8/12),F368*$B$8/12)</f>
      </c>
      <c r="H368" s="333">
        <f>$H$5*G368</f>
      </c>
      <c r="I368" s="333">
        <f>$I$5*G368</f>
      </c>
      <c r="J368" s="333">
        <f>+I368</f>
      </c>
      <c r="K368" s="333">
        <f>(1+$O$5)^(D368/12)*(H368+IF(AND(F368=1,F369=0),$S$4,0))</f>
      </c>
      <c r="L368" s="333">
        <f>(1+$O$5)^(D368/12)*(I368+IF(AND(F368=1,F369=0),0))</f>
      </c>
      <c r="M368" s="333">
        <f>+L368</f>
      </c>
      <c r="N368" s="333">
        <f>L368+K368+M368</f>
      </c>
      <c r="O368" s="170"/>
      <c r="P368" s="7"/>
      <c r="Q368" s="1"/>
      <c r="R368" s="331">
        <f>D368</f>
      </c>
      <c r="S368" s="169"/>
      <c r="T368" s="1"/>
      <c r="U368" s="217"/>
      <c r="V368" s="331">
        <f>+IF(V367=11,12,IF(V367=12,1,V367+1))</f>
      </c>
      <c r="W368" s="331">
        <f>+W367+IF(V367=12,1,0)</f>
      </c>
      <c r="X368" s="555">
        <f>+DATE(W368,V368,1)</f>
        <v>25569.041666666668</v>
      </c>
      <c r="Y368" s="333">
        <f>+_xlfn.IFNA(AN368+AS368+AX368,0)</f>
      </c>
      <c r="Z368" s="333">
        <f>+_xlfn.IFNA(AO368+AT368+AY368,0)</f>
      </c>
      <c r="AA368" s="333">
        <f>Y368*(1+$O$5)^(($B$7-X368)/365.25)</f>
      </c>
      <c r="AB368" s="333">
        <f>Z368*(1+$O$5)^(($B$7-X368)/365.25)</f>
      </c>
      <c r="AC368" s="1"/>
      <c r="AD368" s="1"/>
      <c r="AE368" s="1"/>
      <c r="AF368" s="111">
        <f>+MONTH(E368)&amp;YEAR(E368)</f>
      </c>
      <c r="AG368" s="217">
        <f>+I368</f>
      </c>
      <c r="AH368" s="217">
        <f>+J368</f>
      </c>
      <c r="AI368" s="217">
        <f>+H368</f>
      </c>
      <c r="AJ368" s="111">
        <f>+V368&amp;W368</f>
      </c>
      <c r="AK368" s="217">
        <f>+_xlfn.IFNA(VLOOKUP(AJ368,$AF$7:$AG$1066,2,0),0)</f>
      </c>
      <c r="AL368" s="217">
        <f>+IF(W368&gt;W367,AK368,AL367+AK368)</f>
      </c>
      <c r="AM368" s="217">
        <f>IF(W368&gt;W367,IF(AL368&gt;=$AZ$8,$AZ$8,AL368),IF(OR(AM367=$AZ$8,AM367=0),0,IF(AL368&gt;=$AZ$8,$AZ$8,AL368)))</f>
      </c>
      <c r="AN368" s="748">
        <f>+IF(OR(AM368&gt;AZ367,AM368=0),0,IF(AM368=AL368,AK368,$AZ$7-AL367))</f>
      </c>
      <c r="AO368" s="748">
        <f>+AK368-AN368</f>
      </c>
      <c r="AP368" s="217">
        <f>+_xlfn.IFNA(VLOOKUP(AJ368,$AF$7:$AI$1066,3,0),0)</f>
      </c>
      <c r="AQ368" s="217">
        <f>+IF(W368&gt;W367,AP368,AQ367+AP368)</f>
      </c>
      <c r="AR368" s="217">
        <f>+MAX($AM$2-SUMIF($W$7:$W$1066,W368,$AN$7:$AN$1066),0)</f>
      </c>
      <c r="AS368" s="748">
        <f>+MAX(IF(AQ368&gt;AR368,AR368-AQ367,AP368),0)</f>
      </c>
      <c r="AT368" s="748">
        <f>+AP368-AS368</f>
      </c>
      <c r="AU368" s="217">
        <f>+_xlfn.IFNA(VLOOKUP(AJ368,$AF$7:$AI$1066,4,0),0)</f>
      </c>
      <c r="AV368" s="217">
        <f>+IF(W368&gt;W367,AU368,AV367+AU368)</f>
      </c>
      <c r="AW368" s="217">
        <f>+MAX($AM$2-SUMIF($W$7:$W$1066,W368,$AN$7:$AN$1066)-SUMIF($W$7:$W$1066,W368,$AS$7:$AS$1066),0)</f>
      </c>
      <c r="AX368" s="748">
        <f>+MAX(IF(AV368&gt;AW368,AW368-AV367,AU368),0)</f>
      </c>
      <c r="AY368" s="748">
        <f>+AU368-AX368</f>
      </c>
      <c r="AZ368" s="331">
        <f>+$AM$1+IF($AP$1&gt;$AP$2,$AM$3/2)</f>
      </c>
    </row>
    <row x14ac:dyDescent="0.25" r="369" customHeight="1" ht="18.75">
      <c r="A369" s="1"/>
      <c r="B369" s="7"/>
      <c r="C369" s="170"/>
      <c r="D369" s="331">
        <v>362</v>
      </c>
      <c r="E369" s="544">
        <f>+DATE(YEAR(E368),MONTH(E368)-1,DAY(E368))</f>
        <v>25569.041666666668</v>
      </c>
      <c r="F369" s="333">
        <f>IF(DATE(YEAR($B$6),MONTH($B$6)+1,DAY(1))=E369,1,IF(MONTH(E369)=1,F370*(1+$F$5),F370))</f>
      </c>
      <c r="G369" s="333">
        <f>IF('Simulador - 1º Pilar'!$E$99="Sí",IF('Aportaciones PPE'!$B$13&lt;'Aportaciones PPE'!E369,0,F369*$B$8/12),F369*$B$8/12)</f>
      </c>
      <c r="H369" s="333">
        <f>$H$5*G369</f>
      </c>
      <c r="I369" s="333">
        <f>$I$5*G369</f>
      </c>
      <c r="J369" s="333">
        <f>+I369</f>
      </c>
      <c r="K369" s="333">
        <f>(1+$O$5)^(D369/12)*(H369+IF(AND(F369=1,F370=0),$S$4,0))</f>
      </c>
      <c r="L369" s="333">
        <f>(1+$O$5)^(D369/12)*(I369+IF(AND(F369=1,F370=0),0))</f>
      </c>
      <c r="M369" s="333">
        <f>+L369</f>
      </c>
      <c r="N369" s="333">
        <f>L369+K369+M369</f>
      </c>
      <c r="O369" s="170"/>
      <c r="P369" s="7"/>
      <c r="Q369" s="1"/>
      <c r="R369" s="331">
        <f>D369</f>
      </c>
      <c r="S369" s="169"/>
      <c r="T369" s="1"/>
      <c r="U369" s="217"/>
      <c r="V369" s="331">
        <f>+IF(V368=11,12,IF(V368=12,1,V368+1))</f>
      </c>
      <c r="W369" s="331">
        <f>+W368+IF(V368=12,1,0)</f>
      </c>
      <c r="X369" s="555">
        <f>+DATE(W369,V369,1)</f>
        <v>25569.041666666668</v>
      </c>
      <c r="Y369" s="333">
        <f>+_xlfn.IFNA(AN369+AS369+AX369,0)</f>
      </c>
      <c r="Z369" s="333">
        <f>+_xlfn.IFNA(AO369+AT369+AY369,0)</f>
      </c>
      <c r="AA369" s="333">
        <f>Y369*(1+$O$5)^(($B$7-X369)/365.25)</f>
      </c>
      <c r="AB369" s="333">
        <f>Z369*(1+$O$5)^(($B$7-X369)/365.25)</f>
      </c>
      <c r="AC369" s="1"/>
      <c r="AD369" s="1"/>
      <c r="AE369" s="1"/>
      <c r="AF369" s="111">
        <f>+MONTH(E369)&amp;YEAR(E369)</f>
      </c>
      <c r="AG369" s="217">
        <f>+I369</f>
      </c>
      <c r="AH369" s="217">
        <f>+J369</f>
      </c>
      <c r="AI369" s="217">
        <f>+H369</f>
      </c>
      <c r="AJ369" s="111">
        <f>+V369&amp;W369</f>
      </c>
      <c r="AK369" s="217">
        <f>+_xlfn.IFNA(VLOOKUP(AJ369,$AF$7:$AG$1066,2,0),0)</f>
      </c>
      <c r="AL369" s="217">
        <f>+IF(W369&gt;W368,AK369,AL368+AK369)</f>
      </c>
      <c r="AM369" s="217">
        <f>IF(W369&gt;W368,IF(AL369&gt;=$AZ$8,$AZ$8,AL369),IF(OR(AM368=$AZ$8,AM368=0),0,IF(AL369&gt;=$AZ$8,$AZ$8,AL369)))</f>
      </c>
      <c r="AN369" s="748">
        <f>+IF(OR(AM369&gt;AZ368,AM369=0),0,IF(AM369=AL369,AK369,$AZ$7-AL368))</f>
      </c>
      <c r="AO369" s="748">
        <f>+AK369-AN369</f>
      </c>
      <c r="AP369" s="217">
        <f>+_xlfn.IFNA(VLOOKUP(AJ369,$AF$7:$AI$1066,3,0),0)</f>
      </c>
      <c r="AQ369" s="217">
        <f>+IF(W369&gt;W368,AP369,AQ368+AP369)</f>
      </c>
      <c r="AR369" s="217">
        <f>+MAX($AM$2-SUMIF($W$7:$W$1066,W369,$AN$7:$AN$1066),0)</f>
      </c>
      <c r="AS369" s="748">
        <f>+MAX(IF(AQ369&gt;AR369,AR369-AQ368,AP369),0)</f>
      </c>
      <c r="AT369" s="748">
        <f>+AP369-AS369</f>
      </c>
      <c r="AU369" s="217">
        <f>+_xlfn.IFNA(VLOOKUP(AJ369,$AF$7:$AI$1066,4,0),0)</f>
      </c>
      <c r="AV369" s="217">
        <f>+IF(W369&gt;W368,AU369,AV368+AU369)</f>
      </c>
      <c r="AW369" s="217">
        <f>+MAX($AM$2-SUMIF($W$7:$W$1066,W369,$AN$7:$AN$1066)-SUMIF($W$7:$W$1066,W369,$AS$7:$AS$1066),0)</f>
      </c>
      <c r="AX369" s="748">
        <f>+MAX(IF(AV369&gt;AW369,AW369-AV368,AU369),0)</f>
      </c>
      <c r="AY369" s="748">
        <f>+AU369-AX369</f>
      </c>
      <c r="AZ369" s="331">
        <f>+$AM$1+IF($AP$1&gt;$AP$2,$AM$3/2)</f>
      </c>
    </row>
    <row x14ac:dyDescent="0.25" r="370" customHeight="1" ht="18.75">
      <c r="A370" s="1"/>
      <c r="B370" s="7"/>
      <c r="C370" s="170"/>
      <c r="D370" s="331">
        <v>363</v>
      </c>
      <c r="E370" s="544">
        <f>+DATE(YEAR(E369),MONTH(E369)-1,DAY(E369))</f>
        <v>25569.041666666668</v>
      </c>
      <c r="F370" s="333">
        <f>IF(DATE(YEAR($B$6),MONTH($B$6)+1,DAY(1))=E370,1,IF(MONTH(E370)=1,F371*(1+$F$5),F371))</f>
      </c>
      <c r="G370" s="333">
        <f>IF('Simulador - 1º Pilar'!$E$99="Sí",IF('Aportaciones PPE'!$B$13&lt;'Aportaciones PPE'!E370,0,F370*$B$8/12),F370*$B$8/12)</f>
      </c>
      <c r="H370" s="333">
        <f>$H$5*G370</f>
      </c>
      <c r="I370" s="333">
        <f>$I$5*G370</f>
      </c>
      <c r="J370" s="333">
        <f>+I370</f>
      </c>
      <c r="K370" s="333">
        <f>(1+$O$5)^(D370/12)*(H370+IF(AND(F370=1,F371=0),$S$4,0))</f>
      </c>
      <c r="L370" s="333">
        <f>(1+$O$5)^(D370/12)*(I370+IF(AND(F370=1,F371=0),0))</f>
      </c>
      <c r="M370" s="333">
        <f>+L370</f>
      </c>
      <c r="N370" s="333">
        <f>L370+K370+M370</f>
      </c>
      <c r="O370" s="170"/>
      <c r="P370" s="7"/>
      <c r="Q370" s="1"/>
      <c r="R370" s="331">
        <f>D370</f>
      </c>
      <c r="S370" s="169"/>
      <c r="T370" s="1"/>
      <c r="U370" s="217"/>
      <c r="V370" s="331">
        <f>+IF(V369=11,12,IF(V369=12,1,V369+1))</f>
      </c>
      <c r="W370" s="331">
        <f>+W369+IF(V369=12,1,0)</f>
      </c>
      <c r="X370" s="555">
        <f>+DATE(W370,V370,1)</f>
        <v>25569.041666666668</v>
      </c>
      <c r="Y370" s="333">
        <f>+_xlfn.IFNA(AN370+AS370+AX370,0)</f>
      </c>
      <c r="Z370" s="333">
        <f>+_xlfn.IFNA(AO370+AT370+AY370,0)</f>
      </c>
      <c r="AA370" s="333">
        <f>Y370*(1+$O$5)^(($B$7-X370)/365.25)</f>
      </c>
      <c r="AB370" s="333">
        <f>Z370*(1+$O$5)^(($B$7-X370)/365.25)</f>
      </c>
      <c r="AC370" s="1"/>
      <c r="AD370" s="1"/>
      <c r="AE370" s="1"/>
      <c r="AF370" s="111">
        <f>+MONTH(E370)&amp;YEAR(E370)</f>
      </c>
      <c r="AG370" s="217">
        <f>+I370</f>
      </c>
      <c r="AH370" s="217">
        <f>+J370</f>
      </c>
      <c r="AI370" s="217">
        <f>+H370</f>
      </c>
      <c r="AJ370" s="111">
        <f>+V370&amp;W370</f>
      </c>
      <c r="AK370" s="217">
        <f>+_xlfn.IFNA(VLOOKUP(AJ370,$AF$7:$AG$1066,2,0),0)</f>
      </c>
      <c r="AL370" s="217">
        <f>+IF(W370&gt;W369,AK370,AL369+AK370)</f>
      </c>
      <c r="AM370" s="217">
        <f>IF(W370&gt;W369,IF(AL370&gt;=$AZ$8,$AZ$8,AL370),IF(OR(AM369=$AZ$8,AM369=0),0,IF(AL370&gt;=$AZ$8,$AZ$8,AL370)))</f>
      </c>
      <c r="AN370" s="748">
        <f>+IF(OR(AM370&gt;AZ369,AM370=0),0,IF(AM370=AL370,AK370,$AZ$7-AL369))</f>
      </c>
      <c r="AO370" s="748">
        <f>+AK370-AN370</f>
      </c>
      <c r="AP370" s="217">
        <f>+_xlfn.IFNA(VLOOKUP(AJ370,$AF$7:$AI$1066,3,0),0)</f>
      </c>
      <c r="AQ370" s="217">
        <f>+IF(W370&gt;W369,AP370,AQ369+AP370)</f>
      </c>
      <c r="AR370" s="217">
        <f>+MAX($AM$2-SUMIF($W$7:$W$1066,W370,$AN$7:$AN$1066),0)</f>
      </c>
      <c r="AS370" s="748">
        <f>+MAX(IF(AQ370&gt;AR370,AR370-AQ369,AP370),0)</f>
      </c>
      <c r="AT370" s="748">
        <f>+AP370-AS370</f>
      </c>
      <c r="AU370" s="217">
        <f>+_xlfn.IFNA(VLOOKUP(AJ370,$AF$7:$AI$1066,4,0),0)</f>
      </c>
      <c r="AV370" s="217">
        <f>+IF(W370&gt;W369,AU370,AV369+AU370)</f>
      </c>
      <c r="AW370" s="217">
        <f>+MAX($AM$2-SUMIF($W$7:$W$1066,W370,$AN$7:$AN$1066)-SUMIF($W$7:$W$1066,W370,$AS$7:$AS$1066),0)</f>
      </c>
      <c r="AX370" s="748">
        <f>+MAX(IF(AV370&gt;AW370,AW370-AV369,AU370),0)</f>
      </c>
      <c r="AY370" s="748">
        <f>+AU370-AX370</f>
      </c>
      <c r="AZ370" s="331">
        <f>+$AM$1+IF($AP$1&gt;$AP$2,$AM$3/2)</f>
      </c>
    </row>
    <row x14ac:dyDescent="0.25" r="371" customHeight="1" ht="18.75">
      <c r="A371" s="1"/>
      <c r="B371" s="7"/>
      <c r="C371" s="170"/>
      <c r="D371" s="331">
        <v>364</v>
      </c>
      <c r="E371" s="544">
        <f>+DATE(YEAR(E370),MONTH(E370)-1,DAY(E370))</f>
        <v>25569.041666666668</v>
      </c>
      <c r="F371" s="333">
        <f>IF(DATE(YEAR($B$6),MONTH($B$6)+1,DAY(1))=E371,1,IF(MONTH(E371)=1,F372*(1+$F$5),F372))</f>
      </c>
      <c r="G371" s="333">
        <f>IF('Simulador - 1º Pilar'!$E$99="Sí",IF('Aportaciones PPE'!$B$13&lt;'Aportaciones PPE'!E371,0,F371*$B$8/12),F371*$B$8/12)</f>
      </c>
      <c r="H371" s="333">
        <f>$H$5*G371</f>
      </c>
      <c r="I371" s="333">
        <f>$I$5*G371</f>
      </c>
      <c r="J371" s="333">
        <f>+I371</f>
      </c>
      <c r="K371" s="333">
        <f>(1+$O$5)^(D371/12)*(H371+IF(AND(F371=1,F372=0),$S$4,0))</f>
      </c>
      <c r="L371" s="333">
        <f>(1+$O$5)^(D371/12)*(I371+IF(AND(F371=1,F372=0),0))</f>
      </c>
      <c r="M371" s="333">
        <f>+L371</f>
      </c>
      <c r="N371" s="333">
        <f>L371+K371+M371</f>
      </c>
      <c r="O371" s="170"/>
      <c r="P371" s="7"/>
      <c r="Q371" s="1"/>
      <c r="R371" s="331">
        <f>D371</f>
      </c>
      <c r="S371" s="169"/>
      <c r="T371" s="1"/>
      <c r="U371" s="217"/>
      <c r="V371" s="331">
        <f>+IF(V370=11,12,IF(V370=12,1,V370+1))</f>
      </c>
      <c r="W371" s="331">
        <f>+W370+IF(V370=12,1,0)</f>
      </c>
      <c r="X371" s="555">
        <f>+DATE(W371,V371,1)</f>
        <v>25569.041666666668</v>
      </c>
      <c r="Y371" s="333">
        <f>+_xlfn.IFNA(AN371+AS371+AX371,0)</f>
      </c>
      <c r="Z371" s="333">
        <f>+_xlfn.IFNA(AO371+AT371+AY371,0)</f>
      </c>
      <c r="AA371" s="333">
        <f>Y371*(1+$O$5)^(($B$7-X371)/365.25)</f>
      </c>
      <c r="AB371" s="333">
        <f>Z371*(1+$O$5)^(($B$7-X371)/365.25)</f>
      </c>
      <c r="AC371" s="1"/>
      <c r="AD371" s="1"/>
      <c r="AE371" s="1"/>
      <c r="AF371" s="111">
        <f>+MONTH(E371)&amp;YEAR(E371)</f>
      </c>
      <c r="AG371" s="217">
        <f>+I371</f>
      </c>
      <c r="AH371" s="217">
        <f>+J371</f>
      </c>
      <c r="AI371" s="217">
        <f>+H371</f>
      </c>
      <c r="AJ371" s="111">
        <f>+V371&amp;W371</f>
      </c>
      <c r="AK371" s="217">
        <f>+_xlfn.IFNA(VLOOKUP(AJ371,$AF$7:$AG$1066,2,0),0)</f>
      </c>
      <c r="AL371" s="217">
        <f>+IF(W371&gt;W370,AK371,AL370+AK371)</f>
      </c>
      <c r="AM371" s="217">
        <f>IF(W371&gt;W370,IF(AL371&gt;=$AZ$8,$AZ$8,AL371),IF(OR(AM370=$AZ$8,AM370=0),0,IF(AL371&gt;=$AZ$8,$AZ$8,AL371)))</f>
      </c>
      <c r="AN371" s="748">
        <f>+IF(OR(AM371&gt;AZ370,AM371=0),0,IF(AM371=AL371,AK371,$AZ$7-AL370))</f>
      </c>
      <c r="AO371" s="748">
        <f>+AK371-AN371</f>
      </c>
      <c r="AP371" s="217">
        <f>+_xlfn.IFNA(VLOOKUP(AJ371,$AF$7:$AI$1066,3,0),0)</f>
      </c>
      <c r="AQ371" s="217">
        <f>+IF(W371&gt;W370,AP371,AQ370+AP371)</f>
      </c>
      <c r="AR371" s="217">
        <f>+MAX($AM$2-SUMIF($W$7:$W$1066,W371,$AN$7:$AN$1066),0)</f>
      </c>
      <c r="AS371" s="748">
        <f>+MAX(IF(AQ371&gt;AR371,AR371-AQ370,AP371),0)</f>
      </c>
      <c r="AT371" s="748">
        <f>+AP371-AS371</f>
      </c>
      <c r="AU371" s="217">
        <f>+_xlfn.IFNA(VLOOKUP(AJ371,$AF$7:$AI$1066,4,0),0)</f>
      </c>
      <c r="AV371" s="217">
        <f>+IF(W371&gt;W370,AU371,AV370+AU371)</f>
      </c>
      <c r="AW371" s="217">
        <f>+MAX($AM$2-SUMIF($W$7:$W$1066,W371,$AN$7:$AN$1066)-SUMIF($W$7:$W$1066,W371,$AS$7:$AS$1066),0)</f>
      </c>
      <c r="AX371" s="748">
        <f>+MAX(IF(AV371&gt;AW371,AW371-AV370,AU371),0)</f>
      </c>
      <c r="AY371" s="748">
        <f>+AU371-AX371</f>
      </c>
      <c r="AZ371" s="331">
        <f>+$AM$1+IF($AP$1&gt;$AP$2,$AM$3/2)</f>
      </c>
    </row>
    <row x14ac:dyDescent="0.25" r="372" customHeight="1" ht="18.75">
      <c r="A372" s="1"/>
      <c r="B372" s="7"/>
      <c r="C372" s="170"/>
      <c r="D372" s="331">
        <v>365</v>
      </c>
      <c r="E372" s="544">
        <f>+DATE(YEAR(E371),MONTH(E371)-1,DAY(E371))</f>
        <v>25569.041666666668</v>
      </c>
      <c r="F372" s="333">
        <f>IF(DATE(YEAR($B$6),MONTH($B$6)+1,DAY(1))=E372,1,IF(MONTH(E372)=1,F373*(1+$F$5),F373))</f>
      </c>
      <c r="G372" s="333">
        <f>IF('Simulador - 1º Pilar'!$E$99="Sí",IF('Aportaciones PPE'!$B$13&lt;'Aportaciones PPE'!E372,0,F372*$B$8/12),F372*$B$8/12)</f>
      </c>
      <c r="H372" s="333">
        <f>$H$5*G372</f>
      </c>
      <c r="I372" s="333">
        <f>$I$5*G372</f>
      </c>
      <c r="J372" s="333">
        <f>+I372</f>
      </c>
      <c r="K372" s="333">
        <f>(1+$O$5)^(D372/12)*(H372+IF(AND(F372=1,F373=0),$S$4,0))</f>
      </c>
      <c r="L372" s="333">
        <f>(1+$O$5)^(D372/12)*(I372+IF(AND(F372=1,F373=0),0))</f>
      </c>
      <c r="M372" s="333">
        <f>+L372</f>
      </c>
      <c r="N372" s="333">
        <f>L372+K372+M372</f>
      </c>
      <c r="O372" s="170"/>
      <c r="P372" s="7"/>
      <c r="Q372" s="1"/>
      <c r="R372" s="331">
        <f>D372</f>
      </c>
      <c r="S372" s="169"/>
      <c r="T372" s="1"/>
      <c r="U372" s="217"/>
      <c r="V372" s="331">
        <f>+IF(V371=11,12,IF(V371=12,1,V371+1))</f>
      </c>
      <c r="W372" s="331">
        <f>+W371+IF(V371=12,1,0)</f>
      </c>
      <c r="X372" s="555">
        <f>+DATE(W372,V372,1)</f>
        <v>25569.041666666668</v>
      </c>
      <c r="Y372" s="333">
        <f>+_xlfn.IFNA(AN372+AS372+AX372,0)</f>
      </c>
      <c r="Z372" s="333">
        <f>+_xlfn.IFNA(AO372+AT372+AY372,0)</f>
      </c>
      <c r="AA372" s="333">
        <f>Y372*(1+$O$5)^(($B$7-X372)/365.25)</f>
      </c>
      <c r="AB372" s="333">
        <f>Z372*(1+$O$5)^(($B$7-X372)/365.25)</f>
      </c>
      <c r="AC372" s="1"/>
      <c r="AD372" s="1"/>
      <c r="AE372" s="1"/>
      <c r="AF372" s="111">
        <f>+MONTH(E372)&amp;YEAR(E372)</f>
      </c>
      <c r="AG372" s="217">
        <f>+I372</f>
      </c>
      <c r="AH372" s="217">
        <f>+J372</f>
      </c>
      <c r="AI372" s="217">
        <f>+H372</f>
      </c>
      <c r="AJ372" s="111">
        <f>+V372&amp;W372</f>
      </c>
      <c r="AK372" s="217">
        <f>+_xlfn.IFNA(VLOOKUP(AJ372,$AF$7:$AG$1066,2,0),0)</f>
      </c>
      <c r="AL372" s="217">
        <f>+IF(W372&gt;W371,AK372,AL371+AK372)</f>
      </c>
      <c r="AM372" s="217">
        <f>IF(W372&gt;W371,IF(AL372&gt;=$AZ$8,$AZ$8,AL372),IF(OR(AM371=$AZ$8,AM371=0),0,IF(AL372&gt;=$AZ$8,$AZ$8,AL372)))</f>
      </c>
      <c r="AN372" s="748">
        <f>+IF(OR(AM372&gt;AZ371,AM372=0),0,IF(AM372=AL372,AK372,$AZ$7-AL371))</f>
      </c>
      <c r="AO372" s="748">
        <f>+AK372-AN372</f>
      </c>
      <c r="AP372" s="217">
        <f>+_xlfn.IFNA(VLOOKUP(AJ372,$AF$7:$AI$1066,3,0),0)</f>
      </c>
      <c r="AQ372" s="217">
        <f>+IF(W372&gt;W371,AP372,AQ371+AP372)</f>
      </c>
      <c r="AR372" s="217">
        <f>+MAX($AM$2-SUMIF($W$7:$W$1066,W372,$AN$7:$AN$1066),0)</f>
      </c>
      <c r="AS372" s="748">
        <f>+MAX(IF(AQ372&gt;AR372,AR372-AQ371,AP372),0)</f>
      </c>
      <c r="AT372" s="748">
        <f>+AP372-AS372</f>
      </c>
      <c r="AU372" s="217">
        <f>+_xlfn.IFNA(VLOOKUP(AJ372,$AF$7:$AI$1066,4,0),0)</f>
      </c>
      <c r="AV372" s="217">
        <f>+IF(W372&gt;W371,AU372,AV371+AU372)</f>
      </c>
      <c r="AW372" s="217">
        <f>+MAX($AM$2-SUMIF($W$7:$W$1066,W372,$AN$7:$AN$1066)-SUMIF($W$7:$W$1066,W372,$AS$7:$AS$1066),0)</f>
      </c>
      <c r="AX372" s="748">
        <f>+MAX(IF(AV372&gt;AW372,AW372-AV371,AU372),0)</f>
      </c>
      <c r="AY372" s="748">
        <f>+AU372-AX372</f>
      </c>
      <c r="AZ372" s="331">
        <f>+$AM$1+IF($AP$1&gt;$AP$2,$AM$3/2)</f>
      </c>
    </row>
    <row x14ac:dyDescent="0.25" r="373" customHeight="1" ht="18.75">
      <c r="A373" s="1"/>
      <c r="B373" s="7"/>
      <c r="C373" s="170"/>
      <c r="D373" s="331">
        <v>366</v>
      </c>
      <c r="E373" s="544">
        <f>+DATE(YEAR(E372),MONTH(E372)-1,DAY(E372))</f>
        <v>25569.041666666668</v>
      </c>
      <c r="F373" s="333">
        <f>IF(DATE(YEAR($B$6),MONTH($B$6)+1,DAY(1))=E373,1,IF(MONTH(E373)=1,F374*(1+$F$5),F374))</f>
      </c>
      <c r="G373" s="333">
        <f>IF('Simulador - 1º Pilar'!$E$99="Sí",IF('Aportaciones PPE'!$B$13&lt;'Aportaciones PPE'!E373,0,F373*$B$8/12),F373*$B$8/12)</f>
      </c>
      <c r="H373" s="333">
        <f>$H$5*G373</f>
      </c>
      <c r="I373" s="333">
        <f>$I$5*G373</f>
      </c>
      <c r="J373" s="333">
        <f>+I373</f>
      </c>
      <c r="K373" s="333">
        <f>(1+$O$5)^(D373/12)*(H373+IF(AND(F373=1,F374=0),$S$4,0))</f>
      </c>
      <c r="L373" s="333">
        <f>(1+$O$5)^(D373/12)*(I373+IF(AND(F373=1,F374=0),0))</f>
      </c>
      <c r="M373" s="333">
        <f>+L373</f>
      </c>
      <c r="N373" s="333">
        <f>L373+K373+M373</f>
      </c>
      <c r="O373" s="170"/>
      <c r="P373" s="7"/>
      <c r="Q373" s="1"/>
      <c r="R373" s="331">
        <f>D373</f>
      </c>
      <c r="S373" s="169"/>
      <c r="T373" s="1"/>
      <c r="U373" s="217"/>
      <c r="V373" s="331">
        <f>+IF(V372=11,12,IF(V372=12,1,V372+1))</f>
      </c>
      <c r="W373" s="331">
        <f>+W372+IF(V372=12,1,0)</f>
      </c>
      <c r="X373" s="555">
        <f>+DATE(W373,V373,1)</f>
        <v>25569.041666666668</v>
      </c>
      <c r="Y373" s="333">
        <f>+_xlfn.IFNA(AN373+AS373+AX373,0)</f>
      </c>
      <c r="Z373" s="333">
        <f>+_xlfn.IFNA(AO373+AT373+AY373,0)</f>
      </c>
      <c r="AA373" s="333">
        <f>Y373*(1+$O$5)^(($B$7-X373)/365.25)</f>
      </c>
      <c r="AB373" s="333">
        <f>Z373*(1+$O$5)^(($B$7-X373)/365.25)</f>
      </c>
      <c r="AC373" s="1"/>
      <c r="AD373" s="1"/>
      <c r="AE373" s="1"/>
      <c r="AF373" s="111">
        <f>+MONTH(E373)&amp;YEAR(E373)</f>
      </c>
      <c r="AG373" s="217">
        <f>+I373</f>
      </c>
      <c r="AH373" s="217">
        <f>+J373</f>
      </c>
      <c r="AI373" s="217">
        <f>+H373</f>
      </c>
      <c r="AJ373" s="111">
        <f>+V373&amp;W373</f>
      </c>
      <c r="AK373" s="217">
        <f>+_xlfn.IFNA(VLOOKUP(AJ373,$AF$7:$AG$1066,2,0),0)</f>
      </c>
      <c r="AL373" s="217">
        <f>+IF(W373&gt;W372,AK373,AL372+AK373)</f>
      </c>
      <c r="AM373" s="217">
        <f>IF(W373&gt;W372,IF(AL373&gt;=$AZ$8,$AZ$8,AL373),IF(OR(AM372=$AZ$8,AM372=0),0,IF(AL373&gt;=$AZ$8,$AZ$8,AL373)))</f>
      </c>
      <c r="AN373" s="748">
        <f>+IF(OR(AM373&gt;AZ372,AM373=0),0,IF(AM373=AL373,AK373,$AZ$7-AL372))</f>
      </c>
      <c r="AO373" s="748">
        <f>+AK373-AN373</f>
      </c>
      <c r="AP373" s="217">
        <f>+_xlfn.IFNA(VLOOKUP(AJ373,$AF$7:$AI$1066,3,0),0)</f>
      </c>
      <c r="AQ373" s="217">
        <f>+IF(W373&gt;W372,AP373,AQ372+AP373)</f>
      </c>
      <c r="AR373" s="217">
        <f>+MAX($AM$2-SUMIF($W$7:$W$1066,W373,$AN$7:$AN$1066),0)</f>
      </c>
      <c r="AS373" s="748">
        <f>+MAX(IF(AQ373&gt;AR373,AR373-AQ372,AP373),0)</f>
      </c>
      <c r="AT373" s="748">
        <f>+AP373-AS373</f>
      </c>
      <c r="AU373" s="217">
        <f>+_xlfn.IFNA(VLOOKUP(AJ373,$AF$7:$AI$1066,4,0),0)</f>
      </c>
      <c r="AV373" s="217">
        <f>+IF(W373&gt;W372,AU373,AV372+AU373)</f>
      </c>
      <c r="AW373" s="217">
        <f>+MAX($AM$2-SUMIF($W$7:$W$1066,W373,$AN$7:$AN$1066)-SUMIF($W$7:$W$1066,W373,$AS$7:$AS$1066),0)</f>
      </c>
      <c r="AX373" s="748">
        <f>+MAX(IF(AV373&gt;AW373,AW373-AV372,AU373),0)</f>
      </c>
      <c r="AY373" s="748">
        <f>+AU373-AX373</f>
      </c>
      <c r="AZ373" s="331">
        <f>+$AM$1+IF($AP$1&gt;$AP$2,$AM$3/2)</f>
      </c>
    </row>
    <row x14ac:dyDescent="0.25" r="374" customHeight="1" ht="18.75">
      <c r="A374" s="1"/>
      <c r="B374" s="7"/>
      <c r="C374" s="170"/>
      <c r="D374" s="331">
        <v>367</v>
      </c>
      <c r="E374" s="544">
        <f>+DATE(YEAR(E373),MONTH(E373)-1,DAY(E373))</f>
        <v>25569.041666666668</v>
      </c>
      <c r="F374" s="333">
        <f>IF(DATE(YEAR($B$6),MONTH($B$6)+1,DAY(1))=E374,1,IF(MONTH(E374)=1,F375*(1+$F$5),F375))</f>
      </c>
      <c r="G374" s="333">
        <f>IF('Simulador - 1º Pilar'!$E$99="Sí",IF('Aportaciones PPE'!$B$13&lt;'Aportaciones PPE'!E374,0,F374*$B$8/12),F374*$B$8/12)</f>
      </c>
      <c r="H374" s="333">
        <f>$H$5*G374</f>
      </c>
      <c r="I374" s="333">
        <f>$I$5*G374</f>
      </c>
      <c r="J374" s="333">
        <f>+I374</f>
      </c>
      <c r="K374" s="333">
        <f>(1+$O$5)^(D374/12)*(H374+IF(AND(F374=1,F375=0),$S$4,0))</f>
      </c>
      <c r="L374" s="333">
        <f>(1+$O$5)^(D374/12)*(I374+IF(AND(F374=1,F375=0),0))</f>
      </c>
      <c r="M374" s="333">
        <f>+L374</f>
      </c>
      <c r="N374" s="333">
        <f>L374+K374+M374</f>
      </c>
      <c r="O374" s="170"/>
      <c r="P374" s="7"/>
      <c r="Q374" s="1"/>
      <c r="R374" s="331">
        <f>D374</f>
      </c>
      <c r="S374" s="169"/>
      <c r="T374" s="1"/>
      <c r="U374" s="217"/>
      <c r="V374" s="331">
        <f>+IF(V373=11,12,IF(V373=12,1,V373+1))</f>
      </c>
      <c r="W374" s="331">
        <f>+W373+IF(V373=12,1,0)</f>
      </c>
      <c r="X374" s="555">
        <f>+DATE(W374,V374,1)</f>
        <v>25569.041666666668</v>
      </c>
      <c r="Y374" s="333">
        <f>+_xlfn.IFNA(AN374+AS374+AX374,0)</f>
      </c>
      <c r="Z374" s="333">
        <f>+_xlfn.IFNA(AO374+AT374+AY374,0)</f>
      </c>
      <c r="AA374" s="333">
        <f>Y374*(1+$O$5)^(($B$7-X374)/365.25)</f>
      </c>
      <c r="AB374" s="333">
        <f>Z374*(1+$O$5)^(($B$7-X374)/365.25)</f>
      </c>
      <c r="AC374" s="1"/>
      <c r="AD374" s="1"/>
      <c r="AE374" s="1"/>
      <c r="AF374" s="111">
        <f>+MONTH(E374)&amp;YEAR(E374)</f>
      </c>
      <c r="AG374" s="217">
        <f>+I374</f>
      </c>
      <c r="AH374" s="217">
        <f>+J374</f>
      </c>
      <c r="AI374" s="217">
        <f>+H374</f>
      </c>
      <c r="AJ374" s="111">
        <f>+V374&amp;W374</f>
      </c>
      <c r="AK374" s="217">
        <f>+_xlfn.IFNA(VLOOKUP(AJ374,$AF$7:$AG$1066,2,0),0)</f>
      </c>
      <c r="AL374" s="217">
        <f>+IF(W374&gt;W373,AK374,AL373+AK374)</f>
      </c>
      <c r="AM374" s="217">
        <f>IF(W374&gt;W373,IF(AL374&gt;=$AZ$8,$AZ$8,AL374),IF(OR(AM373=$AZ$8,AM373=0),0,IF(AL374&gt;=$AZ$8,$AZ$8,AL374)))</f>
      </c>
      <c r="AN374" s="748">
        <f>+IF(OR(AM374&gt;AZ373,AM374=0),0,IF(AM374=AL374,AK374,$AZ$7-AL373))</f>
      </c>
      <c r="AO374" s="748">
        <f>+AK374-AN374</f>
      </c>
      <c r="AP374" s="217">
        <f>+_xlfn.IFNA(VLOOKUP(AJ374,$AF$7:$AI$1066,3,0),0)</f>
      </c>
      <c r="AQ374" s="217">
        <f>+IF(W374&gt;W373,AP374,AQ373+AP374)</f>
      </c>
      <c r="AR374" s="217">
        <f>+MAX($AM$2-SUMIF($W$7:$W$1066,W374,$AN$7:$AN$1066),0)</f>
      </c>
      <c r="AS374" s="748">
        <f>+MAX(IF(AQ374&gt;AR374,AR374-AQ373,AP374),0)</f>
      </c>
      <c r="AT374" s="748">
        <f>+AP374-AS374</f>
      </c>
      <c r="AU374" s="217">
        <f>+_xlfn.IFNA(VLOOKUP(AJ374,$AF$7:$AI$1066,4,0),0)</f>
      </c>
      <c r="AV374" s="217">
        <f>+IF(W374&gt;W373,AU374,AV373+AU374)</f>
      </c>
      <c r="AW374" s="217">
        <f>+MAX($AM$2-SUMIF($W$7:$W$1066,W374,$AN$7:$AN$1066)-SUMIF($W$7:$W$1066,W374,$AS$7:$AS$1066),0)</f>
      </c>
      <c r="AX374" s="748">
        <f>+MAX(IF(AV374&gt;AW374,AW374-AV373,AU374),0)</f>
      </c>
      <c r="AY374" s="748">
        <f>+AU374-AX374</f>
      </c>
      <c r="AZ374" s="331">
        <f>+$AM$1+IF($AP$1&gt;$AP$2,$AM$3/2)</f>
      </c>
    </row>
    <row x14ac:dyDescent="0.25" r="375" customHeight="1" ht="18.75">
      <c r="A375" s="1"/>
      <c r="B375" s="7"/>
      <c r="C375" s="170"/>
      <c r="D375" s="331">
        <v>368</v>
      </c>
      <c r="E375" s="544">
        <f>+DATE(YEAR(E374),MONTH(E374)-1,DAY(E374))</f>
        <v>25569.041666666668</v>
      </c>
      <c r="F375" s="333">
        <f>IF(DATE(YEAR($B$6),MONTH($B$6)+1,DAY(1))=E375,1,IF(MONTH(E375)=1,F376*(1+$F$5),F376))</f>
      </c>
      <c r="G375" s="333">
        <f>IF('Simulador - 1º Pilar'!$E$99="Sí",IF('Aportaciones PPE'!$B$13&lt;'Aportaciones PPE'!E375,0,F375*$B$8/12),F375*$B$8/12)</f>
      </c>
      <c r="H375" s="333">
        <f>$H$5*G375</f>
      </c>
      <c r="I375" s="333">
        <f>$I$5*G375</f>
      </c>
      <c r="J375" s="333">
        <f>+I375</f>
      </c>
      <c r="K375" s="333">
        <f>(1+$O$5)^(D375/12)*(H375+IF(AND(F375=1,F376=0),$S$4,0))</f>
      </c>
      <c r="L375" s="333">
        <f>(1+$O$5)^(D375/12)*(I375+IF(AND(F375=1,F376=0),0))</f>
      </c>
      <c r="M375" s="333">
        <f>+L375</f>
      </c>
      <c r="N375" s="333">
        <f>L375+K375+M375</f>
      </c>
      <c r="O375" s="170"/>
      <c r="P375" s="7"/>
      <c r="Q375" s="1"/>
      <c r="R375" s="331">
        <f>D375</f>
      </c>
      <c r="S375" s="169"/>
      <c r="T375" s="1"/>
      <c r="U375" s="217"/>
      <c r="V375" s="331">
        <f>+IF(V374=11,12,IF(V374=12,1,V374+1))</f>
      </c>
      <c r="W375" s="331">
        <f>+W374+IF(V374=12,1,0)</f>
      </c>
      <c r="X375" s="555">
        <f>+DATE(W375,V375,1)</f>
        <v>25569.041666666668</v>
      </c>
      <c r="Y375" s="333">
        <f>+_xlfn.IFNA(AN375+AS375+AX375,0)</f>
      </c>
      <c r="Z375" s="333">
        <f>+_xlfn.IFNA(AO375+AT375+AY375,0)</f>
      </c>
      <c r="AA375" s="333">
        <f>Y375*(1+$O$5)^(($B$7-X375)/365.25)</f>
      </c>
      <c r="AB375" s="333">
        <f>Z375*(1+$O$5)^(($B$7-X375)/365.25)</f>
      </c>
      <c r="AC375" s="1"/>
      <c r="AD375" s="1"/>
      <c r="AE375" s="1"/>
      <c r="AF375" s="111">
        <f>+MONTH(E375)&amp;YEAR(E375)</f>
      </c>
      <c r="AG375" s="217">
        <f>+I375</f>
      </c>
      <c r="AH375" s="217">
        <f>+J375</f>
      </c>
      <c r="AI375" s="217">
        <f>+H375</f>
      </c>
      <c r="AJ375" s="111">
        <f>+V375&amp;W375</f>
      </c>
      <c r="AK375" s="217">
        <f>+_xlfn.IFNA(VLOOKUP(AJ375,$AF$7:$AG$1066,2,0),0)</f>
      </c>
      <c r="AL375" s="217">
        <f>+IF(W375&gt;W374,AK375,AL374+AK375)</f>
      </c>
      <c r="AM375" s="217">
        <f>IF(W375&gt;W374,IF(AL375&gt;=$AZ$8,$AZ$8,AL375),IF(OR(AM374=$AZ$8,AM374=0),0,IF(AL375&gt;=$AZ$8,$AZ$8,AL375)))</f>
      </c>
      <c r="AN375" s="748">
        <f>+IF(OR(AM375&gt;AZ374,AM375=0),0,IF(AM375=AL375,AK375,$AZ$7-AL374))</f>
      </c>
      <c r="AO375" s="748">
        <f>+AK375-AN375</f>
      </c>
      <c r="AP375" s="217">
        <f>+_xlfn.IFNA(VLOOKUP(AJ375,$AF$7:$AI$1066,3,0),0)</f>
      </c>
      <c r="AQ375" s="217">
        <f>+IF(W375&gt;W374,AP375,AQ374+AP375)</f>
      </c>
      <c r="AR375" s="217">
        <f>+MAX($AM$2-SUMIF($W$7:$W$1066,W375,$AN$7:$AN$1066),0)</f>
      </c>
      <c r="AS375" s="748">
        <f>+MAX(IF(AQ375&gt;AR375,AR375-AQ374,AP375),0)</f>
      </c>
      <c r="AT375" s="748">
        <f>+AP375-AS375</f>
      </c>
      <c r="AU375" s="217">
        <f>+_xlfn.IFNA(VLOOKUP(AJ375,$AF$7:$AI$1066,4,0),0)</f>
      </c>
      <c r="AV375" s="217">
        <f>+IF(W375&gt;W374,AU375,AV374+AU375)</f>
      </c>
      <c r="AW375" s="217">
        <f>+MAX($AM$2-SUMIF($W$7:$W$1066,W375,$AN$7:$AN$1066)-SUMIF($W$7:$W$1066,W375,$AS$7:$AS$1066),0)</f>
      </c>
      <c r="AX375" s="748">
        <f>+MAX(IF(AV375&gt;AW375,AW375-AV374,AU375),0)</f>
      </c>
      <c r="AY375" s="748">
        <f>+AU375-AX375</f>
      </c>
      <c r="AZ375" s="331">
        <f>+$AM$1+IF($AP$1&gt;$AP$2,$AM$3/2)</f>
      </c>
    </row>
    <row x14ac:dyDescent="0.25" r="376" customHeight="1" ht="18.75">
      <c r="A376" s="1"/>
      <c r="B376" s="7"/>
      <c r="C376" s="170"/>
      <c r="D376" s="331">
        <v>369</v>
      </c>
      <c r="E376" s="544">
        <f>+DATE(YEAR(E375),MONTH(E375)-1,DAY(E375))</f>
        <v>25569.041666666668</v>
      </c>
      <c r="F376" s="333">
        <f>IF(DATE(YEAR($B$6),MONTH($B$6)+1,DAY(1))=E376,1,IF(MONTH(E376)=1,F377*(1+$F$5),F377))</f>
      </c>
      <c r="G376" s="333">
        <f>IF('Simulador - 1º Pilar'!$E$99="Sí",IF('Aportaciones PPE'!$B$13&lt;'Aportaciones PPE'!E376,0,F376*$B$8/12),F376*$B$8/12)</f>
      </c>
      <c r="H376" s="333">
        <f>$H$5*G376</f>
      </c>
      <c r="I376" s="333">
        <f>$I$5*G376</f>
      </c>
      <c r="J376" s="333">
        <f>+I376</f>
      </c>
      <c r="K376" s="333">
        <f>(1+$O$5)^(D376/12)*(H376+IF(AND(F376=1,F377=0),$S$4,0))</f>
      </c>
      <c r="L376" s="333">
        <f>(1+$O$5)^(D376/12)*(I376+IF(AND(F376=1,F377=0),0))</f>
      </c>
      <c r="M376" s="333">
        <f>+L376</f>
      </c>
      <c r="N376" s="333">
        <f>L376+K376+M376</f>
      </c>
      <c r="O376" s="170"/>
      <c r="P376" s="7"/>
      <c r="Q376" s="1"/>
      <c r="R376" s="331">
        <f>D376</f>
      </c>
      <c r="S376" s="169"/>
      <c r="T376" s="1"/>
      <c r="U376" s="217"/>
      <c r="V376" s="331">
        <f>+IF(V375=11,12,IF(V375=12,1,V375+1))</f>
      </c>
      <c r="W376" s="331">
        <f>+W375+IF(V375=12,1,0)</f>
      </c>
      <c r="X376" s="555">
        <f>+DATE(W376,V376,1)</f>
        <v>25569.041666666668</v>
      </c>
      <c r="Y376" s="333">
        <f>+_xlfn.IFNA(AN376+AS376+AX376,0)</f>
      </c>
      <c r="Z376" s="333">
        <f>+_xlfn.IFNA(AO376+AT376+AY376,0)</f>
      </c>
      <c r="AA376" s="333">
        <f>Y376*(1+$O$5)^(($B$7-X376)/365.25)</f>
      </c>
      <c r="AB376" s="333">
        <f>Z376*(1+$O$5)^(($B$7-X376)/365.25)</f>
      </c>
      <c r="AC376" s="1"/>
      <c r="AD376" s="1"/>
      <c r="AE376" s="1"/>
      <c r="AF376" s="111">
        <f>+MONTH(E376)&amp;YEAR(E376)</f>
      </c>
      <c r="AG376" s="217">
        <f>+I376</f>
      </c>
      <c r="AH376" s="217">
        <f>+J376</f>
      </c>
      <c r="AI376" s="217">
        <f>+H376</f>
      </c>
      <c r="AJ376" s="111">
        <f>+V376&amp;W376</f>
      </c>
      <c r="AK376" s="217">
        <f>+_xlfn.IFNA(VLOOKUP(AJ376,$AF$7:$AG$1066,2,0),0)</f>
      </c>
      <c r="AL376" s="217">
        <f>+IF(W376&gt;W375,AK376,AL375+AK376)</f>
      </c>
      <c r="AM376" s="217">
        <f>IF(W376&gt;W375,IF(AL376&gt;=$AZ$8,$AZ$8,AL376),IF(OR(AM375=$AZ$8,AM375=0),0,IF(AL376&gt;=$AZ$8,$AZ$8,AL376)))</f>
      </c>
      <c r="AN376" s="748">
        <f>+IF(OR(AM376&gt;AZ375,AM376=0),0,IF(AM376=AL376,AK376,$AZ$7-AL375))</f>
      </c>
      <c r="AO376" s="748">
        <f>+AK376-AN376</f>
      </c>
      <c r="AP376" s="217">
        <f>+_xlfn.IFNA(VLOOKUP(AJ376,$AF$7:$AI$1066,3,0),0)</f>
      </c>
      <c r="AQ376" s="217">
        <f>+IF(W376&gt;W375,AP376,AQ375+AP376)</f>
      </c>
      <c r="AR376" s="217">
        <f>+MAX($AM$2-SUMIF($W$7:$W$1066,W376,$AN$7:$AN$1066),0)</f>
      </c>
      <c r="AS376" s="748">
        <f>+MAX(IF(AQ376&gt;AR376,AR376-AQ375,AP376),0)</f>
      </c>
      <c r="AT376" s="748">
        <f>+AP376-AS376</f>
      </c>
      <c r="AU376" s="217">
        <f>+_xlfn.IFNA(VLOOKUP(AJ376,$AF$7:$AI$1066,4,0),0)</f>
      </c>
      <c r="AV376" s="217">
        <f>+IF(W376&gt;W375,AU376,AV375+AU376)</f>
      </c>
      <c r="AW376" s="217">
        <f>+MAX($AM$2-SUMIF($W$7:$W$1066,W376,$AN$7:$AN$1066)-SUMIF($W$7:$W$1066,W376,$AS$7:$AS$1066),0)</f>
      </c>
      <c r="AX376" s="748">
        <f>+MAX(IF(AV376&gt;AW376,AW376-AV375,AU376),0)</f>
      </c>
      <c r="AY376" s="748">
        <f>+AU376-AX376</f>
      </c>
      <c r="AZ376" s="331">
        <f>+$AM$1+IF($AP$1&gt;$AP$2,$AM$3/2)</f>
      </c>
    </row>
    <row x14ac:dyDescent="0.25" r="377" customHeight="1" ht="18.75">
      <c r="A377" s="1"/>
      <c r="B377" s="7"/>
      <c r="C377" s="170"/>
      <c r="D377" s="331">
        <v>370</v>
      </c>
      <c r="E377" s="544">
        <f>+DATE(YEAR(E376),MONTH(E376)-1,DAY(E376))</f>
        <v>25569.041666666668</v>
      </c>
      <c r="F377" s="333">
        <f>IF(DATE(YEAR($B$6),MONTH($B$6)+1,DAY(1))=E377,1,IF(MONTH(E377)=1,F378*(1+$F$5),F378))</f>
      </c>
      <c r="G377" s="333">
        <f>IF('Simulador - 1º Pilar'!$E$99="Sí",IF('Aportaciones PPE'!$B$13&lt;'Aportaciones PPE'!E377,0,F377*$B$8/12),F377*$B$8/12)</f>
      </c>
      <c r="H377" s="333">
        <f>$H$5*G377</f>
      </c>
      <c r="I377" s="333">
        <f>$I$5*G377</f>
      </c>
      <c r="J377" s="333">
        <f>+I377</f>
      </c>
      <c r="K377" s="333">
        <f>(1+$O$5)^(D377/12)*(H377+IF(AND(F377=1,F378=0),$S$4,0))</f>
      </c>
      <c r="L377" s="333">
        <f>(1+$O$5)^(D377/12)*(I377+IF(AND(F377=1,F378=0),0))</f>
      </c>
      <c r="M377" s="333">
        <f>+L377</f>
      </c>
      <c r="N377" s="333">
        <f>L377+K377+M377</f>
      </c>
      <c r="O377" s="170"/>
      <c r="P377" s="7"/>
      <c r="Q377" s="1"/>
      <c r="R377" s="331">
        <f>D377</f>
      </c>
      <c r="S377" s="169"/>
      <c r="T377" s="1"/>
      <c r="U377" s="217"/>
      <c r="V377" s="331">
        <f>+IF(V376=11,12,IF(V376=12,1,V376+1))</f>
      </c>
      <c r="W377" s="331">
        <f>+W376+IF(V376=12,1,0)</f>
      </c>
      <c r="X377" s="555">
        <f>+DATE(W377,V377,1)</f>
        <v>25569.041666666668</v>
      </c>
      <c r="Y377" s="333">
        <f>+_xlfn.IFNA(AN377+AS377+AX377,0)</f>
      </c>
      <c r="Z377" s="333">
        <f>+_xlfn.IFNA(AO377+AT377+AY377,0)</f>
      </c>
      <c r="AA377" s="333">
        <f>Y377*(1+$O$5)^(($B$7-X377)/365.25)</f>
      </c>
      <c r="AB377" s="333">
        <f>Z377*(1+$O$5)^(($B$7-X377)/365.25)</f>
      </c>
      <c r="AC377" s="1"/>
      <c r="AD377" s="1"/>
      <c r="AE377" s="1"/>
      <c r="AF377" s="111">
        <f>+MONTH(E377)&amp;YEAR(E377)</f>
      </c>
      <c r="AG377" s="217">
        <f>+I377</f>
      </c>
      <c r="AH377" s="217">
        <f>+J377</f>
      </c>
      <c r="AI377" s="217">
        <f>+H377</f>
      </c>
      <c r="AJ377" s="111">
        <f>+V377&amp;W377</f>
      </c>
      <c r="AK377" s="217">
        <f>+_xlfn.IFNA(VLOOKUP(AJ377,$AF$7:$AG$1066,2,0),0)</f>
      </c>
      <c r="AL377" s="217">
        <f>+IF(W377&gt;W376,AK377,AL376+AK377)</f>
      </c>
      <c r="AM377" s="217">
        <f>IF(W377&gt;W376,IF(AL377&gt;=$AZ$8,$AZ$8,AL377),IF(OR(AM376=$AZ$8,AM376=0),0,IF(AL377&gt;=$AZ$8,$AZ$8,AL377)))</f>
      </c>
      <c r="AN377" s="748">
        <f>+IF(OR(AM377&gt;AZ376,AM377=0),0,IF(AM377=AL377,AK377,$AZ$7-AL376))</f>
      </c>
      <c r="AO377" s="748">
        <f>+AK377-AN377</f>
      </c>
      <c r="AP377" s="217">
        <f>+_xlfn.IFNA(VLOOKUP(AJ377,$AF$7:$AI$1066,3,0),0)</f>
      </c>
      <c r="AQ377" s="217">
        <f>+IF(W377&gt;W376,AP377,AQ376+AP377)</f>
      </c>
      <c r="AR377" s="217">
        <f>+MAX($AM$2-SUMIF($W$7:$W$1066,W377,$AN$7:$AN$1066),0)</f>
      </c>
      <c r="AS377" s="748">
        <f>+MAX(IF(AQ377&gt;AR377,AR377-AQ376,AP377),0)</f>
      </c>
      <c r="AT377" s="748">
        <f>+AP377-AS377</f>
      </c>
      <c r="AU377" s="217">
        <f>+_xlfn.IFNA(VLOOKUP(AJ377,$AF$7:$AI$1066,4,0),0)</f>
      </c>
      <c r="AV377" s="217">
        <f>+IF(W377&gt;W376,AU377,AV376+AU377)</f>
      </c>
      <c r="AW377" s="217">
        <f>+MAX($AM$2-SUMIF($W$7:$W$1066,W377,$AN$7:$AN$1066)-SUMIF($W$7:$W$1066,W377,$AS$7:$AS$1066),0)</f>
      </c>
      <c r="AX377" s="748">
        <f>+MAX(IF(AV377&gt;AW377,AW377-AV376,AU377),0)</f>
      </c>
      <c r="AY377" s="748">
        <f>+AU377-AX377</f>
      </c>
      <c r="AZ377" s="331">
        <f>+$AM$1+IF($AP$1&gt;$AP$2,$AM$3/2)</f>
      </c>
    </row>
    <row x14ac:dyDescent="0.25" r="378" customHeight="1" ht="18.75">
      <c r="A378" s="1"/>
      <c r="B378" s="7"/>
      <c r="C378" s="170"/>
      <c r="D378" s="331">
        <v>371</v>
      </c>
      <c r="E378" s="544">
        <f>+DATE(YEAR(E377),MONTH(E377)-1,DAY(E377))</f>
        <v>25569.041666666668</v>
      </c>
      <c r="F378" s="333">
        <f>IF(DATE(YEAR($B$6),MONTH($B$6)+1,DAY(1))=E378,1,IF(MONTH(E378)=1,F379*(1+$F$5),F379))</f>
      </c>
      <c r="G378" s="333">
        <f>IF('Simulador - 1º Pilar'!$E$99="Sí",IF('Aportaciones PPE'!$B$13&lt;'Aportaciones PPE'!E378,0,F378*$B$8/12),F378*$B$8/12)</f>
      </c>
      <c r="H378" s="333">
        <f>$H$5*G378</f>
      </c>
      <c r="I378" s="333">
        <f>$I$5*G378</f>
      </c>
      <c r="J378" s="333">
        <f>+I378</f>
      </c>
      <c r="K378" s="333">
        <f>(1+$O$5)^(D378/12)*(H378+IF(AND(F378=1,F379=0),$S$4,0))</f>
      </c>
      <c r="L378" s="333">
        <f>(1+$O$5)^(D378/12)*(I378+IF(AND(F378=1,F379=0),0))</f>
      </c>
      <c r="M378" s="333">
        <f>+L378</f>
      </c>
      <c r="N378" s="333">
        <f>L378+K378+M378</f>
      </c>
      <c r="O378" s="170"/>
      <c r="P378" s="7"/>
      <c r="Q378" s="1"/>
      <c r="R378" s="331">
        <f>D378</f>
      </c>
      <c r="S378" s="169"/>
      <c r="T378" s="1"/>
      <c r="U378" s="217"/>
      <c r="V378" s="331">
        <f>+IF(V377=11,12,IF(V377=12,1,V377+1))</f>
      </c>
      <c r="W378" s="331">
        <f>+W377+IF(V377=12,1,0)</f>
      </c>
      <c r="X378" s="555">
        <f>+DATE(W378,V378,1)</f>
        <v>25569.041666666668</v>
      </c>
      <c r="Y378" s="333">
        <f>+_xlfn.IFNA(AN378+AS378+AX378,0)</f>
      </c>
      <c r="Z378" s="333">
        <f>+_xlfn.IFNA(AO378+AT378+AY378,0)</f>
      </c>
      <c r="AA378" s="333">
        <f>Y378*(1+$O$5)^(($B$7-X378)/365.25)</f>
      </c>
      <c r="AB378" s="333">
        <f>Z378*(1+$O$5)^(($B$7-X378)/365.25)</f>
      </c>
      <c r="AC378" s="1"/>
      <c r="AD378" s="1"/>
      <c r="AE378" s="1"/>
      <c r="AF378" s="111">
        <f>+MONTH(E378)&amp;YEAR(E378)</f>
      </c>
      <c r="AG378" s="217">
        <f>+I378</f>
      </c>
      <c r="AH378" s="217">
        <f>+J378</f>
      </c>
      <c r="AI378" s="217">
        <f>+H378</f>
      </c>
      <c r="AJ378" s="111">
        <f>+V378&amp;W378</f>
      </c>
      <c r="AK378" s="217">
        <f>+_xlfn.IFNA(VLOOKUP(AJ378,$AF$7:$AG$1066,2,0),0)</f>
      </c>
      <c r="AL378" s="217">
        <f>+IF(W378&gt;W377,AK378,AL377+AK378)</f>
      </c>
      <c r="AM378" s="217">
        <f>IF(W378&gt;W377,IF(AL378&gt;=$AZ$8,$AZ$8,AL378),IF(OR(AM377=$AZ$8,AM377=0),0,IF(AL378&gt;=$AZ$8,$AZ$8,AL378)))</f>
      </c>
      <c r="AN378" s="748">
        <f>+IF(OR(AM378&gt;AZ377,AM378=0),0,IF(AM378=AL378,AK378,$AZ$7-AL377))</f>
      </c>
      <c r="AO378" s="748">
        <f>+AK378-AN378</f>
      </c>
      <c r="AP378" s="217">
        <f>+_xlfn.IFNA(VLOOKUP(AJ378,$AF$7:$AI$1066,3,0),0)</f>
      </c>
      <c r="AQ378" s="217">
        <f>+IF(W378&gt;W377,AP378,AQ377+AP378)</f>
      </c>
      <c r="AR378" s="217">
        <f>+MAX($AM$2-SUMIF($W$7:$W$1066,W378,$AN$7:$AN$1066),0)</f>
      </c>
      <c r="AS378" s="748">
        <f>+MAX(IF(AQ378&gt;AR378,AR378-AQ377,AP378),0)</f>
      </c>
      <c r="AT378" s="748">
        <f>+AP378-AS378</f>
      </c>
      <c r="AU378" s="217">
        <f>+_xlfn.IFNA(VLOOKUP(AJ378,$AF$7:$AI$1066,4,0),0)</f>
      </c>
      <c r="AV378" s="217">
        <f>+IF(W378&gt;W377,AU378,AV377+AU378)</f>
      </c>
      <c r="AW378" s="217">
        <f>+MAX($AM$2-SUMIF($W$7:$W$1066,W378,$AN$7:$AN$1066)-SUMIF($W$7:$W$1066,W378,$AS$7:$AS$1066),0)</f>
      </c>
      <c r="AX378" s="748">
        <f>+MAX(IF(AV378&gt;AW378,AW378-AV377,AU378),0)</f>
      </c>
      <c r="AY378" s="748">
        <f>+AU378-AX378</f>
      </c>
      <c r="AZ378" s="331">
        <f>+$AM$1+IF($AP$1&gt;$AP$2,$AM$3/2)</f>
      </c>
    </row>
    <row x14ac:dyDescent="0.25" r="379" customHeight="1" ht="18.75">
      <c r="A379" s="1"/>
      <c r="B379" s="7"/>
      <c r="C379" s="170"/>
      <c r="D379" s="331">
        <v>372</v>
      </c>
      <c r="E379" s="544">
        <f>+DATE(YEAR(E378),MONTH(E378)-1,DAY(E378))</f>
        <v>25569.041666666668</v>
      </c>
      <c r="F379" s="333">
        <f>IF(DATE(YEAR($B$6),MONTH($B$6)+1,DAY(1))=E379,1,IF(MONTH(E379)=1,F380*(1+$F$5),F380))</f>
      </c>
      <c r="G379" s="333">
        <f>IF('Simulador - 1º Pilar'!$E$99="Sí",IF('Aportaciones PPE'!$B$13&lt;'Aportaciones PPE'!E379,0,F379*$B$8/12),F379*$B$8/12)</f>
      </c>
      <c r="H379" s="333">
        <f>$H$5*G379</f>
      </c>
      <c r="I379" s="333">
        <f>$I$5*G379</f>
      </c>
      <c r="J379" s="333">
        <f>+I379</f>
      </c>
      <c r="K379" s="333">
        <f>(1+$O$5)^(D379/12)*(H379+IF(AND(F379=1,F380=0),$S$4,0))</f>
      </c>
      <c r="L379" s="333">
        <f>(1+$O$5)^(D379/12)*(I379+IF(AND(F379=1,F380=0),0))</f>
      </c>
      <c r="M379" s="333">
        <f>+L379</f>
      </c>
      <c r="N379" s="333">
        <f>L379+K379+M379</f>
      </c>
      <c r="O379" s="170"/>
      <c r="P379" s="7"/>
      <c r="Q379" s="1"/>
      <c r="R379" s="331">
        <f>D379</f>
      </c>
      <c r="S379" s="169"/>
      <c r="T379" s="1"/>
      <c r="U379" s="217"/>
      <c r="V379" s="331">
        <f>+IF(V378=11,12,IF(V378=12,1,V378+1))</f>
      </c>
      <c r="W379" s="331">
        <f>+W378+IF(V378=12,1,0)</f>
      </c>
      <c r="X379" s="555">
        <f>+DATE(W379,V379,1)</f>
        <v>25569.041666666668</v>
      </c>
      <c r="Y379" s="333">
        <f>+_xlfn.IFNA(AN379+AS379+AX379,0)</f>
      </c>
      <c r="Z379" s="333">
        <f>+_xlfn.IFNA(AO379+AT379+AY379,0)</f>
      </c>
      <c r="AA379" s="333">
        <f>Y379*(1+$O$5)^(($B$7-X379)/365.25)</f>
      </c>
      <c r="AB379" s="333">
        <f>Z379*(1+$O$5)^(($B$7-X379)/365.25)</f>
      </c>
      <c r="AC379" s="1"/>
      <c r="AD379" s="1"/>
      <c r="AE379" s="1"/>
      <c r="AF379" s="111">
        <f>+MONTH(E379)&amp;YEAR(E379)</f>
      </c>
      <c r="AG379" s="217">
        <f>+I379</f>
      </c>
      <c r="AH379" s="217">
        <f>+J379</f>
      </c>
      <c r="AI379" s="217">
        <f>+H379</f>
      </c>
      <c r="AJ379" s="111">
        <f>+V379&amp;W379</f>
      </c>
      <c r="AK379" s="217">
        <f>+_xlfn.IFNA(VLOOKUP(AJ379,$AF$7:$AG$1066,2,0),0)</f>
      </c>
      <c r="AL379" s="217">
        <f>+IF(W379&gt;W378,AK379,AL378+AK379)</f>
      </c>
      <c r="AM379" s="217">
        <f>IF(W379&gt;W378,IF(AL379&gt;=$AZ$8,$AZ$8,AL379),IF(OR(AM378=$AZ$8,AM378=0),0,IF(AL379&gt;=$AZ$8,$AZ$8,AL379)))</f>
      </c>
      <c r="AN379" s="748">
        <f>+IF(OR(AM379&gt;AZ378,AM379=0),0,IF(AM379=AL379,AK379,$AZ$7-AL378))</f>
      </c>
      <c r="AO379" s="748">
        <f>+AK379-AN379</f>
      </c>
      <c r="AP379" s="217">
        <f>+_xlfn.IFNA(VLOOKUP(AJ379,$AF$7:$AI$1066,3,0),0)</f>
      </c>
      <c r="AQ379" s="217">
        <f>+IF(W379&gt;W378,AP379,AQ378+AP379)</f>
      </c>
      <c r="AR379" s="217">
        <f>+MAX($AM$2-SUMIF($W$7:$W$1066,W379,$AN$7:$AN$1066),0)</f>
      </c>
      <c r="AS379" s="748">
        <f>+MAX(IF(AQ379&gt;AR379,AR379-AQ378,AP379),0)</f>
      </c>
      <c r="AT379" s="748">
        <f>+AP379-AS379</f>
      </c>
      <c r="AU379" s="217">
        <f>+_xlfn.IFNA(VLOOKUP(AJ379,$AF$7:$AI$1066,4,0),0)</f>
      </c>
      <c r="AV379" s="217">
        <f>+IF(W379&gt;W378,AU379,AV378+AU379)</f>
      </c>
      <c r="AW379" s="217">
        <f>+MAX($AM$2-SUMIF($W$7:$W$1066,W379,$AN$7:$AN$1066)-SUMIF($W$7:$W$1066,W379,$AS$7:$AS$1066),0)</f>
      </c>
      <c r="AX379" s="748">
        <f>+MAX(IF(AV379&gt;AW379,AW379-AV378,AU379),0)</f>
      </c>
      <c r="AY379" s="748">
        <f>+AU379-AX379</f>
      </c>
      <c r="AZ379" s="331">
        <f>+$AM$1+IF($AP$1&gt;$AP$2,$AM$3/2)</f>
      </c>
    </row>
    <row x14ac:dyDescent="0.25" r="380" customHeight="1" ht="18.75">
      <c r="A380" s="1"/>
      <c r="B380" s="7"/>
      <c r="C380" s="170"/>
      <c r="D380" s="331">
        <v>373</v>
      </c>
      <c r="E380" s="544">
        <f>+DATE(YEAR(E379),MONTH(E379)-1,DAY(E379))</f>
        <v>25569.041666666668</v>
      </c>
      <c r="F380" s="333">
        <f>IF(DATE(YEAR($B$6),MONTH($B$6)+1,DAY(1))=E380,1,IF(MONTH(E380)=1,F381*(1+$F$5),F381))</f>
      </c>
      <c r="G380" s="333">
        <f>IF('Simulador - 1º Pilar'!$E$99="Sí",IF('Aportaciones PPE'!$B$13&lt;'Aportaciones PPE'!E380,0,F380*$B$8/12),F380*$B$8/12)</f>
      </c>
      <c r="H380" s="333">
        <f>$H$5*G380</f>
      </c>
      <c r="I380" s="333">
        <f>$I$5*G380</f>
      </c>
      <c r="J380" s="333">
        <f>+I380</f>
      </c>
      <c r="K380" s="333">
        <f>(1+$O$5)^(D380/12)*(H380+IF(AND(F380=1,F381=0),$S$4,0))</f>
      </c>
      <c r="L380" s="333">
        <f>(1+$O$5)^(D380/12)*(I380+IF(AND(F380=1,F381=0),0))</f>
      </c>
      <c r="M380" s="333">
        <f>+L380</f>
      </c>
      <c r="N380" s="333">
        <f>L380+K380+M380</f>
      </c>
      <c r="O380" s="170"/>
      <c r="P380" s="7"/>
      <c r="Q380" s="1"/>
      <c r="R380" s="331">
        <f>D380</f>
      </c>
      <c r="S380" s="169"/>
      <c r="T380" s="1"/>
      <c r="U380" s="217"/>
      <c r="V380" s="331">
        <f>+IF(V379=11,12,IF(V379=12,1,V379+1))</f>
      </c>
      <c r="W380" s="331">
        <f>+W379+IF(V379=12,1,0)</f>
      </c>
      <c r="X380" s="555">
        <f>+DATE(W380,V380,1)</f>
        <v>25569.041666666668</v>
      </c>
      <c r="Y380" s="333">
        <f>+_xlfn.IFNA(AN380+AS380+AX380,0)</f>
      </c>
      <c r="Z380" s="333">
        <f>+_xlfn.IFNA(AO380+AT380+AY380,0)</f>
      </c>
      <c r="AA380" s="333">
        <f>Y380*(1+$O$5)^(($B$7-X380)/365.25)</f>
      </c>
      <c r="AB380" s="333">
        <f>Z380*(1+$O$5)^(($B$7-X380)/365.25)</f>
      </c>
      <c r="AC380" s="1"/>
      <c r="AD380" s="1"/>
      <c r="AE380" s="1"/>
      <c r="AF380" s="111">
        <f>+MONTH(E380)&amp;YEAR(E380)</f>
      </c>
      <c r="AG380" s="217">
        <f>+I380</f>
      </c>
      <c r="AH380" s="217">
        <f>+J380</f>
      </c>
      <c r="AI380" s="217">
        <f>+H380</f>
      </c>
      <c r="AJ380" s="111">
        <f>+V380&amp;W380</f>
      </c>
      <c r="AK380" s="217">
        <f>+_xlfn.IFNA(VLOOKUP(AJ380,$AF$7:$AG$1066,2,0),0)</f>
      </c>
      <c r="AL380" s="217">
        <f>+IF(W380&gt;W379,AK380,AL379+AK380)</f>
      </c>
      <c r="AM380" s="217">
        <f>IF(W380&gt;W379,IF(AL380&gt;=$AZ$8,$AZ$8,AL380),IF(OR(AM379=$AZ$8,AM379=0),0,IF(AL380&gt;=$AZ$8,$AZ$8,AL380)))</f>
      </c>
      <c r="AN380" s="748">
        <f>+IF(OR(AM380&gt;AZ379,AM380=0),0,IF(AM380=AL380,AK380,$AZ$7-AL379))</f>
      </c>
      <c r="AO380" s="748">
        <f>+AK380-AN380</f>
      </c>
      <c r="AP380" s="217">
        <f>+_xlfn.IFNA(VLOOKUP(AJ380,$AF$7:$AI$1066,3,0),0)</f>
      </c>
      <c r="AQ380" s="217">
        <f>+IF(W380&gt;W379,AP380,AQ379+AP380)</f>
      </c>
      <c r="AR380" s="217">
        <f>+MAX($AM$2-SUMIF($W$7:$W$1066,W380,$AN$7:$AN$1066),0)</f>
      </c>
      <c r="AS380" s="748">
        <f>+MAX(IF(AQ380&gt;AR380,AR380-AQ379,AP380),0)</f>
      </c>
      <c r="AT380" s="748">
        <f>+AP380-AS380</f>
      </c>
      <c r="AU380" s="217">
        <f>+_xlfn.IFNA(VLOOKUP(AJ380,$AF$7:$AI$1066,4,0),0)</f>
      </c>
      <c r="AV380" s="217">
        <f>+IF(W380&gt;W379,AU380,AV379+AU380)</f>
      </c>
      <c r="AW380" s="217">
        <f>+MAX($AM$2-SUMIF($W$7:$W$1066,W380,$AN$7:$AN$1066)-SUMIF($W$7:$W$1066,W380,$AS$7:$AS$1066),0)</f>
      </c>
      <c r="AX380" s="748">
        <f>+MAX(IF(AV380&gt;AW380,AW380-AV379,AU380),0)</f>
      </c>
      <c r="AY380" s="748">
        <f>+AU380-AX380</f>
      </c>
      <c r="AZ380" s="331">
        <f>+$AM$1+IF($AP$1&gt;$AP$2,$AM$3/2)</f>
      </c>
    </row>
    <row x14ac:dyDescent="0.25" r="381" customHeight="1" ht="18.75">
      <c r="A381" s="1"/>
      <c r="B381" s="7"/>
      <c r="C381" s="170"/>
      <c r="D381" s="331">
        <v>374</v>
      </c>
      <c r="E381" s="544">
        <f>+DATE(YEAR(E380),MONTH(E380)-1,DAY(E380))</f>
        <v>25569.041666666668</v>
      </c>
      <c r="F381" s="333">
        <f>IF(DATE(YEAR($B$6),MONTH($B$6)+1,DAY(1))=E381,1,IF(MONTH(E381)=1,F382*(1+$F$5),F382))</f>
      </c>
      <c r="G381" s="333">
        <f>IF('Simulador - 1º Pilar'!$E$99="Sí",IF('Aportaciones PPE'!$B$13&lt;'Aportaciones PPE'!E381,0,F381*$B$8/12),F381*$B$8/12)</f>
      </c>
      <c r="H381" s="333">
        <f>$H$5*G381</f>
      </c>
      <c r="I381" s="333">
        <f>$I$5*G381</f>
      </c>
      <c r="J381" s="333">
        <f>+I381</f>
      </c>
      <c r="K381" s="333">
        <f>(1+$O$5)^(D381/12)*(H381+IF(AND(F381=1,F382=0),$S$4,0))</f>
      </c>
      <c r="L381" s="333">
        <f>(1+$O$5)^(D381/12)*(I381+IF(AND(F381=1,F382=0),0))</f>
      </c>
      <c r="M381" s="333">
        <f>+L381</f>
      </c>
      <c r="N381" s="333">
        <f>L381+K381+M381</f>
      </c>
      <c r="O381" s="170"/>
      <c r="P381" s="7"/>
      <c r="Q381" s="1"/>
      <c r="R381" s="331">
        <f>D381</f>
      </c>
      <c r="S381" s="169"/>
      <c r="T381" s="1"/>
      <c r="U381" s="217"/>
      <c r="V381" s="331">
        <f>+IF(V380=11,12,IF(V380=12,1,V380+1))</f>
      </c>
      <c r="W381" s="331">
        <f>+W380+IF(V380=12,1,0)</f>
      </c>
      <c r="X381" s="555">
        <f>+DATE(W381,V381,1)</f>
        <v>25569.041666666668</v>
      </c>
      <c r="Y381" s="333">
        <f>+_xlfn.IFNA(AN381+AS381+AX381,0)</f>
      </c>
      <c r="Z381" s="333">
        <f>+_xlfn.IFNA(AO381+AT381+AY381,0)</f>
      </c>
      <c r="AA381" s="333">
        <f>Y381*(1+$O$5)^(($B$7-X381)/365.25)</f>
      </c>
      <c r="AB381" s="333">
        <f>Z381*(1+$O$5)^(($B$7-X381)/365.25)</f>
      </c>
      <c r="AC381" s="1"/>
      <c r="AD381" s="1"/>
      <c r="AE381" s="1"/>
      <c r="AF381" s="111">
        <f>+MONTH(E381)&amp;YEAR(E381)</f>
      </c>
      <c r="AG381" s="217">
        <f>+I381</f>
      </c>
      <c r="AH381" s="217">
        <f>+J381</f>
      </c>
      <c r="AI381" s="217">
        <f>+H381</f>
      </c>
      <c r="AJ381" s="111">
        <f>+V381&amp;W381</f>
      </c>
      <c r="AK381" s="217">
        <f>+_xlfn.IFNA(VLOOKUP(AJ381,$AF$7:$AG$1066,2,0),0)</f>
      </c>
      <c r="AL381" s="217">
        <f>+IF(W381&gt;W380,AK381,AL380+AK381)</f>
      </c>
      <c r="AM381" s="217">
        <f>IF(W381&gt;W380,IF(AL381&gt;=$AZ$8,$AZ$8,AL381),IF(OR(AM380=$AZ$8,AM380=0),0,IF(AL381&gt;=$AZ$8,$AZ$8,AL381)))</f>
      </c>
      <c r="AN381" s="748">
        <f>+IF(OR(AM381&gt;AZ380,AM381=0),0,IF(AM381=AL381,AK381,$AZ$7-AL380))</f>
      </c>
      <c r="AO381" s="748">
        <f>+AK381-AN381</f>
      </c>
      <c r="AP381" s="217">
        <f>+_xlfn.IFNA(VLOOKUP(AJ381,$AF$7:$AI$1066,3,0),0)</f>
      </c>
      <c r="AQ381" s="217">
        <f>+IF(W381&gt;W380,AP381,AQ380+AP381)</f>
      </c>
      <c r="AR381" s="217">
        <f>+MAX($AM$2-SUMIF($W$7:$W$1066,W381,$AN$7:$AN$1066),0)</f>
      </c>
      <c r="AS381" s="748">
        <f>+MAX(IF(AQ381&gt;AR381,AR381-AQ380,AP381),0)</f>
      </c>
      <c r="AT381" s="748">
        <f>+AP381-AS381</f>
      </c>
      <c r="AU381" s="217">
        <f>+_xlfn.IFNA(VLOOKUP(AJ381,$AF$7:$AI$1066,4,0),0)</f>
      </c>
      <c r="AV381" s="217">
        <f>+IF(W381&gt;W380,AU381,AV380+AU381)</f>
      </c>
      <c r="AW381" s="217">
        <f>+MAX($AM$2-SUMIF($W$7:$W$1066,W381,$AN$7:$AN$1066)-SUMIF($W$7:$W$1066,W381,$AS$7:$AS$1066),0)</f>
      </c>
      <c r="AX381" s="748">
        <f>+MAX(IF(AV381&gt;AW381,AW381-AV380,AU381),0)</f>
      </c>
      <c r="AY381" s="748">
        <f>+AU381-AX381</f>
      </c>
      <c r="AZ381" s="331">
        <f>+$AM$1+IF($AP$1&gt;$AP$2,$AM$3/2)</f>
      </c>
    </row>
    <row x14ac:dyDescent="0.25" r="382" customHeight="1" ht="18.75">
      <c r="A382" s="1"/>
      <c r="B382" s="7"/>
      <c r="C382" s="170"/>
      <c r="D382" s="331">
        <v>375</v>
      </c>
      <c r="E382" s="544">
        <f>+DATE(YEAR(E381),MONTH(E381)-1,DAY(E381))</f>
        <v>25569.041666666668</v>
      </c>
      <c r="F382" s="333">
        <f>IF(DATE(YEAR($B$6),MONTH($B$6)+1,DAY(1))=E382,1,IF(MONTH(E382)=1,F383*(1+$F$5),F383))</f>
      </c>
      <c r="G382" s="333">
        <f>IF('Simulador - 1º Pilar'!$E$99="Sí",IF('Aportaciones PPE'!$B$13&lt;'Aportaciones PPE'!E382,0,F382*$B$8/12),F382*$B$8/12)</f>
      </c>
      <c r="H382" s="333">
        <f>$H$5*G382</f>
      </c>
      <c r="I382" s="333">
        <f>$I$5*G382</f>
      </c>
      <c r="J382" s="333">
        <f>+I382</f>
      </c>
      <c r="K382" s="333">
        <f>(1+$O$5)^(D382/12)*(H382+IF(AND(F382=1,F383=0),$S$4,0))</f>
      </c>
      <c r="L382" s="333">
        <f>(1+$O$5)^(D382/12)*(I382+IF(AND(F382=1,F383=0),0))</f>
      </c>
      <c r="M382" s="333">
        <f>+L382</f>
      </c>
      <c r="N382" s="333">
        <f>L382+K382+M382</f>
      </c>
      <c r="O382" s="170"/>
      <c r="P382" s="7"/>
      <c r="Q382" s="1"/>
      <c r="R382" s="331">
        <f>D382</f>
      </c>
      <c r="S382" s="169"/>
      <c r="T382" s="1"/>
      <c r="U382" s="217"/>
      <c r="V382" s="331">
        <f>+IF(V381=11,12,IF(V381=12,1,V381+1))</f>
      </c>
      <c r="W382" s="331">
        <f>+W381+IF(V381=12,1,0)</f>
      </c>
      <c r="X382" s="555">
        <f>+DATE(W382,V382,1)</f>
        <v>25569.041666666668</v>
      </c>
      <c r="Y382" s="333">
        <f>+_xlfn.IFNA(AN382+AS382+AX382,0)</f>
      </c>
      <c r="Z382" s="333">
        <f>+_xlfn.IFNA(AO382+AT382+AY382,0)</f>
      </c>
      <c r="AA382" s="333">
        <f>Y382*(1+$O$5)^(($B$7-X382)/365.25)</f>
      </c>
      <c r="AB382" s="333">
        <f>Z382*(1+$O$5)^(($B$7-X382)/365.25)</f>
      </c>
      <c r="AC382" s="1"/>
      <c r="AD382" s="1"/>
      <c r="AE382" s="1"/>
      <c r="AF382" s="111">
        <f>+MONTH(E382)&amp;YEAR(E382)</f>
      </c>
      <c r="AG382" s="217">
        <f>+I382</f>
      </c>
      <c r="AH382" s="217">
        <f>+J382</f>
      </c>
      <c r="AI382" s="217">
        <f>+H382</f>
      </c>
      <c r="AJ382" s="111">
        <f>+V382&amp;W382</f>
      </c>
      <c r="AK382" s="217">
        <f>+_xlfn.IFNA(VLOOKUP(AJ382,$AF$7:$AG$1066,2,0),0)</f>
      </c>
      <c r="AL382" s="217">
        <f>+IF(W382&gt;W381,AK382,AL381+AK382)</f>
      </c>
      <c r="AM382" s="217">
        <f>IF(W382&gt;W381,IF(AL382&gt;=$AZ$8,$AZ$8,AL382),IF(OR(AM381=$AZ$8,AM381=0),0,IF(AL382&gt;=$AZ$8,$AZ$8,AL382)))</f>
      </c>
      <c r="AN382" s="748">
        <f>+IF(OR(AM382&gt;AZ381,AM382=0),0,IF(AM382=AL382,AK382,$AZ$7-AL381))</f>
      </c>
      <c r="AO382" s="748">
        <f>+AK382-AN382</f>
      </c>
      <c r="AP382" s="217">
        <f>+_xlfn.IFNA(VLOOKUP(AJ382,$AF$7:$AI$1066,3,0),0)</f>
      </c>
      <c r="AQ382" s="217">
        <f>+IF(W382&gt;W381,AP382,AQ381+AP382)</f>
      </c>
      <c r="AR382" s="217">
        <f>+MAX($AM$2-SUMIF($W$7:$W$1066,W382,$AN$7:$AN$1066),0)</f>
      </c>
      <c r="AS382" s="748">
        <f>+MAX(IF(AQ382&gt;AR382,AR382-AQ381,AP382),0)</f>
      </c>
      <c r="AT382" s="748">
        <f>+AP382-AS382</f>
      </c>
      <c r="AU382" s="217">
        <f>+_xlfn.IFNA(VLOOKUP(AJ382,$AF$7:$AI$1066,4,0),0)</f>
      </c>
      <c r="AV382" s="217">
        <f>+IF(W382&gt;W381,AU382,AV381+AU382)</f>
      </c>
      <c r="AW382" s="217">
        <f>+MAX($AM$2-SUMIF($W$7:$W$1066,W382,$AN$7:$AN$1066)-SUMIF($W$7:$W$1066,W382,$AS$7:$AS$1066),0)</f>
      </c>
      <c r="AX382" s="748">
        <f>+MAX(IF(AV382&gt;AW382,AW382-AV381,AU382),0)</f>
      </c>
      <c r="AY382" s="748">
        <f>+AU382-AX382</f>
      </c>
      <c r="AZ382" s="331">
        <f>+$AM$1+IF($AP$1&gt;$AP$2,$AM$3/2)</f>
      </c>
    </row>
    <row x14ac:dyDescent="0.25" r="383" customHeight="1" ht="18.75">
      <c r="A383" s="1"/>
      <c r="B383" s="7"/>
      <c r="C383" s="170"/>
      <c r="D383" s="331">
        <v>376</v>
      </c>
      <c r="E383" s="544">
        <f>+DATE(YEAR(E382),MONTH(E382)-1,DAY(E382))</f>
        <v>25569.041666666668</v>
      </c>
      <c r="F383" s="333">
        <f>IF(DATE(YEAR($B$6),MONTH($B$6)+1,DAY(1))=E383,1,IF(MONTH(E383)=1,F384*(1+$F$5),F384))</f>
      </c>
      <c r="G383" s="333">
        <f>IF('Simulador - 1º Pilar'!$E$99="Sí",IF('Aportaciones PPE'!$B$13&lt;'Aportaciones PPE'!E383,0,F383*$B$8/12),F383*$B$8/12)</f>
      </c>
      <c r="H383" s="333">
        <f>$H$5*G383</f>
      </c>
      <c r="I383" s="333">
        <f>$I$5*G383</f>
      </c>
      <c r="J383" s="333">
        <f>+I383</f>
      </c>
      <c r="K383" s="333">
        <f>(1+$O$5)^(D383/12)*(H383+IF(AND(F383=1,F384=0),$S$4,0))</f>
      </c>
      <c r="L383" s="333">
        <f>(1+$O$5)^(D383/12)*(I383+IF(AND(F383=1,F384=0),0))</f>
      </c>
      <c r="M383" s="333">
        <f>+L383</f>
      </c>
      <c r="N383" s="333">
        <f>L383+K383+M383</f>
      </c>
      <c r="O383" s="170"/>
      <c r="P383" s="7"/>
      <c r="Q383" s="1"/>
      <c r="R383" s="331">
        <f>D383</f>
      </c>
      <c r="S383" s="169"/>
      <c r="T383" s="1"/>
      <c r="U383" s="217"/>
      <c r="V383" s="331">
        <f>+IF(V382=11,12,IF(V382=12,1,V382+1))</f>
      </c>
      <c r="W383" s="331">
        <f>+W382+IF(V382=12,1,0)</f>
      </c>
      <c r="X383" s="555">
        <f>+DATE(W383,V383,1)</f>
        <v>25569.041666666668</v>
      </c>
      <c r="Y383" s="333">
        <f>+_xlfn.IFNA(AN383+AS383+AX383,0)</f>
      </c>
      <c r="Z383" s="333">
        <f>+_xlfn.IFNA(AO383+AT383+AY383,0)</f>
      </c>
      <c r="AA383" s="333">
        <f>Y383*(1+$O$5)^(($B$7-X383)/365.25)</f>
      </c>
      <c r="AB383" s="333">
        <f>Z383*(1+$O$5)^(($B$7-X383)/365.25)</f>
      </c>
      <c r="AC383" s="1"/>
      <c r="AD383" s="1"/>
      <c r="AE383" s="1"/>
      <c r="AF383" s="111">
        <f>+MONTH(E383)&amp;YEAR(E383)</f>
      </c>
      <c r="AG383" s="217">
        <f>+I383</f>
      </c>
      <c r="AH383" s="217">
        <f>+J383</f>
      </c>
      <c r="AI383" s="217">
        <f>+H383</f>
      </c>
      <c r="AJ383" s="111">
        <f>+V383&amp;W383</f>
      </c>
      <c r="AK383" s="217">
        <f>+_xlfn.IFNA(VLOOKUP(AJ383,$AF$7:$AG$1066,2,0),0)</f>
      </c>
      <c r="AL383" s="217">
        <f>+IF(W383&gt;W382,AK383,AL382+AK383)</f>
      </c>
      <c r="AM383" s="217">
        <f>IF(W383&gt;W382,IF(AL383&gt;=$AZ$8,$AZ$8,AL383),IF(OR(AM382=$AZ$8,AM382=0),0,IF(AL383&gt;=$AZ$8,$AZ$8,AL383)))</f>
      </c>
      <c r="AN383" s="748">
        <f>+IF(OR(AM383&gt;AZ382,AM383=0),0,IF(AM383=AL383,AK383,$AZ$7-AL382))</f>
      </c>
      <c r="AO383" s="748">
        <f>+AK383-AN383</f>
      </c>
      <c r="AP383" s="217">
        <f>+_xlfn.IFNA(VLOOKUP(AJ383,$AF$7:$AI$1066,3,0),0)</f>
      </c>
      <c r="AQ383" s="217">
        <f>+IF(W383&gt;W382,AP383,AQ382+AP383)</f>
      </c>
      <c r="AR383" s="217">
        <f>+MAX($AM$2-SUMIF($W$7:$W$1066,W383,$AN$7:$AN$1066),0)</f>
      </c>
      <c r="AS383" s="748">
        <f>+MAX(IF(AQ383&gt;AR383,AR383-AQ382,AP383),0)</f>
      </c>
      <c r="AT383" s="748">
        <f>+AP383-AS383</f>
      </c>
      <c r="AU383" s="217">
        <f>+_xlfn.IFNA(VLOOKUP(AJ383,$AF$7:$AI$1066,4,0),0)</f>
      </c>
      <c r="AV383" s="217">
        <f>+IF(W383&gt;W382,AU383,AV382+AU383)</f>
      </c>
      <c r="AW383" s="217">
        <f>+MAX($AM$2-SUMIF($W$7:$W$1066,W383,$AN$7:$AN$1066)-SUMIF($W$7:$W$1066,W383,$AS$7:$AS$1066),0)</f>
      </c>
      <c r="AX383" s="748">
        <f>+MAX(IF(AV383&gt;AW383,AW383-AV382,AU383),0)</f>
      </c>
      <c r="AY383" s="748">
        <f>+AU383-AX383</f>
      </c>
      <c r="AZ383" s="331">
        <f>+$AM$1+IF($AP$1&gt;$AP$2,$AM$3/2)</f>
      </c>
    </row>
    <row x14ac:dyDescent="0.25" r="384" customHeight="1" ht="18.75">
      <c r="A384" s="1"/>
      <c r="B384" s="7"/>
      <c r="C384" s="170"/>
      <c r="D384" s="331">
        <v>377</v>
      </c>
      <c r="E384" s="544">
        <f>+DATE(YEAR(E383),MONTH(E383)-1,DAY(E383))</f>
        <v>25569.041666666668</v>
      </c>
      <c r="F384" s="333">
        <f>IF(DATE(YEAR($B$6),MONTH($B$6)+1,DAY(1))=E384,1,IF(MONTH(E384)=1,F385*(1+$F$5),F385))</f>
      </c>
      <c r="G384" s="333">
        <f>IF('Simulador - 1º Pilar'!$E$99="Sí",IF('Aportaciones PPE'!$B$13&lt;'Aportaciones PPE'!E384,0,F384*$B$8/12),F384*$B$8/12)</f>
      </c>
      <c r="H384" s="333">
        <f>$H$5*G384</f>
      </c>
      <c r="I384" s="333">
        <f>$I$5*G384</f>
      </c>
      <c r="J384" s="333">
        <f>+I384</f>
      </c>
      <c r="K384" s="333">
        <f>(1+$O$5)^(D384/12)*(H384+IF(AND(F384=1,F385=0),$S$4,0))</f>
      </c>
      <c r="L384" s="333">
        <f>(1+$O$5)^(D384/12)*(I384+IF(AND(F384=1,F385=0),0))</f>
      </c>
      <c r="M384" s="333">
        <f>+L384</f>
      </c>
      <c r="N384" s="333">
        <f>L384+K384+M384</f>
      </c>
      <c r="O384" s="170"/>
      <c r="P384" s="7"/>
      <c r="Q384" s="1"/>
      <c r="R384" s="331">
        <f>D384</f>
      </c>
      <c r="S384" s="169"/>
      <c r="T384" s="1"/>
      <c r="U384" s="217"/>
      <c r="V384" s="331">
        <f>+IF(V383=11,12,IF(V383=12,1,V383+1))</f>
      </c>
      <c r="W384" s="331">
        <f>+W383+IF(V383=12,1,0)</f>
      </c>
      <c r="X384" s="555">
        <f>+DATE(W384,V384,1)</f>
        <v>25569.041666666668</v>
      </c>
      <c r="Y384" s="333">
        <f>+_xlfn.IFNA(AN384+AS384+AX384,0)</f>
      </c>
      <c r="Z384" s="333">
        <f>+_xlfn.IFNA(AO384+AT384+AY384,0)</f>
      </c>
      <c r="AA384" s="333">
        <f>Y384*(1+$O$5)^(($B$7-X384)/365.25)</f>
      </c>
      <c r="AB384" s="333">
        <f>Z384*(1+$O$5)^(($B$7-X384)/365.25)</f>
      </c>
      <c r="AC384" s="1"/>
      <c r="AD384" s="1"/>
      <c r="AE384" s="1"/>
      <c r="AF384" s="111">
        <f>+MONTH(E384)&amp;YEAR(E384)</f>
      </c>
      <c r="AG384" s="217">
        <f>+I384</f>
      </c>
      <c r="AH384" s="217">
        <f>+J384</f>
      </c>
      <c r="AI384" s="217">
        <f>+H384</f>
      </c>
      <c r="AJ384" s="111">
        <f>+V384&amp;W384</f>
      </c>
      <c r="AK384" s="217">
        <f>+_xlfn.IFNA(VLOOKUP(AJ384,$AF$7:$AG$1066,2,0),0)</f>
      </c>
      <c r="AL384" s="217">
        <f>+IF(W384&gt;W383,AK384,AL383+AK384)</f>
      </c>
      <c r="AM384" s="217">
        <f>IF(W384&gt;W383,IF(AL384&gt;=$AZ$8,$AZ$8,AL384),IF(OR(AM383=$AZ$8,AM383=0),0,IF(AL384&gt;=$AZ$8,$AZ$8,AL384)))</f>
      </c>
      <c r="AN384" s="748">
        <f>+IF(OR(AM384&gt;AZ383,AM384=0),0,IF(AM384=AL384,AK384,$AZ$7-AL383))</f>
      </c>
      <c r="AO384" s="748">
        <f>+AK384-AN384</f>
      </c>
      <c r="AP384" s="217">
        <f>+_xlfn.IFNA(VLOOKUP(AJ384,$AF$7:$AI$1066,3,0),0)</f>
      </c>
      <c r="AQ384" s="217">
        <f>+IF(W384&gt;W383,AP384,AQ383+AP384)</f>
      </c>
      <c r="AR384" s="217">
        <f>+MAX($AM$2-SUMIF($W$7:$W$1066,W384,$AN$7:$AN$1066),0)</f>
      </c>
      <c r="AS384" s="748">
        <f>+MAX(IF(AQ384&gt;AR384,AR384-AQ383,AP384),0)</f>
      </c>
      <c r="AT384" s="748">
        <f>+AP384-AS384</f>
      </c>
      <c r="AU384" s="217">
        <f>+_xlfn.IFNA(VLOOKUP(AJ384,$AF$7:$AI$1066,4,0),0)</f>
      </c>
      <c r="AV384" s="217">
        <f>+IF(W384&gt;W383,AU384,AV383+AU384)</f>
      </c>
      <c r="AW384" s="217">
        <f>+MAX($AM$2-SUMIF($W$7:$W$1066,W384,$AN$7:$AN$1066)-SUMIF($W$7:$W$1066,W384,$AS$7:$AS$1066),0)</f>
      </c>
      <c r="AX384" s="748">
        <f>+MAX(IF(AV384&gt;AW384,AW384-AV383,AU384),0)</f>
      </c>
      <c r="AY384" s="748">
        <f>+AU384-AX384</f>
      </c>
      <c r="AZ384" s="331">
        <f>+$AM$1+IF($AP$1&gt;$AP$2,$AM$3/2)</f>
      </c>
    </row>
    <row x14ac:dyDescent="0.25" r="385" customHeight="1" ht="18.75">
      <c r="A385" s="1"/>
      <c r="B385" s="7"/>
      <c r="C385" s="170"/>
      <c r="D385" s="331">
        <v>378</v>
      </c>
      <c r="E385" s="544">
        <f>+DATE(YEAR(E384),MONTH(E384)-1,DAY(E384))</f>
        <v>25569.041666666668</v>
      </c>
      <c r="F385" s="333">
        <f>IF(DATE(YEAR($B$6),MONTH($B$6)+1,DAY(1))=E385,1,IF(MONTH(E385)=1,F386*(1+$F$5),F386))</f>
      </c>
      <c r="G385" s="333">
        <f>IF('Simulador - 1º Pilar'!$E$99="Sí",IF('Aportaciones PPE'!$B$13&lt;'Aportaciones PPE'!E385,0,F385*$B$8/12),F385*$B$8/12)</f>
      </c>
      <c r="H385" s="333">
        <f>$H$5*G385</f>
      </c>
      <c r="I385" s="333">
        <f>$I$5*G385</f>
      </c>
      <c r="J385" s="333">
        <f>+I385</f>
      </c>
      <c r="K385" s="333">
        <f>(1+$O$5)^(D385/12)*(H385+IF(AND(F385=1,F386=0),$S$4,0))</f>
      </c>
      <c r="L385" s="333">
        <f>(1+$O$5)^(D385/12)*(I385+IF(AND(F385=1,F386=0),0))</f>
      </c>
      <c r="M385" s="333">
        <f>+L385</f>
      </c>
      <c r="N385" s="333">
        <f>L385+K385+M385</f>
      </c>
      <c r="O385" s="170"/>
      <c r="P385" s="7"/>
      <c r="Q385" s="1"/>
      <c r="R385" s="331">
        <f>D385</f>
      </c>
      <c r="S385" s="169"/>
      <c r="T385" s="1"/>
      <c r="U385" s="217"/>
      <c r="V385" s="331">
        <f>+IF(V384=11,12,IF(V384=12,1,V384+1))</f>
      </c>
      <c r="W385" s="331">
        <f>+W384+IF(V384=12,1,0)</f>
      </c>
      <c r="X385" s="555">
        <f>+DATE(W385,V385,1)</f>
        <v>25569.041666666668</v>
      </c>
      <c r="Y385" s="333">
        <f>+_xlfn.IFNA(AN385+AS385+AX385,0)</f>
      </c>
      <c r="Z385" s="333">
        <f>+_xlfn.IFNA(AO385+AT385+AY385,0)</f>
      </c>
      <c r="AA385" s="333">
        <f>Y385*(1+$O$5)^(($B$7-X385)/365.25)</f>
      </c>
      <c r="AB385" s="333">
        <f>Z385*(1+$O$5)^(($B$7-X385)/365.25)</f>
      </c>
      <c r="AC385" s="1"/>
      <c r="AD385" s="1"/>
      <c r="AE385" s="1"/>
      <c r="AF385" s="111">
        <f>+MONTH(E385)&amp;YEAR(E385)</f>
      </c>
      <c r="AG385" s="217">
        <f>+I385</f>
      </c>
      <c r="AH385" s="217">
        <f>+J385</f>
      </c>
      <c r="AI385" s="217">
        <f>+H385</f>
      </c>
      <c r="AJ385" s="111">
        <f>+V385&amp;W385</f>
      </c>
      <c r="AK385" s="217">
        <f>+_xlfn.IFNA(VLOOKUP(AJ385,$AF$7:$AG$1066,2,0),0)</f>
      </c>
      <c r="AL385" s="217">
        <f>+IF(W385&gt;W384,AK385,AL384+AK385)</f>
      </c>
      <c r="AM385" s="217">
        <f>IF(W385&gt;W384,IF(AL385&gt;=$AZ$8,$AZ$8,AL385),IF(OR(AM384=$AZ$8,AM384=0),0,IF(AL385&gt;=$AZ$8,$AZ$8,AL385)))</f>
      </c>
      <c r="AN385" s="748">
        <f>+IF(OR(AM385&gt;AZ384,AM385=0),0,IF(AM385=AL385,AK385,$AZ$7-AL384))</f>
      </c>
      <c r="AO385" s="748">
        <f>+AK385-AN385</f>
      </c>
      <c r="AP385" s="217">
        <f>+_xlfn.IFNA(VLOOKUP(AJ385,$AF$7:$AI$1066,3,0),0)</f>
      </c>
      <c r="AQ385" s="217">
        <f>+IF(W385&gt;W384,AP385,AQ384+AP385)</f>
      </c>
      <c r="AR385" s="217">
        <f>+MAX($AM$2-SUMIF($W$7:$W$1066,W385,$AN$7:$AN$1066),0)</f>
      </c>
      <c r="AS385" s="748">
        <f>+MAX(IF(AQ385&gt;AR385,AR385-AQ384,AP385),0)</f>
      </c>
      <c r="AT385" s="748">
        <f>+AP385-AS385</f>
      </c>
      <c r="AU385" s="217">
        <f>+_xlfn.IFNA(VLOOKUP(AJ385,$AF$7:$AI$1066,4,0),0)</f>
      </c>
      <c r="AV385" s="217">
        <f>+IF(W385&gt;W384,AU385,AV384+AU385)</f>
      </c>
      <c r="AW385" s="217">
        <f>+MAX($AM$2-SUMIF($W$7:$W$1066,W385,$AN$7:$AN$1066)-SUMIF($W$7:$W$1066,W385,$AS$7:$AS$1066),0)</f>
      </c>
      <c r="AX385" s="748">
        <f>+MAX(IF(AV385&gt;AW385,AW385-AV384,AU385),0)</f>
      </c>
      <c r="AY385" s="748">
        <f>+AU385-AX385</f>
      </c>
      <c r="AZ385" s="331">
        <f>+$AM$1+IF($AP$1&gt;$AP$2,$AM$3/2)</f>
      </c>
    </row>
    <row x14ac:dyDescent="0.25" r="386" customHeight="1" ht="18.75">
      <c r="A386" s="1"/>
      <c r="B386" s="7"/>
      <c r="C386" s="170"/>
      <c r="D386" s="331">
        <v>379</v>
      </c>
      <c r="E386" s="544">
        <f>+DATE(YEAR(E385),MONTH(E385)-1,DAY(E385))</f>
        <v>25569.041666666668</v>
      </c>
      <c r="F386" s="333">
        <f>IF(DATE(YEAR($B$6),MONTH($B$6)+1,DAY(1))=E386,1,IF(MONTH(E386)=1,F387*(1+$F$5),F387))</f>
      </c>
      <c r="G386" s="333">
        <f>IF('Simulador - 1º Pilar'!$E$99="Sí",IF('Aportaciones PPE'!$B$13&lt;'Aportaciones PPE'!E386,0,F386*$B$8/12),F386*$B$8/12)</f>
      </c>
      <c r="H386" s="333">
        <f>$H$5*G386</f>
      </c>
      <c r="I386" s="333">
        <f>$I$5*G386</f>
      </c>
      <c r="J386" s="333">
        <f>+I386</f>
      </c>
      <c r="K386" s="333">
        <f>(1+$O$5)^(D386/12)*(H386+IF(AND(F386=1,F387=0),$S$4,0))</f>
      </c>
      <c r="L386" s="333">
        <f>(1+$O$5)^(D386/12)*(I386+IF(AND(F386=1,F387=0),0))</f>
      </c>
      <c r="M386" s="333">
        <f>+L386</f>
      </c>
      <c r="N386" s="333">
        <f>L386+K386+M386</f>
      </c>
      <c r="O386" s="170"/>
      <c r="P386" s="7"/>
      <c r="Q386" s="1"/>
      <c r="R386" s="331">
        <f>D386</f>
      </c>
      <c r="S386" s="169"/>
      <c r="T386" s="1"/>
      <c r="U386" s="217"/>
      <c r="V386" s="331">
        <f>+IF(V385=11,12,IF(V385=12,1,V385+1))</f>
      </c>
      <c r="W386" s="331">
        <f>+W385+IF(V385=12,1,0)</f>
      </c>
      <c r="X386" s="555">
        <f>+DATE(W386,V386,1)</f>
        <v>25569.041666666668</v>
      </c>
      <c r="Y386" s="333">
        <f>+_xlfn.IFNA(AN386+AS386+AX386,0)</f>
      </c>
      <c r="Z386" s="333">
        <f>+_xlfn.IFNA(AO386+AT386+AY386,0)</f>
      </c>
      <c r="AA386" s="333">
        <f>Y386*(1+$O$5)^(($B$7-X386)/365.25)</f>
      </c>
      <c r="AB386" s="333">
        <f>Z386*(1+$O$5)^(($B$7-X386)/365.25)</f>
      </c>
      <c r="AC386" s="1"/>
      <c r="AD386" s="1"/>
      <c r="AE386" s="1"/>
      <c r="AF386" s="111">
        <f>+MONTH(E386)&amp;YEAR(E386)</f>
      </c>
      <c r="AG386" s="217">
        <f>+I386</f>
      </c>
      <c r="AH386" s="217">
        <f>+J386</f>
      </c>
      <c r="AI386" s="217">
        <f>+H386</f>
      </c>
      <c r="AJ386" s="111">
        <f>+V386&amp;W386</f>
      </c>
      <c r="AK386" s="217">
        <f>+_xlfn.IFNA(VLOOKUP(AJ386,$AF$7:$AG$1066,2,0),0)</f>
      </c>
      <c r="AL386" s="217">
        <f>+IF(W386&gt;W385,AK386,AL385+AK386)</f>
      </c>
      <c r="AM386" s="217">
        <f>IF(W386&gt;W385,IF(AL386&gt;=$AZ$8,$AZ$8,AL386),IF(OR(AM385=$AZ$8,AM385=0),0,IF(AL386&gt;=$AZ$8,$AZ$8,AL386)))</f>
      </c>
      <c r="AN386" s="748">
        <f>+IF(OR(AM386&gt;AZ385,AM386=0),0,IF(AM386=AL386,AK386,$AZ$7-AL385))</f>
      </c>
      <c r="AO386" s="748">
        <f>+AK386-AN386</f>
      </c>
      <c r="AP386" s="217">
        <f>+_xlfn.IFNA(VLOOKUP(AJ386,$AF$7:$AI$1066,3,0),0)</f>
      </c>
      <c r="AQ386" s="217">
        <f>+IF(W386&gt;W385,AP386,AQ385+AP386)</f>
      </c>
      <c r="AR386" s="217">
        <f>+MAX($AM$2-SUMIF($W$7:$W$1066,W386,$AN$7:$AN$1066),0)</f>
      </c>
      <c r="AS386" s="748">
        <f>+MAX(IF(AQ386&gt;AR386,AR386-AQ385,AP386),0)</f>
      </c>
      <c r="AT386" s="748">
        <f>+AP386-AS386</f>
      </c>
      <c r="AU386" s="217">
        <f>+_xlfn.IFNA(VLOOKUP(AJ386,$AF$7:$AI$1066,4,0),0)</f>
      </c>
      <c r="AV386" s="217">
        <f>+IF(W386&gt;W385,AU386,AV385+AU386)</f>
      </c>
      <c r="AW386" s="217">
        <f>+MAX($AM$2-SUMIF($W$7:$W$1066,W386,$AN$7:$AN$1066)-SUMIF($W$7:$W$1066,W386,$AS$7:$AS$1066),0)</f>
      </c>
      <c r="AX386" s="748">
        <f>+MAX(IF(AV386&gt;AW386,AW386-AV385,AU386),0)</f>
      </c>
      <c r="AY386" s="748">
        <f>+AU386-AX386</f>
      </c>
      <c r="AZ386" s="331">
        <f>+$AM$1+IF($AP$1&gt;$AP$2,$AM$3/2)</f>
      </c>
    </row>
    <row x14ac:dyDescent="0.25" r="387" customHeight="1" ht="18.75">
      <c r="A387" s="1"/>
      <c r="B387" s="7"/>
      <c r="C387" s="170"/>
      <c r="D387" s="331">
        <v>380</v>
      </c>
      <c r="E387" s="544">
        <f>+DATE(YEAR(E386),MONTH(E386)-1,DAY(E386))</f>
        <v>25569.041666666668</v>
      </c>
      <c r="F387" s="333">
        <f>IF(DATE(YEAR($B$6),MONTH($B$6)+1,DAY(1))=E387,1,IF(MONTH(E387)=1,F388*(1+$F$5),F388))</f>
      </c>
      <c r="G387" s="333">
        <f>IF('Simulador - 1º Pilar'!$E$99="Sí",IF('Aportaciones PPE'!$B$13&lt;'Aportaciones PPE'!E387,0,F387*$B$8/12),F387*$B$8/12)</f>
      </c>
      <c r="H387" s="333">
        <f>$H$5*G387</f>
      </c>
      <c r="I387" s="333">
        <f>$I$5*G387</f>
      </c>
      <c r="J387" s="333">
        <f>+I387</f>
      </c>
      <c r="K387" s="333">
        <f>(1+$O$5)^(D387/12)*(H387+IF(AND(F387=1,F388=0),$S$4,0))</f>
      </c>
      <c r="L387" s="333">
        <f>(1+$O$5)^(D387/12)*(I387+IF(AND(F387=1,F388=0),0))</f>
      </c>
      <c r="M387" s="333">
        <f>+L387</f>
      </c>
      <c r="N387" s="333">
        <f>L387+K387+M387</f>
      </c>
      <c r="O387" s="170"/>
      <c r="P387" s="7"/>
      <c r="Q387" s="1"/>
      <c r="R387" s="331">
        <f>D387</f>
      </c>
      <c r="S387" s="169"/>
      <c r="T387" s="1"/>
      <c r="U387" s="217"/>
      <c r="V387" s="331">
        <f>+IF(V386=11,12,IF(V386=12,1,V386+1))</f>
      </c>
      <c r="W387" s="331">
        <f>+W386+IF(V386=12,1,0)</f>
      </c>
      <c r="X387" s="555">
        <f>+DATE(W387,V387,1)</f>
        <v>25569.041666666668</v>
      </c>
      <c r="Y387" s="333">
        <f>+_xlfn.IFNA(AN387+AS387+AX387,0)</f>
      </c>
      <c r="Z387" s="333">
        <f>+_xlfn.IFNA(AO387+AT387+AY387,0)</f>
      </c>
      <c r="AA387" s="333">
        <f>Y387*(1+$O$5)^(($B$7-X387)/365.25)</f>
      </c>
      <c r="AB387" s="333">
        <f>Z387*(1+$O$5)^(($B$7-X387)/365.25)</f>
      </c>
      <c r="AC387" s="1"/>
      <c r="AD387" s="1"/>
      <c r="AE387" s="1"/>
      <c r="AF387" s="111">
        <f>+MONTH(E387)&amp;YEAR(E387)</f>
      </c>
      <c r="AG387" s="217">
        <f>+I387</f>
      </c>
      <c r="AH387" s="217">
        <f>+J387</f>
      </c>
      <c r="AI387" s="217">
        <f>+H387</f>
      </c>
      <c r="AJ387" s="111">
        <f>+V387&amp;W387</f>
      </c>
      <c r="AK387" s="217">
        <f>+_xlfn.IFNA(VLOOKUP(AJ387,$AF$7:$AG$1066,2,0),0)</f>
      </c>
      <c r="AL387" s="217">
        <f>+IF(W387&gt;W386,AK387,AL386+AK387)</f>
      </c>
      <c r="AM387" s="217">
        <f>IF(W387&gt;W386,IF(AL387&gt;=$AZ$8,$AZ$8,AL387),IF(OR(AM386=$AZ$8,AM386=0),0,IF(AL387&gt;=$AZ$8,$AZ$8,AL387)))</f>
      </c>
      <c r="AN387" s="748">
        <f>+IF(OR(AM387&gt;AZ386,AM387=0),0,IF(AM387=AL387,AK387,$AZ$7-AL386))</f>
      </c>
      <c r="AO387" s="748">
        <f>+AK387-AN387</f>
      </c>
      <c r="AP387" s="217">
        <f>+_xlfn.IFNA(VLOOKUP(AJ387,$AF$7:$AI$1066,3,0),0)</f>
      </c>
      <c r="AQ387" s="217">
        <f>+IF(W387&gt;W386,AP387,AQ386+AP387)</f>
      </c>
      <c r="AR387" s="217">
        <f>+MAX($AM$2-SUMIF($W$7:$W$1066,W387,$AN$7:$AN$1066),0)</f>
      </c>
      <c r="AS387" s="748">
        <f>+MAX(IF(AQ387&gt;AR387,AR387-AQ386,AP387),0)</f>
      </c>
      <c r="AT387" s="748">
        <f>+AP387-AS387</f>
      </c>
      <c r="AU387" s="217">
        <f>+_xlfn.IFNA(VLOOKUP(AJ387,$AF$7:$AI$1066,4,0),0)</f>
      </c>
      <c r="AV387" s="217">
        <f>+IF(W387&gt;W386,AU387,AV386+AU387)</f>
      </c>
      <c r="AW387" s="217">
        <f>+MAX($AM$2-SUMIF($W$7:$W$1066,W387,$AN$7:$AN$1066)-SUMIF($W$7:$W$1066,W387,$AS$7:$AS$1066),0)</f>
      </c>
      <c r="AX387" s="748">
        <f>+MAX(IF(AV387&gt;AW387,AW387-AV386,AU387),0)</f>
      </c>
      <c r="AY387" s="748">
        <f>+AU387-AX387</f>
      </c>
      <c r="AZ387" s="331">
        <f>+$AM$1+IF($AP$1&gt;$AP$2,$AM$3/2)</f>
      </c>
    </row>
    <row x14ac:dyDescent="0.25" r="388" customHeight="1" ht="18.75">
      <c r="A388" s="1"/>
      <c r="B388" s="7"/>
      <c r="C388" s="170"/>
      <c r="D388" s="331">
        <v>381</v>
      </c>
      <c r="E388" s="544">
        <f>+DATE(YEAR(E387),MONTH(E387)-1,DAY(E387))</f>
        <v>25569.041666666668</v>
      </c>
      <c r="F388" s="333">
        <f>IF(DATE(YEAR($B$6),MONTH($B$6)+1,DAY(1))=E388,1,IF(MONTH(E388)=1,F389*(1+$F$5),F389))</f>
      </c>
      <c r="G388" s="333">
        <f>IF('Simulador - 1º Pilar'!$E$99="Sí",IF('Aportaciones PPE'!$B$13&lt;'Aportaciones PPE'!E388,0,F388*$B$8/12),F388*$B$8/12)</f>
      </c>
      <c r="H388" s="333">
        <f>$H$5*G388</f>
      </c>
      <c r="I388" s="333">
        <f>$I$5*G388</f>
      </c>
      <c r="J388" s="333">
        <f>+I388</f>
      </c>
      <c r="K388" s="333">
        <f>(1+$O$5)^(D388/12)*(H388+IF(AND(F388=1,F389=0),$S$4,0))</f>
      </c>
      <c r="L388" s="333">
        <f>(1+$O$5)^(D388/12)*(I388+IF(AND(F388=1,F389=0),0))</f>
      </c>
      <c r="M388" s="333">
        <f>+L388</f>
      </c>
      <c r="N388" s="333">
        <f>L388+K388+M388</f>
      </c>
      <c r="O388" s="170"/>
      <c r="P388" s="7"/>
      <c r="Q388" s="1"/>
      <c r="R388" s="331">
        <f>D388</f>
      </c>
      <c r="S388" s="169"/>
      <c r="T388" s="1"/>
      <c r="U388" s="217"/>
      <c r="V388" s="331">
        <f>+IF(V387=11,12,IF(V387=12,1,V387+1))</f>
      </c>
      <c r="W388" s="331">
        <f>+W387+IF(V387=12,1,0)</f>
      </c>
      <c r="X388" s="555">
        <f>+DATE(W388,V388,1)</f>
        <v>25569.041666666668</v>
      </c>
      <c r="Y388" s="333">
        <f>+_xlfn.IFNA(AN388+AS388+AX388,0)</f>
      </c>
      <c r="Z388" s="333">
        <f>+_xlfn.IFNA(AO388+AT388+AY388,0)</f>
      </c>
      <c r="AA388" s="333">
        <f>Y388*(1+$O$5)^(($B$7-X388)/365.25)</f>
      </c>
      <c r="AB388" s="333">
        <f>Z388*(1+$O$5)^(($B$7-X388)/365.25)</f>
      </c>
      <c r="AC388" s="1"/>
      <c r="AD388" s="1"/>
      <c r="AE388" s="1"/>
      <c r="AF388" s="111">
        <f>+MONTH(E388)&amp;YEAR(E388)</f>
      </c>
      <c r="AG388" s="217">
        <f>+I388</f>
      </c>
      <c r="AH388" s="217">
        <f>+J388</f>
      </c>
      <c r="AI388" s="217">
        <f>+H388</f>
      </c>
      <c r="AJ388" s="111">
        <f>+V388&amp;W388</f>
      </c>
      <c r="AK388" s="217">
        <f>+_xlfn.IFNA(VLOOKUP(AJ388,$AF$7:$AG$1066,2,0),0)</f>
      </c>
      <c r="AL388" s="217">
        <f>+IF(W388&gt;W387,AK388,AL387+AK388)</f>
      </c>
      <c r="AM388" s="217">
        <f>IF(W388&gt;W387,IF(AL388&gt;=$AZ$8,$AZ$8,AL388),IF(OR(AM387=$AZ$8,AM387=0),0,IF(AL388&gt;=$AZ$8,$AZ$8,AL388)))</f>
      </c>
      <c r="AN388" s="748">
        <f>+IF(OR(AM388&gt;AZ387,AM388=0),0,IF(AM388=AL388,AK388,$AZ$7-AL387))</f>
      </c>
      <c r="AO388" s="748">
        <f>+AK388-AN388</f>
      </c>
      <c r="AP388" s="217">
        <f>+_xlfn.IFNA(VLOOKUP(AJ388,$AF$7:$AI$1066,3,0),0)</f>
      </c>
      <c r="AQ388" s="217">
        <f>+IF(W388&gt;W387,AP388,AQ387+AP388)</f>
      </c>
      <c r="AR388" s="217">
        <f>+MAX($AM$2-SUMIF($W$7:$W$1066,W388,$AN$7:$AN$1066),0)</f>
      </c>
      <c r="AS388" s="748">
        <f>+MAX(IF(AQ388&gt;AR388,AR388-AQ387,AP388),0)</f>
      </c>
      <c r="AT388" s="748">
        <f>+AP388-AS388</f>
      </c>
      <c r="AU388" s="217">
        <f>+_xlfn.IFNA(VLOOKUP(AJ388,$AF$7:$AI$1066,4,0),0)</f>
      </c>
      <c r="AV388" s="217">
        <f>+IF(W388&gt;W387,AU388,AV387+AU388)</f>
      </c>
      <c r="AW388" s="217">
        <f>+MAX($AM$2-SUMIF($W$7:$W$1066,W388,$AN$7:$AN$1066)-SUMIF($W$7:$W$1066,W388,$AS$7:$AS$1066),0)</f>
      </c>
      <c r="AX388" s="748">
        <f>+MAX(IF(AV388&gt;AW388,AW388-AV387,AU388),0)</f>
      </c>
      <c r="AY388" s="748">
        <f>+AU388-AX388</f>
      </c>
      <c r="AZ388" s="331">
        <f>+$AM$1+IF($AP$1&gt;$AP$2,$AM$3/2)</f>
      </c>
    </row>
    <row x14ac:dyDescent="0.25" r="389" customHeight="1" ht="18.75">
      <c r="A389" s="1"/>
      <c r="B389" s="7"/>
      <c r="C389" s="170"/>
      <c r="D389" s="331">
        <v>382</v>
      </c>
      <c r="E389" s="544">
        <f>+DATE(YEAR(E388),MONTH(E388)-1,DAY(E388))</f>
        <v>25569.041666666668</v>
      </c>
      <c r="F389" s="333">
        <f>IF(DATE(YEAR($B$6),MONTH($B$6)+1,DAY(1))=E389,1,IF(MONTH(E389)=1,F390*(1+$F$5),F390))</f>
      </c>
      <c r="G389" s="333">
        <f>IF('Simulador - 1º Pilar'!$E$99="Sí",IF('Aportaciones PPE'!$B$13&lt;'Aportaciones PPE'!E389,0,F389*$B$8/12),F389*$B$8/12)</f>
      </c>
      <c r="H389" s="333">
        <f>$H$5*G389</f>
      </c>
      <c r="I389" s="333">
        <f>$I$5*G389</f>
      </c>
      <c r="J389" s="333">
        <f>+I389</f>
      </c>
      <c r="K389" s="333">
        <f>(1+$O$5)^(D389/12)*(H389+IF(AND(F389=1,F390=0),$S$4,0))</f>
      </c>
      <c r="L389" s="333">
        <f>(1+$O$5)^(D389/12)*(I389+IF(AND(F389=1,F390=0),0))</f>
      </c>
      <c r="M389" s="333">
        <f>+L389</f>
      </c>
      <c r="N389" s="333">
        <f>L389+K389+M389</f>
      </c>
      <c r="O389" s="170"/>
      <c r="P389" s="7"/>
      <c r="Q389" s="1"/>
      <c r="R389" s="331">
        <f>D389</f>
      </c>
      <c r="S389" s="169"/>
      <c r="T389" s="1"/>
      <c r="U389" s="217"/>
      <c r="V389" s="331">
        <f>+IF(V388=11,12,IF(V388=12,1,V388+1))</f>
      </c>
      <c r="W389" s="331">
        <f>+W388+IF(V388=12,1,0)</f>
      </c>
      <c r="X389" s="555">
        <f>+DATE(W389,V389,1)</f>
        <v>25569.041666666668</v>
      </c>
      <c r="Y389" s="333">
        <f>+_xlfn.IFNA(AN389+AS389+AX389,0)</f>
      </c>
      <c r="Z389" s="333">
        <f>+_xlfn.IFNA(AO389+AT389+AY389,0)</f>
      </c>
      <c r="AA389" s="333">
        <f>Y389*(1+$O$5)^(($B$7-X389)/365.25)</f>
      </c>
      <c r="AB389" s="333">
        <f>Z389*(1+$O$5)^(($B$7-X389)/365.25)</f>
      </c>
      <c r="AC389" s="1"/>
      <c r="AD389" s="1"/>
      <c r="AE389" s="1"/>
      <c r="AF389" s="111">
        <f>+MONTH(E389)&amp;YEAR(E389)</f>
      </c>
      <c r="AG389" s="217">
        <f>+I389</f>
      </c>
      <c r="AH389" s="217">
        <f>+J389</f>
      </c>
      <c r="AI389" s="217">
        <f>+H389</f>
      </c>
      <c r="AJ389" s="111">
        <f>+V389&amp;W389</f>
      </c>
      <c r="AK389" s="217">
        <f>+_xlfn.IFNA(VLOOKUP(AJ389,$AF$7:$AG$1066,2,0),0)</f>
      </c>
      <c r="AL389" s="217">
        <f>+IF(W389&gt;W388,AK389,AL388+AK389)</f>
      </c>
      <c r="AM389" s="217">
        <f>IF(W389&gt;W388,IF(AL389&gt;=$AZ$8,$AZ$8,AL389),IF(OR(AM388=$AZ$8,AM388=0),0,IF(AL389&gt;=$AZ$8,$AZ$8,AL389)))</f>
      </c>
      <c r="AN389" s="748">
        <f>+IF(OR(AM389&gt;AZ388,AM389=0),0,IF(AM389=AL389,AK389,$AZ$7-AL388))</f>
      </c>
      <c r="AO389" s="748">
        <f>+AK389-AN389</f>
      </c>
      <c r="AP389" s="217">
        <f>+_xlfn.IFNA(VLOOKUP(AJ389,$AF$7:$AI$1066,3,0),0)</f>
      </c>
      <c r="AQ389" s="217">
        <f>+IF(W389&gt;W388,AP389,AQ388+AP389)</f>
      </c>
      <c r="AR389" s="217">
        <f>+MAX($AM$2-SUMIF($W$7:$W$1066,W389,$AN$7:$AN$1066),0)</f>
      </c>
      <c r="AS389" s="748">
        <f>+MAX(IF(AQ389&gt;AR389,AR389-AQ388,AP389),0)</f>
      </c>
      <c r="AT389" s="748">
        <f>+AP389-AS389</f>
      </c>
      <c r="AU389" s="217">
        <f>+_xlfn.IFNA(VLOOKUP(AJ389,$AF$7:$AI$1066,4,0),0)</f>
      </c>
      <c r="AV389" s="217">
        <f>+IF(W389&gt;W388,AU389,AV388+AU389)</f>
      </c>
      <c r="AW389" s="217">
        <f>+MAX($AM$2-SUMIF($W$7:$W$1066,W389,$AN$7:$AN$1066)-SUMIF($W$7:$W$1066,W389,$AS$7:$AS$1066),0)</f>
      </c>
      <c r="AX389" s="748">
        <f>+MAX(IF(AV389&gt;AW389,AW389-AV388,AU389),0)</f>
      </c>
      <c r="AY389" s="748">
        <f>+AU389-AX389</f>
      </c>
      <c r="AZ389" s="331">
        <f>+$AM$1+IF($AP$1&gt;$AP$2,$AM$3/2)</f>
      </c>
    </row>
    <row x14ac:dyDescent="0.25" r="390" customHeight="1" ht="18.75">
      <c r="A390" s="1"/>
      <c r="B390" s="7"/>
      <c r="C390" s="170"/>
      <c r="D390" s="331">
        <v>383</v>
      </c>
      <c r="E390" s="544">
        <f>+DATE(YEAR(E389),MONTH(E389)-1,DAY(E389))</f>
        <v>25569.041666666668</v>
      </c>
      <c r="F390" s="333">
        <f>IF(DATE(YEAR($B$6),MONTH($B$6)+1,DAY(1))=E390,1,IF(MONTH(E390)=1,F391*(1+$F$5),F391))</f>
      </c>
      <c r="G390" s="333">
        <f>IF('Simulador - 1º Pilar'!$E$99="Sí",IF('Aportaciones PPE'!$B$13&lt;'Aportaciones PPE'!E390,0,F390*$B$8/12),F390*$B$8/12)</f>
      </c>
      <c r="H390" s="333">
        <f>$H$5*G390</f>
      </c>
      <c r="I390" s="333">
        <f>$I$5*G390</f>
      </c>
      <c r="J390" s="333">
        <f>+I390</f>
      </c>
      <c r="K390" s="333">
        <f>(1+$O$5)^(D390/12)*(H390+IF(AND(F390=1,F391=0),$S$4,0))</f>
      </c>
      <c r="L390" s="333">
        <f>(1+$O$5)^(D390/12)*(I390+IF(AND(F390=1,F391=0),0))</f>
      </c>
      <c r="M390" s="333">
        <f>+L390</f>
      </c>
      <c r="N390" s="333">
        <f>L390+K390+M390</f>
      </c>
      <c r="O390" s="170"/>
      <c r="P390" s="7"/>
      <c r="Q390" s="1"/>
      <c r="R390" s="331">
        <f>D390</f>
      </c>
      <c r="S390" s="169"/>
      <c r="T390" s="1"/>
      <c r="U390" s="217"/>
      <c r="V390" s="331">
        <f>+IF(V389=11,12,IF(V389=12,1,V389+1))</f>
      </c>
      <c r="W390" s="331">
        <f>+W389+IF(V389=12,1,0)</f>
      </c>
      <c r="X390" s="555">
        <f>+DATE(W390,V390,1)</f>
        <v>25569.041666666668</v>
      </c>
      <c r="Y390" s="333">
        <f>+_xlfn.IFNA(AN390+AS390+AX390,0)</f>
      </c>
      <c r="Z390" s="333">
        <f>+_xlfn.IFNA(AO390+AT390+AY390,0)</f>
      </c>
      <c r="AA390" s="333">
        <f>Y390*(1+$O$5)^(($B$7-X390)/365.25)</f>
      </c>
      <c r="AB390" s="333">
        <f>Z390*(1+$O$5)^(($B$7-X390)/365.25)</f>
      </c>
      <c r="AC390" s="1"/>
      <c r="AD390" s="1"/>
      <c r="AE390" s="1"/>
      <c r="AF390" s="111">
        <f>+MONTH(E390)&amp;YEAR(E390)</f>
      </c>
      <c r="AG390" s="217">
        <f>+I390</f>
      </c>
      <c r="AH390" s="217">
        <f>+J390</f>
      </c>
      <c r="AI390" s="217">
        <f>+H390</f>
      </c>
      <c r="AJ390" s="111">
        <f>+V390&amp;W390</f>
      </c>
      <c r="AK390" s="217">
        <f>+_xlfn.IFNA(VLOOKUP(AJ390,$AF$7:$AG$1066,2,0),0)</f>
      </c>
      <c r="AL390" s="217">
        <f>+IF(W390&gt;W389,AK390,AL389+AK390)</f>
      </c>
      <c r="AM390" s="217">
        <f>IF(W390&gt;W389,IF(AL390&gt;=$AZ$8,$AZ$8,AL390),IF(OR(AM389=$AZ$8,AM389=0),0,IF(AL390&gt;=$AZ$8,$AZ$8,AL390)))</f>
      </c>
      <c r="AN390" s="748">
        <f>+IF(OR(AM390&gt;AZ389,AM390=0),0,IF(AM390=AL390,AK390,$AZ$7-AL389))</f>
      </c>
      <c r="AO390" s="748">
        <f>+AK390-AN390</f>
      </c>
      <c r="AP390" s="217">
        <f>+_xlfn.IFNA(VLOOKUP(AJ390,$AF$7:$AI$1066,3,0),0)</f>
      </c>
      <c r="AQ390" s="217">
        <f>+IF(W390&gt;W389,AP390,AQ389+AP390)</f>
      </c>
      <c r="AR390" s="217">
        <f>+MAX($AM$2-SUMIF($W$7:$W$1066,W390,$AN$7:$AN$1066),0)</f>
      </c>
      <c r="AS390" s="748">
        <f>+MAX(IF(AQ390&gt;AR390,AR390-AQ389,AP390),0)</f>
      </c>
      <c r="AT390" s="748">
        <f>+AP390-AS390</f>
      </c>
      <c r="AU390" s="217">
        <f>+_xlfn.IFNA(VLOOKUP(AJ390,$AF$7:$AI$1066,4,0),0)</f>
      </c>
      <c r="AV390" s="217">
        <f>+IF(W390&gt;W389,AU390,AV389+AU390)</f>
      </c>
      <c r="AW390" s="217">
        <f>+MAX($AM$2-SUMIF($W$7:$W$1066,W390,$AN$7:$AN$1066)-SUMIF($W$7:$W$1066,W390,$AS$7:$AS$1066),0)</f>
      </c>
      <c r="AX390" s="748">
        <f>+MAX(IF(AV390&gt;AW390,AW390-AV389,AU390),0)</f>
      </c>
      <c r="AY390" s="748">
        <f>+AU390-AX390</f>
      </c>
      <c r="AZ390" s="331">
        <f>+$AM$1+IF($AP$1&gt;$AP$2,$AM$3/2)</f>
      </c>
    </row>
    <row x14ac:dyDescent="0.25" r="391" customHeight="1" ht="18.75">
      <c r="A391" s="1"/>
      <c r="B391" s="7"/>
      <c r="C391" s="170"/>
      <c r="D391" s="331">
        <v>384</v>
      </c>
      <c r="E391" s="544">
        <f>+DATE(YEAR(E390),MONTH(E390)-1,DAY(E390))</f>
        <v>25569.041666666668</v>
      </c>
      <c r="F391" s="333">
        <f>IF(DATE(YEAR($B$6),MONTH($B$6)+1,DAY(1))=E391,1,IF(MONTH(E391)=1,F392*(1+$F$5),F392))</f>
      </c>
      <c r="G391" s="333">
        <f>IF('Simulador - 1º Pilar'!$E$99="Sí",IF('Aportaciones PPE'!$B$13&lt;'Aportaciones PPE'!E391,0,F391*$B$8/12),F391*$B$8/12)</f>
      </c>
      <c r="H391" s="333">
        <f>$H$5*G391</f>
      </c>
      <c r="I391" s="333">
        <f>$I$5*G391</f>
      </c>
      <c r="J391" s="333">
        <f>+I391</f>
      </c>
      <c r="K391" s="333">
        <f>(1+$O$5)^(D391/12)*(H391+IF(AND(F391=1,F392=0),$S$4,0))</f>
      </c>
      <c r="L391" s="333">
        <f>(1+$O$5)^(D391/12)*(I391+IF(AND(F391=1,F392=0),0))</f>
      </c>
      <c r="M391" s="333">
        <f>+L391</f>
      </c>
      <c r="N391" s="333">
        <f>L391+K391+M391</f>
      </c>
      <c r="O391" s="170"/>
      <c r="P391" s="7"/>
      <c r="Q391" s="1"/>
      <c r="R391" s="331">
        <f>D391</f>
      </c>
      <c r="S391" s="169"/>
      <c r="T391" s="1"/>
      <c r="U391" s="217"/>
      <c r="V391" s="331">
        <f>+IF(V390=11,12,IF(V390=12,1,V390+1))</f>
      </c>
      <c r="W391" s="331">
        <f>+W390+IF(V390=12,1,0)</f>
      </c>
      <c r="X391" s="555">
        <f>+DATE(W391,V391,1)</f>
        <v>25569.041666666668</v>
      </c>
      <c r="Y391" s="333">
        <f>+_xlfn.IFNA(AN391+AS391+AX391,0)</f>
      </c>
      <c r="Z391" s="333">
        <f>+_xlfn.IFNA(AO391+AT391+AY391,0)</f>
      </c>
      <c r="AA391" s="333">
        <f>Y391*(1+$O$5)^(($B$7-X391)/365.25)</f>
      </c>
      <c r="AB391" s="333">
        <f>Z391*(1+$O$5)^(($B$7-X391)/365.25)</f>
      </c>
      <c r="AC391" s="1"/>
      <c r="AD391" s="1"/>
      <c r="AE391" s="1"/>
      <c r="AF391" s="111">
        <f>+MONTH(E391)&amp;YEAR(E391)</f>
      </c>
      <c r="AG391" s="217">
        <f>+I391</f>
      </c>
      <c r="AH391" s="217">
        <f>+J391</f>
      </c>
      <c r="AI391" s="217">
        <f>+H391</f>
      </c>
      <c r="AJ391" s="111">
        <f>+V391&amp;W391</f>
      </c>
      <c r="AK391" s="217">
        <f>+_xlfn.IFNA(VLOOKUP(AJ391,$AF$7:$AG$1066,2,0),0)</f>
      </c>
      <c r="AL391" s="217">
        <f>+IF(W391&gt;W390,AK391,AL390+AK391)</f>
      </c>
      <c r="AM391" s="217">
        <f>IF(W391&gt;W390,IF(AL391&gt;=$AZ$8,$AZ$8,AL391),IF(OR(AM390=$AZ$8,AM390=0),0,IF(AL391&gt;=$AZ$8,$AZ$8,AL391)))</f>
      </c>
      <c r="AN391" s="748">
        <f>+IF(OR(AM391&gt;AZ390,AM391=0),0,IF(AM391=AL391,AK391,$AZ$7-AL390))</f>
      </c>
      <c r="AO391" s="748">
        <f>+AK391-AN391</f>
      </c>
      <c r="AP391" s="217">
        <f>+_xlfn.IFNA(VLOOKUP(AJ391,$AF$7:$AI$1066,3,0),0)</f>
      </c>
      <c r="AQ391" s="217">
        <f>+IF(W391&gt;W390,AP391,AQ390+AP391)</f>
      </c>
      <c r="AR391" s="217">
        <f>+MAX($AM$2-SUMIF($W$7:$W$1066,W391,$AN$7:$AN$1066),0)</f>
      </c>
      <c r="AS391" s="748">
        <f>+MAX(IF(AQ391&gt;AR391,AR391-AQ390,AP391),0)</f>
      </c>
      <c r="AT391" s="748">
        <f>+AP391-AS391</f>
      </c>
      <c r="AU391" s="217">
        <f>+_xlfn.IFNA(VLOOKUP(AJ391,$AF$7:$AI$1066,4,0),0)</f>
      </c>
      <c r="AV391" s="217">
        <f>+IF(W391&gt;W390,AU391,AV390+AU391)</f>
      </c>
      <c r="AW391" s="217">
        <f>+MAX($AM$2-SUMIF($W$7:$W$1066,W391,$AN$7:$AN$1066)-SUMIF($W$7:$W$1066,W391,$AS$7:$AS$1066),0)</f>
      </c>
      <c r="AX391" s="748">
        <f>+MAX(IF(AV391&gt;AW391,AW391-AV390,AU391),0)</f>
      </c>
      <c r="AY391" s="748">
        <f>+AU391-AX391</f>
      </c>
      <c r="AZ391" s="331">
        <f>+$AM$1+IF($AP$1&gt;$AP$2,$AM$3/2)</f>
      </c>
    </row>
    <row x14ac:dyDescent="0.25" r="392" customHeight="1" ht="18.75">
      <c r="A392" s="1"/>
      <c r="B392" s="7"/>
      <c r="C392" s="170"/>
      <c r="D392" s="331">
        <v>385</v>
      </c>
      <c r="E392" s="544">
        <f>+DATE(YEAR(E391),MONTH(E391)-1,DAY(E391))</f>
        <v>25569.041666666668</v>
      </c>
      <c r="F392" s="333">
        <f>IF(DATE(YEAR($B$6),MONTH($B$6)+1,DAY(1))=E392,1,IF(MONTH(E392)=1,F393*(1+$F$5),F393))</f>
      </c>
      <c r="G392" s="333">
        <f>IF('Simulador - 1º Pilar'!$E$99="Sí",IF('Aportaciones PPE'!$B$13&lt;'Aportaciones PPE'!E392,0,F392*$B$8/12),F392*$B$8/12)</f>
      </c>
      <c r="H392" s="333">
        <f>$H$5*G392</f>
      </c>
      <c r="I392" s="333">
        <f>$I$5*G392</f>
      </c>
      <c r="J392" s="333">
        <f>+I392</f>
      </c>
      <c r="K392" s="333">
        <f>(1+$O$5)^(D392/12)*(H392+IF(AND(F392=1,F393=0),$S$4,0))</f>
      </c>
      <c r="L392" s="333">
        <f>(1+$O$5)^(D392/12)*(I392+IF(AND(F392=1,F393=0),0))</f>
      </c>
      <c r="M392" s="333">
        <f>+L392</f>
      </c>
      <c r="N392" s="333">
        <f>L392+K392+M392</f>
      </c>
      <c r="O392" s="170"/>
      <c r="P392" s="7"/>
      <c r="Q392" s="1"/>
      <c r="R392" s="331">
        <f>D392</f>
      </c>
      <c r="S392" s="169"/>
      <c r="T392" s="1"/>
      <c r="U392" s="217"/>
      <c r="V392" s="331">
        <f>+IF(V391=11,12,IF(V391=12,1,V391+1))</f>
      </c>
      <c r="W392" s="331">
        <f>+W391+IF(V391=12,1,0)</f>
      </c>
      <c r="X392" s="555">
        <f>+DATE(W392,V392,1)</f>
        <v>25569.041666666668</v>
      </c>
      <c r="Y392" s="333">
        <f>+_xlfn.IFNA(AN392+AS392+AX392,0)</f>
      </c>
      <c r="Z392" s="333">
        <f>+_xlfn.IFNA(AO392+AT392+AY392,0)</f>
      </c>
      <c r="AA392" s="333">
        <f>Y392*(1+$O$5)^(($B$7-X392)/365.25)</f>
      </c>
      <c r="AB392" s="333">
        <f>Z392*(1+$O$5)^(($B$7-X392)/365.25)</f>
      </c>
      <c r="AC392" s="1"/>
      <c r="AD392" s="1"/>
      <c r="AE392" s="1"/>
      <c r="AF392" s="111">
        <f>+MONTH(E392)&amp;YEAR(E392)</f>
      </c>
      <c r="AG392" s="217">
        <f>+I392</f>
      </c>
      <c r="AH392" s="217">
        <f>+J392</f>
      </c>
      <c r="AI392" s="217">
        <f>+H392</f>
      </c>
      <c r="AJ392" s="111">
        <f>+V392&amp;W392</f>
      </c>
      <c r="AK392" s="217">
        <f>+_xlfn.IFNA(VLOOKUP(AJ392,$AF$7:$AG$1066,2,0),0)</f>
      </c>
      <c r="AL392" s="217">
        <f>+IF(W392&gt;W391,AK392,AL391+AK392)</f>
      </c>
      <c r="AM392" s="217">
        <f>IF(W392&gt;W391,IF(AL392&gt;=$AZ$8,$AZ$8,AL392),IF(OR(AM391=$AZ$8,AM391=0),0,IF(AL392&gt;=$AZ$8,$AZ$8,AL392)))</f>
      </c>
      <c r="AN392" s="748">
        <f>+IF(OR(AM392&gt;AZ391,AM392=0),0,IF(AM392=AL392,AK392,$AZ$7-AL391))</f>
      </c>
      <c r="AO392" s="748">
        <f>+AK392-AN392</f>
      </c>
      <c r="AP392" s="217">
        <f>+_xlfn.IFNA(VLOOKUP(AJ392,$AF$7:$AI$1066,3,0),0)</f>
      </c>
      <c r="AQ392" s="217">
        <f>+IF(W392&gt;W391,AP392,AQ391+AP392)</f>
      </c>
      <c r="AR392" s="217">
        <f>+MAX($AM$2-SUMIF($W$7:$W$1066,W392,$AN$7:$AN$1066),0)</f>
      </c>
      <c r="AS392" s="748">
        <f>+MAX(IF(AQ392&gt;AR392,AR392-AQ391,AP392),0)</f>
      </c>
      <c r="AT392" s="748">
        <f>+AP392-AS392</f>
      </c>
      <c r="AU392" s="217">
        <f>+_xlfn.IFNA(VLOOKUP(AJ392,$AF$7:$AI$1066,4,0),0)</f>
      </c>
      <c r="AV392" s="217">
        <f>+IF(W392&gt;W391,AU392,AV391+AU392)</f>
      </c>
      <c r="AW392" s="217">
        <f>+MAX($AM$2-SUMIF($W$7:$W$1066,W392,$AN$7:$AN$1066)-SUMIF($W$7:$W$1066,W392,$AS$7:$AS$1066),0)</f>
      </c>
      <c r="AX392" s="748">
        <f>+MAX(IF(AV392&gt;AW392,AW392-AV391,AU392),0)</f>
      </c>
      <c r="AY392" s="748">
        <f>+AU392-AX392</f>
      </c>
      <c r="AZ392" s="331">
        <f>+$AM$1+IF($AP$1&gt;$AP$2,$AM$3/2)</f>
      </c>
    </row>
    <row x14ac:dyDescent="0.25" r="393" customHeight="1" ht="18.75">
      <c r="A393" s="1"/>
      <c r="B393" s="7"/>
      <c r="C393" s="170"/>
      <c r="D393" s="331">
        <v>386</v>
      </c>
      <c r="E393" s="544">
        <f>+DATE(YEAR(E392),MONTH(E392)-1,DAY(E392))</f>
        <v>25569.041666666668</v>
      </c>
      <c r="F393" s="333">
        <f>IF(DATE(YEAR($B$6),MONTH($B$6)+1,DAY(1))=E393,1,IF(MONTH(E393)=1,F394*(1+$F$5),F394))</f>
      </c>
      <c r="G393" s="333">
        <f>IF('Simulador - 1º Pilar'!$E$99="Sí",IF('Aportaciones PPE'!$B$13&lt;'Aportaciones PPE'!E393,0,F393*$B$8/12),F393*$B$8/12)</f>
      </c>
      <c r="H393" s="333">
        <f>$H$5*G393</f>
      </c>
      <c r="I393" s="333">
        <f>$I$5*G393</f>
      </c>
      <c r="J393" s="333">
        <f>+I393</f>
      </c>
      <c r="K393" s="333">
        <f>(1+$O$5)^(D393/12)*(H393+IF(AND(F393=1,F394=0),$S$4,0))</f>
      </c>
      <c r="L393" s="333">
        <f>(1+$O$5)^(D393/12)*(I393+IF(AND(F393=1,F394=0),0))</f>
      </c>
      <c r="M393" s="333">
        <f>+L393</f>
      </c>
      <c r="N393" s="333">
        <f>L393+K393+M393</f>
      </c>
      <c r="O393" s="170"/>
      <c r="P393" s="7"/>
      <c r="Q393" s="1"/>
      <c r="R393" s="331">
        <f>D393</f>
      </c>
      <c r="S393" s="169"/>
      <c r="T393" s="1"/>
      <c r="U393" s="217"/>
      <c r="V393" s="331">
        <f>+IF(V392=11,12,IF(V392=12,1,V392+1))</f>
      </c>
      <c r="W393" s="331">
        <f>+W392+IF(V392=12,1,0)</f>
      </c>
      <c r="X393" s="555">
        <f>+DATE(W393,V393,1)</f>
        <v>25569.041666666668</v>
      </c>
      <c r="Y393" s="333">
        <f>+_xlfn.IFNA(AN393+AS393+AX393,0)</f>
      </c>
      <c r="Z393" s="333">
        <f>+_xlfn.IFNA(AO393+AT393+AY393,0)</f>
      </c>
      <c r="AA393" s="333">
        <f>Y393*(1+$O$5)^(($B$7-X393)/365.25)</f>
      </c>
      <c r="AB393" s="333">
        <f>Z393*(1+$O$5)^(($B$7-X393)/365.25)</f>
      </c>
      <c r="AC393" s="1"/>
      <c r="AD393" s="1"/>
      <c r="AE393" s="1"/>
      <c r="AF393" s="111">
        <f>+MONTH(E393)&amp;YEAR(E393)</f>
      </c>
      <c r="AG393" s="217">
        <f>+I393</f>
      </c>
      <c r="AH393" s="217">
        <f>+J393</f>
      </c>
      <c r="AI393" s="217">
        <f>+H393</f>
      </c>
      <c r="AJ393" s="111">
        <f>+V393&amp;W393</f>
      </c>
      <c r="AK393" s="217">
        <f>+_xlfn.IFNA(VLOOKUP(AJ393,$AF$7:$AG$1066,2,0),0)</f>
      </c>
      <c r="AL393" s="217">
        <f>+IF(W393&gt;W392,AK393,AL392+AK393)</f>
      </c>
      <c r="AM393" s="217">
        <f>IF(W393&gt;W392,IF(AL393&gt;=$AZ$8,$AZ$8,AL393),IF(OR(AM392=$AZ$8,AM392=0),0,IF(AL393&gt;=$AZ$8,$AZ$8,AL393)))</f>
      </c>
      <c r="AN393" s="748">
        <f>+IF(OR(AM393&gt;AZ392,AM393=0),0,IF(AM393=AL393,AK393,$AZ$7-AL392))</f>
      </c>
      <c r="AO393" s="748">
        <f>+AK393-AN393</f>
      </c>
      <c r="AP393" s="217">
        <f>+_xlfn.IFNA(VLOOKUP(AJ393,$AF$7:$AI$1066,3,0),0)</f>
      </c>
      <c r="AQ393" s="217">
        <f>+IF(W393&gt;W392,AP393,AQ392+AP393)</f>
      </c>
      <c r="AR393" s="217">
        <f>+MAX($AM$2-SUMIF($W$7:$W$1066,W393,$AN$7:$AN$1066),0)</f>
      </c>
      <c r="AS393" s="748">
        <f>+MAX(IF(AQ393&gt;AR393,AR393-AQ392,AP393),0)</f>
      </c>
      <c r="AT393" s="748">
        <f>+AP393-AS393</f>
      </c>
      <c r="AU393" s="217">
        <f>+_xlfn.IFNA(VLOOKUP(AJ393,$AF$7:$AI$1066,4,0),0)</f>
      </c>
      <c r="AV393" s="217">
        <f>+IF(W393&gt;W392,AU393,AV392+AU393)</f>
      </c>
      <c r="AW393" s="217">
        <f>+MAX($AM$2-SUMIF($W$7:$W$1066,W393,$AN$7:$AN$1066)-SUMIF($W$7:$W$1066,W393,$AS$7:$AS$1066),0)</f>
      </c>
      <c r="AX393" s="748">
        <f>+MAX(IF(AV393&gt;AW393,AW393-AV392,AU393),0)</f>
      </c>
      <c r="AY393" s="748">
        <f>+AU393-AX393</f>
      </c>
      <c r="AZ393" s="331">
        <f>+$AM$1+IF($AP$1&gt;$AP$2,$AM$3/2)</f>
      </c>
    </row>
    <row x14ac:dyDescent="0.25" r="394" customHeight="1" ht="18.75">
      <c r="A394" s="1"/>
      <c r="B394" s="7"/>
      <c r="C394" s="170"/>
      <c r="D394" s="331">
        <v>387</v>
      </c>
      <c r="E394" s="544">
        <f>+DATE(YEAR(E393),MONTH(E393)-1,DAY(E393))</f>
        <v>25569.041666666668</v>
      </c>
      <c r="F394" s="333">
        <f>IF(DATE(YEAR($B$6),MONTH($B$6)+1,DAY(1))=E394,1,IF(MONTH(E394)=1,F395*(1+$F$5),F395))</f>
      </c>
      <c r="G394" s="333">
        <f>IF('Simulador - 1º Pilar'!$E$99="Sí",IF('Aportaciones PPE'!$B$13&lt;'Aportaciones PPE'!E394,0,F394*$B$8/12),F394*$B$8/12)</f>
      </c>
      <c r="H394" s="333">
        <f>$H$5*G394</f>
      </c>
      <c r="I394" s="333">
        <f>$I$5*G394</f>
      </c>
      <c r="J394" s="333">
        <f>+I394</f>
      </c>
      <c r="K394" s="333">
        <f>(1+$O$5)^(D394/12)*(H394+IF(AND(F394=1,F395=0),$S$4,0))</f>
      </c>
      <c r="L394" s="333">
        <f>(1+$O$5)^(D394/12)*(I394+IF(AND(F394=1,F395=0),0))</f>
      </c>
      <c r="M394" s="333">
        <f>+L394</f>
      </c>
      <c r="N394" s="333">
        <f>L394+K394+M394</f>
      </c>
      <c r="O394" s="170"/>
      <c r="P394" s="7"/>
      <c r="Q394" s="1"/>
      <c r="R394" s="331">
        <f>D394</f>
      </c>
      <c r="S394" s="169"/>
      <c r="T394" s="1"/>
      <c r="U394" s="217"/>
      <c r="V394" s="331">
        <f>+IF(V393=11,12,IF(V393=12,1,V393+1))</f>
      </c>
      <c r="W394" s="331">
        <f>+W393+IF(V393=12,1,0)</f>
      </c>
      <c r="X394" s="555">
        <f>+DATE(W394,V394,1)</f>
        <v>25569.041666666668</v>
      </c>
      <c r="Y394" s="333">
        <f>+_xlfn.IFNA(AN394+AS394+AX394,0)</f>
      </c>
      <c r="Z394" s="333">
        <f>+_xlfn.IFNA(AO394+AT394+AY394,0)</f>
      </c>
      <c r="AA394" s="333">
        <f>Y394*(1+$O$5)^(($B$7-X394)/365.25)</f>
      </c>
      <c r="AB394" s="333">
        <f>Z394*(1+$O$5)^(($B$7-X394)/365.25)</f>
      </c>
      <c r="AC394" s="1"/>
      <c r="AD394" s="1"/>
      <c r="AE394" s="1"/>
      <c r="AF394" s="111">
        <f>+MONTH(E394)&amp;YEAR(E394)</f>
      </c>
      <c r="AG394" s="217">
        <f>+I394</f>
      </c>
      <c r="AH394" s="217">
        <f>+J394</f>
      </c>
      <c r="AI394" s="217">
        <f>+H394</f>
      </c>
      <c r="AJ394" s="111">
        <f>+V394&amp;W394</f>
      </c>
      <c r="AK394" s="217">
        <f>+_xlfn.IFNA(VLOOKUP(AJ394,$AF$7:$AG$1066,2,0),0)</f>
      </c>
      <c r="AL394" s="217">
        <f>+IF(W394&gt;W393,AK394,AL393+AK394)</f>
      </c>
      <c r="AM394" s="217">
        <f>IF(W394&gt;W393,IF(AL394&gt;=$AZ$8,$AZ$8,AL394),IF(OR(AM393=$AZ$8,AM393=0),0,IF(AL394&gt;=$AZ$8,$AZ$8,AL394)))</f>
      </c>
      <c r="AN394" s="748">
        <f>+IF(OR(AM394&gt;AZ393,AM394=0),0,IF(AM394=AL394,AK394,$AZ$7-AL393))</f>
      </c>
      <c r="AO394" s="748">
        <f>+AK394-AN394</f>
      </c>
      <c r="AP394" s="217">
        <f>+_xlfn.IFNA(VLOOKUP(AJ394,$AF$7:$AI$1066,3,0),0)</f>
      </c>
      <c r="AQ394" s="217">
        <f>+IF(W394&gt;W393,AP394,AQ393+AP394)</f>
      </c>
      <c r="AR394" s="217">
        <f>+MAX($AM$2-SUMIF($W$7:$W$1066,W394,$AN$7:$AN$1066),0)</f>
      </c>
      <c r="AS394" s="748">
        <f>+MAX(IF(AQ394&gt;AR394,AR394-AQ393,AP394),0)</f>
      </c>
      <c r="AT394" s="748">
        <f>+AP394-AS394</f>
      </c>
      <c r="AU394" s="217">
        <f>+_xlfn.IFNA(VLOOKUP(AJ394,$AF$7:$AI$1066,4,0),0)</f>
      </c>
      <c r="AV394" s="217">
        <f>+IF(W394&gt;W393,AU394,AV393+AU394)</f>
      </c>
      <c r="AW394" s="217">
        <f>+MAX($AM$2-SUMIF($W$7:$W$1066,W394,$AN$7:$AN$1066)-SUMIF($W$7:$W$1066,W394,$AS$7:$AS$1066),0)</f>
      </c>
      <c r="AX394" s="748">
        <f>+MAX(IF(AV394&gt;AW394,AW394-AV393,AU394),0)</f>
      </c>
      <c r="AY394" s="748">
        <f>+AU394-AX394</f>
      </c>
      <c r="AZ394" s="331">
        <f>+$AM$1+IF($AP$1&gt;$AP$2,$AM$3/2)</f>
      </c>
    </row>
    <row x14ac:dyDescent="0.25" r="395" customHeight="1" ht="18.75">
      <c r="A395" s="1"/>
      <c r="B395" s="7"/>
      <c r="C395" s="170"/>
      <c r="D395" s="331">
        <v>388</v>
      </c>
      <c r="E395" s="544">
        <f>+DATE(YEAR(E394),MONTH(E394)-1,DAY(E394))</f>
        <v>25569.041666666668</v>
      </c>
      <c r="F395" s="333">
        <f>IF(DATE(YEAR($B$6),MONTH($B$6)+1,DAY(1))=E395,1,IF(MONTH(E395)=1,F396*(1+$F$5),F396))</f>
      </c>
      <c r="G395" s="333">
        <f>IF('Simulador - 1º Pilar'!$E$99="Sí",IF('Aportaciones PPE'!$B$13&lt;'Aportaciones PPE'!E395,0,F395*$B$8/12),F395*$B$8/12)</f>
      </c>
      <c r="H395" s="333">
        <f>$H$5*G395</f>
      </c>
      <c r="I395" s="333">
        <f>$I$5*G395</f>
      </c>
      <c r="J395" s="333">
        <f>+I395</f>
      </c>
      <c r="K395" s="333">
        <f>(1+$O$5)^(D395/12)*(H395+IF(AND(F395=1,F396=0),$S$4,0))</f>
      </c>
      <c r="L395" s="333">
        <f>(1+$O$5)^(D395/12)*(I395+IF(AND(F395=1,F396=0),0))</f>
      </c>
      <c r="M395" s="333">
        <f>+L395</f>
      </c>
      <c r="N395" s="333">
        <f>L395+K395+M395</f>
      </c>
      <c r="O395" s="170"/>
      <c r="P395" s="7"/>
      <c r="Q395" s="1"/>
      <c r="R395" s="331">
        <f>D395</f>
      </c>
      <c r="S395" s="169"/>
      <c r="T395" s="1"/>
      <c r="U395" s="217"/>
      <c r="V395" s="331">
        <f>+IF(V394=11,12,IF(V394=12,1,V394+1))</f>
      </c>
      <c r="W395" s="331">
        <f>+W394+IF(V394=12,1,0)</f>
      </c>
      <c r="X395" s="555">
        <f>+DATE(W395,V395,1)</f>
        <v>25569.041666666668</v>
      </c>
      <c r="Y395" s="333">
        <f>+_xlfn.IFNA(AN395+AS395+AX395,0)</f>
      </c>
      <c r="Z395" s="333">
        <f>+_xlfn.IFNA(AO395+AT395+AY395,0)</f>
      </c>
      <c r="AA395" s="333">
        <f>Y395*(1+$O$5)^(($B$7-X395)/365.25)</f>
      </c>
      <c r="AB395" s="333">
        <f>Z395*(1+$O$5)^(($B$7-X395)/365.25)</f>
      </c>
      <c r="AC395" s="1"/>
      <c r="AD395" s="1"/>
      <c r="AE395" s="1"/>
      <c r="AF395" s="111">
        <f>+MONTH(E395)&amp;YEAR(E395)</f>
      </c>
      <c r="AG395" s="217">
        <f>+I395</f>
      </c>
      <c r="AH395" s="217">
        <f>+J395</f>
      </c>
      <c r="AI395" s="217">
        <f>+H395</f>
      </c>
      <c r="AJ395" s="111">
        <f>+V395&amp;W395</f>
      </c>
      <c r="AK395" s="217">
        <f>+_xlfn.IFNA(VLOOKUP(AJ395,$AF$7:$AG$1066,2,0),0)</f>
      </c>
      <c r="AL395" s="217">
        <f>+IF(W395&gt;W394,AK395,AL394+AK395)</f>
      </c>
      <c r="AM395" s="217">
        <f>IF(W395&gt;W394,IF(AL395&gt;=$AZ$8,$AZ$8,AL395),IF(OR(AM394=$AZ$8,AM394=0),0,IF(AL395&gt;=$AZ$8,$AZ$8,AL395)))</f>
      </c>
      <c r="AN395" s="748">
        <f>+IF(OR(AM395&gt;AZ394,AM395=0),0,IF(AM395=AL395,AK395,$AZ$7-AL394))</f>
      </c>
      <c r="AO395" s="748">
        <f>+AK395-AN395</f>
      </c>
      <c r="AP395" s="217">
        <f>+_xlfn.IFNA(VLOOKUP(AJ395,$AF$7:$AI$1066,3,0),0)</f>
      </c>
      <c r="AQ395" s="217">
        <f>+IF(W395&gt;W394,AP395,AQ394+AP395)</f>
      </c>
      <c r="AR395" s="217">
        <f>+MAX($AM$2-SUMIF($W$7:$W$1066,W395,$AN$7:$AN$1066),0)</f>
      </c>
      <c r="AS395" s="748">
        <f>+MAX(IF(AQ395&gt;AR395,AR395-AQ394,AP395),0)</f>
      </c>
      <c r="AT395" s="748">
        <f>+AP395-AS395</f>
      </c>
      <c r="AU395" s="217">
        <f>+_xlfn.IFNA(VLOOKUP(AJ395,$AF$7:$AI$1066,4,0),0)</f>
      </c>
      <c r="AV395" s="217">
        <f>+IF(W395&gt;W394,AU395,AV394+AU395)</f>
      </c>
      <c r="AW395" s="217">
        <f>+MAX($AM$2-SUMIF($W$7:$W$1066,W395,$AN$7:$AN$1066)-SUMIF($W$7:$W$1066,W395,$AS$7:$AS$1066),0)</f>
      </c>
      <c r="AX395" s="748">
        <f>+MAX(IF(AV395&gt;AW395,AW395-AV394,AU395),0)</f>
      </c>
      <c r="AY395" s="748">
        <f>+AU395-AX395</f>
      </c>
      <c r="AZ395" s="331">
        <f>+$AM$1+IF($AP$1&gt;$AP$2,$AM$3/2)</f>
      </c>
    </row>
    <row x14ac:dyDescent="0.25" r="396" customHeight="1" ht="18.75">
      <c r="A396" s="1"/>
      <c r="B396" s="7"/>
      <c r="C396" s="170"/>
      <c r="D396" s="331">
        <v>389</v>
      </c>
      <c r="E396" s="544">
        <f>+DATE(YEAR(E395),MONTH(E395)-1,DAY(E395))</f>
        <v>25569.041666666668</v>
      </c>
      <c r="F396" s="333">
        <f>IF(DATE(YEAR($B$6),MONTH($B$6)+1,DAY(1))=E396,1,IF(MONTH(E396)=1,F397*(1+$F$5),F397))</f>
      </c>
      <c r="G396" s="333">
        <f>IF('Simulador - 1º Pilar'!$E$99="Sí",IF('Aportaciones PPE'!$B$13&lt;'Aportaciones PPE'!E396,0,F396*$B$8/12),F396*$B$8/12)</f>
      </c>
      <c r="H396" s="333">
        <f>$H$5*G396</f>
      </c>
      <c r="I396" s="333">
        <f>$I$5*G396</f>
      </c>
      <c r="J396" s="333">
        <f>+I396</f>
      </c>
      <c r="K396" s="333">
        <f>(1+$O$5)^(D396/12)*(H396+IF(AND(F396=1,F397=0),$S$4,0))</f>
      </c>
      <c r="L396" s="333">
        <f>(1+$O$5)^(D396/12)*(I396+IF(AND(F396=1,F397=0),0))</f>
      </c>
      <c r="M396" s="333">
        <f>+L396</f>
      </c>
      <c r="N396" s="333">
        <f>L396+K396+M396</f>
      </c>
      <c r="O396" s="170"/>
      <c r="P396" s="7"/>
      <c r="Q396" s="1"/>
      <c r="R396" s="331">
        <f>D396</f>
      </c>
      <c r="S396" s="169"/>
      <c r="T396" s="1"/>
      <c r="U396" s="217"/>
      <c r="V396" s="331">
        <f>+IF(V395=11,12,IF(V395=12,1,V395+1))</f>
      </c>
      <c r="W396" s="331">
        <f>+W395+IF(V395=12,1,0)</f>
      </c>
      <c r="X396" s="555">
        <f>+DATE(W396,V396,1)</f>
        <v>25569.041666666668</v>
      </c>
      <c r="Y396" s="333">
        <f>+_xlfn.IFNA(AN396+AS396+AX396,0)</f>
      </c>
      <c r="Z396" s="333">
        <f>+_xlfn.IFNA(AO396+AT396+AY396,0)</f>
      </c>
      <c r="AA396" s="333">
        <f>Y396*(1+$O$5)^(($B$7-X396)/365.25)</f>
      </c>
      <c r="AB396" s="333">
        <f>Z396*(1+$O$5)^(($B$7-X396)/365.25)</f>
      </c>
      <c r="AC396" s="1"/>
      <c r="AD396" s="1"/>
      <c r="AE396" s="1"/>
      <c r="AF396" s="111">
        <f>+MONTH(E396)&amp;YEAR(E396)</f>
      </c>
      <c r="AG396" s="217">
        <f>+I396</f>
      </c>
      <c r="AH396" s="217">
        <f>+J396</f>
      </c>
      <c r="AI396" s="217">
        <f>+H396</f>
      </c>
      <c r="AJ396" s="111">
        <f>+V396&amp;W396</f>
      </c>
      <c r="AK396" s="217">
        <f>+_xlfn.IFNA(VLOOKUP(AJ396,$AF$7:$AG$1066,2,0),0)</f>
      </c>
      <c r="AL396" s="217">
        <f>+IF(W396&gt;W395,AK396,AL395+AK396)</f>
      </c>
      <c r="AM396" s="217">
        <f>IF(W396&gt;W395,IF(AL396&gt;=$AZ$8,$AZ$8,AL396),IF(OR(AM395=$AZ$8,AM395=0),0,IF(AL396&gt;=$AZ$8,$AZ$8,AL396)))</f>
      </c>
      <c r="AN396" s="748">
        <f>+IF(OR(AM396&gt;AZ395,AM396=0),0,IF(AM396=AL396,AK396,$AZ$7-AL395))</f>
      </c>
      <c r="AO396" s="748">
        <f>+AK396-AN396</f>
      </c>
      <c r="AP396" s="217">
        <f>+_xlfn.IFNA(VLOOKUP(AJ396,$AF$7:$AI$1066,3,0),0)</f>
      </c>
      <c r="AQ396" s="217">
        <f>+IF(W396&gt;W395,AP396,AQ395+AP396)</f>
      </c>
      <c r="AR396" s="217">
        <f>+MAX($AM$2-SUMIF($W$7:$W$1066,W396,$AN$7:$AN$1066),0)</f>
      </c>
      <c r="AS396" s="748">
        <f>+MAX(IF(AQ396&gt;AR396,AR396-AQ395,AP396),0)</f>
      </c>
      <c r="AT396" s="748">
        <f>+AP396-AS396</f>
      </c>
      <c r="AU396" s="217">
        <f>+_xlfn.IFNA(VLOOKUP(AJ396,$AF$7:$AI$1066,4,0),0)</f>
      </c>
      <c r="AV396" s="217">
        <f>+IF(W396&gt;W395,AU396,AV395+AU396)</f>
      </c>
      <c r="AW396" s="217">
        <f>+MAX($AM$2-SUMIF($W$7:$W$1066,W396,$AN$7:$AN$1066)-SUMIF($W$7:$W$1066,W396,$AS$7:$AS$1066),0)</f>
      </c>
      <c r="AX396" s="748">
        <f>+MAX(IF(AV396&gt;AW396,AW396-AV395,AU396),0)</f>
      </c>
      <c r="AY396" s="748">
        <f>+AU396-AX396</f>
      </c>
      <c r="AZ396" s="331">
        <f>+$AM$1+IF($AP$1&gt;$AP$2,$AM$3/2)</f>
      </c>
    </row>
    <row x14ac:dyDescent="0.25" r="397" customHeight="1" ht="18.75">
      <c r="A397" s="1"/>
      <c r="B397" s="7"/>
      <c r="C397" s="170"/>
      <c r="D397" s="331">
        <v>390</v>
      </c>
      <c r="E397" s="544">
        <f>+DATE(YEAR(E396),MONTH(E396)-1,DAY(E396))</f>
        <v>25569.041666666668</v>
      </c>
      <c r="F397" s="333">
        <f>IF(DATE(YEAR($B$6),MONTH($B$6)+1,DAY(1))=E397,1,IF(MONTH(E397)=1,F398*(1+$F$5),F398))</f>
      </c>
      <c r="G397" s="333">
        <f>IF('Simulador - 1º Pilar'!$E$99="Sí",IF('Aportaciones PPE'!$B$13&lt;'Aportaciones PPE'!E397,0,F397*$B$8/12),F397*$B$8/12)</f>
      </c>
      <c r="H397" s="333">
        <f>$H$5*G397</f>
      </c>
      <c r="I397" s="333">
        <f>$I$5*G397</f>
      </c>
      <c r="J397" s="333">
        <f>+I397</f>
      </c>
      <c r="K397" s="333">
        <f>(1+$O$5)^(D397/12)*(H397+IF(AND(F397=1,F398=0),$S$4,0))</f>
      </c>
      <c r="L397" s="333">
        <f>(1+$O$5)^(D397/12)*(I397+IF(AND(F397=1,F398=0),0))</f>
      </c>
      <c r="M397" s="333">
        <f>+L397</f>
      </c>
      <c r="N397" s="333">
        <f>L397+K397+M397</f>
      </c>
      <c r="O397" s="170"/>
      <c r="P397" s="7"/>
      <c r="Q397" s="1"/>
      <c r="R397" s="331">
        <f>D397</f>
      </c>
      <c r="S397" s="169"/>
      <c r="T397" s="1"/>
      <c r="U397" s="217"/>
      <c r="V397" s="331">
        <f>+IF(V396=11,12,IF(V396=12,1,V396+1))</f>
      </c>
      <c r="W397" s="331">
        <f>+W396+IF(V396=12,1,0)</f>
      </c>
      <c r="X397" s="555">
        <f>+DATE(W397,V397,1)</f>
        <v>25569.041666666668</v>
      </c>
      <c r="Y397" s="333">
        <f>+_xlfn.IFNA(AN397+AS397+AX397,0)</f>
      </c>
      <c r="Z397" s="333">
        <f>+_xlfn.IFNA(AO397+AT397+AY397,0)</f>
      </c>
      <c r="AA397" s="333">
        <f>Y397*(1+$O$5)^(($B$7-X397)/365.25)</f>
      </c>
      <c r="AB397" s="333">
        <f>Z397*(1+$O$5)^(($B$7-X397)/365.25)</f>
      </c>
      <c r="AC397" s="1"/>
      <c r="AD397" s="1"/>
      <c r="AE397" s="1"/>
      <c r="AF397" s="111">
        <f>+MONTH(E397)&amp;YEAR(E397)</f>
      </c>
      <c r="AG397" s="217">
        <f>+I397</f>
      </c>
      <c r="AH397" s="217">
        <f>+J397</f>
      </c>
      <c r="AI397" s="217">
        <f>+H397</f>
      </c>
      <c r="AJ397" s="111">
        <f>+V397&amp;W397</f>
      </c>
      <c r="AK397" s="217">
        <f>+_xlfn.IFNA(VLOOKUP(AJ397,$AF$7:$AG$1066,2,0),0)</f>
      </c>
      <c r="AL397" s="217">
        <f>+IF(W397&gt;W396,AK397,AL396+AK397)</f>
      </c>
      <c r="AM397" s="217">
        <f>IF(W397&gt;W396,IF(AL397&gt;=$AZ$8,$AZ$8,AL397),IF(OR(AM396=$AZ$8,AM396=0),0,IF(AL397&gt;=$AZ$8,$AZ$8,AL397)))</f>
      </c>
      <c r="AN397" s="748">
        <f>+IF(OR(AM397&gt;AZ396,AM397=0),0,IF(AM397=AL397,AK397,$AZ$7-AL396))</f>
      </c>
      <c r="AO397" s="748">
        <f>+AK397-AN397</f>
      </c>
      <c r="AP397" s="217">
        <f>+_xlfn.IFNA(VLOOKUP(AJ397,$AF$7:$AI$1066,3,0),0)</f>
      </c>
      <c r="AQ397" s="217">
        <f>+IF(W397&gt;W396,AP397,AQ396+AP397)</f>
      </c>
      <c r="AR397" s="217">
        <f>+MAX($AM$2-SUMIF($W$7:$W$1066,W397,$AN$7:$AN$1066),0)</f>
      </c>
      <c r="AS397" s="748">
        <f>+MAX(IF(AQ397&gt;AR397,AR397-AQ396,AP397),0)</f>
      </c>
      <c r="AT397" s="748">
        <f>+AP397-AS397</f>
      </c>
      <c r="AU397" s="217">
        <f>+_xlfn.IFNA(VLOOKUP(AJ397,$AF$7:$AI$1066,4,0),0)</f>
      </c>
      <c r="AV397" s="217">
        <f>+IF(W397&gt;W396,AU397,AV396+AU397)</f>
      </c>
      <c r="AW397" s="217">
        <f>+MAX($AM$2-SUMIF($W$7:$W$1066,W397,$AN$7:$AN$1066)-SUMIF($W$7:$W$1066,W397,$AS$7:$AS$1066),0)</f>
      </c>
      <c r="AX397" s="748">
        <f>+MAX(IF(AV397&gt;AW397,AW397-AV396,AU397),0)</f>
      </c>
      <c r="AY397" s="748">
        <f>+AU397-AX397</f>
      </c>
      <c r="AZ397" s="331">
        <f>+$AM$1+IF($AP$1&gt;$AP$2,$AM$3/2)</f>
      </c>
    </row>
    <row x14ac:dyDescent="0.25" r="398" customHeight="1" ht="18.75">
      <c r="A398" s="1"/>
      <c r="B398" s="7"/>
      <c r="C398" s="170"/>
      <c r="D398" s="331">
        <v>391</v>
      </c>
      <c r="E398" s="544">
        <f>+DATE(YEAR(E397),MONTH(E397)-1,DAY(E397))</f>
        <v>25569.041666666668</v>
      </c>
      <c r="F398" s="333">
        <f>IF(DATE(YEAR($B$6),MONTH($B$6)+1,DAY(1))=E398,1,IF(MONTH(E398)=1,F399*(1+$F$5),F399))</f>
      </c>
      <c r="G398" s="333">
        <f>IF('Simulador - 1º Pilar'!$E$99="Sí",IF('Aportaciones PPE'!$B$13&lt;'Aportaciones PPE'!E398,0,F398*$B$8/12),F398*$B$8/12)</f>
      </c>
      <c r="H398" s="333">
        <f>$H$5*G398</f>
      </c>
      <c r="I398" s="333">
        <f>$I$5*G398</f>
      </c>
      <c r="J398" s="333">
        <f>+I398</f>
      </c>
      <c r="K398" s="333">
        <f>(1+$O$5)^(D398/12)*(H398+IF(AND(F398=1,F399=0),$S$4,0))</f>
      </c>
      <c r="L398" s="333">
        <f>(1+$O$5)^(D398/12)*(I398+IF(AND(F398=1,F399=0),0))</f>
      </c>
      <c r="M398" s="333">
        <f>+L398</f>
      </c>
      <c r="N398" s="333">
        <f>L398+K398+M398</f>
      </c>
      <c r="O398" s="170"/>
      <c r="P398" s="7"/>
      <c r="Q398" s="1"/>
      <c r="R398" s="331">
        <f>D398</f>
      </c>
      <c r="S398" s="169"/>
      <c r="T398" s="1"/>
      <c r="U398" s="217"/>
      <c r="V398" s="331">
        <f>+IF(V397=11,12,IF(V397=12,1,V397+1))</f>
      </c>
      <c r="W398" s="331">
        <f>+W397+IF(V397=12,1,0)</f>
      </c>
      <c r="X398" s="555">
        <f>+DATE(W398,V398,1)</f>
        <v>25569.041666666668</v>
      </c>
      <c r="Y398" s="333">
        <f>+_xlfn.IFNA(AN398+AS398+AX398,0)</f>
      </c>
      <c r="Z398" s="333">
        <f>+_xlfn.IFNA(AO398+AT398+AY398,0)</f>
      </c>
      <c r="AA398" s="333">
        <f>Y398*(1+$O$5)^(($B$7-X398)/365.25)</f>
      </c>
      <c r="AB398" s="333">
        <f>Z398*(1+$O$5)^(($B$7-X398)/365.25)</f>
      </c>
      <c r="AC398" s="1"/>
      <c r="AD398" s="1"/>
      <c r="AE398" s="1"/>
      <c r="AF398" s="111">
        <f>+MONTH(E398)&amp;YEAR(E398)</f>
      </c>
      <c r="AG398" s="217">
        <f>+I398</f>
      </c>
      <c r="AH398" s="217">
        <f>+J398</f>
      </c>
      <c r="AI398" s="217">
        <f>+H398</f>
      </c>
      <c r="AJ398" s="111">
        <f>+V398&amp;W398</f>
      </c>
      <c r="AK398" s="217">
        <f>+_xlfn.IFNA(VLOOKUP(AJ398,$AF$7:$AG$1066,2,0),0)</f>
      </c>
      <c r="AL398" s="217">
        <f>+IF(W398&gt;W397,AK398,AL397+AK398)</f>
      </c>
      <c r="AM398" s="217">
        <f>IF(W398&gt;W397,IF(AL398&gt;=$AZ$8,$AZ$8,AL398),IF(OR(AM397=$AZ$8,AM397=0),0,IF(AL398&gt;=$AZ$8,$AZ$8,AL398)))</f>
      </c>
      <c r="AN398" s="748">
        <f>+IF(OR(AM398&gt;AZ397,AM398=0),0,IF(AM398=AL398,AK398,$AZ$7-AL397))</f>
      </c>
      <c r="AO398" s="748">
        <f>+AK398-AN398</f>
      </c>
      <c r="AP398" s="217">
        <f>+_xlfn.IFNA(VLOOKUP(AJ398,$AF$7:$AI$1066,3,0),0)</f>
      </c>
      <c r="AQ398" s="217">
        <f>+IF(W398&gt;W397,AP398,AQ397+AP398)</f>
      </c>
      <c r="AR398" s="217">
        <f>+MAX($AM$2-SUMIF($W$7:$W$1066,W398,$AN$7:$AN$1066),0)</f>
      </c>
      <c r="AS398" s="748">
        <f>+MAX(IF(AQ398&gt;AR398,AR398-AQ397,AP398),0)</f>
      </c>
      <c r="AT398" s="748">
        <f>+AP398-AS398</f>
      </c>
      <c r="AU398" s="217">
        <f>+_xlfn.IFNA(VLOOKUP(AJ398,$AF$7:$AI$1066,4,0),0)</f>
      </c>
      <c r="AV398" s="217">
        <f>+IF(W398&gt;W397,AU398,AV397+AU398)</f>
      </c>
      <c r="AW398" s="217">
        <f>+MAX($AM$2-SUMIF($W$7:$W$1066,W398,$AN$7:$AN$1066)-SUMIF($W$7:$W$1066,W398,$AS$7:$AS$1066),0)</f>
      </c>
      <c r="AX398" s="748">
        <f>+MAX(IF(AV398&gt;AW398,AW398-AV397,AU398),0)</f>
      </c>
      <c r="AY398" s="748">
        <f>+AU398-AX398</f>
      </c>
      <c r="AZ398" s="331">
        <f>+$AM$1+IF($AP$1&gt;$AP$2,$AM$3/2)</f>
      </c>
    </row>
    <row x14ac:dyDescent="0.25" r="399" customHeight="1" ht="18.75">
      <c r="A399" s="1"/>
      <c r="B399" s="7"/>
      <c r="C399" s="170"/>
      <c r="D399" s="331">
        <v>392</v>
      </c>
      <c r="E399" s="544">
        <f>+DATE(YEAR(E398),MONTH(E398)-1,DAY(E398))</f>
        <v>25569.041666666668</v>
      </c>
      <c r="F399" s="333">
        <f>IF(DATE(YEAR($B$6),MONTH($B$6)+1,DAY(1))=E399,1,IF(MONTH(E399)=1,F400*(1+$F$5),F400))</f>
      </c>
      <c r="G399" s="333">
        <f>IF('Simulador - 1º Pilar'!$E$99="Sí",IF('Aportaciones PPE'!$B$13&lt;'Aportaciones PPE'!E399,0,F399*$B$8/12),F399*$B$8/12)</f>
      </c>
      <c r="H399" s="333">
        <f>$H$5*G399</f>
      </c>
      <c r="I399" s="333">
        <f>$I$5*G399</f>
      </c>
      <c r="J399" s="333">
        <f>+I399</f>
      </c>
      <c r="K399" s="333">
        <f>(1+$O$5)^(D399/12)*(H399+IF(AND(F399=1,F400=0),$S$4,0))</f>
      </c>
      <c r="L399" s="333">
        <f>(1+$O$5)^(D399/12)*(I399+IF(AND(F399=1,F400=0),0))</f>
      </c>
      <c r="M399" s="333">
        <f>+L399</f>
      </c>
      <c r="N399" s="333">
        <f>L399+K399+M399</f>
      </c>
      <c r="O399" s="170"/>
      <c r="P399" s="7"/>
      <c r="Q399" s="1"/>
      <c r="R399" s="331">
        <f>D399</f>
      </c>
      <c r="S399" s="169"/>
      <c r="T399" s="1"/>
      <c r="U399" s="217"/>
      <c r="V399" s="331">
        <f>+IF(V398=11,12,IF(V398=12,1,V398+1))</f>
      </c>
      <c r="W399" s="331">
        <f>+W398+IF(V398=12,1,0)</f>
      </c>
      <c r="X399" s="555">
        <f>+DATE(W399,V399,1)</f>
        <v>25569.041666666668</v>
      </c>
      <c r="Y399" s="333">
        <f>+_xlfn.IFNA(AN399+AS399+AX399,0)</f>
      </c>
      <c r="Z399" s="333">
        <f>+_xlfn.IFNA(AO399+AT399+AY399,0)</f>
      </c>
      <c r="AA399" s="333">
        <f>Y399*(1+$O$5)^(($B$7-X399)/365.25)</f>
      </c>
      <c r="AB399" s="333">
        <f>Z399*(1+$O$5)^(($B$7-X399)/365.25)</f>
      </c>
      <c r="AC399" s="1"/>
      <c r="AD399" s="1"/>
      <c r="AE399" s="1"/>
      <c r="AF399" s="111">
        <f>+MONTH(E399)&amp;YEAR(E399)</f>
      </c>
      <c r="AG399" s="217">
        <f>+I399</f>
      </c>
      <c r="AH399" s="217">
        <f>+J399</f>
      </c>
      <c r="AI399" s="217">
        <f>+H399</f>
      </c>
      <c r="AJ399" s="111">
        <f>+V399&amp;W399</f>
      </c>
      <c r="AK399" s="217">
        <f>+_xlfn.IFNA(VLOOKUP(AJ399,$AF$7:$AG$1066,2,0),0)</f>
      </c>
      <c r="AL399" s="217">
        <f>+IF(W399&gt;W398,AK399,AL398+AK399)</f>
      </c>
      <c r="AM399" s="217">
        <f>IF(W399&gt;W398,IF(AL399&gt;=$AZ$8,$AZ$8,AL399),IF(OR(AM398=$AZ$8,AM398=0),0,IF(AL399&gt;=$AZ$8,$AZ$8,AL399)))</f>
      </c>
      <c r="AN399" s="748">
        <f>+IF(OR(AM399&gt;AZ398,AM399=0),0,IF(AM399=AL399,AK399,$AZ$7-AL398))</f>
      </c>
      <c r="AO399" s="748">
        <f>+AK399-AN399</f>
      </c>
      <c r="AP399" s="217">
        <f>+_xlfn.IFNA(VLOOKUP(AJ399,$AF$7:$AI$1066,3,0),0)</f>
      </c>
      <c r="AQ399" s="217">
        <f>+IF(W399&gt;W398,AP399,AQ398+AP399)</f>
      </c>
      <c r="AR399" s="217">
        <f>+MAX($AM$2-SUMIF($W$7:$W$1066,W399,$AN$7:$AN$1066),0)</f>
      </c>
      <c r="AS399" s="748">
        <f>+MAX(IF(AQ399&gt;AR399,AR399-AQ398,AP399),0)</f>
      </c>
      <c r="AT399" s="748">
        <f>+AP399-AS399</f>
      </c>
      <c r="AU399" s="217">
        <f>+_xlfn.IFNA(VLOOKUP(AJ399,$AF$7:$AI$1066,4,0),0)</f>
      </c>
      <c r="AV399" s="217">
        <f>+IF(W399&gt;W398,AU399,AV398+AU399)</f>
      </c>
      <c r="AW399" s="217">
        <f>+MAX($AM$2-SUMIF($W$7:$W$1066,W399,$AN$7:$AN$1066)-SUMIF($W$7:$W$1066,W399,$AS$7:$AS$1066),0)</f>
      </c>
      <c r="AX399" s="748">
        <f>+MAX(IF(AV399&gt;AW399,AW399-AV398,AU399),0)</f>
      </c>
      <c r="AY399" s="748">
        <f>+AU399-AX399</f>
      </c>
      <c r="AZ399" s="331">
        <f>+$AM$1+IF($AP$1&gt;$AP$2,$AM$3/2)</f>
      </c>
    </row>
    <row x14ac:dyDescent="0.25" r="400" customHeight="1" ht="18.75">
      <c r="A400" s="1"/>
      <c r="B400" s="7"/>
      <c r="C400" s="170"/>
      <c r="D400" s="331">
        <v>393</v>
      </c>
      <c r="E400" s="544">
        <f>+DATE(YEAR(E399),MONTH(E399)-1,DAY(E399))</f>
        <v>25569.041666666668</v>
      </c>
      <c r="F400" s="333">
        <f>IF(DATE(YEAR($B$6),MONTH($B$6)+1,DAY(1))=E400,1,IF(MONTH(E400)=1,F401*(1+$F$5),F401))</f>
      </c>
      <c r="G400" s="333">
        <f>IF('Simulador - 1º Pilar'!$E$99="Sí",IF('Aportaciones PPE'!$B$13&lt;'Aportaciones PPE'!E400,0,F400*$B$8/12),F400*$B$8/12)</f>
      </c>
      <c r="H400" s="333">
        <f>$H$5*G400</f>
      </c>
      <c r="I400" s="333">
        <f>$I$5*G400</f>
      </c>
      <c r="J400" s="333">
        <f>+I400</f>
      </c>
      <c r="K400" s="333">
        <f>(1+$O$5)^(D400/12)*(H400+IF(AND(F400=1,F401=0),$S$4,0))</f>
      </c>
      <c r="L400" s="333">
        <f>(1+$O$5)^(D400/12)*(I400+IF(AND(F400=1,F401=0),0))</f>
      </c>
      <c r="M400" s="333">
        <f>+L400</f>
      </c>
      <c r="N400" s="333">
        <f>L400+K400+M400</f>
      </c>
      <c r="O400" s="170"/>
      <c r="P400" s="7"/>
      <c r="Q400" s="1"/>
      <c r="R400" s="331">
        <f>D400</f>
      </c>
      <c r="S400" s="169"/>
      <c r="T400" s="1"/>
      <c r="U400" s="217"/>
      <c r="V400" s="331">
        <f>+IF(V399=11,12,IF(V399=12,1,V399+1))</f>
      </c>
      <c r="W400" s="331">
        <f>+W399+IF(V399=12,1,0)</f>
      </c>
      <c r="X400" s="555">
        <f>+DATE(W400,V400,1)</f>
        <v>25569.041666666668</v>
      </c>
      <c r="Y400" s="333">
        <f>+_xlfn.IFNA(AN400+AS400+AX400,0)</f>
      </c>
      <c r="Z400" s="333">
        <f>+_xlfn.IFNA(AO400+AT400+AY400,0)</f>
      </c>
      <c r="AA400" s="333">
        <f>Y400*(1+$O$5)^(($B$7-X400)/365.25)</f>
      </c>
      <c r="AB400" s="333">
        <f>Z400*(1+$O$5)^(($B$7-X400)/365.25)</f>
      </c>
      <c r="AC400" s="1"/>
      <c r="AD400" s="1"/>
      <c r="AE400" s="1"/>
      <c r="AF400" s="111">
        <f>+MONTH(E400)&amp;YEAR(E400)</f>
      </c>
      <c r="AG400" s="217">
        <f>+I400</f>
      </c>
      <c r="AH400" s="217">
        <f>+J400</f>
      </c>
      <c r="AI400" s="217">
        <f>+H400</f>
      </c>
      <c r="AJ400" s="111">
        <f>+V400&amp;W400</f>
      </c>
      <c r="AK400" s="217">
        <f>+_xlfn.IFNA(VLOOKUP(AJ400,$AF$7:$AG$1066,2,0),0)</f>
      </c>
      <c r="AL400" s="217">
        <f>+IF(W400&gt;W399,AK400,AL399+AK400)</f>
      </c>
      <c r="AM400" s="217">
        <f>IF(W400&gt;W399,IF(AL400&gt;=$AZ$8,$AZ$8,AL400),IF(OR(AM399=$AZ$8,AM399=0),0,IF(AL400&gt;=$AZ$8,$AZ$8,AL400)))</f>
      </c>
      <c r="AN400" s="748">
        <f>+IF(OR(AM400&gt;AZ399,AM400=0),0,IF(AM400=AL400,AK400,$AZ$7-AL399))</f>
      </c>
      <c r="AO400" s="748">
        <f>+AK400-AN400</f>
      </c>
      <c r="AP400" s="217">
        <f>+_xlfn.IFNA(VLOOKUP(AJ400,$AF$7:$AI$1066,3,0),0)</f>
      </c>
      <c r="AQ400" s="217">
        <f>+IF(W400&gt;W399,AP400,AQ399+AP400)</f>
      </c>
      <c r="AR400" s="217">
        <f>+MAX($AM$2-SUMIF($W$7:$W$1066,W400,$AN$7:$AN$1066),0)</f>
      </c>
      <c r="AS400" s="748">
        <f>+MAX(IF(AQ400&gt;AR400,AR400-AQ399,AP400),0)</f>
      </c>
      <c r="AT400" s="748">
        <f>+AP400-AS400</f>
      </c>
      <c r="AU400" s="217">
        <f>+_xlfn.IFNA(VLOOKUP(AJ400,$AF$7:$AI$1066,4,0),0)</f>
      </c>
      <c r="AV400" s="217">
        <f>+IF(W400&gt;W399,AU400,AV399+AU400)</f>
      </c>
      <c r="AW400" s="217">
        <f>+MAX($AM$2-SUMIF($W$7:$W$1066,W400,$AN$7:$AN$1066)-SUMIF($W$7:$W$1066,W400,$AS$7:$AS$1066),0)</f>
      </c>
      <c r="AX400" s="748">
        <f>+MAX(IF(AV400&gt;AW400,AW400-AV399,AU400),0)</f>
      </c>
      <c r="AY400" s="748">
        <f>+AU400-AX400</f>
      </c>
      <c r="AZ400" s="331">
        <f>+$AM$1+IF($AP$1&gt;$AP$2,$AM$3/2)</f>
      </c>
    </row>
    <row x14ac:dyDescent="0.25" r="401" customHeight="1" ht="18.75">
      <c r="A401" s="1"/>
      <c r="B401" s="7"/>
      <c r="C401" s="170"/>
      <c r="D401" s="331">
        <v>394</v>
      </c>
      <c r="E401" s="544">
        <f>+DATE(YEAR(E400),MONTH(E400)-1,DAY(E400))</f>
        <v>25569.041666666668</v>
      </c>
      <c r="F401" s="333">
        <f>IF(DATE(YEAR($B$6),MONTH($B$6)+1,DAY(1))=E401,1,IF(MONTH(E401)=1,F402*(1+$F$5),F402))</f>
      </c>
      <c r="G401" s="333">
        <f>IF('Simulador - 1º Pilar'!$E$99="Sí",IF('Aportaciones PPE'!$B$13&lt;'Aportaciones PPE'!E401,0,F401*$B$8/12),F401*$B$8/12)</f>
      </c>
      <c r="H401" s="333">
        <f>$H$5*G401</f>
      </c>
      <c r="I401" s="333">
        <f>$I$5*G401</f>
      </c>
      <c r="J401" s="333">
        <f>+I401</f>
      </c>
      <c r="K401" s="333">
        <f>(1+$O$5)^(D401/12)*(H401+IF(AND(F401=1,F402=0),$S$4,0))</f>
      </c>
      <c r="L401" s="333">
        <f>(1+$O$5)^(D401/12)*(I401+IF(AND(F401=1,F402=0),0))</f>
      </c>
      <c r="M401" s="333">
        <f>+L401</f>
      </c>
      <c r="N401" s="333">
        <f>L401+K401+M401</f>
      </c>
      <c r="O401" s="170"/>
      <c r="P401" s="7"/>
      <c r="Q401" s="1"/>
      <c r="R401" s="331">
        <f>D401</f>
      </c>
      <c r="S401" s="169"/>
      <c r="T401" s="1"/>
      <c r="U401" s="217"/>
      <c r="V401" s="331">
        <f>+IF(V400=11,12,IF(V400=12,1,V400+1))</f>
      </c>
      <c r="W401" s="331">
        <f>+W400+IF(V400=12,1,0)</f>
      </c>
      <c r="X401" s="555">
        <f>+DATE(W401,V401,1)</f>
        <v>25569.041666666668</v>
      </c>
      <c r="Y401" s="333">
        <f>+_xlfn.IFNA(AN401+AS401+AX401,0)</f>
      </c>
      <c r="Z401" s="333">
        <f>+_xlfn.IFNA(AO401+AT401+AY401,0)</f>
      </c>
      <c r="AA401" s="333">
        <f>Y401*(1+$O$5)^(($B$7-X401)/365.25)</f>
      </c>
      <c r="AB401" s="333">
        <f>Z401*(1+$O$5)^(($B$7-X401)/365.25)</f>
      </c>
      <c r="AC401" s="1"/>
      <c r="AD401" s="1"/>
      <c r="AE401" s="1"/>
      <c r="AF401" s="111">
        <f>+MONTH(E401)&amp;YEAR(E401)</f>
      </c>
      <c r="AG401" s="217">
        <f>+I401</f>
      </c>
      <c r="AH401" s="217">
        <f>+J401</f>
      </c>
      <c r="AI401" s="217">
        <f>+H401</f>
      </c>
      <c r="AJ401" s="111">
        <f>+V401&amp;W401</f>
      </c>
      <c r="AK401" s="217">
        <f>+_xlfn.IFNA(VLOOKUP(AJ401,$AF$7:$AG$1066,2,0),0)</f>
      </c>
      <c r="AL401" s="217">
        <f>+IF(W401&gt;W400,AK401,AL400+AK401)</f>
      </c>
      <c r="AM401" s="217">
        <f>IF(W401&gt;W400,IF(AL401&gt;=$AZ$8,$AZ$8,AL401),IF(OR(AM400=$AZ$8,AM400=0),0,IF(AL401&gt;=$AZ$8,$AZ$8,AL401)))</f>
      </c>
      <c r="AN401" s="748">
        <f>+IF(OR(AM401&gt;AZ400,AM401=0),0,IF(AM401=AL401,AK401,$AZ$7-AL400))</f>
      </c>
      <c r="AO401" s="748">
        <f>+AK401-AN401</f>
      </c>
      <c r="AP401" s="217">
        <f>+_xlfn.IFNA(VLOOKUP(AJ401,$AF$7:$AI$1066,3,0),0)</f>
      </c>
      <c r="AQ401" s="217">
        <f>+IF(W401&gt;W400,AP401,AQ400+AP401)</f>
      </c>
      <c r="AR401" s="217">
        <f>+MAX($AM$2-SUMIF($W$7:$W$1066,W401,$AN$7:$AN$1066),0)</f>
      </c>
      <c r="AS401" s="748">
        <f>+MAX(IF(AQ401&gt;AR401,AR401-AQ400,AP401),0)</f>
      </c>
      <c r="AT401" s="748">
        <f>+AP401-AS401</f>
      </c>
      <c r="AU401" s="217">
        <f>+_xlfn.IFNA(VLOOKUP(AJ401,$AF$7:$AI$1066,4,0),0)</f>
      </c>
      <c r="AV401" s="217">
        <f>+IF(W401&gt;W400,AU401,AV400+AU401)</f>
      </c>
      <c r="AW401" s="217">
        <f>+MAX($AM$2-SUMIF($W$7:$W$1066,W401,$AN$7:$AN$1066)-SUMIF($W$7:$W$1066,W401,$AS$7:$AS$1066),0)</f>
      </c>
      <c r="AX401" s="748">
        <f>+MAX(IF(AV401&gt;AW401,AW401-AV400,AU401),0)</f>
      </c>
      <c r="AY401" s="748">
        <f>+AU401-AX401</f>
      </c>
      <c r="AZ401" s="331">
        <f>+$AM$1+IF($AP$1&gt;$AP$2,$AM$3/2)</f>
      </c>
    </row>
    <row x14ac:dyDescent="0.25" r="402" customHeight="1" ht="18.75">
      <c r="A402" s="1"/>
      <c r="B402" s="7"/>
      <c r="C402" s="170"/>
      <c r="D402" s="331">
        <v>395</v>
      </c>
      <c r="E402" s="544">
        <f>+DATE(YEAR(E401),MONTH(E401)-1,DAY(E401))</f>
        <v>25569.041666666668</v>
      </c>
      <c r="F402" s="333">
        <f>IF(DATE(YEAR($B$6),MONTH($B$6)+1,DAY(1))=E402,1,IF(MONTH(E402)=1,F403*(1+$F$5),F403))</f>
      </c>
      <c r="G402" s="333">
        <f>IF('Simulador - 1º Pilar'!$E$99="Sí",IF('Aportaciones PPE'!$B$13&lt;'Aportaciones PPE'!E402,0,F402*$B$8/12),F402*$B$8/12)</f>
      </c>
      <c r="H402" s="333">
        <f>$H$5*G402</f>
      </c>
      <c r="I402" s="333">
        <f>$I$5*G402</f>
      </c>
      <c r="J402" s="333">
        <f>+I402</f>
      </c>
      <c r="K402" s="333">
        <f>(1+$O$5)^(D402/12)*(H402+IF(AND(F402=1,F403=0),$S$4,0))</f>
      </c>
      <c r="L402" s="333">
        <f>(1+$O$5)^(D402/12)*(I402+IF(AND(F402=1,F403=0),0))</f>
      </c>
      <c r="M402" s="333">
        <f>+L402</f>
      </c>
      <c r="N402" s="333">
        <f>L402+K402+M402</f>
      </c>
      <c r="O402" s="170"/>
      <c r="P402" s="7"/>
      <c r="Q402" s="1"/>
      <c r="R402" s="331">
        <f>D402</f>
      </c>
      <c r="S402" s="169"/>
      <c r="T402" s="1"/>
      <c r="U402" s="217"/>
      <c r="V402" s="331">
        <f>+IF(V401=11,12,IF(V401=12,1,V401+1))</f>
      </c>
      <c r="W402" s="331">
        <f>+W401+IF(V401=12,1,0)</f>
      </c>
      <c r="X402" s="555">
        <f>+DATE(W402,V402,1)</f>
        <v>25569.041666666668</v>
      </c>
      <c r="Y402" s="333">
        <f>+_xlfn.IFNA(AN402+AS402+AX402,0)</f>
      </c>
      <c r="Z402" s="333">
        <f>+_xlfn.IFNA(AO402+AT402+AY402,0)</f>
      </c>
      <c r="AA402" s="333">
        <f>Y402*(1+$O$5)^(($B$7-X402)/365.25)</f>
      </c>
      <c r="AB402" s="333">
        <f>Z402*(1+$O$5)^(($B$7-X402)/365.25)</f>
      </c>
      <c r="AC402" s="1"/>
      <c r="AD402" s="1"/>
      <c r="AE402" s="1"/>
      <c r="AF402" s="111">
        <f>+MONTH(E402)&amp;YEAR(E402)</f>
      </c>
      <c r="AG402" s="217">
        <f>+I402</f>
      </c>
      <c r="AH402" s="217">
        <f>+J402</f>
      </c>
      <c r="AI402" s="217">
        <f>+H402</f>
      </c>
      <c r="AJ402" s="111">
        <f>+V402&amp;W402</f>
      </c>
      <c r="AK402" s="217">
        <f>+_xlfn.IFNA(VLOOKUP(AJ402,$AF$7:$AG$1066,2,0),0)</f>
      </c>
      <c r="AL402" s="217">
        <f>+IF(W402&gt;W401,AK402,AL401+AK402)</f>
      </c>
      <c r="AM402" s="217">
        <f>IF(W402&gt;W401,IF(AL402&gt;=$AZ$8,$AZ$8,AL402),IF(OR(AM401=$AZ$8,AM401=0),0,IF(AL402&gt;=$AZ$8,$AZ$8,AL402)))</f>
      </c>
      <c r="AN402" s="748">
        <f>+IF(OR(AM402&gt;AZ401,AM402=0),0,IF(AM402=AL402,AK402,$AZ$7-AL401))</f>
      </c>
      <c r="AO402" s="748">
        <f>+AK402-AN402</f>
      </c>
      <c r="AP402" s="217">
        <f>+_xlfn.IFNA(VLOOKUP(AJ402,$AF$7:$AI$1066,3,0),0)</f>
      </c>
      <c r="AQ402" s="217">
        <f>+IF(W402&gt;W401,AP402,AQ401+AP402)</f>
      </c>
      <c r="AR402" s="217">
        <f>+MAX($AM$2-SUMIF($W$7:$W$1066,W402,$AN$7:$AN$1066),0)</f>
      </c>
      <c r="AS402" s="748">
        <f>+MAX(IF(AQ402&gt;AR402,AR402-AQ401,AP402),0)</f>
      </c>
      <c r="AT402" s="748">
        <f>+AP402-AS402</f>
      </c>
      <c r="AU402" s="217">
        <f>+_xlfn.IFNA(VLOOKUP(AJ402,$AF$7:$AI$1066,4,0),0)</f>
      </c>
      <c r="AV402" s="217">
        <f>+IF(W402&gt;W401,AU402,AV401+AU402)</f>
      </c>
      <c r="AW402" s="217">
        <f>+MAX($AM$2-SUMIF($W$7:$W$1066,W402,$AN$7:$AN$1066)-SUMIF($W$7:$W$1066,W402,$AS$7:$AS$1066),0)</f>
      </c>
      <c r="AX402" s="748">
        <f>+MAX(IF(AV402&gt;AW402,AW402-AV401,AU402),0)</f>
      </c>
      <c r="AY402" s="748">
        <f>+AU402-AX402</f>
      </c>
      <c r="AZ402" s="331">
        <f>+$AM$1+IF($AP$1&gt;$AP$2,$AM$3/2)</f>
      </c>
    </row>
    <row x14ac:dyDescent="0.25" r="403" customHeight="1" ht="18.75">
      <c r="A403" s="1"/>
      <c r="B403" s="7"/>
      <c r="C403" s="170"/>
      <c r="D403" s="331">
        <v>396</v>
      </c>
      <c r="E403" s="544">
        <f>+DATE(YEAR(E402),MONTH(E402)-1,DAY(E402))</f>
        <v>25569.041666666668</v>
      </c>
      <c r="F403" s="333">
        <f>IF(DATE(YEAR($B$6),MONTH($B$6)+1,DAY(1))=E403,1,IF(MONTH(E403)=1,F404*(1+$F$5),F404))</f>
      </c>
      <c r="G403" s="333">
        <f>IF('Simulador - 1º Pilar'!$E$99="Sí",IF('Aportaciones PPE'!$B$13&lt;'Aportaciones PPE'!E403,0,F403*$B$8/12),F403*$B$8/12)</f>
      </c>
      <c r="H403" s="333">
        <f>$H$5*G403</f>
      </c>
      <c r="I403" s="333">
        <f>$I$5*G403</f>
      </c>
      <c r="J403" s="333">
        <f>+I403</f>
      </c>
      <c r="K403" s="333">
        <f>(1+$O$5)^(D403/12)*(H403+IF(AND(F403=1,F404=0),$S$4,0))</f>
      </c>
      <c r="L403" s="333">
        <f>(1+$O$5)^(D403/12)*(I403+IF(AND(F403=1,F404=0),0))</f>
      </c>
      <c r="M403" s="333">
        <f>+L403</f>
      </c>
      <c r="N403" s="333">
        <f>L403+K403+M403</f>
      </c>
      <c r="O403" s="170"/>
      <c r="P403" s="7"/>
      <c r="Q403" s="1"/>
      <c r="R403" s="331">
        <f>D403</f>
      </c>
      <c r="S403" s="169"/>
      <c r="T403" s="1"/>
      <c r="U403" s="217"/>
      <c r="V403" s="331">
        <f>+IF(V402=11,12,IF(V402=12,1,V402+1))</f>
      </c>
      <c r="W403" s="331">
        <f>+W402+IF(V402=12,1,0)</f>
      </c>
      <c r="X403" s="555">
        <f>+DATE(W403,V403,1)</f>
        <v>25569.041666666668</v>
      </c>
      <c r="Y403" s="333">
        <f>+_xlfn.IFNA(AN403+AS403+AX403,0)</f>
      </c>
      <c r="Z403" s="333">
        <f>+_xlfn.IFNA(AO403+AT403+AY403,0)</f>
      </c>
      <c r="AA403" s="333">
        <f>Y403*(1+$O$5)^(($B$7-X403)/365.25)</f>
      </c>
      <c r="AB403" s="333">
        <f>Z403*(1+$O$5)^(($B$7-X403)/365.25)</f>
      </c>
      <c r="AC403" s="1"/>
      <c r="AD403" s="1"/>
      <c r="AE403" s="1"/>
      <c r="AF403" s="111">
        <f>+MONTH(E403)&amp;YEAR(E403)</f>
      </c>
      <c r="AG403" s="217">
        <f>+I403</f>
      </c>
      <c r="AH403" s="217">
        <f>+J403</f>
      </c>
      <c r="AI403" s="217">
        <f>+H403</f>
      </c>
      <c r="AJ403" s="111">
        <f>+V403&amp;W403</f>
      </c>
      <c r="AK403" s="217">
        <f>+_xlfn.IFNA(VLOOKUP(AJ403,$AF$7:$AG$1066,2,0),0)</f>
      </c>
      <c r="AL403" s="217">
        <f>+IF(W403&gt;W402,AK403,AL402+AK403)</f>
      </c>
      <c r="AM403" s="217">
        <f>IF(W403&gt;W402,IF(AL403&gt;=$AZ$8,$AZ$8,AL403),IF(OR(AM402=$AZ$8,AM402=0),0,IF(AL403&gt;=$AZ$8,$AZ$8,AL403)))</f>
      </c>
      <c r="AN403" s="748">
        <f>+IF(OR(AM403&gt;AZ402,AM403=0),0,IF(AM403=AL403,AK403,$AZ$7-AL402))</f>
      </c>
      <c r="AO403" s="748">
        <f>+AK403-AN403</f>
      </c>
      <c r="AP403" s="217">
        <f>+_xlfn.IFNA(VLOOKUP(AJ403,$AF$7:$AI$1066,3,0),0)</f>
      </c>
      <c r="AQ403" s="217">
        <f>+IF(W403&gt;W402,AP403,AQ402+AP403)</f>
      </c>
      <c r="AR403" s="217">
        <f>+MAX($AM$2-SUMIF($W$7:$W$1066,W403,$AN$7:$AN$1066),0)</f>
      </c>
      <c r="AS403" s="748">
        <f>+MAX(IF(AQ403&gt;AR403,AR403-AQ402,AP403),0)</f>
      </c>
      <c r="AT403" s="748">
        <f>+AP403-AS403</f>
      </c>
      <c r="AU403" s="217">
        <f>+_xlfn.IFNA(VLOOKUP(AJ403,$AF$7:$AI$1066,4,0),0)</f>
      </c>
      <c r="AV403" s="217">
        <f>+IF(W403&gt;W402,AU403,AV402+AU403)</f>
      </c>
      <c r="AW403" s="217">
        <f>+MAX($AM$2-SUMIF($W$7:$W$1066,W403,$AN$7:$AN$1066)-SUMIF($W$7:$W$1066,W403,$AS$7:$AS$1066),0)</f>
      </c>
      <c r="AX403" s="748">
        <f>+MAX(IF(AV403&gt;AW403,AW403-AV402,AU403),0)</f>
      </c>
      <c r="AY403" s="748">
        <f>+AU403-AX403</f>
      </c>
      <c r="AZ403" s="331">
        <f>+$AM$1+IF($AP$1&gt;$AP$2,$AM$3/2)</f>
      </c>
    </row>
    <row x14ac:dyDescent="0.25" r="404" customHeight="1" ht="18.75">
      <c r="A404" s="1"/>
      <c r="B404" s="7"/>
      <c r="C404" s="170"/>
      <c r="D404" s="331">
        <v>397</v>
      </c>
      <c r="E404" s="544">
        <f>+DATE(YEAR(E403),MONTH(E403)-1,DAY(E403))</f>
        <v>25569.041666666668</v>
      </c>
      <c r="F404" s="333">
        <f>IF(DATE(YEAR($B$6),MONTH($B$6)+1,DAY(1))=E404,1,IF(MONTH(E404)=1,F405*(1+$F$5),F405))</f>
      </c>
      <c r="G404" s="333">
        <f>IF('Simulador - 1º Pilar'!$E$99="Sí",IF('Aportaciones PPE'!$B$13&lt;'Aportaciones PPE'!E404,0,F404*$B$8/12),F404*$B$8/12)</f>
      </c>
      <c r="H404" s="333">
        <f>$H$5*G404</f>
      </c>
      <c r="I404" s="333">
        <f>$I$5*G404</f>
      </c>
      <c r="J404" s="333">
        <f>+I404</f>
      </c>
      <c r="K404" s="333">
        <f>(1+$O$5)^(D404/12)*(H404+IF(AND(F404=1,F405=0),$S$4,0))</f>
      </c>
      <c r="L404" s="333">
        <f>(1+$O$5)^(D404/12)*(I404+IF(AND(F404=1,F405=0),0))</f>
      </c>
      <c r="M404" s="333">
        <f>+L404</f>
      </c>
      <c r="N404" s="333">
        <f>L404+K404+M404</f>
      </c>
      <c r="O404" s="170"/>
      <c r="P404" s="7"/>
      <c r="Q404" s="1"/>
      <c r="R404" s="331">
        <f>D404</f>
      </c>
      <c r="S404" s="169"/>
      <c r="T404" s="1"/>
      <c r="U404" s="217"/>
      <c r="V404" s="331">
        <f>+IF(V403=11,12,IF(V403=12,1,V403+1))</f>
      </c>
      <c r="W404" s="331">
        <f>+W403+IF(V403=12,1,0)</f>
      </c>
      <c r="X404" s="555">
        <f>+DATE(W404,V404,1)</f>
        <v>25569.041666666668</v>
      </c>
      <c r="Y404" s="333">
        <f>+_xlfn.IFNA(AN404+AS404+AX404,0)</f>
      </c>
      <c r="Z404" s="333">
        <f>+_xlfn.IFNA(AO404+AT404+AY404,0)</f>
      </c>
      <c r="AA404" s="333">
        <f>Y404*(1+$O$5)^(($B$7-X404)/365.25)</f>
      </c>
      <c r="AB404" s="333">
        <f>Z404*(1+$O$5)^(($B$7-X404)/365.25)</f>
      </c>
      <c r="AC404" s="1"/>
      <c r="AD404" s="1"/>
      <c r="AE404" s="1"/>
      <c r="AF404" s="111">
        <f>+MONTH(E404)&amp;YEAR(E404)</f>
      </c>
      <c r="AG404" s="217">
        <f>+I404</f>
      </c>
      <c r="AH404" s="217">
        <f>+J404</f>
      </c>
      <c r="AI404" s="217">
        <f>+H404</f>
      </c>
      <c r="AJ404" s="111">
        <f>+V404&amp;W404</f>
      </c>
      <c r="AK404" s="217">
        <f>+_xlfn.IFNA(VLOOKUP(AJ404,$AF$7:$AG$1066,2,0),0)</f>
      </c>
      <c r="AL404" s="217">
        <f>+IF(W404&gt;W403,AK404,AL403+AK404)</f>
      </c>
      <c r="AM404" s="217">
        <f>IF(W404&gt;W403,IF(AL404&gt;=$AZ$8,$AZ$8,AL404),IF(OR(AM403=$AZ$8,AM403=0),0,IF(AL404&gt;=$AZ$8,$AZ$8,AL404)))</f>
      </c>
      <c r="AN404" s="748">
        <f>+IF(OR(AM404&gt;AZ403,AM404=0),0,IF(AM404=AL404,AK404,$AZ$7-AL403))</f>
      </c>
      <c r="AO404" s="748">
        <f>+AK404-AN404</f>
      </c>
      <c r="AP404" s="217">
        <f>+_xlfn.IFNA(VLOOKUP(AJ404,$AF$7:$AI$1066,3,0),0)</f>
      </c>
      <c r="AQ404" s="217">
        <f>+IF(W404&gt;W403,AP404,AQ403+AP404)</f>
      </c>
      <c r="AR404" s="217">
        <f>+MAX($AM$2-SUMIF($W$7:$W$1066,W404,$AN$7:$AN$1066),0)</f>
      </c>
      <c r="AS404" s="748">
        <f>+MAX(IF(AQ404&gt;AR404,AR404-AQ403,AP404),0)</f>
      </c>
      <c r="AT404" s="748">
        <f>+AP404-AS404</f>
      </c>
      <c r="AU404" s="217">
        <f>+_xlfn.IFNA(VLOOKUP(AJ404,$AF$7:$AI$1066,4,0),0)</f>
      </c>
      <c r="AV404" s="217">
        <f>+IF(W404&gt;W403,AU404,AV403+AU404)</f>
      </c>
      <c r="AW404" s="217">
        <f>+MAX($AM$2-SUMIF($W$7:$W$1066,W404,$AN$7:$AN$1066)-SUMIF($W$7:$W$1066,W404,$AS$7:$AS$1066),0)</f>
      </c>
      <c r="AX404" s="748">
        <f>+MAX(IF(AV404&gt;AW404,AW404-AV403,AU404),0)</f>
      </c>
      <c r="AY404" s="748">
        <f>+AU404-AX404</f>
      </c>
      <c r="AZ404" s="331">
        <f>+$AM$1+IF($AP$1&gt;$AP$2,$AM$3/2)</f>
      </c>
    </row>
    <row x14ac:dyDescent="0.25" r="405" customHeight="1" ht="18.75">
      <c r="A405" s="1"/>
      <c r="B405" s="7"/>
      <c r="C405" s="170"/>
      <c r="D405" s="331">
        <v>398</v>
      </c>
      <c r="E405" s="544">
        <f>+DATE(YEAR(E404),MONTH(E404)-1,DAY(E404))</f>
        <v>25569.041666666668</v>
      </c>
      <c r="F405" s="333">
        <f>IF(DATE(YEAR($B$6),MONTH($B$6)+1,DAY(1))=E405,1,IF(MONTH(E405)=1,F406*(1+$F$5),F406))</f>
      </c>
      <c r="G405" s="333">
        <f>IF('Simulador - 1º Pilar'!$E$99="Sí",IF('Aportaciones PPE'!$B$13&lt;'Aportaciones PPE'!E405,0,F405*$B$8/12),F405*$B$8/12)</f>
      </c>
      <c r="H405" s="333">
        <f>$H$5*G405</f>
      </c>
      <c r="I405" s="333">
        <f>$I$5*G405</f>
      </c>
      <c r="J405" s="333">
        <f>+I405</f>
      </c>
      <c r="K405" s="333">
        <f>(1+$O$5)^(D405/12)*(H405+IF(AND(F405=1,F406=0),$S$4,0))</f>
      </c>
      <c r="L405" s="333">
        <f>(1+$O$5)^(D405/12)*(I405+IF(AND(F405=1,F406=0),0))</f>
      </c>
      <c r="M405" s="333">
        <f>+L405</f>
      </c>
      <c r="N405" s="333">
        <f>L405+K405+M405</f>
      </c>
      <c r="O405" s="170"/>
      <c r="P405" s="7"/>
      <c r="Q405" s="1"/>
      <c r="R405" s="331">
        <f>D405</f>
      </c>
      <c r="S405" s="169"/>
      <c r="T405" s="1"/>
      <c r="U405" s="217"/>
      <c r="V405" s="331">
        <f>+IF(V404=11,12,IF(V404=12,1,V404+1))</f>
      </c>
      <c r="W405" s="331">
        <f>+W404+IF(V404=12,1,0)</f>
      </c>
      <c r="X405" s="555">
        <f>+DATE(W405,V405,1)</f>
        <v>25569.041666666668</v>
      </c>
      <c r="Y405" s="333">
        <f>+_xlfn.IFNA(AN405+AS405+AX405,0)</f>
      </c>
      <c r="Z405" s="333">
        <f>+_xlfn.IFNA(AO405+AT405+AY405,0)</f>
      </c>
      <c r="AA405" s="333">
        <f>Y405*(1+$O$5)^(($B$7-X405)/365.25)</f>
      </c>
      <c r="AB405" s="333">
        <f>Z405*(1+$O$5)^(($B$7-X405)/365.25)</f>
      </c>
      <c r="AC405" s="1"/>
      <c r="AD405" s="1"/>
      <c r="AE405" s="1"/>
      <c r="AF405" s="111">
        <f>+MONTH(E405)&amp;YEAR(E405)</f>
      </c>
      <c r="AG405" s="217">
        <f>+I405</f>
      </c>
      <c r="AH405" s="217">
        <f>+J405</f>
      </c>
      <c r="AI405" s="217">
        <f>+H405</f>
      </c>
      <c r="AJ405" s="111">
        <f>+V405&amp;W405</f>
      </c>
      <c r="AK405" s="217">
        <f>+_xlfn.IFNA(VLOOKUP(AJ405,$AF$7:$AG$1066,2,0),0)</f>
      </c>
      <c r="AL405" s="217">
        <f>+IF(W405&gt;W404,AK405,AL404+AK405)</f>
      </c>
      <c r="AM405" s="217">
        <f>IF(W405&gt;W404,IF(AL405&gt;=$AZ$8,$AZ$8,AL405),IF(OR(AM404=$AZ$8,AM404=0),0,IF(AL405&gt;=$AZ$8,$AZ$8,AL405)))</f>
      </c>
      <c r="AN405" s="748">
        <f>+IF(OR(AM405&gt;AZ404,AM405=0),0,IF(AM405=AL405,AK405,$AZ$7-AL404))</f>
      </c>
      <c r="AO405" s="748">
        <f>+AK405-AN405</f>
      </c>
      <c r="AP405" s="217">
        <f>+_xlfn.IFNA(VLOOKUP(AJ405,$AF$7:$AI$1066,3,0),0)</f>
      </c>
      <c r="AQ405" s="217">
        <f>+IF(W405&gt;W404,AP405,AQ404+AP405)</f>
      </c>
      <c r="AR405" s="217">
        <f>+MAX($AM$2-SUMIF($W$7:$W$1066,W405,$AN$7:$AN$1066),0)</f>
      </c>
      <c r="AS405" s="748">
        <f>+MAX(IF(AQ405&gt;AR405,AR405-AQ404,AP405),0)</f>
      </c>
      <c r="AT405" s="748">
        <f>+AP405-AS405</f>
      </c>
      <c r="AU405" s="217">
        <f>+_xlfn.IFNA(VLOOKUP(AJ405,$AF$7:$AI$1066,4,0),0)</f>
      </c>
      <c r="AV405" s="217">
        <f>+IF(W405&gt;W404,AU405,AV404+AU405)</f>
      </c>
      <c r="AW405" s="217">
        <f>+MAX($AM$2-SUMIF($W$7:$W$1066,W405,$AN$7:$AN$1066)-SUMIF($W$7:$W$1066,W405,$AS$7:$AS$1066),0)</f>
      </c>
      <c r="AX405" s="748">
        <f>+MAX(IF(AV405&gt;AW405,AW405-AV404,AU405),0)</f>
      </c>
      <c r="AY405" s="748">
        <f>+AU405-AX405</f>
      </c>
      <c r="AZ405" s="331">
        <f>+$AM$1+IF($AP$1&gt;$AP$2,$AM$3/2)</f>
      </c>
    </row>
    <row x14ac:dyDescent="0.25" r="406" customHeight="1" ht="18.75">
      <c r="A406" s="1"/>
      <c r="B406" s="7"/>
      <c r="C406" s="170"/>
      <c r="D406" s="331">
        <v>399</v>
      </c>
      <c r="E406" s="544">
        <f>+DATE(YEAR(E405),MONTH(E405)-1,DAY(E405))</f>
        <v>25569.041666666668</v>
      </c>
      <c r="F406" s="333">
        <f>IF(DATE(YEAR($B$6),MONTH($B$6)+1,DAY(1))=E406,1,IF(MONTH(E406)=1,F407*(1+$F$5),F407))</f>
      </c>
      <c r="G406" s="333">
        <f>IF('Simulador - 1º Pilar'!$E$99="Sí",IF('Aportaciones PPE'!$B$13&lt;'Aportaciones PPE'!E406,0,F406*$B$8/12),F406*$B$8/12)</f>
      </c>
      <c r="H406" s="333">
        <f>$H$5*G406</f>
      </c>
      <c r="I406" s="333">
        <f>$I$5*G406</f>
      </c>
      <c r="J406" s="333">
        <f>+I406</f>
      </c>
      <c r="K406" s="333">
        <f>(1+$O$5)^(D406/12)*(H406+IF(AND(F406=1,F407=0),$S$4,0))</f>
      </c>
      <c r="L406" s="333">
        <f>(1+$O$5)^(D406/12)*(I406+IF(AND(F406=1,F407=0),0))</f>
      </c>
      <c r="M406" s="333">
        <f>+L406</f>
      </c>
      <c r="N406" s="333">
        <f>L406+K406+M406</f>
      </c>
      <c r="O406" s="170"/>
      <c r="P406" s="7"/>
      <c r="Q406" s="1"/>
      <c r="R406" s="331">
        <f>D406</f>
      </c>
      <c r="S406" s="169"/>
      <c r="T406" s="1"/>
      <c r="U406" s="217"/>
      <c r="V406" s="331">
        <f>+IF(V405=11,12,IF(V405=12,1,V405+1))</f>
      </c>
      <c r="W406" s="331">
        <f>+W405+IF(V405=12,1,0)</f>
      </c>
      <c r="X406" s="555">
        <f>+DATE(W406,V406,1)</f>
        <v>25569.041666666668</v>
      </c>
      <c r="Y406" s="333">
        <f>+_xlfn.IFNA(AN406+AS406+AX406,0)</f>
      </c>
      <c r="Z406" s="333">
        <f>+_xlfn.IFNA(AO406+AT406+AY406,0)</f>
      </c>
      <c r="AA406" s="333">
        <f>Y406*(1+$O$5)^(($B$7-X406)/365.25)</f>
      </c>
      <c r="AB406" s="333">
        <f>Z406*(1+$O$5)^(($B$7-X406)/365.25)</f>
      </c>
      <c r="AC406" s="1"/>
      <c r="AD406" s="1"/>
      <c r="AE406" s="1"/>
      <c r="AF406" s="111">
        <f>+MONTH(E406)&amp;YEAR(E406)</f>
      </c>
      <c r="AG406" s="217">
        <f>+I406</f>
      </c>
      <c r="AH406" s="217">
        <f>+J406</f>
      </c>
      <c r="AI406" s="217">
        <f>+H406</f>
      </c>
      <c r="AJ406" s="111">
        <f>+V406&amp;W406</f>
      </c>
      <c r="AK406" s="217">
        <f>+_xlfn.IFNA(VLOOKUP(AJ406,$AF$7:$AG$1066,2,0),0)</f>
      </c>
      <c r="AL406" s="217">
        <f>+IF(W406&gt;W405,AK406,AL405+AK406)</f>
      </c>
      <c r="AM406" s="217">
        <f>IF(W406&gt;W405,IF(AL406&gt;=$AZ$8,$AZ$8,AL406),IF(OR(AM405=$AZ$8,AM405=0),0,IF(AL406&gt;=$AZ$8,$AZ$8,AL406)))</f>
      </c>
      <c r="AN406" s="748">
        <f>+IF(OR(AM406&gt;AZ405,AM406=0),0,IF(AM406=AL406,AK406,$AZ$7-AL405))</f>
      </c>
      <c r="AO406" s="748">
        <f>+AK406-AN406</f>
      </c>
      <c r="AP406" s="217">
        <f>+_xlfn.IFNA(VLOOKUP(AJ406,$AF$7:$AI$1066,3,0),0)</f>
      </c>
      <c r="AQ406" s="217">
        <f>+IF(W406&gt;W405,AP406,AQ405+AP406)</f>
      </c>
      <c r="AR406" s="217">
        <f>+MAX($AM$2-SUMIF($W$7:$W$1066,W406,$AN$7:$AN$1066),0)</f>
      </c>
      <c r="AS406" s="748">
        <f>+MAX(IF(AQ406&gt;AR406,AR406-AQ405,AP406),0)</f>
      </c>
      <c r="AT406" s="748">
        <f>+AP406-AS406</f>
      </c>
      <c r="AU406" s="217">
        <f>+_xlfn.IFNA(VLOOKUP(AJ406,$AF$7:$AI$1066,4,0),0)</f>
      </c>
      <c r="AV406" s="217">
        <f>+IF(W406&gt;W405,AU406,AV405+AU406)</f>
      </c>
      <c r="AW406" s="217">
        <f>+MAX($AM$2-SUMIF($W$7:$W$1066,W406,$AN$7:$AN$1066)-SUMIF($W$7:$W$1066,W406,$AS$7:$AS$1066),0)</f>
      </c>
      <c r="AX406" s="748">
        <f>+MAX(IF(AV406&gt;AW406,AW406-AV405,AU406),0)</f>
      </c>
      <c r="AY406" s="748">
        <f>+AU406-AX406</f>
      </c>
      <c r="AZ406" s="331">
        <f>+$AM$1+IF($AP$1&gt;$AP$2,$AM$3/2)</f>
      </c>
    </row>
    <row x14ac:dyDescent="0.25" r="407" customHeight="1" ht="18.75">
      <c r="A407" s="1"/>
      <c r="B407" s="7"/>
      <c r="C407" s="170"/>
      <c r="D407" s="331">
        <v>400</v>
      </c>
      <c r="E407" s="544">
        <f>+DATE(YEAR(E406),MONTH(E406)-1,DAY(E406))</f>
        <v>25569.041666666668</v>
      </c>
      <c r="F407" s="333">
        <f>IF(DATE(YEAR($B$6),MONTH($B$6)+1,DAY(1))=E407,1,IF(MONTH(E407)=1,F408*(1+$F$5),F408))</f>
      </c>
      <c r="G407" s="333">
        <f>IF('Simulador - 1º Pilar'!$E$99="Sí",IF('Aportaciones PPE'!$B$13&lt;'Aportaciones PPE'!E407,0,F407*$B$8/12),F407*$B$8/12)</f>
      </c>
      <c r="H407" s="333">
        <f>$H$5*G407</f>
      </c>
      <c r="I407" s="333">
        <f>$I$5*G407</f>
      </c>
      <c r="J407" s="333">
        <f>+I407</f>
      </c>
      <c r="K407" s="333">
        <f>(1+$O$5)^(D407/12)*(H407+IF(AND(F407=1,F408=0),$S$4,0))</f>
      </c>
      <c r="L407" s="333">
        <f>(1+$O$5)^(D407/12)*(I407+IF(AND(F407=1,F408=0),0))</f>
      </c>
      <c r="M407" s="333">
        <f>+L407</f>
      </c>
      <c r="N407" s="333">
        <f>L407+K407+M407</f>
      </c>
      <c r="O407" s="170"/>
      <c r="P407" s="7"/>
      <c r="Q407" s="1"/>
      <c r="R407" s="331">
        <f>D407</f>
      </c>
      <c r="S407" s="169"/>
      <c r="T407" s="1"/>
      <c r="U407" s="217"/>
      <c r="V407" s="331">
        <f>+IF(V406=11,12,IF(V406=12,1,V406+1))</f>
      </c>
      <c r="W407" s="331">
        <f>+W406+IF(V406=12,1,0)</f>
      </c>
      <c r="X407" s="555">
        <f>+DATE(W407,V407,1)</f>
        <v>25569.041666666668</v>
      </c>
      <c r="Y407" s="333">
        <f>+_xlfn.IFNA(AN407+AS407+AX407,0)</f>
      </c>
      <c r="Z407" s="333">
        <f>+_xlfn.IFNA(AO407+AT407+AY407,0)</f>
      </c>
      <c r="AA407" s="333">
        <f>Y407*(1+$O$5)^(($B$7-X407)/365.25)</f>
      </c>
      <c r="AB407" s="333">
        <f>Z407*(1+$O$5)^(($B$7-X407)/365.25)</f>
      </c>
      <c r="AC407" s="1"/>
      <c r="AD407" s="1"/>
      <c r="AE407" s="1"/>
      <c r="AF407" s="111">
        <f>+MONTH(E407)&amp;YEAR(E407)</f>
      </c>
      <c r="AG407" s="217">
        <f>+I407</f>
      </c>
      <c r="AH407" s="217">
        <f>+J407</f>
      </c>
      <c r="AI407" s="217">
        <f>+H407</f>
      </c>
      <c r="AJ407" s="111">
        <f>+V407&amp;W407</f>
      </c>
      <c r="AK407" s="217">
        <f>+_xlfn.IFNA(VLOOKUP(AJ407,$AF$7:$AG$1066,2,0),0)</f>
      </c>
      <c r="AL407" s="217">
        <f>+IF(W407&gt;W406,AK407,AL406+AK407)</f>
      </c>
      <c r="AM407" s="217">
        <f>IF(W407&gt;W406,IF(AL407&gt;=$AZ$8,$AZ$8,AL407),IF(OR(AM406=$AZ$8,AM406=0),0,IF(AL407&gt;=$AZ$8,$AZ$8,AL407)))</f>
      </c>
      <c r="AN407" s="748">
        <f>+IF(OR(AM407&gt;AZ406,AM407=0),0,IF(AM407=AL407,AK407,$AZ$7-AL406))</f>
      </c>
      <c r="AO407" s="748">
        <f>+AK407-AN407</f>
      </c>
      <c r="AP407" s="217">
        <f>+_xlfn.IFNA(VLOOKUP(AJ407,$AF$7:$AI$1066,3,0),0)</f>
      </c>
      <c r="AQ407" s="217">
        <f>+IF(W407&gt;W406,AP407,AQ406+AP407)</f>
      </c>
      <c r="AR407" s="217">
        <f>+MAX($AM$2-SUMIF($W$7:$W$1066,W407,$AN$7:$AN$1066),0)</f>
      </c>
      <c r="AS407" s="748">
        <f>+MAX(IF(AQ407&gt;AR407,AR407-AQ406,AP407),0)</f>
      </c>
      <c r="AT407" s="748">
        <f>+AP407-AS407</f>
      </c>
      <c r="AU407" s="217">
        <f>+_xlfn.IFNA(VLOOKUP(AJ407,$AF$7:$AI$1066,4,0),0)</f>
      </c>
      <c r="AV407" s="217">
        <f>+IF(W407&gt;W406,AU407,AV406+AU407)</f>
      </c>
      <c r="AW407" s="217">
        <f>+MAX($AM$2-SUMIF($W$7:$W$1066,W407,$AN$7:$AN$1066)-SUMIF($W$7:$W$1066,W407,$AS$7:$AS$1066),0)</f>
      </c>
      <c r="AX407" s="748">
        <f>+MAX(IF(AV407&gt;AW407,AW407-AV406,AU407),0)</f>
      </c>
      <c r="AY407" s="748">
        <f>+AU407-AX407</f>
      </c>
      <c r="AZ407" s="331">
        <f>+$AM$1+IF($AP$1&gt;$AP$2,$AM$3/2)</f>
      </c>
    </row>
    <row x14ac:dyDescent="0.25" r="408" customHeight="1" ht="18.75">
      <c r="A408" s="1"/>
      <c r="B408" s="7"/>
      <c r="C408" s="170"/>
      <c r="D408" s="331">
        <v>401</v>
      </c>
      <c r="E408" s="544">
        <f>+DATE(YEAR(E407),MONTH(E407)-1,DAY(E407))</f>
        <v>25569.041666666668</v>
      </c>
      <c r="F408" s="333">
        <f>IF(DATE(YEAR($B$6),MONTH($B$6)+1,DAY(1))=E408,1,IF(MONTH(E408)=1,F409*(1+$F$5),F409))</f>
      </c>
      <c r="G408" s="333">
        <f>IF('Simulador - 1º Pilar'!$E$99="Sí",IF('Aportaciones PPE'!$B$13&lt;'Aportaciones PPE'!E408,0,F408*$B$8/12),F408*$B$8/12)</f>
      </c>
      <c r="H408" s="333">
        <f>$H$5*G408</f>
      </c>
      <c r="I408" s="333">
        <f>$I$5*G408</f>
      </c>
      <c r="J408" s="333">
        <f>+I408</f>
      </c>
      <c r="K408" s="333">
        <f>(1+$O$5)^(D408/12)*(H408+IF(AND(F408=1,F409=0),$S$4,0))</f>
      </c>
      <c r="L408" s="333">
        <f>(1+$O$5)^(D408/12)*(I408+IF(AND(F408=1,F409=0),0))</f>
      </c>
      <c r="M408" s="333">
        <f>+L408</f>
      </c>
      <c r="N408" s="333">
        <f>L408+K408+M408</f>
      </c>
      <c r="O408" s="170"/>
      <c r="P408" s="7"/>
      <c r="Q408" s="1"/>
      <c r="R408" s="331">
        <f>D408</f>
      </c>
      <c r="S408" s="169"/>
      <c r="T408" s="1"/>
      <c r="U408" s="217"/>
      <c r="V408" s="331">
        <f>+IF(V407=11,12,IF(V407=12,1,V407+1))</f>
      </c>
      <c r="W408" s="331">
        <f>+W407+IF(V407=12,1,0)</f>
      </c>
      <c r="X408" s="555">
        <f>+DATE(W408,V408,1)</f>
        <v>25569.041666666668</v>
      </c>
      <c r="Y408" s="333">
        <f>+_xlfn.IFNA(AN408+AS408+AX408,0)</f>
      </c>
      <c r="Z408" s="333">
        <f>+_xlfn.IFNA(AO408+AT408+AY408,0)</f>
      </c>
      <c r="AA408" s="333">
        <f>Y408*(1+$O$5)^(($B$7-X408)/365.25)</f>
      </c>
      <c r="AB408" s="333">
        <f>Z408*(1+$O$5)^(($B$7-X408)/365.25)</f>
      </c>
      <c r="AC408" s="1"/>
      <c r="AD408" s="1"/>
      <c r="AE408" s="1"/>
      <c r="AF408" s="111">
        <f>+MONTH(E408)&amp;YEAR(E408)</f>
      </c>
      <c r="AG408" s="217">
        <f>+I408</f>
      </c>
      <c r="AH408" s="217">
        <f>+J408</f>
      </c>
      <c r="AI408" s="217">
        <f>+H408</f>
      </c>
      <c r="AJ408" s="111">
        <f>+V408&amp;W408</f>
      </c>
      <c r="AK408" s="217">
        <f>+_xlfn.IFNA(VLOOKUP(AJ408,$AF$7:$AG$1066,2,0),0)</f>
      </c>
      <c r="AL408" s="217">
        <f>+IF(W408&gt;W407,AK408,AL407+AK408)</f>
      </c>
      <c r="AM408" s="217">
        <f>IF(W408&gt;W407,IF(AL408&gt;=$AZ$8,$AZ$8,AL408),IF(OR(AM407=$AZ$8,AM407=0),0,IF(AL408&gt;=$AZ$8,$AZ$8,AL408)))</f>
      </c>
      <c r="AN408" s="748">
        <f>+IF(OR(AM408&gt;AZ407,AM408=0),0,IF(AM408=AL408,AK408,$AZ$7-AL407))</f>
      </c>
      <c r="AO408" s="748">
        <f>+AK408-AN408</f>
      </c>
      <c r="AP408" s="217">
        <f>+_xlfn.IFNA(VLOOKUP(AJ408,$AF$7:$AI$1066,3,0),0)</f>
      </c>
      <c r="AQ408" s="217">
        <f>+IF(W408&gt;W407,AP408,AQ407+AP408)</f>
      </c>
      <c r="AR408" s="217">
        <f>+MAX($AM$2-SUMIF($W$7:$W$1066,W408,$AN$7:$AN$1066),0)</f>
      </c>
      <c r="AS408" s="748">
        <f>+MAX(IF(AQ408&gt;AR408,AR408-AQ407,AP408),0)</f>
      </c>
      <c r="AT408" s="748">
        <f>+AP408-AS408</f>
      </c>
      <c r="AU408" s="217">
        <f>+_xlfn.IFNA(VLOOKUP(AJ408,$AF$7:$AI$1066,4,0),0)</f>
      </c>
      <c r="AV408" s="217">
        <f>+IF(W408&gt;W407,AU408,AV407+AU408)</f>
      </c>
      <c r="AW408" s="217">
        <f>+MAX($AM$2-SUMIF($W$7:$W$1066,W408,$AN$7:$AN$1066)-SUMIF($W$7:$W$1066,W408,$AS$7:$AS$1066),0)</f>
      </c>
      <c r="AX408" s="748">
        <f>+MAX(IF(AV408&gt;AW408,AW408-AV407,AU408),0)</f>
      </c>
      <c r="AY408" s="748">
        <f>+AU408-AX408</f>
      </c>
      <c r="AZ408" s="331">
        <f>+$AM$1+IF($AP$1&gt;$AP$2,$AM$3/2)</f>
      </c>
    </row>
    <row x14ac:dyDescent="0.25" r="409" customHeight="1" ht="18.75">
      <c r="A409" s="1"/>
      <c r="B409" s="7"/>
      <c r="C409" s="170"/>
      <c r="D409" s="331">
        <v>402</v>
      </c>
      <c r="E409" s="544">
        <f>+DATE(YEAR(E408),MONTH(E408)-1,DAY(E408))</f>
        <v>25569.041666666668</v>
      </c>
      <c r="F409" s="333">
        <f>IF(DATE(YEAR($B$6),MONTH($B$6)+1,DAY(1))=E409,1,IF(MONTH(E409)=1,F410*(1+$F$5),F410))</f>
      </c>
      <c r="G409" s="333">
        <f>IF('Simulador - 1º Pilar'!$E$99="Sí",IF('Aportaciones PPE'!$B$13&lt;'Aportaciones PPE'!E409,0,F409*$B$8/12),F409*$B$8/12)</f>
      </c>
      <c r="H409" s="333">
        <f>$H$5*G409</f>
      </c>
      <c r="I409" s="333">
        <f>$I$5*G409</f>
      </c>
      <c r="J409" s="333">
        <f>+I409</f>
      </c>
      <c r="K409" s="333">
        <f>(1+$O$5)^(D409/12)*(H409+IF(AND(F409=1,F410=0),$S$4,0))</f>
      </c>
      <c r="L409" s="333">
        <f>(1+$O$5)^(D409/12)*(I409+IF(AND(F409=1,F410=0),0))</f>
      </c>
      <c r="M409" s="333">
        <f>+L409</f>
      </c>
      <c r="N409" s="333">
        <f>L409+K409+M409</f>
      </c>
      <c r="O409" s="170"/>
      <c r="P409" s="7"/>
      <c r="Q409" s="1"/>
      <c r="R409" s="331">
        <f>D409</f>
      </c>
      <c r="S409" s="169"/>
      <c r="T409" s="1"/>
      <c r="U409" s="217"/>
      <c r="V409" s="331">
        <f>+IF(V408=11,12,IF(V408=12,1,V408+1))</f>
      </c>
      <c r="W409" s="331">
        <f>+W408+IF(V408=12,1,0)</f>
      </c>
      <c r="X409" s="555">
        <f>+DATE(W409,V409,1)</f>
        <v>25569.041666666668</v>
      </c>
      <c r="Y409" s="333">
        <f>+_xlfn.IFNA(AN409+AS409+AX409,0)</f>
      </c>
      <c r="Z409" s="333">
        <f>+_xlfn.IFNA(AO409+AT409+AY409,0)</f>
      </c>
      <c r="AA409" s="333">
        <f>Y409*(1+$O$5)^(($B$7-X409)/365.25)</f>
      </c>
      <c r="AB409" s="333">
        <f>Z409*(1+$O$5)^(($B$7-X409)/365.25)</f>
      </c>
      <c r="AC409" s="1"/>
      <c r="AD409" s="1"/>
      <c r="AE409" s="1"/>
      <c r="AF409" s="111">
        <f>+MONTH(E409)&amp;YEAR(E409)</f>
      </c>
      <c r="AG409" s="217">
        <f>+I409</f>
      </c>
      <c r="AH409" s="217">
        <f>+J409</f>
      </c>
      <c r="AI409" s="217">
        <f>+H409</f>
      </c>
      <c r="AJ409" s="111">
        <f>+V409&amp;W409</f>
      </c>
      <c r="AK409" s="217">
        <f>+_xlfn.IFNA(VLOOKUP(AJ409,$AF$7:$AG$1066,2,0),0)</f>
      </c>
      <c r="AL409" s="217">
        <f>+IF(W409&gt;W408,AK409,AL408+AK409)</f>
      </c>
      <c r="AM409" s="217">
        <f>IF(W409&gt;W408,IF(AL409&gt;=$AZ$8,$AZ$8,AL409),IF(OR(AM408=$AZ$8,AM408=0),0,IF(AL409&gt;=$AZ$8,$AZ$8,AL409)))</f>
      </c>
      <c r="AN409" s="748">
        <f>+IF(OR(AM409&gt;AZ408,AM409=0),0,IF(AM409=AL409,AK409,$AZ$7-AL408))</f>
      </c>
      <c r="AO409" s="748">
        <f>+AK409-AN409</f>
      </c>
      <c r="AP409" s="217">
        <f>+_xlfn.IFNA(VLOOKUP(AJ409,$AF$7:$AI$1066,3,0),0)</f>
      </c>
      <c r="AQ409" s="217">
        <f>+IF(W409&gt;W408,AP409,AQ408+AP409)</f>
      </c>
      <c r="AR409" s="217">
        <f>+MAX($AM$2-SUMIF($W$7:$W$1066,W409,$AN$7:$AN$1066),0)</f>
      </c>
      <c r="AS409" s="748">
        <f>+MAX(IF(AQ409&gt;AR409,AR409-AQ408,AP409),0)</f>
      </c>
      <c r="AT409" s="748">
        <f>+AP409-AS409</f>
      </c>
      <c r="AU409" s="217">
        <f>+_xlfn.IFNA(VLOOKUP(AJ409,$AF$7:$AI$1066,4,0),0)</f>
      </c>
      <c r="AV409" s="217">
        <f>+IF(W409&gt;W408,AU409,AV408+AU409)</f>
      </c>
      <c r="AW409" s="217">
        <f>+MAX($AM$2-SUMIF($W$7:$W$1066,W409,$AN$7:$AN$1066)-SUMIF($W$7:$W$1066,W409,$AS$7:$AS$1066),0)</f>
      </c>
      <c r="AX409" s="748">
        <f>+MAX(IF(AV409&gt;AW409,AW409-AV408,AU409),0)</f>
      </c>
      <c r="AY409" s="748">
        <f>+AU409-AX409</f>
      </c>
      <c r="AZ409" s="331">
        <f>+$AM$1+IF($AP$1&gt;$AP$2,$AM$3/2)</f>
      </c>
    </row>
    <row x14ac:dyDescent="0.25" r="410" customHeight="1" ht="18.75">
      <c r="A410" s="1"/>
      <c r="B410" s="7"/>
      <c r="C410" s="170"/>
      <c r="D410" s="331">
        <v>403</v>
      </c>
      <c r="E410" s="544">
        <f>+DATE(YEAR(E409),MONTH(E409)-1,DAY(E409))</f>
        <v>25569.041666666668</v>
      </c>
      <c r="F410" s="333">
        <f>IF(DATE(YEAR($B$6),MONTH($B$6)+1,DAY(1))=E410,1,IF(MONTH(E410)=1,F411*(1+$F$5),F411))</f>
      </c>
      <c r="G410" s="333">
        <f>IF('Simulador - 1º Pilar'!$E$99="Sí",IF('Aportaciones PPE'!$B$13&lt;'Aportaciones PPE'!E410,0,F410*$B$8/12),F410*$B$8/12)</f>
      </c>
      <c r="H410" s="333">
        <f>$H$5*G410</f>
      </c>
      <c r="I410" s="333">
        <f>$I$5*G410</f>
      </c>
      <c r="J410" s="333">
        <f>+I410</f>
      </c>
      <c r="K410" s="333">
        <f>(1+$O$5)^(D410/12)*(H410+IF(AND(F410=1,F411=0),$S$4,0))</f>
      </c>
      <c r="L410" s="333">
        <f>(1+$O$5)^(D410/12)*(I410+IF(AND(F410=1,F411=0),0))</f>
      </c>
      <c r="M410" s="333">
        <f>+L410</f>
      </c>
      <c r="N410" s="333">
        <f>L410+K410+M410</f>
      </c>
      <c r="O410" s="170"/>
      <c r="P410" s="7"/>
      <c r="Q410" s="1"/>
      <c r="R410" s="331">
        <f>D410</f>
      </c>
      <c r="S410" s="169"/>
      <c r="T410" s="1"/>
      <c r="U410" s="217"/>
      <c r="V410" s="331">
        <f>+IF(V409=11,12,IF(V409=12,1,V409+1))</f>
      </c>
      <c r="W410" s="331">
        <f>+W409+IF(V409=12,1,0)</f>
      </c>
      <c r="X410" s="555">
        <f>+DATE(W410,V410,1)</f>
        <v>25569.041666666668</v>
      </c>
      <c r="Y410" s="333">
        <f>+_xlfn.IFNA(AN410+AS410+AX410,0)</f>
      </c>
      <c r="Z410" s="333">
        <f>+_xlfn.IFNA(AO410+AT410+AY410,0)</f>
      </c>
      <c r="AA410" s="333">
        <f>Y410*(1+$O$5)^(($B$7-X410)/365.25)</f>
      </c>
      <c r="AB410" s="333">
        <f>Z410*(1+$O$5)^(($B$7-X410)/365.25)</f>
      </c>
      <c r="AC410" s="1"/>
      <c r="AD410" s="1"/>
      <c r="AE410" s="1"/>
      <c r="AF410" s="111">
        <f>+MONTH(E410)&amp;YEAR(E410)</f>
      </c>
      <c r="AG410" s="217">
        <f>+I410</f>
      </c>
      <c r="AH410" s="217">
        <f>+J410</f>
      </c>
      <c r="AI410" s="217">
        <f>+H410</f>
      </c>
      <c r="AJ410" s="111">
        <f>+V410&amp;W410</f>
      </c>
      <c r="AK410" s="217">
        <f>+_xlfn.IFNA(VLOOKUP(AJ410,$AF$7:$AG$1066,2,0),0)</f>
      </c>
      <c r="AL410" s="217">
        <f>+IF(W410&gt;W409,AK410,AL409+AK410)</f>
      </c>
      <c r="AM410" s="217">
        <f>IF(W410&gt;W409,IF(AL410&gt;=$AZ$8,$AZ$8,AL410),IF(OR(AM409=$AZ$8,AM409=0),0,IF(AL410&gt;=$AZ$8,$AZ$8,AL410)))</f>
      </c>
      <c r="AN410" s="748">
        <f>+IF(OR(AM410&gt;AZ409,AM410=0),0,IF(AM410=AL410,AK410,$AZ$7-AL409))</f>
      </c>
      <c r="AO410" s="748">
        <f>+AK410-AN410</f>
      </c>
      <c r="AP410" s="217">
        <f>+_xlfn.IFNA(VLOOKUP(AJ410,$AF$7:$AI$1066,3,0),0)</f>
      </c>
      <c r="AQ410" s="217">
        <f>+IF(W410&gt;W409,AP410,AQ409+AP410)</f>
      </c>
      <c r="AR410" s="217">
        <f>+MAX($AM$2-SUMIF($W$7:$W$1066,W410,$AN$7:$AN$1066),0)</f>
      </c>
      <c r="AS410" s="748">
        <f>+MAX(IF(AQ410&gt;AR410,AR410-AQ409,AP410),0)</f>
      </c>
      <c r="AT410" s="748">
        <f>+AP410-AS410</f>
      </c>
      <c r="AU410" s="217">
        <f>+_xlfn.IFNA(VLOOKUP(AJ410,$AF$7:$AI$1066,4,0),0)</f>
      </c>
      <c r="AV410" s="217">
        <f>+IF(W410&gt;W409,AU410,AV409+AU410)</f>
      </c>
      <c r="AW410" s="217">
        <f>+MAX($AM$2-SUMIF($W$7:$W$1066,W410,$AN$7:$AN$1066)-SUMIF($W$7:$W$1066,W410,$AS$7:$AS$1066),0)</f>
      </c>
      <c r="AX410" s="748">
        <f>+MAX(IF(AV410&gt;AW410,AW410-AV409,AU410),0)</f>
      </c>
      <c r="AY410" s="748">
        <f>+AU410-AX410</f>
      </c>
      <c r="AZ410" s="331">
        <f>+$AM$1+IF($AP$1&gt;$AP$2,$AM$3/2)</f>
      </c>
    </row>
    <row x14ac:dyDescent="0.25" r="411" customHeight="1" ht="18.75">
      <c r="A411" s="1"/>
      <c r="B411" s="7"/>
      <c r="C411" s="170"/>
      <c r="D411" s="331">
        <v>404</v>
      </c>
      <c r="E411" s="544">
        <f>+DATE(YEAR(E410),MONTH(E410)-1,DAY(E410))</f>
        <v>25569.041666666668</v>
      </c>
      <c r="F411" s="333">
        <f>IF(DATE(YEAR($B$6),MONTH($B$6)+1,DAY(1))=E411,1,IF(MONTH(E411)=1,F412*(1+$F$5),F412))</f>
      </c>
      <c r="G411" s="333">
        <f>IF('Simulador - 1º Pilar'!$E$99="Sí",IF('Aportaciones PPE'!$B$13&lt;'Aportaciones PPE'!E411,0,F411*$B$8/12),F411*$B$8/12)</f>
      </c>
      <c r="H411" s="333">
        <f>$H$5*G411</f>
      </c>
      <c r="I411" s="333">
        <f>$I$5*G411</f>
      </c>
      <c r="J411" s="333">
        <f>+I411</f>
      </c>
      <c r="K411" s="333">
        <f>(1+$O$5)^(D411/12)*(H411+IF(AND(F411=1,F412=0),$S$4,0))</f>
      </c>
      <c r="L411" s="333">
        <f>(1+$O$5)^(D411/12)*(I411+IF(AND(F411=1,F412=0),0))</f>
      </c>
      <c r="M411" s="333">
        <f>+L411</f>
      </c>
      <c r="N411" s="333">
        <f>L411+K411+M411</f>
      </c>
      <c r="O411" s="170"/>
      <c r="P411" s="7"/>
      <c r="Q411" s="1"/>
      <c r="R411" s="331">
        <f>D411</f>
      </c>
      <c r="S411" s="169"/>
      <c r="T411" s="1"/>
      <c r="U411" s="217"/>
      <c r="V411" s="331">
        <f>+IF(V410=11,12,IF(V410=12,1,V410+1))</f>
      </c>
      <c r="W411" s="331">
        <f>+W410+IF(V410=12,1,0)</f>
      </c>
      <c r="X411" s="555">
        <f>+DATE(W411,V411,1)</f>
        <v>25569.041666666668</v>
      </c>
      <c r="Y411" s="333">
        <f>+_xlfn.IFNA(AN411+AS411+AX411,0)</f>
      </c>
      <c r="Z411" s="333">
        <f>+_xlfn.IFNA(AO411+AT411+AY411,0)</f>
      </c>
      <c r="AA411" s="333">
        <f>Y411*(1+$O$5)^(($B$7-X411)/365.25)</f>
      </c>
      <c r="AB411" s="333">
        <f>Z411*(1+$O$5)^(($B$7-X411)/365.25)</f>
      </c>
      <c r="AC411" s="1"/>
      <c r="AD411" s="1"/>
      <c r="AE411" s="1"/>
      <c r="AF411" s="111">
        <f>+MONTH(E411)&amp;YEAR(E411)</f>
      </c>
      <c r="AG411" s="217">
        <f>+I411</f>
      </c>
      <c r="AH411" s="217">
        <f>+J411</f>
      </c>
      <c r="AI411" s="217">
        <f>+H411</f>
      </c>
      <c r="AJ411" s="111">
        <f>+V411&amp;W411</f>
      </c>
      <c r="AK411" s="217">
        <f>+_xlfn.IFNA(VLOOKUP(AJ411,$AF$7:$AG$1066,2,0),0)</f>
      </c>
      <c r="AL411" s="217">
        <f>+IF(W411&gt;W410,AK411,AL410+AK411)</f>
      </c>
      <c r="AM411" s="217">
        <f>IF(W411&gt;W410,IF(AL411&gt;=$AZ$8,$AZ$8,AL411),IF(OR(AM410=$AZ$8,AM410=0),0,IF(AL411&gt;=$AZ$8,$AZ$8,AL411)))</f>
      </c>
      <c r="AN411" s="748">
        <f>+IF(OR(AM411&gt;AZ410,AM411=0),0,IF(AM411=AL411,AK411,$AZ$7-AL410))</f>
      </c>
      <c r="AO411" s="748">
        <f>+AK411-AN411</f>
      </c>
      <c r="AP411" s="217">
        <f>+_xlfn.IFNA(VLOOKUP(AJ411,$AF$7:$AI$1066,3,0),0)</f>
      </c>
      <c r="AQ411" s="217">
        <f>+IF(W411&gt;W410,AP411,AQ410+AP411)</f>
      </c>
      <c r="AR411" s="217">
        <f>+MAX($AM$2-SUMIF($W$7:$W$1066,W411,$AN$7:$AN$1066),0)</f>
      </c>
      <c r="AS411" s="748">
        <f>+MAX(IF(AQ411&gt;AR411,AR411-AQ410,AP411),0)</f>
      </c>
      <c r="AT411" s="748">
        <f>+AP411-AS411</f>
      </c>
      <c r="AU411" s="217">
        <f>+_xlfn.IFNA(VLOOKUP(AJ411,$AF$7:$AI$1066,4,0),0)</f>
      </c>
      <c r="AV411" s="217">
        <f>+IF(W411&gt;W410,AU411,AV410+AU411)</f>
      </c>
      <c r="AW411" s="217">
        <f>+MAX($AM$2-SUMIF($W$7:$W$1066,W411,$AN$7:$AN$1066)-SUMIF($W$7:$W$1066,W411,$AS$7:$AS$1066),0)</f>
      </c>
      <c r="AX411" s="748">
        <f>+MAX(IF(AV411&gt;AW411,AW411-AV410,AU411),0)</f>
      </c>
      <c r="AY411" s="748">
        <f>+AU411-AX411</f>
      </c>
      <c r="AZ411" s="331">
        <f>+$AM$1+IF($AP$1&gt;$AP$2,$AM$3/2)</f>
      </c>
    </row>
    <row x14ac:dyDescent="0.25" r="412" customHeight="1" ht="18.75">
      <c r="A412" s="1"/>
      <c r="B412" s="7"/>
      <c r="C412" s="170"/>
      <c r="D412" s="331">
        <v>405</v>
      </c>
      <c r="E412" s="544">
        <f>+DATE(YEAR(E411),MONTH(E411)-1,DAY(E411))</f>
        <v>25569.041666666668</v>
      </c>
      <c r="F412" s="333">
        <f>IF(DATE(YEAR($B$6),MONTH($B$6)+1,DAY(1))=E412,1,IF(MONTH(E412)=1,F413*(1+$F$5),F413))</f>
      </c>
      <c r="G412" s="333">
        <f>IF('Simulador - 1º Pilar'!$E$99="Sí",IF('Aportaciones PPE'!$B$13&lt;'Aportaciones PPE'!E412,0,F412*$B$8/12),F412*$B$8/12)</f>
      </c>
      <c r="H412" s="333">
        <f>$H$5*G412</f>
      </c>
      <c r="I412" s="333">
        <f>$I$5*G412</f>
      </c>
      <c r="J412" s="333">
        <f>+I412</f>
      </c>
      <c r="K412" s="333">
        <f>(1+$O$5)^(D412/12)*(H412+IF(AND(F412=1,F413=0),$S$4,0))</f>
      </c>
      <c r="L412" s="333">
        <f>(1+$O$5)^(D412/12)*(I412+IF(AND(F412=1,F413=0),0))</f>
      </c>
      <c r="M412" s="333">
        <f>+L412</f>
      </c>
      <c r="N412" s="333">
        <f>L412+K412+M412</f>
      </c>
      <c r="O412" s="170"/>
      <c r="P412" s="7"/>
      <c r="Q412" s="1"/>
      <c r="R412" s="331">
        <f>D412</f>
      </c>
      <c r="S412" s="169"/>
      <c r="T412" s="1"/>
      <c r="U412" s="217"/>
      <c r="V412" s="331">
        <f>+IF(V411=11,12,IF(V411=12,1,V411+1))</f>
      </c>
      <c r="W412" s="331">
        <f>+W411+IF(V411=12,1,0)</f>
      </c>
      <c r="X412" s="555">
        <f>+DATE(W412,V412,1)</f>
        <v>25569.041666666668</v>
      </c>
      <c r="Y412" s="333">
        <f>+_xlfn.IFNA(AN412+AS412+AX412,0)</f>
      </c>
      <c r="Z412" s="333">
        <f>+_xlfn.IFNA(AO412+AT412+AY412,0)</f>
      </c>
      <c r="AA412" s="333">
        <f>Y412*(1+$O$5)^(($B$7-X412)/365.25)</f>
      </c>
      <c r="AB412" s="333">
        <f>Z412*(1+$O$5)^(($B$7-X412)/365.25)</f>
      </c>
      <c r="AC412" s="1"/>
      <c r="AD412" s="1"/>
      <c r="AE412" s="1"/>
      <c r="AF412" s="111">
        <f>+MONTH(E412)&amp;YEAR(E412)</f>
      </c>
      <c r="AG412" s="217">
        <f>+I412</f>
      </c>
      <c r="AH412" s="217">
        <f>+J412</f>
      </c>
      <c r="AI412" s="217">
        <f>+H412</f>
      </c>
      <c r="AJ412" s="111">
        <f>+V412&amp;W412</f>
      </c>
      <c r="AK412" s="217">
        <f>+_xlfn.IFNA(VLOOKUP(AJ412,$AF$7:$AG$1066,2,0),0)</f>
      </c>
      <c r="AL412" s="217">
        <f>+IF(W412&gt;W411,AK412,AL411+AK412)</f>
      </c>
      <c r="AM412" s="217">
        <f>IF(W412&gt;W411,IF(AL412&gt;=$AZ$8,$AZ$8,AL412),IF(OR(AM411=$AZ$8,AM411=0),0,IF(AL412&gt;=$AZ$8,$AZ$8,AL412)))</f>
      </c>
      <c r="AN412" s="748">
        <f>+IF(OR(AM412&gt;AZ411,AM412=0),0,IF(AM412=AL412,AK412,$AZ$7-AL411))</f>
      </c>
      <c r="AO412" s="748">
        <f>+AK412-AN412</f>
      </c>
      <c r="AP412" s="217">
        <f>+_xlfn.IFNA(VLOOKUP(AJ412,$AF$7:$AI$1066,3,0),0)</f>
      </c>
      <c r="AQ412" s="217">
        <f>+IF(W412&gt;W411,AP412,AQ411+AP412)</f>
      </c>
      <c r="AR412" s="217">
        <f>+MAX($AM$2-SUMIF($W$7:$W$1066,W412,$AN$7:$AN$1066),0)</f>
      </c>
      <c r="AS412" s="748">
        <f>+MAX(IF(AQ412&gt;AR412,AR412-AQ411,AP412),0)</f>
      </c>
      <c r="AT412" s="748">
        <f>+AP412-AS412</f>
      </c>
      <c r="AU412" s="217">
        <f>+_xlfn.IFNA(VLOOKUP(AJ412,$AF$7:$AI$1066,4,0),0)</f>
      </c>
      <c r="AV412" s="217">
        <f>+IF(W412&gt;W411,AU412,AV411+AU412)</f>
      </c>
      <c r="AW412" s="217">
        <f>+MAX($AM$2-SUMIF($W$7:$W$1066,W412,$AN$7:$AN$1066)-SUMIF($W$7:$W$1066,W412,$AS$7:$AS$1066),0)</f>
      </c>
      <c r="AX412" s="748">
        <f>+MAX(IF(AV412&gt;AW412,AW412-AV411,AU412),0)</f>
      </c>
      <c r="AY412" s="748">
        <f>+AU412-AX412</f>
      </c>
      <c r="AZ412" s="331">
        <f>+$AM$1+IF($AP$1&gt;$AP$2,$AM$3/2)</f>
      </c>
    </row>
    <row x14ac:dyDescent="0.25" r="413" customHeight="1" ht="18.75">
      <c r="A413" s="1"/>
      <c r="B413" s="7"/>
      <c r="C413" s="170"/>
      <c r="D413" s="331">
        <v>406</v>
      </c>
      <c r="E413" s="544">
        <f>+DATE(YEAR(E412),MONTH(E412)-1,DAY(E412))</f>
        <v>25569.041666666668</v>
      </c>
      <c r="F413" s="333">
        <f>IF(DATE(YEAR($B$6),MONTH($B$6)+1,DAY(1))=E413,1,IF(MONTH(E413)=1,F414*(1+$F$5),F414))</f>
      </c>
      <c r="G413" s="333">
        <f>IF('Simulador - 1º Pilar'!$E$99="Sí",IF('Aportaciones PPE'!$B$13&lt;'Aportaciones PPE'!E413,0,F413*$B$8/12),F413*$B$8/12)</f>
      </c>
      <c r="H413" s="333">
        <f>$H$5*G413</f>
      </c>
      <c r="I413" s="333">
        <f>$I$5*G413</f>
      </c>
      <c r="J413" s="333">
        <f>+I413</f>
      </c>
      <c r="K413" s="333">
        <f>(1+$O$5)^(D413/12)*(H413+IF(AND(F413=1,F414=0),$S$4,0))</f>
      </c>
      <c r="L413" s="333">
        <f>(1+$O$5)^(D413/12)*(I413+IF(AND(F413=1,F414=0),0))</f>
      </c>
      <c r="M413" s="333">
        <f>+L413</f>
      </c>
      <c r="N413" s="333">
        <f>L413+K413+M413</f>
      </c>
      <c r="O413" s="170"/>
      <c r="P413" s="7"/>
      <c r="Q413" s="1"/>
      <c r="R413" s="331">
        <f>D413</f>
      </c>
      <c r="S413" s="169"/>
      <c r="T413" s="1"/>
      <c r="U413" s="217"/>
      <c r="V413" s="331">
        <f>+IF(V412=11,12,IF(V412=12,1,V412+1))</f>
      </c>
      <c r="W413" s="331">
        <f>+W412+IF(V412=12,1,0)</f>
      </c>
      <c r="X413" s="555">
        <f>+DATE(W413,V413,1)</f>
        <v>25569.041666666668</v>
      </c>
      <c r="Y413" s="333">
        <f>+_xlfn.IFNA(AN413+AS413+AX413,0)</f>
      </c>
      <c r="Z413" s="333">
        <f>+_xlfn.IFNA(AO413+AT413+AY413,0)</f>
      </c>
      <c r="AA413" s="333">
        <f>Y413*(1+$O$5)^(($B$7-X413)/365.25)</f>
      </c>
      <c r="AB413" s="333">
        <f>Z413*(1+$O$5)^(($B$7-X413)/365.25)</f>
      </c>
      <c r="AC413" s="1"/>
      <c r="AD413" s="1"/>
      <c r="AE413" s="1"/>
      <c r="AF413" s="111">
        <f>+MONTH(E413)&amp;YEAR(E413)</f>
      </c>
      <c r="AG413" s="217">
        <f>+I413</f>
      </c>
      <c r="AH413" s="217">
        <f>+J413</f>
      </c>
      <c r="AI413" s="217">
        <f>+H413</f>
      </c>
      <c r="AJ413" s="111">
        <f>+V413&amp;W413</f>
      </c>
      <c r="AK413" s="217">
        <f>+_xlfn.IFNA(VLOOKUP(AJ413,$AF$7:$AG$1066,2,0),0)</f>
      </c>
      <c r="AL413" s="217">
        <f>+IF(W413&gt;W412,AK413,AL412+AK413)</f>
      </c>
      <c r="AM413" s="217">
        <f>IF(W413&gt;W412,IF(AL413&gt;=$AZ$8,$AZ$8,AL413),IF(OR(AM412=$AZ$8,AM412=0),0,IF(AL413&gt;=$AZ$8,$AZ$8,AL413)))</f>
      </c>
      <c r="AN413" s="748">
        <f>+IF(OR(AM413&gt;AZ412,AM413=0),0,IF(AM413=AL413,AK413,$AZ$7-AL412))</f>
      </c>
      <c r="AO413" s="748">
        <f>+AK413-AN413</f>
      </c>
      <c r="AP413" s="217">
        <f>+_xlfn.IFNA(VLOOKUP(AJ413,$AF$7:$AI$1066,3,0),0)</f>
      </c>
      <c r="AQ413" s="217">
        <f>+IF(W413&gt;W412,AP413,AQ412+AP413)</f>
      </c>
      <c r="AR413" s="217">
        <f>+MAX($AM$2-SUMIF($W$7:$W$1066,W413,$AN$7:$AN$1066),0)</f>
      </c>
      <c r="AS413" s="748">
        <f>+MAX(IF(AQ413&gt;AR413,AR413-AQ412,AP413),0)</f>
      </c>
      <c r="AT413" s="748">
        <f>+AP413-AS413</f>
      </c>
      <c r="AU413" s="217">
        <f>+_xlfn.IFNA(VLOOKUP(AJ413,$AF$7:$AI$1066,4,0),0)</f>
      </c>
      <c r="AV413" s="217">
        <f>+IF(W413&gt;W412,AU413,AV412+AU413)</f>
      </c>
      <c r="AW413" s="217">
        <f>+MAX($AM$2-SUMIF($W$7:$W$1066,W413,$AN$7:$AN$1066)-SUMIF($W$7:$W$1066,W413,$AS$7:$AS$1066),0)</f>
      </c>
      <c r="AX413" s="748">
        <f>+MAX(IF(AV413&gt;AW413,AW413-AV412,AU413),0)</f>
      </c>
      <c r="AY413" s="748">
        <f>+AU413-AX413</f>
      </c>
      <c r="AZ413" s="331">
        <f>+$AM$1+IF($AP$1&gt;$AP$2,$AM$3/2)</f>
      </c>
    </row>
    <row x14ac:dyDescent="0.25" r="414" customHeight="1" ht="18.75">
      <c r="A414" s="1"/>
      <c r="B414" s="7"/>
      <c r="C414" s="170"/>
      <c r="D414" s="331">
        <v>407</v>
      </c>
      <c r="E414" s="544">
        <f>+DATE(YEAR(E413),MONTH(E413)-1,DAY(E413))</f>
        <v>25569.041666666668</v>
      </c>
      <c r="F414" s="333">
        <f>IF(DATE(YEAR($B$6),MONTH($B$6)+1,DAY(1))=E414,1,IF(MONTH(E414)=1,F415*(1+$F$5),F415))</f>
      </c>
      <c r="G414" s="333">
        <f>IF('Simulador - 1º Pilar'!$E$99="Sí",IF('Aportaciones PPE'!$B$13&lt;'Aportaciones PPE'!E414,0,F414*$B$8/12),F414*$B$8/12)</f>
      </c>
      <c r="H414" s="333">
        <f>$H$5*G414</f>
      </c>
      <c r="I414" s="333">
        <f>$I$5*G414</f>
      </c>
      <c r="J414" s="333">
        <f>+I414</f>
      </c>
      <c r="K414" s="333">
        <f>(1+$O$5)^(D414/12)*(H414+IF(AND(F414=1,F415=0),$S$4,0))</f>
      </c>
      <c r="L414" s="333">
        <f>(1+$O$5)^(D414/12)*(I414+IF(AND(F414=1,F415=0),0))</f>
      </c>
      <c r="M414" s="333">
        <f>+L414</f>
      </c>
      <c r="N414" s="333">
        <f>L414+K414+M414</f>
      </c>
      <c r="O414" s="170"/>
      <c r="P414" s="7"/>
      <c r="Q414" s="1"/>
      <c r="R414" s="331">
        <f>D414</f>
      </c>
      <c r="S414" s="169"/>
      <c r="T414" s="1"/>
      <c r="U414" s="217"/>
      <c r="V414" s="331">
        <f>+IF(V413=11,12,IF(V413=12,1,V413+1))</f>
      </c>
      <c r="W414" s="331">
        <f>+W413+IF(V413=12,1,0)</f>
      </c>
      <c r="X414" s="555">
        <f>+DATE(W414,V414,1)</f>
        <v>25569.041666666668</v>
      </c>
      <c r="Y414" s="333">
        <f>+_xlfn.IFNA(AN414+AS414+AX414,0)</f>
      </c>
      <c r="Z414" s="333">
        <f>+_xlfn.IFNA(AO414+AT414+AY414,0)</f>
      </c>
      <c r="AA414" s="333">
        <f>Y414*(1+$O$5)^(($B$7-X414)/365.25)</f>
      </c>
      <c r="AB414" s="333">
        <f>Z414*(1+$O$5)^(($B$7-X414)/365.25)</f>
      </c>
      <c r="AC414" s="1"/>
      <c r="AD414" s="1"/>
      <c r="AE414" s="1"/>
      <c r="AF414" s="111">
        <f>+MONTH(E414)&amp;YEAR(E414)</f>
      </c>
      <c r="AG414" s="217">
        <f>+I414</f>
      </c>
      <c r="AH414" s="217">
        <f>+J414</f>
      </c>
      <c r="AI414" s="217">
        <f>+H414</f>
      </c>
      <c r="AJ414" s="111">
        <f>+V414&amp;W414</f>
      </c>
      <c r="AK414" s="217">
        <f>+_xlfn.IFNA(VLOOKUP(AJ414,$AF$7:$AG$1066,2,0),0)</f>
      </c>
      <c r="AL414" s="217">
        <f>+IF(W414&gt;W413,AK414,AL413+AK414)</f>
      </c>
      <c r="AM414" s="217">
        <f>IF(W414&gt;W413,IF(AL414&gt;=$AZ$8,$AZ$8,AL414),IF(OR(AM413=$AZ$8,AM413=0),0,IF(AL414&gt;=$AZ$8,$AZ$8,AL414)))</f>
      </c>
      <c r="AN414" s="748">
        <f>+IF(OR(AM414&gt;AZ413,AM414=0),0,IF(AM414=AL414,AK414,$AZ$7-AL413))</f>
      </c>
      <c r="AO414" s="748">
        <f>+AK414-AN414</f>
      </c>
      <c r="AP414" s="217">
        <f>+_xlfn.IFNA(VLOOKUP(AJ414,$AF$7:$AI$1066,3,0),0)</f>
      </c>
      <c r="AQ414" s="217">
        <f>+IF(W414&gt;W413,AP414,AQ413+AP414)</f>
      </c>
      <c r="AR414" s="217">
        <f>+MAX($AM$2-SUMIF($W$7:$W$1066,W414,$AN$7:$AN$1066),0)</f>
      </c>
      <c r="AS414" s="748">
        <f>+MAX(IF(AQ414&gt;AR414,AR414-AQ413,AP414),0)</f>
      </c>
      <c r="AT414" s="748">
        <f>+AP414-AS414</f>
      </c>
      <c r="AU414" s="217">
        <f>+_xlfn.IFNA(VLOOKUP(AJ414,$AF$7:$AI$1066,4,0),0)</f>
      </c>
      <c r="AV414" s="217">
        <f>+IF(W414&gt;W413,AU414,AV413+AU414)</f>
      </c>
      <c r="AW414" s="217">
        <f>+MAX($AM$2-SUMIF($W$7:$W$1066,W414,$AN$7:$AN$1066)-SUMIF($W$7:$W$1066,W414,$AS$7:$AS$1066),0)</f>
      </c>
      <c r="AX414" s="748">
        <f>+MAX(IF(AV414&gt;AW414,AW414-AV413,AU414),0)</f>
      </c>
      <c r="AY414" s="748">
        <f>+AU414-AX414</f>
      </c>
      <c r="AZ414" s="331">
        <f>+$AM$1+IF($AP$1&gt;$AP$2,$AM$3/2)</f>
      </c>
    </row>
    <row x14ac:dyDescent="0.25" r="415" customHeight="1" ht="18.75">
      <c r="A415" s="1"/>
      <c r="B415" s="7"/>
      <c r="C415" s="170"/>
      <c r="D415" s="331">
        <v>408</v>
      </c>
      <c r="E415" s="544">
        <f>+DATE(YEAR(E414),MONTH(E414)-1,DAY(E414))</f>
        <v>25569.041666666668</v>
      </c>
      <c r="F415" s="333">
        <f>IF(DATE(YEAR($B$6),MONTH($B$6)+1,DAY(1))=E415,1,IF(MONTH(E415)=1,F416*(1+$F$5),F416))</f>
      </c>
      <c r="G415" s="333">
        <f>IF('Simulador - 1º Pilar'!$E$99="Sí",IF('Aportaciones PPE'!$B$13&lt;'Aportaciones PPE'!E415,0,F415*$B$8/12),F415*$B$8/12)</f>
      </c>
      <c r="H415" s="333">
        <f>$H$5*G415</f>
      </c>
      <c r="I415" s="333">
        <f>$I$5*G415</f>
      </c>
      <c r="J415" s="333">
        <f>+I415</f>
      </c>
      <c r="K415" s="333">
        <f>(1+$O$5)^(D415/12)*(H415+IF(AND(F415=1,F416=0),$S$4,0))</f>
      </c>
      <c r="L415" s="333">
        <f>(1+$O$5)^(D415/12)*(I415+IF(AND(F415=1,F416=0),0))</f>
      </c>
      <c r="M415" s="333">
        <f>+L415</f>
      </c>
      <c r="N415" s="333">
        <f>L415+K415+M415</f>
      </c>
      <c r="O415" s="170"/>
      <c r="P415" s="7"/>
      <c r="Q415" s="1"/>
      <c r="R415" s="331">
        <f>D415</f>
      </c>
      <c r="S415" s="169"/>
      <c r="T415" s="1"/>
      <c r="U415" s="217"/>
      <c r="V415" s="331">
        <f>+IF(V414=11,12,IF(V414=12,1,V414+1))</f>
      </c>
      <c r="W415" s="331">
        <f>+W414+IF(V414=12,1,0)</f>
      </c>
      <c r="X415" s="555">
        <f>+DATE(W415,V415,1)</f>
        <v>25569.041666666668</v>
      </c>
      <c r="Y415" s="333">
        <f>+_xlfn.IFNA(AN415+AS415+AX415,0)</f>
      </c>
      <c r="Z415" s="333">
        <f>+_xlfn.IFNA(AO415+AT415+AY415,0)</f>
      </c>
      <c r="AA415" s="333">
        <f>Y415*(1+$O$5)^(($B$7-X415)/365.25)</f>
      </c>
      <c r="AB415" s="333">
        <f>Z415*(1+$O$5)^(($B$7-X415)/365.25)</f>
      </c>
      <c r="AC415" s="1"/>
      <c r="AD415" s="1"/>
      <c r="AE415" s="1"/>
      <c r="AF415" s="111">
        <f>+MONTH(E415)&amp;YEAR(E415)</f>
      </c>
      <c r="AG415" s="217">
        <f>+I415</f>
      </c>
      <c r="AH415" s="217">
        <f>+J415</f>
      </c>
      <c r="AI415" s="217">
        <f>+H415</f>
      </c>
      <c r="AJ415" s="111">
        <f>+V415&amp;W415</f>
      </c>
      <c r="AK415" s="217">
        <f>+_xlfn.IFNA(VLOOKUP(AJ415,$AF$7:$AG$1066,2,0),0)</f>
      </c>
      <c r="AL415" s="217">
        <f>+IF(W415&gt;W414,AK415,AL414+AK415)</f>
      </c>
      <c r="AM415" s="217">
        <f>IF(W415&gt;W414,IF(AL415&gt;=$AZ$8,$AZ$8,AL415),IF(OR(AM414=$AZ$8,AM414=0),0,IF(AL415&gt;=$AZ$8,$AZ$8,AL415)))</f>
      </c>
      <c r="AN415" s="748">
        <f>+IF(OR(AM415&gt;AZ414,AM415=0),0,IF(AM415=AL415,AK415,$AZ$7-AL414))</f>
      </c>
      <c r="AO415" s="748">
        <f>+AK415-AN415</f>
      </c>
      <c r="AP415" s="217">
        <f>+_xlfn.IFNA(VLOOKUP(AJ415,$AF$7:$AI$1066,3,0),0)</f>
      </c>
      <c r="AQ415" s="217">
        <f>+IF(W415&gt;W414,AP415,AQ414+AP415)</f>
      </c>
      <c r="AR415" s="217">
        <f>+MAX($AM$2-SUMIF($W$7:$W$1066,W415,$AN$7:$AN$1066),0)</f>
      </c>
      <c r="AS415" s="748">
        <f>+MAX(IF(AQ415&gt;AR415,AR415-AQ414,AP415),0)</f>
      </c>
      <c r="AT415" s="748">
        <f>+AP415-AS415</f>
      </c>
      <c r="AU415" s="217">
        <f>+_xlfn.IFNA(VLOOKUP(AJ415,$AF$7:$AI$1066,4,0),0)</f>
      </c>
      <c r="AV415" s="217">
        <f>+IF(W415&gt;W414,AU415,AV414+AU415)</f>
      </c>
      <c r="AW415" s="217">
        <f>+MAX($AM$2-SUMIF($W$7:$W$1066,W415,$AN$7:$AN$1066)-SUMIF($W$7:$W$1066,W415,$AS$7:$AS$1066),0)</f>
      </c>
      <c r="AX415" s="748">
        <f>+MAX(IF(AV415&gt;AW415,AW415-AV414,AU415),0)</f>
      </c>
      <c r="AY415" s="748">
        <f>+AU415-AX415</f>
      </c>
      <c r="AZ415" s="331">
        <f>+$AM$1+IF($AP$1&gt;$AP$2,$AM$3/2)</f>
      </c>
    </row>
    <row x14ac:dyDescent="0.25" r="416" customHeight="1" ht="18.75">
      <c r="A416" s="1"/>
      <c r="B416" s="7"/>
      <c r="C416" s="170"/>
      <c r="D416" s="331">
        <v>409</v>
      </c>
      <c r="E416" s="544">
        <f>+DATE(YEAR(E415),MONTH(E415)-1,DAY(E415))</f>
        <v>25569.041666666668</v>
      </c>
      <c r="F416" s="333">
        <f>IF(DATE(YEAR($B$6),MONTH($B$6)+1,DAY(1))=E416,1,IF(MONTH(E416)=1,F417*(1+$F$5),F417))</f>
      </c>
      <c r="G416" s="333">
        <f>IF('Simulador - 1º Pilar'!$E$99="Sí",IF('Aportaciones PPE'!$B$13&lt;'Aportaciones PPE'!E416,0,F416*$B$8/12),F416*$B$8/12)</f>
      </c>
      <c r="H416" s="333">
        <f>$H$5*G416</f>
      </c>
      <c r="I416" s="333">
        <f>$I$5*G416</f>
      </c>
      <c r="J416" s="333">
        <f>+I416</f>
      </c>
      <c r="K416" s="333">
        <f>(1+$O$5)^(D416/12)*(H416+IF(AND(F416=1,F417=0),$S$4,0))</f>
      </c>
      <c r="L416" s="333">
        <f>(1+$O$5)^(D416/12)*(I416+IF(AND(F416=1,F417=0),0))</f>
      </c>
      <c r="M416" s="333">
        <f>+L416</f>
      </c>
      <c r="N416" s="333">
        <f>L416+K416+M416</f>
      </c>
      <c r="O416" s="170"/>
      <c r="P416" s="7"/>
      <c r="Q416" s="1"/>
      <c r="R416" s="331">
        <f>D416</f>
      </c>
      <c r="S416" s="169"/>
      <c r="T416" s="1"/>
      <c r="U416" s="217"/>
      <c r="V416" s="331">
        <f>+IF(V415=11,12,IF(V415=12,1,V415+1))</f>
      </c>
      <c r="W416" s="331">
        <f>+W415+IF(V415=12,1,0)</f>
      </c>
      <c r="X416" s="555">
        <f>+DATE(W416,V416,1)</f>
        <v>25569.041666666668</v>
      </c>
      <c r="Y416" s="333">
        <f>+_xlfn.IFNA(AN416+AS416+AX416,0)</f>
      </c>
      <c r="Z416" s="333">
        <f>+_xlfn.IFNA(AO416+AT416+AY416,0)</f>
      </c>
      <c r="AA416" s="333">
        <f>Y416*(1+$O$5)^(($B$7-X416)/365.25)</f>
      </c>
      <c r="AB416" s="333">
        <f>Z416*(1+$O$5)^(($B$7-X416)/365.25)</f>
      </c>
      <c r="AC416" s="1"/>
      <c r="AD416" s="1"/>
      <c r="AE416" s="1"/>
      <c r="AF416" s="111">
        <f>+MONTH(E416)&amp;YEAR(E416)</f>
      </c>
      <c r="AG416" s="217">
        <f>+I416</f>
      </c>
      <c r="AH416" s="217">
        <f>+J416</f>
      </c>
      <c r="AI416" s="217">
        <f>+H416</f>
      </c>
      <c r="AJ416" s="111">
        <f>+V416&amp;W416</f>
      </c>
      <c r="AK416" s="217">
        <f>+_xlfn.IFNA(VLOOKUP(AJ416,$AF$7:$AG$1066,2,0),0)</f>
      </c>
      <c r="AL416" s="217">
        <f>+IF(W416&gt;W415,AK416,AL415+AK416)</f>
      </c>
      <c r="AM416" s="217">
        <f>IF(W416&gt;W415,IF(AL416&gt;=$AZ$8,$AZ$8,AL416),IF(OR(AM415=$AZ$8,AM415=0),0,IF(AL416&gt;=$AZ$8,$AZ$8,AL416)))</f>
      </c>
      <c r="AN416" s="748">
        <f>+IF(OR(AM416&gt;AZ415,AM416=0),0,IF(AM416=AL416,AK416,$AZ$7-AL415))</f>
      </c>
      <c r="AO416" s="748">
        <f>+AK416-AN416</f>
      </c>
      <c r="AP416" s="217">
        <f>+_xlfn.IFNA(VLOOKUP(AJ416,$AF$7:$AI$1066,3,0),0)</f>
      </c>
      <c r="AQ416" s="217">
        <f>+IF(W416&gt;W415,AP416,AQ415+AP416)</f>
      </c>
      <c r="AR416" s="217">
        <f>+MAX($AM$2-SUMIF($W$7:$W$1066,W416,$AN$7:$AN$1066),0)</f>
      </c>
      <c r="AS416" s="748">
        <f>+MAX(IF(AQ416&gt;AR416,AR416-AQ415,AP416),0)</f>
      </c>
      <c r="AT416" s="748">
        <f>+AP416-AS416</f>
      </c>
      <c r="AU416" s="217">
        <f>+_xlfn.IFNA(VLOOKUP(AJ416,$AF$7:$AI$1066,4,0),0)</f>
      </c>
      <c r="AV416" s="217">
        <f>+IF(W416&gt;W415,AU416,AV415+AU416)</f>
      </c>
      <c r="AW416" s="217">
        <f>+MAX($AM$2-SUMIF($W$7:$W$1066,W416,$AN$7:$AN$1066)-SUMIF($W$7:$W$1066,W416,$AS$7:$AS$1066),0)</f>
      </c>
      <c r="AX416" s="748">
        <f>+MAX(IF(AV416&gt;AW416,AW416-AV415,AU416),0)</f>
      </c>
      <c r="AY416" s="748">
        <f>+AU416-AX416</f>
      </c>
      <c r="AZ416" s="331">
        <f>+$AM$1+IF($AP$1&gt;$AP$2,$AM$3/2)</f>
      </c>
    </row>
    <row x14ac:dyDescent="0.25" r="417" customHeight="1" ht="18.75">
      <c r="A417" s="1"/>
      <c r="B417" s="7"/>
      <c r="C417" s="170"/>
      <c r="D417" s="331">
        <v>410</v>
      </c>
      <c r="E417" s="544">
        <f>+DATE(YEAR(E416),MONTH(E416)-1,DAY(E416))</f>
        <v>25569.041666666668</v>
      </c>
      <c r="F417" s="333">
        <f>IF(DATE(YEAR($B$6),MONTH($B$6)+1,DAY(1))=E417,1,IF(MONTH(E417)=1,F418*(1+$F$5),F418))</f>
      </c>
      <c r="G417" s="333">
        <f>IF('Simulador - 1º Pilar'!$E$99="Sí",IF('Aportaciones PPE'!$B$13&lt;'Aportaciones PPE'!E417,0,F417*$B$8/12),F417*$B$8/12)</f>
      </c>
      <c r="H417" s="333">
        <f>$H$5*G417</f>
      </c>
      <c r="I417" s="333">
        <f>$I$5*G417</f>
      </c>
      <c r="J417" s="333">
        <f>+I417</f>
      </c>
      <c r="K417" s="333">
        <f>(1+$O$5)^(D417/12)*(H417+IF(AND(F417=1,F418=0),$S$4,0))</f>
      </c>
      <c r="L417" s="333">
        <f>(1+$O$5)^(D417/12)*(I417+IF(AND(F417=1,F418=0),0))</f>
      </c>
      <c r="M417" s="333">
        <f>+L417</f>
      </c>
      <c r="N417" s="333">
        <f>L417+K417+M417</f>
      </c>
      <c r="O417" s="170"/>
      <c r="P417" s="7"/>
      <c r="Q417" s="1"/>
      <c r="R417" s="331">
        <f>D417</f>
      </c>
      <c r="S417" s="169"/>
      <c r="T417" s="1"/>
      <c r="U417" s="217"/>
      <c r="V417" s="331">
        <f>+IF(V416=11,12,IF(V416=12,1,V416+1))</f>
      </c>
      <c r="W417" s="331">
        <f>+W416+IF(V416=12,1,0)</f>
      </c>
      <c r="X417" s="555">
        <f>+DATE(W417,V417,1)</f>
        <v>25569.041666666668</v>
      </c>
      <c r="Y417" s="333">
        <f>+_xlfn.IFNA(AN417+AS417+AX417,0)</f>
      </c>
      <c r="Z417" s="333">
        <f>+_xlfn.IFNA(AO417+AT417+AY417,0)</f>
      </c>
      <c r="AA417" s="333">
        <f>Y417*(1+$O$5)^(($B$7-X417)/365.25)</f>
      </c>
      <c r="AB417" s="333">
        <f>Z417*(1+$O$5)^(($B$7-X417)/365.25)</f>
      </c>
      <c r="AC417" s="1"/>
      <c r="AD417" s="1"/>
      <c r="AE417" s="1"/>
      <c r="AF417" s="111">
        <f>+MONTH(E417)&amp;YEAR(E417)</f>
      </c>
      <c r="AG417" s="217">
        <f>+I417</f>
      </c>
      <c r="AH417" s="217">
        <f>+J417</f>
      </c>
      <c r="AI417" s="217">
        <f>+H417</f>
      </c>
      <c r="AJ417" s="111">
        <f>+V417&amp;W417</f>
      </c>
      <c r="AK417" s="217">
        <f>+_xlfn.IFNA(VLOOKUP(AJ417,$AF$7:$AG$1066,2,0),0)</f>
      </c>
      <c r="AL417" s="217">
        <f>+IF(W417&gt;W416,AK417,AL416+AK417)</f>
      </c>
      <c r="AM417" s="217">
        <f>IF(W417&gt;W416,IF(AL417&gt;=$AZ$8,$AZ$8,AL417),IF(OR(AM416=$AZ$8,AM416=0),0,IF(AL417&gt;=$AZ$8,$AZ$8,AL417)))</f>
      </c>
      <c r="AN417" s="748">
        <f>+IF(OR(AM417&gt;AZ416,AM417=0),0,IF(AM417=AL417,AK417,$AZ$7-AL416))</f>
      </c>
      <c r="AO417" s="748">
        <f>+AK417-AN417</f>
      </c>
      <c r="AP417" s="217">
        <f>+_xlfn.IFNA(VLOOKUP(AJ417,$AF$7:$AI$1066,3,0),0)</f>
      </c>
      <c r="AQ417" s="217">
        <f>+IF(W417&gt;W416,AP417,AQ416+AP417)</f>
      </c>
      <c r="AR417" s="217">
        <f>+MAX($AM$2-SUMIF($W$7:$W$1066,W417,$AN$7:$AN$1066),0)</f>
      </c>
      <c r="AS417" s="748">
        <f>+MAX(IF(AQ417&gt;AR417,AR417-AQ416,AP417),0)</f>
      </c>
      <c r="AT417" s="748">
        <f>+AP417-AS417</f>
      </c>
      <c r="AU417" s="217">
        <f>+_xlfn.IFNA(VLOOKUP(AJ417,$AF$7:$AI$1066,4,0),0)</f>
      </c>
      <c r="AV417" s="217">
        <f>+IF(W417&gt;W416,AU417,AV416+AU417)</f>
      </c>
      <c r="AW417" s="217">
        <f>+MAX($AM$2-SUMIF($W$7:$W$1066,W417,$AN$7:$AN$1066)-SUMIF($W$7:$W$1066,W417,$AS$7:$AS$1066),0)</f>
      </c>
      <c r="AX417" s="748">
        <f>+MAX(IF(AV417&gt;AW417,AW417-AV416,AU417),0)</f>
      </c>
      <c r="AY417" s="748">
        <f>+AU417-AX417</f>
      </c>
      <c r="AZ417" s="331">
        <f>+$AM$1+IF($AP$1&gt;$AP$2,$AM$3/2)</f>
      </c>
    </row>
    <row x14ac:dyDescent="0.25" r="418" customHeight="1" ht="18.75">
      <c r="A418" s="1"/>
      <c r="B418" s="7"/>
      <c r="C418" s="170"/>
      <c r="D418" s="331">
        <v>411</v>
      </c>
      <c r="E418" s="544">
        <f>+DATE(YEAR(E417),MONTH(E417)-1,DAY(E417))</f>
        <v>25569.041666666668</v>
      </c>
      <c r="F418" s="333">
        <f>IF(DATE(YEAR($B$6),MONTH($B$6)+1,DAY(1))=E418,1,IF(MONTH(E418)=1,F419*(1+$F$5),F419))</f>
      </c>
      <c r="G418" s="333">
        <f>IF('Simulador - 1º Pilar'!$E$99="Sí",IF('Aportaciones PPE'!$B$13&lt;'Aportaciones PPE'!E418,0,F418*$B$8/12),F418*$B$8/12)</f>
      </c>
      <c r="H418" s="333">
        <f>$H$5*G418</f>
      </c>
      <c r="I418" s="333">
        <f>$I$5*G418</f>
      </c>
      <c r="J418" s="333">
        <f>+I418</f>
      </c>
      <c r="K418" s="333">
        <f>(1+$O$5)^(D418/12)*(H418+IF(AND(F418=1,F419=0),$S$4,0))</f>
      </c>
      <c r="L418" s="333">
        <f>(1+$O$5)^(D418/12)*(I418+IF(AND(F418=1,F419=0),0))</f>
      </c>
      <c r="M418" s="333">
        <f>+L418</f>
      </c>
      <c r="N418" s="333">
        <f>L418+K418+M418</f>
      </c>
      <c r="O418" s="170"/>
      <c r="P418" s="7"/>
      <c r="Q418" s="1"/>
      <c r="R418" s="331">
        <f>D418</f>
      </c>
      <c r="S418" s="169"/>
      <c r="T418" s="1"/>
      <c r="U418" s="217"/>
      <c r="V418" s="331">
        <f>+IF(V417=11,12,IF(V417=12,1,V417+1))</f>
      </c>
      <c r="W418" s="331">
        <f>+W417+IF(V417=12,1,0)</f>
      </c>
      <c r="X418" s="555">
        <f>+DATE(W418,V418,1)</f>
        <v>25569.041666666668</v>
      </c>
      <c r="Y418" s="333">
        <f>+_xlfn.IFNA(AN418+AS418+AX418,0)</f>
      </c>
      <c r="Z418" s="333">
        <f>+_xlfn.IFNA(AO418+AT418+AY418,0)</f>
      </c>
      <c r="AA418" s="333">
        <f>Y418*(1+$O$5)^(($B$7-X418)/365.25)</f>
      </c>
      <c r="AB418" s="333">
        <f>Z418*(1+$O$5)^(($B$7-X418)/365.25)</f>
      </c>
      <c r="AC418" s="1"/>
      <c r="AD418" s="1"/>
      <c r="AE418" s="1"/>
      <c r="AF418" s="111">
        <f>+MONTH(E418)&amp;YEAR(E418)</f>
      </c>
      <c r="AG418" s="217">
        <f>+I418</f>
      </c>
      <c r="AH418" s="217">
        <f>+J418</f>
      </c>
      <c r="AI418" s="217">
        <f>+H418</f>
      </c>
      <c r="AJ418" s="111">
        <f>+V418&amp;W418</f>
      </c>
      <c r="AK418" s="217">
        <f>+_xlfn.IFNA(VLOOKUP(AJ418,$AF$7:$AG$1066,2,0),0)</f>
      </c>
      <c r="AL418" s="217">
        <f>+IF(W418&gt;W417,AK418,AL417+AK418)</f>
      </c>
      <c r="AM418" s="217">
        <f>IF(W418&gt;W417,IF(AL418&gt;=$AZ$8,$AZ$8,AL418),IF(OR(AM417=$AZ$8,AM417=0),0,IF(AL418&gt;=$AZ$8,$AZ$8,AL418)))</f>
      </c>
      <c r="AN418" s="748">
        <f>+IF(OR(AM418&gt;AZ417,AM418=0),0,IF(AM418=AL418,AK418,$AZ$7-AL417))</f>
      </c>
      <c r="AO418" s="748">
        <f>+AK418-AN418</f>
      </c>
      <c r="AP418" s="217">
        <f>+_xlfn.IFNA(VLOOKUP(AJ418,$AF$7:$AI$1066,3,0),0)</f>
      </c>
      <c r="AQ418" s="217">
        <f>+IF(W418&gt;W417,AP418,AQ417+AP418)</f>
      </c>
      <c r="AR418" s="217">
        <f>+MAX($AM$2-SUMIF($W$7:$W$1066,W418,$AN$7:$AN$1066),0)</f>
      </c>
      <c r="AS418" s="748">
        <f>+MAX(IF(AQ418&gt;AR418,AR418-AQ417,AP418),0)</f>
      </c>
      <c r="AT418" s="748">
        <f>+AP418-AS418</f>
      </c>
      <c r="AU418" s="217">
        <f>+_xlfn.IFNA(VLOOKUP(AJ418,$AF$7:$AI$1066,4,0),0)</f>
      </c>
      <c r="AV418" s="217">
        <f>+IF(W418&gt;W417,AU418,AV417+AU418)</f>
      </c>
      <c r="AW418" s="217">
        <f>+MAX($AM$2-SUMIF($W$7:$W$1066,W418,$AN$7:$AN$1066)-SUMIF($W$7:$W$1066,W418,$AS$7:$AS$1066),0)</f>
      </c>
      <c r="AX418" s="748">
        <f>+MAX(IF(AV418&gt;AW418,AW418-AV417,AU418),0)</f>
      </c>
      <c r="AY418" s="748">
        <f>+AU418-AX418</f>
      </c>
      <c r="AZ418" s="331">
        <f>+$AM$1+IF($AP$1&gt;$AP$2,$AM$3/2)</f>
      </c>
    </row>
    <row x14ac:dyDescent="0.25" r="419" customHeight="1" ht="18.75">
      <c r="A419" s="1"/>
      <c r="B419" s="7"/>
      <c r="C419" s="170"/>
      <c r="D419" s="331">
        <v>412</v>
      </c>
      <c r="E419" s="544">
        <f>+DATE(YEAR(E418),MONTH(E418)-1,DAY(E418))</f>
        <v>25569.041666666668</v>
      </c>
      <c r="F419" s="333">
        <f>IF(DATE(YEAR($B$6),MONTH($B$6)+1,DAY(1))=E419,1,IF(MONTH(E419)=1,F420*(1+$F$5),F420))</f>
      </c>
      <c r="G419" s="333">
        <f>IF('Simulador - 1º Pilar'!$E$99="Sí",IF('Aportaciones PPE'!$B$13&lt;'Aportaciones PPE'!E419,0,F419*$B$8/12),F419*$B$8/12)</f>
      </c>
      <c r="H419" s="333">
        <f>$H$5*G419</f>
      </c>
      <c r="I419" s="333">
        <f>$I$5*G419</f>
      </c>
      <c r="J419" s="333">
        <f>+I419</f>
      </c>
      <c r="K419" s="333">
        <f>(1+$O$5)^(D419/12)*(H419+IF(AND(F419=1,F420=0),$S$4,0))</f>
      </c>
      <c r="L419" s="333">
        <f>(1+$O$5)^(D419/12)*(I419+IF(AND(F419=1,F420=0),0))</f>
      </c>
      <c r="M419" s="333">
        <f>+L419</f>
      </c>
      <c r="N419" s="333">
        <f>L419+K419+M419</f>
      </c>
      <c r="O419" s="170"/>
      <c r="P419" s="7"/>
      <c r="Q419" s="1"/>
      <c r="R419" s="331">
        <f>D419</f>
      </c>
      <c r="S419" s="169"/>
      <c r="T419" s="1"/>
      <c r="U419" s="217"/>
      <c r="V419" s="331">
        <f>+IF(V418=11,12,IF(V418=12,1,V418+1))</f>
      </c>
      <c r="W419" s="331">
        <f>+W418+IF(V418=12,1,0)</f>
      </c>
      <c r="X419" s="555">
        <f>+DATE(W419,V419,1)</f>
        <v>25569.041666666668</v>
      </c>
      <c r="Y419" s="333">
        <f>+_xlfn.IFNA(AN419+AS419+AX419,0)</f>
      </c>
      <c r="Z419" s="333">
        <f>+_xlfn.IFNA(AO419+AT419+AY419,0)</f>
      </c>
      <c r="AA419" s="333">
        <f>Y419*(1+$O$5)^(($B$7-X419)/365.25)</f>
      </c>
      <c r="AB419" s="333">
        <f>Z419*(1+$O$5)^(($B$7-X419)/365.25)</f>
      </c>
      <c r="AC419" s="1"/>
      <c r="AD419" s="1"/>
      <c r="AE419" s="1"/>
      <c r="AF419" s="111">
        <f>+MONTH(E419)&amp;YEAR(E419)</f>
      </c>
      <c r="AG419" s="217">
        <f>+I419</f>
      </c>
      <c r="AH419" s="217">
        <f>+J419</f>
      </c>
      <c r="AI419" s="217">
        <f>+H419</f>
      </c>
      <c r="AJ419" s="111">
        <f>+V419&amp;W419</f>
      </c>
      <c r="AK419" s="217">
        <f>+_xlfn.IFNA(VLOOKUP(AJ419,$AF$7:$AG$1066,2,0),0)</f>
      </c>
      <c r="AL419" s="217">
        <f>+IF(W419&gt;W418,AK419,AL418+AK419)</f>
      </c>
      <c r="AM419" s="217">
        <f>IF(W419&gt;W418,IF(AL419&gt;=$AZ$8,$AZ$8,AL419),IF(OR(AM418=$AZ$8,AM418=0),0,IF(AL419&gt;=$AZ$8,$AZ$8,AL419)))</f>
      </c>
      <c r="AN419" s="748">
        <f>+IF(OR(AM419&gt;AZ418,AM419=0),0,IF(AM419=AL419,AK419,$AZ$7-AL418))</f>
      </c>
      <c r="AO419" s="748">
        <f>+AK419-AN419</f>
      </c>
      <c r="AP419" s="217">
        <f>+_xlfn.IFNA(VLOOKUP(AJ419,$AF$7:$AI$1066,3,0),0)</f>
      </c>
      <c r="AQ419" s="217">
        <f>+IF(W419&gt;W418,AP419,AQ418+AP419)</f>
      </c>
      <c r="AR419" s="217">
        <f>+MAX($AM$2-SUMIF($W$7:$W$1066,W419,$AN$7:$AN$1066),0)</f>
      </c>
      <c r="AS419" s="748">
        <f>+MAX(IF(AQ419&gt;AR419,AR419-AQ418,AP419),0)</f>
      </c>
      <c r="AT419" s="748">
        <f>+AP419-AS419</f>
      </c>
      <c r="AU419" s="217">
        <f>+_xlfn.IFNA(VLOOKUP(AJ419,$AF$7:$AI$1066,4,0),0)</f>
      </c>
      <c r="AV419" s="217">
        <f>+IF(W419&gt;W418,AU419,AV418+AU419)</f>
      </c>
      <c r="AW419" s="217">
        <f>+MAX($AM$2-SUMIF($W$7:$W$1066,W419,$AN$7:$AN$1066)-SUMIF($W$7:$W$1066,W419,$AS$7:$AS$1066),0)</f>
      </c>
      <c r="AX419" s="748">
        <f>+MAX(IF(AV419&gt;AW419,AW419-AV418,AU419),0)</f>
      </c>
      <c r="AY419" s="748">
        <f>+AU419-AX419</f>
      </c>
      <c r="AZ419" s="331">
        <f>+$AM$1+IF($AP$1&gt;$AP$2,$AM$3/2)</f>
      </c>
    </row>
    <row x14ac:dyDescent="0.25" r="420" customHeight="1" ht="18.75">
      <c r="A420" s="1"/>
      <c r="B420" s="7"/>
      <c r="C420" s="170"/>
      <c r="D420" s="331">
        <v>413</v>
      </c>
      <c r="E420" s="544">
        <f>+DATE(YEAR(E419),MONTH(E419)-1,DAY(E419))</f>
        <v>25569.041666666668</v>
      </c>
      <c r="F420" s="333">
        <f>IF(DATE(YEAR($B$6),MONTH($B$6)+1,DAY(1))=E420,1,IF(MONTH(E420)=1,F421*(1+$F$5),F421))</f>
      </c>
      <c r="G420" s="333">
        <f>IF('Simulador - 1º Pilar'!$E$99="Sí",IF('Aportaciones PPE'!$B$13&lt;'Aportaciones PPE'!E420,0,F420*$B$8/12),F420*$B$8/12)</f>
      </c>
      <c r="H420" s="333">
        <f>$H$5*G420</f>
      </c>
      <c r="I420" s="333">
        <f>$I$5*G420</f>
      </c>
      <c r="J420" s="333">
        <f>+I420</f>
      </c>
      <c r="K420" s="333">
        <f>(1+$O$5)^(D420/12)*(H420+IF(AND(F420=1,F421=0),$S$4,0))</f>
      </c>
      <c r="L420" s="333">
        <f>(1+$O$5)^(D420/12)*(I420+IF(AND(F420=1,F421=0),0))</f>
      </c>
      <c r="M420" s="333">
        <f>+L420</f>
      </c>
      <c r="N420" s="333">
        <f>L420+K420+M420</f>
      </c>
      <c r="O420" s="170"/>
      <c r="P420" s="7"/>
      <c r="Q420" s="1"/>
      <c r="R420" s="331">
        <f>D420</f>
      </c>
      <c r="S420" s="169"/>
      <c r="T420" s="1"/>
      <c r="U420" s="217"/>
      <c r="V420" s="331">
        <f>+IF(V419=11,12,IF(V419=12,1,V419+1))</f>
      </c>
      <c r="W420" s="331">
        <f>+W419+IF(V419=12,1,0)</f>
      </c>
      <c r="X420" s="555">
        <f>+DATE(W420,V420,1)</f>
        <v>25569.041666666668</v>
      </c>
      <c r="Y420" s="333">
        <f>+_xlfn.IFNA(AN420+AS420+AX420,0)</f>
      </c>
      <c r="Z420" s="333">
        <f>+_xlfn.IFNA(AO420+AT420+AY420,0)</f>
      </c>
      <c r="AA420" s="333">
        <f>Y420*(1+$O$5)^(($B$7-X420)/365.25)</f>
      </c>
      <c r="AB420" s="333">
        <f>Z420*(1+$O$5)^(($B$7-X420)/365.25)</f>
      </c>
      <c r="AC420" s="1"/>
      <c r="AD420" s="1"/>
      <c r="AE420" s="1"/>
      <c r="AF420" s="111">
        <f>+MONTH(E420)&amp;YEAR(E420)</f>
      </c>
      <c r="AG420" s="217">
        <f>+I420</f>
      </c>
      <c r="AH420" s="217">
        <f>+J420</f>
      </c>
      <c r="AI420" s="217">
        <f>+H420</f>
      </c>
      <c r="AJ420" s="111">
        <f>+V420&amp;W420</f>
      </c>
      <c r="AK420" s="217">
        <f>+_xlfn.IFNA(VLOOKUP(AJ420,$AF$7:$AG$1066,2,0),0)</f>
      </c>
      <c r="AL420" s="217">
        <f>+IF(W420&gt;W419,AK420,AL419+AK420)</f>
      </c>
      <c r="AM420" s="217">
        <f>IF(W420&gt;W419,IF(AL420&gt;=$AZ$8,$AZ$8,AL420),IF(OR(AM419=$AZ$8,AM419=0),0,IF(AL420&gt;=$AZ$8,$AZ$8,AL420)))</f>
      </c>
      <c r="AN420" s="748">
        <f>+IF(OR(AM420&gt;AZ419,AM420=0),0,IF(AM420=AL420,AK420,$AZ$7-AL419))</f>
      </c>
      <c r="AO420" s="748">
        <f>+AK420-AN420</f>
      </c>
      <c r="AP420" s="217">
        <f>+_xlfn.IFNA(VLOOKUP(AJ420,$AF$7:$AI$1066,3,0),0)</f>
      </c>
      <c r="AQ420" s="217">
        <f>+IF(W420&gt;W419,AP420,AQ419+AP420)</f>
      </c>
      <c r="AR420" s="217">
        <f>+MAX($AM$2-SUMIF($W$7:$W$1066,W420,$AN$7:$AN$1066),0)</f>
      </c>
      <c r="AS420" s="748">
        <f>+MAX(IF(AQ420&gt;AR420,AR420-AQ419,AP420),0)</f>
      </c>
      <c r="AT420" s="748">
        <f>+AP420-AS420</f>
      </c>
      <c r="AU420" s="217">
        <f>+_xlfn.IFNA(VLOOKUP(AJ420,$AF$7:$AI$1066,4,0),0)</f>
      </c>
      <c r="AV420" s="217">
        <f>+IF(W420&gt;W419,AU420,AV419+AU420)</f>
      </c>
      <c r="AW420" s="217">
        <f>+MAX($AM$2-SUMIF($W$7:$W$1066,W420,$AN$7:$AN$1066)-SUMIF($W$7:$W$1066,W420,$AS$7:$AS$1066),0)</f>
      </c>
      <c r="AX420" s="748">
        <f>+MAX(IF(AV420&gt;AW420,AW420-AV419,AU420),0)</f>
      </c>
      <c r="AY420" s="748">
        <f>+AU420-AX420</f>
      </c>
      <c r="AZ420" s="331">
        <f>+$AM$1+IF($AP$1&gt;$AP$2,$AM$3/2)</f>
      </c>
    </row>
    <row x14ac:dyDescent="0.25" r="421" customHeight="1" ht="18.75">
      <c r="A421" s="1"/>
      <c r="B421" s="7"/>
      <c r="C421" s="170"/>
      <c r="D421" s="331">
        <v>414</v>
      </c>
      <c r="E421" s="544">
        <f>+DATE(YEAR(E420),MONTH(E420)-1,DAY(E420))</f>
        <v>25569.041666666668</v>
      </c>
      <c r="F421" s="333">
        <f>IF(DATE(YEAR($B$6),MONTH($B$6)+1,DAY(1))=E421,1,IF(MONTH(E421)=1,F422*(1+$F$5),F422))</f>
      </c>
      <c r="G421" s="333">
        <f>IF('Simulador - 1º Pilar'!$E$99="Sí",IF('Aportaciones PPE'!$B$13&lt;'Aportaciones PPE'!E421,0,F421*$B$8/12),F421*$B$8/12)</f>
      </c>
      <c r="H421" s="333">
        <f>$H$5*G421</f>
      </c>
      <c r="I421" s="333">
        <f>$I$5*G421</f>
      </c>
      <c r="J421" s="333">
        <f>+I421</f>
      </c>
      <c r="K421" s="333">
        <f>(1+$O$5)^(D421/12)*(H421+IF(AND(F421=1,F422=0),$S$4,0))</f>
      </c>
      <c r="L421" s="333">
        <f>(1+$O$5)^(D421/12)*(I421+IF(AND(F421=1,F422=0),0))</f>
      </c>
      <c r="M421" s="333">
        <f>+L421</f>
      </c>
      <c r="N421" s="333">
        <f>L421+K421+M421</f>
      </c>
      <c r="O421" s="170"/>
      <c r="P421" s="7"/>
      <c r="Q421" s="1"/>
      <c r="R421" s="331">
        <f>D421</f>
      </c>
      <c r="S421" s="169"/>
      <c r="T421" s="1"/>
      <c r="U421" s="217"/>
      <c r="V421" s="331">
        <f>+IF(V420=11,12,IF(V420=12,1,V420+1))</f>
      </c>
      <c r="W421" s="331">
        <f>+W420+IF(V420=12,1,0)</f>
      </c>
      <c r="X421" s="555">
        <f>+DATE(W421,V421,1)</f>
        <v>25569.041666666668</v>
      </c>
      <c r="Y421" s="333">
        <f>+_xlfn.IFNA(AN421+AS421+AX421,0)</f>
      </c>
      <c r="Z421" s="333">
        <f>+_xlfn.IFNA(AO421+AT421+AY421,0)</f>
      </c>
      <c r="AA421" s="333">
        <f>Y421*(1+$O$5)^(($B$7-X421)/365.25)</f>
      </c>
      <c r="AB421" s="333">
        <f>Z421*(1+$O$5)^(($B$7-X421)/365.25)</f>
      </c>
      <c r="AC421" s="1"/>
      <c r="AD421" s="1"/>
      <c r="AE421" s="1"/>
      <c r="AF421" s="111">
        <f>+MONTH(E421)&amp;YEAR(E421)</f>
      </c>
      <c r="AG421" s="217">
        <f>+I421</f>
      </c>
      <c r="AH421" s="217">
        <f>+J421</f>
      </c>
      <c r="AI421" s="217">
        <f>+H421</f>
      </c>
      <c r="AJ421" s="111">
        <f>+V421&amp;W421</f>
      </c>
      <c r="AK421" s="217">
        <f>+_xlfn.IFNA(VLOOKUP(AJ421,$AF$7:$AG$1066,2,0),0)</f>
      </c>
      <c r="AL421" s="217">
        <f>+IF(W421&gt;W420,AK421,AL420+AK421)</f>
      </c>
      <c r="AM421" s="217">
        <f>IF(W421&gt;W420,IF(AL421&gt;=$AZ$8,$AZ$8,AL421),IF(OR(AM420=$AZ$8,AM420=0),0,IF(AL421&gt;=$AZ$8,$AZ$8,AL421)))</f>
      </c>
      <c r="AN421" s="748">
        <f>+IF(OR(AM421&gt;AZ420,AM421=0),0,IF(AM421=AL421,AK421,$AZ$7-AL420))</f>
      </c>
      <c r="AO421" s="748">
        <f>+AK421-AN421</f>
      </c>
      <c r="AP421" s="217">
        <f>+_xlfn.IFNA(VLOOKUP(AJ421,$AF$7:$AI$1066,3,0),0)</f>
      </c>
      <c r="AQ421" s="217">
        <f>+IF(W421&gt;W420,AP421,AQ420+AP421)</f>
      </c>
      <c r="AR421" s="217">
        <f>+MAX($AM$2-SUMIF($W$7:$W$1066,W421,$AN$7:$AN$1066),0)</f>
      </c>
      <c r="AS421" s="748">
        <f>+MAX(IF(AQ421&gt;AR421,AR421-AQ420,AP421),0)</f>
      </c>
      <c r="AT421" s="748">
        <f>+AP421-AS421</f>
      </c>
      <c r="AU421" s="217">
        <f>+_xlfn.IFNA(VLOOKUP(AJ421,$AF$7:$AI$1066,4,0),0)</f>
      </c>
      <c r="AV421" s="217">
        <f>+IF(W421&gt;W420,AU421,AV420+AU421)</f>
      </c>
      <c r="AW421" s="217">
        <f>+MAX($AM$2-SUMIF($W$7:$W$1066,W421,$AN$7:$AN$1066)-SUMIF($W$7:$W$1066,W421,$AS$7:$AS$1066),0)</f>
      </c>
      <c r="AX421" s="748">
        <f>+MAX(IF(AV421&gt;AW421,AW421-AV420,AU421),0)</f>
      </c>
      <c r="AY421" s="748">
        <f>+AU421-AX421</f>
      </c>
      <c r="AZ421" s="331">
        <f>+$AM$1+IF($AP$1&gt;$AP$2,$AM$3/2)</f>
      </c>
    </row>
    <row x14ac:dyDescent="0.25" r="422" customHeight="1" ht="18.75">
      <c r="A422" s="1"/>
      <c r="B422" s="7"/>
      <c r="C422" s="170"/>
      <c r="D422" s="331">
        <v>415</v>
      </c>
      <c r="E422" s="544">
        <f>+DATE(YEAR(E421),MONTH(E421)-1,DAY(E421))</f>
        <v>25569.041666666668</v>
      </c>
      <c r="F422" s="333">
        <f>IF(DATE(YEAR($B$6),MONTH($B$6)+1,DAY(1))=E422,1,IF(MONTH(E422)=1,F423*(1+$F$5),F423))</f>
      </c>
      <c r="G422" s="333">
        <f>IF('Simulador - 1º Pilar'!$E$99="Sí",IF('Aportaciones PPE'!$B$13&lt;'Aportaciones PPE'!E422,0,F422*$B$8/12),F422*$B$8/12)</f>
      </c>
      <c r="H422" s="333">
        <f>$H$5*G422</f>
      </c>
      <c r="I422" s="333">
        <f>$I$5*G422</f>
      </c>
      <c r="J422" s="333">
        <f>+I422</f>
      </c>
      <c r="K422" s="333">
        <f>(1+$O$5)^(D422/12)*(H422+IF(AND(F422=1,F423=0),$S$4,0))</f>
      </c>
      <c r="L422" s="333">
        <f>(1+$O$5)^(D422/12)*(I422+IF(AND(F422=1,F423=0),0))</f>
      </c>
      <c r="M422" s="333">
        <f>+L422</f>
      </c>
      <c r="N422" s="333">
        <f>L422+K422+M422</f>
      </c>
      <c r="O422" s="170"/>
      <c r="P422" s="7"/>
      <c r="Q422" s="1"/>
      <c r="R422" s="331">
        <f>D422</f>
      </c>
      <c r="S422" s="169"/>
      <c r="T422" s="1"/>
      <c r="U422" s="217"/>
      <c r="V422" s="331">
        <f>+IF(V421=11,12,IF(V421=12,1,V421+1))</f>
      </c>
      <c r="W422" s="331">
        <f>+W421+IF(V421=12,1,0)</f>
      </c>
      <c r="X422" s="555">
        <f>+DATE(W422,V422,1)</f>
        <v>25569.041666666668</v>
      </c>
      <c r="Y422" s="333">
        <f>+_xlfn.IFNA(AN422+AS422+AX422,0)</f>
      </c>
      <c r="Z422" s="333">
        <f>+_xlfn.IFNA(AO422+AT422+AY422,0)</f>
      </c>
      <c r="AA422" s="333">
        <f>Y422*(1+$O$5)^(($B$7-X422)/365.25)</f>
      </c>
      <c r="AB422" s="333">
        <f>Z422*(1+$O$5)^(($B$7-X422)/365.25)</f>
      </c>
      <c r="AC422" s="1"/>
      <c r="AD422" s="1"/>
      <c r="AE422" s="1"/>
      <c r="AF422" s="111">
        <f>+MONTH(E422)&amp;YEAR(E422)</f>
      </c>
      <c r="AG422" s="217">
        <f>+I422</f>
      </c>
      <c r="AH422" s="217">
        <f>+J422</f>
      </c>
      <c r="AI422" s="217">
        <f>+H422</f>
      </c>
      <c r="AJ422" s="111">
        <f>+V422&amp;W422</f>
      </c>
      <c r="AK422" s="217">
        <f>+_xlfn.IFNA(VLOOKUP(AJ422,$AF$7:$AG$1066,2,0),0)</f>
      </c>
      <c r="AL422" s="217">
        <f>+IF(W422&gt;W421,AK422,AL421+AK422)</f>
      </c>
      <c r="AM422" s="217">
        <f>IF(W422&gt;W421,IF(AL422&gt;=$AZ$8,$AZ$8,AL422),IF(OR(AM421=$AZ$8,AM421=0),0,IF(AL422&gt;=$AZ$8,$AZ$8,AL422)))</f>
      </c>
      <c r="AN422" s="748">
        <f>+IF(OR(AM422&gt;AZ421,AM422=0),0,IF(AM422=AL422,AK422,$AZ$7-AL421))</f>
      </c>
      <c r="AO422" s="748">
        <f>+AK422-AN422</f>
      </c>
      <c r="AP422" s="217">
        <f>+_xlfn.IFNA(VLOOKUP(AJ422,$AF$7:$AI$1066,3,0),0)</f>
      </c>
      <c r="AQ422" s="217">
        <f>+IF(W422&gt;W421,AP422,AQ421+AP422)</f>
      </c>
      <c r="AR422" s="217">
        <f>+MAX($AM$2-SUMIF($W$7:$W$1066,W422,$AN$7:$AN$1066),0)</f>
      </c>
      <c r="AS422" s="748">
        <f>+MAX(IF(AQ422&gt;AR422,AR422-AQ421,AP422),0)</f>
      </c>
      <c r="AT422" s="748">
        <f>+AP422-AS422</f>
      </c>
      <c r="AU422" s="217">
        <f>+_xlfn.IFNA(VLOOKUP(AJ422,$AF$7:$AI$1066,4,0),0)</f>
      </c>
      <c r="AV422" s="217">
        <f>+IF(W422&gt;W421,AU422,AV421+AU422)</f>
      </c>
      <c r="AW422" s="217">
        <f>+MAX($AM$2-SUMIF($W$7:$W$1066,W422,$AN$7:$AN$1066)-SUMIF($W$7:$W$1066,W422,$AS$7:$AS$1066),0)</f>
      </c>
      <c r="AX422" s="748">
        <f>+MAX(IF(AV422&gt;AW422,AW422-AV421,AU422),0)</f>
      </c>
      <c r="AY422" s="748">
        <f>+AU422-AX422</f>
      </c>
      <c r="AZ422" s="331">
        <f>+$AM$1+IF($AP$1&gt;$AP$2,$AM$3/2)</f>
      </c>
    </row>
    <row x14ac:dyDescent="0.25" r="423" customHeight="1" ht="18.75">
      <c r="A423" s="1"/>
      <c r="B423" s="7"/>
      <c r="C423" s="170"/>
      <c r="D423" s="331">
        <v>416</v>
      </c>
      <c r="E423" s="544">
        <f>+DATE(YEAR(E422),MONTH(E422)-1,DAY(E422))</f>
        <v>25569.041666666668</v>
      </c>
      <c r="F423" s="333">
        <f>IF(DATE(YEAR($B$6),MONTH($B$6)+1,DAY(1))=E423,1,IF(MONTH(E423)=1,F424*(1+$F$5),F424))</f>
      </c>
      <c r="G423" s="333">
        <f>IF('Simulador - 1º Pilar'!$E$99="Sí",IF('Aportaciones PPE'!$B$13&lt;'Aportaciones PPE'!E423,0,F423*$B$8/12),F423*$B$8/12)</f>
      </c>
      <c r="H423" s="333">
        <f>$H$5*G423</f>
      </c>
      <c r="I423" s="333">
        <f>$I$5*G423</f>
      </c>
      <c r="J423" s="333">
        <f>+I423</f>
      </c>
      <c r="K423" s="333">
        <f>(1+$O$5)^(D423/12)*(H423+IF(AND(F423=1,F424=0),$S$4,0))</f>
      </c>
      <c r="L423" s="333">
        <f>(1+$O$5)^(D423/12)*(I423+IF(AND(F423=1,F424=0),0))</f>
      </c>
      <c r="M423" s="333">
        <f>+L423</f>
      </c>
      <c r="N423" s="333">
        <f>L423+K423+M423</f>
      </c>
      <c r="O423" s="170"/>
      <c r="P423" s="7"/>
      <c r="Q423" s="1"/>
      <c r="R423" s="331">
        <f>D423</f>
      </c>
      <c r="S423" s="169"/>
      <c r="T423" s="1"/>
      <c r="U423" s="217"/>
      <c r="V423" s="331">
        <f>+IF(V422=11,12,IF(V422=12,1,V422+1))</f>
      </c>
      <c r="W423" s="331">
        <f>+W422+IF(V422=12,1,0)</f>
      </c>
      <c r="X423" s="555">
        <f>+DATE(W423,V423,1)</f>
        <v>25569.041666666668</v>
      </c>
      <c r="Y423" s="333">
        <f>+_xlfn.IFNA(AN423+AS423+AX423,0)</f>
      </c>
      <c r="Z423" s="333">
        <f>+_xlfn.IFNA(AO423+AT423+AY423,0)</f>
      </c>
      <c r="AA423" s="333">
        <f>Y423*(1+$O$5)^(($B$7-X423)/365.25)</f>
      </c>
      <c r="AB423" s="333">
        <f>Z423*(1+$O$5)^(($B$7-X423)/365.25)</f>
      </c>
      <c r="AC423" s="1"/>
      <c r="AD423" s="1"/>
      <c r="AE423" s="1"/>
      <c r="AF423" s="111">
        <f>+MONTH(E423)&amp;YEAR(E423)</f>
      </c>
      <c r="AG423" s="217">
        <f>+I423</f>
      </c>
      <c r="AH423" s="217">
        <f>+J423</f>
      </c>
      <c r="AI423" s="217">
        <f>+H423</f>
      </c>
      <c r="AJ423" s="111">
        <f>+V423&amp;W423</f>
      </c>
      <c r="AK423" s="217">
        <f>+_xlfn.IFNA(VLOOKUP(AJ423,$AF$7:$AG$1066,2,0),0)</f>
      </c>
      <c r="AL423" s="217">
        <f>+IF(W423&gt;W422,AK423,AL422+AK423)</f>
      </c>
      <c r="AM423" s="217">
        <f>IF(W423&gt;W422,IF(AL423&gt;=$AZ$8,$AZ$8,AL423),IF(OR(AM422=$AZ$8,AM422=0),0,IF(AL423&gt;=$AZ$8,$AZ$8,AL423)))</f>
      </c>
      <c r="AN423" s="748">
        <f>+IF(OR(AM423&gt;AZ422,AM423=0),0,IF(AM423=AL423,AK423,$AZ$7-AL422))</f>
      </c>
      <c r="AO423" s="748">
        <f>+AK423-AN423</f>
      </c>
      <c r="AP423" s="217">
        <f>+_xlfn.IFNA(VLOOKUP(AJ423,$AF$7:$AI$1066,3,0),0)</f>
      </c>
      <c r="AQ423" s="217">
        <f>+IF(W423&gt;W422,AP423,AQ422+AP423)</f>
      </c>
      <c r="AR423" s="217">
        <f>+MAX($AM$2-SUMIF($W$7:$W$1066,W423,$AN$7:$AN$1066),0)</f>
      </c>
      <c r="AS423" s="748">
        <f>+MAX(IF(AQ423&gt;AR423,AR423-AQ422,AP423),0)</f>
      </c>
      <c r="AT423" s="748">
        <f>+AP423-AS423</f>
      </c>
      <c r="AU423" s="217">
        <f>+_xlfn.IFNA(VLOOKUP(AJ423,$AF$7:$AI$1066,4,0),0)</f>
      </c>
      <c r="AV423" s="217">
        <f>+IF(W423&gt;W422,AU423,AV422+AU423)</f>
      </c>
      <c r="AW423" s="217">
        <f>+MAX($AM$2-SUMIF($W$7:$W$1066,W423,$AN$7:$AN$1066)-SUMIF($W$7:$W$1066,W423,$AS$7:$AS$1066),0)</f>
      </c>
      <c r="AX423" s="748">
        <f>+MAX(IF(AV423&gt;AW423,AW423-AV422,AU423),0)</f>
      </c>
      <c r="AY423" s="748">
        <f>+AU423-AX423</f>
      </c>
      <c r="AZ423" s="331">
        <f>+$AM$1+IF($AP$1&gt;$AP$2,$AM$3/2)</f>
      </c>
    </row>
    <row x14ac:dyDescent="0.25" r="424" customHeight="1" ht="18.75">
      <c r="A424" s="1"/>
      <c r="B424" s="7"/>
      <c r="C424" s="170"/>
      <c r="D424" s="331">
        <v>417</v>
      </c>
      <c r="E424" s="544">
        <f>+DATE(YEAR(E423),MONTH(E423)-1,DAY(E423))</f>
        <v>25569.041666666668</v>
      </c>
      <c r="F424" s="333">
        <f>IF(DATE(YEAR($B$6),MONTH($B$6)+1,DAY(1))=E424,1,IF(MONTH(E424)=1,F425*(1+$F$5),F425))</f>
      </c>
      <c r="G424" s="333">
        <f>IF('Simulador - 1º Pilar'!$E$99="Sí",IF('Aportaciones PPE'!$B$13&lt;'Aportaciones PPE'!E424,0,F424*$B$8/12),F424*$B$8/12)</f>
      </c>
      <c r="H424" s="333">
        <f>$H$5*G424</f>
      </c>
      <c r="I424" s="333">
        <f>$I$5*G424</f>
      </c>
      <c r="J424" s="333">
        <f>+I424</f>
      </c>
      <c r="K424" s="333">
        <f>(1+$O$5)^(D424/12)*(H424+IF(AND(F424=1,F425=0),$S$4,0))</f>
      </c>
      <c r="L424" s="333">
        <f>(1+$O$5)^(D424/12)*(I424+IF(AND(F424=1,F425=0),0))</f>
      </c>
      <c r="M424" s="333">
        <f>+L424</f>
      </c>
      <c r="N424" s="333">
        <f>L424+K424+M424</f>
      </c>
      <c r="O424" s="170"/>
      <c r="P424" s="7"/>
      <c r="Q424" s="1"/>
      <c r="R424" s="331">
        <f>D424</f>
      </c>
      <c r="S424" s="169"/>
      <c r="T424" s="1"/>
      <c r="U424" s="217"/>
      <c r="V424" s="331">
        <f>+IF(V423=11,12,IF(V423=12,1,V423+1))</f>
      </c>
      <c r="W424" s="331">
        <f>+W423+IF(V423=12,1,0)</f>
      </c>
      <c r="X424" s="555">
        <f>+DATE(W424,V424,1)</f>
        <v>25569.041666666668</v>
      </c>
      <c r="Y424" s="333">
        <f>+_xlfn.IFNA(AN424+AS424+AX424,0)</f>
      </c>
      <c r="Z424" s="333">
        <f>+_xlfn.IFNA(AO424+AT424+AY424,0)</f>
      </c>
      <c r="AA424" s="333">
        <f>Y424*(1+$O$5)^(($B$7-X424)/365.25)</f>
      </c>
      <c r="AB424" s="333">
        <f>Z424*(1+$O$5)^(($B$7-X424)/365.25)</f>
      </c>
      <c r="AC424" s="1"/>
      <c r="AD424" s="1"/>
      <c r="AE424" s="1"/>
      <c r="AF424" s="111">
        <f>+MONTH(E424)&amp;YEAR(E424)</f>
      </c>
      <c r="AG424" s="217">
        <f>+I424</f>
      </c>
      <c r="AH424" s="217">
        <f>+J424</f>
      </c>
      <c r="AI424" s="217">
        <f>+H424</f>
      </c>
      <c r="AJ424" s="111">
        <f>+V424&amp;W424</f>
      </c>
      <c r="AK424" s="217">
        <f>+_xlfn.IFNA(VLOOKUP(AJ424,$AF$7:$AG$1066,2,0),0)</f>
      </c>
      <c r="AL424" s="217">
        <f>+IF(W424&gt;W423,AK424,AL423+AK424)</f>
      </c>
      <c r="AM424" s="217">
        <f>IF(W424&gt;W423,IF(AL424&gt;=$AZ$8,$AZ$8,AL424),IF(OR(AM423=$AZ$8,AM423=0),0,IF(AL424&gt;=$AZ$8,$AZ$8,AL424)))</f>
      </c>
      <c r="AN424" s="748">
        <f>+IF(OR(AM424&gt;AZ423,AM424=0),0,IF(AM424=AL424,AK424,$AZ$7-AL423))</f>
      </c>
      <c r="AO424" s="748">
        <f>+AK424-AN424</f>
      </c>
      <c r="AP424" s="217">
        <f>+_xlfn.IFNA(VLOOKUP(AJ424,$AF$7:$AI$1066,3,0),0)</f>
      </c>
      <c r="AQ424" s="217">
        <f>+IF(W424&gt;W423,AP424,AQ423+AP424)</f>
      </c>
      <c r="AR424" s="217">
        <f>+MAX($AM$2-SUMIF($W$7:$W$1066,W424,$AN$7:$AN$1066),0)</f>
      </c>
      <c r="AS424" s="748">
        <f>+MAX(IF(AQ424&gt;AR424,AR424-AQ423,AP424),0)</f>
      </c>
      <c r="AT424" s="748">
        <f>+AP424-AS424</f>
      </c>
      <c r="AU424" s="217">
        <f>+_xlfn.IFNA(VLOOKUP(AJ424,$AF$7:$AI$1066,4,0),0)</f>
      </c>
      <c r="AV424" s="217">
        <f>+IF(W424&gt;W423,AU424,AV423+AU424)</f>
      </c>
      <c r="AW424" s="217">
        <f>+MAX($AM$2-SUMIF($W$7:$W$1066,W424,$AN$7:$AN$1066)-SUMIF($W$7:$W$1066,W424,$AS$7:$AS$1066),0)</f>
      </c>
      <c r="AX424" s="748">
        <f>+MAX(IF(AV424&gt;AW424,AW424-AV423,AU424),0)</f>
      </c>
      <c r="AY424" s="748">
        <f>+AU424-AX424</f>
      </c>
      <c r="AZ424" s="331">
        <f>+$AM$1+IF($AP$1&gt;$AP$2,$AM$3/2)</f>
      </c>
    </row>
    <row x14ac:dyDescent="0.25" r="425" customHeight="1" ht="18.75">
      <c r="A425" s="1"/>
      <c r="B425" s="7"/>
      <c r="C425" s="170"/>
      <c r="D425" s="331">
        <v>418</v>
      </c>
      <c r="E425" s="544">
        <f>+DATE(YEAR(E424),MONTH(E424)-1,DAY(E424))</f>
        <v>25569.041666666668</v>
      </c>
      <c r="F425" s="333">
        <f>IF(DATE(YEAR($B$6),MONTH($B$6)+1,DAY(1))=E425,1,IF(MONTH(E425)=1,F426*(1+$F$5),F426))</f>
      </c>
      <c r="G425" s="333">
        <f>IF('Simulador - 1º Pilar'!$E$99="Sí",IF('Aportaciones PPE'!$B$13&lt;'Aportaciones PPE'!E425,0,F425*$B$8/12),F425*$B$8/12)</f>
      </c>
      <c r="H425" s="333">
        <f>$H$5*G425</f>
      </c>
      <c r="I425" s="333">
        <f>$I$5*G425</f>
      </c>
      <c r="J425" s="333">
        <f>+I425</f>
      </c>
      <c r="K425" s="333">
        <f>(1+$O$5)^(D425/12)*(H425+IF(AND(F425=1,F426=0),$S$4,0))</f>
      </c>
      <c r="L425" s="333">
        <f>(1+$O$5)^(D425/12)*(I425+IF(AND(F425=1,F426=0),0))</f>
      </c>
      <c r="M425" s="333">
        <f>+L425</f>
      </c>
      <c r="N425" s="333">
        <f>L425+K425+M425</f>
      </c>
      <c r="O425" s="170"/>
      <c r="P425" s="7"/>
      <c r="Q425" s="1"/>
      <c r="R425" s="331">
        <f>D425</f>
      </c>
      <c r="S425" s="169"/>
      <c r="T425" s="1"/>
      <c r="U425" s="217"/>
      <c r="V425" s="331">
        <f>+IF(V424=11,12,IF(V424=12,1,V424+1))</f>
      </c>
      <c r="W425" s="331">
        <f>+W424+IF(V424=12,1,0)</f>
      </c>
      <c r="X425" s="555">
        <f>+DATE(W425,V425,1)</f>
        <v>25569.041666666668</v>
      </c>
      <c r="Y425" s="333">
        <f>+_xlfn.IFNA(AN425+AS425+AX425,0)</f>
      </c>
      <c r="Z425" s="333">
        <f>+_xlfn.IFNA(AO425+AT425+AY425,0)</f>
      </c>
      <c r="AA425" s="333">
        <f>Y425*(1+$O$5)^(($B$7-X425)/365.25)</f>
      </c>
      <c r="AB425" s="333">
        <f>Z425*(1+$O$5)^(($B$7-X425)/365.25)</f>
      </c>
      <c r="AC425" s="1"/>
      <c r="AD425" s="1"/>
      <c r="AE425" s="1"/>
      <c r="AF425" s="111">
        <f>+MONTH(E425)&amp;YEAR(E425)</f>
      </c>
      <c r="AG425" s="217">
        <f>+I425</f>
      </c>
      <c r="AH425" s="217">
        <f>+J425</f>
      </c>
      <c r="AI425" s="217">
        <f>+H425</f>
      </c>
      <c r="AJ425" s="111">
        <f>+V425&amp;W425</f>
      </c>
      <c r="AK425" s="217">
        <f>+_xlfn.IFNA(VLOOKUP(AJ425,$AF$7:$AG$1066,2,0),0)</f>
      </c>
      <c r="AL425" s="217">
        <f>+IF(W425&gt;W424,AK425,AL424+AK425)</f>
      </c>
      <c r="AM425" s="217">
        <f>IF(W425&gt;W424,IF(AL425&gt;=$AZ$8,$AZ$8,AL425),IF(OR(AM424=$AZ$8,AM424=0),0,IF(AL425&gt;=$AZ$8,$AZ$8,AL425)))</f>
      </c>
      <c r="AN425" s="748">
        <f>+IF(OR(AM425&gt;AZ424,AM425=0),0,IF(AM425=AL425,AK425,$AZ$7-AL424))</f>
      </c>
      <c r="AO425" s="748">
        <f>+AK425-AN425</f>
      </c>
      <c r="AP425" s="217">
        <f>+_xlfn.IFNA(VLOOKUP(AJ425,$AF$7:$AI$1066,3,0),0)</f>
      </c>
      <c r="AQ425" s="217">
        <f>+IF(W425&gt;W424,AP425,AQ424+AP425)</f>
      </c>
      <c r="AR425" s="217">
        <f>+MAX($AM$2-SUMIF($W$7:$W$1066,W425,$AN$7:$AN$1066),0)</f>
      </c>
      <c r="AS425" s="748">
        <f>+MAX(IF(AQ425&gt;AR425,AR425-AQ424,AP425),0)</f>
      </c>
      <c r="AT425" s="748">
        <f>+AP425-AS425</f>
      </c>
      <c r="AU425" s="217">
        <f>+_xlfn.IFNA(VLOOKUP(AJ425,$AF$7:$AI$1066,4,0),0)</f>
      </c>
      <c r="AV425" s="217">
        <f>+IF(W425&gt;W424,AU425,AV424+AU425)</f>
      </c>
      <c r="AW425" s="217">
        <f>+MAX($AM$2-SUMIF($W$7:$W$1066,W425,$AN$7:$AN$1066)-SUMIF($W$7:$W$1066,W425,$AS$7:$AS$1066),0)</f>
      </c>
      <c r="AX425" s="748">
        <f>+MAX(IF(AV425&gt;AW425,AW425-AV424,AU425),0)</f>
      </c>
      <c r="AY425" s="748">
        <f>+AU425-AX425</f>
      </c>
      <c r="AZ425" s="331">
        <f>+$AM$1+IF($AP$1&gt;$AP$2,$AM$3/2)</f>
      </c>
    </row>
    <row x14ac:dyDescent="0.25" r="426" customHeight="1" ht="18.75">
      <c r="A426" s="1"/>
      <c r="B426" s="7"/>
      <c r="C426" s="170"/>
      <c r="D426" s="331">
        <v>419</v>
      </c>
      <c r="E426" s="544">
        <f>+DATE(YEAR(E425),MONTH(E425)-1,DAY(E425))</f>
        <v>25569.041666666668</v>
      </c>
      <c r="F426" s="333">
        <f>IF(DATE(YEAR($B$6),MONTH($B$6)+1,DAY(1))=E426,1,IF(MONTH(E426)=1,F427*(1+$F$5),F427))</f>
      </c>
      <c r="G426" s="333">
        <f>IF('Simulador - 1º Pilar'!$E$99="Sí",IF('Aportaciones PPE'!$B$13&lt;'Aportaciones PPE'!E426,0,F426*$B$8/12),F426*$B$8/12)</f>
      </c>
      <c r="H426" s="333">
        <f>$H$5*G426</f>
      </c>
      <c r="I426" s="333">
        <f>$I$5*G426</f>
      </c>
      <c r="J426" s="333">
        <f>+I426</f>
      </c>
      <c r="K426" s="333">
        <f>(1+$O$5)^(D426/12)*(H426+IF(AND(F426=1,F427=0),$S$4,0))</f>
      </c>
      <c r="L426" s="333">
        <f>(1+$O$5)^(D426/12)*(I426+IF(AND(F426=1,F427=0),0))</f>
      </c>
      <c r="M426" s="333">
        <f>+L426</f>
      </c>
      <c r="N426" s="333">
        <f>L426+K426+M426</f>
      </c>
      <c r="O426" s="170"/>
      <c r="P426" s="7"/>
      <c r="Q426" s="1"/>
      <c r="R426" s="331">
        <f>D426</f>
      </c>
      <c r="S426" s="169"/>
      <c r="T426" s="1"/>
      <c r="U426" s="217"/>
      <c r="V426" s="331">
        <f>+IF(V425=11,12,IF(V425=12,1,V425+1))</f>
      </c>
      <c r="W426" s="331">
        <f>+W425+IF(V425=12,1,0)</f>
      </c>
      <c r="X426" s="555">
        <f>+DATE(W426,V426,1)</f>
        <v>25569.041666666668</v>
      </c>
      <c r="Y426" s="333">
        <f>+_xlfn.IFNA(AN426+AS426+AX426,0)</f>
      </c>
      <c r="Z426" s="333">
        <f>+_xlfn.IFNA(AO426+AT426+AY426,0)</f>
      </c>
      <c r="AA426" s="333">
        <f>Y426*(1+$O$5)^(($B$7-X426)/365.25)</f>
      </c>
      <c r="AB426" s="333">
        <f>Z426*(1+$O$5)^(($B$7-X426)/365.25)</f>
      </c>
      <c r="AC426" s="1"/>
      <c r="AD426" s="1"/>
      <c r="AE426" s="1"/>
      <c r="AF426" s="111">
        <f>+MONTH(E426)&amp;YEAR(E426)</f>
      </c>
      <c r="AG426" s="217">
        <f>+I426</f>
      </c>
      <c r="AH426" s="217">
        <f>+J426</f>
      </c>
      <c r="AI426" s="217">
        <f>+H426</f>
      </c>
      <c r="AJ426" s="111">
        <f>+V426&amp;W426</f>
      </c>
      <c r="AK426" s="217">
        <f>+_xlfn.IFNA(VLOOKUP(AJ426,$AF$7:$AG$1066,2,0),0)</f>
      </c>
      <c r="AL426" s="217">
        <f>+IF(W426&gt;W425,AK426,AL425+AK426)</f>
      </c>
      <c r="AM426" s="217">
        <f>IF(W426&gt;W425,IF(AL426&gt;=$AZ$8,$AZ$8,AL426),IF(OR(AM425=$AZ$8,AM425=0),0,IF(AL426&gt;=$AZ$8,$AZ$8,AL426)))</f>
      </c>
      <c r="AN426" s="748">
        <f>+IF(OR(AM426&gt;AZ425,AM426=0),0,IF(AM426=AL426,AK426,$AZ$7-AL425))</f>
      </c>
      <c r="AO426" s="748">
        <f>+AK426-AN426</f>
      </c>
      <c r="AP426" s="217">
        <f>+_xlfn.IFNA(VLOOKUP(AJ426,$AF$7:$AI$1066,3,0),0)</f>
      </c>
      <c r="AQ426" s="217">
        <f>+IF(W426&gt;W425,AP426,AQ425+AP426)</f>
      </c>
      <c r="AR426" s="217">
        <f>+MAX($AM$2-SUMIF($W$7:$W$1066,W426,$AN$7:$AN$1066),0)</f>
      </c>
      <c r="AS426" s="748">
        <f>+MAX(IF(AQ426&gt;AR426,AR426-AQ425,AP426),0)</f>
      </c>
      <c r="AT426" s="748">
        <f>+AP426-AS426</f>
      </c>
      <c r="AU426" s="217">
        <f>+_xlfn.IFNA(VLOOKUP(AJ426,$AF$7:$AI$1066,4,0),0)</f>
      </c>
      <c r="AV426" s="217">
        <f>+IF(W426&gt;W425,AU426,AV425+AU426)</f>
      </c>
      <c r="AW426" s="217">
        <f>+MAX($AM$2-SUMIF($W$7:$W$1066,W426,$AN$7:$AN$1066)-SUMIF($W$7:$W$1066,W426,$AS$7:$AS$1066),0)</f>
      </c>
      <c r="AX426" s="748">
        <f>+MAX(IF(AV426&gt;AW426,AW426-AV425,AU426),0)</f>
      </c>
      <c r="AY426" s="748">
        <f>+AU426-AX426</f>
      </c>
      <c r="AZ426" s="331">
        <f>+$AM$1+IF($AP$1&gt;$AP$2,$AM$3/2)</f>
      </c>
    </row>
    <row x14ac:dyDescent="0.25" r="427" customHeight="1" ht="18.75">
      <c r="A427" s="1"/>
      <c r="B427" s="7"/>
      <c r="C427" s="170"/>
      <c r="D427" s="331">
        <v>420</v>
      </c>
      <c r="E427" s="544">
        <f>+DATE(YEAR(E426),MONTH(E426)-1,DAY(E426))</f>
        <v>25569.041666666668</v>
      </c>
      <c r="F427" s="333">
        <f>IF(DATE(YEAR($B$6),MONTH($B$6)+1,DAY(1))=E427,1,IF(MONTH(E427)=1,F428*(1+$F$5),F428))</f>
      </c>
      <c r="G427" s="333">
        <f>IF('Simulador - 1º Pilar'!$E$99="Sí",IF('Aportaciones PPE'!$B$13&lt;'Aportaciones PPE'!E427,0,F427*$B$8/12),F427*$B$8/12)</f>
      </c>
      <c r="H427" s="333">
        <f>$H$5*G427</f>
      </c>
      <c r="I427" s="333">
        <f>$I$5*G427</f>
      </c>
      <c r="J427" s="333">
        <f>+I427</f>
      </c>
      <c r="K427" s="333">
        <f>(1+$O$5)^(D427/12)*(H427+IF(AND(F427=1,F428=0),$S$4,0))</f>
      </c>
      <c r="L427" s="333">
        <f>(1+$O$5)^(D427/12)*(I427+IF(AND(F427=1,F428=0),0))</f>
      </c>
      <c r="M427" s="333">
        <f>+L427</f>
      </c>
      <c r="N427" s="333">
        <f>L427+K427+M427</f>
      </c>
      <c r="O427" s="170"/>
      <c r="P427" s="7"/>
      <c r="Q427" s="1"/>
      <c r="R427" s="331">
        <f>D427</f>
      </c>
      <c r="S427" s="169"/>
      <c r="T427" s="1"/>
      <c r="U427" s="217"/>
      <c r="V427" s="331">
        <f>+IF(V426=11,12,IF(V426=12,1,V426+1))</f>
      </c>
      <c r="W427" s="331">
        <f>+W426+IF(V426=12,1,0)</f>
      </c>
      <c r="X427" s="555">
        <f>+DATE(W427,V427,1)</f>
        <v>25569.041666666668</v>
      </c>
      <c r="Y427" s="333">
        <f>+_xlfn.IFNA(AN427+AS427+AX427,0)</f>
      </c>
      <c r="Z427" s="333">
        <f>+_xlfn.IFNA(AO427+AT427+AY427,0)</f>
      </c>
      <c r="AA427" s="333">
        <f>Y427*(1+$O$5)^(($B$7-X427)/365.25)</f>
      </c>
      <c r="AB427" s="333">
        <f>Z427*(1+$O$5)^(($B$7-X427)/365.25)</f>
      </c>
      <c r="AC427" s="1"/>
      <c r="AD427" s="1"/>
      <c r="AE427" s="1"/>
      <c r="AF427" s="111">
        <f>+MONTH(E427)&amp;YEAR(E427)</f>
      </c>
      <c r="AG427" s="217">
        <f>+I427</f>
      </c>
      <c r="AH427" s="217">
        <f>+J427</f>
      </c>
      <c r="AI427" s="217">
        <f>+H427</f>
      </c>
      <c r="AJ427" s="111">
        <f>+V427&amp;W427</f>
      </c>
      <c r="AK427" s="217">
        <f>+_xlfn.IFNA(VLOOKUP(AJ427,$AF$7:$AG$1066,2,0),0)</f>
      </c>
      <c r="AL427" s="217">
        <f>+IF(W427&gt;W426,AK427,AL426+AK427)</f>
      </c>
      <c r="AM427" s="217">
        <f>IF(W427&gt;W426,IF(AL427&gt;=$AZ$8,$AZ$8,AL427),IF(OR(AM426=$AZ$8,AM426=0),0,IF(AL427&gt;=$AZ$8,$AZ$8,AL427)))</f>
      </c>
      <c r="AN427" s="748">
        <f>+IF(OR(AM427&gt;AZ426,AM427=0),0,IF(AM427=AL427,AK427,$AZ$7-AL426))</f>
      </c>
      <c r="AO427" s="748">
        <f>+AK427-AN427</f>
      </c>
      <c r="AP427" s="217">
        <f>+_xlfn.IFNA(VLOOKUP(AJ427,$AF$7:$AI$1066,3,0),0)</f>
      </c>
      <c r="AQ427" s="217">
        <f>+IF(W427&gt;W426,AP427,AQ426+AP427)</f>
      </c>
      <c r="AR427" s="217">
        <f>+MAX($AM$2-SUMIF($W$7:$W$1066,W427,$AN$7:$AN$1066),0)</f>
      </c>
      <c r="AS427" s="748">
        <f>+MAX(IF(AQ427&gt;AR427,AR427-AQ426,AP427),0)</f>
      </c>
      <c r="AT427" s="748">
        <f>+AP427-AS427</f>
      </c>
      <c r="AU427" s="217">
        <f>+_xlfn.IFNA(VLOOKUP(AJ427,$AF$7:$AI$1066,4,0),0)</f>
      </c>
      <c r="AV427" s="217">
        <f>+IF(W427&gt;W426,AU427,AV426+AU427)</f>
      </c>
      <c r="AW427" s="217">
        <f>+MAX($AM$2-SUMIF($W$7:$W$1066,W427,$AN$7:$AN$1066)-SUMIF($W$7:$W$1066,W427,$AS$7:$AS$1066),0)</f>
      </c>
      <c r="AX427" s="748">
        <f>+MAX(IF(AV427&gt;AW427,AW427-AV426,AU427),0)</f>
      </c>
      <c r="AY427" s="748">
        <f>+AU427-AX427</f>
      </c>
      <c r="AZ427" s="331">
        <f>+$AM$1+IF($AP$1&gt;$AP$2,$AM$3/2)</f>
      </c>
    </row>
    <row x14ac:dyDescent="0.25" r="428" customHeight="1" ht="18.75">
      <c r="A428" s="1"/>
      <c r="B428" s="7"/>
      <c r="C428" s="170"/>
      <c r="D428" s="331">
        <v>421</v>
      </c>
      <c r="E428" s="544">
        <f>+DATE(YEAR(E427),MONTH(E427)-1,DAY(E427))</f>
        <v>25569.041666666668</v>
      </c>
      <c r="F428" s="333">
        <f>IF(DATE(YEAR($B$6),MONTH($B$6)+1,DAY(1))=E428,1,IF(MONTH(E428)=1,F429*(1+$F$5),F429))</f>
      </c>
      <c r="G428" s="333">
        <f>IF('Simulador - 1º Pilar'!$E$99="Sí",IF('Aportaciones PPE'!$B$13&lt;'Aportaciones PPE'!E428,0,F428*$B$8/12),F428*$B$8/12)</f>
      </c>
      <c r="H428" s="333">
        <f>$H$5*G428</f>
      </c>
      <c r="I428" s="333">
        <f>$I$5*G428</f>
      </c>
      <c r="J428" s="333">
        <f>+I428</f>
      </c>
      <c r="K428" s="333">
        <f>(1+$O$5)^(D428/12)*(H428+IF(AND(F428=1,F429=0),$S$4,0))</f>
      </c>
      <c r="L428" s="333">
        <f>(1+$O$5)^(D428/12)*(I428+IF(AND(F428=1,F429=0),0))</f>
      </c>
      <c r="M428" s="333">
        <f>+L428</f>
      </c>
      <c r="N428" s="333">
        <f>L428+K428+M428</f>
      </c>
      <c r="O428" s="170"/>
      <c r="P428" s="7"/>
      <c r="Q428" s="1"/>
      <c r="R428" s="331">
        <f>D428</f>
      </c>
      <c r="S428" s="169"/>
      <c r="T428" s="1"/>
      <c r="U428" s="217"/>
      <c r="V428" s="331">
        <f>+IF(V427=11,12,IF(V427=12,1,V427+1))</f>
      </c>
      <c r="W428" s="331">
        <f>+W427+IF(V427=12,1,0)</f>
      </c>
      <c r="X428" s="555">
        <f>+DATE(W428,V428,1)</f>
        <v>25569.041666666668</v>
      </c>
      <c r="Y428" s="333">
        <f>+_xlfn.IFNA(AN428+AS428+AX428,0)</f>
      </c>
      <c r="Z428" s="333">
        <f>+_xlfn.IFNA(AO428+AT428+AY428,0)</f>
      </c>
      <c r="AA428" s="333">
        <f>Y428*(1+$O$5)^(($B$7-X428)/365.25)</f>
      </c>
      <c r="AB428" s="333">
        <f>Z428*(1+$O$5)^(($B$7-X428)/365.25)</f>
      </c>
      <c r="AC428" s="1"/>
      <c r="AD428" s="1"/>
      <c r="AE428" s="1"/>
      <c r="AF428" s="111">
        <f>+MONTH(E428)&amp;YEAR(E428)</f>
      </c>
      <c r="AG428" s="217">
        <f>+I428</f>
      </c>
      <c r="AH428" s="217">
        <f>+J428</f>
      </c>
      <c r="AI428" s="217">
        <f>+H428</f>
      </c>
      <c r="AJ428" s="111">
        <f>+V428&amp;W428</f>
      </c>
      <c r="AK428" s="217">
        <f>+_xlfn.IFNA(VLOOKUP(AJ428,$AF$7:$AG$1066,2,0),0)</f>
      </c>
      <c r="AL428" s="217">
        <f>+IF(W428&gt;W427,AK428,AL427+AK428)</f>
      </c>
      <c r="AM428" s="217">
        <f>IF(W428&gt;W427,IF(AL428&gt;=$AZ$8,$AZ$8,AL428),IF(OR(AM427=$AZ$8,AM427=0),0,IF(AL428&gt;=$AZ$8,$AZ$8,AL428)))</f>
      </c>
      <c r="AN428" s="748">
        <f>+IF(OR(AM428&gt;AZ427,AM428=0),0,IF(AM428=AL428,AK428,$AZ$7-AL427))</f>
      </c>
      <c r="AO428" s="748">
        <f>+AK428-AN428</f>
      </c>
      <c r="AP428" s="217">
        <f>+_xlfn.IFNA(VLOOKUP(AJ428,$AF$7:$AI$1066,3,0),0)</f>
      </c>
      <c r="AQ428" s="217">
        <f>+IF(W428&gt;W427,AP428,AQ427+AP428)</f>
      </c>
      <c r="AR428" s="217">
        <f>+MAX($AM$2-SUMIF($W$7:$W$1066,W428,$AN$7:$AN$1066),0)</f>
      </c>
      <c r="AS428" s="748">
        <f>+MAX(IF(AQ428&gt;AR428,AR428-AQ427,AP428),0)</f>
      </c>
      <c r="AT428" s="748">
        <f>+AP428-AS428</f>
      </c>
      <c r="AU428" s="217">
        <f>+_xlfn.IFNA(VLOOKUP(AJ428,$AF$7:$AI$1066,4,0),0)</f>
      </c>
      <c r="AV428" s="217">
        <f>+IF(W428&gt;W427,AU428,AV427+AU428)</f>
      </c>
      <c r="AW428" s="217">
        <f>+MAX($AM$2-SUMIF($W$7:$W$1066,W428,$AN$7:$AN$1066)-SUMIF($W$7:$W$1066,W428,$AS$7:$AS$1066),0)</f>
      </c>
      <c r="AX428" s="748">
        <f>+MAX(IF(AV428&gt;AW428,AW428-AV427,AU428),0)</f>
      </c>
      <c r="AY428" s="748">
        <f>+AU428-AX428</f>
      </c>
      <c r="AZ428" s="331">
        <f>+$AM$1+IF($AP$1&gt;$AP$2,$AM$3/2)</f>
      </c>
    </row>
    <row x14ac:dyDescent="0.25" r="429" customHeight="1" ht="18.75">
      <c r="A429" s="1"/>
      <c r="B429" s="7"/>
      <c r="C429" s="170"/>
      <c r="D429" s="331">
        <v>422</v>
      </c>
      <c r="E429" s="544">
        <f>+DATE(YEAR(E428),MONTH(E428)-1,DAY(E428))</f>
        <v>25569.041666666668</v>
      </c>
      <c r="F429" s="333">
        <f>IF(DATE(YEAR($B$6),MONTH($B$6)+1,DAY(1))=E429,1,IF(MONTH(E429)=1,F430*(1+$F$5),F430))</f>
      </c>
      <c r="G429" s="333">
        <f>IF('Simulador - 1º Pilar'!$E$99="Sí",IF('Aportaciones PPE'!$B$13&lt;'Aportaciones PPE'!E429,0,F429*$B$8/12),F429*$B$8/12)</f>
      </c>
      <c r="H429" s="333">
        <f>$H$5*G429</f>
      </c>
      <c r="I429" s="333">
        <f>$I$5*G429</f>
      </c>
      <c r="J429" s="333">
        <f>+I429</f>
      </c>
      <c r="K429" s="333">
        <f>(1+$O$5)^(D429/12)*(H429+IF(AND(F429=1,F430=0),$S$4,0))</f>
      </c>
      <c r="L429" s="333">
        <f>(1+$O$5)^(D429/12)*(I429+IF(AND(F429=1,F430=0),0))</f>
      </c>
      <c r="M429" s="333">
        <f>+L429</f>
      </c>
      <c r="N429" s="333">
        <f>L429+K429+M429</f>
      </c>
      <c r="O429" s="170"/>
      <c r="P429" s="7"/>
      <c r="Q429" s="1"/>
      <c r="R429" s="331">
        <f>D429</f>
      </c>
      <c r="S429" s="169"/>
      <c r="T429" s="1"/>
      <c r="U429" s="217"/>
      <c r="V429" s="331">
        <f>+IF(V428=11,12,IF(V428=12,1,V428+1))</f>
      </c>
      <c r="W429" s="331">
        <f>+W428+IF(V428=12,1,0)</f>
      </c>
      <c r="X429" s="555">
        <f>+DATE(W429,V429,1)</f>
        <v>25569.041666666668</v>
      </c>
      <c r="Y429" s="333">
        <f>+_xlfn.IFNA(AN429+AS429+AX429,0)</f>
      </c>
      <c r="Z429" s="333">
        <f>+_xlfn.IFNA(AO429+AT429+AY429,0)</f>
      </c>
      <c r="AA429" s="333">
        <f>Y429*(1+$O$5)^(($B$7-X429)/365.25)</f>
      </c>
      <c r="AB429" s="333">
        <f>Z429*(1+$O$5)^(($B$7-X429)/365.25)</f>
      </c>
      <c r="AC429" s="1"/>
      <c r="AD429" s="1"/>
      <c r="AE429" s="1"/>
      <c r="AF429" s="111">
        <f>+MONTH(E429)&amp;YEAR(E429)</f>
      </c>
      <c r="AG429" s="217">
        <f>+I429</f>
      </c>
      <c r="AH429" s="217">
        <f>+J429</f>
      </c>
      <c r="AI429" s="217">
        <f>+H429</f>
      </c>
      <c r="AJ429" s="111">
        <f>+V429&amp;W429</f>
      </c>
      <c r="AK429" s="217">
        <f>+_xlfn.IFNA(VLOOKUP(AJ429,$AF$7:$AG$1066,2,0),0)</f>
      </c>
      <c r="AL429" s="217">
        <f>+IF(W429&gt;W428,AK429,AL428+AK429)</f>
      </c>
      <c r="AM429" s="217">
        <f>IF(W429&gt;W428,IF(AL429&gt;=$AZ$8,$AZ$8,AL429),IF(OR(AM428=$AZ$8,AM428=0),0,IF(AL429&gt;=$AZ$8,$AZ$8,AL429)))</f>
      </c>
      <c r="AN429" s="748">
        <f>+IF(OR(AM429&gt;AZ428,AM429=0),0,IF(AM429=AL429,AK429,$AZ$7-AL428))</f>
      </c>
      <c r="AO429" s="748">
        <f>+AK429-AN429</f>
      </c>
      <c r="AP429" s="217">
        <f>+_xlfn.IFNA(VLOOKUP(AJ429,$AF$7:$AI$1066,3,0),0)</f>
      </c>
      <c r="AQ429" s="217">
        <f>+IF(W429&gt;W428,AP429,AQ428+AP429)</f>
      </c>
      <c r="AR429" s="217">
        <f>+MAX($AM$2-SUMIF($W$7:$W$1066,W429,$AN$7:$AN$1066),0)</f>
      </c>
      <c r="AS429" s="748">
        <f>+MAX(IF(AQ429&gt;AR429,AR429-AQ428,AP429),0)</f>
      </c>
      <c r="AT429" s="748">
        <f>+AP429-AS429</f>
      </c>
      <c r="AU429" s="217">
        <f>+_xlfn.IFNA(VLOOKUP(AJ429,$AF$7:$AI$1066,4,0),0)</f>
      </c>
      <c r="AV429" s="217">
        <f>+IF(W429&gt;W428,AU429,AV428+AU429)</f>
      </c>
      <c r="AW429" s="217">
        <f>+MAX($AM$2-SUMIF($W$7:$W$1066,W429,$AN$7:$AN$1066)-SUMIF($W$7:$W$1066,W429,$AS$7:$AS$1066),0)</f>
      </c>
      <c r="AX429" s="748">
        <f>+MAX(IF(AV429&gt;AW429,AW429-AV428,AU429),0)</f>
      </c>
      <c r="AY429" s="748">
        <f>+AU429-AX429</f>
      </c>
      <c r="AZ429" s="331">
        <f>+$AM$1+IF($AP$1&gt;$AP$2,$AM$3/2)</f>
      </c>
    </row>
    <row x14ac:dyDescent="0.25" r="430" customHeight="1" ht="18.75">
      <c r="A430" s="1"/>
      <c r="B430" s="7"/>
      <c r="C430" s="170"/>
      <c r="D430" s="331">
        <v>423</v>
      </c>
      <c r="E430" s="544">
        <f>+DATE(YEAR(E429),MONTH(E429)-1,DAY(E429))</f>
        <v>25569.041666666668</v>
      </c>
      <c r="F430" s="333">
        <f>IF(DATE(YEAR($B$6),MONTH($B$6)+1,DAY(1))=E430,1,IF(MONTH(E430)=1,F431*(1+$F$5),F431))</f>
      </c>
      <c r="G430" s="333">
        <f>IF('Simulador - 1º Pilar'!$E$99="Sí",IF('Aportaciones PPE'!$B$13&lt;'Aportaciones PPE'!E430,0,F430*$B$8/12),F430*$B$8/12)</f>
      </c>
      <c r="H430" s="333">
        <f>$H$5*G430</f>
      </c>
      <c r="I430" s="333">
        <f>$I$5*G430</f>
      </c>
      <c r="J430" s="333">
        <f>+I430</f>
      </c>
      <c r="K430" s="333">
        <f>(1+$O$5)^(D430/12)*(H430+IF(AND(F430=1,F431=0),$S$4,0))</f>
      </c>
      <c r="L430" s="333">
        <f>(1+$O$5)^(D430/12)*(I430+IF(AND(F430=1,F431=0),0))</f>
      </c>
      <c r="M430" s="333">
        <f>+L430</f>
      </c>
      <c r="N430" s="333">
        <f>L430+K430+M430</f>
      </c>
      <c r="O430" s="170"/>
      <c r="P430" s="7"/>
      <c r="Q430" s="1"/>
      <c r="R430" s="331">
        <f>D430</f>
      </c>
      <c r="S430" s="169"/>
      <c r="T430" s="1"/>
      <c r="U430" s="217"/>
      <c r="V430" s="331">
        <f>+IF(V429=11,12,IF(V429=12,1,V429+1))</f>
      </c>
      <c r="W430" s="331">
        <f>+W429+IF(V429=12,1,0)</f>
      </c>
      <c r="X430" s="555">
        <f>+DATE(W430,V430,1)</f>
        <v>25569.041666666668</v>
      </c>
      <c r="Y430" s="333">
        <f>+_xlfn.IFNA(AN430+AS430+AX430,0)</f>
      </c>
      <c r="Z430" s="333">
        <f>+_xlfn.IFNA(AO430+AT430+AY430,0)</f>
      </c>
      <c r="AA430" s="333">
        <f>Y430*(1+$O$5)^(($B$7-X430)/365.25)</f>
      </c>
      <c r="AB430" s="333">
        <f>Z430*(1+$O$5)^(($B$7-X430)/365.25)</f>
      </c>
      <c r="AC430" s="1"/>
      <c r="AD430" s="1"/>
      <c r="AE430" s="1"/>
      <c r="AF430" s="111">
        <f>+MONTH(E430)&amp;YEAR(E430)</f>
      </c>
      <c r="AG430" s="217">
        <f>+I430</f>
      </c>
      <c r="AH430" s="217">
        <f>+J430</f>
      </c>
      <c r="AI430" s="217">
        <f>+H430</f>
      </c>
      <c r="AJ430" s="111">
        <f>+V430&amp;W430</f>
      </c>
      <c r="AK430" s="217">
        <f>+_xlfn.IFNA(VLOOKUP(AJ430,$AF$7:$AG$1066,2,0),0)</f>
      </c>
      <c r="AL430" s="217">
        <f>+IF(W430&gt;W429,AK430,AL429+AK430)</f>
      </c>
      <c r="AM430" s="217">
        <f>IF(W430&gt;W429,IF(AL430&gt;=$AZ$8,$AZ$8,AL430),IF(OR(AM429=$AZ$8,AM429=0),0,IF(AL430&gt;=$AZ$8,$AZ$8,AL430)))</f>
      </c>
      <c r="AN430" s="748">
        <f>+IF(OR(AM430&gt;AZ429,AM430=0),0,IF(AM430=AL430,AK430,$AZ$7-AL429))</f>
      </c>
      <c r="AO430" s="748">
        <f>+AK430-AN430</f>
      </c>
      <c r="AP430" s="217">
        <f>+_xlfn.IFNA(VLOOKUP(AJ430,$AF$7:$AI$1066,3,0),0)</f>
      </c>
      <c r="AQ430" s="217">
        <f>+IF(W430&gt;W429,AP430,AQ429+AP430)</f>
      </c>
      <c r="AR430" s="217">
        <f>+MAX($AM$2-SUMIF($W$7:$W$1066,W430,$AN$7:$AN$1066),0)</f>
      </c>
      <c r="AS430" s="748">
        <f>+MAX(IF(AQ430&gt;AR430,AR430-AQ429,AP430),0)</f>
      </c>
      <c r="AT430" s="748">
        <f>+AP430-AS430</f>
      </c>
      <c r="AU430" s="217">
        <f>+_xlfn.IFNA(VLOOKUP(AJ430,$AF$7:$AI$1066,4,0),0)</f>
      </c>
      <c r="AV430" s="217">
        <f>+IF(W430&gt;W429,AU430,AV429+AU430)</f>
      </c>
      <c r="AW430" s="217">
        <f>+MAX($AM$2-SUMIF($W$7:$W$1066,W430,$AN$7:$AN$1066)-SUMIF($W$7:$W$1066,W430,$AS$7:$AS$1066),0)</f>
      </c>
      <c r="AX430" s="748">
        <f>+MAX(IF(AV430&gt;AW430,AW430-AV429,AU430),0)</f>
      </c>
      <c r="AY430" s="748">
        <f>+AU430-AX430</f>
      </c>
      <c r="AZ430" s="331">
        <f>+$AM$1+IF($AP$1&gt;$AP$2,$AM$3/2)</f>
      </c>
    </row>
    <row x14ac:dyDescent="0.25" r="431" customHeight="1" ht="18.75">
      <c r="A431" s="1"/>
      <c r="B431" s="7"/>
      <c r="C431" s="170"/>
      <c r="D431" s="331">
        <v>424</v>
      </c>
      <c r="E431" s="544">
        <f>+DATE(YEAR(E430),MONTH(E430)-1,DAY(E430))</f>
        <v>25569.041666666668</v>
      </c>
      <c r="F431" s="333">
        <f>IF(DATE(YEAR($B$6),MONTH($B$6)+1,DAY(1))=E431,1,IF(MONTH(E431)=1,F432*(1+$F$5),F432))</f>
      </c>
      <c r="G431" s="333">
        <f>IF('Simulador - 1º Pilar'!$E$99="Sí",IF('Aportaciones PPE'!$B$13&lt;'Aportaciones PPE'!E431,0,F431*$B$8/12),F431*$B$8/12)</f>
      </c>
      <c r="H431" s="333">
        <f>$H$5*G431</f>
      </c>
      <c r="I431" s="333">
        <f>$I$5*G431</f>
      </c>
      <c r="J431" s="333">
        <f>+I431</f>
      </c>
      <c r="K431" s="333">
        <f>(1+$O$5)^(D431/12)*(H431+IF(AND(F431=1,F432=0),$S$4,0))</f>
      </c>
      <c r="L431" s="333">
        <f>(1+$O$5)^(D431/12)*(I431+IF(AND(F431=1,F432=0),0))</f>
      </c>
      <c r="M431" s="333">
        <f>+L431</f>
      </c>
      <c r="N431" s="333">
        <f>L431+K431+M431</f>
      </c>
      <c r="O431" s="170"/>
      <c r="P431" s="7"/>
      <c r="Q431" s="1"/>
      <c r="R431" s="331">
        <f>D431</f>
      </c>
      <c r="S431" s="169"/>
      <c r="T431" s="1"/>
      <c r="U431" s="217"/>
      <c r="V431" s="331">
        <f>+IF(V430=11,12,IF(V430=12,1,V430+1))</f>
      </c>
      <c r="W431" s="331">
        <f>+W430+IF(V430=12,1,0)</f>
      </c>
      <c r="X431" s="555">
        <f>+DATE(W431,V431,1)</f>
        <v>25569.041666666668</v>
      </c>
      <c r="Y431" s="333">
        <f>+_xlfn.IFNA(AN431+AS431+AX431,0)</f>
      </c>
      <c r="Z431" s="333">
        <f>+_xlfn.IFNA(AO431+AT431+AY431,0)</f>
      </c>
      <c r="AA431" s="333">
        <f>Y431*(1+$O$5)^(($B$7-X431)/365.25)</f>
      </c>
      <c r="AB431" s="333">
        <f>Z431*(1+$O$5)^(($B$7-X431)/365.25)</f>
      </c>
      <c r="AC431" s="1"/>
      <c r="AD431" s="1"/>
      <c r="AE431" s="1"/>
      <c r="AF431" s="111">
        <f>+MONTH(E431)&amp;YEAR(E431)</f>
      </c>
      <c r="AG431" s="217">
        <f>+I431</f>
      </c>
      <c r="AH431" s="217">
        <f>+J431</f>
      </c>
      <c r="AI431" s="217">
        <f>+H431</f>
      </c>
      <c r="AJ431" s="111">
        <f>+V431&amp;W431</f>
      </c>
      <c r="AK431" s="217">
        <f>+_xlfn.IFNA(VLOOKUP(AJ431,$AF$7:$AG$1066,2,0),0)</f>
      </c>
      <c r="AL431" s="217">
        <f>+IF(W431&gt;W430,AK431,AL430+AK431)</f>
      </c>
      <c r="AM431" s="217">
        <f>IF(W431&gt;W430,IF(AL431&gt;=$AZ$8,$AZ$8,AL431),IF(OR(AM430=$AZ$8,AM430=0),0,IF(AL431&gt;=$AZ$8,$AZ$8,AL431)))</f>
      </c>
      <c r="AN431" s="748">
        <f>+IF(OR(AM431&gt;AZ430,AM431=0),0,IF(AM431=AL431,AK431,$AZ$7-AL430))</f>
      </c>
      <c r="AO431" s="748">
        <f>+AK431-AN431</f>
      </c>
      <c r="AP431" s="217">
        <f>+_xlfn.IFNA(VLOOKUP(AJ431,$AF$7:$AI$1066,3,0),0)</f>
      </c>
      <c r="AQ431" s="217">
        <f>+IF(W431&gt;W430,AP431,AQ430+AP431)</f>
      </c>
      <c r="AR431" s="217">
        <f>+MAX($AM$2-SUMIF($W$7:$W$1066,W431,$AN$7:$AN$1066),0)</f>
      </c>
      <c r="AS431" s="748">
        <f>+MAX(IF(AQ431&gt;AR431,AR431-AQ430,AP431),0)</f>
      </c>
      <c r="AT431" s="748">
        <f>+AP431-AS431</f>
      </c>
      <c r="AU431" s="217">
        <f>+_xlfn.IFNA(VLOOKUP(AJ431,$AF$7:$AI$1066,4,0),0)</f>
      </c>
      <c r="AV431" s="217">
        <f>+IF(W431&gt;W430,AU431,AV430+AU431)</f>
      </c>
      <c r="AW431" s="217">
        <f>+MAX($AM$2-SUMIF($W$7:$W$1066,W431,$AN$7:$AN$1066)-SUMIF($W$7:$W$1066,W431,$AS$7:$AS$1066),0)</f>
      </c>
      <c r="AX431" s="748">
        <f>+MAX(IF(AV431&gt;AW431,AW431-AV430,AU431),0)</f>
      </c>
      <c r="AY431" s="748">
        <f>+AU431-AX431</f>
      </c>
      <c r="AZ431" s="331">
        <f>+$AM$1+IF($AP$1&gt;$AP$2,$AM$3/2)</f>
      </c>
    </row>
    <row x14ac:dyDescent="0.25" r="432" customHeight="1" ht="18.75">
      <c r="A432" s="1"/>
      <c r="B432" s="7"/>
      <c r="C432" s="170"/>
      <c r="D432" s="331">
        <v>425</v>
      </c>
      <c r="E432" s="544">
        <f>+DATE(YEAR(E431),MONTH(E431)-1,DAY(E431))</f>
        <v>25569.041666666668</v>
      </c>
      <c r="F432" s="333">
        <f>IF(DATE(YEAR($B$6),MONTH($B$6)+1,DAY(1))=E432,1,IF(MONTH(E432)=1,F433*(1+$F$5),F433))</f>
      </c>
      <c r="G432" s="333">
        <f>IF('Simulador - 1º Pilar'!$E$99="Sí",IF('Aportaciones PPE'!$B$13&lt;'Aportaciones PPE'!E432,0,F432*$B$8/12),F432*$B$8/12)</f>
      </c>
      <c r="H432" s="333">
        <f>$H$5*G432</f>
      </c>
      <c r="I432" s="333">
        <f>$I$5*G432</f>
      </c>
      <c r="J432" s="333">
        <f>+I432</f>
      </c>
      <c r="K432" s="333">
        <f>(1+$O$5)^(D432/12)*(H432+IF(AND(F432=1,F433=0),$S$4,0))</f>
      </c>
      <c r="L432" s="333">
        <f>(1+$O$5)^(D432/12)*(I432+IF(AND(F432=1,F433=0),0))</f>
      </c>
      <c r="M432" s="333">
        <f>+L432</f>
      </c>
      <c r="N432" s="333">
        <f>L432+K432+M432</f>
      </c>
      <c r="O432" s="170"/>
      <c r="P432" s="7"/>
      <c r="Q432" s="1"/>
      <c r="R432" s="331">
        <f>D432</f>
      </c>
      <c r="S432" s="169"/>
      <c r="T432" s="1"/>
      <c r="U432" s="217"/>
      <c r="V432" s="331">
        <f>+IF(V431=11,12,IF(V431=12,1,V431+1))</f>
      </c>
      <c r="W432" s="331">
        <f>+W431+IF(V431=12,1,0)</f>
      </c>
      <c r="X432" s="555">
        <f>+DATE(W432,V432,1)</f>
        <v>25569.041666666668</v>
      </c>
      <c r="Y432" s="333">
        <f>+_xlfn.IFNA(AN432+AS432+AX432,0)</f>
      </c>
      <c r="Z432" s="333">
        <f>+_xlfn.IFNA(AO432+AT432+AY432,0)</f>
      </c>
      <c r="AA432" s="333">
        <f>Y432*(1+$O$5)^(($B$7-X432)/365.25)</f>
      </c>
      <c r="AB432" s="333">
        <f>Z432*(1+$O$5)^(($B$7-X432)/365.25)</f>
      </c>
      <c r="AC432" s="1"/>
      <c r="AD432" s="1"/>
      <c r="AE432" s="1"/>
      <c r="AF432" s="111">
        <f>+MONTH(E432)&amp;YEAR(E432)</f>
      </c>
      <c r="AG432" s="217">
        <f>+I432</f>
      </c>
      <c r="AH432" s="217">
        <f>+J432</f>
      </c>
      <c r="AI432" s="217">
        <f>+H432</f>
      </c>
      <c r="AJ432" s="111">
        <f>+V432&amp;W432</f>
      </c>
      <c r="AK432" s="217">
        <f>+_xlfn.IFNA(VLOOKUP(AJ432,$AF$7:$AG$1066,2,0),0)</f>
      </c>
      <c r="AL432" s="217">
        <f>+IF(W432&gt;W431,AK432,AL431+AK432)</f>
      </c>
      <c r="AM432" s="217">
        <f>IF(W432&gt;W431,IF(AL432&gt;=$AZ$8,$AZ$8,AL432),IF(OR(AM431=$AZ$8,AM431=0),0,IF(AL432&gt;=$AZ$8,$AZ$8,AL432)))</f>
      </c>
      <c r="AN432" s="748">
        <f>+IF(OR(AM432&gt;AZ431,AM432=0),0,IF(AM432=AL432,AK432,$AZ$7-AL431))</f>
      </c>
      <c r="AO432" s="748">
        <f>+AK432-AN432</f>
      </c>
      <c r="AP432" s="217">
        <f>+_xlfn.IFNA(VLOOKUP(AJ432,$AF$7:$AI$1066,3,0),0)</f>
      </c>
      <c r="AQ432" s="217">
        <f>+IF(W432&gt;W431,AP432,AQ431+AP432)</f>
      </c>
      <c r="AR432" s="217">
        <f>+MAX($AM$2-SUMIF($W$7:$W$1066,W432,$AN$7:$AN$1066),0)</f>
      </c>
      <c r="AS432" s="748">
        <f>+MAX(IF(AQ432&gt;AR432,AR432-AQ431,AP432),0)</f>
      </c>
      <c r="AT432" s="748">
        <f>+AP432-AS432</f>
      </c>
      <c r="AU432" s="217">
        <f>+_xlfn.IFNA(VLOOKUP(AJ432,$AF$7:$AI$1066,4,0),0)</f>
      </c>
      <c r="AV432" s="217">
        <f>+IF(W432&gt;W431,AU432,AV431+AU432)</f>
      </c>
      <c r="AW432" s="217">
        <f>+MAX($AM$2-SUMIF($W$7:$W$1066,W432,$AN$7:$AN$1066)-SUMIF($W$7:$W$1066,W432,$AS$7:$AS$1066),0)</f>
      </c>
      <c r="AX432" s="748">
        <f>+MAX(IF(AV432&gt;AW432,AW432-AV431,AU432),0)</f>
      </c>
      <c r="AY432" s="748">
        <f>+AU432-AX432</f>
      </c>
      <c r="AZ432" s="331">
        <f>+$AM$1+IF($AP$1&gt;$AP$2,$AM$3/2)</f>
      </c>
    </row>
    <row x14ac:dyDescent="0.25" r="433" customHeight="1" ht="18.75">
      <c r="A433" s="1"/>
      <c r="B433" s="7"/>
      <c r="C433" s="170"/>
      <c r="D433" s="331">
        <v>426</v>
      </c>
      <c r="E433" s="544">
        <f>+DATE(YEAR(E432),MONTH(E432)-1,DAY(E432))</f>
        <v>25569.041666666668</v>
      </c>
      <c r="F433" s="333">
        <f>IF(DATE(YEAR($B$6),MONTH($B$6)+1,DAY(1))=E433,1,IF(MONTH(E433)=1,F434*(1+$F$5),F434))</f>
      </c>
      <c r="G433" s="333">
        <f>IF('Simulador - 1º Pilar'!$E$99="Sí",IF('Aportaciones PPE'!$B$13&lt;'Aportaciones PPE'!E433,0,F433*$B$8/12),F433*$B$8/12)</f>
      </c>
      <c r="H433" s="333">
        <f>$H$5*G433</f>
      </c>
      <c r="I433" s="333">
        <f>$I$5*G433</f>
      </c>
      <c r="J433" s="333">
        <f>+I433</f>
      </c>
      <c r="K433" s="333">
        <f>(1+$O$5)^(D433/12)*(H433+IF(AND(F433=1,F434=0),$S$4,0))</f>
      </c>
      <c r="L433" s="333">
        <f>(1+$O$5)^(D433/12)*(I433+IF(AND(F433=1,F434=0),0))</f>
      </c>
      <c r="M433" s="333">
        <f>+L433</f>
      </c>
      <c r="N433" s="333">
        <f>L433+K433+M433</f>
      </c>
      <c r="O433" s="170"/>
      <c r="P433" s="7"/>
      <c r="Q433" s="1"/>
      <c r="R433" s="331">
        <f>D433</f>
      </c>
      <c r="S433" s="169"/>
      <c r="T433" s="1"/>
      <c r="U433" s="217"/>
      <c r="V433" s="331">
        <f>+IF(V432=11,12,IF(V432=12,1,V432+1))</f>
      </c>
      <c r="W433" s="331">
        <f>+W432+IF(V432=12,1,0)</f>
      </c>
      <c r="X433" s="555">
        <f>+DATE(W433,V433,1)</f>
        <v>25569.041666666668</v>
      </c>
      <c r="Y433" s="333">
        <f>+_xlfn.IFNA(AN433+AS433+AX433,0)</f>
      </c>
      <c r="Z433" s="333">
        <f>+_xlfn.IFNA(AO433+AT433+AY433,0)</f>
      </c>
      <c r="AA433" s="333">
        <f>Y433*(1+$O$5)^(($B$7-X433)/365.25)</f>
      </c>
      <c r="AB433" s="333">
        <f>Z433*(1+$O$5)^(($B$7-X433)/365.25)</f>
      </c>
      <c r="AC433" s="1"/>
      <c r="AD433" s="1"/>
      <c r="AE433" s="1"/>
      <c r="AF433" s="111">
        <f>+MONTH(E433)&amp;YEAR(E433)</f>
      </c>
      <c r="AG433" s="217">
        <f>+I433</f>
      </c>
      <c r="AH433" s="217">
        <f>+J433</f>
      </c>
      <c r="AI433" s="217">
        <f>+H433</f>
      </c>
      <c r="AJ433" s="111">
        <f>+V433&amp;W433</f>
      </c>
      <c r="AK433" s="217">
        <f>+_xlfn.IFNA(VLOOKUP(AJ433,$AF$7:$AG$1066,2,0),0)</f>
      </c>
      <c r="AL433" s="217">
        <f>+IF(W433&gt;W432,AK433,AL432+AK433)</f>
      </c>
      <c r="AM433" s="217">
        <f>IF(W433&gt;W432,IF(AL433&gt;=$AZ$8,$AZ$8,AL433),IF(OR(AM432=$AZ$8,AM432=0),0,IF(AL433&gt;=$AZ$8,$AZ$8,AL433)))</f>
      </c>
      <c r="AN433" s="748">
        <f>+IF(OR(AM433&gt;AZ432,AM433=0),0,IF(AM433=AL433,AK433,$AZ$7-AL432))</f>
      </c>
      <c r="AO433" s="748">
        <f>+AK433-AN433</f>
      </c>
      <c r="AP433" s="217">
        <f>+_xlfn.IFNA(VLOOKUP(AJ433,$AF$7:$AI$1066,3,0),0)</f>
      </c>
      <c r="AQ433" s="217">
        <f>+IF(W433&gt;W432,AP433,AQ432+AP433)</f>
      </c>
      <c r="AR433" s="217">
        <f>+MAX($AM$2-SUMIF($W$7:$W$1066,W433,$AN$7:$AN$1066),0)</f>
      </c>
      <c r="AS433" s="748">
        <f>+MAX(IF(AQ433&gt;AR433,AR433-AQ432,AP433),0)</f>
      </c>
      <c r="AT433" s="748">
        <f>+AP433-AS433</f>
      </c>
      <c r="AU433" s="217">
        <f>+_xlfn.IFNA(VLOOKUP(AJ433,$AF$7:$AI$1066,4,0),0)</f>
      </c>
      <c r="AV433" s="217">
        <f>+IF(W433&gt;W432,AU433,AV432+AU433)</f>
      </c>
      <c r="AW433" s="217">
        <f>+MAX($AM$2-SUMIF($W$7:$W$1066,W433,$AN$7:$AN$1066)-SUMIF($W$7:$W$1066,W433,$AS$7:$AS$1066),0)</f>
      </c>
      <c r="AX433" s="748">
        <f>+MAX(IF(AV433&gt;AW433,AW433-AV432,AU433),0)</f>
      </c>
      <c r="AY433" s="748">
        <f>+AU433-AX433</f>
      </c>
      <c r="AZ433" s="331">
        <f>+$AM$1+IF($AP$1&gt;$AP$2,$AM$3/2)</f>
      </c>
    </row>
    <row x14ac:dyDescent="0.25" r="434" customHeight="1" ht="18.75">
      <c r="A434" s="1"/>
      <c r="B434" s="7"/>
      <c r="C434" s="170"/>
      <c r="D434" s="331">
        <v>427</v>
      </c>
      <c r="E434" s="544">
        <f>+DATE(YEAR(E433),MONTH(E433)-1,DAY(E433))</f>
        <v>25569.041666666668</v>
      </c>
      <c r="F434" s="333">
        <f>IF(DATE(YEAR($B$6),MONTH($B$6)+1,DAY(1))=E434,1,IF(MONTH(E434)=1,F435*(1+$F$5),F435))</f>
      </c>
      <c r="G434" s="333">
        <f>IF('Simulador - 1º Pilar'!$E$99="Sí",IF('Aportaciones PPE'!$B$13&lt;'Aportaciones PPE'!E434,0,F434*$B$8/12),F434*$B$8/12)</f>
      </c>
      <c r="H434" s="333">
        <f>$H$5*G434</f>
      </c>
      <c r="I434" s="333">
        <f>$I$5*G434</f>
      </c>
      <c r="J434" s="333">
        <f>+I434</f>
      </c>
      <c r="K434" s="333">
        <f>(1+$O$5)^(D434/12)*(H434+IF(AND(F434=1,F435=0),$S$4,0))</f>
      </c>
      <c r="L434" s="333">
        <f>(1+$O$5)^(D434/12)*(I434+IF(AND(F434=1,F435=0),0))</f>
      </c>
      <c r="M434" s="333">
        <f>+L434</f>
      </c>
      <c r="N434" s="333">
        <f>L434+K434+M434</f>
      </c>
      <c r="O434" s="170"/>
      <c r="P434" s="7"/>
      <c r="Q434" s="1"/>
      <c r="R434" s="331">
        <f>D434</f>
      </c>
      <c r="S434" s="169"/>
      <c r="T434" s="1"/>
      <c r="U434" s="217"/>
      <c r="V434" s="331">
        <f>+IF(V433=11,12,IF(V433=12,1,V433+1))</f>
      </c>
      <c r="W434" s="331">
        <f>+W433+IF(V433=12,1,0)</f>
      </c>
      <c r="X434" s="555">
        <f>+DATE(W434,V434,1)</f>
        <v>25569.041666666668</v>
      </c>
      <c r="Y434" s="333">
        <f>+_xlfn.IFNA(AN434+AS434+AX434,0)</f>
      </c>
      <c r="Z434" s="333">
        <f>+_xlfn.IFNA(AO434+AT434+AY434,0)</f>
      </c>
      <c r="AA434" s="333">
        <f>Y434*(1+$O$5)^(($B$7-X434)/365.25)</f>
      </c>
      <c r="AB434" s="333">
        <f>Z434*(1+$O$5)^(($B$7-X434)/365.25)</f>
      </c>
      <c r="AC434" s="1"/>
      <c r="AD434" s="1"/>
      <c r="AE434" s="1"/>
      <c r="AF434" s="111">
        <f>+MONTH(E434)&amp;YEAR(E434)</f>
      </c>
      <c r="AG434" s="217">
        <f>+I434</f>
      </c>
      <c r="AH434" s="217">
        <f>+J434</f>
      </c>
      <c r="AI434" s="217">
        <f>+H434</f>
      </c>
      <c r="AJ434" s="111">
        <f>+V434&amp;W434</f>
      </c>
      <c r="AK434" s="217">
        <f>+_xlfn.IFNA(VLOOKUP(AJ434,$AF$7:$AG$1066,2,0),0)</f>
      </c>
      <c r="AL434" s="217">
        <f>+IF(W434&gt;W433,AK434,AL433+AK434)</f>
      </c>
      <c r="AM434" s="217">
        <f>IF(W434&gt;W433,IF(AL434&gt;=$AZ$8,$AZ$8,AL434),IF(OR(AM433=$AZ$8,AM433=0),0,IF(AL434&gt;=$AZ$8,$AZ$8,AL434)))</f>
      </c>
      <c r="AN434" s="748">
        <f>+IF(OR(AM434&gt;AZ433,AM434=0),0,IF(AM434=AL434,AK434,$AZ$7-AL433))</f>
      </c>
      <c r="AO434" s="748">
        <f>+AK434-AN434</f>
      </c>
      <c r="AP434" s="217">
        <f>+_xlfn.IFNA(VLOOKUP(AJ434,$AF$7:$AI$1066,3,0),0)</f>
      </c>
      <c r="AQ434" s="217">
        <f>+IF(W434&gt;W433,AP434,AQ433+AP434)</f>
      </c>
      <c r="AR434" s="217">
        <f>+MAX($AM$2-SUMIF($W$7:$W$1066,W434,$AN$7:$AN$1066),0)</f>
      </c>
      <c r="AS434" s="748">
        <f>+MAX(IF(AQ434&gt;AR434,AR434-AQ433,AP434),0)</f>
      </c>
      <c r="AT434" s="748">
        <f>+AP434-AS434</f>
      </c>
      <c r="AU434" s="217">
        <f>+_xlfn.IFNA(VLOOKUP(AJ434,$AF$7:$AI$1066,4,0),0)</f>
      </c>
      <c r="AV434" s="217">
        <f>+IF(W434&gt;W433,AU434,AV433+AU434)</f>
      </c>
      <c r="AW434" s="217">
        <f>+MAX($AM$2-SUMIF($W$7:$W$1066,W434,$AN$7:$AN$1066)-SUMIF($W$7:$W$1066,W434,$AS$7:$AS$1066),0)</f>
      </c>
      <c r="AX434" s="748">
        <f>+MAX(IF(AV434&gt;AW434,AW434-AV433,AU434),0)</f>
      </c>
      <c r="AY434" s="748">
        <f>+AU434-AX434</f>
      </c>
      <c r="AZ434" s="331">
        <f>+$AM$1+IF($AP$1&gt;$AP$2,$AM$3/2)</f>
      </c>
    </row>
    <row x14ac:dyDescent="0.25" r="435" customHeight="1" ht="18.75">
      <c r="A435" s="1"/>
      <c r="B435" s="7"/>
      <c r="C435" s="170"/>
      <c r="D435" s="331">
        <v>428</v>
      </c>
      <c r="E435" s="544">
        <f>+DATE(YEAR(E434),MONTH(E434)-1,DAY(E434))</f>
        <v>25569.041666666668</v>
      </c>
      <c r="F435" s="333">
        <f>IF(DATE(YEAR($B$6),MONTH($B$6)+1,DAY(1))=E435,1,IF(MONTH(E435)=1,F436*(1+$F$5),F436))</f>
      </c>
      <c r="G435" s="333">
        <f>IF('Simulador - 1º Pilar'!$E$99="Sí",IF('Aportaciones PPE'!$B$13&lt;'Aportaciones PPE'!E435,0,F435*$B$8/12),F435*$B$8/12)</f>
      </c>
      <c r="H435" s="333">
        <f>$H$5*G435</f>
      </c>
      <c r="I435" s="333">
        <f>$I$5*G435</f>
      </c>
      <c r="J435" s="333">
        <f>+I435</f>
      </c>
      <c r="K435" s="333">
        <f>(1+$O$5)^(D435/12)*(H435+IF(AND(F435=1,F436=0),$S$4,0))</f>
      </c>
      <c r="L435" s="333">
        <f>(1+$O$5)^(D435/12)*(I435+IF(AND(F435=1,F436=0),0))</f>
      </c>
      <c r="M435" s="333">
        <f>+L435</f>
      </c>
      <c r="N435" s="333">
        <f>L435+K435+M435</f>
      </c>
      <c r="O435" s="170"/>
      <c r="P435" s="7"/>
      <c r="Q435" s="1"/>
      <c r="R435" s="331">
        <f>D435</f>
      </c>
      <c r="S435" s="169"/>
      <c r="T435" s="1"/>
      <c r="U435" s="217"/>
      <c r="V435" s="331">
        <f>+IF(V434=11,12,IF(V434=12,1,V434+1))</f>
      </c>
      <c r="W435" s="331">
        <f>+W434+IF(V434=12,1,0)</f>
      </c>
      <c r="X435" s="555">
        <f>+DATE(W435,V435,1)</f>
        <v>25569.041666666668</v>
      </c>
      <c r="Y435" s="333">
        <f>+_xlfn.IFNA(AN435+AS435+AX435,0)</f>
      </c>
      <c r="Z435" s="333">
        <f>+_xlfn.IFNA(AO435+AT435+AY435,0)</f>
      </c>
      <c r="AA435" s="333">
        <f>Y435*(1+$O$5)^(($B$7-X435)/365.25)</f>
      </c>
      <c r="AB435" s="333">
        <f>Z435*(1+$O$5)^(($B$7-X435)/365.25)</f>
      </c>
      <c r="AC435" s="1"/>
      <c r="AD435" s="1"/>
      <c r="AE435" s="1"/>
      <c r="AF435" s="111">
        <f>+MONTH(E435)&amp;YEAR(E435)</f>
      </c>
      <c r="AG435" s="217">
        <f>+I435</f>
      </c>
      <c r="AH435" s="217">
        <f>+J435</f>
      </c>
      <c r="AI435" s="217">
        <f>+H435</f>
      </c>
      <c r="AJ435" s="111">
        <f>+V435&amp;W435</f>
      </c>
      <c r="AK435" s="217">
        <f>+_xlfn.IFNA(VLOOKUP(AJ435,$AF$7:$AG$1066,2,0),0)</f>
      </c>
      <c r="AL435" s="217">
        <f>+IF(W435&gt;W434,AK435,AL434+AK435)</f>
      </c>
      <c r="AM435" s="217">
        <f>IF(W435&gt;W434,IF(AL435&gt;=$AZ$8,$AZ$8,AL435),IF(OR(AM434=$AZ$8,AM434=0),0,IF(AL435&gt;=$AZ$8,$AZ$8,AL435)))</f>
      </c>
      <c r="AN435" s="748">
        <f>+IF(OR(AM435&gt;AZ434,AM435=0),0,IF(AM435=AL435,AK435,$AZ$7-AL434))</f>
      </c>
      <c r="AO435" s="748">
        <f>+AK435-AN435</f>
      </c>
      <c r="AP435" s="217">
        <f>+_xlfn.IFNA(VLOOKUP(AJ435,$AF$7:$AI$1066,3,0),0)</f>
      </c>
      <c r="AQ435" s="217">
        <f>+IF(W435&gt;W434,AP435,AQ434+AP435)</f>
      </c>
      <c r="AR435" s="217">
        <f>+MAX($AM$2-SUMIF($W$7:$W$1066,W435,$AN$7:$AN$1066),0)</f>
      </c>
      <c r="AS435" s="748">
        <f>+MAX(IF(AQ435&gt;AR435,AR435-AQ434,AP435),0)</f>
      </c>
      <c r="AT435" s="748">
        <f>+AP435-AS435</f>
      </c>
      <c r="AU435" s="217">
        <f>+_xlfn.IFNA(VLOOKUP(AJ435,$AF$7:$AI$1066,4,0),0)</f>
      </c>
      <c r="AV435" s="217">
        <f>+IF(W435&gt;W434,AU435,AV434+AU435)</f>
      </c>
      <c r="AW435" s="217">
        <f>+MAX($AM$2-SUMIF($W$7:$W$1066,W435,$AN$7:$AN$1066)-SUMIF($W$7:$W$1066,W435,$AS$7:$AS$1066),0)</f>
      </c>
      <c r="AX435" s="748">
        <f>+MAX(IF(AV435&gt;AW435,AW435-AV434,AU435),0)</f>
      </c>
      <c r="AY435" s="748">
        <f>+AU435-AX435</f>
      </c>
      <c r="AZ435" s="331">
        <f>+$AM$1+IF($AP$1&gt;$AP$2,$AM$3/2)</f>
      </c>
    </row>
    <row x14ac:dyDescent="0.25" r="436" customHeight="1" ht="18.75">
      <c r="A436" s="1"/>
      <c r="B436" s="7"/>
      <c r="C436" s="170"/>
      <c r="D436" s="331">
        <v>429</v>
      </c>
      <c r="E436" s="544">
        <f>+DATE(YEAR(E435),MONTH(E435)-1,DAY(E435))</f>
        <v>25569.041666666668</v>
      </c>
      <c r="F436" s="333">
        <f>IF(DATE(YEAR($B$6),MONTH($B$6)+1,DAY(1))=E436,1,IF(MONTH(E436)=1,F437*(1+$F$5),F437))</f>
      </c>
      <c r="G436" s="333">
        <f>IF('Simulador - 1º Pilar'!$E$99="Sí",IF('Aportaciones PPE'!$B$13&lt;'Aportaciones PPE'!E436,0,F436*$B$8/12),F436*$B$8/12)</f>
      </c>
      <c r="H436" s="333">
        <f>$H$5*G436</f>
      </c>
      <c r="I436" s="333">
        <f>$I$5*G436</f>
      </c>
      <c r="J436" s="333">
        <f>+I436</f>
      </c>
      <c r="K436" s="333">
        <f>(1+$O$5)^(D436/12)*(H436+IF(AND(F436=1,F437=0),$S$4,0))</f>
      </c>
      <c r="L436" s="333">
        <f>(1+$O$5)^(D436/12)*(I436+IF(AND(F436=1,F437=0),0))</f>
      </c>
      <c r="M436" s="333">
        <f>+L436</f>
      </c>
      <c r="N436" s="333">
        <f>L436+K436+M436</f>
      </c>
      <c r="O436" s="170"/>
      <c r="P436" s="7"/>
      <c r="Q436" s="1"/>
      <c r="R436" s="331">
        <f>D436</f>
      </c>
      <c r="S436" s="169"/>
      <c r="T436" s="1"/>
      <c r="U436" s="217"/>
      <c r="V436" s="331">
        <f>+IF(V435=11,12,IF(V435=12,1,V435+1))</f>
      </c>
      <c r="W436" s="331">
        <f>+W435+IF(V435=12,1,0)</f>
      </c>
      <c r="X436" s="555">
        <f>+DATE(W436,V436,1)</f>
        <v>25569.041666666668</v>
      </c>
      <c r="Y436" s="333">
        <f>+_xlfn.IFNA(AN436+AS436+AX436,0)</f>
      </c>
      <c r="Z436" s="333">
        <f>+_xlfn.IFNA(AO436+AT436+AY436,0)</f>
      </c>
      <c r="AA436" s="333">
        <f>Y436*(1+$O$5)^(($B$7-X436)/365.25)</f>
      </c>
      <c r="AB436" s="333">
        <f>Z436*(1+$O$5)^(($B$7-X436)/365.25)</f>
      </c>
      <c r="AC436" s="1"/>
      <c r="AD436" s="1"/>
      <c r="AE436" s="1"/>
      <c r="AF436" s="111">
        <f>+MONTH(E436)&amp;YEAR(E436)</f>
      </c>
      <c r="AG436" s="217">
        <f>+I436</f>
      </c>
      <c r="AH436" s="217">
        <f>+J436</f>
      </c>
      <c r="AI436" s="217">
        <f>+H436</f>
      </c>
      <c r="AJ436" s="111">
        <f>+V436&amp;W436</f>
      </c>
      <c r="AK436" s="217">
        <f>+_xlfn.IFNA(VLOOKUP(AJ436,$AF$7:$AG$1066,2,0),0)</f>
      </c>
      <c r="AL436" s="217">
        <f>+IF(W436&gt;W435,AK436,AL435+AK436)</f>
      </c>
      <c r="AM436" s="217">
        <f>IF(W436&gt;W435,IF(AL436&gt;=$AZ$8,$AZ$8,AL436),IF(OR(AM435=$AZ$8,AM435=0),0,IF(AL436&gt;=$AZ$8,$AZ$8,AL436)))</f>
      </c>
      <c r="AN436" s="748">
        <f>+IF(OR(AM436&gt;AZ435,AM436=0),0,IF(AM436=AL436,AK436,$AZ$7-AL435))</f>
      </c>
      <c r="AO436" s="748">
        <f>+AK436-AN436</f>
      </c>
      <c r="AP436" s="217">
        <f>+_xlfn.IFNA(VLOOKUP(AJ436,$AF$7:$AI$1066,3,0),0)</f>
      </c>
      <c r="AQ436" s="217">
        <f>+IF(W436&gt;W435,AP436,AQ435+AP436)</f>
      </c>
      <c r="AR436" s="217">
        <f>+MAX($AM$2-SUMIF($W$7:$W$1066,W436,$AN$7:$AN$1066),0)</f>
      </c>
      <c r="AS436" s="748">
        <f>+MAX(IF(AQ436&gt;AR436,AR436-AQ435,AP436),0)</f>
      </c>
      <c r="AT436" s="748">
        <f>+AP436-AS436</f>
      </c>
      <c r="AU436" s="217">
        <f>+_xlfn.IFNA(VLOOKUP(AJ436,$AF$7:$AI$1066,4,0),0)</f>
      </c>
      <c r="AV436" s="217">
        <f>+IF(W436&gt;W435,AU436,AV435+AU436)</f>
      </c>
      <c r="AW436" s="217">
        <f>+MAX($AM$2-SUMIF($W$7:$W$1066,W436,$AN$7:$AN$1066)-SUMIF($W$7:$W$1066,W436,$AS$7:$AS$1066),0)</f>
      </c>
      <c r="AX436" s="748">
        <f>+MAX(IF(AV436&gt;AW436,AW436-AV435,AU436),0)</f>
      </c>
      <c r="AY436" s="748">
        <f>+AU436-AX436</f>
      </c>
      <c r="AZ436" s="331">
        <f>+$AM$1+IF($AP$1&gt;$AP$2,$AM$3/2)</f>
      </c>
    </row>
    <row x14ac:dyDescent="0.25" r="437" customHeight="1" ht="18.75">
      <c r="A437" s="1"/>
      <c r="B437" s="7"/>
      <c r="C437" s="170"/>
      <c r="D437" s="331">
        <v>430</v>
      </c>
      <c r="E437" s="544">
        <f>+DATE(YEAR(E436),MONTH(E436)-1,DAY(E436))</f>
        <v>25569.041666666668</v>
      </c>
      <c r="F437" s="333">
        <f>IF(DATE(YEAR($B$6),MONTH($B$6)+1,DAY(1))=E437,1,IF(MONTH(E437)=1,F438*(1+$F$5),F438))</f>
      </c>
      <c r="G437" s="333">
        <f>IF('Simulador - 1º Pilar'!$E$99="Sí",IF('Aportaciones PPE'!$B$13&lt;'Aportaciones PPE'!E437,0,F437*$B$8/12),F437*$B$8/12)</f>
      </c>
      <c r="H437" s="333">
        <f>$H$5*G437</f>
      </c>
      <c r="I437" s="333">
        <f>$I$5*G437</f>
      </c>
      <c r="J437" s="333">
        <f>+I437</f>
      </c>
      <c r="K437" s="333">
        <f>(1+$O$5)^(D437/12)*(H437+IF(AND(F437=1,F438=0),$S$4,0))</f>
      </c>
      <c r="L437" s="333">
        <f>(1+$O$5)^(D437/12)*(I437+IF(AND(F437=1,F438=0),0))</f>
      </c>
      <c r="M437" s="333">
        <f>+L437</f>
      </c>
      <c r="N437" s="333">
        <f>L437+K437+M437</f>
      </c>
      <c r="O437" s="170"/>
      <c r="P437" s="7"/>
      <c r="Q437" s="1"/>
      <c r="R437" s="331">
        <f>D437</f>
      </c>
      <c r="S437" s="169"/>
      <c r="T437" s="1"/>
      <c r="U437" s="217"/>
      <c r="V437" s="331">
        <f>+IF(V436=11,12,IF(V436=12,1,V436+1))</f>
      </c>
      <c r="W437" s="331">
        <f>+W436+IF(V436=12,1,0)</f>
      </c>
      <c r="X437" s="555">
        <f>+DATE(W437,V437,1)</f>
        <v>25569.041666666668</v>
      </c>
      <c r="Y437" s="333">
        <f>+_xlfn.IFNA(AN437+AS437+AX437,0)</f>
      </c>
      <c r="Z437" s="333">
        <f>+_xlfn.IFNA(AO437+AT437+AY437,0)</f>
      </c>
      <c r="AA437" s="333">
        <f>Y437*(1+$O$5)^(($B$7-X437)/365.25)</f>
      </c>
      <c r="AB437" s="333">
        <f>Z437*(1+$O$5)^(($B$7-X437)/365.25)</f>
      </c>
      <c r="AC437" s="1"/>
      <c r="AD437" s="1"/>
      <c r="AE437" s="1"/>
      <c r="AF437" s="111">
        <f>+MONTH(E437)&amp;YEAR(E437)</f>
      </c>
      <c r="AG437" s="217">
        <f>+I437</f>
      </c>
      <c r="AH437" s="217">
        <f>+J437</f>
      </c>
      <c r="AI437" s="217">
        <f>+H437</f>
      </c>
      <c r="AJ437" s="111">
        <f>+V437&amp;W437</f>
      </c>
      <c r="AK437" s="217">
        <f>+_xlfn.IFNA(VLOOKUP(AJ437,$AF$7:$AG$1066,2,0),0)</f>
      </c>
      <c r="AL437" s="217">
        <f>+IF(W437&gt;W436,AK437,AL436+AK437)</f>
      </c>
      <c r="AM437" s="217">
        <f>IF(W437&gt;W436,IF(AL437&gt;=$AZ$8,$AZ$8,AL437),IF(OR(AM436=$AZ$8,AM436=0),0,IF(AL437&gt;=$AZ$8,$AZ$8,AL437)))</f>
      </c>
      <c r="AN437" s="748">
        <f>+IF(OR(AM437&gt;AZ436,AM437=0),0,IF(AM437=AL437,AK437,$AZ$7-AL436))</f>
      </c>
      <c r="AO437" s="748">
        <f>+AK437-AN437</f>
      </c>
      <c r="AP437" s="217">
        <f>+_xlfn.IFNA(VLOOKUP(AJ437,$AF$7:$AI$1066,3,0),0)</f>
      </c>
      <c r="AQ437" s="217">
        <f>+IF(W437&gt;W436,AP437,AQ436+AP437)</f>
      </c>
      <c r="AR437" s="217">
        <f>+MAX($AM$2-SUMIF($W$7:$W$1066,W437,$AN$7:$AN$1066),0)</f>
      </c>
      <c r="AS437" s="748">
        <f>+MAX(IF(AQ437&gt;AR437,AR437-AQ436,AP437),0)</f>
      </c>
      <c r="AT437" s="748">
        <f>+AP437-AS437</f>
      </c>
      <c r="AU437" s="217">
        <f>+_xlfn.IFNA(VLOOKUP(AJ437,$AF$7:$AI$1066,4,0),0)</f>
      </c>
      <c r="AV437" s="217">
        <f>+IF(W437&gt;W436,AU437,AV436+AU437)</f>
      </c>
      <c r="AW437" s="217">
        <f>+MAX($AM$2-SUMIF($W$7:$W$1066,W437,$AN$7:$AN$1066)-SUMIF($W$7:$W$1066,W437,$AS$7:$AS$1066),0)</f>
      </c>
      <c r="AX437" s="748">
        <f>+MAX(IF(AV437&gt;AW437,AW437-AV436,AU437),0)</f>
      </c>
      <c r="AY437" s="748">
        <f>+AU437-AX437</f>
      </c>
      <c r="AZ437" s="331">
        <f>+$AM$1+IF($AP$1&gt;$AP$2,$AM$3/2)</f>
      </c>
    </row>
    <row x14ac:dyDescent="0.25" r="438" customHeight="1" ht="18.75">
      <c r="A438" s="1"/>
      <c r="B438" s="7"/>
      <c r="C438" s="170"/>
      <c r="D438" s="331">
        <v>431</v>
      </c>
      <c r="E438" s="544">
        <f>+DATE(YEAR(E437),MONTH(E437)-1,DAY(E437))</f>
        <v>25569.041666666668</v>
      </c>
      <c r="F438" s="333">
        <f>IF(DATE(YEAR($B$6),MONTH($B$6)+1,DAY(1))=E438,1,IF(MONTH(E438)=1,F439*(1+$F$5),F439))</f>
      </c>
      <c r="G438" s="333">
        <f>IF('Simulador - 1º Pilar'!$E$99="Sí",IF('Aportaciones PPE'!$B$13&lt;'Aportaciones PPE'!E438,0,F438*$B$8/12),F438*$B$8/12)</f>
      </c>
      <c r="H438" s="333">
        <f>$H$5*G438</f>
      </c>
      <c r="I438" s="333">
        <f>$I$5*G438</f>
      </c>
      <c r="J438" s="333">
        <f>+I438</f>
      </c>
      <c r="K438" s="333">
        <f>(1+$O$5)^(D438/12)*(H438+IF(AND(F438=1,F439=0),$S$4,0))</f>
      </c>
      <c r="L438" s="333">
        <f>(1+$O$5)^(D438/12)*(I438+IF(AND(F438=1,F439=0),0))</f>
      </c>
      <c r="M438" s="333">
        <f>+L438</f>
      </c>
      <c r="N438" s="333">
        <f>L438+K438+M438</f>
      </c>
      <c r="O438" s="170"/>
      <c r="P438" s="7"/>
      <c r="Q438" s="1"/>
      <c r="R438" s="331">
        <f>D438</f>
      </c>
      <c r="S438" s="169"/>
      <c r="T438" s="1"/>
      <c r="U438" s="217"/>
      <c r="V438" s="331">
        <f>+IF(V437=11,12,IF(V437=12,1,V437+1))</f>
      </c>
      <c r="W438" s="331">
        <f>+W437+IF(V437=12,1,0)</f>
      </c>
      <c r="X438" s="555">
        <f>+DATE(W438,V438,1)</f>
        <v>25569.041666666668</v>
      </c>
      <c r="Y438" s="333">
        <f>+_xlfn.IFNA(AN438+AS438+AX438,0)</f>
      </c>
      <c r="Z438" s="333">
        <f>+_xlfn.IFNA(AO438+AT438+AY438,0)</f>
      </c>
      <c r="AA438" s="333">
        <f>Y438*(1+$O$5)^(($B$7-X438)/365.25)</f>
      </c>
      <c r="AB438" s="333">
        <f>Z438*(1+$O$5)^(($B$7-X438)/365.25)</f>
      </c>
      <c r="AC438" s="1"/>
      <c r="AD438" s="1"/>
      <c r="AE438" s="1"/>
      <c r="AF438" s="111">
        <f>+MONTH(E438)&amp;YEAR(E438)</f>
      </c>
      <c r="AG438" s="217">
        <f>+I438</f>
      </c>
      <c r="AH438" s="217">
        <f>+J438</f>
      </c>
      <c r="AI438" s="217">
        <f>+H438</f>
      </c>
      <c r="AJ438" s="111">
        <f>+V438&amp;W438</f>
      </c>
      <c r="AK438" s="217">
        <f>+_xlfn.IFNA(VLOOKUP(AJ438,$AF$7:$AG$1066,2,0),0)</f>
      </c>
      <c r="AL438" s="217">
        <f>+IF(W438&gt;W437,AK438,AL437+AK438)</f>
      </c>
      <c r="AM438" s="217">
        <f>IF(W438&gt;W437,IF(AL438&gt;=$AZ$8,$AZ$8,AL438),IF(OR(AM437=$AZ$8,AM437=0),0,IF(AL438&gt;=$AZ$8,$AZ$8,AL438)))</f>
      </c>
      <c r="AN438" s="748">
        <f>+IF(OR(AM438&gt;AZ437,AM438=0),0,IF(AM438=AL438,AK438,$AZ$7-AL437))</f>
      </c>
      <c r="AO438" s="748">
        <f>+AK438-AN438</f>
      </c>
      <c r="AP438" s="217">
        <f>+_xlfn.IFNA(VLOOKUP(AJ438,$AF$7:$AI$1066,3,0),0)</f>
      </c>
      <c r="AQ438" s="217">
        <f>+IF(W438&gt;W437,AP438,AQ437+AP438)</f>
      </c>
      <c r="AR438" s="217">
        <f>+MAX($AM$2-SUMIF($W$7:$W$1066,W438,$AN$7:$AN$1066),0)</f>
      </c>
      <c r="AS438" s="748">
        <f>+MAX(IF(AQ438&gt;AR438,AR438-AQ437,AP438),0)</f>
      </c>
      <c r="AT438" s="748">
        <f>+AP438-AS438</f>
      </c>
      <c r="AU438" s="217">
        <f>+_xlfn.IFNA(VLOOKUP(AJ438,$AF$7:$AI$1066,4,0),0)</f>
      </c>
      <c r="AV438" s="217">
        <f>+IF(W438&gt;W437,AU438,AV437+AU438)</f>
      </c>
      <c r="AW438" s="217">
        <f>+MAX($AM$2-SUMIF($W$7:$W$1066,W438,$AN$7:$AN$1066)-SUMIF($W$7:$W$1066,W438,$AS$7:$AS$1066),0)</f>
      </c>
      <c r="AX438" s="748">
        <f>+MAX(IF(AV438&gt;AW438,AW438-AV437,AU438),0)</f>
      </c>
      <c r="AY438" s="748">
        <f>+AU438-AX438</f>
      </c>
      <c r="AZ438" s="331">
        <f>+$AM$1+IF($AP$1&gt;$AP$2,$AM$3/2)</f>
      </c>
    </row>
    <row x14ac:dyDescent="0.25" r="439" customHeight="1" ht="18.75">
      <c r="A439" s="1"/>
      <c r="B439" s="7"/>
      <c r="C439" s="170"/>
      <c r="D439" s="331">
        <v>432</v>
      </c>
      <c r="E439" s="544">
        <f>+DATE(YEAR(E438),MONTH(E438)-1,DAY(E438))</f>
        <v>25569.041666666668</v>
      </c>
      <c r="F439" s="333">
        <f>IF(DATE(YEAR($B$6),MONTH($B$6)+1,DAY(1))=E439,1,IF(MONTH(E439)=1,F440*(1+$F$5),F440))</f>
      </c>
      <c r="G439" s="333">
        <f>IF('Simulador - 1º Pilar'!$E$99="Sí",IF('Aportaciones PPE'!$B$13&lt;'Aportaciones PPE'!E439,0,F439*$B$8/12),F439*$B$8/12)</f>
      </c>
      <c r="H439" s="333">
        <f>$H$5*G439</f>
      </c>
      <c r="I439" s="333">
        <f>$I$5*G439</f>
      </c>
      <c r="J439" s="333">
        <f>+I439</f>
      </c>
      <c r="K439" s="333">
        <f>(1+$O$5)^(D439/12)*(H439+IF(AND(F439=1,F440=0),$S$4,0))</f>
      </c>
      <c r="L439" s="333">
        <f>(1+$O$5)^(D439/12)*(I439+IF(AND(F439=1,F440=0),0))</f>
      </c>
      <c r="M439" s="333">
        <f>+L439</f>
      </c>
      <c r="N439" s="333">
        <f>L439+K439+M439</f>
      </c>
      <c r="O439" s="170"/>
      <c r="P439" s="7"/>
      <c r="Q439" s="1"/>
      <c r="R439" s="331">
        <f>D439</f>
      </c>
      <c r="S439" s="169"/>
      <c r="T439" s="1"/>
      <c r="U439" s="217"/>
      <c r="V439" s="331">
        <f>+IF(V438=11,12,IF(V438=12,1,V438+1))</f>
      </c>
      <c r="W439" s="331">
        <f>+W438+IF(V438=12,1,0)</f>
      </c>
      <c r="X439" s="555">
        <f>+DATE(W439,V439,1)</f>
        <v>25569.041666666668</v>
      </c>
      <c r="Y439" s="333">
        <f>+_xlfn.IFNA(AN439+AS439+AX439,0)</f>
      </c>
      <c r="Z439" s="333">
        <f>+_xlfn.IFNA(AO439+AT439+AY439,0)</f>
      </c>
      <c r="AA439" s="333">
        <f>Y439*(1+$O$5)^(($B$7-X439)/365.25)</f>
      </c>
      <c r="AB439" s="333">
        <f>Z439*(1+$O$5)^(($B$7-X439)/365.25)</f>
      </c>
      <c r="AC439" s="1"/>
      <c r="AD439" s="1"/>
      <c r="AE439" s="1"/>
      <c r="AF439" s="111">
        <f>+MONTH(E439)&amp;YEAR(E439)</f>
      </c>
      <c r="AG439" s="217">
        <f>+I439</f>
      </c>
      <c r="AH439" s="217">
        <f>+J439</f>
      </c>
      <c r="AI439" s="217">
        <f>+H439</f>
      </c>
      <c r="AJ439" s="111">
        <f>+V439&amp;W439</f>
      </c>
      <c r="AK439" s="217">
        <f>+_xlfn.IFNA(VLOOKUP(AJ439,$AF$7:$AG$1066,2,0),0)</f>
      </c>
      <c r="AL439" s="217">
        <f>+IF(W439&gt;W438,AK439,AL438+AK439)</f>
      </c>
      <c r="AM439" s="217">
        <f>IF(W439&gt;W438,IF(AL439&gt;=$AZ$8,$AZ$8,AL439),IF(OR(AM438=$AZ$8,AM438=0),0,IF(AL439&gt;=$AZ$8,$AZ$8,AL439)))</f>
      </c>
      <c r="AN439" s="748">
        <f>+IF(OR(AM439&gt;AZ438,AM439=0),0,IF(AM439=AL439,AK439,$AZ$7-AL438))</f>
      </c>
      <c r="AO439" s="748">
        <f>+AK439-AN439</f>
      </c>
      <c r="AP439" s="217">
        <f>+_xlfn.IFNA(VLOOKUP(AJ439,$AF$7:$AI$1066,3,0),0)</f>
      </c>
      <c r="AQ439" s="217">
        <f>+IF(W439&gt;W438,AP439,AQ438+AP439)</f>
      </c>
      <c r="AR439" s="217">
        <f>+MAX($AM$2-SUMIF($W$7:$W$1066,W439,$AN$7:$AN$1066),0)</f>
      </c>
      <c r="AS439" s="748">
        <f>+MAX(IF(AQ439&gt;AR439,AR439-AQ438,AP439),0)</f>
      </c>
      <c r="AT439" s="748">
        <f>+AP439-AS439</f>
      </c>
      <c r="AU439" s="217">
        <f>+_xlfn.IFNA(VLOOKUP(AJ439,$AF$7:$AI$1066,4,0),0)</f>
      </c>
      <c r="AV439" s="217">
        <f>+IF(W439&gt;W438,AU439,AV438+AU439)</f>
      </c>
      <c r="AW439" s="217">
        <f>+MAX($AM$2-SUMIF($W$7:$W$1066,W439,$AN$7:$AN$1066)-SUMIF($W$7:$W$1066,W439,$AS$7:$AS$1066),0)</f>
      </c>
      <c r="AX439" s="748">
        <f>+MAX(IF(AV439&gt;AW439,AW439-AV438,AU439),0)</f>
      </c>
      <c r="AY439" s="748">
        <f>+AU439-AX439</f>
      </c>
      <c r="AZ439" s="331">
        <f>+$AM$1+IF($AP$1&gt;$AP$2,$AM$3/2)</f>
      </c>
    </row>
    <row x14ac:dyDescent="0.25" r="440" customHeight="1" ht="18.75">
      <c r="A440" s="1"/>
      <c r="B440" s="7"/>
      <c r="C440" s="170"/>
      <c r="D440" s="331">
        <v>433</v>
      </c>
      <c r="E440" s="544">
        <f>+DATE(YEAR(E439),MONTH(E439)-1,DAY(E439))</f>
        <v>25569.041666666668</v>
      </c>
      <c r="F440" s="333">
        <f>IF(DATE(YEAR($B$6),MONTH($B$6)+1,DAY(1))=E440,1,IF(MONTH(E440)=1,F441*(1+$F$5),F441))</f>
      </c>
      <c r="G440" s="333">
        <f>IF('Simulador - 1º Pilar'!$E$99="Sí",IF('Aportaciones PPE'!$B$13&lt;'Aportaciones PPE'!E440,0,F440*$B$8/12),F440*$B$8/12)</f>
      </c>
      <c r="H440" s="333">
        <f>$H$5*G440</f>
      </c>
      <c r="I440" s="333">
        <f>$I$5*G440</f>
      </c>
      <c r="J440" s="333">
        <f>+I440</f>
      </c>
      <c r="K440" s="333">
        <f>(1+$O$5)^(D440/12)*(H440+IF(AND(F440=1,F441=0),$S$4,0))</f>
      </c>
      <c r="L440" s="333">
        <f>(1+$O$5)^(D440/12)*(I440+IF(AND(F440=1,F441=0),0))</f>
      </c>
      <c r="M440" s="333">
        <f>+L440</f>
      </c>
      <c r="N440" s="333">
        <f>L440+K440+M440</f>
      </c>
      <c r="O440" s="170"/>
      <c r="P440" s="7"/>
      <c r="Q440" s="1"/>
      <c r="R440" s="331">
        <f>D440</f>
      </c>
      <c r="S440" s="169"/>
      <c r="T440" s="1"/>
      <c r="U440" s="217"/>
      <c r="V440" s="331">
        <f>+IF(V439=11,12,IF(V439=12,1,V439+1))</f>
      </c>
      <c r="W440" s="331">
        <f>+W439+IF(V439=12,1,0)</f>
      </c>
      <c r="X440" s="555">
        <f>+DATE(W440,V440,1)</f>
        <v>25569.041666666668</v>
      </c>
      <c r="Y440" s="333">
        <f>+_xlfn.IFNA(AN440+AS440+AX440,0)</f>
      </c>
      <c r="Z440" s="333">
        <f>+_xlfn.IFNA(AO440+AT440+AY440,0)</f>
      </c>
      <c r="AA440" s="333">
        <f>Y440*(1+$O$5)^(($B$7-X440)/365.25)</f>
      </c>
      <c r="AB440" s="333">
        <f>Z440*(1+$O$5)^(($B$7-X440)/365.25)</f>
      </c>
      <c r="AC440" s="1"/>
      <c r="AD440" s="1"/>
      <c r="AE440" s="1"/>
      <c r="AF440" s="111">
        <f>+MONTH(E440)&amp;YEAR(E440)</f>
      </c>
      <c r="AG440" s="217">
        <f>+I440</f>
      </c>
      <c r="AH440" s="217">
        <f>+J440</f>
      </c>
      <c r="AI440" s="217">
        <f>+H440</f>
      </c>
      <c r="AJ440" s="111">
        <f>+V440&amp;W440</f>
      </c>
      <c r="AK440" s="217">
        <f>+_xlfn.IFNA(VLOOKUP(AJ440,$AF$7:$AG$1066,2,0),0)</f>
      </c>
      <c r="AL440" s="217">
        <f>+IF(W440&gt;W439,AK440,AL439+AK440)</f>
      </c>
      <c r="AM440" s="217">
        <f>IF(W440&gt;W439,IF(AL440&gt;=$AZ$8,$AZ$8,AL440),IF(OR(AM439=$AZ$8,AM439=0),0,IF(AL440&gt;=$AZ$8,$AZ$8,AL440)))</f>
      </c>
      <c r="AN440" s="748">
        <f>+IF(OR(AM440&gt;AZ439,AM440=0),0,IF(AM440=AL440,AK440,$AZ$7-AL439))</f>
      </c>
      <c r="AO440" s="748">
        <f>+AK440-AN440</f>
      </c>
      <c r="AP440" s="217">
        <f>+_xlfn.IFNA(VLOOKUP(AJ440,$AF$7:$AI$1066,3,0),0)</f>
      </c>
      <c r="AQ440" s="217">
        <f>+IF(W440&gt;W439,AP440,AQ439+AP440)</f>
      </c>
      <c r="AR440" s="217">
        <f>+MAX($AM$2-SUMIF($W$7:$W$1066,W440,$AN$7:$AN$1066),0)</f>
      </c>
      <c r="AS440" s="748">
        <f>+MAX(IF(AQ440&gt;AR440,AR440-AQ439,AP440),0)</f>
      </c>
      <c r="AT440" s="748">
        <f>+AP440-AS440</f>
      </c>
      <c r="AU440" s="217">
        <f>+_xlfn.IFNA(VLOOKUP(AJ440,$AF$7:$AI$1066,4,0),0)</f>
      </c>
      <c r="AV440" s="217">
        <f>+IF(W440&gt;W439,AU440,AV439+AU440)</f>
      </c>
      <c r="AW440" s="217">
        <f>+MAX($AM$2-SUMIF($W$7:$W$1066,W440,$AN$7:$AN$1066)-SUMIF($W$7:$W$1066,W440,$AS$7:$AS$1066),0)</f>
      </c>
      <c r="AX440" s="748">
        <f>+MAX(IF(AV440&gt;AW440,AW440-AV439,AU440),0)</f>
      </c>
      <c r="AY440" s="748">
        <f>+AU440-AX440</f>
      </c>
      <c r="AZ440" s="331">
        <f>+$AM$1+IF($AP$1&gt;$AP$2,$AM$3/2)</f>
      </c>
    </row>
    <row x14ac:dyDescent="0.25" r="441" customHeight="1" ht="18.75">
      <c r="A441" s="1"/>
      <c r="B441" s="7"/>
      <c r="C441" s="170"/>
      <c r="D441" s="331">
        <v>434</v>
      </c>
      <c r="E441" s="544">
        <f>+DATE(YEAR(E440),MONTH(E440)-1,DAY(E440))</f>
        <v>25569.041666666668</v>
      </c>
      <c r="F441" s="333">
        <f>IF(DATE(YEAR($B$6),MONTH($B$6)+1,DAY(1))=E441,1,IF(MONTH(E441)=1,F442*(1+$F$5),F442))</f>
      </c>
      <c r="G441" s="333">
        <f>IF('Simulador - 1º Pilar'!$E$99="Sí",IF('Aportaciones PPE'!$B$13&lt;'Aportaciones PPE'!E441,0,F441*$B$8/12),F441*$B$8/12)</f>
      </c>
      <c r="H441" s="333">
        <f>$H$5*G441</f>
      </c>
      <c r="I441" s="333">
        <f>$I$5*G441</f>
      </c>
      <c r="J441" s="333">
        <f>+I441</f>
      </c>
      <c r="K441" s="333">
        <f>(1+$O$5)^(D441/12)*(H441+IF(AND(F441=1,F442=0),$S$4,0))</f>
      </c>
      <c r="L441" s="333">
        <f>(1+$O$5)^(D441/12)*(I441+IF(AND(F441=1,F442=0),0))</f>
      </c>
      <c r="M441" s="333">
        <f>+L441</f>
      </c>
      <c r="N441" s="333">
        <f>L441+K441+M441</f>
      </c>
      <c r="O441" s="170"/>
      <c r="P441" s="7"/>
      <c r="Q441" s="1"/>
      <c r="R441" s="331">
        <f>D441</f>
      </c>
      <c r="S441" s="169"/>
      <c r="T441" s="1"/>
      <c r="U441" s="217"/>
      <c r="V441" s="331">
        <f>+IF(V440=11,12,IF(V440=12,1,V440+1))</f>
      </c>
      <c r="W441" s="331">
        <f>+W440+IF(V440=12,1,0)</f>
      </c>
      <c r="X441" s="555">
        <f>+DATE(W441,V441,1)</f>
        <v>25569.041666666668</v>
      </c>
      <c r="Y441" s="333">
        <f>+_xlfn.IFNA(AN441+AS441+AX441,0)</f>
      </c>
      <c r="Z441" s="333">
        <f>+_xlfn.IFNA(AO441+AT441+AY441,0)</f>
      </c>
      <c r="AA441" s="333">
        <f>Y441*(1+$O$5)^(($B$7-X441)/365.25)</f>
      </c>
      <c r="AB441" s="333">
        <f>Z441*(1+$O$5)^(($B$7-X441)/365.25)</f>
      </c>
      <c r="AC441" s="1"/>
      <c r="AD441" s="1"/>
      <c r="AE441" s="1"/>
      <c r="AF441" s="111">
        <f>+MONTH(E441)&amp;YEAR(E441)</f>
      </c>
      <c r="AG441" s="217">
        <f>+I441</f>
      </c>
      <c r="AH441" s="217">
        <f>+J441</f>
      </c>
      <c r="AI441" s="217">
        <f>+H441</f>
      </c>
      <c r="AJ441" s="111">
        <f>+V441&amp;W441</f>
      </c>
      <c r="AK441" s="217">
        <f>+_xlfn.IFNA(VLOOKUP(AJ441,$AF$7:$AG$1066,2,0),0)</f>
      </c>
      <c r="AL441" s="217">
        <f>+IF(W441&gt;W440,AK441,AL440+AK441)</f>
      </c>
      <c r="AM441" s="217">
        <f>IF(W441&gt;W440,IF(AL441&gt;=$AZ$8,$AZ$8,AL441),IF(OR(AM440=$AZ$8,AM440=0),0,IF(AL441&gt;=$AZ$8,$AZ$8,AL441)))</f>
      </c>
      <c r="AN441" s="748">
        <f>+IF(OR(AM441&gt;AZ440,AM441=0),0,IF(AM441=AL441,AK441,$AZ$7-AL440))</f>
      </c>
      <c r="AO441" s="748">
        <f>+AK441-AN441</f>
      </c>
      <c r="AP441" s="217">
        <f>+_xlfn.IFNA(VLOOKUP(AJ441,$AF$7:$AI$1066,3,0),0)</f>
      </c>
      <c r="AQ441" s="217">
        <f>+IF(W441&gt;W440,AP441,AQ440+AP441)</f>
      </c>
      <c r="AR441" s="217">
        <f>+MAX($AM$2-SUMIF($W$7:$W$1066,W441,$AN$7:$AN$1066),0)</f>
      </c>
      <c r="AS441" s="748">
        <f>+MAX(IF(AQ441&gt;AR441,AR441-AQ440,AP441),0)</f>
      </c>
      <c r="AT441" s="748">
        <f>+AP441-AS441</f>
      </c>
      <c r="AU441" s="217">
        <f>+_xlfn.IFNA(VLOOKUP(AJ441,$AF$7:$AI$1066,4,0),0)</f>
      </c>
      <c r="AV441" s="217">
        <f>+IF(W441&gt;W440,AU441,AV440+AU441)</f>
      </c>
      <c r="AW441" s="217">
        <f>+MAX($AM$2-SUMIF($W$7:$W$1066,W441,$AN$7:$AN$1066)-SUMIF($W$7:$W$1066,W441,$AS$7:$AS$1066),0)</f>
      </c>
      <c r="AX441" s="748">
        <f>+MAX(IF(AV441&gt;AW441,AW441-AV440,AU441),0)</f>
      </c>
      <c r="AY441" s="748">
        <f>+AU441-AX441</f>
      </c>
      <c r="AZ441" s="331">
        <f>+$AM$1+IF($AP$1&gt;$AP$2,$AM$3/2)</f>
      </c>
    </row>
    <row x14ac:dyDescent="0.25" r="442" customHeight="1" ht="18.75">
      <c r="A442" s="1"/>
      <c r="B442" s="7"/>
      <c r="C442" s="170"/>
      <c r="D442" s="331">
        <v>435</v>
      </c>
      <c r="E442" s="544">
        <f>+DATE(YEAR(E441),MONTH(E441)-1,DAY(E441))</f>
        <v>25569.041666666668</v>
      </c>
      <c r="F442" s="333">
        <f>IF(DATE(YEAR($B$6),MONTH($B$6)+1,DAY(1))=E442,1,IF(MONTH(E442)=1,F443*(1+$F$5),F443))</f>
      </c>
      <c r="G442" s="333">
        <f>IF('Simulador - 1º Pilar'!$E$99="Sí",IF('Aportaciones PPE'!$B$13&lt;'Aportaciones PPE'!E442,0,F442*$B$8/12),F442*$B$8/12)</f>
      </c>
      <c r="H442" s="333">
        <f>$H$5*G442</f>
      </c>
      <c r="I442" s="333">
        <f>$I$5*G442</f>
      </c>
      <c r="J442" s="333">
        <f>+I442</f>
      </c>
      <c r="K442" s="333">
        <f>(1+$O$5)^(D442/12)*(H442+IF(AND(F442=1,F443=0),$S$4,0))</f>
      </c>
      <c r="L442" s="333">
        <f>(1+$O$5)^(D442/12)*(I442+IF(AND(F442=1,F443=0),0))</f>
      </c>
      <c r="M442" s="333">
        <f>+L442</f>
      </c>
      <c r="N442" s="333">
        <f>L442+K442+M442</f>
      </c>
      <c r="O442" s="170"/>
      <c r="P442" s="7"/>
      <c r="Q442" s="1"/>
      <c r="R442" s="331">
        <f>D442</f>
      </c>
      <c r="S442" s="169"/>
      <c r="T442" s="1"/>
      <c r="U442" s="217"/>
      <c r="V442" s="331">
        <f>+IF(V441=11,12,IF(V441=12,1,V441+1))</f>
      </c>
      <c r="W442" s="331">
        <f>+W441+IF(V441=12,1,0)</f>
      </c>
      <c r="X442" s="555">
        <f>+DATE(W442,V442,1)</f>
        <v>25569.041666666668</v>
      </c>
      <c r="Y442" s="333">
        <f>+_xlfn.IFNA(AN442+AS442+AX442,0)</f>
      </c>
      <c r="Z442" s="333">
        <f>+_xlfn.IFNA(AO442+AT442+AY442,0)</f>
      </c>
      <c r="AA442" s="333">
        <f>Y442*(1+$O$5)^(($B$7-X442)/365.25)</f>
      </c>
      <c r="AB442" s="333">
        <f>Z442*(1+$O$5)^(($B$7-X442)/365.25)</f>
      </c>
      <c r="AC442" s="1"/>
      <c r="AD442" s="1"/>
      <c r="AE442" s="1"/>
      <c r="AF442" s="111">
        <f>+MONTH(E442)&amp;YEAR(E442)</f>
      </c>
      <c r="AG442" s="217">
        <f>+I442</f>
      </c>
      <c r="AH442" s="217">
        <f>+J442</f>
      </c>
      <c r="AI442" s="217">
        <f>+H442</f>
      </c>
      <c r="AJ442" s="111">
        <f>+V442&amp;W442</f>
      </c>
      <c r="AK442" s="217">
        <f>+_xlfn.IFNA(VLOOKUP(AJ442,$AF$7:$AG$1066,2,0),0)</f>
      </c>
      <c r="AL442" s="217">
        <f>+IF(W442&gt;W441,AK442,AL441+AK442)</f>
      </c>
      <c r="AM442" s="217">
        <f>IF(W442&gt;W441,IF(AL442&gt;=$AZ$8,$AZ$8,AL442),IF(OR(AM441=$AZ$8,AM441=0),0,IF(AL442&gt;=$AZ$8,$AZ$8,AL442)))</f>
      </c>
      <c r="AN442" s="748">
        <f>+IF(OR(AM442&gt;AZ441,AM442=0),0,IF(AM442=AL442,AK442,$AZ$7-AL441))</f>
      </c>
      <c r="AO442" s="748">
        <f>+AK442-AN442</f>
      </c>
      <c r="AP442" s="217">
        <f>+_xlfn.IFNA(VLOOKUP(AJ442,$AF$7:$AI$1066,3,0),0)</f>
      </c>
      <c r="AQ442" s="217">
        <f>+IF(W442&gt;W441,AP442,AQ441+AP442)</f>
      </c>
      <c r="AR442" s="217">
        <f>+MAX($AM$2-SUMIF($W$7:$W$1066,W442,$AN$7:$AN$1066),0)</f>
      </c>
      <c r="AS442" s="748">
        <f>+MAX(IF(AQ442&gt;AR442,AR442-AQ441,AP442),0)</f>
      </c>
      <c r="AT442" s="748">
        <f>+AP442-AS442</f>
      </c>
      <c r="AU442" s="217">
        <f>+_xlfn.IFNA(VLOOKUP(AJ442,$AF$7:$AI$1066,4,0),0)</f>
      </c>
      <c r="AV442" s="217">
        <f>+IF(W442&gt;W441,AU442,AV441+AU442)</f>
      </c>
      <c r="AW442" s="217">
        <f>+MAX($AM$2-SUMIF($W$7:$W$1066,W442,$AN$7:$AN$1066)-SUMIF($W$7:$W$1066,W442,$AS$7:$AS$1066),0)</f>
      </c>
      <c r="AX442" s="748">
        <f>+MAX(IF(AV442&gt;AW442,AW442-AV441,AU442),0)</f>
      </c>
      <c r="AY442" s="748">
        <f>+AU442-AX442</f>
      </c>
      <c r="AZ442" s="331">
        <f>+$AM$1+IF($AP$1&gt;$AP$2,$AM$3/2)</f>
      </c>
    </row>
    <row x14ac:dyDescent="0.25" r="443" customHeight="1" ht="18.75">
      <c r="A443" s="1"/>
      <c r="B443" s="7"/>
      <c r="C443" s="170"/>
      <c r="D443" s="331">
        <v>436</v>
      </c>
      <c r="E443" s="544">
        <f>+DATE(YEAR(E442),MONTH(E442)-1,DAY(E442))</f>
        <v>25569.041666666668</v>
      </c>
      <c r="F443" s="333">
        <f>IF(DATE(YEAR($B$6),MONTH($B$6)+1,DAY(1))=E443,1,IF(MONTH(E443)=1,F444*(1+$F$5),F444))</f>
      </c>
      <c r="G443" s="333">
        <f>IF('Simulador - 1º Pilar'!$E$99="Sí",IF('Aportaciones PPE'!$B$13&lt;'Aportaciones PPE'!E443,0,F443*$B$8/12),F443*$B$8/12)</f>
      </c>
      <c r="H443" s="333">
        <f>$H$5*G443</f>
      </c>
      <c r="I443" s="333">
        <f>$I$5*G443</f>
      </c>
      <c r="J443" s="333">
        <f>+I443</f>
      </c>
      <c r="K443" s="333">
        <f>(1+$O$5)^(D443/12)*(H443+IF(AND(F443=1,F444=0),$S$4,0))</f>
      </c>
      <c r="L443" s="333">
        <f>(1+$O$5)^(D443/12)*(I443+IF(AND(F443=1,F444=0),0))</f>
      </c>
      <c r="M443" s="333">
        <f>+L443</f>
      </c>
      <c r="N443" s="333">
        <f>L443+K443+M443</f>
      </c>
      <c r="O443" s="170"/>
      <c r="P443" s="7"/>
      <c r="Q443" s="1"/>
      <c r="R443" s="331">
        <f>D443</f>
      </c>
      <c r="S443" s="169"/>
      <c r="T443" s="1"/>
      <c r="U443" s="217"/>
      <c r="V443" s="331">
        <f>+IF(V442=11,12,IF(V442=12,1,V442+1))</f>
      </c>
      <c r="W443" s="331">
        <f>+W442+IF(V442=12,1,0)</f>
      </c>
      <c r="X443" s="555">
        <f>+DATE(W443,V443,1)</f>
        <v>25569.041666666668</v>
      </c>
      <c r="Y443" s="333">
        <f>+_xlfn.IFNA(AN443+AS443+AX443,0)</f>
      </c>
      <c r="Z443" s="333">
        <f>+_xlfn.IFNA(AO443+AT443+AY443,0)</f>
      </c>
      <c r="AA443" s="333">
        <f>Y443*(1+$O$5)^(($B$7-X443)/365.25)</f>
      </c>
      <c r="AB443" s="333">
        <f>Z443*(1+$O$5)^(($B$7-X443)/365.25)</f>
      </c>
      <c r="AC443" s="1"/>
      <c r="AD443" s="1"/>
      <c r="AE443" s="1"/>
      <c r="AF443" s="111">
        <f>+MONTH(E443)&amp;YEAR(E443)</f>
      </c>
      <c r="AG443" s="217">
        <f>+I443</f>
      </c>
      <c r="AH443" s="217">
        <f>+J443</f>
      </c>
      <c r="AI443" s="217">
        <f>+H443</f>
      </c>
      <c r="AJ443" s="111">
        <f>+V443&amp;W443</f>
      </c>
      <c r="AK443" s="217">
        <f>+_xlfn.IFNA(VLOOKUP(AJ443,$AF$7:$AG$1066,2,0),0)</f>
      </c>
      <c r="AL443" s="217">
        <f>+IF(W443&gt;W442,AK443,AL442+AK443)</f>
      </c>
      <c r="AM443" s="217">
        <f>IF(W443&gt;W442,IF(AL443&gt;=$AZ$8,$AZ$8,AL443),IF(OR(AM442=$AZ$8,AM442=0),0,IF(AL443&gt;=$AZ$8,$AZ$8,AL443)))</f>
      </c>
      <c r="AN443" s="748">
        <f>+IF(OR(AM443&gt;AZ442,AM443=0),0,IF(AM443=AL443,AK443,$AZ$7-AL442))</f>
      </c>
      <c r="AO443" s="748">
        <f>+AK443-AN443</f>
      </c>
      <c r="AP443" s="217">
        <f>+_xlfn.IFNA(VLOOKUP(AJ443,$AF$7:$AI$1066,3,0),0)</f>
      </c>
      <c r="AQ443" s="217">
        <f>+IF(W443&gt;W442,AP443,AQ442+AP443)</f>
      </c>
      <c r="AR443" s="217">
        <f>+MAX($AM$2-SUMIF($W$7:$W$1066,W443,$AN$7:$AN$1066),0)</f>
      </c>
      <c r="AS443" s="748">
        <f>+MAX(IF(AQ443&gt;AR443,AR443-AQ442,AP443),0)</f>
      </c>
      <c r="AT443" s="748">
        <f>+AP443-AS443</f>
      </c>
      <c r="AU443" s="217">
        <f>+_xlfn.IFNA(VLOOKUP(AJ443,$AF$7:$AI$1066,4,0),0)</f>
      </c>
      <c r="AV443" s="217">
        <f>+IF(W443&gt;W442,AU443,AV442+AU443)</f>
      </c>
      <c r="AW443" s="217">
        <f>+MAX($AM$2-SUMIF($W$7:$W$1066,W443,$AN$7:$AN$1066)-SUMIF($W$7:$W$1066,W443,$AS$7:$AS$1066),0)</f>
      </c>
      <c r="AX443" s="748">
        <f>+MAX(IF(AV443&gt;AW443,AW443-AV442,AU443),0)</f>
      </c>
      <c r="AY443" s="748">
        <f>+AU443-AX443</f>
      </c>
      <c r="AZ443" s="331">
        <f>+$AM$1+IF($AP$1&gt;$AP$2,$AM$3/2)</f>
      </c>
    </row>
    <row x14ac:dyDescent="0.25" r="444" customHeight="1" ht="18.75">
      <c r="A444" s="1"/>
      <c r="B444" s="7"/>
      <c r="C444" s="170"/>
      <c r="D444" s="331">
        <v>437</v>
      </c>
      <c r="E444" s="544">
        <f>+DATE(YEAR(E443),MONTH(E443)-1,DAY(E443))</f>
        <v>25569.041666666668</v>
      </c>
      <c r="F444" s="333">
        <f>IF(DATE(YEAR($B$6),MONTH($B$6)+1,DAY(1))=E444,1,IF(MONTH(E444)=1,F445*(1+$F$5),F445))</f>
      </c>
      <c r="G444" s="333">
        <f>IF('Simulador - 1º Pilar'!$E$99="Sí",IF('Aportaciones PPE'!$B$13&lt;'Aportaciones PPE'!E444,0,F444*$B$8/12),F444*$B$8/12)</f>
      </c>
      <c r="H444" s="333">
        <f>$H$5*G444</f>
      </c>
      <c r="I444" s="333">
        <f>$I$5*G444</f>
      </c>
      <c r="J444" s="333">
        <f>+I444</f>
      </c>
      <c r="K444" s="333">
        <f>(1+$O$5)^(D444/12)*(H444+IF(AND(F444=1,F445=0),$S$4,0))</f>
      </c>
      <c r="L444" s="333">
        <f>(1+$O$5)^(D444/12)*(I444+IF(AND(F444=1,F445=0),0))</f>
      </c>
      <c r="M444" s="333">
        <f>+L444</f>
      </c>
      <c r="N444" s="333">
        <f>L444+K444+M444</f>
      </c>
      <c r="O444" s="170"/>
      <c r="P444" s="7"/>
      <c r="Q444" s="1"/>
      <c r="R444" s="331">
        <f>D444</f>
      </c>
      <c r="S444" s="169"/>
      <c r="T444" s="1"/>
      <c r="U444" s="217"/>
      <c r="V444" s="331">
        <f>+IF(V443=11,12,IF(V443=12,1,V443+1))</f>
      </c>
      <c r="W444" s="331">
        <f>+W443+IF(V443=12,1,0)</f>
      </c>
      <c r="X444" s="555">
        <f>+DATE(W444,V444,1)</f>
        <v>25569.041666666668</v>
      </c>
      <c r="Y444" s="333">
        <f>+_xlfn.IFNA(AN444+AS444+AX444,0)</f>
      </c>
      <c r="Z444" s="333">
        <f>+_xlfn.IFNA(AO444+AT444+AY444,0)</f>
      </c>
      <c r="AA444" s="333">
        <f>Y444*(1+$O$5)^(($B$7-X444)/365.25)</f>
      </c>
      <c r="AB444" s="333">
        <f>Z444*(1+$O$5)^(($B$7-X444)/365.25)</f>
      </c>
      <c r="AC444" s="1"/>
      <c r="AD444" s="1"/>
      <c r="AE444" s="1"/>
      <c r="AF444" s="111">
        <f>+MONTH(E444)&amp;YEAR(E444)</f>
      </c>
      <c r="AG444" s="217">
        <f>+I444</f>
      </c>
      <c r="AH444" s="217">
        <f>+J444</f>
      </c>
      <c r="AI444" s="217">
        <f>+H444</f>
      </c>
      <c r="AJ444" s="111">
        <f>+V444&amp;W444</f>
      </c>
      <c r="AK444" s="217">
        <f>+_xlfn.IFNA(VLOOKUP(AJ444,$AF$7:$AG$1066,2,0),0)</f>
      </c>
      <c r="AL444" s="217">
        <f>+IF(W444&gt;W443,AK444,AL443+AK444)</f>
      </c>
      <c r="AM444" s="217">
        <f>IF(W444&gt;W443,IF(AL444&gt;=$AZ$8,$AZ$8,AL444),IF(OR(AM443=$AZ$8,AM443=0),0,IF(AL444&gt;=$AZ$8,$AZ$8,AL444)))</f>
      </c>
      <c r="AN444" s="748">
        <f>+IF(OR(AM444&gt;AZ443,AM444=0),0,IF(AM444=AL444,AK444,$AZ$7-AL443))</f>
      </c>
      <c r="AO444" s="748">
        <f>+AK444-AN444</f>
      </c>
      <c r="AP444" s="217">
        <f>+_xlfn.IFNA(VLOOKUP(AJ444,$AF$7:$AI$1066,3,0),0)</f>
      </c>
      <c r="AQ444" s="217">
        <f>+IF(W444&gt;W443,AP444,AQ443+AP444)</f>
      </c>
      <c r="AR444" s="217">
        <f>+MAX($AM$2-SUMIF($W$7:$W$1066,W444,$AN$7:$AN$1066),0)</f>
      </c>
      <c r="AS444" s="748">
        <f>+MAX(IF(AQ444&gt;AR444,AR444-AQ443,AP444),0)</f>
      </c>
      <c r="AT444" s="748">
        <f>+AP444-AS444</f>
      </c>
      <c r="AU444" s="217">
        <f>+_xlfn.IFNA(VLOOKUP(AJ444,$AF$7:$AI$1066,4,0),0)</f>
      </c>
      <c r="AV444" s="217">
        <f>+IF(W444&gt;W443,AU444,AV443+AU444)</f>
      </c>
      <c r="AW444" s="217">
        <f>+MAX($AM$2-SUMIF($W$7:$W$1066,W444,$AN$7:$AN$1066)-SUMIF($W$7:$W$1066,W444,$AS$7:$AS$1066),0)</f>
      </c>
      <c r="AX444" s="748">
        <f>+MAX(IF(AV444&gt;AW444,AW444-AV443,AU444),0)</f>
      </c>
      <c r="AY444" s="748">
        <f>+AU444-AX444</f>
      </c>
      <c r="AZ444" s="331">
        <f>+$AM$1+IF($AP$1&gt;$AP$2,$AM$3/2)</f>
      </c>
    </row>
    <row x14ac:dyDescent="0.25" r="445" customHeight="1" ht="18.75">
      <c r="A445" s="1"/>
      <c r="B445" s="7"/>
      <c r="C445" s="170"/>
      <c r="D445" s="331">
        <v>438</v>
      </c>
      <c r="E445" s="544">
        <f>+DATE(YEAR(E444),MONTH(E444)-1,DAY(E444))</f>
        <v>25569.041666666668</v>
      </c>
      <c r="F445" s="333">
        <f>IF(DATE(YEAR($B$6),MONTH($B$6)+1,DAY(1))=E445,1,IF(MONTH(E445)=1,F446*(1+$F$5),F446))</f>
      </c>
      <c r="G445" s="333">
        <f>IF('Simulador - 1º Pilar'!$E$99="Sí",IF('Aportaciones PPE'!$B$13&lt;'Aportaciones PPE'!E445,0,F445*$B$8/12),F445*$B$8/12)</f>
      </c>
      <c r="H445" s="333">
        <f>$H$5*G445</f>
      </c>
      <c r="I445" s="333">
        <f>$I$5*G445</f>
      </c>
      <c r="J445" s="333">
        <f>+I445</f>
      </c>
      <c r="K445" s="333">
        <f>(1+$O$5)^(D445/12)*(H445+IF(AND(F445=1,F446=0),$S$4,0))</f>
      </c>
      <c r="L445" s="333">
        <f>(1+$O$5)^(D445/12)*(I445+IF(AND(F445=1,F446=0),0))</f>
      </c>
      <c r="M445" s="333">
        <f>+L445</f>
      </c>
      <c r="N445" s="333">
        <f>L445+K445+M445</f>
      </c>
      <c r="O445" s="170"/>
      <c r="P445" s="7"/>
      <c r="Q445" s="1"/>
      <c r="R445" s="331">
        <f>D445</f>
      </c>
      <c r="S445" s="169"/>
      <c r="T445" s="1"/>
      <c r="U445" s="217"/>
      <c r="V445" s="331">
        <f>+IF(V444=11,12,IF(V444=12,1,V444+1))</f>
      </c>
      <c r="W445" s="331">
        <f>+W444+IF(V444=12,1,0)</f>
      </c>
      <c r="X445" s="555">
        <f>+DATE(W445,V445,1)</f>
        <v>25569.041666666668</v>
      </c>
      <c r="Y445" s="333">
        <f>+_xlfn.IFNA(AN445+AS445+AX445,0)</f>
      </c>
      <c r="Z445" s="333">
        <f>+_xlfn.IFNA(AO445+AT445+AY445,0)</f>
      </c>
      <c r="AA445" s="333">
        <f>Y445*(1+$O$5)^(($B$7-X445)/365.25)</f>
      </c>
      <c r="AB445" s="333">
        <f>Z445*(1+$O$5)^(($B$7-X445)/365.25)</f>
      </c>
      <c r="AC445" s="1"/>
      <c r="AD445" s="1"/>
      <c r="AE445" s="1"/>
      <c r="AF445" s="111">
        <f>+MONTH(E445)&amp;YEAR(E445)</f>
      </c>
      <c r="AG445" s="217">
        <f>+I445</f>
      </c>
      <c r="AH445" s="217">
        <f>+J445</f>
      </c>
      <c r="AI445" s="217">
        <f>+H445</f>
      </c>
      <c r="AJ445" s="111">
        <f>+V445&amp;W445</f>
      </c>
      <c r="AK445" s="217">
        <f>+_xlfn.IFNA(VLOOKUP(AJ445,$AF$7:$AG$1066,2,0),0)</f>
      </c>
      <c r="AL445" s="217">
        <f>+IF(W445&gt;W444,AK445,AL444+AK445)</f>
      </c>
      <c r="AM445" s="217">
        <f>IF(W445&gt;W444,IF(AL445&gt;=$AZ$8,$AZ$8,AL445),IF(OR(AM444=$AZ$8,AM444=0),0,IF(AL445&gt;=$AZ$8,$AZ$8,AL445)))</f>
      </c>
      <c r="AN445" s="748">
        <f>+IF(OR(AM445&gt;AZ444,AM445=0),0,IF(AM445=AL445,AK445,$AZ$7-AL444))</f>
      </c>
      <c r="AO445" s="748">
        <f>+AK445-AN445</f>
      </c>
      <c r="AP445" s="217">
        <f>+_xlfn.IFNA(VLOOKUP(AJ445,$AF$7:$AI$1066,3,0),0)</f>
      </c>
      <c r="AQ445" s="217">
        <f>+IF(W445&gt;W444,AP445,AQ444+AP445)</f>
      </c>
      <c r="AR445" s="217">
        <f>+MAX($AM$2-SUMIF($W$7:$W$1066,W445,$AN$7:$AN$1066),0)</f>
      </c>
      <c r="AS445" s="748">
        <f>+MAX(IF(AQ445&gt;AR445,AR445-AQ444,AP445),0)</f>
      </c>
      <c r="AT445" s="748">
        <f>+AP445-AS445</f>
      </c>
      <c r="AU445" s="217">
        <f>+_xlfn.IFNA(VLOOKUP(AJ445,$AF$7:$AI$1066,4,0),0)</f>
      </c>
      <c r="AV445" s="217">
        <f>+IF(W445&gt;W444,AU445,AV444+AU445)</f>
      </c>
      <c r="AW445" s="217">
        <f>+MAX($AM$2-SUMIF($W$7:$W$1066,W445,$AN$7:$AN$1066)-SUMIF($W$7:$W$1066,W445,$AS$7:$AS$1066),0)</f>
      </c>
      <c r="AX445" s="748">
        <f>+MAX(IF(AV445&gt;AW445,AW445-AV444,AU445),0)</f>
      </c>
      <c r="AY445" s="748">
        <f>+AU445-AX445</f>
      </c>
      <c r="AZ445" s="331">
        <f>+$AM$1+IF($AP$1&gt;$AP$2,$AM$3/2)</f>
      </c>
    </row>
    <row x14ac:dyDescent="0.25" r="446" customHeight="1" ht="18.75">
      <c r="A446" s="1"/>
      <c r="B446" s="7"/>
      <c r="C446" s="170"/>
      <c r="D446" s="331">
        <v>439</v>
      </c>
      <c r="E446" s="544">
        <f>+DATE(YEAR(E445),MONTH(E445)-1,DAY(E445))</f>
        <v>25569.041666666668</v>
      </c>
      <c r="F446" s="333">
        <f>IF(DATE(YEAR($B$6),MONTH($B$6)+1,DAY(1))=E446,1,IF(MONTH(E446)=1,F447*(1+$F$5),F447))</f>
      </c>
      <c r="G446" s="333">
        <f>IF('Simulador - 1º Pilar'!$E$99="Sí",IF('Aportaciones PPE'!$B$13&lt;'Aportaciones PPE'!E446,0,F446*$B$8/12),F446*$B$8/12)</f>
      </c>
      <c r="H446" s="333">
        <f>$H$5*G446</f>
      </c>
      <c r="I446" s="333">
        <f>$I$5*G446</f>
      </c>
      <c r="J446" s="333">
        <f>+I446</f>
      </c>
      <c r="K446" s="333">
        <f>(1+$O$5)^(D446/12)*(H446+IF(AND(F446=1,F447=0),$S$4,0))</f>
      </c>
      <c r="L446" s="333">
        <f>(1+$O$5)^(D446/12)*(I446+IF(AND(F446=1,F447=0),0))</f>
      </c>
      <c r="M446" s="333">
        <f>+L446</f>
      </c>
      <c r="N446" s="333">
        <f>L446+K446+M446</f>
      </c>
      <c r="O446" s="170"/>
      <c r="P446" s="7"/>
      <c r="Q446" s="1"/>
      <c r="R446" s="331">
        <f>D446</f>
      </c>
      <c r="S446" s="169"/>
      <c r="T446" s="1"/>
      <c r="U446" s="217"/>
      <c r="V446" s="331">
        <f>+IF(V445=11,12,IF(V445=12,1,V445+1))</f>
      </c>
      <c r="W446" s="331">
        <f>+W445+IF(V445=12,1,0)</f>
      </c>
      <c r="X446" s="555">
        <f>+DATE(W446,V446,1)</f>
        <v>25569.041666666668</v>
      </c>
      <c r="Y446" s="333">
        <f>+_xlfn.IFNA(AN446+AS446+AX446,0)</f>
      </c>
      <c r="Z446" s="333">
        <f>+_xlfn.IFNA(AO446+AT446+AY446,0)</f>
      </c>
      <c r="AA446" s="333">
        <f>Y446*(1+$O$5)^(($B$7-X446)/365.25)</f>
      </c>
      <c r="AB446" s="333">
        <f>Z446*(1+$O$5)^(($B$7-X446)/365.25)</f>
      </c>
      <c r="AC446" s="1"/>
      <c r="AD446" s="1"/>
      <c r="AE446" s="1"/>
      <c r="AF446" s="111">
        <f>+MONTH(E446)&amp;YEAR(E446)</f>
      </c>
      <c r="AG446" s="217">
        <f>+I446</f>
      </c>
      <c r="AH446" s="217">
        <f>+J446</f>
      </c>
      <c r="AI446" s="217">
        <f>+H446</f>
      </c>
      <c r="AJ446" s="111">
        <f>+V446&amp;W446</f>
      </c>
      <c r="AK446" s="217">
        <f>+_xlfn.IFNA(VLOOKUP(AJ446,$AF$7:$AG$1066,2,0),0)</f>
      </c>
      <c r="AL446" s="217">
        <f>+IF(W446&gt;W445,AK446,AL445+AK446)</f>
      </c>
      <c r="AM446" s="217">
        <f>IF(W446&gt;W445,IF(AL446&gt;=$AZ$8,$AZ$8,AL446),IF(OR(AM445=$AZ$8,AM445=0),0,IF(AL446&gt;=$AZ$8,$AZ$8,AL446)))</f>
      </c>
      <c r="AN446" s="748">
        <f>+IF(OR(AM446&gt;AZ445,AM446=0),0,IF(AM446=AL446,AK446,$AZ$7-AL445))</f>
      </c>
      <c r="AO446" s="748">
        <f>+AK446-AN446</f>
      </c>
      <c r="AP446" s="217">
        <f>+_xlfn.IFNA(VLOOKUP(AJ446,$AF$7:$AI$1066,3,0),0)</f>
      </c>
      <c r="AQ446" s="217">
        <f>+IF(W446&gt;W445,AP446,AQ445+AP446)</f>
      </c>
      <c r="AR446" s="217">
        <f>+MAX($AM$2-SUMIF($W$7:$W$1066,W446,$AN$7:$AN$1066),0)</f>
      </c>
      <c r="AS446" s="748">
        <f>+MAX(IF(AQ446&gt;AR446,AR446-AQ445,AP446),0)</f>
      </c>
      <c r="AT446" s="748">
        <f>+AP446-AS446</f>
      </c>
      <c r="AU446" s="217">
        <f>+_xlfn.IFNA(VLOOKUP(AJ446,$AF$7:$AI$1066,4,0),0)</f>
      </c>
      <c r="AV446" s="217">
        <f>+IF(W446&gt;W445,AU446,AV445+AU446)</f>
      </c>
      <c r="AW446" s="217">
        <f>+MAX($AM$2-SUMIF($W$7:$W$1066,W446,$AN$7:$AN$1066)-SUMIF($W$7:$W$1066,W446,$AS$7:$AS$1066),0)</f>
      </c>
      <c r="AX446" s="748">
        <f>+MAX(IF(AV446&gt;AW446,AW446-AV445,AU446),0)</f>
      </c>
      <c r="AY446" s="748">
        <f>+AU446-AX446</f>
      </c>
      <c r="AZ446" s="331">
        <f>+$AM$1+IF($AP$1&gt;$AP$2,$AM$3/2)</f>
      </c>
    </row>
    <row x14ac:dyDescent="0.25" r="447" customHeight="1" ht="18.75">
      <c r="A447" s="1"/>
      <c r="B447" s="7"/>
      <c r="C447" s="170"/>
      <c r="D447" s="331">
        <v>440</v>
      </c>
      <c r="E447" s="544">
        <f>+DATE(YEAR(E446),MONTH(E446)-1,DAY(E446))</f>
        <v>25569.041666666668</v>
      </c>
      <c r="F447" s="333">
        <f>IF(DATE(YEAR($B$6),MONTH($B$6)+1,DAY(1))=E447,1,IF(MONTH(E447)=1,F448*(1+$F$5),F448))</f>
      </c>
      <c r="G447" s="333">
        <f>IF('Simulador - 1º Pilar'!$E$99="Sí",IF('Aportaciones PPE'!$B$13&lt;'Aportaciones PPE'!E447,0,F447*$B$8/12),F447*$B$8/12)</f>
      </c>
      <c r="H447" s="333">
        <f>$H$5*G447</f>
      </c>
      <c r="I447" s="333">
        <f>$I$5*G447</f>
      </c>
      <c r="J447" s="333">
        <f>+I447</f>
      </c>
      <c r="K447" s="333">
        <f>(1+$O$5)^(D447/12)*(H447+IF(AND(F447=1,F448=0),$S$4,0))</f>
      </c>
      <c r="L447" s="333">
        <f>(1+$O$5)^(D447/12)*(I447+IF(AND(F447=1,F448=0),0))</f>
      </c>
      <c r="M447" s="333">
        <f>+L447</f>
      </c>
      <c r="N447" s="333">
        <f>L447+K447+M447</f>
      </c>
      <c r="O447" s="170"/>
      <c r="P447" s="7"/>
      <c r="Q447" s="1"/>
      <c r="R447" s="331">
        <f>D447</f>
      </c>
      <c r="S447" s="169"/>
      <c r="T447" s="1"/>
      <c r="U447" s="217"/>
      <c r="V447" s="331">
        <f>+IF(V446=11,12,IF(V446=12,1,V446+1))</f>
      </c>
      <c r="W447" s="331">
        <f>+W446+IF(V446=12,1,0)</f>
      </c>
      <c r="X447" s="555">
        <f>+DATE(W447,V447,1)</f>
        <v>25569.041666666668</v>
      </c>
      <c r="Y447" s="333">
        <f>+_xlfn.IFNA(AN447+AS447+AX447,0)</f>
      </c>
      <c r="Z447" s="333">
        <f>+_xlfn.IFNA(AO447+AT447+AY447,0)</f>
      </c>
      <c r="AA447" s="333">
        <f>Y447*(1+$O$5)^(($B$7-X447)/365.25)</f>
      </c>
      <c r="AB447" s="333">
        <f>Z447*(1+$O$5)^(($B$7-X447)/365.25)</f>
      </c>
      <c r="AC447" s="1"/>
      <c r="AD447" s="1"/>
      <c r="AE447" s="1"/>
      <c r="AF447" s="111">
        <f>+MONTH(E447)&amp;YEAR(E447)</f>
      </c>
      <c r="AG447" s="217">
        <f>+I447</f>
      </c>
      <c r="AH447" s="217">
        <f>+J447</f>
      </c>
      <c r="AI447" s="217">
        <f>+H447</f>
      </c>
      <c r="AJ447" s="111">
        <f>+V447&amp;W447</f>
      </c>
      <c r="AK447" s="217">
        <f>+_xlfn.IFNA(VLOOKUP(AJ447,$AF$7:$AG$1066,2,0),0)</f>
      </c>
      <c r="AL447" s="217">
        <f>+IF(W447&gt;W446,AK447,AL446+AK447)</f>
      </c>
      <c r="AM447" s="217">
        <f>IF(W447&gt;W446,IF(AL447&gt;=$AZ$8,$AZ$8,AL447),IF(OR(AM446=$AZ$8,AM446=0),0,IF(AL447&gt;=$AZ$8,$AZ$8,AL447)))</f>
      </c>
      <c r="AN447" s="748">
        <f>+IF(OR(AM447&gt;AZ446,AM447=0),0,IF(AM447=AL447,AK447,$AZ$7-AL446))</f>
      </c>
      <c r="AO447" s="748">
        <f>+AK447-AN447</f>
      </c>
      <c r="AP447" s="217">
        <f>+_xlfn.IFNA(VLOOKUP(AJ447,$AF$7:$AI$1066,3,0),0)</f>
      </c>
      <c r="AQ447" s="217">
        <f>+IF(W447&gt;W446,AP447,AQ446+AP447)</f>
      </c>
      <c r="AR447" s="217">
        <f>+MAX($AM$2-SUMIF($W$7:$W$1066,W447,$AN$7:$AN$1066),0)</f>
      </c>
      <c r="AS447" s="748">
        <f>+MAX(IF(AQ447&gt;AR447,AR447-AQ446,AP447),0)</f>
      </c>
      <c r="AT447" s="748">
        <f>+AP447-AS447</f>
      </c>
      <c r="AU447" s="217">
        <f>+_xlfn.IFNA(VLOOKUP(AJ447,$AF$7:$AI$1066,4,0),0)</f>
      </c>
      <c r="AV447" s="217">
        <f>+IF(W447&gt;W446,AU447,AV446+AU447)</f>
      </c>
      <c r="AW447" s="217">
        <f>+MAX($AM$2-SUMIF($W$7:$W$1066,W447,$AN$7:$AN$1066)-SUMIF($W$7:$W$1066,W447,$AS$7:$AS$1066),0)</f>
      </c>
      <c r="AX447" s="748">
        <f>+MAX(IF(AV447&gt;AW447,AW447-AV446,AU447),0)</f>
      </c>
      <c r="AY447" s="748">
        <f>+AU447-AX447</f>
      </c>
      <c r="AZ447" s="331">
        <f>+$AM$1+IF($AP$1&gt;$AP$2,$AM$3/2)</f>
      </c>
    </row>
    <row x14ac:dyDescent="0.25" r="448" customHeight="1" ht="18.75">
      <c r="A448" s="1"/>
      <c r="B448" s="7"/>
      <c r="C448" s="170"/>
      <c r="D448" s="331">
        <v>441</v>
      </c>
      <c r="E448" s="544">
        <f>+DATE(YEAR(E447),MONTH(E447)-1,DAY(E447))</f>
        <v>25569.041666666668</v>
      </c>
      <c r="F448" s="333">
        <f>IF(DATE(YEAR($B$6),MONTH($B$6)+1,DAY(1))=E448,1,IF(MONTH(E448)=1,F449*(1+$F$5),F449))</f>
      </c>
      <c r="G448" s="333">
        <f>IF('Simulador - 1º Pilar'!$E$99="Sí",IF('Aportaciones PPE'!$B$13&lt;'Aportaciones PPE'!E448,0,F448*$B$8/12),F448*$B$8/12)</f>
      </c>
      <c r="H448" s="333">
        <f>$H$5*G448</f>
      </c>
      <c r="I448" s="333">
        <f>$I$5*G448</f>
      </c>
      <c r="J448" s="333">
        <f>+I448</f>
      </c>
      <c r="K448" s="333">
        <f>(1+$O$5)^(D448/12)*(H448+IF(AND(F448=1,F449=0),$S$4,0))</f>
      </c>
      <c r="L448" s="333">
        <f>(1+$O$5)^(D448/12)*(I448+IF(AND(F448=1,F449=0),0))</f>
      </c>
      <c r="M448" s="333">
        <f>+L448</f>
      </c>
      <c r="N448" s="333">
        <f>L448+K448+M448</f>
      </c>
      <c r="O448" s="170"/>
      <c r="P448" s="7"/>
      <c r="Q448" s="1"/>
      <c r="R448" s="331">
        <f>D448</f>
      </c>
      <c r="S448" s="169"/>
      <c r="T448" s="1"/>
      <c r="U448" s="217"/>
      <c r="V448" s="331">
        <f>+IF(V447=11,12,IF(V447=12,1,V447+1))</f>
      </c>
      <c r="W448" s="331">
        <f>+W447+IF(V447=12,1,0)</f>
      </c>
      <c r="X448" s="555">
        <f>+DATE(W448,V448,1)</f>
        <v>25569.041666666668</v>
      </c>
      <c r="Y448" s="333">
        <f>+_xlfn.IFNA(AN448+AS448+AX448,0)</f>
      </c>
      <c r="Z448" s="333">
        <f>+_xlfn.IFNA(AO448+AT448+AY448,0)</f>
      </c>
      <c r="AA448" s="333">
        <f>Y448*(1+$O$5)^(($B$7-X448)/365.25)</f>
      </c>
      <c r="AB448" s="333">
        <f>Z448*(1+$O$5)^(($B$7-X448)/365.25)</f>
      </c>
      <c r="AC448" s="1"/>
      <c r="AD448" s="1"/>
      <c r="AE448" s="1"/>
      <c r="AF448" s="111">
        <f>+MONTH(E448)&amp;YEAR(E448)</f>
      </c>
      <c r="AG448" s="217">
        <f>+I448</f>
      </c>
      <c r="AH448" s="217">
        <f>+J448</f>
      </c>
      <c r="AI448" s="217">
        <f>+H448</f>
      </c>
      <c r="AJ448" s="111">
        <f>+V448&amp;W448</f>
      </c>
      <c r="AK448" s="217">
        <f>+_xlfn.IFNA(VLOOKUP(AJ448,$AF$7:$AG$1066,2,0),0)</f>
      </c>
      <c r="AL448" s="217">
        <f>+IF(W448&gt;W447,AK448,AL447+AK448)</f>
      </c>
      <c r="AM448" s="217">
        <f>IF(W448&gt;W447,IF(AL448&gt;=$AZ$8,$AZ$8,AL448),IF(OR(AM447=$AZ$8,AM447=0),0,IF(AL448&gt;=$AZ$8,$AZ$8,AL448)))</f>
      </c>
      <c r="AN448" s="748">
        <f>+IF(OR(AM448&gt;AZ447,AM448=0),0,IF(AM448=AL448,AK448,$AZ$7-AL447))</f>
      </c>
      <c r="AO448" s="748">
        <f>+AK448-AN448</f>
      </c>
      <c r="AP448" s="217">
        <f>+_xlfn.IFNA(VLOOKUP(AJ448,$AF$7:$AI$1066,3,0),0)</f>
      </c>
      <c r="AQ448" s="217">
        <f>+IF(W448&gt;W447,AP448,AQ447+AP448)</f>
      </c>
      <c r="AR448" s="217">
        <f>+MAX($AM$2-SUMIF($W$7:$W$1066,W448,$AN$7:$AN$1066),0)</f>
      </c>
      <c r="AS448" s="748">
        <f>+MAX(IF(AQ448&gt;AR448,AR448-AQ447,AP448),0)</f>
      </c>
      <c r="AT448" s="748">
        <f>+AP448-AS448</f>
      </c>
      <c r="AU448" s="217">
        <f>+_xlfn.IFNA(VLOOKUP(AJ448,$AF$7:$AI$1066,4,0),0)</f>
      </c>
      <c r="AV448" s="217">
        <f>+IF(W448&gt;W447,AU448,AV447+AU448)</f>
      </c>
      <c r="AW448" s="217">
        <f>+MAX($AM$2-SUMIF($W$7:$W$1066,W448,$AN$7:$AN$1066)-SUMIF($W$7:$W$1066,W448,$AS$7:$AS$1066),0)</f>
      </c>
      <c r="AX448" s="748">
        <f>+MAX(IF(AV448&gt;AW448,AW448-AV447,AU448),0)</f>
      </c>
      <c r="AY448" s="748">
        <f>+AU448-AX448</f>
      </c>
      <c r="AZ448" s="331">
        <f>+$AM$1+IF($AP$1&gt;$AP$2,$AM$3/2)</f>
      </c>
    </row>
    <row x14ac:dyDescent="0.25" r="449" customHeight="1" ht="18.75">
      <c r="A449" s="1"/>
      <c r="B449" s="7"/>
      <c r="C449" s="170"/>
      <c r="D449" s="331">
        <v>442</v>
      </c>
      <c r="E449" s="544">
        <f>+DATE(YEAR(E448),MONTH(E448)-1,DAY(E448))</f>
        <v>25569.041666666668</v>
      </c>
      <c r="F449" s="333">
        <f>IF(DATE(YEAR($B$6),MONTH($B$6)+1,DAY(1))=E449,1,IF(MONTH(E449)=1,F450*(1+$F$5),F450))</f>
      </c>
      <c r="G449" s="333">
        <f>IF('Simulador - 1º Pilar'!$E$99="Sí",IF('Aportaciones PPE'!$B$13&lt;'Aportaciones PPE'!E449,0,F449*$B$8/12),F449*$B$8/12)</f>
      </c>
      <c r="H449" s="333">
        <f>$H$5*G449</f>
      </c>
      <c r="I449" s="333">
        <f>$I$5*G449</f>
      </c>
      <c r="J449" s="333">
        <f>+I449</f>
      </c>
      <c r="K449" s="333">
        <f>(1+$O$5)^(D449/12)*(H449+IF(AND(F449=1,F450=0),$S$4,0))</f>
      </c>
      <c r="L449" s="333">
        <f>(1+$O$5)^(D449/12)*(I449+IF(AND(F449=1,F450=0),0))</f>
      </c>
      <c r="M449" s="333">
        <f>+L449</f>
      </c>
      <c r="N449" s="333">
        <f>L449+K449+M449</f>
      </c>
      <c r="O449" s="170"/>
      <c r="P449" s="7"/>
      <c r="Q449" s="1"/>
      <c r="R449" s="331">
        <f>D449</f>
      </c>
      <c r="S449" s="169"/>
      <c r="T449" s="1"/>
      <c r="U449" s="217"/>
      <c r="V449" s="331">
        <f>+IF(V448=11,12,IF(V448=12,1,V448+1))</f>
      </c>
      <c r="W449" s="331">
        <f>+W448+IF(V448=12,1,0)</f>
      </c>
      <c r="X449" s="555">
        <f>+DATE(W449,V449,1)</f>
        <v>25569.041666666668</v>
      </c>
      <c r="Y449" s="333">
        <f>+_xlfn.IFNA(AN449+AS449+AX449,0)</f>
      </c>
      <c r="Z449" s="333">
        <f>+_xlfn.IFNA(AO449+AT449+AY449,0)</f>
      </c>
      <c r="AA449" s="333">
        <f>Y449*(1+$O$5)^(($B$7-X449)/365.25)</f>
      </c>
      <c r="AB449" s="333">
        <f>Z449*(1+$O$5)^(($B$7-X449)/365.25)</f>
      </c>
      <c r="AC449" s="1"/>
      <c r="AD449" s="1"/>
      <c r="AE449" s="1"/>
      <c r="AF449" s="111">
        <f>+MONTH(E449)&amp;YEAR(E449)</f>
      </c>
      <c r="AG449" s="217">
        <f>+I449</f>
      </c>
      <c r="AH449" s="217">
        <f>+J449</f>
      </c>
      <c r="AI449" s="217">
        <f>+H449</f>
      </c>
      <c r="AJ449" s="111">
        <f>+V449&amp;W449</f>
      </c>
      <c r="AK449" s="217">
        <f>+_xlfn.IFNA(VLOOKUP(AJ449,$AF$7:$AG$1066,2,0),0)</f>
      </c>
      <c r="AL449" s="217">
        <f>+IF(W449&gt;W448,AK449,AL448+AK449)</f>
      </c>
      <c r="AM449" s="217">
        <f>IF(W449&gt;W448,IF(AL449&gt;=$AZ$8,$AZ$8,AL449),IF(OR(AM448=$AZ$8,AM448=0),0,IF(AL449&gt;=$AZ$8,$AZ$8,AL449)))</f>
      </c>
      <c r="AN449" s="748">
        <f>+IF(OR(AM449&gt;AZ448,AM449=0),0,IF(AM449=AL449,AK449,$AZ$7-AL448))</f>
      </c>
      <c r="AO449" s="748">
        <f>+AK449-AN449</f>
      </c>
      <c r="AP449" s="217">
        <f>+_xlfn.IFNA(VLOOKUP(AJ449,$AF$7:$AI$1066,3,0),0)</f>
      </c>
      <c r="AQ449" s="217">
        <f>+IF(W449&gt;W448,AP449,AQ448+AP449)</f>
      </c>
      <c r="AR449" s="217">
        <f>+MAX($AM$2-SUMIF($W$7:$W$1066,W449,$AN$7:$AN$1066),0)</f>
      </c>
      <c r="AS449" s="748">
        <f>+MAX(IF(AQ449&gt;AR449,AR449-AQ448,AP449),0)</f>
      </c>
      <c r="AT449" s="748">
        <f>+AP449-AS449</f>
      </c>
      <c r="AU449" s="217">
        <f>+_xlfn.IFNA(VLOOKUP(AJ449,$AF$7:$AI$1066,4,0),0)</f>
      </c>
      <c r="AV449" s="217">
        <f>+IF(W449&gt;W448,AU449,AV448+AU449)</f>
      </c>
      <c r="AW449" s="217">
        <f>+MAX($AM$2-SUMIF($W$7:$W$1066,W449,$AN$7:$AN$1066)-SUMIF($W$7:$W$1066,W449,$AS$7:$AS$1066),0)</f>
      </c>
      <c r="AX449" s="748">
        <f>+MAX(IF(AV449&gt;AW449,AW449-AV448,AU449),0)</f>
      </c>
      <c r="AY449" s="748">
        <f>+AU449-AX449</f>
      </c>
      <c r="AZ449" s="331">
        <f>+$AM$1+IF($AP$1&gt;$AP$2,$AM$3/2)</f>
      </c>
    </row>
    <row x14ac:dyDescent="0.25" r="450" customHeight="1" ht="18.75">
      <c r="A450" s="1"/>
      <c r="B450" s="7"/>
      <c r="C450" s="170"/>
      <c r="D450" s="331">
        <v>443</v>
      </c>
      <c r="E450" s="544">
        <f>+DATE(YEAR(E449),MONTH(E449)-1,DAY(E449))</f>
        <v>25569.041666666668</v>
      </c>
      <c r="F450" s="333">
        <f>IF(DATE(YEAR($B$6),MONTH($B$6)+1,DAY(1))=E450,1,IF(MONTH(E450)=1,F451*(1+$F$5),F451))</f>
      </c>
      <c r="G450" s="333">
        <f>IF('Simulador - 1º Pilar'!$E$99="Sí",IF('Aportaciones PPE'!$B$13&lt;'Aportaciones PPE'!E450,0,F450*$B$8/12),F450*$B$8/12)</f>
      </c>
      <c r="H450" s="333">
        <f>$H$5*G450</f>
      </c>
      <c r="I450" s="333">
        <f>$I$5*G450</f>
      </c>
      <c r="J450" s="333">
        <f>+I450</f>
      </c>
      <c r="K450" s="333">
        <f>(1+$O$5)^(D450/12)*(H450+IF(AND(F450=1,F451=0),$S$4,0))</f>
      </c>
      <c r="L450" s="333">
        <f>(1+$O$5)^(D450/12)*(I450+IF(AND(F450=1,F451=0),0))</f>
      </c>
      <c r="M450" s="333">
        <f>+L450</f>
      </c>
      <c r="N450" s="333">
        <f>L450+K450+M450</f>
      </c>
      <c r="O450" s="170"/>
      <c r="P450" s="7"/>
      <c r="Q450" s="1"/>
      <c r="R450" s="331">
        <f>D450</f>
      </c>
      <c r="S450" s="169"/>
      <c r="T450" s="1"/>
      <c r="U450" s="217"/>
      <c r="V450" s="331">
        <f>+IF(V449=11,12,IF(V449=12,1,V449+1))</f>
      </c>
      <c r="W450" s="331">
        <f>+W449+IF(V449=12,1,0)</f>
      </c>
      <c r="X450" s="555">
        <f>+DATE(W450,V450,1)</f>
        <v>25569.041666666668</v>
      </c>
      <c r="Y450" s="333">
        <f>+_xlfn.IFNA(AN450+AS450+AX450,0)</f>
      </c>
      <c r="Z450" s="333">
        <f>+_xlfn.IFNA(AO450+AT450+AY450,0)</f>
      </c>
      <c r="AA450" s="333">
        <f>Y450*(1+$O$5)^(($B$7-X450)/365.25)</f>
      </c>
      <c r="AB450" s="333">
        <f>Z450*(1+$O$5)^(($B$7-X450)/365.25)</f>
      </c>
      <c r="AC450" s="1"/>
      <c r="AD450" s="1"/>
      <c r="AE450" s="1"/>
      <c r="AF450" s="111">
        <f>+MONTH(E450)&amp;YEAR(E450)</f>
      </c>
      <c r="AG450" s="217">
        <f>+I450</f>
      </c>
      <c r="AH450" s="217">
        <f>+J450</f>
      </c>
      <c r="AI450" s="217">
        <f>+H450</f>
      </c>
      <c r="AJ450" s="111">
        <f>+V450&amp;W450</f>
      </c>
      <c r="AK450" s="217">
        <f>+_xlfn.IFNA(VLOOKUP(AJ450,$AF$7:$AG$1066,2,0),0)</f>
      </c>
      <c r="AL450" s="217">
        <f>+IF(W450&gt;W449,AK450,AL449+AK450)</f>
      </c>
      <c r="AM450" s="217">
        <f>IF(W450&gt;W449,IF(AL450&gt;=$AZ$8,$AZ$8,AL450),IF(OR(AM449=$AZ$8,AM449=0),0,IF(AL450&gt;=$AZ$8,$AZ$8,AL450)))</f>
      </c>
      <c r="AN450" s="748">
        <f>+IF(OR(AM450&gt;AZ449,AM450=0),0,IF(AM450=AL450,AK450,$AZ$7-AL449))</f>
      </c>
      <c r="AO450" s="748">
        <f>+AK450-AN450</f>
      </c>
      <c r="AP450" s="217">
        <f>+_xlfn.IFNA(VLOOKUP(AJ450,$AF$7:$AI$1066,3,0),0)</f>
      </c>
      <c r="AQ450" s="217">
        <f>+IF(W450&gt;W449,AP450,AQ449+AP450)</f>
      </c>
      <c r="AR450" s="217">
        <f>+MAX($AM$2-SUMIF($W$7:$W$1066,W450,$AN$7:$AN$1066),0)</f>
      </c>
      <c r="AS450" s="748">
        <f>+MAX(IF(AQ450&gt;AR450,AR450-AQ449,AP450),0)</f>
      </c>
      <c r="AT450" s="748">
        <f>+AP450-AS450</f>
      </c>
      <c r="AU450" s="217">
        <f>+_xlfn.IFNA(VLOOKUP(AJ450,$AF$7:$AI$1066,4,0),0)</f>
      </c>
      <c r="AV450" s="217">
        <f>+IF(W450&gt;W449,AU450,AV449+AU450)</f>
      </c>
      <c r="AW450" s="217">
        <f>+MAX($AM$2-SUMIF($W$7:$W$1066,W450,$AN$7:$AN$1066)-SUMIF($W$7:$W$1066,W450,$AS$7:$AS$1066),0)</f>
      </c>
      <c r="AX450" s="748">
        <f>+MAX(IF(AV450&gt;AW450,AW450-AV449,AU450),0)</f>
      </c>
      <c r="AY450" s="748">
        <f>+AU450-AX450</f>
      </c>
      <c r="AZ450" s="331">
        <f>+$AM$1+IF($AP$1&gt;$AP$2,$AM$3/2)</f>
      </c>
    </row>
    <row x14ac:dyDescent="0.25" r="451" customHeight="1" ht="18.75">
      <c r="A451" s="1"/>
      <c r="B451" s="7"/>
      <c r="C451" s="170"/>
      <c r="D451" s="331">
        <v>444</v>
      </c>
      <c r="E451" s="544">
        <f>+DATE(YEAR(E450),MONTH(E450)-1,DAY(E450))</f>
        <v>25569.041666666668</v>
      </c>
      <c r="F451" s="333">
        <f>IF(DATE(YEAR($B$6),MONTH($B$6)+1,DAY(1))=E451,1,IF(MONTH(E451)=1,F452*(1+$F$5),F452))</f>
      </c>
      <c r="G451" s="333">
        <f>IF('Simulador - 1º Pilar'!$E$99="Sí",IF('Aportaciones PPE'!$B$13&lt;'Aportaciones PPE'!E451,0,F451*$B$8/12),F451*$B$8/12)</f>
      </c>
      <c r="H451" s="333">
        <f>$H$5*G451</f>
      </c>
      <c r="I451" s="333">
        <f>$I$5*G451</f>
      </c>
      <c r="J451" s="333">
        <f>+I451</f>
      </c>
      <c r="K451" s="333">
        <f>(1+$O$5)^(D451/12)*(H451+IF(AND(F451=1,F452=0),$S$4,0))</f>
      </c>
      <c r="L451" s="333">
        <f>(1+$O$5)^(D451/12)*(I451+IF(AND(F451=1,F452=0),0))</f>
      </c>
      <c r="M451" s="333">
        <f>+L451</f>
      </c>
      <c r="N451" s="333">
        <f>L451+K451+M451</f>
      </c>
      <c r="O451" s="170"/>
      <c r="P451" s="7"/>
      <c r="Q451" s="1"/>
      <c r="R451" s="331">
        <f>D451</f>
      </c>
      <c r="S451" s="169"/>
      <c r="T451" s="1"/>
      <c r="U451" s="217"/>
      <c r="V451" s="331">
        <f>+IF(V450=11,12,IF(V450=12,1,V450+1))</f>
      </c>
      <c r="W451" s="331">
        <f>+W450+IF(V450=12,1,0)</f>
      </c>
      <c r="X451" s="555">
        <f>+DATE(W451,V451,1)</f>
        <v>25569.041666666668</v>
      </c>
      <c r="Y451" s="333">
        <f>+_xlfn.IFNA(AN451+AS451+AX451,0)</f>
      </c>
      <c r="Z451" s="333">
        <f>+_xlfn.IFNA(AO451+AT451+AY451,0)</f>
      </c>
      <c r="AA451" s="333">
        <f>Y451*(1+$O$5)^(($B$7-X451)/365.25)</f>
      </c>
      <c r="AB451" s="333">
        <f>Z451*(1+$O$5)^(($B$7-X451)/365.25)</f>
      </c>
      <c r="AC451" s="1"/>
      <c r="AD451" s="1"/>
      <c r="AE451" s="1"/>
      <c r="AF451" s="111">
        <f>+MONTH(E451)&amp;YEAR(E451)</f>
      </c>
      <c r="AG451" s="217">
        <f>+I451</f>
      </c>
      <c r="AH451" s="217">
        <f>+J451</f>
      </c>
      <c r="AI451" s="217">
        <f>+H451</f>
      </c>
      <c r="AJ451" s="111">
        <f>+V451&amp;W451</f>
      </c>
      <c r="AK451" s="217">
        <f>+_xlfn.IFNA(VLOOKUP(AJ451,$AF$7:$AG$1066,2,0),0)</f>
      </c>
      <c r="AL451" s="217">
        <f>+IF(W451&gt;W450,AK451,AL450+AK451)</f>
      </c>
      <c r="AM451" s="217">
        <f>IF(W451&gt;W450,IF(AL451&gt;=$AZ$8,$AZ$8,AL451),IF(OR(AM450=$AZ$8,AM450=0),0,IF(AL451&gt;=$AZ$8,$AZ$8,AL451)))</f>
      </c>
      <c r="AN451" s="748">
        <f>+IF(OR(AM451&gt;AZ450,AM451=0),0,IF(AM451=AL451,AK451,$AZ$7-AL450))</f>
      </c>
      <c r="AO451" s="748">
        <f>+AK451-AN451</f>
      </c>
      <c r="AP451" s="217">
        <f>+_xlfn.IFNA(VLOOKUP(AJ451,$AF$7:$AI$1066,3,0),0)</f>
      </c>
      <c r="AQ451" s="217">
        <f>+IF(W451&gt;W450,AP451,AQ450+AP451)</f>
      </c>
      <c r="AR451" s="217">
        <f>+MAX($AM$2-SUMIF($W$7:$W$1066,W451,$AN$7:$AN$1066),0)</f>
      </c>
      <c r="AS451" s="748">
        <f>+MAX(IF(AQ451&gt;AR451,AR451-AQ450,AP451),0)</f>
      </c>
      <c r="AT451" s="748">
        <f>+AP451-AS451</f>
      </c>
      <c r="AU451" s="217">
        <f>+_xlfn.IFNA(VLOOKUP(AJ451,$AF$7:$AI$1066,4,0),0)</f>
      </c>
      <c r="AV451" s="217">
        <f>+IF(W451&gt;W450,AU451,AV450+AU451)</f>
      </c>
      <c r="AW451" s="217">
        <f>+MAX($AM$2-SUMIF($W$7:$W$1066,W451,$AN$7:$AN$1066)-SUMIF($W$7:$W$1066,W451,$AS$7:$AS$1066),0)</f>
      </c>
      <c r="AX451" s="748">
        <f>+MAX(IF(AV451&gt;AW451,AW451-AV450,AU451),0)</f>
      </c>
      <c r="AY451" s="748">
        <f>+AU451-AX451</f>
      </c>
      <c r="AZ451" s="331">
        <f>+$AM$1+IF($AP$1&gt;$AP$2,$AM$3/2)</f>
      </c>
    </row>
    <row x14ac:dyDescent="0.25" r="452" customHeight="1" ht="18.75">
      <c r="A452" s="1"/>
      <c r="B452" s="7"/>
      <c r="C452" s="170"/>
      <c r="D452" s="331">
        <v>445</v>
      </c>
      <c r="E452" s="544">
        <f>+DATE(YEAR(E451),MONTH(E451)-1,DAY(E451))</f>
        <v>25569.041666666668</v>
      </c>
      <c r="F452" s="333">
        <f>IF(DATE(YEAR($B$6),MONTH($B$6)+1,DAY(1))=E452,1,IF(MONTH(E452)=1,F453*(1+$F$5),F453))</f>
      </c>
      <c r="G452" s="333">
        <f>IF('Simulador - 1º Pilar'!$E$99="Sí",IF('Aportaciones PPE'!$B$13&lt;'Aportaciones PPE'!E452,0,F452*$B$8/12),F452*$B$8/12)</f>
      </c>
      <c r="H452" s="333">
        <f>$H$5*G452</f>
      </c>
      <c r="I452" s="333">
        <f>$I$5*G452</f>
      </c>
      <c r="J452" s="333">
        <f>+I452</f>
      </c>
      <c r="K452" s="333">
        <f>(1+$O$5)^(D452/12)*(H452+IF(AND(F452=1,F453=0),$S$4,0))</f>
      </c>
      <c r="L452" s="333">
        <f>(1+$O$5)^(D452/12)*(I452+IF(AND(F452=1,F453=0),0))</f>
      </c>
      <c r="M452" s="333">
        <f>+L452</f>
      </c>
      <c r="N452" s="333">
        <f>L452+K452+M452</f>
      </c>
      <c r="O452" s="170"/>
      <c r="P452" s="7"/>
      <c r="Q452" s="1"/>
      <c r="R452" s="331">
        <f>D452</f>
      </c>
      <c r="S452" s="169"/>
      <c r="T452" s="1"/>
      <c r="U452" s="217"/>
      <c r="V452" s="331">
        <f>+IF(V451=11,12,IF(V451=12,1,V451+1))</f>
      </c>
      <c r="W452" s="331">
        <f>+W451+IF(V451=12,1,0)</f>
      </c>
      <c r="X452" s="555">
        <f>+DATE(W452,V452,1)</f>
        <v>25569.041666666668</v>
      </c>
      <c r="Y452" s="333">
        <f>+_xlfn.IFNA(AN452+AS452+AX452,0)</f>
      </c>
      <c r="Z452" s="333">
        <f>+_xlfn.IFNA(AO452+AT452+AY452,0)</f>
      </c>
      <c r="AA452" s="333">
        <f>Y452*(1+$O$5)^(($B$7-X452)/365.25)</f>
      </c>
      <c r="AB452" s="333">
        <f>Z452*(1+$O$5)^(($B$7-X452)/365.25)</f>
      </c>
      <c r="AC452" s="1"/>
      <c r="AD452" s="1"/>
      <c r="AE452" s="1"/>
      <c r="AF452" s="111">
        <f>+MONTH(E452)&amp;YEAR(E452)</f>
      </c>
      <c r="AG452" s="217">
        <f>+I452</f>
      </c>
      <c r="AH452" s="217">
        <f>+J452</f>
      </c>
      <c r="AI452" s="217">
        <f>+H452</f>
      </c>
      <c r="AJ452" s="111">
        <f>+V452&amp;W452</f>
      </c>
      <c r="AK452" s="217">
        <f>+_xlfn.IFNA(VLOOKUP(AJ452,$AF$7:$AG$1066,2,0),0)</f>
      </c>
      <c r="AL452" s="217">
        <f>+IF(W452&gt;W451,AK452,AL451+AK452)</f>
      </c>
      <c r="AM452" s="217">
        <f>IF(W452&gt;W451,IF(AL452&gt;=$AZ$8,$AZ$8,AL452),IF(OR(AM451=$AZ$8,AM451=0),0,IF(AL452&gt;=$AZ$8,$AZ$8,AL452)))</f>
      </c>
      <c r="AN452" s="748">
        <f>+IF(OR(AM452&gt;AZ451,AM452=0),0,IF(AM452=AL452,AK452,$AZ$7-AL451))</f>
      </c>
      <c r="AO452" s="748">
        <f>+AK452-AN452</f>
      </c>
      <c r="AP452" s="217">
        <f>+_xlfn.IFNA(VLOOKUP(AJ452,$AF$7:$AI$1066,3,0),0)</f>
      </c>
      <c r="AQ452" s="217">
        <f>+IF(W452&gt;W451,AP452,AQ451+AP452)</f>
      </c>
      <c r="AR452" s="217">
        <f>+MAX($AM$2-SUMIF($W$7:$W$1066,W452,$AN$7:$AN$1066),0)</f>
      </c>
      <c r="AS452" s="748">
        <f>+MAX(IF(AQ452&gt;AR452,AR452-AQ451,AP452),0)</f>
      </c>
      <c r="AT452" s="748">
        <f>+AP452-AS452</f>
      </c>
      <c r="AU452" s="217">
        <f>+_xlfn.IFNA(VLOOKUP(AJ452,$AF$7:$AI$1066,4,0),0)</f>
      </c>
      <c r="AV452" s="217">
        <f>+IF(W452&gt;W451,AU452,AV451+AU452)</f>
      </c>
      <c r="AW452" s="217">
        <f>+MAX($AM$2-SUMIF($W$7:$W$1066,W452,$AN$7:$AN$1066)-SUMIF($W$7:$W$1066,W452,$AS$7:$AS$1066),0)</f>
      </c>
      <c r="AX452" s="748">
        <f>+MAX(IF(AV452&gt;AW452,AW452-AV451,AU452),0)</f>
      </c>
      <c r="AY452" s="748">
        <f>+AU452-AX452</f>
      </c>
      <c r="AZ452" s="331">
        <f>+$AM$1+IF($AP$1&gt;$AP$2,$AM$3/2)</f>
      </c>
    </row>
    <row x14ac:dyDescent="0.25" r="453" customHeight="1" ht="18.75">
      <c r="A453" s="1"/>
      <c r="B453" s="7"/>
      <c r="C453" s="170"/>
      <c r="D453" s="331">
        <v>446</v>
      </c>
      <c r="E453" s="544">
        <f>+DATE(YEAR(E452),MONTH(E452)-1,DAY(E452))</f>
        <v>25569.041666666668</v>
      </c>
      <c r="F453" s="333">
        <f>IF(DATE(YEAR($B$6),MONTH($B$6)+1,DAY(1))=E453,1,IF(MONTH(E453)=1,F454*(1+$F$5),F454))</f>
      </c>
      <c r="G453" s="333">
        <f>IF('Simulador - 1º Pilar'!$E$99="Sí",IF('Aportaciones PPE'!$B$13&lt;'Aportaciones PPE'!E453,0,F453*$B$8/12),F453*$B$8/12)</f>
      </c>
      <c r="H453" s="333">
        <f>$H$5*G453</f>
      </c>
      <c r="I453" s="333">
        <f>$I$5*G453</f>
      </c>
      <c r="J453" s="333">
        <f>+I453</f>
      </c>
      <c r="K453" s="333">
        <f>(1+$O$5)^(D453/12)*(H453+IF(AND(F453=1,F454=0),$S$4,0))</f>
      </c>
      <c r="L453" s="333">
        <f>(1+$O$5)^(D453/12)*(I453+IF(AND(F453=1,F454=0),0))</f>
      </c>
      <c r="M453" s="333">
        <f>+L453</f>
      </c>
      <c r="N453" s="333">
        <f>L453+K453+M453</f>
      </c>
      <c r="O453" s="170"/>
      <c r="P453" s="7"/>
      <c r="Q453" s="1"/>
      <c r="R453" s="331">
        <f>D453</f>
      </c>
      <c r="S453" s="169"/>
      <c r="T453" s="1"/>
      <c r="U453" s="217"/>
      <c r="V453" s="331">
        <f>+IF(V452=11,12,IF(V452=12,1,V452+1))</f>
      </c>
      <c r="W453" s="331">
        <f>+W452+IF(V452=12,1,0)</f>
      </c>
      <c r="X453" s="555">
        <f>+DATE(W453,V453,1)</f>
        <v>25569.041666666668</v>
      </c>
      <c r="Y453" s="333">
        <f>+_xlfn.IFNA(AN453+AS453+AX453,0)</f>
      </c>
      <c r="Z453" s="333">
        <f>+_xlfn.IFNA(AO453+AT453+AY453,0)</f>
      </c>
      <c r="AA453" s="333">
        <f>Y453*(1+$O$5)^(($B$7-X453)/365.25)</f>
      </c>
      <c r="AB453" s="333">
        <f>Z453*(1+$O$5)^(($B$7-X453)/365.25)</f>
      </c>
      <c r="AC453" s="1"/>
      <c r="AD453" s="1"/>
      <c r="AE453" s="1"/>
      <c r="AF453" s="111">
        <f>+MONTH(E453)&amp;YEAR(E453)</f>
      </c>
      <c r="AG453" s="217">
        <f>+I453</f>
      </c>
      <c r="AH453" s="217">
        <f>+J453</f>
      </c>
      <c r="AI453" s="217">
        <f>+H453</f>
      </c>
      <c r="AJ453" s="111">
        <f>+V453&amp;W453</f>
      </c>
      <c r="AK453" s="217">
        <f>+_xlfn.IFNA(VLOOKUP(AJ453,$AF$7:$AG$1066,2,0),0)</f>
      </c>
      <c r="AL453" s="217">
        <f>+IF(W453&gt;W452,AK453,AL452+AK453)</f>
      </c>
      <c r="AM453" s="217">
        <f>IF(W453&gt;W452,IF(AL453&gt;=$AZ$8,$AZ$8,AL453),IF(OR(AM452=$AZ$8,AM452=0),0,IF(AL453&gt;=$AZ$8,$AZ$8,AL453)))</f>
      </c>
      <c r="AN453" s="748">
        <f>+IF(OR(AM453&gt;AZ452,AM453=0),0,IF(AM453=AL453,AK453,$AZ$7-AL452))</f>
      </c>
      <c r="AO453" s="748">
        <f>+AK453-AN453</f>
      </c>
      <c r="AP453" s="217">
        <f>+_xlfn.IFNA(VLOOKUP(AJ453,$AF$7:$AI$1066,3,0),0)</f>
      </c>
      <c r="AQ453" s="217">
        <f>+IF(W453&gt;W452,AP453,AQ452+AP453)</f>
      </c>
      <c r="AR453" s="217">
        <f>+MAX($AM$2-SUMIF($W$7:$W$1066,W453,$AN$7:$AN$1066),0)</f>
      </c>
      <c r="AS453" s="748">
        <f>+MAX(IF(AQ453&gt;AR453,AR453-AQ452,AP453),0)</f>
      </c>
      <c r="AT453" s="748">
        <f>+AP453-AS453</f>
      </c>
      <c r="AU453" s="217">
        <f>+_xlfn.IFNA(VLOOKUP(AJ453,$AF$7:$AI$1066,4,0),0)</f>
      </c>
      <c r="AV453" s="217">
        <f>+IF(W453&gt;W452,AU453,AV452+AU453)</f>
      </c>
      <c r="AW453" s="217">
        <f>+MAX($AM$2-SUMIF($W$7:$W$1066,W453,$AN$7:$AN$1066)-SUMIF($W$7:$W$1066,W453,$AS$7:$AS$1066),0)</f>
      </c>
      <c r="AX453" s="748">
        <f>+MAX(IF(AV453&gt;AW453,AW453-AV452,AU453),0)</f>
      </c>
      <c r="AY453" s="748">
        <f>+AU453-AX453</f>
      </c>
      <c r="AZ453" s="331">
        <f>+$AM$1+IF($AP$1&gt;$AP$2,$AM$3/2)</f>
      </c>
    </row>
    <row x14ac:dyDescent="0.25" r="454" customHeight="1" ht="18.75">
      <c r="A454" s="1"/>
      <c r="B454" s="7"/>
      <c r="C454" s="170"/>
      <c r="D454" s="331">
        <v>447</v>
      </c>
      <c r="E454" s="544">
        <f>+DATE(YEAR(E453),MONTH(E453)-1,DAY(E453))</f>
        <v>25569.041666666668</v>
      </c>
      <c r="F454" s="333">
        <f>IF(DATE(YEAR($B$6),MONTH($B$6)+1,DAY(1))=E454,1,IF(MONTH(E454)=1,F455*(1+$F$5),F455))</f>
      </c>
      <c r="G454" s="333">
        <f>IF('Simulador - 1º Pilar'!$E$99="Sí",IF('Aportaciones PPE'!$B$13&lt;'Aportaciones PPE'!E454,0,F454*$B$8/12),F454*$B$8/12)</f>
      </c>
      <c r="H454" s="333">
        <f>$H$5*G454</f>
      </c>
      <c r="I454" s="333">
        <f>$I$5*G454</f>
      </c>
      <c r="J454" s="333">
        <f>+I454</f>
      </c>
      <c r="K454" s="333">
        <f>(1+$O$5)^(D454/12)*(H454+IF(AND(F454=1,F455=0),$S$4,0))</f>
      </c>
      <c r="L454" s="333">
        <f>(1+$O$5)^(D454/12)*(I454+IF(AND(F454=1,F455=0),0))</f>
      </c>
      <c r="M454" s="333">
        <f>+L454</f>
      </c>
      <c r="N454" s="333">
        <f>L454+K454+M454</f>
      </c>
      <c r="O454" s="170"/>
      <c r="P454" s="7"/>
      <c r="Q454" s="1"/>
      <c r="R454" s="331">
        <f>D454</f>
      </c>
      <c r="S454" s="169"/>
      <c r="T454" s="1"/>
      <c r="U454" s="217"/>
      <c r="V454" s="331">
        <f>+IF(V453=11,12,IF(V453=12,1,V453+1))</f>
      </c>
      <c r="W454" s="331">
        <f>+W453+IF(V453=12,1,0)</f>
      </c>
      <c r="X454" s="555">
        <f>+DATE(W454,V454,1)</f>
        <v>25569.041666666668</v>
      </c>
      <c r="Y454" s="333">
        <f>+_xlfn.IFNA(AN454+AS454+AX454,0)</f>
      </c>
      <c r="Z454" s="333">
        <f>+_xlfn.IFNA(AO454+AT454+AY454,0)</f>
      </c>
      <c r="AA454" s="333">
        <f>Y454*(1+$O$5)^(($B$7-X454)/365.25)</f>
      </c>
      <c r="AB454" s="333">
        <f>Z454*(1+$O$5)^(($B$7-X454)/365.25)</f>
      </c>
      <c r="AC454" s="1"/>
      <c r="AD454" s="1"/>
      <c r="AE454" s="1"/>
      <c r="AF454" s="111">
        <f>+MONTH(E454)&amp;YEAR(E454)</f>
      </c>
      <c r="AG454" s="217">
        <f>+I454</f>
      </c>
      <c r="AH454" s="217">
        <f>+J454</f>
      </c>
      <c r="AI454" s="217">
        <f>+H454</f>
      </c>
      <c r="AJ454" s="111">
        <f>+V454&amp;W454</f>
      </c>
      <c r="AK454" s="217">
        <f>+_xlfn.IFNA(VLOOKUP(AJ454,$AF$7:$AG$1066,2,0),0)</f>
      </c>
      <c r="AL454" s="217">
        <f>+IF(W454&gt;W453,AK454,AL453+AK454)</f>
      </c>
      <c r="AM454" s="217">
        <f>IF(W454&gt;W453,IF(AL454&gt;=$AZ$8,$AZ$8,AL454),IF(OR(AM453=$AZ$8,AM453=0),0,IF(AL454&gt;=$AZ$8,$AZ$8,AL454)))</f>
      </c>
      <c r="AN454" s="748">
        <f>+IF(OR(AM454&gt;AZ453,AM454=0),0,IF(AM454=AL454,AK454,$AZ$7-AL453))</f>
      </c>
      <c r="AO454" s="748">
        <f>+AK454-AN454</f>
      </c>
      <c r="AP454" s="217">
        <f>+_xlfn.IFNA(VLOOKUP(AJ454,$AF$7:$AI$1066,3,0),0)</f>
      </c>
      <c r="AQ454" s="217">
        <f>+IF(W454&gt;W453,AP454,AQ453+AP454)</f>
      </c>
      <c r="AR454" s="217">
        <f>+MAX($AM$2-SUMIF($W$7:$W$1066,W454,$AN$7:$AN$1066),0)</f>
      </c>
      <c r="AS454" s="748">
        <f>+MAX(IF(AQ454&gt;AR454,AR454-AQ453,AP454),0)</f>
      </c>
      <c r="AT454" s="748">
        <f>+AP454-AS454</f>
      </c>
      <c r="AU454" s="217">
        <f>+_xlfn.IFNA(VLOOKUP(AJ454,$AF$7:$AI$1066,4,0),0)</f>
      </c>
      <c r="AV454" s="217">
        <f>+IF(W454&gt;W453,AU454,AV453+AU454)</f>
      </c>
      <c r="AW454" s="217">
        <f>+MAX($AM$2-SUMIF($W$7:$W$1066,W454,$AN$7:$AN$1066)-SUMIF($W$7:$W$1066,W454,$AS$7:$AS$1066),0)</f>
      </c>
      <c r="AX454" s="748">
        <f>+MAX(IF(AV454&gt;AW454,AW454-AV453,AU454),0)</f>
      </c>
      <c r="AY454" s="748">
        <f>+AU454-AX454</f>
      </c>
      <c r="AZ454" s="331">
        <f>+$AM$1+IF($AP$1&gt;$AP$2,$AM$3/2)</f>
      </c>
    </row>
    <row x14ac:dyDescent="0.25" r="455" customHeight="1" ht="18.75">
      <c r="A455" s="1"/>
      <c r="B455" s="7"/>
      <c r="C455" s="170"/>
      <c r="D455" s="331">
        <v>448</v>
      </c>
      <c r="E455" s="544">
        <f>+DATE(YEAR(E454),MONTH(E454)-1,DAY(E454))</f>
        <v>25569.041666666668</v>
      </c>
      <c r="F455" s="333">
        <f>IF(DATE(YEAR($B$6),MONTH($B$6)+1,DAY(1))=E455,1,IF(MONTH(E455)=1,F456*(1+$F$5),F456))</f>
      </c>
      <c r="G455" s="333">
        <f>IF('Simulador - 1º Pilar'!$E$99="Sí",IF('Aportaciones PPE'!$B$13&lt;'Aportaciones PPE'!E455,0,F455*$B$8/12),F455*$B$8/12)</f>
      </c>
      <c r="H455" s="333">
        <f>$H$5*G455</f>
      </c>
      <c r="I455" s="333">
        <f>$I$5*G455</f>
      </c>
      <c r="J455" s="333">
        <f>+I455</f>
      </c>
      <c r="K455" s="333">
        <f>(1+$O$5)^(D455/12)*(H455+IF(AND(F455=1,F456=0),$S$4,0))</f>
      </c>
      <c r="L455" s="333">
        <f>(1+$O$5)^(D455/12)*(I455+IF(AND(F455=1,F456=0),0))</f>
      </c>
      <c r="M455" s="333">
        <f>+L455</f>
      </c>
      <c r="N455" s="333">
        <f>L455+K455+M455</f>
      </c>
      <c r="O455" s="170"/>
      <c r="P455" s="7"/>
      <c r="Q455" s="1"/>
      <c r="R455" s="331">
        <f>D455</f>
      </c>
      <c r="S455" s="169"/>
      <c r="T455" s="1"/>
      <c r="U455" s="217"/>
      <c r="V455" s="331">
        <f>+IF(V454=11,12,IF(V454=12,1,V454+1))</f>
      </c>
      <c r="W455" s="331">
        <f>+W454+IF(V454=12,1,0)</f>
      </c>
      <c r="X455" s="555">
        <f>+DATE(W455,V455,1)</f>
        <v>25569.041666666668</v>
      </c>
      <c r="Y455" s="333">
        <f>+_xlfn.IFNA(AN455+AS455+AX455,0)</f>
      </c>
      <c r="Z455" s="333">
        <f>+_xlfn.IFNA(AO455+AT455+AY455,0)</f>
      </c>
      <c r="AA455" s="333">
        <f>Y455*(1+$O$5)^(($B$7-X455)/365.25)</f>
      </c>
      <c r="AB455" s="333">
        <f>Z455*(1+$O$5)^(($B$7-X455)/365.25)</f>
      </c>
      <c r="AC455" s="1"/>
      <c r="AD455" s="1"/>
      <c r="AE455" s="1"/>
      <c r="AF455" s="111">
        <f>+MONTH(E455)&amp;YEAR(E455)</f>
      </c>
      <c r="AG455" s="217">
        <f>+I455</f>
      </c>
      <c r="AH455" s="217">
        <f>+J455</f>
      </c>
      <c r="AI455" s="217">
        <f>+H455</f>
      </c>
      <c r="AJ455" s="111">
        <f>+V455&amp;W455</f>
      </c>
      <c r="AK455" s="217">
        <f>+_xlfn.IFNA(VLOOKUP(AJ455,$AF$7:$AG$1066,2,0),0)</f>
      </c>
      <c r="AL455" s="217">
        <f>+IF(W455&gt;W454,AK455,AL454+AK455)</f>
      </c>
      <c r="AM455" s="217">
        <f>IF(W455&gt;W454,IF(AL455&gt;=$AZ$8,$AZ$8,AL455),IF(OR(AM454=$AZ$8,AM454=0),0,IF(AL455&gt;=$AZ$8,$AZ$8,AL455)))</f>
      </c>
      <c r="AN455" s="748">
        <f>+IF(OR(AM455&gt;AZ454,AM455=0),0,IF(AM455=AL455,AK455,$AZ$7-AL454))</f>
      </c>
      <c r="AO455" s="748">
        <f>+AK455-AN455</f>
      </c>
      <c r="AP455" s="217">
        <f>+_xlfn.IFNA(VLOOKUP(AJ455,$AF$7:$AI$1066,3,0),0)</f>
      </c>
      <c r="AQ455" s="217">
        <f>+IF(W455&gt;W454,AP455,AQ454+AP455)</f>
      </c>
      <c r="AR455" s="217">
        <f>+MAX($AM$2-SUMIF($W$7:$W$1066,W455,$AN$7:$AN$1066),0)</f>
      </c>
      <c r="AS455" s="748">
        <f>+MAX(IF(AQ455&gt;AR455,AR455-AQ454,AP455),0)</f>
      </c>
      <c r="AT455" s="748">
        <f>+AP455-AS455</f>
      </c>
      <c r="AU455" s="217">
        <f>+_xlfn.IFNA(VLOOKUP(AJ455,$AF$7:$AI$1066,4,0),0)</f>
      </c>
      <c r="AV455" s="217">
        <f>+IF(W455&gt;W454,AU455,AV454+AU455)</f>
      </c>
      <c r="AW455" s="217">
        <f>+MAX($AM$2-SUMIF($W$7:$W$1066,W455,$AN$7:$AN$1066)-SUMIF($W$7:$W$1066,W455,$AS$7:$AS$1066),0)</f>
      </c>
      <c r="AX455" s="748">
        <f>+MAX(IF(AV455&gt;AW455,AW455-AV454,AU455),0)</f>
      </c>
      <c r="AY455" s="748">
        <f>+AU455-AX455</f>
      </c>
      <c r="AZ455" s="331">
        <f>+$AM$1+IF($AP$1&gt;$AP$2,$AM$3/2)</f>
      </c>
    </row>
    <row x14ac:dyDescent="0.25" r="456" customHeight="1" ht="18.75">
      <c r="A456" s="1"/>
      <c r="B456" s="7"/>
      <c r="C456" s="170"/>
      <c r="D456" s="331">
        <v>449</v>
      </c>
      <c r="E456" s="544">
        <f>+DATE(YEAR(E455),MONTH(E455)-1,DAY(E455))</f>
        <v>25569.041666666668</v>
      </c>
      <c r="F456" s="333">
        <f>IF(DATE(YEAR($B$6),MONTH($B$6)+1,DAY(1))=E456,1,IF(MONTH(E456)=1,F457*(1+$F$5),F457))</f>
      </c>
      <c r="G456" s="333">
        <f>IF('Simulador - 1º Pilar'!$E$99="Sí",IF('Aportaciones PPE'!$B$13&lt;'Aportaciones PPE'!E456,0,F456*$B$8/12),F456*$B$8/12)</f>
      </c>
      <c r="H456" s="333">
        <f>$H$5*G456</f>
      </c>
      <c r="I456" s="333">
        <f>$I$5*G456</f>
      </c>
      <c r="J456" s="333">
        <f>+I456</f>
      </c>
      <c r="K456" s="333">
        <f>(1+$O$5)^(D456/12)*(H456+IF(AND(F456=1,F457=0),$S$4,0))</f>
      </c>
      <c r="L456" s="333">
        <f>(1+$O$5)^(D456/12)*(I456+IF(AND(F456=1,F457=0),0))</f>
      </c>
      <c r="M456" s="333">
        <f>+L456</f>
      </c>
      <c r="N456" s="333">
        <f>L456+K456+M456</f>
      </c>
      <c r="O456" s="170"/>
      <c r="P456" s="7"/>
      <c r="Q456" s="1"/>
      <c r="R456" s="331">
        <f>D456</f>
      </c>
      <c r="S456" s="169"/>
      <c r="T456" s="1"/>
      <c r="U456" s="217"/>
      <c r="V456" s="331">
        <f>+IF(V455=11,12,IF(V455=12,1,V455+1))</f>
      </c>
      <c r="W456" s="331">
        <f>+W455+IF(V455=12,1,0)</f>
      </c>
      <c r="X456" s="555">
        <f>+DATE(W456,V456,1)</f>
        <v>25569.041666666668</v>
      </c>
      <c r="Y456" s="333">
        <f>+_xlfn.IFNA(AN456+AS456+AX456,0)</f>
      </c>
      <c r="Z456" s="333">
        <f>+_xlfn.IFNA(AO456+AT456+AY456,0)</f>
      </c>
      <c r="AA456" s="333">
        <f>Y456*(1+$O$5)^(($B$7-X456)/365.25)</f>
      </c>
      <c r="AB456" s="333">
        <f>Z456*(1+$O$5)^(($B$7-X456)/365.25)</f>
      </c>
      <c r="AC456" s="1"/>
      <c r="AD456" s="1"/>
      <c r="AE456" s="1"/>
      <c r="AF456" s="111">
        <f>+MONTH(E456)&amp;YEAR(E456)</f>
      </c>
      <c r="AG456" s="217">
        <f>+I456</f>
      </c>
      <c r="AH456" s="217">
        <f>+J456</f>
      </c>
      <c r="AI456" s="217">
        <f>+H456</f>
      </c>
      <c r="AJ456" s="111">
        <f>+V456&amp;W456</f>
      </c>
      <c r="AK456" s="217">
        <f>+_xlfn.IFNA(VLOOKUP(AJ456,$AF$7:$AG$1066,2,0),0)</f>
      </c>
      <c r="AL456" s="217">
        <f>+IF(W456&gt;W455,AK456,AL455+AK456)</f>
      </c>
      <c r="AM456" s="217">
        <f>IF(W456&gt;W455,IF(AL456&gt;=$AZ$8,$AZ$8,AL456),IF(OR(AM455=$AZ$8,AM455=0),0,IF(AL456&gt;=$AZ$8,$AZ$8,AL456)))</f>
      </c>
      <c r="AN456" s="748">
        <f>+IF(OR(AM456&gt;AZ455,AM456=0),0,IF(AM456=AL456,AK456,$AZ$7-AL455))</f>
      </c>
      <c r="AO456" s="748">
        <f>+AK456-AN456</f>
      </c>
      <c r="AP456" s="217">
        <f>+_xlfn.IFNA(VLOOKUP(AJ456,$AF$7:$AI$1066,3,0),0)</f>
      </c>
      <c r="AQ456" s="217">
        <f>+IF(W456&gt;W455,AP456,AQ455+AP456)</f>
      </c>
      <c r="AR456" s="217">
        <f>+MAX($AM$2-SUMIF($W$7:$W$1066,W456,$AN$7:$AN$1066),0)</f>
      </c>
      <c r="AS456" s="748">
        <f>+MAX(IF(AQ456&gt;AR456,AR456-AQ455,AP456),0)</f>
      </c>
      <c r="AT456" s="748">
        <f>+AP456-AS456</f>
      </c>
      <c r="AU456" s="217">
        <f>+_xlfn.IFNA(VLOOKUP(AJ456,$AF$7:$AI$1066,4,0),0)</f>
      </c>
      <c r="AV456" s="217">
        <f>+IF(W456&gt;W455,AU456,AV455+AU456)</f>
      </c>
      <c r="AW456" s="217">
        <f>+MAX($AM$2-SUMIF($W$7:$W$1066,W456,$AN$7:$AN$1066)-SUMIF($W$7:$W$1066,W456,$AS$7:$AS$1066),0)</f>
      </c>
      <c r="AX456" s="748">
        <f>+MAX(IF(AV456&gt;AW456,AW456-AV455,AU456),0)</f>
      </c>
      <c r="AY456" s="748">
        <f>+AU456-AX456</f>
      </c>
      <c r="AZ456" s="331">
        <f>+$AM$1+IF($AP$1&gt;$AP$2,$AM$3/2)</f>
      </c>
    </row>
    <row x14ac:dyDescent="0.25" r="457" customHeight="1" ht="18.75">
      <c r="A457" s="1"/>
      <c r="B457" s="7"/>
      <c r="C457" s="170"/>
      <c r="D457" s="331">
        <v>450</v>
      </c>
      <c r="E457" s="544">
        <f>+DATE(YEAR(E456),MONTH(E456)-1,DAY(E456))</f>
        <v>25569.041666666668</v>
      </c>
      <c r="F457" s="333">
        <f>IF(DATE(YEAR($B$6),MONTH($B$6)+1,DAY(1))=E457,1,IF(MONTH(E457)=1,F458*(1+$F$5),F458))</f>
      </c>
      <c r="G457" s="333">
        <f>IF('Simulador - 1º Pilar'!$E$99="Sí",IF('Aportaciones PPE'!$B$13&lt;'Aportaciones PPE'!E457,0,F457*$B$8/12),F457*$B$8/12)</f>
      </c>
      <c r="H457" s="333">
        <f>$H$5*G457</f>
      </c>
      <c r="I457" s="333">
        <f>$I$5*G457</f>
      </c>
      <c r="J457" s="333">
        <f>+I457</f>
      </c>
      <c r="K457" s="333">
        <f>(1+$O$5)^(D457/12)*(H457+IF(AND(F457=1,F458=0),$S$4,0))</f>
      </c>
      <c r="L457" s="333">
        <f>(1+$O$5)^(D457/12)*(I457+IF(AND(F457=1,F458=0),0))</f>
      </c>
      <c r="M457" s="333">
        <f>+L457</f>
      </c>
      <c r="N457" s="333">
        <f>L457+K457+M457</f>
      </c>
      <c r="O457" s="170"/>
      <c r="P457" s="7"/>
      <c r="Q457" s="1"/>
      <c r="R457" s="331">
        <f>D457</f>
      </c>
      <c r="S457" s="169"/>
      <c r="T457" s="1"/>
      <c r="U457" s="217"/>
      <c r="V457" s="331">
        <f>+IF(V456=11,12,IF(V456=12,1,V456+1))</f>
      </c>
      <c r="W457" s="331">
        <f>+W456+IF(V456=12,1,0)</f>
      </c>
      <c r="X457" s="555">
        <f>+DATE(W457,V457,1)</f>
        <v>25569.041666666668</v>
      </c>
      <c r="Y457" s="333">
        <f>+_xlfn.IFNA(AN457+AS457+AX457,0)</f>
      </c>
      <c r="Z457" s="333">
        <f>+_xlfn.IFNA(AO457+AT457+AY457,0)</f>
      </c>
      <c r="AA457" s="333">
        <f>Y457*(1+$O$5)^(($B$7-X457)/365.25)</f>
      </c>
      <c r="AB457" s="333">
        <f>Z457*(1+$O$5)^(($B$7-X457)/365.25)</f>
      </c>
      <c r="AC457" s="1"/>
      <c r="AD457" s="1"/>
      <c r="AE457" s="1"/>
      <c r="AF457" s="111">
        <f>+MONTH(E457)&amp;YEAR(E457)</f>
      </c>
      <c r="AG457" s="217">
        <f>+I457</f>
      </c>
      <c r="AH457" s="217">
        <f>+J457</f>
      </c>
      <c r="AI457" s="217">
        <f>+H457</f>
      </c>
      <c r="AJ457" s="111">
        <f>+V457&amp;W457</f>
      </c>
      <c r="AK457" s="217">
        <f>+_xlfn.IFNA(VLOOKUP(AJ457,$AF$7:$AG$1066,2,0),0)</f>
      </c>
      <c r="AL457" s="217">
        <f>+IF(W457&gt;W456,AK457,AL456+AK457)</f>
      </c>
      <c r="AM457" s="217">
        <f>IF(W457&gt;W456,IF(AL457&gt;=$AZ$8,$AZ$8,AL457),IF(OR(AM456=$AZ$8,AM456=0),0,IF(AL457&gt;=$AZ$8,$AZ$8,AL457)))</f>
      </c>
      <c r="AN457" s="748">
        <f>+IF(OR(AM457&gt;AZ456,AM457=0),0,IF(AM457=AL457,AK457,$AZ$7-AL456))</f>
      </c>
      <c r="AO457" s="748">
        <f>+AK457-AN457</f>
      </c>
      <c r="AP457" s="217">
        <f>+_xlfn.IFNA(VLOOKUP(AJ457,$AF$7:$AI$1066,3,0),0)</f>
      </c>
      <c r="AQ457" s="217">
        <f>+IF(W457&gt;W456,AP457,AQ456+AP457)</f>
      </c>
      <c r="AR457" s="217">
        <f>+MAX($AM$2-SUMIF($W$7:$W$1066,W457,$AN$7:$AN$1066),0)</f>
      </c>
      <c r="AS457" s="748">
        <f>+MAX(IF(AQ457&gt;AR457,AR457-AQ456,AP457),0)</f>
      </c>
      <c r="AT457" s="748">
        <f>+AP457-AS457</f>
      </c>
      <c r="AU457" s="217">
        <f>+_xlfn.IFNA(VLOOKUP(AJ457,$AF$7:$AI$1066,4,0),0)</f>
      </c>
      <c r="AV457" s="217">
        <f>+IF(W457&gt;W456,AU457,AV456+AU457)</f>
      </c>
      <c r="AW457" s="217">
        <f>+MAX($AM$2-SUMIF($W$7:$W$1066,W457,$AN$7:$AN$1066)-SUMIF($W$7:$W$1066,W457,$AS$7:$AS$1066),0)</f>
      </c>
      <c r="AX457" s="748">
        <f>+MAX(IF(AV457&gt;AW457,AW457-AV456,AU457),0)</f>
      </c>
      <c r="AY457" s="748">
        <f>+AU457-AX457</f>
      </c>
      <c r="AZ457" s="331">
        <f>+$AM$1+IF($AP$1&gt;$AP$2,$AM$3/2)</f>
      </c>
    </row>
    <row x14ac:dyDescent="0.25" r="458" customHeight="1" ht="18.75">
      <c r="A458" s="1"/>
      <c r="B458" s="7"/>
      <c r="C458" s="170"/>
      <c r="D458" s="331">
        <v>451</v>
      </c>
      <c r="E458" s="544">
        <f>+DATE(YEAR(E457),MONTH(E457)-1,DAY(E457))</f>
        <v>25569.041666666668</v>
      </c>
      <c r="F458" s="333">
        <f>IF(DATE(YEAR($B$6),MONTH($B$6)+1,DAY(1))=E458,1,IF(MONTH(E458)=1,F459*(1+$F$5),F459))</f>
      </c>
      <c r="G458" s="333">
        <f>IF('Simulador - 1º Pilar'!$E$99="Sí",IF('Aportaciones PPE'!$B$13&lt;'Aportaciones PPE'!E458,0,F458*$B$8/12),F458*$B$8/12)</f>
      </c>
      <c r="H458" s="333">
        <f>$H$5*G458</f>
      </c>
      <c r="I458" s="333">
        <f>$I$5*G458</f>
      </c>
      <c r="J458" s="333">
        <f>+I458</f>
      </c>
      <c r="K458" s="333">
        <f>(1+$O$5)^(D458/12)*(H458+IF(AND(F458=1,F459=0),$S$4,0))</f>
      </c>
      <c r="L458" s="333">
        <f>(1+$O$5)^(D458/12)*(I458+IF(AND(F458=1,F459=0),0))</f>
      </c>
      <c r="M458" s="333">
        <f>+L458</f>
      </c>
      <c r="N458" s="333">
        <f>L458+K458+M458</f>
      </c>
      <c r="O458" s="170"/>
      <c r="P458" s="7"/>
      <c r="Q458" s="1"/>
      <c r="R458" s="331">
        <f>D458</f>
      </c>
      <c r="S458" s="169"/>
      <c r="T458" s="1"/>
      <c r="U458" s="217"/>
      <c r="V458" s="331">
        <f>+IF(V457=11,12,IF(V457=12,1,V457+1))</f>
      </c>
      <c r="W458" s="331">
        <f>+W457+IF(V457=12,1,0)</f>
      </c>
      <c r="X458" s="555">
        <f>+DATE(W458,V458,1)</f>
        <v>25569.041666666668</v>
      </c>
      <c r="Y458" s="333">
        <f>+_xlfn.IFNA(AN458+AS458+AX458,0)</f>
      </c>
      <c r="Z458" s="333">
        <f>+_xlfn.IFNA(AO458+AT458+AY458,0)</f>
      </c>
      <c r="AA458" s="333">
        <f>Y458*(1+$O$5)^(($B$7-X458)/365.25)</f>
      </c>
      <c r="AB458" s="333">
        <f>Z458*(1+$O$5)^(($B$7-X458)/365.25)</f>
      </c>
      <c r="AC458" s="1"/>
      <c r="AD458" s="1"/>
      <c r="AE458" s="1"/>
      <c r="AF458" s="111">
        <f>+MONTH(E458)&amp;YEAR(E458)</f>
      </c>
      <c r="AG458" s="217">
        <f>+I458</f>
      </c>
      <c r="AH458" s="217">
        <f>+J458</f>
      </c>
      <c r="AI458" s="217">
        <f>+H458</f>
      </c>
      <c r="AJ458" s="111">
        <f>+V458&amp;W458</f>
      </c>
      <c r="AK458" s="217">
        <f>+_xlfn.IFNA(VLOOKUP(AJ458,$AF$7:$AG$1066,2,0),0)</f>
      </c>
      <c r="AL458" s="217">
        <f>+IF(W458&gt;W457,AK458,AL457+AK458)</f>
      </c>
      <c r="AM458" s="217">
        <f>IF(W458&gt;W457,IF(AL458&gt;=$AZ$8,$AZ$8,AL458),IF(OR(AM457=$AZ$8,AM457=0),0,IF(AL458&gt;=$AZ$8,$AZ$8,AL458)))</f>
      </c>
      <c r="AN458" s="748">
        <f>+IF(OR(AM458&gt;AZ457,AM458=0),0,IF(AM458=AL458,AK458,$AZ$7-AL457))</f>
      </c>
      <c r="AO458" s="748">
        <f>+AK458-AN458</f>
      </c>
      <c r="AP458" s="217">
        <f>+_xlfn.IFNA(VLOOKUP(AJ458,$AF$7:$AI$1066,3,0),0)</f>
      </c>
      <c r="AQ458" s="217">
        <f>+IF(W458&gt;W457,AP458,AQ457+AP458)</f>
      </c>
      <c r="AR458" s="217">
        <f>+MAX($AM$2-SUMIF($W$7:$W$1066,W458,$AN$7:$AN$1066),0)</f>
      </c>
      <c r="AS458" s="748">
        <f>+MAX(IF(AQ458&gt;AR458,AR458-AQ457,AP458),0)</f>
      </c>
      <c r="AT458" s="748">
        <f>+AP458-AS458</f>
      </c>
      <c r="AU458" s="217">
        <f>+_xlfn.IFNA(VLOOKUP(AJ458,$AF$7:$AI$1066,4,0),0)</f>
      </c>
      <c r="AV458" s="217">
        <f>+IF(W458&gt;W457,AU458,AV457+AU458)</f>
      </c>
      <c r="AW458" s="217">
        <f>+MAX($AM$2-SUMIF($W$7:$W$1066,W458,$AN$7:$AN$1066)-SUMIF($W$7:$W$1066,W458,$AS$7:$AS$1066),0)</f>
      </c>
      <c r="AX458" s="748">
        <f>+MAX(IF(AV458&gt;AW458,AW458-AV457,AU458),0)</f>
      </c>
      <c r="AY458" s="748">
        <f>+AU458-AX458</f>
      </c>
      <c r="AZ458" s="331">
        <f>+$AM$1+IF($AP$1&gt;$AP$2,$AM$3/2)</f>
      </c>
    </row>
    <row x14ac:dyDescent="0.25" r="459" customHeight="1" ht="18.75">
      <c r="A459" s="1"/>
      <c r="B459" s="7"/>
      <c r="C459" s="170"/>
      <c r="D459" s="331">
        <v>452</v>
      </c>
      <c r="E459" s="544">
        <f>+DATE(YEAR(E458),MONTH(E458)-1,DAY(E458))</f>
        <v>25569.041666666668</v>
      </c>
      <c r="F459" s="333">
        <f>IF(DATE(YEAR($B$6),MONTH($B$6)+1,DAY(1))=E459,1,IF(MONTH(E459)=1,F460*(1+$F$5),F460))</f>
      </c>
      <c r="G459" s="333">
        <f>IF('Simulador - 1º Pilar'!$E$99="Sí",IF('Aportaciones PPE'!$B$13&lt;'Aportaciones PPE'!E459,0,F459*$B$8/12),F459*$B$8/12)</f>
      </c>
      <c r="H459" s="333">
        <f>$H$5*G459</f>
      </c>
      <c r="I459" s="333">
        <f>$I$5*G459</f>
      </c>
      <c r="J459" s="333">
        <f>+I459</f>
      </c>
      <c r="K459" s="333">
        <f>(1+$O$5)^(D459/12)*(H459+IF(AND(F459=1,F460=0),$S$4,0))</f>
      </c>
      <c r="L459" s="333">
        <f>(1+$O$5)^(D459/12)*(I459+IF(AND(F459=1,F460=0),0))</f>
      </c>
      <c r="M459" s="333">
        <f>+L459</f>
      </c>
      <c r="N459" s="333">
        <f>L459+K459+M459</f>
      </c>
      <c r="O459" s="170"/>
      <c r="P459" s="7"/>
      <c r="Q459" s="1"/>
      <c r="R459" s="331">
        <f>D459</f>
      </c>
      <c r="S459" s="169"/>
      <c r="T459" s="1"/>
      <c r="U459" s="217"/>
      <c r="V459" s="331">
        <f>+IF(V458=11,12,IF(V458=12,1,V458+1))</f>
      </c>
      <c r="W459" s="331">
        <f>+W458+IF(V458=12,1,0)</f>
      </c>
      <c r="X459" s="555">
        <f>+DATE(W459,V459,1)</f>
        <v>25569.041666666668</v>
      </c>
      <c r="Y459" s="333">
        <f>+_xlfn.IFNA(AN459+AS459+AX459,0)</f>
      </c>
      <c r="Z459" s="333">
        <f>+_xlfn.IFNA(AO459+AT459+AY459,0)</f>
      </c>
      <c r="AA459" s="333">
        <f>Y459*(1+$O$5)^(($B$7-X459)/365.25)</f>
      </c>
      <c r="AB459" s="333">
        <f>Z459*(1+$O$5)^(($B$7-X459)/365.25)</f>
      </c>
      <c r="AC459" s="1"/>
      <c r="AD459" s="1"/>
      <c r="AE459" s="1"/>
      <c r="AF459" s="111">
        <f>+MONTH(E459)&amp;YEAR(E459)</f>
      </c>
      <c r="AG459" s="217">
        <f>+I459</f>
      </c>
      <c r="AH459" s="217">
        <f>+J459</f>
      </c>
      <c r="AI459" s="217">
        <f>+H459</f>
      </c>
      <c r="AJ459" s="111">
        <f>+V459&amp;W459</f>
      </c>
      <c r="AK459" s="217">
        <f>+_xlfn.IFNA(VLOOKUP(AJ459,$AF$7:$AG$1066,2,0),0)</f>
      </c>
      <c r="AL459" s="217">
        <f>+IF(W459&gt;W458,AK459,AL458+AK459)</f>
      </c>
      <c r="AM459" s="217">
        <f>IF(W459&gt;W458,IF(AL459&gt;=$AZ$8,$AZ$8,AL459),IF(OR(AM458=$AZ$8,AM458=0),0,IF(AL459&gt;=$AZ$8,$AZ$8,AL459)))</f>
      </c>
      <c r="AN459" s="748">
        <f>+IF(OR(AM459&gt;AZ458,AM459=0),0,IF(AM459=AL459,AK459,$AZ$7-AL458))</f>
      </c>
      <c r="AO459" s="748">
        <f>+AK459-AN459</f>
      </c>
      <c r="AP459" s="217">
        <f>+_xlfn.IFNA(VLOOKUP(AJ459,$AF$7:$AI$1066,3,0),0)</f>
      </c>
      <c r="AQ459" s="217">
        <f>+IF(W459&gt;W458,AP459,AQ458+AP459)</f>
      </c>
      <c r="AR459" s="217">
        <f>+MAX($AM$2-SUMIF($W$7:$W$1066,W459,$AN$7:$AN$1066),0)</f>
      </c>
      <c r="AS459" s="748">
        <f>+MAX(IF(AQ459&gt;AR459,AR459-AQ458,AP459),0)</f>
      </c>
      <c r="AT459" s="748">
        <f>+AP459-AS459</f>
      </c>
      <c r="AU459" s="217">
        <f>+_xlfn.IFNA(VLOOKUP(AJ459,$AF$7:$AI$1066,4,0),0)</f>
      </c>
      <c r="AV459" s="217">
        <f>+IF(W459&gt;W458,AU459,AV458+AU459)</f>
      </c>
      <c r="AW459" s="217">
        <f>+MAX($AM$2-SUMIF($W$7:$W$1066,W459,$AN$7:$AN$1066)-SUMIF($W$7:$W$1066,W459,$AS$7:$AS$1066),0)</f>
      </c>
      <c r="AX459" s="748">
        <f>+MAX(IF(AV459&gt;AW459,AW459-AV458,AU459),0)</f>
      </c>
      <c r="AY459" s="748">
        <f>+AU459-AX459</f>
      </c>
      <c r="AZ459" s="331">
        <f>+$AM$1+IF($AP$1&gt;$AP$2,$AM$3/2)</f>
      </c>
    </row>
    <row x14ac:dyDescent="0.25" r="460" customHeight="1" ht="18.75">
      <c r="A460" s="1"/>
      <c r="B460" s="7"/>
      <c r="C460" s="170"/>
      <c r="D460" s="331">
        <v>453</v>
      </c>
      <c r="E460" s="544">
        <f>+DATE(YEAR(E459),MONTH(E459)-1,DAY(E459))</f>
        <v>25569.041666666668</v>
      </c>
      <c r="F460" s="333">
        <f>IF(DATE(YEAR($B$6),MONTH($B$6)+1,DAY(1))=E460,1,IF(MONTH(E460)=1,F461*(1+$F$5),F461))</f>
      </c>
      <c r="G460" s="333">
        <f>IF('Simulador - 1º Pilar'!$E$99="Sí",IF('Aportaciones PPE'!$B$13&lt;'Aportaciones PPE'!E460,0,F460*$B$8/12),F460*$B$8/12)</f>
      </c>
      <c r="H460" s="333">
        <f>$H$5*G460</f>
      </c>
      <c r="I460" s="333">
        <f>$I$5*G460</f>
      </c>
      <c r="J460" s="333">
        <f>+I460</f>
      </c>
      <c r="K460" s="333">
        <f>(1+$O$5)^(D460/12)*(H460+IF(AND(F460=1,F461=0),$S$4,0))</f>
      </c>
      <c r="L460" s="333">
        <f>(1+$O$5)^(D460/12)*(I460+IF(AND(F460=1,F461=0),0))</f>
      </c>
      <c r="M460" s="333">
        <f>+L460</f>
      </c>
      <c r="N460" s="333">
        <f>L460+K460+M460</f>
      </c>
      <c r="O460" s="170"/>
      <c r="P460" s="7"/>
      <c r="Q460" s="1"/>
      <c r="R460" s="331">
        <f>D460</f>
      </c>
      <c r="S460" s="169"/>
      <c r="T460" s="1"/>
      <c r="U460" s="217"/>
      <c r="V460" s="331">
        <f>+IF(V459=11,12,IF(V459=12,1,V459+1))</f>
      </c>
      <c r="W460" s="331">
        <f>+W459+IF(V459=12,1,0)</f>
      </c>
      <c r="X460" s="555">
        <f>+DATE(W460,V460,1)</f>
        <v>25569.041666666668</v>
      </c>
      <c r="Y460" s="333">
        <f>+_xlfn.IFNA(AN460+AS460+AX460,0)</f>
      </c>
      <c r="Z460" s="333">
        <f>+_xlfn.IFNA(AO460+AT460+AY460,0)</f>
      </c>
      <c r="AA460" s="333">
        <f>Y460*(1+$O$5)^(($B$7-X460)/365.25)</f>
      </c>
      <c r="AB460" s="333">
        <f>Z460*(1+$O$5)^(($B$7-X460)/365.25)</f>
      </c>
      <c r="AC460" s="1"/>
      <c r="AD460" s="1"/>
      <c r="AE460" s="1"/>
      <c r="AF460" s="111">
        <f>+MONTH(E460)&amp;YEAR(E460)</f>
      </c>
      <c r="AG460" s="217">
        <f>+I460</f>
      </c>
      <c r="AH460" s="217">
        <f>+J460</f>
      </c>
      <c r="AI460" s="217">
        <f>+H460</f>
      </c>
      <c r="AJ460" s="111">
        <f>+V460&amp;W460</f>
      </c>
      <c r="AK460" s="217">
        <f>+_xlfn.IFNA(VLOOKUP(AJ460,$AF$7:$AG$1066,2,0),0)</f>
      </c>
      <c r="AL460" s="217">
        <f>+IF(W460&gt;W459,AK460,AL459+AK460)</f>
      </c>
      <c r="AM460" s="217">
        <f>IF(W460&gt;W459,IF(AL460&gt;=$AZ$8,$AZ$8,AL460),IF(OR(AM459=$AZ$8,AM459=0),0,IF(AL460&gt;=$AZ$8,$AZ$8,AL460)))</f>
      </c>
      <c r="AN460" s="748">
        <f>+IF(OR(AM460&gt;AZ459,AM460=0),0,IF(AM460=AL460,AK460,$AZ$7-AL459))</f>
      </c>
      <c r="AO460" s="748">
        <f>+AK460-AN460</f>
      </c>
      <c r="AP460" s="217">
        <f>+_xlfn.IFNA(VLOOKUP(AJ460,$AF$7:$AI$1066,3,0),0)</f>
      </c>
      <c r="AQ460" s="217">
        <f>+IF(W460&gt;W459,AP460,AQ459+AP460)</f>
      </c>
      <c r="AR460" s="217">
        <f>+MAX($AM$2-SUMIF($W$7:$W$1066,W460,$AN$7:$AN$1066),0)</f>
      </c>
      <c r="AS460" s="748">
        <f>+MAX(IF(AQ460&gt;AR460,AR460-AQ459,AP460),0)</f>
      </c>
      <c r="AT460" s="748">
        <f>+AP460-AS460</f>
      </c>
      <c r="AU460" s="217">
        <f>+_xlfn.IFNA(VLOOKUP(AJ460,$AF$7:$AI$1066,4,0),0)</f>
      </c>
      <c r="AV460" s="217">
        <f>+IF(W460&gt;W459,AU460,AV459+AU460)</f>
      </c>
      <c r="AW460" s="217">
        <f>+MAX($AM$2-SUMIF($W$7:$W$1066,W460,$AN$7:$AN$1066)-SUMIF($W$7:$W$1066,W460,$AS$7:$AS$1066),0)</f>
      </c>
      <c r="AX460" s="748">
        <f>+MAX(IF(AV460&gt;AW460,AW460-AV459,AU460),0)</f>
      </c>
      <c r="AY460" s="748">
        <f>+AU460-AX460</f>
      </c>
      <c r="AZ460" s="331">
        <f>+$AM$1+IF($AP$1&gt;$AP$2,$AM$3/2)</f>
      </c>
    </row>
    <row x14ac:dyDescent="0.25" r="461" customHeight="1" ht="18.75">
      <c r="A461" s="1"/>
      <c r="B461" s="7"/>
      <c r="C461" s="170"/>
      <c r="D461" s="331">
        <v>454</v>
      </c>
      <c r="E461" s="544">
        <f>+DATE(YEAR(E460),MONTH(E460)-1,DAY(E460))</f>
        <v>25569.041666666668</v>
      </c>
      <c r="F461" s="333">
        <f>IF(DATE(YEAR($B$6),MONTH($B$6)+1,DAY(1))=E461,1,IF(MONTH(E461)=1,F462*(1+$F$5),F462))</f>
      </c>
      <c r="G461" s="333">
        <f>IF('Simulador - 1º Pilar'!$E$99="Sí",IF('Aportaciones PPE'!$B$13&lt;'Aportaciones PPE'!E461,0,F461*$B$8/12),F461*$B$8/12)</f>
      </c>
      <c r="H461" s="333">
        <f>$H$5*G461</f>
      </c>
      <c r="I461" s="333">
        <f>$I$5*G461</f>
      </c>
      <c r="J461" s="333">
        <f>+I461</f>
      </c>
      <c r="K461" s="333">
        <f>(1+$O$5)^(D461/12)*(H461+IF(AND(F461=1,F462=0),$S$4,0))</f>
      </c>
      <c r="L461" s="333">
        <f>(1+$O$5)^(D461/12)*(I461+IF(AND(F461=1,F462=0),0))</f>
      </c>
      <c r="M461" s="333">
        <f>+L461</f>
      </c>
      <c r="N461" s="333">
        <f>L461+K461+M461</f>
      </c>
      <c r="O461" s="170"/>
      <c r="P461" s="7"/>
      <c r="Q461" s="1"/>
      <c r="R461" s="331">
        <f>D461</f>
      </c>
      <c r="S461" s="169"/>
      <c r="T461" s="1"/>
      <c r="U461" s="217"/>
      <c r="V461" s="331">
        <f>+IF(V460=11,12,IF(V460=12,1,V460+1))</f>
      </c>
      <c r="W461" s="331">
        <f>+W460+IF(V460=12,1,0)</f>
      </c>
      <c r="X461" s="555">
        <f>+DATE(W461,V461,1)</f>
        <v>25569.041666666668</v>
      </c>
      <c r="Y461" s="333">
        <f>+_xlfn.IFNA(AN461+AS461+AX461,0)</f>
      </c>
      <c r="Z461" s="333">
        <f>+_xlfn.IFNA(AO461+AT461+AY461,0)</f>
      </c>
      <c r="AA461" s="333">
        <f>Y461*(1+$O$5)^(($B$7-X461)/365.25)</f>
      </c>
      <c r="AB461" s="333">
        <f>Z461*(1+$O$5)^(($B$7-X461)/365.25)</f>
      </c>
      <c r="AC461" s="1"/>
      <c r="AD461" s="1"/>
      <c r="AE461" s="1"/>
      <c r="AF461" s="111">
        <f>+MONTH(E461)&amp;YEAR(E461)</f>
      </c>
      <c r="AG461" s="217">
        <f>+I461</f>
      </c>
      <c r="AH461" s="217">
        <f>+J461</f>
      </c>
      <c r="AI461" s="217">
        <f>+H461</f>
      </c>
      <c r="AJ461" s="111">
        <f>+V461&amp;W461</f>
      </c>
      <c r="AK461" s="217">
        <f>+_xlfn.IFNA(VLOOKUP(AJ461,$AF$7:$AG$1066,2,0),0)</f>
      </c>
      <c r="AL461" s="217">
        <f>+IF(W461&gt;W460,AK461,AL460+AK461)</f>
      </c>
      <c r="AM461" s="217">
        <f>IF(W461&gt;W460,IF(AL461&gt;=$AZ$8,$AZ$8,AL461),IF(OR(AM460=$AZ$8,AM460=0),0,IF(AL461&gt;=$AZ$8,$AZ$8,AL461)))</f>
      </c>
      <c r="AN461" s="748">
        <f>+IF(OR(AM461&gt;AZ460,AM461=0),0,IF(AM461=AL461,AK461,$AZ$7-AL460))</f>
      </c>
      <c r="AO461" s="748">
        <f>+AK461-AN461</f>
      </c>
      <c r="AP461" s="217">
        <f>+_xlfn.IFNA(VLOOKUP(AJ461,$AF$7:$AI$1066,3,0),0)</f>
      </c>
      <c r="AQ461" s="217">
        <f>+IF(W461&gt;W460,AP461,AQ460+AP461)</f>
      </c>
      <c r="AR461" s="217">
        <f>+MAX($AM$2-SUMIF($W$7:$W$1066,W461,$AN$7:$AN$1066),0)</f>
      </c>
      <c r="AS461" s="748">
        <f>+MAX(IF(AQ461&gt;AR461,AR461-AQ460,AP461),0)</f>
      </c>
      <c r="AT461" s="748">
        <f>+AP461-AS461</f>
      </c>
      <c r="AU461" s="217">
        <f>+_xlfn.IFNA(VLOOKUP(AJ461,$AF$7:$AI$1066,4,0),0)</f>
      </c>
      <c r="AV461" s="217">
        <f>+IF(W461&gt;W460,AU461,AV460+AU461)</f>
      </c>
      <c r="AW461" s="217">
        <f>+MAX($AM$2-SUMIF($W$7:$W$1066,W461,$AN$7:$AN$1066)-SUMIF($W$7:$W$1066,W461,$AS$7:$AS$1066),0)</f>
      </c>
      <c r="AX461" s="748">
        <f>+MAX(IF(AV461&gt;AW461,AW461-AV460,AU461),0)</f>
      </c>
      <c r="AY461" s="748">
        <f>+AU461-AX461</f>
      </c>
      <c r="AZ461" s="331">
        <f>+$AM$1+IF($AP$1&gt;$AP$2,$AM$3/2)</f>
      </c>
    </row>
    <row x14ac:dyDescent="0.25" r="462" customHeight="1" ht="18.75">
      <c r="A462" s="1"/>
      <c r="B462" s="7"/>
      <c r="C462" s="170"/>
      <c r="D462" s="331">
        <v>455</v>
      </c>
      <c r="E462" s="544">
        <f>+DATE(YEAR(E461),MONTH(E461)-1,DAY(E461))</f>
        <v>25569.041666666668</v>
      </c>
      <c r="F462" s="333">
        <f>IF(DATE(YEAR($B$6),MONTH($B$6)+1,DAY(1))=E462,1,IF(MONTH(E462)=1,F463*(1+$F$5),F463))</f>
      </c>
      <c r="G462" s="333">
        <f>IF('Simulador - 1º Pilar'!$E$99="Sí",IF('Aportaciones PPE'!$B$13&lt;'Aportaciones PPE'!E462,0,F462*$B$8/12),F462*$B$8/12)</f>
      </c>
      <c r="H462" s="333">
        <f>$H$5*G462</f>
      </c>
      <c r="I462" s="333">
        <f>$I$5*G462</f>
      </c>
      <c r="J462" s="333">
        <f>+I462</f>
      </c>
      <c r="K462" s="333">
        <f>(1+$O$5)^(D462/12)*(H462+IF(AND(F462=1,F463=0),$S$4,0))</f>
      </c>
      <c r="L462" s="333">
        <f>(1+$O$5)^(D462/12)*(I462+IF(AND(F462=1,F463=0),0))</f>
      </c>
      <c r="M462" s="333">
        <f>+L462</f>
      </c>
      <c r="N462" s="333">
        <f>L462+K462+M462</f>
      </c>
      <c r="O462" s="170"/>
      <c r="P462" s="7"/>
      <c r="Q462" s="1"/>
      <c r="R462" s="331">
        <f>D462</f>
      </c>
      <c r="S462" s="169"/>
      <c r="T462" s="1"/>
      <c r="U462" s="217"/>
      <c r="V462" s="331">
        <f>+IF(V461=11,12,IF(V461=12,1,V461+1))</f>
      </c>
      <c r="W462" s="331">
        <f>+W461+IF(V461=12,1,0)</f>
      </c>
      <c r="X462" s="555">
        <f>+DATE(W462,V462,1)</f>
        <v>25569.041666666668</v>
      </c>
      <c r="Y462" s="333">
        <f>+_xlfn.IFNA(AN462+AS462+AX462,0)</f>
      </c>
      <c r="Z462" s="333">
        <f>+_xlfn.IFNA(AO462+AT462+AY462,0)</f>
      </c>
      <c r="AA462" s="333">
        <f>Y462*(1+$O$5)^(($B$7-X462)/365.25)</f>
      </c>
      <c r="AB462" s="333">
        <f>Z462*(1+$O$5)^(($B$7-X462)/365.25)</f>
      </c>
      <c r="AC462" s="1"/>
      <c r="AD462" s="1"/>
      <c r="AE462" s="1"/>
      <c r="AF462" s="111">
        <f>+MONTH(E462)&amp;YEAR(E462)</f>
      </c>
      <c r="AG462" s="217">
        <f>+I462</f>
      </c>
      <c r="AH462" s="217">
        <f>+J462</f>
      </c>
      <c r="AI462" s="217">
        <f>+H462</f>
      </c>
      <c r="AJ462" s="111">
        <f>+V462&amp;W462</f>
      </c>
      <c r="AK462" s="217">
        <f>+_xlfn.IFNA(VLOOKUP(AJ462,$AF$7:$AG$1066,2,0),0)</f>
      </c>
      <c r="AL462" s="217">
        <f>+IF(W462&gt;W461,AK462,AL461+AK462)</f>
      </c>
      <c r="AM462" s="217">
        <f>IF(W462&gt;W461,IF(AL462&gt;=$AZ$8,$AZ$8,AL462),IF(OR(AM461=$AZ$8,AM461=0),0,IF(AL462&gt;=$AZ$8,$AZ$8,AL462)))</f>
      </c>
      <c r="AN462" s="748">
        <f>+IF(OR(AM462&gt;AZ461,AM462=0),0,IF(AM462=AL462,AK462,$AZ$7-AL461))</f>
      </c>
      <c r="AO462" s="748">
        <f>+AK462-AN462</f>
      </c>
      <c r="AP462" s="217">
        <f>+_xlfn.IFNA(VLOOKUP(AJ462,$AF$7:$AI$1066,3,0),0)</f>
      </c>
      <c r="AQ462" s="217">
        <f>+IF(W462&gt;W461,AP462,AQ461+AP462)</f>
      </c>
      <c r="AR462" s="217">
        <f>+MAX($AM$2-SUMIF($W$7:$W$1066,W462,$AN$7:$AN$1066),0)</f>
      </c>
      <c r="AS462" s="748">
        <f>+MAX(IF(AQ462&gt;AR462,AR462-AQ461,AP462),0)</f>
      </c>
      <c r="AT462" s="748">
        <f>+AP462-AS462</f>
      </c>
      <c r="AU462" s="217">
        <f>+_xlfn.IFNA(VLOOKUP(AJ462,$AF$7:$AI$1066,4,0),0)</f>
      </c>
      <c r="AV462" s="217">
        <f>+IF(W462&gt;W461,AU462,AV461+AU462)</f>
      </c>
      <c r="AW462" s="217">
        <f>+MAX($AM$2-SUMIF($W$7:$W$1066,W462,$AN$7:$AN$1066)-SUMIF($W$7:$W$1066,W462,$AS$7:$AS$1066),0)</f>
      </c>
      <c r="AX462" s="748">
        <f>+MAX(IF(AV462&gt;AW462,AW462-AV461,AU462),0)</f>
      </c>
      <c r="AY462" s="748">
        <f>+AU462-AX462</f>
      </c>
      <c r="AZ462" s="331">
        <f>+$AM$1+IF($AP$1&gt;$AP$2,$AM$3/2)</f>
      </c>
    </row>
    <row x14ac:dyDescent="0.25" r="463" customHeight="1" ht="18.75">
      <c r="A463" s="1"/>
      <c r="B463" s="7"/>
      <c r="C463" s="170"/>
      <c r="D463" s="331">
        <v>456</v>
      </c>
      <c r="E463" s="544">
        <f>+DATE(YEAR(E462),MONTH(E462)-1,DAY(E462))</f>
        <v>25569.041666666668</v>
      </c>
      <c r="F463" s="333">
        <f>IF(DATE(YEAR($B$6),MONTH($B$6)+1,DAY(1))=E463,1,IF(MONTH(E463)=1,F464*(1+$F$5),F464))</f>
      </c>
      <c r="G463" s="333">
        <f>IF('Simulador - 1º Pilar'!$E$99="Sí",IF('Aportaciones PPE'!$B$13&lt;'Aportaciones PPE'!E463,0,F463*$B$8/12),F463*$B$8/12)</f>
      </c>
      <c r="H463" s="333">
        <f>$H$5*G463</f>
      </c>
      <c r="I463" s="333">
        <f>$I$5*G463</f>
      </c>
      <c r="J463" s="333">
        <f>+I463</f>
      </c>
      <c r="K463" s="333">
        <f>(1+$O$5)^(D463/12)*(H463+IF(AND(F463=1,F464=0),$S$4,0))</f>
      </c>
      <c r="L463" s="333">
        <f>(1+$O$5)^(D463/12)*(I463+IF(AND(F463=1,F464=0),0))</f>
      </c>
      <c r="M463" s="333">
        <f>+L463</f>
      </c>
      <c r="N463" s="333">
        <f>L463+K463+M463</f>
      </c>
      <c r="O463" s="170"/>
      <c r="P463" s="7"/>
      <c r="Q463" s="1"/>
      <c r="R463" s="331">
        <f>D463</f>
      </c>
      <c r="S463" s="169"/>
      <c r="T463" s="1"/>
      <c r="U463" s="217"/>
      <c r="V463" s="331">
        <f>+IF(V462=11,12,IF(V462=12,1,V462+1))</f>
      </c>
      <c r="W463" s="331">
        <f>+W462+IF(V462=12,1,0)</f>
      </c>
      <c r="X463" s="555">
        <f>+DATE(W463,V463,1)</f>
        <v>25569.041666666668</v>
      </c>
      <c r="Y463" s="333">
        <f>+_xlfn.IFNA(AN463+AS463+AX463,0)</f>
      </c>
      <c r="Z463" s="333">
        <f>+_xlfn.IFNA(AO463+AT463+AY463,0)</f>
      </c>
      <c r="AA463" s="333">
        <f>Y463*(1+$O$5)^(($B$7-X463)/365.25)</f>
      </c>
      <c r="AB463" s="333">
        <f>Z463*(1+$O$5)^(($B$7-X463)/365.25)</f>
      </c>
      <c r="AC463" s="1"/>
      <c r="AD463" s="1"/>
      <c r="AE463" s="1"/>
      <c r="AF463" s="111">
        <f>+MONTH(E463)&amp;YEAR(E463)</f>
      </c>
      <c r="AG463" s="217">
        <f>+I463</f>
      </c>
      <c r="AH463" s="217">
        <f>+J463</f>
      </c>
      <c r="AI463" s="217">
        <f>+H463</f>
      </c>
      <c r="AJ463" s="111">
        <f>+V463&amp;W463</f>
      </c>
      <c r="AK463" s="217">
        <f>+_xlfn.IFNA(VLOOKUP(AJ463,$AF$7:$AG$1066,2,0),0)</f>
      </c>
      <c r="AL463" s="217">
        <f>+IF(W463&gt;W462,AK463,AL462+AK463)</f>
      </c>
      <c r="AM463" s="217">
        <f>IF(W463&gt;W462,IF(AL463&gt;=$AZ$8,$AZ$8,AL463),IF(OR(AM462=$AZ$8,AM462=0),0,IF(AL463&gt;=$AZ$8,$AZ$8,AL463)))</f>
      </c>
      <c r="AN463" s="748">
        <f>+IF(OR(AM463&gt;AZ462,AM463=0),0,IF(AM463=AL463,AK463,$AZ$7-AL462))</f>
      </c>
      <c r="AO463" s="748">
        <f>+AK463-AN463</f>
      </c>
      <c r="AP463" s="217">
        <f>+_xlfn.IFNA(VLOOKUP(AJ463,$AF$7:$AI$1066,3,0),0)</f>
      </c>
      <c r="AQ463" s="217">
        <f>+IF(W463&gt;W462,AP463,AQ462+AP463)</f>
      </c>
      <c r="AR463" s="217">
        <f>+MAX($AM$2-SUMIF($W$7:$W$1066,W463,$AN$7:$AN$1066),0)</f>
      </c>
      <c r="AS463" s="748">
        <f>+MAX(IF(AQ463&gt;AR463,AR463-AQ462,AP463),0)</f>
      </c>
      <c r="AT463" s="748">
        <f>+AP463-AS463</f>
      </c>
      <c r="AU463" s="217">
        <f>+_xlfn.IFNA(VLOOKUP(AJ463,$AF$7:$AI$1066,4,0),0)</f>
      </c>
      <c r="AV463" s="217">
        <f>+IF(W463&gt;W462,AU463,AV462+AU463)</f>
      </c>
      <c r="AW463" s="217">
        <f>+MAX($AM$2-SUMIF($W$7:$W$1066,W463,$AN$7:$AN$1066)-SUMIF($W$7:$W$1066,W463,$AS$7:$AS$1066),0)</f>
      </c>
      <c r="AX463" s="748">
        <f>+MAX(IF(AV463&gt;AW463,AW463-AV462,AU463),0)</f>
      </c>
      <c r="AY463" s="748">
        <f>+AU463-AX463</f>
      </c>
      <c r="AZ463" s="331">
        <f>+$AM$1+IF($AP$1&gt;$AP$2,$AM$3/2)</f>
      </c>
    </row>
    <row x14ac:dyDescent="0.25" r="464" customHeight="1" ht="18.75">
      <c r="A464" s="1"/>
      <c r="B464" s="7"/>
      <c r="C464" s="170"/>
      <c r="D464" s="331">
        <v>457</v>
      </c>
      <c r="E464" s="544">
        <f>+DATE(YEAR(E463),MONTH(E463)-1,DAY(E463))</f>
        <v>25569.041666666668</v>
      </c>
      <c r="F464" s="333">
        <f>IF(DATE(YEAR($B$6),MONTH($B$6)+1,DAY(1))=E464,1,IF(MONTH(E464)=1,F465*(1+$F$5),F465))</f>
      </c>
      <c r="G464" s="333">
        <f>IF('Simulador - 1º Pilar'!$E$99="Sí",IF('Aportaciones PPE'!$B$13&lt;'Aportaciones PPE'!E464,0,F464*$B$8/12),F464*$B$8/12)</f>
      </c>
      <c r="H464" s="333">
        <f>$H$5*G464</f>
      </c>
      <c r="I464" s="333">
        <f>$I$5*G464</f>
      </c>
      <c r="J464" s="333">
        <f>+I464</f>
      </c>
      <c r="K464" s="333">
        <f>(1+$O$5)^(D464/12)*(H464+IF(AND(F464=1,F465=0),$S$4,0))</f>
      </c>
      <c r="L464" s="333">
        <f>(1+$O$5)^(D464/12)*(I464+IF(AND(F464=1,F465=0),0))</f>
      </c>
      <c r="M464" s="333">
        <f>+L464</f>
      </c>
      <c r="N464" s="333">
        <f>L464+K464+M464</f>
      </c>
      <c r="O464" s="170"/>
      <c r="P464" s="7"/>
      <c r="Q464" s="1"/>
      <c r="R464" s="331">
        <f>D464</f>
      </c>
      <c r="S464" s="169"/>
      <c r="T464" s="1"/>
      <c r="U464" s="217"/>
      <c r="V464" s="331">
        <f>+IF(V463=11,12,IF(V463=12,1,V463+1))</f>
      </c>
      <c r="W464" s="331">
        <f>+W463+IF(V463=12,1,0)</f>
      </c>
      <c r="X464" s="555">
        <f>+DATE(W464,V464,1)</f>
        <v>25569.041666666668</v>
      </c>
      <c r="Y464" s="333">
        <f>+_xlfn.IFNA(AN464+AS464+AX464,0)</f>
      </c>
      <c r="Z464" s="333">
        <f>+_xlfn.IFNA(AO464+AT464+AY464,0)</f>
      </c>
      <c r="AA464" s="333">
        <f>Y464*(1+$O$5)^(($B$7-X464)/365.25)</f>
      </c>
      <c r="AB464" s="333">
        <f>Z464*(1+$O$5)^(($B$7-X464)/365.25)</f>
      </c>
      <c r="AC464" s="1"/>
      <c r="AD464" s="1"/>
      <c r="AE464" s="1"/>
      <c r="AF464" s="111">
        <f>+MONTH(E464)&amp;YEAR(E464)</f>
      </c>
      <c r="AG464" s="217">
        <f>+I464</f>
      </c>
      <c r="AH464" s="217">
        <f>+J464</f>
      </c>
      <c r="AI464" s="217">
        <f>+H464</f>
      </c>
      <c r="AJ464" s="111">
        <f>+V464&amp;W464</f>
      </c>
      <c r="AK464" s="217">
        <f>+_xlfn.IFNA(VLOOKUP(AJ464,$AF$7:$AG$1066,2,0),0)</f>
      </c>
      <c r="AL464" s="217">
        <f>+IF(W464&gt;W463,AK464,AL463+AK464)</f>
      </c>
      <c r="AM464" s="217">
        <f>IF(W464&gt;W463,IF(AL464&gt;=$AZ$8,$AZ$8,AL464),IF(OR(AM463=$AZ$8,AM463=0),0,IF(AL464&gt;=$AZ$8,$AZ$8,AL464)))</f>
      </c>
      <c r="AN464" s="748">
        <f>+IF(OR(AM464&gt;AZ463,AM464=0),0,IF(AM464=AL464,AK464,$AZ$7-AL463))</f>
      </c>
      <c r="AO464" s="748">
        <f>+AK464-AN464</f>
      </c>
      <c r="AP464" s="217">
        <f>+_xlfn.IFNA(VLOOKUP(AJ464,$AF$7:$AI$1066,3,0),0)</f>
      </c>
      <c r="AQ464" s="217">
        <f>+IF(W464&gt;W463,AP464,AQ463+AP464)</f>
      </c>
      <c r="AR464" s="217">
        <f>+MAX($AM$2-SUMIF($W$7:$W$1066,W464,$AN$7:$AN$1066),0)</f>
      </c>
      <c r="AS464" s="748">
        <f>+MAX(IF(AQ464&gt;AR464,AR464-AQ463,AP464),0)</f>
      </c>
      <c r="AT464" s="748">
        <f>+AP464-AS464</f>
      </c>
      <c r="AU464" s="217">
        <f>+_xlfn.IFNA(VLOOKUP(AJ464,$AF$7:$AI$1066,4,0),0)</f>
      </c>
      <c r="AV464" s="217">
        <f>+IF(W464&gt;W463,AU464,AV463+AU464)</f>
      </c>
      <c r="AW464" s="217">
        <f>+MAX($AM$2-SUMIF($W$7:$W$1066,W464,$AN$7:$AN$1066)-SUMIF($W$7:$W$1066,W464,$AS$7:$AS$1066),0)</f>
      </c>
      <c r="AX464" s="748">
        <f>+MAX(IF(AV464&gt;AW464,AW464-AV463,AU464),0)</f>
      </c>
      <c r="AY464" s="748">
        <f>+AU464-AX464</f>
      </c>
      <c r="AZ464" s="331">
        <f>+$AM$1+IF($AP$1&gt;$AP$2,$AM$3/2)</f>
      </c>
    </row>
    <row x14ac:dyDescent="0.25" r="465" customHeight="1" ht="18.75">
      <c r="A465" s="1"/>
      <c r="B465" s="7"/>
      <c r="C465" s="170"/>
      <c r="D465" s="331">
        <v>458</v>
      </c>
      <c r="E465" s="544">
        <f>+DATE(YEAR(E464),MONTH(E464)-1,DAY(E464))</f>
        <v>25569.041666666668</v>
      </c>
      <c r="F465" s="333">
        <f>IF(DATE(YEAR($B$6),MONTH($B$6)+1,DAY(1))=E465,1,IF(MONTH(E465)=1,F466*(1+$F$5),F466))</f>
      </c>
      <c r="G465" s="333">
        <f>IF('Simulador - 1º Pilar'!$E$99="Sí",IF('Aportaciones PPE'!$B$13&lt;'Aportaciones PPE'!E465,0,F465*$B$8/12),F465*$B$8/12)</f>
      </c>
      <c r="H465" s="333">
        <f>$H$5*G465</f>
      </c>
      <c r="I465" s="333">
        <f>$I$5*G465</f>
      </c>
      <c r="J465" s="333">
        <f>+I465</f>
      </c>
      <c r="K465" s="333">
        <f>(1+$O$5)^(D465/12)*(H465+IF(AND(F465=1,F466=0),$S$4,0))</f>
      </c>
      <c r="L465" s="333">
        <f>(1+$O$5)^(D465/12)*(I465+IF(AND(F465=1,F466=0),0))</f>
      </c>
      <c r="M465" s="333">
        <f>+L465</f>
      </c>
      <c r="N465" s="333">
        <f>L465+K465+M465</f>
      </c>
      <c r="O465" s="170"/>
      <c r="P465" s="7"/>
      <c r="Q465" s="1"/>
      <c r="R465" s="331">
        <f>D465</f>
      </c>
      <c r="S465" s="169"/>
      <c r="T465" s="1"/>
      <c r="U465" s="217"/>
      <c r="V465" s="331">
        <f>+IF(V464=11,12,IF(V464=12,1,V464+1))</f>
      </c>
      <c r="W465" s="331">
        <f>+W464+IF(V464=12,1,0)</f>
      </c>
      <c r="X465" s="555">
        <f>+DATE(W465,V465,1)</f>
        <v>25569.041666666668</v>
      </c>
      <c r="Y465" s="333">
        <f>+_xlfn.IFNA(AN465+AS465+AX465,0)</f>
      </c>
      <c r="Z465" s="333">
        <f>+_xlfn.IFNA(AO465+AT465+AY465,0)</f>
      </c>
      <c r="AA465" s="333">
        <f>Y465*(1+$O$5)^(($B$7-X465)/365.25)</f>
      </c>
      <c r="AB465" s="333">
        <f>Z465*(1+$O$5)^(($B$7-X465)/365.25)</f>
      </c>
      <c r="AC465" s="1"/>
      <c r="AD465" s="1"/>
      <c r="AE465" s="1"/>
      <c r="AF465" s="111">
        <f>+MONTH(E465)&amp;YEAR(E465)</f>
      </c>
      <c r="AG465" s="217">
        <f>+I465</f>
      </c>
      <c r="AH465" s="217">
        <f>+J465</f>
      </c>
      <c r="AI465" s="217">
        <f>+H465</f>
      </c>
      <c r="AJ465" s="111">
        <f>+V465&amp;W465</f>
      </c>
      <c r="AK465" s="217">
        <f>+_xlfn.IFNA(VLOOKUP(AJ465,$AF$7:$AG$1066,2,0),0)</f>
      </c>
      <c r="AL465" s="217">
        <f>+IF(W465&gt;W464,AK465,AL464+AK465)</f>
      </c>
      <c r="AM465" s="217">
        <f>IF(W465&gt;W464,IF(AL465&gt;=$AZ$8,$AZ$8,AL465),IF(OR(AM464=$AZ$8,AM464=0),0,IF(AL465&gt;=$AZ$8,$AZ$8,AL465)))</f>
      </c>
      <c r="AN465" s="748">
        <f>+IF(OR(AM465&gt;AZ464,AM465=0),0,IF(AM465=AL465,AK465,$AZ$7-AL464))</f>
      </c>
      <c r="AO465" s="748">
        <f>+AK465-AN465</f>
      </c>
      <c r="AP465" s="217">
        <f>+_xlfn.IFNA(VLOOKUP(AJ465,$AF$7:$AI$1066,3,0),0)</f>
      </c>
      <c r="AQ465" s="217">
        <f>+IF(W465&gt;W464,AP465,AQ464+AP465)</f>
      </c>
      <c r="AR465" s="217">
        <f>+MAX($AM$2-SUMIF($W$7:$W$1066,W465,$AN$7:$AN$1066),0)</f>
      </c>
      <c r="AS465" s="748">
        <f>+MAX(IF(AQ465&gt;AR465,AR465-AQ464,AP465),0)</f>
      </c>
      <c r="AT465" s="748">
        <f>+AP465-AS465</f>
      </c>
      <c r="AU465" s="217">
        <f>+_xlfn.IFNA(VLOOKUP(AJ465,$AF$7:$AI$1066,4,0),0)</f>
      </c>
      <c r="AV465" s="217">
        <f>+IF(W465&gt;W464,AU465,AV464+AU465)</f>
      </c>
      <c r="AW465" s="217">
        <f>+MAX($AM$2-SUMIF($W$7:$W$1066,W465,$AN$7:$AN$1066)-SUMIF($W$7:$W$1066,W465,$AS$7:$AS$1066),0)</f>
      </c>
      <c r="AX465" s="748">
        <f>+MAX(IF(AV465&gt;AW465,AW465-AV464,AU465),0)</f>
      </c>
      <c r="AY465" s="748">
        <f>+AU465-AX465</f>
      </c>
      <c r="AZ465" s="331">
        <f>+$AM$1+IF($AP$1&gt;$AP$2,$AM$3/2)</f>
      </c>
    </row>
    <row x14ac:dyDescent="0.25" r="466" customHeight="1" ht="18.75">
      <c r="A466" s="1"/>
      <c r="B466" s="7"/>
      <c r="C466" s="170"/>
      <c r="D466" s="331">
        <v>459</v>
      </c>
      <c r="E466" s="544">
        <f>+DATE(YEAR(E465),MONTH(E465)-1,DAY(E465))</f>
        <v>25569.041666666668</v>
      </c>
      <c r="F466" s="333">
        <f>IF(DATE(YEAR($B$6),MONTH($B$6)+1,DAY(1))=E466,1,IF(MONTH(E466)=1,F467*(1+$F$5),F467))</f>
      </c>
      <c r="G466" s="333">
        <f>IF('Simulador - 1º Pilar'!$E$99="Sí",IF('Aportaciones PPE'!$B$13&lt;'Aportaciones PPE'!E466,0,F466*$B$8/12),F466*$B$8/12)</f>
      </c>
      <c r="H466" s="333">
        <f>$H$5*G466</f>
      </c>
      <c r="I466" s="333">
        <f>$I$5*G466</f>
      </c>
      <c r="J466" s="333">
        <f>+I466</f>
      </c>
      <c r="K466" s="333">
        <f>(1+$O$5)^(D466/12)*(H466+IF(AND(F466=1,F467=0),$S$4,0))</f>
      </c>
      <c r="L466" s="333">
        <f>(1+$O$5)^(D466/12)*(I466+IF(AND(F466=1,F467=0),0))</f>
      </c>
      <c r="M466" s="333">
        <f>+L466</f>
      </c>
      <c r="N466" s="333">
        <f>L466+K466+M466</f>
      </c>
      <c r="O466" s="170"/>
      <c r="P466" s="7"/>
      <c r="Q466" s="1"/>
      <c r="R466" s="331">
        <f>D466</f>
      </c>
      <c r="S466" s="169"/>
      <c r="T466" s="1"/>
      <c r="U466" s="217"/>
      <c r="V466" s="331">
        <f>+IF(V465=11,12,IF(V465=12,1,V465+1))</f>
      </c>
      <c r="W466" s="331">
        <f>+W465+IF(V465=12,1,0)</f>
      </c>
      <c r="X466" s="555">
        <f>+DATE(W466,V466,1)</f>
        <v>25569.041666666668</v>
      </c>
      <c r="Y466" s="333">
        <f>+_xlfn.IFNA(AN466+AS466+AX466,0)</f>
      </c>
      <c r="Z466" s="333">
        <f>+_xlfn.IFNA(AO466+AT466+AY466,0)</f>
      </c>
      <c r="AA466" s="333">
        <f>Y466*(1+$O$5)^(($B$7-X466)/365.25)</f>
      </c>
      <c r="AB466" s="333">
        <f>Z466*(1+$O$5)^(($B$7-X466)/365.25)</f>
      </c>
      <c r="AC466" s="1"/>
      <c r="AD466" s="1"/>
      <c r="AE466" s="1"/>
      <c r="AF466" s="111">
        <f>+MONTH(E466)&amp;YEAR(E466)</f>
      </c>
      <c r="AG466" s="217">
        <f>+I466</f>
      </c>
      <c r="AH466" s="217">
        <f>+J466</f>
      </c>
      <c r="AI466" s="217">
        <f>+H466</f>
      </c>
      <c r="AJ466" s="111">
        <f>+V466&amp;W466</f>
      </c>
      <c r="AK466" s="217">
        <f>+_xlfn.IFNA(VLOOKUP(AJ466,$AF$7:$AG$1066,2,0),0)</f>
      </c>
      <c r="AL466" s="217">
        <f>+IF(W466&gt;W465,AK466,AL465+AK466)</f>
      </c>
      <c r="AM466" s="217">
        <f>IF(W466&gt;W465,IF(AL466&gt;=$AZ$8,$AZ$8,AL466),IF(OR(AM465=$AZ$8,AM465=0),0,IF(AL466&gt;=$AZ$8,$AZ$8,AL466)))</f>
      </c>
      <c r="AN466" s="748">
        <f>+IF(OR(AM466&gt;AZ465,AM466=0),0,IF(AM466=AL466,AK466,$AZ$7-AL465))</f>
      </c>
      <c r="AO466" s="748">
        <f>+AK466-AN466</f>
      </c>
      <c r="AP466" s="217">
        <f>+_xlfn.IFNA(VLOOKUP(AJ466,$AF$7:$AI$1066,3,0),0)</f>
      </c>
      <c r="AQ466" s="217">
        <f>+IF(W466&gt;W465,AP466,AQ465+AP466)</f>
      </c>
      <c r="AR466" s="217">
        <f>+MAX($AM$2-SUMIF($W$7:$W$1066,W466,$AN$7:$AN$1066),0)</f>
      </c>
      <c r="AS466" s="748">
        <f>+MAX(IF(AQ466&gt;AR466,AR466-AQ465,AP466),0)</f>
      </c>
      <c r="AT466" s="748">
        <f>+AP466-AS466</f>
      </c>
      <c r="AU466" s="217">
        <f>+_xlfn.IFNA(VLOOKUP(AJ466,$AF$7:$AI$1066,4,0),0)</f>
      </c>
      <c r="AV466" s="217">
        <f>+IF(W466&gt;W465,AU466,AV465+AU466)</f>
      </c>
      <c r="AW466" s="217">
        <f>+MAX($AM$2-SUMIF($W$7:$W$1066,W466,$AN$7:$AN$1066)-SUMIF($W$7:$W$1066,W466,$AS$7:$AS$1066),0)</f>
      </c>
      <c r="AX466" s="748">
        <f>+MAX(IF(AV466&gt;AW466,AW466-AV465,AU466),0)</f>
      </c>
      <c r="AY466" s="748">
        <f>+AU466-AX466</f>
      </c>
      <c r="AZ466" s="331">
        <f>+$AM$1+IF($AP$1&gt;$AP$2,$AM$3/2)</f>
      </c>
    </row>
    <row x14ac:dyDescent="0.25" r="467" customHeight="1" ht="18.75">
      <c r="A467" s="1"/>
      <c r="B467" s="7"/>
      <c r="C467" s="170"/>
      <c r="D467" s="331">
        <v>460</v>
      </c>
      <c r="E467" s="544">
        <f>+DATE(YEAR(E466),MONTH(E466)-1,DAY(E466))</f>
        <v>25569.041666666668</v>
      </c>
      <c r="F467" s="333">
        <f>IF(DATE(YEAR($B$6),MONTH($B$6)+1,DAY(1))=E467,1,IF(MONTH(E467)=1,F468*(1+$F$5),F468))</f>
      </c>
      <c r="G467" s="333">
        <f>IF('Simulador - 1º Pilar'!$E$99="Sí",IF('Aportaciones PPE'!$B$13&lt;'Aportaciones PPE'!E467,0,F467*$B$8/12),F467*$B$8/12)</f>
      </c>
      <c r="H467" s="333">
        <f>$H$5*G467</f>
      </c>
      <c r="I467" s="333">
        <f>$I$5*G467</f>
      </c>
      <c r="J467" s="333">
        <f>+I467</f>
      </c>
      <c r="K467" s="333">
        <f>(1+$O$5)^(D467/12)*(H467+IF(AND(F467=1,F468=0),$S$4,0))</f>
      </c>
      <c r="L467" s="333">
        <f>(1+$O$5)^(D467/12)*(I467+IF(AND(F467=1,F468=0),0))</f>
      </c>
      <c r="M467" s="333">
        <f>+L467</f>
      </c>
      <c r="N467" s="333">
        <f>L467+K467+M467</f>
      </c>
      <c r="O467" s="170"/>
      <c r="P467" s="7"/>
      <c r="Q467" s="1"/>
      <c r="R467" s="331">
        <f>D467</f>
      </c>
      <c r="S467" s="169"/>
      <c r="T467" s="1"/>
      <c r="U467" s="217"/>
      <c r="V467" s="331">
        <f>+IF(V466=11,12,IF(V466=12,1,V466+1))</f>
      </c>
      <c r="W467" s="331">
        <f>+W466+IF(V466=12,1,0)</f>
      </c>
      <c r="X467" s="555">
        <f>+DATE(W467,V467,1)</f>
        <v>25569.041666666668</v>
      </c>
      <c r="Y467" s="333">
        <f>+_xlfn.IFNA(AN467+AS467+AX467,0)</f>
      </c>
      <c r="Z467" s="333">
        <f>+_xlfn.IFNA(AO467+AT467+AY467,0)</f>
      </c>
      <c r="AA467" s="333">
        <f>Y467*(1+$O$5)^(($B$7-X467)/365.25)</f>
      </c>
      <c r="AB467" s="333">
        <f>Z467*(1+$O$5)^(($B$7-X467)/365.25)</f>
      </c>
      <c r="AC467" s="1"/>
      <c r="AD467" s="1"/>
      <c r="AE467" s="1"/>
      <c r="AF467" s="111">
        <f>+MONTH(E467)&amp;YEAR(E467)</f>
      </c>
      <c r="AG467" s="217">
        <f>+I467</f>
      </c>
      <c r="AH467" s="217">
        <f>+J467</f>
      </c>
      <c r="AI467" s="217">
        <f>+H467</f>
      </c>
      <c r="AJ467" s="111">
        <f>+V467&amp;W467</f>
      </c>
      <c r="AK467" s="217">
        <f>+_xlfn.IFNA(VLOOKUP(AJ467,$AF$7:$AG$1066,2,0),0)</f>
      </c>
      <c r="AL467" s="217">
        <f>+IF(W467&gt;W466,AK467,AL466+AK467)</f>
      </c>
      <c r="AM467" s="217">
        <f>IF(W467&gt;W466,IF(AL467&gt;=$AZ$8,$AZ$8,AL467),IF(OR(AM466=$AZ$8,AM466=0),0,IF(AL467&gt;=$AZ$8,$AZ$8,AL467)))</f>
      </c>
      <c r="AN467" s="748">
        <f>+IF(OR(AM467&gt;AZ466,AM467=0),0,IF(AM467=AL467,AK467,$AZ$7-AL466))</f>
      </c>
      <c r="AO467" s="748">
        <f>+AK467-AN467</f>
      </c>
      <c r="AP467" s="217">
        <f>+_xlfn.IFNA(VLOOKUP(AJ467,$AF$7:$AI$1066,3,0),0)</f>
      </c>
      <c r="AQ467" s="217">
        <f>+IF(W467&gt;W466,AP467,AQ466+AP467)</f>
      </c>
      <c r="AR467" s="217">
        <f>+MAX($AM$2-SUMIF($W$7:$W$1066,W467,$AN$7:$AN$1066),0)</f>
      </c>
      <c r="AS467" s="748">
        <f>+MAX(IF(AQ467&gt;AR467,AR467-AQ466,AP467),0)</f>
      </c>
      <c r="AT467" s="748">
        <f>+AP467-AS467</f>
      </c>
      <c r="AU467" s="217">
        <f>+_xlfn.IFNA(VLOOKUP(AJ467,$AF$7:$AI$1066,4,0),0)</f>
      </c>
      <c r="AV467" s="217">
        <f>+IF(W467&gt;W466,AU467,AV466+AU467)</f>
      </c>
      <c r="AW467" s="217">
        <f>+MAX($AM$2-SUMIF($W$7:$W$1066,W467,$AN$7:$AN$1066)-SUMIF($W$7:$W$1066,W467,$AS$7:$AS$1066),0)</f>
      </c>
      <c r="AX467" s="748">
        <f>+MAX(IF(AV467&gt;AW467,AW467-AV466,AU467),0)</f>
      </c>
      <c r="AY467" s="748">
        <f>+AU467-AX467</f>
      </c>
      <c r="AZ467" s="331">
        <f>+$AM$1+IF($AP$1&gt;$AP$2,$AM$3/2)</f>
      </c>
    </row>
    <row x14ac:dyDescent="0.25" r="468" customHeight="1" ht="18.75">
      <c r="A468" s="1"/>
      <c r="B468" s="7"/>
      <c r="C468" s="170"/>
      <c r="D468" s="331">
        <v>461</v>
      </c>
      <c r="E468" s="544">
        <f>+DATE(YEAR(E467),MONTH(E467)-1,DAY(E467))</f>
        <v>25569.041666666668</v>
      </c>
      <c r="F468" s="333">
        <f>IF(DATE(YEAR($B$6),MONTH($B$6)+1,DAY(1))=E468,1,IF(MONTH(E468)=1,F469*(1+$F$5),F469))</f>
      </c>
      <c r="G468" s="333">
        <f>IF('Simulador - 1º Pilar'!$E$99="Sí",IF('Aportaciones PPE'!$B$13&lt;'Aportaciones PPE'!E468,0,F468*$B$8/12),F468*$B$8/12)</f>
      </c>
      <c r="H468" s="333">
        <f>$H$5*G468</f>
      </c>
      <c r="I468" s="333">
        <f>$I$5*G468</f>
      </c>
      <c r="J468" s="333">
        <f>+I468</f>
      </c>
      <c r="K468" s="333">
        <f>(1+$O$5)^(D468/12)*(H468+IF(AND(F468=1,F469=0),$S$4,0))</f>
      </c>
      <c r="L468" s="333">
        <f>(1+$O$5)^(D468/12)*(I468+IF(AND(F468=1,F469=0),0))</f>
      </c>
      <c r="M468" s="333">
        <f>+L468</f>
      </c>
      <c r="N468" s="333">
        <f>L468+K468+M468</f>
      </c>
      <c r="O468" s="170"/>
      <c r="P468" s="7"/>
      <c r="Q468" s="1"/>
      <c r="R468" s="331">
        <f>D468</f>
      </c>
      <c r="S468" s="169"/>
      <c r="T468" s="1"/>
      <c r="U468" s="217"/>
      <c r="V468" s="331">
        <f>+IF(V467=11,12,IF(V467=12,1,V467+1))</f>
      </c>
      <c r="W468" s="331">
        <f>+W467+IF(V467=12,1,0)</f>
      </c>
      <c r="X468" s="555">
        <f>+DATE(W468,V468,1)</f>
        <v>25569.041666666668</v>
      </c>
      <c r="Y468" s="333">
        <f>+_xlfn.IFNA(AN468+AS468+AX468,0)</f>
      </c>
      <c r="Z468" s="333">
        <f>+_xlfn.IFNA(AO468+AT468+AY468,0)</f>
      </c>
      <c r="AA468" s="333">
        <f>Y468*(1+$O$5)^(($B$7-X468)/365.25)</f>
      </c>
      <c r="AB468" s="333">
        <f>Z468*(1+$O$5)^(($B$7-X468)/365.25)</f>
      </c>
      <c r="AC468" s="1"/>
      <c r="AD468" s="1"/>
      <c r="AE468" s="1"/>
      <c r="AF468" s="111">
        <f>+MONTH(E468)&amp;YEAR(E468)</f>
      </c>
      <c r="AG468" s="217">
        <f>+I468</f>
      </c>
      <c r="AH468" s="217">
        <f>+J468</f>
      </c>
      <c r="AI468" s="217">
        <f>+H468</f>
      </c>
      <c r="AJ468" s="111">
        <f>+V468&amp;W468</f>
      </c>
      <c r="AK468" s="217">
        <f>+_xlfn.IFNA(VLOOKUP(AJ468,$AF$7:$AG$1066,2,0),0)</f>
      </c>
      <c r="AL468" s="217">
        <f>+IF(W468&gt;W467,AK468,AL467+AK468)</f>
      </c>
      <c r="AM468" s="217">
        <f>IF(W468&gt;W467,IF(AL468&gt;=$AZ$8,$AZ$8,AL468),IF(OR(AM467=$AZ$8,AM467=0),0,IF(AL468&gt;=$AZ$8,$AZ$8,AL468)))</f>
      </c>
      <c r="AN468" s="748">
        <f>+IF(OR(AM468&gt;AZ467,AM468=0),0,IF(AM468=AL468,AK468,$AZ$7-AL467))</f>
      </c>
      <c r="AO468" s="748">
        <f>+AK468-AN468</f>
      </c>
      <c r="AP468" s="217">
        <f>+_xlfn.IFNA(VLOOKUP(AJ468,$AF$7:$AI$1066,3,0),0)</f>
      </c>
      <c r="AQ468" s="217">
        <f>+IF(W468&gt;W467,AP468,AQ467+AP468)</f>
      </c>
      <c r="AR468" s="217">
        <f>+MAX($AM$2-SUMIF($W$7:$W$1066,W468,$AN$7:$AN$1066),0)</f>
      </c>
      <c r="AS468" s="748">
        <f>+MAX(IF(AQ468&gt;AR468,AR468-AQ467,AP468),0)</f>
      </c>
      <c r="AT468" s="748">
        <f>+AP468-AS468</f>
      </c>
      <c r="AU468" s="217">
        <f>+_xlfn.IFNA(VLOOKUP(AJ468,$AF$7:$AI$1066,4,0),0)</f>
      </c>
      <c r="AV468" s="217">
        <f>+IF(W468&gt;W467,AU468,AV467+AU468)</f>
      </c>
      <c r="AW468" s="217">
        <f>+MAX($AM$2-SUMIF($W$7:$W$1066,W468,$AN$7:$AN$1066)-SUMIF($W$7:$W$1066,W468,$AS$7:$AS$1066),0)</f>
      </c>
      <c r="AX468" s="748">
        <f>+MAX(IF(AV468&gt;AW468,AW468-AV467,AU468),0)</f>
      </c>
      <c r="AY468" s="748">
        <f>+AU468-AX468</f>
      </c>
      <c r="AZ468" s="331">
        <f>+$AM$1+IF($AP$1&gt;$AP$2,$AM$3/2)</f>
      </c>
    </row>
    <row x14ac:dyDescent="0.25" r="469" customHeight="1" ht="18.75">
      <c r="A469" s="1"/>
      <c r="B469" s="7"/>
      <c r="C469" s="170"/>
      <c r="D469" s="331">
        <v>462</v>
      </c>
      <c r="E469" s="544">
        <f>+DATE(YEAR(E468),MONTH(E468)-1,DAY(E468))</f>
        <v>25569.041666666668</v>
      </c>
      <c r="F469" s="333">
        <f>IF(DATE(YEAR($B$6),MONTH($B$6)+1,DAY(1))=E469,1,IF(MONTH(E469)=1,F470*(1+$F$5),F470))</f>
      </c>
      <c r="G469" s="333">
        <f>IF('Simulador - 1º Pilar'!$E$99="Sí",IF('Aportaciones PPE'!$B$13&lt;'Aportaciones PPE'!E469,0,F469*$B$8/12),F469*$B$8/12)</f>
      </c>
      <c r="H469" s="333">
        <f>$H$5*G469</f>
      </c>
      <c r="I469" s="333">
        <f>$I$5*G469</f>
      </c>
      <c r="J469" s="333">
        <f>+I469</f>
      </c>
      <c r="K469" s="333">
        <f>(1+$O$5)^(D469/12)*(H469+IF(AND(F469=1,F470=0),$S$4,0))</f>
      </c>
      <c r="L469" s="333">
        <f>(1+$O$5)^(D469/12)*(I469+IF(AND(F469=1,F470=0),0))</f>
      </c>
      <c r="M469" s="333">
        <f>+L469</f>
      </c>
      <c r="N469" s="333">
        <f>L469+K469+M469</f>
      </c>
      <c r="O469" s="170"/>
      <c r="P469" s="7"/>
      <c r="Q469" s="1"/>
      <c r="R469" s="331">
        <f>D469</f>
      </c>
      <c r="S469" s="169"/>
      <c r="T469" s="1"/>
      <c r="U469" s="217"/>
      <c r="V469" s="331">
        <f>+IF(V468=11,12,IF(V468=12,1,V468+1))</f>
      </c>
      <c r="W469" s="331">
        <f>+W468+IF(V468=12,1,0)</f>
      </c>
      <c r="X469" s="555">
        <f>+DATE(W469,V469,1)</f>
        <v>25569.041666666668</v>
      </c>
      <c r="Y469" s="333">
        <f>+_xlfn.IFNA(AN469+AS469+AX469,0)</f>
      </c>
      <c r="Z469" s="333">
        <f>+_xlfn.IFNA(AO469+AT469+AY469,0)</f>
      </c>
      <c r="AA469" s="333">
        <f>Y469*(1+$O$5)^(($B$7-X469)/365.25)</f>
      </c>
      <c r="AB469" s="333">
        <f>Z469*(1+$O$5)^(($B$7-X469)/365.25)</f>
      </c>
      <c r="AC469" s="1"/>
      <c r="AD469" s="1"/>
      <c r="AE469" s="1"/>
      <c r="AF469" s="111">
        <f>+MONTH(E469)&amp;YEAR(E469)</f>
      </c>
      <c r="AG469" s="217">
        <f>+I469</f>
      </c>
      <c r="AH469" s="217">
        <f>+J469</f>
      </c>
      <c r="AI469" s="217">
        <f>+H469</f>
      </c>
      <c r="AJ469" s="111">
        <f>+V469&amp;W469</f>
      </c>
      <c r="AK469" s="217">
        <f>+_xlfn.IFNA(VLOOKUP(AJ469,$AF$7:$AG$1066,2,0),0)</f>
      </c>
      <c r="AL469" s="217">
        <f>+IF(W469&gt;W468,AK469,AL468+AK469)</f>
      </c>
      <c r="AM469" s="217">
        <f>IF(W469&gt;W468,IF(AL469&gt;=$AZ$8,$AZ$8,AL469),IF(OR(AM468=$AZ$8,AM468=0),0,IF(AL469&gt;=$AZ$8,$AZ$8,AL469)))</f>
      </c>
      <c r="AN469" s="748">
        <f>+IF(OR(AM469&gt;AZ468,AM469=0),0,IF(AM469=AL469,AK469,$AZ$7-AL468))</f>
      </c>
      <c r="AO469" s="748">
        <f>+AK469-AN469</f>
      </c>
      <c r="AP469" s="217">
        <f>+_xlfn.IFNA(VLOOKUP(AJ469,$AF$7:$AI$1066,3,0),0)</f>
      </c>
      <c r="AQ469" s="217">
        <f>+IF(W469&gt;W468,AP469,AQ468+AP469)</f>
      </c>
      <c r="AR469" s="217">
        <f>+MAX($AM$2-SUMIF($W$7:$W$1066,W469,$AN$7:$AN$1066),0)</f>
      </c>
      <c r="AS469" s="748">
        <f>+MAX(IF(AQ469&gt;AR469,AR469-AQ468,AP469),0)</f>
      </c>
      <c r="AT469" s="748">
        <f>+AP469-AS469</f>
      </c>
      <c r="AU469" s="217">
        <f>+_xlfn.IFNA(VLOOKUP(AJ469,$AF$7:$AI$1066,4,0),0)</f>
      </c>
      <c r="AV469" s="217">
        <f>+IF(W469&gt;W468,AU469,AV468+AU469)</f>
      </c>
      <c r="AW469" s="217">
        <f>+MAX($AM$2-SUMIF($W$7:$W$1066,W469,$AN$7:$AN$1066)-SUMIF($W$7:$W$1066,W469,$AS$7:$AS$1066),0)</f>
      </c>
      <c r="AX469" s="748">
        <f>+MAX(IF(AV469&gt;AW469,AW469-AV468,AU469),0)</f>
      </c>
      <c r="AY469" s="748">
        <f>+AU469-AX469</f>
      </c>
      <c r="AZ469" s="331">
        <f>+$AM$1+IF($AP$1&gt;$AP$2,$AM$3/2)</f>
      </c>
    </row>
    <row x14ac:dyDescent="0.25" r="470" customHeight="1" ht="18.75">
      <c r="A470" s="1"/>
      <c r="B470" s="7"/>
      <c r="C470" s="170"/>
      <c r="D470" s="331">
        <v>463</v>
      </c>
      <c r="E470" s="544">
        <f>+DATE(YEAR(E469),MONTH(E469)-1,DAY(E469))</f>
        <v>25569.041666666668</v>
      </c>
      <c r="F470" s="333">
        <f>IF(DATE(YEAR($B$6),MONTH($B$6)+1,DAY(1))=E470,1,IF(MONTH(E470)=1,F471*(1+$F$5),F471))</f>
      </c>
      <c r="G470" s="333">
        <f>IF('Simulador - 1º Pilar'!$E$99="Sí",IF('Aportaciones PPE'!$B$13&lt;'Aportaciones PPE'!E470,0,F470*$B$8/12),F470*$B$8/12)</f>
      </c>
      <c r="H470" s="333">
        <f>$H$5*G470</f>
      </c>
      <c r="I470" s="333">
        <f>$I$5*G470</f>
      </c>
      <c r="J470" s="333">
        <f>+I470</f>
      </c>
      <c r="K470" s="333">
        <f>(1+$O$5)^(D470/12)*(H470+IF(AND(F470=1,F471=0),$S$4,0))</f>
      </c>
      <c r="L470" s="333">
        <f>(1+$O$5)^(D470/12)*(I470+IF(AND(F470=1,F471=0),0))</f>
      </c>
      <c r="M470" s="333">
        <f>+L470</f>
      </c>
      <c r="N470" s="333">
        <f>L470+K470+M470</f>
      </c>
      <c r="O470" s="170"/>
      <c r="P470" s="7"/>
      <c r="Q470" s="1"/>
      <c r="R470" s="331">
        <f>D470</f>
      </c>
      <c r="S470" s="169"/>
      <c r="T470" s="1"/>
      <c r="U470" s="217"/>
      <c r="V470" s="331">
        <f>+IF(V469=11,12,IF(V469=12,1,V469+1))</f>
      </c>
      <c r="W470" s="331">
        <f>+W469+IF(V469=12,1,0)</f>
      </c>
      <c r="X470" s="555">
        <f>+DATE(W470,V470,1)</f>
        <v>25569.041666666668</v>
      </c>
      <c r="Y470" s="333">
        <f>+_xlfn.IFNA(AN470+AS470+AX470,0)</f>
      </c>
      <c r="Z470" s="333">
        <f>+_xlfn.IFNA(AO470+AT470+AY470,0)</f>
      </c>
      <c r="AA470" s="333">
        <f>Y470*(1+$O$5)^(($B$7-X470)/365.25)</f>
      </c>
      <c r="AB470" s="333">
        <f>Z470*(1+$O$5)^(($B$7-X470)/365.25)</f>
      </c>
      <c r="AC470" s="1"/>
      <c r="AD470" s="1"/>
      <c r="AE470" s="1"/>
      <c r="AF470" s="111">
        <f>+MONTH(E470)&amp;YEAR(E470)</f>
      </c>
      <c r="AG470" s="217">
        <f>+I470</f>
      </c>
      <c r="AH470" s="217">
        <f>+J470</f>
      </c>
      <c r="AI470" s="217">
        <f>+H470</f>
      </c>
      <c r="AJ470" s="111">
        <f>+V470&amp;W470</f>
      </c>
      <c r="AK470" s="217">
        <f>+_xlfn.IFNA(VLOOKUP(AJ470,$AF$7:$AG$1066,2,0),0)</f>
      </c>
      <c r="AL470" s="217">
        <f>+IF(W470&gt;W469,AK470,AL469+AK470)</f>
      </c>
      <c r="AM470" s="217">
        <f>IF(W470&gt;W469,IF(AL470&gt;=$AZ$8,$AZ$8,AL470),IF(OR(AM469=$AZ$8,AM469=0),0,IF(AL470&gt;=$AZ$8,$AZ$8,AL470)))</f>
      </c>
      <c r="AN470" s="748">
        <f>+IF(OR(AM470&gt;AZ469,AM470=0),0,IF(AM470=AL470,AK470,$AZ$7-AL469))</f>
      </c>
      <c r="AO470" s="748">
        <f>+AK470-AN470</f>
      </c>
      <c r="AP470" s="217">
        <f>+_xlfn.IFNA(VLOOKUP(AJ470,$AF$7:$AI$1066,3,0),0)</f>
      </c>
      <c r="AQ470" s="217">
        <f>+IF(W470&gt;W469,AP470,AQ469+AP470)</f>
      </c>
      <c r="AR470" s="217">
        <f>+MAX($AM$2-SUMIF($W$7:$W$1066,W470,$AN$7:$AN$1066),0)</f>
      </c>
      <c r="AS470" s="748">
        <f>+MAX(IF(AQ470&gt;AR470,AR470-AQ469,AP470),0)</f>
      </c>
      <c r="AT470" s="748">
        <f>+AP470-AS470</f>
      </c>
      <c r="AU470" s="217">
        <f>+_xlfn.IFNA(VLOOKUP(AJ470,$AF$7:$AI$1066,4,0),0)</f>
      </c>
      <c r="AV470" s="217">
        <f>+IF(W470&gt;W469,AU470,AV469+AU470)</f>
      </c>
      <c r="AW470" s="217">
        <f>+MAX($AM$2-SUMIF($W$7:$W$1066,W470,$AN$7:$AN$1066)-SUMIF($W$7:$W$1066,W470,$AS$7:$AS$1066),0)</f>
      </c>
      <c r="AX470" s="748">
        <f>+MAX(IF(AV470&gt;AW470,AW470-AV469,AU470),0)</f>
      </c>
      <c r="AY470" s="748">
        <f>+AU470-AX470</f>
      </c>
      <c r="AZ470" s="331">
        <f>+$AM$1+IF($AP$1&gt;$AP$2,$AM$3/2)</f>
      </c>
    </row>
    <row x14ac:dyDescent="0.25" r="471" customHeight="1" ht="18.75">
      <c r="A471" s="1"/>
      <c r="B471" s="7"/>
      <c r="C471" s="170"/>
      <c r="D471" s="331">
        <v>464</v>
      </c>
      <c r="E471" s="544">
        <f>+DATE(YEAR(E470),MONTH(E470)-1,DAY(E470))</f>
        <v>25569.041666666668</v>
      </c>
      <c r="F471" s="333">
        <f>IF(DATE(YEAR($B$6),MONTH($B$6)+1,DAY(1))=E471,1,IF(MONTH(E471)=1,F472*(1+$F$5),F472))</f>
      </c>
      <c r="G471" s="333">
        <f>IF('Simulador - 1º Pilar'!$E$99="Sí",IF('Aportaciones PPE'!$B$13&lt;'Aportaciones PPE'!E471,0,F471*$B$8/12),F471*$B$8/12)</f>
      </c>
      <c r="H471" s="333">
        <f>$H$5*G471</f>
      </c>
      <c r="I471" s="333">
        <f>$I$5*G471</f>
      </c>
      <c r="J471" s="333">
        <f>+I471</f>
      </c>
      <c r="K471" s="333">
        <f>(1+$O$5)^(D471/12)*(H471+IF(AND(F471=1,F472=0),$S$4,0))</f>
      </c>
      <c r="L471" s="333">
        <f>(1+$O$5)^(D471/12)*(I471+IF(AND(F471=1,F472=0),0))</f>
      </c>
      <c r="M471" s="333">
        <f>+L471</f>
      </c>
      <c r="N471" s="333">
        <f>L471+K471+M471</f>
      </c>
      <c r="O471" s="170"/>
      <c r="P471" s="7"/>
      <c r="Q471" s="1"/>
      <c r="R471" s="331">
        <f>D471</f>
      </c>
      <c r="S471" s="169"/>
      <c r="T471" s="1"/>
      <c r="U471" s="217"/>
      <c r="V471" s="331">
        <f>+IF(V470=11,12,IF(V470=12,1,V470+1))</f>
      </c>
      <c r="W471" s="331">
        <f>+W470+IF(V470=12,1,0)</f>
      </c>
      <c r="X471" s="555">
        <f>+DATE(W471,V471,1)</f>
        <v>25569.041666666668</v>
      </c>
      <c r="Y471" s="333">
        <f>+_xlfn.IFNA(AN471+AS471+AX471,0)</f>
      </c>
      <c r="Z471" s="333">
        <f>+_xlfn.IFNA(AO471+AT471+AY471,0)</f>
      </c>
      <c r="AA471" s="333">
        <f>Y471*(1+$O$5)^(($B$7-X471)/365.25)</f>
      </c>
      <c r="AB471" s="333">
        <f>Z471*(1+$O$5)^(($B$7-X471)/365.25)</f>
      </c>
      <c r="AC471" s="1"/>
      <c r="AD471" s="1"/>
      <c r="AE471" s="1"/>
      <c r="AF471" s="111">
        <f>+MONTH(E471)&amp;YEAR(E471)</f>
      </c>
      <c r="AG471" s="217">
        <f>+I471</f>
      </c>
      <c r="AH471" s="217">
        <f>+J471</f>
      </c>
      <c r="AI471" s="217">
        <f>+H471</f>
      </c>
      <c r="AJ471" s="111">
        <f>+V471&amp;W471</f>
      </c>
      <c r="AK471" s="217">
        <f>+_xlfn.IFNA(VLOOKUP(AJ471,$AF$7:$AG$1066,2,0),0)</f>
      </c>
      <c r="AL471" s="217">
        <f>+IF(W471&gt;W470,AK471,AL470+AK471)</f>
      </c>
      <c r="AM471" s="217">
        <f>IF(W471&gt;W470,IF(AL471&gt;=$AZ$8,$AZ$8,AL471),IF(OR(AM470=$AZ$8,AM470=0),0,IF(AL471&gt;=$AZ$8,$AZ$8,AL471)))</f>
      </c>
      <c r="AN471" s="748">
        <f>+IF(OR(AM471&gt;AZ470,AM471=0),0,IF(AM471=AL471,AK471,$AZ$7-AL470))</f>
      </c>
      <c r="AO471" s="748">
        <f>+AK471-AN471</f>
      </c>
      <c r="AP471" s="217">
        <f>+_xlfn.IFNA(VLOOKUP(AJ471,$AF$7:$AI$1066,3,0),0)</f>
      </c>
      <c r="AQ471" s="217">
        <f>+IF(W471&gt;W470,AP471,AQ470+AP471)</f>
      </c>
      <c r="AR471" s="217">
        <f>+MAX($AM$2-SUMIF($W$7:$W$1066,W471,$AN$7:$AN$1066),0)</f>
      </c>
      <c r="AS471" s="748">
        <f>+MAX(IF(AQ471&gt;AR471,AR471-AQ470,AP471),0)</f>
      </c>
      <c r="AT471" s="748">
        <f>+AP471-AS471</f>
      </c>
      <c r="AU471" s="217">
        <f>+_xlfn.IFNA(VLOOKUP(AJ471,$AF$7:$AI$1066,4,0),0)</f>
      </c>
      <c r="AV471" s="217">
        <f>+IF(W471&gt;W470,AU471,AV470+AU471)</f>
      </c>
      <c r="AW471" s="217">
        <f>+MAX($AM$2-SUMIF($W$7:$W$1066,W471,$AN$7:$AN$1066)-SUMIF($W$7:$W$1066,W471,$AS$7:$AS$1066),0)</f>
      </c>
      <c r="AX471" s="748">
        <f>+MAX(IF(AV471&gt;AW471,AW471-AV470,AU471),0)</f>
      </c>
      <c r="AY471" s="748">
        <f>+AU471-AX471</f>
      </c>
      <c r="AZ471" s="331">
        <f>+$AM$1+IF($AP$1&gt;$AP$2,$AM$3/2)</f>
      </c>
    </row>
    <row x14ac:dyDescent="0.25" r="472" customHeight="1" ht="18.75">
      <c r="A472" s="1"/>
      <c r="B472" s="7"/>
      <c r="C472" s="170"/>
      <c r="D472" s="331">
        <v>465</v>
      </c>
      <c r="E472" s="544">
        <f>+DATE(YEAR(E471),MONTH(E471)-1,DAY(E471))</f>
        <v>25569.041666666668</v>
      </c>
      <c r="F472" s="333">
        <f>IF(DATE(YEAR($B$6),MONTH($B$6)+1,DAY(1))=E472,1,IF(MONTH(E472)=1,F473*(1+$F$5),F473))</f>
      </c>
      <c r="G472" s="333">
        <f>IF('Simulador - 1º Pilar'!$E$99="Sí",IF('Aportaciones PPE'!$B$13&lt;'Aportaciones PPE'!E472,0,F472*$B$8/12),F472*$B$8/12)</f>
      </c>
      <c r="H472" s="333">
        <f>$H$5*G472</f>
      </c>
      <c r="I472" s="333">
        <f>$I$5*G472</f>
      </c>
      <c r="J472" s="333">
        <f>+I472</f>
      </c>
      <c r="K472" s="333">
        <f>(1+$O$5)^(D472/12)*(H472+IF(AND(F472=1,F473=0),$S$4,0))</f>
      </c>
      <c r="L472" s="333">
        <f>(1+$O$5)^(D472/12)*(I472+IF(AND(F472=1,F473=0),0))</f>
      </c>
      <c r="M472" s="333">
        <f>+L472</f>
      </c>
      <c r="N472" s="333">
        <f>L472+K472+M472</f>
      </c>
      <c r="O472" s="170"/>
      <c r="P472" s="7"/>
      <c r="Q472" s="1"/>
      <c r="R472" s="331">
        <f>D472</f>
      </c>
      <c r="S472" s="169"/>
      <c r="T472" s="1"/>
      <c r="U472" s="217"/>
      <c r="V472" s="331">
        <f>+IF(V471=11,12,IF(V471=12,1,V471+1))</f>
      </c>
      <c r="W472" s="331">
        <f>+W471+IF(V471=12,1,0)</f>
      </c>
      <c r="X472" s="555">
        <f>+DATE(W472,V472,1)</f>
        <v>25569.041666666668</v>
      </c>
      <c r="Y472" s="333">
        <f>+_xlfn.IFNA(AN472+AS472+AX472,0)</f>
      </c>
      <c r="Z472" s="333">
        <f>+_xlfn.IFNA(AO472+AT472+AY472,0)</f>
      </c>
      <c r="AA472" s="333">
        <f>Y472*(1+$O$5)^(($B$7-X472)/365.25)</f>
      </c>
      <c r="AB472" s="333">
        <f>Z472*(1+$O$5)^(($B$7-X472)/365.25)</f>
      </c>
      <c r="AC472" s="1"/>
      <c r="AD472" s="1"/>
      <c r="AE472" s="1"/>
      <c r="AF472" s="111">
        <f>+MONTH(E472)&amp;YEAR(E472)</f>
      </c>
      <c r="AG472" s="217">
        <f>+I472</f>
      </c>
      <c r="AH472" s="217">
        <f>+J472</f>
      </c>
      <c r="AI472" s="217">
        <f>+H472</f>
      </c>
      <c r="AJ472" s="111">
        <f>+V472&amp;W472</f>
      </c>
      <c r="AK472" s="217">
        <f>+_xlfn.IFNA(VLOOKUP(AJ472,$AF$7:$AG$1066,2,0),0)</f>
      </c>
      <c r="AL472" s="217">
        <f>+IF(W472&gt;W471,AK472,AL471+AK472)</f>
      </c>
      <c r="AM472" s="217">
        <f>IF(W472&gt;W471,IF(AL472&gt;=$AZ$8,$AZ$8,AL472),IF(OR(AM471=$AZ$8,AM471=0),0,IF(AL472&gt;=$AZ$8,$AZ$8,AL472)))</f>
      </c>
      <c r="AN472" s="748">
        <f>+IF(OR(AM472&gt;AZ471,AM472=0),0,IF(AM472=AL472,AK472,$AZ$7-AL471))</f>
      </c>
      <c r="AO472" s="748">
        <f>+AK472-AN472</f>
      </c>
      <c r="AP472" s="217">
        <f>+_xlfn.IFNA(VLOOKUP(AJ472,$AF$7:$AI$1066,3,0),0)</f>
      </c>
      <c r="AQ472" s="217">
        <f>+IF(W472&gt;W471,AP472,AQ471+AP472)</f>
      </c>
      <c r="AR472" s="217">
        <f>+MAX($AM$2-SUMIF($W$7:$W$1066,W472,$AN$7:$AN$1066),0)</f>
      </c>
      <c r="AS472" s="748">
        <f>+MAX(IF(AQ472&gt;AR472,AR472-AQ471,AP472),0)</f>
      </c>
      <c r="AT472" s="748">
        <f>+AP472-AS472</f>
      </c>
      <c r="AU472" s="217">
        <f>+_xlfn.IFNA(VLOOKUP(AJ472,$AF$7:$AI$1066,4,0),0)</f>
      </c>
      <c r="AV472" s="217">
        <f>+IF(W472&gt;W471,AU472,AV471+AU472)</f>
      </c>
      <c r="AW472" s="217">
        <f>+MAX($AM$2-SUMIF($W$7:$W$1066,W472,$AN$7:$AN$1066)-SUMIF($W$7:$W$1066,W472,$AS$7:$AS$1066),0)</f>
      </c>
      <c r="AX472" s="748">
        <f>+MAX(IF(AV472&gt;AW472,AW472-AV471,AU472),0)</f>
      </c>
      <c r="AY472" s="748">
        <f>+AU472-AX472</f>
      </c>
      <c r="AZ472" s="331">
        <f>+$AM$1+IF($AP$1&gt;$AP$2,$AM$3/2)</f>
      </c>
    </row>
    <row x14ac:dyDescent="0.25" r="473" customHeight="1" ht="18.75">
      <c r="A473" s="1"/>
      <c r="B473" s="7"/>
      <c r="C473" s="170"/>
      <c r="D473" s="331">
        <v>466</v>
      </c>
      <c r="E473" s="544">
        <f>+DATE(YEAR(E472),MONTH(E472)-1,DAY(E472))</f>
        <v>25569.041666666668</v>
      </c>
      <c r="F473" s="333">
        <f>IF(DATE(YEAR($B$6),MONTH($B$6)+1,DAY(1))=E473,1,IF(MONTH(E473)=1,F474*(1+$F$5),F474))</f>
      </c>
      <c r="G473" s="333">
        <f>IF('Simulador - 1º Pilar'!$E$99="Sí",IF('Aportaciones PPE'!$B$13&lt;'Aportaciones PPE'!E473,0,F473*$B$8/12),F473*$B$8/12)</f>
      </c>
      <c r="H473" s="333">
        <f>$H$5*G473</f>
      </c>
      <c r="I473" s="333">
        <f>$I$5*G473</f>
      </c>
      <c r="J473" s="333">
        <f>+I473</f>
      </c>
      <c r="K473" s="333">
        <f>(1+$O$5)^(D473/12)*(H473+IF(AND(F473=1,F474=0),$S$4,0))</f>
      </c>
      <c r="L473" s="333">
        <f>(1+$O$5)^(D473/12)*(I473+IF(AND(F473=1,F474=0),0))</f>
      </c>
      <c r="M473" s="333">
        <f>+L473</f>
      </c>
      <c r="N473" s="333">
        <f>L473+K473+M473</f>
      </c>
      <c r="O473" s="170"/>
      <c r="P473" s="7"/>
      <c r="Q473" s="1"/>
      <c r="R473" s="331">
        <f>D473</f>
      </c>
      <c r="S473" s="169"/>
      <c r="T473" s="1"/>
      <c r="U473" s="217"/>
      <c r="V473" s="331">
        <f>+IF(V472=11,12,IF(V472=12,1,V472+1))</f>
      </c>
      <c r="W473" s="331">
        <f>+W472+IF(V472=12,1,0)</f>
      </c>
      <c r="X473" s="555">
        <f>+DATE(W473,V473,1)</f>
        <v>25569.041666666668</v>
      </c>
      <c r="Y473" s="333">
        <f>+_xlfn.IFNA(AN473+AS473+AX473,0)</f>
      </c>
      <c r="Z473" s="333">
        <f>+_xlfn.IFNA(AO473+AT473+AY473,0)</f>
      </c>
      <c r="AA473" s="333">
        <f>Y473*(1+$O$5)^(($B$7-X473)/365.25)</f>
      </c>
      <c r="AB473" s="333">
        <f>Z473*(1+$O$5)^(($B$7-X473)/365.25)</f>
      </c>
      <c r="AC473" s="1"/>
      <c r="AD473" s="1"/>
      <c r="AE473" s="1"/>
      <c r="AF473" s="111">
        <f>+MONTH(E473)&amp;YEAR(E473)</f>
      </c>
      <c r="AG473" s="217">
        <f>+I473</f>
      </c>
      <c r="AH473" s="217">
        <f>+J473</f>
      </c>
      <c r="AI473" s="217">
        <f>+H473</f>
      </c>
      <c r="AJ473" s="111">
        <f>+V473&amp;W473</f>
      </c>
      <c r="AK473" s="217">
        <f>+_xlfn.IFNA(VLOOKUP(AJ473,$AF$7:$AG$1066,2,0),0)</f>
      </c>
      <c r="AL473" s="217">
        <f>+IF(W473&gt;W472,AK473,AL472+AK473)</f>
      </c>
      <c r="AM473" s="217">
        <f>IF(W473&gt;W472,IF(AL473&gt;=$AZ$8,$AZ$8,AL473),IF(OR(AM472=$AZ$8,AM472=0),0,IF(AL473&gt;=$AZ$8,$AZ$8,AL473)))</f>
      </c>
      <c r="AN473" s="748">
        <f>+IF(OR(AM473&gt;AZ472,AM473=0),0,IF(AM473=AL473,AK473,$AZ$7-AL472))</f>
      </c>
      <c r="AO473" s="748">
        <f>+AK473-AN473</f>
      </c>
      <c r="AP473" s="217">
        <f>+_xlfn.IFNA(VLOOKUP(AJ473,$AF$7:$AI$1066,3,0),0)</f>
      </c>
      <c r="AQ473" s="217">
        <f>+IF(W473&gt;W472,AP473,AQ472+AP473)</f>
      </c>
      <c r="AR473" s="217">
        <f>+MAX($AM$2-SUMIF($W$7:$W$1066,W473,$AN$7:$AN$1066),0)</f>
      </c>
      <c r="AS473" s="748">
        <f>+MAX(IF(AQ473&gt;AR473,AR473-AQ472,AP473),0)</f>
      </c>
      <c r="AT473" s="748">
        <f>+AP473-AS473</f>
      </c>
      <c r="AU473" s="217">
        <f>+_xlfn.IFNA(VLOOKUP(AJ473,$AF$7:$AI$1066,4,0),0)</f>
      </c>
      <c r="AV473" s="217">
        <f>+IF(W473&gt;W472,AU473,AV472+AU473)</f>
      </c>
      <c r="AW473" s="217">
        <f>+MAX($AM$2-SUMIF($W$7:$W$1066,W473,$AN$7:$AN$1066)-SUMIF($W$7:$W$1066,W473,$AS$7:$AS$1066),0)</f>
      </c>
      <c r="AX473" s="748">
        <f>+MAX(IF(AV473&gt;AW473,AW473-AV472,AU473),0)</f>
      </c>
      <c r="AY473" s="748">
        <f>+AU473-AX473</f>
      </c>
      <c r="AZ473" s="331">
        <f>+$AM$1+IF($AP$1&gt;$AP$2,$AM$3/2)</f>
      </c>
    </row>
    <row x14ac:dyDescent="0.25" r="474" customHeight="1" ht="18.75">
      <c r="A474" s="1"/>
      <c r="B474" s="7"/>
      <c r="C474" s="170"/>
      <c r="D474" s="331">
        <v>467</v>
      </c>
      <c r="E474" s="544">
        <f>+DATE(YEAR(E473),MONTH(E473)-1,DAY(E473))</f>
        <v>25569.041666666668</v>
      </c>
      <c r="F474" s="333">
        <f>IF(DATE(YEAR($B$6),MONTH($B$6)+1,DAY(1))=E474,1,IF(MONTH(E474)=1,F475*(1+$F$5),F475))</f>
      </c>
      <c r="G474" s="333">
        <f>IF('Simulador - 1º Pilar'!$E$99="Sí",IF('Aportaciones PPE'!$B$13&lt;'Aportaciones PPE'!E474,0,F474*$B$8/12),F474*$B$8/12)</f>
      </c>
      <c r="H474" s="333">
        <f>$H$5*G474</f>
      </c>
      <c r="I474" s="333">
        <f>$I$5*G474</f>
      </c>
      <c r="J474" s="333">
        <f>+I474</f>
      </c>
      <c r="K474" s="333">
        <f>(1+$O$5)^(D474/12)*(H474+IF(AND(F474=1,F475=0),$S$4,0))</f>
      </c>
      <c r="L474" s="333">
        <f>(1+$O$5)^(D474/12)*(I474+IF(AND(F474=1,F475=0),0))</f>
      </c>
      <c r="M474" s="333">
        <f>+L474</f>
      </c>
      <c r="N474" s="333">
        <f>L474+K474+M474</f>
      </c>
      <c r="O474" s="170"/>
      <c r="P474" s="7"/>
      <c r="Q474" s="1"/>
      <c r="R474" s="331">
        <f>D474</f>
      </c>
      <c r="S474" s="169"/>
      <c r="T474" s="1"/>
      <c r="U474" s="217"/>
      <c r="V474" s="331">
        <f>+IF(V473=11,12,IF(V473=12,1,V473+1))</f>
      </c>
      <c r="W474" s="331">
        <f>+W473+IF(V473=12,1,0)</f>
      </c>
      <c r="X474" s="555">
        <f>+DATE(W474,V474,1)</f>
        <v>25569.041666666668</v>
      </c>
      <c r="Y474" s="333">
        <f>+_xlfn.IFNA(AN474+AS474+AX474,0)</f>
      </c>
      <c r="Z474" s="333">
        <f>+_xlfn.IFNA(AO474+AT474+AY474,0)</f>
      </c>
      <c r="AA474" s="333">
        <f>Y474*(1+$O$5)^(($B$7-X474)/365.25)</f>
      </c>
      <c r="AB474" s="333">
        <f>Z474*(1+$O$5)^(($B$7-X474)/365.25)</f>
      </c>
      <c r="AC474" s="1"/>
      <c r="AD474" s="1"/>
      <c r="AE474" s="1"/>
      <c r="AF474" s="111">
        <f>+MONTH(E474)&amp;YEAR(E474)</f>
      </c>
      <c r="AG474" s="217">
        <f>+I474</f>
      </c>
      <c r="AH474" s="217">
        <f>+J474</f>
      </c>
      <c r="AI474" s="217">
        <f>+H474</f>
      </c>
      <c r="AJ474" s="111">
        <f>+V474&amp;W474</f>
      </c>
      <c r="AK474" s="217">
        <f>+_xlfn.IFNA(VLOOKUP(AJ474,$AF$7:$AG$1066,2,0),0)</f>
      </c>
      <c r="AL474" s="217">
        <f>+IF(W474&gt;W473,AK474,AL473+AK474)</f>
      </c>
      <c r="AM474" s="217">
        <f>IF(W474&gt;W473,IF(AL474&gt;=$AZ$8,$AZ$8,AL474),IF(OR(AM473=$AZ$8,AM473=0),0,IF(AL474&gt;=$AZ$8,$AZ$8,AL474)))</f>
      </c>
      <c r="AN474" s="748">
        <f>+IF(OR(AM474&gt;AZ473,AM474=0),0,IF(AM474=AL474,AK474,$AZ$7-AL473))</f>
      </c>
      <c r="AO474" s="748">
        <f>+AK474-AN474</f>
      </c>
      <c r="AP474" s="217">
        <f>+_xlfn.IFNA(VLOOKUP(AJ474,$AF$7:$AI$1066,3,0),0)</f>
      </c>
      <c r="AQ474" s="217">
        <f>+IF(W474&gt;W473,AP474,AQ473+AP474)</f>
      </c>
      <c r="AR474" s="217">
        <f>+MAX($AM$2-SUMIF($W$7:$W$1066,W474,$AN$7:$AN$1066),0)</f>
      </c>
      <c r="AS474" s="748">
        <f>+MAX(IF(AQ474&gt;AR474,AR474-AQ473,AP474),0)</f>
      </c>
      <c r="AT474" s="748">
        <f>+AP474-AS474</f>
      </c>
      <c r="AU474" s="217">
        <f>+_xlfn.IFNA(VLOOKUP(AJ474,$AF$7:$AI$1066,4,0),0)</f>
      </c>
      <c r="AV474" s="217">
        <f>+IF(W474&gt;W473,AU474,AV473+AU474)</f>
      </c>
      <c r="AW474" s="217">
        <f>+MAX($AM$2-SUMIF($W$7:$W$1066,W474,$AN$7:$AN$1066)-SUMIF($W$7:$W$1066,W474,$AS$7:$AS$1066),0)</f>
      </c>
      <c r="AX474" s="748">
        <f>+MAX(IF(AV474&gt;AW474,AW474-AV473,AU474),0)</f>
      </c>
      <c r="AY474" s="748">
        <f>+AU474-AX474</f>
      </c>
      <c r="AZ474" s="331">
        <f>+$AM$1+IF($AP$1&gt;$AP$2,$AM$3/2)</f>
      </c>
    </row>
    <row x14ac:dyDescent="0.25" r="475" customHeight="1" ht="18.75">
      <c r="A475" s="1"/>
      <c r="B475" s="7"/>
      <c r="C475" s="170"/>
      <c r="D475" s="331">
        <v>468</v>
      </c>
      <c r="E475" s="544">
        <f>+DATE(YEAR(E474),MONTH(E474)-1,DAY(E474))</f>
        <v>25569.041666666668</v>
      </c>
      <c r="F475" s="333">
        <f>IF(DATE(YEAR($B$6),MONTH($B$6)+1,DAY(1))=E475,1,IF(MONTH(E475)=1,F476*(1+$F$5),F476))</f>
      </c>
      <c r="G475" s="333">
        <f>IF('Simulador - 1º Pilar'!$E$99="Sí",IF('Aportaciones PPE'!$B$13&lt;'Aportaciones PPE'!E475,0,F475*$B$8/12),F475*$B$8/12)</f>
      </c>
      <c r="H475" s="333">
        <f>$H$5*G475</f>
      </c>
      <c r="I475" s="333">
        <f>$I$5*G475</f>
      </c>
      <c r="J475" s="333">
        <f>+I475</f>
      </c>
      <c r="K475" s="333">
        <f>(1+$O$5)^(D475/12)*(H475+IF(AND(F475=1,F476=0),$S$4,0))</f>
      </c>
      <c r="L475" s="333">
        <f>(1+$O$5)^(D475/12)*(I475+IF(AND(F475=1,F476=0),0))</f>
      </c>
      <c r="M475" s="333">
        <f>+L475</f>
      </c>
      <c r="N475" s="333">
        <f>L475+K475+M475</f>
      </c>
      <c r="O475" s="170"/>
      <c r="P475" s="7"/>
      <c r="Q475" s="1"/>
      <c r="R475" s="331">
        <f>D475</f>
      </c>
      <c r="S475" s="169"/>
      <c r="T475" s="1"/>
      <c r="U475" s="217"/>
      <c r="V475" s="331">
        <f>+IF(V474=11,12,IF(V474=12,1,V474+1))</f>
      </c>
      <c r="W475" s="331">
        <f>+W474+IF(V474=12,1,0)</f>
      </c>
      <c r="X475" s="555">
        <f>+DATE(W475,V475,1)</f>
        <v>25569.041666666668</v>
      </c>
      <c r="Y475" s="333">
        <f>+_xlfn.IFNA(AN475+AS475+AX475,0)</f>
      </c>
      <c r="Z475" s="333">
        <f>+_xlfn.IFNA(AO475+AT475+AY475,0)</f>
      </c>
      <c r="AA475" s="333">
        <f>Y475*(1+$O$5)^(($B$7-X475)/365.25)</f>
      </c>
      <c r="AB475" s="333">
        <f>Z475*(1+$O$5)^(($B$7-X475)/365.25)</f>
      </c>
      <c r="AC475" s="1"/>
      <c r="AD475" s="1"/>
      <c r="AE475" s="1"/>
      <c r="AF475" s="111">
        <f>+MONTH(E475)&amp;YEAR(E475)</f>
      </c>
      <c r="AG475" s="217">
        <f>+I475</f>
      </c>
      <c r="AH475" s="217">
        <f>+J475</f>
      </c>
      <c r="AI475" s="217">
        <f>+H475</f>
      </c>
      <c r="AJ475" s="111">
        <f>+V475&amp;W475</f>
      </c>
      <c r="AK475" s="217">
        <f>+_xlfn.IFNA(VLOOKUP(AJ475,$AF$7:$AG$1066,2,0),0)</f>
      </c>
      <c r="AL475" s="217">
        <f>+IF(W475&gt;W474,AK475,AL474+AK475)</f>
      </c>
      <c r="AM475" s="217">
        <f>IF(W475&gt;W474,IF(AL475&gt;=$AZ$8,$AZ$8,AL475),IF(OR(AM474=$AZ$8,AM474=0),0,IF(AL475&gt;=$AZ$8,$AZ$8,AL475)))</f>
      </c>
      <c r="AN475" s="748">
        <f>+IF(OR(AM475&gt;AZ474,AM475=0),0,IF(AM475=AL475,AK475,$AZ$7-AL474))</f>
      </c>
      <c r="AO475" s="748">
        <f>+AK475-AN475</f>
      </c>
      <c r="AP475" s="217">
        <f>+_xlfn.IFNA(VLOOKUP(AJ475,$AF$7:$AI$1066,3,0),0)</f>
      </c>
      <c r="AQ475" s="217">
        <f>+IF(W475&gt;W474,AP475,AQ474+AP475)</f>
      </c>
      <c r="AR475" s="217">
        <f>+MAX($AM$2-SUMIF($W$7:$W$1066,W475,$AN$7:$AN$1066),0)</f>
      </c>
      <c r="AS475" s="748">
        <f>+MAX(IF(AQ475&gt;AR475,AR475-AQ474,AP475),0)</f>
      </c>
      <c r="AT475" s="748">
        <f>+AP475-AS475</f>
      </c>
      <c r="AU475" s="217">
        <f>+_xlfn.IFNA(VLOOKUP(AJ475,$AF$7:$AI$1066,4,0),0)</f>
      </c>
      <c r="AV475" s="217">
        <f>+IF(W475&gt;W474,AU475,AV474+AU475)</f>
      </c>
      <c r="AW475" s="217">
        <f>+MAX($AM$2-SUMIF($W$7:$W$1066,W475,$AN$7:$AN$1066)-SUMIF($W$7:$W$1066,W475,$AS$7:$AS$1066),0)</f>
      </c>
      <c r="AX475" s="748">
        <f>+MAX(IF(AV475&gt;AW475,AW475-AV474,AU475),0)</f>
      </c>
      <c r="AY475" s="748">
        <f>+AU475-AX475</f>
      </c>
      <c r="AZ475" s="331">
        <f>+$AM$1+IF($AP$1&gt;$AP$2,$AM$3/2)</f>
      </c>
    </row>
    <row x14ac:dyDescent="0.25" r="476" customHeight="1" ht="18.75">
      <c r="A476" s="1"/>
      <c r="B476" s="7"/>
      <c r="C476" s="170"/>
      <c r="D476" s="331">
        <v>469</v>
      </c>
      <c r="E476" s="544">
        <f>+DATE(YEAR(E475),MONTH(E475)-1,DAY(E475))</f>
        <v>25569.041666666668</v>
      </c>
      <c r="F476" s="333">
        <f>IF(DATE(YEAR($B$6),MONTH($B$6)+1,DAY(1))=E476,1,IF(MONTH(E476)=1,F477*(1+$F$5),F477))</f>
      </c>
      <c r="G476" s="333">
        <f>IF('Simulador - 1º Pilar'!$E$99="Sí",IF('Aportaciones PPE'!$B$13&lt;'Aportaciones PPE'!E476,0,F476*$B$8/12),F476*$B$8/12)</f>
      </c>
      <c r="H476" s="333">
        <f>$H$5*G476</f>
      </c>
      <c r="I476" s="333">
        <f>$I$5*G476</f>
      </c>
      <c r="J476" s="333">
        <f>+I476</f>
      </c>
      <c r="K476" s="333">
        <f>(1+$O$5)^(D476/12)*(H476+IF(AND(F476=1,F477=0),$S$4,0))</f>
      </c>
      <c r="L476" s="333">
        <f>(1+$O$5)^(D476/12)*(I476+IF(AND(F476=1,F477=0),0))</f>
      </c>
      <c r="M476" s="333">
        <f>+L476</f>
      </c>
      <c r="N476" s="333">
        <f>L476+K476+M476</f>
      </c>
      <c r="O476" s="170"/>
      <c r="P476" s="7"/>
      <c r="Q476" s="1"/>
      <c r="R476" s="331">
        <f>D476</f>
      </c>
      <c r="S476" s="169"/>
      <c r="T476" s="1"/>
      <c r="U476" s="217"/>
      <c r="V476" s="331">
        <f>+IF(V475=11,12,IF(V475=12,1,V475+1))</f>
      </c>
      <c r="W476" s="331">
        <f>+W475+IF(V475=12,1,0)</f>
      </c>
      <c r="X476" s="555">
        <f>+DATE(W476,V476,1)</f>
        <v>25569.041666666668</v>
      </c>
      <c r="Y476" s="333">
        <f>+_xlfn.IFNA(AN476+AS476+AX476,0)</f>
      </c>
      <c r="Z476" s="333">
        <f>+_xlfn.IFNA(AO476+AT476+AY476,0)</f>
      </c>
      <c r="AA476" s="333">
        <f>Y476*(1+$O$5)^(($B$7-X476)/365.25)</f>
      </c>
      <c r="AB476" s="333">
        <f>Z476*(1+$O$5)^(($B$7-X476)/365.25)</f>
      </c>
      <c r="AC476" s="1"/>
      <c r="AD476" s="1"/>
      <c r="AE476" s="1"/>
      <c r="AF476" s="111">
        <f>+MONTH(E476)&amp;YEAR(E476)</f>
      </c>
      <c r="AG476" s="217">
        <f>+I476</f>
      </c>
      <c r="AH476" s="217">
        <f>+J476</f>
      </c>
      <c r="AI476" s="217">
        <f>+H476</f>
      </c>
      <c r="AJ476" s="111">
        <f>+V476&amp;W476</f>
      </c>
      <c r="AK476" s="217">
        <f>+_xlfn.IFNA(VLOOKUP(AJ476,$AF$7:$AG$1066,2,0),0)</f>
      </c>
      <c r="AL476" s="217">
        <f>+IF(W476&gt;W475,AK476,AL475+AK476)</f>
      </c>
      <c r="AM476" s="217">
        <f>IF(W476&gt;W475,IF(AL476&gt;=$AZ$8,$AZ$8,AL476),IF(OR(AM475=$AZ$8,AM475=0),0,IF(AL476&gt;=$AZ$8,$AZ$8,AL476)))</f>
      </c>
      <c r="AN476" s="748">
        <f>+IF(OR(AM476&gt;AZ475,AM476=0),0,IF(AM476=AL476,AK476,$AZ$7-AL475))</f>
      </c>
      <c r="AO476" s="748">
        <f>+AK476-AN476</f>
      </c>
      <c r="AP476" s="217">
        <f>+_xlfn.IFNA(VLOOKUP(AJ476,$AF$7:$AI$1066,3,0),0)</f>
      </c>
      <c r="AQ476" s="217">
        <f>+IF(W476&gt;W475,AP476,AQ475+AP476)</f>
      </c>
      <c r="AR476" s="217">
        <f>+MAX($AM$2-SUMIF($W$7:$W$1066,W476,$AN$7:$AN$1066),0)</f>
      </c>
      <c r="AS476" s="748">
        <f>+MAX(IF(AQ476&gt;AR476,AR476-AQ475,AP476),0)</f>
      </c>
      <c r="AT476" s="748">
        <f>+AP476-AS476</f>
      </c>
      <c r="AU476" s="217">
        <f>+_xlfn.IFNA(VLOOKUP(AJ476,$AF$7:$AI$1066,4,0),0)</f>
      </c>
      <c r="AV476" s="217">
        <f>+IF(W476&gt;W475,AU476,AV475+AU476)</f>
      </c>
      <c r="AW476" s="217">
        <f>+MAX($AM$2-SUMIF($W$7:$W$1066,W476,$AN$7:$AN$1066)-SUMIF($W$7:$W$1066,W476,$AS$7:$AS$1066),0)</f>
      </c>
      <c r="AX476" s="748">
        <f>+MAX(IF(AV476&gt;AW476,AW476-AV475,AU476),0)</f>
      </c>
      <c r="AY476" s="748">
        <f>+AU476-AX476</f>
      </c>
      <c r="AZ476" s="331">
        <f>+$AM$1+IF($AP$1&gt;$AP$2,$AM$3/2)</f>
      </c>
    </row>
    <row x14ac:dyDescent="0.25" r="477" customHeight="1" ht="18.75">
      <c r="A477" s="1"/>
      <c r="B477" s="7"/>
      <c r="C477" s="170"/>
      <c r="D477" s="331">
        <v>470</v>
      </c>
      <c r="E477" s="544">
        <f>+DATE(YEAR(E476),MONTH(E476)-1,DAY(E476))</f>
        <v>25569.041666666668</v>
      </c>
      <c r="F477" s="333">
        <f>IF(DATE(YEAR($B$6),MONTH($B$6)+1,DAY(1))=E477,1,IF(MONTH(E477)=1,F478*(1+$F$5),F478))</f>
      </c>
      <c r="G477" s="333">
        <f>IF('Simulador - 1º Pilar'!$E$99="Sí",IF('Aportaciones PPE'!$B$13&lt;'Aportaciones PPE'!E477,0,F477*$B$8/12),F477*$B$8/12)</f>
      </c>
      <c r="H477" s="333">
        <f>$H$5*G477</f>
      </c>
      <c r="I477" s="333">
        <f>$I$5*G477</f>
      </c>
      <c r="J477" s="333">
        <f>+I477</f>
      </c>
      <c r="K477" s="333">
        <f>(1+$O$5)^(D477/12)*(H477+IF(AND(F477=1,F478=0),$S$4,0))</f>
      </c>
      <c r="L477" s="333">
        <f>(1+$O$5)^(D477/12)*(I477+IF(AND(F477=1,F478=0),0))</f>
      </c>
      <c r="M477" s="333">
        <f>+L477</f>
      </c>
      <c r="N477" s="333">
        <f>L477+K477+M477</f>
      </c>
      <c r="O477" s="170"/>
      <c r="P477" s="7"/>
      <c r="Q477" s="1"/>
      <c r="R477" s="331">
        <f>D477</f>
      </c>
      <c r="S477" s="169"/>
      <c r="T477" s="1"/>
      <c r="U477" s="217"/>
      <c r="V477" s="331">
        <f>+IF(V476=11,12,IF(V476=12,1,V476+1))</f>
      </c>
      <c r="W477" s="331">
        <f>+W476+IF(V476=12,1,0)</f>
      </c>
      <c r="X477" s="555">
        <f>+DATE(W477,V477,1)</f>
        <v>25569.041666666668</v>
      </c>
      <c r="Y477" s="333">
        <f>+_xlfn.IFNA(AN477+AS477+AX477,0)</f>
      </c>
      <c r="Z477" s="333">
        <f>+_xlfn.IFNA(AO477+AT477+AY477,0)</f>
      </c>
      <c r="AA477" s="333">
        <f>Y477*(1+$O$5)^(($B$7-X477)/365.25)</f>
      </c>
      <c r="AB477" s="333">
        <f>Z477*(1+$O$5)^(($B$7-X477)/365.25)</f>
      </c>
      <c r="AC477" s="1"/>
      <c r="AD477" s="1"/>
      <c r="AE477" s="1"/>
      <c r="AF477" s="111">
        <f>+MONTH(E477)&amp;YEAR(E477)</f>
      </c>
      <c r="AG477" s="217">
        <f>+I477</f>
      </c>
      <c r="AH477" s="217">
        <f>+J477</f>
      </c>
      <c r="AI477" s="217">
        <f>+H477</f>
      </c>
      <c r="AJ477" s="111">
        <f>+V477&amp;W477</f>
      </c>
      <c r="AK477" s="217">
        <f>+_xlfn.IFNA(VLOOKUP(AJ477,$AF$7:$AG$1066,2,0),0)</f>
      </c>
      <c r="AL477" s="217">
        <f>+IF(W477&gt;W476,AK477,AL476+AK477)</f>
      </c>
      <c r="AM477" s="217">
        <f>IF(W477&gt;W476,IF(AL477&gt;=$AZ$8,$AZ$8,AL477),IF(OR(AM476=$AZ$8,AM476=0),0,IF(AL477&gt;=$AZ$8,$AZ$8,AL477)))</f>
      </c>
      <c r="AN477" s="748">
        <f>+IF(OR(AM477&gt;AZ476,AM477=0),0,IF(AM477=AL477,AK477,$AZ$7-AL476))</f>
      </c>
      <c r="AO477" s="748">
        <f>+AK477-AN477</f>
      </c>
      <c r="AP477" s="217">
        <f>+_xlfn.IFNA(VLOOKUP(AJ477,$AF$7:$AI$1066,3,0),0)</f>
      </c>
      <c r="AQ477" s="217">
        <f>+IF(W477&gt;W476,AP477,AQ476+AP477)</f>
      </c>
      <c r="AR477" s="217">
        <f>+MAX($AM$2-SUMIF($W$7:$W$1066,W477,$AN$7:$AN$1066),0)</f>
      </c>
      <c r="AS477" s="748">
        <f>+MAX(IF(AQ477&gt;AR477,AR477-AQ476,AP477),0)</f>
      </c>
      <c r="AT477" s="748">
        <f>+AP477-AS477</f>
      </c>
      <c r="AU477" s="217">
        <f>+_xlfn.IFNA(VLOOKUP(AJ477,$AF$7:$AI$1066,4,0),0)</f>
      </c>
      <c r="AV477" s="217">
        <f>+IF(W477&gt;W476,AU477,AV476+AU477)</f>
      </c>
      <c r="AW477" s="217">
        <f>+MAX($AM$2-SUMIF($W$7:$W$1066,W477,$AN$7:$AN$1066)-SUMIF($W$7:$W$1066,W477,$AS$7:$AS$1066),0)</f>
      </c>
      <c r="AX477" s="748">
        <f>+MAX(IF(AV477&gt;AW477,AW477-AV476,AU477),0)</f>
      </c>
      <c r="AY477" s="748">
        <f>+AU477-AX477</f>
      </c>
      <c r="AZ477" s="331">
        <f>+$AM$1+IF($AP$1&gt;$AP$2,$AM$3/2)</f>
      </c>
    </row>
    <row x14ac:dyDescent="0.25" r="478" customHeight="1" ht="18.75">
      <c r="A478" s="1"/>
      <c r="B478" s="7"/>
      <c r="C478" s="170"/>
      <c r="D478" s="331">
        <v>471</v>
      </c>
      <c r="E478" s="544">
        <f>+DATE(YEAR(E477),MONTH(E477)-1,DAY(E477))</f>
        <v>25569.041666666668</v>
      </c>
      <c r="F478" s="333">
        <f>IF(DATE(YEAR($B$6),MONTH($B$6)+1,DAY(1))=E478,1,IF(MONTH(E478)=1,F479*(1+$F$5),F479))</f>
      </c>
      <c r="G478" s="333">
        <f>IF('Simulador - 1º Pilar'!$E$99="Sí",IF('Aportaciones PPE'!$B$13&lt;'Aportaciones PPE'!E478,0,F478*$B$8/12),F478*$B$8/12)</f>
      </c>
      <c r="H478" s="333">
        <f>$H$5*G478</f>
      </c>
      <c r="I478" s="333">
        <f>$I$5*G478</f>
      </c>
      <c r="J478" s="333">
        <f>+I478</f>
      </c>
      <c r="K478" s="333">
        <f>(1+$O$5)^(D478/12)*(H478+IF(AND(F478=1,F479=0),$S$4,0))</f>
      </c>
      <c r="L478" s="333">
        <f>(1+$O$5)^(D478/12)*(I478+IF(AND(F478=1,F479=0),0))</f>
      </c>
      <c r="M478" s="333">
        <f>+L478</f>
      </c>
      <c r="N478" s="333">
        <f>L478+K478+M478</f>
      </c>
      <c r="O478" s="170"/>
      <c r="P478" s="7"/>
      <c r="Q478" s="1"/>
      <c r="R478" s="331">
        <f>D478</f>
      </c>
      <c r="S478" s="169"/>
      <c r="T478" s="1"/>
      <c r="U478" s="217"/>
      <c r="V478" s="331">
        <f>+IF(V477=11,12,IF(V477=12,1,V477+1))</f>
      </c>
      <c r="W478" s="331">
        <f>+W477+IF(V477=12,1,0)</f>
      </c>
      <c r="X478" s="555">
        <f>+DATE(W478,V478,1)</f>
        <v>25569.041666666668</v>
      </c>
      <c r="Y478" s="333">
        <f>+_xlfn.IFNA(AN478+AS478+AX478,0)</f>
      </c>
      <c r="Z478" s="333">
        <f>+_xlfn.IFNA(AO478+AT478+AY478,0)</f>
      </c>
      <c r="AA478" s="333">
        <f>Y478*(1+$O$5)^(($B$7-X478)/365.25)</f>
      </c>
      <c r="AB478" s="333">
        <f>Z478*(1+$O$5)^(($B$7-X478)/365.25)</f>
      </c>
      <c r="AC478" s="1"/>
      <c r="AD478" s="1"/>
      <c r="AE478" s="1"/>
      <c r="AF478" s="111">
        <f>+MONTH(E478)&amp;YEAR(E478)</f>
      </c>
      <c r="AG478" s="217">
        <f>+I478</f>
      </c>
      <c r="AH478" s="217">
        <f>+J478</f>
      </c>
      <c r="AI478" s="217">
        <f>+H478</f>
      </c>
      <c r="AJ478" s="111">
        <f>+V478&amp;W478</f>
      </c>
      <c r="AK478" s="217">
        <f>+_xlfn.IFNA(VLOOKUP(AJ478,$AF$7:$AG$1066,2,0),0)</f>
      </c>
      <c r="AL478" s="217">
        <f>+IF(W478&gt;W477,AK478,AL477+AK478)</f>
      </c>
      <c r="AM478" s="217">
        <f>IF(W478&gt;W477,IF(AL478&gt;=$AZ$8,$AZ$8,AL478),IF(OR(AM477=$AZ$8,AM477=0),0,IF(AL478&gt;=$AZ$8,$AZ$8,AL478)))</f>
      </c>
      <c r="AN478" s="748">
        <f>+IF(OR(AM478&gt;AZ477,AM478=0),0,IF(AM478=AL478,AK478,$AZ$7-AL477))</f>
      </c>
      <c r="AO478" s="748">
        <f>+AK478-AN478</f>
      </c>
      <c r="AP478" s="217">
        <f>+_xlfn.IFNA(VLOOKUP(AJ478,$AF$7:$AI$1066,3,0),0)</f>
      </c>
      <c r="AQ478" s="217">
        <f>+IF(W478&gt;W477,AP478,AQ477+AP478)</f>
      </c>
      <c r="AR478" s="217">
        <f>+MAX($AM$2-SUMIF($W$7:$W$1066,W478,$AN$7:$AN$1066),0)</f>
      </c>
      <c r="AS478" s="748">
        <f>+MAX(IF(AQ478&gt;AR478,AR478-AQ477,AP478),0)</f>
      </c>
      <c r="AT478" s="748">
        <f>+AP478-AS478</f>
      </c>
      <c r="AU478" s="217">
        <f>+_xlfn.IFNA(VLOOKUP(AJ478,$AF$7:$AI$1066,4,0),0)</f>
      </c>
      <c r="AV478" s="217">
        <f>+IF(W478&gt;W477,AU478,AV477+AU478)</f>
      </c>
      <c r="AW478" s="217">
        <f>+MAX($AM$2-SUMIF($W$7:$W$1066,W478,$AN$7:$AN$1066)-SUMIF($W$7:$W$1066,W478,$AS$7:$AS$1066),0)</f>
      </c>
      <c r="AX478" s="748">
        <f>+MAX(IF(AV478&gt;AW478,AW478-AV477,AU478),0)</f>
      </c>
      <c r="AY478" s="748">
        <f>+AU478-AX478</f>
      </c>
      <c r="AZ478" s="331">
        <f>+$AM$1+IF($AP$1&gt;$AP$2,$AM$3/2)</f>
      </c>
    </row>
    <row x14ac:dyDescent="0.25" r="479" customHeight="1" ht="18.75">
      <c r="A479" s="1"/>
      <c r="B479" s="7"/>
      <c r="C479" s="170"/>
      <c r="D479" s="331">
        <v>472</v>
      </c>
      <c r="E479" s="544">
        <f>+DATE(YEAR(E478),MONTH(E478)-1,DAY(E478))</f>
        <v>25569.041666666668</v>
      </c>
      <c r="F479" s="333">
        <f>IF(DATE(YEAR($B$6),MONTH($B$6)+1,DAY(1))=E479,1,IF(MONTH(E479)=1,F480*(1+$F$5),F480))</f>
      </c>
      <c r="G479" s="333">
        <f>IF('Simulador - 1º Pilar'!$E$99="Sí",IF('Aportaciones PPE'!$B$13&lt;'Aportaciones PPE'!E479,0,F479*$B$8/12),F479*$B$8/12)</f>
      </c>
      <c r="H479" s="333">
        <f>$H$5*G479</f>
      </c>
      <c r="I479" s="333">
        <f>$I$5*G479</f>
      </c>
      <c r="J479" s="333">
        <f>+I479</f>
      </c>
      <c r="K479" s="333">
        <f>(1+$O$5)^(D479/12)*(H479+IF(AND(F479=1,F480=0),$S$4,0))</f>
      </c>
      <c r="L479" s="333">
        <f>(1+$O$5)^(D479/12)*(I479+IF(AND(F479=1,F480=0),0))</f>
      </c>
      <c r="M479" s="333">
        <f>+L479</f>
      </c>
      <c r="N479" s="333">
        <f>L479+K479+M479</f>
      </c>
      <c r="O479" s="170"/>
      <c r="P479" s="7"/>
      <c r="Q479" s="1"/>
      <c r="R479" s="331">
        <f>D479</f>
      </c>
      <c r="S479" s="169"/>
      <c r="T479" s="1"/>
      <c r="U479" s="217"/>
      <c r="V479" s="331">
        <f>+IF(V478=11,12,IF(V478=12,1,V478+1))</f>
      </c>
      <c r="W479" s="331">
        <f>+W478+IF(V478=12,1,0)</f>
      </c>
      <c r="X479" s="555">
        <f>+DATE(W479,V479,1)</f>
        <v>25569.041666666668</v>
      </c>
      <c r="Y479" s="333">
        <f>+_xlfn.IFNA(AN479+AS479+AX479,0)</f>
      </c>
      <c r="Z479" s="333">
        <f>+_xlfn.IFNA(AO479+AT479+AY479,0)</f>
      </c>
      <c r="AA479" s="333">
        <f>Y479*(1+$O$5)^(($B$7-X479)/365.25)</f>
      </c>
      <c r="AB479" s="333">
        <f>Z479*(1+$O$5)^(($B$7-X479)/365.25)</f>
      </c>
      <c r="AC479" s="1"/>
      <c r="AD479" s="1"/>
      <c r="AE479" s="1"/>
      <c r="AF479" s="111">
        <f>+MONTH(E479)&amp;YEAR(E479)</f>
      </c>
      <c r="AG479" s="217">
        <f>+I479</f>
      </c>
      <c r="AH479" s="217">
        <f>+J479</f>
      </c>
      <c r="AI479" s="217">
        <f>+H479</f>
      </c>
      <c r="AJ479" s="111">
        <f>+V479&amp;W479</f>
      </c>
      <c r="AK479" s="217">
        <f>+_xlfn.IFNA(VLOOKUP(AJ479,$AF$7:$AG$1066,2,0),0)</f>
      </c>
      <c r="AL479" s="217">
        <f>+IF(W479&gt;W478,AK479,AL478+AK479)</f>
      </c>
      <c r="AM479" s="217">
        <f>IF(W479&gt;W478,IF(AL479&gt;=$AZ$8,$AZ$8,AL479),IF(OR(AM478=$AZ$8,AM478=0),0,IF(AL479&gt;=$AZ$8,$AZ$8,AL479)))</f>
      </c>
      <c r="AN479" s="748">
        <f>+IF(OR(AM479&gt;AZ478,AM479=0),0,IF(AM479=AL479,AK479,$AZ$7-AL478))</f>
      </c>
      <c r="AO479" s="748">
        <f>+AK479-AN479</f>
      </c>
      <c r="AP479" s="217">
        <f>+_xlfn.IFNA(VLOOKUP(AJ479,$AF$7:$AI$1066,3,0),0)</f>
      </c>
      <c r="AQ479" s="217">
        <f>+IF(W479&gt;W478,AP479,AQ478+AP479)</f>
      </c>
      <c r="AR479" s="217">
        <f>+MAX($AM$2-SUMIF($W$7:$W$1066,W479,$AN$7:$AN$1066),0)</f>
      </c>
      <c r="AS479" s="748">
        <f>+MAX(IF(AQ479&gt;AR479,AR479-AQ478,AP479),0)</f>
      </c>
      <c r="AT479" s="748">
        <f>+AP479-AS479</f>
      </c>
      <c r="AU479" s="217">
        <f>+_xlfn.IFNA(VLOOKUP(AJ479,$AF$7:$AI$1066,4,0),0)</f>
      </c>
      <c r="AV479" s="217">
        <f>+IF(W479&gt;W478,AU479,AV478+AU479)</f>
      </c>
      <c r="AW479" s="217">
        <f>+MAX($AM$2-SUMIF($W$7:$W$1066,W479,$AN$7:$AN$1066)-SUMIF($W$7:$W$1066,W479,$AS$7:$AS$1066),0)</f>
      </c>
      <c r="AX479" s="748">
        <f>+MAX(IF(AV479&gt;AW479,AW479-AV478,AU479),0)</f>
      </c>
      <c r="AY479" s="748">
        <f>+AU479-AX479</f>
      </c>
      <c r="AZ479" s="331">
        <f>+$AM$1+IF($AP$1&gt;$AP$2,$AM$3/2)</f>
      </c>
    </row>
    <row x14ac:dyDescent="0.25" r="480" customHeight="1" ht="18.75">
      <c r="A480" s="1"/>
      <c r="B480" s="7"/>
      <c r="C480" s="170"/>
      <c r="D480" s="331">
        <v>473</v>
      </c>
      <c r="E480" s="544">
        <f>+DATE(YEAR(E479),MONTH(E479)-1,DAY(E479))</f>
        <v>25569.041666666668</v>
      </c>
      <c r="F480" s="333">
        <f>IF(DATE(YEAR($B$6),MONTH($B$6)+1,DAY(1))=E480,1,IF(MONTH(E480)=1,F481*(1+$F$5),F481))</f>
      </c>
      <c r="G480" s="333">
        <f>IF('Simulador - 1º Pilar'!$E$99="Sí",IF('Aportaciones PPE'!$B$13&lt;'Aportaciones PPE'!E480,0,F480*$B$8/12),F480*$B$8/12)</f>
      </c>
      <c r="H480" s="333">
        <f>$H$5*G480</f>
      </c>
      <c r="I480" s="333">
        <f>$I$5*G480</f>
      </c>
      <c r="J480" s="333">
        <f>+I480</f>
      </c>
      <c r="K480" s="333">
        <f>(1+$O$5)^(D480/12)*(H480+IF(AND(F480=1,F481=0),$S$4,0))</f>
      </c>
      <c r="L480" s="333">
        <f>(1+$O$5)^(D480/12)*(I480+IF(AND(F480=1,F481=0),0))</f>
      </c>
      <c r="M480" s="333">
        <f>+L480</f>
      </c>
      <c r="N480" s="333">
        <f>L480+K480+M480</f>
      </c>
      <c r="O480" s="170"/>
      <c r="P480" s="7"/>
      <c r="Q480" s="1"/>
      <c r="R480" s="331">
        <f>D480</f>
      </c>
      <c r="S480" s="169"/>
      <c r="T480" s="1"/>
      <c r="U480" s="217"/>
      <c r="V480" s="331">
        <f>+IF(V479=11,12,IF(V479=12,1,V479+1))</f>
      </c>
      <c r="W480" s="331">
        <f>+W479+IF(V479=12,1,0)</f>
      </c>
      <c r="X480" s="555">
        <f>+DATE(W480,V480,1)</f>
        <v>25569.041666666668</v>
      </c>
      <c r="Y480" s="333">
        <f>+_xlfn.IFNA(AN480+AS480+AX480,0)</f>
      </c>
      <c r="Z480" s="333">
        <f>+_xlfn.IFNA(AO480+AT480+AY480,0)</f>
      </c>
      <c r="AA480" s="333">
        <f>Y480*(1+$O$5)^(($B$7-X480)/365.25)</f>
      </c>
      <c r="AB480" s="333">
        <f>Z480*(1+$O$5)^(($B$7-X480)/365.25)</f>
      </c>
      <c r="AC480" s="1"/>
      <c r="AD480" s="1"/>
      <c r="AE480" s="1"/>
      <c r="AF480" s="111">
        <f>+MONTH(E480)&amp;YEAR(E480)</f>
      </c>
      <c r="AG480" s="217">
        <f>+I480</f>
      </c>
      <c r="AH480" s="217">
        <f>+J480</f>
      </c>
      <c r="AI480" s="217">
        <f>+H480</f>
      </c>
      <c r="AJ480" s="111">
        <f>+V480&amp;W480</f>
      </c>
      <c r="AK480" s="217">
        <f>+_xlfn.IFNA(VLOOKUP(AJ480,$AF$7:$AG$1066,2,0),0)</f>
      </c>
      <c r="AL480" s="217">
        <f>+IF(W480&gt;W479,AK480,AL479+AK480)</f>
      </c>
      <c r="AM480" s="217">
        <f>IF(W480&gt;W479,IF(AL480&gt;=$AZ$8,$AZ$8,AL480),IF(OR(AM479=$AZ$8,AM479=0),0,IF(AL480&gt;=$AZ$8,$AZ$8,AL480)))</f>
      </c>
      <c r="AN480" s="748">
        <f>+IF(OR(AM480&gt;AZ479,AM480=0),0,IF(AM480=AL480,AK480,$AZ$7-AL479))</f>
      </c>
      <c r="AO480" s="748">
        <f>+AK480-AN480</f>
      </c>
      <c r="AP480" s="217">
        <f>+_xlfn.IFNA(VLOOKUP(AJ480,$AF$7:$AI$1066,3,0),0)</f>
      </c>
      <c r="AQ480" s="217">
        <f>+IF(W480&gt;W479,AP480,AQ479+AP480)</f>
      </c>
      <c r="AR480" s="217">
        <f>+MAX($AM$2-SUMIF($W$7:$W$1066,W480,$AN$7:$AN$1066),0)</f>
      </c>
      <c r="AS480" s="748">
        <f>+MAX(IF(AQ480&gt;AR480,AR480-AQ479,AP480),0)</f>
      </c>
      <c r="AT480" s="748">
        <f>+AP480-AS480</f>
      </c>
      <c r="AU480" s="217">
        <f>+_xlfn.IFNA(VLOOKUP(AJ480,$AF$7:$AI$1066,4,0),0)</f>
      </c>
      <c r="AV480" s="217">
        <f>+IF(W480&gt;W479,AU480,AV479+AU480)</f>
      </c>
      <c r="AW480" s="217">
        <f>+MAX($AM$2-SUMIF($W$7:$W$1066,W480,$AN$7:$AN$1066)-SUMIF($W$7:$W$1066,W480,$AS$7:$AS$1066),0)</f>
      </c>
      <c r="AX480" s="748">
        <f>+MAX(IF(AV480&gt;AW480,AW480-AV479,AU480),0)</f>
      </c>
      <c r="AY480" s="748">
        <f>+AU480-AX480</f>
      </c>
      <c r="AZ480" s="331">
        <f>+$AM$1+IF($AP$1&gt;$AP$2,$AM$3/2)</f>
      </c>
    </row>
    <row x14ac:dyDescent="0.25" r="481" customHeight="1" ht="18.75">
      <c r="A481" s="1"/>
      <c r="B481" s="7"/>
      <c r="C481" s="170"/>
      <c r="D481" s="331">
        <v>474</v>
      </c>
      <c r="E481" s="544">
        <f>+DATE(YEAR(E480),MONTH(E480)-1,DAY(E480))</f>
        <v>25569.041666666668</v>
      </c>
      <c r="F481" s="333">
        <f>IF(DATE(YEAR($B$6),MONTH($B$6)+1,DAY(1))=E481,1,IF(MONTH(E481)=1,F482*(1+$F$5),F482))</f>
      </c>
      <c r="G481" s="333">
        <f>IF('Simulador - 1º Pilar'!$E$99="Sí",IF('Aportaciones PPE'!$B$13&lt;'Aportaciones PPE'!E481,0,F481*$B$8/12),F481*$B$8/12)</f>
      </c>
      <c r="H481" s="333">
        <f>$H$5*G481</f>
      </c>
      <c r="I481" s="333">
        <f>$I$5*G481</f>
      </c>
      <c r="J481" s="333">
        <f>+I481</f>
      </c>
      <c r="K481" s="333">
        <f>(1+$O$5)^(D481/12)*(H481+IF(AND(F481=1,F482=0),$S$4,0))</f>
      </c>
      <c r="L481" s="333">
        <f>(1+$O$5)^(D481/12)*(I481+IF(AND(F481=1,F482=0),0))</f>
      </c>
      <c r="M481" s="333">
        <f>+L481</f>
      </c>
      <c r="N481" s="333">
        <f>L481+K481+M481</f>
      </c>
      <c r="O481" s="170"/>
      <c r="P481" s="7"/>
      <c r="Q481" s="1"/>
      <c r="R481" s="331">
        <f>D481</f>
      </c>
      <c r="S481" s="169"/>
      <c r="T481" s="1"/>
      <c r="U481" s="217"/>
      <c r="V481" s="331">
        <f>+IF(V480=11,12,IF(V480=12,1,V480+1))</f>
      </c>
      <c r="W481" s="331">
        <f>+W480+IF(V480=12,1,0)</f>
      </c>
      <c r="X481" s="555">
        <f>+DATE(W481,V481,1)</f>
        <v>25569.041666666668</v>
      </c>
      <c r="Y481" s="333">
        <f>+_xlfn.IFNA(AN481+AS481+AX481,0)</f>
      </c>
      <c r="Z481" s="333">
        <f>+_xlfn.IFNA(AO481+AT481+AY481,0)</f>
      </c>
      <c r="AA481" s="333">
        <f>Y481*(1+$O$5)^(($B$7-X481)/365.25)</f>
      </c>
      <c r="AB481" s="333">
        <f>Z481*(1+$O$5)^(($B$7-X481)/365.25)</f>
      </c>
      <c r="AC481" s="1"/>
      <c r="AD481" s="1"/>
      <c r="AE481" s="1"/>
      <c r="AF481" s="111">
        <f>+MONTH(E481)&amp;YEAR(E481)</f>
      </c>
      <c r="AG481" s="217">
        <f>+I481</f>
      </c>
      <c r="AH481" s="217">
        <f>+J481</f>
      </c>
      <c r="AI481" s="217">
        <f>+H481</f>
      </c>
      <c r="AJ481" s="111">
        <f>+V481&amp;W481</f>
      </c>
      <c r="AK481" s="217">
        <f>+_xlfn.IFNA(VLOOKUP(AJ481,$AF$7:$AG$1066,2,0),0)</f>
      </c>
      <c r="AL481" s="217">
        <f>+IF(W481&gt;W480,AK481,AL480+AK481)</f>
      </c>
      <c r="AM481" s="217">
        <f>IF(W481&gt;W480,IF(AL481&gt;=$AZ$8,$AZ$8,AL481),IF(OR(AM480=$AZ$8,AM480=0),0,IF(AL481&gt;=$AZ$8,$AZ$8,AL481)))</f>
      </c>
      <c r="AN481" s="748">
        <f>+IF(OR(AM481&gt;AZ480,AM481=0),0,IF(AM481=AL481,AK481,$AZ$7-AL480))</f>
      </c>
      <c r="AO481" s="748">
        <f>+AK481-AN481</f>
      </c>
      <c r="AP481" s="217">
        <f>+_xlfn.IFNA(VLOOKUP(AJ481,$AF$7:$AI$1066,3,0),0)</f>
      </c>
      <c r="AQ481" s="217">
        <f>+IF(W481&gt;W480,AP481,AQ480+AP481)</f>
      </c>
      <c r="AR481" s="217">
        <f>+MAX($AM$2-SUMIF($W$7:$W$1066,W481,$AN$7:$AN$1066),0)</f>
      </c>
      <c r="AS481" s="748">
        <f>+MAX(IF(AQ481&gt;AR481,AR481-AQ480,AP481),0)</f>
      </c>
      <c r="AT481" s="748">
        <f>+AP481-AS481</f>
      </c>
      <c r="AU481" s="217">
        <f>+_xlfn.IFNA(VLOOKUP(AJ481,$AF$7:$AI$1066,4,0),0)</f>
      </c>
      <c r="AV481" s="217">
        <f>+IF(W481&gt;W480,AU481,AV480+AU481)</f>
      </c>
      <c r="AW481" s="217">
        <f>+MAX($AM$2-SUMIF($W$7:$W$1066,W481,$AN$7:$AN$1066)-SUMIF($W$7:$W$1066,W481,$AS$7:$AS$1066),0)</f>
      </c>
      <c r="AX481" s="748">
        <f>+MAX(IF(AV481&gt;AW481,AW481-AV480,AU481),0)</f>
      </c>
      <c r="AY481" s="748">
        <f>+AU481-AX481</f>
      </c>
      <c r="AZ481" s="331">
        <f>+$AM$1+IF($AP$1&gt;$AP$2,$AM$3/2)</f>
      </c>
    </row>
    <row x14ac:dyDescent="0.25" r="482" customHeight="1" ht="18.75">
      <c r="A482" s="1"/>
      <c r="B482" s="7"/>
      <c r="C482" s="170"/>
      <c r="D482" s="331">
        <v>475</v>
      </c>
      <c r="E482" s="544">
        <f>+DATE(YEAR(E481),MONTH(E481)-1,DAY(E481))</f>
        <v>25569.041666666668</v>
      </c>
      <c r="F482" s="333">
        <f>IF(DATE(YEAR($B$6),MONTH($B$6)+1,DAY(1))=E482,1,IF(MONTH(E482)=1,F483*(1+$F$5),F483))</f>
      </c>
      <c r="G482" s="333">
        <f>IF('Simulador - 1º Pilar'!$E$99="Sí",IF('Aportaciones PPE'!$B$13&lt;'Aportaciones PPE'!E482,0,F482*$B$8/12),F482*$B$8/12)</f>
      </c>
      <c r="H482" s="333">
        <f>$H$5*G482</f>
      </c>
      <c r="I482" s="333">
        <f>$I$5*G482</f>
      </c>
      <c r="J482" s="333">
        <f>+I482</f>
      </c>
      <c r="K482" s="333">
        <f>(1+$O$5)^(D482/12)*(H482+IF(AND(F482=1,F483=0),$S$4,0))</f>
      </c>
      <c r="L482" s="333">
        <f>(1+$O$5)^(D482/12)*(I482+IF(AND(F482=1,F483=0),0))</f>
      </c>
      <c r="M482" s="333">
        <f>+L482</f>
      </c>
      <c r="N482" s="333">
        <f>L482+K482+M482</f>
      </c>
      <c r="O482" s="170"/>
      <c r="P482" s="7"/>
      <c r="Q482" s="1"/>
      <c r="R482" s="331">
        <f>D482</f>
      </c>
      <c r="S482" s="169"/>
      <c r="T482" s="1"/>
      <c r="U482" s="217"/>
      <c r="V482" s="331">
        <f>+IF(V481=11,12,IF(V481=12,1,V481+1))</f>
      </c>
      <c r="W482" s="331">
        <f>+W481+IF(V481=12,1,0)</f>
      </c>
      <c r="X482" s="555">
        <f>+DATE(W482,V482,1)</f>
        <v>25569.041666666668</v>
      </c>
      <c r="Y482" s="333">
        <f>+_xlfn.IFNA(AN482+AS482+AX482,0)</f>
      </c>
      <c r="Z482" s="333">
        <f>+_xlfn.IFNA(AO482+AT482+AY482,0)</f>
      </c>
      <c r="AA482" s="333">
        <f>Y482*(1+$O$5)^(($B$7-X482)/365.25)</f>
      </c>
      <c r="AB482" s="333">
        <f>Z482*(1+$O$5)^(($B$7-X482)/365.25)</f>
      </c>
      <c r="AC482" s="1"/>
      <c r="AD482" s="1"/>
      <c r="AE482" s="1"/>
      <c r="AF482" s="111">
        <f>+MONTH(E482)&amp;YEAR(E482)</f>
      </c>
      <c r="AG482" s="217">
        <f>+I482</f>
      </c>
      <c r="AH482" s="217">
        <f>+J482</f>
      </c>
      <c r="AI482" s="217">
        <f>+H482</f>
      </c>
      <c r="AJ482" s="111">
        <f>+V482&amp;W482</f>
      </c>
      <c r="AK482" s="217">
        <f>+_xlfn.IFNA(VLOOKUP(AJ482,$AF$7:$AG$1066,2,0),0)</f>
      </c>
      <c r="AL482" s="217">
        <f>+IF(W482&gt;W481,AK482,AL481+AK482)</f>
      </c>
      <c r="AM482" s="217">
        <f>IF(W482&gt;W481,IF(AL482&gt;=$AZ$8,$AZ$8,AL482),IF(OR(AM481=$AZ$8,AM481=0),0,IF(AL482&gt;=$AZ$8,$AZ$8,AL482)))</f>
      </c>
      <c r="AN482" s="748">
        <f>+IF(OR(AM482&gt;AZ481,AM482=0),0,IF(AM482=AL482,AK482,$AZ$7-AL481))</f>
      </c>
      <c r="AO482" s="748">
        <f>+AK482-AN482</f>
      </c>
      <c r="AP482" s="217">
        <f>+_xlfn.IFNA(VLOOKUP(AJ482,$AF$7:$AI$1066,3,0),0)</f>
      </c>
      <c r="AQ482" s="217">
        <f>+IF(W482&gt;W481,AP482,AQ481+AP482)</f>
      </c>
      <c r="AR482" s="217">
        <f>+MAX($AM$2-SUMIF($W$7:$W$1066,W482,$AN$7:$AN$1066),0)</f>
      </c>
      <c r="AS482" s="748">
        <f>+MAX(IF(AQ482&gt;AR482,AR482-AQ481,AP482),0)</f>
      </c>
      <c r="AT482" s="748">
        <f>+AP482-AS482</f>
      </c>
      <c r="AU482" s="217">
        <f>+_xlfn.IFNA(VLOOKUP(AJ482,$AF$7:$AI$1066,4,0),0)</f>
      </c>
      <c r="AV482" s="217">
        <f>+IF(W482&gt;W481,AU482,AV481+AU482)</f>
      </c>
      <c r="AW482" s="217">
        <f>+MAX($AM$2-SUMIF($W$7:$W$1066,W482,$AN$7:$AN$1066)-SUMIF($W$7:$W$1066,W482,$AS$7:$AS$1066),0)</f>
      </c>
      <c r="AX482" s="748">
        <f>+MAX(IF(AV482&gt;AW482,AW482-AV481,AU482),0)</f>
      </c>
      <c r="AY482" s="748">
        <f>+AU482-AX482</f>
      </c>
      <c r="AZ482" s="331">
        <f>+$AM$1+IF($AP$1&gt;$AP$2,$AM$3/2)</f>
      </c>
    </row>
    <row x14ac:dyDescent="0.25" r="483" customHeight="1" ht="18.75">
      <c r="A483" s="1"/>
      <c r="B483" s="7"/>
      <c r="C483" s="170"/>
      <c r="D483" s="331">
        <v>476</v>
      </c>
      <c r="E483" s="544">
        <f>+DATE(YEAR(E482),MONTH(E482)-1,DAY(E482))</f>
        <v>25569.041666666668</v>
      </c>
      <c r="F483" s="333">
        <f>IF(DATE(YEAR($B$6),MONTH($B$6)+1,DAY(1))=E483,1,IF(MONTH(E483)=1,F484*(1+$F$5),F484))</f>
      </c>
      <c r="G483" s="333">
        <f>IF('Simulador - 1º Pilar'!$E$99="Sí",IF('Aportaciones PPE'!$B$13&lt;'Aportaciones PPE'!E483,0,F483*$B$8/12),F483*$B$8/12)</f>
      </c>
      <c r="H483" s="333">
        <f>$H$5*G483</f>
      </c>
      <c r="I483" s="333">
        <f>$I$5*G483</f>
      </c>
      <c r="J483" s="333">
        <f>+I483</f>
      </c>
      <c r="K483" s="333">
        <f>(1+$O$5)^(D483/12)*(H483+IF(AND(F483=1,F484=0),$S$4,0))</f>
      </c>
      <c r="L483" s="333">
        <f>(1+$O$5)^(D483/12)*(I483+IF(AND(F483=1,F484=0),0))</f>
      </c>
      <c r="M483" s="333">
        <f>+L483</f>
      </c>
      <c r="N483" s="333">
        <f>L483+K483+M483</f>
      </c>
      <c r="O483" s="170"/>
      <c r="P483" s="7"/>
      <c r="Q483" s="1"/>
      <c r="R483" s="331">
        <f>D483</f>
      </c>
      <c r="S483" s="169"/>
      <c r="T483" s="1"/>
      <c r="U483" s="217"/>
      <c r="V483" s="331">
        <f>+IF(V482=11,12,IF(V482=12,1,V482+1))</f>
      </c>
      <c r="W483" s="331">
        <f>+W482+IF(V482=12,1,0)</f>
      </c>
      <c r="X483" s="555">
        <f>+DATE(W483,V483,1)</f>
        <v>25569.041666666668</v>
      </c>
      <c r="Y483" s="333">
        <f>+_xlfn.IFNA(AN483+AS483+AX483,0)</f>
      </c>
      <c r="Z483" s="333">
        <f>+_xlfn.IFNA(AO483+AT483+AY483,0)</f>
      </c>
      <c r="AA483" s="333">
        <f>Y483*(1+$O$5)^(($B$7-X483)/365.25)</f>
      </c>
      <c r="AB483" s="333">
        <f>Z483*(1+$O$5)^(($B$7-X483)/365.25)</f>
      </c>
      <c r="AC483" s="1"/>
      <c r="AD483" s="1"/>
      <c r="AE483" s="1"/>
      <c r="AF483" s="111">
        <f>+MONTH(E483)&amp;YEAR(E483)</f>
      </c>
      <c r="AG483" s="217">
        <f>+I483</f>
      </c>
      <c r="AH483" s="217">
        <f>+J483</f>
      </c>
      <c r="AI483" s="217">
        <f>+H483</f>
      </c>
      <c r="AJ483" s="111">
        <f>+V483&amp;W483</f>
      </c>
      <c r="AK483" s="217">
        <f>+_xlfn.IFNA(VLOOKUP(AJ483,$AF$7:$AG$1066,2,0),0)</f>
      </c>
      <c r="AL483" s="217">
        <f>+IF(W483&gt;W482,AK483,AL482+AK483)</f>
      </c>
      <c r="AM483" s="217">
        <f>IF(W483&gt;W482,IF(AL483&gt;=$AZ$8,$AZ$8,AL483),IF(OR(AM482=$AZ$8,AM482=0),0,IF(AL483&gt;=$AZ$8,$AZ$8,AL483)))</f>
      </c>
      <c r="AN483" s="748">
        <f>+IF(OR(AM483&gt;AZ482,AM483=0),0,IF(AM483=AL483,AK483,$AZ$7-AL482))</f>
      </c>
      <c r="AO483" s="748">
        <f>+AK483-AN483</f>
      </c>
      <c r="AP483" s="217">
        <f>+_xlfn.IFNA(VLOOKUP(AJ483,$AF$7:$AI$1066,3,0),0)</f>
      </c>
      <c r="AQ483" s="217">
        <f>+IF(W483&gt;W482,AP483,AQ482+AP483)</f>
      </c>
      <c r="AR483" s="217">
        <f>+MAX($AM$2-SUMIF($W$7:$W$1066,W483,$AN$7:$AN$1066),0)</f>
      </c>
      <c r="AS483" s="748">
        <f>+MAX(IF(AQ483&gt;AR483,AR483-AQ482,AP483),0)</f>
      </c>
      <c r="AT483" s="748">
        <f>+AP483-AS483</f>
      </c>
      <c r="AU483" s="217">
        <f>+_xlfn.IFNA(VLOOKUP(AJ483,$AF$7:$AI$1066,4,0),0)</f>
      </c>
      <c r="AV483" s="217">
        <f>+IF(W483&gt;W482,AU483,AV482+AU483)</f>
      </c>
      <c r="AW483" s="217">
        <f>+MAX($AM$2-SUMIF($W$7:$W$1066,W483,$AN$7:$AN$1066)-SUMIF($W$7:$W$1066,W483,$AS$7:$AS$1066),0)</f>
      </c>
      <c r="AX483" s="748">
        <f>+MAX(IF(AV483&gt;AW483,AW483-AV482,AU483),0)</f>
      </c>
      <c r="AY483" s="748">
        <f>+AU483-AX483</f>
      </c>
      <c r="AZ483" s="331">
        <f>+$AM$1+IF($AP$1&gt;$AP$2,$AM$3/2)</f>
      </c>
    </row>
    <row x14ac:dyDescent="0.25" r="484" customHeight="1" ht="18.75">
      <c r="A484" s="1"/>
      <c r="B484" s="7"/>
      <c r="C484" s="170"/>
      <c r="D484" s="331">
        <v>477</v>
      </c>
      <c r="E484" s="544">
        <f>+DATE(YEAR(E483),MONTH(E483)-1,DAY(E483))</f>
        <v>25569.041666666668</v>
      </c>
      <c r="F484" s="333">
        <f>IF(DATE(YEAR($B$6),MONTH($B$6)+1,DAY(1))=E484,1,IF(MONTH(E484)=1,F485*(1+$F$5),F485))</f>
      </c>
      <c r="G484" s="333">
        <f>IF('Simulador - 1º Pilar'!$E$99="Sí",IF('Aportaciones PPE'!$B$13&lt;'Aportaciones PPE'!E484,0,F484*$B$8/12),F484*$B$8/12)</f>
      </c>
      <c r="H484" s="333">
        <f>$H$5*G484</f>
      </c>
      <c r="I484" s="333">
        <f>$I$5*G484</f>
      </c>
      <c r="J484" s="333">
        <f>+I484</f>
      </c>
      <c r="K484" s="333">
        <f>(1+$O$5)^(D484/12)*(H484+IF(AND(F484=1,F485=0),$S$4,0))</f>
      </c>
      <c r="L484" s="333">
        <f>(1+$O$5)^(D484/12)*(I484+IF(AND(F484=1,F485=0),0))</f>
      </c>
      <c r="M484" s="333">
        <f>+L484</f>
      </c>
      <c r="N484" s="333">
        <f>L484+K484+M484</f>
      </c>
      <c r="O484" s="170"/>
      <c r="P484" s="7"/>
      <c r="Q484" s="1"/>
      <c r="R484" s="331">
        <f>D484</f>
      </c>
      <c r="S484" s="169"/>
      <c r="T484" s="1"/>
      <c r="U484" s="217"/>
      <c r="V484" s="331">
        <f>+IF(V483=11,12,IF(V483=12,1,V483+1))</f>
      </c>
      <c r="W484" s="331">
        <f>+W483+IF(V483=12,1,0)</f>
      </c>
      <c r="X484" s="555">
        <f>+DATE(W484,V484,1)</f>
        <v>25569.041666666668</v>
      </c>
      <c r="Y484" s="333">
        <f>+_xlfn.IFNA(AN484+AS484+AX484,0)</f>
      </c>
      <c r="Z484" s="333">
        <f>+_xlfn.IFNA(AO484+AT484+AY484,0)</f>
      </c>
      <c r="AA484" s="333">
        <f>Y484*(1+$O$5)^(($B$7-X484)/365.25)</f>
      </c>
      <c r="AB484" s="333">
        <f>Z484*(1+$O$5)^(($B$7-X484)/365.25)</f>
      </c>
      <c r="AC484" s="1"/>
      <c r="AD484" s="1"/>
      <c r="AE484" s="1"/>
      <c r="AF484" s="111">
        <f>+MONTH(E484)&amp;YEAR(E484)</f>
      </c>
      <c r="AG484" s="217">
        <f>+I484</f>
      </c>
      <c r="AH484" s="217">
        <f>+J484</f>
      </c>
      <c r="AI484" s="217">
        <f>+H484</f>
      </c>
      <c r="AJ484" s="111">
        <f>+V484&amp;W484</f>
      </c>
      <c r="AK484" s="217">
        <f>+_xlfn.IFNA(VLOOKUP(AJ484,$AF$7:$AG$1066,2,0),0)</f>
      </c>
      <c r="AL484" s="217">
        <f>+IF(W484&gt;W483,AK484,AL483+AK484)</f>
      </c>
      <c r="AM484" s="217">
        <f>IF(W484&gt;W483,IF(AL484&gt;=$AZ$8,$AZ$8,AL484),IF(OR(AM483=$AZ$8,AM483=0),0,IF(AL484&gt;=$AZ$8,$AZ$8,AL484)))</f>
      </c>
      <c r="AN484" s="748">
        <f>+IF(OR(AM484&gt;AZ483,AM484=0),0,IF(AM484=AL484,AK484,$AZ$7-AL483))</f>
      </c>
      <c r="AO484" s="748">
        <f>+AK484-AN484</f>
      </c>
      <c r="AP484" s="217">
        <f>+_xlfn.IFNA(VLOOKUP(AJ484,$AF$7:$AI$1066,3,0),0)</f>
      </c>
      <c r="AQ484" s="217">
        <f>+IF(W484&gt;W483,AP484,AQ483+AP484)</f>
      </c>
      <c r="AR484" s="217">
        <f>+MAX($AM$2-SUMIF($W$7:$W$1066,W484,$AN$7:$AN$1066),0)</f>
      </c>
      <c r="AS484" s="748">
        <f>+MAX(IF(AQ484&gt;AR484,AR484-AQ483,AP484),0)</f>
      </c>
      <c r="AT484" s="748">
        <f>+AP484-AS484</f>
      </c>
      <c r="AU484" s="217">
        <f>+_xlfn.IFNA(VLOOKUP(AJ484,$AF$7:$AI$1066,4,0),0)</f>
      </c>
      <c r="AV484" s="217">
        <f>+IF(W484&gt;W483,AU484,AV483+AU484)</f>
      </c>
      <c r="AW484" s="217">
        <f>+MAX($AM$2-SUMIF($W$7:$W$1066,W484,$AN$7:$AN$1066)-SUMIF($W$7:$W$1066,W484,$AS$7:$AS$1066),0)</f>
      </c>
      <c r="AX484" s="748">
        <f>+MAX(IF(AV484&gt;AW484,AW484-AV483,AU484),0)</f>
      </c>
      <c r="AY484" s="748">
        <f>+AU484-AX484</f>
      </c>
      <c r="AZ484" s="331">
        <f>+$AM$1+IF($AP$1&gt;$AP$2,$AM$3/2)</f>
      </c>
    </row>
    <row x14ac:dyDescent="0.25" r="485" customHeight="1" ht="18.75">
      <c r="A485" s="1"/>
      <c r="B485" s="7"/>
      <c r="C485" s="170"/>
      <c r="D485" s="331">
        <v>478</v>
      </c>
      <c r="E485" s="544">
        <f>+DATE(YEAR(E484),MONTH(E484)-1,DAY(E484))</f>
        <v>25569.041666666668</v>
      </c>
      <c r="F485" s="333">
        <f>IF(DATE(YEAR($B$6),MONTH($B$6)+1,DAY(1))=E485,1,IF(MONTH(E485)=1,F486*(1+$F$5),F486))</f>
      </c>
      <c r="G485" s="333">
        <f>IF('Simulador - 1º Pilar'!$E$99="Sí",IF('Aportaciones PPE'!$B$13&lt;'Aportaciones PPE'!E485,0,F485*$B$8/12),F485*$B$8/12)</f>
      </c>
      <c r="H485" s="333">
        <f>$H$5*G485</f>
      </c>
      <c r="I485" s="333">
        <f>$I$5*G485</f>
      </c>
      <c r="J485" s="333">
        <f>+I485</f>
      </c>
      <c r="K485" s="333">
        <f>(1+$O$5)^(D485/12)*(H485+IF(AND(F485=1,F486=0),$S$4,0))</f>
      </c>
      <c r="L485" s="333">
        <f>(1+$O$5)^(D485/12)*(I485+IF(AND(F485=1,F486=0),0))</f>
      </c>
      <c r="M485" s="333">
        <f>+L485</f>
      </c>
      <c r="N485" s="333">
        <f>L485+K485+M485</f>
      </c>
      <c r="O485" s="170"/>
      <c r="P485" s="7"/>
      <c r="Q485" s="1"/>
      <c r="R485" s="331">
        <f>D485</f>
      </c>
      <c r="S485" s="169"/>
      <c r="T485" s="1"/>
      <c r="U485" s="217"/>
      <c r="V485" s="331">
        <f>+IF(V484=11,12,IF(V484=12,1,V484+1))</f>
      </c>
      <c r="W485" s="331">
        <f>+W484+IF(V484=12,1,0)</f>
      </c>
      <c r="X485" s="555">
        <f>+DATE(W485,V485,1)</f>
        <v>25569.041666666668</v>
      </c>
      <c r="Y485" s="333">
        <f>+_xlfn.IFNA(AN485+AS485+AX485,0)</f>
      </c>
      <c r="Z485" s="333">
        <f>+_xlfn.IFNA(AO485+AT485+AY485,0)</f>
      </c>
      <c r="AA485" s="333">
        <f>Y485*(1+$O$5)^(($B$7-X485)/365.25)</f>
      </c>
      <c r="AB485" s="333">
        <f>Z485*(1+$O$5)^(($B$7-X485)/365.25)</f>
      </c>
      <c r="AC485" s="1"/>
      <c r="AD485" s="1"/>
      <c r="AE485" s="1"/>
      <c r="AF485" s="111">
        <f>+MONTH(E485)&amp;YEAR(E485)</f>
      </c>
      <c r="AG485" s="217">
        <f>+I485</f>
      </c>
      <c r="AH485" s="217">
        <f>+J485</f>
      </c>
      <c r="AI485" s="217">
        <f>+H485</f>
      </c>
      <c r="AJ485" s="111">
        <f>+V485&amp;W485</f>
      </c>
      <c r="AK485" s="217">
        <f>+_xlfn.IFNA(VLOOKUP(AJ485,$AF$7:$AG$1066,2,0),0)</f>
      </c>
      <c r="AL485" s="217">
        <f>+IF(W485&gt;W484,AK485,AL484+AK485)</f>
      </c>
      <c r="AM485" s="217">
        <f>IF(W485&gt;W484,IF(AL485&gt;=$AZ$8,$AZ$8,AL485),IF(OR(AM484=$AZ$8,AM484=0),0,IF(AL485&gt;=$AZ$8,$AZ$8,AL485)))</f>
      </c>
      <c r="AN485" s="748">
        <f>+IF(OR(AM485&gt;AZ484,AM485=0),0,IF(AM485=AL485,AK485,$AZ$7-AL484))</f>
      </c>
      <c r="AO485" s="748">
        <f>+AK485-AN485</f>
      </c>
      <c r="AP485" s="217">
        <f>+_xlfn.IFNA(VLOOKUP(AJ485,$AF$7:$AI$1066,3,0),0)</f>
      </c>
      <c r="AQ485" s="217">
        <f>+IF(W485&gt;W484,AP485,AQ484+AP485)</f>
      </c>
      <c r="AR485" s="217">
        <f>+MAX($AM$2-SUMIF($W$7:$W$1066,W485,$AN$7:$AN$1066),0)</f>
      </c>
      <c r="AS485" s="748">
        <f>+MAX(IF(AQ485&gt;AR485,AR485-AQ484,AP485),0)</f>
      </c>
      <c r="AT485" s="748">
        <f>+AP485-AS485</f>
      </c>
      <c r="AU485" s="217">
        <f>+_xlfn.IFNA(VLOOKUP(AJ485,$AF$7:$AI$1066,4,0),0)</f>
      </c>
      <c r="AV485" s="217">
        <f>+IF(W485&gt;W484,AU485,AV484+AU485)</f>
      </c>
      <c r="AW485" s="217">
        <f>+MAX($AM$2-SUMIF($W$7:$W$1066,W485,$AN$7:$AN$1066)-SUMIF($W$7:$W$1066,W485,$AS$7:$AS$1066),0)</f>
      </c>
      <c r="AX485" s="748">
        <f>+MAX(IF(AV485&gt;AW485,AW485-AV484,AU485),0)</f>
      </c>
      <c r="AY485" s="748">
        <f>+AU485-AX485</f>
      </c>
      <c r="AZ485" s="331">
        <f>+$AM$1+IF($AP$1&gt;$AP$2,$AM$3/2)</f>
      </c>
    </row>
    <row x14ac:dyDescent="0.25" r="486" customHeight="1" ht="18.75">
      <c r="A486" s="1"/>
      <c r="B486" s="7"/>
      <c r="C486" s="170"/>
      <c r="D486" s="331">
        <v>479</v>
      </c>
      <c r="E486" s="544">
        <f>+DATE(YEAR(E485),MONTH(E485)-1,DAY(E485))</f>
        <v>25569.041666666668</v>
      </c>
      <c r="F486" s="333">
        <f>IF(DATE(YEAR($B$6),MONTH($B$6)+1,DAY(1))=E486,1,IF(MONTH(E486)=1,F487*(1+$F$5),F487))</f>
      </c>
      <c r="G486" s="333">
        <f>IF('Simulador - 1º Pilar'!$E$99="Sí",IF('Aportaciones PPE'!$B$13&lt;'Aportaciones PPE'!E486,0,F486*$B$8/12),F486*$B$8/12)</f>
      </c>
      <c r="H486" s="333">
        <f>$H$5*G486</f>
      </c>
      <c r="I486" s="333">
        <f>$I$5*G486</f>
      </c>
      <c r="J486" s="333">
        <f>+I486</f>
      </c>
      <c r="K486" s="333">
        <f>(1+$O$5)^(D486/12)*(H486+IF(AND(F486=1,F487=0),$S$4,0))</f>
      </c>
      <c r="L486" s="333">
        <f>(1+$O$5)^(D486/12)*(I486+IF(AND(F486=1,F487=0),0))</f>
      </c>
      <c r="M486" s="333">
        <f>+L486</f>
      </c>
      <c r="N486" s="333">
        <f>L486+K486+M486</f>
      </c>
      <c r="O486" s="170"/>
      <c r="P486" s="7"/>
      <c r="Q486" s="1"/>
      <c r="R486" s="331">
        <f>D486</f>
      </c>
      <c r="S486" s="169"/>
      <c r="T486" s="1"/>
      <c r="U486" s="217"/>
      <c r="V486" s="331">
        <f>+IF(V485=11,12,IF(V485=12,1,V485+1))</f>
      </c>
      <c r="W486" s="331">
        <f>+W485+IF(V485=12,1,0)</f>
      </c>
      <c r="X486" s="555">
        <f>+DATE(W486,V486,1)</f>
        <v>25569.041666666668</v>
      </c>
      <c r="Y486" s="333">
        <f>+_xlfn.IFNA(AN486+AS486+AX486,0)</f>
      </c>
      <c r="Z486" s="333">
        <f>+_xlfn.IFNA(AO486+AT486+AY486,0)</f>
      </c>
      <c r="AA486" s="333">
        <f>Y486*(1+$O$5)^(($B$7-X486)/365.25)</f>
      </c>
      <c r="AB486" s="333">
        <f>Z486*(1+$O$5)^(($B$7-X486)/365.25)</f>
      </c>
      <c r="AC486" s="1"/>
      <c r="AD486" s="1"/>
      <c r="AE486" s="1"/>
      <c r="AF486" s="111">
        <f>+MONTH(E486)&amp;YEAR(E486)</f>
      </c>
      <c r="AG486" s="217">
        <f>+I486</f>
      </c>
      <c r="AH486" s="217">
        <f>+J486</f>
      </c>
      <c r="AI486" s="217">
        <f>+H486</f>
      </c>
      <c r="AJ486" s="111">
        <f>+V486&amp;W486</f>
      </c>
      <c r="AK486" s="217">
        <f>+_xlfn.IFNA(VLOOKUP(AJ486,$AF$7:$AG$1066,2,0),0)</f>
      </c>
      <c r="AL486" s="217">
        <f>+IF(W486&gt;W485,AK486,AL485+AK486)</f>
      </c>
      <c r="AM486" s="217">
        <f>IF(W486&gt;W485,IF(AL486&gt;=$AZ$8,$AZ$8,AL486),IF(OR(AM485=$AZ$8,AM485=0),0,IF(AL486&gt;=$AZ$8,$AZ$8,AL486)))</f>
      </c>
      <c r="AN486" s="748">
        <f>+IF(OR(AM486&gt;AZ485,AM486=0),0,IF(AM486=AL486,AK486,$AZ$7-AL485))</f>
      </c>
      <c r="AO486" s="748">
        <f>+AK486-AN486</f>
      </c>
      <c r="AP486" s="217">
        <f>+_xlfn.IFNA(VLOOKUP(AJ486,$AF$7:$AI$1066,3,0),0)</f>
      </c>
      <c r="AQ486" s="217">
        <f>+IF(W486&gt;W485,AP486,AQ485+AP486)</f>
      </c>
      <c r="AR486" s="217">
        <f>+MAX($AM$2-SUMIF($W$7:$W$1066,W486,$AN$7:$AN$1066),0)</f>
      </c>
      <c r="AS486" s="748">
        <f>+MAX(IF(AQ486&gt;AR486,AR486-AQ485,AP486),0)</f>
      </c>
      <c r="AT486" s="748">
        <f>+AP486-AS486</f>
      </c>
      <c r="AU486" s="217">
        <f>+_xlfn.IFNA(VLOOKUP(AJ486,$AF$7:$AI$1066,4,0),0)</f>
      </c>
      <c r="AV486" s="217">
        <f>+IF(W486&gt;W485,AU486,AV485+AU486)</f>
      </c>
      <c r="AW486" s="217">
        <f>+MAX($AM$2-SUMIF($W$7:$W$1066,W486,$AN$7:$AN$1066)-SUMIF($W$7:$W$1066,W486,$AS$7:$AS$1066),0)</f>
      </c>
      <c r="AX486" s="748">
        <f>+MAX(IF(AV486&gt;AW486,AW486-AV485,AU486),0)</f>
      </c>
      <c r="AY486" s="748">
        <f>+AU486-AX486</f>
      </c>
      <c r="AZ486" s="331">
        <f>+$AM$1+IF($AP$1&gt;$AP$2,$AM$3/2)</f>
      </c>
    </row>
    <row x14ac:dyDescent="0.25" r="487" customHeight="1" ht="18.75">
      <c r="A487" s="1"/>
      <c r="B487" s="7"/>
      <c r="C487" s="170"/>
      <c r="D487" s="331">
        <v>480</v>
      </c>
      <c r="E487" s="544">
        <f>+DATE(YEAR(E486),MONTH(E486)-1,DAY(E486))</f>
        <v>25569.041666666668</v>
      </c>
      <c r="F487" s="333">
        <f>IF(DATE(YEAR($B$6),MONTH($B$6)+1,DAY(1))=E487,1,IF(MONTH(E487)=1,F488*(1+$F$5),F488))</f>
      </c>
      <c r="G487" s="333">
        <f>IF('Simulador - 1º Pilar'!$E$99="Sí",IF('Aportaciones PPE'!$B$13&lt;'Aportaciones PPE'!E487,0,F487*$B$8/12),F487*$B$8/12)</f>
      </c>
      <c r="H487" s="333">
        <f>$H$5*G487</f>
      </c>
      <c r="I487" s="333">
        <f>$I$5*G487</f>
      </c>
      <c r="J487" s="333">
        <f>+I487</f>
      </c>
      <c r="K487" s="333">
        <f>(1+$O$5)^(D487/12)*(H487+IF(AND(F487=1,F488=0),$S$4,0))</f>
      </c>
      <c r="L487" s="333">
        <f>(1+$O$5)^(D487/12)*(I487+IF(AND(F487=1,F488=0),0))</f>
      </c>
      <c r="M487" s="333">
        <f>+L487</f>
      </c>
      <c r="N487" s="333">
        <f>L487+K487+M487</f>
      </c>
      <c r="O487" s="170"/>
      <c r="P487" s="7"/>
      <c r="Q487" s="1"/>
      <c r="R487" s="331">
        <f>D487</f>
      </c>
      <c r="S487" s="169"/>
      <c r="T487" s="1"/>
      <c r="U487" s="217"/>
      <c r="V487" s="331">
        <f>+IF(V486=11,12,IF(V486=12,1,V486+1))</f>
      </c>
      <c r="W487" s="331">
        <f>+W486+IF(V486=12,1,0)</f>
      </c>
      <c r="X487" s="555">
        <f>+DATE(W487,V487,1)</f>
        <v>25569.041666666668</v>
      </c>
      <c r="Y487" s="333">
        <f>+_xlfn.IFNA(AN487+AS487+AX487,0)</f>
      </c>
      <c r="Z487" s="333">
        <f>+_xlfn.IFNA(AO487+AT487+AY487,0)</f>
      </c>
      <c r="AA487" s="333">
        <f>Y487*(1+$O$5)^(($B$7-X487)/365.25)</f>
      </c>
      <c r="AB487" s="333">
        <f>Z487*(1+$O$5)^(($B$7-X487)/365.25)</f>
      </c>
      <c r="AC487" s="1"/>
      <c r="AD487" s="1"/>
      <c r="AE487" s="1"/>
      <c r="AF487" s="111">
        <f>+MONTH(E487)&amp;YEAR(E487)</f>
      </c>
      <c r="AG487" s="217">
        <f>+I487</f>
      </c>
      <c r="AH487" s="217">
        <f>+J487</f>
      </c>
      <c r="AI487" s="217">
        <f>+H487</f>
      </c>
      <c r="AJ487" s="111">
        <f>+V487&amp;W487</f>
      </c>
      <c r="AK487" s="217">
        <f>+_xlfn.IFNA(VLOOKUP(AJ487,$AF$7:$AG$1066,2,0),0)</f>
      </c>
      <c r="AL487" s="217">
        <f>+IF(W487&gt;W486,AK487,AL486+AK487)</f>
      </c>
      <c r="AM487" s="217">
        <f>IF(W487&gt;W486,IF(AL487&gt;=$AZ$8,$AZ$8,AL487),IF(OR(AM486=$AZ$8,AM486=0),0,IF(AL487&gt;=$AZ$8,$AZ$8,AL487)))</f>
      </c>
      <c r="AN487" s="748">
        <f>+IF(OR(AM487&gt;AZ486,AM487=0),0,IF(AM487=AL487,AK487,$AZ$7-AL486))</f>
      </c>
      <c r="AO487" s="748">
        <f>+AK487-AN487</f>
      </c>
      <c r="AP487" s="217">
        <f>+_xlfn.IFNA(VLOOKUP(AJ487,$AF$7:$AI$1066,3,0),0)</f>
      </c>
      <c r="AQ487" s="217">
        <f>+IF(W487&gt;W486,AP487,AQ486+AP487)</f>
      </c>
      <c r="AR487" s="217">
        <f>+MAX($AM$2-SUMIF($W$7:$W$1066,W487,$AN$7:$AN$1066),0)</f>
      </c>
      <c r="AS487" s="748">
        <f>+MAX(IF(AQ487&gt;AR487,AR487-AQ486,AP487),0)</f>
      </c>
      <c r="AT487" s="748">
        <f>+AP487-AS487</f>
      </c>
      <c r="AU487" s="217">
        <f>+_xlfn.IFNA(VLOOKUP(AJ487,$AF$7:$AI$1066,4,0),0)</f>
      </c>
      <c r="AV487" s="217">
        <f>+IF(W487&gt;W486,AU487,AV486+AU487)</f>
      </c>
      <c r="AW487" s="217">
        <f>+MAX($AM$2-SUMIF($W$7:$W$1066,W487,$AN$7:$AN$1066)-SUMIF($W$7:$W$1066,W487,$AS$7:$AS$1066),0)</f>
      </c>
      <c r="AX487" s="748">
        <f>+MAX(IF(AV487&gt;AW487,AW487-AV486,AU487),0)</f>
      </c>
      <c r="AY487" s="748">
        <f>+AU487-AX487</f>
      </c>
      <c r="AZ487" s="331">
        <f>+$AM$1+IF($AP$1&gt;$AP$2,$AM$3/2)</f>
      </c>
    </row>
    <row x14ac:dyDescent="0.25" r="488" customHeight="1" ht="18.75">
      <c r="A488" s="1"/>
      <c r="B488" s="7"/>
      <c r="C488" s="170"/>
      <c r="D488" s="331">
        <v>481</v>
      </c>
      <c r="E488" s="544">
        <f>+DATE(YEAR(E487),MONTH(E487)-1,DAY(E487))</f>
        <v>25569.041666666668</v>
      </c>
      <c r="F488" s="333">
        <f>IF(DATE(YEAR($B$6),MONTH($B$6)+1,DAY(1))=E488,1,IF(MONTH(E488)=1,F489*(1+$F$5),F489))</f>
      </c>
      <c r="G488" s="333">
        <f>IF('Simulador - 1º Pilar'!$E$99="Sí",IF('Aportaciones PPE'!$B$13&lt;'Aportaciones PPE'!E488,0,F488*$B$8/12),F488*$B$8/12)</f>
      </c>
      <c r="H488" s="333">
        <f>$H$5*G488</f>
      </c>
      <c r="I488" s="333">
        <f>$I$5*G488</f>
      </c>
      <c r="J488" s="333">
        <f>+I488</f>
      </c>
      <c r="K488" s="333">
        <f>(1+$O$5)^(D488/12)*(H488+IF(AND(F488=1,F489=0),$S$4,0))</f>
      </c>
      <c r="L488" s="333">
        <f>(1+$O$5)^(D488/12)*(I488+IF(AND(F488=1,F489=0),0))</f>
      </c>
      <c r="M488" s="333">
        <f>+L488</f>
      </c>
      <c r="N488" s="333">
        <f>L488+K488+M488</f>
      </c>
      <c r="O488" s="170"/>
      <c r="P488" s="7"/>
      <c r="Q488" s="1"/>
      <c r="R488" s="331">
        <f>D488</f>
      </c>
      <c r="S488" s="169"/>
      <c r="T488" s="1"/>
      <c r="U488" s="217"/>
      <c r="V488" s="331">
        <f>+IF(V487=11,12,IF(V487=12,1,V487+1))</f>
      </c>
      <c r="W488" s="331">
        <f>+W487+IF(V487=12,1,0)</f>
      </c>
      <c r="X488" s="555">
        <f>+DATE(W488,V488,1)</f>
        <v>25569.041666666668</v>
      </c>
      <c r="Y488" s="333">
        <f>+_xlfn.IFNA(AN488+AS488+AX488,0)</f>
      </c>
      <c r="Z488" s="333">
        <f>+_xlfn.IFNA(AO488+AT488+AY488,0)</f>
      </c>
      <c r="AA488" s="333">
        <f>Y488*(1+$O$5)^(($B$7-X488)/365.25)</f>
      </c>
      <c r="AB488" s="333">
        <f>Z488*(1+$O$5)^(($B$7-X488)/365.25)</f>
      </c>
      <c r="AC488" s="1"/>
      <c r="AD488" s="1"/>
      <c r="AE488" s="1"/>
      <c r="AF488" s="111">
        <f>+MONTH(E488)&amp;YEAR(E488)</f>
      </c>
      <c r="AG488" s="217">
        <f>+I488</f>
      </c>
      <c r="AH488" s="217">
        <f>+J488</f>
      </c>
      <c r="AI488" s="217">
        <f>+H488</f>
      </c>
      <c r="AJ488" s="111">
        <f>+V488&amp;W488</f>
      </c>
      <c r="AK488" s="217">
        <f>+_xlfn.IFNA(VLOOKUP(AJ488,$AF$7:$AG$1066,2,0),0)</f>
      </c>
      <c r="AL488" s="217">
        <f>+IF(W488&gt;W487,AK488,AL487+AK488)</f>
      </c>
      <c r="AM488" s="217">
        <f>IF(W488&gt;W487,IF(AL488&gt;=$AZ$8,$AZ$8,AL488),IF(OR(AM487=$AZ$8,AM487=0),0,IF(AL488&gt;=$AZ$8,$AZ$8,AL488)))</f>
      </c>
      <c r="AN488" s="748">
        <f>+IF(OR(AM488&gt;AZ487,AM488=0),0,IF(AM488=AL488,AK488,$AZ$7-AL487))</f>
      </c>
      <c r="AO488" s="748">
        <f>+AK488-AN488</f>
      </c>
      <c r="AP488" s="217">
        <f>+_xlfn.IFNA(VLOOKUP(AJ488,$AF$7:$AI$1066,3,0),0)</f>
      </c>
      <c r="AQ488" s="217">
        <f>+IF(W488&gt;W487,AP488,AQ487+AP488)</f>
      </c>
      <c r="AR488" s="217">
        <f>+MAX($AM$2-SUMIF($W$7:$W$1066,W488,$AN$7:$AN$1066),0)</f>
      </c>
      <c r="AS488" s="748">
        <f>+MAX(IF(AQ488&gt;AR488,AR488-AQ487,AP488),0)</f>
      </c>
      <c r="AT488" s="748">
        <f>+AP488-AS488</f>
      </c>
      <c r="AU488" s="217">
        <f>+_xlfn.IFNA(VLOOKUP(AJ488,$AF$7:$AI$1066,4,0),0)</f>
      </c>
      <c r="AV488" s="217">
        <f>+IF(W488&gt;W487,AU488,AV487+AU488)</f>
      </c>
      <c r="AW488" s="217">
        <f>+MAX($AM$2-SUMIF($W$7:$W$1066,W488,$AN$7:$AN$1066)-SUMIF($W$7:$W$1066,W488,$AS$7:$AS$1066),0)</f>
      </c>
      <c r="AX488" s="748">
        <f>+MAX(IF(AV488&gt;AW488,AW488-AV487,AU488),0)</f>
      </c>
      <c r="AY488" s="748">
        <f>+AU488-AX488</f>
      </c>
      <c r="AZ488" s="331">
        <f>+$AM$1+IF($AP$1&gt;$AP$2,$AM$3/2)</f>
      </c>
    </row>
    <row x14ac:dyDescent="0.25" r="489" customHeight="1" ht="18.75">
      <c r="A489" s="1"/>
      <c r="B489" s="7"/>
      <c r="C489" s="170"/>
      <c r="D489" s="331">
        <v>482</v>
      </c>
      <c r="E489" s="544">
        <f>+DATE(YEAR(E488),MONTH(E488)-1,DAY(E488))</f>
        <v>25569.041666666668</v>
      </c>
      <c r="F489" s="333">
        <f>IF(DATE(YEAR($B$6),MONTH($B$6)+1,DAY(1))=E489,1,IF(MONTH(E489)=1,F490*(1+$F$5),F490))</f>
      </c>
      <c r="G489" s="333">
        <f>IF('Simulador - 1º Pilar'!$E$99="Sí",IF('Aportaciones PPE'!$B$13&lt;'Aportaciones PPE'!E489,0,F489*$B$8/12),F489*$B$8/12)</f>
      </c>
      <c r="H489" s="333">
        <f>$H$5*G489</f>
      </c>
      <c r="I489" s="333">
        <f>$I$5*G489</f>
      </c>
      <c r="J489" s="333">
        <f>+I489</f>
      </c>
      <c r="K489" s="333">
        <f>(1+$O$5)^(D489/12)*(H489+IF(AND(F489=1,F490=0),$S$4,0))</f>
      </c>
      <c r="L489" s="333">
        <f>(1+$O$5)^(D489/12)*(I489+IF(AND(F489=1,F490=0),0))</f>
      </c>
      <c r="M489" s="333">
        <f>+L489</f>
      </c>
      <c r="N489" s="333">
        <f>L489+K489+M489</f>
      </c>
      <c r="O489" s="170"/>
      <c r="P489" s="7"/>
      <c r="Q489" s="1"/>
      <c r="R489" s="331">
        <f>D489</f>
      </c>
      <c r="S489" s="169"/>
      <c r="T489" s="1"/>
      <c r="U489" s="217"/>
      <c r="V489" s="331">
        <f>+IF(V488=11,12,IF(V488=12,1,V488+1))</f>
      </c>
      <c r="W489" s="331">
        <f>+W488+IF(V488=12,1,0)</f>
      </c>
      <c r="X489" s="555">
        <f>+DATE(W489,V489,1)</f>
        <v>25569.041666666668</v>
      </c>
      <c r="Y489" s="333">
        <f>+_xlfn.IFNA(AN489+AS489+AX489,0)</f>
      </c>
      <c r="Z489" s="333">
        <f>+_xlfn.IFNA(AO489+AT489+AY489,0)</f>
      </c>
      <c r="AA489" s="333">
        <f>Y489*(1+$O$5)^(($B$7-X489)/365.25)</f>
      </c>
      <c r="AB489" s="333">
        <f>Z489*(1+$O$5)^(($B$7-X489)/365.25)</f>
      </c>
      <c r="AC489" s="1"/>
      <c r="AD489" s="1"/>
      <c r="AE489" s="1"/>
      <c r="AF489" s="111">
        <f>+MONTH(E489)&amp;YEAR(E489)</f>
      </c>
      <c r="AG489" s="217">
        <f>+I489</f>
      </c>
      <c r="AH489" s="217">
        <f>+J489</f>
      </c>
      <c r="AI489" s="217">
        <f>+H489</f>
      </c>
      <c r="AJ489" s="111">
        <f>+V489&amp;W489</f>
      </c>
      <c r="AK489" s="217">
        <f>+_xlfn.IFNA(VLOOKUP(AJ489,$AF$7:$AG$1066,2,0),0)</f>
      </c>
      <c r="AL489" s="217">
        <f>+IF(W489&gt;W488,AK489,AL488+AK489)</f>
      </c>
      <c r="AM489" s="217">
        <f>IF(W489&gt;W488,IF(AL489&gt;=$AZ$8,$AZ$8,AL489),IF(OR(AM488=$AZ$8,AM488=0),0,IF(AL489&gt;=$AZ$8,$AZ$8,AL489)))</f>
      </c>
      <c r="AN489" s="748">
        <f>+IF(OR(AM489&gt;AZ488,AM489=0),0,IF(AM489=AL489,AK489,$AZ$7-AL488))</f>
      </c>
      <c r="AO489" s="748">
        <f>+AK489-AN489</f>
      </c>
      <c r="AP489" s="217">
        <f>+_xlfn.IFNA(VLOOKUP(AJ489,$AF$7:$AI$1066,3,0),0)</f>
      </c>
      <c r="AQ489" s="217">
        <f>+IF(W489&gt;W488,AP489,AQ488+AP489)</f>
      </c>
      <c r="AR489" s="217">
        <f>+MAX($AM$2-SUMIF($W$7:$W$1066,W489,$AN$7:$AN$1066),0)</f>
      </c>
      <c r="AS489" s="748">
        <f>+MAX(IF(AQ489&gt;AR489,AR489-AQ488,AP489),0)</f>
      </c>
      <c r="AT489" s="748">
        <f>+AP489-AS489</f>
      </c>
      <c r="AU489" s="217">
        <f>+_xlfn.IFNA(VLOOKUP(AJ489,$AF$7:$AI$1066,4,0),0)</f>
      </c>
      <c r="AV489" s="217">
        <f>+IF(W489&gt;W488,AU489,AV488+AU489)</f>
      </c>
      <c r="AW489" s="217">
        <f>+MAX($AM$2-SUMIF($W$7:$W$1066,W489,$AN$7:$AN$1066)-SUMIF($W$7:$W$1066,W489,$AS$7:$AS$1066),0)</f>
      </c>
      <c r="AX489" s="748">
        <f>+MAX(IF(AV489&gt;AW489,AW489-AV488,AU489),0)</f>
      </c>
      <c r="AY489" s="748">
        <f>+AU489-AX489</f>
      </c>
      <c r="AZ489" s="331">
        <f>+$AM$1+IF($AP$1&gt;$AP$2,$AM$3/2)</f>
      </c>
    </row>
    <row x14ac:dyDescent="0.25" r="490" customHeight="1" ht="18.75">
      <c r="A490" s="1"/>
      <c r="B490" s="7"/>
      <c r="C490" s="170"/>
      <c r="D490" s="331">
        <v>483</v>
      </c>
      <c r="E490" s="544">
        <f>+DATE(YEAR(E489),MONTH(E489)-1,DAY(E489))</f>
        <v>25569.041666666668</v>
      </c>
      <c r="F490" s="333">
        <f>IF(DATE(YEAR($B$6),MONTH($B$6)+1,DAY(1))=E490,1,IF(MONTH(E490)=1,F491*(1+$F$5),F491))</f>
      </c>
      <c r="G490" s="333">
        <f>IF('Simulador - 1º Pilar'!$E$99="Sí",IF('Aportaciones PPE'!$B$13&lt;'Aportaciones PPE'!E490,0,F490*$B$8/12),F490*$B$8/12)</f>
      </c>
      <c r="H490" s="333">
        <f>$H$5*G490</f>
      </c>
      <c r="I490" s="333">
        <f>$I$5*G490</f>
      </c>
      <c r="J490" s="333">
        <f>+I490</f>
      </c>
      <c r="K490" s="333">
        <f>(1+$O$5)^(D490/12)*(H490+IF(AND(F490=1,F491=0),$S$4,0))</f>
      </c>
      <c r="L490" s="333">
        <f>(1+$O$5)^(D490/12)*(I490+IF(AND(F490=1,F491=0),0))</f>
      </c>
      <c r="M490" s="333">
        <f>+L490</f>
      </c>
      <c r="N490" s="333">
        <f>L490+K490+M490</f>
      </c>
      <c r="O490" s="170"/>
      <c r="P490" s="7"/>
      <c r="Q490" s="1"/>
      <c r="R490" s="331">
        <f>D490</f>
      </c>
      <c r="S490" s="169"/>
      <c r="T490" s="1"/>
      <c r="U490" s="217"/>
      <c r="V490" s="331">
        <f>+IF(V489=11,12,IF(V489=12,1,V489+1))</f>
      </c>
      <c r="W490" s="331">
        <f>+W489+IF(V489=12,1,0)</f>
      </c>
      <c r="X490" s="555">
        <f>+DATE(W490,V490,1)</f>
        <v>25569.041666666668</v>
      </c>
      <c r="Y490" s="333">
        <f>+_xlfn.IFNA(AN490+AS490+AX490,0)</f>
      </c>
      <c r="Z490" s="333">
        <f>+_xlfn.IFNA(AO490+AT490+AY490,0)</f>
      </c>
      <c r="AA490" s="333">
        <f>Y490*(1+$O$5)^(($B$7-X490)/365.25)</f>
      </c>
      <c r="AB490" s="333">
        <f>Z490*(1+$O$5)^(($B$7-X490)/365.25)</f>
      </c>
      <c r="AC490" s="1"/>
      <c r="AD490" s="1"/>
      <c r="AE490" s="1"/>
      <c r="AF490" s="111">
        <f>+MONTH(E490)&amp;YEAR(E490)</f>
      </c>
      <c r="AG490" s="217">
        <f>+I490</f>
      </c>
      <c r="AH490" s="217">
        <f>+J490</f>
      </c>
      <c r="AI490" s="217">
        <f>+H490</f>
      </c>
      <c r="AJ490" s="111">
        <f>+V490&amp;W490</f>
      </c>
      <c r="AK490" s="217">
        <f>+_xlfn.IFNA(VLOOKUP(AJ490,$AF$7:$AG$1066,2,0),0)</f>
      </c>
      <c r="AL490" s="217">
        <f>+IF(W490&gt;W489,AK490,AL489+AK490)</f>
      </c>
      <c r="AM490" s="217">
        <f>IF(W490&gt;W489,IF(AL490&gt;=$AZ$8,$AZ$8,AL490),IF(OR(AM489=$AZ$8,AM489=0),0,IF(AL490&gt;=$AZ$8,$AZ$8,AL490)))</f>
      </c>
      <c r="AN490" s="748">
        <f>+IF(OR(AM490&gt;AZ489,AM490=0),0,IF(AM490=AL490,AK490,$AZ$7-AL489))</f>
      </c>
      <c r="AO490" s="748">
        <f>+AK490-AN490</f>
      </c>
      <c r="AP490" s="217">
        <f>+_xlfn.IFNA(VLOOKUP(AJ490,$AF$7:$AI$1066,3,0),0)</f>
      </c>
      <c r="AQ490" s="217">
        <f>+IF(W490&gt;W489,AP490,AQ489+AP490)</f>
      </c>
      <c r="AR490" s="217">
        <f>+MAX($AM$2-SUMIF($W$7:$W$1066,W490,$AN$7:$AN$1066),0)</f>
      </c>
      <c r="AS490" s="748">
        <f>+MAX(IF(AQ490&gt;AR490,AR490-AQ489,AP490),0)</f>
      </c>
      <c r="AT490" s="748">
        <f>+AP490-AS490</f>
      </c>
      <c r="AU490" s="217">
        <f>+_xlfn.IFNA(VLOOKUP(AJ490,$AF$7:$AI$1066,4,0),0)</f>
      </c>
      <c r="AV490" s="217">
        <f>+IF(W490&gt;W489,AU490,AV489+AU490)</f>
      </c>
      <c r="AW490" s="217">
        <f>+MAX($AM$2-SUMIF($W$7:$W$1066,W490,$AN$7:$AN$1066)-SUMIF($W$7:$W$1066,W490,$AS$7:$AS$1066),0)</f>
      </c>
      <c r="AX490" s="748">
        <f>+MAX(IF(AV490&gt;AW490,AW490-AV489,AU490),0)</f>
      </c>
      <c r="AY490" s="748">
        <f>+AU490-AX490</f>
      </c>
      <c r="AZ490" s="331">
        <f>+$AM$1+IF($AP$1&gt;$AP$2,$AM$3/2)</f>
      </c>
    </row>
    <row x14ac:dyDescent="0.25" r="491" customHeight="1" ht="18.75">
      <c r="A491" s="1"/>
      <c r="B491" s="7"/>
      <c r="C491" s="170"/>
      <c r="D491" s="331">
        <v>484</v>
      </c>
      <c r="E491" s="544">
        <f>+DATE(YEAR(E490),MONTH(E490)-1,DAY(E490))</f>
        <v>25569.041666666668</v>
      </c>
      <c r="F491" s="333">
        <f>IF(DATE(YEAR($B$6),MONTH($B$6)+1,DAY(1))=E491,1,IF(MONTH(E491)=1,F492*(1+$F$5),F492))</f>
      </c>
      <c r="G491" s="333">
        <f>IF('Simulador - 1º Pilar'!$E$99="Sí",IF('Aportaciones PPE'!$B$13&lt;'Aportaciones PPE'!E491,0,F491*$B$8/12),F491*$B$8/12)</f>
      </c>
      <c r="H491" s="333">
        <f>$H$5*G491</f>
      </c>
      <c r="I491" s="333">
        <f>$I$5*G491</f>
      </c>
      <c r="J491" s="333">
        <f>+I491</f>
      </c>
      <c r="K491" s="333">
        <f>(1+$O$5)^(D491/12)*(H491+IF(AND(F491=1,F492=0),$S$4,0))</f>
      </c>
      <c r="L491" s="333">
        <f>(1+$O$5)^(D491/12)*(I491+IF(AND(F491=1,F492=0),0))</f>
      </c>
      <c r="M491" s="333">
        <f>+L491</f>
      </c>
      <c r="N491" s="333">
        <f>L491+K491+M491</f>
      </c>
      <c r="O491" s="170"/>
      <c r="P491" s="7"/>
      <c r="Q491" s="1"/>
      <c r="R491" s="331">
        <f>D491</f>
      </c>
      <c r="S491" s="169"/>
      <c r="T491" s="1"/>
      <c r="U491" s="217"/>
      <c r="V491" s="331">
        <f>+IF(V490=11,12,IF(V490=12,1,V490+1))</f>
      </c>
      <c r="W491" s="331">
        <f>+W490+IF(V490=12,1,0)</f>
      </c>
      <c r="X491" s="555">
        <f>+DATE(W491,V491,1)</f>
        <v>25569.041666666668</v>
      </c>
      <c r="Y491" s="333">
        <f>+_xlfn.IFNA(AN491+AS491+AX491,0)</f>
      </c>
      <c r="Z491" s="333">
        <f>+_xlfn.IFNA(AO491+AT491+AY491,0)</f>
      </c>
      <c r="AA491" s="333">
        <f>Y491*(1+$O$5)^(($B$7-X491)/365.25)</f>
      </c>
      <c r="AB491" s="333">
        <f>Z491*(1+$O$5)^(($B$7-X491)/365.25)</f>
      </c>
      <c r="AC491" s="1"/>
      <c r="AD491" s="1"/>
      <c r="AE491" s="1"/>
      <c r="AF491" s="111">
        <f>+MONTH(E491)&amp;YEAR(E491)</f>
      </c>
      <c r="AG491" s="217">
        <f>+I491</f>
      </c>
      <c r="AH491" s="217">
        <f>+J491</f>
      </c>
      <c r="AI491" s="217">
        <f>+H491</f>
      </c>
      <c r="AJ491" s="111">
        <f>+V491&amp;W491</f>
      </c>
      <c r="AK491" s="217">
        <f>+_xlfn.IFNA(VLOOKUP(AJ491,$AF$7:$AG$1066,2,0),0)</f>
      </c>
      <c r="AL491" s="217">
        <f>+IF(W491&gt;W490,AK491,AL490+AK491)</f>
      </c>
      <c r="AM491" s="217">
        <f>IF(W491&gt;W490,IF(AL491&gt;=$AZ$8,$AZ$8,AL491),IF(OR(AM490=$AZ$8,AM490=0),0,IF(AL491&gt;=$AZ$8,$AZ$8,AL491)))</f>
      </c>
      <c r="AN491" s="748">
        <f>+IF(OR(AM491&gt;AZ490,AM491=0),0,IF(AM491=AL491,AK491,$AZ$7-AL490))</f>
      </c>
      <c r="AO491" s="748">
        <f>+AK491-AN491</f>
      </c>
      <c r="AP491" s="217">
        <f>+_xlfn.IFNA(VLOOKUP(AJ491,$AF$7:$AI$1066,3,0),0)</f>
      </c>
      <c r="AQ491" s="217">
        <f>+IF(W491&gt;W490,AP491,AQ490+AP491)</f>
      </c>
      <c r="AR491" s="217">
        <f>+MAX($AM$2-SUMIF($W$7:$W$1066,W491,$AN$7:$AN$1066),0)</f>
      </c>
      <c r="AS491" s="748">
        <f>+MAX(IF(AQ491&gt;AR491,AR491-AQ490,AP491),0)</f>
      </c>
      <c r="AT491" s="748">
        <f>+AP491-AS491</f>
      </c>
      <c r="AU491" s="217">
        <f>+_xlfn.IFNA(VLOOKUP(AJ491,$AF$7:$AI$1066,4,0),0)</f>
      </c>
      <c r="AV491" s="217">
        <f>+IF(W491&gt;W490,AU491,AV490+AU491)</f>
      </c>
      <c r="AW491" s="217">
        <f>+MAX($AM$2-SUMIF($W$7:$W$1066,W491,$AN$7:$AN$1066)-SUMIF($W$7:$W$1066,W491,$AS$7:$AS$1066),0)</f>
      </c>
      <c r="AX491" s="748">
        <f>+MAX(IF(AV491&gt;AW491,AW491-AV490,AU491),0)</f>
      </c>
      <c r="AY491" s="748">
        <f>+AU491-AX491</f>
      </c>
      <c r="AZ491" s="331">
        <f>+$AM$1+IF($AP$1&gt;$AP$2,$AM$3/2)</f>
      </c>
    </row>
    <row x14ac:dyDescent="0.25" r="492" customHeight="1" ht="18.75">
      <c r="A492" s="1"/>
      <c r="B492" s="7"/>
      <c r="C492" s="170"/>
      <c r="D492" s="331">
        <v>485</v>
      </c>
      <c r="E492" s="544">
        <f>+DATE(YEAR(E491),MONTH(E491)-1,DAY(E491))</f>
        <v>25569.041666666668</v>
      </c>
      <c r="F492" s="333">
        <f>IF(DATE(YEAR($B$6),MONTH($B$6)+1,DAY(1))=E492,1,IF(MONTH(E492)=1,F493*(1+$F$5),F493))</f>
      </c>
      <c r="G492" s="333">
        <f>IF('Simulador - 1º Pilar'!$E$99="Sí",IF('Aportaciones PPE'!$B$13&lt;'Aportaciones PPE'!E492,0,F492*$B$8/12),F492*$B$8/12)</f>
      </c>
      <c r="H492" s="333">
        <f>$H$5*G492</f>
      </c>
      <c r="I492" s="333">
        <f>$I$5*G492</f>
      </c>
      <c r="J492" s="333">
        <f>+I492</f>
      </c>
      <c r="K492" s="333">
        <f>(1+$O$5)^(D492/12)*(H492+IF(AND(F492=1,F493=0),$S$4,0))</f>
      </c>
      <c r="L492" s="333">
        <f>(1+$O$5)^(D492/12)*(I492+IF(AND(F492=1,F493=0),0))</f>
      </c>
      <c r="M492" s="333">
        <f>+L492</f>
      </c>
      <c r="N492" s="333">
        <f>L492+K492+M492</f>
      </c>
      <c r="O492" s="170"/>
      <c r="P492" s="7"/>
      <c r="Q492" s="1"/>
      <c r="R492" s="331">
        <f>D492</f>
      </c>
      <c r="S492" s="169"/>
      <c r="T492" s="1"/>
      <c r="U492" s="217"/>
      <c r="V492" s="331">
        <f>+IF(V491=11,12,IF(V491=12,1,V491+1))</f>
      </c>
      <c r="W492" s="331">
        <f>+W491+IF(V491=12,1,0)</f>
      </c>
      <c r="X492" s="555">
        <f>+DATE(W492,V492,1)</f>
        <v>25569.041666666668</v>
      </c>
      <c r="Y492" s="333">
        <f>+_xlfn.IFNA(AN492+AS492+AX492,0)</f>
      </c>
      <c r="Z492" s="333">
        <f>+_xlfn.IFNA(AO492+AT492+AY492,0)</f>
      </c>
      <c r="AA492" s="333">
        <f>Y492*(1+$O$5)^(($B$7-X492)/365.25)</f>
      </c>
      <c r="AB492" s="333">
        <f>Z492*(1+$O$5)^(($B$7-X492)/365.25)</f>
      </c>
      <c r="AC492" s="1"/>
      <c r="AD492" s="1"/>
      <c r="AE492" s="1"/>
      <c r="AF492" s="111">
        <f>+MONTH(E492)&amp;YEAR(E492)</f>
      </c>
      <c r="AG492" s="217">
        <f>+I492</f>
      </c>
      <c r="AH492" s="217">
        <f>+J492</f>
      </c>
      <c r="AI492" s="217">
        <f>+H492</f>
      </c>
      <c r="AJ492" s="111">
        <f>+V492&amp;W492</f>
      </c>
      <c r="AK492" s="217">
        <f>+_xlfn.IFNA(VLOOKUP(AJ492,$AF$7:$AG$1066,2,0),0)</f>
      </c>
      <c r="AL492" s="217">
        <f>+IF(W492&gt;W491,AK492,AL491+AK492)</f>
      </c>
      <c r="AM492" s="217">
        <f>IF(W492&gt;W491,IF(AL492&gt;=$AZ$8,$AZ$8,AL492),IF(OR(AM491=$AZ$8,AM491=0),0,IF(AL492&gt;=$AZ$8,$AZ$8,AL492)))</f>
      </c>
      <c r="AN492" s="748">
        <f>+IF(OR(AM492&gt;AZ491,AM492=0),0,IF(AM492=AL492,AK492,$AZ$7-AL491))</f>
      </c>
      <c r="AO492" s="748">
        <f>+AK492-AN492</f>
      </c>
      <c r="AP492" s="217">
        <f>+_xlfn.IFNA(VLOOKUP(AJ492,$AF$7:$AI$1066,3,0),0)</f>
      </c>
      <c r="AQ492" s="217">
        <f>+IF(W492&gt;W491,AP492,AQ491+AP492)</f>
      </c>
      <c r="AR492" s="217">
        <f>+MAX($AM$2-SUMIF($W$7:$W$1066,W492,$AN$7:$AN$1066),0)</f>
      </c>
      <c r="AS492" s="748">
        <f>+MAX(IF(AQ492&gt;AR492,AR492-AQ491,AP492),0)</f>
      </c>
      <c r="AT492" s="748">
        <f>+AP492-AS492</f>
      </c>
      <c r="AU492" s="217">
        <f>+_xlfn.IFNA(VLOOKUP(AJ492,$AF$7:$AI$1066,4,0),0)</f>
      </c>
      <c r="AV492" s="217">
        <f>+IF(W492&gt;W491,AU492,AV491+AU492)</f>
      </c>
      <c r="AW492" s="217">
        <f>+MAX($AM$2-SUMIF($W$7:$W$1066,W492,$AN$7:$AN$1066)-SUMIF($W$7:$W$1066,W492,$AS$7:$AS$1066),0)</f>
      </c>
      <c r="AX492" s="748">
        <f>+MAX(IF(AV492&gt;AW492,AW492-AV491,AU492),0)</f>
      </c>
      <c r="AY492" s="748">
        <f>+AU492-AX492</f>
      </c>
      <c r="AZ492" s="331">
        <f>+$AM$1+IF($AP$1&gt;$AP$2,$AM$3/2)</f>
      </c>
    </row>
    <row x14ac:dyDescent="0.25" r="493" customHeight="1" ht="18.75">
      <c r="A493" s="1"/>
      <c r="B493" s="7"/>
      <c r="C493" s="170"/>
      <c r="D493" s="331">
        <v>486</v>
      </c>
      <c r="E493" s="544">
        <f>+DATE(YEAR(E492),MONTH(E492)-1,DAY(E492))</f>
        <v>25569.041666666668</v>
      </c>
      <c r="F493" s="333">
        <f>IF(DATE(YEAR($B$6),MONTH($B$6)+1,DAY(1))=E493,1,IF(MONTH(E493)=1,F494*(1+$F$5),F494))</f>
      </c>
      <c r="G493" s="333">
        <f>IF('Simulador - 1º Pilar'!$E$99="Sí",IF('Aportaciones PPE'!$B$13&lt;'Aportaciones PPE'!E493,0,F493*$B$8/12),F493*$B$8/12)</f>
      </c>
      <c r="H493" s="333">
        <f>$H$5*G493</f>
      </c>
      <c r="I493" s="333">
        <f>$I$5*G493</f>
      </c>
      <c r="J493" s="333">
        <f>+I493</f>
      </c>
      <c r="K493" s="333">
        <f>(1+$O$5)^(D493/12)*(H493+IF(AND(F493=1,F494=0),$S$4,0))</f>
      </c>
      <c r="L493" s="333">
        <f>(1+$O$5)^(D493/12)*(I493+IF(AND(F493=1,F494=0),0))</f>
      </c>
      <c r="M493" s="333">
        <f>+L493</f>
      </c>
      <c r="N493" s="333">
        <f>L493+K493+M493</f>
      </c>
      <c r="O493" s="170"/>
      <c r="P493" s="7"/>
      <c r="Q493" s="1"/>
      <c r="R493" s="331">
        <f>D493</f>
      </c>
      <c r="S493" s="169"/>
      <c r="T493" s="1"/>
      <c r="U493" s="217"/>
      <c r="V493" s="331">
        <f>+IF(V492=11,12,IF(V492=12,1,V492+1))</f>
      </c>
      <c r="W493" s="331">
        <f>+W492+IF(V492=12,1,0)</f>
      </c>
      <c r="X493" s="555">
        <f>+DATE(W493,V493,1)</f>
        <v>25569.041666666668</v>
      </c>
      <c r="Y493" s="333">
        <f>+_xlfn.IFNA(AN493+AS493+AX493,0)</f>
      </c>
      <c r="Z493" s="333">
        <f>+_xlfn.IFNA(AO493+AT493+AY493,0)</f>
      </c>
      <c r="AA493" s="333">
        <f>Y493*(1+$O$5)^(($B$7-X493)/365.25)</f>
      </c>
      <c r="AB493" s="333">
        <f>Z493*(1+$O$5)^(($B$7-X493)/365.25)</f>
      </c>
      <c r="AC493" s="1"/>
      <c r="AD493" s="1"/>
      <c r="AE493" s="1"/>
      <c r="AF493" s="111">
        <f>+MONTH(E493)&amp;YEAR(E493)</f>
      </c>
      <c r="AG493" s="217">
        <f>+I493</f>
      </c>
      <c r="AH493" s="217">
        <f>+J493</f>
      </c>
      <c r="AI493" s="217">
        <f>+H493</f>
      </c>
      <c r="AJ493" s="111">
        <f>+V493&amp;W493</f>
      </c>
      <c r="AK493" s="217">
        <f>+_xlfn.IFNA(VLOOKUP(AJ493,$AF$7:$AG$1066,2,0),0)</f>
      </c>
      <c r="AL493" s="217">
        <f>+IF(W493&gt;W492,AK493,AL492+AK493)</f>
      </c>
      <c r="AM493" s="217">
        <f>IF(W493&gt;W492,IF(AL493&gt;=$AZ$8,$AZ$8,AL493),IF(OR(AM492=$AZ$8,AM492=0),0,IF(AL493&gt;=$AZ$8,$AZ$8,AL493)))</f>
      </c>
      <c r="AN493" s="748">
        <f>+IF(OR(AM493&gt;AZ492,AM493=0),0,IF(AM493=AL493,AK493,$AZ$7-AL492))</f>
      </c>
      <c r="AO493" s="748">
        <f>+AK493-AN493</f>
      </c>
      <c r="AP493" s="217">
        <f>+_xlfn.IFNA(VLOOKUP(AJ493,$AF$7:$AI$1066,3,0),0)</f>
      </c>
      <c r="AQ493" s="217">
        <f>+IF(W493&gt;W492,AP493,AQ492+AP493)</f>
      </c>
      <c r="AR493" s="217">
        <f>+MAX($AM$2-SUMIF($W$7:$W$1066,W493,$AN$7:$AN$1066),0)</f>
      </c>
      <c r="AS493" s="748">
        <f>+MAX(IF(AQ493&gt;AR493,AR493-AQ492,AP493),0)</f>
      </c>
      <c r="AT493" s="748">
        <f>+AP493-AS493</f>
      </c>
      <c r="AU493" s="217">
        <f>+_xlfn.IFNA(VLOOKUP(AJ493,$AF$7:$AI$1066,4,0),0)</f>
      </c>
      <c r="AV493" s="217">
        <f>+IF(W493&gt;W492,AU493,AV492+AU493)</f>
      </c>
      <c r="AW493" s="217">
        <f>+MAX($AM$2-SUMIF($W$7:$W$1066,W493,$AN$7:$AN$1066)-SUMIF($W$7:$W$1066,W493,$AS$7:$AS$1066),0)</f>
      </c>
      <c r="AX493" s="748">
        <f>+MAX(IF(AV493&gt;AW493,AW493-AV492,AU493),0)</f>
      </c>
      <c r="AY493" s="748">
        <f>+AU493-AX493</f>
      </c>
      <c r="AZ493" s="331">
        <f>+$AM$1+IF($AP$1&gt;$AP$2,$AM$3/2)</f>
      </c>
    </row>
    <row x14ac:dyDescent="0.25" r="494" customHeight="1" ht="18.75">
      <c r="A494" s="1"/>
      <c r="B494" s="7"/>
      <c r="C494" s="170"/>
      <c r="D494" s="331">
        <v>487</v>
      </c>
      <c r="E494" s="544">
        <f>+DATE(YEAR(E493),MONTH(E493)-1,DAY(E493))</f>
        <v>25569.041666666668</v>
      </c>
      <c r="F494" s="333">
        <f>IF(DATE(YEAR($B$6),MONTH($B$6)+1,DAY(1))=E494,1,IF(MONTH(E494)=1,F495*(1+$F$5),F495))</f>
      </c>
      <c r="G494" s="333">
        <f>IF('Simulador - 1º Pilar'!$E$99="Sí",IF('Aportaciones PPE'!$B$13&lt;'Aportaciones PPE'!E494,0,F494*$B$8/12),F494*$B$8/12)</f>
      </c>
      <c r="H494" s="333">
        <f>$H$5*G494</f>
      </c>
      <c r="I494" s="333">
        <f>$I$5*G494</f>
      </c>
      <c r="J494" s="333">
        <f>+I494</f>
      </c>
      <c r="K494" s="333">
        <f>(1+$O$5)^(D494/12)*(H494+IF(AND(F494=1,F495=0),$S$4,0))</f>
      </c>
      <c r="L494" s="333">
        <f>(1+$O$5)^(D494/12)*(I494+IF(AND(F494=1,F495=0),0))</f>
      </c>
      <c r="M494" s="333">
        <f>+L494</f>
      </c>
      <c r="N494" s="333">
        <f>L494+K494+M494</f>
      </c>
      <c r="O494" s="170"/>
      <c r="P494" s="7"/>
      <c r="Q494" s="1"/>
      <c r="R494" s="331">
        <f>D494</f>
      </c>
      <c r="S494" s="169"/>
      <c r="T494" s="1"/>
      <c r="U494" s="217"/>
      <c r="V494" s="331">
        <f>+IF(V493=11,12,IF(V493=12,1,V493+1))</f>
      </c>
      <c r="W494" s="331">
        <f>+W493+IF(V493=12,1,0)</f>
      </c>
      <c r="X494" s="555">
        <f>+DATE(W494,V494,1)</f>
        <v>25569.041666666668</v>
      </c>
      <c r="Y494" s="333">
        <f>+_xlfn.IFNA(AN494+AS494+AX494,0)</f>
      </c>
      <c r="Z494" s="333">
        <f>+_xlfn.IFNA(AO494+AT494+AY494,0)</f>
      </c>
      <c r="AA494" s="333">
        <f>Y494*(1+$O$5)^(($B$7-X494)/365.25)</f>
      </c>
      <c r="AB494" s="333">
        <f>Z494*(1+$O$5)^(($B$7-X494)/365.25)</f>
      </c>
      <c r="AC494" s="1"/>
      <c r="AD494" s="1"/>
      <c r="AE494" s="1"/>
      <c r="AF494" s="111">
        <f>+MONTH(E494)&amp;YEAR(E494)</f>
      </c>
      <c r="AG494" s="217">
        <f>+I494</f>
      </c>
      <c r="AH494" s="217">
        <f>+J494</f>
      </c>
      <c r="AI494" s="217">
        <f>+H494</f>
      </c>
      <c r="AJ494" s="111">
        <f>+V494&amp;W494</f>
      </c>
      <c r="AK494" s="217">
        <f>+_xlfn.IFNA(VLOOKUP(AJ494,$AF$7:$AG$1066,2,0),0)</f>
      </c>
      <c r="AL494" s="217">
        <f>+IF(W494&gt;W493,AK494,AL493+AK494)</f>
      </c>
      <c r="AM494" s="217">
        <f>IF(W494&gt;W493,IF(AL494&gt;=$AZ$8,$AZ$8,AL494),IF(OR(AM493=$AZ$8,AM493=0),0,IF(AL494&gt;=$AZ$8,$AZ$8,AL494)))</f>
      </c>
      <c r="AN494" s="748">
        <f>+IF(OR(AM494&gt;AZ493,AM494=0),0,IF(AM494=AL494,AK494,$AZ$7-AL493))</f>
      </c>
      <c r="AO494" s="748">
        <f>+AK494-AN494</f>
      </c>
      <c r="AP494" s="217">
        <f>+_xlfn.IFNA(VLOOKUP(AJ494,$AF$7:$AI$1066,3,0),0)</f>
      </c>
      <c r="AQ494" s="217">
        <f>+IF(W494&gt;W493,AP494,AQ493+AP494)</f>
      </c>
      <c r="AR494" s="217">
        <f>+MAX($AM$2-SUMIF($W$7:$W$1066,W494,$AN$7:$AN$1066),0)</f>
      </c>
      <c r="AS494" s="748">
        <f>+MAX(IF(AQ494&gt;AR494,AR494-AQ493,AP494),0)</f>
      </c>
      <c r="AT494" s="748">
        <f>+AP494-AS494</f>
      </c>
      <c r="AU494" s="217">
        <f>+_xlfn.IFNA(VLOOKUP(AJ494,$AF$7:$AI$1066,4,0),0)</f>
      </c>
      <c r="AV494" s="217">
        <f>+IF(W494&gt;W493,AU494,AV493+AU494)</f>
      </c>
      <c r="AW494" s="217">
        <f>+MAX($AM$2-SUMIF($W$7:$W$1066,W494,$AN$7:$AN$1066)-SUMIF($W$7:$W$1066,W494,$AS$7:$AS$1066),0)</f>
      </c>
      <c r="AX494" s="748">
        <f>+MAX(IF(AV494&gt;AW494,AW494-AV493,AU494),0)</f>
      </c>
      <c r="AY494" s="748">
        <f>+AU494-AX494</f>
      </c>
      <c r="AZ494" s="331">
        <f>+$AM$1+IF($AP$1&gt;$AP$2,$AM$3/2)</f>
      </c>
    </row>
    <row x14ac:dyDescent="0.25" r="495" customHeight="1" ht="18.75">
      <c r="A495" s="1"/>
      <c r="B495" s="7"/>
      <c r="C495" s="170"/>
      <c r="D495" s="331">
        <v>488</v>
      </c>
      <c r="E495" s="544">
        <f>+DATE(YEAR(E494),MONTH(E494)-1,DAY(E494))</f>
        <v>25569.041666666668</v>
      </c>
      <c r="F495" s="333">
        <f>IF(DATE(YEAR($B$6),MONTH($B$6)+1,DAY(1))=E495,1,IF(MONTH(E495)=1,F496*(1+$F$5),F496))</f>
      </c>
      <c r="G495" s="333">
        <f>IF('Simulador - 1º Pilar'!$E$99="Sí",IF('Aportaciones PPE'!$B$13&lt;'Aportaciones PPE'!E495,0,F495*$B$8/12),F495*$B$8/12)</f>
      </c>
      <c r="H495" s="333">
        <f>$H$5*G495</f>
      </c>
      <c r="I495" s="333">
        <f>$I$5*G495</f>
      </c>
      <c r="J495" s="333">
        <f>+I495</f>
      </c>
      <c r="K495" s="333">
        <f>(1+$O$5)^(D495/12)*(H495+IF(AND(F495=1,F496=0),$S$4,0))</f>
      </c>
      <c r="L495" s="333">
        <f>(1+$O$5)^(D495/12)*(I495+IF(AND(F495=1,F496=0),0))</f>
      </c>
      <c r="M495" s="333">
        <f>+L495</f>
      </c>
      <c r="N495" s="333">
        <f>L495+K495+M495</f>
      </c>
      <c r="O495" s="170"/>
      <c r="P495" s="7"/>
      <c r="Q495" s="1"/>
      <c r="R495" s="331">
        <f>D495</f>
      </c>
      <c r="S495" s="169"/>
      <c r="T495" s="1"/>
      <c r="U495" s="217"/>
      <c r="V495" s="331">
        <f>+IF(V494=11,12,IF(V494=12,1,V494+1))</f>
      </c>
      <c r="W495" s="331">
        <f>+W494+IF(V494=12,1,0)</f>
      </c>
      <c r="X495" s="555">
        <f>+DATE(W495,V495,1)</f>
        <v>25569.041666666668</v>
      </c>
      <c r="Y495" s="333">
        <f>+_xlfn.IFNA(AN495+AS495+AX495,0)</f>
      </c>
      <c r="Z495" s="333">
        <f>+_xlfn.IFNA(AO495+AT495+AY495,0)</f>
      </c>
      <c r="AA495" s="333">
        <f>Y495*(1+$O$5)^(($B$7-X495)/365.25)</f>
      </c>
      <c r="AB495" s="333">
        <f>Z495*(1+$O$5)^(($B$7-X495)/365.25)</f>
      </c>
      <c r="AC495" s="1"/>
      <c r="AD495" s="1"/>
      <c r="AE495" s="1"/>
      <c r="AF495" s="111">
        <f>+MONTH(E495)&amp;YEAR(E495)</f>
      </c>
      <c r="AG495" s="217">
        <f>+I495</f>
      </c>
      <c r="AH495" s="217">
        <f>+J495</f>
      </c>
      <c r="AI495" s="217">
        <f>+H495</f>
      </c>
      <c r="AJ495" s="111">
        <f>+V495&amp;W495</f>
      </c>
      <c r="AK495" s="217">
        <f>+_xlfn.IFNA(VLOOKUP(AJ495,$AF$7:$AG$1066,2,0),0)</f>
      </c>
      <c r="AL495" s="217">
        <f>+IF(W495&gt;W494,AK495,AL494+AK495)</f>
      </c>
      <c r="AM495" s="217">
        <f>IF(W495&gt;W494,IF(AL495&gt;=$AZ$8,$AZ$8,AL495),IF(OR(AM494=$AZ$8,AM494=0),0,IF(AL495&gt;=$AZ$8,$AZ$8,AL495)))</f>
      </c>
      <c r="AN495" s="748">
        <f>+IF(OR(AM495&gt;AZ494,AM495=0),0,IF(AM495=AL495,AK495,$AZ$7-AL494))</f>
      </c>
      <c r="AO495" s="748">
        <f>+AK495-AN495</f>
      </c>
      <c r="AP495" s="217">
        <f>+_xlfn.IFNA(VLOOKUP(AJ495,$AF$7:$AI$1066,3,0),0)</f>
      </c>
      <c r="AQ495" s="217">
        <f>+IF(W495&gt;W494,AP495,AQ494+AP495)</f>
      </c>
      <c r="AR495" s="217">
        <f>+MAX($AM$2-SUMIF($W$7:$W$1066,W495,$AN$7:$AN$1066),0)</f>
      </c>
      <c r="AS495" s="748">
        <f>+MAX(IF(AQ495&gt;AR495,AR495-AQ494,AP495),0)</f>
      </c>
      <c r="AT495" s="748">
        <f>+AP495-AS495</f>
      </c>
      <c r="AU495" s="217">
        <f>+_xlfn.IFNA(VLOOKUP(AJ495,$AF$7:$AI$1066,4,0),0)</f>
      </c>
      <c r="AV495" s="217">
        <f>+IF(W495&gt;W494,AU495,AV494+AU495)</f>
      </c>
      <c r="AW495" s="217">
        <f>+MAX($AM$2-SUMIF($W$7:$W$1066,W495,$AN$7:$AN$1066)-SUMIF($W$7:$W$1066,W495,$AS$7:$AS$1066),0)</f>
      </c>
      <c r="AX495" s="748">
        <f>+MAX(IF(AV495&gt;AW495,AW495-AV494,AU495),0)</f>
      </c>
      <c r="AY495" s="748">
        <f>+AU495-AX495</f>
      </c>
      <c r="AZ495" s="331">
        <f>+$AM$1+IF($AP$1&gt;$AP$2,$AM$3/2)</f>
      </c>
    </row>
    <row x14ac:dyDescent="0.25" r="496" customHeight="1" ht="18.75">
      <c r="A496" s="1"/>
      <c r="B496" s="7"/>
      <c r="C496" s="170"/>
      <c r="D496" s="331">
        <v>489</v>
      </c>
      <c r="E496" s="544">
        <f>+DATE(YEAR(E495),MONTH(E495)-1,DAY(E495))</f>
        <v>25569.041666666668</v>
      </c>
      <c r="F496" s="333">
        <f>IF(DATE(YEAR($B$6),MONTH($B$6)+1,DAY(1))=E496,1,IF(MONTH(E496)=1,F497*(1+$F$5),F497))</f>
      </c>
      <c r="G496" s="333">
        <f>IF('Simulador - 1º Pilar'!$E$99="Sí",IF('Aportaciones PPE'!$B$13&lt;'Aportaciones PPE'!E496,0,F496*$B$8/12),F496*$B$8/12)</f>
      </c>
      <c r="H496" s="333">
        <f>$H$5*G496</f>
      </c>
      <c r="I496" s="333">
        <f>$I$5*G496</f>
      </c>
      <c r="J496" s="333">
        <f>+I496</f>
      </c>
      <c r="K496" s="333">
        <f>(1+$O$5)^(D496/12)*(H496+IF(AND(F496=1,F497=0),$S$4,0))</f>
      </c>
      <c r="L496" s="333">
        <f>(1+$O$5)^(D496/12)*(I496+IF(AND(F496=1,F497=0),0))</f>
      </c>
      <c r="M496" s="333">
        <f>+L496</f>
      </c>
      <c r="N496" s="333">
        <f>L496+K496+M496</f>
      </c>
      <c r="O496" s="170"/>
      <c r="P496" s="7"/>
      <c r="Q496" s="1"/>
      <c r="R496" s="331">
        <f>D496</f>
      </c>
      <c r="S496" s="169"/>
      <c r="T496" s="1"/>
      <c r="U496" s="217"/>
      <c r="V496" s="331">
        <f>+IF(V495=11,12,IF(V495=12,1,V495+1))</f>
      </c>
      <c r="W496" s="331">
        <f>+W495+IF(V495=12,1,0)</f>
      </c>
      <c r="X496" s="555">
        <f>+DATE(W496,V496,1)</f>
        <v>25569.041666666668</v>
      </c>
      <c r="Y496" s="333">
        <f>+_xlfn.IFNA(AN496+AS496+AX496,0)</f>
      </c>
      <c r="Z496" s="333">
        <f>+_xlfn.IFNA(AO496+AT496+AY496,0)</f>
      </c>
      <c r="AA496" s="333">
        <f>Y496*(1+$O$5)^(($B$7-X496)/365.25)</f>
      </c>
      <c r="AB496" s="333">
        <f>Z496*(1+$O$5)^(($B$7-X496)/365.25)</f>
      </c>
      <c r="AC496" s="1"/>
      <c r="AD496" s="1"/>
      <c r="AE496" s="1"/>
      <c r="AF496" s="111">
        <f>+MONTH(E496)&amp;YEAR(E496)</f>
      </c>
      <c r="AG496" s="217">
        <f>+I496</f>
      </c>
      <c r="AH496" s="217">
        <f>+J496</f>
      </c>
      <c r="AI496" s="217">
        <f>+H496</f>
      </c>
      <c r="AJ496" s="111">
        <f>+V496&amp;W496</f>
      </c>
      <c r="AK496" s="217">
        <f>+_xlfn.IFNA(VLOOKUP(AJ496,$AF$7:$AG$1066,2,0),0)</f>
      </c>
      <c r="AL496" s="217">
        <f>+IF(W496&gt;W495,AK496,AL495+AK496)</f>
      </c>
      <c r="AM496" s="217">
        <f>IF(W496&gt;W495,IF(AL496&gt;=$AZ$8,$AZ$8,AL496),IF(OR(AM495=$AZ$8,AM495=0),0,IF(AL496&gt;=$AZ$8,$AZ$8,AL496)))</f>
      </c>
      <c r="AN496" s="748">
        <f>+IF(OR(AM496&gt;AZ495,AM496=0),0,IF(AM496=AL496,AK496,$AZ$7-AL495))</f>
      </c>
      <c r="AO496" s="748">
        <f>+AK496-AN496</f>
      </c>
      <c r="AP496" s="217">
        <f>+_xlfn.IFNA(VLOOKUP(AJ496,$AF$7:$AI$1066,3,0),0)</f>
      </c>
      <c r="AQ496" s="217">
        <f>+IF(W496&gt;W495,AP496,AQ495+AP496)</f>
      </c>
      <c r="AR496" s="217">
        <f>+MAX($AM$2-SUMIF($W$7:$W$1066,W496,$AN$7:$AN$1066),0)</f>
      </c>
      <c r="AS496" s="748">
        <f>+MAX(IF(AQ496&gt;AR496,AR496-AQ495,AP496),0)</f>
      </c>
      <c r="AT496" s="748">
        <f>+AP496-AS496</f>
      </c>
      <c r="AU496" s="217">
        <f>+_xlfn.IFNA(VLOOKUP(AJ496,$AF$7:$AI$1066,4,0),0)</f>
      </c>
      <c r="AV496" s="217">
        <f>+IF(W496&gt;W495,AU496,AV495+AU496)</f>
      </c>
      <c r="AW496" s="217">
        <f>+MAX($AM$2-SUMIF($W$7:$W$1066,W496,$AN$7:$AN$1066)-SUMIF($W$7:$W$1066,W496,$AS$7:$AS$1066),0)</f>
      </c>
      <c r="AX496" s="748">
        <f>+MAX(IF(AV496&gt;AW496,AW496-AV495,AU496),0)</f>
      </c>
      <c r="AY496" s="748">
        <f>+AU496-AX496</f>
      </c>
      <c r="AZ496" s="331">
        <f>+$AM$1+IF($AP$1&gt;$AP$2,$AM$3/2)</f>
      </c>
    </row>
    <row x14ac:dyDescent="0.25" r="497" customHeight="1" ht="18.75">
      <c r="A497" s="1"/>
      <c r="B497" s="7"/>
      <c r="C497" s="170"/>
      <c r="D497" s="331">
        <v>490</v>
      </c>
      <c r="E497" s="544">
        <f>+DATE(YEAR(E496),MONTH(E496)-1,DAY(E496))</f>
        <v>25569.041666666668</v>
      </c>
      <c r="F497" s="333">
        <f>IF(DATE(YEAR($B$6),MONTH($B$6)+1,DAY(1))=E497,1,IF(MONTH(E497)=1,F498*(1+$F$5),F498))</f>
      </c>
      <c r="G497" s="333">
        <f>IF('Simulador - 1º Pilar'!$E$99="Sí",IF('Aportaciones PPE'!$B$13&lt;'Aportaciones PPE'!E497,0,F497*$B$8/12),F497*$B$8/12)</f>
      </c>
      <c r="H497" s="333">
        <f>$H$5*G497</f>
      </c>
      <c r="I497" s="333">
        <f>$I$5*G497</f>
      </c>
      <c r="J497" s="333">
        <f>+I497</f>
      </c>
      <c r="K497" s="333">
        <f>(1+$O$5)^(D497/12)*(H497+IF(AND(F497=1,F498=0),$S$4,0))</f>
      </c>
      <c r="L497" s="333">
        <f>(1+$O$5)^(D497/12)*(I497+IF(AND(F497=1,F498=0),0))</f>
      </c>
      <c r="M497" s="333">
        <f>+L497</f>
      </c>
      <c r="N497" s="333">
        <f>L497+K497+M497</f>
      </c>
      <c r="O497" s="170"/>
      <c r="P497" s="7"/>
      <c r="Q497" s="1"/>
      <c r="R497" s="331">
        <f>D497</f>
      </c>
      <c r="S497" s="169"/>
      <c r="T497" s="1"/>
      <c r="U497" s="217"/>
      <c r="V497" s="331">
        <f>+IF(V496=11,12,IF(V496=12,1,V496+1))</f>
      </c>
      <c r="W497" s="331">
        <f>+W496+IF(V496=12,1,0)</f>
      </c>
      <c r="X497" s="555">
        <f>+DATE(W497,V497,1)</f>
        <v>25569.041666666668</v>
      </c>
      <c r="Y497" s="333">
        <f>+_xlfn.IFNA(AN497+AS497+AX497,0)</f>
      </c>
      <c r="Z497" s="333">
        <f>+_xlfn.IFNA(AO497+AT497+AY497,0)</f>
      </c>
      <c r="AA497" s="333">
        <f>Y497*(1+$O$5)^(($B$7-X497)/365.25)</f>
      </c>
      <c r="AB497" s="333">
        <f>Z497*(1+$O$5)^(($B$7-X497)/365.25)</f>
      </c>
      <c r="AC497" s="1"/>
      <c r="AD497" s="1"/>
      <c r="AE497" s="1"/>
      <c r="AF497" s="111">
        <f>+MONTH(E497)&amp;YEAR(E497)</f>
      </c>
      <c r="AG497" s="217">
        <f>+I497</f>
      </c>
      <c r="AH497" s="217">
        <f>+J497</f>
      </c>
      <c r="AI497" s="217">
        <f>+H497</f>
      </c>
      <c r="AJ497" s="111">
        <f>+V497&amp;W497</f>
      </c>
      <c r="AK497" s="217">
        <f>+_xlfn.IFNA(VLOOKUP(AJ497,$AF$7:$AG$1066,2,0),0)</f>
      </c>
      <c r="AL497" s="217">
        <f>+IF(W497&gt;W496,AK497,AL496+AK497)</f>
      </c>
      <c r="AM497" s="217">
        <f>IF(W497&gt;W496,IF(AL497&gt;=$AZ$8,$AZ$8,AL497),IF(OR(AM496=$AZ$8,AM496=0),0,IF(AL497&gt;=$AZ$8,$AZ$8,AL497)))</f>
      </c>
      <c r="AN497" s="748">
        <f>+IF(OR(AM497&gt;AZ496,AM497=0),0,IF(AM497=AL497,AK497,$AZ$7-AL496))</f>
      </c>
      <c r="AO497" s="748">
        <f>+AK497-AN497</f>
      </c>
      <c r="AP497" s="217">
        <f>+_xlfn.IFNA(VLOOKUP(AJ497,$AF$7:$AI$1066,3,0),0)</f>
      </c>
      <c r="AQ497" s="217">
        <f>+IF(W497&gt;W496,AP497,AQ496+AP497)</f>
      </c>
      <c r="AR497" s="217">
        <f>+MAX($AM$2-SUMIF($W$7:$W$1066,W497,$AN$7:$AN$1066),0)</f>
      </c>
      <c r="AS497" s="748">
        <f>+MAX(IF(AQ497&gt;AR497,AR497-AQ496,AP497),0)</f>
      </c>
      <c r="AT497" s="748">
        <f>+AP497-AS497</f>
      </c>
      <c r="AU497" s="217">
        <f>+_xlfn.IFNA(VLOOKUP(AJ497,$AF$7:$AI$1066,4,0),0)</f>
      </c>
      <c r="AV497" s="217">
        <f>+IF(W497&gt;W496,AU497,AV496+AU497)</f>
      </c>
      <c r="AW497" s="217">
        <f>+MAX($AM$2-SUMIF($W$7:$W$1066,W497,$AN$7:$AN$1066)-SUMIF($W$7:$W$1066,W497,$AS$7:$AS$1066),0)</f>
      </c>
      <c r="AX497" s="748">
        <f>+MAX(IF(AV497&gt;AW497,AW497-AV496,AU497),0)</f>
      </c>
      <c r="AY497" s="748">
        <f>+AU497-AX497</f>
      </c>
      <c r="AZ497" s="331">
        <f>+$AM$1+IF($AP$1&gt;$AP$2,$AM$3/2)</f>
      </c>
    </row>
    <row x14ac:dyDescent="0.25" r="498" customHeight="1" ht="18.75">
      <c r="A498" s="1"/>
      <c r="B498" s="7"/>
      <c r="C498" s="170"/>
      <c r="D498" s="331">
        <v>491</v>
      </c>
      <c r="E498" s="544">
        <f>+DATE(YEAR(E497),MONTH(E497)-1,DAY(E497))</f>
        <v>25569.041666666668</v>
      </c>
      <c r="F498" s="333">
        <f>IF(DATE(YEAR($B$6),MONTH($B$6)+1,DAY(1))=E498,1,IF(MONTH(E498)=1,F499*(1+$F$5),F499))</f>
      </c>
      <c r="G498" s="333">
        <f>IF('Simulador - 1º Pilar'!$E$99="Sí",IF('Aportaciones PPE'!$B$13&lt;'Aportaciones PPE'!E498,0,F498*$B$8/12),F498*$B$8/12)</f>
      </c>
      <c r="H498" s="333">
        <f>$H$5*G498</f>
      </c>
      <c r="I498" s="333">
        <f>$I$5*G498</f>
      </c>
      <c r="J498" s="333">
        <f>+I498</f>
      </c>
      <c r="K498" s="333">
        <f>(1+$O$5)^(D498/12)*(H498+IF(AND(F498=1,F499=0),$S$4,0))</f>
      </c>
      <c r="L498" s="333">
        <f>(1+$O$5)^(D498/12)*(I498+IF(AND(F498=1,F499=0),0))</f>
      </c>
      <c r="M498" s="333">
        <f>+L498</f>
      </c>
      <c r="N498" s="333">
        <f>L498+K498+M498</f>
      </c>
      <c r="O498" s="170"/>
      <c r="P498" s="7"/>
      <c r="Q498" s="1"/>
      <c r="R498" s="331">
        <f>D498</f>
      </c>
      <c r="S498" s="169"/>
      <c r="T498" s="1"/>
      <c r="U498" s="217"/>
      <c r="V498" s="331">
        <f>+IF(V497=11,12,IF(V497=12,1,V497+1))</f>
      </c>
      <c r="W498" s="331">
        <f>+W497+IF(V497=12,1,0)</f>
      </c>
      <c r="X498" s="555">
        <f>+DATE(W498,V498,1)</f>
        <v>25569.041666666668</v>
      </c>
      <c r="Y498" s="333">
        <f>+_xlfn.IFNA(AN498+AS498+AX498,0)</f>
      </c>
      <c r="Z498" s="333">
        <f>+_xlfn.IFNA(AO498+AT498+AY498,0)</f>
      </c>
      <c r="AA498" s="333">
        <f>Y498*(1+$O$5)^(($B$7-X498)/365.25)</f>
      </c>
      <c r="AB498" s="333">
        <f>Z498*(1+$O$5)^(($B$7-X498)/365.25)</f>
      </c>
      <c r="AC498" s="1"/>
      <c r="AD498" s="1"/>
      <c r="AE498" s="1"/>
      <c r="AF498" s="111">
        <f>+MONTH(E498)&amp;YEAR(E498)</f>
      </c>
      <c r="AG498" s="217">
        <f>+I498</f>
      </c>
      <c r="AH498" s="217">
        <f>+J498</f>
      </c>
      <c r="AI498" s="217">
        <f>+H498</f>
      </c>
      <c r="AJ498" s="111">
        <f>+V498&amp;W498</f>
      </c>
      <c r="AK498" s="217">
        <f>+_xlfn.IFNA(VLOOKUP(AJ498,$AF$7:$AG$1066,2,0),0)</f>
      </c>
      <c r="AL498" s="217">
        <f>+IF(W498&gt;W497,AK498,AL497+AK498)</f>
      </c>
      <c r="AM498" s="217">
        <f>IF(W498&gt;W497,IF(AL498&gt;=$AZ$8,$AZ$8,AL498),IF(OR(AM497=$AZ$8,AM497=0),0,IF(AL498&gt;=$AZ$8,$AZ$8,AL498)))</f>
      </c>
      <c r="AN498" s="748">
        <f>+IF(OR(AM498&gt;AZ497,AM498=0),0,IF(AM498=AL498,AK498,$AZ$7-AL497))</f>
      </c>
      <c r="AO498" s="748">
        <f>+AK498-AN498</f>
      </c>
      <c r="AP498" s="217">
        <f>+_xlfn.IFNA(VLOOKUP(AJ498,$AF$7:$AI$1066,3,0),0)</f>
      </c>
      <c r="AQ498" s="217">
        <f>+IF(W498&gt;W497,AP498,AQ497+AP498)</f>
      </c>
      <c r="AR498" s="217">
        <f>+MAX($AM$2-SUMIF($W$7:$W$1066,W498,$AN$7:$AN$1066),0)</f>
      </c>
      <c r="AS498" s="748">
        <f>+MAX(IF(AQ498&gt;AR498,AR498-AQ497,AP498),0)</f>
      </c>
      <c r="AT498" s="748">
        <f>+AP498-AS498</f>
      </c>
      <c r="AU498" s="217">
        <f>+_xlfn.IFNA(VLOOKUP(AJ498,$AF$7:$AI$1066,4,0),0)</f>
      </c>
      <c r="AV498" s="217">
        <f>+IF(W498&gt;W497,AU498,AV497+AU498)</f>
      </c>
      <c r="AW498" s="217">
        <f>+MAX($AM$2-SUMIF($W$7:$W$1066,W498,$AN$7:$AN$1066)-SUMIF($W$7:$W$1066,W498,$AS$7:$AS$1066),0)</f>
      </c>
      <c r="AX498" s="748">
        <f>+MAX(IF(AV498&gt;AW498,AW498-AV497,AU498),0)</f>
      </c>
      <c r="AY498" s="748">
        <f>+AU498-AX498</f>
      </c>
      <c r="AZ498" s="331">
        <f>+$AM$1+IF($AP$1&gt;$AP$2,$AM$3/2)</f>
      </c>
    </row>
    <row x14ac:dyDescent="0.25" r="499" customHeight="1" ht="18.75">
      <c r="A499" s="1"/>
      <c r="B499" s="7"/>
      <c r="C499" s="170"/>
      <c r="D499" s="331">
        <v>492</v>
      </c>
      <c r="E499" s="544">
        <f>+DATE(YEAR(E498),MONTH(E498)-1,DAY(E498))</f>
        <v>25569.041666666668</v>
      </c>
      <c r="F499" s="333">
        <f>IF(DATE(YEAR($B$6),MONTH($B$6)+1,DAY(1))=E499,1,IF(MONTH(E499)=1,F500*(1+$F$5),F500))</f>
      </c>
      <c r="G499" s="333">
        <f>IF('Simulador - 1º Pilar'!$E$99="Sí",IF('Aportaciones PPE'!$B$13&lt;'Aportaciones PPE'!E499,0,F499*$B$8/12),F499*$B$8/12)</f>
      </c>
      <c r="H499" s="333">
        <f>$H$5*G499</f>
      </c>
      <c r="I499" s="333">
        <f>$I$5*G499</f>
      </c>
      <c r="J499" s="333">
        <f>+I499</f>
      </c>
      <c r="K499" s="333">
        <f>(1+$O$5)^(D499/12)*(H499+IF(AND(F499=1,F500=0),$S$4,0))</f>
      </c>
      <c r="L499" s="333">
        <f>(1+$O$5)^(D499/12)*(I499+IF(AND(F499=1,F500=0),0))</f>
      </c>
      <c r="M499" s="333">
        <f>+L499</f>
      </c>
      <c r="N499" s="333">
        <f>L499+K499+M499</f>
      </c>
      <c r="O499" s="170"/>
      <c r="P499" s="7"/>
      <c r="Q499" s="1"/>
      <c r="R499" s="331">
        <f>D499</f>
      </c>
      <c r="S499" s="169"/>
      <c r="T499" s="1"/>
      <c r="U499" s="217"/>
      <c r="V499" s="331">
        <f>+IF(V498=11,12,IF(V498=12,1,V498+1))</f>
      </c>
      <c r="W499" s="331">
        <f>+W498+IF(V498=12,1,0)</f>
      </c>
      <c r="X499" s="555">
        <f>+DATE(W499,V499,1)</f>
        <v>25569.041666666668</v>
      </c>
      <c r="Y499" s="333">
        <f>+_xlfn.IFNA(AN499+AS499+AX499,0)</f>
      </c>
      <c r="Z499" s="333">
        <f>+_xlfn.IFNA(AO499+AT499+AY499,0)</f>
      </c>
      <c r="AA499" s="333">
        <f>Y499*(1+$O$5)^(($B$7-X499)/365.25)</f>
      </c>
      <c r="AB499" s="333">
        <f>Z499*(1+$O$5)^(($B$7-X499)/365.25)</f>
      </c>
      <c r="AC499" s="1"/>
      <c r="AD499" s="1"/>
      <c r="AE499" s="1"/>
      <c r="AF499" s="111">
        <f>+MONTH(E499)&amp;YEAR(E499)</f>
      </c>
      <c r="AG499" s="217">
        <f>+I499</f>
      </c>
      <c r="AH499" s="217">
        <f>+J499</f>
      </c>
      <c r="AI499" s="217">
        <f>+H499</f>
      </c>
      <c r="AJ499" s="111">
        <f>+V499&amp;W499</f>
      </c>
      <c r="AK499" s="217">
        <f>+_xlfn.IFNA(VLOOKUP(AJ499,$AF$7:$AG$1066,2,0),0)</f>
      </c>
      <c r="AL499" s="217">
        <f>+IF(W499&gt;W498,AK499,AL498+AK499)</f>
      </c>
      <c r="AM499" s="217">
        <f>IF(W499&gt;W498,IF(AL499&gt;=$AZ$8,$AZ$8,AL499),IF(OR(AM498=$AZ$8,AM498=0),0,IF(AL499&gt;=$AZ$8,$AZ$8,AL499)))</f>
      </c>
      <c r="AN499" s="748">
        <f>+IF(OR(AM499&gt;AZ498,AM499=0),0,IF(AM499=AL499,AK499,$AZ$7-AL498))</f>
      </c>
      <c r="AO499" s="748">
        <f>+AK499-AN499</f>
      </c>
      <c r="AP499" s="217">
        <f>+_xlfn.IFNA(VLOOKUP(AJ499,$AF$7:$AI$1066,3,0),0)</f>
      </c>
      <c r="AQ499" s="217">
        <f>+IF(W499&gt;W498,AP499,AQ498+AP499)</f>
      </c>
      <c r="AR499" s="217">
        <f>+MAX($AM$2-SUMIF($W$7:$W$1066,W499,$AN$7:$AN$1066),0)</f>
      </c>
      <c r="AS499" s="748">
        <f>+MAX(IF(AQ499&gt;AR499,AR499-AQ498,AP499),0)</f>
      </c>
      <c r="AT499" s="748">
        <f>+AP499-AS499</f>
      </c>
      <c r="AU499" s="217">
        <f>+_xlfn.IFNA(VLOOKUP(AJ499,$AF$7:$AI$1066,4,0),0)</f>
      </c>
      <c r="AV499" s="217">
        <f>+IF(W499&gt;W498,AU499,AV498+AU499)</f>
      </c>
      <c r="AW499" s="217">
        <f>+MAX($AM$2-SUMIF($W$7:$W$1066,W499,$AN$7:$AN$1066)-SUMIF($W$7:$W$1066,W499,$AS$7:$AS$1066),0)</f>
      </c>
      <c r="AX499" s="748">
        <f>+MAX(IF(AV499&gt;AW499,AW499-AV498,AU499),0)</f>
      </c>
      <c r="AY499" s="748">
        <f>+AU499-AX499</f>
      </c>
      <c r="AZ499" s="331">
        <f>+$AM$1+IF($AP$1&gt;$AP$2,$AM$3/2)</f>
      </c>
    </row>
    <row x14ac:dyDescent="0.25" r="500" customHeight="1" ht="18.75">
      <c r="A500" s="1"/>
      <c r="B500" s="7"/>
      <c r="C500" s="170"/>
      <c r="D500" s="331">
        <v>493</v>
      </c>
      <c r="E500" s="544">
        <f>+DATE(YEAR(E499),MONTH(E499)-1,DAY(E499))</f>
        <v>25569.041666666668</v>
      </c>
      <c r="F500" s="333">
        <f>IF(DATE(YEAR($B$6),MONTH($B$6)+1,DAY(1))=E500,1,IF(MONTH(E500)=1,F501*(1+$F$5),F501))</f>
      </c>
      <c r="G500" s="333">
        <f>IF('Simulador - 1º Pilar'!$E$99="Sí",IF('Aportaciones PPE'!$B$13&lt;'Aportaciones PPE'!E500,0,F500*$B$8/12),F500*$B$8/12)</f>
      </c>
      <c r="H500" s="333">
        <f>$H$5*G500</f>
      </c>
      <c r="I500" s="333">
        <f>$I$5*G500</f>
      </c>
      <c r="J500" s="333">
        <f>+I500</f>
      </c>
      <c r="K500" s="333">
        <f>(1+$O$5)^(D500/12)*(H500+IF(AND(F500=1,F501=0),$S$4,0))</f>
      </c>
      <c r="L500" s="333">
        <f>(1+$O$5)^(D500/12)*(I500+IF(AND(F500=1,F501=0),0))</f>
      </c>
      <c r="M500" s="333">
        <f>+L500</f>
      </c>
      <c r="N500" s="333">
        <f>L500+K500+M500</f>
      </c>
      <c r="O500" s="170"/>
      <c r="P500" s="7"/>
      <c r="Q500" s="1"/>
      <c r="R500" s="331">
        <f>D500</f>
      </c>
      <c r="S500" s="169"/>
      <c r="T500" s="1"/>
      <c r="U500" s="217"/>
      <c r="V500" s="331">
        <f>+IF(V499=11,12,IF(V499=12,1,V499+1))</f>
      </c>
      <c r="W500" s="331">
        <f>+W499+IF(V499=12,1,0)</f>
      </c>
      <c r="X500" s="555">
        <f>+DATE(W500,V500,1)</f>
        <v>25569.041666666668</v>
      </c>
      <c r="Y500" s="333">
        <f>+_xlfn.IFNA(AN500+AS500+AX500,0)</f>
      </c>
      <c r="Z500" s="333">
        <f>+_xlfn.IFNA(AO500+AT500+AY500,0)</f>
      </c>
      <c r="AA500" s="333">
        <f>Y500*(1+$O$5)^(($B$7-X500)/365.25)</f>
      </c>
      <c r="AB500" s="333">
        <f>Z500*(1+$O$5)^(($B$7-X500)/365.25)</f>
      </c>
      <c r="AC500" s="1"/>
      <c r="AD500" s="1"/>
      <c r="AE500" s="1"/>
      <c r="AF500" s="111">
        <f>+MONTH(E500)&amp;YEAR(E500)</f>
      </c>
      <c r="AG500" s="217">
        <f>+I500</f>
      </c>
      <c r="AH500" s="217">
        <f>+J500</f>
      </c>
      <c r="AI500" s="217">
        <f>+H500</f>
      </c>
      <c r="AJ500" s="111">
        <f>+V500&amp;W500</f>
      </c>
      <c r="AK500" s="217">
        <f>+_xlfn.IFNA(VLOOKUP(AJ500,$AF$7:$AG$1066,2,0),0)</f>
      </c>
      <c r="AL500" s="217">
        <f>+IF(W500&gt;W499,AK500,AL499+AK500)</f>
      </c>
      <c r="AM500" s="217">
        <f>IF(W500&gt;W499,IF(AL500&gt;=$AZ$8,$AZ$8,AL500),IF(OR(AM499=$AZ$8,AM499=0),0,IF(AL500&gt;=$AZ$8,$AZ$8,AL500)))</f>
      </c>
      <c r="AN500" s="748">
        <f>+IF(OR(AM500&gt;AZ499,AM500=0),0,IF(AM500=AL500,AK500,$AZ$7-AL499))</f>
      </c>
      <c r="AO500" s="748">
        <f>+AK500-AN500</f>
      </c>
      <c r="AP500" s="217">
        <f>+_xlfn.IFNA(VLOOKUP(AJ500,$AF$7:$AI$1066,3,0),0)</f>
      </c>
      <c r="AQ500" s="217">
        <f>+IF(W500&gt;W499,AP500,AQ499+AP500)</f>
      </c>
      <c r="AR500" s="217">
        <f>+MAX($AM$2-SUMIF($W$7:$W$1066,W500,$AN$7:$AN$1066),0)</f>
      </c>
      <c r="AS500" s="748">
        <f>+MAX(IF(AQ500&gt;AR500,AR500-AQ499,AP500),0)</f>
      </c>
      <c r="AT500" s="748">
        <f>+AP500-AS500</f>
      </c>
      <c r="AU500" s="217">
        <f>+_xlfn.IFNA(VLOOKUP(AJ500,$AF$7:$AI$1066,4,0),0)</f>
      </c>
      <c r="AV500" s="217">
        <f>+IF(W500&gt;W499,AU500,AV499+AU500)</f>
      </c>
      <c r="AW500" s="217">
        <f>+MAX($AM$2-SUMIF($W$7:$W$1066,W500,$AN$7:$AN$1066)-SUMIF($W$7:$W$1066,W500,$AS$7:$AS$1066),0)</f>
      </c>
      <c r="AX500" s="748">
        <f>+MAX(IF(AV500&gt;AW500,AW500-AV499,AU500),0)</f>
      </c>
      <c r="AY500" s="748">
        <f>+AU500-AX500</f>
      </c>
      <c r="AZ500" s="331">
        <f>+$AM$1+IF($AP$1&gt;$AP$2,$AM$3/2)</f>
      </c>
    </row>
    <row x14ac:dyDescent="0.25" r="501" customHeight="1" ht="18.75">
      <c r="A501" s="1"/>
      <c r="B501" s="7"/>
      <c r="C501" s="170"/>
      <c r="D501" s="331">
        <v>494</v>
      </c>
      <c r="E501" s="544">
        <f>+DATE(YEAR(E500),MONTH(E500)-1,DAY(E500))</f>
        <v>25569.041666666668</v>
      </c>
      <c r="F501" s="333">
        <f>IF(DATE(YEAR($B$6),MONTH($B$6)+1,DAY(1))=E501,1,IF(MONTH(E501)=1,F502*(1+$F$5),F502))</f>
      </c>
      <c r="G501" s="333">
        <f>IF('Simulador - 1º Pilar'!$E$99="Sí",IF('Aportaciones PPE'!$B$13&lt;'Aportaciones PPE'!E501,0,F501*$B$8/12),F501*$B$8/12)</f>
      </c>
      <c r="H501" s="333">
        <f>$H$5*G501</f>
      </c>
      <c r="I501" s="333">
        <f>$I$5*G501</f>
      </c>
      <c r="J501" s="333">
        <f>+I501</f>
      </c>
      <c r="K501" s="333">
        <f>(1+$O$5)^(D501/12)*(H501+IF(AND(F501=1,F502=0),$S$4,0))</f>
      </c>
      <c r="L501" s="333">
        <f>(1+$O$5)^(D501/12)*(I501+IF(AND(F501=1,F502=0),0))</f>
      </c>
      <c r="M501" s="333">
        <f>+L501</f>
      </c>
      <c r="N501" s="333">
        <f>L501+K501+M501</f>
      </c>
      <c r="O501" s="170"/>
      <c r="P501" s="7"/>
      <c r="Q501" s="1"/>
      <c r="R501" s="331">
        <f>D501</f>
      </c>
      <c r="S501" s="169"/>
      <c r="T501" s="1"/>
      <c r="U501" s="217"/>
      <c r="V501" s="331">
        <f>+IF(V500=11,12,IF(V500=12,1,V500+1))</f>
      </c>
      <c r="W501" s="331">
        <f>+W500+IF(V500=12,1,0)</f>
      </c>
      <c r="X501" s="555">
        <f>+DATE(W501,V501,1)</f>
        <v>25569.041666666668</v>
      </c>
      <c r="Y501" s="333">
        <f>+_xlfn.IFNA(AN501+AS501+AX501,0)</f>
      </c>
      <c r="Z501" s="333">
        <f>+_xlfn.IFNA(AO501+AT501+AY501,0)</f>
      </c>
      <c r="AA501" s="333">
        <f>Y501*(1+$O$5)^(($B$7-X501)/365.25)</f>
      </c>
      <c r="AB501" s="333">
        <f>Z501*(1+$O$5)^(($B$7-X501)/365.25)</f>
      </c>
      <c r="AC501" s="1"/>
      <c r="AD501" s="1"/>
      <c r="AE501" s="1"/>
      <c r="AF501" s="111">
        <f>+MONTH(E501)&amp;YEAR(E501)</f>
      </c>
      <c r="AG501" s="217">
        <f>+I501</f>
      </c>
      <c r="AH501" s="217">
        <f>+J501</f>
      </c>
      <c r="AI501" s="217">
        <f>+H501</f>
      </c>
      <c r="AJ501" s="111">
        <f>+V501&amp;W501</f>
      </c>
      <c r="AK501" s="217">
        <f>+_xlfn.IFNA(VLOOKUP(AJ501,$AF$7:$AG$1066,2,0),0)</f>
      </c>
      <c r="AL501" s="217">
        <f>+IF(W501&gt;W500,AK501,AL500+AK501)</f>
      </c>
      <c r="AM501" s="217">
        <f>IF(W501&gt;W500,IF(AL501&gt;=$AZ$8,$AZ$8,AL501),IF(OR(AM500=$AZ$8,AM500=0),0,IF(AL501&gt;=$AZ$8,$AZ$8,AL501)))</f>
      </c>
      <c r="AN501" s="748">
        <f>+IF(OR(AM501&gt;AZ500,AM501=0),0,IF(AM501=AL501,AK501,$AZ$7-AL500))</f>
      </c>
      <c r="AO501" s="748">
        <f>+AK501-AN501</f>
      </c>
      <c r="AP501" s="217">
        <f>+_xlfn.IFNA(VLOOKUP(AJ501,$AF$7:$AI$1066,3,0),0)</f>
      </c>
      <c r="AQ501" s="217">
        <f>+IF(W501&gt;W500,AP501,AQ500+AP501)</f>
      </c>
      <c r="AR501" s="217">
        <f>+MAX($AM$2-SUMIF($W$7:$W$1066,W501,$AN$7:$AN$1066),0)</f>
      </c>
      <c r="AS501" s="748">
        <f>+MAX(IF(AQ501&gt;AR501,AR501-AQ500,AP501),0)</f>
      </c>
      <c r="AT501" s="748">
        <f>+AP501-AS501</f>
      </c>
      <c r="AU501" s="217">
        <f>+_xlfn.IFNA(VLOOKUP(AJ501,$AF$7:$AI$1066,4,0),0)</f>
      </c>
      <c r="AV501" s="217">
        <f>+IF(W501&gt;W500,AU501,AV500+AU501)</f>
      </c>
      <c r="AW501" s="217">
        <f>+MAX($AM$2-SUMIF($W$7:$W$1066,W501,$AN$7:$AN$1066)-SUMIF($W$7:$W$1066,W501,$AS$7:$AS$1066),0)</f>
      </c>
      <c r="AX501" s="748">
        <f>+MAX(IF(AV501&gt;AW501,AW501-AV500,AU501),0)</f>
      </c>
      <c r="AY501" s="748">
        <f>+AU501-AX501</f>
      </c>
      <c r="AZ501" s="331">
        <f>+$AM$1+IF($AP$1&gt;$AP$2,$AM$3/2)</f>
      </c>
    </row>
    <row x14ac:dyDescent="0.25" r="502" customHeight="1" ht="18.75">
      <c r="A502" s="1"/>
      <c r="B502" s="7"/>
      <c r="C502" s="170"/>
      <c r="D502" s="331">
        <v>495</v>
      </c>
      <c r="E502" s="544">
        <f>+DATE(YEAR(E501),MONTH(E501)-1,DAY(E501))</f>
        <v>25569.041666666668</v>
      </c>
      <c r="F502" s="333">
        <f>IF(DATE(YEAR($B$6),MONTH($B$6)+1,DAY(1))=E502,1,IF(MONTH(E502)=1,F503*(1+$F$5),F503))</f>
      </c>
      <c r="G502" s="333">
        <f>IF('Simulador - 1º Pilar'!$E$99="Sí",IF('Aportaciones PPE'!$B$13&lt;'Aportaciones PPE'!E502,0,F502*$B$8/12),F502*$B$8/12)</f>
      </c>
      <c r="H502" s="333">
        <f>$H$5*G502</f>
      </c>
      <c r="I502" s="333">
        <f>$I$5*G502</f>
      </c>
      <c r="J502" s="333">
        <f>+I502</f>
      </c>
      <c r="K502" s="333">
        <f>(1+$O$5)^(D502/12)*(H502+IF(AND(F502=1,F503=0),$S$4,0))</f>
      </c>
      <c r="L502" s="333">
        <f>(1+$O$5)^(D502/12)*(I502+IF(AND(F502=1,F503=0),0))</f>
      </c>
      <c r="M502" s="333">
        <f>+L502</f>
      </c>
      <c r="N502" s="333">
        <f>L502+K502+M502</f>
      </c>
      <c r="O502" s="170"/>
      <c r="P502" s="7"/>
      <c r="Q502" s="1"/>
      <c r="R502" s="331">
        <f>D502</f>
      </c>
      <c r="S502" s="169"/>
      <c r="T502" s="1"/>
      <c r="U502" s="217"/>
      <c r="V502" s="331">
        <f>+IF(V501=11,12,IF(V501=12,1,V501+1))</f>
      </c>
      <c r="W502" s="331">
        <f>+W501+IF(V501=12,1,0)</f>
      </c>
      <c r="X502" s="555">
        <f>+DATE(W502,V502,1)</f>
        <v>25569.041666666668</v>
      </c>
      <c r="Y502" s="333">
        <f>+_xlfn.IFNA(AN502+AS502+AX502,0)</f>
      </c>
      <c r="Z502" s="333">
        <f>+_xlfn.IFNA(AO502+AT502+AY502,0)</f>
      </c>
      <c r="AA502" s="333">
        <f>Y502*(1+$O$5)^(($B$7-X502)/365.25)</f>
      </c>
      <c r="AB502" s="333">
        <f>Z502*(1+$O$5)^(($B$7-X502)/365.25)</f>
      </c>
      <c r="AC502" s="1"/>
      <c r="AD502" s="1"/>
      <c r="AE502" s="1"/>
      <c r="AF502" s="111">
        <f>+MONTH(E502)&amp;YEAR(E502)</f>
      </c>
      <c r="AG502" s="217">
        <f>+I502</f>
      </c>
      <c r="AH502" s="217">
        <f>+J502</f>
      </c>
      <c r="AI502" s="217">
        <f>+H502</f>
      </c>
      <c r="AJ502" s="111">
        <f>+V502&amp;W502</f>
      </c>
      <c r="AK502" s="217">
        <f>+_xlfn.IFNA(VLOOKUP(AJ502,$AF$7:$AG$1066,2,0),0)</f>
      </c>
      <c r="AL502" s="217">
        <f>+IF(W502&gt;W501,AK502,AL501+AK502)</f>
      </c>
      <c r="AM502" s="217">
        <f>IF(W502&gt;W501,IF(AL502&gt;=$AZ$8,$AZ$8,AL502),IF(OR(AM501=$AZ$8,AM501=0),0,IF(AL502&gt;=$AZ$8,$AZ$8,AL502)))</f>
      </c>
      <c r="AN502" s="748">
        <f>+IF(OR(AM502&gt;AZ501,AM502=0),0,IF(AM502=AL502,AK502,$AZ$7-AL501))</f>
      </c>
      <c r="AO502" s="748">
        <f>+AK502-AN502</f>
      </c>
      <c r="AP502" s="217">
        <f>+_xlfn.IFNA(VLOOKUP(AJ502,$AF$7:$AI$1066,3,0),0)</f>
      </c>
      <c r="AQ502" s="217">
        <f>+IF(W502&gt;W501,AP502,AQ501+AP502)</f>
      </c>
      <c r="AR502" s="217">
        <f>+MAX($AM$2-SUMIF($W$7:$W$1066,W502,$AN$7:$AN$1066),0)</f>
      </c>
      <c r="AS502" s="748">
        <f>+MAX(IF(AQ502&gt;AR502,AR502-AQ501,AP502),0)</f>
      </c>
      <c r="AT502" s="748">
        <f>+AP502-AS502</f>
      </c>
      <c r="AU502" s="217">
        <f>+_xlfn.IFNA(VLOOKUP(AJ502,$AF$7:$AI$1066,4,0),0)</f>
      </c>
      <c r="AV502" s="217">
        <f>+IF(W502&gt;W501,AU502,AV501+AU502)</f>
      </c>
      <c r="AW502" s="217">
        <f>+MAX($AM$2-SUMIF($W$7:$W$1066,W502,$AN$7:$AN$1066)-SUMIF($W$7:$W$1066,W502,$AS$7:$AS$1066),0)</f>
      </c>
      <c r="AX502" s="748">
        <f>+MAX(IF(AV502&gt;AW502,AW502-AV501,AU502),0)</f>
      </c>
      <c r="AY502" s="748">
        <f>+AU502-AX502</f>
      </c>
      <c r="AZ502" s="331">
        <f>+$AM$1+IF($AP$1&gt;$AP$2,$AM$3/2)</f>
      </c>
    </row>
    <row x14ac:dyDescent="0.25" r="503" customHeight="1" ht="18.75">
      <c r="A503" s="1"/>
      <c r="B503" s="7"/>
      <c r="C503" s="170"/>
      <c r="D503" s="331">
        <v>496</v>
      </c>
      <c r="E503" s="544">
        <f>+DATE(YEAR(E502),MONTH(E502)-1,DAY(E502))</f>
        <v>25569.041666666668</v>
      </c>
      <c r="F503" s="333">
        <f>IF(DATE(YEAR($B$6),MONTH($B$6)+1,DAY(1))=E503,1,IF(MONTH(E503)=1,F504*(1+$F$5),F504))</f>
      </c>
      <c r="G503" s="333">
        <f>IF('Simulador - 1º Pilar'!$E$99="Sí",IF('Aportaciones PPE'!$B$13&lt;'Aportaciones PPE'!E503,0,F503*$B$8/12),F503*$B$8/12)</f>
      </c>
      <c r="H503" s="333">
        <f>$H$5*G503</f>
      </c>
      <c r="I503" s="333">
        <f>$I$5*G503</f>
      </c>
      <c r="J503" s="333">
        <f>+I503</f>
      </c>
      <c r="K503" s="333">
        <f>(1+$O$5)^(D503/12)*(H503+IF(AND(F503=1,F504=0),$S$4,0))</f>
      </c>
      <c r="L503" s="333">
        <f>(1+$O$5)^(D503/12)*(I503+IF(AND(F503=1,F504=0),0))</f>
      </c>
      <c r="M503" s="333">
        <f>+L503</f>
      </c>
      <c r="N503" s="333">
        <f>L503+K503+M503</f>
      </c>
      <c r="O503" s="170"/>
      <c r="P503" s="7"/>
      <c r="Q503" s="1"/>
      <c r="R503" s="331">
        <f>D503</f>
      </c>
      <c r="S503" s="169"/>
      <c r="T503" s="1"/>
      <c r="U503" s="217"/>
      <c r="V503" s="331">
        <f>+IF(V502=11,12,IF(V502=12,1,V502+1))</f>
      </c>
      <c r="W503" s="331">
        <f>+W502+IF(V502=12,1,0)</f>
      </c>
      <c r="X503" s="555">
        <f>+DATE(W503,V503,1)</f>
        <v>25569.041666666668</v>
      </c>
      <c r="Y503" s="333">
        <f>+_xlfn.IFNA(AN503+AS503+AX503,0)</f>
      </c>
      <c r="Z503" s="333">
        <f>+_xlfn.IFNA(AO503+AT503+AY503,0)</f>
      </c>
      <c r="AA503" s="333">
        <f>Y503*(1+$O$5)^(($B$7-X503)/365.25)</f>
      </c>
      <c r="AB503" s="333">
        <f>Z503*(1+$O$5)^(($B$7-X503)/365.25)</f>
      </c>
      <c r="AC503" s="1"/>
      <c r="AD503" s="1"/>
      <c r="AE503" s="1"/>
      <c r="AF503" s="111">
        <f>+MONTH(E503)&amp;YEAR(E503)</f>
      </c>
      <c r="AG503" s="217">
        <f>+I503</f>
      </c>
      <c r="AH503" s="217">
        <f>+J503</f>
      </c>
      <c r="AI503" s="217">
        <f>+H503</f>
      </c>
      <c r="AJ503" s="111">
        <f>+V503&amp;W503</f>
      </c>
      <c r="AK503" s="217">
        <f>+_xlfn.IFNA(VLOOKUP(AJ503,$AF$7:$AG$1066,2,0),0)</f>
      </c>
      <c r="AL503" s="217">
        <f>+IF(W503&gt;W502,AK503,AL502+AK503)</f>
      </c>
      <c r="AM503" s="217">
        <f>IF(W503&gt;W502,IF(AL503&gt;=$AZ$8,$AZ$8,AL503),IF(OR(AM502=$AZ$8,AM502=0),0,IF(AL503&gt;=$AZ$8,$AZ$8,AL503)))</f>
      </c>
      <c r="AN503" s="748">
        <f>+IF(OR(AM503&gt;AZ502,AM503=0),0,IF(AM503=AL503,AK503,$AZ$7-AL502))</f>
      </c>
      <c r="AO503" s="748">
        <f>+AK503-AN503</f>
      </c>
      <c r="AP503" s="217">
        <f>+_xlfn.IFNA(VLOOKUP(AJ503,$AF$7:$AI$1066,3,0),0)</f>
      </c>
      <c r="AQ503" s="217">
        <f>+IF(W503&gt;W502,AP503,AQ502+AP503)</f>
      </c>
      <c r="AR503" s="217">
        <f>+MAX($AM$2-SUMIF($W$7:$W$1066,W503,$AN$7:$AN$1066),0)</f>
      </c>
      <c r="AS503" s="748">
        <f>+MAX(IF(AQ503&gt;AR503,AR503-AQ502,AP503),0)</f>
      </c>
      <c r="AT503" s="748">
        <f>+AP503-AS503</f>
      </c>
      <c r="AU503" s="217">
        <f>+_xlfn.IFNA(VLOOKUP(AJ503,$AF$7:$AI$1066,4,0),0)</f>
      </c>
      <c r="AV503" s="217">
        <f>+IF(W503&gt;W502,AU503,AV502+AU503)</f>
      </c>
      <c r="AW503" s="217">
        <f>+MAX($AM$2-SUMIF($W$7:$W$1066,W503,$AN$7:$AN$1066)-SUMIF($W$7:$W$1066,W503,$AS$7:$AS$1066),0)</f>
      </c>
      <c r="AX503" s="748">
        <f>+MAX(IF(AV503&gt;AW503,AW503-AV502,AU503),0)</f>
      </c>
      <c r="AY503" s="748">
        <f>+AU503-AX503</f>
      </c>
      <c r="AZ503" s="331">
        <f>+$AM$1+IF($AP$1&gt;$AP$2,$AM$3/2)</f>
      </c>
    </row>
    <row x14ac:dyDescent="0.25" r="504" customHeight="1" ht="18.75">
      <c r="A504" s="1"/>
      <c r="B504" s="7"/>
      <c r="C504" s="170"/>
      <c r="D504" s="331">
        <v>497</v>
      </c>
      <c r="E504" s="544">
        <f>+DATE(YEAR(E503),MONTH(E503)-1,DAY(E503))</f>
        <v>25569.041666666668</v>
      </c>
      <c r="F504" s="333">
        <f>IF(DATE(YEAR($B$6),MONTH($B$6)+1,DAY(1))=E504,1,IF(MONTH(E504)=1,F505*(1+$F$5),F505))</f>
      </c>
      <c r="G504" s="333">
        <f>IF('Simulador - 1º Pilar'!$E$99="Sí",IF('Aportaciones PPE'!$B$13&lt;'Aportaciones PPE'!E504,0,F504*$B$8/12),F504*$B$8/12)</f>
      </c>
      <c r="H504" s="333">
        <f>$H$5*G504</f>
      </c>
      <c r="I504" s="333">
        <f>$I$5*G504</f>
      </c>
      <c r="J504" s="333">
        <f>+I504</f>
      </c>
      <c r="K504" s="333">
        <f>(1+$O$5)^(D504/12)*(H504+IF(AND(F504=1,F505=0),$S$4,0))</f>
      </c>
      <c r="L504" s="333">
        <f>(1+$O$5)^(D504/12)*(I504+IF(AND(F504=1,F505=0),0))</f>
      </c>
      <c r="M504" s="333">
        <f>+L504</f>
      </c>
      <c r="N504" s="333">
        <f>L504+K504+M504</f>
      </c>
      <c r="O504" s="170"/>
      <c r="P504" s="7"/>
      <c r="Q504" s="1"/>
      <c r="R504" s="331">
        <f>D504</f>
      </c>
      <c r="S504" s="169"/>
      <c r="T504" s="1"/>
      <c r="U504" s="217"/>
      <c r="V504" s="331">
        <f>+IF(V503=11,12,IF(V503=12,1,V503+1))</f>
      </c>
      <c r="W504" s="331">
        <f>+W503+IF(V503=12,1,0)</f>
      </c>
      <c r="X504" s="555">
        <f>+DATE(W504,V504,1)</f>
        <v>25569.041666666668</v>
      </c>
      <c r="Y504" s="333">
        <f>+_xlfn.IFNA(AN504+AS504+AX504,0)</f>
      </c>
      <c r="Z504" s="333">
        <f>+_xlfn.IFNA(AO504+AT504+AY504,0)</f>
      </c>
      <c r="AA504" s="333">
        <f>Y504*(1+$O$5)^(($B$7-X504)/365.25)</f>
      </c>
      <c r="AB504" s="333">
        <f>Z504*(1+$O$5)^(($B$7-X504)/365.25)</f>
      </c>
      <c r="AC504" s="1"/>
      <c r="AD504" s="1"/>
      <c r="AE504" s="1"/>
      <c r="AF504" s="111">
        <f>+MONTH(E504)&amp;YEAR(E504)</f>
      </c>
      <c r="AG504" s="217">
        <f>+I504</f>
      </c>
      <c r="AH504" s="217">
        <f>+J504</f>
      </c>
      <c r="AI504" s="217">
        <f>+H504</f>
      </c>
      <c r="AJ504" s="111">
        <f>+V504&amp;W504</f>
      </c>
      <c r="AK504" s="217">
        <f>+_xlfn.IFNA(VLOOKUP(AJ504,$AF$7:$AG$1066,2,0),0)</f>
      </c>
      <c r="AL504" s="217">
        <f>+IF(W504&gt;W503,AK504,AL503+AK504)</f>
      </c>
      <c r="AM504" s="217">
        <f>IF(W504&gt;W503,IF(AL504&gt;=$AZ$8,$AZ$8,AL504),IF(OR(AM503=$AZ$8,AM503=0),0,IF(AL504&gt;=$AZ$8,$AZ$8,AL504)))</f>
      </c>
      <c r="AN504" s="748">
        <f>+IF(OR(AM504&gt;AZ503,AM504=0),0,IF(AM504=AL504,AK504,$AZ$7-AL503))</f>
      </c>
      <c r="AO504" s="748">
        <f>+AK504-AN504</f>
      </c>
      <c r="AP504" s="217">
        <f>+_xlfn.IFNA(VLOOKUP(AJ504,$AF$7:$AI$1066,3,0),0)</f>
      </c>
      <c r="AQ504" s="217">
        <f>+IF(W504&gt;W503,AP504,AQ503+AP504)</f>
      </c>
      <c r="AR504" s="217">
        <f>+MAX($AM$2-SUMIF($W$7:$W$1066,W504,$AN$7:$AN$1066),0)</f>
      </c>
      <c r="AS504" s="748">
        <f>+MAX(IF(AQ504&gt;AR504,AR504-AQ503,AP504),0)</f>
      </c>
      <c r="AT504" s="748">
        <f>+AP504-AS504</f>
      </c>
      <c r="AU504" s="217">
        <f>+_xlfn.IFNA(VLOOKUP(AJ504,$AF$7:$AI$1066,4,0),0)</f>
      </c>
      <c r="AV504" s="217">
        <f>+IF(W504&gt;W503,AU504,AV503+AU504)</f>
      </c>
      <c r="AW504" s="217">
        <f>+MAX($AM$2-SUMIF($W$7:$W$1066,W504,$AN$7:$AN$1066)-SUMIF($W$7:$W$1066,W504,$AS$7:$AS$1066),0)</f>
      </c>
      <c r="AX504" s="748">
        <f>+MAX(IF(AV504&gt;AW504,AW504-AV503,AU504),0)</f>
      </c>
      <c r="AY504" s="748">
        <f>+AU504-AX504</f>
      </c>
      <c r="AZ504" s="331">
        <f>+$AM$1+IF($AP$1&gt;$AP$2,$AM$3/2)</f>
      </c>
    </row>
    <row x14ac:dyDescent="0.25" r="505" customHeight="1" ht="18.75">
      <c r="A505" s="1"/>
      <c r="B505" s="7"/>
      <c r="C505" s="170"/>
      <c r="D505" s="331">
        <v>498</v>
      </c>
      <c r="E505" s="544">
        <f>+DATE(YEAR(E504),MONTH(E504)-1,DAY(E504))</f>
        <v>25569.041666666668</v>
      </c>
      <c r="F505" s="333">
        <f>IF(DATE(YEAR($B$6),MONTH($B$6)+1,DAY(1))=E505,1,IF(MONTH(E505)=1,F506*(1+$F$5),F506))</f>
      </c>
      <c r="G505" s="333">
        <f>IF('Simulador - 1º Pilar'!$E$99="Sí",IF('Aportaciones PPE'!$B$13&lt;'Aportaciones PPE'!E505,0,F505*$B$8/12),F505*$B$8/12)</f>
      </c>
      <c r="H505" s="333">
        <f>$H$5*G505</f>
      </c>
      <c r="I505" s="333">
        <f>$I$5*G505</f>
      </c>
      <c r="J505" s="333">
        <f>+I505</f>
      </c>
      <c r="K505" s="333">
        <f>(1+$O$5)^(D505/12)*(H505+IF(AND(F505=1,F506=0),$S$4,0))</f>
      </c>
      <c r="L505" s="333">
        <f>(1+$O$5)^(D505/12)*(I505+IF(AND(F505=1,F506=0),0))</f>
      </c>
      <c r="M505" s="333">
        <f>+L505</f>
      </c>
      <c r="N505" s="333">
        <f>L505+K505+M505</f>
      </c>
      <c r="O505" s="170"/>
      <c r="P505" s="7"/>
      <c r="Q505" s="1"/>
      <c r="R505" s="331">
        <f>D505</f>
      </c>
      <c r="S505" s="169"/>
      <c r="T505" s="1"/>
      <c r="U505" s="217"/>
      <c r="V505" s="331">
        <f>+IF(V504=11,12,IF(V504=12,1,V504+1))</f>
      </c>
      <c r="W505" s="331">
        <f>+W504+IF(V504=12,1,0)</f>
      </c>
      <c r="X505" s="555">
        <f>+DATE(W505,V505,1)</f>
        <v>25569.041666666668</v>
      </c>
      <c r="Y505" s="333">
        <f>+_xlfn.IFNA(AN505+AS505+AX505,0)</f>
      </c>
      <c r="Z505" s="333">
        <f>+_xlfn.IFNA(AO505+AT505+AY505,0)</f>
      </c>
      <c r="AA505" s="333">
        <f>Y505*(1+$O$5)^(($B$7-X505)/365.25)</f>
      </c>
      <c r="AB505" s="333">
        <f>Z505*(1+$O$5)^(($B$7-X505)/365.25)</f>
      </c>
      <c r="AC505" s="1"/>
      <c r="AD505" s="1"/>
      <c r="AE505" s="1"/>
      <c r="AF505" s="111">
        <f>+MONTH(E505)&amp;YEAR(E505)</f>
      </c>
      <c r="AG505" s="217">
        <f>+I505</f>
      </c>
      <c r="AH505" s="217">
        <f>+J505</f>
      </c>
      <c r="AI505" s="217">
        <f>+H505</f>
      </c>
      <c r="AJ505" s="111">
        <f>+V505&amp;W505</f>
      </c>
      <c r="AK505" s="217">
        <f>+_xlfn.IFNA(VLOOKUP(AJ505,$AF$7:$AG$1066,2,0),0)</f>
      </c>
      <c r="AL505" s="217">
        <f>+IF(W505&gt;W504,AK505,AL504+AK505)</f>
      </c>
      <c r="AM505" s="217">
        <f>IF(W505&gt;W504,IF(AL505&gt;=$AZ$8,$AZ$8,AL505),IF(OR(AM504=$AZ$8,AM504=0),0,IF(AL505&gt;=$AZ$8,$AZ$8,AL505)))</f>
      </c>
      <c r="AN505" s="748">
        <f>+IF(OR(AM505&gt;AZ504,AM505=0),0,IF(AM505=AL505,AK505,$AZ$7-AL504))</f>
      </c>
      <c r="AO505" s="748">
        <f>+AK505-AN505</f>
      </c>
      <c r="AP505" s="217">
        <f>+_xlfn.IFNA(VLOOKUP(AJ505,$AF$7:$AI$1066,3,0),0)</f>
      </c>
      <c r="AQ505" s="217">
        <f>+IF(W505&gt;W504,AP505,AQ504+AP505)</f>
      </c>
      <c r="AR505" s="217">
        <f>+MAX($AM$2-SUMIF($W$7:$W$1066,W505,$AN$7:$AN$1066),0)</f>
      </c>
      <c r="AS505" s="748">
        <f>+MAX(IF(AQ505&gt;AR505,AR505-AQ504,AP505),0)</f>
      </c>
      <c r="AT505" s="748">
        <f>+AP505-AS505</f>
      </c>
      <c r="AU505" s="217">
        <f>+_xlfn.IFNA(VLOOKUP(AJ505,$AF$7:$AI$1066,4,0),0)</f>
      </c>
      <c r="AV505" s="217">
        <f>+IF(W505&gt;W504,AU505,AV504+AU505)</f>
      </c>
      <c r="AW505" s="217">
        <f>+MAX($AM$2-SUMIF($W$7:$W$1066,W505,$AN$7:$AN$1066)-SUMIF($W$7:$W$1066,W505,$AS$7:$AS$1066),0)</f>
      </c>
      <c r="AX505" s="748">
        <f>+MAX(IF(AV505&gt;AW505,AW505-AV504,AU505),0)</f>
      </c>
      <c r="AY505" s="748">
        <f>+AU505-AX505</f>
      </c>
      <c r="AZ505" s="331">
        <f>+$AM$1+IF($AP$1&gt;$AP$2,$AM$3/2)</f>
      </c>
    </row>
    <row x14ac:dyDescent="0.25" r="506" customHeight="1" ht="18.75">
      <c r="A506" s="1"/>
      <c r="B506" s="7"/>
      <c r="C506" s="170"/>
      <c r="D506" s="331">
        <v>499</v>
      </c>
      <c r="E506" s="544">
        <f>+DATE(YEAR(E505),MONTH(E505)-1,DAY(E505))</f>
        <v>25569.041666666668</v>
      </c>
      <c r="F506" s="333">
        <f>IF(DATE(YEAR($B$6),MONTH($B$6)+1,DAY(1))=E506,1,IF(MONTH(E506)=1,F507*(1+$F$5),F507))</f>
      </c>
      <c r="G506" s="333">
        <f>IF('Simulador - 1º Pilar'!$E$99="Sí",IF('Aportaciones PPE'!$B$13&lt;'Aportaciones PPE'!E506,0,F506*$B$8/12),F506*$B$8/12)</f>
      </c>
      <c r="H506" s="333">
        <f>$H$5*G506</f>
      </c>
      <c r="I506" s="333">
        <f>$I$5*G506</f>
      </c>
      <c r="J506" s="333">
        <f>+I506</f>
      </c>
      <c r="K506" s="333">
        <f>(1+$O$5)^(D506/12)*(H506+IF(AND(F506=1,F507=0),$S$4,0))</f>
      </c>
      <c r="L506" s="333">
        <f>(1+$O$5)^(D506/12)*(I506+IF(AND(F506=1,F507=0),0))</f>
      </c>
      <c r="M506" s="333">
        <f>+L506</f>
      </c>
      <c r="N506" s="333">
        <f>L506+K506+M506</f>
      </c>
      <c r="O506" s="170"/>
      <c r="P506" s="7"/>
      <c r="Q506" s="1"/>
      <c r="R506" s="331">
        <f>D506</f>
      </c>
      <c r="S506" s="169"/>
      <c r="T506" s="1"/>
      <c r="U506" s="217"/>
      <c r="V506" s="331">
        <f>+IF(V505=11,12,IF(V505=12,1,V505+1))</f>
      </c>
      <c r="W506" s="331">
        <f>+W505+IF(V505=12,1,0)</f>
      </c>
      <c r="X506" s="555">
        <f>+DATE(W506,V506,1)</f>
        <v>25569.041666666668</v>
      </c>
      <c r="Y506" s="333">
        <f>+_xlfn.IFNA(AN506+AS506+AX506,0)</f>
      </c>
      <c r="Z506" s="333">
        <f>+_xlfn.IFNA(AO506+AT506+AY506,0)</f>
      </c>
      <c r="AA506" s="333">
        <f>Y506*(1+$O$5)^(($B$7-X506)/365.25)</f>
      </c>
      <c r="AB506" s="333">
        <f>Z506*(1+$O$5)^(($B$7-X506)/365.25)</f>
      </c>
      <c r="AC506" s="1"/>
      <c r="AD506" s="1"/>
      <c r="AE506" s="1"/>
      <c r="AF506" s="111">
        <f>+MONTH(E506)&amp;YEAR(E506)</f>
      </c>
      <c r="AG506" s="217">
        <f>+I506</f>
      </c>
      <c r="AH506" s="217">
        <f>+J506</f>
      </c>
      <c r="AI506" s="217">
        <f>+H506</f>
      </c>
      <c r="AJ506" s="111">
        <f>+V506&amp;W506</f>
      </c>
      <c r="AK506" s="217">
        <f>+_xlfn.IFNA(VLOOKUP(AJ506,$AF$7:$AG$1066,2,0),0)</f>
      </c>
      <c r="AL506" s="217">
        <f>+IF(W506&gt;W505,AK506,AL505+AK506)</f>
      </c>
      <c r="AM506" s="217">
        <f>IF(W506&gt;W505,IF(AL506&gt;=$AZ$8,$AZ$8,AL506),IF(OR(AM505=$AZ$8,AM505=0),0,IF(AL506&gt;=$AZ$8,$AZ$8,AL506)))</f>
      </c>
      <c r="AN506" s="748">
        <f>+IF(OR(AM506&gt;AZ505,AM506=0),0,IF(AM506=AL506,AK506,$AZ$7-AL505))</f>
      </c>
      <c r="AO506" s="748">
        <f>+AK506-AN506</f>
      </c>
      <c r="AP506" s="217">
        <f>+_xlfn.IFNA(VLOOKUP(AJ506,$AF$7:$AI$1066,3,0),0)</f>
      </c>
      <c r="AQ506" s="217">
        <f>+IF(W506&gt;W505,AP506,AQ505+AP506)</f>
      </c>
      <c r="AR506" s="217">
        <f>+MAX($AM$2-SUMIF($W$7:$W$1066,W506,$AN$7:$AN$1066),0)</f>
      </c>
      <c r="AS506" s="748">
        <f>+MAX(IF(AQ506&gt;AR506,AR506-AQ505,AP506),0)</f>
      </c>
      <c r="AT506" s="748">
        <f>+AP506-AS506</f>
      </c>
      <c r="AU506" s="217">
        <f>+_xlfn.IFNA(VLOOKUP(AJ506,$AF$7:$AI$1066,4,0),0)</f>
      </c>
      <c r="AV506" s="217">
        <f>+IF(W506&gt;W505,AU506,AV505+AU506)</f>
      </c>
      <c r="AW506" s="217">
        <f>+MAX($AM$2-SUMIF($W$7:$W$1066,W506,$AN$7:$AN$1066)-SUMIF($W$7:$W$1066,W506,$AS$7:$AS$1066),0)</f>
      </c>
      <c r="AX506" s="748">
        <f>+MAX(IF(AV506&gt;AW506,AW506-AV505,AU506),0)</f>
      </c>
      <c r="AY506" s="748">
        <f>+AU506-AX506</f>
      </c>
      <c r="AZ506" s="331">
        <f>+$AM$1+IF($AP$1&gt;$AP$2,$AM$3/2)</f>
      </c>
    </row>
    <row x14ac:dyDescent="0.25" r="507" customHeight="1" ht="18.75">
      <c r="A507" s="1"/>
      <c r="B507" s="7"/>
      <c r="C507" s="170"/>
      <c r="D507" s="331">
        <v>500</v>
      </c>
      <c r="E507" s="544">
        <f>+DATE(YEAR(E506),MONTH(E506)-1,DAY(E506))</f>
        <v>25569.041666666668</v>
      </c>
      <c r="F507" s="333">
        <f>IF(DATE(YEAR($B$6),MONTH($B$6)+1,DAY(1))=E507,1,IF(MONTH(E507)=1,F508*(1+$F$5),F508))</f>
      </c>
      <c r="G507" s="333">
        <f>IF('Simulador - 1º Pilar'!$E$99="Sí",IF('Aportaciones PPE'!$B$13&lt;'Aportaciones PPE'!E507,0,F507*$B$8/12),F507*$B$8/12)</f>
      </c>
      <c r="H507" s="333">
        <f>$H$5*G507</f>
      </c>
      <c r="I507" s="333">
        <f>$I$5*G507</f>
      </c>
      <c r="J507" s="333">
        <f>+I507</f>
      </c>
      <c r="K507" s="333">
        <f>(1+$O$5)^(D507/12)*(H507+IF(AND(F507=1,F508=0),$S$4,0))</f>
      </c>
      <c r="L507" s="333">
        <f>(1+$O$5)^(D507/12)*(I507+IF(AND(F507=1,F508=0),0))</f>
      </c>
      <c r="M507" s="333">
        <f>+L507</f>
      </c>
      <c r="N507" s="333">
        <f>L507+K507+M507</f>
      </c>
      <c r="O507" s="170"/>
      <c r="P507" s="7"/>
      <c r="Q507" s="1"/>
      <c r="R507" s="331">
        <f>D507</f>
      </c>
      <c r="S507" s="169"/>
      <c r="T507" s="1"/>
      <c r="U507" s="217"/>
      <c r="V507" s="331">
        <f>+IF(V506=11,12,IF(V506=12,1,V506+1))</f>
      </c>
      <c r="W507" s="331">
        <f>+W506+IF(V506=12,1,0)</f>
      </c>
      <c r="X507" s="555">
        <f>+DATE(W507,V507,1)</f>
        <v>25569.041666666668</v>
      </c>
      <c r="Y507" s="333">
        <f>+_xlfn.IFNA(AN507+AS507+AX507,0)</f>
      </c>
      <c r="Z507" s="333">
        <f>+_xlfn.IFNA(AO507+AT507+AY507,0)</f>
      </c>
      <c r="AA507" s="333">
        <f>Y507*(1+$O$5)^(($B$7-X507)/365.25)</f>
      </c>
      <c r="AB507" s="333">
        <f>Z507*(1+$O$5)^(($B$7-X507)/365.25)</f>
      </c>
      <c r="AC507" s="1"/>
      <c r="AD507" s="1"/>
      <c r="AE507" s="1"/>
      <c r="AF507" s="111">
        <f>+MONTH(E507)&amp;YEAR(E507)</f>
      </c>
      <c r="AG507" s="217">
        <f>+I507</f>
      </c>
      <c r="AH507" s="217">
        <f>+J507</f>
      </c>
      <c r="AI507" s="217">
        <f>+H507</f>
      </c>
      <c r="AJ507" s="111">
        <f>+V507&amp;W507</f>
      </c>
      <c r="AK507" s="217">
        <f>+_xlfn.IFNA(VLOOKUP(AJ507,$AF$7:$AG$1066,2,0),0)</f>
      </c>
      <c r="AL507" s="217">
        <f>+IF(W507&gt;W506,AK507,AL506+AK507)</f>
      </c>
      <c r="AM507" s="217">
        <f>IF(W507&gt;W506,IF(AL507&gt;=$AZ$8,$AZ$8,AL507),IF(OR(AM506=$AZ$8,AM506=0),0,IF(AL507&gt;=$AZ$8,$AZ$8,AL507)))</f>
      </c>
      <c r="AN507" s="748">
        <f>+IF(OR(AM507&gt;AZ506,AM507=0),0,IF(AM507=AL507,AK507,$AZ$7-AL506))</f>
      </c>
      <c r="AO507" s="748">
        <f>+AK507-AN507</f>
      </c>
      <c r="AP507" s="217">
        <f>+_xlfn.IFNA(VLOOKUP(AJ507,$AF$7:$AI$1066,3,0),0)</f>
      </c>
      <c r="AQ507" s="217">
        <f>+IF(W507&gt;W506,AP507,AQ506+AP507)</f>
      </c>
      <c r="AR507" s="217">
        <f>+MAX($AM$2-SUMIF($W$7:$W$1066,W507,$AN$7:$AN$1066),0)</f>
      </c>
      <c r="AS507" s="748">
        <f>+MAX(IF(AQ507&gt;AR507,AR507-AQ506,AP507),0)</f>
      </c>
      <c r="AT507" s="748">
        <f>+AP507-AS507</f>
      </c>
      <c r="AU507" s="217">
        <f>+_xlfn.IFNA(VLOOKUP(AJ507,$AF$7:$AI$1066,4,0),0)</f>
      </c>
      <c r="AV507" s="217">
        <f>+IF(W507&gt;W506,AU507,AV506+AU507)</f>
      </c>
      <c r="AW507" s="217">
        <f>+MAX($AM$2-SUMIF($W$7:$W$1066,W507,$AN$7:$AN$1066)-SUMIF($W$7:$W$1066,W507,$AS$7:$AS$1066),0)</f>
      </c>
      <c r="AX507" s="748">
        <f>+MAX(IF(AV507&gt;AW507,AW507-AV506,AU507),0)</f>
      </c>
      <c r="AY507" s="748">
        <f>+AU507-AX507</f>
      </c>
      <c r="AZ507" s="331">
        <f>+$AM$1+IF($AP$1&gt;$AP$2,$AM$3/2)</f>
      </c>
    </row>
    <row x14ac:dyDescent="0.25" r="508" customHeight="1" ht="18.75">
      <c r="A508" s="1"/>
      <c r="B508" s="7"/>
      <c r="C508" s="170"/>
      <c r="D508" s="331">
        <v>501</v>
      </c>
      <c r="E508" s="544">
        <f>+DATE(YEAR(E507),MONTH(E507)-1,DAY(E507))</f>
        <v>25569.041666666668</v>
      </c>
      <c r="F508" s="333">
        <f>IF(DATE(YEAR($B$6),MONTH($B$6)+1,DAY(1))=E508,1,IF(MONTH(E508)=1,F509*(1+$F$5),F509))</f>
      </c>
      <c r="G508" s="333">
        <f>IF('Simulador - 1º Pilar'!$E$99="Sí",IF('Aportaciones PPE'!$B$13&lt;'Aportaciones PPE'!E508,0,F508*$B$8/12),F508*$B$8/12)</f>
      </c>
      <c r="H508" s="333">
        <f>$H$5*G508</f>
      </c>
      <c r="I508" s="333">
        <f>$I$5*G508</f>
      </c>
      <c r="J508" s="333">
        <f>+I508</f>
      </c>
      <c r="K508" s="333">
        <f>(1+$O$5)^(D508/12)*(H508+IF(AND(F508=1,F509=0),$S$4,0))</f>
      </c>
      <c r="L508" s="333">
        <f>(1+$O$5)^(D508/12)*(I508+IF(AND(F508=1,F509=0),0))</f>
      </c>
      <c r="M508" s="333">
        <f>+L508</f>
      </c>
      <c r="N508" s="333">
        <f>L508+K508+M508</f>
      </c>
      <c r="O508" s="170"/>
      <c r="P508" s="7"/>
      <c r="Q508" s="1"/>
      <c r="R508" s="331">
        <f>D508</f>
      </c>
      <c r="S508" s="169"/>
      <c r="T508" s="1"/>
      <c r="U508" s="217"/>
      <c r="V508" s="331">
        <f>+IF(V507=11,12,IF(V507=12,1,V507+1))</f>
      </c>
      <c r="W508" s="331">
        <f>+W507+IF(V507=12,1,0)</f>
      </c>
      <c r="X508" s="555">
        <f>+DATE(W508,V508,1)</f>
        <v>25569.041666666668</v>
      </c>
      <c r="Y508" s="333">
        <f>+_xlfn.IFNA(AN508+AS508+AX508,0)</f>
      </c>
      <c r="Z508" s="333">
        <f>+_xlfn.IFNA(AO508+AT508+AY508,0)</f>
      </c>
      <c r="AA508" s="333">
        <f>Y508*(1+$O$5)^(($B$7-X508)/365.25)</f>
      </c>
      <c r="AB508" s="333">
        <f>Z508*(1+$O$5)^(($B$7-X508)/365.25)</f>
      </c>
      <c r="AC508" s="1"/>
      <c r="AD508" s="1"/>
      <c r="AE508" s="1"/>
      <c r="AF508" s="111">
        <f>+MONTH(E508)&amp;YEAR(E508)</f>
      </c>
      <c r="AG508" s="217">
        <f>+I508</f>
      </c>
      <c r="AH508" s="217">
        <f>+J508</f>
      </c>
      <c r="AI508" s="217">
        <f>+H508</f>
      </c>
      <c r="AJ508" s="111">
        <f>+V508&amp;W508</f>
      </c>
      <c r="AK508" s="217">
        <f>+_xlfn.IFNA(VLOOKUP(AJ508,$AF$7:$AG$1066,2,0),0)</f>
      </c>
      <c r="AL508" s="217">
        <f>+IF(W508&gt;W507,AK508,AL507+AK508)</f>
      </c>
      <c r="AM508" s="217">
        <f>IF(W508&gt;W507,IF(AL508&gt;=$AZ$8,$AZ$8,AL508),IF(OR(AM507=$AZ$8,AM507=0),0,IF(AL508&gt;=$AZ$8,$AZ$8,AL508)))</f>
      </c>
      <c r="AN508" s="748">
        <f>+IF(OR(AM508&gt;AZ507,AM508=0),0,IF(AM508=AL508,AK508,$AZ$7-AL507))</f>
      </c>
      <c r="AO508" s="748">
        <f>+AK508-AN508</f>
      </c>
      <c r="AP508" s="217">
        <f>+_xlfn.IFNA(VLOOKUP(AJ508,$AF$7:$AI$1066,3,0),0)</f>
      </c>
      <c r="AQ508" s="217">
        <f>+IF(W508&gt;W507,AP508,AQ507+AP508)</f>
      </c>
      <c r="AR508" s="217">
        <f>+MAX($AM$2-SUMIF($W$7:$W$1066,W508,$AN$7:$AN$1066),0)</f>
      </c>
      <c r="AS508" s="748">
        <f>+MAX(IF(AQ508&gt;AR508,AR508-AQ507,AP508),0)</f>
      </c>
      <c r="AT508" s="748">
        <f>+AP508-AS508</f>
      </c>
      <c r="AU508" s="217">
        <f>+_xlfn.IFNA(VLOOKUP(AJ508,$AF$7:$AI$1066,4,0),0)</f>
      </c>
      <c r="AV508" s="217">
        <f>+IF(W508&gt;W507,AU508,AV507+AU508)</f>
      </c>
      <c r="AW508" s="217">
        <f>+MAX($AM$2-SUMIF($W$7:$W$1066,W508,$AN$7:$AN$1066)-SUMIF($W$7:$W$1066,W508,$AS$7:$AS$1066),0)</f>
      </c>
      <c r="AX508" s="748">
        <f>+MAX(IF(AV508&gt;AW508,AW508-AV507,AU508),0)</f>
      </c>
      <c r="AY508" s="748">
        <f>+AU508-AX508</f>
      </c>
      <c r="AZ508" s="331">
        <f>+$AM$1+IF($AP$1&gt;$AP$2,$AM$3/2)</f>
      </c>
    </row>
    <row x14ac:dyDescent="0.25" r="509" customHeight="1" ht="18.75">
      <c r="A509" s="1"/>
      <c r="B509" s="7"/>
      <c r="C509" s="170"/>
      <c r="D509" s="331">
        <v>502</v>
      </c>
      <c r="E509" s="544">
        <f>+DATE(YEAR(E508),MONTH(E508)-1,DAY(E508))</f>
        <v>25569.041666666668</v>
      </c>
      <c r="F509" s="333">
        <f>IF(DATE(YEAR($B$6),MONTH($B$6)+1,DAY(1))=E509,1,IF(MONTH(E509)=1,F510*(1+$F$5),F510))</f>
      </c>
      <c r="G509" s="333">
        <f>IF('Simulador - 1º Pilar'!$E$99="Sí",IF('Aportaciones PPE'!$B$13&lt;'Aportaciones PPE'!E509,0,F509*$B$8/12),F509*$B$8/12)</f>
      </c>
      <c r="H509" s="333">
        <f>$H$5*G509</f>
      </c>
      <c r="I509" s="333">
        <f>$I$5*G509</f>
      </c>
      <c r="J509" s="333">
        <f>+I509</f>
      </c>
      <c r="K509" s="333">
        <f>(1+$O$5)^(D509/12)*(H509+IF(AND(F509=1,F510=0),$S$4,0))</f>
      </c>
      <c r="L509" s="333">
        <f>(1+$O$5)^(D509/12)*(I509+IF(AND(F509=1,F510=0),0))</f>
      </c>
      <c r="M509" s="333">
        <f>+L509</f>
      </c>
      <c r="N509" s="333">
        <f>L509+K509+M509</f>
      </c>
      <c r="O509" s="170"/>
      <c r="P509" s="7"/>
      <c r="Q509" s="1"/>
      <c r="R509" s="331">
        <f>D509</f>
      </c>
      <c r="S509" s="169"/>
      <c r="T509" s="1"/>
      <c r="U509" s="217"/>
      <c r="V509" s="331">
        <f>+IF(V508=11,12,IF(V508=12,1,V508+1))</f>
      </c>
      <c r="W509" s="331">
        <f>+W508+IF(V508=12,1,0)</f>
      </c>
      <c r="X509" s="555">
        <f>+DATE(W509,V509,1)</f>
        <v>25569.041666666668</v>
      </c>
      <c r="Y509" s="333">
        <f>+_xlfn.IFNA(AN509+AS509+AX509,0)</f>
      </c>
      <c r="Z509" s="333">
        <f>+_xlfn.IFNA(AO509+AT509+AY509,0)</f>
      </c>
      <c r="AA509" s="333">
        <f>Y509*(1+$O$5)^(($B$7-X509)/365.25)</f>
      </c>
      <c r="AB509" s="333">
        <f>Z509*(1+$O$5)^(($B$7-X509)/365.25)</f>
      </c>
      <c r="AC509" s="1"/>
      <c r="AD509" s="1"/>
      <c r="AE509" s="1"/>
      <c r="AF509" s="111">
        <f>+MONTH(E509)&amp;YEAR(E509)</f>
      </c>
      <c r="AG509" s="217">
        <f>+I509</f>
      </c>
      <c r="AH509" s="217">
        <f>+J509</f>
      </c>
      <c r="AI509" s="217">
        <f>+H509</f>
      </c>
      <c r="AJ509" s="111">
        <f>+V509&amp;W509</f>
      </c>
      <c r="AK509" s="217">
        <f>+_xlfn.IFNA(VLOOKUP(AJ509,$AF$7:$AG$1066,2,0),0)</f>
      </c>
      <c r="AL509" s="217">
        <f>+IF(W509&gt;W508,AK509,AL508+AK509)</f>
      </c>
      <c r="AM509" s="217">
        <f>IF(W509&gt;W508,IF(AL509&gt;=$AZ$8,$AZ$8,AL509),IF(OR(AM508=$AZ$8,AM508=0),0,IF(AL509&gt;=$AZ$8,$AZ$8,AL509)))</f>
      </c>
      <c r="AN509" s="748">
        <f>+IF(OR(AM509&gt;AZ508,AM509=0),0,IF(AM509=AL509,AK509,$AZ$7-AL508))</f>
      </c>
      <c r="AO509" s="748">
        <f>+AK509-AN509</f>
      </c>
      <c r="AP509" s="217">
        <f>+_xlfn.IFNA(VLOOKUP(AJ509,$AF$7:$AI$1066,3,0),0)</f>
      </c>
      <c r="AQ509" s="217">
        <f>+IF(W509&gt;W508,AP509,AQ508+AP509)</f>
      </c>
      <c r="AR509" s="217">
        <f>+MAX($AM$2-SUMIF($W$7:$W$1066,W509,$AN$7:$AN$1066),0)</f>
      </c>
      <c r="AS509" s="748">
        <f>+MAX(IF(AQ509&gt;AR509,AR509-AQ508,AP509),0)</f>
      </c>
      <c r="AT509" s="748">
        <f>+AP509-AS509</f>
      </c>
      <c r="AU509" s="217">
        <f>+_xlfn.IFNA(VLOOKUP(AJ509,$AF$7:$AI$1066,4,0),0)</f>
      </c>
      <c r="AV509" s="217">
        <f>+IF(W509&gt;W508,AU509,AV508+AU509)</f>
      </c>
      <c r="AW509" s="217">
        <f>+MAX($AM$2-SUMIF($W$7:$W$1066,W509,$AN$7:$AN$1066)-SUMIF($W$7:$W$1066,W509,$AS$7:$AS$1066),0)</f>
      </c>
      <c r="AX509" s="748">
        <f>+MAX(IF(AV509&gt;AW509,AW509-AV508,AU509),0)</f>
      </c>
      <c r="AY509" s="748">
        <f>+AU509-AX509</f>
      </c>
      <c r="AZ509" s="331">
        <f>+$AM$1+IF($AP$1&gt;$AP$2,$AM$3/2)</f>
      </c>
    </row>
    <row x14ac:dyDescent="0.25" r="510" customHeight="1" ht="18.75">
      <c r="A510" s="1"/>
      <c r="B510" s="7"/>
      <c r="C510" s="170"/>
      <c r="D510" s="331">
        <v>503</v>
      </c>
      <c r="E510" s="544">
        <f>+DATE(YEAR(E509),MONTH(E509)-1,DAY(E509))</f>
        <v>25569.041666666668</v>
      </c>
      <c r="F510" s="333">
        <f>IF(DATE(YEAR($B$6),MONTH($B$6)+1,DAY(1))=E510,1,IF(MONTH(E510)=1,F511*(1+$F$5),F511))</f>
      </c>
      <c r="G510" s="333">
        <f>IF('Simulador - 1º Pilar'!$E$99="Sí",IF('Aportaciones PPE'!$B$13&lt;'Aportaciones PPE'!E510,0,F510*$B$8/12),F510*$B$8/12)</f>
      </c>
      <c r="H510" s="333">
        <f>$H$5*G510</f>
      </c>
      <c r="I510" s="333">
        <f>$I$5*G510</f>
      </c>
      <c r="J510" s="333">
        <f>+I510</f>
      </c>
      <c r="K510" s="333">
        <f>(1+$O$5)^(D510/12)*(H510+IF(AND(F510=1,F511=0),$S$4,0))</f>
      </c>
      <c r="L510" s="333">
        <f>(1+$O$5)^(D510/12)*(I510+IF(AND(F510=1,F511=0),0))</f>
      </c>
      <c r="M510" s="333">
        <f>+L510</f>
      </c>
      <c r="N510" s="333">
        <f>L510+K510+M510</f>
      </c>
      <c r="O510" s="170"/>
      <c r="P510" s="7"/>
      <c r="Q510" s="1"/>
      <c r="R510" s="331">
        <f>D510</f>
      </c>
      <c r="S510" s="169"/>
      <c r="T510" s="1"/>
      <c r="U510" s="217"/>
      <c r="V510" s="331">
        <f>+IF(V509=11,12,IF(V509=12,1,V509+1))</f>
      </c>
      <c r="W510" s="331">
        <f>+W509+IF(V509=12,1,0)</f>
      </c>
      <c r="X510" s="555">
        <f>+DATE(W510,V510,1)</f>
        <v>25569.041666666668</v>
      </c>
      <c r="Y510" s="333">
        <f>+_xlfn.IFNA(AN510+AS510+AX510,0)</f>
      </c>
      <c r="Z510" s="333">
        <f>+_xlfn.IFNA(AO510+AT510+AY510,0)</f>
      </c>
      <c r="AA510" s="333">
        <f>Y510*(1+$O$5)^(($B$7-X510)/365.25)</f>
      </c>
      <c r="AB510" s="333">
        <f>Z510*(1+$O$5)^(($B$7-X510)/365.25)</f>
      </c>
      <c r="AC510" s="1"/>
      <c r="AD510" s="1"/>
      <c r="AE510" s="1"/>
      <c r="AF510" s="111">
        <f>+MONTH(E510)&amp;YEAR(E510)</f>
      </c>
      <c r="AG510" s="217">
        <f>+I510</f>
      </c>
      <c r="AH510" s="217">
        <f>+J510</f>
      </c>
      <c r="AI510" s="217">
        <f>+H510</f>
      </c>
      <c r="AJ510" s="111">
        <f>+V510&amp;W510</f>
      </c>
      <c r="AK510" s="217">
        <f>+_xlfn.IFNA(VLOOKUP(AJ510,$AF$7:$AG$1066,2,0),0)</f>
      </c>
      <c r="AL510" s="217">
        <f>+IF(W510&gt;W509,AK510,AL509+AK510)</f>
      </c>
      <c r="AM510" s="217">
        <f>IF(W510&gt;W509,IF(AL510&gt;=$AZ$8,$AZ$8,AL510),IF(OR(AM509=$AZ$8,AM509=0),0,IF(AL510&gt;=$AZ$8,$AZ$8,AL510)))</f>
      </c>
      <c r="AN510" s="748">
        <f>+IF(OR(AM510&gt;AZ509,AM510=0),0,IF(AM510=AL510,AK510,$AZ$7-AL509))</f>
      </c>
      <c r="AO510" s="748">
        <f>+AK510-AN510</f>
      </c>
      <c r="AP510" s="217">
        <f>+_xlfn.IFNA(VLOOKUP(AJ510,$AF$7:$AI$1066,3,0),0)</f>
      </c>
      <c r="AQ510" s="217">
        <f>+IF(W510&gt;W509,AP510,AQ509+AP510)</f>
      </c>
      <c r="AR510" s="217">
        <f>+MAX($AM$2-SUMIF($W$7:$W$1066,W510,$AN$7:$AN$1066),0)</f>
      </c>
      <c r="AS510" s="748">
        <f>+MAX(IF(AQ510&gt;AR510,AR510-AQ509,AP510),0)</f>
      </c>
      <c r="AT510" s="748">
        <f>+AP510-AS510</f>
      </c>
      <c r="AU510" s="217">
        <f>+_xlfn.IFNA(VLOOKUP(AJ510,$AF$7:$AI$1066,4,0),0)</f>
      </c>
      <c r="AV510" s="217">
        <f>+IF(W510&gt;W509,AU510,AV509+AU510)</f>
      </c>
      <c r="AW510" s="217">
        <f>+MAX($AM$2-SUMIF($W$7:$W$1066,W510,$AN$7:$AN$1066)-SUMIF($W$7:$W$1066,W510,$AS$7:$AS$1066),0)</f>
      </c>
      <c r="AX510" s="748">
        <f>+MAX(IF(AV510&gt;AW510,AW510-AV509,AU510),0)</f>
      </c>
      <c r="AY510" s="748">
        <f>+AU510-AX510</f>
      </c>
      <c r="AZ510" s="331">
        <f>+$AM$1+IF($AP$1&gt;$AP$2,$AM$3/2)</f>
      </c>
    </row>
    <row x14ac:dyDescent="0.25" r="511" customHeight="1" ht="18.75">
      <c r="A511" s="1"/>
      <c r="B511" s="7"/>
      <c r="C511" s="170"/>
      <c r="D511" s="331">
        <v>504</v>
      </c>
      <c r="E511" s="544">
        <f>+DATE(YEAR(E510),MONTH(E510)-1,DAY(E510))</f>
        <v>25569.041666666668</v>
      </c>
      <c r="F511" s="333">
        <f>IF(DATE(YEAR($B$6),MONTH($B$6)+1,DAY(1))=E511,1,IF(MONTH(E511)=1,F512*(1+$F$5),F512))</f>
      </c>
      <c r="G511" s="333">
        <f>IF('Simulador - 1º Pilar'!$E$99="Sí",IF('Aportaciones PPE'!$B$13&lt;'Aportaciones PPE'!E511,0,F511*$B$8/12),F511*$B$8/12)</f>
      </c>
      <c r="H511" s="333">
        <f>$H$5*G511</f>
      </c>
      <c r="I511" s="333">
        <f>$I$5*G511</f>
      </c>
      <c r="J511" s="333">
        <f>+I511</f>
      </c>
      <c r="K511" s="333">
        <f>(1+$O$5)^(D511/12)*(H511+IF(AND(F511=1,F512=0),$S$4,0))</f>
      </c>
      <c r="L511" s="333">
        <f>(1+$O$5)^(D511/12)*(I511+IF(AND(F511=1,F512=0),0))</f>
      </c>
      <c r="M511" s="333">
        <f>+L511</f>
      </c>
      <c r="N511" s="333">
        <f>L511+K511+M511</f>
      </c>
      <c r="O511" s="170"/>
      <c r="P511" s="7"/>
      <c r="Q511" s="1"/>
      <c r="R511" s="331">
        <f>D511</f>
      </c>
      <c r="S511" s="169"/>
      <c r="T511" s="1"/>
      <c r="U511" s="217"/>
      <c r="V511" s="331">
        <f>+IF(V510=11,12,IF(V510=12,1,V510+1))</f>
      </c>
      <c r="W511" s="331">
        <f>+W510+IF(V510=12,1,0)</f>
      </c>
      <c r="X511" s="555">
        <f>+DATE(W511,V511,1)</f>
        <v>25569.041666666668</v>
      </c>
      <c r="Y511" s="333">
        <f>+_xlfn.IFNA(AN511+AS511+AX511,0)</f>
      </c>
      <c r="Z511" s="333">
        <f>+_xlfn.IFNA(AO511+AT511+AY511,0)</f>
      </c>
      <c r="AA511" s="333">
        <f>Y511*(1+$O$5)^(($B$7-X511)/365.25)</f>
      </c>
      <c r="AB511" s="333">
        <f>Z511*(1+$O$5)^(($B$7-X511)/365.25)</f>
      </c>
      <c r="AC511" s="1"/>
      <c r="AD511" s="1"/>
      <c r="AE511" s="1"/>
      <c r="AF511" s="111">
        <f>+MONTH(E511)&amp;YEAR(E511)</f>
      </c>
      <c r="AG511" s="217">
        <f>+I511</f>
      </c>
      <c r="AH511" s="217">
        <f>+J511</f>
      </c>
      <c r="AI511" s="217">
        <f>+H511</f>
      </c>
      <c r="AJ511" s="111">
        <f>+V511&amp;W511</f>
      </c>
      <c r="AK511" s="217">
        <f>+_xlfn.IFNA(VLOOKUP(AJ511,$AF$7:$AG$1066,2,0),0)</f>
      </c>
      <c r="AL511" s="217">
        <f>+IF(W511&gt;W510,AK511,AL510+AK511)</f>
      </c>
      <c r="AM511" s="217">
        <f>IF(W511&gt;W510,IF(AL511&gt;=$AZ$8,$AZ$8,AL511),IF(OR(AM510=$AZ$8,AM510=0),0,IF(AL511&gt;=$AZ$8,$AZ$8,AL511)))</f>
      </c>
      <c r="AN511" s="748">
        <f>+IF(OR(AM511&gt;AZ510,AM511=0),0,IF(AM511=AL511,AK511,$AZ$7-AL510))</f>
      </c>
      <c r="AO511" s="748">
        <f>+AK511-AN511</f>
      </c>
      <c r="AP511" s="217">
        <f>+_xlfn.IFNA(VLOOKUP(AJ511,$AF$7:$AI$1066,3,0),0)</f>
      </c>
      <c r="AQ511" s="217">
        <f>+IF(W511&gt;W510,AP511,AQ510+AP511)</f>
      </c>
      <c r="AR511" s="217">
        <f>+MAX($AM$2-SUMIF($W$7:$W$1066,W511,$AN$7:$AN$1066),0)</f>
      </c>
      <c r="AS511" s="748">
        <f>+MAX(IF(AQ511&gt;AR511,AR511-AQ510,AP511),0)</f>
      </c>
      <c r="AT511" s="748">
        <f>+AP511-AS511</f>
      </c>
      <c r="AU511" s="217">
        <f>+_xlfn.IFNA(VLOOKUP(AJ511,$AF$7:$AI$1066,4,0),0)</f>
      </c>
      <c r="AV511" s="217">
        <f>+IF(W511&gt;W510,AU511,AV510+AU511)</f>
      </c>
      <c r="AW511" s="217">
        <f>+MAX($AM$2-SUMIF($W$7:$W$1066,W511,$AN$7:$AN$1066)-SUMIF($W$7:$W$1066,W511,$AS$7:$AS$1066),0)</f>
      </c>
      <c r="AX511" s="748">
        <f>+MAX(IF(AV511&gt;AW511,AW511-AV510,AU511),0)</f>
      </c>
      <c r="AY511" s="748">
        <f>+AU511-AX511</f>
      </c>
      <c r="AZ511" s="331">
        <f>+$AM$1+IF($AP$1&gt;$AP$2,$AM$3/2)</f>
      </c>
    </row>
    <row x14ac:dyDescent="0.25" r="512" customHeight="1" ht="18.75">
      <c r="A512" s="1"/>
      <c r="B512" s="7"/>
      <c r="C512" s="170"/>
      <c r="D512" s="331">
        <v>505</v>
      </c>
      <c r="E512" s="544">
        <f>+DATE(YEAR(E511),MONTH(E511)-1,DAY(E511))</f>
        <v>25569.041666666668</v>
      </c>
      <c r="F512" s="333">
        <f>IF(DATE(YEAR($B$6),MONTH($B$6)+1,DAY(1))=E512,1,IF(MONTH(E512)=1,F513*(1+$F$5),F513))</f>
      </c>
      <c r="G512" s="333">
        <f>IF('Simulador - 1º Pilar'!$E$99="Sí",IF('Aportaciones PPE'!$B$13&lt;'Aportaciones PPE'!E512,0,F512*$B$8/12),F512*$B$8/12)</f>
      </c>
      <c r="H512" s="333">
        <f>$H$5*G512</f>
      </c>
      <c r="I512" s="333">
        <f>$I$5*G512</f>
      </c>
      <c r="J512" s="333">
        <f>+I512</f>
      </c>
      <c r="K512" s="333">
        <f>(1+$O$5)^(D512/12)*(H512+IF(AND(F512=1,F513=0),$S$4,0))</f>
      </c>
      <c r="L512" s="333">
        <f>(1+$O$5)^(D512/12)*(I512+IF(AND(F512=1,F513=0),0))</f>
      </c>
      <c r="M512" s="333">
        <f>+L512</f>
      </c>
      <c r="N512" s="333">
        <f>L512+K512+M512</f>
      </c>
      <c r="O512" s="170"/>
      <c r="P512" s="7"/>
      <c r="Q512" s="1"/>
      <c r="R512" s="331">
        <f>D512</f>
      </c>
      <c r="S512" s="169"/>
      <c r="T512" s="1"/>
      <c r="U512" s="217"/>
      <c r="V512" s="331">
        <f>+IF(V511=11,12,IF(V511=12,1,V511+1))</f>
      </c>
      <c r="W512" s="331">
        <f>+W511+IF(V511=12,1,0)</f>
      </c>
      <c r="X512" s="555">
        <f>+DATE(W512,V512,1)</f>
        <v>25569.041666666668</v>
      </c>
      <c r="Y512" s="333">
        <f>+_xlfn.IFNA(AN512+AS512+AX512,0)</f>
      </c>
      <c r="Z512" s="333">
        <f>+_xlfn.IFNA(AO512+AT512+AY512,0)</f>
      </c>
      <c r="AA512" s="333">
        <f>Y512*(1+$O$5)^(($B$7-X512)/365.25)</f>
      </c>
      <c r="AB512" s="333">
        <f>Z512*(1+$O$5)^(($B$7-X512)/365.25)</f>
      </c>
      <c r="AC512" s="1"/>
      <c r="AD512" s="1"/>
      <c r="AE512" s="1"/>
      <c r="AF512" s="111">
        <f>+MONTH(E512)&amp;YEAR(E512)</f>
      </c>
      <c r="AG512" s="217">
        <f>+I512</f>
      </c>
      <c r="AH512" s="217">
        <f>+J512</f>
      </c>
      <c r="AI512" s="217">
        <f>+H512</f>
      </c>
      <c r="AJ512" s="111">
        <f>+V512&amp;W512</f>
      </c>
      <c r="AK512" s="217">
        <f>+_xlfn.IFNA(VLOOKUP(AJ512,$AF$7:$AG$1066,2,0),0)</f>
      </c>
      <c r="AL512" s="217">
        <f>+IF(W512&gt;W511,AK512,AL511+AK512)</f>
      </c>
      <c r="AM512" s="217">
        <f>IF(W512&gt;W511,IF(AL512&gt;=$AZ$8,$AZ$8,AL512),IF(OR(AM511=$AZ$8,AM511=0),0,IF(AL512&gt;=$AZ$8,$AZ$8,AL512)))</f>
      </c>
      <c r="AN512" s="748">
        <f>+IF(OR(AM512&gt;AZ511,AM512=0),0,IF(AM512=AL512,AK512,$AZ$7-AL511))</f>
      </c>
      <c r="AO512" s="748">
        <f>+AK512-AN512</f>
      </c>
      <c r="AP512" s="217">
        <f>+_xlfn.IFNA(VLOOKUP(AJ512,$AF$7:$AI$1066,3,0),0)</f>
      </c>
      <c r="AQ512" s="217">
        <f>+IF(W512&gt;W511,AP512,AQ511+AP512)</f>
      </c>
      <c r="AR512" s="217">
        <f>+MAX($AM$2-SUMIF($W$7:$W$1066,W512,$AN$7:$AN$1066),0)</f>
      </c>
      <c r="AS512" s="748">
        <f>+MAX(IF(AQ512&gt;AR512,AR512-AQ511,AP512),0)</f>
      </c>
      <c r="AT512" s="748">
        <f>+AP512-AS512</f>
      </c>
      <c r="AU512" s="217">
        <f>+_xlfn.IFNA(VLOOKUP(AJ512,$AF$7:$AI$1066,4,0),0)</f>
      </c>
      <c r="AV512" s="217">
        <f>+IF(W512&gt;W511,AU512,AV511+AU512)</f>
      </c>
      <c r="AW512" s="217">
        <f>+MAX($AM$2-SUMIF($W$7:$W$1066,W512,$AN$7:$AN$1066)-SUMIF($W$7:$W$1066,W512,$AS$7:$AS$1066),0)</f>
      </c>
      <c r="AX512" s="748">
        <f>+MAX(IF(AV512&gt;AW512,AW512-AV511,AU512),0)</f>
      </c>
      <c r="AY512" s="748">
        <f>+AU512-AX512</f>
      </c>
      <c r="AZ512" s="331">
        <f>+$AM$1+IF($AP$1&gt;$AP$2,$AM$3/2)</f>
      </c>
    </row>
    <row x14ac:dyDescent="0.25" r="513" customHeight="1" ht="18.75">
      <c r="A513" s="1"/>
      <c r="B513" s="7"/>
      <c r="C513" s="170"/>
      <c r="D513" s="331">
        <v>506</v>
      </c>
      <c r="E513" s="544">
        <f>+DATE(YEAR(E512),MONTH(E512)-1,DAY(E512))</f>
        <v>25569.041666666668</v>
      </c>
      <c r="F513" s="333">
        <f>IF(DATE(YEAR($B$6),MONTH($B$6)+1,DAY(1))=E513,1,IF(MONTH(E513)=1,F514*(1+$F$5),F514))</f>
      </c>
      <c r="G513" s="333">
        <f>IF('Simulador - 1º Pilar'!$E$99="Sí",IF('Aportaciones PPE'!$B$13&lt;'Aportaciones PPE'!E513,0,F513*$B$8/12),F513*$B$8/12)</f>
      </c>
      <c r="H513" s="333">
        <f>$H$5*G513</f>
      </c>
      <c r="I513" s="333">
        <f>$I$5*G513</f>
      </c>
      <c r="J513" s="333">
        <f>+I513</f>
      </c>
      <c r="K513" s="333">
        <f>(1+$O$5)^(D513/12)*(H513+IF(AND(F513=1,F514=0),$S$4,0))</f>
      </c>
      <c r="L513" s="333">
        <f>(1+$O$5)^(D513/12)*(I513+IF(AND(F513=1,F514=0),0))</f>
      </c>
      <c r="M513" s="333">
        <f>+L513</f>
      </c>
      <c r="N513" s="333">
        <f>L513+K513+M513</f>
      </c>
      <c r="O513" s="170"/>
      <c r="P513" s="7"/>
      <c r="Q513" s="1"/>
      <c r="R513" s="331">
        <f>D513</f>
      </c>
      <c r="S513" s="169"/>
      <c r="T513" s="1"/>
      <c r="U513" s="217"/>
      <c r="V513" s="331">
        <f>+IF(V512=11,12,IF(V512=12,1,V512+1))</f>
      </c>
      <c r="W513" s="331">
        <f>+W512+IF(V512=12,1,0)</f>
      </c>
      <c r="X513" s="555">
        <f>+DATE(W513,V513,1)</f>
        <v>25569.041666666668</v>
      </c>
      <c r="Y513" s="333">
        <f>+_xlfn.IFNA(AN513+AS513+AX513,0)</f>
      </c>
      <c r="Z513" s="333">
        <f>+_xlfn.IFNA(AO513+AT513+AY513,0)</f>
      </c>
      <c r="AA513" s="333">
        <f>Y513*(1+$O$5)^(($B$7-X513)/365.25)</f>
      </c>
      <c r="AB513" s="333">
        <f>Z513*(1+$O$5)^(($B$7-X513)/365.25)</f>
      </c>
      <c r="AC513" s="1"/>
      <c r="AD513" s="1"/>
      <c r="AE513" s="1"/>
      <c r="AF513" s="111">
        <f>+MONTH(E513)&amp;YEAR(E513)</f>
      </c>
      <c r="AG513" s="217">
        <f>+I513</f>
      </c>
      <c r="AH513" s="217">
        <f>+J513</f>
      </c>
      <c r="AI513" s="217">
        <f>+H513</f>
      </c>
      <c r="AJ513" s="111">
        <f>+V513&amp;W513</f>
      </c>
      <c r="AK513" s="217">
        <f>+_xlfn.IFNA(VLOOKUP(AJ513,$AF$7:$AG$1066,2,0),0)</f>
      </c>
      <c r="AL513" s="217">
        <f>+IF(W513&gt;W512,AK513,AL512+AK513)</f>
      </c>
      <c r="AM513" s="217">
        <f>IF(W513&gt;W512,IF(AL513&gt;=$AZ$8,$AZ$8,AL513),IF(OR(AM512=$AZ$8,AM512=0),0,IF(AL513&gt;=$AZ$8,$AZ$8,AL513)))</f>
      </c>
      <c r="AN513" s="748">
        <f>+IF(OR(AM513&gt;AZ512,AM513=0),0,IF(AM513=AL513,AK513,$AZ$7-AL512))</f>
      </c>
      <c r="AO513" s="748">
        <f>+AK513-AN513</f>
      </c>
      <c r="AP513" s="217">
        <f>+_xlfn.IFNA(VLOOKUP(AJ513,$AF$7:$AI$1066,3,0),0)</f>
      </c>
      <c r="AQ513" s="217">
        <f>+IF(W513&gt;W512,AP513,AQ512+AP513)</f>
      </c>
      <c r="AR513" s="217">
        <f>+MAX($AM$2-SUMIF($W$7:$W$1066,W513,$AN$7:$AN$1066),0)</f>
      </c>
      <c r="AS513" s="748">
        <f>+MAX(IF(AQ513&gt;AR513,AR513-AQ512,AP513),0)</f>
      </c>
      <c r="AT513" s="748">
        <f>+AP513-AS513</f>
      </c>
      <c r="AU513" s="217">
        <f>+_xlfn.IFNA(VLOOKUP(AJ513,$AF$7:$AI$1066,4,0),0)</f>
      </c>
      <c r="AV513" s="217">
        <f>+IF(W513&gt;W512,AU513,AV512+AU513)</f>
      </c>
      <c r="AW513" s="217">
        <f>+MAX($AM$2-SUMIF($W$7:$W$1066,W513,$AN$7:$AN$1066)-SUMIF($W$7:$W$1066,W513,$AS$7:$AS$1066),0)</f>
      </c>
      <c r="AX513" s="748">
        <f>+MAX(IF(AV513&gt;AW513,AW513-AV512,AU513),0)</f>
      </c>
      <c r="AY513" s="748">
        <f>+AU513-AX513</f>
      </c>
      <c r="AZ513" s="331">
        <f>+$AM$1+IF($AP$1&gt;$AP$2,$AM$3/2)</f>
      </c>
    </row>
    <row x14ac:dyDescent="0.25" r="514" customHeight="1" ht="18.75">
      <c r="A514" s="1"/>
      <c r="B514" s="7"/>
      <c r="C514" s="170"/>
      <c r="D514" s="331">
        <v>507</v>
      </c>
      <c r="E514" s="544">
        <f>+DATE(YEAR(E513),MONTH(E513)-1,DAY(E513))</f>
        <v>25569.041666666668</v>
      </c>
      <c r="F514" s="333">
        <f>IF(DATE(YEAR($B$6),MONTH($B$6)+1,DAY(1))=E514,1,IF(MONTH(E514)=1,F515*(1+$F$5),F515))</f>
      </c>
      <c r="G514" s="333">
        <f>IF('Simulador - 1º Pilar'!$E$99="Sí",IF('Aportaciones PPE'!$B$13&lt;'Aportaciones PPE'!E514,0,F514*$B$8/12),F514*$B$8/12)</f>
      </c>
      <c r="H514" s="333">
        <f>$H$5*G514</f>
      </c>
      <c r="I514" s="333">
        <f>$I$5*G514</f>
      </c>
      <c r="J514" s="333">
        <f>+I514</f>
      </c>
      <c r="K514" s="333">
        <f>(1+$O$5)^(D514/12)*(H514+IF(AND(F514=1,F515=0),$S$4,0))</f>
      </c>
      <c r="L514" s="333">
        <f>(1+$O$5)^(D514/12)*(I514+IF(AND(F514=1,F515=0),0))</f>
      </c>
      <c r="M514" s="333">
        <f>+L514</f>
      </c>
      <c r="N514" s="333">
        <f>L514+K514+M514</f>
      </c>
      <c r="O514" s="170"/>
      <c r="P514" s="7"/>
      <c r="Q514" s="1"/>
      <c r="R514" s="331">
        <f>D514</f>
      </c>
      <c r="S514" s="169"/>
      <c r="T514" s="1"/>
      <c r="U514" s="217"/>
      <c r="V514" s="331">
        <f>+IF(V513=11,12,IF(V513=12,1,V513+1))</f>
      </c>
      <c r="W514" s="331">
        <f>+W513+IF(V513=12,1,0)</f>
      </c>
      <c r="X514" s="555">
        <f>+DATE(W514,V514,1)</f>
        <v>25569.041666666668</v>
      </c>
      <c r="Y514" s="333">
        <f>+_xlfn.IFNA(AN514+AS514+AX514,0)</f>
      </c>
      <c r="Z514" s="333">
        <f>+_xlfn.IFNA(AO514+AT514+AY514,0)</f>
      </c>
      <c r="AA514" s="333">
        <f>Y514*(1+$O$5)^(($B$7-X514)/365.25)</f>
      </c>
      <c r="AB514" s="333">
        <f>Z514*(1+$O$5)^(($B$7-X514)/365.25)</f>
      </c>
      <c r="AC514" s="1"/>
      <c r="AD514" s="1"/>
      <c r="AE514" s="1"/>
      <c r="AF514" s="111">
        <f>+MONTH(E514)&amp;YEAR(E514)</f>
      </c>
      <c r="AG514" s="217">
        <f>+I514</f>
      </c>
      <c r="AH514" s="217">
        <f>+J514</f>
      </c>
      <c r="AI514" s="217">
        <f>+H514</f>
      </c>
      <c r="AJ514" s="111">
        <f>+V514&amp;W514</f>
      </c>
      <c r="AK514" s="217">
        <f>+_xlfn.IFNA(VLOOKUP(AJ514,$AF$7:$AG$1066,2,0),0)</f>
      </c>
      <c r="AL514" s="217">
        <f>+IF(W514&gt;W513,AK514,AL513+AK514)</f>
      </c>
      <c r="AM514" s="217">
        <f>IF(W514&gt;W513,IF(AL514&gt;=$AZ$8,$AZ$8,AL514),IF(OR(AM513=$AZ$8,AM513=0),0,IF(AL514&gt;=$AZ$8,$AZ$8,AL514)))</f>
      </c>
      <c r="AN514" s="748">
        <f>+IF(OR(AM514&gt;AZ513,AM514=0),0,IF(AM514=AL514,AK514,$AZ$7-AL513))</f>
      </c>
      <c r="AO514" s="748">
        <f>+AK514-AN514</f>
      </c>
      <c r="AP514" s="217">
        <f>+_xlfn.IFNA(VLOOKUP(AJ514,$AF$7:$AI$1066,3,0),0)</f>
      </c>
      <c r="AQ514" s="217">
        <f>+IF(W514&gt;W513,AP514,AQ513+AP514)</f>
      </c>
      <c r="AR514" s="217">
        <f>+MAX($AM$2-SUMIF($W$7:$W$1066,W514,$AN$7:$AN$1066),0)</f>
      </c>
      <c r="AS514" s="748">
        <f>+MAX(IF(AQ514&gt;AR514,AR514-AQ513,AP514),0)</f>
      </c>
      <c r="AT514" s="748">
        <f>+AP514-AS514</f>
      </c>
      <c r="AU514" s="217">
        <f>+_xlfn.IFNA(VLOOKUP(AJ514,$AF$7:$AI$1066,4,0),0)</f>
      </c>
      <c r="AV514" s="217">
        <f>+IF(W514&gt;W513,AU514,AV513+AU514)</f>
      </c>
      <c r="AW514" s="217">
        <f>+MAX($AM$2-SUMIF($W$7:$W$1066,W514,$AN$7:$AN$1066)-SUMIF($W$7:$W$1066,W514,$AS$7:$AS$1066),0)</f>
      </c>
      <c r="AX514" s="748">
        <f>+MAX(IF(AV514&gt;AW514,AW514-AV513,AU514),0)</f>
      </c>
      <c r="AY514" s="748">
        <f>+AU514-AX514</f>
      </c>
      <c r="AZ514" s="331">
        <f>+$AM$1+IF($AP$1&gt;$AP$2,$AM$3/2)</f>
      </c>
    </row>
    <row x14ac:dyDescent="0.25" r="515" customHeight="1" ht="18.75">
      <c r="A515" s="1"/>
      <c r="B515" s="7"/>
      <c r="C515" s="170"/>
      <c r="D515" s="331">
        <v>508</v>
      </c>
      <c r="E515" s="544">
        <f>+DATE(YEAR(E514),MONTH(E514)-1,DAY(E514))</f>
        <v>25569.041666666668</v>
      </c>
      <c r="F515" s="333">
        <f>IF(DATE(YEAR($B$6),MONTH($B$6)+1,DAY(1))=E515,1,IF(MONTH(E515)=1,F516*(1+$F$5),F516))</f>
      </c>
      <c r="G515" s="333">
        <f>IF('Simulador - 1º Pilar'!$E$99="Sí",IF('Aportaciones PPE'!$B$13&lt;'Aportaciones PPE'!E515,0,F515*$B$8/12),F515*$B$8/12)</f>
      </c>
      <c r="H515" s="333">
        <f>$H$5*G515</f>
      </c>
      <c r="I515" s="333">
        <f>$I$5*G515</f>
      </c>
      <c r="J515" s="333">
        <f>+I515</f>
      </c>
      <c r="K515" s="333">
        <f>(1+$O$5)^(D515/12)*(H515+IF(AND(F515=1,F516=0),$S$4,0))</f>
      </c>
      <c r="L515" s="333">
        <f>(1+$O$5)^(D515/12)*(I515+IF(AND(F515=1,F516=0),0))</f>
      </c>
      <c r="M515" s="333">
        <f>+L515</f>
      </c>
      <c r="N515" s="333">
        <f>L515+K515+M515</f>
      </c>
      <c r="O515" s="170"/>
      <c r="P515" s="7"/>
      <c r="Q515" s="1"/>
      <c r="R515" s="331">
        <f>D515</f>
      </c>
      <c r="S515" s="169"/>
      <c r="T515" s="1"/>
      <c r="U515" s="217"/>
      <c r="V515" s="331">
        <f>+IF(V514=11,12,IF(V514=12,1,V514+1))</f>
      </c>
      <c r="W515" s="331">
        <f>+W514+IF(V514=12,1,0)</f>
      </c>
      <c r="X515" s="555">
        <f>+DATE(W515,V515,1)</f>
        <v>25569.041666666668</v>
      </c>
      <c r="Y515" s="333">
        <f>+_xlfn.IFNA(AN515+AS515+AX515,0)</f>
      </c>
      <c r="Z515" s="333">
        <f>+_xlfn.IFNA(AO515+AT515+AY515,0)</f>
      </c>
      <c r="AA515" s="333">
        <f>Y515*(1+$O$5)^(($B$7-X515)/365.25)</f>
      </c>
      <c r="AB515" s="333">
        <f>Z515*(1+$O$5)^(($B$7-X515)/365.25)</f>
      </c>
      <c r="AC515" s="1"/>
      <c r="AD515" s="1"/>
      <c r="AE515" s="1"/>
      <c r="AF515" s="111">
        <f>+MONTH(E515)&amp;YEAR(E515)</f>
      </c>
      <c r="AG515" s="217">
        <f>+I515</f>
      </c>
      <c r="AH515" s="217">
        <f>+J515</f>
      </c>
      <c r="AI515" s="217">
        <f>+H515</f>
      </c>
      <c r="AJ515" s="111">
        <f>+V515&amp;W515</f>
      </c>
      <c r="AK515" s="217">
        <f>+_xlfn.IFNA(VLOOKUP(AJ515,$AF$7:$AG$1066,2,0),0)</f>
      </c>
      <c r="AL515" s="217">
        <f>+IF(W515&gt;W514,AK515,AL514+AK515)</f>
      </c>
      <c r="AM515" s="217">
        <f>IF(W515&gt;W514,IF(AL515&gt;=$AZ$8,$AZ$8,AL515),IF(OR(AM514=$AZ$8,AM514=0),0,IF(AL515&gt;=$AZ$8,$AZ$8,AL515)))</f>
      </c>
      <c r="AN515" s="748">
        <f>+IF(OR(AM515&gt;AZ514,AM515=0),0,IF(AM515=AL515,AK515,$AZ$7-AL514))</f>
      </c>
      <c r="AO515" s="748">
        <f>+AK515-AN515</f>
      </c>
      <c r="AP515" s="217">
        <f>+_xlfn.IFNA(VLOOKUP(AJ515,$AF$7:$AI$1066,3,0),0)</f>
      </c>
      <c r="AQ515" s="217">
        <f>+IF(W515&gt;W514,AP515,AQ514+AP515)</f>
      </c>
      <c r="AR515" s="217">
        <f>+MAX($AM$2-SUMIF($W$7:$W$1066,W515,$AN$7:$AN$1066),0)</f>
      </c>
      <c r="AS515" s="748">
        <f>+MAX(IF(AQ515&gt;AR515,AR515-AQ514,AP515),0)</f>
      </c>
      <c r="AT515" s="748">
        <f>+AP515-AS515</f>
      </c>
      <c r="AU515" s="217">
        <f>+_xlfn.IFNA(VLOOKUP(AJ515,$AF$7:$AI$1066,4,0),0)</f>
      </c>
      <c r="AV515" s="217">
        <f>+IF(W515&gt;W514,AU515,AV514+AU515)</f>
      </c>
      <c r="AW515" s="217">
        <f>+MAX($AM$2-SUMIF($W$7:$W$1066,W515,$AN$7:$AN$1066)-SUMIF($W$7:$W$1066,W515,$AS$7:$AS$1066),0)</f>
      </c>
      <c r="AX515" s="748">
        <f>+MAX(IF(AV515&gt;AW515,AW515-AV514,AU515),0)</f>
      </c>
      <c r="AY515" s="748">
        <f>+AU515-AX515</f>
      </c>
      <c r="AZ515" s="331">
        <f>+$AM$1+IF($AP$1&gt;$AP$2,$AM$3/2)</f>
      </c>
    </row>
    <row x14ac:dyDescent="0.25" r="516" customHeight="1" ht="18.75">
      <c r="A516" s="1"/>
      <c r="B516" s="7"/>
      <c r="C516" s="170"/>
      <c r="D516" s="331">
        <v>509</v>
      </c>
      <c r="E516" s="544">
        <f>+DATE(YEAR(E515),MONTH(E515)-1,DAY(E515))</f>
        <v>25569.041666666668</v>
      </c>
      <c r="F516" s="333">
        <f>IF(DATE(YEAR($B$6),MONTH($B$6)+1,DAY(1))=E516,1,IF(MONTH(E516)=1,F517*(1+$F$5),F517))</f>
      </c>
      <c r="G516" s="333">
        <f>IF('Simulador - 1º Pilar'!$E$99="Sí",IF('Aportaciones PPE'!$B$13&lt;'Aportaciones PPE'!E516,0,F516*$B$8/12),F516*$B$8/12)</f>
      </c>
      <c r="H516" s="333">
        <f>$H$5*G516</f>
      </c>
      <c r="I516" s="333">
        <f>$I$5*G516</f>
      </c>
      <c r="J516" s="333">
        <f>+I516</f>
      </c>
      <c r="K516" s="333">
        <f>(1+$O$5)^(D516/12)*(H516+IF(AND(F516=1,F517=0),$S$4,0))</f>
      </c>
      <c r="L516" s="333">
        <f>(1+$O$5)^(D516/12)*(I516+IF(AND(F516=1,F517=0),0))</f>
      </c>
      <c r="M516" s="333">
        <f>+L516</f>
      </c>
      <c r="N516" s="333">
        <f>L516+K516+M516</f>
      </c>
      <c r="O516" s="170"/>
      <c r="P516" s="7"/>
      <c r="Q516" s="1"/>
      <c r="R516" s="331">
        <f>D516</f>
      </c>
      <c r="S516" s="169"/>
      <c r="T516" s="1"/>
      <c r="U516" s="217"/>
      <c r="V516" s="331">
        <f>+IF(V515=11,12,IF(V515=12,1,V515+1))</f>
      </c>
      <c r="W516" s="331">
        <f>+W515+IF(V515=12,1,0)</f>
      </c>
      <c r="X516" s="555">
        <f>+DATE(W516,V516,1)</f>
        <v>25569.041666666668</v>
      </c>
      <c r="Y516" s="333">
        <f>+_xlfn.IFNA(AN516+AS516+AX516,0)</f>
      </c>
      <c r="Z516" s="333">
        <f>+_xlfn.IFNA(AO516+AT516+AY516,0)</f>
      </c>
      <c r="AA516" s="333">
        <f>Y516*(1+$O$5)^(($B$7-X516)/365.25)</f>
      </c>
      <c r="AB516" s="333">
        <f>Z516*(1+$O$5)^(($B$7-X516)/365.25)</f>
      </c>
      <c r="AC516" s="1"/>
      <c r="AD516" s="1"/>
      <c r="AE516" s="1"/>
      <c r="AF516" s="111">
        <f>+MONTH(E516)&amp;YEAR(E516)</f>
      </c>
      <c r="AG516" s="217">
        <f>+I516</f>
      </c>
      <c r="AH516" s="217">
        <f>+J516</f>
      </c>
      <c r="AI516" s="217">
        <f>+H516</f>
      </c>
      <c r="AJ516" s="111">
        <f>+V516&amp;W516</f>
      </c>
      <c r="AK516" s="217">
        <f>+_xlfn.IFNA(VLOOKUP(AJ516,$AF$7:$AG$1066,2,0),0)</f>
      </c>
      <c r="AL516" s="217">
        <f>+IF(W516&gt;W515,AK516,AL515+AK516)</f>
      </c>
      <c r="AM516" s="217">
        <f>IF(W516&gt;W515,IF(AL516&gt;=$AZ$8,$AZ$8,AL516),IF(OR(AM515=$AZ$8,AM515=0),0,IF(AL516&gt;=$AZ$8,$AZ$8,AL516)))</f>
      </c>
      <c r="AN516" s="748">
        <f>+IF(OR(AM516&gt;AZ515,AM516=0),0,IF(AM516=AL516,AK516,$AZ$7-AL515))</f>
      </c>
      <c r="AO516" s="748">
        <f>+AK516-AN516</f>
      </c>
      <c r="AP516" s="217">
        <f>+_xlfn.IFNA(VLOOKUP(AJ516,$AF$7:$AI$1066,3,0),0)</f>
      </c>
      <c r="AQ516" s="217">
        <f>+IF(W516&gt;W515,AP516,AQ515+AP516)</f>
      </c>
      <c r="AR516" s="217">
        <f>+MAX($AM$2-SUMIF($W$7:$W$1066,W516,$AN$7:$AN$1066),0)</f>
      </c>
      <c r="AS516" s="748">
        <f>+MAX(IF(AQ516&gt;AR516,AR516-AQ515,AP516),0)</f>
      </c>
      <c r="AT516" s="748">
        <f>+AP516-AS516</f>
      </c>
      <c r="AU516" s="217">
        <f>+_xlfn.IFNA(VLOOKUP(AJ516,$AF$7:$AI$1066,4,0),0)</f>
      </c>
      <c r="AV516" s="217">
        <f>+IF(W516&gt;W515,AU516,AV515+AU516)</f>
      </c>
      <c r="AW516" s="217">
        <f>+MAX($AM$2-SUMIF($W$7:$W$1066,W516,$AN$7:$AN$1066)-SUMIF($W$7:$W$1066,W516,$AS$7:$AS$1066),0)</f>
      </c>
      <c r="AX516" s="748">
        <f>+MAX(IF(AV516&gt;AW516,AW516-AV515,AU516),0)</f>
      </c>
      <c r="AY516" s="748">
        <f>+AU516-AX516</f>
      </c>
      <c r="AZ516" s="331">
        <f>+$AM$1+IF($AP$1&gt;$AP$2,$AM$3/2)</f>
      </c>
    </row>
    <row x14ac:dyDescent="0.25" r="517" customHeight="1" ht="18.75">
      <c r="A517" s="1"/>
      <c r="B517" s="7"/>
      <c r="C517" s="170"/>
      <c r="D517" s="331">
        <v>510</v>
      </c>
      <c r="E517" s="544">
        <f>+DATE(YEAR(E516),MONTH(E516)-1,DAY(E516))</f>
        <v>25569.041666666668</v>
      </c>
      <c r="F517" s="333">
        <f>IF(DATE(YEAR($B$6),MONTH($B$6)+1,DAY(1))=E517,1,IF(MONTH(E517)=1,F518*(1+$F$5),F518))</f>
      </c>
      <c r="G517" s="333">
        <f>IF('Simulador - 1º Pilar'!$E$99="Sí",IF('Aportaciones PPE'!$B$13&lt;'Aportaciones PPE'!E517,0,F517*$B$8/12),F517*$B$8/12)</f>
      </c>
      <c r="H517" s="333">
        <f>$H$5*G517</f>
      </c>
      <c r="I517" s="333">
        <f>$I$5*G517</f>
      </c>
      <c r="J517" s="333">
        <f>+I517</f>
      </c>
      <c r="K517" s="333">
        <f>(1+$O$5)^(D517/12)*(H517+IF(AND(F517=1,F518=0),$S$4,0))</f>
      </c>
      <c r="L517" s="333">
        <f>(1+$O$5)^(D517/12)*(I517+IF(AND(F517=1,F518=0),0))</f>
      </c>
      <c r="M517" s="333">
        <f>+L517</f>
      </c>
      <c r="N517" s="333">
        <f>L517+K517+M517</f>
      </c>
      <c r="O517" s="170"/>
      <c r="P517" s="7"/>
      <c r="Q517" s="1"/>
      <c r="R517" s="331">
        <f>D517</f>
      </c>
      <c r="S517" s="169"/>
      <c r="T517" s="1"/>
      <c r="U517" s="217"/>
      <c r="V517" s="331">
        <f>+IF(V516=11,12,IF(V516=12,1,V516+1))</f>
      </c>
      <c r="W517" s="331">
        <f>+W516+IF(V516=12,1,0)</f>
      </c>
      <c r="X517" s="555">
        <f>+DATE(W517,V517,1)</f>
        <v>25569.041666666668</v>
      </c>
      <c r="Y517" s="333">
        <f>+_xlfn.IFNA(AN517+AS517+AX517,0)</f>
      </c>
      <c r="Z517" s="333">
        <f>+_xlfn.IFNA(AO517+AT517+AY517,0)</f>
      </c>
      <c r="AA517" s="333">
        <f>Y517*(1+$O$5)^(($B$7-X517)/365.25)</f>
      </c>
      <c r="AB517" s="333">
        <f>Z517*(1+$O$5)^(($B$7-X517)/365.25)</f>
      </c>
      <c r="AC517" s="1"/>
      <c r="AD517" s="1"/>
      <c r="AE517" s="1"/>
      <c r="AF517" s="111">
        <f>+MONTH(E517)&amp;YEAR(E517)</f>
      </c>
      <c r="AG517" s="217">
        <f>+I517</f>
      </c>
      <c r="AH517" s="217">
        <f>+J517</f>
      </c>
      <c r="AI517" s="217">
        <f>+H517</f>
      </c>
      <c r="AJ517" s="111">
        <f>+V517&amp;W517</f>
      </c>
      <c r="AK517" s="217">
        <f>+_xlfn.IFNA(VLOOKUP(AJ517,$AF$7:$AG$1066,2,0),0)</f>
      </c>
      <c r="AL517" s="217">
        <f>+IF(W517&gt;W516,AK517,AL516+AK517)</f>
      </c>
      <c r="AM517" s="217">
        <f>IF(W517&gt;W516,IF(AL517&gt;=$AZ$8,$AZ$8,AL517),IF(OR(AM516=$AZ$8,AM516=0),0,IF(AL517&gt;=$AZ$8,$AZ$8,AL517)))</f>
      </c>
      <c r="AN517" s="748">
        <f>+IF(OR(AM517&gt;AZ516,AM517=0),0,IF(AM517=AL517,AK517,$AZ$7-AL516))</f>
      </c>
      <c r="AO517" s="748">
        <f>+AK517-AN517</f>
      </c>
      <c r="AP517" s="217">
        <f>+_xlfn.IFNA(VLOOKUP(AJ517,$AF$7:$AI$1066,3,0),0)</f>
      </c>
      <c r="AQ517" s="217">
        <f>+IF(W517&gt;W516,AP517,AQ516+AP517)</f>
      </c>
      <c r="AR517" s="217">
        <f>+MAX($AM$2-SUMIF($W$7:$W$1066,W517,$AN$7:$AN$1066),0)</f>
      </c>
      <c r="AS517" s="748">
        <f>+MAX(IF(AQ517&gt;AR517,AR517-AQ516,AP517),0)</f>
      </c>
      <c r="AT517" s="748">
        <f>+AP517-AS517</f>
      </c>
      <c r="AU517" s="217">
        <f>+_xlfn.IFNA(VLOOKUP(AJ517,$AF$7:$AI$1066,4,0),0)</f>
      </c>
      <c r="AV517" s="217">
        <f>+IF(W517&gt;W516,AU517,AV516+AU517)</f>
      </c>
      <c r="AW517" s="217">
        <f>+MAX($AM$2-SUMIF($W$7:$W$1066,W517,$AN$7:$AN$1066)-SUMIF($W$7:$W$1066,W517,$AS$7:$AS$1066),0)</f>
      </c>
      <c r="AX517" s="748">
        <f>+MAX(IF(AV517&gt;AW517,AW517-AV516,AU517),0)</f>
      </c>
      <c r="AY517" s="748">
        <f>+AU517-AX517</f>
      </c>
      <c r="AZ517" s="331">
        <f>+$AM$1+IF($AP$1&gt;$AP$2,$AM$3/2)</f>
      </c>
    </row>
    <row x14ac:dyDescent="0.25" r="518" customHeight="1" ht="18.75">
      <c r="A518" s="1"/>
      <c r="B518" s="7"/>
      <c r="C518" s="170"/>
      <c r="D518" s="331">
        <v>511</v>
      </c>
      <c r="E518" s="544">
        <f>+DATE(YEAR(E517),MONTH(E517)-1,DAY(E517))</f>
        <v>25569.041666666668</v>
      </c>
      <c r="F518" s="333">
        <f>IF(DATE(YEAR($B$6),MONTH($B$6)+1,DAY(1))=E518,1,IF(MONTH(E518)=1,F519*(1+$F$5),F519))</f>
      </c>
      <c r="G518" s="333">
        <f>IF('Simulador - 1º Pilar'!$E$99="Sí",IF('Aportaciones PPE'!$B$13&lt;'Aportaciones PPE'!E518,0,F518*$B$8/12),F518*$B$8/12)</f>
      </c>
      <c r="H518" s="333">
        <f>$H$5*G518</f>
      </c>
      <c r="I518" s="333">
        <f>$I$5*G518</f>
      </c>
      <c r="J518" s="333">
        <f>+I518</f>
      </c>
      <c r="K518" s="333">
        <f>(1+$O$5)^(D518/12)*(H518+IF(AND(F518=1,F519=0),$S$4,0))</f>
      </c>
      <c r="L518" s="333">
        <f>(1+$O$5)^(D518/12)*(I518+IF(AND(F518=1,F519=0),0))</f>
      </c>
      <c r="M518" s="333">
        <f>+L518</f>
      </c>
      <c r="N518" s="333">
        <f>L518+K518+M518</f>
      </c>
      <c r="O518" s="170"/>
      <c r="P518" s="7"/>
      <c r="Q518" s="1"/>
      <c r="R518" s="331">
        <f>D518</f>
      </c>
      <c r="S518" s="169"/>
      <c r="T518" s="1"/>
      <c r="U518" s="217"/>
      <c r="V518" s="331">
        <f>+IF(V517=11,12,IF(V517=12,1,V517+1))</f>
      </c>
      <c r="W518" s="331">
        <f>+W517+IF(V517=12,1,0)</f>
      </c>
      <c r="X518" s="555">
        <f>+DATE(W518,V518,1)</f>
        <v>25569.041666666668</v>
      </c>
      <c r="Y518" s="333">
        <f>+_xlfn.IFNA(AN518+AS518+AX518,0)</f>
      </c>
      <c r="Z518" s="333">
        <f>+_xlfn.IFNA(AO518+AT518+AY518,0)</f>
      </c>
      <c r="AA518" s="333">
        <f>Y518*(1+$O$5)^(($B$7-X518)/365.25)</f>
      </c>
      <c r="AB518" s="333">
        <f>Z518*(1+$O$5)^(($B$7-X518)/365.25)</f>
      </c>
      <c r="AC518" s="1"/>
      <c r="AD518" s="1"/>
      <c r="AE518" s="1"/>
      <c r="AF518" s="111">
        <f>+MONTH(E518)&amp;YEAR(E518)</f>
      </c>
      <c r="AG518" s="217">
        <f>+I518</f>
      </c>
      <c r="AH518" s="217">
        <f>+J518</f>
      </c>
      <c r="AI518" s="217">
        <f>+H518</f>
      </c>
      <c r="AJ518" s="111">
        <f>+V518&amp;W518</f>
      </c>
      <c r="AK518" s="217">
        <f>+_xlfn.IFNA(VLOOKUP(AJ518,$AF$7:$AG$1066,2,0),0)</f>
      </c>
      <c r="AL518" s="217">
        <f>+IF(W518&gt;W517,AK518,AL517+AK518)</f>
      </c>
      <c r="AM518" s="217">
        <f>IF(W518&gt;W517,IF(AL518&gt;=$AZ$8,$AZ$8,AL518),IF(OR(AM517=$AZ$8,AM517=0),0,IF(AL518&gt;=$AZ$8,$AZ$8,AL518)))</f>
      </c>
      <c r="AN518" s="748">
        <f>+IF(OR(AM518&gt;AZ517,AM518=0),0,IF(AM518=AL518,AK518,$AZ$7-AL517))</f>
      </c>
      <c r="AO518" s="748">
        <f>+AK518-AN518</f>
      </c>
      <c r="AP518" s="217">
        <f>+_xlfn.IFNA(VLOOKUP(AJ518,$AF$7:$AI$1066,3,0),0)</f>
      </c>
      <c r="AQ518" s="217">
        <f>+IF(W518&gt;W517,AP518,AQ517+AP518)</f>
      </c>
      <c r="AR518" s="217">
        <f>+MAX($AM$2-SUMIF($W$7:$W$1066,W518,$AN$7:$AN$1066),0)</f>
      </c>
      <c r="AS518" s="748">
        <f>+MAX(IF(AQ518&gt;AR518,AR518-AQ517,AP518),0)</f>
      </c>
      <c r="AT518" s="748">
        <f>+AP518-AS518</f>
      </c>
      <c r="AU518" s="217">
        <f>+_xlfn.IFNA(VLOOKUP(AJ518,$AF$7:$AI$1066,4,0),0)</f>
      </c>
      <c r="AV518" s="217">
        <f>+IF(W518&gt;W517,AU518,AV517+AU518)</f>
      </c>
      <c r="AW518" s="217">
        <f>+MAX($AM$2-SUMIF($W$7:$W$1066,W518,$AN$7:$AN$1066)-SUMIF($W$7:$W$1066,W518,$AS$7:$AS$1066),0)</f>
      </c>
      <c r="AX518" s="748">
        <f>+MAX(IF(AV518&gt;AW518,AW518-AV517,AU518),0)</f>
      </c>
      <c r="AY518" s="748">
        <f>+AU518-AX518</f>
      </c>
      <c r="AZ518" s="331">
        <f>+$AM$1+IF($AP$1&gt;$AP$2,$AM$3/2)</f>
      </c>
    </row>
    <row x14ac:dyDescent="0.25" r="519" customHeight="1" ht="18.75">
      <c r="A519" s="1"/>
      <c r="B519" s="7"/>
      <c r="C519" s="170"/>
      <c r="D519" s="331">
        <v>512</v>
      </c>
      <c r="E519" s="544">
        <f>+DATE(YEAR(E518),MONTH(E518)-1,DAY(E518))</f>
        <v>25569.041666666668</v>
      </c>
      <c r="F519" s="333">
        <f>IF(DATE(YEAR($B$6),MONTH($B$6)+1,DAY(1))=E519,1,IF(MONTH(E519)=1,F520*(1+$F$5),F520))</f>
      </c>
      <c r="G519" s="333">
        <f>IF('Simulador - 1º Pilar'!$E$99="Sí",IF('Aportaciones PPE'!$B$13&lt;'Aportaciones PPE'!E519,0,F519*$B$8/12),F519*$B$8/12)</f>
      </c>
      <c r="H519" s="333">
        <f>$H$5*G519</f>
      </c>
      <c r="I519" s="333">
        <f>$I$5*G519</f>
      </c>
      <c r="J519" s="333">
        <f>+I519</f>
      </c>
      <c r="K519" s="333">
        <f>(1+$O$5)^(D519/12)*(H519+IF(AND(F519=1,F520=0),$S$4,0))</f>
      </c>
      <c r="L519" s="333">
        <f>(1+$O$5)^(D519/12)*(I519+IF(AND(F519=1,F520=0),0))</f>
      </c>
      <c r="M519" s="333">
        <f>+L519</f>
      </c>
      <c r="N519" s="333">
        <f>L519+K519+M519</f>
      </c>
      <c r="O519" s="170"/>
      <c r="P519" s="7"/>
      <c r="Q519" s="1"/>
      <c r="R519" s="331">
        <f>D519</f>
      </c>
      <c r="S519" s="169"/>
      <c r="T519" s="1"/>
      <c r="U519" s="217"/>
      <c r="V519" s="331">
        <f>+IF(V518=11,12,IF(V518=12,1,V518+1))</f>
      </c>
      <c r="W519" s="331">
        <f>+W518+IF(V518=12,1,0)</f>
      </c>
      <c r="X519" s="555">
        <f>+DATE(W519,V519,1)</f>
        <v>25569.041666666668</v>
      </c>
      <c r="Y519" s="333">
        <f>+_xlfn.IFNA(AN519+AS519+AX519,0)</f>
      </c>
      <c r="Z519" s="333">
        <f>+_xlfn.IFNA(AO519+AT519+AY519,0)</f>
      </c>
      <c r="AA519" s="333">
        <f>Y519*(1+$O$5)^(($B$7-X519)/365.25)</f>
      </c>
      <c r="AB519" s="333">
        <f>Z519*(1+$O$5)^(($B$7-X519)/365.25)</f>
      </c>
      <c r="AC519" s="1"/>
      <c r="AD519" s="1"/>
      <c r="AE519" s="1"/>
      <c r="AF519" s="111">
        <f>+MONTH(E519)&amp;YEAR(E519)</f>
      </c>
      <c r="AG519" s="217">
        <f>+I519</f>
      </c>
      <c r="AH519" s="217">
        <f>+J519</f>
      </c>
      <c r="AI519" s="217">
        <f>+H519</f>
      </c>
      <c r="AJ519" s="111">
        <f>+V519&amp;W519</f>
      </c>
      <c r="AK519" s="217">
        <f>+_xlfn.IFNA(VLOOKUP(AJ519,$AF$7:$AG$1066,2,0),0)</f>
      </c>
      <c r="AL519" s="217">
        <f>+IF(W519&gt;W518,AK519,AL518+AK519)</f>
      </c>
      <c r="AM519" s="217">
        <f>IF(W519&gt;W518,IF(AL519&gt;=$AZ$8,$AZ$8,AL519),IF(OR(AM518=$AZ$8,AM518=0),0,IF(AL519&gt;=$AZ$8,$AZ$8,AL519)))</f>
      </c>
      <c r="AN519" s="748">
        <f>+IF(OR(AM519&gt;AZ518,AM519=0),0,IF(AM519=AL519,AK519,$AZ$7-AL518))</f>
      </c>
      <c r="AO519" s="748">
        <f>+AK519-AN519</f>
      </c>
      <c r="AP519" s="217">
        <f>+_xlfn.IFNA(VLOOKUP(AJ519,$AF$7:$AI$1066,3,0),0)</f>
      </c>
      <c r="AQ519" s="217">
        <f>+IF(W519&gt;W518,AP519,AQ518+AP519)</f>
      </c>
      <c r="AR519" s="217">
        <f>+MAX($AM$2-SUMIF($W$7:$W$1066,W519,$AN$7:$AN$1066),0)</f>
      </c>
      <c r="AS519" s="748">
        <f>+MAX(IF(AQ519&gt;AR519,AR519-AQ518,AP519),0)</f>
      </c>
      <c r="AT519" s="748">
        <f>+AP519-AS519</f>
      </c>
      <c r="AU519" s="217">
        <f>+_xlfn.IFNA(VLOOKUP(AJ519,$AF$7:$AI$1066,4,0),0)</f>
      </c>
      <c r="AV519" s="217">
        <f>+IF(W519&gt;W518,AU519,AV518+AU519)</f>
      </c>
      <c r="AW519" s="217">
        <f>+MAX($AM$2-SUMIF($W$7:$W$1066,W519,$AN$7:$AN$1066)-SUMIF($W$7:$W$1066,W519,$AS$7:$AS$1066),0)</f>
      </c>
      <c r="AX519" s="748">
        <f>+MAX(IF(AV519&gt;AW519,AW519-AV518,AU519),0)</f>
      </c>
      <c r="AY519" s="748">
        <f>+AU519-AX519</f>
      </c>
      <c r="AZ519" s="331">
        <f>+$AM$1+IF($AP$1&gt;$AP$2,$AM$3/2)</f>
      </c>
    </row>
    <row x14ac:dyDescent="0.25" r="520" customHeight="1" ht="18.75">
      <c r="A520" s="1"/>
      <c r="B520" s="7"/>
      <c r="C520" s="170"/>
      <c r="D520" s="331">
        <v>513</v>
      </c>
      <c r="E520" s="544">
        <f>+DATE(YEAR(E519),MONTH(E519)-1,DAY(E519))</f>
        <v>25569.041666666668</v>
      </c>
      <c r="F520" s="333">
        <f>IF(DATE(YEAR($B$6),MONTH($B$6)+1,DAY(1))=E520,1,IF(MONTH(E520)=1,F521*(1+$F$5),F521))</f>
      </c>
      <c r="G520" s="333">
        <f>IF('Simulador - 1º Pilar'!$E$99="Sí",IF('Aportaciones PPE'!$B$13&lt;'Aportaciones PPE'!E520,0,F520*$B$8/12),F520*$B$8/12)</f>
      </c>
      <c r="H520" s="333">
        <f>$H$5*G520</f>
      </c>
      <c r="I520" s="333">
        <f>$I$5*G520</f>
      </c>
      <c r="J520" s="333">
        <f>+I520</f>
      </c>
      <c r="K520" s="333">
        <f>(1+$O$5)^(D520/12)*(H520+IF(AND(F520=1,F521=0),$S$4,0))</f>
      </c>
      <c r="L520" s="333">
        <f>(1+$O$5)^(D520/12)*(I520+IF(AND(F520=1,F521=0),0))</f>
      </c>
      <c r="M520" s="333">
        <f>+L520</f>
      </c>
      <c r="N520" s="333">
        <f>L520+K520+M520</f>
      </c>
      <c r="O520" s="170"/>
      <c r="P520" s="7"/>
      <c r="Q520" s="1"/>
      <c r="R520" s="331">
        <f>D520</f>
      </c>
      <c r="S520" s="169"/>
      <c r="T520" s="1"/>
      <c r="U520" s="217"/>
      <c r="V520" s="331">
        <f>+IF(V519=11,12,IF(V519=12,1,V519+1))</f>
      </c>
      <c r="W520" s="331">
        <f>+W519+IF(V519=12,1,0)</f>
      </c>
      <c r="X520" s="555">
        <f>+DATE(W520,V520,1)</f>
        <v>25569.041666666668</v>
      </c>
      <c r="Y520" s="333">
        <f>+_xlfn.IFNA(AN520+AS520+AX520,0)</f>
      </c>
      <c r="Z520" s="333">
        <f>+_xlfn.IFNA(AO520+AT520+AY520,0)</f>
      </c>
      <c r="AA520" s="333">
        <f>Y520*(1+$O$5)^(($B$7-X520)/365.25)</f>
      </c>
      <c r="AB520" s="333">
        <f>Z520*(1+$O$5)^(($B$7-X520)/365.25)</f>
      </c>
      <c r="AC520" s="1"/>
      <c r="AD520" s="1"/>
      <c r="AE520" s="1"/>
      <c r="AF520" s="111">
        <f>+MONTH(E520)&amp;YEAR(E520)</f>
      </c>
      <c r="AG520" s="217">
        <f>+I520</f>
      </c>
      <c r="AH520" s="217">
        <f>+J520</f>
      </c>
      <c r="AI520" s="217">
        <f>+H520</f>
      </c>
      <c r="AJ520" s="111">
        <f>+V520&amp;W520</f>
      </c>
      <c r="AK520" s="217">
        <f>+_xlfn.IFNA(VLOOKUP(AJ520,$AF$7:$AG$1066,2,0),0)</f>
      </c>
      <c r="AL520" s="217">
        <f>+IF(W520&gt;W519,AK520,AL519+AK520)</f>
      </c>
      <c r="AM520" s="217">
        <f>IF(W520&gt;W519,IF(AL520&gt;=$AZ$8,$AZ$8,AL520),IF(OR(AM519=$AZ$8,AM519=0),0,IF(AL520&gt;=$AZ$8,$AZ$8,AL520)))</f>
      </c>
      <c r="AN520" s="748">
        <f>+IF(OR(AM520&gt;AZ519,AM520=0),0,IF(AM520=AL520,AK520,$AZ$7-AL519))</f>
      </c>
      <c r="AO520" s="748">
        <f>+AK520-AN520</f>
      </c>
      <c r="AP520" s="217">
        <f>+_xlfn.IFNA(VLOOKUP(AJ520,$AF$7:$AI$1066,3,0),0)</f>
      </c>
      <c r="AQ520" s="217">
        <f>+IF(W520&gt;W519,AP520,AQ519+AP520)</f>
      </c>
      <c r="AR520" s="217">
        <f>+MAX($AM$2-SUMIF($W$7:$W$1066,W520,$AN$7:$AN$1066),0)</f>
      </c>
      <c r="AS520" s="748">
        <f>+MAX(IF(AQ520&gt;AR520,AR520-AQ519,AP520),0)</f>
      </c>
      <c r="AT520" s="748">
        <f>+AP520-AS520</f>
      </c>
      <c r="AU520" s="217">
        <f>+_xlfn.IFNA(VLOOKUP(AJ520,$AF$7:$AI$1066,4,0),0)</f>
      </c>
      <c r="AV520" s="217">
        <f>+IF(W520&gt;W519,AU520,AV519+AU520)</f>
      </c>
      <c r="AW520" s="217">
        <f>+MAX($AM$2-SUMIF($W$7:$W$1066,W520,$AN$7:$AN$1066)-SUMIF($W$7:$W$1066,W520,$AS$7:$AS$1066),0)</f>
      </c>
      <c r="AX520" s="748">
        <f>+MAX(IF(AV520&gt;AW520,AW520-AV519,AU520),0)</f>
      </c>
      <c r="AY520" s="748">
        <f>+AU520-AX520</f>
      </c>
      <c r="AZ520" s="331">
        <f>+$AM$1+IF($AP$1&gt;$AP$2,$AM$3/2)</f>
      </c>
    </row>
    <row x14ac:dyDescent="0.25" r="521" customHeight="1" ht="18.75">
      <c r="A521" s="1"/>
      <c r="B521" s="7"/>
      <c r="C521" s="170"/>
      <c r="D521" s="331">
        <v>514</v>
      </c>
      <c r="E521" s="544">
        <f>+DATE(YEAR(E520),MONTH(E520)-1,DAY(E520))</f>
        <v>25569.041666666668</v>
      </c>
      <c r="F521" s="333">
        <f>IF(DATE(YEAR($B$6),MONTH($B$6)+1,DAY(1))=E521,1,IF(MONTH(E521)=1,F522*(1+$F$5),F522))</f>
      </c>
      <c r="G521" s="333">
        <f>IF('Simulador - 1º Pilar'!$E$99="Sí",IF('Aportaciones PPE'!$B$13&lt;'Aportaciones PPE'!E521,0,F521*$B$8/12),F521*$B$8/12)</f>
      </c>
      <c r="H521" s="333">
        <f>$H$5*G521</f>
      </c>
      <c r="I521" s="333">
        <f>$I$5*G521</f>
      </c>
      <c r="J521" s="333">
        <f>+I521</f>
      </c>
      <c r="K521" s="333">
        <f>(1+$O$5)^(D521/12)*(H521+IF(AND(F521=1,F522=0),$S$4,0))</f>
      </c>
      <c r="L521" s="333">
        <f>(1+$O$5)^(D521/12)*(I521+IF(AND(F521=1,F522=0),0))</f>
      </c>
      <c r="M521" s="333">
        <f>+L521</f>
      </c>
      <c r="N521" s="333">
        <f>L521+K521+M521</f>
      </c>
      <c r="O521" s="170"/>
      <c r="P521" s="7"/>
      <c r="Q521" s="1"/>
      <c r="R521" s="331">
        <f>D521</f>
      </c>
      <c r="S521" s="169"/>
      <c r="T521" s="1"/>
      <c r="U521" s="217"/>
      <c r="V521" s="331">
        <f>+IF(V520=11,12,IF(V520=12,1,V520+1))</f>
      </c>
      <c r="W521" s="331">
        <f>+W520+IF(V520=12,1,0)</f>
      </c>
      <c r="X521" s="555">
        <f>+DATE(W521,V521,1)</f>
        <v>25569.041666666668</v>
      </c>
      <c r="Y521" s="333">
        <f>+_xlfn.IFNA(AN521+AS521+AX521,0)</f>
      </c>
      <c r="Z521" s="333">
        <f>+_xlfn.IFNA(AO521+AT521+AY521,0)</f>
      </c>
      <c r="AA521" s="333">
        <f>Y521*(1+$O$5)^(($B$7-X521)/365.25)</f>
      </c>
      <c r="AB521" s="333">
        <f>Z521*(1+$O$5)^(($B$7-X521)/365.25)</f>
      </c>
      <c r="AC521" s="1"/>
      <c r="AD521" s="1"/>
      <c r="AE521" s="1"/>
      <c r="AF521" s="111">
        <f>+MONTH(E521)&amp;YEAR(E521)</f>
      </c>
      <c r="AG521" s="217">
        <f>+I521</f>
      </c>
      <c r="AH521" s="217">
        <f>+J521</f>
      </c>
      <c r="AI521" s="217">
        <f>+H521</f>
      </c>
      <c r="AJ521" s="111">
        <f>+V521&amp;W521</f>
      </c>
      <c r="AK521" s="217">
        <f>+_xlfn.IFNA(VLOOKUP(AJ521,$AF$7:$AG$1066,2,0),0)</f>
      </c>
      <c r="AL521" s="217">
        <f>+IF(W521&gt;W520,AK521,AL520+AK521)</f>
      </c>
      <c r="AM521" s="217">
        <f>IF(W521&gt;W520,IF(AL521&gt;=$AZ$8,$AZ$8,AL521),IF(OR(AM520=$AZ$8,AM520=0),0,IF(AL521&gt;=$AZ$8,$AZ$8,AL521)))</f>
      </c>
      <c r="AN521" s="748">
        <f>+IF(OR(AM521&gt;AZ520,AM521=0),0,IF(AM521=AL521,AK521,$AZ$7-AL520))</f>
      </c>
      <c r="AO521" s="748">
        <f>+AK521-AN521</f>
      </c>
      <c r="AP521" s="217">
        <f>+_xlfn.IFNA(VLOOKUP(AJ521,$AF$7:$AI$1066,3,0),0)</f>
      </c>
      <c r="AQ521" s="217">
        <f>+IF(W521&gt;W520,AP521,AQ520+AP521)</f>
      </c>
      <c r="AR521" s="217">
        <f>+MAX($AM$2-SUMIF($W$7:$W$1066,W521,$AN$7:$AN$1066),0)</f>
      </c>
      <c r="AS521" s="748">
        <f>+MAX(IF(AQ521&gt;AR521,AR521-AQ520,AP521),0)</f>
      </c>
      <c r="AT521" s="748">
        <f>+AP521-AS521</f>
      </c>
      <c r="AU521" s="217">
        <f>+_xlfn.IFNA(VLOOKUP(AJ521,$AF$7:$AI$1066,4,0),0)</f>
      </c>
      <c r="AV521" s="217">
        <f>+IF(W521&gt;W520,AU521,AV520+AU521)</f>
      </c>
      <c r="AW521" s="217">
        <f>+MAX($AM$2-SUMIF($W$7:$W$1066,W521,$AN$7:$AN$1066)-SUMIF($W$7:$W$1066,W521,$AS$7:$AS$1066),0)</f>
      </c>
      <c r="AX521" s="748">
        <f>+MAX(IF(AV521&gt;AW521,AW521-AV520,AU521),0)</f>
      </c>
      <c r="AY521" s="748">
        <f>+AU521-AX521</f>
      </c>
      <c r="AZ521" s="331">
        <f>+$AM$1+IF($AP$1&gt;$AP$2,$AM$3/2)</f>
      </c>
    </row>
    <row x14ac:dyDescent="0.25" r="522" customHeight="1" ht="18.75">
      <c r="A522" s="1"/>
      <c r="B522" s="7"/>
      <c r="C522" s="170"/>
      <c r="D522" s="331">
        <v>515</v>
      </c>
      <c r="E522" s="544">
        <f>+DATE(YEAR(E521),MONTH(E521)-1,DAY(E521))</f>
        <v>25569.041666666668</v>
      </c>
      <c r="F522" s="333">
        <f>IF(DATE(YEAR($B$6),MONTH($B$6)+1,DAY(1))=E522,1,IF(MONTH(E522)=1,F523*(1+$F$5),F523))</f>
      </c>
      <c r="G522" s="333">
        <f>IF('Simulador - 1º Pilar'!$E$99="Sí",IF('Aportaciones PPE'!$B$13&lt;'Aportaciones PPE'!E522,0,F522*$B$8/12),F522*$B$8/12)</f>
      </c>
      <c r="H522" s="333">
        <f>$H$5*G522</f>
      </c>
      <c r="I522" s="333">
        <f>$I$5*G522</f>
      </c>
      <c r="J522" s="333">
        <f>+I522</f>
      </c>
      <c r="K522" s="333">
        <f>(1+$O$5)^(D522/12)*(H522+IF(AND(F522=1,F523=0),$S$4,0))</f>
      </c>
      <c r="L522" s="333">
        <f>(1+$O$5)^(D522/12)*(I522+IF(AND(F522=1,F523=0),0))</f>
      </c>
      <c r="M522" s="333">
        <f>+L522</f>
      </c>
      <c r="N522" s="333">
        <f>L522+K522+M522</f>
      </c>
      <c r="O522" s="170"/>
      <c r="P522" s="7"/>
      <c r="Q522" s="1"/>
      <c r="R522" s="331">
        <f>D522</f>
      </c>
      <c r="S522" s="169"/>
      <c r="T522" s="1"/>
      <c r="U522" s="217"/>
      <c r="V522" s="331">
        <f>+IF(V521=11,12,IF(V521=12,1,V521+1))</f>
      </c>
      <c r="W522" s="331">
        <f>+W521+IF(V521=12,1,0)</f>
      </c>
      <c r="X522" s="555">
        <f>+DATE(W522,V522,1)</f>
        <v>25569.041666666668</v>
      </c>
      <c r="Y522" s="333">
        <f>+_xlfn.IFNA(AN522+AS522+AX522,0)</f>
      </c>
      <c r="Z522" s="333">
        <f>+_xlfn.IFNA(AO522+AT522+AY522,0)</f>
      </c>
      <c r="AA522" s="333">
        <f>Y522*(1+$O$5)^(($B$7-X522)/365.25)</f>
      </c>
      <c r="AB522" s="333">
        <f>Z522*(1+$O$5)^(($B$7-X522)/365.25)</f>
      </c>
      <c r="AC522" s="1"/>
      <c r="AD522" s="1"/>
      <c r="AE522" s="1"/>
      <c r="AF522" s="111">
        <f>+MONTH(E522)&amp;YEAR(E522)</f>
      </c>
      <c r="AG522" s="217">
        <f>+I522</f>
      </c>
      <c r="AH522" s="217">
        <f>+J522</f>
      </c>
      <c r="AI522" s="217">
        <f>+H522</f>
      </c>
      <c r="AJ522" s="111">
        <f>+V522&amp;W522</f>
      </c>
      <c r="AK522" s="217">
        <f>+_xlfn.IFNA(VLOOKUP(AJ522,$AF$7:$AG$1066,2,0),0)</f>
      </c>
      <c r="AL522" s="217">
        <f>+IF(W522&gt;W521,AK522,AL521+AK522)</f>
      </c>
      <c r="AM522" s="217">
        <f>IF(W522&gt;W521,IF(AL522&gt;=$AZ$8,$AZ$8,AL522),IF(OR(AM521=$AZ$8,AM521=0),0,IF(AL522&gt;=$AZ$8,$AZ$8,AL522)))</f>
      </c>
      <c r="AN522" s="748">
        <f>+IF(OR(AM522&gt;AZ521,AM522=0),0,IF(AM522=AL522,AK522,$AZ$7-AL521))</f>
      </c>
      <c r="AO522" s="748">
        <f>+AK522-AN522</f>
      </c>
      <c r="AP522" s="217">
        <f>+_xlfn.IFNA(VLOOKUP(AJ522,$AF$7:$AI$1066,3,0),0)</f>
      </c>
      <c r="AQ522" s="217">
        <f>+IF(W522&gt;W521,AP522,AQ521+AP522)</f>
      </c>
      <c r="AR522" s="217">
        <f>+MAX($AM$2-SUMIF($W$7:$W$1066,W522,$AN$7:$AN$1066),0)</f>
      </c>
      <c r="AS522" s="748">
        <f>+MAX(IF(AQ522&gt;AR522,AR522-AQ521,AP522),0)</f>
      </c>
      <c r="AT522" s="748">
        <f>+AP522-AS522</f>
      </c>
      <c r="AU522" s="217">
        <f>+_xlfn.IFNA(VLOOKUP(AJ522,$AF$7:$AI$1066,4,0),0)</f>
      </c>
      <c r="AV522" s="217">
        <f>+IF(W522&gt;W521,AU522,AV521+AU522)</f>
      </c>
      <c r="AW522" s="217">
        <f>+MAX($AM$2-SUMIF($W$7:$W$1066,W522,$AN$7:$AN$1066)-SUMIF($W$7:$W$1066,W522,$AS$7:$AS$1066),0)</f>
      </c>
      <c r="AX522" s="748">
        <f>+MAX(IF(AV522&gt;AW522,AW522-AV521,AU522),0)</f>
      </c>
      <c r="AY522" s="748">
        <f>+AU522-AX522</f>
      </c>
      <c r="AZ522" s="331">
        <f>+$AM$1+IF($AP$1&gt;$AP$2,$AM$3/2)</f>
      </c>
    </row>
    <row x14ac:dyDescent="0.25" r="523" customHeight="1" ht="18.75">
      <c r="A523" s="1"/>
      <c r="B523" s="7"/>
      <c r="C523" s="170"/>
      <c r="D523" s="331">
        <v>516</v>
      </c>
      <c r="E523" s="544">
        <f>+DATE(YEAR(E522),MONTH(E522)-1,DAY(E522))</f>
        <v>25569.041666666668</v>
      </c>
      <c r="F523" s="333">
        <f>IF(DATE(YEAR($B$6),MONTH($B$6)+1,DAY(1))=E523,1,IF(MONTH(E523)=1,F524*(1+$F$5),F524))</f>
      </c>
      <c r="G523" s="333">
        <f>IF('Simulador - 1º Pilar'!$E$99="Sí",IF('Aportaciones PPE'!$B$13&lt;'Aportaciones PPE'!E523,0,F523*$B$8/12),F523*$B$8/12)</f>
      </c>
      <c r="H523" s="333">
        <f>$H$5*G523</f>
      </c>
      <c r="I523" s="333">
        <f>$I$5*G523</f>
      </c>
      <c r="J523" s="333">
        <f>+I523</f>
      </c>
      <c r="K523" s="333">
        <f>(1+$O$5)^(D523/12)*(H523+IF(AND(F523=1,F524=0),$S$4,0))</f>
      </c>
      <c r="L523" s="333">
        <f>(1+$O$5)^(D523/12)*(I523+IF(AND(F523=1,F524=0),0))</f>
      </c>
      <c r="M523" s="333">
        <f>+L523</f>
      </c>
      <c r="N523" s="333">
        <f>L523+K523+M523</f>
      </c>
      <c r="O523" s="170"/>
      <c r="P523" s="7"/>
      <c r="Q523" s="1"/>
      <c r="R523" s="331">
        <f>D523</f>
      </c>
      <c r="S523" s="169"/>
      <c r="T523" s="1"/>
      <c r="U523" s="217"/>
      <c r="V523" s="331">
        <f>+IF(V522=11,12,IF(V522=12,1,V522+1))</f>
      </c>
      <c r="W523" s="331">
        <f>+W522+IF(V522=12,1,0)</f>
      </c>
      <c r="X523" s="555">
        <f>+DATE(W523,V523,1)</f>
        <v>25569.041666666668</v>
      </c>
      <c r="Y523" s="333">
        <f>+_xlfn.IFNA(AN523+AS523+AX523,0)</f>
      </c>
      <c r="Z523" s="333">
        <f>+_xlfn.IFNA(AO523+AT523+AY523,0)</f>
      </c>
      <c r="AA523" s="333">
        <f>Y523*(1+$O$5)^(($B$7-X523)/365.25)</f>
      </c>
      <c r="AB523" s="333">
        <f>Z523*(1+$O$5)^(($B$7-X523)/365.25)</f>
      </c>
      <c r="AC523" s="1"/>
      <c r="AD523" s="1"/>
      <c r="AE523" s="1"/>
      <c r="AF523" s="111">
        <f>+MONTH(E523)&amp;YEAR(E523)</f>
      </c>
      <c r="AG523" s="217">
        <f>+I523</f>
      </c>
      <c r="AH523" s="217">
        <f>+J523</f>
      </c>
      <c r="AI523" s="217">
        <f>+H523</f>
      </c>
      <c r="AJ523" s="111">
        <f>+V523&amp;W523</f>
      </c>
      <c r="AK523" s="217">
        <f>+_xlfn.IFNA(VLOOKUP(AJ523,$AF$7:$AG$1066,2,0),0)</f>
      </c>
      <c r="AL523" s="217">
        <f>+IF(W523&gt;W522,AK523,AL522+AK523)</f>
      </c>
      <c r="AM523" s="217">
        <f>IF(W523&gt;W522,IF(AL523&gt;=$AZ$8,$AZ$8,AL523),IF(OR(AM522=$AZ$8,AM522=0),0,IF(AL523&gt;=$AZ$8,$AZ$8,AL523)))</f>
      </c>
      <c r="AN523" s="748">
        <f>+IF(OR(AM523&gt;AZ522,AM523=0),0,IF(AM523=AL523,AK523,$AZ$7-AL522))</f>
      </c>
      <c r="AO523" s="748">
        <f>+AK523-AN523</f>
      </c>
      <c r="AP523" s="217">
        <f>+_xlfn.IFNA(VLOOKUP(AJ523,$AF$7:$AI$1066,3,0),0)</f>
      </c>
      <c r="AQ523" s="217">
        <f>+IF(W523&gt;W522,AP523,AQ522+AP523)</f>
      </c>
      <c r="AR523" s="217">
        <f>+MAX($AM$2-SUMIF($W$7:$W$1066,W523,$AN$7:$AN$1066),0)</f>
      </c>
      <c r="AS523" s="748">
        <f>+MAX(IF(AQ523&gt;AR523,AR523-AQ522,AP523),0)</f>
      </c>
      <c r="AT523" s="748">
        <f>+AP523-AS523</f>
      </c>
      <c r="AU523" s="217">
        <f>+_xlfn.IFNA(VLOOKUP(AJ523,$AF$7:$AI$1066,4,0),0)</f>
      </c>
      <c r="AV523" s="217">
        <f>+IF(W523&gt;W522,AU523,AV522+AU523)</f>
      </c>
      <c r="AW523" s="217">
        <f>+MAX($AM$2-SUMIF($W$7:$W$1066,W523,$AN$7:$AN$1066)-SUMIF($W$7:$W$1066,W523,$AS$7:$AS$1066),0)</f>
      </c>
      <c r="AX523" s="748">
        <f>+MAX(IF(AV523&gt;AW523,AW523-AV522,AU523),0)</f>
      </c>
      <c r="AY523" s="748">
        <f>+AU523-AX523</f>
      </c>
      <c r="AZ523" s="331">
        <f>+$AM$1+IF($AP$1&gt;$AP$2,$AM$3/2)</f>
      </c>
    </row>
    <row x14ac:dyDescent="0.25" r="524" customHeight="1" ht="18.75">
      <c r="A524" s="1"/>
      <c r="B524" s="7"/>
      <c r="C524" s="170"/>
      <c r="D524" s="331">
        <v>517</v>
      </c>
      <c r="E524" s="544">
        <f>+DATE(YEAR(E523),MONTH(E523)-1,DAY(E523))</f>
        <v>25569.041666666668</v>
      </c>
      <c r="F524" s="333">
        <f>IF(DATE(YEAR($B$6),MONTH($B$6)+1,DAY(1))=E524,1,IF(MONTH(E524)=1,F525*(1+$F$5),F525))</f>
      </c>
      <c r="G524" s="333">
        <f>IF('Simulador - 1º Pilar'!$E$99="Sí",IF('Aportaciones PPE'!$B$13&lt;'Aportaciones PPE'!E524,0,F524*$B$8/12),F524*$B$8/12)</f>
      </c>
      <c r="H524" s="333">
        <f>$H$5*G524</f>
      </c>
      <c r="I524" s="333">
        <f>$I$5*G524</f>
      </c>
      <c r="J524" s="333">
        <f>+I524</f>
      </c>
      <c r="K524" s="333">
        <f>(1+$O$5)^(D524/12)*(H524+IF(AND(F524=1,F525=0),$S$4,0))</f>
      </c>
      <c r="L524" s="333">
        <f>(1+$O$5)^(D524/12)*(I524+IF(AND(F524=1,F525=0),0))</f>
      </c>
      <c r="M524" s="333">
        <f>+L524</f>
      </c>
      <c r="N524" s="333">
        <f>L524+K524+M524</f>
      </c>
      <c r="O524" s="170"/>
      <c r="P524" s="7"/>
      <c r="Q524" s="1"/>
      <c r="R524" s="331">
        <f>D524</f>
      </c>
      <c r="S524" s="169"/>
      <c r="T524" s="1"/>
      <c r="U524" s="217"/>
      <c r="V524" s="331">
        <f>+IF(V523=11,12,IF(V523=12,1,V523+1))</f>
      </c>
      <c r="W524" s="331">
        <f>+W523+IF(V523=12,1,0)</f>
      </c>
      <c r="X524" s="555">
        <f>+DATE(W524,V524,1)</f>
        <v>25569.041666666668</v>
      </c>
      <c r="Y524" s="333">
        <f>+_xlfn.IFNA(AN524+AS524+AX524,0)</f>
      </c>
      <c r="Z524" s="333">
        <f>+_xlfn.IFNA(AO524+AT524+AY524,0)</f>
      </c>
      <c r="AA524" s="333">
        <f>Y524*(1+$O$5)^(($B$7-X524)/365.25)</f>
      </c>
      <c r="AB524" s="333">
        <f>Z524*(1+$O$5)^(($B$7-X524)/365.25)</f>
      </c>
      <c r="AC524" s="1"/>
      <c r="AD524" s="1"/>
      <c r="AE524" s="1"/>
      <c r="AF524" s="111">
        <f>+MONTH(E524)&amp;YEAR(E524)</f>
      </c>
      <c r="AG524" s="217">
        <f>+I524</f>
      </c>
      <c r="AH524" s="217">
        <f>+J524</f>
      </c>
      <c r="AI524" s="217">
        <f>+H524</f>
      </c>
      <c r="AJ524" s="111">
        <f>+V524&amp;W524</f>
      </c>
      <c r="AK524" s="217">
        <f>+_xlfn.IFNA(VLOOKUP(AJ524,$AF$7:$AG$1066,2,0),0)</f>
      </c>
      <c r="AL524" s="217">
        <f>+IF(W524&gt;W523,AK524,AL523+AK524)</f>
      </c>
      <c r="AM524" s="217">
        <f>IF(W524&gt;W523,IF(AL524&gt;=$AZ$8,$AZ$8,AL524),IF(OR(AM523=$AZ$8,AM523=0),0,IF(AL524&gt;=$AZ$8,$AZ$8,AL524)))</f>
      </c>
      <c r="AN524" s="748">
        <f>+IF(OR(AM524&gt;AZ523,AM524=0),0,IF(AM524=AL524,AK524,$AZ$7-AL523))</f>
      </c>
      <c r="AO524" s="748">
        <f>+AK524-AN524</f>
      </c>
      <c r="AP524" s="217">
        <f>+_xlfn.IFNA(VLOOKUP(AJ524,$AF$7:$AI$1066,3,0),0)</f>
      </c>
      <c r="AQ524" s="217">
        <f>+IF(W524&gt;W523,AP524,AQ523+AP524)</f>
      </c>
      <c r="AR524" s="217">
        <f>+MAX($AM$2-SUMIF($W$7:$W$1066,W524,$AN$7:$AN$1066),0)</f>
      </c>
      <c r="AS524" s="748">
        <f>+MAX(IF(AQ524&gt;AR524,AR524-AQ523,AP524),0)</f>
      </c>
      <c r="AT524" s="748">
        <f>+AP524-AS524</f>
      </c>
      <c r="AU524" s="217">
        <f>+_xlfn.IFNA(VLOOKUP(AJ524,$AF$7:$AI$1066,4,0),0)</f>
      </c>
      <c r="AV524" s="217">
        <f>+IF(W524&gt;W523,AU524,AV523+AU524)</f>
      </c>
      <c r="AW524" s="217">
        <f>+MAX($AM$2-SUMIF($W$7:$W$1066,W524,$AN$7:$AN$1066)-SUMIF($W$7:$W$1066,W524,$AS$7:$AS$1066),0)</f>
      </c>
      <c r="AX524" s="748">
        <f>+MAX(IF(AV524&gt;AW524,AW524-AV523,AU524),0)</f>
      </c>
      <c r="AY524" s="748">
        <f>+AU524-AX524</f>
      </c>
      <c r="AZ524" s="331">
        <f>+$AM$1+IF($AP$1&gt;$AP$2,$AM$3/2)</f>
      </c>
    </row>
    <row x14ac:dyDescent="0.25" r="525" customHeight="1" ht="18.75">
      <c r="A525" s="1"/>
      <c r="B525" s="7"/>
      <c r="C525" s="170"/>
      <c r="D525" s="331">
        <v>518</v>
      </c>
      <c r="E525" s="544">
        <f>+DATE(YEAR(E524),MONTH(E524)-1,DAY(E524))</f>
        <v>25569.041666666668</v>
      </c>
      <c r="F525" s="333">
        <f>IF(DATE(YEAR($B$6),MONTH($B$6)+1,DAY(1))=E525,1,IF(MONTH(E525)=1,F526*(1+$F$5),F526))</f>
      </c>
      <c r="G525" s="333">
        <f>IF('Simulador - 1º Pilar'!$E$99="Sí",IF('Aportaciones PPE'!$B$13&lt;'Aportaciones PPE'!E525,0,F525*$B$8/12),F525*$B$8/12)</f>
      </c>
      <c r="H525" s="333">
        <f>$H$5*G525</f>
      </c>
      <c r="I525" s="333">
        <f>$I$5*G525</f>
      </c>
      <c r="J525" s="333">
        <f>+I525</f>
      </c>
      <c r="K525" s="333">
        <f>(1+$O$5)^(D525/12)*(H525+IF(AND(F525=1,F526=0),$S$4,0))</f>
      </c>
      <c r="L525" s="333">
        <f>(1+$O$5)^(D525/12)*(I525+IF(AND(F525=1,F526=0),0))</f>
      </c>
      <c r="M525" s="333">
        <f>+L525</f>
      </c>
      <c r="N525" s="333">
        <f>L525+K525+M525</f>
      </c>
      <c r="O525" s="170"/>
      <c r="P525" s="7"/>
      <c r="Q525" s="1"/>
      <c r="R525" s="331">
        <f>D525</f>
      </c>
      <c r="S525" s="169"/>
      <c r="T525" s="1"/>
      <c r="U525" s="217"/>
      <c r="V525" s="331">
        <f>+IF(V524=11,12,IF(V524=12,1,V524+1))</f>
      </c>
      <c r="W525" s="331">
        <f>+W524+IF(V524=12,1,0)</f>
      </c>
      <c r="X525" s="555">
        <f>+DATE(W525,V525,1)</f>
        <v>25569.041666666668</v>
      </c>
      <c r="Y525" s="333">
        <f>+_xlfn.IFNA(AN525+AS525+AX525,0)</f>
      </c>
      <c r="Z525" s="333">
        <f>+_xlfn.IFNA(AO525+AT525+AY525,0)</f>
      </c>
      <c r="AA525" s="333">
        <f>Y525*(1+$O$5)^(($B$7-X525)/365.25)</f>
      </c>
      <c r="AB525" s="333">
        <f>Z525*(1+$O$5)^(($B$7-X525)/365.25)</f>
      </c>
      <c r="AC525" s="1"/>
      <c r="AD525" s="1"/>
      <c r="AE525" s="1"/>
      <c r="AF525" s="111">
        <f>+MONTH(E525)&amp;YEAR(E525)</f>
      </c>
      <c r="AG525" s="217">
        <f>+I525</f>
      </c>
      <c r="AH525" s="217">
        <f>+J525</f>
      </c>
      <c r="AI525" s="217">
        <f>+H525</f>
      </c>
      <c r="AJ525" s="111">
        <f>+V525&amp;W525</f>
      </c>
      <c r="AK525" s="217">
        <f>+_xlfn.IFNA(VLOOKUP(AJ525,$AF$7:$AG$1066,2,0),0)</f>
      </c>
      <c r="AL525" s="217">
        <f>+IF(W525&gt;W524,AK525,AL524+AK525)</f>
      </c>
      <c r="AM525" s="217">
        <f>IF(W525&gt;W524,IF(AL525&gt;=$AZ$8,$AZ$8,AL525),IF(OR(AM524=$AZ$8,AM524=0),0,IF(AL525&gt;=$AZ$8,$AZ$8,AL525)))</f>
      </c>
      <c r="AN525" s="748">
        <f>+IF(OR(AM525&gt;AZ524,AM525=0),0,IF(AM525=AL525,AK525,$AZ$7-AL524))</f>
      </c>
      <c r="AO525" s="748">
        <f>+AK525-AN525</f>
      </c>
      <c r="AP525" s="217">
        <f>+_xlfn.IFNA(VLOOKUP(AJ525,$AF$7:$AI$1066,3,0),0)</f>
      </c>
      <c r="AQ525" s="217">
        <f>+IF(W525&gt;W524,AP525,AQ524+AP525)</f>
      </c>
      <c r="AR525" s="217">
        <f>+MAX($AM$2-SUMIF($W$7:$W$1066,W525,$AN$7:$AN$1066),0)</f>
      </c>
      <c r="AS525" s="748">
        <f>+MAX(IF(AQ525&gt;AR525,AR525-AQ524,AP525),0)</f>
      </c>
      <c r="AT525" s="748">
        <f>+AP525-AS525</f>
      </c>
      <c r="AU525" s="217">
        <f>+_xlfn.IFNA(VLOOKUP(AJ525,$AF$7:$AI$1066,4,0),0)</f>
      </c>
      <c r="AV525" s="217">
        <f>+IF(W525&gt;W524,AU525,AV524+AU525)</f>
      </c>
      <c r="AW525" s="217">
        <f>+MAX($AM$2-SUMIF($W$7:$W$1066,W525,$AN$7:$AN$1066)-SUMIF($W$7:$W$1066,W525,$AS$7:$AS$1066),0)</f>
      </c>
      <c r="AX525" s="748">
        <f>+MAX(IF(AV525&gt;AW525,AW525-AV524,AU525),0)</f>
      </c>
      <c r="AY525" s="748">
        <f>+AU525-AX525</f>
      </c>
      <c r="AZ525" s="331">
        <f>+$AM$1+IF($AP$1&gt;$AP$2,$AM$3/2)</f>
      </c>
    </row>
    <row x14ac:dyDescent="0.25" r="526" customHeight="1" ht="18.75">
      <c r="A526" s="1"/>
      <c r="B526" s="7"/>
      <c r="C526" s="170"/>
      <c r="D526" s="331">
        <v>519</v>
      </c>
      <c r="E526" s="544">
        <f>+DATE(YEAR(E525),MONTH(E525)-1,DAY(E525))</f>
        <v>25569.041666666668</v>
      </c>
      <c r="F526" s="333">
        <f>IF(DATE(YEAR($B$6),MONTH($B$6)+1,DAY(1))=E526,1,IF(MONTH(E526)=1,F527*(1+$F$5),F527))</f>
      </c>
      <c r="G526" s="333">
        <f>IF('Simulador - 1º Pilar'!$E$99="Sí",IF('Aportaciones PPE'!$B$13&lt;'Aportaciones PPE'!E526,0,F526*$B$8/12),F526*$B$8/12)</f>
      </c>
      <c r="H526" s="333">
        <f>$H$5*G526</f>
      </c>
      <c r="I526" s="333">
        <f>$I$5*G526</f>
      </c>
      <c r="J526" s="333">
        <f>+I526</f>
      </c>
      <c r="K526" s="333">
        <f>(1+$O$5)^(D526/12)*(H526+IF(AND(F526=1,F527=0),$S$4,0))</f>
      </c>
      <c r="L526" s="333">
        <f>(1+$O$5)^(D526/12)*(I526+IF(AND(F526=1,F527=0),0))</f>
      </c>
      <c r="M526" s="333">
        <f>+L526</f>
      </c>
      <c r="N526" s="333">
        <f>L526+K526+M526</f>
      </c>
      <c r="O526" s="170"/>
      <c r="P526" s="7"/>
      <c r="Q526" s="1"/>
      <c r="R526" s="331">
        <f>D526</f>
      </c>
      <c r="S526" s="169"/>
      <c r="T526" s="1"/>
      <c r="U526" s="217"/>
      <c r="V526" s="331">
        <f>+IF(V525=11,12,IF(V525=12,1,V525+1))</f>
      </c>
      <c r="W526" s="331">
        <f>+W525+IF(V525=12,1,0)</f>
      </c>
      <c r="X526" s="555">
        <f>+DATE(W526,V526,1)</f>
        <v>25569.041666666668</v>
      </c>
      <c r="Y526" s="333">
        <f>+_xlfn.IFNA(AN526+AS526+AX526,0)</f>
      </c>
      <c r="Z526" s="333">
        <f>+_xlfn.IFNA(AO526+AT526+AY526,0)</f>
      </c>
      <c r="AA526" s="333">
        <f>Y526*(1+$O$5)^(($B$7-X526)/365.25)</f>
      </c>
      <c r="AB526" s="333">
        <f>Z526*(1+$O$5)^(($B$7-X526)/365.25)</f>
      </c>
      <c r="AC526" s="1"/>
      <c r="AD526" s="1"/>
      <c r="AE526" s="1"/>
      <c r="AF526" s="111">
        <f>+MONTH(E526)&amp;YEAR(E526)</f>
      </c>
      <c r="AG526" s="217">
        <f>+I526</f>
      </c>
      <c r="AH526" s="217">
        <f>+J526</f>
      </c>
      <c r="AI526" s="217">
        <f>+H526</f>
      </c>
      <c r="AJ526" s="111">
        <f>+V526&amp;W526</f>
      </c>
      <c r="AK526" s="217">
        <f>+_xlfn.IFNA(VLOOKUP(AJ526,$AF$7:$AG$1066,2,0),0)</f>
      </c>
      <c r="AL526" s="217">
        <f>+IF(W526&gt;W525,AK526,AL525+AK526)</f>
      </c>
      <c r="AM526" s="217">
        <f>IF(W526&gt;W525,IF(AL526&gt;=$AZ$8,$AZ$8,AL526),IF(OR(AM525=$AZ$8,AM525=0),0,IF(AL526&gt;=$AZ$8,$AZ$8,AL526)))</f>
      </c>
      <c r="AN526" s="748">
        <f>+IF(OR(AM526&gt;AZ525,AM526=0),0,IF(AM526=AL526,AK526,$AZ$7-AL525))</f>
      </c>
      <c r="AO526" s="748">
        <f>+AK526-AN526</f>
      </c>
      <c r="AP526" s="217">
        <f>+_xlfn.IFNA(VLOOKUP(AJ526,$AF$7:$AI$1066,3,0),0)</f>
      </c>
      <c r="AQ526" s="217">
        <f>+IF(W526&gt;W525,AP526,AQ525+AP526)</f>
      </c>
      <c r="AR526" s="217">
        <f>+MAX($AM$2-SUMIF($W$7:$W$1066,W526,$AN$7:$AN$1066),0)</f>
      </c>
      <c r="AS526" s="748">
        <f>+MAX(IF(AQ526&gt;AR526,AR526-AQ525,AP526),0)</f>
      </c>
      <c r="AT526" s="748">
        <f>+AP526-AS526</f>
      </c>
      <c r="AU526" s="217">
        <f>+_xlfn.IFNA(VLOOKUP(AJ526,$AF$7:$AI$1066,4,0),0)</f>
      </c>
      <c r="AV526" s="217">
        <f>+IF(W526&gt;W525,AU526,AV525+AU526)</f>
      </c>
      <c r="AW526" s="217">
        <f>+MAX($AM$2-SUMIF($W$7:$W$1066,W526,$AN$7:$AN$1066)-SUMIF($W$7:$W$1066,W526,$AS$7:$AS$1066),0)</f>
      </c>
      <c r="AX526" s="748">
        <f>+MAX(IF(AV526&gt;AW526,AW526-AV525,AU526),0)</f>
      </c>
      <c r="AY526" s="748">
        <f>+AU526-AX526</f>
      </c>
      <c r="AZ526" s="331">
        <f>+$AM$1+IF($AP$1&gt;$AP$2,$AM$3/2)</f>
      </c>
    </row>
    <row x14ac:dyDescent="0.25" r="527" customHeight="1" ht="18.75">
      <c r="A527" s="1"/>
      <c r="B527" s="7"/>
      <c r="C527" s="170"/>
      <c r="D527" s="331">
        <v>520</v>
      </c>
      <c r="E527" s="544">
        <f>+DATE(YEAR(E526),MONTH(E526)-1,DAY(E526))</f>
        <v>25569.041666666668</v>
      </c>
      <c r="F527" s="333">
        <f>IF(DATE(YEAR($B$6),MONTH($B$6)+1,DAY(1))=E527,1,IF(MONTH(E527)=1,F528*(1+$F$5),F528))</f>
      </c>
      <c r="G527" s="333">
        <f>IF('Simulador - 1º Pilar'!$E$99="Sí",IF('Aportaciones PPE'!$B$13&lt;'Aportaciones PPE'!E527,0,F527*$B$8/12),F527*$B$8/12)</f>
      </c>
      <c r="H527" s="333">
        <f>$H$5*G527</f>
      </c>
      <c r="I527" s="333">
        <f>$I$5*G527</f>
      </c>
      <c r="J527" s="333">
        <f>+I527</f>
      </c>
      <c r="K527" s="333">
        <f>(1+$O$5)^(D527/12)*(H527+IF(AND(F527=1,F528=0),$S$4,0))</f>
      </c>
      <c r="L527" s="333">
        <f>(1+$O$5)^(D527/12)*(I527+IF(AND(F527=1,F528=0),0))</f>
      </c>
      <c r="M527" s="333">
        <f>+L527</f>
      </c>
      <c r="N527" s="333">
        <f>L527+K527+M527</f>
      </c>
      <c r="O527" s="170"/>
      <c r="P527" s="7"/>
      <c r="Q527" s="1"/>
      <c r="R527" s="331">
        <f>D527</f>
      </c>
      <c r="S527" s="169"/>
      <c r="T527" s="1"/>
      <c r="U527" s="217"/>
      <c r="V527" s="331">
        <f>+IF(V526=11,12,IF(V526=12,1,V526+1))</f>
      </c>
      <c r="W527" s="331">
        <f>+W526+IF(V526=12,1,0)</f>
      </c>
      <c r="X527" s="555">
        <f>+DATE(W527,V527,1)</f>
        <v>25569.041666666668</v>
      </c>
      <c r="Y527" s="333">
        <f>+_xlfn.IFNA(AN527+AS527+AX527,0)</f>
      </c>
      <c r="Z527" s="333">
        <f>+_xlfn.IFNA(AO527+AT527+AY527,0)</f>
      </c>
      <c r="AA527" s="333">
        <f>Y527*(1+$O$5)^(($B$7-X527)/365.25)</f>
      </c>
      <c r="AB527" s="333">
        <f>Z527*(1+$O$5)^(($B$7-X527)/365.25)</f>
      </c>
      <c r="AC527" s="1"/>
      <c r="AD527" s="1"/>
      <c r="AE527" s="1"/>
      <c r="AF527" s="111">
        <f>+MONTH(E527)&amp;YEAR(E527)</f>
      </c>
      <c r="AG527" s="217">
        <f>+I527</f>
      </c>
      <c r="AH527" s="217">
        <f>+J527</f>
      </c>
      <c r="AI527" s="217">
        <f>+H527</f>
      </c>
      <c r="AJ527" s="111">
        <f>+V527&amp;W527</f>
      </c>
      <c r="AK527" s="217">
        <f>+_xlfn.IFNA(VLOOKUP(AJ527,$AF$7:$AG$1066,2,0),0)</f>
      </c>
      <c r="AL527" s="217">
        <f>+IF(W527&gt;W526,AK527,AL526+AK527)</f>
      </c>
      <c r="AM527" s="217">
        <f>IF(W527&gt;W526,IF(AL527&gt;=$AZ$8,$AZ$8,AL527),IF(OR(AM526=$AZ$8,AM526=0),0,IF(AL527&gt;=$AZ$8,$AZ$8,AL527)))</f>
      </c>
      <c r="AN527" s="748">
        <f>+IF(OR(AM527&gt;AZ526,AM527=0),0,IF(AM527=AL527,AK527,$AZ$7-AL526))</f>
      </c>
      <c r="AO527" s="748">
        <f>+AK527-AN527</f>
      </c>
      <c r="AP527" s="217">
        <f>+_xlfn.IFNA(VLOOKUP(AJ527,$AF$7:$AI$1066,3,0),0)</f>
      </c>
      <c r="AQ527" s="217">
        <f>+IF(W527&gt;W526,AP527,AQ526+AP527)</f>
      </c>
      <c r="AR527" s="217">
        <f>+MAX($AM$2-SUMIF($W$7:$W$1066,W527,$AN$7:$AN$1066),0)</f>
      </c>
      <c r="AS527" s="748">
        <f>+MAX(IF(AQ527&gt;AR527,AR527-AQ526,AP527),0)</f>
      </c>
      <c r="AT527" s="748">
        <f>+AP527-AS527</f>
      </c>
      <c r="AU527" s="217">
        <f>+_xlfn.IFNA(VLOOKUP(AJ527,$AF$7:$AI$1066,4,0),0)</f>
      </c>
      <c r="AV527" s="217">
        <f>+IF(W527&gt;W526,AU527,AV526+AU527)</f>
      </c>
      <c r="AW527" s="217">
        <f>+MAX($AM$2-SUMIF($W$7:$W$1066,W527,$AN$7:$AN$1066)-SUMIF($W$7:$W$1066,W527,$AS$7:$AS$1066),0)</f>
      </c>
      <c r="AX527" s="748">
        <f>+MAX(IF(AV527&gt;AW527,AW527-AV526,AU527),0)</f>
      </c>
      <c r="AY527" s="748">
        <f>+AU527-AX527</f>
      </c>
      <c r="AZ527" s="331">
        <f>+$AM$1+IF($AP$1&gt;$AP$2,$AM$3/2)</f>
      </c>
    </row>
    <row x14ac:dyDescent="0.25" r="528" customHeight="1" ht="18.75">
      <c r="A528" s="1"/>
      <c r="B528" s="7"/>
      <c r="C528" s="170"/>
      <c r="D528" s="331">
        <v>521</v>
      </c>
      <c r="E528" s="544">
        <f>+DATE(YEAR(E527),MONTH(E527)-1,DAY(E527))</f>
        <v>25569.041666666668</v>
      </c>
      <c r="F528" s="333">
        <f>IF(DATE(YEAR($B$6),MONTH($B$6)+1,DAY(1))=E528,1,IF(MONTH(E528)=1,F529*(1+$F$5),F529))</f>
      </c>
      <c r="G528" s="333">
        <f>IF('Simulador - 1º Pilar'!$E$99="Sí",IF('Aportaciones PPE'!$B$13&lt;'Aportaciones PPE'!E528,0,F528*$B$8/12),F528*$B$8/12)</f>
      </c>
      <c r="H528" s="333">
        <f>$H$5*G528</f>
      </c>
      <c r="I528" s="333">
        <f>$I$5*G528</f>
      </c>
      <c r="J528" s="333">
        <f>+I528</f>
      </c>
      <c r="K528" s="333">
        <f>(1+$O$5)^(D528/12)*(H528+IF(AND(F528=1,F529=0),$S$4,0))</f>
      </c>
      <c r="L528" s="333">
        <f>(1+$O$5)^(D528/12)*(I528+IF(AND(F528=1,F529=0),0))</f>
      </c>
      <c r="M528" s="333">
        <f>+L528</f>
      </c>
      <c r="N528" s="333">
        <f>L528+K528+M528</f>
      </c>
      <c r="O528" s="170"/>
      <c r="P528" s="7"/>
      <c r="Q528" s="1"/>
      <c r="R528" s="331">
        <f>D528</f>
      </c>
      <c r="S528" s="169"/>
      <c r="T528" s="1"/>
      <c r="U528" s="217"/>
      <c r="V528" s="331">
        <f>+IF(V527=11,12,IF(V527=12,1,V527+1))</f>
      </c>
      <c r="W528" s="331">
        <f>+W527+IF(V527=12,1,0)</f>
      </c>
      <c r="X528" s="555">
        <f>+DATE(W528,V528,1)</f>
        <v>25569.041666666668</v>
      </c>
      <c r="Y528" s="333">
        <f>+_xlfn.IFNA(AN528+AS528+AX528,0)</f>
      </c>
      <c r="Z528" s="333">
        <f>+_xlfn.IFNA(AO528+AT528+AY528,0)</f>
      </c>
      <c r="AA528" s="333">
        <f>Y528*(1+$O$5)^(($B$7-X528)/365.25)</f>
      </c>
      <c r="AB528" s="333">
        <f>Z528*(1+$O$5)^(($B$7-X528)/365.25)</f>
      </c>
      <c r="AC528" s="1"/>
      <c r="AD528" s="1"/>
      <c r="AE528" s="1"/>
      <c r="AF528" s="111">
        <f>+MONTH(E528)&amp;YEAR(E528)</f>
      </c>
      <c r="AG528" s="217">
        <f>+I528</f>
      </c>
      <c r="AH528" s="217">
        <f>+J528</f>
      </c>
      <c r="AI528" s="217">
        <f>+H528</f>
      </c>
      <c r="AJ528" s="111">
        <f>+V528&amp;W528</f>
      </c>
      <c r="AK528" s="217">
        <f>+_xlfn.IFNA(VLOOKUP(AJ528,$AF$7:$AG$1066,2,0),0)</f>
      </c>
      <c r="AL528" s="217">
        <f>+IF(W528&gt;W527,AK528,AL527+AK528)</f>
      </c>
      <c r="AM528" s="217">
        <f>IF(W528&gt;W527,IF(AL528&gt;=$AZ$8,$AZ$8,AL528),IF(OR(AM527=$AZ$8,AM527=0),0,IF(AL528&gt;=$AZ$8,$AZ$8,AL528)))</f>
      </c>
      <c r="AN528" s="748">
        <f>+IF(OR(AM528&gt;AZ527,AM528=0),0,IF(AM528=AL528,AK528,$AZ$7-AL527))</f>
      </c>
      <c r="AO528" s="748">
        <f>+AK528-AN528</f>
      </c>
      <c r="AP528" s="217">
        <f>+_xlfn.IFNA(VLOOKUP(AJ528,$AF$7:$AI$1066,3,0),0)</f>
      </c>
      <c r="AQ528" s="217">
        <f>+IF(W528&gt;W527,AP528,AQ527+AP528)</f>
      </c>
      <c r="AR528" s="217">
        <f>+MAX($AM$2-SUMIF($W$7:$W$1066,W528,$AN$7:$AN$1066),0)</f>
      </c>
      <c r="AS528" s="748">
        <f>+MAX(IF(AQ528&gt;AR528,AR528-AQ527,AP528),0)</f>
      </c>
      <c r="AT528" s="748">
        <f>+AP528-AS528</f>
      </c>
      <c r="AU528" s="217">
        <f>+_xlfn.IFNA(VLOOKUP(AJ528,$AF$7:$AI$1066,4,0),0)</f>
      </c>
      <c r="AV528" s="217">
        <f>+IF(W528&gt;W527,AU528,AV527+AU528)</f>
      </c>
      <c r="AW528" s="217">
        <f>+MAX($AM$2-SUMIF($W$7:$W$1066,W528,$AN$7:$AN$1066)-SUMIF($W$7:$W$1066,W528,$AS$7:$AS$1066),0)</f>
      </c>
      <c r="AX528" s="748">
        <f>+MAX(IF(AV528&gt;AW528,AW528-AV527,AU528),0)</f>
      </c>
      <c r="AY528" s="748">
        <f>+AU528-AX528</f>
      </c>
      <c r="AZ528" s="331">
        <f>+$AM$1+IF($AP$1&gt;$AP$2,$AM$3/2)</f>
      </c>
    </row>
    <row x14ac:dyDescent="0.25" r="529" customHeight="1" ht="18.75">
      <c r="A529" s="1"/>
      <c r="B529" s="7"/>
      <c r="C529" s="170"/>
      <c r="D529" s="331">
        <v>522</v>
      </c>
      <c r="E529" s="544">
        <f>+DATE(YEAR(E528),MONTH(E528)-1,DAY(E528))</f>
        <v>25569.041666666668</v>
      </c>
      <c r="F529" s="333">
        <f>IF(DATE(YEAR($B$6),MONTH($B$6)+1,DAY(1))=E529,1,IF(MONTH(E529)=1,F530*(1+$F$5),F530))</f>
      </c>
      <c r="G529" s="333">
        <f>IF('Simulador - 1º Pilar'!$E$99="Sí",IF('Aportaciones PPE'!$B$13&lt;'Aportaciones PPE'!E529,0,F529*$B$8/12),F529*$B$8/12)</f>
      </c>
      <c r="H529" s="333">
        <f>$H$5*G529</f>
      </c>
      <c r="I529" s="333">
        <f>$I$5*G529</f>
      </c>
      <c r="J529" s="333">
        <f>+I529</f>
      </c>
      <c r="K529" s="333">
        <f>(1+$O$5)^(D529/12)*(H529+IF(AND(F529=1,F530=0),$S$4,0))</f>
      </c>
      <c r="L529" s="333">
        <f>(1+$O$5)^(D529/12)*(I529+IF(AND(F529=1,F530=0),0))</f>
      </c>
      <c r="M529" s="333">
        <f>+L529</f>
      </c>
      <c r="N529" s="333">
        <f>L529+K529+M529</f>
      </c>
      <c r="O529" s="170"/>
      <c r="P529" s="7"/>
      <c r="Q529" s="1"/>
      <c r="R529" s="331">
        <f>D529</f>
      </c>
      <c r="S529" s="169"/>
      <c r="T529" s="1"/>
      <c r="U529" s="217"/>
      <c r="V529" s="331">
        <f>+IF(V528=11,12,IF(V528=12,1,V528+1))</f>
      </c>
      <c r="W529" s="331">
        <f>+W528+IF(V528=12,1,0)</f>
      </c>
      <c r="X529" s="555">
        <f>+DATE(W529,V529,1)</f>
        <v>25569.041666666668</v>
      </c>
      <c r="Y529" s="333">
        <f>+_xlfn.IFNA(AN529+AS529+AX529,0)</f>
      </c>
      <c r="Z529" s="333">
        <f>+_xlfn.IFNA(AO529+AT529+AY529,0)</f>
      </c>
      <c r="AA529" s="333">
        <f>Y529*(1+$O$5)^(($B$7-X529)/365.25)</f>
      </c>
      <c r="AB529" s="333">
        <f>Z529*(1+$O$5)^(($B$7-X529)/365.25)</f>
      </c>
      <c r="AC529" s="1"/>
      <c r="AD529" s="1"/>
      <c r="AE529" s="1"/>
      <c r="AF529" s="111">
        <f>+MONTH(E529)&amp;YEAR(E529)</f>
      </c>
      <c r="AG529" s="217">
        <f>+I529</f>
      </c>
      <c r="AH529" s="217">
        <f>+J529</f>
      </c>
      <c r="AI529" s="217">
        <f>+H529</f>
      </c>
      <c r="AJ529" s="111">
        <f>+V529&amp;W529</f>
      </c>
      <c r="AK529" s="217">
        <f>+_xlfn.IFNA(VLOOKUP(AJ529,$AF$7:$AG$1066,2,0),0)</f>
      </c>
      <c r="AL529" s="217">
        <f>+IF(W529&gt;W528,AK529,AL528+AK529)</f>
      </c>
      <c r="AM529" s="217">
        <f>IF(W529&gt;W528,IF(AL529&gt;=$AZ$8,$AZ$8,AL529),IF(OR(AM528=$AZ$8,AM528=0),0,IF(AL529&gt;=$AZ$8,$AZ$8,AL529)))</f>
      </c>
      <c r="AN529" s="748">
        <f>+IF(OR(AM529&gt;AZ528,AM529=0),0,IF(AM529=AL529,AK529,$AZ$7-AL528))</f>
      </c>
      <c r="AO529" s="748">
        <f>+AK529-AN529</f>
      </c>
      <c r="AP529" s="217">
        <f>+_xlfn.IFNA(VLOOKUP(AJ529,$AF$7:$AI$1066,3,0),0)</f>
      </c>
      <c r="AQ529" s="217">
        <f>+IF(W529&gt;W528,AP529,AQ528+AP529)</f>
      </c>
      <c r="AR529" s="217">
        <f>+MAX($AM$2-SUMIF($W$7:$W$1066,W529,$AN$7:$AN$1066),0)</f>
      </c>
      <c r="AS529" s="748">
        <f>+MAX(IF(AQ529&gt;AR529,AR529-AQ528,AP529),0)</f>
      </c>
      <c r="AT529" s="748">
        <f>+AP529-AS529</f>
      </c>
      <c r="AU529" s="217">
        <f>+_xlfn.IFNA(VLOOKUP(AJ529,$AF$7:$AI$1066,4,0),0)</f>
      </c>
      <c r="AV529" s="217">
        <f>+IF(W529&gt;W528,AU529,AV528+AU529)</f>
      </c>
      <c r="AW529" s="217">
        <f>+MAX($AM$2-SUMIF($W$7:$W$1066,W529,$AN$7:$AN$1066)-SUMIF($W$7:$W$1066,W529,$AS$7:$AS$1066),0)</f>
      </c>
      <c r="AX529" s="748">
        <f>+MAX(IF(AV529&gt;AW529,AW529-AV528,AU529),0)</f>
      </c>
      <c r="AY529" s="748">
        <f>+AU529-AX529</f>
      </c>
      <c r="AZ529" s="331">
        <f>+$AM$1+IF($AP$1&gt;$AP$2,$AM$3/2)</f>
      </c>
    </row>
    <row x14ac:dyDescent="0.25" r="530" customHeight="1" ht="18.75">
      <c r="A530" s="1"/>
      <c r="B530" s="7"/>
      <c r="C530" s="170"/>
      <c r="D530" s="331">
        <v>523</v>
      </c>
      <c r="E530" s="544">
        <f>+DATE(YEAR(E529),MONTH(E529)-1,DAY(E529))</f>
        <v>25569.041666666668</v>
      </c>
      <c r="F530" s="333">
        <f>IF(DATE(YEAR($B$6),MONTH($B$6)+1,DAY(1))=E530,1,IF(MONTH(E530)=1,F531*(1+$F$5),F531))</f>
      </c>
      <c r="G530" s="333">
        <f>IF('Simulador - 1º Pilar'!$E$99="Sí",IF('Aportaciones PPE'!$B$13&lt;'Aportaciones PPE'!E530,0,F530*$B$8/12),F530*$B$8/12)</f>
      </c>
      <c r="H530" s="333">
        <f>$H$5*G530</f>
      </c>
      <c r="I530" s="333">
        <f>$I$5*G530</f>
      </c>
      <c r="J530" s="333">
        <f>+I530</f>
      </c>
      <c r="K530" s="333">
        <f>(1+$O$5)^(D530/12)*(H530+IF(AND(F530=1,F531=0),$S$4,0))</f>
      </c>
      <c r="L530" s="333">
        <f>(1+$O$5)^(D530/12)*(I530+IF(AND(F530=1,F531=0),0))</f>
      </c>
      <c r="M530" s="333">
        <f>+L530</f>
      </c>
      <c r="N530" s="333">
        <f>L530+K530+M530</f>
      </c>
      <c r="O530" s="170"/>
      <c r="P530" s="7"/>
      <c r="Q530" s="1"/>
      <c r="R530" s="331">
        <f>D530</f>
      </c>
      <c r="S530" s="169"/>
      <c r="T530" s="1"/>
      <c r="U530" s="217"/>
      <c r="V530" s="331">
        <f>+IF(V529=11,12,IF(V529=12,1,V529+1))</f>
      </c>
      <c r="W530" s="331">
        <f>+W529+IF(V529=12,1,0)</f>
      </c>
      <c r="X530" s="555">
        <f>+DATE(W530,V530,1)</f>
        <v>25569.041666666668</v>
      </c>
      <c r="Y530" s="333">
        <f>+_xlfn.IFNA(AN530+AS530+AX530,0)</f>
      </c>
      <c r="Z530" s="333">
        <f>+_xlfn.IFNA(AO530+AT530+AY530,0)</f>
      </c>
      <c r="AA530" s="333">
        <f>Y530*(1+$O$5)^(($B$7-X530)/365.25)</f>
      </c>
      <c r="AB530" s="333">
        <f>Z530*(1+$O$5)^(($B$7-X530)/365.25)</f>
      </c>
      <c r="AC530" s="1"/>
      <c r="AD530" s="1"/>
      <c r="AE530" s="1"/>
      <c r="AF530" s="111">
        <f>+MONTH(E530)&amp;YEAR(E530)</f>
      </c>
      <c r="AG530" s="217">
        <f>+I530</f>
      </c>
      <c r="AH530" s="217">
        <f>+J530</f>
      </c>
      <c r="AI530" s="217">
        <f>+H530</f>
      </c>
      <c r="AJ530" s="111">
        <f>+V530&amp;W530</f>
      </c>
      <c r="AK530" s="217">
        <f>+_xlfn.IFNA(VLOOKUP(AJ530,$AF$7:$AG$1066,2,0),0)</f>
      </c>
      <c r="AL530" s="217">
        <f>+IF(W530&gt;W529,AK530,AL529+AK530)</f>
      </c>
      <c r="AM530" s="217">
        <f>IF(W530&gt;W529,IF(AL530&gt;=$AZ$8,$AZ$8,AL530),IF(OR(AM529=$AZ$8,AM529=0),0,IF(AL530&gt;=$AZ$8,$AZ$8,AL530)))</f>
      </c>
      <c r="AN530" s="748">
        <f>+IF(OR(AM530&gt;AZ529,AM530=0),0,IF(AM530=AL530,AK530,$AZ$7-AL529))</f>
      </c>
      <c r="AO530" s="748">
        <f>+AK530-AN530</f>
      </c>
      <c r="AP530" s="217">
        <f>+_xlfn.IFNA(VLOOKUP(AJ530,$AF$7:$AI$1066,3,0),0)</f>
      </c>
      <c r="AQ530" s="217">
        <f>+IF(W530&gt;W529,AP530,AQ529+AP530)</f>
      </c>
      <c r="AR530" s="217">
        <f>+MAX($AM$2-SUMIF($W$7:$W$1066,W530,$AN$7:$AN$1066),0)</f>
      </c>
      <c r="AS530" s="748">
        <f>+MAX(IF(AQ530&gt;AR530,AR530-AQ529,AP530),0)</f>
      </c>
      <c r="AT530" s="748">
        <f>+AP530-AS530</f>
      </c>
      <c r="AU530" s="217">
        <f>+_xlfn.IFNA(VLOOKUP(AJ530,$AF$7:$AI$1066,4,0),0)</f>
      </c>
      <c r="AV530" s="217">
        <f>+IF(W530&gt;W529,AU530,AV529+AU530)</f>
      </c>
      <c r="AW530" s="217">
        <f>+MAX($AM$2-SUMIF($W$7:$W$1066,W530,$AN$7:$AN$1066)-SUMIF($W$7:$W$1066,W530,$AS$7:$AS$1066),0)</f>
      </c>
      <c r="AX530" s="748">
        <f>+MAX(IF(AV530&gt;AW530,AW530-AV529,AU530),0)</f>
      </c>
      <c r="AY530" s="748">
        <f>+AU530-AX530</f>
      </c>
      <c r="AZ530" s="331">
        <f>+$AM$1+IF($AP$1&gt;$AP$2,$AM$3/2)</f>
      </c>
    </row>
    <row x14ac:dyDescent="0.25" r="531" customHeight="1" ht="18.75">
      <c r="A531" s="1"/>
      <c r="B531" s="7"/>
      <c r="C531" s="170"/>
      <c r="D531" s="331">
        <v>524</v>
      </c>
      <c r="E531" s="544">
        <f>+DATE(YEAR(E530),MONTH(E530)-1,DAY(E530))</f>
        <v>25569.041666666668</v>
      </c>
      <c r="F531" s="333">
        <f>IF(DATE(YEAR($B$6),MONTH($B$6)+1,DAY(1))=E531,1,IF(MONTH(E531)=1,F532*(1+$F$5),F532))</f>
      </c>
      <c r="G531" s="333">
        <f>IF('Simulador - 1º Pilar'!$E$99="Sí",IF('Aportaciones PPE'!$B$13&lt;'Aportaciones PPE'!E531,0,F531*$B$8/12),F531*$B$8/12)</f>
      </c>
      <c r="H531" s="333">
        <f>$H$5*G531</f>
      </c>
      <c r="I531" s="333">
        <f>$I$5*G531</f>
      </c>
      <c r="J531" s="333">
        <f>+I531</f>
      </c>
      <c r="K531" s="333">
        <f>(1+$O$5)^(D531/12)*(H531+IF(AND(F531=1,F532=0),$S$4,0))</f>
      </c>
      <c r="L531" s="333">
        <f>(1+$O$5)^(D531/12)*(I531+IF(AND(F531=1,F532=0),0))</f>
      </c>
      <c r="M531" s="333">
        <f>+L531</f>
      </c>
      <c r="N531" s="333">
        <f>L531+K531+M531</f>
      </c>
      <c r="O531" s="170"/>
      <c r="P531" s="7"/>
      <c r="Q531" s="1"/>
      <c r="R531" s="331">
        <f>D531</f>
      </c>
      <c r="S531" s="169"/>
      <c r="T531" s="1"/>
      <c r="U531" s="217"/>
      <c r="V531" s="331">
        <f>+IF(V530=11,12,IF(V530=12,1,V530+1))</f>
      </c>
      <c r="W531" s="331">
        <f>+W530+IF(V530=12,1,0)</f>
      </c>
      <c r="X531" s="555">
        <f>+DATE(W531,V531,1)</f>
        <v>25569.041666666668</v>
      </c>
      <c r="Y531" s="333">
        <f>+_xlfn.IFNA(AN531+AS531+AX531,0)</f>
      </c>
      <c r="Z531" s="333">
        <f>+_xlfn.IFNA(AO531+AT531+AY531,0)</f>
      </c>
      <c r="AA531" s="333">
        <f>Y531*(1+$O$5)^(($B$7-X531)/365.25)</f>
      </c>
      <c r="AB531" s="333">
        <f>Z531*(1+$O$5)^(($B$7-X531)/365.25)</f>
      </c>
      <c r="AC531" s="1"/>
      <c r="AD531" s="1"/>
      <c r="AE531" s="1"/>
      <c r="AF531" s="111">
        <f>+MONTH(E531)&amp;YEAR(E531)</f>
      </c>
      <c r="AG531" s="217">
        <f>+I531</f>
      </c>
      <c r="AH531" s="217">
        <f>+J531</f>
      </c>
      <c r="AI531" s="217">
        <f>+H531</f>
      </c>
      <c r="AJ531" s="111">
        <f>+V531&amp;W531</f>
      </c>
      <c r="AK531" s="217">
        <f>+_xlfn.IFNA(VLOOKUP(AJ531,$AF$7:$AG$1066,2,0),0)</f>
      </c>
      <c r="AL531" s="217">
        <f>+IF(W531&gt;W530,AK531,AL530+AK531)</f>
      </c>
      <c r="AM531" s="217">
        <f>IF(W531&gt;W530,IF(AL531&gt;=$AZ$8,$AZ$8,AL531),IF(OR(AM530=$AZ$8,AM530=0),0,IF(AL531&gt;=$AZ$8,$AZ$8,AL531)))</f>
      </c>
      <c r="AN531" s="748">
        <f>+IF(OR(AM531&gt;AZ530,AM531=0),0,IF(AM531=AL531,AK531,$AZ$7-AL530))</f>
      </c>
      <c r="AO531" s="748">
        <f>+AK531-AN531</f>
      </c>
      <c r="AP531" s="217">
        <f>+_xlfn.IFNA(VLOOKUP(AJ531,$AF$7:$AI$1066,3,0),0)</f>
      </c>
      <c r="AQ531" s="217">
        <f>+IF(W531&gt;W530,AP531,AQ530+AP531)</f>
      </c>
      <c r="AR531" s="217">
        <f>+MAX($AM$2-SUMIF($W$7:$W$1066,W531,$AN$7:$AN$1066),0)</f>
      </c>
      <c r="AS531" s="748">
        <f>+MAX(IF(AQ531&gt;AR531,AR531-AQ530,AP531),0)</f>
      </c>
      <c r="AT531" s="748">
        <f>+AP531-AS531</f>
      </c>
      <c r="AU531" s="217">
        <f>+_xlfn.IFNA(VLOOKUP(AJ531,$AF$7:$AI$1066,4,0),0)</f>
      </c>
      <c r="AV531" s="217">
        <f>+IF(W531&gt;W530,AU531,AV530+AU531)</f>
      </c>
      <c r="AW531" s="217">
        <f>+MAX($AM$2-SUMIF($W$7:$W$1066,W531,$AN$7:$AN$1066)-SUMIF($W$7:$W$1066,W531,$AS$7:$AS$1066),0)</f>
      </c>
      <c r="AX531" s="748">
        <f>+MAX(IF(AV531&gt;AW531,AW531-AV530,AU531),0)</f>
      </c>
      <c r="AY531" s="748">
        <f>+AU531-AX531</f>
      </c>
      <c r="AZ531" s="331">
        <f>+$AM$1+IF($AP$1&gt;$AP$2,$AM$3/2)</f>
      </c>
    </row>
    <row x14ac:dyDescent="0.25" r="532" customHeight="1" ht="18.75">
      <c r="A532" s="1"/>
      <c r="B532" s="7"/>
      <c r="C532" s="170"/>
      <c r="D532" s="331">
        <v>525</v>
      </c>
      <c r="E532" s="544">
        <f>+DATE(YEAR(E531),MONTH(E531)-1,DAY(E531))</f>
        <v>25569.041666666668</v>
      </c>
      <c r="F532" s="333">
        <f>IF(DATE(YEAR($B$6),MONTH($B$6)+1,DAY(1))=E532,1,IF(MONTH(E532)=1,F533*(1+$F$5),F533))</f>
      </c>
      <c r="G532" s="333">
        <f>IF('Simulador - 1º Pilar'!$E$99="Sí",IF('Aportaciones PPE'!$B$13&lt;'Aportaciones PPE'!E532,0,F532*$B$8/12),F532*$B$8/12)</f>
      </c>
      <c r="H532" s="333">
        <f>$H$5*G532</f>
      </c>
      <c r="I532" s="333">
        <f>$I$5*G532</f>
      </c>
      <c r="J532" s="333">
        <f>+I532</f>
      </c>
      <c r="K532" s="333">
        <f>(1+$O$5)^(D532/12)*(H532+IF(AND(F532=1,F533=0),$S$4,0))</f>
      </c>
      <c r="L532" s="333">
        <f>(1+$O$5)^(D532/12)*(I532+IF(AND(F532=1,F533=0),0))</f>
      </c>
      <c r="M532" s="333">
        <f>+L532</f>
      </c>
      <c r="N532" s="333">
        <f>L532+K532+M532</f>
      </c>
      <c r="O532" s="170"/>
      <c r="P532" s="7"/>
      <c r="Q532" s="1"/>
      <c r="R532" s="331">
        <f>D532</f>
      </c>
      <c r="S532" s="169"/>
      <c r="T532" s="1"/>
      <c r="U532" s="217"/>
      <c r="V532" s="331">
        <f>+IF(V531=11,12,IF(V531=12,1,V531+1))</f>
      </c>
      <c r="W532" s="331">
        <f>+W531+IF(V531=12,1,0)</f>
      </c>
      <c r="X532" s="555">
        <f>+DATE(W532,V532,1)</f>
        <v>25569.041666666668</v>
      </c>
      <c r="Y532" s="333">
        <f>+_xlfn.IFNA(AN532+AS532+AX532,0)</f>
      </c>
      <c r="Z532" s="333">
        <f>+_xlfn.IFNA(AO532+AT532+AY532,0)</f>
      </c>
      <c r="AA532" s="333">
        <f>Y532*(1+$O$5)^(($B$7-X532)/365.25)</f>
      </c>
      <c r="AB532" s="333">
        <f>Z532*(1+$O$5)^(($B$7-X532)/365.25)</f>
      </c>
      <c r="AC532" s="1"/>
      <c r="AD532" s="1"/>
      <c r="AE532" s="1"/>
      <c r="AF532" s="111">
        <f>+MONTH(E532)&amp;YEAR(E532)</f>
      </c>
      <c r="AG532" s="217">
        <f>+I532</f>
      </c>
      <c r="AH532" s="217">
        <f>+J532</f>
      </c>
      <c r="AI532" s="217">
        <f>+H532</f>
      </c>
      <c r="AJ532" s="111">
        <f>+V532&amp;W532</f>
      </c>
      <c r="AK532" s="217">
        <f>+_xlfn.IFNA(VLOOKUP(AJ532,$AF$7:$AG$1066,2,0),0)</f>
      </c>
      <c r="AL532" s="217">
        <f>+IF(W532&gt;W531,AK532,AL531+AK532)</f>
      </c>
      <c r="AM532" s="217">
        <f>IF(W532&gt;W531,IF(AL532&gt;=$AZ$8,$AZ$8,AL532),IF(OR(AM531=$AZ$8,AM531=0),0,IF(AL532&gt;=$AZ$8,$AZ$8,AL532)))</f>
      </c>
      <c r="AN532" s="748">
        <f>+IF(OR(AM532&gt;AZ531,AM532=0),0,IF(AM532=AL532,AK532,$AZ$7-AL531))</f>
      </c>
      <c r="AO532" s="748">
        <f>+AK532-AN532</f>
      </c>
      <c r="AP532" s="217">
        <f>+_xlfn.IFNA(VLOOKUP(AJ532,$AF$7:$AI$1066,3,0),0)</f>
      </c>
      <c r="AQ532" s="217">
        <f>+IF(W532&gt;W531,AP532,AQ531+AP532)</f>
      </c>
      <c r="AR532" s="217">
        <f>+MAX($AM$2-SUMIF($W$7:$W$1066,W532,$AN$7:$AN$1066),0)</f>
      </c>
      <c r="AS532" s="748">
        <f>+MAX(IF(AQ532&gt;AR532,AR532-AQ531,AP532),0)</f>
      </c>
      <c r="AT532" s="748">
        <f>+AP532-AS532</f>
      </c>
      <c r="AU532" s="217">
        <f>+_xlfn.IFNA(VLOOKUP(AJ532,$AF$7:$AI$1066,4,0),0)</f>
      </c>
      <c r="AV532" s="217">
        <f>+IF(W532&gt;W531,AU532,AV531+AU532)</f>
      </c>
      <c r="AW532" s="217">
        <f>+MAX($AM$2-SUMIF($W$7:$W$1066,W532,$AN$7:$AN$1066)-SUMIF($W$7:$W$1066,W532,$AS$7:$AS$1066),0)</f>
      </c>
      <c r="AX532" s="748">
        <f>+MAX(IF(AV532&gt;AW532,AW532-AV531,AU532),0)</f>
      </c>
      <c r="AY532" s="748">
        <f>+AU532-AX532</f>
      </c>
      <c r="AZ532" s="331">
        <f>+$AM$1+IF($AP$1&gt;$AP$2,$AM$3/2)</f>
      </c>
    </row>
    <row x14ac:dyDescent="0.25" r="533" customHeight="1" ht="18.75">
      <c r="A533" s="1"/>
      <c r="B533" s="7"/>
      <c r="C533" s="170"/>
      <c r="D533" s="331">
        <v>526</v>
      </c>
      <c r="E533" s="544">
        <f>+DATE(YEAR(E532),MONTH(E532)-1,DAY(E532))</f>
        <v>25569.041666666668</v>
      </c>
      <c r="F533" s="333">
        <f>IF(DATE(YEAR($B$6),MONTH($B$6)+1,DAY(1))=E533,1,IF(MONTH(E533)=1,F534*(1+$F$5),F534))</f>
      </c>
      <c r="G533" s="333">
        <f>IF('Simulador - 1º Pilar'!$E$99="Sí",IF('Aportaciones PPE'!$B$13&lt;'Aportaciones PPE'!E533,0,F533*$B$8/12),F533*$B$8/12)</f>
      </c>
      <c r="H533" s="333">
        <f>$H$5*G533</f>
      </c>
      <c r="I533" s="333">
        <f>$I$5*G533</f>
      </c>
      <c r="J533" s="333">
        <f>+I533</f>
      </c>
      <c r="K533" s="333">
        <f>(1+$O$5)^(D533/12)*(H533+IF(AND(F533=1,F534=0),$S$4,0))</f>
      </c>
      <c r="L533" s="333">
        <f>(1+$O$5)^(D533/12)*(I533+IF(AND(F533=1,F534=0),0))</f>
      </c>
      <c r="M533" s="333">
        <f>+L533</f>
      </c>
      <c r="N533" s="333">
        <f>L533+K533+M533</f>
      </c>
      <c r="O533" s="170"/>
      <c r="P533" s="7"/>
      <c r="Q533" s="1"/>
      <c r="R533" s="331">
        <f>D533</f>
      </c>
      <c r="S533" s="169"/>
      <c r="T533" s="1"/>
      <c r="U533" s="217"/>
      <c r="V533" s="331">
        <f>+IF(V532=11,12,IF(V532=12,1,V532+1))</f>
      </c>
      <c r="W533" s="331">
        <f>+W532+IF(V532=12,1,0)</f>
      </c>
      <c r="X533" s="555">
        <f>+DATE(W533,V533,1)</f>
        <v>25569.041666666668</v>
      </c>
      <c r="Y533" s="333">
        <f>+_xlfn.IFNA(AN533+AS533+AX533,0)</f>
      </c>
      <c r="Z533" s="333">
        <f>+_xlfn.IFNA(AO533+AT533+AY533,0)</f>
      </c>
      <c r="AA533" s="333">
        <f>Y533*(1+$O$5)^(($B$7-X533)/365.25)</f>
      </c>
      <c r="AB533" s="333">
        <f>Z533*(1+$O$5)^(($B$7-X533)/365.25)</f>
      </c>
      <c r="AC533" s="1"/>
      <c r="AD533" s="1"/>
      <c r="AE533" s="1"/>
      <c r="AF533" s="111">
        <f>+MONTH(E533)&amp;YEAR(E533)</f>
      </c>
      <c r="AG533" s="217">
        <f>+I533</f>
      </c>
      <c r="AH533" s="217">
        <f>+J533</f>
      </c>
      <c r="AI533" s="217">
        <f>+H533</f>
      </c>
      <c r="AJ533" s="111">
        <f>+V533&amp;W533</f>
      </c>
      <c r="AK533" s="217">
        <f>+_xlfn.IFNA(VLOOKUP(AJ533,$AF$7:$AG$1066,2,0),0)</f>
      </c>
      <c r="AL533" s="217">
        <f>+IF(W533&gt;W532,AK533,AL532+AK533)</f>
      </c>
      <c r="AM533" s="217">
        <f>IF(W533&gt;W532,IF(AL533&gt;=$AZ$8,$AZ$8,AL533),IF(OR(AM532=$AZ$8,AM532=0),0,IF(AL533&gt;=$AZ$8,$AZ$8,AL533)))</f>
      </c>
      <c r="AN533" s="748">
        <f>+IF(OR(AM533&gt;AZ532,AM533=0),0,IF(AM533=AL533,AK533,$AZ$7-AL532))</f>
      </c>
      <c r="AO533" s="748">
        <f>+AK533-AN533</f>
      </c>
      <c r="AP533" s="217">
        <f>+_xlfn.IFNA(VLOOKUP(AJ533,$AF$7:$AI$1066,3,0),0)</f>
      </c>
      <c r="AQ533" s="217">
        <f>+IF(W533&gt;W532,AP533,AQ532+AP533)</f>
      </c>
      <c r="AR533" s="217">
        <f>+MAX($AM$2-SUMIF($W$7:$W$1066,W533,$AN$7:$AN$1066),0)</f>
      </c>
      <c r="AS533" s="748">
        <f>+MAX(IF(AQ533&gt;AR533,AR533-AQ532,AP533),0)</f>
      </c>
      <c r="AT533" s="748">
        <f>+AP533-AS533</f>
      </c>
      <c r="AU533" s="217">
        <f>+_xlfn.IFNA(VLOOKUP(AJ533,$AF$7:$AI$1066,4,0),0)</f>
      </c>
      <c r="AV533" s="217">
        <f>+IF(W533&gt;W532,AU533,AV532+AU533)</f>
      </c>
      <c r="AW533" s="217">
        <f>+MAX($AM$2-SUMIF($W$7:$W$1066,W533,$AN$7:$AN$1066)-SUMIF($W$7:$W$1066,W533,$AS$7:$AS$1066),0)</f>
      </c>
      <c r="AX533" s="748">
        <f>+MAX(IF(AV533&gt;AW533,AW533-AV532,AU533),0)</f>
      </c>
      <c r="AY533" s="748">
        <f>+AU533-AX533</f>
      </c>
      <c r="AZ533" s="331">
        <f>+$AM$1+IF($AP$1&gt;$AP$2,$AM$3/2)</f>
      </c>
    </row>
    <row x14ac:dyDescent="0.25" r="534" customHeight="1" ht="18.75">
      <c r="A534" s="1"/>
      <c r="B534" s="7"/>
      <c r="C534" s="170"/>
      <c r="D534" s="331">
        <v>527</v>
      </c>
      <c r="E534" s="544">
        <f>+DATE(YEAR(E533),MONTH(E533)-1,DAY(E533))</f>
        <v>25569.041666666668</v>
      </c>
      <c r="F534" s="333">
        <f>IF(DATE(YEAR($B$6),MONTH($B$6)+1,DAY(1))=E534,1,IF(MONTH(E534)=1,F535*(1+$F$5),F535))</f>
      </c>
      <c r="G534" s="333">
        <f>IF('Simulador - 1º Pilar'!$E$99="Sí",IF('Aportaciones PPE'!$B$13&lt;'Aportaciones PPE'!E534,0,F534*$B$8/12),F534*$B$8/12)</f>
      </c>
      <c r="H534" s="333">
        <f>$H$5*G534</f>
      </c>
      <c r="I534" s="333">
        <f>$I$5*G534</f>
      </c>
      <c r="J534" s="333">
        <f>+I534</f>
      </c>
      <c r="K534" s="333">
        <f>(1+$O$5)^(D534/12)*(H534+IF(AND(F534=1,F535=0),$S$4,0))</f>
      </c>
      <c r="L534" s="333">
        <f>(1+$O$5)^(D534/12)*(I534+IF(AND(F534=1,F535=0),0))</f>
      </c>
      <c r="M534" s="333">
        <f>+L534</f>
      </c>
      <c r="N534" s="333">
        <f>L534+K534+M534</f>
      </c>
      <c r="O534" s="170"/>
      <c r="P534" s="7"/>
      <c r="Q534" s="1"/>
      <c r="R534" s="331">
        <f>D534</f>
      </c>
      <c r="S534" s="169"/>
      <c r="T534" s="1"/>
      <c r="U534" s="217"/>
      <c r="V534" s="331">
        <f>+IF(V533=11,12,IF(V533=12,1,V533+1))</f>
      </c>
      <c r="W534" s="331">
        <f>+W533+IF(V533=12,1,0)</f>
      </c>
      <c r="X534" s="555">
        <f>+DATE(W534,V534,1)</f>
        <v>25569.041666666668</v>
      </c>
      <c r="Y534" s="333">
        <f>+_xlfn.IFNA(AN534+AS534+AX534,0)</f>
      </c>
      <c r="Z534" s="333">
        <f>+_xlfn.IFNA(AO534+AT534+AY534,0)</f>
      </c>
      <c r="AA534" s="333">
        <f>Y534*(1+$O$5)^(($B$7-X534)/365.25)</f>
      </c>
      <c r="AB534" s="333">
        <f>Z534*(1+$O$5)^(($B$7-X534)/365.25)</f>
      </c>
      <c r="AC534" s="1"/>
      <c r="AD534" s="1"/>
      <c r="AE534" s="1"/>
      <c r="AF534" s="111">
        <f>+MONTH(E534)&amp;YEAR(E534)</f>
      </c>
      <c r="AG534" s="217">
        <f>+I534</f>
      </c>
      <c r="AH534" s="217">
        <f>+J534</f>
      </c>
      <c r="AI534" s="217">
        <f>+H534</f>
      </c>
      <c r="AJ534" s="111">
        <f>+V534&amp;W534</f>
      </c>
      <c r="AK534" s="217">
        <f>+_xlfn.IFNA(VLOOKUP(AJ534,$AF$7:$AG$1066,2,0),0)</f>
      </c>
      <c r="AL534" s="217">
        <f>+IF(W534&gt;W533,AK534,AL533+AK534)</f>
      </c>
      <c r="AM534" s="217">
        <f>IF(W534&gt;W533,IF(AL534&gt;=$AZ$8,$AZ$8,AL534),IF(OR(AM533=$AZ$8,AM533=0),0,IF(AL534&gt;=$AZ$8,$AZ$8,AL534)))</f>
      </c>
      <c r="AN534" s="748">
        <f>+IF(OR(AM534&gt;AZ533,AM534=0),0,IF(AM534=AL534,AK534,$AZ$7-AL533))</f>
      </c>
      <c r="AO534" s="748">
        <f>+AK534-AN534</f>
      </c>
      <c r="AP534" s="217">
        <f>+_xlfn.IFNA(VLOOKUP(AJ534,$AF$7:$AI$1066,3,0),0)</f>
      </c>
      <c r="AQ534" s="217">
        <f>+IF(W534&gt;W533,AP534,AQ533+AP534)</f>
      </c>
      <c r="AR534" s="217">
        <f>+MAX($AM$2-SUMIF($W$7:$W$1066,W534,$AN$7:$AN$1066),0)</f>
      </c>
      <c r="AS534" s="748">
        <f>+MAX(IF(AQ534&gt;AR534,AR534-AQ533,AP534),0)</f>
      </c>
      <c r="AT534" s="748">
        <f>+AP534-AS534</f>
      </c>
      <c r="AU534" s="217">
        <f>+_xlfn.IFNA(VLOOKUP(AJ534,$AF$7:$AI$1066,4,0),0)</f>
      </c>
      <c r="AV534" s="217">
        <f>+IF(W534&gt;W533,AU534,AV533+AU534)</f>
      </c>
      <c r="AW534" s="217">
        <f>+MAX($AM$2-SUMIF($W$7:$W$1066,W534,$AN$7:$AN$1066)-SUMIF($W$7:$W$1066,W534,$AS$7:$AS$1066),0)</f>
      </c>
      <c r="AX534" s="748">
        <f>+MAX(IF(AV534&gt;AW534,AW534-AV533,AU534),0)</f>
      </c>
      <c r="AY534" s="748">
        <f>+AU534-AX534</f>
      </c>
      <c r="AZ534" s="331">
        <f>+$AM$1+IF($AP$1&gt;$AP$2,$AM$3/2)</f>
      </c>
    </row>
    <row x14ac:dyDescent="0.25" r="535" customHeight="1" ht="18.75">
      <c r="A535" s="1"/>
      <c r="B535" s="7"/>
      <c r="C535" s="170"/>
      <c r="D535" s="331">
        <v>528</v>
      </c>
      <c r="E535" s="544">
        <f>+DATE(YEAR(E534),MONTH(E534)-1,DAY(E534))</f>
        <v>25569.041666666668</v>
      </c>
      <c r="F535" s="333">
        <f>IF(DATE(YEAR($B$6),MONTH($B$6)+1,DAY(1))=E535,1,IF(MONTH(E535)=1,F536*(1+$F$5),F536))</f>
      </c>
      <c r="G535" s="333">
        <f>IF('Simulador - 1º Pilar'!$E$99="Sí",IF('Aportaciones PPE'!$B$13&lt;'Aportaciones PPE'!E535,0,F535*$B$8/12),F535*$B$8/12)</f>
      </c>
      <c r="H535" s="333">
        <f>$H$5*G535</f>
      </c>
      <c r="I535" s="333">
        <f>$I$5*G535</f>
      </c>
      <c r="J535" s="333">
        <f>+I535</f>
      </c>
      <c r="K535" s="333">
        <f>(1+$O$5)^(D535/12)*(H535+IF(AND(F535=1,F536=0),$S$4,0))</f>
      </c>
      <c r="L535" s="333">
        <f>(1+$O$5)^(D535/12)*(I535+IF(AND(F535=1,F536=0),0))</f>
      </c>
      <c r="M535" s="333">
        <f>+L535</f>
      </c>
      <c r="N535" s="333">
        <f>L535+K535+M535</f>
      </c>
      <c r="O535" s="170"/>
      <c r="P535" s="7"/>
      <c r="Q535" s="1"/>
      <c r="R535" s="331">
        <f>D535</f>
      </c>
      <c r="S535" s="169"/>
      <c r="T535" s="1"/>
      <c r="U535" s="217"/>
      <c r="V535" s="331">
        <f>+IF(V534=11,12,IF(V534=12,1,V534+1))</f>
      </c>
      <c r="W535" s="331">
        <f>+W534+IF(V534=12,1,0)</f>
      </c>
      <c r="X535" s="555">
        <f>+DATE(W535,V535,1)</f>
        <v>25569.041666666668</v>
      </c>
      <c r="Y535" s="333">
        <f>+_xlfn.IFNA(AN535+AS535+AX535,0)</f>
      </c>
      <c r="Z535" s="333">
        <f>+_xlfn.IFNA(AO535+AT535+AY535,0)</f>
      </c>
      <c r="AA535" s="333">
        <f>Y535*(1+$O$5)^(($B$7-X535)/365.25)</f>
      </c>
      <c r="AB535" s="333">
        <f>Z535*(1+$O$5)^(($B$7-X535)/365.25)</f>
      </c>
      <c r="AC535" s="1"/>
      <c r="AD535" s="1"/>
      <c r="AE535" s="1"/>
      <c r="AF535" s="111">
        <f>+MONTH(E535)&amp;YEAR(E535)</f>
      </c>
      <c r="AG535" s="217">
        <f>+I535</f>
      </c>
      <c r="AH535" s="217">
        <f>+J535</f>
      </c>
      <c r="AI535" s="217">
        <f>+H535</f>
      </c>
      <c r="AJ535" s="111">
        <f>+V535&amp;W535</f>
      </c>
      <c r="AK535" s="217">
        <f>+_xlfn.IFNA(VLOOKUP(AJ535,$AF$7:$AG$1066,2,0),0)</f>
      </c>
      <c r="AL535" s="217">
        <f>+IF(W535&gt;W534,AK535,AL534+AK535)</f>
      </c>
      <c r="AM535" s="217">
        <f>IF(W535&gt;W534,IF(AL535&gt;=$AZ$8,$AZ$8,AL535),IF(OR(AM534=$AZ$8,AM534=0),0,IF(AL535&gt;=$AZ$8,$AZ$8,AL535)))</f>
      </c>
      <c r="AN535" s="748">
        <f>+IF(OR(AM535&gt;AZ534,AM535=0),0,IF(AM535=AL535,AK535,$AZ$7-AL534))</f>
      </c>
      <c r="AO535" s="748">
        <f>+AK535-AN535</f>
      </c>
      <c r="AP535" s="217">
        <f>+_xlfn.IFNA(VLOOKUP(AJ535,$AF$7:$AI$1066,3,0),0)</f>
      </c>
      <c r="AQ535" s="217">
        <f>+IF(W535&gt;W534,AP535,AQ534+AP535)</f>
      </c>
      <c r="AR535" s="217">
        <f>+MAX($AM$2-SUMIF($W$7:$W$1066,W535,$AN$7:$AN$1066),0)</f>
      </c>
      <c r="AS535" s="748">
        <f>+MAX(IF(AQ535&gt;AR535,AR535-AQ534,AP535),0)</f>
      </c>
      <c r="AT535" s="748">
        <f>+AP535-AS535</f>
      </c>
      <c r="AU535" s="217">
        <f>+_xlfn.IFNA(VLOOKUP(AJ535,$AF$7:$AI$1066,4,0),0)</f>
      </c>
      <c r="AV535" s="217">
        <f>+IF(W535&gt;W534,AU535,AV534+AU535)</f>
      </c>
      <c r="AW535" s="217">
        <f>+MAX($AM$2-SUMIF($W$7:$W$1066,W535,$AN$7:$AN$1066)-SUMIF($W$7:$W$1066,W535,$AS$7:$AS$1066),0)</f>
      </c>
      <c r="AX535" s="748">
        <f>+MAX(IF(AV535&gt;AW535,AW535-AV534,AU535),0)</f>
      </c>
      <c r="AY535" s="748">
        <f>+AU535-AX535</f>
      </c>
      <c r="AZ535" s="331">
        <f>+$AM$1+IF($AP$1&gt;$AP$2,$AM$3/2)</f>
      </c>
    </row>
    <row x14ac:dyDescent="0.25" r="536" customHeight="1" ht="18.75">
      <c r="A536" s="1"/>
      <c r="B536" s="7"/>
      <c r="C536" s="170"/>
      <c r="D536" s="331">
        <v>529</v>
      </c>
      <c r="E536" s="544">
        <f>+DATE(YEAR(E535),MONTH(E535)-1,DAY(E535))</f>
        <v>25569.041666666668</v>
      </c>
      <c r="F536" s="333">
        <f>IF(DATE(YEAR($B$6),MONTH($B$6)+1,DAY(1))=E536,1,IF(MONTH(E536)=1,F537*(1+$F$5),F537))</f>
      </c>
      <c r="G536" s="333">
        <f>IF('Simulador - 1º Pilar'!$E$99="Sí",IF('Aportaciones PPE'!$B$13&lt;'Aportaciones PPE'!E536,0,F536*$B$8/12),F536*$B$8/12)</f>
      </c>
      <c r="H536" s="333">
        <f>$H$5*G536</f>
      </c>
      <c r="I536" s="333">
        <f>$I$5*G536</f>
      </c>
      <c r="J536" s="333">
        <f>+I536</f>
      </c>
      <c r="K536" s="333">
        <f>(1+$O$5)^(D536/12)*(H536+IF(AND(F536=1,F537=0),$S$4,0))</f>
      </c>
      <c r="L536" s="333">
        <f>(1+$O$5)^(D536/12)*(I536+IF(AND(F536=1,F537=0),0))</f>
      </c>
      <c r="M536" s="333">
        <f>+L536</f>
      </c>
      <c r="N536" s="333">
        <f>L536+K536+M536</f>
      </c>
      <c r="O536" s="170"/>
      <c r="P536" s="7"/>
      <c r="Q536" s="1"/>
      <c r="R536" s="331">
        <f>D536</f>
      </c>
      <c r="S536" s="169"/>
      <c r="T536" s="1"/>
      <c r="U536" s="217"/>
      <c r="V536" s="331">
        <f>+IF(V535=11,12,IF(V535=12,1,V535+1))</f>
      </c>
      <c r="W536" s="331">
        <f>+W535+IF(V535=12,1,0)</f>
      </c>
      <c r="X536" s="555">
        <f>+DATE(W536,V536,1)</f>
        <v>25569.041666666668</v>
      </c>
      <c r="Y536" s="333">
        <f>+_xlfn.IFNA(AN536+AS536+AX536,0)</f>
      </c>
      <c r="Z536" s="333">
        <f>+_xlfn.IFNA(AO536+AT536+AY536,0)</f>
      </c>
      <c r="AA536" s="333">
        <f>Y536*(1+$O$5)^(($B$7-X536)/365.25)</f>
      </c>
      <c r="AB536" s="333">
        <f>Z536*(1+$O$5)^(($B$7-X536)/365.25)</f>
      </c>
      <c r="AC536" s="1"/>
      <c r="AD536" s="1"/>
      <c r="AE536" s="1"/>
      <c r="AF536" s="111">
        <f>+MONTH(E536)&amp;YEAR(E536)</f>
      </c>
      <c r="AG536" s="217">
        <f>+I536</f>
      </c>
      <c r="AH536" s="217">
        <f>+J536</f>
      </c>
      <c r="AI536" s="217">
        <f>+H536</f>
      </c>
      <c r="AJ536" s="111">
        <f>+V536&amp;W536</f>
      </c>
      <c r="AK536" s="217">
        <f>+_xlfn.IFNA(VLOOKUP(AJ536,$AF$7:$AG$1066,2,0),0)</f>
      </c>
      <c r="AL536" s="217">
        <f>+IF(W536&gt;W535,AK536,AL535+AK536)</f>
      </c>
      <c r="AM536" s="217">
        <f>IF(W536&gt;W535,IF(AL536&gt;=$AZ$8,$AZ$8,AL536),IF(OR(AM535=$AZ$8,AM535=0),0,IF(AL536&gt;=$AZ$8,$AZ$8,AL536)))</f>
      </c>
      <c r="AN536" s="748">
        <f>+IF(OR(AM536&gt;AZ535,AM536=0),0,IF(AM536=AL536,AK536,$AZ$7-AL535))</f>
      </c>
      <c r="AO536" s="748">
        <f>+AK536-AN536</f>
      </c>
      <c r="AP536" s="217">
        <f>+_xlfn.IFNA(VLOOKUP(AJ536,$AF$7:$AI$1066,3,0),0)</f>
      </c>
      <c r="AQ536" s="217">
        <f>+IF(W536&gt;W535,AP536,AQ535+AP536)</f>
      </c>
      <c r="AR536" s="217">
        <f>+MAX($AM$2-SUMIF($W$7:$W$1066,W536,$AN$7:$AN$1066),0)</f>
      </c>
      <c r="AS536" s="748">
        <f>+MAX(IF(AQ536&gt;AR536,AR536-AQ535,AP536),0)</f>
      </c>
      <c r="AT536" s="748">
        <f>+AP536-AS536</f>
      </c>
      <c r="AU536" s="217">
        <f>+_xlfn.IFNA(VLOOKUP(AJ536,$AF$7:$AI$1066,4,0),0)</f>
      </c>
      <c r="AV536" s="217">
        <f>+IF(W536&gt;W535,AU536,AV535+AU536)</f>
      </c>
      <c r="AW536" s="217">
        <f>+MAX($AM$2-SUMIF($W$7:$W$1066,W536,$AN$7:$AN$1066)-SUMIF($W$7:$W$1066,W536,$AS$7:$AS$1066),0)</f>
      </c>
      <c r="AX536" s="748">
        <f>+MAX(IF(AV536&gt;AW536,AW536-AV535,AU536),0)</f>
      </c>
      <c r="AY536" s="748">
        <f>+AU536-AX536</f>
      </c>
      <c r="AZ536" s="331">
        <f>+$AM$1+IF($AP$1&gt;$AP$2,$AM$3/2)</f>
      </c>
    </row>
    <row x14ac:dyDescent="0.25" r="537" customHeight="1" ht="18.75">
      <c r="A537" s="1"/>
      <c r="B537" s="7"/>
      <c r="C537" s="170"/>
      <c r="D537" s="331">
        <v>530</v>
      </c>
      <c r="E537" s="544">
        <f>+DATE(YEAR(E536),MONTH(E536)-1,DAY(E536))</f>
        <v>25569.041666666668</v>
      </c>
      <c r="F537" s="333">
        <f>IF(DATE(YEAR($B$6),MONTH($B$6)+1,DAY(1))=E537,1,IF(MONTH(E537)=1,F538*(1+$F$5),F538))</f>
      </c>
      <c r="G537" s="333">
        <f>IF('Simulador - 1º Pilar'!$E$99="Sí",IF('Aportaciones PPE'!$B$13&lt;'Aportaciones PPE'!E537,0,F537*$B$8/12),F537*$B$8/12)</f>
      </c>
      <c r="H537" s="333">
        <f>$H$5*G537</f>
      </c>
      <c r="I537" s="333">
        <f>$I$5*G537</f>
      </c>
      <c r="J537" s="333">
        <f>+I537</f>
      </c>
      <c r="K537" s="333">
        <f>(1+$O$5)^(D537/12)*(H537+IF(AND(F537=1,F538=0),$S$4,0))</f>
      </c>
      <c r="L537" s="333">
        <f>(1+$O$5)^(D537/12)*(I537+IF(AND(F537=1,F538=0),0))</f>
      </c>
      <c r="M537" s="333">
        <f>+L537</f>
      </c>
      <c r="N537" s="333">
        <f>L537+K537+M537</f>
      </c>
      <c r="O537" s="170"/>
      <c r="P537" s="7"/>
      <c r="Q537" s="1"/>
      <c r="R537" s="331">
        <f>D537</f>
      </c>
      <c r="S537" s="169"/>
      <c r="T537" s="1"/>
      <c r="U537" s="217"/>
      <c r="V537" s="331">
        <f>+IF(V536=11,12,IF(V536=12,1,V536+1))</f>
      </c>
      <c r="W537" s="331">
        <f>+W536+IF(V536=12,1,0)</f>
      </c>
      <c r="X537" s="555">
        <f>+DATE(W537,V537,1)</f>
        <v>25569.041666666668</v>
      </c>
      <c r="Y537" s="333">
        <f>+_xlfn.IFNA(AN537+AS537+AX537,0)</f>
      </c>
      <c r="Z537" s="333">
        <f>+_xlfn.IFNA(AO537+AT537+AY537,0)</f>
      </c>
      <c r="AA537" s="333">
        <f>Y537*(1+$O$5)^(($B$7-X537)/365.25)</f>
      </c>
      <c r="AB537" s="333">
        <f>Z537*(1+$O$5)^(($B$7-X537)/365.25)</f>
      </c>
      <c r="AC537" s="1"/>
      <c r="AD537" s="1"/>
      <c r="AE537" s="1"/>
      <c r="AF537" s="111">
        <f>+MONTH(E537)&amp;YEAR(E537)</f>
      </c>
      <c r="AG537" s="217">
        <f>+I537</f>
      </c>
      <c r="AH537" s="217">
        <f>+J537</f>
      </c>
      <c r="AI537" s="217">
        <f>+H537</f>
      </c>
      <c r="AJ537" s="111">
        <f>+V537&amp;W537</f>
      </c>
      <c r="AK537" s="217">
        <f>+_xlfn.IFNA(VLOOKUP(AJ537,$AF$7:$AG$1066,2,0),0)</f>
      </c>
      <c r="AL537" s="217">
        <f>+IF(W537&gt;W536,AK537,AL536+AK537)</f>
      </c>
      <c r="AM537" s="217">
        <f>IF(W537&gt;W536,IF(AL537&gt;=$AZ$8,$AZ$8,AL537),IF(OR(AM536=$AZ$8,AM536=0),0,IF(AL537&gt;=$AZ$8,$AZ$8,AL537)))</f>
      </c>
      <c r="AN537" s="748">
        <f>+IF(OR(AM537&gt;AZ536,AM537=0),0,IF(AM537=AL537,AK537,$AZ$7-AL536))</f>
      </c>
      <c r="AO537" s="748">
        <f>+AK537-AN537</f>
      </c>
      <c r="AP537" s="217">
        <f>+_xlfn.IFNA(VLOOKUP(AJ537,$AF$7:$AI$1066,3,0),0)</f>
      </c>
      <c r="AQ537" s="217">
        <f>+IF(W537&gt;W536,AP537,AQ536+AP537)</f>
      </c>
      <c r="AR537" s="217">
        <f>+MAX($AM$2-SUMIF($W$7:$W$1066,W537,$AN$7:$AN$1066),0)</f>
      </c>
      <c r="AS537" s="748">
        <f>+MAX(IF(AQ537&gt;AR537,AR537-AQ536,AP537),0)</f>
      </c>
      <c r="AT537" s="748">
        <f>+AP537-AS537</f>
      </c>
      <c r="AU537" s="217">
        <f>+_xlfn.IFNA(VLOOKUP(AJ537,$AF$7:$AI$1066,4,0),0)</f>
      </c>
      <c r="AV537" s="217">
        <f>+IF(W537&gt;W536,AU537,AV536+AU537)</f>
      </c>
      <c r="AW537" s="217">
        <f>+MAX($AM$2-SUMIF($W$7:$W$1066,W537,$AN$7:$AN$1066)-SUMIF($W$7:$W$1066,W537,$AS$7:$AS$1066),0)</f>
      </c>
      <c r="AX537" s="748">
        <f>+MAX(IF(AV537&gt;AW537,AW537-AV536,AU537),0)</f>
      </c>
      <c r="AY537" s="748">
        <f>+AU537-AX537</f>
      </c>
      <c r="AZ537" s="331">
        <f>+$AM$1+IF($AP$1&gt;$AP$2,$AM$3/2)</f>
      </c>
    </row>
    <row x14ac:dyDescent="0.25" r="538" customHeight="1" ht="18.75">
      <c r="A538" s="1"/>
      <c r="B538" s="7"/>
      <c r="C538" s="170"/>
      <c r="D538" s="331">
        <v>531</v>
      </c>
      <c r="E538" s="544">
        <f>+DATE(YEAR(E537),MONTH(E537)-1,DAY(E537))</f>
        <v>25569.041666666668</v>
      </c>
      <c r="F538" s="333">
        <f>IF(DATE(YEAR($B$6),MONTH($B$6)+1,DAY(1))=E538,1,IF(MONTH(E538)=1,F539*(1+$F$5),F539))</f>
      </c>
      <c r="G538" s="333">
        <f>IF('Simulador - 1º Pilar'!$E$99="Sí",IF('Aportaciones PPE'!$B$13&lt;'Aportaciones PPE'!E538,0,F538*$B$8/12),F538*$B$8/12)</f>
      </c>
      <c r="H538" s="333">
        <f>$H$5*G538</f>
      </c>
      <c r="I538" s="333">
        <f>$I$5*G538</f>
      </c>
      <c r="J538" s="333">
        <f>+I538</f>
      </c>
      <c r="K538" s="333">
        <f>(1+$O$5)^(D538/12)*(H538+IF(AND(F538=1,F539=0),$S$4,0))</f>
      </c>
      <c r="L538" s="333">
        <f>(1+$O$5)^(D538/12)*(I538+IF(AND(F538=1,F539=0),0))</f>
      </c>
      <c r="M538" s="333">
        <f>+L538</f>
      </c>
      <c r="N538" s="333">
        <f>L538+K538+M538</f>
      </c>
      <c r="O538" s="170"/>
      <c r="P538" s="7"/>
      <c r="Q538" s="1"/>
      <c r="R538" s="331">
        <f>D538</f>
      </c>
      <c r="S538" s="169"/>
      <c r="T538" s="1"/>
      <c r="U538" s="217"/>
      <c r="V538" s="331">
        <f>+IF(V537=11,12,IF(V537=12,1,V537+1))</f>
      </c>
      <c r="W538" s="331">
        <f>+W537+IF(V537=12,1,0)</f>
      </c>
      <c r="X538" s="555">
        <f>+DATE(W538,V538,1)</f>
        <v>25569.041666666668</v>
      </c>
      <c r="Y538" s="333">
        <f>+_xlfn.IFNA(AN538+AS538+AX538,0)</f>
      </c>
      <c r="Z538" s="333">
        <f>+_xlfn.IFNA(AO538+AT538+AY538,0)</f>
      </c>
      <c r="AA538" s="333">
        <f>Y538*(1+$O$5)^(($B$7-X538)/365.25)</f>
      </c>
      <c r="AB538" s="333">
        <f>Z538*(1+$O$5)^(($B$7-X538)/365.25)</f>
      </c>
      <c r="AC538" s="1"/>
      <c r="AD538" s="1"/>
      <c r="AE538" s="1"/>
      <c r="AF538" s="111">
        <f>+MONTH(E538)&amp;YEAR(E538)</f>
      </c>
      <c r="AG538" s="217">
        <f>+I538</f>
      </c>
      <c r="AH538" s="217">
        <f>+J538</f>
      </c>
      <c r="AI538" s="217">
        <f>+H538</f>
      </c>
      <c r="AJ538" s="111">
        <f>+V538&amp;W538</f>
      </c>
      <c r="AK538" s="217">
        <f>+_xlfn.IFNA(VLOOKUP(AJ538,$AF$7:$AG$1066,2,0),0)</f>
      </c>
      <c r="AL538" s="217">
        <f>+IF(W538&gt;W537,AK538,AL537+AK538)</f>
      </c>
      <c r="AM538" s="217">
        <f>IF(W538&gt;W537,IF(AL538&gt;=$AZ$8,$AZ$8,AL538),IF(OR(AM537=$AZ$8,AM537=0),0,IF(AL538&gt;=$AZ$8,$AZ$8,AL538)))</f>
      </c>
      <c r="AN538" s="748">
        <f>+IF(OR(AM538&gt;AZ537,AM538=0),0,IF(AM538=AL538,AK538,$AZ$7-AL537))</f>
      </c>
      <c r="AO538" s="748">
        <f>+AK538-AN538</f>
      </c>
      <c r="AP538" s="217">
        <f>+_xlfn.IFNA(VLOOKUP(AJ538,$AF$7:$AI$1066,3,0),0)</f>
      </c>
      <c r="AQ538" s="217">
        <f>+IF(W538&gt;W537,AP538,AQ537+AP538)</f>
      </c>
      <c r="AR538" s="217">
        <f>+MAX($AM$2-SUMIF($W$7:$W$1066,W538,$AN$7:$AN$1066),0)</f>
      </c>
      <c r="AS538" s="748">
        <f>+MAX(IF(AQ538&gt;AR538,AR538-AQ537,AP538),0)</f>
      </c>
      <c r="AT538" s="748">
        <f>+AP538-AS538</f>
      </c>
      <c r="AU538" s="217">
        <f>+_xlfn.IFNA(VLOOKUP(AJ538,$AF$7:$AI$1066,4,0),0)</f>
      </c>
      <c r="AV538" s="217">
        <f>+IF(W538&gt;W537,AU538,AV537+AU538)</f>
      </c>
      <c r="AW538" s="217">
        <f>+MAX($AM$2-SUMIF($W$7:$W$1066,W538,$AN$7:$AN$1066)-SUMIF($W$7:$W$1066,W538,$AS$7:$AS$1066),0)</f>
      </c>
      <c r="AX538" s="748">
        <f>+MAX(IF(AV538&gt;AW538,AW538-AV537,AU538),0)</f>
      </c>
      <c r="AY538" s="748">
        <f>+AU538-AX538</f>
      </c>
      <c r="AZ538" s="331">
        <f>+$AM$1+IF($AP$1&gt;$AP$2,$AM$3/2)</f>
      </c>
    </row>
    <row x14ac:dyDescent="0.25" r="539" customHeight="1" ht="18.75">
      <c r="A539" s="1"/>
      <c r="B539" s="7"/>
      <c r="C539" s="170"/>
      <c r="D539" s="331">
        <v>532</v>
      </c>
      <c r="E539" s="544">
        <f>+DATE(YEAR(E538),MONTH(E538)-1,DAY(E538))</f>
        <v>25569.041666666668</v>
      </c>
      <c r="F539" s="333">
        <f>IF(DATE(YEAR($B$6),MONTH($B$6)+1,DAY(1))=E539,1,IF(MONTH(E539)=1,F540*(1+$F$5),F540))</f>
      </c>
      <c r="G539" s="333">
        <f>IF('Simulador - 1º Pilar'!$E$99="Sí",IF('Aportaciones PPE'!$B$13&lt;'Aportaciones PPE'!E539,0,F539*$B$8/12),F539*$B$8/12)</f>
      </c>
      <c r="H539" s="333">
        <f>$H$5*G539</f>
      </c>
      <c r="I539" s="333">
        <f>$I$5*G539</f>
      </c>
      <c r="J539" s="333">
        <f>+I539</f>
      </c>
      <c r="K539" s="333">
        <f>(1+$O$5)^(D539/12)*(H539+IF(AND(F539=1,F540=0),$S$4,0))</f>
      </c>
      <c r="L539" s="333">
        <f>(1+$O$5)^(D539/12)*(I539+IF(AND(F539=1,F540=0),0))</f>
      </c>
      <c r="M539" s="333">
        <f>+L539</f>
      </c>
      <c r="N539" s="333">
        <f>L539+K539+M539</f>
      </c>
      <c r="O539" s="170"/>
      <c r="P539" s="7"/>
      <c r="Q539" s="1"/>
      <c r="R539" s="331">
        <f>D539</f>
      </c>
      <c r="S539" s="169"/>
      <c r="T539" s="1"/>
      <c r="U539" s="217"/>
      <c r="V539" s="331">
        <f>+IF(V538=11,12,IF(V538=12,1,V538+1))</f>
      </c>
      <c r="W539" s="331">
        <f>+W538+IF(V538=12,1,0)</f>
      </c>
      <c r="X539" s="555">
        <f>+DATE(W539,V539,1)</f>
        <v>25569.041666666668</v>
      </c>
      <c r="Y539" s="333">
        <f>+_xlfn.IFNA(AN539+AS539+AX539,0)</f>
      </c>
      <c r="Z539" s="333">
        <f>+_xlfn.IFNA(AO539+AT539+AY539,0)</f>
      </c>
      <c r="AA539" s="333">
        <f>Y539*(1+$O$5)^(($B$7-X539)/365.25)</f>
      </c>
      <c r="AB539" s="333">
        <f>Z539*(1+$O$5)^(($B$7-X539)/365.25)</f>
      </c>
      <c r="AC539" s="1"/>
      <c r="AD539" s="1"/>
      <c r="AE539" s="1"/>
      <c r="AF539" s="111">
        <f>+MONTH(E539)&amp;YEAR(E539)</f>
      </c>
      <c r="AG539" s="217">
        <f>+I539</f>
      </c>
      <c r="AH539" s="217">
        <f>+J539</f>
      </c>
      <c r="AI539" s="217">
        <f>+H539</f>
      </c>
      <c r="AJ539" s="111">
        <f>+V539&amp;W539</f>
      </c>
      <c r="AK539" s="217">
        <f>+_xlfn.IFNA(VLOOKUP(AJ539,$AF$7:$AG$1066,2,0),0)</f>
      </c>
      <c r="AL539" s="217">
        <f>+IF(W539&gt;W538,AK539,AL538+AK539)</f>
      </c>
      <c r="AM539" s="217">
        <f>IF(W539&gt;W538,IF(AL539&gt;=$AZ$8,$AZ$8,AL539),IF(OR(AM538=$AZ$8,AM538=0),0,IF(AL539&gt;=$AZ$8,$AZ$8,AL539)))</f>
      </c>
      <c r="AN539" s="748">
        <f>+IF(OR(AM539&gt;AZ538,AM539=0),0,IF(AM539=AL539,AK539,$AZ$7-AL538))</f>
      </c>
      <c r="AO539" s="748">
        <f>+AK539-AN539</f>
      </c>
      <c r="AP539" s="217">
        <f>+_xlfn.IFNA(VLOOKUP(AJ539,$AF$7:$AI$1066,3,0),0)</f>
      </c>
      <c r="AQ539" s="217">
        <f>+IF(W539&gt;W538,AP539,AQ538+AP539)</f>
      </c>
      <c r="AR539" s="217">
        <f>+MAX($AM$2-SUMIF($W$7:$W$1066,W539,$AN$7:$AN$1066),0)</f>
      </c>
      <c r="AS539" s="748">
        <f>+MAX(IF(AQ539&gt;AR539,AR539-AQ538,AP539),0)</f>
      </c>
      <c r="AT539" s="748">
        <f>+AP539-AS539</f>
      </c>
      <c r="AU539" s="217">
        <f>+_xlfn.IFNA(VLOOKUP(AJ539,$AF$7:$AI$1066,4,0),0)</f>
      </c>
      <c r="AV539" s="217">
        <f>+IF(W539&gt;W538,AU539,AV538+AU539)</f>
      </c>
      <c r="AW539" s="217">
        <f>+MAX($AM$2-SUMIF($W$7:$W$1066,W539,$AN$7:$AN$1066)-SUMIF($W$7:$W$1066,W539,$AS$7:$AS$1066),0)</f>
      </c>
      <c r="AX539" s="748">
        <f>+MAX(IF(AV539&gt;AW539,AW539-AV538,AU539),0)</f>
      </c>
      <c r="AY539" s="748">
        <f>+AU539-AX539</f>
      </c>
      <c r="AZ539" s="331">
        <f>+$AM$1+IF($AP$1&gt;$AP$2,$AM$3/2)</f>
      </c>
    </row>
    <row x14ac:dyDescent="0.25" r="540" customHeight="1" ht="18.75">
      <c r="A540" s="1"/>
      <c r="B540" s="7"/>
      <c r="C540" s="170"/>
      <c r="D540" s="331">
        <v>533</v>
      </c>
      <c r="E540" s="544">
        <f>+DATE(YEAR(E539),MONTH(E539)-1,DAY(E539))</f>
        <v>25569.041666666668</v>
      </c>
      <c r="F540" s="333">
        <f>IF(DATE(YEAR($B$6),MONTH($B$6)+1,DAY(1))=E540,1,IF(MONTH(E540)=1,F541*(1+$F$5),F541))</f>
      </c>
      <c r="G540" s="333">
        <f>IF('Simulador - 1º Pilar'!$E$99="Sí",IF('Aportaciones PPE'!$B$13&lt;'Aportaciones PPE'!E540,0,F540*$B$8/12),F540*$B$8/12)</f>
      </c>
      <c r="H540" s="333">
        <f>$H$5*G540</f>
      </c>
      <c r="I540" s="333">
        <f>$I$5*G540</f>
      </c>
      <c r="J540" s="333">
        <f>+I540</f>
      </c>
      <c r="K540" s="333">
        <f>(1+$O$5)^(D540/12)*(H540+IF(AND(F540=1,F541=0),$S$4,0))</f>
      </c>
      <c r="L540" s="333">
        <f>(1+$O$5)^(D540/12)*(I540+IF(AND(F540=1,F541=0),0))</f>
      </c>
      <c r="M540" s="333">
        <f>+L540</f>
      </c>
      <c r="N540" s="333">
        <f>L540+K540+M540</f>
      </c>
      <c r="O540" s="170"/>
      <c r="P540" s="7"/>
      <c r="Q540" s="1"/>
      <c r="R540" s="331">
        <f>D540</f>
      </c>
      <c r="S540" s="169"/>
      <c r="T540" s="1"/>
      <c r="U540" s="217"/>
      <c r="V540" s="331">
        <f>+IF(V539=11,12,IF(V539=12,1,V539+1))</f>
      </c>
      <c r="W540" s="331">
        <f>+W539+IF(V539=12,1,0)</f>
      </c>
      <c r="X540" s="555">
        <f>+DATE(W540,V540,1)</f>
        <v>25569.041666666668</v>
      </c>
      <c r="Y540" s="333">
        <f>+_xlfn.IFNA(AN540+AS540+AX540,0)</f>
      </c>
      <c r="Z540" s="333">
        <f>+_xlfn.IFNA(AO540+AT540+AY540,0)</f>
      </c>
      <c r="AA540" s="333">
        <f>Y540*(1+$O$5)^(($B$7-X540)/365.25)</f>
      </c>
      <c r="AB540" s="333">
        <f>Z540*(1+$O$5)^(($B$7-X540)/365.25)</f>
      </c>
      <c r="AC540" s="1"/>
      <c r="AD540" s="1"/>
      <c r="AE540" s="1"/>
      <c r="AF540" s="111">
        <f>+MONTH(E540)&amp;YEAR(E540)</f>
      </c>
      <c r="AG540" s="217">
        <f>+I540</f>
      </c>
      <c r="AH540" s="217">
        <f>+J540</f>
      </c>
      <c r="AI540" s="217">
        <f>+H540</f>
      </c>
      <c r="AJ540" s="111">
        <f>+V540&amp;W540</f>
      </c>
      <c r="AK540" s="217">
        <f>+_xlfn.IFNA(VLOOKUP(AJ540,$AF$7:$AG$1066,2,0),0)</f>
      </c>
      <c r="AL540" s="217">
        <f>+IF(W540&gt;W539,AK540,AL539+AK540)</f>
      </c>
      <c r="AM540" s="217">
        <f>IF(W540&gt;W539,IF(AL540&gt;=$AZ$8,$AZ$8,AL540),IF(OR(AM539=$AZ$8,AM539=0),0,IF(AL540&gt;=$AZ$8,$AZ$8,AL540)))</f>
      </c>
      <c r="AN540" s="748">
        <f>+IF(OR(AM540&gt;AZ539,AM540=0),0,IF(AM540=AL540,AK540,$AZ$7-AL539))</f>
      </c>
      <c r="AO540" s="748">
        <f>+AK540-AN540</f>
      </c>
      <c r="AP540" s="217">
        <f>+_xlfn.IFNA(VLOOKUP(AJ540,$AF$7:$AI$1066,3,0),0)</f>
      </c>
      <c r="AQ540" s="217">
        <f>+IF(W540&gt;W539,AP540,AQ539+AP540)</f>
      </c>
      <c r="AR540" s="217">
        <f>+MAX($AM$2-SUMIF($W$7:$W$1066,W540,$AN$7:$AN$1066),0)</f>
      </c>
      <c r="AS540" s="748">
        <f>+MAX(IF(AQ540&gt;AR540,AR540-AQ539,AP540),0)</f>
      </c>
      <c r="AT540" s="748">
        <f>+AP540-AS540</f>
      </c>
      <c r="AU540" s="217">
        <f>+_xlfn.IFNA(VLOOKUP(AJ540,$AF$7:$AI$1066,4,0),0)</f>
      </c>
      <c r="AV540" s="217">
        <f>+IF(W540&gt;W539,AU540,AV539+AU540)</f>
      </c>
      <c r="AW540" s="217">
        <f>+MAX($AM$2-SUMIF($W$7:$W$1066,W540,$AN$7:$AN$1066)-SUMIF($W$7:$W$1066,W540,$AS$7:$AS$1066),0)</f>
      </c>
      <c r="AX540" s="748">
        <f>+MAX(IF(AV540&gt;AW540,AW540-AV539,AU540),0)</f>
      </c>
      <c r="AY540" s="748">
        <f>+AU540-AX540</f>
      </c>
      <c r="AZ540" s="331">
        <f>+$AM$1+IF($AP$1&gt;$AP$2,$AM$3/2)</f>
      </c>
    </row>
    <row x14ac:dyDescent="0.25" r="541" customHeight="1" ht="18.75">
      <c r="A541" s="1"/>
      <c r="B541" s="7"/>
      <c r="C541" s="170"/>
      <c r="D541" s="331">
        <v>534</v>
      </c>
      <c r="E541" s="544">
        <f>+DATE(YEAR(E540),MONTH(E540)-1,DAY(E540))</f>
        <v>25569.041666666668</v>
      </c>
      <c r="F541" s="333">
        <f>IF(DATE(YEAR($B$6),MONTH($B$6)+1,DAY(1))=E541,1,IF(MONTH(E541)=1,F542*(1+$F$5),F542))</f>
      </c>
      <c r="G541" s="333">
        <f>IF('Simulador - 1º Pilar'!$E$99="Sí",IF('Aportaciones PPE'!$B$13&lt;'Aportaciones PPE'!E541,0,F541*$B$8/12),F541*$B$8/12)</f>
      </c>
      <c r="H541" s="333">
        <f>$H$5*G541</f>
      </c>
      <c r="I541" s="333">
        <f>$I$5*G541</f>
      </c>
      <c r="J541" s="333">
        <f>+I541</f>
      </c>
      <c r="K541" s="333">
        <f>(1+$O$5)^(D541/12)*(H541+IF(AND(F541=1,F542=0),$S$4,0))</f>
      </c>
      <c r="L541" s="333">
        <f>(1+$O$5)^(D541/12)*(I541+IF(AND(F541=1,F542=0),0))</f>
      </c>
      <c r="M541" s="333">
        <f>+L541</f>
      </c>
      <c r="N541" s="333">
        <f>L541+K541+M541</f>
      </c>
      <c r="O541" s="170"/>
      <c r="P541" s="7"/>
      <c r="Q541" s="1"/>
      <c r="R541" s="331">
        <f>D541</f>
      </c>
      <c r="S541" s="169"/>
      <c r="T541" s="1"/>
      <c r="U541" s="217"/>
      <c r="V541" s="331">
        <f>+IF(V540=11,12,IF(V540=12,1,V540+1))</f>
      </c>
      <c r="W541" s="331">
        <f>+W540+IF(V540=12,1,0)</f>
      </c>
      <c r="X541" s="555">
        <f>+DATE(W541,V541,1)</f>
        <v>25569.041666666668</v>
      </c>
      <c r="Y541" s="333">
        <f>+_xlfn.IFNA(AN541+AS541+AX541,0)</f>
      </c>
      <c r="Z541" s="333">
        <f>+_xlfn.IFNA(AO541+AT541+AY541,0)</f>
      </c>
      <c r="AA541" s="333">
        <f>Y541*(1+$O$5)^(($B$7-X541)/365.25)</f>
      </c>
      <c r="AB541" s="333">
        <f>Z541*(1+$O$5)^(($B$7-X541)/365.25)</f>
      </c>
      <c r="AC541" s="1"/>
      <c r="AD541" s="1"/>
      <c r="AE541" s="1"/>
      <c r="AF541" s="111">
        <f>+MONTH(E541)&amp;YEAR(E541)</f>
      </c>
      <c r="AG541" s="217">
        <f>+I541</f>
      </c>
      <c r="AH541" s="217">
        <f>+J541</f>
      </c>
      <c r="AI541" s="217">
        <f>+H541</f>
      </c>
      <c r="AJ541" s="111">
        <f>+V541&amp;W541</f>
      </c>
      <c r="AK541" s="217">
        <f>+_xlfn.IFNA(VLOOKUP(AJ541,$AF$7:$AG$1066,2,0),0)</f>
      </c>
      <c r="AL541" s="217">
        <f>+IF(W541&gt;W540,AK541,AL540+AK541)</f>
      </c>
      <c r="AM541" s="217">
        <f>IF(W541&gt;W540,IF(AL541&gt;=$AZ$8,$AZ$8,AL541),IF(OR(AM540=$AZ$8,AM540=0),0,IF(AL541&gt;=$AZ$8,$AZ$8,AL541)))</f>
      </c>
      <c r="AN541" s="748">
        <f>+IF(OR(AM541&gt;AZ540,AM541=0),0,IF(AM541=AL541,AK541,$AZ$7-AL540))</f>
      </c>
      <c r="AO541" s="748">
        <f>+AK541-AN541</f>
      </c>
      <c r="AP541" s="217">
        <f>+_xlfn.IFNA(VLOOKUP(AJ541,$AF$7:$AI$1066,3,0),0)</f>
      </c>
      <c r="AQ541" s="217">
        <f>+IF(W541&gt;W540,AP541,AQ540+AP541)</f>
      </c>
      <c r="AR541" s="217">
        <f>+MAX($AM$2-SUMIF($W$7:$W$1066,W541,$AN$7:$AN$1066),0)</f>
      </c>
      <c r="AS541" s="748">
        <f>+MAX(IF(AQ541&gt;AR541,AR541-AQ540,AP541),0)</f>
      </c>
      <c r="AT541" s="748">
        <f>+AP541-AS541</f>
      </c>
      <c r="AU541" s="217">
        <f>+_xlfn.IFNA(VLOOKUP(AJ541,$AF$7:$AI$1066,4,0),0)</f>
      </c>
      <c r="AV541" s="217">
        <f>+IF(W541&gt;W540,AU541,AV540+AU541)</f>
      </c>
      <c r="AW541" s="217">
        <f>+MAX($AM$2-SUMIF($W$7:$W$1066,W541,$AN$7:$AN$1066)-SUMIF($W$7:$W$1066,W541,$AS$7:$AS$1066),0)</f>
      </c>
      <c r="AX541" s="748">
        <f>+MAX(IF(AV541&gt;AW541,AW541-AV540,AU541),0)</f>
      </c>
      <c r="AY541" s="748">
        <f>+AU541-AX541</f>
      </c>
      <c r="AZ541" s="331">
        <f>+$AM$1+IF($AP$1&gt;$AP$2,$AM$3/2)</f>
      </c>
    </row>
    <row x14ac:dyDescent="0.25" r="542" customHeight="1" ht="18.75">
      <c r="A542" s="1"/>
      <c r="B542" s="7"/>
      <c r="C542" s="170"/>
      <c r="D542" s="331">
        <v>535</v>
      </c>
      <c r="E542" s="544">
        <f>+DATE(YEAR(E541),MONTH(E541)-1,DAY(E541))</f>
        <v>25569.041666666668</v>
      </c>
      <c r="F542" s="333">
        <f>IF(DATE(YEAR($B$6),MONTH($B$6)+1,DAY(1))=E542,1,IF(MONTH(E542)=1,F543*(1+$F$5),F543))</f>
      </c>
      <c r="G542" s="333">
        <f>IF('Simulador - 1º Pilar'!$E$99="Sí",IF('Aportaciones PPE'!$B$13&lt;'Aportaciones PPE'!E542,0,F542*$B$8/12),F542*$B$8/12)</f>
      </c>
      <c r="H542" s="333">
        <f>$H$5*G542</f>
      </c>
      <c r="I542" s="333">
        <f>$I$5*G542</f>
      </c>
      <c r="J542" s="333">
        <f>+I542</f>
      </c>
      <c r="K542" s="333">
        <f>(1+$O$5)^(D542/12)*(H542+IF(AND(F542=1,F543=0),$S$4,0))</f>
      </c>
      <c r="L542" s="333">
        <f>(1+$O$5)^(D542/12)*(I542+IF(AND(F542=1,F543=0),0))</f>
      </c>
      <c r="M542" s="333">
        <f>+L542</f>
      </c>
      <c r="N542" s="333">
        <f>L542+K542+M542</f>
      </c>
      <c r="O542" s="170"/>
      <c r="P542" s="7"/>
      <c r="Q542" s="1"/>
      <c r="R542" s="331">
        <f>D542</f>
      </c>
      <c r="S542" s="169"/>
      <c r="T542" s="1"/>
      <c r="U542" s="217"/>
      <c r="V542" s="331">
        <f>+IF(V541=11,12,IF(V541=12,1,V541+1))</f>
      </c>
      <c r="W542" s="331">
        <f>+W541+IF(V541=12,1,0)</f>
      </c>
      <c r="X542" s="555">
        <f>+DATE(W542,V542,1)</f>
        <v>25569.041666666668</v>
      </c>
      <c r="Y542" s="333">
        <f>+_xlfn.IFNA(AN542+AS542+AX542,0)</f>
      </c>
      <c r="Z542" s="333">
        <f>+_xlfn.IFNA(AO542+AT542+AY542,0)</f>
      </c>
      <c r="AA542" s="333">
        <f>Y542*(1+$O$5)^(($B$7-X542)/365.25)</f>
      </c>
      <c r="AB542" s="333">
        <f>Z542*(1+$O$5)^(($B$7-X542)/365.25)</f>
      </c>
      <c r="AC542" s="1"/>
      <c r="AD542" s="1"/>
      <c r="AE542" s="1"/>
      <c r="AF542" s="111">
        <f>+MONTH(E542)&amp;YEAR(E542)</f>
      </c>
      <c r="AG542" s="217">
        <f>+I542</f>
      </c>
      <c r="AH542" s="217">
        <f>+J542</f>
      </c>
      <c r="AI542" s="217">
        <f>+H542</f>
      </c>
      <c r="AJ542" s="111">
        <f>+V542&amp;W542</f>
      </c>
      <c r="AK542" s="217">
        <f>+_xlfn.IFNA(VLOOKUP(AJ542,$AF$7:$AG$1066,2,0),0)</f>
      </c>
      <c r="AL542" s="217">
        <f>+IF(W542&gt;W541,AK542,AL541+AK542)</f>
      </c>
      <c r="AM542" s="217">
        <f>IF(W542&gt;W541,IF(AL542&gt;=$AZ$8,$AZ$8,AL542),IF(OR(AM541=$AZ$8,AM541=0),0,IF(AL542&gt;=$AZ$8,$AZ$8,AL542)))</f>
      </c>
      <c r="AN542" s="748">
        <f>+IF(OR(AM542&gt;AZ541,AM542=0),0,IF(AM542=AL542,AK542,$AZ$7-AL541))</f>
      </c>
      <c r="AO542" s="748">
        <f>+AK542-AN542</f>
      </c>
      <c r="AP542" s="217">
        <f>+_xlfn.IFNA(VLOOKUP(AJ542,$AF$7:$AI$1066,3,0),0)</f>
      </c>
      <c r="AQ542" s="217">
        <f>+IF(W542&gt;W541,AP542,AQ541+AP542)</f>
      </c>
      <c r="AR542" s="217">
        <f>+MAX($AM$2-SUMIF($W$7:$W$1066,W542,$AN$7:$AN$1066),0)</f>
      </c>
      <c r="AS542" s="748">
        <f>+MAX(IF(AQ542&gt;AR542,AR542-AQ541,AP542),0)</f>
      </c>
      <c r="AT542" s="748">
        <f>+AP542-AS542</f>
      </c>
      <c r="AU542" s="217">
        <f>+_xlfn.IFNA(VLOOKUP(AJ542,$AF$7:$AI$1066,4,0),0)</f>
      </c>
      <c r="AV542" s="217">
        <f>+IF(W542&gt;W541,AU542,AV541+AU542)</f>
      </c>
      <c r="AW542" s="217">
        <f>+MAX($AM$2-SUMIF($W$7:$W$1066,W542,$AN$7:$AN$1066)-SUMIF($W$7:$W$1066,W542,$AS$7:$AS$1066),0)</f>
      </c>
      <c r="AX542" s="748">
        <f>+MAX(IF(AV542&gt;AW542,AW542-AV541,AU542),0)</f>
      </c>
      <c r="AY542" s="748">
        <f>+AU542-AX542</f>
      </c>
      <c r="AZ542" s="331">
        <f>+$AM$1+IF($AP$1&gt;$AP$2,$AM$3/2)</f>
      </c>
    </row>
    <row x14ac:dyDescent="0.25" r="543" customHeight="1" ht="18.75">
      <c r="A543" s="1"/>
      <c r="B543" s="7"/>
      <c r="C543" s="170"/>
      <c r="D543" s="331">
        <v>536</v>
      </c>
      <c r="E543" s="544">
        <f>+DATE(YEAR(E542),MONTH(E542)-1,DAY(E542))</f>
        <v>25569.041666666668</v>
      </c>
      <c r="F543" s="333">
        <f>IF(DATE(YEAR($B$6),MONTH($B$6)+1,DAY(1))=E543,1,IF(MONTH(E543)=1,F544*(1+$F$5),F544))</f>
      </c>
      <c r="G543" s="333">
        <f>IF('Simulador - 1º Pilar'!$E$99="Sí",IF('Aportaciones PPE'!$B$13&lt;'Aportaciones PPE'!E543,0,F543*$B$8/12),F543*$B$8/12)</f>
      </c>
      <c r="H543" s="333">
        <f>$H$5*G543</f>
      </c>
      <c r="I543" s="333">
        <f>$I$5*G543</f>
      </c>
      <c r="J543" s="333">
        <f>+I543</f>
      </c>
      <c r="K543" s="333">
        <f>(1+$O$5)^(D543/12)*(H543+IF(AND(F543=1,F544=0),$S$4,0))</f>
      </c>
      <c r="L543" s="333">
        <f>(1+$O$5)^(D543/12)*(I543+IF(AND(F543=1,F544=0),0))</f>
      </c>
      <c r="M543" s="333">
        <f>+L543</f>
      </c>
      <c r="N543" s="333">
        <f>L543+K543+M543</f>
      </c>
      <c r="O543" s="170"/>
      <c r="P543" s="7"/>
      <c r="Q543" s="1"/>
      <c r="R543" s="331">
        <f>D543</f>
      </c>
      <c r="S543" s="169"/>
      <c r="T543" s="1"/>
      <c r="U543" s="217"/>
      <c r="V543" s="331">
        <f>+IF(V542=11,12,IF(V542=12,1,V542+1))</f>
      </c>
      <c r="W543" s="331">
        <f>+W542+IF(V542=12,1,0)</f>
      </c>
      <c r="X543" s="555">
        <f>+DATE(W543,V543,1)</f>
        <v>25569.041666666668</v>
      </c>
      <c r="Y543" s="333">
        <f>+_xlfn.IFNA(AN543+AS543+AX543,0)</f>
      </c>
      <c r="Z543" s="333">
        <f>+_xlfn.IFNA(AO543+AT543+AY543,0)</f>
      </c>
      <c r="AA543" s="333">
        <f>Y543*(1+$O$5)^(($B$7-X543)/365.25)</f>
      </c>
      <c r="AB543" s="333">
        <f>Z543*(1+$O$5)^(($B$7-X543)/365.25)</f>
      </c>
      <c r="AC543" s="1"/>
      <c r="AD543" s="1"/>
      <c r="AE543" s="1"/>
      <c r="AF543" s="111">
        <f>+MONTH(E543)&amp;YEAR(E543)</f>
      </c>
      <c r="AG543" s="217">
        <f>+I543</f>
      </c>
      <c r="AH543" s="217">
        <f>+J543</f>
      </c>
      <c r="AI543" s="217">
        <f>+H543</f>
      </c>
      <c r="AJ543" s="111">
        <f>+V543&amp;W543</f>
      </c>
      <c r="AK543" s="217">
        <f>+_xlfn.IFNA(VLOOKUP(AJ543,$AF$7:$AG$1066,2,0),0)</f>
      </c>
      <c r="AL543" s="217">
        <f>+IF(W543&gt;W542,AK543,AL542+AK543)</f>
      </c>
      <c r="AM543" s="217">
        <f>IF(W543&gt;W542,IF(AL543&gt;=$AZ$8,$AZ$8,AL543),IF(OR(AM542=$AZ$8,AM542=0),0,IF(AL543&gt;=$AZ$8,$AZ$8,AL543)))</f>
      </c>
      <c r="AN543" s="748">
        <f>+IF(OR(AM543&gt;AZ542,AM543=0),0,IF(AM543=AL543,AK543,$AZ$7-AL542))</f>
      </c>
      <c r="AO543" s="748">
        <f>+AK543-AN543</f>
      </c>
      <c r="AP543" s="217">
        <f>+_xlfn.IFNA(VLOOKUP(AJ543,$AF$7:$AI$1066,3,0),0)</f>
      </c>
      <c r="AQ543" s="217">
        <f>+IF(W543&gt;W542,AP543,AQ542+AP543)</f>
      </c>
      <c r="AR543" s="217">
        <f>+MAX($AM$2-SUMIF($W$7:$W$1066,W543,$AN$7:$AN$1066),0)</f>
      </c>
      <c r="AS543" s="748">
        <f>+MAX(IF(AQ543&gt;AR543,AR543-AQ542,AP543),0)</f>
      </c>
      <c r="AT543" s="748">
        <f>+AP543-AS543</f>
      </c>
      <c r="AU543" s="217">
        <f>+_xlfn.IFNA(VLOOKUP(AJ543,$AF$7:$AI$1066,4,0),0)</f>
      </c>
      <c r="AV543" s="217">
        <f>+IF(W543&gt;W542,AU543,AV542+AU543)</f>
      </c>
      <c r="AW543" s="217">
        <f>+MAX($AM$2-SUMIF($W$7:$W$1066,W543,$AN$7:$AN$1066)-SUMIF($W$7:$W$1066,W543,$AS$7:$AS$1066),0)</f>
      </c>
      <c r="AX543" s="748">
        <f>+MAX(IF(AV543&gt;AW543,AW543-AV542,AU543),0)</f>
      </c>
      <c r="AY543" s="748">
        <f>+AU543-AX543</f>
      </c>
      <c r="AZ543" s="331">
        <f>+$AM$1+IF($AP$1&gt;$AP$2,$AM$3/2)</f>
      </c>
    </row>
    <row x14ac:dyDescent="0.25" r="544" customHeight="1" ht="18.75">
      <c r="A544" s="1"/>
      <c r="B544" s="7"/>
      <c r="C544" s="170"/>
      <c r="D544" s="331">
        <v>537</v>
      </c>
      <c r="E544" s="544">
        <f>+DATE(YEAR(E543),MONTH(E543)-1,DAY(E543))</f>
        <v>25569.041666666668</v>
      </c>
      <c r="F544" s="333">
        <f>IF(DATE(YEAR($B$6),MONTH($B$6)+1,DAY(1))=E544,1,IF(MONTH(E544)=1,F545*(1+$F$5),F545))</f>
      </c>
      <c r="G544" s="333">
        <f>IF('Simulador - 1º Pilar'!$E$99="Sí",IF('Aportaciones PPE'!$B$13&lt;'Aportaciones PPE'!E544,0,F544*$B$8/12),F544*$B$8/12)</f>
      </c>
      <c r="H544" s="333">
        <f>$H$5*G544</f>
      </c>
      <c r="I544" s="333">
        <f>$I$5*G544</f>
      </c>
      <c r="J544" s="333">
        <f>+I544</f>
      </c>
      <c r="K544" s="333">
        <f>(1+$O$5)^(D544/12)*(H544+IF(AND(F544=1,F545=0),$S$4,0))</f>
      </c>
      <c r="L544" s="333">
        <f>(1+$O$5)^(D544/12)*(I544+IF(AND(F544=1,F545=0),0))</f>
      </c>
      <c r="M544" s="333">
        <f>+L544</f>
      </c>
      <c r="N544" s="333">
        <f>L544+K544+M544</f>
      </c>
      <c r="O544" s="170"/>
      <c r="P544" s="7"/>
      <c r="Q544" s="1"/>
      <c r="R544" s="331">
        <f>D544</f>
      </c>
      <c r="S544" s="169"/>
      <c r="T544" s="1"/>
      <c r="U544" s="217"/>
      <c r="V544" s="331">
        <f>+IF(V543=11,12,IF(V543=12,1,V543+1))</f>
      </c>
      <c r="W544" s="331">
        <f>+W543+IF(V543=12,1,0)</f>
      </c>
      <c r="X544" s="555">
        <f>+DATE(W544,V544,1)</f>
        <v>25569.041666666668</v>
      </c>
      <c r="Y544" s="333">
        <f>+_xlfn.IFNA(AN544+AS544+AX544,0)</f>
      </c>
      <c r="Z544" s="333">
        <f>+_xlfn.IFNA(AO544+AT544+AY544,0)</f>
      </c>
      <c r="AA544" s="333">
        <f>Y544*(1+$O$5)^(($B$7-X544)/365.25)</f>
      </c>
      <c r="AB544" s="333">
        <f>Z544*(1+$O$5)^(($B$7-X544)/365.25)</f>
      </c>
      <c r="AC544" s="1"/>
      <c r="AD544" s="1"/>
      <c r="AE544" s="1"/>
      <c r="AF544" s="111">
        <f>+MONTH(E544)&amp;YEAR(E544)</f>
      </c>
      <c r="AG544" s="217">
        <f>+I544</f>
      </c>
      <c r="AH544" s="217">
        <f>+J544</f>
      </c>
      <c r="AI544" s="217">
        <f>+H544</f>
      </c>
      <c r="AJ544" s="111">
        <f>+V544&amp;W544</f>
      </c>
      <c r="AK544" s="217">
        <f>+_xlfn.IFNA(VLOOKUP(AJ544,$AF$7:$AG$1066,2,0),0)</f>
      </c>
      <c r="AL544" s="217">
        <f>+IF(W544&gt;W543,AK544,AL543+AK544)</f>
      </c>
      <c r="AM544" s="217">
        <f>IF(W544&gt;W543,IF(AL544&gt;=$AZ$8,$AZ$8,AL544),IF(OR(AM543=$AZ$8,AM543=0),0,IF(AL544&gt;=$AZ$8,$AZ$8,AL544)))</f>
      </c>
      <c r="AN544" s="748">
        <f>+IF(OR(AM544&gt;AZ543,AM544=0),0,IF(AM544=AL544,AK544,$AZ$7-AL543))</f>
      </c>
      <c r="AO544" s="748">
        <f>+AK544-AN544</f>
      </c>
      <c r="AP544" s="217">
        <f>+_xlfn.IFNA(VLOOKUP(AJ544,$AF$7:$AI$1066,3,0),0)</f>
      </c>
      <c r="AQ544" s="217">
        <f>+IF(W544&gt;W543,AP544,AQ543+AP544)</f>
      </c>
      <c r="AR544" s="217">
        <f>+MAX($AM$2-SUMIF($W$7:$W$1066,W544,$AN$7:$AN$1066),0)</f>
      </c>
      <c r="AS544" s="748">
        <f>+MAX(IF(AQ544&gt;AR544,AR544-AQ543,AP544),0)</f>
      </c>
      <c r="AT544" s="748">
        <f>+AP544-AS544</f>
      </c>
      <c r="AU544" s="217">
        <f>+_xlfn.IFNA(VLOOKUP(AJ544,$AF$7:$AI$1066,4,0),0)</f>
      </c>
      <c r="AV544" s="217">
        <f>+IF(W544&gt;W543,AU544,AV543+AU544)</f>
      </c>
      <c r="AW544" s="217">
        <f>+MAX($AM$2-SUMIF($W$7:$W$1066,W544,$AN$7:$AN$1066)-SUMIF($W$7:$W$1066,W544,$AS$7:$AS$1066),0)</f>
      </c>
      <c r="AX544" s="748">
        <f>+MAX(IF(AV544&gt;AW544,AW544-AV543,AU544),0)</f>
      </c>
      <c r="AY544" s="748">
        <f>+AU544-AX544</f>
      </c>
      <c r="AZ544" s="331">
        <f>+$AM$1+IF($AP$1&gt;$AP$2,$AM$3/2)</f>
      </c>
    </row>
    <row x14ac:dyDescent="0.25" r="545" customHeight="1" ht="18.75">
      <c r="A545" s="1"/>
      <c r="B545" s="7"/>
      <c r="C545" s="170"/>
      <c r="D545" s="331">
        <v>538</v>
      </c>
      <c r="E545" s="544">
        <f>+DATE(YEAR(E544),MONTH(E544)-1,DAY(E544))</f>
        <v>25569.041666666668</v>
      </c>
      <c r="F545" s="333">
        <f>IF(DATE(YEAR($B$6),MONTH($B$6)+1,DAY(1))=E545,1,IF(MONTH(E545)=1,F546*(1+$F$5),F546))</f>
      </c>
      <c r="G545" s="333">
        <f>IF('Simulador - 1º Pilar'!$E$99="Sí",IF('Aportaciones PPE'!$B$13&lt;'Aportaciones PPE'!E545,0,F545*$B$8/12),F545*$B$8/12)</f>
      </c>
      <c r="H545" s="333">
        <f>$H$5*G545</f>
      </c>
      <c r="I545" s="333">
        <f>$I$5*G545</f>
      </c>
      <c r="J545" s="333">
        <f>+I545</f>
      </c>
      <c r="K545" s="333">
        <f>(1+$O$5)^(D545/12)*(H545+IF(AND(F545=1,F546=0),$S$4,0))</f>
      </c>
      <c r="L545" s="333">
        <f>(1+$O$5)^(D545/12)*(I545+IF(AND(F545=1,F546=0),0))</f>
      </c>
      <c r="M545" s="333">
        <f>+L545</f>
      </c>
      <c r="N545" s="333">
        <f>L545+K545+M545</f>
      </c>
      <c r="O545" s="170"/>
      <c r="P545" s="7"/>
      <c r="Q545" s="1"/>
      <c r="R545" s="331">
        <f>D545</f>
      </c>
      <c r="S545" s="169"/>
      <c r="T545" s="1"/>
      <c r="U545" s="217"/>
      <c r="V545" s="331">
        <f>+IF(V544=11,12,IF(V544=12,1,V544+1))</f>
      </c>
      <c r="W545" s="331">
        <f>+W544+IF(V544=12,1,0)</f>
      </c>
      <c r="X545" s="555">
        <f>+DATE(W545,V545,1)</f>
        <v>25569.041666666668</v>
      </c>
      <c r="Y545" s="333">
        <f>+_xlfn.IFNA(AN545+AS545+AX545,0)</f>
      </c>
      <c r="Z545" s="333">
        <f>+_xlfn.IFNA(AO545+AT545+AY545,0)</f>
      </c>
      <c r="AA545" s="333">
        <f>Y545*(1+$O$5)^(($B$7-X545)/365.25)</f>
      </c>
      <c r="AB545" s="333">
        <f>Z545*(1+$O$5)^(($B$7-X545)/365.25)</f>
      </c>
      <c r="AC545" s="1"/>
      <c r="AD545" s="1"/>
      <c r="AE545" s="1"/>
      <c r="AF545" s="111">
        <f>+MONTH(E545)&amp;YEAR(E545)</f>
      </c>
      <c r="AG545" s="217">
        <f>+I545</f>
      </c>
      <c r="AH545" s="217">
        <f>+J545</f>
      </c>
      <c r="AI545" s="217">
        <f>+H545</f>
      </c>
      <c r="AJ545" s="111">
        <f>+V545&amp;W545</f>
      </c>
      <c r="AK545" s="217">
        <f>+_xlfn.IFNA(VLOOKUP(AJ545,$AF$7:$AG$1066,2,0),0)</f>
      </c>
      <c r="AL545" s="217">
        <f>+IF(W545&gt;W544,AK545,AL544+AK545)</f>
      </c>
      <c r="AM545" s="217">
        <f>IF(W545&gt;W544,IF(AL545&gt;=$AZ$8,$AZ$8,AL545),IF(OR(AM544=$AZ$8,AM544=0),0,IF(AL545&gt;=$AZ$8,$AZ$8,AL545)))</f>
      </c>
      <c r="AN545" s="748">
        <f>+IF(OR(AM545&gt;AZ544,AM545=0),0,IF(AM545=AL545,AK545,$AZ$7-AL544))</f>
      </c>
      <c r="AO545" s="748">
        <f>+AK545-AN545</f>
      </c>
      <c r="AP545" s="217">
        <f>+_xlfn.IFNA(VLOOKUP(AJ545,$AF$7:$AI$1066,3,0),0)</f>
      </c>
      <c r="AQ545" s="217">
        <f>+IF(W545&gt;W544,AP545,AQ544+AP545)</f>
      </c>
      <c r="AR545" s="217">
        <f>+MAX($AM$2-SUMIF($W$7:$W$1066,W545,$AN$7:$AN$1066),0)</f>
      </c>
      <c r="AS545" s="748">
        <f>+MAX(IF(AQ545&gt;AR545,AR545-AQ544,AP545),0)</f>
      </c>
      <c r="AT545" s="748">
        <f>+AP545-AS545</f>
      </c>
      <c r="AU545" s="217">
        <f>+_xlfn.IFNA(VLOOKUP(AJ545,$AF$7:$AI$1066,4,0),0)</f>
      </c>
      <c r="AV545" s="217">
        <f>+IF(W545&gt;W544,AU545,AV544+AU545)</f>
      </c>
      <c r="AW545" s="217">
        <f>+MAX($AM$2-SUMIF($W$7:$W$1066,W545,$AN$7:$AN$1066)-SUMIF($W$7:$W$1066,W545,$AS$7:$AS$1066),0)</f>
      </c>
      <c r="AX545" s="748">
        <f>+MAX(IF(AV545&gt;AW545,AW545-AV544,AU545),0)</f>
      </c>
      <c r="AY545" s="748">
        <f>+AU545-AX545</f>
      </c>
      <c r="AZ545" s="331">
        <f>+$AM$1+IF($AP$1&gt;$AP$2,$AM$3/2)</f>
      </c>
    </row>
    <row x14ac:dyDescent="0.25" r="546" customHeight="1" ht="18.75">
      <c r="A546" s="1"/>
      <c r="B546" s="7"/>
      <c r="C546" s="170"/>
      <c r="D546" s="331">
        <v>539</v>
      </c>
      <c r="E546" s="544">
        <f>+DATE(YEAR(E545),MONTH(E545)-1,DAY(E545))</f>
        <v>25569.041666666668</v>
      </c>
      <c r="F546" s="333">
        <f>IF(DATE(YEAR($B$6),MONTH($B$6)+1,DAY(1))=E546,1,IF(MONTH(E546)=1,F547*(1+$F$5),F547))</f>
      </c>
      <c r="G546" s="333">
        <f>IF('Simulador - 1º Pilar'!$E$99="Sí",IF('Aportaciones PPE'!$B$13&lt;'Aportaciones PPE'!E546,0,F546*$B$8/12),F546*$B$8/12)</f>
      </c>
      <c r="H546" s="333">
        <f>$H$5*G546</f>
      </c>
      <c r="I546" s="333">
        <f>$I$5*G546</f>
      </c>
      <c r="J546" s="333">
        <f>+I546</f>
      </c>
      <c r="K546" s="333">
        <f>(1+$O$5)^(D546/12)*(H546+IF(AND(F546=1,F547=0),$S$4,0))</f>
      </c>
      <c r="L546" s="333">
        <f>(1+$O$5)^(D546/12)*(I546+IF(AND(F546=1,F547=0),0))</f>
      </c>
      <c r="M546" s="333">
        <f>+L546</f>
      </c>
      <c r="N546" s="333">
        <f>L546+K546+M546</f>
      </c>
      <c r="O546" s="170"/>
      <c r="P546" s="7"/>
      <c r="Q546" s="1"/>
      <c r="R546" s="331">
        <f>D546</f>
      </c>
      <c r="S546" s="169"/>
      <c r="T546" s="1"/>
      <c r="U546" s="217"/>
      <c r="V546" s="331">
        <f>+IF(V545=11,12,IF(V545=12,1,V545+1))</f>
      </c>
      <c r="W546" s="331">
        <f>+W545+IF(V545=12,1,0)</f>
      </c>
      <c r="X546" s="555">
        <f>+DATE(W546,V546,1)</f>
        <v>25569.041666666668</v>
      </c>
      <c r="Y546" s="333">
        <f>+_xlfn.IFNA(AN546+AS546+AX546,0)</f>
      </c>
      <c r="Z546" s="333">
        <f>+_xlfn.IFNA(AO546+AT546+AY546,0)</f>
      </c>
      <c r="AA546" s="333">
        <f>Y546*(1+$O$5)^(($B$7-X546)/365.25)</f>
      </c>
      <c r="AB546" s="333">
        <f>Z546*(1+$O$5)^(($B$7-X546)/365.25)</f>
      </c>
      <c r="AC546" s="1"/>
      <c r="AD546" s="1"/>
      <c r="AE546" s="1"/>
      <c r="AF546" s="111">
        <f>+MONTH(E546)&amp;YEAR(E546)</f>
      </c>
      <c r="AG546" s="217">
        <f>+I546</f>
      </c>
      <c r="AH546" s="217">
        <f>+J546</f>
      </c>
      <c r="AI546" s="217">
        <f>+H546</f>
      </c>
      <c r="AJ546" s="111">
        <f>+V546&amp;W546</f>
      </c>
      <c r="AK546" s="217">
        <f>+_xlfn.IFNA(VLOOKUP(AJ546,$AF$7:$AG$1066,2,0),0)</f>
      </c>
      <c r="AL546" s="217">
        <f>+IF(W546&gt;W545,AK546,AL545+AK546)</f>
      </c>
      <c r="AM546" s="217">
        <f>IF(W546&gt;W545,IF(AL546&gt;=$AZ$8,$AZ$8,AL546),IF(OR(AM545=$AZ$8,AM545=0),0,IF(AL546&gt;=$AZ$8,$AZ$8,AL546)))</f>
      </c>
      <c r="AN546" s="748">
        <f>+IF(OR(AM546&gt;AZ545,AM546=0),0,IF(AM546=AL546,AK546,$AZ$7-AL545))</f>
      </c>
      <c r="AO546" s="748">
        <f>+AK546-AN546</f>
      </c>
      <c r="AP546" s="217">
        <f>+_xlfn.IFNA(VLOOKUP(AJ546,$AF$7:$AI$1066,3,0),0)</f>
      </c>
      <c r="AQ546" s="217">
        <f>+IF(W546&gt;W545,AP546,AQ545+AP546)</f>
      </c>
      <c r="AR546" s="217">
        <f>+MAX($AM$2-SUMIF($W$7:$W$1066,W546,$AN$7:$AN$1066),0)</f>
      </c>
      <c r="AS546" s="748">
        <f>+MAX(IF(AQ546&gt;AR546,AR546-AQ545,AP546),0)</f>
      </c>
      <c r="AT546" s="748">
        <f>+AP546-AS546</f>
      </c>
      <c r="AU546" s="217">
        <f>+_xlfn.IFNA(VLOOKUP(AJ546,$AF$7:$AI$1066,4,0),0)</f>
      </c>
      <c r="AV546" s="217">
        <f>+IF(W546&gt;W545,AU546,AV545+AU546)</f>
      </c>
      <c r="AW546" s="217">
        <f>+MAX($AM$2-SUMIF($W$7:$W$1066,W546,$AN$7:$AN$1066)-SUMIF($W$7:$W$1066,W546,$AS$7:$AS$1066),0)</f>
      </c>
      <c r="AX546" s="748">
        <f>+MAX(IF(AV546&gt;AW546,AW546-AV545,AU546),0)</f>
      </c>
      <c r="AY546" s="748">
        <f>+AU546-AX546</f>
      </c>
      <c r="AZ546" s="331">
        <f>+$AM$1+IF($AP$1&gt;$AP$2,$AM$3/2)</f>
      </c>
    </row>
    <row x14ac:dyDescent="0.25" r="547" customHeight="1" ht="18.75">
      <c r="A547" s="1"/>
      <c r="B547" s="7"/>
      <c r="C547" s="170"/>
      <c r="D547" s="331">
        <v>540</v>
      </c>
      <c r="E547" s="544">
        <f>+DATE(YEAR(E546),MONTH(E546)-1,DAY(E546))</f>
        <v>25569.041666666668</v>
      </c>
      <c r="F547" s="333">
        <f>IF(DATE(YEAR($B$6),MONTH($B$6)+1,DAY(1))=E547,1,IF(MONTH(E547)=1,F548*(1+$F$5),F548))</f>
      </c>
      <c r="G547" s="333">
        <f>IF('Simulador - 1º Pilar'!$E$99="Sí",IF('Aportaciones PPE'!$B$13&lt;'Aportaciones PPE'!E547,0,F547*$B$8/12),F547*$B$8/12)</f>
      </c>
      <c r="H547" s="333">
        <f>$H$5*G547</f>
      </c>
      <c r="I547" s="333">
        <f>$I$5*G547</f>
      </c>
      <c r="J547" s="333">
        <f>+I547</f>
      </c>
      <c r="K547" s="333">
        <f>(1+$O$5)^(D547/12)*(H547+IF(AND(F547=1,F548=0),$S$4,0))</f>
      </c>
      <c r="L547" s="333">
        <f>(1+$O$5)^(D547/12)*(I547+IF(AND(F547=1,F548=0),0))</f>
      </c>
      <c r="M547" s="333">
        <f>+L547</f>
      </c>
      <c r="N547" s="333">
        <f>L547+K547+M547</f>
      </c>
      <c r="O547" s="170"/>
      <c r="P547" s="7"/>
      <c r="Q547" s="1"/>
      <c r="R547" s="331">
        <f>D547</f>
      </c>
      <c r="S547" s="169"/>
      <c r="T547" s="1"/>
      <c r="U547" s="217"/>
      <c r="V547" s="331">
        <f>+IF(V546=11,12,IF(V546=12,1,V546+1))</f>
      </c>
      <c r="W547" s="331">
        <f>+W546+IF(V546=12,1,0)</f>
      </c>
      <c r="X547" s="555">
        <f>+DATE(W547,V547,1)</f>
        <v>25569.041666666668</v>
      </c>
      <c r="Y547" s="333">
        <f>+_xlfn.IFNA(AN547+AS547+AX547,0)</f>
      </c>
      <c r="Z547" s="333">
        <f>+_xlfn.IFNA(AO547+AT547+AY547,0)</f>
      </c>
      <c r="AA547" s="333">
        <f>Y547*(1+$O$5)^(($B$7-X547)/365.25)</f>
      </c>
      <c r="AB547" s="333">
        <f>Z547*(1+$O$5)^(($B$7-X547)/365.25)</f>
      </c>
      <c r="AC547" s="1"/>
      <c r="AD547" s="1"/>
      <c r="AE547" s="1"/>
      <c r="AF547" s="111">
        <f>+MONTH(E547)&amp;YEAR(E547)</f>
      </c>
      <c r="AG547" s="217">
        <f>+I547</f>
      </c>
      <c r="AH547" s="217">
        <f>+J547</f>
      </c>
      <c r="AI547" s="217">
        <f>+H547</f>
      </c>
      <c r="AJ547" s="111">
        <f>+V547&amp;W547</f>
      </c>
      <c r="AK547" s="217">
        <f>+_xlfn.IFNA(VLOOKUP(AJ547,$AF$7:$AG$1066,2,0),0)</f>
      </c>
      <c r="AL547" s="217">
        <f>+IF(W547&gt;W546,AK547,AL546+AK547)</f>
      </c>
      <c r="AM547" s="217">
        <f>IF(W547&gt;W546,IF(AL547&gt;=$AZ$8,$AZ$8,AL547),IF(OR(AM546=$AZ$8,AM546=0),0,IF(AL547&gt;=$AZ$8,$AZ$8,AL547)))</f>
      </c>
      <c r="AN547" s="748">
        <f>+IF(OR(AM547&gt;AZ546,AM547=0),0,IF(AM547=AL547,AK547,$AZ$7-AL546))</f>
      </c>
      <c r="AO547" s="748">
        <f>+AK547-AN547</f>
      </c>
      <c r="AP547" s="217">
        <f>+_xlfn.IFNA(VLOOKUP(AJ547,$AF$7:$AI$1066,3,0),0)</f>
      </c>
      <c r="AQ547" s="217">
        <f>+IF(W547&gt;W546,AP547,AQ546+AP547)</f>
      </c>
      <c r="AR547" s="217">
        <f>+MAX($AM$2-SUMIF($W$7:$W$1066,W547,$AN$7:$AN$1066),0)</f>
      </c>
      <c r="AS547" s="748">
        <f>+MAX(IF(AQ547&gt;AR547,AR547-AQ546,AP547),0)</f>
      </c>
      <c r="AT547" s="748">
        <f>+AP547-AS547</f>
      </c>
      <c r="AU547" s="217">
        <f>+_xlfn.IFNA(VLOOKUP(AJ547,$AF$7:$AI$1066,4,0),0)</f>
      </c>
      <c r="AV547" s="217">
        <f>+IF(W547&gt;W546,AU547,AV546+AU547)</f>
      </c>
      <c r="AW547" s="217">
        <f>+MAX($AM$2-SUMIF($W$7:$W$1066,W547,$AN$7:$AN$1066)-SUMIF($W$7:$W$1066,W547,$AS$7:$AS$1066),0)</f>
      </c>
      <c r="AX547" s="748">
        <f>+MAX(IF(AV547&gt;AW547,AW547-AV546,AU547),0)</f>
      </c>
      <c r="AY547" s="748">
        <f>+AU547-AX547</f>
      </c>
      <c r="AZ547" s="331">
        <f>+$AM$1+IF($AP$1&gt;$AP$2,$AM$3/2)</f>
      </c>
    </row>
    <row x14ac:dyDescent="0.25" r="548" customHeight="1" ht="18.75">
      <c r="A548" s="1"/>
      <c r="B548" s="7"/>
      <c r="C548" s="170"/>
      <c r="D548" s="331">
        <v>541</v>
      </c>
      <c r="E548" s="544">
        <f>+DATE(YEAR(E547),MONTH(E547)-1,DAY(E547))</f>
        <v>25569.041666666668</v>
      </c>
      <c r="F548" s="333">
        <f>IF(DATE(YEAR($B$6),MONTH($B$6)+1,DAY(1))=E548,1,IF(MONTH(E548)=1,F549*(1+$F$5),F549))</f>
      </c>
      <c r="G548" s="333">
        <f>IF('Simulador - 1º Pilar'!$E$99="Sí",IF('Aportaciones PPE'!$B$13&lt;'Aportaciones PPE'!E548,0,F548*$B$8/12),F548*$B$8/12)</f>
      </c>
      <c r="H548" s="333">
        <f>$H$5*G548</f>
      </c>
      <c r="I548" s="333">
        <f>$I$5*G548</f>
      </c>
      <c r="J548" s="333">
        <f>+I548</f>
      </c>
      <c r="K548" s="333">
        <f>(1+$O$5)^(D548/12)*(H548+IF(AND(F548=1,F549=0),$S$4,0))</f>
      </c>
      <c r="L548" s="333">
        <f>(1+$O$5)^(D548/12)*(I548+IF(AND(F548=1,F549=0),0))</f>
      </c>
      <c r="M548" s="333">
        <f>+L548</f>
      </c>
      <c r="N548" s="333">
        <f>L548+K548+M548</f>
      </c>
      <c r="O548" s="170"/>
      <c r="P548" s="7"/>
      <c r="Q548" s="1"/>
      <c r="R548" s="331">
        <f>D548</f>
      </c>
      <c r="S548" s="169"/>
      <c r="T548" s="1"/>
      <c r="U548" s="217"/>
      <c r="V548" s="331">
        <f>+IF(V547=11,12,IF(V547=12,1,V547+1))</f>
      </c>
      <c r="W548" s="331">
        <f>+W547+IF(V547=12,1,0)</f>
      </c>
      <c r="X548" s="555">
        <f>+DATE(W548,V548,1)</f>
        <v>25569.041666666668</v>
      </c>
      <c r="Y548" s="333">
        <f>+_xlfn.IFNA(AN548+AS548+AX548,0)</f>
      </c>
      <c r="Z548" s="333">
        <f>+_xlfn.IFNA(AO548+AT548+AY548,0)</f>
      </c>
      <c r="AA548" s="333">
        <f>Y548*(1+$O$5)^(($B$7-X548)/365.25)</f>
      </c>
      <c r="AB548" s="333">
        <f>Z548*(1+$O$5)^(($B$7-X548)/365.25)</f>
      </c>
      <c r="AC548" s="1"/>
      <c r="AD548" s="1"/>
      <c r="AE548" s="1"/>
      <c r="AF548" s="111">
        <f>+MONTH(E548)&amp;YEAR(E548)</f>
      </c>
      <c r="AG548" s="217">
        <f>+I548</f>
      </c>
      <c r="AH548" s="217">
        <f>+J548</f>
      </c>
      <c r="AI548" s="217">
        <f>+H548</f>
      </c>
      <c r="AJ548" s="111">
        <f>+V548&amp;W548</f>
      </c>
      <c r="AK548" s="217">
        <f>+_xlfn.IFNA(VLOOKUP(AJ548,$AF$7:$AG$1066,2,0),0)</f>
      </c>
      <c r="AL548" s="217">
        <f>+IF(W548&gt;W547,AK548,AL547+AK548)</f>
      </c>
      <c r="AM548" s="217">
        <f>IF(W548&gt;W547,IF(AL548&gt;=$AZ$8,$AZ$8,AL548),IF(OR(AM547=$AZ$8,AM547=0),0,IF(AL548&gt;=$AZ$8,$AZ$8,AL548)))</f>
      </c>
      <c r="AN548" s="748">
        <f>+IF(OR(AM548&gt;AZ547,AM548=0),0,IF(AM548=AL548,AK548,$AZ$7-AL547))</f>
      </c>
      <c r="AO548" s="748">
        <f>+AK548-AN548</f>
      </c>
      <c r="AP548" s="217">
        <f>+_xlfn.IFNA(VLOOKUP(AJ548,$AF$7:$AI$1066,3,0),0)</f>
      </c>
      <c r="AQ548" s="217">
        <f>+IF(W548&gt;W547,AP548,AQ547+AP548)</f>
      </c>
      <c r="AR548" s="217">
        <f>+MAX($AM$2-SUMIF($W$7:$W$1066,W548,$AN$7:$AN$1066),0)</f>
      </c>
      <c r="AS548" s="748">
        <f>+MAX(IF(AQ548&gt;AR548,AR548-AQ547,AP548),0)</f>
      </c>
      <c r="AT548" s="748">
        <f>+AP548-AS548</f>
      </c>
      <c r="AU548" s="217">
        <f>+_xlfn.IFNA(VLOOKUP(AJ548,$AF$7:$AI$1066,4,0),0)</f>
      </c>
      <c r="AV548" s="217">
        <f>+IF(W548&gt;W547,AU548,AV547+AU548)</f>
      </c>
      <c r="AW548" s="217">
        <f>+MAX($AM$2-SUMIF($W$7:$W$1066,W548,$AN$7:$AN$1066)-SUMIF($W$7:$W$1066,W548,$AS$7:$AS$1066),0)</f>
      </c>
      <c r="AX548" s="748">
        <f>+MAX(IF(AV548&gt;AW548,AW548-AV547,AU548),0)</f>
      </c>
      <c r="AY548" s="748">
        <f>+AU548-AX548</f>
      </c>
      <c r="AZ548" s="331">
        <f>+$AM$1+IF($AP$1&gt;$AP$2,$AM$3/2)</f>
      </c>
    </row>
    <row x14ac:dyDescent="0.25" r="549" customHeight="1" ht="18.75">
      <c r="A549" s="1"/>
      <c r="B549" s="7"/>
      <c r="C549" s="170"/>
      <c r="D549" s="331">
        <v>542</v>
      </c>
      <c r="E549" s="544">
        <f>+DATE(YEAR(E548),MONTH(E548)-1,DAY(E548))</f>
        <v>25569.041666666668</v>
      </c>
      <c r="F549" s="333">
        <f>IF(DATE(YEAR($B$6),MONTH($B$6)+1,DAY(1))=E549,1,IF(MONTH(E549)=1,F550*(1+$F$5),F550))</f>
      </c>
      <c r="G549" s="333">
        <f>IF('Simulador - 1º Pilar'!$E$99="Sí",IF('Aportaciones PPE'!$B$13&lt;'Aportaciones PPE'!E549,0,F549*$B$8/12),F549*$B$8/12)</f>
      </c>
      <c r="H549" s="333">
        <f>$H$5*G549</f>
      </c>
      <c r="I549" s="333">
        <f>$I$5*G549</f>
      </c>
      <c r="J549" s="333">
        <f>+I549</f>
      </c>
      <c r="K549" s="333">
        <f>(1+$O$5)^(D549/12)*(H549+IF(AND(F549=1,F550=0),$S$4,0))</f>
      </c>
      <c r="L549" s="333">
        <f>(1+$O$5)^(D549/12)*(I549+IF(AND(F549=1,F550=0),0))</f>
      </c>
      <c r="M549" s="333">
        <f>+L549</f>
      </c>
      <c r="N549" s="333">
        <f>L549+K549+M549</f>
      </c>
      <c r="O549" s="170"/>
      <c r="P549" s="7"/>
      <c r="Q549" s="1"/>
      <c r="R549" s="331">
        <f>D549</f>
      </c>
      <c r="S549" s="169"/>
      <c r="T549" s="1"/>
      <c r="U549" s="217"/>
      <c r="V549" s="331">
        <f>+IF(V548=11,12,IF(V548=12,1,V548+1))</f>
      </c>
      <c r="W549" s="331">
        <f>+W548+IF(V548=12,1,0)</f>
      </c>
      <c r="X549" s="555">
        <f>+DATE(W549,V549,1)</f>
        <v>25569.041666666668</v>
      </c>
      <c r="Y549" s="333">
        <f>+_xlfn.IFNA(AN549+AS549+AX549,0)</f>
      </c>
      <c r="Z549" s="333">
        <f>+_xlfn.IFNA(AO549+AT549+AY549,0)</f>
      </c>
      <c r="AA549" s="333">
        <f>Y549*(1+$O$5)^(($B$7-X549)/365.25)</f>
      </c>
      <c r="AB549" s="333">
        <f>Z549*(1+$O$5)^(($B$7-X549)/365.25)</f>
      </c>
      <c r="AC549" s="1"/>
      <c r="AD549" s="1"/>
      <c r="AE549" s="1"/>
      <c r="AF549" s="111">
        <f>+MONTH(E549)&amp;YEAR(E549)</f>
      </c>
      <c r="AG549" s="217">
        <f>+I549</f>
      </c>
      <c r="AH549" s="217">
        <f>+J549</f>
      </c>
      <c r="AI549" s="217">
        <f>+H549</f>
      </c>
      <c r="AJ549" s="111">
        <f>+V549&amp;W549</f>
      </c>
      <c r="AK549" s="217">
        <f>+_xlfn.IFNA(VLOOKUP(AJ549,$AF$7:$AG$1066,2,0),0)</f>
      </c>
      <c r="AL549" s="217">
        <f>+IF(W549&gt;W548,AK549,AL548+AK549)</f>
      </c>
      <c r="AM549" s="217">
        <f>IF(W549&gt;W548,IF(AL549&gt;=$AZ$8,$AZ$8,AL549),IF(OR(AM548=$AZ$8,AM548=0),0,IF(AL549&gt;=$AZ$8,$AZ$8,AL549)))</f>
      </c>
      <c r="AN549" s="748">
        <f>+IF(OR(AM549&gt;AZ548,AM549=0),0,IF(AM549=AL549,AK549,$AZ$7-AL548))</f>
      </c>
      <c r="AO549" s="748">
        <f>+AK549-AN549</f>
      </c>
      <c r="AP549" s="217">
        <f>+_xlfn.IFNA(VLOOKUP(AJ549,$AF$7:$AI$1066,3,0),0)</f>
      </c>
      <c r="AQ549" s="217">
        <f>+IF(W549&gt;W548,AP549,AQ548+AP549)</f>
      </c>
      <c r="AR549" s="217">
        <f>+MAX($AM$2-SUMIF($W$7:$W$1066,W549,$AN$7:$AN$1066),0)</f>
      </c>
      <c r="AS549" s="748">
        <f>+MAX(IF(AQ549&gt;AR549,AR549-AQ548,AP549),0)</f>
      </c>
      <c r="AT549" s="748">
        <f>+AP549-AS549</f>
      </c>
      <c r="AU549" s="217">
        <f>+_xlfn.IFNA(VLOOKUP(AJ549,$AF$7:$AI$1066,4,0),0)</f>
      </c>
      <c r="AV549" s="217">
        <f>+IF(W549&gt;W548,AU549,AV548+AU549)</f>
      </c>
      <c r="AW549" s="217">
        <f>+MAX($AM$2-SUMIF($W$7:$W$1066,W549,$AN$7:$AN$1066)-SUMIF($W$7:$W$1066,W549,$AS$7:$AS$1066),0)</f>
      </c>
      <c r="AX549" s="748">
        <f>+MAX(IF(AV549&gt;AW549,AW549-AV548,AU549),0)</f>
      </c>
      <c r="AY549" s="748">
        <f>+AU549-AX549</f>
      </c>
      <c r="AZ549" s="331">
        <f>+$AM$1+IF($AP$1&gt;$AP$2,$AM$3/2)</f>
      </c>
    </row>
    <row x14ac:dyDescent="0.25" r="550" customHeight="1" ht="18.75">
      <c r="A550" s="1"/>
      <c r="B550" s="7"/>
      <c r="C550" s="170"/>
      <c r="D550" s="331">
        <v>543</v>
      </c>
      <c r="E550" s="544">
        <f>+DATE(YEAR(E549),MONTH(E549)-1,DAY(E549))</f>
        <v>25569.041666666668</v>
      </c>
      <c r="F550" s="333">
        <f>IF(DATE(YEAR($B$6),MONTH($B$6)+1,DAY(1))=E550,1,IF(MONTH(E550)=1,F551*(1+$F$5),F551))</f>
      </c>
      <c r="G550" s="333">
        <f>IF('Simulador - 1º Pilar'!$E$99="Sí",IF('Aportaciones PPE'!$B$13&lt;'Aportaciones PPE'!E550,0,F550*$B$8/12),F550*$B$8/12)</f>
      </c>
      <c r="H550" s="333">
        <f>$H$5*G550</f>
      </c>
      <c r="I550" s="333">
        <f>$I$5*G550</f>
      </c>
      <c r="J550" s="333">
        <f>+I550</f>
      </c>
      <c r="K550" s="333">
        <f>(1+$O$5)^(D550/12)*(H550+IF(AND(F550=1,F551=0),$S$4,0))</f>
      </c>
      <c r="L550" s="333">
        <f>(1+$O$5)^(D550/12)*(I550+IF(AND(F550=1,F551=0),0))</f>
      </c>
      <c r="M550" s="333">
        <f>+L550</f>
      </c>
      <c r="N550" s="333">
        <f>L550+K550+M550</f>
      </c>
      <c r="O550" s="170"/>
      <c r="P550" s="7"/>
      <c r="Q550" s="1"/>
      <c r="R550" s="331">
        <f>D550</f>
      </c>
      <c r="S550" s="169"/>
      <c r="T550" s="1"/>
      <c r="U550" s="217"/>
      <c r="V550" s="331">
        <f>+IF(V549=11,12,IF(V549=12,1,V549+1))</f>
      </c>
      <c r="W550" s="331">
        <f>+W549+IF(V549=12,1,0)</f>
      </c>
      <c r="X550" s="555">
        <f>+DATE(W550,V550,1)</f>
        <v>25569.041666666668</v>
      </c>
      <c r="Y550" s="333">
        <f>+_xlfn.IFNA(AN550+AS550+AX550,0)</f>
      </c>
      <c r="Z550" s="333">
        <f>+_xlfn.IFNA(AO550+AT550+AY550,0)</f>
      </c>
      <c r="AA550" s="333">
        <f>Y550*(1+$O$5)^(($B$7-X550)/365.25)</f>
      </c>
      <c r="AB550" s="333">
        <f>Z550*(1+$O$5)^(($B$7-X550)/365.25)</f>
      </c>
      <c r="AC550" s="1"/>
      <c r="AD550" s="1"/>
      <c r="AE550" s="1"/>
      <c r="AF550" s="111">
        <f>+MONTH(E550)&amp;YEAR(E550)</f>
      </c>
      <c r="AG550" s="217">
        <f>+I550</f>
      </c>
      <c r="AH550" s="217">
        <f>+J550</f>
      </c>
      <c r="AI550" s="217">
        <f>+H550</f>
      </c>
      <c r="AJ550" s="111">
        <f>+V550&amp;W550</f>
      </c>
      <c r="AK550" s="217">
        <f>+_xlfn.IFNA(VLOOKUP(AJ550,$AF$7:$AG$1066,2,0),0)</f>
      </c>
      <c r="AL550" s="217">
        <f>+IF(W550&gt;W549,AK550,AL549+AK550)</f>
      </c>
      <c r="AM550" s="217">
        <f>IF(W550&gt;W549,IF(AL550&gt;=$AZ$8,$AZ$8,AL550),IF(OR(AM549=$AZ$8,AM549=0),0,IF(AL550&gt;=$AZ$8,$AZ$8,AL550)))</f>
      </c>
      <c r="AN550" s="748">
        <f>+IF(OR(AM550&gt;AZ549,AM550=0),0,IF(AM550=AL550,AK550,$AZ$7-AL549))</f>
      </c>
      <c r="AO550" s="748">
        <f>+AK550-AN550</f>
      </c>
      <c r="AP550" s="217">
        <f>+_xlfn.IFNA(VLOOKUP(AJ550,$AF$7:$AI$1066,3,0),0)</f>
      </c>
      <c r="AQ550" s="217">
        <f>+IF(W550&gt;W549,AP550,AQ549+AP550)</f>
      </c>
      <c r="AR550" s="217">
        <f>+MAX($AM$2-SUMIF($W$7:$W$1066,W550,$AN$7:$AN$1066),0)</f>
      </c>
      <c r="AS550" s="748">
        <f>+MAX(IF(AQ550&gt;AR550,AR550-AQ549,AP550),0)</f>
      </c>
      <c r="AT550" s="748">
        <f>+AP550-AS550</f>
      </c>
      <c r="AU550" s="217">
        <f>+_xlfn.IFNA(VLOOKUP(AJ550,$AF$7:$AI$1066,4,0),0)</f>
      </c>
      <c r="AV550" s="217">
        <f>+IF(W550&gt;W549,AU550,AV549+AU550)</f>
      </c>
      <c r="AW550" s="217">
        <f>+MAX($AM$2-SUMIF($W$7:$W$1066,W550,$AN$7:$AN$1066)-SUMIF($W$7:$W$1066,W550,$AS$7:$AS$1066),0)</f>
      </c>
      <c r="AX550" s="748">
        <f>+MAX(IF(AV550&gt;AW550,AW550-AV549,AU550),0)</f>
      </c>
      <c r="AY550" s="748">
        <f>+AU550-AX550</f>
      </c>
      <c r="AZ550" s="331">
        <f>+$AM$1+IF($AP$1&gt;$AP$2,$AM$3/2)</f>
      </c>
    </row>
    <row x14ac:dyDescent="0.25" r="551" customHeight="1" ht="18.75">
      <c r="A551" s="1"/>
      <c r="B551" s="7"/>
      <c r="C551" s="170"/>
      <c r="D551" s="331">
        <v>544</v>
      </c>
      <c r="E551" s="544">
        <f>+DATE(YEAR(E550),MONTH(E550)-1,DAY(E550))</f>
        <v>25569.041666666668</v>
      </c>
      <c r="F551" s="333">
        <f>IF(DATE(YEAR($B$6),MONTH($B$6)+1,DAY(1))=E551,1,IF(MONTH(E551)=1,F552*(1+$F$5),F552))</f>
      </c>
      <c r="G551" s="333">
        <f>IF('Simulador - 1º Pilar'!$E$99="Sí",IF('Aportaciones PPE'!$B$13&lt;'Aportaciones PPE'!E551,0,F551*$B$8/12),F551*$B$8/12)</f>
      </c>
      <c r="H551" s="333">
        <f>$H$5*G551</f>
      </c>
      <c r="I551" s="333">
        <f>$I$5*G551</f>
      </c>
      <c r="J551" s="333">
        <f>+I551</f>
      </c>
      <c r="K551" s="333">
        <f>(1+$O$5)^(D551/12)*(H551+IF(AND(F551=1,F552=0),$S$4,0))</f>
      </c>
      <c r="L551" s="333">
        <f>(1+$O$5)^(D551/12)*(I551+IF(AND(F551=1,F552=0),0))</f>
      </c>
      <c r="M551" s="333">
        <f>+L551</f>
      </c>
      <c r="N551" s="333">
        <f>L551+K551+M551</f>
      </c>
      <c r="O551" s="170"/>
      <c r="P551" s="7"/>
      <c r="Q551" s="1"/>
      <c r="R551" s="331">
        <f>D551</f>
      </c>
      <c r="S551" s="169"/>
      <c r="T551" s="1"/>
      <c r="U551" s="217"/>
      <c r="V551" s="331">
        <f>+IF(V550=11,12,IF(V550=12,1,V550+1))</f>
      </c>
      <c r="W551" s="331">
        <f>+W550+IF(V550=12,1,0)</f>
      </c>
      <c r="X551" s="555">
        <f>+DATE(W551,V551,1)</f>
        <v>25569.041666666668</v>
      </c>
      <c r="Y551" s="333">
        <f>+_xlfn.IFNA(AN551+AS551+AX551,0)</f>
      </c>
      <c r="Z551" s="333">
        <f>+_xlfn.IFNA(AO551+AT551+AY551,0)</f>
      </c>
      <c r="AA551" s="333">
        <f>Y551*(1+$O$5)^(($B$7-X551)/365.25)</f>
      </c>
      <c r="AB551" s="333">
        <f>Z551*(1+$O$5)^(($B$7-X551)/365.25)</f>
      </c>
      <c r="AC551" s="1"/>
      <c r="AD551" s="1"/>
      <c r="AE551" s="1"/>
      <c r="AF551" s="111">
        <f>+MONTH(E551)&amp;YEAR(E551)</f>
      </c>
      <c r="AG551" s="217">
        <f>+I551</f>
      </c>
      <c r="AH551" s="217">
        <f>+J551</f>
      </c>
      <c r="AI551" s="217">
        <f>+H551</f>
      </c>
      <c r="AJ551" s="111">
        <f>+V551&amp;W551</f>
      </c>
      <c r="AK551" s="217">
        <f>+_xlfn.IFNA(VLOOKUP(AJ551,$AF$7:$AG$1066,2,0),0)</f>
      </c>
      <c r="AL551" s="217">
        <f>+IF(W551&gt;W550,AK551,AL550+AK551)</f>
      </c>
      <c r="AM551" s="217">
        <f>IF(W551&gt;W550,IF(AL551&gt;=$AZ$8,$AZ$8,AL551),IF(OR(AM550=$AZ$8,AM550=0),0,IF(AL551&gt;=$AZ$8,$AZ$8,AL551)))</f>
      </c>
      <c r="AN551" s="748">
        <f>+IF(OR(AM551&gt;AZ550,AM551=0),0,IF(AM551=AL551,AK551,$AZ$7-AL550))</f>
      </c>
      <c r="AO551" s="748">
        <f>+AK551-AN551</f>
      </c>
      <c r="AP551" s="217">
        <f>+_xlfn.IFNA(VLOOKUP(AJ551,$AF$7:$AI$1066,3,0),0)</f>
      </c>
      <c r="AQ551" s="217">
        <f>+IF(W551&gt;W550,AP551,AQ550+AP551)</f>
      </c>
      <c r="AR551" s="217">
        <f>+MAX($AM$2-SUMIF($W$7:$W$1066,W551,$AN$7:$AN$1066),0)</f>
      </c>
      <c r="AS551" s="748">
        <f>+MAX(IF(AQ551&gt;AR551,AR551-AQ550,AP551),0)</f>
      </c>
      <c r="AT551" s="748">
        <f>+AP551-AS551</f>
      </c>
      <c r="AU551" s="217">
        <f>+_xlfn.IFNA(VLOOKUP(AJ551,$AF$7:$AI$1066,4,0),0)</f>
      </c>
      <c r="AV551" s="217">
        <f>+IF(W551&gt;W550,AU551,AV550+AU551)</f>
      </c>
      <c r="AW551" s="217">
        <f>+MAX($AM$2-SUMIF($W$7:$W$1066,W551,$AN$7:$AN$1066)-SUMIF($W$7:$W$1066,W551,$AS$7:$AS$1066),0)</f>
      </c>
      <c r="AX551" s="748">
        <f>+MAX(IF(AV551&gt;AW551,AW551-AV550,AU551),0)</f>
      </c>
      <c r="AY551" s="748">
        <f>+AU551-AX551</f>
      </c>
      <c r="AZ551" s="331">
        <f>+$AM$1+IF($AP$1&gt;$AP$2,$AM$3/2)</f>
      </c>
    </row>
    <row x14ac:dyDescent="0.25" r="552" customHeight="1" ht="18.75">
      <c r="A552" s="1"/>
      <c r="B552" s="7"/>
      <c r="C552" s="170"/>
      <c r="D552" s="331">
        <v>545</v>
      </c>
      <c r="E552" s="544">
        <f>+DATE(YEAR(E551),MONTH(E551)-1,DAY(E551))</f>
        <v>25569.041666666668</v>
      </c>
      <c r="F552" s="333">
        <f>IF(DATE(YEAR($B$6),MONTH($B$6)+1,DAY(1))=E552,1,IF(MONTH(E552)=1,F553*(1+$F$5),F553))</f>
      </c>
      <c r="G552" s="333">
        <f>IF('Simulador - 1º Pilar'!$E$99="Sí",IF('Aportaciones PPE'!$B$13&lt;'Aportaciones PPE'!E552,0,F552*$B$8/12),F552*$B$8/12)</f>
      </c>
      <c r="H552" s="333">
        <f>$H$5*G552</f>
      </c>
      <c r="I552" s="333">
        <f>$I$5*G552</f>
      </c>
      <c r="J552" s="333">
        <f>+I552</f>
      </c>
      <c r="K552" s="333">
        <f>(1+$O$5)^(D552/12)*(H552+IF(AND(F552=1,F553=0),$S$4,0))</f>
      </c>
      <c r="L552" s="333">
        <f>(1+$O$5)^(D552/12)*(I552+IF(AND(F552=1,F553=0),0))</f>
      </c>
      <c r="M552" s="333">
        <f>+L552</f>
      </c>
      <c r="N552" s="333">
        <f>L552+K552+M552</f>
      </c>
      <c r="O552" s="170"/>
      <c r="P552" s="7"/>
      <c r="Q552" s="1"/>
      <c r="R552" s="331">
        <f>D552</f>
      </c>
      <c r="S552" s="169"/>
      <c r="T552" s="1"/>
      <c r="U552" s="217"/>
      <c r="V552" s="331">
        <f>+IF(V551=11,12,IF(V551=12,1,V551+1))</f>
      </c>
      <c r="W552" s="331">
        <f>+W551+IF(V551=12,1,0)</f>
      </c>
      <c r="X552" s="555">
        <f>+DATE(W552,V552,1)</f>
        <v>25569.041666666668</v>
      </c>
      <c r="Y552" s="333">
        <f>+_xlfn.IFNA(AN552+AS552+AX552,0)</f>
      </c>
      <c r="Z552" s="333">
        <f>+_xlfn.IFNA(AO552+AT552+AY552,0)</f>
      </c>
      <c r="AA552" s="333">
        <f>Y552*(1+$O$5)^(($B$7-X552)/365.25)</f>
      </c>
      <c r="AB552" s="333">
        <f>Z552*(1+$O$5)^(($B$7-X552)/365.25)</f>
      </c>
      <c r="AC552" s="1"/>
      <c r="AD552" s="1"/>
      <c r="AE552" s="1"/>
      <c r="AF552" s="111">
        <f>+MONTH(E552)&amp;YEAR(E552)</f>
      </c>
      <c r="AG552" s="217">
        <f>+I552</f>
      </c>
      <c r="AH552" s="217">
        <f>+J552</f>
      </c>
      <c r="AI552" s="217">
        <f>+H552</f>
      </c>
      <c r="AJ552" s="111">
        <f>+V552&amp;W552</f>
      </c>
      <c r="AK552" s="217">
        <f>+_xlfn.IFNA(VLOOKUP(AJ552,$AF$7:$AG$1066,2,0),0)</f>
      </c>
      <c r="AL552" s="217">
        <f>+IF(W552&gt;W551,AK552,AL551+AK552)</f>
      </c>
      <c r="AM552" s="217">
        <f>IF(W552&gt;W551,IF(AL552&gt;=$AZ$8,$AZ$8,AL552),IF(OR(AM551=$AZ$8,AM551=0),0,IF(AL552&gt;=$AZ$8,$AZ$8,AL552)))</f>
      </c>
      <c r="AN552" s="748">
        <f>+IF(OR(AM552&gt;AZ551,AM552=0),0,IF(AM552=AL552,AK552,$AZ$7-AL551))</f>
      </c>
      <c r="AO552" s="748">
        <f>+AK552-AN552</f>
      </c>
      <c r="AP552" s="217">
        <f>+_xlfn.IFNA(VLOOKUP(AJ552,$AF$7:$AI$1066,3,0),0)</f>
      </c>
      <c r="AQ552" s="217">
        <f>+IF(W552&gt;W551,AP552,AQ551+AP552)</f>
      </c>
      <c r="AR552" s="217">
        <f>+MAX($AM$2-SUMIF($W$7:$W$1066,W552,$AN$7:$AN$1066),0)</f>
      </c>
      <c r="AS552" s="748">
        <f>+MAX(IF(AQ552&gt;AR552,AR552-AQ551,AP552),0)</f>
      </c>
      <c r="AT552" s="748">
        <f>+AP552-AS552</f>
      </c>
      <c r="AU552" s="217">
        <f>+_xlfn.IFNA(VLOOKUP(AJ552,$AF$7:$AI$1066,4,0),0)</f>
      </c>
      <c r="AV552" s="217">
        <f>+IF(W552&gt;W551,AU552,AV551+AU552)</f>
      </c>
      <c r="AW552" s="217">
        <f>+MAX($AM$2-SUMIF($W$7:$W$1066,W552,$AN$7:$AN$1066)-SUMIF($W$7:$W$1066,W552,$AS$7:$AS$1066),0)</f>
      </c>
      <c r="AX552" s="748">
        <f>+MAX(IF(AV552&gt;AW552,AW552-AV551,AU552),0)</f>
      </c>
      <c r="AY552" s="748">
        <f>+AU552-AX552</f>
      </c>
      <c r="AZ552" s="331">
        <f>+$AM$1+IF($AP$1&gt;$AP$2,$AM$3/2)</f>
      </c>
    </row>
    <row x14ac:dyDescent="0.25" r="553" customHeight="1" ht="18.75">
      <c r="A553" s="1"/>
      <c r="B553" s="7"/>
      <c r="C553" s="170"/>
      <c r="D553" s="331">
        <v>546</v>
      </c>
      <c r="E553" s="544">
        <f>+DATE(YEAR(E552),MONTH(E552)-1,DAY(E552))</f>
        <v>25569.041666666668</v>
      </c>
      <c r="F553" s="333">
        <f>IF(DATE(YEAR($B$6),MONTH($B$6)+1,DAY(1))=E553,1,IF(MONTH(E553)=1,F554*(1+$F$5),F554))</f>
      </c>
      <c r="G553" s="333">
        <f>IF('Simulador - 1º Pilar'!$E$99="Sí",IF('Aportaciones PPE'!$B$13&lt;'Aportaciones PPE'!E553,0,F553*$B$8/12),F553*$B$8/12)</f>
      </c>
      <c r="H553" s="333">
        <f>$H$5*G553</f>
      </c>
      <c r="I553" s="333">
        <f>$I$5*G553</f>
      </c>
      <c r="J553" s="333">
        <f>+I553</f>
      </c>
      <c r="K553" s="333">
        <f>(1+$O$5)^(D553/12)*(H553+IF(AND(F553=1,F554=0),$S$4,0))</f>
      </c>
      <c r="L553" s="333">
        <f>(1+$O$5)^(D553/12)*(I553+IF(AND(F553=1,F554=0),0))</f>
      </c>
      <c r="M553" s="333">
        <f>+L553</f>
      </c>
      <c r="N553" s="333">
        <f>L553+K553+M553</f>
      </c>
      <c r="O553" s="170"/>
      <c r="P553" s="7"/>
      <c r="Q553" s="1"/>
      <c r="R553" s="331">
        <f>D553</f>
      </c>
      <c r="S553" s="169"/>
      <c r="T553" s="1"/>
      <c r="U553" s="217"/>
      <c r="V553" s="331">
        <f>+IF(V552=11,12,IF(V552=12,1,V552+1))</f>
      </c>
      <c r="W553" s="331">
        <f>+W552+IF(V552=12,1,0)</f>
      </c>
      <c r="X553" s="555">
        <f>+DATE(W553,V553,1)</f>
        <v>25569.041666666668</v>
      </c>
      <c r="Y553" s="333">
        <f>+_xlfn.IFNA(AN553+AS553+AX553,0)</f>
      </c>
      <c r="Z553" s="333">
        <f>+_xlfn.IFNA(AO553+AT553+AY553,0)</f>
      </c>
      <c r="AA553" s="333">
        <f>Y553*(1+$O$5)^(($B$7-X553)/365.25)</f>
      </c>
      <c r="AB553" s="333">
        <f>Z553*(1+$O$5)^(($B$7-X553)/365.25)</f>
      </c>
      <c r="AC553" s="1"/>
      <c r="AD553" s="1"/>
      <c r="AE553" s="1"/>
      <c r="AF553" s="111">
        <f>+MONTH(E553)&amp;YEAR(E553)</f>
      </c>
      <c r="AG553" s="217">
        <f>+I553</f>
      </c>
      <c r="AH553" s="217">
        <f>+J553</f>
      </c>
      <c r="AI553" s="217">
        <f>+H553</f>
      </c>
      <c r="AJ553" s="111">
        <f>+V553&amp;W553</f>
      </c>
      <c r="AK553" s="217">
        <f>+_xlfn.IFNA(VLOOKUP(AJ553,$AF$7:$AG$1066,2,0),0)</f>
      </c>
      <c r="AL553" s="217">
        <f>+IF(W553&gt;W552,AK553,AL552+AK553)</f>
      </c>
      <c r="AM553" s="217">
        <f>IF(W553&gt;W552,IF(AL553&gt;=$AZ$8,$AZ$8,AL553),IF(OR(AM552=$AZ$8,AM552=0),0,IF(AL553&gt;=$AZ$8,$AZ$8,AL553)))</f>
      </c>
      <c r="AN553" s="748">
        <f>+IF(OR(AM553&gt;AZ552,AM553=0),0,IF(AM553=AL553,AK553,$AZ$7-AL552))</f>
      </c>
      <c r="AO553" s="748">
        <f>+AK553-AN553</f>
      </c>
      <c r="AP553" s="217">
        <f>+_xlfn.IFNA(VLOOKUP(AJ553,$AF$7:$AI$1066,3,0),0)</f>
      </c>
      <c r="AQ553" s="217">
        <f>+IF(W553&gt;W552,AP553,AQ552+AP553)</f>
      </c>
      <c r="AR553" s="217">
        <f>+MAX($AM$2-SUMIF($W$7:$W$1066,W553,$AN$7:$AN$1066),0)</f>
      </c>
      <c r="AS553" s="748">
        <f>+MAX(IF(AQ553&gt;AR553,AR553-AQ552,AP553),0)</f>
      </c>
      <c r="AT553" s="748">
        <f>+AP553-AS553</f>
      </c>
      <c r="AU553" s="217">
        <f>+_xlfn.IFNA(VLOOKUP(AJ553,$AF$7:$AI$1066,4,0),0)</f>
      </c>
      <c r="AV553" s="217">
        <f>+IF(W553&gt;W552,AU553,AV552+AU553)</f>
      </c>
      <c r="AW553" s="217">
        <f>+MAX($AM$2-SUMIF($W$7:$W$1066,W553,$AN$7:$AN$1066)-SUMIF($W$7:$W$1066,W553,$AS$7:$AS$1066),0)</f>
      </c>
      <c r="AX553" s="748">
        <f>+MAX(IF(AV553&gt;AW553,AW553-AV552,AU553),0)</f>
      </c>
      <c r="AY553" s="748">
        <f>+AU553-AX553</f>
      </c>
      <c r="AZ553" s="331">
        <f>+$AM$1+IF($AP$1&gt;$AP$2,$AM$3/2)</f>
      </c>
    </row>
    <row x14ac:dyDescent="0.25" r="554" customHeight="1" ht="18.75">
      <c r="A554" s="1"/>
      <c r="B554" s="7"/>
      <c r="C554" s="170"/>
      <c r="D554" s="331">
        <v>547</v>
      </c>
      <c r="E554" s="544">
        <f>+DATE(YEAR(E553),MONTH(E553)-1,DAY(E553))</f>
        <v>25569.041666666668</v>
      </c>
      <c r="F554" s="333">
        <f>IF(DATE(YEAR($B$6),MONTH($B$6)+1,DAY(1))=E554,1,IF(MONTH(E554)=1,F555*(1+$F$5),F555))</f>
      </c>
      <c r="G554" s="333">
        <f>IF('Simulador - 1º Pilar'!$E$99="Sí",IF('Aportaciones PPE'!$B$13&lt;'Aportaciones PPE'!E554,0,F554*$B$8/12),F554*$B$8/12)</f>
      </c>
      <c r="H554" s="333">
        <f>$H$5*G554</f>
      </c>
      <c r="I554" s="333">
        <f>$I$5*G554</f>
      </c>
      <c r="J554" s="333">
        <f>+I554</f>
      </c>
      <c r="K554" s="333">
        <f>(1+$O$5)^(D554/12)*(H554+IF(AND(F554=1,F555=0),$S$4,0))</f>
      </c>
      <c r="L554" s="333">
        <f>(1+$O$5)^(D554/12)*(I554+IF(AND(F554=1,F555=0),0))</f>
      </c>
      <c r="M554" s="333">
        <f>+L554</f>
      </c>
      <c r="N554" s="333">
        <f>L554+K554+M554</f>
      </c>
      <c r="O554" s="170"/>
      <c r="P554" s="7"/>
      <c r="Q554" s="1"/>
      <c r="R554" s="331">
        <f>D554</f>
      </c>
      <c r="S554" s="169"/>
      <c r="T554" s="1"/>
      <c r="U554" s="217"/>
      <c r="V554" s="331">
        <f>+IF(V553=11,12,IF(V553=12,1,V553+1))</f>
      </c>
      <c r="W554" s="331">
        <f>+W553+IF(V553=12,1,0)</f>
      </c>
      <c r="X554" s="555">
        <f>+DATE(W554,V554,1)</f>
        <v>25569.041666666668</v>
      </c>
      <c r="Y554" s="333">
        <f>+_xlfn.IFNA(AN554+AS554+AX554,0)</f>
      </c>
      <c r="Z554" s="333">
        <f>+_xlfn.IFNA(AO554+AT554+AY554,0)</f>
      </c>
      <c r="AA554" s="333">
        <f>Y554*(1+$O$5)^(($B$7-X554)/365.25)</f>
      </c>
      <c r="AB554" s="333">
        <f>Z554*(1+$O$5)^(($B$7-X554)/365.25)</f>
      </c>
      <c r="AC554" s="1"/>
      <c r="AD554" s="1"/>
      <c r="AE554" s="1"/>
      <c r="AF554" s="111">
        <f>+MONTH(E554)&amp;YEAR(E554)</f>
      </c>
      <c r="AG554" s="217">
        <f>+I554</f>
      </c>
      <c r="AH554" s="217">
        <f>+J554</f>
      </c>
      <c r="AI554" s="217">
        <f>+H554</f>
      </c>
      <c r="AJ554" s="111">
        <f>+V554&amp;W554</f>
      </c>
      <c r="AK554" s="217">
        <f>+_xlfn.IFNA(VLOOKUP(AJ554,$AF$7:$AG$1066,2,0),0)</f>
      </c>
      <c r="AL554" s="217">
        <f>+IF(W554&gt;W553,AK554,AL553+AK554)</f>
      </c>
      <c r="AM554" s="217">
        <f>IF(W554&gt;W553,IF(AL554&gt;=$AZ$8,$AZ$8,AL554),IF(OR(AM553=$AZ$8,AM553=0),0,IF(AL554&gt;=$AZ$8,$AZ$8,AL554)))</f>
      </c>
      <c r="AN554" s="748">
        <f>+IF(OR(AM554&gt;AZ553,AM554=0),0,IF(AM554=AL554,AK554,$AZ$7-AL553))</f>
      </c>
      <c r="AO554" s="748">
        <f>+AK554-AN554</f>
      </c>
      <c r="AP554" s="217">
        <f>+_xlfn.IFNA(VLOOKUP(AJ554,$AF$7:$AI$1066,3,0),0)</f>
      </c>
      <c r="AQ554" s="217">
        <f>+IF(W554&gt;W553,AP554,AQ553+AP554)</f>
      </c>
      <c r="AR554" s="217">
        <f>+MAX($AM$2-SUMIF($W$7:$W$1066,W554,$AN$7:$AN$1066),0)</f>
      </c>
      <c r="AS554" s="748">
        <f>+MAX(IF(AQ554&gt;AR554,AR554-AQ553,AP554),0)</f>
      </c>
      <c r="AT554" s="748">
        <f>+AP554-AS554</f>
      </c>
      <c r="AU554" s="217">
        <f>+_xlfn.IFNA(VLOOKUP(AJ554,$AF$7:$AI$1066,4,0),0)</f>
      </c>
      <c r="AV554" s="217">
        <f>+IF(W554&gt;W553,AU554,AV553+AU554)</f>
      </c>
      <c r="AW554" s="217">
        <f>+MAX($AM$2-SUMIF($W$7:$W$1066,W554,$AN$7:$AN$1066)-SUMIF($W$7:$W$1066,W554,$AS$7:$AS$1066),0)</f>
      </c>
      <c r="AX554" s="748">
        <f>+MAX(IF(AV554&gt;AW554,AW554-AV553,AU554),0)</f>
      </c>
      <c r="AY554" s="748">
        <f>+AU554-AX554</f>
      </c>
      <c r="AZ554" s="331">
        <f>+$AM$1+IF($AP$1&gt;$AP$2,$AM$3/2)</f>
      </c>
    </row>
    <row x14ac:dyDescent="0.25" r="555" customHeight="1" ht="18.75">
      <c r="A555" s="1"/>
      <c r="B555" s="7"/>
      <c r="C555" s="170"/>
      <c r="D555" s="331">
        <v>548</v>
      </c>
      <c r="E555" s="544">
        <f>+DATE(YEAR(E554),MONTH(E554)-1,DAY(E554))</f>
        <v>25569.041666666668</v>
      </c>
      <c r="F555" s="333">
        <f>IF(DATE(YEAR($B$6),MONTH($B$6)+1,DAY(1))=E555,1,IF(MONTH(E555)=1,F556*(1+$F$5),F556))</f>
      </c>
      <c r="G555" s="333">
        <f>IF('Simulador - 1º Pilar'!$E$99="Sí",IF('Aportaciones PPE'!$B$13&lt;'Aportaciones PPE'!E555,0,F555*$B$8/12),F555*$B$8/12)</f>
      </c>
      <c r="H555" s="333">
        <f>$H$5*G555</f>
      </c>
      <c r="I555" s="333">
        <f>$I$5*G555</f>
      </c>
      <c r="J555" s="333">
        <f>+I555</f>
      </c>
      <c r="K555" s="333">
        <f>(1+$O$5)^(D555/12)*(H555+IF(AND(F555=1,F556=0),$S$4,0))</f>
      </c>
      <c r="L555" s="333">
        <f>(1+$O$5)^(D555/12)*(I555+IF(AND(F555=1,F556=0),0))</f>
      </c>
      <c r="M555" s="333">
        <f>+L555</f>
      </c>
      <c r="N555" s="333">
        <f>L555+K555+M555</f>
      </c>
      <c r="O555" s="170"/>
      <c r="P555" s="7"/>
      <c r="Q555" s="1"/>
      <c r="R555" s="331">
        <f>D555</f>
      </c>
      <c r="S555" s="169"/>
      <c r="T555" s="1"/>
      <c r="U555" s="217"/>
      <c r="V555" s="331">
        <f>+IF(V554=11,12,IF(V554=12,1,V554+1))</f>
      </c>
      <c r="W555" s="331">
        <f>+W554+IF(V554=12,1,0)</f>
      </c>
      <c r="X555" s="555">
        <f>+DATE(W555,V555,1)</f>
        <v>25569.041666666668</v>
      </c>
      <c r="Y555" s="333">
        <f>+_xlfn.IFNA(AN555+AS555+AX555,0)</f>
      </c>
      <c r="Z555" s="333">
        <f>+_xlfn.IFNA(AO555+AT555+AY555,0)</f>
      </c>
      <c r="AA555" s="333">
        <f>Y555*(1+$O$5)^(($B$7-X555)/365.25)</f>
      </c>
      <c r="AB555" s="333">
        <f>Z555*(1+$O$5)^(($B$7-X555)/365.25)</f>
      </c>
      <c r="AC555" s="1"/>
      <c r="AD555" s="1"/>
      <c r="AE555" s="1"/>
      <c r="AF555" s="111">
        <f>+MONTH(E555)&amp;YEAR(E555)</f>
      </c>
      <c r="AG555" s="217">
        <f>+I555</f>
      </c>
      <c r="AH555" s="217">
        <f>+J555</f>
      </c>
      <c r="AI555" s="217">
        <f>+H555</f>
      </c>
      <c r="AJ555" s="111">
        <f>+V555&amp;W555</f>
      </c>
      <c r="AK555" s="217">
        <f>+_xlfn.IFNA(VLOOKUP(AJ555,$AF$7:$AG$1066,2,0),0)</f>
      </c>
      <c r="AL555" s="217">
        <f>+IF(W555&gt;W554,AK555,AL554+AK555)</f>
      </c>
      <c r="AM555" s="217">
        <f>IF(W555&gt;W554,IF(AL555&gt;=$AZ$8,$AZ$8,AL555),IF(OR(AM554=$AZ$8,AM554=0),0,IF(AL555&gt;=$AZ$8,$AZ$8,AL555)))</f>
      </c>
      <c r="AN555" s="748">
        <f>+IF(OR(AM555&gt;AZ554,AM555=0),0,IF(AM555=AL555,AK555,$AZ$7-AL554))</f>
      </c>
      <c r="AO555" s="748">
        <f>+AK555-AN555</f>
      </c>
      <c r="AP555" s="217">
        <f>+_xlfn.IFNA(VLOOKUP(AJ555,$AF$7:$AI$1066,3,0),0)</f>
      </c>
      <c r="AQ555" s="217">
        <f>+IF(W555&gt;W554,AP555,AQ554+AP555)</f>
      </c>
      <c r="AR555" s="217">
        <f>+MAX($AM$2-SUMIF($W$7:$W$1066,W555,$AN$7:$AN$1066),0)</f>
      </c>
      <c r="AS555" s="748">
        <f>+MAX(IF(AQ555&gt;AR555,AR555-AQ554,AP555),0)</f>
      </c>
      <c r="AT555" s="748">
        <f>+AP555-AS555</f>
      </c>
      <c r="AU555" s="217">
        <f>+_xlfn.IFNA(VLOOKUP(AJ555,$AF$7:$AI$1066,4,0),0)</f>
      </c>
      <c r="AV555" s="217">
        <f>+IF(W555&gt;W554,AU555,AV554+AU555)</f>
      </c>
      <c r="AW555" s="217">
        <f>+MAX($AM$2-SUMIF($W$7:$W$1066,W555,$AN$7:$AN$1066)-SUMIF($W$7:$W$1066,W555,$AS$7:$AS$1066),0)</f>
      </c>
      <c r="AX555" s="748">
        <f>+MAX(IF(AV555&gt;AW555,AW555-AV554,AU555),0)</f>
      </c>
      <c r="AY555" s="748">
        <f>+AU555-AX555</f>
      </c>
      <c r="AZ555" s="331">
        <f>+$AM$1+IF($AP$1&gt;$AP$2,$AM$3/2)</f>
      </c>
    </row>
    <row x14ac:dyDescent="0.25" r="556" customHeight="1" ht="18.75">
      <c r="A556" s="1"/>
      <c r="B556" s="7"/>
      <c r="C556" s="170"/>
      <c r="D556" s="331">
        <v>549</v>
      </c>
      <c r="E556" s="544">
        <f>+DATE(YEAR(E555),MONTH(E555)-1,DAY(E555))</f>
        <v>25569.041666666668</v>
      </c>
      <c r="F556" s="333">
        <f>IF(DATE(YEAR($B$6),MONTH($B$6)+1,DAY(1))=E556,1,IF(MONTH(E556)=1,F557*(1+$F$5),F557))</f>
      </c>
      <c r="G556" s="333">
        <f>IF('Simulador - 1º Pilar'!$E$99="Sí",IF('Aportaciones PPE'!$B$13&lt;'Aportaciones PPE'!E556,0,F556*$B$8/12),F556*$B$8/12)</f>
      </c>
      <c r="H556" s="333">
        <f>$H$5*G556</f>
      </c>
      <c r="I556" s="333">
        <f>$I$5*G556</f>
      </c>
      <c r="J556" s="333">
        <f>+I556</f>
      </c>
      <c r="K556" s="333">
        <f>(1+$O$5)^(D556/12)*(H556+IF(AND(F556=1,F557=0),$S$4,0))</f>
      </c>
      <c r="L556" s="333">
        <f>(1+$O$5)^(D556/12)*(I556+IF(AND(F556=1,F557=0),0))</f>
      </c>
      <c r="M556" s="333">
        <f>+L556</f>
      </c>
      <c r="N556" s="333">
        <f>L556+K556+M556</f>
      </c>
      <c r="O556" s="170"/>
      <c r="P556" s="7"/>
      <c r="Q556" s="1"/>
      <c r="R556" s="331">
        <f>D556</f>
      </c>
      <c r="S556" s="169"/>
      <c r="T556" s="1"/>
      <c r="U556" s="217"/>
      <c r="V556" s="331">
        <f>+IF(V555=11,12,IF(V555=12,1,V555+1))</f>
      </c>
      <c r="W556" s="331">
        <f>+W555+IF(V555=12,1,0)</f>
      </c>
      <c r="X556" s="555">
        <f>+DATE(W556,V556,1)</f>
        <v>25569.041666666668</v>
      </c>
      <c r="Y556" s="333">
        <f>+_xlfn.IFNA(AN556+AS556+AX556,0)</f>
      </c>
      <c r="Z556" s="333">
        <f>+_xlfn.IFNA(AO556+AT556+AY556,0)</f>
      </c>
      <c r="AA556" s="333">
        <f>Y556*(1+$O$5)^(($B$7-X556)/365.25)</f>
      </c>
      <c r="AB556" s="333">
        <f>Z556*(1+$O$5)^(($B$7-X556)/365.25)</f>
      </c>
      <c r="AC556" s="1"/>
      <c r="AD556" s="1"/>
      <c r="AE556" s="1"/>
      <c r="AF556" s="111">
        <f>+MONTH(E556)&amp;YEAR(E556)</f>
      </c>
      <c r="AG556" s="217">
        <f>+I556</f>
      </c>
      <c r="AH556" s="217">
        <f>+J556</f>
      </c>
      <c r="AI556" s="217">
        <f>+H556</f>
      </c>
      <c r="AJ556" s="111">
        <f>+V556&amp;W556</f>
      </c>
      <c r="AK556" s="217">
        <f>+_xlfn.IFNA(VLOOKUP(AJ556,$AF$7:$AG$1066,2,0),0)</f>
      </c>
      <c r="AL556" s="217">
        <f>+IF(W556&gt;W555,AK556,AL555+AK556)</f>
      </c>
      <c r="AM556" s="217">
        <f>IF(W556&gt;W555,IF(AL556&gt;=$AZ$8,$AZ$8,AL556),IF(OR(AM555=$AZ$8,AM555=0),0,IF(AL556&gt;=$AZ$8,$AZ$8,AL556)))</f>
      </c>
      <c r="AN556" s="748">
        <f>+IF(OR(AM556&gt;AZ555,AM556=0),0,IF(AM556=AL556,AK556,$AZ$7-AL555))</f>
      </c>
      <c r="AO556" s="748">
        <f>+AK556-AN556</f>
      </c>
      <c r="AP556" s="217">
        <f>+_xlfn.IFNA(VLOOKUP(AJ556,$AF$7:$AI$1066,3,0),0)</f>
      </c>
      <c r="AQ556" s="217">
        <f>+IF(W556&gt;W555,AP556,AQ555+AP556)</f>
      </c>
      <c r="AR556" s="217">
        <f>+MAX($AM$2-SUMIF($W$7:$W$1066,W556,$AN$7:$AN$1066),0)</f>
      </c>
      <c r="AS556" s="748">
        <f>+MAX(IF(AQ556&gt;AR556,AR556-AQ555,AP556),0)</f>
      </c>
      <c r="AT556" s="748">
        <f>+AP556-AS556</f>
      </c>
      <c r="AU556" s="217">
        <f>+_xlfn.IFNA(VLOOKUP(AJ556,$AF$7:$AI$1066,4,0),0)</f>
      </c>
      <c r="AV556" s="217">
        <f>+IF(W556&gt;W555,AU556,AV555+AU556)</f>
      </c>
      <c r="AW556" s="217">
        <f>+MAX($AM$2-SUMIF($W$7:$W$1066,W556,$AN$7:$AN$1066)-SUMIF($W$7:$W$1066,W556,$AS$7:$AS$1066),0)</f>
      </c>
      <c r="AX556" s="748">
        <f>+MAX(IF(AV556&gt;AW556,AW556-AV555,AU556),0)</f>
      </c>
      <c r="AY556" s="748">
        <f>+AU556-AX556</f>
      </c>
      <c r="AZ556" s="331">
        <f>+$AM$1+IF($AP$1&gt;$AP$2,$AM$3/2)</f>
      </c>
    </row>
    <row x14ac:dyDescent="0.25" r="557" customHeight="1" ht="18.75">
      <c r="A557" s="1"/>
      <c r="B557" s="7"/>
      <c r="C557" s="170"/>
      <c r="D557" s="331">
        <v>550</v>
      </c>
      <c r="E557" s="544">
        <f>+DATE(YEAR(E556),MONTH(E556)-1,DAY(E556))</f>
        <v>25569.041666666668</v>
      </c>
      <c r="F557" s="333">
        <f>IF(DATE(YEAR($B$6),MONTH($B$6)+1,DAY(1))=E557,1,IF(MONTH(E557)=1,F558*(1+$F$5),F558))</f>
      </c>
      <c r="G557" s="333">
        <f>IF('Simulador - 1º Pilar'!$E$99="Sí",IF('Aportaciones PPE'!$B$13&lt;'Aportaciones PPE'!E557,0,F557*$B$8/12),F557*$B$8/12)</f>
      </c>
      <c r="H557" s="333">
        <f>$H$5*G557</f>
      </c>
      <c r="I557" s="333">
        <f>$I$5*G557</f>
      </c>
      <c r="J557" s="333">
        <f>+I557</f>
      </c>
      <c r="K557" s="333">
        <f>(1+$O$5)^(D557/12)*(H557+IF(AND(F557=1,F558=0),$S$4,0))</f>
      </c>
      <c r="L557" s="333">
        <f>(1+$O$5)^(D557/12)*(I557+IF(AND(F557=1,F558=0),0))</f>
      </c>
      <c r="M557" s="333">
        <f>+L557</f>
      </c>
      <c r="N557" s="333">
        <f>L557+K557+M557</f>
      </c>
      <c r="O557" s="170"/>
      <c r="P557" s="7"/>
      <c r="Q557" s="1"/>
      <c r="R557" s="331">
        <f>D557</f>
      </c>
      <c r="S557" s="169"/>
      <c r="T557" s="1"/>
      <c r="U557" s="217"/>
      <c r="V557" s="331">
        <f>+IF(V556=11,12,IF(V556=12,1,V556+1))</f>
      </c>
      <c r="W557" s="331">
        <f>+W556+IF(V556=12,1,0)</f>
      </c>
      <c r="X557" s="555">
        <f>+DATE(W557,V557,1)</f>
        <v>25569.041666666668</v>
      </c>
      <c r="Y557" s="333">
        <f>+_xlfn.IFNA(AN557+AS557+AX557,0)</f>
      </c>
      <c r="Z557" s="333">
        <f>+_xlfn.IFNA(AO557+AT557+AY557,0)</f>
      </c>
      <c r="AA557" s="333">
        <f>Y557*(1+$O$5)^(($B$7-X557)/365.25)</f>
      </c>
      <c r="AB557" s="333">
        <f>Z557*(1+$O$5)^(($B$7-X557)/365.25)</f>
      </c>
      <c r="AC557" s="1"/>
      <c r="AD557" s="1"/>
      <c r="AE557" s="1"/>
      <c r="AF557" s="111">
        <f>+MONTH(E557)&amp;YEAR(E557)</f>
      </c>
      <c r="AG557" s="217">
        <f>+I557</f>
      </c>
      <c r="AH557" s="217">
        <f>+J557</f>
      </c>
      <c r="AI557" s="217">
        <f>+H557</f>
      </c>
      <c r="AJ557" s="111">
        <f>+V557&amp;W557</f>
      </c>
      <c r="AK557" s="217">
        <f>+_xlfn.IFNA(VLOOKUP(AJ557,$AF$7:$AG$1066,2,0),0)</f>
      </c>
      <c r="AL557" s="217">
        <f>+IF(W557&gt;W556,AK557,AL556+AK557)</f>
      </c>
      <c r="AM557" s="217">
        <f>IF(W557&gt;W556,IF(AL557&gt;=$AZ$8,$AZ$8,AL557),IF(OR(AM556=$AZ$8,AM556=0),0,IF(AL557&gt;=$AZ$8,$AZ$8,AL557)))</f>
      </c>
      <c r="AN557" s="748">
        <f>+IF(OR(AM557&gt;AZ556,AM557=0),0,IF(AM557=AL557,AK557,$AZ$7-AL556))</f>
      </c>
      <c r="AO557" s="748">
        <f>+AK557-AN557</f>
      </c>
      <c r="AP557" s="217">
        <f>+_xlfn.IFNA(VLOOKUP(AJ557,$AF$7:$AI$1066,3,0),0)</f>
      </c>
      <c r="AQ557" s="217">
        <f>+IF(W557&gt;W556,AP557,AQ556+AP557)</f>
      </c>
      <c r="AR557" s="217">
        <f>+MAX($AM$2-SUMIF($W$7:$W$1066,W557,$AN$7:$AN$1066),0)</f>
      </c>
      <c r="AS557" s="748">
        <f>+MAX(IF(AQ557&gt;AR557,AR557-AQ556,AP557),0)</f>
      </c>
      <c r="AT557" s="748">
        <f>+AP557-AS557</f>
      </c>
      <c r="AU557" s="217">
        <f>+_xlfn.IFNA(VLOOKUP(AJ557,$AF$7:$AI$1066,4,0),0)</f>
      </c>
      <c r="AV557" s="217">
        <f>+IF(W557&gt;W556,AU557,AV556+AU557)</f>
      </c>
      <c r="AW557" s="217">
        <f>+MAX($AM$2-SUMIF($W$7:$W$1066,W557,$AN$7:$AN$1066)-SUMIF($W$7:$W$1066,W557,$AS$7:$AS$1066),0)</f>
      </c>
      <c r="AX557" s="748">
        <f>+MAX(IF(AV557&gt;AW557,AW557-AV556,AU557),0)</f>
      </c>
      <c r="AY557" s="748">
        <f>+AU557-AX557</f>
      </c>
      <c r="AZ557" s="331">
        <f>+$AM$1+IF($AP$1&gt;$AP$2,$AM$3/2)</f>
      </c>
    </row>
    <row x14ac:dyDescent="0.25" r="558" customHeight="1" ht="18.75">
      <c r="A558" s="1"/>
      <c r="B558" s="7"/>
      <c r="C558" s="170"/>
      <c r="D558" s="331">
        <v>551</v>
      </c>
      <c r="E558" s="544">
        <f>+DATE(YEAR(E557),MONTH(E557)-1,DAY(E557))</f>
        <v>25569.041666666668</v>
      </c>
      <c r="F558" s="333">
        <f>IF(DATE(YEAR($B$6),MONTH($B$6)+1,DAY(1))=E558,1,IF(MONTH(E558)=1,F559*(1+$F$5),F559))</f>
      </c>
      <c r="G558" s="333">
        <f>IF('Simulador - 1º Pilar'!$E$99="Sí",IF('Aportaciones PPE'!$B$13&lt;'Aportaciones PPE'!E558,0,F558*$B$8/12),F558*$B$8/12)</f>
      </c>
      <c r="H558" s="333">
        <f>$H$5*G558</f>
      </c>
      <c r="I558" s="333">
        <f>$I$5*G558</f>
      </c>
      <c r="J558" s="333">
        <f>+I558</f>
      </c>
      <c r="K558" s="333">
        <f>(1+$O$5)^(D558/12)*(H558+IF(AND(F558=1,F559=0),$S$4,0))</f>
      </c>
      <c r="L558" s="333">
        <f>(1+$O$5)^(D558/12)*(I558+IF(AND(F558=1,F559=0),0))</f>
      </c>
      <c r="M558" s="333">
        <f>+L558</f>
      </c>
      <c r="N558" s="333">
        <f>L558+K558+M558</f>
      </c>
      <c r="O558" s="170"/>
      <c r="P558" s="7"/>
      <c r="Q558" s="1"/>
      <c r="R558" s="331">
        <f>D558</f>
      </c>
      <c r="S558" s="169"/>
      <c r="T558" s="1"/>
      <c r="U558" s="217"/>
      <c r="V558" s="331">
        <f>+IF(V557=11,12,IF(V557=12,1,V557+1))</f>
      </c>
      <c r="W558" s="331">
        <f>+W557+IF(V557=12,1,0)</f>
      </c>
      <c r="X558" s="555">
        <f>+DATE(W558,V558,1)</f>
        <v>25569.041666666668</v>
      </c>
      <c r="Y558" s="333">
        <f>+_xlfn.IFNA(AN558+AS558+AX558,0)</f>
      </c>
      <c r="Z558" s="333">
        <f>+_xlfn.IFNA(AO558+AT558+AY558,0)</f>
      </c>
      <c r="AA558" s="333">
        <f>Y558*(1+$O$5)^(($B$7-X558)/365.25)</f>
      </c>
      <c r="AB558" s="333">
        <f>Z558*(1+$O$5)^(($B$7-X558)/365.25)</f>
      </c>
      <c r="AC558" s="1"/>
      <c r="AD558" s="1"/>
      <c r="AE558" s="1"/>
      <c r="AF558" s="111">
        <f>+MONTH(E558)&amp;YEAR(E558)</f>
      </c>
      <c r="AG558" s="217">
        <f>+I558</f>
      </c>
      <c r="AH558" s="217">
        <f>+J558</f>
      </c>
      <c r="AI558" s="217">
        <f>+H558</f>
      </c>
      <c r="AJ558" s="111">
        <f>+V558&amp;W558</f>
      </c>
      <c r="AK558" s="217">
        <f>+_xlfn.IFNA(VLOOKUP(AJ558,$AF$7:$AG$1066,2,0),0)</f>
      </c>
      <c r="AL558" s="217">
        <f>+IF(W558&gt;W557,AK558,AL557+AK558)</f>
      </c>
      <c r="AM558" s="217">
        <f>IF(W558&gt;W557,IF(AL558&gt;=$AZ$8,$AZ$8,AL558),IF(OR(AM557=$AZ$8,AM557=0),0,IF(AL558&gt;=$AZ$8,$AZ$8,AL558)))</f>
      </c>
      <c r="AN558" s="748">
        <f>+IF(OR(AM558&gt;AZ557,AM558=0),0,IF(AM558=AL558,AK558,$AZ$7-AL557))</f>
      </c>
      <c r="AO558" s="748">
        <f>+AK558-AN558</f>
      </c>
      <c r="AP558" s="217">
        <f>+_xlfn.IFNA(VLOOKUP(AJ558,$AF$7:$AI$1066,3,0),0)</f>
      </c>
      <c r="AQ558" s="217">
        <f>+IF(W558&gt;W557,AP558,AQ557+AP558)</f>
      </c>
      <c r="AR558" s="217">
        <f>+MAX($AM$2-SUMIF($W$7:$W$1066,W558,$AN$7:$AN$1066),0)</f>
      </c>
      <c r="AS558" s="748">
        <f>+MAX(IF(AQ558&gt;AR558,AR558-AQ557,AP558),0)</f>
      </c>
      <c r="AT558" s="748">
        <f>+AP558-AS558</f>
      </c>
      <c r="AU558" s="217">
        <f>+_xlfn.IFNA(VLOOKUP(AJ558,$AF$7:$AI$1066,4,0),0)</f>
      </c>
      <c r="AV558" s="217">
        <f>+IF(W558&gt;W557,AU558,AV557+AU558)</f>
      </c>
      <c r="AW558" s="217">
        <f>+MAX($AM$2-SUMIF($W$7:$W$1066,W558,$AN$7:$AN$1066)-SUMIF($W$7:$W$1066,W558,$AS$7:$AS$1066),0)</f>
      </c>
      <c r="AX558" s="748">
        <f>+MAX(IF(AV558&gt;AW558,AW558-AV557,AU558),0)</f>
      </c>
      <c r="AY558" s="748">
        <f>+AU558-AX558</f>
      </c>
      <c r="AZ558" s="331">
        <f>+$AM$1+IF($AP$1&gt;$AP$2,$AM$3/2)</f>
      </c>
    </row>
    <row x14ac:dyDescent="0.25" r="559" customHeight="1" ht="18.75">
      <c r="A559" s="1"/>
      <c r="B559" s="7"/>
      <c r="C559" s="170"/>
      <c r="D559" s="331">
        <v>552</v>
      </c>
      <c r="E559" s="544">
        <f>+DATE(YEAR(E558),MONTH(E558)-1,DAY(E558))</f>
        <v>25569.041666666668</v>
      </c>
      <c r="F559" s="333">
        <f>IF(DATE(YEAR($B$6),MONTH($B$6)+1,DAY(1))=E559,1,IF(MONTH(E559)=1,F560*(1+$F$5),F560))</f>
      </c>
      <c r="G559" s="333">
        <f>IF('Simulador - 1º Pilar'!$E$99="Sí",IF('Aportaciones PPE'!$B$13&lt;'Aportaciones PPE'!E559,0,F559*$B$8/12),F559*$B$8/12)</f>
      </c>
      <c r="H559" s="333">
        <f>$H$5*G559</f>
      </c>
      <c r="I559" s="333">
        <f>$I$5*G559</f>
      </c>
      <c r="J559" s="333">
        <f>+I559</f>
      </c>
      <c r="K559" s="333">
        <f>(1+$O$5)^(D559/12)*(H559+IF(AND(F559=1,F560=0),$S$4,0))</f>
      </c>
      <c r="L559" s="333">
        <f>(1+$O$5)^(D559/12)*(I559+IF(AND(F559=1,F560=0),0))</f>
      </c>
      <c r="M559" s="333">
        <f>+L559</f>
      </c>
      <c r="N559" s="333">
        <f>L559+K559+M559</f>
      </c>
      <c r="O559" s="170"/>
      <c r="P559" s="7"/>
      <c r="Q559" s="1"/>
      <c r="R559" s="331">
        <f>D559</f>
      </c>
      <c r="S559" s="169"/>
      <c r="T559" s="1"/>
      <c r="U559" s="217"/>
      <c r="V559" s="331">
        <f>+IF(V558=11,12,IF(V558=12,1,V558+1))</f>
      </c>
      <c r="W559" s="331">
        <f>+W558+IF(V558=12,1,0)</f>
      </c>
      <c r="X559" s="555">
        <f>+DATE(W559,V559,1)</f>
        <v>25569.041666666668</v>
      </c>
      <c r="Y559" s="333">
        <f>+_xlfn.IFNA(AN559+AS559+AX559,0)</f>
      </c>
      <c r="Z559" s="333">
        <f>+_xlfn.IFNA(AO559+AT559+AY559,0)</f>
      </c>
      <c r="AA559" s="333">
        <f>Y559*(1+$O$5)^(($B$7-X559)/365.25)</f>
      </c>
      <c r="AB559" s="333">
        <f>Z559*(1+$O$5)^(($B$7-X559)/365.25)</f>
      </c>
      <c r="AC559" s="1"/>
      <c r="AD559" s="1"/>
      <c r="AE559" s="1"/>
      <c r="AF559" s="111">
        <f>+MONTH(E559)&amp;YEAR(E559)</f>
      </c>
      <c r="AG559" s="217">
        <f>+I559</f>
      </c>
      <c r="AH559" s="217">
        <f>+J559</f>
      </c>
      <c r="AI559" s="217">
        <f>+H559</f>
      </c>
      <c r="AJ559" s="111">
        <f>+V559&amp;W559</f>
      </c>
      <c r="AK559" s="217">
        <f>+_xlfn.IFNA(VLOOKUP(AJ559,$AF$7:$AG$1066,2,0),0)</f>
      </c>
      <c r="AL559" s="217">
        <f>+IF(W559&gt;W558,AK559,AL558+AK559)</f>
      </c>
      <c r="AM559" s="217">
        <f>IF(W559&gt;W558,IF(AL559&gt;=$AZ$8,$AZ$8,AL559),IF(OR(AM558=$AZ$8,AM558=0),0,IF(AL559&gt;=$AZ$8,$AZ$8,AL559)))</f>
      </c>
      <c r="AN559" s="748">
        <f>+IF(OR(AM559&gt;AZ558,AM559=0),0,IF(AM559=AL559,AK559,$AZ$7-AL558))</f>
      </c>
      <c r="AO559" s="748">
        <f>+AK559-AN559</f>
      </c>
      <c r="AP559" s="217">
        <f>+_xlfn.IFNA(VLOOKUP(AJ559,$AF$7:$AI$1066,3,0),0)</f>
      </c>
      <c r="AQ559" s="217">
        <f>+IF(W559&gt;W558,AP559,AQ558+AP559)</f>
      </c>
      <c r="AR559" s="217">
        <f>+MAX($AM$2-SUMIF($W$7:$W$1066,W559,$AN$7:$AN$1066),0)</f>
      </c>
      <c r="AS559" s="748">
        <f>+MAX(IF(AQ559&gt;AR559,AR559-AQ558,AP559),0)</f>
      </c>
      <c r="AT559" s="748">
        <f>+AP559-AS559</f>
      </c>
      <c r="AU559" s="217">
        <f>+_xlfn.IFNA(VLOOKUP(AJ559,$AF$7:$AI$1066,4,0),0)</f>
      </c>
      <c r="AV559" s="217">
        <f>+IF(W559&gt;W558,AU559,AV558+AU559)</f>
      </c>
      <c r="AW559" s="217">
        <f>+MAX($AM$2-SUMIF($W$7:$W$1066,W559,$AN$7:$AN$1066)-SUMIF($W$7:$W$1066,W559,$AS$7:$AS$1066),0)</f>
      </c>
      <c r="AX559" s="748">
        <f>+MAX(IF(AV559&gt;AW559,AW559-AV558,AU559),0)</f>
      </c>
      <c r="AY559" s="748">
        <f>+AU559-AX559</f>
      </c>
      <c r="AZ559" s="331">
        <f>+$AM$1+IF($AP$1&gt;$AP$2,$AM$3/2)</f>
      </c>
    </row>
    <row x14ac:dyDescent="0.25" r="560" customHeight="1" ht="18.75">
      <c r="A560" s="1"/>
      <c r="B560" s="7"/>
      <c r="C560" s="170"/>
      <c r="D560" s="331">
        <v>553</v>
      </c>
      <c r="E560" s="544">
        <f>+DATE(YEAR(E559),MONTH(E559)-1,DAY(E559))</f>
        <v>25569.041666666668</v>
      </c>
      <c r="F560" s="333">
        <f>IF(DATE(YEAR($B$6),MONTH($B$6)+1,DAY(1))=E560,1,IF(MONTH(E560)=1,F561*(1+$F$5),F561))</f>
      </c>
      <c r="G560" s="333">
        <f>IF('Simulador - 1º Pilar'!$E$99="Sí",IF('Aportaciones PPE'!$B$13&lt;'Aportaciones PPE'!E560,0,F560*$B$8/12),F560*$B$8/12)</f>
      </c>
      <c r="H560" s="333">
        <f>$H$5*G560</f>
      </c>
      <c r="I560" s="333">
        <f>$I$5*G560</f>
      </c>
      <c r="J560" s="333">
        <f>+I560</f>
      </c>
      <c r="K560" s="333">
        <f>(1+$O$5)^(D560/12)*(H560+IF(AND(F560=1,F561=0),$S$4,0))</f>
      </c>
      <c r="L560" s="333">
        <f>(1+$O$5)^(D560/12)*(I560+IF(AND(F560=1,F561=0),0))</f>
      </c>
      <c r="M560" s="333">
        <f>+L560</f>
      </c>
      <c r="N560" s="333">
        <f>L560+K560+M560</f>
      </c>
      <c r="O560" s="170"/>
      <c r="P560" s="7"/>
      <c r="Q560" s="1"/>
      <c r="R560" s="331">
        <f>D560</f>
      </c>
      <c r="S560" s="169"/>
      <c r="T560" s="1"/>
      <c r="U560" s="217"/>
      <c r="V560" s="331">
        <f>+IF(V559=11,12,IF(V559=12,1,V559+1))</f>
      </c>
      <c r="W560" s="331">
        <f>+W559+IF(V559=12,1,0)</f>
      </c>
      <c r="X560" s="555">
        <f>+DATE(W560,V560,1)</f>
        <v>25569.041666666668</v>
      </c>
      <c r="Y560" s="333">
        <f>+_xlfn.IFNA(AN560+AS560+AX560,0)</f>
      </c>
      <c r="Z560" s="333">
        <f>+_xlfn.IFNA(AO560+AT560+AY560,0)</f>
      </c>
      <c r="AA560" s="333">
        <f>Y560*(1+$O$5)^(($B$7-X560)/365.25)</f>
      </c>
      <c r="AB560" s="333">
        <f>Z560*(1+$O$5)^(($B$7-X560)/365.25)</f>
      </c>
      <c r="AC560" s="1"/>
      <c r="AD560" s="1"/>
      <c r="AE560" s="1"/>
      <c r="AF560" s="111">
        <f>+MONTH(E560)&amp;YEAR(E560)</f>
      </c>
      <c r="AG560" s="217">
        <f>+I560</f>
      </c>
      <c r="AH560" s="217">
        <f>+J560</f>
      </c>
      <c r="AI560" s="217">
        <f>+H560</f>
      </c>
      <c r="AJ560" s="111">
        <f>+V560&amp;W560</f>
      </c>
      <c r="AK560" s="217">
        <f>+_xlfn.IFNA(VLOOKUP(AJ560,$AF$7:$AG$1066,2,0),0)</f>
      </c>
      <c r="AL560" s="217">
        <f>+IF(W560&gt;W559,AK560,AL559+AK560)</f>
      </c>
      <c r="AM560" s="217">
        <f>IF(W560&gt;W559,IF(AL560&gt;=$AZ$8,$AZ$8,AL560),IF(OR(AM559=$AZ$8,AM559=0),0,IF(AL560&gt;=$AZ$8,$AZ$8,AL560)))</f>
      </c>
      <c r="AN560" s="748">
        <f>+IF(OR(AM560&gt;AZ559,AM560=0),0,IF(AM560=AL560,AK560,$AZ$7-AL559))</f>
      </c>
      <c r="AO560" s="748">
        <f>+AK560-AN560</f>
      </c>
      <c r="AP560" s="217">
        <f>+_xlfn.IFNA(VLOOKUP(AJ560,$AF$7:$AI$1066,3,0),0)</f>
      </c>
      <c r="AQ560" s="217">
        <f>+IF(W560&gt;W559,AP560,AQ559+AP560)</f>
      </c>
      <c r="AR560" s="217">
        <f>+MAX($AM$2-SUMIF($W$7:$W$1066,W560,$AN$7:$AN$1066),0)</f>
      </c>
      <c r="AS560" s="748">
        <f>+MAX(IF(AQ560&gt;AR560,AR560-AQ559,AP560),0)</f>
      </c>
      <c r="AT560" s="748">
        <f>+AP560-AS560</f>
      </c>
      <c r="AU560" s="217">
        <f>+_xlfn.IFNA(VLOOKUP(AJ560,$AF$7:$AI$1066,4,0),0)</f>
      </c>
      <c r="AV560" s="217">
        <f>+IF(W560&gt;W559,AU560,AV559+AU560)</f>
      </c>
      <c r="AW560" s="217">
        <f>+MAX($AM$2-SUMIF($W$7:$W$1066,W560,$AN$7:$AN$1066)-SUMIF($W$7:$W$1066,W560,$AS$7:$AS$1066),0)</f>
      </c>
      <c r="AX560" s="748">
        <f>+MAX(IF(AV560&gt;AW560,AW560-AV559,AU560),0)</f>
      </c>
      <c r="AY560" s="748">
        <f>+AU560-AX560</f>
      </c>
      <c r="AZ560" s="331">
        <f>+$AM$1+IF($AP$1&gt;$AP$2,$AM$3/2)</f>
      </c>
    </row>
    <row x14ac:dyDescent="0.25" r="561" customHeight="1" ht="18.75">
      <c r="A561" s="1"/>
      <c r="B561" s="7"/>
      <c r="C561" s="170"/>
      <c r="D561" s="331">
        <v>554</v>
      </c>
      <c r="E561" s="544">
        <f>+DATE(YEAR(E560),MONTH(E560)-1,DAY(E560))</f>
        <v>25569.041666666668</v>
      </c>
      <c r="F561" s="333">
        <f>IF(DATE(YEAR($B$6),MONTH($B$6)+1,DAY(1))=E561,1,IF(MONTH(E561)=1,F562*(1+$F$5),F562))</f>
      </c>
      <c r="G561" s="333">
        <f>IF('Simulador - 1º Pilar'!$E$99="Sí",IF('Aportaciones PPE'!$B$13&lt;'Aportaciones PPE'!E561,0,F561*$B$8/12),F561*$B$8/12)</f>
      </c>
      <c r="H561" s="333">
        <f>$H$5*G561</f>
      </c>
      <c r="I561" s="333">
        <f>$I$5*G561</f>
      </c>
      <c r="J561" s="333">
        <f>+I561</f>
      </c>
      <c r="K561" s="333">
        <f>(1+$O$5)^(D561/12)*(H561+IF(AND(F561=1,F562=0),$S$4,0))</f>
      </c>
      <c r="L561" s="333">
        <f>(1+$O$5)^(D561/12)*(I561+IF(AND(F561=1,F562=0),0))</f>
      </c>
      <c r="M561" s="333">
        <f>+L561</f>
      </c>
      <c r="N561" s="333">
        <f>L561+K561+M561</f>
      </c>
      <c r="O561" s="170"/>
      <c r="P561" s="7"/>
      <c r="Q561" s="1"/>
      <c r="R561" s="331">
        <f>D561</f>
      </c>
      <c r="S561" s="169"/>
      <c r="T561" s="1"/>
      <c r="U561" s="217"/>
      <c r="V561" s="331">
        <f>+IF(V560=11,12,IF(V560=12,1,V560+1))</f>
      </c>
      <c r="W561" s="331">
        <f>+W560+IF(V560=12,1,0)</f>
      </c>
      <c r="X561" s="555">
        <f>+DATE(W561,V561,1)</f>
        <v>25569.041666666668</v>
      </c>
      <c r="Y561" s="333">
        <f>+_xlfn.IFNA(AN561+AS561+AX561,0)</f>
      </c>
      <c r="Z561" s="333">
        <f>+_xlfn.IFNA(AO561+AT561+AY561,0)</f>
      </c>
      <c r="AA561" s="333">
        <f>Y561*(1+$O$5)^(($B$7-X561)/365.25)</f>
      </c>
      <c r="AB561" s="333">
        <f>Z561*(1+$O$5)^(($B$7-X561)/365.25)</f>
      </c>
      <c r="AC561" s="1"/>
      <c r="AD561" s="1"/>
      <c r="AE561" s="1"/>
      <c r="AF561" s="111">
        <f>+MONTH(E561)&amp;YEAR(E561)</f>
      </c>
      <c r="AG561" s="217">
        <f>+I561</f>
      </c>
      <c r="AH561" s="217">
        <f>+J561</f>
      </c>
      <c r="AI561" s="217">
        <f>+H561</f>
      </c>
      <c r="AJ561" s="111">
        <f>+V561&amp;W561</f>
      </c>
      <c r="AK561" s="217">
        <f>+_xlfn.IFNA(VLOOKUP(AJ561,$AF$7:$AG$1066,2,0),0)</f>
      </c>
      <c r="AL561" s="217">
        <f>+IF(W561&gt;W560,AK561,AL560+AK561)</f>
      </c>
      <c r="AM561" s="217">
        <f>IF(W561&gt;W560,IF(AL561&gt;=$AZ$8,$AZ$8,AL561),IF(OR(AM560=$AZ$8,AM560=0),0,IF(AL561&gt;=$AZ$8,$AZ$8,AL561)))</f>
      </c>
      <c r="AN561" s="748">
        <f>+IF(OR(AM561&gt;AZ560,AM561=0),0,IF(AM561=AL561,AK561,$AZ$7-AL560))</f>
      </c>
      <c r="AO561" s="748">
        <f>+AK561-AN561</f>
      </c>
      <c r="AP561" s="217">
        <f>+_xlfn.IFNA(VLOOKUP(AJ561,$AF$7:$AI$1066,3,0),0)</f>
      </c>
      <c r="AQ561" s="217">
        <f>+IF(W561&gt;W560,AP561,AQ560+AP561)</f>
      </c>
      <c r="AR561" s="217">
        <f>+MAX($AM$2-SUMIF($W$7:$W$1066,W561,$AN$7:$AN$1066),0)</f>
      </c>
      <c r="AS561" s="748">
        <f>+MAX(IF(AQ561&gt;AR561,AR561-AQ560,AP561),0)</f>
      </c>
      <c r="AT561" s="748">
        <f>+AP561-AS561</f>
      </c>
      <c r="AU561" s="217">
        <f>+_xlfn.IFNA(VLOOKUP(AJ561,$AF$7:$AI$1066,4,0),0)</f>
      </c>
      <c r="AV561" s="217">
        <f>+IF(W561&gt;W560,AU561,AV560+AU561)</f>
      </c>
      <c r="AW561" s="217">
        <f>+MAX($AM$2-SUMIF($W$7:$W$1066,W561,$AN$7:$AN$1066)-SUMIF($W$7:$W$1066,W561,$AS$7:$AS$1066),0)</f>
      </c>
      <c r="AX561" s="748">
        <f>+MAX(IF(AV561&gt;AW561,AW561-AV560,AU561),0)</f>
      </c>
      <c r="AY561" s="748">
        <f>+AU561-AX561</f>
      </c>
      <c r="AZ561" s="331">
        <f>+$AM$1+IF($AP$1&gt;$AP$2,$AM$3/2)</f>
      </c>
    </row>
    <row x14ac:dyDescent="0.25" r="562" customHeight="1" ht="18.75">
      <c r="A562" s="1"/>
      <c r="B562" s="7"/>
      <c r="C562" s="170"/>
      <c r="D562" s="331">
        <v>555</v>
      </c>
      <c r="E562" s="544">
        <f>+DATE(YEAR(E561),MONTH(E561)-1,DAY(E561))</f>
        <v>25569.041666666668</v>
      </c>
      <c r="F562" s="333">
        <f>IF(DATE(YEAR($B$6),MONTH($B$6)+1,DAY(1))=E562,1,IF(MONTH(E562)=1,F563*(1+$F$5),F563))</f>
      </c>
      <c r="G562" s="333">
        <f>IF('Simulador - 1º Pilar'!$E$99="Sí",IF('Aportaciones PPE'!$B$13&lt;'Aportaciones PPE'!E562,0,F562*$B$8/12),F562*$B$8/12)</f>
      </c>
      <c r="H562" s="333">
        <f>$H$5*G562</f>
      </c>
      <c r="I562" s="333">
        <f>$I$5*G562</f>
      </c>
      <c r="J562" s="333">
        <f>+I562</f>
      </c>
      <c r="K562" s="333">
        <f>(1+$O$5)^(D562/12)*(H562+IF(AND(F562=1,F563=0),$S$4,0))</f>
      </c>
      <c r="L562" s="333">
        <f>(1+$O$5)^(D562/12)*(I562+IF(AND(F562=1,F563=0),0))</f>
      </c>
      <c r="M562" s="333">
        <f>+L562</f>
      </c>
      <c r="N562" s="333">
        <f>L562+K562+M562</f>
      </c>
      <c r="O562" s="170"/>
      <c r="P562" s="7"/>
      <c r="Q562" s="1"/>
      <c r="R562" s="331">
        <f>D562</f>
      </c>
      <c r="S562" s="169"/>
      <c r="T562" s="1"/>
      <c r="U562" s="217"/>
      <c r="V562" s="331">
        <f>+IF(V561=11,12,IF(V561=12,1,V561+1))</f>
      </c>
      <c r="W562" s="331">
        <f>+W561+IF(V561=12,1,0)</f>
      </c>
      <c r="X562" s="555">
        <f>+DATE(W562,V562,1)</f>
        <v>25569.041666666668</v>
      </c>
      <c r="Y562" s="333">
        <f>+_xlfn.IFNA(AN562+AS562+AX562,0)</f>
      </c>
      <c r="Z562" s="333">
        <f>+_xlfn.IFNA(AO562+AT562+AY562,0)</f>
      </c>
      <c r="AA562" s="333">
        <f>Y562*(1+$O$5)^(($B$7-X562)/365.25)</f>
      </c>
      <c r="AB562" s="333">
        <f>Z562*(1+$O$5)^(($B$7-X562)/365.25)</f>
      </c>
      <c r="AC562" s="1"/>
      <c r="AD562" s="1"/>
      <c r="AE562" s="1"/>
      <c r="AF562" s="111">
        <f>+MONTH(E562)&amp;YEAR(E562)</f>
      </c>
      <c r="AG562" s="217">
        <f>+I562</f>
      </c>
      <c r="AH562" s="217">
        <f>+J562</f>
      </c>
      <c r="AI562" s="217">
        <f>+H562</f>
      </c>
      <c r="AJ562" s="111">
        <f>+V562&amp;W562</f>
      </c>
      <c r="AK562" s="217">
        <f>+_xlfn.IFNA(VLOOKUP(AJ562,$AF$7:$AG$1066,2,0),0)</f>
      </c>
      <c r="AL562" s="217">
        <f>+IF(W562&gt;W561,AK562,AL561+AK562)</f>
      </c>
      <c r="AM562" s="217">
        <f>IF(W562&gt;W561,IF(AL562&gt;=$AZ$8,$AZ$8,AL562),IF(OR(AM561=$AZ$8,AM561=0),0,IF(AL562&gt;=$AZ$8,$AZ$8,AL562)))</f>
      </c>
      <c r="AN562" s="748">
        <f>+IF(OR(AM562&gt;AZ561,AM562=0),0,IF(AM562=AL562,AK562,$AZ$7-AL561))</f>
      </c>
      <c r="AO562" s="748">
        <f>+AK562-AN562</f>
      </c>
      <c r="AP562" s="217">
        <f>+_xlfn.IFNA(VLOOKUP(AJ562,$AF$7:$AI$1066,3,0),0)</f>
      </c>
      <c r="AQ562" s="217">
        <f>+IF(W562&gt;W561,AP562,AQ561+AP562)</f>
      </c>
      <c r="AR562" s="217">
        <f>+MAX($AM$2-SUMIF($W$7:$W$1066,W562,$AN$7:$AN$1066),0)</f>
      </c>
      <c r="AS562" s="748">
        <f>+MAX(IF(AQ562&gt;AR562,AR562-AQ561,AP562),0)</f>
      </c>
      <c r="AT562" s="748">
        <f>+AP562-AS562</f>
      </c>
      <c r="AU562" s="217">
        <f>+_xlfn.IFNA(VLOOKUP(AJ562,$AF$7:$AI$1066,4,0),0)</f>
      </c>
      <c r="AV562" s="217">
        <f>+IF(W562&gt;W561,AU562,AV561+AU562)</f>
      </c>
      <c r="AW562" s="217">
        <f>+MAX($AM$2-SUMIF($W$7:$W$1066,W562,$AN$7:$AN$1066)-SUMIF($W$7:$W$1066,W562,$AS$7:$AS$1066),0)</f>
      </c>
      <c r="AX562" s="748">
        <f>+MAX(IF(AV562&gt;AW562,AW562-AV561,AU562),0)</f>
      </c>
      <c r="AY562" s="748">
        <f>+AU562-AX562</f>
      </c>
      <c r="AZ562" s="331">
        <f>+$AM$1+IF($AP$1&gt;$AP$2,$AM$3/2)</f>
      </c>
    </row>
    <row x14ac:dyDescent="0.25" r="563" customHeight="1" ht="18.75">
      <c r="A563" s="1"/>
      <c r="B563" s="7"/>
      <c r="C563" s="170"/>
      <c r="D563" s="331">
        <v>556</v>
      </c>
      <c r="E563" s="544">
        <f>+DATE(YEAR(E562),MONTH(E562)-1,DAY(E562))</f>
        <v>25569.041666666668</v>
      </c>
      <c r="F563" s="333">
        <f>IF(DATE(YEAR($B$6),MONTH($B$6)+1,DAY(1))=E563,1,IF(MONTH(E563)=1,F564*(1+$F$5),F564))</f>
      </c>
      <c r="G563" s="333">
        <f>IF('Simulador - 1º Pilar'!$E$99="Sí",IF('Aportaciones PPE'!$B$13&lt;'Aportaciones PPE'!E563,0,F563*$B$8/12),F563*$B$8/12)</f>
      </c>
      <c r="H563" s="333">
        <f>$H$5*G563</f>
      </c>
      <c r="I563" s="333">
        <f>$I$5*G563</f>
      </c>
      <c r="J563" s="333">
        <f>+I563</f>
      </c>
      <c r="K563" s="333">
        <f>(1+$O$5)^(D563/12)*(H563+IF(AND(F563=1,F564=0),$S$4,0))</f>
      </c>
      <c r="L563" s="333">
        <f>(1+$O$5)^(D563/12)*(I563+IF(AND(F563=1,F564=0),0))</f>
      </c>
      <c r="M563" s="333">
        <f>+L563</f>
      </c>
      <c r="N563" s="333">
        <f>L563+K563+M563</f>
      </c>
      <c r="O563" s="170"/>
      <c r="P563" s="7"/>
      <c r="Q563" s="1"/>
      <c r="R563" s="331">
        <f>D563</f>
      </c>
      <c r="S563" s="169"/>
      <c r="T563" s="1"/>
      <c r="U563" s="217"/>
      <c r="V563" s="331">
        <f>+IF(V562=11,12,IF(V562=12,1,V562+1))</f>
      </c>
      <c r="W563" s="331">
        <f>+W562+IF(V562=12,1,0)</f>
      </c>
      <c r="X563" s="555">
        <f>+DATE(W563,V563,1)</f>
        <v>25569.041666666668</v>
      </c>
      <c r="Y563" s="333">
        <f>+_xlfn.IFNA(AN563+AS563+AX563,0)</f>
      </c>
      <c r="Z563" s="333">
        <f>+_xlfn.IFNA(AO563+AT563+AY563,0)</f>
      </c>
      <c r="AA563" s="333">
        <f>Y563*(1+$O$5)^(($B$7-X563)/365.25)</f>
      </c>
      <c r="AB563" s="333">
        <f>Z563*(1+$O$5)^(($B$7-X563)/365.25)</f>
      </c>
      <c r="AC563" s="1"/>
      <c r="AD563" s="1"/>
      <c r="AE563" s="1"/>
      <c r="AF563" s="111">
        <f>+MONTH(E563)&amp;YEAR(E563)</f>
      </c>
      <c r="AG563" s="217">
        <f>+I563</f>
      </c>
      <c r="AH563" s="217">
        <f>+J563</f>
      </c>
      <c r="AI563" s="217">
        <f>+H563</f>
      </c>
      <c r="AJ563" s="111">
        <f>+V563&amp;W563</f>
      </c>
      <c r="AK563" s="217">
        <f>+_xlfn.IFNA(VLOOKUP(AJ563,$AF$7:$AG$1066,2,0),0)</f>
      </c>
      <c r="AL563" s="217">
        <f>+IF(W563&gt;W562,AK563,AL562+AK563)</f>
      </c>
      <c r="AM563" s="217">
        <f>IF(W563&gt;W562,IF(AL563&gt;=$AZ$8,$AZ$8,AL563),IF(OR(AM562=$AZ$8,AM562=0),0,IF(AL563&gt;=$AZ$8,$AZ$8,AL563)))</f>
      </c>
      <c r="AN563" s="748">
        <f>+IF(OR(AM563&gt;AZ562,AM563=0),0,IF(AM563=AL563,AK563,$AZ$7-AL562))</f>
      </c>
      <c r="AO563" s="748">
        <f>+AK563-AN563</f>
      </c>
      <c r="AP563" s="217">
        <f>+_xlfn.IFNA(VLOOKUP(AJ563,$AF$7:$AI$1066,3,0),0)</f>
      </c>
      <c r="AQ563" s="217">
        <f>+IF(W563&gt;W562,AP563,AQ562+AP563)</f>
      </c>
      <c r="AR563" s="217">
        <f>+MAX($AM$2-SUMIF($W$7:$W$1066,W563,$AN$7:$AN$1066),0)</f>
      </c>
      <c r="AS563" s="748">
        <f>+MAX(IF(AQ563&gt;AR563,AR563-AQ562,AP563),0)</f>
      </c>
      <c r="AT563" s="748">
        <f>+AP563-AS563</f>
      </c>
      <c r="AU563" s="217">
        <f>+_xlfn.IFNA(VLOOKUP(AJ563,$AF$7:$AI$1066,4,0),0)</f>
      </c>
      <c r="AV563" s="217">
        <f>+IF(W563&gt;W562,AU563,AV562+AU563)</f>
      </c>
      <c r="AW563" s="217">
        <f>+MAX($AM$2-SUMIF($W$7:$W$1066,W563,$AN$7:$AN$1066)-SUMIF($W$7:$W$1066,W563,$AS$7:$AS$1066),0)</f>
      </c>
      <c r="AX563" s="748">
        <f>+MAX(IF(AV563&gt;AW563,AW563-AV562,AU563),0)</f>
      </c>
      <c r="AY563" s="748">
        <f>+AU563-AX563</f>
      </c>
      <c r="AZ563" s="331">
        <f>+$AM$1+IF($AP$1&gt;$AP$2,$AM$3/2)</f>
      </c>
    </row>
    <row x14ac:dyDescent="0.25" r="564" customHeight="1" ht="18.75">
      <c r="A564" s="1"/>
      <c r="B564" s="7"/>
      <c r="C564" s="170"/>
      <c r="D564" s="331">
        <v>557</v>
      </c>
      <c r="E564" s="544">
        <f>+DATE(YEAR(E563),MONTH(E563)-1,DAY(E563))</f>
        <v>25569.041666666668</v>
      </c>
      <c r="F564" s="333">
        <f>IF(DATE(YEAR($B$6),MONTH($B$6)+1,DAY(1))=E564,1,IF(MONTH(E564)=1,F565*(1+$F$5),F565))</f>
      </c>
      <c r="G564" s="333">
        <f>IF('Simulador - 1º Pilar'!$E$99="Sí",IF('Aportaciones PPE'!$B$13&lt;'Aportaciones PPE'!E564,0,F564*$B$8/12),F564*$B$8/12)</f>
      </c>
      <c r="H564" s="333">
        <f>$H$5*G564</f>
      </c>
      <c r="I564" s="333">
        <f>$I$5*G564</f>
      </c>
      <c r="J564" s="333">
        <f>+I564</f>
      </c>
      <c r="K564" s="333">
        <f>(1+$O$5)^(D564/12)*(H564+IF(AND(F564=1,F565=0),$S$4,0))</f>
      </c>
      <c r="L564" s="333">
        <f>(1+$O$5)^(D564/12)*(I564+IF(AND(F564=1,F565=0),0))</f>
      </c>
      <c r="M564" s="333">
        <f>+L564</f>
      </c>
      <c r="N564" s="333">
        <f>L564+K564+M564</f>
      </c>
      <c r="O564" s="170"/>
      <c r="P564" s="7"/>
      <c r="Q564" s="1"/>
      <c r="R564" s="331">
        <f>D564</f>
      </c>
      <c r="S564" s="169"/>
      <c r="T564" s="1"/>
      <c r="U564" s="217"/>
      <c r="V564" s="331">
        <f>+IF(V563=11,12,IF(V563=12,1,V563+1))</f>
      </c>
      <c r="W564" s="331">
        <f>+W563+IF(V563=12,1,0)</f>
      </c>
      <c r="X564" s="555">
        <f>+DATE(W564,V564,1)</f>
        <v>25569.041666666668</v>
      </c>
      <c r="Y564" s="333">
        <f>+_xlfn.IFNA(AN564+AS564+AX564,0)</f>
      </c>
      <c r="Z564" s="333">
        <f>+_xlfn.IFNA(AO564+AT564+AY564,0)</f>
      </c>
      <c r="AA564" s="333">
        <f>Y564*(1+$O$5)^(($B$7-X564)/365.25)</f>
      </c>
      <c r="AB564" s="333">
        <f>Z564*(1+$O$5)^(($B$7-X564)/365.25)</f>
      </c>
      <c r="AC564" s="1"/>
      <c r="AD564" s="1"/>
      <c r="AE564" s="1"/>
      <c r="AF564" s="111">
        <f>+MONTH(E564)&amp;YEAR(E564)</f>
      </c>
      <c r="AG564" s="217">
        <f>+I564</f>
      </c>
      <c r="AH564" s="217">
        <f>+J564</f>
      </c>
      <c r="AI564" s="217">
        <f>+H564</f>
      </c>
      <c r="AJ564" s="111">
        <f>+V564&amp;W564</f>
      </c>
      <c r="AK564" s="217">
        <f>+_xlfn.IFNA(VLOOKUP(AJ564,$AF$7:$AG$1066,2,0),0)</f>
      </c>
      <c r="AL564" s="217">
        <f>+IF(W564&gt;W563,AK564,AL563+AK564)</f>
      </c>
      <c r="AM564" s="217">
        <f>IF(W564&gt;W563,IF(AL564&gt;=$AZ$8,$AZ$8,AL564),IF(OR(AM563=$AZ$8,AM563=0),0,IF(AL564&gt;=$AZ$8,$AZ$8,AL564)))</f>
      </c>
      <c r="AN564" s="748">
        <f>+IF(OR(AM564&gt;AZ563,AM564=0),0,IF(AM564=AL564,AK564,$AZ$7-AL563))</f>
      </c>
      <c r="AO564" s="748">
        <f>+AK564-AN564</f>
      </c>
      <c r="AP564" s="217">
        <f>+_xlfn.IFNA(VLOOKUP(AJ564,$AF$7:$AI$1066,3,0),0)</f>
      </c>
      <c r="AQ564" s="217">
        <f>+IF(W564&gt;W563,AP564,AQ563+AP564)</f>
      </c>
      <c r="AR564" s="217">
        <f>+MAX($AM$2-SUMIF($W$7:$W$1066,W564,$AN$7:$AN$1066),0)</f>
      </c>
      <c r="AS564" s="748">
        <f>+MAX(IF(AQ564&gt;AR564,AR564-AQ563,AP564),0)</f>
      </c>
      <c r="AT564" s="748">
        <f>+AP564-AS564</f>
      </c>
      <c r="AU564" s="217">
        <f>+_xlfn.IFNA(VLOOKUP(AJ564,$AF$7:$AI$1066,4,0),0)</f>
      </c>
      <c r="AV564" s="217">
        <f>+IF(W564&gt;W563,AU564,AV563+AU564)</f>
      </c>
      <c r="AW564" s="217">
        <f>+MAX($AM$2-SUMIF($W$7:$W$1066,W564,$AN$7:$AN$1066)-SUMIF($W$7:$W$1066,W564,$AS$7:$AS$1066),0)</f>
      </c>
      <c r="AX564" s="748">
        <f>+MAX(IF(AV564&gt;AW564,AW564-AV563,AU564),0)</f>
      </c>
      <c r="AY564" s="748">
        <f>+AU564-AX564</f>
      </c>
      <c r="AZ564" s="331">
        <f>+$AM$1+IF($AP$1&gt;$AP$2,$AM$3/2)</f>
      </c>
    </row>
    <row x14ac:dyDescent="0.25" r="565" customHeight="1" ht="18.75">
      <c r="A565" s="1"/>
      <c r="B565" s="7"/>
      <c r="C565" s="170"/>
      <c r="D565" s="331">
        <v>558</v>
      </c>
      <c r="E565" s="544">
        <f>+DATE(YEAR(E564),MONTH(E564)-1,DAY(E564))</f>
        <v>25569.041666666668</v>
      </c>
      <c r="F565" s="333">
        <f>IF(DATE(YEAR($B$6),MONTH($B$6)+1,DAY(1))=E565,1,IF(MONTH(E565)=1,F566*(1+$F$5),F566))</f>
      </c>
      <c r="G565" s="333">
        <f>IF('Simulador - 1º Pilar'!$E$99="Sí",IF('Aportaciones PPE'!$B$13&lt;'Aportaciones PPE'!E565,0,F565*$B$8/12),F565*$B$8/12)</f>
      </c>
      <c r="H565" s="333">
        <f>$H$5*G565</f>
      </c>
      <c r="I565" s="333">
        <f>$I$5*G565</f>
      </c>
      <c r="J565" s="333">
        <f>+I565</f>
      </c>
      <c r="K565" s="333">
        <f>(1+$O$5)^(D565/12)*(H565+IF(AND(F565=1,F566=0),$S$4,0))</f>
      </c>
      <c r="L565" s="333">
        <f>(1+$O$5)^(D565/12)*(I565+IF(AND(F565=1,F566=0),0))</f>
      </c>
      <c r="M565" s="333">
        <f>+L565</f>
      </c>
      <c r="N565" s="333">
        <f>L565+K565+M565</f>
      </c>
      <c r="O565" s="170"/>
      <c r="P565" s="7"/>
      <c r="Q565" s="1"/>
      <c r="R565" s="331">
        <f>D565</f>
      </c>
      <c r="S565" s="169"/>
      <c r="T565" s="1"/>
      <c r="U565" s="217"/>
      <c r="V565" s="331">
        <f>+IF(V564=11,12,IF(V564=12,1,V564+1))</f>
      </c>
      <c r="W565" s="331">
        <f>+W564+IF(V564=12,1,0)</f>
      </c>
      <c r="X565" s="555">
        <f>+DATE(W565,V565,1)</f>
        <v>25569.041666666668</v>
      </c>
      <c r="Y565" s="333">
        <f>+_xlfn.IFNA(AN565+AS565+AX565,0)</f>
      </c>
      <c r="Z565" s="333">
        <f>+_xlfn.IFNA(AO565+AT565+AY565,0)</f>
      </c>
      <c r="AA565" s="333">
        <f>Y565*(1+$O$5)^(($B$7-X565)/365.25)</f>
      </c>
      <c r="AB565" s="333">
        <f>Z565*(1+$O$5)^(($B$7-X565)/365.25)</f>
      </c>
      <c r="AC565" s="1"/>
      <c r="AD565" s="1"/>
      <c r="AE565" s="1"/>
      <c r="AF565" s="111">
        <f>+MONTH(E565)&amp;YEAR(E565)</f>
      </c>
      <c r="AG565" s="217">
        <f>+I565</f>
      </c>
      <c r="AH565" s="217">
        <f>+J565</f>
      </c>
      <c r="AI565" s="217">
        <f>+H565</f>
      </c>
      <c r="AJ565" s="111">
        <f>+V565&amp;W565</f>
      </c>
      <c r="AK565" s="217">
        <f>+_xlfn.IFNA(VLOOKUP(AJ565,$AF$7:$AG$1066,2,0),0)</f>
      </c>
      <c r="AL565" s="217">
        <f>+IF(W565&gt;W564,AK565,AL564+AK565)</f>
      </c>
      <c r="AM565" s="217">
        <f>IF(W565&gt;W564,IF(AL565&gt;=$AZ$8,$AZ$8,AL565),IF(OR(AM564=$AZ$8,AM564=0),0,IF(AL565&gt;=$AZ$8,$AZ$8,AL565)))</f>
      </c>
      <c r="AN565" s="748">
        <f>+IF(OR(AM565&gt;AZ564,AM565=0),0,IF(AM565=AL565,AK565,$AZ$7-AL564))</f>
      </c>
      <c r="AO565" s="748">
        <f>+AK565-AN565</f>
      </c>
      <c r="AP565" s="217">
        <f>+_xlfn.IFNA(VLOOKUP(AJ565,$AF$7:$AI$1066,3,0),0)</f>
      </c>
      <c r="AQ565" s="217">
        <f>+IF(W565&gt;W564,AP565,AQ564+AP565)</f>
      </c>
      <c r="AR565" s="217">
        <f>+MAX($AM$2-SUMIF($W$7:$W$1066,W565,$AN$7:$AN$1066),0)</f>
      </c>
      <c r="AS565" s="748">
        <f>+MAX(IF(AQ565&gt;AR565,AR565-AQ564,AP565),0)</f>
      </c>
      <c r="AT565" s="748">
        <f>+AP565-AS565</f>
      </c>
      <c r="AU565" s="217">
        <f>+_xlfn.IFNA(VLOOKUP(AJ565,$AF$7:$AI$1066,4,0),0)</f>
      </c>
      <c r="AV565" s="217">
        <f>+IF(W565&gt;W564,AU565,AV564+AU565)</f>
      </c>
      <c r="AW565" s="217">
        <f>+MAX($AM$2-SUMIF($W$7:$W$1066,W565,$AN$7:$AN$1066)-SUMIF($W$7:$W$1066,W565,$AS$7:$AS$1066),0)</f>
      </c>
      <c r="AX565" s="748">
        <f>+MAX(IF(AV565&gt;AW565,AW565-AV564,AU565),0)</f>
      </c>
      <c r="AY565" s="748">
        <f>+AU565-AX565</f>
      </c>
      <c r="AZ565" s="331">
        <f>+$AM$1+IF($AP$1&gt;$AP$2,$AM$3/2)</f>
      </c>
    </row>
    <row x14ac:dyDescent="0.25" r="566" customHeight="1" ht="18.75">
      <c r="A566" s="1"/>
      <c r="B566" s="7"/>
      <c r="C566" s="170"/>
      <c r="D566" s="331">
        <v>559</v>
      </c>
      <c r="E566" s="544">
        <f>+DATE(YEAR(E565),MONTH(E565)-1,DAY(E565))</f>
        <v>25569.041666666668</v>
      </c>
      <c r="F566" s="333">
        <f>IF(DATE(YEAR($B$6),MONTH($B$6)+1,DAY(1))=E566,1,IF(MONTH(E566)=1,F567*(1+$F$5),F567))</f>
      </c>
      <c r="G566" s="333">
        <f>IF('Simulador - 1º Pilar'!$E$99="Sí",IF('Aportaciones PPE'!$B$13&lt;'Aportaciones PPE'!E566,0,F566*$B$8/12),F566*$B$8/12)</f>
      </c>
      <c r="H566" s="333">
        <f>$H$5*G566</f>
      </c>
      <c r="I566" s="333">
        <f>$I$5*G566</f>
      </c>
      <c r="J566" s="333">
        <f>+I566</f>
      </c>
      <c r="K566" s="333">
        <f>(1+$O$5)^(D566/12)*(H566+IF(AND(F566=1,F567=0),$S$4,0))</f>
      </c>
      <c r="L566" s="333">
        <f>(1+$O$5)^(D566/12)*(I566+IF(AND(F566=1,F567=0),0))</f>
      </c>
      <c r="M566" s="333">
        <f>+L566</f>
      </c>
      <c r="N566" s="333">
        <f>L566+K566+M566</f>
      </c>
      <c r="O566" s="170"/>
      <c r="P566" s="7"/>
      <c r="Q566" s="1"/>
      <c r="R566" s="331">
        <f>D566</f>
      </c>
      <c r="S566" s="169"/>
      <c r="T566" s="1"/>
      <c r="U566" s="217"/>
      <c r="V566" s="331">
        <f>+IF(V565=11,12,IF(V565=12,1,V565+1))</f>
      </c>
      <c r="W566" s="331">
        <f>+W565+IF(V565=12,1,0)</f>
      </c>
      <c r="X566" s="555">
        <f>+DATE(W566,V566,1)</f>
        <v>25569.041666666668</v>
      </c>
      <c r="Y566" s="333">
        <f>+_xlfn.IFNA(AN566+AS566+AX566,0)</f>
      </c>
      <c r="Z566" s="333">
        <f>+_xlfn.IFNA(AO566+AT566+AY566,0)</f>
      </c>
      <c r="AA566" s="333">
        <f>Y566*(1+$O$5)^(($B$7-X566)/365.25)</f>
      </c>
      <c r="AB566" s="333">
        <f>Z566*(1+$O$5)^(($B$7-X566)/365.25)</f>
      </c>
      <c r="AC566" s="1"/>
      <c r="AD566" s="1"/>
      <c r="AE566" s="1"/>
      <c r="AF566" s="111">
        <f>+MONTH(E566)&amp;YEAR(E566)</f>
      </c>
      <c r="AG566" s="217">
        <f>+I566</f>
      </c>
      <c r="AH566" s="217">
        <f>+J566</f>
      </c>
      <c r="AI566" s="217">
        <f>+H566</f>
      </c>
      <c r="AJ566" s="111">
        <f>+V566&amp;W566</f>
      </c>
      <c r="AK566" s="217">
        <f>+_xlfn.IFNA(VLOOKUP(AJ566,$AF$7:$AG$1066,2,0),0)</f>
      </c>
      <c r="AL566" s="217">
        <f>+IF(W566&gt;W565,AK566,AL565+AK566)</f>
      </c>
      <c r="AM566" s="217">
        <f>IF(W566&gt;W565,IF(AL566&gt;=$AZ$8,$AZ$8,AL566),IF(OR(AM565=$AZ$8,AM565=0),0,IF(AL566&gt;=$AZ$8,$AZ$8,AL566)))</f>
      </c>
      <c r="AN566" s="748">
        <f>+IF(OR(AM566&gt;AZ565,AM566=0),0,IF(AM566=AL566,AK566,$AZ$7-AL565))</f>
      </c>
      <c r="AO566" s="748">
        <f>+AK566-AN566</f>
      </c>
      <c r="AP566" s="217">
        <f>+_xlfn.IFNA(VLOOKUP(AJ566,$AF$7:$AI$1066,3,0),0)</f>
      </c>
      <c r="AQ566" s="217">
        <f>+IF(W566&gt;W565,AP566,AQ565+AP566)</f>
      </c>
      <c r="AR566" s="217">
        <f>+MAX($AM$2-SUMIF($W$7:$W$1066,W566,$AN$7:$AN$1066),0)</f>
      </c>
      <c r="AS566" s="748">
        <f>+MAX(IF(AQ566&gt;AR566,AR566-AQ565,AP566),0)</f>
      </c>
      <c r="AT566" s="748">
        <f>+AP566-AS566</f>
      </c>
      <c r="AU566" s="217">
        <f>+_xlfn.IFNA(VLOOKUP(AJ566,$AF$7:$AI$1066,4,0),0)</f>
      </c>
      <c r="AV566" s="217">
        <f>+IF(W566&gt;W565,AU566,AV565+AU566)</f>
      </c>
      <c r="AW566" s="217">
        <f>+MAX($AM$2-SUMIF($W$7:$W$1066,W566,$AN$7:$AN$1066)-SUMIF($W$7:$W$1066,W566,$AS$7:$AS$1066),0)</f>
      </c>
      <c r="AX566" s="748">
        <f>+MAX(IF(AV566&gt;AW566,AW566-AV565,AU566),0)</f>
      </c>
      <c r="AY566" s="748">
        <f>+AU566-AX566</f>
      </c>
      <c r="AZ566" s="331">
        <f>+$AM$1+IF($AP$1&gt;$AP$2,$AM$3/2)</f>
      </c>
    </row>
    <row x14ac:dyDescent="0.25" r="567" customHeight="1" ht="18.75">
      <c r="A567" s="1"/>
      <c r="B567" s="7"/>
      <c r="C567" s="170"/>
      <c r="D567" s="331">
        <v>560</v>
      </c>
      <c r="E567" s="544">
        <f>+DATE(YEAR(E566),MONTH(E566)-1,DAY(E566))</f>
        <v>25569.041666666668</v>
      </c>
      <c r="F567" s="333">
        <f>IF(DATE(YEAR($B$6),MONTH($B$6)+1,DAY(1))=E567,1,IF(MONTH(E567)=1,F568*(1+$F$5),F568))</f>
      </c>
      <c r="G567" s="333">
        <f>IF('Simulador - 1º Pilar'!$E$99="Sí",IF('Aportaciones PPE'!$B$13&lt;'Aportaciones PPE'!E567,0,F567*$B$8/12),F567*$B$8/12)</f>
      </c>
      <c r="H567" s="333">
        <f>$H$5*G567</f>
      </c>
      <c r="I567" s="333">
        <f>$I$5*G567</f>
      </c>
      <c r="J567" s="333">
        <f>+I567</f>
      </c>
      <c r="K567" s="333">
        <f>(1+$O$5)^(D567/12)*(H567+IF(AND(F567=1,F568=0),$S$4,0))</f>
      </c>
      <c r="L567" s="333">
        <f>(1+$O$5)^(D567/12)*(I567+IF(AND(F567=1,F568=0),0))</f>
      </c>
      <c r="M567" s="333">
        <f>+L567</f>
      </c>
      <c r="N567" s="333">
        <f>L567+K567+M567</f>
      </c>
      <c r="O567" s="170"/>
      <c r="P567" s="7"/>
      <c r="Q567" s="1"/>
      <c r="R567" s="331">
        <f>D567</f>
      </c>
      <c r="S567" s="169"/>
      <c r="T567" s="1"/>
      <c r="U567" s="217"/>
      <c r="V567" s="331">
        <f>+IF(V566=11,12,IF(V566=12,1,V566+1))</f>
      </c>
      <c r="W567" s="331">
        <f>+W566+IF(V566=12,1,0)</f>
      </c>
      <c r="X567" s="555">
        <f>+DATE(W567,V567,1)</f>
        <v>25569.041666666668</v>
      </c>
      <c r="Y567" s="333">
        <f>+_xlfn.IFNA(AN567+AS567+AX567,0)</f>
      </c>
      <c r="Z567" s="333">
        <f>+_xlfn.IFNA(AO567+AT567+AY567,0)</f>
      </c>
      <c r="AA567" s="333">
        <f>Y567*(1+$O$5)^(($B$7-X567)/365.25)</f>
      </c>
      <c r="AB567" s="333">
        <f>Z567*(1+$O$5)^(($B$7-X567)/365.25)</f>
      </c>
      <c r="AC567" s="1"/>
      <c r="AD567" s="1"/>
      <c r="AE567" s="1"/>
      <c r="AF567" s="111">
        <f>+MONTH(E567)&amp;YEAR(E567)</f>
      </c>
      <c r="AG567" s="217">
        <f>+I567</f>
      </c>
      <c r="AH567" s="217">
        <f>+J567</f>
      </c>
      <c r="AI567" s="217">
        <f>+H567</f>
      </c>
      <c r="AJ567" s="111">
        <f>+V567&amp;W567</f>
      </c>
      <c r="AK567" s="217">
        <f>+_xlfn.IFNA(VLOOKUP(AJ567,$AF$7:$AG$1066,2,0),0)</f>
      </c>
      <c r="AL567" s="217">
        <f>+IF(W567&gt;W566,AK567,AL566+AK567)</f>
      </c>
      <c r="AM567" s="217">
        <f>IF(W567&gt;W566,IF(AL567&gt;=$AZ$8,$AZ$8,AL567),IF(OR(AM566=$AZ$8,AM566=0),0,IF(AL567&gt;=$AZ$8,$AZ$8,AL567)))</f>
      </c>
      <c r="AN567" s="748">
        <f>+IF(OR(AM567&gt;AZ566,AM567=0),0,IF(AM567=AL567,AK567,$AZ$7-AL566))</f>
      </c>
      <c r="AO567" s="748">
        <f>+AK567-AN567</f>
      </c>
      <c r="AP567" s="217">
        <f>+_xlfn.IFNA(VLOOKUP(AJ567,$AF$7:$AI$1066,3,0),0)</f>
      </c>
      <c r="AQ567" s="217">
        <f>+IF(W567&gt;W566,AP567,AQ566+AP567)</f>
      </c>
      <c r="AR567" s="217">
        <f>+MAX($AM$2-SUMIF($W$7:$W$1066,W567,$AN$7:$AN$1066),0)</f>
      </c>
      <c r="AS567" s="748">
        <f>+MAX(IF(AQ567&gt;AR567,AR567-AQ566,AP567),0)</f>
      </c>
      <c r="AT567" s="748">
        <f>+AP567-AS567</f>
      </c>
      <c r="AU567" s="217">
        <f>+_xlfn.IFNA(VLOOKUP(AJ567,$AF$7:$AI$1066,4,0),0)</f>
      </c>
      <c r="AV567" s="217">
        <f>+IF(W567&gt;W566,AU567,AV566+AU567)</f>
      </c>
      <c r="AW567" s="217">
        <f>+MAX($AM$2-SUMIF($W$7:$W$1066,W567,$AN$7:$AN$1066)-SUMIF($W$7:$W$1066,W567,$AS$7:$AS$1066),0)</f>
      </c>
      <c r="AX567" s="748">
        <f>+MAX(IF(AV567&gt;AW567,AW567-AV566,AU567),0)</f>
      </c>
      <c r="AY567" s="748">
        <f>+AU567-AX567</f>
      </c>
      <c r="AZ567" s="331">
        <f>+$AM$1+IF($AP$1&gt;$AP$2,$AM$3/2)</f>
      </c>
    </row>
    <row x14ac:dyDescent="0.25" r="568" customHeight="1" ht="18.75">
      <c r="A568" s="1"/>
      <c r="B568" s="7"/>
      <c r="C568" s="170"/>
      <c r="D568" s="331">
        <v>561</v>
      </c>
      <c r="E568" s="544">
        <f>+DATE(YEAR(E567),MONTH(E567)-1,DAY(E567))</f>
        <v>25569.041666666668</v>
      </c>
      <c r="F568" s="333">
        <f>IF(DATE(YEAR($B$6),MONTH($B$6)+1,DAY(1))=E568,1,IF(MONTH(E568)=1,F569*(1+$F$5),F569))</f>
      </c>
      <c r="G568" s="333">
        <f>IF('Simulador - 1º Pilar'!$E$99="Sí",IF('Aportaciones PPE'!$B$13&lt;'Aportaciones PPE'!E568,0,F568*$B$8/12),F568*$B$8/12)</f>
      </c>
      <c r="H568" s="333">
        <f>$H$5*G568</f>
      </c>
      <c r="I568" s="333">
        <f>$I$5*G568</f>
      </c>
      <c r="J568" s="333">
        <f>+I568</f>
      </c>
      <c r="K568" s="333">
        <f>(1+$O$5)^(D568/12)*(H568+IF(AND(F568=1,F569=0),$S$4,0))</f>
      </c>
      <c r="L568" s="333">
        <f>(1+$O$5)^(D568/12)*(I568+IF(AND(F568=1,F569=0),0))</f>
      </c>
      <c r="M568" s="333">
        <f>+L568</f>
      </c>
      <c r="N568" s="333">
        <f>L568+K568+M568</f>
      </c>
      <c r="O568" s="170"/>
      <c r="P568" s="7"/>
      <c r="Q568" s="1"/>
      <c r="R568" s="331">
        <f>D568</f>
      </c>
      <c r="S568" s="169"/>
      <c r="T568" s="1"/>
      <c r="U568" s="217"/>
      <c r="V568" s="331">
        <f>+IF(V567=11,12,IF(V567=12,1,V567+1))</f>
      </c>
      <c r="W568" s="331">
        <f>+W567+IF(V567=12,1,0)</f>
      </c>
      <c r="X568" s="555">
        <f>+DATE(W568,V568,1)</f>
        <v>25569.041666666668</v>
      </c>
      <c r="Y568" s="333">
        <f>+_xlfn.IFNA(AN568+AS568+AX568,0)</f>
      </c>
      <c r="Z568" s="333">
        <f>+_xlfn.IFNA(AO568+AT568+AY568,0)</f>
      </c>
      <c r="AA568" s="333">
        <f>Y568*(1+$O$5)^(($B$7-X568)/365.25)</f>
      </c>
      <c r="AB568" s="333">
        <f>Z568*(1+$O$5)^(($B$7-X568)/365.25)</f>
      </c>
      <c r="AC568" s="1"/>
      <c r="AD568" s="1"/>
      <c r="AE568" s="1"/>
      <c r="AF568" s="111">
        <f>+MONTH(E568)&amp;YEAR(E568)</f>
      </c>
      <c r="AG568" s="217">
        <f>+I568</f>
      </c>
      <c r="AH568" s="217">
        <f>+J568</f>
      </c>
      <c r="AI568" s="217">
        <f>+H568</f>
      </c>
      <c r="AJ568" s="111">
        <f>+V568&amp;W568</f>
      </c>
      <c r="AK568" s="217">
        <f>+_xlfn.IFNA(VLOOKUP(AJ568,$AF$7:$AG$1066,2,0),0)</f>
      </c>
      <c r="AL568" s="217">
        <f>+IF(W568&gt;W567,AK568,AL567+AK568)</f>
      </c>
      <c r="AM568" s="217">
        <f>IF(W568&gt;W567,IF(AL568&gt;=$AZ$8,$AZ$8,AL568),IF(OR(AM567=$AZ$8,AM567=0),0,IF(AL568&gt;=$AZ$8,$AZ$8,AL568)))</f>
      </c>
      <c r="AN568" s="748">
        <f>+IF(OR(AM568&gt;AZ567,AM568=0),0,IF(AM568=AL568,AK568,$AZ$7-AL567))</f>
      </c>
      <c r="AO568" s="748">
        <f>+AK568-AN568</f>
      </c>
      <c r="AP568" s="217">
        <f>+_xlfn.IFNA(VLOOKUP(AJ568,$AF$7:$AI$1066,3,0),0)</f>
      </c>
      <c r="AQ568" s="217">
        <f>+IF(W568&gt;W567,AP568,AQ567+AP568)</f>
      </c>
      <c r="AR568" s="217">
        <f>+MAX($AM$2-SUMIF($W$7:$W$1066,W568,$AN$7:$AN$1066),0)</f>
      </c>
      <c r="AS568" s="748">
        <f>+MAX(IF(AQ568&gt;AR568,AR568-AQ567,AP568),0)</f>
      </c>
      <c r="AT568" s="748">
        <f>+AP568-AS568</f>
      </c>
      <c r="AU568" s="217">
        <f>+_xlfn.IFNA(VLOOKUP(AJ568,$AF$7:$AI$1066,4,0),0)</f>
      </c>
      <c r="AV568" s="217">
        <f>+IF(W568&gt;W567,AU568,AV567+AU568)</f>
      </c>
      <c r="AW568" s="217">
        <f>+MAX($AM$2-SUMIF($W$7:$W$1066,W568,$AN$7:$AN$1066)-SUMIF($W$7:$W$1066,W568,$AS$7:$AS$1066),0)</f>
      </c>
      <c r="AX568" s="748">
        <f>+MAX(IF(AV568&gt;AW568,AW568-AV567,AU568),0)</f>
      </c>
      <c r="AY568" s="748">
        <f>+AU568-AX568</f>
      </c>
      <c r="AZ568" s="331">
        <f>+$AM$1+IF($AP$1&gt;$AP$2,$AM$3/2)</f>
      </c>
    </row>
    <row x14ac:dyDescent="0.25" r="569" customHeight="1" ht="18.75">
      <c r="A569" s="1"/>
      <c r="B569" s="7"/>
      <c r="C569" s="170"/>
      <c r="D569" s="331">
        <v>562</v>
      </c>
      <c r="E569" s="544">
        <f>+DATE(YEAR(E568),MONTH(E568)-1,DAY(E568))</f>
        <v>25569.041666666668</v>
      </c>
      <c r="F569" s="333">
        <f>IF(DATE(YEAR($B$6),MONTH($B$6)+1,DAY(1))=E569,1,IF(MONTH(E569)=1,F570*(1+$F$5),F570))</f>
      </c>
      <c r="G569" s="333">
        <f>IF('Simulador - 1º Pilar'!$E$99="Sí",IF('Aportaciones PPE'!$B$13&lt;'Aportaciones PPE'!E569,0,F569*$B$8/12),F569*$B$8/12)</f>
      </c>
      <c r="H569" s="333">
        <f>$H$5*G569</f>
      </c>
      <c r="I569" s="333">
        <f>$I$5*G569</f>
      </c>
      <c r="J569" s="333">
        <f>+I569</f>
      </c>
      <c r="K569" s="333">
        <f>(1+$O$5)^(D569/12)*(H569+IF(AND(F569=1,F570=0),$S$4,0))</f>
      </c>
      <c r="L569" s="333">
        <f>(1+$O$5)^(D569/12)*(I569+IF(AND(F569=1,F570=0),0))</f>
      </c>
      <c r="M569" s="333">
        <f>+L569</f>
      </c>
      <c r="N569" s="333">
        <f>L569+K569+M569</f>
      </c>
      <c r="O569" s="170"/>
      <c r="P569" s="7"/>
      <c r="Q569" s="1"/>
      <c r="R569" s="331">
        <f>D569</f>
      </c>
      <c r="S569" s="169"/>
      <c r="T569" s="1"/>
      <c r="U569" s="217"/>
      <c r="V569" s="331">
        <f>+IF(V568=11,12,IF(V568=12,1,V568+1))</f>
      </c>
      <c r="W569" s="331">
        <f>+W568+IF(V568=12,1,0)</f>
      </c>
      <c r="X569" s="555">
        <f>+DATE(W569,V569,1)</f>
        <v>25569.041666666668</v>
      </c>
      <c r="Y569" s="333">
        <f>+_xlfn.IFNA(AN569+AS569+AX569,0)</f>
      </c>
      <c r="Z569" s="333">
        <f>+_xlfn.IFNA(AO569+AT569+AY569,0)</f>
      </c>
      <c r="AA569" s="333">
        <f>Y569*(1+$O$5)^(($B$7-X569)/365.25)</f>
      </c>
      <c r="AB569" s="333">
        <f>Z569*(1+$O$5)^(($B$7-X569)/365.25)</f>
      </c>
      <c r="AC569" s="1"/>
      <c r="AD569" s="1"/>
      <c r="AE569" s="1"/>
      <c r="AF569" s="111">
        <f>+MONTH(E569)&amp;YEAR(E569)</f>
      </c>
      <c r="AG569" s="217">
        <f>+I569</f>
      </c>
      <c r="AH569" s="217">
        <f>+J569</f>
      </c>
      <c r="AI569" s="217">
        <f>+H569</f>
      </c>
      <c r="AJ569" s="111">
        <f>+V569&amp;W569</f>
      </c>
      <c r="AK569" s="217">
        <f>+_xlfn.IFNA(VLOOKUP(AJ569,$AF$7:$AG$1066,2,0),0)</f>
      </c>
      <c r="AL569" s="217">
        <f>+IF(W569&gt;W568,AK569,AL568+AK569)</f>
      </c>
      <c r="AM569" s="217">
        <f>IF(W569&gt;W568,IF(AL569&gt;=$AZ$8,$AZ$8,AL569),IF(OR(AM568=$AZ$8,AM568=0),0,IF(AL569&gt;=$AZ$8,$AZ$8,AL569)))</f>
      </c>
      <c r="AN569" s="748">
        <f>+IF(OR(AM569&gt;AZ568,AM569=0),0,IF(AM569=AL569,AK569,$AZ$7-AL568))</f>
      </c>
      <c r="AO569" s="748">
        <f>+AK569-AN569</f>
      </c>
      <c r="AP569" s="217">
        <f>+_xlfn.IFNA(VLOOKUP(AJ569,$AF$7:$AI$1066,3,0),0)</f>
      </c>
      <c r="AQ569" s="217">
        <f>+IF(W569&gt;W568,AP569,AQ568+AP569)</f>
      </c>
      <c r="AR569" s="217">
        <f>+MAX($AM$2-SUMIF($W$7:$W$1066,W569,$AN$7:$AN$1066),0)</f>
      </c>
      <c r="AS569" s="748">
        <f>+MAX(IF(AQ569&gt;AR569,AR569-AQ568,AP569),0)</f>
      </c>
      <c r="AT569" s="748">
        <f>+AP569-AS569</f>
      </c>
      <c r="AU569" s="217">
        <f>+_xlfn.IFNA(VLOOKUP(AJ569,$AF$7:$AI$1066,4,0),0)</f>
      </c>
      <c r="AV569" s="217">
        <f>+IF(W569&gt;W568,AU569,AV568+AU569)</f>
      </c>
      <c r="AW569" s="217">
        <f>+MAX($AM$2-SUMIF($W$7:$W$1066,W569,$AN$7:$AN$1066)-SUMIF($W$7:$W$1066,W569,$AS$7:$AS$1066),0)</f>
      </c>
      <c r="AX569" s="748">
        <f>+MAX(IF(AV569&gt;AW569,AW569-AV568,AU569),0)</f>
      </c>
      <c r="AY569" s="748">
        <f>+AU569-AX569</f>
      </c>
      <c r="AZ569" s="331">
        <f>+$AM$1+IF($AP$1&gt;$AP$2,$AM$3/2)</f>
      </c>
    </row>
    <row x14ac:dyDescent="0.25" r="570" customHeight="1" ht="18.75">
      <c r="A570" s="1"/>
      <c r="B570" s="7"/>
      <c r="C570" s="170"/>
      <c r="D570" s="331">
        <v>563</v>
      </c>
      <c r="E570" s="544">
        <f>+DATE(YEAR(E569),MONTH(E569)-1,DAY(E569))</f>
        <v>25569.041666666668</v>
      </c>
      <c r="F570" s="333">
        <f>IF(DATE(YEAR($B$6),MONTH($B$6)+1,DAY(1))=E570,1,IF(MONTH(E570)=1,F571*(1+$F$5),F571))</f>
      </c>
      <c r="G570" s="333">
        <f>IF('Simulador - 1º Pilar'!$E$99="Sí",IF('Aportaciones PPE'!$B$13&lt;'Aportaciones PPE'!E570,0,F570*$B$8/12),F570*$B$8/12)</f>
      </c>
      <c r="H570" s="333">
        <f>$H$5*G570</f>
      </c>
      <c r="I570" s="333">
        <f>$I$5*G570</f>
      </c>
      <c r="J570" s="333">
        <f>+I570</f>
      </c>
      <c r="K570" s="333">
        <f>(1+$O$5)^(D570/12)*(H570+IF(AND(F570=1,F571=0),$S$4,0))</f>
      </c>
      <c r="L570" s="333">
        <f>(1+$O$5)^(D570/12)*(I570+IF(AND(F570=1,F571=0),0))</f>
      </c>
      <c r="M570" s="333">
        <f>+L570</f>
      </c>
      <c r="N570" s="333">
        <f>L570+K570+M570</f>
      </c>
      <c r="O570" s="170"/>
      <c r="P570" s="7"/>
      <c r="Q570" s="1"/>
      <c r="R570" s="331">
        <f>D570</f>
      </c>
      <c r="S570" s="169"/>
      <c r="T570" s="1"/>
      <c r="U570" s="217"/>
      <c r="V570" s="331">
        <f>+IF(V569=11,12,IF(V569=12,1,V569+1))</f>
      </c>
      <c r="W570" s="331">
        <f>+W569+IF(V569=12,1,0)</f>
      </c>
      <c r="X570" s="555">
        <f>+DATE(W570,V570,1)</f>
        <v>25569.041666666668</v>
      </c>
      <c r="Y570" s="333">
        <f>+_xlfn.IFNA(AN570+AS570+AX570,0)</f>
      </c>
      <c r="Z570" s="333">
        <f>+_xlfn.IFNA(AO570+AT570+AY570,0)</f>
      </c>
      <c r="AA570" s="333">
        <f>Y570*(1+$O$5)^(($B$7-X570)/365.25)</f>
      </c>
      <c r="AB570" s="333">
        <f>Z570*(1+$O$5)^(($B$7-X570)/365.25)</f>
      </c>
      <c r="AC570" s="1"/>
      <c r="AD570" s="1"/>
      <c r="AE570" s="1"/>
      <c r="AF570" s="111">
        <f>+MONTH(E570)&amp;YEAR(E570)</f>
      </c>
      <c r="AG570" s="217">
        <f>+I570</f>
      </c>
      <c r="AH570" s="217">
        <f>+J570</f>
      </c>
      <c r="AI570" s="217">
        <f>+H570</f>
      </c>
      <c r="AJ570" s="111">
        <f>+V570&amp;W570</f>
      </c>
      <c r="AK570" s="217">
        <f>+_xlfn.IFNA(VLOOKUP(AJ570,$AF$7:$AG$1066,2,0),0)</f>
      </c>
      <c r="AL570" s="217">
        <f>+IF(W570&gt;W569,AK570,AL569+AK570)</f>
      </c>
      <c r="AM570" s="217">
        <f>IF(W570&gt;W569,IF(AL570&gt;=$AZ$8,$AZ$8,AL570),IF(OR(AM569=$AZ$8,AM569=0),0,IF(AL570&gt;=$AZ$8,$AZ$8,AL570)))</f>
      </c>
      <c r="AN570" s="748">
        <f>+IF(OR(AM570&gt;AZ569,AM570=0),0,IF(AM570=AL570,AK570,$AZ$7-AL569))</f>
      </c>
      <c r="AO570" s="748">
        <f>+AK570-AN570</f>
      </c>
      <c r="AP570" s="217">
        <f>+_xlfn.IFNA(VLOOKUP(AJ570,$AF$7:$AI$1066,3,0),0)</f>
      </c>
      <c r="AQ570" s="217">
        <f>+IF(W570&gt;W569,AP570,AQ569+AP570)</f>
      </c>
      <c r="AR570" s="217">
        <f>+MAX($AM$2-SUMIF($W$7:$W$1066,W570,$AN$7:$AN$1066),0)</f>
      </c>
      <c r="AS570" s="748">
        <f>+MAX(IF(AQ570&gt;AR570,AR570-AQ569,AP570),0)</f>
      </c>
      <c r="AT570" s="748">
        <f>+AP570-AS570</f>
      </c>
      <c r="AU570" s="217">
        <f>+_xlfn.IFNA(VLOOKUP(AJ570,$AF$7:$AI$1066,4,0),0)</f>
      </c>
      <c r="AV570" s="217">
        <f>+IF(W570&gt;W569,AU570,AV569+AU570)</f>
      </c>
      <c r="AW570" s="217">
        <f>+MAX($AM$2-SUMIF($W$7:$W$1066,W570,$AN$7:$AN$1066)-SUMIF($W$7:$W$1066,W570,$AS$7:$AS$1066),0)</f>
      </c>
      <c r="AX570" s="748">
        <f>+MAX(IF(AV570&gt;AW570,AW570-AV569,AU570),0)</f>
      </c>
      <c r="AY570" s="748">
        <f>+AU570-AX570</f>
      </c>
      <c r="AZ570" s="331">
        <f>+$AM$1+IF($AP$1&gt;$AP$2,$AM$3/2)</f>
      </c>
    </row>
    <row x14ac:dyDescent="0.25" r="571" customHeight="1" ht="18.75">
      <c r="A571" s="1"/>
      <c r="B571" s="7"/>
      <c r="C571" s="170"/>
      <c r="D571" s="331">
        <v>564</v>
      </c>
      <c r="E571" s="544">
        <f>+DATE(YEAR(E570),MONTH(E570)-1,DAY(E570))</f>
        <v>25569.041666666668</v>
      </c>
      <c r="F571" s="333">
        <f>IF(DATE(YEAR($B$6),MONTH($B$6)+1,DAY(1))=E571,1,IF(MONTH(E571)=1,F572*(1+$F$5),F572))</f>
      </c>
      <c r="G571" s="333">
        <f>IF('Simulador - 1º Pilar'!$E$99="Sí",IF('Aportaciones PPE'!$B$13&lt;'Aportaciones PPE'!E571,0,F571*$B$8/12),F571*$B$8/12)</f>
      </c>
      <c r="H571" s="333">
        <f>$H$5*G571</f>
      </c>
      <c r="I571" s="333">
        <f>$I$5*G571</f>
      </c>
      <c r="J571" s="333">
        <f>+I571</f>
      </c>
      <c r="K571" s="333">
        <f>(1+$O$5)^(D571/12)*(H571+IF(AND(F571=1,F572=0),$S$4,0))</f>
      </c>
      <c r="L571" s="333">
        <f>(1+$O$5)^(D571/12)*(I571+IF(AND(F571=1,F572=0),0))</f>
      </c>
      <c r="M571" s="333">
        <f>+L571</f>
      </c>
      <c r="N571" s="333">
        <f>L571+K571+M571</f>
      </c>
      <c r="O571" s="170"/>
      <c r="P571" s="7"/>
      <c r="Q571" s="1"/>
      <c r="R571" s="331">
        <f>D571</f>
      </c>
      <c r="S571" s="169"/>
      <c r="T571" s="1"/>
      <c r="U571" s="217"/>
      <c r="V571" s="331">
        <f>+IF(V570=11,12,IF(V570=12,1,V570+1))</f>
      </c>
      <c r="W571" s="331">
        <f>+W570+IF(V570=12,1,0)</f>
      </c>
      <c r="X571" s="555">
        <f>+DATE(W571,V571,1)</f>
        <v>25569.041666666668</v>
      </c>
      <c r="Y571" s="333">
        <f>+_xlfn.IFNA(AN571+AS571+AX571,0)</f>
      </c>
      <c r="Z571" s="333">
        <f>+_xlfn.IFNA(AO571+AT571+AY571,0)</f>
      </c>
      <c r="AA571" s="333">
        <f>Y571*(1+$O$5)^(($B$7-X571)/365.25)</f>
      </c>
      <c r="AB571" s="333">
        <f>Z571*(1+$O$5)^(($B$7-X571)/365.25)</f>
      </c>
      <c r="AC571" s="1"/>
      <c r="AD571" s="1"/>
      <c r="AE571" s="1"/>
      <c r="AF571" s="111">
        <f>+MONTH(E571)&amp;YEAR(E571)</f>
      </c>
      <c r="AG571" s="217">
        <f>+I571</f>
      </c>
      <c r="AH571" s="217">
        <f>+J571</f>
      </c>
      <c r="AI571" s="217">
        <f>+H571</f>
      </c>
      <c r="AJ571" s="111">
        <f>+V571&amp;W571</f>
      </c>
      <c r="AK571" s="217">
        <f>+_xlfn.IFNA(VLOOKUP(AJ571,$AF$7:$AG$1066,2,0),0)</f>
      </c>
      <c r="AL571" s="217">
        <f>+IF(W571&gt;W570,AK571,AL570+AK571)</f>
      </c>
      <c r="AM571" s="217">
        <f>IF(W571&gt;W570,IF(AL571&gt;=$AZ$8,$AZ$8,AL571),IF(OR(AM570=$AZ$8,AM570=0),0,IF(AL571&gt;=$AZ$8,$AZ$8,AL571)))</f>
      </c>
      <c r="AN571" s="748">
        <f>+IF(OR(AM571&gt;AZ570,AM571=0),0,IF(AM571=AL571,AK571,$AZ$7-AL570))</f>
      </c>
      <c r="AO571" s="748">
        <f>+AK571-AN571</f>
      </c>
      <c r="AP571" s="217">
        <f>+_xlfn.IFNA(VLOOKUP(AJ571,$AF$7:$AI$1066,3,0),0)</f>
      </c>
      <c r="AQ571" s="217">
        <f>+IF(W571&gt;W570,AP571,AQ570+AP571)</f>
      </c>
      <c r="AR571" s="217">
        <f>+MAX($AM$2-SUMIF($W$7:$W$1066,W571,$AN$7:$AN$1066),0)</f>
      </c>
      <c r="AS571" s="748">
        <f>+MAX(IF(AQ571&gt;AR571,AR571-AQ570,AP571),0)</f>
      </c>
      <c r="AT571" s="748">
        <f>+AP571-AS571</f>
      </c>
      <c r="AU571" s="217">
        <f>+_xlfn.IFNA(VLOOKUP(AJ571,$AF$7:$AI$1066,4,0),0)</f>
      </c>
      <c r="AV571" s="217">
        <f>+IF(W571&gt;W570,AU571,AV570+AU571)</f>
      </c>
      <c r="AW571" s="217">
        <f>+MAX($AM$2-SUMIF($W$7:$W$1066,W571,$AN$7:$AN$1066)-SUMIF($W$7:$W$1066,W571,$AS$7:$AS$1066),0)</f>
      </c>
      <c r="AX571" s="748">
        <f>+MAX(IF(AV571&gt;AW571,AW571-AV570,AU571),0)</f>
      </c>
      <c r="AY571" s="748">
        <f>+AU571-AX571</f>
      </c>
      <c r="AZ571" s="331">
        <f>+$AM$1+IF($AP$1&gt;$AP$2,$AM$3/2)</f>
      </c>
    </row>
    <row x14ac:dyDescent="0.25" r="572" customHeight="1" ht="18.75">
      <c r="A572" s="1"/>
      <c r="B572" s="7"/>
      <c r="C572" s="170"/>
      <c r="D572" s="331">
        <v>565</v>
      </c>
      <c r="E572" s="544">
        <f>+DATE(YEAR(E571),MONTH(E571)-1,DAY(E571))</f>
        <v>25569.041666666668</v>
      </c>
      <c r="F572" s="333">
        <f>IF(DATE(YEAR($B$6),MONTH($B$6)+1,DAY(1))=E572,1,IF(MONTH(E572)=1,F573*(1+$F$5),F573))</f>
      </c>
      <c r="G572" s="333">
        <f>IF('Simulador - 1º Pilar'!$E$99="Sí",IF('Aportaciones PPE'!$B$13&lt;'Aportaciones PPE'!E572,0,F572*$B$8/12),F572*$B$8/12)</f>
      </c>
      <c r="H572" s="333">
        <f>$H$5*G572</f>
      </c>
      <c r="I572" s="333">
        <f>$I$5*G572</f>
      </c>
      <c r="J572" s="333">
        <f>+I572</f>
      </c>
      <c r="K572" s="333">
        <f>(1+$O$5)^(D572/12)*(H572+IF(AND(F572=1,F573=0),$S$4,0))</f>
      </c>
      <c r="L572" s="333">
        <f>(1+$O$5)^(D572/12)*(I572+IF(AND(F572=1,F573=0),0))</f>
      </c>
      <c r="M572" s="333">
        <f>+L572</f>
      </c>
      <c r="N572" s="333">
        <f>L572+K572+M572</f>
      </c>
      <c r="O572" s="170"/>
      <c r="P572" s="7"/>
      <c r="Q572" s="1"/>
      <c r="R572" s="331">
        <f>D572</f>
      </c>
      <c r="S572" s="169"/>
      <c r="T572" s="1"/>
      <c r="U572" s="217"/>
      <c r="V572" s="331">
        <f>+IF(V571=11,12,IF(V571=12,1,V571+1))</f>
      </c>
      <c r="W572" s="331">
        <f>+W571+IF(V571=12,1,0)</f>
      </c>
      <c r="X572" s="555">
        <f>+DATE(W572,V572,1)</f>
        <v>25569.041666666668</v>
      </c>
      <c r="Y572" s="333">
        <f>+_xlfn.IFNA(AN572+AS572+AX572,0)</f>
      </c>
      <c r="Z572" s="333">
        <f>+_xlfn.IFNA(AO572+AT572+AY572,0)</f>
      </c>
      <c r="AA572" s="333">
        <f>Y572*(1+$O$5)^(($B$7-X572)/365.25)</f>
      </c>
      <c r="AB572" s="333">
        <f>Z572*(1+$O$5)^(($B$7-X572)/365.25)</f>
      </c>
      <c r="AC572" s="1"/>
      <c r="AD572" s="1"/>
      <c r="AE572" s="1"/>
      <c r="AF572" s="111">
        <f>+MONTH(E572)&amp;YEAR(E572)</f>
      </c>
      <c r="AG572" s="217">
        <f>+I572</f>
      </c>
      <c r="AH572" s="217">
        <f>+J572</f>
      </c>
      <c r="AI572" s="217">
        <f>+H572</f>
      </c>
      <c r="AJ572" s="111">
        <f>+V572&amp;W572</f>
      </c>
      <c r="AK572" s="217">
        <f>+_xlfn.IFNA(VLOOKUP(AJ572,$AF$7:$AG$1066,2,0),0)</f>
      </c>
      <c r="AL572" s="217">
        <f>+IF(W572&gt;W571,AK572,AL571+AK572)</f>
      </c>
      <c r="AM572" s="217">
        <f>IF(W572&gt;W571,IF(AL572&gt;=$AZ$8,$AZ$8,AL572),IF(OR(AM571=$AZ$8,AM571=0),0,IF(AL572&gt;=$AZ$8,$AZ$8,AL572)))</f>
      </c>
      <c r="AN572" s="748">
        <f>+IF(OR(AM572&gt;AZ571,AM572=0),0,IF(AM572=AL572,AK572,$AZ$7-AL571))</f>
      </c>
      <c r="AO572" s="748">
        <f>+AK572-AN572</f>
      </c>
      <c r="AP572" s="217">
        <f>+_xlfn.IFNA(VLOOKUP(AJ572,$AF$7:$AI$1066,3,0),0)</f>
      </c>
      <c r="AQ572" s="217">
        <f>+IF(W572&gt;W571,AP572,AQ571+AP572)</f>
      </c>
      <c r="AR572" s="217">
        <f>+MAX($AM$2-SUMIF($W$7:$W$1066,W572,$AN$7:$AN$1066),0)</f>
      </c>
      <c r="AS572" s="748">
        <f>+MAX(IF(AQ572&gt;AR572,AR572-AQ571,AP572),0)</f>
      </c>
      <c r="AT572" s="748">
        <f>+AP572-AS572</f>
      </c>
      <c r="AU572" s="217">
        <f>+_xlfn.IFNA(VLOOKUP(AJ572,$AF$7:$AI$1066,4,0),0)</f>
      </c>
      <c r="AV572" s="217">
        <f>+IF(W572&gt;W571,AU572,AV571+AU572)</f>
      </c>
      <c r="AW572" s="217">
        <f>+MAX($AM$2-SUMIF($W$7:$W$1066,W572,$AN$7:$AN$1066)-SUMIF($W$7:$W$1066,W572,$AS$7:$AS$1066),0)</f>
      </c>
      <c r="AX572" s="748">
        <f>+MAX(IF(AV572&gt;AW572,AW572-AV571,AU572),0)</f>
      </c>
      <c r="AY572" s="748">
        <f>+AU572-AX572</f>
      </c>
      <c r="AZ572" s="331">
        <f>+$AM$1+IF($AP$1&gt;$AP$2,$AM$3/2)</f>
      </c>
    </row>
    <row x14ac:dyDescent="0.25" r="573" customHeight="1" ht="18.75">
      <c r="A573" s="1"/>
      <c r="B573" s="7"/>
      <c r="C573" s="170"/>
      <c r="D573" s="331">
        <v>566</v>
      </c>
      <c r="E573" s="544">
        <f>+DATE(YEAR(E572),MONTH(E572)-1,DAY(E572))</f>
        <v>25569.041666666668</v>
      </c>
      <c r="F573" s="333">
        <f>IF(DATE(YEAR($B$6),MONTH($B$6)+1,DAY(1))=E573,1,IF(MONTH(E573)=1,F574*(1+$F$5),F574))</f>
      </c>
      <c r="G573" s="333">
        <f>IF('Simulador - 1º Pilar'!$E$99="Sí",IF('Aportaciones PPE'!$B$13&lt;'Aportaciones PPE'!E573,0,F573*$B$8/12),F573*$B$8/12)</f>
      </c>
      <c r="H573" s="333">
        <f>$H$5*G573</f>
      </c>
      <c r="I573" s="333">
        <f>$I$5*G573</f>
      </c>
      <c r="J573" s="333">
        <f>+I573</f>
      </c>
      <c r="K573" s="333">
        <f>(1+$O$5)^(D573/12)*(H573+IF(AND(F573=1,F574=0),$S$4,0))</f>
      </c>
      <c r="L573" s="333">
        <f>(1+$O$5)^(D573/12)*(I573+IF(AND(F573=1,F574=0),0))</f>
      </c>
      <c r="M573" s="333">
        <f>+L573</f>
      </c>
      <c r="N573" s="333">
        <f>L573+K573+M573</f>
      </c>
      <c r="O573" s="170"/>
      <c r="P573" s="7"/>
      <c r="Q573" s="1"/>
      <c r="R573" s="331">
        <f>D573</f>
      </c>
      <c r="S573" s="169"/>
      <c r="T573" s="1"/>
      <c r="U573" s="217"/>
      <c r="V573" s="331">
        <f>+IF(V572=11,12,IF(V572=12,1,V572+1))</f>
      </c>
      <c r="W573" s="331">
        <f>+W572+IF(V572=12,1,0)</f>
      </c>
      <c r="X573" s="555">
        <f>+DATE(W573,V573,1)</f>
        <v>25569.041666666668</v>
      </c>
      <c r="Y573" s="333">
        <f>+_xlfn.IFNA(AN573+AS573+AX573,0)</f>
      </c>
      <c r="Z573" s="333">
        <f>+_xlfn.IFNA(AO573+AT573+AY573,0)</f>
      </c>
      <c r="AA573" s="333">
        <f>Y573*(1+$O$5)^(($B$7-X573)/365.25)</f>
      </c>
      <c r="AB573" s="333">
        <f>Z573*(1+$O$5)^(($B$7-X573)/365.25)</f>
      </c>
      <c r="AC573" s="1"/>
      <c r="AD573" s="1"/>
      <c r="AE573" s="1"/>
      <c r="AF573" s="111">
        <f>+MONTH(E573)&amp;YEAR(E573)</f>
      </c>
      <c r="AG573" s="217">
        <f>+I573</f>
      </c>
      <c r="AH573" s="217">
        <f>+J573</f>
      </c>
      <c r="AI573" s="217">
        <f>+H573</f>
      </c>
      <c r="AJ573" s="111">
        <f>+V573&amp;W573</f>
      </c>
      <c r="AK573" s="217">
        <f>+_xlfn.IFNA(VLOOKUP(AJ573,$AF$7:$AG$1066,2,0),0)</f>
      </c>
      <c r="AL573" s="217">
        <f>+IF(W573&gt;W572,AK573,AL572+AK573)</f>
      </c>
      <c r="AM573" s="217">
        <f>IF(W573&gt;W572,IF(AL573&gt;=$AZ$8,$AZ$8,AL573),IF(OR(AM572=$AZ$8,AM572=0),0,IF(AL573&gt;=$AZ$8,$AZ$8,AL573)))</f>
      </c>
      <c r="AN573" s="748">
        <f>+IF(OR(AM573&gt;AZ572,AM573=0),0,IF(AM573=AL573,AK573,$AZ$7-AL572))</f>
      </c>
      <c r="AO573" s="748">
        <f>+AK573-AN573</f>
      </c>
      <c r="AP573" s="217">
        <f>+_xlfn.IFNA(VLOOKUP(AJ573,$AF$7:$AI$1066,3,0),0)</f>
      </c>
      <c r="AQ573" s="217">
        <f>+IF(W573&gt;W572,AP573,AQ572+AP573)</f>
      </c>
      <c r="AR573" s="217">
        <f>+MAX($AM$2-SUMIF($W$7:$W$1066,W573,$AN$7:$AN$1066),0)</f>
      </c>
      <c r="AS573" s="748">
        <f>+MAX(IF(AQ573&gt;AR573,AR573-AQ572,AP573),0)</f>
      </c>
      <c r="AT573" s="748">
        <f>+AP573-AS573</f>
      </c>
      <c r="AU573" s="217">
        <f>+_xlfn.IFNA(VLOOKUP(AJ573,$AF$7:$AI$1066,4,0),0)</f>
      </c>
      <c r="AV573" s="217">
        <f>+IF(W573&gt;W572,AU573,AV572+AU573)</f>
      </c>
      <c r="AW573" s="217">
        <f>+MAX($AM$2-SUMIF($W$7:$W$1066,W573,$AN$7:$AN$1066)-SUMIF($W$7:$W$1066,W573,$AS$7:$AS$1066),0)</f>
      </c>
      <c r="AX573" s="748">
        <f>+MAX(IF(AV573&gt;AW573,AW573-AV572,AU573),0)</f>
      </c>
      <c r="AY573" s="748">
        <f>+AU573-AX573</f>
      </c>
      <c r="AZ573" s="331">
        <f>+$AM$1+IF($AP$1&gt;$AP$2,$AM$3/2)</f>
      </c>
    </row>
    <row x14ac:dyDescent="0.25" r="574" customHeight="1" ht="18.75">
      <c r="A574" s="1"/>
      <c r="B574" s="7"/>
      <c r="C574" s="170"/>
      <c r="D574" s="331">
        <v>567</v>
      </c>
      <c r="E574" s="544">
        <f>+DATE(YEAR(E573),MONTH(E573)-1,DAY(E573))</f>
        <v>25569.041666666668</v>
      </c>
      <c r="F574" s="333">
        <f>IF(DATE(YEAR($B$6),MONTH($B$6)+1,DAY(1))=E574,1,IF(MONTH(E574)=1,F575*(1+$F$5),F575))</f>
      </c>
      <c r="G574" s="333">
        <f>IF('Simulador - 1º Pilar'!$E$99="Sí",IF('Aportaciones PPE'!$B$13&lt;'Aportaciones PPE'!E574,0,F574*$B$8/12),F574*$B$8/12)</f>
      </c>
      <c r="H574" s="333">
        <f>$H$5*G574</f>
      </c>
      <c r="I574" s="333">
        <f>$I$5*G574</f>
      </c>
      <c r="J574" s="333">
        <f>+I574</f>
      </c>
      <c r="K574" s="333">
        <f>(1+$O$5)^(D574/12)*(H574+IF(AND(F574=1,F575=0),$S$4,0))</f>
      </c>
      <c r="L574" s="333">
        <f>(1+$O$5)^(D574/12)*(I574+IF(AND(F574=1,F575=0),0))</f>
      </c>
      <c r="M574" s="333">
        <f>+L574</f>
      </c>
      <c r="N574" s="333">
        <f>L574+K574+M574</f>
      </c>
      <c r="O574" s="170"/>
      <c r="P574" s="7"/>
      <c r="Q574" s="1"/>
      <c r="R574" s="331">
        <f>D574</f>
      </c>
      <c r="S574" s="169"/>
      <c r="T574" s="1"/>
      <c r="U574" s="217"/>
      <c r="V574" s="331">
        <f>+IF(V573=11,12,IF(V573=12,1,V573+1))</f>
      </c>
      <c r="W574" s="331">
        <f>+W573+IF(V573=12,1,0)</f>
      </c>
      <c r="X574" s="555">
        <f>+DATE(W574,V574,1)</f>
        <v>25569.041666666668</v>
      </c>
      <c r="Y574" s="333">
        <f>+_xlfn.IFNA(AN574+AS574+AX574,0)</f>
      </c>
      <c r="Z574" s="333">
        <f>+_xlfn.IFNA(AO574+AT574+AY574,0)</f>
      </c>
      <c r="AA574" s="333">
        <f>Y574*(1+$O$5)^(($B$7-X574)/365.25)</f>
      </c>
      <c r="AB574" s="333">
        <f>Z574*(1+$O$5)^(($B$7-X574)/365.25)</f>
      </c>
      <c r="AC574" s="1"/>
      <c r="AD574" s="1"/>
      <c r="AE574" s="1"/>
      <c r="AF574" s="111">
        <f>+MONTH(E574)&amp;YEAR(E574)</f>
      </c>
      <c r="AG574" s="217">
        <f>+I574</f>
      </c>
      <c r="AH574" s="217">
        <f>+J574</f>
      </c>
      <c r="AI574" s="217">
        <f>+H574</f>
      </c>
      <c r="AJ574" s="111">
        <f>+V574&amp;W574</f>
      </c>
      <c r="AK574" s="217">
        <f>+_xlfn.IFNA(VLOOKUP(AJ574,$AF$7:$AG$1066,2,0),0)</f>
      </c>
      <c r="AL574" s="217">
        <f>+IF(W574&gt;W573,AK574,AL573+AK574)</f>
      </c>
      <c r="AM574" s="217">
        <f>IF(W574&gt;W573,IF(AL574&gt;=$AZ$8,$AZ$8,AL574),IF(OR(AM573=$AZ$8,AM573=0),0,IF(AL574&gt;=$AZ$8,$AZ$8,AL574)))</f>
      </c>
      <c r="AN574" s="748">
        <f>+IF(OR(AM574&gt;AZ573,AM574=0),0,IF(AM574=AL574,AK574,$AZ$7-AL573))</f>
      </c>
      <c r="AO574" s="748">
        <f>+AK574-AN574</f>
      </c>
      <c r="AP574" s="217">
        <f>+_xlfn.IFNA(VLOOKUP(AJ574,$AF$7:$AI$1066,3,0),0)</f>
      </c>
      <c r="AQ574" s="217">
        <f>+IF(W574&gt;W573,AP574,AQ573+AP574)</f>
      </c>
      <c r="AR574" s="217">
        <f>+MAX($AM$2-SUMIF($W$7:$W$1066,W574,$AN$7:$AN$1066),0)</f>
      </c>
      <c r="AS574" s="748">
        <f>+MAX(IF(AQ574&gt;AR574,AR574-AQ573,AP574),0)</f>
      </c>
      <c r="AT574" s="748">
        <f>+AP574-AS574</f>
      </c>
      <c r="AU574" s="217">
        <f>+_xlfn.IFNA(VLOOKUP(AJ574,$AF$7:$AI$1066,4,0),0)</f>
      </c>
      <c r="AV574" s="217">
        <f>+IF(W574&gt;W573,AU574,AV573+AU574)</f>
      </c>
      <c r="AW574" s="217">
        <f>+MAX($AM$2-SUMIF($W$7:$W$1066,W574,$AN$7:$AN$1066)-SUMIF($W$7:$W$1066,W574,$AS$7:$AS$1066),0)</f>
      </c>
      <c r="AX574" s="748">
        <f>+MAX(IF(AV574&gt;AW574,AW574-AV573,AU574),0)</f>
      </c>
      <c r="AY574" s="748">
        <f>+AU574-AX574</f>
      </c>
      <c r="AZ574" s="331">
        <f>+$AM$1+IF($AP$1&gt;$AP$2,$AM$3/2)</f>
      </c>
    </row>
    <row x14ac:dyDescent="0.25" r="575" customHeight="1" ht="18.75">
      <c r="A575" s="1"/>
      <c r="B575" s="7"/>
      <c r="C575" s="170"/>
      <c r="D575" s="331">
        <v>568</v>
      </c>
      <c r="E575" s="544">
        <f>+DATE(YEAR(E574),MONTH(E574)-1,DAY(E574))</f>
        <v>25569.041666666668</v>
      </c>
      <c r="F575" s="333">
        <f>IF(DATE(YEAR($B$6),MONTH($B$6)+1,DAY(1))=E575,1,IF(MONTH(E575)=1,F576*(1+$F$5),F576))</f>
      </c>
      <c r="G575" s="333">
        <f>IF('Simulador - 1º Pilar'!$E$99="Sí",IF('Aportaciones PPE'!$B$13&lt;'Aportaciones PPE'!E575,0,F575*$B$8/12),F575*$B$8/12)</f>
      </c>
      <c r="H575" s="333">
        <f>$H$5*G575</f>
      </c>
      <c r="I575" s="333">
        <f>$I$5*G575</f>
      </c>
      <c r="J575" s="333">
        <f>+I575</f>
      </c>
      <c r="K575" s="333">
        <f>(1+$O$5)^(D575/12)*(H575+IF(AND(F575=1,F576=0),$S$4,0))</f>
      </c>
      <c r="L575" s="333">
        <f>(1+$O$5)^(D575/12)*(I575+IF(AND(F575=1,F576=0),0))</f>
      </c>
      <c r="M575" s="333">
        <f>+L575</f>
      </c>
      <c r="N575" s="333">
        <f>L575+K575+M575</f>
      </c>
      <c r="O575" s="170"/>
      <c r="P575" s="7"/>
      <c r="Q575" s="1"/>
      <c r="R575" s="331">
        <f>D575</f>
      </c>
      <c r="S575" s="169"/>
      <c r="T575" s="1"/>
      <c r="U575" s="217"/>
      <c r="V575" s="331">
        <f>+IF(V574=11,12,IF(V574=12,1,V574+1))</f>
      </c>
      <c r="W575" s="331">
        <f>+W574+IF(V574=12,1,0)</f>
      </c>
      <c r="X575" s="555">
        <f>+DATE(W575,V575,1)</f>
        <v>25569.041666666668</v>
      </c>
      <c r="Y575" s="333">
        <f>+_xlfn.IFNA(AN575+AS575+AX575,0)</f>
      </c>
      <c r="Z575" s="333">
        <f>+_xlfn.IFNA(AO575+AT575+AY575,0)</f>
      </c>
      <c r="AA575" s="333">
        <f>Y575*(1+$O$5)^(($B$7-X575)/365.25)</f>
      </c>
      <c r="AB575" s="333">
        <f>Z575*(1+$O$5)^(($B$7-X575)/365.25)</f>
      </c>
      <c r="AC575" s="1"/>
      <c r="AD575" s="1"/>
      <c r="AE575" s="1"/>
      <c r="AF575" s="111">
        <f>+MONTH(E575)&amp;YEAR(E575)</f>
      </c>
      <c r="AG575" s="217">
        <f>+I575</f>
      </c>
      <c r="AH575" s="217">
        <f>+J575</f>
      </c>
      <c r="AI575" s="217">
        <f>+H575</f>
      </c>
      <c r="AJ575" s="111">
        <f>+V575&amp;W575</f>
      </c>
      <c r="AK575" s="217">
        <f>+_xlfn.IFNA(VLOOKUP(AJ575,$AF$7:$AG$1066,2,0),0)</f>
      </c>
      <c r="AL575" s="217">
        <f>+IF(W575&gt;W574,AK575,AL574+AK575)</f>
      </c>
      <c r="AM575" s="217">
        <f>IF(W575&gt;W574,IF(AL575&gt;=$AZ$8,$AZ$8,AL575),IF(OR(AM574=$AZ$8,AM574=0),0,IF(AL575&gt;=$AZ$8,$AZ$8,AL575)))</f>
      </c>
      <c r="AN575" s="748">
        <f>+IF(OR(AM575&gt;AZ574,AM575=0),0,IF(AM575=AL575,AK575,$AZ$7-AL574))</f>
      </c>
      <c r="AO575" s="748">
        <f>+AK575-AN575</f>
      </c>
      <c r="AP575" s="217">
        <f>+_xlfn.IFNA(VLOOKUP(AJ575,$AF$7:$AI$1066,3,0),0)</f>
      </c>
      <c r="AQ575" s="217">
        <f>+IF(W575&gt;W574,AP575,AQ574+AP575)</f>
      </c>
      <c r="AR575" s="217">
        <f>+MAX($AM$2-SUMIF($W$7:$W$1066,W575,$AN$7:$AN$1066),0)</f>
      </c>
      <c r="AS575" s="748">
        <f>+MAX(IF(AQ575&gt;AR575,AR575-AQ574,AP575),0)</f>
      </c>
      <c r="AT575" s="748">
        <f>+AP575-AS575</f>
      </c>
      <c r="AU575" s="217">
        <f>+_xlfn.IFNA(VLOOKUP(AJ575,$AF$7:$AI$1066,4,0),0)</f>
      </c>
      <c r="AV575" s="217">
        <f>+IF(W575&gt;W574,AU575,AV574+AU575)</f>
      </c>
      <c r="AW575" s="217">
        <f>+MAX($AM$2-SUMIF($W$7:$W$1066,W575,$AN$7:$AN$1066)-SUMIF($W$7:$W$1066,W575,$AS$7:$AS$1066),0)</f>
      </c>
      <c r="AX575" s="748">
        <f>+MAX(IF(AV575&gt;AW575,AW575-AV574,AU575),0)</f>
      </c>
      <c r="AY575" s="748">
        <f>+AU575-AX575</f>
      </c>
      <c r="AZ575" s="331">
        <f>+$AM$1+IF($AP$1&gt;$AP$2,$AM$3/2)</f>
      </c>
    </row>
    <row x14ac:dyDescent="0.25" r="576" customHeight="1" ht="18.75">
      <c r="A576" s="1"/>
      <c r="B576" s="7"/>
      <c r="C576" s="170"/>
      <c r="D576" s="331">
        <v>569</v>
      </c>
      <c r="E576" s="544">
        <f>+DATE(YEAR(E575),MONTH(E575)-1,DAY(E575))</f>
        <v>25569.041666666668</v>
      </c>
      <c r="F576" s="333">
        <f>IF(DATE(YEAR($B$6),MONTH($B$6)+1,DAY(1))=E576,1,IF(MONTH(E576)=1,F577*(1+$F$5),F577))</f>
      </c>
      <c r="G576" s="333">
        <f>IF('Simulador - 1º Pilar'!$E$99="Sí",IF('Aportaciones PPE'!$B$13&lt;'Aportaciones PPE'!E576,0,F576*$B$8/12),F576*$B$8/12)</f>
      </c>
      <c r="H576" s="333">
        <f>$H$5*G576</f>
      </c>
      <c r="I576" s="333">
        <f>$I$5*G576</f>
      </c>
      <c r="J576" s="333">
        <f>+I576</f>
      </c>
      <c r="K576" s="333">
        <f>(1+$O$5)^(D576/12)*(H576+IF(AND(F576=1,F577=0),$S$4,0))</f>
      </c>
      <c r="L576" s="333">
        <f>(1+$O$5)^(D576/12)*(I576+IF(AND(F576=1,F577=0),0))</f>
      </c>
      <c r="M576" s="333">
        <f>+L576</f>
      </c>
      <c r="N576" s="333">
        <f>L576+K576+M576</f>
      </c>
      <c r="O576" s="170"/>
      <c r="P576" s="7"/>
      <c r="Q576" s="1"/>
      <c r="R576" s="331">
        <f>D576</f>
      </c>
      <c r="S576" s="169"/>
      <c r="T576" s="1"/>
      <c r="U576" s="217"/>
      <c r="V576" s="331">
        <f>+IF(V575=11,12,IF(V575=12,1,V575+1))</f>
      </c>
      <c r="W576" s="331">
        <f>+W575+IF(V575=12,1,0)</f>
      </c>
      <c r="X576" s="555">
        <f>+DATE(W576,V576,1)</f>
        <v>25569.041666666668</v>
      </c>
      <c r="Y576" s="333">
        <f>+_xlfn.IFNA(AN576+AS576+AX576,0)</f>
      </c>
      <c r="Z576" s="333">
        <f>+_xlfn.IFNA(AO576+AT576+AY576,0)</f>
      </c>
      <c r="AA576" s="333">
        <f>Y576*(1+$O$5)^(($B$7-X576)/365.25)</f>
      </c>
      <c r="AB576" s="333">
        <f>Z576*(1+$O$5)^(($B$7-X576)/365.25)</f>
      </c>
      <c r="AC576" s="1"/>
      <c r="AD576" s="1"/>
      <c r="AE576" s="1"/>
      <c r="AF576" s="111">
        <f>+MONTH(E576)&amp;YEAR(E576)</f>
      </c>
      <c r="AG576" s="217">
        <f>+I576</f>
      </c>
      <c r="AH576" s="217">
        <f>+J576</f>
      </c>
      <c r="AI576" s="217">
        <f>+H576</f>
      </c>
      <c r="AJ576" s="111">
        <f>+V576&amp;W576</f>
      </c>
      <c r="AK576" s="217">
        <f>+_xlfn.IFNA(VLOOKUP(AJ576,$AF$7:$AG$1066,2,0),0)</f>
      </c>
      <c r="AL576" s="217">
        <f>+IF(W576&gt;W575,AK576,AL575+AK576)</f>
      </c>
      <c r="AM576" s="217">
        <f>IF(W576&gt;W575,IF(AL576&gt;=$AZ$8,$AZ$8,AL576),IF(OR(AM575=$AZ$8,AM575=0),0,IF(AL576&gt;=$AZ$8,$AZ$8,AL576)))</f>
      </c>
      <c r="AN576" s="748">
        <f>+IF(OR(AM576&gt;AZ575,AM576=0),0,IF(AM576=AL576,AK576,$AZ$7-AL575))</f>
      </c>
      <c r="AO576" s="748">
        <f>+AK576-AN576</f>
      </c>
      <c r="AP576" s="217">
        <f>+_xlfn.IFNA(VLOOKUP(AJ576,$AF$7:$AI$1066,3,0),0)</f>
      </c>
      <c r="AQ576" s="217">
        <f>+IF(W576&gt;W575,AP576,AQ575+AP576)</f>
      </c>
      <c r="AR576" s="217">
        <f>+MAX($AM$2-SUMIF($W$7:$W$1066,W576,$AN$7:$AN$1066),0)</f>
      </c>
      <c r="AS576" s="748">
        <f>+MAX(IF(AQ576&gt;AR576,AR576-AQ575,AP576),0)</f>
      </c>
      <c r="AT576" s="748">
        <f>+AP576-AS576</f>
      </c>
      <c r="AU576" s="217">
        <f>+_xlfn.IFNA(VLOOKUP(AJ576,$AF$7:$AI$1066,4,0),0)</f>
      </c>
      <c r="AV576" s="217">
        <f>+IF(W576&gt;W575,AU576,AV575+AU576)</f>
      </c>
      <c r="AW576" s="217">
        <f>+MAX($AM$2-SUMIF($W$7:$W$1066,W576,$AN$7:$AN$1066)-SUMIF($W$7:$W$1066,W576,$AS$7:$AS$1066),0)</f>
      </c>
      <c r="AX576" s="748">
        <f>+MAX(IF(AV576&gt;AW576,AW576-AV575,AU576),0)</f>
      </c>
      <c r="AY576" s="748">
        <f>+AU576-AX576</f>
      </c>
      <c r="AZ576" s="331">
        <f>+$AM$1+IF($AP$1&gt;$AP$2,$AM$3/2)</f>
      </c>
    </row>
    <row x14ac:dyDescent="0.25" r="577" customHeight="1" ht="18.75">
      <c r="A577" s="1"/>
      <c r="B577" s="7"/>
      <c r="C577" s="170"/>
      <c r="D577" s="331">
        <v>570</v>
      </c>
      <c r="E577" s="544">
        <f>+DATE(YEAR(E576),MONTH(E576)-1,DAY(E576))</f>
        <v>25569.041666666668</v>
      </c>
      <c r="F577" s="333">
        <f>IF(DATE(YEAR($B$6),MONTH($B$6)+1,DAY(1))=E577,1,IF(MONTH(E577)=1,F578*(1+$F$5),F578))</f>
      </c>
      <c r="G577" s="333">
        <f>IF('Simulador - 1º Pilar'!$E$99="Sí",IF('Aportaciones PPE'!$B$13&lt;'Aportaciones PPE'!E577,0,F577*$B$8/12),F577*$B$8/12)</f>
      </c>
      <c r="H577" s="333">
        <f>$H$5*G577</f>
      </c>
      <c r="I577" s="333">
        <f>$I$5*G577</f>
      </c>
      <c r="J577" s="333">
        <f>+I577</f>
      </c>
      <c r="K577" s="333">
        <f>(1+$O$5)^(D577/12)*(H577+IF(AND(F577=1,F578=0),$S$4,0))</f>
      </c>
      <c r="L577" s="333">
        <f>(1+$O$5)^(D577/12)*(I577+IF(AND(F577=1,F578=0),0))</f>
      </c>
      <c r="M577" s="333">
        <f>+L577</f>
      </c>
      <c r="N577" s="333">
        <f>L577+K577+M577</f>
      </c>
      <c r="O577" s="170"/>
      <c r="P577" s="7"/>
      <c r="Q577" s="1"/>
      <c r="R577" s="331">
        <f>D577</f>
      </c>
      <c r="S577" s="169"/>
      <c r="T577" s="1"/>
      <c r="U577" s="217"/>
      <c r="V577" s="331">
        <f>+IF(V576=11,12,IF(V576=12,1,V576+1))</f>
      </c>
      <c r="W577" s="331">
        <f>+W576+IF(V576=12,1,0)</f>
      </c>
      <c r="X577" s="555">
        <f>+DATE(W577,V577,1)</f>
        <v>25569.041666666668</v>
      </c>
      <c r="Y577" s="333">
        <f>+_xlfn.IFNA(AN577+AS577+AX577,0)</f>
      </c>
      <c r="Z577" s="333">
        <f>+_xlfn.IFNA(AO577+AT577+AY577,0)</f>
      </c>
      <c r="AA577" s="333">
        <f>Y577*(1+$O$5)^(($B$7-X577)/365.25)</f>
      </c>
      <c r="AB577" s="333">
        <f>Z577*(1+$O$5)^(($B$7-X577)/365.25)</f>
      </c>
      <c r="AC577" s="1"/>
      <c r="AD577" s="1"/>
      <c r="AE577" s="1"/>
      <c r="AF577" s="111">
        <f>+MONTH(E577)&amp;YEAR(E577)</f>
      </c>
      <c r="AG577" s="217">
        <f>+I577</f>
      </c>
      <c r="AH577" s="217">
        <f>+J577</f>
      </c>
      <c r="AI577" s="217">
        <f>+H577</f>
      </c>
      <c r="AJ577" s="111">
        <f>+V577&amp;W577</f>
      </c>
      <c r="AK577" s="217">
        <f>+_xlfn.IFNA(VLOOKUP(AJ577,$AF$7:$AG$1066,2,0),0)</f>
      </c>
      <c r="AL577" s="217">
        <f>+IF(W577&gt;W576,AK577,AL576+AK577)</f>
      </c>
      <c r="AM577" s="217">
        <f>IF(W577&gt;W576,IF(AL577&gt;=$AZ$8,$AZ$8,AL577),IF(OR(AM576=$AZ$8,AM576=0),0,IF(AL577&gt;=$AZ$8,$AZ$8,AL577)))</f>
      </c>
      <c r="AN577" s="748">
        <f>+IF(OR(AM577&gt;AZ576,AM577=0),0,IF(AM577=AL577,AK577,$AZ$7-AL576))</f>
      </c>
      <c r="AO577" s="748">
        <f>+AK577-AN577</f>
      </c>
      <c r="AP577" s="217">
        <f>+_xlfn.IFNA(VLOOKUP(AJ577,$AF$7:$AI$1066,3,0),0)</f>
      </c>
      <c r="AQ577" s="217">
        <f>+IF(W577&gt;W576,AP577,AQ576+AP577)</f>
      </c>
      <c r="AR577" s="217">
        <f>+MAX($AM$2-SUMIF($W$7:$W$1066,W577,$AN$7:$AN$1066),0)</f>
      </c>
      <c r="AS577" s="748">
        <f>+MAX(IF(AQ577&gt;AR577,AR577-AQ576,AP577),0)</f>
      </c>
      <c r="AT577" s="748">
        <f>+AP577-AS577</f>
      </c>
      <c r="AU577" s="217">
        <f>+_xlfn.IFNA(VLOOKUP(AJ577,$AF$7:$AI$1066,4,0),0)</f>
      </c>
      <c r="AV577" s="217">
        <f>+IF(W577&gt;W576,AU577,AV576+AU577)</f>
      </c>
      <c r="AW577" s="217">
        <f>+MAX($AM$2-SUMIF($W$7:$W$1066,W577,$AN$7:$AN$1066)-SUMIF($W$7:$W$1066,W577,$AS$7:$AS$1066),0)</f>
      </c>
      <c r="AX577" s="748">
        <f>+MAX(IF(AV577&gt;AW577,AW577-AV576,AU577),0)</f>
      </c>
      <c r="AY577" s="748">
        <f>+AU577-AX577</f>
      </c>
      <c r="AZ577" s="331">
        <f>+$AM$1+IF($AP$1&gt;$AP$2,$AM$3/2)</f>
      </c>
    </row>
    <row x14ac:dyDescent="0.25" r="578" customHeight="1" ht="18.75">
      <c r="A578" s="1"/>
      <c r="B578" s="7"/>
      <c r="C578" s="170"/>
      <c r="D578" s="331">
        <v>571</v>
      </c>
      <c r="E578" s="544">
        <f>+DATE(YEAR(E577),MONTH(E577)-1,DAY(E577))</f>
        <v>25569.041666666668</v>
      </c>
      <c r="F578" s="333">
        <f>IF(DATE(YEAR($B$6),MONTH($B$6)+1,DAY(1))=E578,1,IF(MONTH(E578)=1,F579*(1+$F$5),F579))</f>
      </c>
      <c r="G578" s="333">
        <f>IF('Simulador - 1º Pilar'!$E$99="Sí",IF('Aportaciones PPE'!$B$13&lt;'Aportaciones PPE'!E578,0,F578*$B$8/12),F578*$B$8/12)</f>
      </c>
      <c r="H578" s="333">
        <f>$H$5*G578</f>
      </c>
      <c r="I578" s="333">
        <f>$I$5*G578</f>
      </c>
      <c r="J578" s="333">
        <f>+I578</f>
      </c>
      <c r="K578" s="333">
        <f>(1+$O$5)^(D578/12)*(H578+IF(AND(F578=1,F579=0),$S$4,0))</f>
      </c>
      <c r="L578" s="333">
        <f>(1+$O$5)^(D578/12)*(I578+IF(AND(F578=1,F579=0),0))</f>
      </c>
      <c r="M578" s="333">
        <f>+L578</f>
      </c>
      <c r="N578" s="333">
        <f>L578+K578+M578</f>
      </c>
      <c r="O578" s="170"/>
      <c r="P578" s="7"/>
      <c r="Q578" s="1"/>
      <c r="R578" s="331">
        <f>D578</f>
      </c>
      <c r="S578" s="169"/>
      <c r="T578" s="1"/>
      <c r="U578" s="217"/>
      <c r="V578" s="331">
        <f>+IF(V577=11,12,IF(V577=12,1,V577+1))</f>
      </c>
      <c r="W578" s="331">
        <f>+W577+IF(V577=12,1,0)</f>
      </c>
      <c r="X578" s="555">
        <f>+DATE(W578,V578,1)</f>
        <v>25569.041666666668</v>
      </c>
      <c r="Y578" s="333">
        <f>+_xlfn.IFNA(AN578+AS578+AX578,0)</f>
      </c>
      <c r="Z578" s="333">
        <f>+_xlfn.IFNA(AO578+AT578+AY578,0)</f>
      </c>
      <c r="AA578" s="333">
        <f>Y578*(1+$O$5)^(($B$7-X578)/365.25)</f>
      </c>
      <c r="AB578" s="333">
        <f>Z578*(1+$O$5)^(($B$7-X578)/365.25)</f>
      </c>
      <c r="AC578" s="1"/>
      <c r="AD578" s="1"/>
      <c r="AE578" s="1"/>
      <c r="AF578" s="111">
        <f>+MONTH(E578)&amp;YEAR(E578)</f>
      </c>
      <c r="AG578" s="217">
        <f>+I578</f>
      </c>
      <c r="AH578" s="217">
        <f>+J578</f>
      </c>
      <c r="AI578" s="217">
        <f>+H578</f>
      </c>
      <c r="AJ578" s="111">
        <f>+V578&amp;W578</f>
      </c>
      <c r="AK578" s="217">
        <f>+_xlfn.IFNA(VLOOKUP(AJ578,$AF$7:$AG$1066,2,0),0)</f>
      </c>
      <c r="AL578" s="217">
        <f>+IF(W578&gt;W577,AK578,AL577+AK578)</f>
      </c>
      <c r="AM578" s="217">
        <f>IF(W578&gt;W577,IF(AL578&gt;=$AZ$8,$AZ$8,AL578),IF(OR(AM577=$AZ$8,AM577=0),0,IF(AL578&gt;=$AZ$8,$AZ$8,AL578)))</f>
      </c>
      <c r="AN578" s="748">
        <f>+IF(OR(AM578&gt;AZ577,AM578=0),0,IF(AM578=AL578,AK578,$AZ$7-AL577))</f>
      </c>
      <c r="AO578" s="748">
        <f>+AK578-AN578</f>
      </c>
      <c r="AP578" s="217">
        <f>+_xlfn.IFNA(VLOOKUP(AJ578,$AF$7:$AI$1066,3,0),0)</f>
      </c>
      <c r="AQ578" s="217">
        <f>+IF(W578&gt;W577,AP578,AQ577+AP578)</f>
      </c>
      <c r="AR578" s="217">
        <f>+MAX($AM$2-SUMIF($W$7:$W$1066,W578,$AN$7:$AN$1066),0)</f>
      </c>
      <c r="AS578" s="748">
        <f>+MAX(IF(AQ578&gt;AR578,AR578-AQ577,AP578),0)</f>
      </c>
      <c r="AT578" s="748">
        <f>+AP578-AS578</f>
      </c>
      <c r="AU578" s="217">
        <f>+_xlfn.IFNA(VLOOKUP(AJ578,$AF$7:$AI$1066,4,0),0)</f>
      </c>
      <c r="AV578" s="217">
        <f>+IF(W578&gt;W577,AU578,AV577+AU578)</f>
      </c>
      <c r="AW578" s="217">
        <f>+MAX($AM$2-SUMIF($W$7:$W$1066,W578,$AN$7:$AN$1066)-SUMIF($W$7:$W$1066,W578,$AS$7:$AS$1066),0)</f>
      </c>
      <c r="AX578" s="748">
        <f>+MAX(IF(AV578&gt;AW578,AW578-AV577,AU578),0)</f>
      </c>
      <c r="AY578" s="748">
        <f>+AU578-AX578</f>
      </c>
      <c r="AZ578" s="331">
        <f>+$AM$1+IF($AP$1&gt;$AP$2,$AM$3/2)</f>
      </c>
    </row>
    <row x14ac:dyDescent="0.25" r="579" customHeight="1" ht="18.75">
      <c r="A579" s="1"/>
      <c r="B579" s="7"/>
      <c r="C579" s="170"/>
      <c r="D579" s="331">
        <v>572</v>
      </c>
      <c r="E579" s="544">
        <f>+DATE(YEAR(E578),MONTH(E578)-1,DAY(E578))</f>
        <v>25569.041666666668</v>
      </c>
      <c r="F579" s="333">
        <f>IF(DATE(YEAR($B$6),MONTH($B$6)+1,DAY(1))=E579,1,IF(MONTH(E579)=1,F580*(1+$F$5),F580))</f>
      </c>
      <c r="G579" s="333">
        <f>IF('Simulador - 1º Pilar'!$E$99="Sí",IF('Aportaciones PPE'!$B$13&lt;'Aportaciones PPE'!E579,0,F579*$B$8/12),F579*$B$8/12)</f>
      </c>
      <c r="H579" s="333">
        <f>$H$5*G579</f>
      </c>
      <c r="I579" s="333">
        <f>$I$5*G579</f>
      </c>
      <c r="J579" s="333">
        <f>+I579</f>
      </c>
      <c r="K579" s="333">
        <f>(1+$O$5)^(D579/12)*(H579+IF(AND(F579=1,F580=0),$S$4,0))</f>
      </c>
      <c r="L579" s="333">
        <f>(1+$O$5)^(D579/12)*(I579+IF(AND(F579=1,F580=0),0))</f>
      </c>
      <c r="M579" s="333">
        <f>+L579</f>
      </c>
      <c r="N579" s="333">
        <f>L579+K579+M579</f>
      </c>
      <c r="O579" s="170"/>
      <c r="P579" s="7"/>
      <c r="Q579" s="1"/>
      <c r="R579" s="331">
        <f>D579</f>
      </c>
      <c r="S579" s="169"/>
      <c r="T579" s="1"/>
      <c r="U579" s="217"/>
      <c r="V579" s="331">
        <f>+IF(V578=11,12,IF(V578=12,1,V578+1))</f>
      </c>
      <c r="W579" s="331">
        <f>+W578+IF(V578=12,1,0)</f>
      </c>
      <c r="X579" s="555">
        <f>+DATE(W579,V579,1)</f>
        <v>25569.041666666668</v>
      </c>
      <c r="Y579" s="333">
        <f>+_xlfn.IFNA(AN579+AS579+AX579,0)</f>
      </c>
      <c r="Z579" s="333">
        <f>+_xlfn.IFNA(AO579+AT579+AY579,0)</f>
      </c>
      <c r="AA579" s="333">
        <f>Y579*(1+$O$5)^(($B$7-X579)/365.25)</f>
      </c>
      <c r="AB579" s="333">
        <f>Z579*(1+$O$5)^(($B$7-X579)/365.25)</f>
      </c>
      <c r="AC579" s="1"/>
      <c r="AD579" s="1"/>
      <c r="AE579" s="1"/>
      <c r="AF579" s="111">
        <f>+MONTH(E579)&amp;YEAR(E579)</f>
      </c>
      <c r="AG579" s="217">
        <f>+I579</f>
      </c>
      <c r="AH579" s="217">
        <f>+J579</f>
      </c>
      <c r="AI579" s="217">
        <f>+H579</f>
      </c>
      <c r="AJ579" s="111">
        <f>+V579&amp;W579</f>
      </c>
      <c r="AK579" s="217">
        <f>+_xlfn.IFNA(VLOOKUP(AJ579,$AF$7:$AG$1066,2,0),0)</f>
      </c>
      <c r="AL579" s="217">
        <f>+IF(W579&gt;W578,AK579,AL578+AK579)</f>
      </c>
      <c r="AM579" s="217">
        <f>IF(W579&gt;W578,IF(AL579&gt;=$AZ$8,$AZ$8,AL579),IF(OR(AM578=$AZ$8,AM578=0),0,IF(AL579&gt;=$AZ$8,$AZ$8,AL579)))</f>
      </c>
      <c r="AN579" s="748">
        <f>+IF(OR(AM579&gt;AZ578,AM579=0),0,IF(AM579=AL579,AK579,$AZ$7-AL578))</f>
      </c>
      <c r="AO579" s="748">
        <f>+AK579-AN579</f>
      </c>
      <c r="AP579" s="217">
        <f>+_xlfn.IFNA(VLOOKUP(AJ579,$AF$7:$AI$1066,3,0),0)</f>
      </c>
      <c r="AQ579" s="217">
        <f>+IF(W579&gt;W578,AP579,AQ578+AP579)</f>
      </c>
      <c r="AR579" s="217">
        <f>+MAX($AM$2-SUMIF($W$7:$W$1066,W579,$AN$7:$AN$1066),0)</f>
      </c>
      <c r="AS579" s="748">
        <f>+MAX(IF(AQ579&gt;AR579,AR579-AQ578,AP579),0)</f>
      </c>
      <c r="AT579" s="748">
        <f>+AP579-AS579</f>
      </c>
      <c r="AU579" s="217">
        <f>+_xlfn.IFNA(VLOOKUP(AJ579,$AF$7:$AI$1066,4,0),0)</f>
      </c>
      <c r="AV579" s="217">
        <f>+IF(W579&gt;W578,AU579,AV578+AU579)</f>
      </c>
      <c r="AW579" s="217">
        <f>+MAX($AM$2-SUMIF($W$7:$W$1066,W579,$AN$7:$AN$1066)-SUMIF($W$7:$W$1066,W579,$AS$7:$AS$1066),0)</f>
      </c>
      <c r="AX579" s="748">
        <f>+MAX(IF(AV579&gt;AW579,AW579-AV578,AU579),0)</f>
      </c>
      <c r="AY579" s="748">
        <f>+AU579-AX579</f>
      </c>
      <c r="AZ579" s="331">
        <f>+$AM$1+IF($AP$1&gt;$AP$2,$AM$3/2)</f>
      </c>
    </row>
    <row x14ac:dyDescent="0.25" r="580" customHeight="1" ht="18.75">
      <c r="A580" s="1"/>
      <c r="B580" s="7"/>
      <c r="C580" s="170"/>
      <c r="D580" s="331">
        <v>573</v>
      </c>
      <c r="E580" s="544">
        <f>+DATE(YEAR(E579),MONTH(E579)-1,DAY(E579))</f>
        <v>25569.041666666668</v>
      </c>
      <c r="F580" s="333">
        <f>IF(DATE(YEAR($B$6),MONTH($B$6)+1,DAY(1))=E580,1,IF(MONTH(E580)=1,F581*(1+$F$5),F581))</f>
      </c>
      <c r="G580" s="333">
        <f>IF('Simulador - 1º Pilar'!$E$99="Sí",IF('Aportaciones PPE'!$B$13&lt;'Aportaciones PPE'!E580,0,F580*$B$8/12),F580*$B$8/12)</f>
      </c>
      <c r="H580" s="333">
        <f>$H$5*G580</f>
      </c>
      <c r="I580" s="333">
        <f>$I$5*G580</f>
      </c>
      <c r="J580" s="333">
        <f>+I580</f>
      </c>
      <c r="K580" s="333">
        <f>(1+$O$5)^(D580/12)*(H580+IF(AND(F580=1,F581=0),$S$4,0))</f>
      </c>
      <c r="L580" s="333">
        <f>(1+$O$5)^(D580/12)*(I580+IF(AND(F580=1,F581=0),0))</f>
      </c>
      <c r="M580" s="333">
        <f>+L580</f>
      </c>
      <c r="N580" s="333">
        <f>L580+K580+M580</f>
      </c>
      <c r="O580" s="170"/>
      <c r="P580" s="7"/>
      <c r="Q580" s="1"/>
      <c r="R580" s="331">
        <f>D580</f>
      </c>
      <c r="S580" s="169"/>
      <c r="T580" s="1"/>
      <c r="U580" s="217"/>
      <c r="V580" s="331">
        <f>+IF(V579=11,12,IF(V579=12,1,V579+1))</f>
      </c>
      <c r="W580" s="331">
        <f>+W579+IF(V579=12,1,0)</f>
      </c>
      <c r="X580" s="555">
        <f>+DATE(W580,V580,1)</f>
        <v>25569.041666666668</v>
      </c>
      <c r="Y580" s="333">
        <f>+_xlfn.IFNA(AN580+AS580+AX580,0)</f>
      </c>
      <c r="Z580" s="333">
        <f>+_xlfn.IFNA(AO580+AT580+AY580,0)</f>
      </c>
      <c r="AA580" s="333">
        <f>Y580*(1+$O$5)^(($B$7-X580)/365.25)</f>
      </c>
      <c r="AB580" s="333">
        <f>Z580*(1+$O$5)^(($B$7-X580)/365.25)</f>
      </c>
      <c r="AC580" s="1"/>
      <c r="AD580" s="1"/>
      <c r="AE580" s="1"/>
      <c r="AF580" s="111">
        <f>+MONTH(E580)&amp;YEAR(E580)</f>
      </c>
      <c r="AG580" s="217">
        <f>+I580</f>
      </c>
      <c r="AH580" s="217">
        <f>+J580</f>
      </c>
      <c r="AI580" s="217">
        <f>+H580</f>
      </c>
      <c r="AJ580" s="111">
        <f>+V580&amp;W580</f>
      </c>
      <c r="AK580" s="217">
        <f>+_xlfn.IFNA(VLOOKUP(AJ580,$AF$7:$AG$1066,2,0),0)</f>
      </c>
      <c r="AL580" s="217">
        <f>+IF(W580&gt;W579,AK580,AL579+AK580)</f>
      </c>
      <c r="AM580" s="217">
        <f>IF(W580&gt;W579,IF(AL580&gt;=$AZ$8,$AZ$8,AL580),IF(OR(AM579=$AZ$8,AM579=0),0,IF(AL580&gt;=$AZ$8,$AZ$8,AL580)))</f>
      </c>
      <c r="AN580" s="748">
        <f>+IF(OR(AM580&gt;AZ579,AM580=0),0,IF(AM580=AL580,AK580,$AZ$7-AL579))</f>
      </c>
      <c r="AO580" s="748">
        <f>+AK580-AN580</f>
      </c>
      <c r="AP580" s="217">
        <f>+_xlfn.IFNA(VLOOKUP(AJ580,$AF$7:$AI$1066,3,0),0)</f>
      </c>
      <c r="AQ580" s="217">
        <f>+IF(W580&gt;W579,AP580,AQ579+AP580)</f>
      </c>
      <c r="AR580" s="217">
        <f>+MAX($AM$2-SUMIF($W$7:$W$1066,W580,$AN$7:$AN$1066),0)</f>
      </c>
      <c r="AS580" s="748">
        <f>+MAX(IF(AQ580&gt;AR580,AR580-AQ579,AP580),0)</f>
      </c>
      <c r="AT580" s="748">
        <f>+AP580-AS580</f>
      </c>
      <c r="AU580" s="217">
        <f>+_xlfn.IFNA(VLOOKUP(AJ580,$AF$7:$AI$1066,4,0),0)</f>
      </c>
      <c r="AV580" s="217">
        <f>+IF(W580&gt;W579,AU580,AV579+AU580)</f>
      </c>
      <c r="AW580" s="217">
        <f>+MAX($AM$2-SUMIF($W$7:$W$1066,W580,$AN$7:$AN$1066)-SUMIF($W$7:$W$1066,W580,$AS$7:$AS$1066),0)</f>
      </c>
      <c r="AX580" s="748">
        <f>+MAX(IF(AV580&gt;AW580,AW580-AV579,AU580),0)</f>
      </c>
      <c r="AY580" s="748">
        <f>+AU580-AX580</f>
      </c>
      <c r="AZ580" s="331">
        <f>+$AM$1+IF($AP$1&gt;$AP$2,$AM$3/2)</f>
      </c>
    </row>
    <row x14ac:dyDescent="0.25" r="581" customHeight="1" ht="18.75">
      <c r="A581" s="1"/>
      <c r="B581" s="7"/>
      <c r="C581" s="170"/>
      <c r="D581" s="331">
        <v>574</v>
      </c>
      <c r="E581" s="544">
        <f>+DATE(YEAR(E580),MONTH(E580)-1,DAY(E580))</f>
        <v>25569.041666666668</v>
      </c>
      <c r="F581" s="333">
        <f>IF(DATE(YEAR($B$6),MONTH($B$6)+1,DAY(1))=E581,1,IF(MONTH(E581)=1,F582*(1+$F$5),F582))</f>
      </c>
      <c r="G581" s="333">
        <f>IF('Simulador - 1º Pilar'!$E$99="Sí",IF('Aportaciones PPE'!$B$13&lt;'Aportaciones PPE'!E581,0,F581*$B$8/12),F581*$B$8/12)</f>
      </c>
      <c r="H581" s="333">
        <f>$H$5*G581</f>
      </c>
      <c r="I581" s="333">
        <f>$I$5*G581</f>
      </c>
      <c r="J581" s="333">
        <f>+I581</f>
      </c>
      <c r="K581" s="333">
        <f>(1+$O$5)^(D581/12)*(H581+IF(AND(F581=1,F582=0),$S$4,0))</f>
      </c>
      <c r="L581" s="333">
        <f>(1+$O$5)^(D581/12)*(I581+IF(AND(F581=1,F582=0),0))</f>
      </c>
      <c r="M581" s="333">
        <f>+L581</f>
      </c>
      <c r="N581" s="333">
        <f>L581+K581+M581</f>
      </c>
      <c r="O581" s="170"/>
      <c r="P581" s="7"/>
      <c r="Q581" s="1"/>
      <c r="R581" s="331">
        <f>D581</f>
      </c>
      <c r="S581" s="169"/>
      <c r="T581" s="1"/>
      <c r="U581" s="217"/>
      <c r="V581" s="331">
        <f>+IF(V580=11,12,IF(V580=12,1,V580+1))</f>
      </c>
      <c r="W581" s="331">
        <f>+W580+IF(V580=12,1,0)</f>
      </c>
      <c r="X581" s="555">
        <f>+DATE(W581,V581,1)</f>
        <v>25569.041666666668</v>
      </c>
      <c r="Y581" s="333">
        <f>+_xlfn.IFNA(AN581+AS581+AX581,0)</f>
      </c>
      <c r="Z581" s="333">
        <f>+_xlfn.IFNA(AO581+AT581+AY581,0)</f>
      </c>
      <c r="AA581" s="333">
        <f>Y581*(1+$O$5)^(($B$7-X581)/365.25)</f>
      </c>
      <c r="AB581" s="333">
        <f>Z581*(1+$O$5)^(($B$7-X581)/365.25)</f>
      </c>
      <c r="AC581" s="1"/>
      <c r="AD581" s="1"/>
      <c r="AE581" s="1"/>
      <c r="AF581" s="111">
        <f>+MONTH(E581)&amp;YEAR(E581)</f>
      </c>
      <c r="AG581" s="217">
        <f>+I581</f>
      </c>
      <c r="AH581" s="217">
        <f>+J581</f>
      </c>
      <c r="AI581" s="217">
        <f>+H581</f>
      </c>
      <c r="AJ581" s="111">
        <f>+V581&amp;W581</f>
      </c>
      <c r="AK581" s="217">
        <f>+_xlfn.IFNA(VLOOKUP(AJ581,$AF$7:$AG$1066,2,0),0)</f>
      </c>
      <c r="AL581" s="217">
        <f>+IF(W581&gt;W580,AK581,AL580+AK581)</f>
      </c>
      <c r="AM581" s="217">
        <f>IF(W581&gt;W580,IF(AL581&gt;=$AZ$8,$AZ$8,AL581),IF(OR(AM580=$AZ$8,AM580=0),0,IF(AL581&gt;=$AZ$8,$AZ$8,AL581)))</f>
      </c>
      <c r="AN581" s="748">
        <f>+IF(OR(AM581&gt;AZ580,AM581=0),0,IF(AM581=AL581,AK581,$AZ$7-AL580))</f>
      </c>
      <c r="AO581" s="748">
        <f>+AK581-AN581</f>
      </c>
      <c r="AP581" s="217">
        <f>+_xlfn.IFNA(VLOOKUP(AJ581,$AF$7:$AI$1066,3,0),0)</f>
      </c>
      <c r="AQ581" s="217">
        <f>+IF(W581&gt;W580,AP581,AQ580+AP581)</f>
      </c>
      <c r="AR581" s="217">
        <f>+MAX($AM$2-SUMIF($W$7:$W$1066,W581,$AN$7:$AN$1066),0)</f>
      </c>
      <c r="AS581" s="748">
        <f>+MAX(IF(AQ581&gt;AR581,AR581-AQ580,AP581),0)</f>
      </c>
      <c r="AT581" s="748">
        <f>+AP581-AS581</f>
      </c>
      <c r="AU581" s="217">
        <f>+_xlfn.IFNA(VLOOKUP(AJ581,$AF$7:$AI$1066,4,0),0)</f>
      </c>
      <c r="AV581" s="217">
        <f>+IF(W581&gt;W580,AU581,AV580+AU581)</f>
      </c>
      <c r="AW581" s="217">
        <f>+MAX($AM$2-SUMIF($W$7:$W$1066,W581,$AN$7:$AN$1066)-SUMIF($W$7:$W$1066,W581,$AS$7:$AS$1066),0)</f>
      </c>
      <c r="AX581" s="748">
        <f>+MAX(IF(AV581&gt;AW581,AW581-AV580,AU581),0)</f>
      </c>
      <c r="AY581" s="748">
        <f>+AU581-AX581</f>
      </c>
      <c r="AZ581" s="331">
        <f>+$AM$1+IF($AP$1&gt;$AP$2,$AM$3/2)</f>
      </c>
    </row>
    <row x14ac:dyDescent="0.25" r="582" customHeight="1" ht="18.75">
      <c r="A582" s="1"/>
      <c r="B582" s="7"/>
      <c r="C582" s="170"/>
      <c r="D582" s="331">
        <v>575</v>
      </c>
      <c r="E582" s="544">
        <f>+DATE(YEAR(E581),MONTH(E581)-1,DAY(E581))</f>
        <v>25569.041666666668</v>
      </c>
      <c r="F582" s="333">
        <f>IF(DATE(YEAR($B$6),MONTH($B$6)+1,DAY(1))=E582,1,IF(MONTH(E582)=1,F583*(1+$F$5),F583))</f>
      </c>
      <c r="G582" s="333">
        <f>IF('Simulador - 1º Pilar'!$E$99="Sí",IF('Aportaciones PPE'!$B$13&lt;'Aportaciones PPE'!E582,0,F582*$B$8/12),F582*$B$8/12)</f>
      </c>
      <c r="H582" s="333">
        <f>$H$5*G582</f>
      </c>
      <c r="I582" s="333">
        <f>$I$5*G582</f>
      </c>
      <c r="J582" s="333">
        <f>+I582</f>
      </c>
      <c r="K582" s="333">
        <f>(1+$O$5)^(D582/12)*(H582+IF(AND(F582=1,F583=0),$S$4,0))</f>
      </c>
      <c r="L582" s="333">
        <f>(1+$O$5)^(D582/12)*(I582+IF(AND(F582=1,F583=0),0))</f>
      </c>
      <c r="M582" s="333">
        <f>+L582</f>
      </c>
      <c r="N582" s="333">
        <f>L582+K582+M582</f>
      </c>
      <c r="O582" s="170"/>
      <c r="P582" s="7"/>
      <c r="Q582" s="1"/>
      <c r="R582" s="331">
        <f>D582</f>
      </c>
      <c r="S582" s="169"/>
      <c r="T582" s="1"/>
      <c r="U582" s="217"/>
      <c r="V582" s="331">
        <f>+IF(V581=11,12,IF(V581=12,1,V581+1))</f>
      </c>
      <c r="W582" s="331">
        <f>+W581+IF(V581=12,1,0)</f>
      </c>
      <c r="X582" s="555">
        <f>+DATE(W582,V582,1)</f>
        <v>25569.041666666668</v>
      </c>
      <c r="Y582" s="333">
        <f>+_xlfn.IFNA(AN582+AS582+AX582,0)</f>
      </c>
      <c r="Z582" s="333">
        <f>+_xlfn.IFNA(AO582+AT582+AY582,0)</f>
      </c>
      <c r="AA582" s="333">
        <f>Y582*(1+$O$5)^(($B$7-X582)/365.25)</f>
      </c>
      <c r="AB582" s="333">
        <f>Z582*(1+$O$5)^(($B$7-X582)/365.25)</f>
      </c>
      <c r="AC582" s="1"/>
      <c r="AD582" s="1"/>
      <c r="AE582" s="1"/>
      <c r="AF582" s="111">
        <f>+MONTH(E582)&amp;YEAR(E582)</f>
      </c>
      <c r="AG582" s="217">
        <f>+I582</f>
      </c>
      <c r="AH582" s="217">
        <f>+J582</f>
      </c>
      <c r="AI582" s="217">
        <f>+H582</f>
      </c>
      <c r="AJ582" s="111">
        <f>+V582&amp;W582</f>
      </c>
      <c r="AK582" s="217">
        <f>+_xlfn.IFNA(VLOOKUP(AJ582,$AF$7:$AG$1066,2,0),0)</f>
      </c>
      <c r="AL582" s="217">
        <f>+IF(W582&gt;W581,AK582,AL581+AK582)</f>
      </c>
      <c r="AM582" s="217">
        <f>IF(W582&gt;W581,IF(AL582&gt;=$AZ$8,$AZ$8,AL582),IF(OR(AM581=$AZ$8,AM581=0),0,IF(AL582&gt;=$AZ$8,$AZ$8,AL582)))</f>
      </c>
      <c r="AN582" s="748">
        <f>+IF(OR(AM582&gt;AZ581,AM582=0),0,IF(AM582=AL582,AK582,$AZ$7-AL581))</f>
      </c>
      <c r="AO582" s="748">
        <f>+AK582-AN582</f>
      </c>
      <c r="AP582" s="217">
        <f>+_xlfn.IFNA(VLOOKUP(AJ582,$AF$7:$AI$1066,3,0),0)</f>
      </c>
      <c r="AQ582" s="217">
        <f>+IF(W582&gt;W581,AP582,AQ581+AP582)</f>
      </c>
      <c r="AR582" s="217">
        <f>+MAX($AM$2-SUMIF($W$7:$W$1066,W582,$AN$7:$AN$1066),0)</f>
      </c>
      <c r="AS582" s="748">
        <f>+MAX(IF(AQ582&gt;AR582,AR582-AQ581,AP582),0)</f>
      </c>
      <c r="AT582" s="748">
        <f>+AP582-AS582</f>
      </c>
      <c r="AU582" s="217">
        <f>+_xlfn.IFNA(VLOOKUP(AJ582,$AF$7:$AI$1066,4,0),0)</f>
      </c>
      <c r="AV582" s="217">
        <f>+IF(W582&gt;W581,AU582,AV581+AU582)</f>
      </c>
      <c r="AW582" s="217">
        <f>+MAX($AM$2-SUMIF($W$7:$W$1066,W582,$AN$7:$AN$1066)-SUMIF($W$7:$W$1066,W582,$AS$7:$AS$1066),0)</f>
      </c>
      <c r="AX582" s="748">
        <f>+MAX(IF(AV582&gt;AW582,AW582-AV581,AU582),0)</f>
      </c>
      <c r="AY582" s="748">
        <f>+AU582-AX582</f>
      </c>
      <c r="AZ582" s="331">
        <f>+$AM$1+IF($AP$1&gt;$AP$2,$AM$3/2)</f>
      </c>
    </row>
    <row x14ac:dyDescent="0.25" r="583" customHeight="1" ht="18.75">
      <c r="A583" s="1"/>
      <c r="B583" s="7"/>
      <c r="C583" s="170"/>
      <c r="D583" s="331">
        <v>576</v>
      </c>
      <c r="E583" s="544">
        <f>+DATE(YEAR(E582),MONTH(E582)-1,DAY(E582))</f>
        <v>25569.041666666668</v>
      </c>
      <c r="F583" s="333">
        <f>IF(DATE(YEAR($B$6),MONTH($B$6)+1,DAY(1))=E583,1,IF(MONTH(E583)=1,F584*(1+$F$5),F584))</f>
      </c>
      <c r="G583" s="333">
        <f>IF('Simulador - 1º Pilar'!$E$99="Sí",IF('Aportaciones PPE'!$B$13&lt;'Aportaciones PPE'!E583,0,F583*$B$8/12),F583*$B$8/12)</f>
      </c>
      <c r="H583" s="333">
        <f>$H$5*G583</f>
      </c>
      <c r="I583" s="333">
        <f>$I$5*G583</f>
      </c>
      <c r="J583" s="333">
        <f>+I583</f>
      </c>
      <c r="K583" s="333">
        <f>(1+$O$5)^(D583/12)*(H583+IF(AND(F583=1,F584=0),$S$4,0))</f>
      </c>
      <c r="L583" s="333">
        <f>(1+$O$5)^(D583/12)*(I583+IF(AND(F583=1,F584=0),0))</f>
      </c>
      <c r="M583" s="333">
        <f>+L583</f>
      </c>
      <c r="N583" s="333">
        <f>L583+K583+M583</f>
      </c>
      <c r="O583" s="170"/>
      <c r="P583" s="7"/>
      <c r="Q583" s="1"/>
      <c r="R583" s="331">
        <f>D583</f>
      </c>
      <c r="S583" s="169"/>
      <c r="T583" s="1"/>
      <c r="U583" s="217"/>
      <c r="V583" s="331">
        <f>+IF(V582=11,12,IF(V582=12,1,V582+1))</f>
      </c>
      <c r="W583" s="331">
        <f>+W582+IF(V582=12,1,0)</f>
      </c>
      <c r="X583" s="555">
        <f>+DATE(W583,V583,1)</f>
        <v>25569.041666666668</v>
      </c>
      <c r="Y583" s="333">
        <f>+_xlfn.IFNA(AN583+AS583+AX583,0)</f>
      </c>
      <c r="Z583" s="333">
        <f>+_xlfn.IFNA(AO583+AT583+AY583,0)</f>
      </c>
      <c r="AA583" s="333">
        <f>Y583*(1+$O$5)^(($B$7-X583)/365.25)</f>
      </c>
      <c r="AB583" s="333">
        <f>Z583*(1+$O$5)^(($B$7-X583)/365.25)</f>
      </c>
      <c r="AC583" s="1"/>
      <c r="AD583" s="1"/>
      <c r="AE583" s="1"/>
      <c r="AF583" s="111">
        <f>+MONTH(E583)&amp;YEAR(E583)</f>
      </c>
      <c r="AG583" s="217">
        <f>+I583</f>
      </c>
      <c r="AH583" s="217">
        <f>+J583</f>
      </c>
      <c r="AI583" s="217">
        <f>+H583</f>
      </c>
      <c r="AJ583" s="111">
        <f>+V583&amp;W583</f>
      </c>
      <c r="AK583" s="217">
        <f>+_xlfn.IFNA(VLOOKUP(AJ583,$AF$7:$AG$1066,2,0),0)</f>
      </c>
      <c r="AL583" s="217">
        <f>+IF(W583&gt;W582,AK583,AL582+AK583)</f>
      </c>
      <c r="AM583" s="217">
        <f>IF(W583&gt;W582,IF(AL583&gt;=$AZ$8,$AZ$8,AL583),IF(OR(AM582=$AZ$8,AM582=0),0,IF(AL583&gt;=$AZ$8,$AZ$8,AL583)))</f>
      </c>
      <c r="AN583" s="748">
        <f>+IF(OR(AM583&gt;AZ582,AM583=0),0,IF(AM583=AL583,AK583,$AZ$7-AL582))</f>
      </c>
      <c r="AO583" s="748">
        <f>+AK583-AN583</f>
      </c>
      <c r="AP583" s="217">
        <f>+_xlfn.IFNA(VLOOKUP(AJ583,$AF$7:$AI$1066,3,0),0)</f>
      </c>
      <c r="AQ583" s="217">
        <f>+IF(W583&gt;W582,AP583,AQ582+AP583)</f>
      </c>
      <c r="AR583" s="217">
        <f>+MAX($AM$2-SUMIF($W$7:$W$1066,W583,$AN$7:$AN$1066),0)</f>
      </c>
      <c r="AS583" s="748">
        <f>+MAX(IF(AQ583&gt;AR583,AR583-AQ582,AP583),0)</f>
      </c>
      <c r="AT583" s="748">
        <f>+AP583-AS583</f>
      </c>
      <c r="AU583" s="217">
        <f>+_xlfn.IFNA(VLOOKUP(AJ583,$AF$7:$AI$1066,4,0),0)</f>
      </c>
      <c r="AV583" s="217">
        <f>+IF(W583&gt;W582,AU583,AV582+AU583)</f>
      </c>
      <c r="AW583" s="217">
        <f>+MAX($AM$2-SUMIF($W$7:$W$1066,W583,$AN$7:$AN$1066)-SUMIF($W$7:$W$1066,W583,$AS$7:$AS$1066),0)</f>
      </c>
      <c r="AX583" s="748">
        <f>+MAX(IF(AV583&gt;AW583,AW583-AV582,AU583),0)</f>
      </c>
      <c r="AY583" s="748">
        <f>+AU583-AX583</f>
      </c>
      <c r="AZ583" s="331">
        <f>+$AM$1+IF($AP$1&gt;$AP$2,$AM$3/2)</f>
      </c>
    </row>
    <row x14ac:dyDescent="0.25" r="584" customHeight="1" ht="18.75">
      <c r="A584" s="1"/>
      <c r="B584" s="7"/>
      <c r="C584" s="170"/>
      <c r="D584" s="331">
        <v>577</v>
      </c>
      <c r="E584" s="544">
        <f>+DATE(YEAR(E583),MONTH(E583)-1,DAY(E583))</f>
        <v>25569.041666666668</v>
      </c>
      <c r="F584" s="333">
        <f>IF(DATE(YEAR($B$6),MONTH($B$6)+1,DAY(1))=E584,1,IF(MONTH(E584)=1,F585*(1+$F$5),F585))</f>
      </c>
      <c r="G584" s="333">
        <f>IF('Simulador - 1º Pilar'!$E$99="Sí",IF('Aportaciones PPE'!$B$13&lt;'Aportaciones PPE'!E584,0,F584*$B$8/12),F584*$B$8/12)</f>
      </c>
      <c r="H584" s="333">
        <f>$H$5*G584</f>
      </c>
      <c r="I584" s="333">
        <f>$I$5*G584</f>
      </c>
      <c r="J584" s="333">
        <f>+I584</f>
      </c>
      <c r="K584" s="333">
        <f>(1+$O$5)^(D584/12)*(H584+IF(AND(F584=1,F585=0),$S$4,0))</f>
      </c>
      <c r="L584" s="333">
        <f>(1+$O$5)^(D584/12)*(I584+IF(AND(F584=1,F585=0),0))</f>
      </c>
      <c r="M584" s="333">
        <f>+L584</f>
      </c>
      <c r="N584" s="333">
        <f>L584+K584+M584</f>
      </c>
      <c r="O584" s="170"/>
      <c r="P584" s="7"/>
      <c r="Q584" s="1"/>
      <c r="R584" s="331">
        <f>D584</f>
      </c>
      <c r="S584" s="169"/>
      <c r="T584" s="1"/>
      <c r="U584" s="217"/>
      <c r="V584" s="331">
        <f>+IF(V583=11,12,IF(V583=12,1,V583+1))</f>
      </c>
      <c r="W584" s="331">
        <f>+W583+IF(V583=12,1,0)</f>
      </c>
      <c r="X584" s="555">
        <f>+DATE(W584,V584,1)</f>
        <v>25569.041666666668</v>
      </c>
      <c r="Y584" s="333">
        <f>+_xlfn.IFNA(AN584+AS584+AX584,0)</f>
      </c>
      <c r="Z584" s="333">
        <f>+_xlfn.IFNA(AO584+AT584+AY584,0)</f>
      </c>
      <c r="AA584" s="333">
        <f>Y584*(1+$O$5)^(($B$7-X584)/365.25)</f>
      </c>
      <c r="AB584" s="333">
        <f>Z584*(1+$O$5)^(($B$7-X584)/365.25)</f>
      </c>
      <c r="AC584" s="1"/>
      <c r="AD584" s="1"/>
      <c r="AE584" s="1"/>
      <c r="AF584" s="111">
        <f>+MONTH(E584)&amp;YEAR(E584)</f>
      </c>
      <c r="AG584" s="217">
        <f>+I584</f>
      </c>
      <c r="AH584" s="217">
        <f>+J584</f>
      </c>
      <c r="AI584" s="217">
        <f>+H584</f>
      </c>
      <c r="AJ584" s="111">
        <f>+V584&amp;W584</f>
      </c>
      <c r="AK584" s="217">
        <f>+_xlfn.IFNA(VLOOKUP(AJ584,$AF$7:$AG$1066,2,0),0)</f>
      </c>
      <c r="AL584" s="217">
        <f>+IF(W584&gt;W583,AK584,AL583+AK584)</f>
      </c>
      <c r="AM584" s="217">
        <f>IF(W584&gt;W583,IF(AL584&gt;=$AZ$8,$AZ$8,AL584),IF(OR(AM583=$AZ$8,AM583=0),0,IF(AL584&gt;=$AZ$8,$AZ$8,AL584)))</f>
      </c>
      <c r="AN584" s="748">
        <f>+IF(OR(AM584&gt;AZ583,AM584=0),0,IF(AM584=AL584,AK584,$AZ$7-AL583))</f>
      </c>
      <c r="AO584" s="748">
        <f>+AK584-AN584</f>
      </c>
      <c r="AP584" s="217">
        <f>+_xlfn.IFNA(VLOOKUP(AJ584,$AF$7:$AI$1066,3,0),0)</f>
      </c>
      <c r="AQ584" s="217">
        <f>+IF(W584&gt;W583,AP584,AQ583+AP584)</f>
      </c>
      <c r="AR584" s="217">
        <f>+MAX($AM$2-SUMIF($W$7:$W$1066,W584,$AN$7:$AN$1066),0)</f>
      </c>
      <c r="AS584" s="748">
        <f>+MAX(IF(AQ584&gt;AR584,AR584-AQ583,AP584),0)</f>
      </c>
      <c r="AT584" s="748">
        <f>+AP584-AS584</f>
      </c>
      <c r="AU584" s="217">
        <f>+_xlfn.IFNA(VLOOKUP(AJ584,$AF$7:$AI$1066,4,0),0)</f>
      </c>
      <c r="AV584" s="217">
        <f>+IF(W584&gt;W583,AU584,AV583+AU584)</f>
      </c>
      <c r="AW584" s="217">
        <f>+MAX($AM$2-SUMIF($W$7:$W$1066,W584,$AN$7:$AN$1066)-SUMIF($W$7:$W$1066,W584,$AS$7:$AS$1066),0)</f>
      </c>
      <c r="AX584" s="748">
        <f>+MAX(IF(AV584&gt;AW584,AW584-AV583,AU584),0)</f>
      </c>
      <c r="AY584" s="748">
        <f>+AU584-AX584</f>
      </c>
      <c r="AZ584" s="331">
        <f>+$AM$1+IF($AP$1&gt;$AP$2,$AM$3/2)</f>
      </c>
    </row>
    <row x14ac:dyDescent="0.25" r="585" customHeight="1" ht="18.75">
      <c r="A585" s="1"/>
      <c r="B585" s="7"/>
      <c r="C585" s="170"/>
      <c r="D585" s="331">
        <v>578</v>
      </c>
      <c r="E585" s="544">
        <f>+DATE(YEAR(E584),MONTH(E584)-1,DAY(E584))</f>
        <v>25569.041666666668</v>
      </c>
      <c r="F585" s="333">
        <f>IF(DATE(YEAR($B$6),MONTH($B$6)+1,DAY(1))=E585,1,IF(MONTH(E585)=1,F586*(1+$F$5),F586))</f>
      </c>
      <c r="G585" s="333">
        <f>IF('Simulador - 1º Pilar'!$E$99="Sí",IF('Aportaciones PPE'!$B$13&lt;'Aportaciones PPE'!E585,0,F585*$B$8/12),F585*$B$8/12)</f>
      </c>
      <c r="H585" s="333">
        <f>$H$5*G585</f>
      </c>
      <c r="I585" s="333">
        <f>$I$5*G585</f>
      </c>
      <c r="J585" s="333">
        <f>+I585</f>
      </c>
      <c r="K585" s="333">
        <f>(1+$O$5)^(D585/12)*(H585+IF(AND(F585=1,F586=0),$S$4,0))</f>
      </c>
      <c r="L585" s="333">
        <f>(1+$O$5)^(D585/12)*(I585+IF(AND(F585=1,F586=0),0))</f>
      </c>
      <c r="M585" s="333">
        <f>+L585</f>
      </c>
      <c r="N585" s="333">
        <f>L585+K585+M585</f>
      </c>
      <c r="O585" s="170"/>
      <c r="P585" s="7"/>
      <c r="Q585" s="1"/>
      <c r="R585" s="331">
        <f>D585</f>
      </c>
      <c r="S585" s="169"/>
      <c r="T585" s="1"/>
      <c r="U585" s="217"/>
      <c r="V585" s="331">
        <f>+IF(V584=11,12,IF(V584=12,1,V584+1))</f>
      </c>
      <c r="W585" s="331">
        <f>+W584+IF(V584=12,1,0)</f>
      </c>
      <c r="X585" s="555">
        <f>+DATE(W585,V585,1)</f>
        <v>25569.041666666668</v>
      </c>
      <c r="Y585" s="333">
        <f>+_xlfn.IFNA(AN585+AS585+AX585,0)</f>
      </c>
      <c r="Z585" s="333">
        <f>+_xlfn.IFNA(AO585+AT585+AY585,0)</f>
      </c>
      <c r="AA585" s="333">
        <f>Y585*(1+$O$5)^(($B$7-X585)/365.25)</f>
      </c>
      <c r="AB585" s="333">
        <f>Z585*(1+$O$5)^(($B$7-X585)/365.25)</f>
      </c>
      <c r="AC585" s="1"/>
      <c r="AD585" s="1"/>
      <c r="AE585" s="1"/>
      <c r="AF585" s="111">
        <f>+MONTH(E585)&amp;YEAR(E585)</f>
      </c>
      <c r="AG585" s="217">
        <f>+I585</f>
      </c>
      <c r="AH585" s="217">
        <f>+J585</f>
      </c>
      <c r="AI585" s="217">
        <f>+H585</f>
      </c>
      <c r="AJ585" s="111">
        <f>+V585&amp;W585</f>
      </c>
      <c r="AK585" s="217">
        <f>+_xlfn.IFNA(VLOOKUP(AJ585,$AF$7:$AG$1066,2,0),0)</f>
      </c>
      <c r="AL585" s="217">
        <f>+IF(W585&gt;W584,AK585,AL584+AK585)</f>
      </c>
      <c r="AM585" s="217">
        <f>IF(W585&gt;W584,IF(AL585&gt;=$AZ$8,$AZ$8,AL585),IF(OR(AM584=$AZ$8,AM584=0),0,IF(AL585&gt;=$AZ$8,$AZ$8,AL585)))</f>
      </c>
      <c r="AN585" s="748">
        <f>+IF(OR(AM585&gt;AZ584,AM585=0),0,IF(AM585=AL585,AK585,$AZ$7-AL584))</f>
      </c>
      <c r="AO585" s="748">
        <f>+AK585-AN585</f>
      </c>
      <c r="AP585" s="217">
        <f>+_xlfn.IFNA(VLOOKUP(AJ585,$AF$7:$AI$1066,3,0),0)</f>
      </c>
      <c r="AQ585" s="217">
        <f>+IF(W585&gt;W584,AP585,AQ584+AP585)</f>
      </c>
      <c r="AR585" s="217">
        <f>+MAX($AM$2-SUMIF($W$7:$W$1066,W585,$AN$7:$AN$1066),0)</f>
      </c>
      <c r="AS585" s="748">
        <f>+MAX(IF(AQ585&gt;AR585,AR585-AQ584,AP585),0)</f>
      </c>
      <c r="AT585" s="748">
        <f>+AP585-AS585</f>
      </c>
      <c r="AU585" s="217">
        <f>+_xlfn.IFNA(VLOOKUP(AJ585,$AF$7:$AI$1066,4,0),0)</f>
      </c>
      <c r="AV585" s="217">
        <f>+IF(W585&gt;W584,AU585,AV584+AU585)</f>
      </c>
      <c r="AW585" s="217">
        <f>+MAX($AM$2-SUMIF($W$7:$W$1066,W585,$AN$7:$AN$1066)-SUMIF($W$7:$W$1066,W585,$AS$7:$AS$1066),0)</f>
      </c>
      <c r="AX585" s="748">
        <f>+MAX(IF(AV585&gt;AW585,AW585-AV584,AU585),0)</f>
      </c>
      <c r="AY585" s="748">
        <f>+AU585-AX585</f>
      </c>
      <c r="AZ585" s="331">
        <f>+$AM$1+IF($AP$1&gt;$AP$2,$AM$3/2)</f>
      </c>
    </row>
    <row x14ac:dyDescent="0.25" r="586" customHeight="1" ht="18.75">
      <c r="A586" s="1"/>
      <c r="B586" s="7"/>
      <c r="C586" s="170"/>
      <c r="D586" s="331">
        <v>579</v>
      </c>
      <c r="E586" s="544">
        <f>+DATE(YEAR(E585),MONTH(E585)-1,DAY(E585))</f>
        <v>25569.041666666668</v>
      </c>
      <c r="F586" s="333">
        <f>IF(DATE(YEAR($B$6),MONTH($B$6)+1,DAY(1))=E586,1,IF(MONTH(E586)=1,F587*(1+$F$5),F587))</f>
      </c>
      <c r="G586" s="333">
        <f>IF('Simulador - 1º Pilar'!$E$99="Sí",IF('Aportaciones PPE'!$B$13&lt;'Aportaciones PPE'!E586,0,F586*$B$8/12),F586*$B$8/12)</f>
      </c>
      <c r="H586" s="333">
        <f>$H$5*G586</f>
      </c>
      <c r="I586" s="333">
        <f>$I$5*G586</f>
      </c>
      <c r="J586" s="333">
        <f>+I586</f>
      </c>
      <c r="K586" s="333">
        <f>(1+$O$5)^(D586/12)*(H586+IF(AND(F586=1,F587=0),$S$4,0))</f>
      </c>
      <c r="L586" s="333">
        <f>(1+$O$5)^(D586/12)*(I586+IF(AND(F586=1,F587=0),0))</f>
      </c>
      <c r="M586" s="333">
        <f>+L586</f>
      </c>
      <c r="N586" s="333">
        <f>L586+K586+M586</f>
      </c>
      <c r="O586" s="170"/>
      <c r="P586" s="7"/>
      <c r="Q586" s="1"/>
      <c r="R586" s="331">
        <f>D586</f>
      </c>
      <c r="S586" s="169"/>
      <c r="T586" s="1"/>
      <c r="U586" s="217"/>
      <c r="V586" s="331">
        <f>+IF(V585=11,12,IF(V585=12,1,V585+1))</f>
      </c>
      <c r="W586" s="331">
        <f>+W585+IF(V585=12,1,0)</f>
      </c>
      <c r="X586" s="555">
        <f>+DATE(W586,V586,1)</f>
        <v>25569.041666666668</v>
      </c>
      <c r="Y586" s="333">
        <f>+_xlfn.IFNA(AN586+AS586+AX586,0)</f>
      </c>
      <c r="Z586" s="333">
        <f>+_xlfn.IFNA(AO586+AT586+AY586,0)</f>
      </c>
      <c r="AA586" s="333">
        <f>Y586*(1+$O$5)^(($B$7-X586)/365.25)</f>
      </c>
      <c r="AB586" s="333">
        <f>Z586*(1+$O$5)^(($B$7-X586)/365.25)</f>
      </c>
      <c r="AC586" s="1"/>
      <c r="AD586" s="1"/>
      <c r="AE586" s="1"/>
      <c r="AF586" s="111">
        <f>+MONTH(E586)&amp;YEAR(E586)</f>
      </c>
      <c r="AG586" s="217">
        <f>+I586</f>
      </c>
      <c r="AH586" s="217">
        <f>+J586</f>
      </c>
      <c r="AI586" s="217">
        <f>+H586</f>
      </c>
      <c r="AJ586" s="111">
        <f>+V586&amp;W586</f>
      </c>
      <c r="AK586" s="217">
        <f>+_xlfn.IFNA(VLOOKUP(AJ586,$AF$7:$AG$1066,2,0),0)</f>
      </c>
      <c r="AL586" s="217">
        <f>+IF(W586&gt;W585,AK586,AL585+AK586)</f>
      </c>
      <c r="AM586" s="217">
        <f>IF(W586&gt;W585,IF(AL586&gt;=$AZ$8,$AZ$8,AL586),IF(OR(AM585=$AZ$8,AM585=0),0,IF(AL586&gt;=$AZ$8,$AZ$8,AL586)))</f>
      </c>
      <c r="AN586" s="748">
        <f>+IF(OR(AM586&gt;AZ585,AM586=0),0,IF(AM586=AL586,AK586,$AZ$7-AL585))</f>
      </c>
      <c r="AO586" s="748">
        <f>+AK586-AN586</f>
      </c>
      <c r="AP586" s="217">
        <f>+_xlfn.IFNA(VLOOKUP(AJ586,$AF$7:$AI$1066,3,0),0)</f>
      </c>
      <c r="AQ586" s="217">
        <f>+IF(W586&gt;W585,AP586,AQ585+AP586)</f>
      </c>
      <c r="AR586" s="217">
        <f>+MAX($AM$2-SUMIF($W$7:$W$1066,W586,$AN$7:$AN$1066),0)</f>
      </c>
      <c r="AS586" s="748">
        <f>+MAX(IF(AQ586&gt;AR586,AR586-AQ585,AP586),0)</f>
      </c>
      <c r="AT586" s="748">
        <f>+AP586-AS586</f>
      </c>
      <c r="AU586" s="217">
        <f>+_xlfn.IFNA(VLOOKUP(AJ586,$AF$7:$AI$1066,4,0),0)</f>
      </c>
      <c r="AV586" s="217">
        <f>+IF(W586&gt;W585,AU586,AV585+AU586)</f>
      </c>
      <c r="AW586" s="217">
        <f>+MAX($AM$2-SUMIF($W$7:$W$1066,W586,$AN$7:$AN$1066)-SUMIF($W$7:$W$1066,W586,$AS$7:$AS$1066),0)</f>
      </c>
      <c r="AX586" s="748">
        <f>+MAX(IF(AV586&gt;AW586,AW586-AV585,AU586),0)</f>
      </c>
      <c r="AY586" s="748">
        <f>+AU586-AX586</f>
      </c>
      <c r="AZ586" s="331">
        <f>+$AM$1+IF($AP$1&gt;$AP$2,$AM$3/2)</f>
      </c>
    </row>
    <row x14ac:dyDescent="0.25" r="587" customHeight="1" ht="18.75">
      <c r="A587" s="1"/>
      <c r="B587" s="7"/>
      <c r="C587" s="170"/>
      <c r="D587" s="331">
        <v>580</v>
      </c>
      <c r="E587" s="544">
        <f>+DATE(YEAR(E586),MONTH(E586)-1,DAY(E586))</f>
        <v>25569.041666666668</v>
      </c>
      <c r="F587" s="333">
        <f>IF(DATE(YEAR($B$6),MONTH($B$6)+1,DAY(1))=E587,1,IF(MONTH(E587)=1,F588*(1+$F$5),F588))</f>
      </c>
      <c r="G587" s="333">
        <f>IF('Simulador - 1º Pilar'!$E$99="Sí",IF('Aportaciones PPE'!$B$13&lt;'Aportaciones PPE'!E587,0,F587*$B$8/12),F587*$B$8/12)</f>
      </c>
      <c r="H587" s="333">
        <f>$H$5*G587</f>
      </c>
      <c r="I587" s="333">
        <f>$I$5*G587</f>
      </c>
      <c r="J587" s="333">
        <f>+I587</f>
      </c>
      <c r="K587" s="333">
        <f>(1+$O$5)^(D587/12)*(H587+IF(AND(F587=1,F588=0),$S$4,0))</f>
      </c>
      <c r="L587" s="333">
        <f>(1+$O$5)^(D587/12)*(I587+IF(AND(F587=1,F588=0),0))</f>
      </c>
      <c r="M587" s="333">
        <f>+L587</f>
      </c>
      <c r="N587" s="333">
        <f>L587+K587+M587</f>
      </c>
      <c r="O587" s="170"/>
      <c r="P587" s="7"/>
      <c r="Q587" s="1"/>
      <c r="R587" s="331">
        <f>D587</f>
      </c>
      <c r="S587" s="169"/>
      <c r="T587" s="1"/>
      <c r="U587" s="217"/>
      <c r="V587" s="331">
        <f>+IF(V586=11,12,IF(V586=12,1,V586+1))</f>
      </c>
      <c r="W587" s="331">
        <f>+W586+IF(V586=12,1,0)</f>
      </c>
      <c r="X587" s="555">
        <f>+DATE(W587,V587,1)</f>
        <v>25569.041666666668</v>
      </c>
      <c r="Y587" s="333">
        <f>+_xlfn.IFNA(AN587+AS587+AX587,0)</f>
      </c>
      <c r="Z587" s="333">
        <f>+_xlfn.IFNA(AO587+AT587+AY587,0)</f>
      </c>
      <c r="AA587" s="333">
        <f>Y587*(1+$O$5)^(($B$7-X587)/365.25)</f>
      </c>
      <c r="AB587" s="333">
        <f>Z587*(1+$O$5)^(($B$7-X587)/365.25)</f>
      </c>
      <c r="AC587" s="1"/>
      <c r="AD587" s="1"/>
      <c r="AE587" s="1"/>
      <c r="AF587" s="111">
        <f>+MONTH(E587)&amp;YEAR(E587)</f>
      </c>
      <c r="AG587" s="217">
        <f>+I587</f>
      </c>
      <c r="AH587" s="217">
        <f>+J587</f>
      </c>
      <c r="AI587" s="217">
        <f>+H587</f>
      </c>
      <c r="AJ587" s="111">
        <f>+V587&amp;W587</f>
      </c>
      <c r="AK587" s="217">
        <f>+_xlfn.IFNA(VLOOKUP(AJ587,$AF$7:$AG$1066,2,0),0)</f>
      </c>
      <c r="AL587" s="217">
        <f>+IF(W587&gt;W586,AK587,AL586+AK587)</f>
      </c>
      <c r="AM587" s="217">
        <f>IF(W587&gt;W586,IF(AL587&gt;=$AZ$8,$AZ$8,AL587),IF(OR(AM586=$AZ$8,AM586=0),0,IF(AL587&gt;=$AZ$8,$AZ$8,AL587)))</f>
      </c>
      <c r="AN587" s="748">
        <f>+IF(OR(AM587&gt;AZ586,AM587=0),0,IF(AM587=AL587,AK587,$AZ$7-AL586))</f>
      </c>
      <c r="AO587" s="748">
        <f>+AK587-AN587</f>
      </c>
      <c r="AP587" s="217">
        <f>+_xlfn.IFNA(VLOOKUP(AJ587,$AF$7:$AI$1066,3,0),0)</f>
      </c>
      <c r="AQ587" s="217">
        <f>+IF(W587&gt;W586,AP587,AQ586+AP587)</f>
      </c>
      <c r="AR587" s="217">
        <f>+MAX($AM$2-SUMIF($W$7:$W$1066,W587,$AN$7:$AN$1066),0)</f>
      </c>
      <c r="AS587" s="748">
        <f>+MAX(IF(AQ587&gt;AR587,AR587-AQ586,AP587),0)</f>
      </c>
      <c r="AT587" s="748">
        <f>+AP587-AS587</f>
      </c>
      <c r="AU587" s="217">
        <f>+_xlfn.IFNA(VLOOKUP(AJ587,$AF$7:$AI$1066,4,0),0)</f>
      </c>
      <c r="AV587" s="217">
        <f>+IF(W587&gt;W586,AU587,AV586+AU587)</f>
      </c>
      <c r="AW587" s="217">
        <f>+MAX($AM$2-SUMIF($W$7:$W$1066,W587,$AN$7:$AN$1066)-SUMIF($W$7:$W$1066,W587,$AS$7:$AS$1066),0)</f>
      </c>
      <c r="AX587" s="748">
        <f>+MAX(IF(AV587&gt;AW587,AW587-AV586,AU587),0)</f>
      </c>
      <c r="AY587" s="748">
        <f>+AU587-AX587</f>
      </c>
      <c r="AZ587" s="331">
        <f>+$AM$1+IF($AP$1&gt;$AP$2,$AM$3/2)</f>
      </c>
    </row>
    <row x14ac:dyDescent="0.25" r="588" customHeight="1" ht="18.75">
      <c r="A588" s="1"/>
      <c r="B588" s="7"/>
      <c r="C588" s="170"/>
      <c r="D588" s="331">
        <v>581</v>
      </c>
      <c r="E588" s="544">
        <f>+DATE(YEAR(E587),MONTH(E587)-1,DAY(E587))</f>
        <v>25569.041666666668</v>
      </c>
      <c r="F588" s="333">
        <f>IF(DATE(YEAR($B$6),MONTH($B$6)+1,DAY(1))=E588,1,IF(MONTH(E588)=1,F589*(1+$F$5),F589))</f>
      </c>
      <c r="G588" s="333">
        <f>IF('Simulador - 1º Pilar'!$E$99="Sí",IF('Aportaciones PPE'!$B$13&lt;'Aportaciones PPE'!E588,0,F588*$B$8/12),F588*$B$8/12)</f>
      </c>
      <c r="H588" s="333">
        <f>$H$5*G588</f>
      </c>
      <c r="I588" s="333">
        <f>$I$5*G588</f>
      </c>
      <c r="J588" s="333">
        <f>+I588</f>
      </c>
      <c r="K588" s="333">
        <f>(1+$O$5)^(D588/12)*(H588+IF(AND(F588=1,F589=0),$S$4,0))</f>
      </c>
      <c r="L588" s="333">
        <f>(1+$O$5)^(D588/12)*(I588+IF(AND(F588=1,F589=0),0))</f>
      </c>
      <c r="M588" s="333">
        <f>+L588</f>
      </c>
      <c r="N588" s="333">
        <f>L588+K588+M588</f>
      </c>
      <c r="O588" s="170"/>
      <c r="P588" s="7"/>
      <c r="Q588" s="1"/>
      <c r="R588" s="331">
        <f>D588</f>
      </c>
      <c r="S588" s="169"/>
      <c r="T588" s="1"/>
      <c r="U588" s="217"/>
      <c r="V588" s="331">
        <f>+IF(V587=11,12,IF(V587=12,1,V587+1))</f>
      </c>
      <c r="W588" s="331">
        <f>+W587+IF(V587=12,1,0)</f>
      </c>
      <c r="X588" s="555">
        <f>+DATE(W588,V588,1)</f>
        <v>25569.041666666668</v>
      </c>
      <c r="Y588" s="333">
        <f>+_xlfn.IFNA(AN588+AS588+AX588,0)</f>
      </c>
      <c r="Z588" s="333">
        <f>+_xlfn.IFNA(AO588+AT588+AY588,0)</f>
      </c>
      <c r="AA588" s="333">
        <f>Y588*(1+$O$5)^(($B$7-X588)/365.25)</f>
      </c>
      <c r="AB588" s="333">
        <f>Z588*(1+$O$5)^(($B$7-X588)/365.25)</f>
      </c>
      <c r="AC588" s="1"/>
      <c r="AD588" s="1"/>
      <c r="AE588" s="1"/>
      <c r="AF588" s="111">
        <f>+MONTH(E588)&amp;YEAR(E588)</f>
      </c>
      <c r="AG588" s="217">
        <f>+I588</f>
      </c>
      <c r="AH588" s="217">
        <f>+J588</f>
      </c>
      <c r="AI588" s="217">
        <f>+H588</f>
      </c>
      <c r="AJ588" s="111">
        <f>+V588&amp;W588</f>
      </c>
      <c r="AK588" s="217">
        <f>+_xlfn.IFNA(VLOOKUP(AJ588,$AF$7:$AG$1066,2,0),0)</f>
      </c>
      <c r="AL588" s="217">
        <f>+IF(W588&gt;W587,AK588,AL587+AK588)</f>
      </c>
      <c r="AM588" s="217">
        <f>IF(W588&gt;W587,IF(AL588&gt;=$AZ$8,$AZ$8,AL588),IF(OR(AM587=$AZ$8,AM587=0),0,IF(AL588&gt;=$AZ$8,$AZ$8,AL588)))</f>
      </c>
      <c r="AN588" s="748">
        <f>+IF(OR(AM588&gt;AZ587,AM588=0),0,IF(AM588=AL588,AK588,$AZ$7-AL587))</f>
      </c>
      <c r="AO588" s="748">
        <f>+AK588-AN588</f>
      </c>
      <c r="AP588" s="217">
        <f>+_xlfn.IFNA(VLOOKUP(AJ588,$AF$7:$AI$1066,3,0),0)</f>
      </c>
      <c r="AQ588" s="217">
        <f>+IF(W588&gt;W587,AP588,AQ587+AP588)</f>
      </c>
      <c r="AR588" s="217">
        <f>+MAX($AM$2-SUMIF($W$7:$W$1066,W588,$AN$7:$AN$1066),0)</f>
      </c>
      <c r="AS588" s="748">
        <f>+MAX(IF(AQ588&gt;AR588,AR588-AQ587,AP588),0)</f>
      </c>
      <c r="AT588" s="748">
        <f>+AP588-AS588</f>
      </c>
      <c r="AU588" s="217">
        <f>+_xlfn.IFNA(VLOOKUP(AJ588,$AF$7:$AI$1066,4,0),0)</f>
      </c>
      <c r="AV588" s="217">
        <f>+IF(W588&gt;W587,AU588,AV587+AU588)</f>
      </c>
      <c r="AW588" s="217">
        <f>+MAX($AM$2-SUMIF($W$7:$W$1066,W588,$AN$7:$AN$1066)-SUMIF($W$7:$W$1066,W588,$AS$7:$AS$1066),0)</f>
      </c>
      <c r="AX588" s="748">
        <f>+MAX(IF(AV588&gt;AW588,AW588-AV587,AU588),0)</f>
      </c>
      <c r="AY588" s="748">
        <f>+AU588-AX588</f>
      </c>
      <c r="AZ588" s="331">
        <f>+$AM$1+IF($AP$1&gt;$AP$2,$AM$3/2)</f>
      </c>
    </row>
    <row x14ac:dyDescent="0.25" r="589" customHeight="1" ht="18.75">
      <c r="A589" s="1"/>
      <c r="B589" s="7"/>
      <c r="C589" s="170"/>
      <c r="D589" s="331">
        <v>582</v>
      </c>
      <c r="E589" s="544">
        <f>+DATE(YEAR(E588),MONTH(E588)-1,DAY(E588))</f>
        <v>25569.041666666668</v>
      </c>
      <c r="F589" s="333">
        <f>IF(DATE(YEAR($B$6),MONTH($B$6)+1,DAY(1))=E589,1,IF(MONTH(E589)=1,F590*(1+$F$5),F590))</f>
      </c>
      <c r="G589" s="333">
        <f>IF('Simulador - 1º Pilar'!$E$99="Sí",IF('Aportaciones PPE'!$B$13&lt;'Aportaciones PPE'!E589,0,F589*$B$8/12),F589*$B$8/12)</f>
      </c>
      <c r="H589" s="333">
        <f>$H$5*G589</f>
      </c>
      <c r="I589" s="333">
        <f>$I$5*G589</f>
      </c>
      <c r="J589" s="333">
        <f>+I589</f>
      </c>
      <c r="K589" s="333">
        <f>(1+$O$5)^(D589/12)*(H589+IF(AND(F589=1,F590=0),$S$4,0))</f>
      </c>
      <c r="L589" s="333">
        <f>(1+$O$5)^(D589/12)*(I589+IF(AND(F589=1,F590=0),0))</f>
      </c>
      <c r="M589" s="333">
        <f>+L589</f>
      </c>
      <c r="N589" s="333">
        <f>L589+K589+M589</f>
      </c>
      <c r="O589" s="170"/>
      <c r="P589" s="7"/>
      <c r="Q589" s="1"/>
      <c r="R589" s="331">
        <f>D589</f>
      </c>
      <c r="S589" s="169"/>
      <c r="T589" s="1"/>
      <c r="U589" s="217"/>
      <c r="V589" s="331">
        <f>+IF(V588=11,12,IF(V588=12,1,V588+1))</f>
      </c>
      <c r="W589" s="331">
        <f>+W588+IF(V588=12,1,0)</f>
      </c>
      <c r="X589" s="555">
        <f>+DATE(W589,V589,1)</f>
        <v>25569.041666666668</v>
      </c>
      <c r="Y589" s="333">
        <f>+_xlfn.IFNA(AN589+AS589+AX589,0)</f>
      </c>
      <c r="Z589" s="333">
        <f>+_xlfn.IFNA(AO589+AT589+AY589,0)</f>
      </c>
      <c r="AA589" s="333">
        <f>Y589*(1+$O$5)^(($B$7-X589)/365.25)</f>
      </c>
      <c r="AB589" s="333">
        <f>Z589*(1+$O$5)^(($B$7-X589)/365.25)</f>
      </c>
      <c r="AC589" s="1"/>
      <c r="AD589" s="1"/>
      <c r="AE589" s="1"/>
      <c r="AF589" s="111">
        <f>+MONTH(E589)&amp;YEAR(E589)</f>
      </c>
      <c r="AG589" s="217">
        <f>+I589</f>
      </c>
      <c r="AH589" s="217">
        <f>+J589</f>
      </c>
      <c r="AI589" s="217">
        <f>+H589</f>
      </c>
      <c r="AJ589" s="111">
        <f>+V589&amp;W589</f>
      </c>
      <c r="AK589" s="217">
        <f>+_xlfn.IFNA(VLOOKUP(AJ589,$AF$7:$AG$1066,2,0),0)</f>
      </c>
      <c r="AL589" s="217">
        <f>+IF(W589&gt;W588,AK589,AL588+AK589)</f>
      </c>
      <c r="AM589" s="217">
        <f>IF(W589&gt;W588,IF(AL589&gt;=$AZ$8,$AZ$8,AL589),IF(OR(AM588=$AZ$8,AM588=0),0,IF(AL589&gt;=$AZ$8,$AZ$8,AL589)))</f>
      </c>
      <c r="AN589" s="748">
        <f>+IF(OR(AM589&gt;AZ588,AM589=0),0,IF(AM589=AL589,AK589,$AZ$7-AL588))</f>
      </c>
      <c r="AO589" s="748">
        <f>+AK589-AN589</f>
      </c>
      <c r="AP589" s="217">
        <f>+_xlfn.IFNA(VLOOKUP(AJ589,$AF$7:$AI$1066,3,0),0)</f>
      </c>
      <c r="AQ589" s="217">
        <f>+IF(W589&gt;W588,AP589,AQ588+AP589)</f>
      </c>
      <c r="AR589" s="217">
        <f>+MAX($AM$2-SUMIF($W$7:$W$1066,W589,$AN$7:$AN$1066),0)</f>
      </c>
      <c r="AS589" s="748">
        <f>+MAX(IF(AQ589&gt;AR589,AR589-AQ588,AP589),0)</f>
      </c>
      <c r="AT589" s="748">
        <f>+AP589-AS589</f>
      </c>
      <c r="AU589" s="217">
        <f>+_xlfn.IFNA(VLOOKUP(AJ589,$AF$7:$AI$1066,4,0),0)</f>
      </c>
      <c r="AV589" s="217">
        <f>+IF(W589&gt;W588,AU589,AV588+AU589)</f>
      </c>
      <c r="AW589" s="217">
        <f>+MAX($AM$2-SUMIF($W$7:$W$1066,W589,$AN$7:$AN$1066)-SUMIF($W$7:$W$1066,W589,$AS$7:$AS$1066),0)</f>
      </c>
      <c r="AX589" s="748">
        <f>+MAX(IF(AV589&gt;AW589,AW589-AV588,AU589),0)</f>
      </c>
      <c r="AY589" s="748">
        <f>+AU589-AX589</f>
      </c>
      <c r="AZ589" s="331">
        <f>+$AM$1+IF($AP$1&gt;$AP$2,$AM$3/2)</f>
      </c>
    </row>
    <row x14ac:dyDescent="0.25" r="590" customHeight="1" ht="18.75">
      <c r="A590" s="1"/>
      <c r="B590" s="7"/>
      <c r="C590" s="170"/>
      <c r="D590" s="331">
        <v>583</v>
      </c>
      <c r="E590" s="544">
        <f>+DATE(YEAR(E589),MONTH(E589)-1,DAY(E589))</f>
        <v>25569.041666666668</v>
      </c>
      <c r="F590" s="333">
        <f>IF(DATE(YEAR($B$6),MONTH($B$6)+1,DAY(1))=E590,1,IF(MONTH(E590)=1,F591*(1+$F$5),F591))</f>
      </c>
      <c r="G590" s="333">
        <f>IF('Simulador - 1º Pilar'!$E$99="Sí",IF('Aportaciones PPE'!$B$13&lt;'Aportaciones PPE'!E590,0,F590*$B$8/12),F590*$B$8/12)</f>
      </c>
      <c r="H590" s="333">
        <f>$H$5*G590</f>
      </c>
      <c r="I590" s="333">
        <f>$I$5*G590</f>
      </c>
      <c r="J590" s="333">
        <f>+I590</f>
      </c>
      <c r="K590" s="333">
        <f>(1+$O$5)^(D590/12)*(H590+IF(AND(F590=1,F591=0),$S$4,0))</f>
      </c>
      <c r="L590" s="333">
        <f>(1+$O$5)^(D590/12)*(I590+IF(AND(F590=1,F591=0),0))</f>
      </c>
      <c r="M590" s="333">
        <f>+L590</f>
      </c>
      <c r="N590" s="333">
        <f>L590+K590+M590</f>
      </c>
      <c r="O590" s="170"/>
      <c r="P590" s="7"/>
      <c r="Q590" s="1"/>
      <c r="R590" s="331">
        <f>D590</f>
      </c>
      <c r="S590" s="169"/>
      <c r="T590" s="1"/>
      <c r="U590" s="217"/>
      <c r="V590" s="331">
        <f>+IF(V589=11,12,IF(V589=12,1,V589+1))</f>
      </c>
      <c r="W590" s="331">
        <f>+W589+IF(V589=12,1,0)</f>
      </c>
      <c r="X590" s="555">
        <f>+DATE(W590,V590,1)</f>
        <v>25569.041666666668</v>
      </c>
      <c r="Y590" s="333">
        <f>+_xlfn.IFNA(AN590+AS590+AX590,0)</f>
      </c>
      <c r="Z590" s="333">
        <f>+_xlfn.IFNA(AO590+AT590+AY590,0)</f>
      </c>
      <c r="AA590" s="333">
        <f>Y590*(1+$O$5)^(($B$7-X590)/365.25)</f>
      </c>
      <c r="AB590" s="333">
        <f>Z590*(1+$O$5)^(($B$7-X590)/365.25)</f>
      </c>
      <c r="AC590" s="1"/>
      <c r="AD590" s="1"/>
      <c r="AE590" s="1"/>
      <c r="AF590" s="111">
        <f>+MONTH(E590)&amp;YEAR(E590)</f>
      </c>
      <c r="AG590" s="217">
        <f>+I590</f>
      </c>
      <c r="AH590" s="217">
        <f>+J590</f>
      </c>
      <c r="AI590" s="217">
        <f>+H590</f>
      </c>
      <c r="AJ590" s="111">
        <f>+V590&amp;W590</f>
      </c>
      <c r="AK590" s="217">
        <f>+_xlfn.IFNA(VLOOKUP(AJ590,$AF$7:$AG$1066,2,0),0)</f>
      </c>
      <c r="AL590" s="217">
        <f>+IF(W590&gt;W589,AK590,AL589+AK590)</f>
      </c>
      <c r="AM590" s="217">
        <f>IF(W590&gt;W589,IF(AL590&gt;=$AZ$8,$AZ$8,AL590),IF(OR(AM589=$AZ$8,AM589=0),0,IF(AL590&gt;=$AZ$8,$AZ$8,AL590)))</f>
      </c>
      <c r="AN590" s="748">
        <f>+IF(OR(AM590&gt;AZ589,AM590=0),0,IF(AM590=AL590,AK590,$AZ$7-AL589))</f>
      </c>
      <c r="AO590" s="748">
        <f>+AK590-AN590</f>
      </c>
      <c r="AP590" s="217">
        <f>+_xlfn.IFNA(VLOOKUP(AJ590,$AF$7:$AI$1066,3,0),0)</f>
      </c>
      <c r="AQ590" s="217">
        <f>+IF(W590&gt;W589,AP590,AQ589+AP590)</f>
      </c>
      <c r="AR590" s="217">
        <f>+MAX($AM$2-SUMIF($W$7:$W$1066,W590,$AN$7:$AN$1066),0)</f>
      </c>
      <c r="AS590" s="748">
        <f>+MAX(IF(AQ590&gt;AR590,AR590-AQ589,AP590),0)</f>
      </c>
      <c r="AT590" s="748">
        <f>+AP590-AS590</f>
      </c>
      <c r="AU590" s="217">
        <f>+_xlfn.IFNA(VLOOKUP(AJ590,$AF$7:$AI$1066,4,0),0)</f>
      </c>
      <c r="AV590" s="217">
        <f>+IF(W590&gt;W589,AU590,AV589+AU590)</f>
      </c>
      <c r="AW590" s="217">
        <f>+MAX($AM$2-SUMIF($W$7:$W$1066,W590,$AN$7:$AN$1066)-SUMIF($W$7:$W$1066,W590,$AS$7:$AS$1066),0)</f>
      </c>
      <c r="AX590" s="748">
        <f>+MAX(IF(AV590&gt;AW590,AW590-AV589,AU590),0)</f>
      </c>
      <c r="AY590" s="748">
        <f>+AU590-AX590</f>
      </c>
      <c r="AZ590" s="331">
        <f>+$AM$1+IF($AP$1&gt;$AP$2,$AM$3/2)</f>
      </c>
    </row>
    <row x14ac:dyDescent="0.25" r="591" customHeight="1" ht="18.75">
      <c r="A591" s="1"/>
      <c r="B591" s="7"/>
      <c r="C591" s="170"/>
      <c r="D591" s="331">
        <v>584</v>
      </c>
      <c r="E591" s="544">
        <f>+DATE(YEAR(E590),MONTH(E590)-1,DAY(E590))</f>
        <v>25569.041666666668</v>
      </c>
      <c r="F591" s="333">
        <f>IF(DATE(YEAR($B$6),MONTH($B$6)+1,DAY(1))=E591,1,IF(MONTH(E591)=1,F592*(1+$F$5),F592))</f>
      </c>
      <c r="G591" s="333">
        <f>IF('Simulador - 1º Pilar'!$E$99="Sí",IF('Aportaciones PPE'!$B$13&lt;'Aportaciones PPE'!E591,0,F591*$B$8/12),F591*$B$8/12)</f>
      </c>
      <c r="H591" s="333">
        <f>$H$5*G591</f>
      </c>
      <c r="I591" s="333">
        <f>$I$5*G591</f>
      </c>
      <c r="J591" s="333">
        <f>+I591</f>
      </c>
      <c r="K591" s="333">
        <f>(1+$O$5)^(D591/12)*(H591+IF(AND(F591=1,F592=0),$S$4,0))</f>
      </c>
      <c r="L591" s="333">
        <f>(1+$O$5)^(D591/12)*(I591+IF(AND(F591=1,F592=0),0))</f>
      </c>
      <c r="M591" s="333">
        <f>+L591</f>
      </c>
      <c r="N591" s="333">
        <f>L591+K591+M591</f>
      </c>
      <c r="O591" s="170"/>
      <c r="P591" s="7"/>
      <c r="Q591" s="1"/>
      <c r="R591" s="331">
        <f>D591</f>
      </c>
      <c r="S591" s="169"/>
      <c r="T591" s="1"/>
      <c r="U591" s="217"/>
      <c r="V591" s="331">
        <f>+IF(V590=11,12,IF(V590=12,1,V590+1))</f>
      </c>
      <c r="W591" s="331">
        <f>+W590+IF(V590=12,1,0)</f>
      </c>
      <c r="X591" s="555">
        <f>+DATE(W591,V591,1)</f>
        <v>25569.041666666668</v>
      </c>
      <c r="Y591" s="333">
        <f>+_xlfn.IFNA(AN591+AS591+AX591,0)</f>
      </c>
      <c r="Z591" s="333">
        <f>+_xlfn.IFNA(AO591+AT591+AY591,0)</f>
      </c>
      <c r="AA591" s="333">
        <f>Y591*(1+$O$5)^(($B$7-X591)/365.25)</f>
      </c>
      <c r="AB591" s="333">
        <f>Z591*(1+$O$5)^(($B$7-X591)/365.25)</f>
      </c>
      <c r="AC591" s="1"/>
      <c r="AD591" s="1"/>
      <c r="AE591" s="1"/>
      <c r="AF591" s="111">
        <f>+MONTH(E591)&amp;YEAR(E591)</f>
      </c>
      <c r="AG591" s="217">
        <f>+I591</f>
      </c>
      <c r="AH591" s="217">
        <f>+J591</f>
      </c>
      <c r="AI591" s="217">
        <f>+H591</f>
      </c>
      <c r="AJ591" s="111">
        <f>+V591&amp;W591</f>
      </c>
      <c r="AK591" s="217">
        <f>+_xlfn.IFNA(VLOOKUP(AJ591,$AF$7:$AG$1066,2,0),0)</f>
      </c>
      <c r="AL591" s="217">
        <f>+IF(W591&gt;W590,AK591,AL590+AK591)</f>
      </c>
      <c r="AM591" s="217">
        <f>IF(W591&gt;W590,IF(AL591&gt;=$AZ$8,$AZ$8,AL591),IF(OR(AM590=$AZ$8,AM590=0),0,IF(AL591&gt;=$AZ$8,$AZ$8,AL591)))</f>
      </c>
      <c r="AN591" s="748">
        <f>+IF(OR(AM591&gt;AZ590,AM591=0),0,IF(AM591=AL591,AK591,$AZ$7-AL590))</f>
      </c>
      <c r="AO591" s="748">
        <f>+AK591-AN591</f>
      </c>
      <c r="AP591" s="217">
        <f>+_xlfn.IFNA(VLOOKUP(AJ591,$AF$7:$AI$1066,3,0),0)</f>
      </c>
      <c r="AQ591" s="217">
        <f>+IF(W591&gt;W590,AP591,AQ590+AP591)</f>
      </c>
      <c r="AR591" s="217">
        <f>+MAX($AM$2-SUMIF($W$7:$W$1066,W591,$AN$7:$AN$1066),0)</f>
      </c>
      <c r="AS591" s="748">
        <f>+MAX(IF(AQ591&gt;AR591,AR591-AQ590,AP591),0)</f>
      </c>
      <c r="AT591" s="748">
        <f>+AP591-AS591</f>
      </c>
      <c r="AU591" s="217">
        <f>+_xlfn.IFNA(VLOOKUP(AJ591,$AF$7:$AI$1066,4,0),0)</f>
      </c>
      <c r="AV591" s="217">
        <f>+IF(W591&gt;W590,AU591,AV590+AU591)</f>
      </c>
      <c r="AW591" s="217">
        <f>+MAX($AM$2-SUMIF($W$7:$W$1066,W591,$AN$7:$AN$1066)-SUMIF($W$7:$W$1066,W591,$AS$7:$AS$1066),0)</f>
      </c>
      <c r="AX591" s="748">
        <f>+MAX(IF(AV591&gt;AW591,AW591-AV590,AU591),0)</f>
      </c>
      <c r="AY591" s="748">
        <f>+AU591-AX591</f>
      </c>
      <c r="AZ591" s="331">
        <f>+$AM$1+IF($AP$1&gt;$AP$2,$AM$3/2)</f>
      </c>
    </row>
    <row x14ac:dyDescent="0.25" r="592" customHeight="1" ht="18.75">
      <c r="A592" s="1"/>
      <c r="B592" s="7"/>
      <c r="C592" s="170"/>
      <c r="D592" s="331">
        <v>585</v>
      </c>
      <c r="E592" s="544">
        <f>+DATE(YEAR(E591),MONTH(E591)-1,DAY(E591))</f>
        <v>25569.041666666668</v>
      </c>
      <c r="F592" s="333">
        <f>IF(DATE(YEAR($B$6),MONTH($B$6)+1,DAY(1))=E592,1,IF(MONTH(E592)=1,F593*(1+$F$5),F593))</f>
      </c>
      <c r="G592" s="333">
        <f>IF('Simulador - 1º Pilar'!$E$99="Sí",IF('Aportaciones PPE'!$B$13&lt;'Aportaciones PPE'!E592,0,F592*$B$8/12),F592*$B$8/12)</f>
      </c>
      <c r="H592" s="333">
        <f>$H$5*G592</f>
      </c>
      <c r="I592" s="333">
        <f>$I$5*G592</f>
      </c>
      <c r="J592" s="333">
        <f>+I592</f>
      </c>
      <c r="K592" s="333">
        <f>(1+$O$5)^(D592/12)*(H592+IF(AND(F592=1,F593=0),$S$4,0))</f>
      </c>
      <c r="L592" s="333">
        <f>(1+$O$5)^(D592/12)*(I592+IF(AND(F592=1,F593=0),0))</f>
      </c>
      <c r="M592" s="333">
        <f>+L592</f>
      </c>
      <c r="N592" s="333">
        <f>L592+K592+M592</f>
      </c>
      <c r="O592" s="170"/>
      <c r="P592" s="7"/>
      <c r="Q592" s="1"/>
      <c r="R592" s="331">
        <f>D592</f>
      </c>
      <c r="S592" s="169"/>
      <c r="T592" s="1"/>
      <c r="U592" s="217"/>
      <c r="V592" s="331">
        <f>+IF(V591=11,12,IF(V591=12,1,V591+1))</f>
      </c>
      <c r="W592" s="331">
        <f>+W591+IF(V591=12,1,0)</f>
      </c>
      <c r="X592" s="555">
        <f>+DATE(W592,V592,1)</f>
        <v>25569.041666666668</v>
      </c>
      <c r="Y592" s="333">
        <f>+_xlfn.IFNA(AN592+AS592+AX592,0)</f>
      </c>
      <c r="Z592" s="333">
        <f>+_xlfn.IFNA(AO592+AT592+AY592,0)</f>
      </c>
      <c r="AA592" s="333">
        <f>Y592*(1+$O$5)^(($B$7-X592)/365.25)</f>
      </c>
      <c r="AB592" s="333">
        <f>Z592*(1+$O$5)^(($B$7-X592)/365.25)</f>
      </c>
      <c r="AC592" s="1"/>
      <c r="AD592" s="1"/>
      <c r="AE592" s="1"/>
      <c r="AF592" s="111">
        <f>+MONTH(E592)&amp;YEAR(E592)</f>
      </c>
      <c r="AG592" s="217">
        <f>+I592</f>
      </c>
      <c r="AH592" s="217">
        <f>+J592</f>
      </c>
      <c r="AI592" s="217">
        <f>+H592</f>
      </c>
      <c r="AJ592" s="111">
        <f>+V592&amp;W592</f>
      </c>
      <c r="AK592" s="217">
        <f>+_xlfn.IFNA(VLOOKUP(AJ592,$AF$7:$AG$1066,2,0),0)</f>
      </c>
      <c r="AL592" s="217">
        <f>+IF(W592&gt;W591,AK592,AL591+AK592)</f>
      </c>
      <c r="AM592" s="217">
        <f>IF(W592&gt;W591,IF(AL592&gt;=$AZ$8,$AZ$8,AL592),IF(OR(AM591=$AZ$8,AM591=0),0,IF(AL592&gt;=$AZ$8,$AZ$8,AL592)))</f>
      </c>
      <c r="AN592" s="748">
        <f>+IF(OR(AM592&gt;AZ591,AM592=0),0,IF(AM592=AL592,AK592,$AZ$7-AL591))</f>
      </c>
      <c r="AO592" s="748">
        <f>+AK592-AN592</f>
      </c>
      <c r="AP592" s="217">
        <f>+_xlfn.IFNA(VLOOKUP(AJ592,$AF$7:$AI$1066,3,0),0)</f>
      </c>
      <c r="AQ592" s="217">
        <f>+IF(W592&gt;W591,AP592,AQ591+AP592)</f>
      </c>
      <c r="AR592" s="217">
        <f>+MAX($AM$2-SUMIF($W$7:$W$1066,W592,$AN$7:$AN$1066),0)</f>
      </c>
      <c r="AS592" s="748">
        <f>+MAX(IF(AQ592&gt;AR592,AR592-AQ591,AP592),0)</f>
      </c>
      <c r="AT592" s="748">
        <f>+AP592-AS592</f>
      </c>
      <c r="AU592" s="217">
        <f>+_xlfn.IFNA(VLOOKUP(AJ592,$AF$7:$AI$1066,4,0),0)</f>
      </c>
      <c r="AV592" s="217">
        <f>+IF(W592&gt;W591,AU592,AV591+AU592)</f>
      </c>
      <c r="AW592" s="217">
        <f>+MAX($AM$2-SUMIF($W$7:$W$1066,W592,$AN$7:$AN$1066)-SUMIF($W$7:$W$1066,W592,$AS$7:$AS$1066),0)</f>
      </c>
      <c r="AX592" s="748">
        <f>+MAX(IF(AV592&gt;AW592,AW592-AV591,AU592),0)</f>
      </c>
      <c r="AY592" s="748">
        <f>+AU592-AX592</f>
      </c>
      <c r="AZ592" s="331">
        <f>+$AM$1+IF($AP$1&gt;$AP$2,$AM$3/2)</f>
      </c>
    </row>
    <row x14ac:dyDescent="0.25" r="593" customHeight="1" ht="18.75">
      <c r="A593" s="1"/>
      <c r="B593" s="7"/>
      <c r="C593" s="170"/>
      <c r="D593" s="331">
        <v>586</v>
      </c>
      <c r="E593" s="544">
        <f>+DATE(YEAR(E592),MONTH(E592)-1,DAY(E592))</f>
        <v>25569.041666666668</v>
      </c>
      <c r="F593" s="333">
        <f>IF(DATE(YEAR($B$6),MONTH($B$6)+1,DAY(1))=E593,1,IF(MONTH(E593)=1,F594*(1+$F$5),F594))</f>
      </c>
      <c r="G593" s="333">
        <f>IF('Simulador - 1º Pilar'!$E$99="Sí",IF('Aportaciones PPE'!$B$13&lt;'Aportaciones PPE'!E593,0,F593*$B$8/12),F593*$B$8/12)</f>
      </c>
      <c r="H593" s="333">
        <f>$H$5*G593</f>
      </c>
      <c r="I593" s="333">
        <f>$I$5*G593</f>
      </c>
      <c r="J593" s="333">
        <f>+I593</f>
      </c>
      <c r="K593" s="333">
        <f>(1+$O$5)^(D593/12)*(H593+IF(AND(F593=1,F594=0),$S$4,0))</f>
      </c>
      <c r="L593" s="333">
        <f>(1+$O$5)^(D593/12)*(I593+IF(AND(F593=1,F594=0),0))</f>
      </c>
      <c r="M593" s="333">
        <f>+L593</f>
      </c>
      <c r="N593" s="333">
        <f>L593+K593+M593</f>
      </c>
      <c r="O593" s="170"/>
      <c r="P593" s="7"/>
      <c r="Q593" s="1"/>
      <c r="R593" s="331">
        <f>D593</f>
      </c>
      <c r="S593" s="169"/>
      <c r="T593" s="1"/>
      <c r="U593" s="217"/>
      <c r="V593" s="331">
        <f>+IF(V592=11,12,IF(V592=12,1,V592+1))</f>
      </c>
      <c r="W593" s="331">
        <f>+W592+IF(V592=12,1,0)</f>
      </c>
      <c r="X593" s="555">
        <f>+DATE(W593,V593,1)</f>
        <v>25569.041666666668</v>
      </c>
      <c r="Y593" s="333">
        <f>+_xlfn.IFNA(AN593+AS593+AX593,0)</f>
      </c>
      <c r="Z593" s="333">
        <f>+_xlfn.IFNA(AO593+AT593+AY593,0)</f>
      </c>
      <c r="AA593" s="333">
        <f>Y593*(1+$O$5)^(($B$7-X593)/365.25)</f>
      </c>
      <c r="AB593" s="333">
        <f>Z593*(1+$O$5)^(($B$7-X593)/365.25)</f>
      </c>
      <c r="AC593" s="1"/>
      <c r="AD593" s="1"/>
      <c r="AE593" s="1"/>
      <c r="AF593" s="111">
        <f>+MONTH(E593)&amp;YEAR(E593)</f>
      </c>
      <c r="AG593" s="217">
        <f>+I593</f>
      </c>
      <c r="AH593" s="217">
        <f>+J593</f>
      </c>
      <c r="AI593" s="217">
        <f>+H593</f>
      </c>
      <c r="AJ593" s="111">
        <f>+V593&amp;W593</f>
      </c>
      <c r="AK593" s="217">
        <f>+_xlfn.IFNA(VLOOKUP(AJ593,$AF$7:$AG$1066,2,0),0)</f>
      </c>
      <c r="AL593" s="217">
        <f>+IF(W593&gt;W592,AK593,AL592+AK593)</f>
      </c>
      <c r="AM593" s="217">
        <f>IF(W593&gt;W592,IF(AL593&gt;=$AZ$8,$AZ$8,AL593),IF(OR(AM592=$AZ$8,AM592=0),0,IF(AL593&gt;=$AZ$8,$AZ$8,AL593)))</f>
      </c>
      <c r="AN593" s="748">
        <f>+IF(OR(AM593&gt;AZ592,AM593=0),0,IF(AM593=AL593,AK593,$AZ$7-AL592))</f>
      </c>
      <c r="AO593" s="748">
        <f>+AK593-AN593</f>
      </c>
      <c r="AP593" s="217">
        <f>+_xlfn.IFNA(VLOOKUP(AJ593,$AF$7:$AI$1066,3,0),0)</f>
      </c>
      <c r="AQ593" s="217">
        <f>+IF(W593&gt;W592,AP593,AQ592+AP593)</f>
      </c>
      <c r="AR593" s="217">
        <f>+MAX($AM$2-SUMIF($W$7:$W$1066,W593,$AN$7:$AN$1066),0)</f>
      </c>
      <c r="AS593" s="748">
        <f>+MAX(IF(AQ593&gt;AR593,AR593-AQ592,AP593),0)</f>
      </c>
      <c r="AT593" s="748">
        <f>+AP593-AS593</f>
      </c>
      <c r="AU593" s="217">
        <f>+_xlfn.IFNA(VLOOKUP(AJ593,$AF$7:$AI$1066,4,0),0)</f>
      </c>
      <c r="AV593" s="217">
        <f>+IF(W593&gt;W592,AU593,AV592+AU593)</f>
      </c>
      <c r="AW593" s="217">
        <f>+MAX($AM$2-SUMIF($W$7:$W$1066,W593,$AN$7:$AN$1066)-SUMIF($W$7:$W$1066,W593,$AS$7:$AS$1066),0)</f>
      </c>
      <c r="AX593" s="748">
        <f>+MAX(IF(AV593&gt;AW593,AW593-AV592,AU593),0)</f>
      </c>
      <c r="AY593" s="748">
        <f>+AU593-AX593</f>
      </c>
      <c r="AZ593" s="331">
        <f>+$AM$1+IF($AP$1&gt;$AP$2,$AM$3/2)</f>
      </c>
    </row>
    <row x14ac:dyDescent="0.25" r="594" customHeight="1" ht="18.75">
      <c r="A594" s="1"/>
      <c r="B594" s="7"/>
      <c r="C594" s="170"/>
      <c r="D594" s="331">
        <v>587</v>
      </c>
      <c r="E594" s="544">
        <f>+DATE(YEAR(E593),MONTH(E593)-1,DAY(E593))</f>
        <v>25569.041666666668</v>
      </c>
      <c r="F594" s="333">
        <f>IF(DATE(YEAR($B$6),MONTH($B$6)+1,DAY(1))=E594,1,IF(MONTH(E594)=1,F595*(1+$F$5),F595))</f>
      </c>
      <c r="G594" s="333">
        <f>IF('Simulador - 1º Pilar'!$E$99="Sí",IF('Aportaciones PPE'!$B$13&lt;'Aportaciones PPE'!E594,0,F594*$B$8/12),F594*$B$8/12)</f>
      </c>
      <c r="H594" s="333">
        <f>$H$5*G594</f>
      </c>
      <c r="I594" s="333">
        <f>$I$5*G594</f>
      </c>
      <c r="J594" s="333">
        <f>+I594</f>
      </c>
      <c r="K594" s="333">
        <f>(1+$O$5)^(D594/12)*(H594+IF(AND(F594=1,F595=0),$S$4,0))</f>
      </c>
      <c r="L594" s="333">
        <f>(1+$O$5)^(D594/12)*(I594+IF(AND(F594=1,F595=0),0))</f>
      </c>
      <c r="M594" s="333">
        <f>+L594</f>
      </c>
      <c r="N594" s="333">
        <f>L594+K594+M594</f>
      </c>
      <c r="O594" s="170"/>
      <c r="P594" s="7"/>
      <c r="Q594" s="1"/>
      <c r="R594" s="331">
        <f>D594</f>
      </c>
      <c r="S594" s="169"/>
      <c r="T594" s="1"/>
      <c r="U594" s="217"/>
      <c r="V594" s="331">
        <f>+IF(V593=11,12,IF(V593=12,1,V593+1))</f>
      </c>
      <c r="W594" s="331">
        <f>+W593+IF(V593=12,1,0)</f>
      </c>
      <c r="X594" s="555">
        <f>+DATE(W594,V594,1)</f>
        <v>25569.041666666668</v>
      </c>
      <c r="Y594" s="333">
        <f>+_xlfn.IFNA(AN594+AS594+AX594,0)</f>
      </c>
      <c r="Z594" s="333">
        <f>+_xlfn.IFNA(AO594+AT594+AY594,0)</f>
      </c>
      <c r="AA594" s="333">
        <f>Y594*(1+$O$5)^(($B$7-X594)/365.25)</f>
      </c>
      <c r="AB594" s="333">
        <f>Z594*(1+$O$5)^(($B$7-X594)/365.25)</f>
      </c>
      <c r="AC594" s="1"/>
      <c r="AD594" s="1"/>
      <c r="AE594" s="1"/>
      <c r="AF594" s="111">
        <f>+MONTH(E594)&amp;YEAR(E594)</f>
      </c>
      <c r="AG594" s="217">
        <f>+I594</f>
      </c>
      <c r="AH594" s="217">
        <f>+J594</f>
      </c>
      <c r="AI594" s="217">
        <f>+H594</f>
      </c>
      <c r="AJ594" s="111">
        <f>+V594&amp;W594</f>
      </c>
      <c r="AK594" s="217">
        <f>+_xlfn.IFNA(VLOOKUP(AJ594,$AF$7:$AG$1066,2,0),0)</f>
      </c>
      <c r="AL594" s="217">
        <f>+IF(W594&gt;W593,AK594,AL593+AK594)</f>
      </c>
      <c r="AM594" s="217">
        <f>IF(W594&gt;W593,IF(AL594&gt;=$AZ$8,$AZ$8,AL594),IF(OR(AM593=$AZ$8,AM593=0),0,IF(AL594&gt;=$AZ$8,$AZ$8,AL594)))</f>
      </c>
      <c r="AN594" s="748">
        <f>+IF(OR(AM594&gt;AZ593,AM594=0),0,IF(AM594=AL594,AK594,$AZ$7-AL593))</f>
      </c>
      <c r="AO594" s="748">
        <f>+AK594-AN594</f>
      </c>
      <c r="AP594" s="217">
        <f>+_xlfn.IFNA(VLOOKUP(AJ594,$AF$7:$AI$1066,3,0),0)</f>
      </c>
      <c r="AQ594" s="217">
        <f>+IF(W594&gt;W593,AP594,AQ593+AP594)</f>
      </c>
      <c r="AR594" s="217">
        <f>+MAX($AM$2-SUMIF($W$7:$W$1066,W594,$AN$7:$AN$1066),0)</f>
      </c>
      <c r="AS594" s="748">
        <f>+MAX(IF(AQ594&gt;AR594,AR594-AQ593,AP594),0)</f>
      </c>
      <c r="AT594" s="748">
        <f>+AP594-AS594</f>
      </c>
      <c r="AU594" s="217">
        <f>+_xlfn.IFNA(VLOOKUP(AJ594,$AF$7:$AI$1066,4,0),0)</f>
      </c>
      <c r="AV594" s="217">
        <f>+IF(W594&gt;W593,AU594,AV593+AU594)</f>
      </c>
      <c r="AW594" s="217">
        <f>+MAX($AM$2-SUMIF($W$7:$W$1066,W594,$AN$7:$AN$1066)-SUMIF($W$7:$W$1066,W594,$AS$7:$AS$1066),0)</f>
      </c>
      <c r="AX594" s="748">
        <f>+MAX(IF(AV594&gt;AW594,AW594-AV593,AU594),0)</f>
      </c>
      <c r="AY594" s="748">
        <f>+AU594-AX594</f>
      </c>
      <c r="AZ594" s="331">
        <f>+$AM$1+IF($AP$1&gt;$AP$2,$AM$3/2)</f>
      </c>
    </row>
    <row x14ac:dyDescent="0.25" r="595" customHeight="1" ht="18.75">
      <c r="A595" s="1"/>
      <c r="B595" s="7"/>
      <c r="C595" s="170"/>
      <c r="D595" s="331">
        <v>588</v>
      </c>
      <c r="E595" s="544">
        <f>+DATE(YEAR(E594),MONTH(E594)-1,DAY(E594))</f>
        <v>25569.041666666668</v>
      </c>
      <c r="F595" s="333">
        <f>IF(DATE(YEAR($B$6),MONTH($B$6)+1,DAY(1))=E595,1,IF(MONTH(E595)=1,F596*(1+$F$5),F596))</f>
      </c>
      <c r="G595" s="333">
        <f>IF('Simulador - 1º Pilar'!$E$99="Sí",IF('Aportaciones PPE'!$B$13&lt;'Aportaciones PPE'!E595,0,F595*$B$8/12),F595*$B$8/12)</f>
      </c>
      <c r="H595" s="333">
        <f>$H$5*G595</f>
      </c>
      <c r="I595" s="333">
        <f>$I$5*G595</f>
      </c>
      <c r="J595" s="333">
        <f>+I595</f>
      </c>
      <c r="K595" s="333">
        <f>(1+$O$5)^(D595/12)*(H595+IF(AND(F595=1,F596=0),$S$4,0))</f>
      </c>
      <c r="L595" s="333">
        <f>(1+$O$5)^(D595/12)*(I595+IF(AND(F595=1,F596=0),0))</f>
      </c>
      <c r="M595" s="333">
        <f>+L595</f>
      </c>
      <c r="N595" s="333">
        <f>L595+K595+M595</f>
      </c>
      <c r="O595" s="170"/>
      <c r="P595" s="7"/>
      <c r="Q595" s="1"/>
      <c r="R595" s="331">
        <f>D595</f>
      </c>
      <c r="S595" s="169"/>
      <c r="T595" s="1"/>
      <c r="U595" s="217"/>
      <c r="V595" s="331">
        <f>+IF(V594=11,12,IF(V594=12,1,V594+1))</f>
      </c>
      <c r="W595" s="331">
        <f>+W594+IF(V594=12,1,0)</f>
      </c>
      <c r="X595" s="555">
        <f>+DATE(W595,V595,1)</f>
        <v>25569.041666666668</v>
      </c>
      <c r="Y595" s="333">
        <f>+_xlfn.IFNA(AN595+AS595+AX595,0)</f>
      </c>
      <c r="Z595" s="333">
        <f>+_xlfn.IFNA(AO595+AT595+AY595,0)</f>
      </c>
      <c r="AA595" s="333">
        <f>Y595*(1+$O$5)^(($B$7-X595)/365.25)</f>
      </c>
      <c r="AB595" s="333">
        <f>Z595*(1+$O$5)^(($B$7-X595)/365.25)</f>
      </c>
      <c r="AC595" s="1"/>
      <c r="AD595" s="1"/>
      <c r="AE595" s="1"/>
      <c r="AF595" s="111">
        <f>+MONTH(E595)&amp;YEAR(E595)</f>
      </c>
      <c r="AG595" s="217">
        <f>+I595</f>
      </c>
      <c r="AH595" s="217">
        <f>+J595</f>
      </c>
      <c r="AI595" s="217">
        <f>+H595</f>
      </c>
      <c r="AJ595" s="111">
        <f>+V595&amp;W595</f>
      </c>
      <c r="AK595" s="217">
        <f>+_xlfn.IFNA(VLOOKUP(AJ595,$AF$7:$AG$1066,2,0),0)</f>
      </c>
      <c r="AL595" s="217">
        <f>+IF(W595&gt;W594,AK595,AL594+AK595)</f>
      </c>
      <c r="AM595" s="217">
        <f>IF(W595&gt;W594,IF(AL595&gt;=$AZ$8,$AZ$8,AL595),IF(OR(AM594=$AZ$8,AM594=0),0,IF(AL595&gt;=$AZ$8,$AZ$8,AL595)))</f>
      </c>
      <c r="AN595" s="748">
        <f>+IF(OR(AM595&gt;AZ594,AM595=0),0,IF(AM595=AL595,AK595,$AZ$7-AL594))</f>
      </c>
      <c r="AO595" s="748">
        <f>+AK595-AN595</f>
      </c>
      <c r="AP595" s="217">
        <f>+_xlfn.IFNA(VLOOKUP(AJ595,$AF$7:$AI$1066,3,0),0)</f>
      </c>
      <c r="AQ595" s="217">
        <f>+IF(W595&gt;W594,AP595,AQ594+AP595)</f>
      </c>
      <c r="AR595" s="217">
        <f>+MAX($AM$2-SUMIF($W$7:$W$1066,W595,$AN$7:$AN$1066),0)</f>
      </c>
      <c r="AS595" s="748">
        <f>+MAX(IF(AQ595&gt;AR595,AR595-AQ594,AP595),0)</f>
      </c>
      <c r="AT595" s="748">
        <f>+AP595-AS595</f>
      </c>
      <c r="AU595" s="217">
        <f>+_xlfn.IFNA(VLOOKUP(AJ595,$AF$7:$AI$1066,4,0),0)</f>
      </c>
      <c r="AV595" s="217">
        <f>+IF(W595&gt;W594,AU595,AV594+AU595)</f>
      </c>
      <c r="AW595" s="217">
        <f>+MAX($AM$2-SUMIF($W$7:$W$1066,W595,$AN$7:$AN$1066)-SUMIF($W$7:$W$1066,W595,$AS$7:$AS$1066),0)</f>
      </c>
      <c r="AX595" s="748">
        <f>+MAX(IF(AV595&gt;AW595,AW595-AV594,AU595),0)</f>
      </c>
      <c r="AY595" s="748">
        <f>+AU595-AX595</f>
      </c>
      <c r="AZ595" s="331">
        <f>+$AM$1+IF($AP$1&gt;$AP$2,$AM$3/2)</f>
      </c>
    </row>
    <row x14ac:dyDescent="0.25" r="596" customHeight="1" ht="18.75">
      <c r="A596" s="1"/>
      <c r="B596" s="7"/>
      <c r="C596" s="170"/>
      <c r="D596" s="331">
        <v>589</v>
      </c>
      <c r="E596" s="544">
        <f>+DATE(YEAR(E595),MONTH(E595)-1,DAY(E595))</f>
        <v>25569.041666666668</v>
      </c>
      <c r="F596" s="333">
        <f>IF(DATE(YEAR($B$6),MONTH($B$6)+1,DAY(1))=E596,1,IF(MONTH(E596)=1,F597*(1+$F$5),F597))</f>
      </c>
      <c r="G596" s="333">
        <f>IF('Simulador - 1º Pilar'!$E$99="Sí",IF('Aportaciones PPE'!$B$13&lt;'Aportaciones PPE'!E596,0,F596*$B$8/12),F596*$B$8/12)</f>
      </c>
      <c r="H596" s="333">
        <f>$H$5*G596</f>
      </c>
      <c r="I596" s="333">
        <f>$I$5*G596</f>
      </c>
      <c r="J596" s="333">
        <f>+I596</f>
      </c>
      <c r="K596" s="333">
        <f>(1+$O$5)^(D596/12)*(H596+IF(AND(F596=1,F597=0),$S$4,0))</f>
      </c>
      <c r="L596" s="333">
        <f>(1+$O$5)^(D596/12)*(I596+IF(AND(F596=1,F597=0),0))</f>
      </c>
      <c r="M596" s="333">
        <f>+L596</f>
      </c>
      <c r="N596" s="333">
        <f>L596+K596+M596</f>
      </c>
      <c r="O596" s="170"/>
      <c r="P596" s="7"/>
      <c r="Q596" s="1"/>
      <c r="R596" s="331">
        <f>D596</f>
      </c>
      <c r="S596" s="169"/>
      <c r="T596" s="1"/>
      <c r="U596" s="217"/>
      <c r="V596" s="331">
        <f>+IF(V595=11,12,IF(V595=12,1,V595+1))</f>
      </c>
      <c r="W596" s="331">
        <f>+W595+IF(V595=12,1,0)</f>
      </c>
      <c r="X596" s="555">
        <f>+DATE(W596,V596,1)</f>
        <v>25569.041666666668</v>
      </c>
      <c r="Y596" s="333">
        <f>+_xlfn.IFNA(AN596+AS596+AX596,0)</f>
      </c>
      <c r="Z596" s="333">
        <f>+_xlfn.IFNA(AO596+AT596+AY596,0)</f>
      </c>
      <c r="AA596" s="333">
        <f>Y596*(1+$O$5)^(($B$7-X596)/365.25)</f>
      </c>
      <c r="AB596" s="333">
        <f>Z596*(1+$O$5)^(($B$7-X596)/365.25)</f>
      </c>
      <c r="AC596" s="1"/>
      <c r="AD596" s="1"/>
      <c r="AE596" s="1"/>
      <c r="AF596" s="111">
        <f>+MONTH(E596)&amp;YEAR(E596)</f>
      </c>
      <c r="AG596" s="217">
        <f>+I596</f>
      </c>
      <c r="AH596" s="217">
        <f>+J596</f>
      </c>
      <c r="AI596" s="217">
        <f>+H596</f>
      </c>
      <c r="AJ596" s="111">
        <f>+V596&amp;W596</f>
      </c>
      <c r="AK596" s="217">
        <f>+_xlfn.IFNA(VLOOKUP(AJ596,$AF$7:$AG$1066,2,0),0)</f>
      </c>
      <c r="AL596" s="217">
        <f>+IF(W596&gt;W595,AK596,AL595+AK596)</f>
      </c>
      <c r="AM596" s="217">
        <f>IF(W596&gt;W595,IF(AL596&gt;=$AZ$8,$AZ$8,AL596),IF(OR(AM595=$AZ$8,AM595=0),0,IF(AL596&gt;=$AZ$8,$AZ$8,AL596)))</f>
      </c>
      <c r="AN596" s="748">
        <f>+IF(OR(AM596&gt;AZ595,AM596=0),0,IF(AM596=AL596,AK596,$AZ$7-AL595))</f>
      </c>
      <c r="AO596" s="748">
        <f>+AK596-AN596</f>
      </c>
      <c r="AP596" s="217">
        <f>+_xlfn.IFNA(VLOOKUP(AJ596,$AF$7:$AI$1066,3,0),0)</f>
      </c>
      <c r="AQ596" s="217">
        <f>+IF(W596&gt;W595,AP596,AQ595+AP596)</f>
      </c>
      <c r="AR596" s="217">
        <f>+MAX($AM$2-SUMIF($W$7:$W$1066,W596,$AN$7:$AN$1066),0)</f>
      </c>
      <c r="AS596" s="748">
        <f>+MAX(IF(AQ596&gt;AR596,AR596-AQ595,AP596),0)</f>
      </c>
      <c r="AT596" s="748">
        <f>+AP596-AS596</f>
      </c>
      <c r="AU596" s="217">
        <f>+_xlfn.IFNA(VLOOKUP(AJ596,$AF$7:$AI$1066,4,0),0)</f>
      </c>
      <c r="AV596" s="217">
        <f>+IF(W596&gt;W595,AU596,AV595+AU596)</f>
      </c>
      <c r="AW596" s="217">
        <f>+MAX($AM$2-SUMIF($W$7:$W$1066,W596,$AN$7:$AN$1066)-SUMIF($W$7:$W$1066,W596,$AS$7:$AS$1066),0)</f>
      </c>
      <c r="AX596" s="748">
        <f>+MAX(IF(AV596&gt;AW596,AW596-AV595,AU596),0)</f>
      </c>
      <c r="AY596" s="748">
        <f>+AU596-AX596</f>
      </c>
      <c r="AZ596" s="331">
        <f>+$AM$1+IF($AP$1&gt;$AP$2,$AM$3/2)</f>
      </c>
    </row>
    <row x14ac:dyDescent="0.25" r="597" customHeight="1" ht="18.75">
      <c r="A597" s="1"/>
      <c r="B597" s="7"/>
      <c r="C597" s="170"/>
      <c r="D597" s="331">
        <v>590</v>
      </c>
      <c r="E597" s="544">
        <f>+DATE(YEAR(E596),MONTH(E596)-1,DAY(E596))</f>
        <v>25569.041666666668</v>
      </c>
      <c r="F597" s="333">
        <f>IF(DATE(YEAR($B$6),MONTH($B$6)+1,DAY(1))=E597,1,IF(MONTH(E597)=1,F598*(1+$F$5),F598))</f>
      </c>
      <c r="G597" s="333">
        <f>IF('Simulador - 1º Pilar'!$E$99="Sí",IF('Aportaciones PPE'!$B$13&lt;'Aportaciones PPE'!E597,0,F597*$B$8/12),F597*$B$8/12)</f>
      </c>
      <c r="H597" s="333">
        <f>$H$5*G597</f>
      </c>
      <c r="I597" s="333">
        <f>$I$5*G597</f>
      </c>
      <c r="J597" s="333">
        <f>+I597</f>
      </c>
      <c r="K597" s="333">
        <f>(1+$O$5)^(D597/12)*(H597+IF(AND(F597=1,F598=0),$S$4,0))</f>
      </c>
      <c r="L597" s="333">
        <f>(1+$O$5)^(D597/12)*(I597+IF(AND(F597=1,F598=0),0))</f>
      </c>
      <c r="M597" s="333">
        <f>+L597</f>
      </c>
      <c r="N597" s="333">
        <f>L597+K597+M597</f>
      </c>
      <c r="O597" s="170"/>
      <c r="P597" s="7"/>
      <c r="Q597" s="1"/>
      <c r="R597" s="331">
        <f>D597</f>
      </c>
      <c r="S597" s="169"/>
      <c r="T597" s="1"/>
      <c r="U597" s="217"/>
      <c r="V597" s="331">
        <f>+IF(V596=11,12,IF(V596=12,1,V596+1))</f>
      </c>
      <c r="W597" s="331">
        <f>+W596+IF(V596=12,1,0)</f>
      </c>
      <c r="X597" s="555">
        <f>+DATE(W597,V597,1)</f>
        <v>25569.041666666668</v>
      </c>
      <c r="Y597" s="333">
        <f>+_xlfn.IFNA(AN597+AS597+AX597,0)</f>
      </c>
      <c r="Z597" s="333">
        <f>+_xlfn.IFNA(AO597+AT597+AY597,0)</f>
      </c>
      <c r="AA597" s="333">
        <f>Y597*(1+$O$5)^(($B$7-X597)/365.25)</f>
      </c>
      <c r="AB597" s="333">
        <f>Z597*(1+$O$5)^(($B$7-X597)/365.25)</f>
      </c>
      <c r="AC597" s="1"/>
      <c r="AD597" s="1"/>
      <c r="AE597" s="1"/>
      <c r="AF597" s="111">
        <f>+MONTH(E597)&amp;YEAR(E597)</f>
      </c>
      <c r="AG597" s="217">
        <f>+I597</f>
      </c>
      <c r="AH597" s="217">
        <f>+J597</f>
      </c>
      <c r="AI597" s="217">
        <f>+H597</f>
      </c>
      <c r="AJ597" s="111">
        <f>+V597&amp;W597</f>
      </c>
      <c r="AK597" s="217">
        <f>+_xlfn.IFNA(VLOOKUP(AJ597,$AF$7:$AG$1066,2,0),0)</f>
      </c>
      <c r="AL597" s="217">
        <f>+IF(W597&gt;W596,AK597,AL596+AK597)</f>
      </c>
      <c r="AM597" s="217">
        <f>IF(W597&gt;W596,IF(AL597&gt;=$AZ$8,$AZ$8,AL597),IF(OR(AM596=$AZ$8,AM596=0),0,IF(AL597&gt;=$AZ$8,$AZ$8,AL597)))</f>
      </c>
      <c r="AN597" s="748">
        <f>+IF(OR(AM597&gt;AZ596,AM597=0),0,IF(AM597=AL597,AK597,$AZ$7-AL596))</f>
      </c>
      <c r="AO597" s="748">
        <f>+AK597-AN597</f>
      </c>
      <c r="AP597" s="217">
        <f>+_xlfn.IFNA(VLOOKUP(AJ597,$AF$7:$AI$1066,3,0),0)</f>
      </c>
      <c r="AQ597" s="217">
        <f>+IF(W597&gt;W596,AP597,AQ596+AP597)</f>
      </c>
      <c r="AR597" s="217">
        <f>+MAX($AM$2-SUMIF($W$7:$W$1066,W597,$AN$7:$AN$1066),0)</f>
      </c>
      <c r="AS597" s="748">
        <f>+MAX(IF(AQ597&gt;AR597,AR597-AQ596,AP597),0)</f>
      </c>
      <c r="AT597" s="748">
        <f>+AP597-AS597</f>
      </c>
      <c r="AU597" s="217">
        <f>+_xlfn.IFNA(VLOOKUP(AJ597,$AF$7:$AI$1066,4,0),0)</f>
      </c>
      <c r="AV597" s="217">
        <f>+IF(W597&gt;W596,AU597,AV596+AU597)</f>
      </c>
      <c r="AW597" s="217">
        <f>+MAX($AM$2-SUMIF($W$7:$W$1066,W597,$AN$7:$AN$1066)-SUMIF($W$7:$W$1066,W597,$AS$7:$AS$1066),0)</f>
      </c>
      <c r="AX597" s="748">
        <f>+MAX(IF(AV597&gt;AW597,AW597-AV596,AU597),0)</f>
      </c>
      <c r="AY597" s="748">
        <f>+AU597-AX597</f>
      </c>
      <c r="AZ597" s="331">
        <f>+$AM$1+IF($AP$1&gt;$AP$2,$AM$3/2)</f>
      </c>
    </row>
    <row x14ac:dyDescent="0.25" r="598" customHeight="1" ht="18.75">
      <c r="A598" s="1"/>
      <c r="B598" s="7"/>
      <c r="C598" s="170"/>
      <c r="D598" s="331">
        <v>591</v>
      </c>
      <c r="E598" s="544">
        <f>+DATE(YEAR(E597),MONTH(E597)-1,DAY(E597))</f>
        <v>25569.041666666668</v>
      </c>
      <c r="F598" s="333">
        <f>IF(DATE(YEAR($B$6),MONTH($B$6)+1,DAY(1))=E598,1,IF(MONTH(E598)=1,F599*(1+$F$5),F599))</f>
      </c>
      <c r="G598" s="333">
        <f>IF('Simulador - 1º Pilar'!$E$99="Sí",IF('Aportaciones PPE'!$B$13&lt;'Aportaciones PPE'!E598,0,F598*$B$8/12),F598*$B$8/12)</f>
      </c>
      <c r="H598" s="333">
        <f>$H$5*G598</f>
      </c>
      <c r="I598" s="333">
        <f>$I$5*G598</f>
      </c>
      <c r="J598" s="333">
        <f>+I598</f>
      </c>
      <c r="K598" s="333">
        <f>(1+$O$5)^(D598/12)*(H598+IF(AND(F598=1,F599=0),$S$4,0))</f>
      </c>
      <c r="L598" s="333">
        <f>(1+$O$5)^(D598/12)*(I598+IF(AND(F598=1,F599=0),0))</f>
      </c>
      <c r="M598" s="333">
        <f>+L598</f>
      </c>
      <c r="N598" s="333">
        <f>L598+K598+M598</f>
      </c>
      <c r="O598" s="170"/>
      <c r="P598" s="7"/>
      <c r="Q598" s="1"/>
      <c r="R598" s="331">
        <f>D598</f>
      </c>
      <c r="S598" s="169"/>
      <c r="T598" s="1"/>
      <c r="U598" s="217"/>
      <c r="V598" s="331">
        <f>+IF(V597=11,12,IF(V597=12,1,V597+1))</f>
      </c>
      <c r="W598" s="331">
        <f>+W597+IF(V597=12,1,0)</f>
      </c>
      <c r="X598" s="555">
        <f>+DATE(W598,V598,1)</f>
        <v>25569.041666666668</v>
      </c>
      <c r="Y598" s="333">
        <f>+_xlfn.IFNA(AN598+AS598+AX598,0)</f>
      </c>
      <c r="Z598" s="333">
        <f>+_xlfn.IFNA(AO598+AT598+AY598,0)</f>
      </c>
      <c r="AA598" s="333">
        <f>Y598*(1+$O$5)^(($B$7-X598)/365.25)</f>
      </c>
      <c r="AB598" s="333">
        <f>Z598*(1+$O$5)^(($B$7-X598)/365.25)</f>
      </c>
      <c r="AC598" s="1"/>
      <c r="AD598" s="1"/>
      <c r="AE598" s="1"/>
      <c r="AF598" s="111">
        <f>+MONTH(E598)&amp;YEAR(E598)</f>
      </c>
      <c r="AG598" s="217">
        <f>+I598</f>
      </c>
      <c r="AH598" s="217">
        <f>+J598</f>
      </c>
      <c r="AI598" s="217">
        <f>+H598</f>
      </c>
      <c r="AJ598" s="111">
        <f>+V598&amp;W598</f>
      </c>
      <c r="AK598" s="217">
        <f>+_xlfn.IFNA(VLOOKUP(AJ598,$AF$7:$AG$1066,2,0),0)</f>
      </c>
      <c r="AL598" s="217">
        <f>+IF(W598&gt;W597,AK598,AL597+AK598)</f>
      </c>
      <c r="AM598" s="217">
        <f>IF(W598&gt;W597,IF(AL598&gt;=$AZ$8,$AZ$8,AL598),IF(OR(AM597=$AZ$8,AM597=0),0,IF(AL598&gt;=$AZ$8,$AZ$8,AL598)))</f>
      </c>
      <c r="AN598" s="748">
        <f>+IF(OR(AM598&gt;AZ597,AM598=0),0,IF(AM598=AL598,AK598,$AZ$7-AL597))</f>
      </c>
      <c r="AO598" s="748">
        <f>+AK598-AN598</f>
      </c>
      <c r="AP598" s="217">
        <f>+_xlfn.IFNA(VLOOKUP(AJ598,$AF$7:$AI$1066,3,0),0)</f>
      </c>
      <c r="AQ598" s="217">
        <f>+IF(W598&gt;W597,AP598,AQ597+AP598)</f>
      </c>
      <c r="AR598" s="217">
        <f>+MAX($AM$2-SUMIF($W$7:$W$1066,W598,$AN$7:$AN$1066),0)</f>
      </c>
      <c r="AS598" s="748">
        <f>+MAX(IF(AQ598&gt;AR598,AR598-AQ597,AP598),0)</f>
      </c>
      <c r="AT598" s="748">
        <f>+AP598-AS598</f>
      </c>
      <c r="AU598" s="217">
        <f>+_xlfn.IFNA(VLOOKUP(AJ598,$AF$7:$AI$1066,4,0),0)</f>
      </c>
      <c r="AV598" s="217">
        <f>+IF(W598&gt;W597,AU598,AV597+AU598)</f>
      </c>
      <c r="AW598" s="217">
        <f>+MAX($AM$2-SUMIF($W$7:$W$1066,W598,$AN$7:$AN$1066)-SUMIF($W$7:$W$1066,W598,$AS$7:$AS$1066),0)</f>
      </c>
      <c r="AX598" s="748">
        <f>+MAX(IF(AV598&gt;AW598,AW598-AV597,AU598),0)</f>
      </c>
      <c r="AY598" s="748">
        <f>+AU598-AX598</f>
      </c>
      <c r="AZ598" s="331">
        <f>+$AM$1+IF($AP$1&gt;$AP$2,$AM$3/2)</f>
      </c>
    </row>
    <row x14ac:dyDescent="0.25" r="599" customHeight="1" ht="18.75">
      <c r="A599" s="1"/>
      <c r="B599" s="7"/>
      <c r="C599" s="170"/>
      <c r="D599" s="331">
        <v>592</v>
      </c>
      <c r="E599" s="544">
        <f>+DATE(YEAR(E598),MONTH(E598)-1,DAY(E598))</f>
        <v>25569.041666666668</v>
      </c>
      <c r="F599" s="333">
        <f>IF(DATE(YEAR($B$6),MONTH($B$6)+1,DAY(1))=E599,1,IF(MONTH(E599)=1,F600*(1+$F$5),F600))</f>
      </c>
      <c r="G599" s="333">
        <f>IF('Simulador - 1º Pilar'!$E$99="Sí",IF('Aportaciones PPE'!$B$13&lt;'Aportaciones PPE'!E599,0,F599*$B$8/12),F599*$B$8/12)</f>
      </c>
      <c r="H599" s="333">
        <f>$H$5*G599</f>
      </c>
      <c r="I599" s="333">
        <f>$I$5*G599</f>
      </c>
      <c r="J599" s="333">
        <f>+I599</f>
      </c>
      <c r="K599" s="333">
        <f>(1+$O$5)^(D599/12)*(H599+IF(AND(F599=1,F600=0),$S$4,0))</f>
      </c>
      <c r="L599" s="333">
        <f>(1+$O$5)^(D599/12)*(I599+IF(AND(F599=1,F600=0),0))</f>
      </c>
      <c r="M599" s="333">
        <f>+L599</f>
      </c>
      <c r="N599" s="333">
        <f>L599+K599+M599</f>
      </c>
      <c r="O599" s="170"/>
      <c r="P599" s="7"/>
      <c r="Q599" s="1"/>
      <c r="R599" s="331">
        <f>D599</f>
      </c>
      <c r="S599" s="169"/>
      <c r="T599" s="1"/>
      <c r="U599" s="217"/>
      <c r="V599" s="331">
        <f>+IF(V598=11,12,IF(V598=12,1,V598+1))</f>
      </c>
      <c r="W599" s="331">
        <f>+W598+IF(V598=12,1,0)</f>
      </c>
      <c r="X599" s="555">
        <f>+DATE(W599,V599,1)</f>
        <v>25569.041666666668</v>
      </c>
      <c r="Y599" s="333">
        <f>+_xlfn.IFNA(AN599+AS599+AX599,0)</f>
      </c>
      <c r="Z599" s="333">
        <f>+_xlfn.IFNA(AO599+AT599+AY599,0)</f>
      </c>
      <c r="AA599" s="333">
        <f>Y599*(1+$O$5)^(($B$7-X599)/365.25)</f>
      </c>
      <c r="AB599" s="333">
        <f>Z599*(1+$O$5)^(($B$7-X599)/365.25)</f>
      </c>
      <c r="AC599" s="1"/>
      <c r="AD599" s="1"/>
      <c r="AE599" s="1"/>
      <c r="AF599" s="111">
        <f>+MONTH(E599)&amp;YEAR(E599)</f>
      </c>
      <c r="AG599" s="217">
        <f>+I599</f>
      </c>
      <c r="AH599" s="217">
        <f>+J599</f>
      </c>
      <c r="AI599" s="217">
        <f>+H599</f>
      </c>
      <c r="AJ599" s="111">
        <f>+V599&amp;W599</f>
      </c>
      <c r="AK599" s="217">
        <f>+_xlfn.IFNA(VLOOKUP(AJ599,$AF$7:$AG$1066,2,0),0)</f>
      </c>
      <c r="AL599" s="217">
        <f>+IF(W599&gt;W598,AK599,AL598+AK599)</f>
      </c>
      <c r="AM599" s="217">
        <f>IF(W599&gt;W598,IF(AL599&gt;=$AZ$8,$AZ$8,AL599),IF(OR(AM598=$AZ$8,AM598=0),0,IF(AL599&gt;=$AZ$8,$AZ$8,AL599)))</f>
      </c>
      <c r="AN599" s="748">
        <f>+IF(OR(AM599&gt;AZ598,AM599=0),0,IF(AM599=AL599,AK599,$AZ$7-AL598))</f>
      </c>
      <c r="AO599" s="748">
        <f>+AK599-AN599</f>
      </c>
      <c r="AP599" s="217">
        <f>+_xlfn.IFNA(VLOOKUP(AJ599,$AF$7:$AI$1066,3,0),0)</f>
      </c>
      <c r="AQ599" s="217">
        <f>+IF(W599&gt;W598,AP599,AQ598+AP599)</f>
      </c>
      <c r="AR599" s="217">
        <f>+MAX($AM$2-SUMIF($W$7:$W$1066,W599,$AN$7:$AN$1066),0)</f>
      </c>
      <c r="AS599" s="748">
        <f>+MAX(IF(AQ599&gt;AR599,AR599-AQ598,AP599),0)</f>
      </c>
      <c r="AT599" s="748">
        <f>+AP599-AS599</f>
      </c>
      <c r="AU599" s="217">
        <f>+_xlfn.IFNA(VLOOKUP(AJ599,$AF$7:$AI$1066,4,0),0)</f>
      </c>
      <c r="AV599" s="217">
        <f>+IF(W599&gt;W598,AU599,AV598+AU599)</f>
      </c>
      <c r="AW599" s="217">
        <f>+MAX($AM$2-SUMIF($W$7:$W$1066,W599,$AN$7:$AN$1066)-SUMIF($W$7:$W$1066,W599,$AS$7:$AS$1066),0)</f>
      </c>
      <c r="AX599" s="748">
        <f>+MAX(IF(AV599&gt;AW599,AW599-AV598,AU599),0)</f>
      </c>
      <c r="AY599" s="748">
        <f>+AU599-AX599</f>
      </c>
      <c r="AZ599" s="331">
        <f>+$AM$1+IF($AP$1&gt;$AP$2,$AM$3/2)</f>
      </c>
    </row>
    <row x14ac:dyDescent="0.25" r="600" customHeight="1" ht="18.75">
      <c r="A600" s="1"/>
      <c r="B600" s="7"/>
      <c r="C600" s="170"/>
      <c r="D600" s="331">
        <v>593</v>
      </c>
      <c r="E600" s="544">
        <f>+DATE(YEAR(E599),MONTH(E599)-1,DAY(E599))</f>
        <v>25569.041666666668</v>
      </c>
      <c r="F600" s="333">
        <f>IF(DATE(YEAR($B$6),MONTH($B$6)+1,DAY(1))=E600,1,IF(MONTH(E600)=1,F601*(1+$F$5),F601))</f>
      </c>
      <c r="G600" s="333">
        <f>IF('Simulador - 1º Pilar'!$E$99="Sí",IF('Aportaciones PPE'!$B$13&lt;'Aportaciones PPE'!E600,0,F600*$B$8/12),F600*$B$8/12)</f>
      </c>
      <c r="H600" s="333">
        <f>$H$5*G600</f>
      </c>
      <c r="I600" s="333">
        <f>$I$5*G600</f>
      </c>
      <c r="J600" s="333">
        <f>+I600</f>
      </c>
      <c r="K600" s="333">
        <f>(1+$O$5)^(D600/12)*(H600+IF(AND(F600=1,F601=0),$S$4,0))</f>
      </c>
      <c r="L600" s="333">
        <f>(1+$O$5)^(D600/12)*(I600+IF(AND(F600=1,F601=0),0))</f>
      </c>
      <c r="M600" s="333">
        <f>+L600</f>
      </c>
      <c r="N600" s="333">
        <f>L600+K600+M600</f>
      </c>
      <c r="O600" s="170"/>
      <c r="P600" s="7"/>
      <c r="Q600" s="1"/>
      <c r="R600" s="331">
        <f>D600</f>
      </c>
      <c r="S600" s="169"/>
      <c r="T600" s="1"/>
      <c r="U600" s="217"/>
      <c r="V600" s="331">
        <f>+IF(V599=11,12,IF(V599=12,1,V599+1))</f>
      </c>
      <c r="W600" s="331">
        <f>+W599+IF(V599=12,1,0)</f>
      </c>
      <c r="X600" s="555">
        <f>+DATE(W600,V600,1)</f>
        <v>25569.041666666668</v>
      </c>
      <c r="Y600" s="333">
        <f>+_xlfn.IFNA(AN600+AS600+AX600,0)</f>
      </c>
      <c r="Z600" s="333">
        <f>+_xlfn.IFNA(AO600+AT600+AY600,0)</f>
      </c>
      <c r="AA600" s="333">
        <f>Y600*(1+$O$5)^(($B$7-X600)/365.25)</f>
      </c>
      <c r="AB600" s="333">
        <f>Z600*(1+$O$5)^(($B$7-X600)/365.25)</f>
      </c>
      <c r="AC600" s="1"/>
      <c r="AD600" s="1"/>
      <c r="AE600" s="1"/>
      <c r="AF600" s="111">
        <f>+MONTH(E600)&amp;YEAR(E600)</f>
      </c>
      <c r="AG600" s="217">
        <f>+I600</f>
      </c>
      <c r="AH600" s="217">
        <f>+J600</f>
      </c>
      <c r="AI600" s="217">
        <f>+H600</f>
      </c>
      <c r="AJ600" s="111">
        <f>+V600&amp;W600</f>
      </c>
      <c r="AK600" s="217">
        <f>+_xlfn.IFNA(VLOOKUP(AJ600,$AF$7:$AG$1066,2,0),0)</f>
      </c>
      <c r="AL600" s="217">
        <f>+IF(W600&gt;W599,AK600,AL599+AK600)</f>
      </c>
      <c r="AM600" s="217">
        <f>IF(W600&gt;W599,IF(AL600&gt;=$AZ$8,$AZ$8,AL600),IF(OR(AM599=$AZ$8,AM599=0),0,IF(AL600&gt;=$AZ$8,$AZ$8,AL600)))</f>
      </c>
      <c r="AN600" s="748">
        <f>+IF(OR(AM600&gt;AZ599,AM600=0),0,IF(AM600=AL600,AK600,$AZ$7-AL599))</f>
      </c>
      <c r="AO600" s="748">
        <f>+AK600-AN600</f>
      </c>
      <c r="AP600" s="217">
        <f>+_xlfn.IFNA(VLOOKUP(AJ600,$AF$7:$AI$1066,3,0),0)</f>
      </c>
      <c r="AQ600" s="217">
        <f>+IF(W600&gt;W599,AP600,AQ599+AP600)</f>
      </c>
      <c r="AR600" s="217">
        <f>+MAX($AM$2-SUMIF($W$7:$W$1066,W600,$AN$7:$AN$1066),0)</f>
      </c>
      <c r="AS600" s="748">
        <f>+MAX(IF(AQ600&gt;AR600,AR600-AQ599,AP600),0)</f>
      </c>
      <c r="AT600" s="748">
        <f>+AP600-AS600</f>
      </c>
      <c r="AU600" s="217">
        <f>+_xlfn.IFNA(VLOOKUP(AJ600,$AF$7:$AI$1066,4,0),0)</f>
      </c>
      <c r="AV600" s="217">
        <f>+IF(W600&gt;W599,AU600,AV599+AU600)</f>
      </c>
      <c r="AW600" s="217">
        <f>+MAX($AM$2-SUMIF($W$7:$W$1066,W600,$AN$7:$AN$1066)-SUMIF($W$7:$W$1066,W600,$AS$7:$AS$1066),0)</f>
      </c>
      <c r="AX600" s="748">
        <f>+MAX(IF(AV600&gt;AW600,AW600-AV599,AU600),0)</f>
      </c>
      <c r="AY600" s="748">
        <f>+AU600-AX600</f>
      </c>
      <c r="AZ600" s="331">
        <f>+$AM$1+IF($AP$1&gt;$AP$2,$AM$3/2)</f>
      </c>
    </row>
    <row x14ac:dyDescent="0.25" r="601" customHeight="1" ht="18.75">
      <c r="A601" s="1"/>
      <c r="B601" s="7"/>
      <c r="C601" s="170"/>
      <c r="D601" s="331">
        <v>594</v>
      </c>
      <c r="E601" s="544">
        <f>+DATE(YEAR(E600),MONTH(E600)-1,DAY(E600))</f>
        <v>25569.041666666668</v>
      </c>
      <c r="F601" s="333">
        <f>IF(DATE(YEAR($B$6),MONTH($B$6)+1,DAY(1))=E601,1,IF(MONTH(E601)=1,F602*(1+$F$5),F602))</f>
      </c>
      <c r="G601" s="333">
        <f>IF('Simulador - 1º Pilar'!$E$99="Sí",IF('Aportaciones PPE'!$B$13&lt;'Aportaciones PPE'!E601,0,F601*$B$8/12),F601*$B$8/12)</f>
      </c>
      <c r="H601" s="333">
        <f>$H$5*G601</f>
      </c>
      <c r="I601" s="333">
        <f>$I$5*G601</f>
      </c>
      <c r="J601" s="333">
        <f>+I601</f>
      </c>
      <c r="K601" s="333">
        <f>(1+$O$5)^(D601/12)*(H601+IF(AND(F601=1,F602=0),$S$4,0))</f>
      </c>
      <c r="L601" s="333">
        <f>(1+$O$5)^(D601/12)*(I601+IF(AND(F601=1,F602=0),0))</f>
      </c>
      <c r="M601" s="333">
        <f>+L601</f>
      </c>
      <c r="N601" s="333">
        <f>L601+K601+M601</f>
      </c>
      <c r="O601" s="170"/>
      <c r="P601" s="7"/>
      <c r="Q601" s="1"/>
      <c r="R601" s="331">
        <f>D601</f>
      </c>
      <c r="S601" s="169"/>
      <c r="T601" s="1"/>
      <c r="U601" s="217"/>
      <c r="V601" s="331">
        <f>+IF(V600=11,12,IF(V600=12,1,V600+1))</f>
      </c>
      <c r="W601" s="331">
        <f>+W600+IF(V600=12,1,0)</f>
      </c>
      <c r="X601" s="555">
        <f>+DATE(W601,V601,1)</f>
        <v>25569.041666666668</v>
      </c>
      <c r="Y601" s="333">
        <f>+_xlfn.IFNA(AN601+AS601+AX601,0)</f>
      </c>
      <c r="Z601" s="333">
        <f>+_xlfn.IFNA(AO601+AT601+AY601,0)</f>
      </c>
      <c r="AA601" s="333">
        <f>Y601*(1+$O$5)^(($B$7-X601)/365.25)</f>
      </c>
      <c r="AB601" s="333">
        <f>Z601*(1+$O$5)^(($B$7-X601)/365.25)</f>
      </c>
      <c r="AC601" s="1"/>
      <c r="AD601" s="1"/>
      <c r="AE601" s="1"/>
      <c r="AF601" s="111">
        <f>+MONTH(E601)&amp;YEAR(E601)</f>
      </c>
      <c r="AG601" s="217">
        <f>+I601</f>
      </c>
      <c r="AH601" s="217">
        <f>+J601</f>
      </c>
      <c r="AI601" s="217">
        <f>+H601</f>
      </c>
      <c r="AJ601" s="111">
        <f>+V601&amp;W601</f>
      </c>
      <c r="AK601" s="217">
        <f>+_xlfn.IFNA(VLOOKUP(AJ601,$AF$7:$AG$1066,2,0),0)</f>
      </c>
      <c r="AL601" s="217">
        <f>+IF(W601&gt;W600,AK601,AL600+AK601)</f>
      </c>
      <c r="AM601" s="217">
        <f>IF(W601&gt;W600,IF(AL601&gt;=$AZ$8,$AZ$8,AL601),IF(OR(AM600=$AZ$8,AM600=0),0,IF(AL601&gt;=$AZ$8,$AZ$8,AL601)))</f>
      </c>
      <c r="AN601" s="748">
        <f>+IF(OR(AM601&gt;AZ600,AM601=0),0,IF(AM601=AL601,AK601,$AZ$7-AL600))</f>
      </c>
      <c r="AO601" s="748">
        <f>+AK601-AN601</f>
      </c>
      <c r="AP601" s="217">
        <f>+_xlfn.IFNA(VLOOKUP(AJ601,$AF$7:$AI$1066,3,0),0)</f>
      </c>
      <c r="AQ601" s="217">
        <f>+IF(W601&gt;W600,AP601,AQ600+AP601)</f>
      </c>
      <c r="AR601" s="217">
        <f>+MAX($AM$2-SUMIF($W$7:$W$1066,W601,$AN$7:$AN$1066),0)</f>
      </c>
      <c r="AS601" s="748">
        <f>+MAX(IF(AQ601&gt;AR601,AR601-AQ600,AP601),0)</f>
      </c>
      <c r="AT601" s="748">
        <f>+AP601-AS601</f>
      </c>
      <c r="AU601" s="217">
        <f>+_xlfn.IFNA(VLOOKUP(AJ601,$AF$7:$AI$1066,4,0),0)</f>
      </c>
      <c r="AV601" s="217">
        <f>+IF(W601&gt;W600,AU601,AV600+AU601)</f>
      </c>
      <c r="AW601" s="217">
        <f>+MAX($AM$2-SUMIF($W$7:$W$1066,W601,$AN$7:$AN$1066)-SUMIF($W$7:$W$1066,W601,$AS$7:$AS$1066),0)</f>
      </c>
      <c r="AX601" s="748">
        <f>+MAX(IF(AV601&gt;AW601,AW601-AV600,AU601),0)</f>
      </c>
      <c r="AY601" s="748">
        <f>+AU601-AX601</f>
      </c>
      <c r="AZ601" s="331">
        <f>+$AM$1+IF($AP$1&gt;$AP$2,$AM$3/2)</f>
      </c>
    </row>
    <row x14ac:dyDescent="0.25" r="602" customHeight="1" ht="18.75">
      <c r="A602" s="1"/>
      <c r="B602" s="7"/>
      <c r="C602" s="170"/>
      <c r="D602" s="331">
        <v>595</v>
      </c>
      <c r="E602" s="544">
        <f>+DATE(YEAR(E601),MONTH(E601)-1,DAY(E601))</f>
        <v>25569.041666666668</v>
      </c>
      <c r="F602" s="333">
        <f>IF(DATE(YEAR($B$6),MONTH($B$6)+1,DAY(1))=E602,1,IF(MONTH(E602)=1,F603*(1+$F$5),F603))</f>
      </c>
      <c r="G602" s="333">
        <f>IF('Simulador - 1º Pilar'!$E$99="Sí",IF('Aportaciones PPE'!$B$13&lt;'Aportaciones PPE'!E602,0,F602*$B$8/12),F602*$B$8/12)</f>
      </c>
      <c r="H602" s="333">
        <f>$H$5*G602</f>
      </c>
      <c r="I602" s="333">
        <f>$I$5*G602</f>
      </c>
      <c r="J602" s="333">
        <f>+I602</f>
      </c>
      <c r="K602" s="333">
        <f>(1+$O$5)^(D602/12)*(H602+IF(AND(F602=1,F603=0),$S$4,0))</f>
      </c>
      <c r="L602" s="333">
        <f>(1+$O$5)^(D602/12)*(I602+IF(AND(F602=1,F603=0),0))</f>
      </c>
      <c r="M602" s="333">
        <f>+L602</f>
      </c>
      <c r="N602" s="333">
        <f>L602+K602+M602</f>
      </c>
      <c r="O602" s="170"/>
      <c r="P602" s="7"/>
      <c r="Q602" s="1"/>
      <c r="R602" s="331">
        <f>D602</f>
      </c>
      <c r="S602" s="169"/>
      <c r="T602" s="1"/>
      <c r="U602" s="217"/>
      <c r="V602" s="331">
        <f>+IF(V601=11,12,IF(V601=12,1,V601+1))</f>
      </c>
      <c r="W602" s="331">
        <f>+W601+IF(V601=12,1,0)</f>
      </c>
      <c r="X602" s="555">
        <f>+DATE(W602,V602,1)</f>
        <v>25569.041666666668</v>
      </c>
      <c r="Y602" s="333">
        <f>+_xlfn.IFNA(AN602+AS602+AX602,0)</f>
      </c>
      <c r="Z602" s="333">
        <f>+_xlfn.IFNA(AO602+AT602+AY602,0)</f>
      </c>
      <c r="AA602" s="333">
        <f>Y602*(1+$O$5)^(($B$7-X602)/365.25)</f>
      </c>
      <c r="AB602" s="333">
        <f>Z602*(1+$O$5)^(($B$7-X602)/365.25)</f>
      </c>
      <c r="AC602" s="1"/>
      <c r="AD602" s="1"/>
      <c r="AE602" s="1"/>
      <c r="AF602" s="111">
        <f>+MONTH(E602)&amp;YEAR(E602)</f>
      </c>
      <c r="AG602" s="217">
        <f>+I602</f>
      </c>
      <c r="AH602" s="217">
        <f>+J602</f>
      </c>
      <c r="AI602" s="217">
        <f>+H602</f>
      </c>
      <c r="AJ602" s="111">
        <f>+V602&amp;W602</f>
      </c>
      <c r="AK602" s="217">
        <f>+_xlfn.IFNA(VLOOKUP(AJ602,$AF$7:$AG$1066,2,0),0)</f>
      </c>
      <c r="AL602" s="217">
        <f>+IF(W602&gt;W601,AK602,AL601+AK602)</f>
      </c>
      <c r="AM602" s="217">
        <f>IF(W602&gt;W601,IF(AL602&gt;=$AZ$8,$AZ$8,AL602),IF(OR(AM601=$AZ$8,AM601=0),0,IF(AL602&gt;=$AZ$8,$AZ$8,AL602)))</f>
      </c>
      <c r="AN602" s="748">
        <f>+IF(OR(AM602&gt;AZ601,AM602=0),0,IF(AM602=AL602,AK602,$AZ$7-AL601))</f>
      </c>
      <c r="AO602" s="748">
        <f>+AK602-AN602</f>
      </c>
      <c r="AP602" s="217">
        <f>+_xlfn.IFNA(VLOOKUP(AJ602,$AF$7:$AI$1066,3,0),0)</f>
      </c>
      <c r="AQ602" s="217">
        <f>+IF(W602&gt;W601,AP602,AQ601+AP602)</f>
      </c>
      <c r="AR602" s="217">
        <f>+MAX($AM$2-SUMIF($W$7:$W$1066,W602,$AN$7:$AN$1066),0)</f>
      </c>
      <c r="AS602" s="748">
        <f>+MAX(IF(AQ602&gt;AR602,AR602-AQ601,AP602),0)</f>
      </c>
      <c r="AT602" s="748">
        <f>+AP602-AS602</f>
      </c>
      <c r="AU602" s="217">
        <f>+_xlfn.IFNA(VLOOKUP(AJ602,$AF$7:$AI$1066,4,0),0)</f>
      </c>
      <c r="AV602" s="217">
        <f>+IF(W602&gt;W601,AU602,AV601+AU602)</f>
      </c>
      <c r="AW602" s="217">
        <f>+MAX($AM$2-SUMIF($W$7:$W$1066,W602,$AN$7:$AN$1066)-SUMIF($W$7:$W$1066,W602,$AS$7:$AS$1066),0)</f>
      </c>
      <c r="AX602" s="748">
        <f>+MAX(IF(AV602&gt;AW602,AW602-AV601,AU602),0)</f>
      </c>
      <c r="AY602" s="748">
        <f>+AU602-AX602</f>
      </c>
      <c r="AZ602" s="331">
        <f>+$AM$1+IF($AP$1&gt;$AP$2,$AM$3/2)</f>
      </c>
    </row>
    <row x14ac:dyDescent="0.25" r="603" customHeight="1" ht="18.75">
      <c r="A603" s="1"/>
      <c r="B603" s="7"/>
      <c r="C603" s="170"/>
      <c r="D603" s="331">
        <v>596</v>
      </c>
      <c r="E603" s="544">
        <f>+DATE(YEAR(E602),MONTH(E602)-1,DAY(E602))</f>
        <v>25569.041666666668</v>
      </c>
      <c r="F603" s="333">
        <f>IF(DATE(YEAR($B$6),MONTH($B$6)+1,DAY(1))=E603,1,IF(MONTH(E603)=1,F604*(1+$F$5),F604))</f>
      </c>
      <c r="G603" s="333">
        <f>IF('Simulador - 1º Pilar'!$E$99="Sí",IF('Aportaciones PPE'!$B$13&lt;'Aportaciones PPE'!E603,0,F603*$B$8/12),F603*$B$8/12)</f>
      </c>
      <c r="H603" s="333">
        <f>$H$5*G603</f>
      </c>
      <c r="I603" s="333">
        <f>$I$5*G603</f>
      </c>
      <c r="J603" s="333">
        <f>+I603</f>
      </c>
      <c r="K603" s="333">
        <f>(1+$O$5)^(D603/12)*(H603+IF(AND(F603=1,F604=0),$S$4,0))</f>
      </c>
      <c r="L603" s="333">
        <f>(1+$O$5)^(D603/12)*(I603+IF(AND(F603=1,F604=0),0))</f>
      </c>
      <c r="M603" s="333">
        <f>+L603</f>
      </c>
      <c r="N603" s="333">
        <f>L603+K603+M603</f>
      </c>
      <c r="O603" s="170"/>
      <c r="P603" s="7"/>
      <c r="Q603" s="1"/>
      <c r="R603" s="331">
        <f>D603</f>
      </c>
      <c r="S603" s="169"/>
      <c r="T603" s="1"/>
      <c r="U603" s="217"/>
      <c r="V603" s="331">
        <f>+IF(V602=11,12,IF(V602=12,1,V602+1))</f>
      </c>
      <c r="W603" s="331">
        <f>+W602+IF(V602=12,1,0)</f>
      </c>
      <c r="X603" s="555">
        <f>+DATE(W603,V603,1)</f>
        <v>25569.041666666668</v>
      </c>
      <c r="Y603" s="333">
        <f>+_xlfn.IFNA(AN603+AS603+AX603,0)</f>
      </c>
      <c r="Z603" s="333">
        <f>+_xlfn.IFNA(AO603+AT603+AY603,0)</f>
      </c>
      <c r="AA603" s="333">
        <f>Y603*(1+$O$5)^(($B$7-X603)/365.25)</f>
      </c>
      <c r="AB603" s="333">
        <f>Z603*(1+$O$5)^(($B$7-X603)/365.25)</f>
      </c>
      <c r="AC603" s="1"/>
      <c r="AD603" s="1"/>
      <c r="AE603" s="1"/>
      <c r="AF603" s="111">
        <f>+MONTH(E603)&amp;YEAR(E603)</f>
      </c>
      <c r="AG603" s="217">
        <f>+I603</f>
      </c>
      <c r="AH603" s="217">
        <f>+J603</f>
      </c>
      <c r="AI603" s="217">
        <f>+H603</f>
      </c>
      <c r="AJ603" s="111">
        <f>+V603&amp;W603</f>
      </c>
      <c r="AK603" s="217">
        <f>+_xlfn.IFNA(VLOOKUP(AJ603,$AF$7:$AG$1066,2,0),0)</f>
      </c>
      <c r="AL603" s="217">
        <f>+IF(W603&gt;W602,AK603,AL602+AK603)</f>
      </c>
      <c r="AM603" s="217">
        <f>IF(W603&gt;W602,IF(AL603&gt;=$AZ$8,$AZ$8,AL603),IF(OR(AM602=$AZ$8,AM602=0),0,IF(AL603&gt;=$AZ$8,$AZ$8,AL603)))</f>
      </c>
      <c r="AN603" s="748">
        <f>+IF(OR(AM603&gt;AZ602,AM603=0),0,IF(AM603=AL603,AK603,$AZ$7-AL602))</f>
      </c>
      <c r="AO603" s="748">
        <f>+AK603-AN603</f>
      </c>
      <c r="AP603" s="217">
        <f>+_xlfn.IFNA(VLOOKUP(AJ603,$AF$7:$AI$1066,3,0),0)</f>
      </c>
      <c r="AQ603" s="217">
        <f>+IF(W603&gt;W602,AP603,AQ602+AP603)</f>
      </c>
      <c r="AR603" s="217">
        <f>+MAX($AM$2-SUMIF($W$7:$W$1066,W603,$AN$7:$AN$1066),0)</f>
      </c>
      <c r="AS603" s="748">
        <f>+MAX(IF(AQ603&gt;AR603,AR603-AQ602,AP603),0)</f>
      </c>
      <c r="AT603" s="748">
        <f>+AP603-AS603</f>
      </c>
      <c r="AU603" s="217">
        <f>+_xlfn.IFNA(VLOOKUP(AJ603,$AF$7:$AI$1066,4,0),0)</f>
      </c>
      <c r="AV603" s="217">
        <f>+IF(W603&gt;W602,AU603,AV602+AU603)</f>
      </c>
      <c r="AW603" s="217">
        <f>+MAX($AM$2-SUMIF($W$7:$W$1066,W603,$AN$7:$AN$1066)-SUMIF($W$7:$W$1066,W603,$AS$7:$AS$1066),0)</f>
      </c>
      <c r="AX603" s="748">
        <f>+MAX(IF(AV603&gt;AW603,AW603-AV602,AU603),0)</f>
      </c>
      <c r="AY603" s="748">
        <f>+AU603-AX603</f>
      </c>
      <c r="AZ603" s="331">
        <f>+$AM$1+IF($AP$1&gt;$AP$2,$AM$3/2)</f>
      </c>
    </row>
    <row x14ac:dyDescent="0.25" r="604" customHeight="1" ht="18.75">
      <c r="A604" s="1"/>
      <c r="B604" s="7"/>
      <c r="C604" s="170"/>
      <c r="D604" s="331">
        <v>597</v>
      </c>
      <c r="E604" s="544">
        <f>+DATE(YEAR(E603),MONTH(E603)-1,DAY(E603))</f>
        <v>25569.041666666668</v>
      </c>
      <c r="F604" s="333">
        <f>IF(DATE(YEAR($B$6),MONTH($B$6)+1,DAY(1))=E604,1,IF(MONTH(E604)=1,F605*(1+$F$5),F605))</f>
      </c>
      <c r="G604" s="333">
        <f>IF('Simulador - 1º Pilar'!$E$99="Sí",IF('Aportaciones PPE'!$B$13&lt;'Aportaciones PPE'!E604,0,F604*$B$8/12),F604*$B$8/12)</f>
      </c>
      <c r="H604" s="333">
        <f>$H$5*G604</f>
      </c>
      <c r="I604" s="333">
        <f>$I$5*G604</f>
      </c>
      <c r="J604" s="333">
        <f>+I604</f>
      </c>
      <c r="K604" s="333">
        <f>(1+$O$5)^(D604/12)*(H604+IF(AND(F604=1,F605=0),$S$4,0))</f>
      </c>
      <c r="L604" s="333">
        <f>(1+$O$5)^(D604/12)*(I604+IF(AND(F604=1,F605=0),0))</f>
      </c>
      <c r="M604" s="333">
        <f>+L604</f>
      </c>
      <c r="N604" s="333">
        <f>L604+K604+M604</f>
      </c>
      <c r="O604" s="170"/>
      <c r="P604" s="7"/>
      <c r="Q604" s="1"/>
      <c r="R604" s="331">
        <f>D604</f>
      </c>
      <c r="S604" s="169"/>
      <c r="T604" s="1"/>
      <c r="U604" s="217"/>
      <c r="V604" s="331">
        <f>+IF(V603=11,12,IF(V603=12,1,V603+1))</f>
      </c>
      <c r="W604" s="331">
        <f>+W603+IF(V603=12,1,0)</f>
      </c>
      <c r="X604" s="555">
        <f>+DATE(W604,V604,1)</f>
        <v>25569.041666666668</v>
      </c>
      <c r="Y604" s="333">
        <f>+_xlfn.IFNA(AN604+AS604+AX604,0)</f>
      </c>
      <c r="Z604" s="333">
        <f>+_xlfn.IFNA(AO604+AT604+AY604,0)</f>
      </c>
      <c r="AA604" s="333">
        <f>Y604*(1+$O$5)^(($B$7-X604)/365.25)</f>
      </c>
      <c r="AB604" s="333">
        <f>Z604*(1+$O$5)^(($B$7-X604)/365.25)</f>
      </c>
      <c r="AC604" s="1"/>
      <c r="AD604" s="1"/>
      <c r="AE604" s="1"/>
      <c r="AF604" s="111">
        <f>+MONTH(E604)&amp;YEAR(E604)</f>
      </c>
      <c r="AG604" s="217">
        <f>+I604</f>
      </c>
      <c r="AH604" s="217">
        <f>+J604</f>
      </c>
      <c r="AI604" s="217">
        <f>+H604</f>
      </c>
      <c r="AJ604" s="111">
        <f>+V604&amp;W604</f>
      </c>
      <c r="AK604" s="217">
        <f>+_xlfn.IFNA(VLOOKUP(AJ604,$AF$7:$AG$1066,2,0),0)</f>
      </c>
      <c r="AL604" s="217">
        <f>+IF(W604&gt;W603,AK604,AL603+AK604)</f>
      </c>
      <c r="AM604" s="217">
        <f>IF(W604&gt;W603,IF(AL604&gt;=$AZ$8,$AZ$8,AL604),IF(OR(AM603=$AZ$8,AM603=0),0,IF(AL604&gt;=$AZ$8,$AZ$8,AL604)))</f>
      </c>
      <c r="AN604" s="748">
        <f>+IF(OR(AM604&gt;AZ603,AM604=0),0,IF(AM604=AL604,AK604,$AZ$7-AL603))</f>
      </c>
      <c r="AO604" s="748">
        <f>+AK604-AN604</f>
      </c>
      <c r="AP604" s="217">
        <f>+_xlfn.IFNA(VLOOKUP(AJ604,$AF$7:$AI$1066,3,0),0)</f>
      </c>
      <c r="AQ604" s="217">
        <f>+IF(W604&gt;W603,AP604,AQ603+AP604)</f>
      </c>
      <c r="AR604" s="217">
        <f>+MAX($AM$2-SUMIF($W$7:$W$1066,W604,$AN$7:$AN$1066),0)</f>
      </c>
      <c r="AS604" s="748">
        <f>+MAX(IF(AQ604&gt;AR604,AR604-AQ603,AP604),0)</f>
      </c>
      <c r="AT604" s="748">
        <f>+AP604-AS604</f>
      </c>
      <c r="AU604" s="217">
        <f>+_xlfn.IFNA(VLOOKUP(AJ604,$AF$7:$AI$1066,4,0),0)</f>
      </c>
      <c r="AV604" s="217">
        <f>+IF(W604&gt;W603,AU604,AV603+AU604)</f>
      </c>
      <c r="AW604" s="217">
        <f>+MAX($AM$2-SUMIF($W$7:$W$1066,W604,$AN$7:$AN$1066)-SUMIF($W$7:$W$1066,W604,$AS$7:$AS$1066),0)</f>
      </c>
      <c r="AX604" s="748">
        <f>+MAX(IF(AV604&gt;AW604,AW604-AV603,AU604),0)</f>
      </c>
      <c r="AY604" s="748">
        <f>+AU604-AX604</f>
      </c>
      <c r="AZ604" s="331">
        <f>+$AM$1+IF($AP$1&gt;$AP$2,$AM$3/2)</f>
      </c>
    </row>
    <row x14ac:dyDescent="0.25" r="605" customHeight="1" ht="18.75">
      <c r="A605" s="1"/>
      <c r="B605" s="7"/>
      <c r="C605" s="170"/>
      <c r="D605" s="331">
        <v>598</v>
      </c>
      <c r="E605" s="544">
        <f>+DATE(YEAR(E604),MONTH(E604)-1,DAY(E604))</f>
        <v>25569.041666666668</v>
      </c>
      <c r="F605" s="333">
        <f>IF(DATE(YEAR($B$6),MONTH($B$6)+1,DAY(1))=E605,1,IF(MONTH(E605)=1,F606*(1+$F$5),F606))</f>
      </c>
      <c r="G605" s="333">
        <f>IF('Simulador - 1º Pilar'!$E$99="Sí",IF('Aportaciones PPE'!$B$13&lt;'Aportaciones PPE'!E605,0,F605*$B$8/12),F605*$B$8/12)</f>
      </c>
      <c r="H605" s="333">
        <f>$H$5*G605</f>
      </c>
      <c r="I605" s="333">
        <f>$I$5*G605</f>
      </c>
      <c r="J605" s="333">
        <f>+I605</f>
      </c>
      <c r="K605" s="333">
        <f>(1+$O$5)^(D605/12)*(H605+IF(AND(F605=1,F606=0),$S$4,0))</f>
      </c>
      <c r="L605" s="333">
        <f>(1+$O$5)^(D605/12)*(I605+IF(AND(F605=1,F606=0),0))</f>
      </c>
      <c r="M605" s="333">
        <f>+L605</f>
      </c>
      <c r="N605" s="333">
        <f>L605+K605+M605</f>
      </c>
      <c r="O605" s="170"/>
      <c r="P605" s="7"/>
      <c r="Q605" s="1"/>
      <c r="R605" s="331">
        <f>D605</f>
      </c>
      <c r="S605" s="169"/>
      <c r="T605" s="1"/>
      <c r="U605" s="217"/>
      <c r="V605" s="331">
        <f>+IF(V604=11,12,IF(V604=12,1,V604+1))</f>
      </c>
      <c r="W605" s="331">
        <f>+W604+IF(V604=12,1,0)</f>
      </c>
      <c r="X605" s="555">
        <f>+DATE(W605,V605,1)</f>
        <v>25569.041666666668</v>
      </c>
      <c r="Y605" s="333">
        <f>+_xlfn.IFNA(AN605+AS605+AX605,0)</f>
      </c>
      <c r="Z605" s="333">
        <f>+_xlfn.IFNA(AO605+AT605+AY605,0)</f>
      </c>
      <c r="AA605" s="333">
        <f>Y605*(1+$O$5)^(($B$7-X605)/365.25)</f>
      </c>
      <c r="AB605" s="333">
        <f>Z605*(1+$O$5)^(($B$7-X605)/365.25)</f>
      </c>
      <c r="AC605" s="1"/>
      <c r="AD605" s="1"/>
      <c r="AE605" s="1"/>
      <c r="AF605" s="111">
        <f>+MONTH(E605)&amp;YEAR(E605)</f>
      </c>
      <c r="AG605" s="217">
        <f>+I605</f>
      </c>
      <c r="AH605" s="217">
        <f>+J605</f>
      </c>
      <c r="AI605" s="217">
        <f>+H605</f>
      </c>
      <c r="AJ605" s="111">
        <f>+V605&amp;W605</f>
      </c>
      <c r="AK605" s="217">
        <f>+_xlfn.IFNA(VLOOKUP(AJ605,$AF$7:$AG$1066,2,0),0)</f>
      </c>
      <c r="AL605" s="217">
        <f>+IF(W605&gt;W604,AK605,AL604+AK605)</f>
      </c>
      <c r="AM605" s="217">
        <f>IF(W605&gt;W604,IF(AL605&gt;=$AZ$8,$AZ$8,AL605),IF(OR(AM604=$AZ$8,AM604=0),0,IF(AL605&gt;=$AZ$8,$AZ$8,AL605)))</f>
      </c>
      <c r="AN605" s="748">
        <f>+IF(OR(AM605&gt;AZ604,AM605=0),0,IF(AM605=AL605,AK605,$AZ$7-AL604))</f>
      </c>
      <c r="AO605" s="748">
        <f>+AK605-AN605</f>
      </c>
      <c r="AP605" s="217">
        <f>+_xlfn.IFNA(VLOOKUP(AJ605,$AF$7:$AI$1066,3,0),0)</f>
      </c>
      <c r="AQ605" s="217">
        <f>+IF(W605&gt;W604,AP605,AQ604+AP605)</f>
      </c>
      <c r="AR605" s="217">
        <f>+MAX($AM$2-SUMIF($W$7:$W$1066,W605,$AN$7:$AN$1066),0)</f>
      </c>
      <c r="AS605" s="748">
        <f>+MAX(IF(AQ605&gt;AR605,AR605-AQ604,AP605),0)</f>
      </c>
      <c r="AT605" s="748">
        <f>+AP605-AS605</f>
      </c>
      <c r="AU605" s="217">
        <f>+_xlfn.IFNA(VLOOKUP(AJ605,$AF$7:$AI$1066,4,0),0)</f>
      </c>
      <c r="AV605" s="217">
        <f>+IF(W605&gt;W604,AU605,AV604+AU605)</f>
      </c>
      <c r="AW605" s="217">
        <f>+MAX($AM$2-SUMIF($W$7:$W$1066,W605,$AN$7:$AN$1066)-SUMIF($W$7:$W$1066,W605,$AS$7:$AS$1066),0)</f>
      </c>
      <c r="AX605" s="748">
        <f>+MAX(IF(AV605&gt;AW605,AW605-AV604,AU605),0)</f>
      </c>
      <c r="AY605" s="748">
        <f>+AU605-AX605</f>
      </c>
      <c r="AZ605" s="331">
        <f>+$AM$1+IF($AP$1&gt;$AP$2,$AM$3/2)</f>
      </c>
    </row>
    <row x14ac:dyDescent="0.25" r="606" customHeight="1" ht="18.75">
      <c r="A606" s="1"/>
      <c r="B606" s="7"/>
      <c r="C606" s="170"/>
      <c r="D606" s="331">
        <v>599</v>
      </c>
      <c r="E606" s="544">
        <f>+DATE(YEAR(E605),MONTH(E605)-1,DAY(E605))</f>
        <v>25569.041666666668</v>
      </c>
      <c r="F606" s="333">
        <f>IF(DATE(YEAR($B$6),MONTH($B$6)+1,DAY(1))=E606,1,IF(MONTH(E606)=1,F607*(1+$F$5),F607))</f>
      </c>
      <c r="G606" s="333">
        <f>IF('Simulador - 1º Pilar'!$E$99="Sí",IF('Aportaciones PPE'!$B$13&lt;'Aportaciones PPE'!E606,0,F606*$B$8/12),F606*$B$8/12)</f>
      </c>
      <c r="H606" s="333">
        <f>$H$5*G606</f>
      </c>
      <c r="I606" s="333">
        <f>$I$5*G606</f>
      </c>
      <c r="J606" s="333">
        <f>+I606</f>
      </c>
      <c r="K606" s="333">
        <f>(1+$O$5)^(D606/12)*(H606+IF(AND(F606=1,F607=0),$S$4,0))</f>
      </c>
      <c r="L606" s="333">
        <f>(1+$O$5)^(D606/12)*(I606+IF(AND(F606=1,F607=0),0))</f>
      </c>
      <c r="M606" s="333">
        <f>+L606</f>
      </c>
      <c r="N606" s="333">
        <f>L606+K606+M606</f>
      </c>
      <c r="O606" s="170"/>
      <c r="P606" s="7"/>
      <c r="Q606" s="1"/>
      <c r="R606" s="331">
        <f>D606</f>
      </c>
      <c r="S606" s="169"/>
      <c r="T606" s="1"/>
      <c r="U606" s="217"/>
      <c r="V606" s="331">
        <f>+IF(V605=11,12,IF(V605=12,1,V605+1))</f>
      </c>
      <c r="W606" s="331">
        <f>+W605+IF(V605=12,1,0)</f>
      </c>
      <c r="X606" s="555">
        <f>+DATE(W606,V606,1)</f>
        <v>25569.041666666668</v>
      </c>
      <c r="Y606" s="333">
        <f>+_xlfn.IFNA(AN606+AS606+AX606,0)</f>
      </c>
      <c r="Z606" s="333">
        <f>+_xlfn.IFNA(AO606+AT606+AY606,0)</f>
      </c>
      <c r="AA606" s="333">
        <f>Y606*(1+$O$5)^(($B$7-X606)/365.25)</f>
      </c>
      <c r="AB606" s="333">
        <f>Z606*(1+$O$5)^(($B$7-X606)/365.25)</f>
      </c>
      <c r="AC606" s="1"/>
      <c r="AD606" s="1"/>
      <c r="AE606" s="1"/>
      <c r="AF606" s="111">
        <f>+MONTH(E606)&amp;YEAR(E606)</f>
      </c>
      <c r="AG606" s="217">
        <f>+I606</f>
      </c>
      <c r="AH606" s="217">
        <f>+J606</f>
      </c>
      <c r="AI606" s="217">
        <f>+H606</f>
      </c>
      <c r="AJ606" s="111">
        <f>+V606&amp;W606</f>
      </c>
      <c r="AK606" s="217">
        <f>+_xlfn.IFNA(VLOOKUP(AJ606,$AF$7:$AG$1066,2,0),0)</f>
      </c>
      <c r="AL606" s="217">
        <f>+IF(W606&gt;W605,AK606,AL605+AK606)</f>
      </c>
      <c r="AM606" s="217">
        <f>IF(W606&gt;W605,IF(AL606&gt;=$AZ$8,$AZ$8,AL606),IF(OR(AM605=$AZ$8,AM605=0),0,IF(AL606&gt;=$AZ$8,$AZ$8,AL606)))</f>
      </c>
      <c r="AN606" s="748">
        <f>+IF(OR(AM606&gt;AZ605,AM606=0),0,IF(AM606=AL606,AK606,$AZ$7-AL605))</f>
      </c>
      <c r="AO606" s="748">
        <f>+AK606-AN606</f>
      </c>
      <c r="AP606" s="217">
        <f>+_xlfn.IFNA(VLOOKUP(AJ606,$AF$7:$AI$1066,3,0),0)</f>
      </c>
      <c r="AQ606" s="217">
        <f>+IF(W606&gt;W605,AP606,AQ605+AP606)</f>
      </c>
      <c r="AR606" s="217">
        <f>+MAX($AM$2-SUMIF($W$7:$W$1066,W606,$AN$7:$AN$1066),0)</f>
      </c>
      <c r="AS606" s="748">
        <f>+MAX(IF(AQ606&gt;AR606,AR606-AQ605,AP606),0)</f>
      </c>
      <c r="AT606" s="748">
        <f>+AP606-AS606</f>
      </c>
      <c r="AU606" s="217">
        <f>+_xlfn.IFNA(VLOOKUP(AJ606,$AF$7:$AI$1066,4,0),0)</f>
      </c>
      <c r="AV606" s="217">
        <f>+IF(W606&gt;W605,AU606,AV605+AU606)</f>
      </c>
      <c r="AW606" s="217">
        <f>+MAX($AM$2-SUMIF($W$7:$W$1066,W606,$AN$7:$AN$1066)-SUMIF($W$7:$W$1066,W606,$AS$7:$AS$1066),0)</f>
      </c>
      <c r="AX606" s="748">
        <f>+MAX(IF(AV606&gt;AW606,AW606-AV605,AU606),0)</f>
      </c>
      <c r="AY606" s="748">
        <f>+AU606-AX606</f>
      </c>
      <c r="AZ606" s="331">
        <f>+$AM$1+IF($AP$1&gt;$AP$2,$AM$3/2)</f>
      </c>
    </row>
    <row x14ac:dyDescent="0.25" r="607" customHeight="1" ht="18.75">
      <c r="A607" s="1"/>
      <c r="B607" s="7"/>
      <c r="C607" s="170"/>
      <c r="D607" s="331">
        <v>600</v>
      </c>
      <c r="E607" s="544">
        <f>+DATE(YEAR(E606),MONTH(E606)-1,DAY(E606))</f>
        <v>25569.041666666668</v>
      </c>
      <c r="F607" s="333">
        <f>IF(DATE(YEAR($B$6),MONTH($B$6)+1,DAY(1))=E607,1,IF(MONTH(E607)=1,F608*(1+$F$5),F608))</f>
      </c>
      <c r="G607" s="333">
        <f>IF('Simulador - 1º Pilar'!$E$99="Sí",IF('Aportaciones PPE'!$B$13&lt;'Aportaciones PPE'!E607,0,F607*$B$8/12),F607*$B$8/12)</f>
      </c>
      <c r="H607" s="333">
        <f>$H$5*G607</f>
      </c>
      <c r="I607" s="333">
        <f>$I$5*G607</f>
      </c>
      <c r="J607" s="333">
        <f>+I607</f>
      </c>
      <c r="K607" s="333">
        <f>(1+$O$5)^(D607/12)*(H607+IF(AND(F607=1,F608=0),$S$4,0))</f>
      </c>
      <c r="L607" s="333">
        <f>(1+$O$5)^(D607/12)*(I607+IF(AND(F607=1,F608=0),0))</f>
      </c>
      <c r="M607" s="333">
        <f>+L607</f>
      </c>
      <c r="N607" s="333">
        <f>L607+K607+M607</f>
      </c>
      <c r="O607" s="170"/>
      <c r="P607" s="7"/>
      <c r="Q607" s="1"/>
      <c r="R607" s="331">
        <f>D607</f>
      </c>
      <c r="S607" s="169"/>
      <c r="T607" s="1"/>
      <c r="U607" s="217"/>
      <c r="V607" s="331">
        <f>+IF(V606=11,12,IF(V606=12,1,V606+1))</f>
      </c>
      <c r="W607" s="331">
        <f>+W606+IF(V606=12,1,0)</f>
      </c>
      <c r="X607" s="555">
        <f>+DATE(W607,V607,1)</f>
        <v>25569.041666666668</v>
      </c>
      <c r="Y607" s="333">
        <f>+_xlfn.IFNA(AN607+AS607+AX607,0)</f>
      </c>
      <c r="Z607" s="333">
        <f>+_xlfn.IFNA(AO607+AT607+AY607,0)</f>
      </c>
      <c r="AA607" s="333">
        <f>Y607*(1+$O$5)^(($B$7-X607)/365.25)</f>
      </c>
      <c r="AB607" s="333">
        <f>Z607*(1+$O$5)^(($B$7-X607)/365.25)</f>
      </c>
      <c r="AC607" s="1"/>
      <c r="AD607" s="1"/>
      <c r="AE607" s="1"/>
      <c r="AF607" s="111">
        <f>+MONTH(E607)&amp;YEAR(E607)</f>
      </c>
      <c r="AG607" s="217">
        <f>+I607</f>
      </c>
      <c r="AH607" s="217">
        <f>+J607</f>
      </c>
      <c r="AI607" s="217">
        <f>+H607</f>
      </c>
      <c r="AJ607" s="111">
        <f>+V607&amp;W607</f>
      </c>
      <c r="AK607" s="217">
        <f>+_xlfn.IFNA(VLOOKUP(AJ607,$AF$7:$AG$1066,2,0),0)</f>
      </c>
      <c r="AL607" s="217">
        <f>+IF(W607&gt;W606,AK607,AL606+AK607)</f>
      </c>
      <c r="AM607" s="217">
        <f>IF(W607&gt;W606,IF(AL607&gt;=$AZ$8,$AZ$8,AL607),IF(OR(AM606=$AZ$8,AM606=0),0,IF(AL607&gt;=$AZ$8,$AZ$8,AL607)))</f>
      </c>
      <c r="AN607" s="748">
        <f>+IF(OR(AM607&gt;AZ606,AM607=0),0,IF(AM607=AL607,AK607,$AZ$7-AL606))</f>
      </c>
      <c r="AO607" s="748">
        <f>+AK607-AN607</f>
      </c>
      <c r="AP607" s="217">
        <f>+_xlfn.IFNA(VLOOKUP(AJ607,$AF$7:$AI$1066,3,0),0)</f>
      </c>
      <c r="AQ607" s="217">
        <f>+IF(W607&gt;W606,AP607,AQ606+AP607)</f>
      </c>
      <c r="AR607" s="217">
        <f>+MAX($AM$2-SUMIF($W$7:$W$1066,W607,$AN$7:$AN$1066),0)</f>
      </c>
      <c r="AS607" s="748">
        <f>+MAX(IF(AQ607&gt;AR607,AR607-AQ606,AP607),0)</f>
      </c>
      <c r="AT607" s="748">
        <f>+AP607-AS607</f>
      </c>
      <c r="AU607" s="217">
        <f>+_xlfn.IFNA(VLOOKUP(AJ607,$AF$7:$AI$1066,4,0),0)</f>
      </c>
      <c r="AV607" s="217">
        <f>+IF(W607&gt;W606,AU607,AV606+AU607)</f>
      </c>
      <c r="AW607" s="217">
        <f>+MAX($AM$2-SUMIF($W$7:$W$1066,W607,$AN$7:$AN$1066)-SUMIF($W$7:$W$1066,W607,$AS$7:$AS$1066),0)</f>
      </c>
      <c r="AX607" s="748">
        <f>+MAX(IF(AV607&gt;AW607,AW607-AV606,AU607),0)</f>
      </c>
      <c r="AY607" s="748">
        <f>+AU607-AX607</f>
      </c>
      <c r="AZ607" s="331">
        <f>+$AM$1+IF($AP$1&gt;$AP$2,$AM$3/2)</f>
      </c>
    </row>
    <row x14ac:dyDescent="0.25" r="608" customHeight="1" ht="18.75">
      <c r="A608" s="1"/>
      <c r="B608" s="7"/>
      <c r="C608" s="170"/>
      <c r="D608" s="331">
        <v>601</v>
      </c>
      <c r="E608" s="544">
        <f>+DATE(YEAR(E607),MONTH(E607)-1,DAY(E607))</f>
        <v>25569.041666666668</v>
      </c>
      <c r="F608" s="333">
        <f>IF(DATE(YEAR($B$6),MONTH($B$6)+1,DAY(1))=E608,1,IF(MONTH(E608)=1,F609*(1+$F$5),F609))</f>
      </c>
      <c r="G608" s="333">
        <f>IF('Simulador - 1º Pilar'!$E$99="Sí",IF('Aportaciones PPE'!$B$13&lt;'Aportaciones PPE'!E608,0,F608*$B$8/12),F608*$B$8/12)</f>
      </c>
      <c r="H608" s="333">
        <f>$H$5*G608</f>
      </c>
      <c r="I608" s="333">
        <f>$I$5*G608</f>
      </c>
      <c r="J608" s="333">
        <f>+I608</f>
      </c>
      <c r="K608" s="333">
        <f>(1+$O$5)^(D608/12)*(H608+IF(AND(F608=1,F609=0),$S$4,0))</f>
      </c>
      <c r="L608" s="333">
        <f>(1+$O$5)^(D608/12)*(I608+IF(AND(F608=1,F609=0),0))</f>
      </c>
      <c r="M608" s="333">
        <f>+L608</f>
      </c>
      <c r="N608" s="333">
        <f>L608+K608+M608</f>
      </c>
      <c r="O608" s="170"/>
      <c r="P608" s="7"/>
      <c r="Q608" s="1"/>
      <c r="R608" s="331">
        <f>D608</f>
      </c>
      <c r="S608" s="169"/>
      <c r="T608" s="1"/>
      <c r="U608" s="217"/>
      <c r="V608" s="331">
        <f>+IF(V607=11,12,IF(V607=12,1,V607+1))</f>
      </c>
      <c r="W608" s="331">
        <f>+W607+IF(V607=12,1,0)</f>
      </c>
      <c r="X608" s="555">
        <f>+DATE(W608,V608,1)</f>
        <v>25569.041666666668</v>
      </c>
      <c r="Y608" s="333">
        <f>+_xlfn.IFNA(AN608+AS608+AX608,0)</f>
      </c>
      <c r="Z608" s="333">
        <f>+_xlfn.IFNA(AO608+AT608+AY608,0)</f>
      </c>
      <c r="AA608" s="333">
        <f>Y608*(1+$O$5)^(($B$7-X608)/365.25)</f>
      </c>
      <c r="AB608" s="333">
        <f>Z608*(1+$O$5)^(($B$7-X608)/365.25)</f>
      </c>
      <c r="AC608" s="1"/>
      <c r="AD608" s="1"/>
      <c r="AE608" s="1"/>
      <c r="AF608" s="111">
        <f>+MONTH(E608)&amp;YEAR(E608)</f>
      </c>
      <c r="AG608" s="217">
        <f>+I608</f>
      </c>
      <c r="AH608" s="217">
        <f>+J608</f>
      </c>
      <c r="AI608" s="217">
        <f>+H608</f>
      </c>
      <c r="AJ608" s="111">
        <f>+V608&amp;W608</f>
      </c>
      <c r="AK608" s="217">
        <f>+_xlfn.IFNA(VLOOKUP(AJ608,$AF$7:$AG$1066,2,0),0)</f>
      </c>
      <c r="AL608" s="217">
        <f>+IF(W608&gt;W607,AK608,AL607+AK608)</f>
      </c>
      <c r="AM608" s="217">
        <f>IF(W608&gt;W607,IF(AL608&gt;=$AZ$8,$AZ$8,AL608),IF(OR(AM607=$AZ$8,AM607=0),0,IF(AL608&gt;=$AZ$8,$AZ$8,AL608)))</f>
      </c>
      <c r="AN608" s="748">
        <f>+IF(OR(AM608&gt;AZ607,AM608=0),0,IF(AM608=AL608,AK608,$AZ$7-AL607))</f>
      </c>
      <c r="AO608" s="748">
        <f>+AK608-AN608</f>
      </c>
      <c r="AP608" s="217">
        <f>+_xlfn.IFNA(VLOOKUP(AJ608,$AF$7:$AI$1066,3,0),0)</f>
      </c>
      <c r="AQ608" s="217">
        <f>+IF(W608&gt;W607,AP608,AQ607+AP608)</f>
      </c>
      <c r="AR608" s="217">
        <f>+MAX($AM$2-SUMIF($W$7:$W$1066,W608,$AN$7:$AN$1066),0)</f>
      </c>
      <c r="AS608" s="748">
        <f>+MAX(IF(AQ608&gt;AR608,AR608-AQ607,AP608),0)</f>
      </c>
      <c r="AT608" s="748">
        <f>+AP608-AS608</f>
      </c>
      <c r="AU608" s="217">
        <f>+_xlfn.IFNA(VLOOKUP(AJ608,$AF$7:$AI$1066,4,0),0)</f>
      </c>
      <c r="AV608" s="217">
        <f>+IF(W608&gt;W607,AU608,AV607+AU608)</f>
      </c>
      <c r="AW608" s="217">
        <f>+MAX($AM$2-SUMIF($W$7:$W$1066,W608,$AN$7:$AN$1066)-SUMIF($W$7:$W$1066,W608,$AS$7:$AS$1066),0)</f>
      </c>
      <c r="AX608" s="748">
        <f>+MAX(IF(AV608&gt;AW608,AW608-AV607,AU608),0)</f>
      </c>
      <c r="AY608" s="748">
        <f>+AU608-AX608</f>
      </c>
      <c r="AZ608" s="331">
        <f>+$AM$1+IF($AP$1&gt;$AP$2,$AM$3/2)</f>
      </c>
    </row>
    <row x14ac:dyDescent="0.25" r="609" customHeight="1" ht="18.75">
      <c r="A609" s="1"/>
      <c r="B609" s="7"/>
      <c r="C609" s="170"/>
      <c r="D609" s="331">
        <v>602</v>
      </c>
      <c r="E609" s="544">
        <f>+DATE(YEAR(E608),MONTH(E608)-1,DAY(E608))</f>
        <v>25569.041666666668</v>
      </c>
      <c r="F609" s="333">
        <f>IF(DATE(YEAR($B$6),MONTH($B$6)+1,DAY(1))=E609,1,IF(MONTH(E609)=1,F610*(1+$F$5),F610))</f>
      </c>
      <c r="G609" s="333">
        <f>IF('Simulador - 1º Pilar'!$E$99="Sí",IF('Aportaciones PPE'!$B$13&lt;'Aportaciones PPE'!E609,0,F609*$B$8/12),F609*$B$8/12)</f>
      </c>
      <c r="H609" s="333">
        <f>$H$5*G609</f>
      </c>
      <c r="I609" s="333">
        <f>$I$5*G609</f>
      </c>
      <c r="J609" s="333">
        <f>+I609</f>
      </c>
      <c r="K609" s="333">
        <f>(1+$O$5)^(D609/12)*(H609+IF(AND(F609=1,F610=0),$S$4,0))</f>
      </c>
      <c r="L609" s="333">
        <f>(1+$O$5)^(D609/12)*(I609+IF(AND(F609=1,F610=0),0))</f>
      </c>
      <c r="M609" s="333">
        <f>+L609</f>
      </c>
      <c r="N609" s="333">
        <f>L609+K609+M609</f>
      </c>
      <c r="O609" s="170"/>
      <c r="P609" s="7"/>
      <c r="Q609" s="1"/>
      <c r="R609" s="331">
        <f>D609</f>
      </c>
      <c r="S609" s="169"/>
      <c r="T609" s="1"/>
      <c r="U609" s="217"/>
      <c r="V609" s="331">
        <f>+IF(V608=11,12,IF(V608=12,1,V608+1))</f>
      </c>
      <c r="W609" s="331">
        <f>+W608+IF(V608=12,1,0)</f>
      </c>
      <c r="X609" s="555">
        <f>+DATE(W609,V609,1)</f>
        <v>25569.041666666668</v>
      </c>
      <c r="Y609" s="333">
        <f>+_xlfn.IFNA(AN609+AS609+AX609,0)</f>
      </c>
      <c r="Z609" s="333">
        <f>+_xlfn.IFNA(AO609+AT609+AY609,0)</f>
      </c>
      <c r="AA609" s="333">
        <f>Y609*(1+$O$5)^(($B$7-X609)/365.25)</f>
      </c>
      <c r="AB609" s="333">
        <f>Z609*(1+$O$5)^(($B$7-X609)/365.25)</f>
      </c>
      <c r="AC609" s="1"/>
      <c r="AD609" s="1"/>
      <c r="AE609" s="1"/>
      <c r="AF609" s="111">
        <f>+MONTH(E609)&amp;YEAR(E609)</f>
      </c>
      <c r="AG609" s="217">
        <f>+I609</f>
      </c>
      <c r="AH609" s="217">
        <f>+J609</f>
      </c>
      <c r="AI609" s="217">
        <f>+H609</f>
      </c>
      <c r="AJ609" s="111">
        <f>+V609&amp;W609</f>
      </c>
      <c r="AK609" s="217">
        <f>+_xlfn.IFNA(VLOOKUP(AJ609,$AF$7:$AG$1066,2,0),0)</f>
      </c>
      <c r="AL609" s="217">
        <f>+IF(W609&gt;W608,AK609,AL608+AK609)</f>
      </c>
      <c r="AM609" s="217">
        <f>IF(W609&gt;W608,IF(AL609&gt;=$AZ$8,$AZ$8,AL609),IF(OR(AM608=$AZ$8,AM608=0),0,IF(AL609&gt;=$AZ$8,$AZ$8,AL609)))</f>
      </c>
      <c r="AN609" s="748">
        <f>+IF(OR(AM609&gt;AZ608,AM609=0),0,IF(AM609=AL609,AK609,$AZ$7-AL608))</f>
      </c>
      <c r="AO609" s="748">
        <f>+AK609-AN609</f>
      </c>
      <c r="AP609" s="217">
        <f>+_xlfn.IFNA(VLOOKUP(AJ609,$AF$7:$AI$1066,3,0),0)</f>
      </c>
      <c r="AQ609" s="217">
        <f>+IF(W609&gt;W608,AP609,AQ608+AP609)</f>
      </c>
      <c r="AR609" s="217">
        <f>+MAX($AM$2-SUMIF($W$7:$W$1066,W609,$AN$7:$AN$1066),0)</f>
      </c>
      <c r="AS609" s="748">
        <f>+MAX(IF(AQ609&gt;AR609,AR609-AQ608,AP609),0)</f>
      </c>
      <c r="AT609" s="748">
        <f>+AP609-AS609</f>
      </c>
      <c r="AU609" s="217">
        <f>+_xlfn.IFNA(VLOOKUP(AJ609,$AF$7:$AI$1066,4,0),0)</f>
      </c>
      <c r="AV609" s="217">
        <f>+IF(W609&gt;W608,AU609,AV608+AU609)</f>
      </c>
      <c r="AW609" s="217">
        <f>+MAX($AM$2-SUMIF($W$7:$W$1066,W609,$AN$7:$AN$1066)-SUMIF($W$7:$W$1066,W609,$AS$7:$AS$1066),0)</f>
      </c>
      <c r="AX609" s="748">
        <f>+MAX(IF(AV609&gt;AW609,AW609-AV608,AU609),0)</f>
      </c>
      <c r="AY609" s="748">
        <f>+AU609-AX609</f>
      </c>
      <c r="AZ609" s="331">
        <f>+$AM$1+IF($AP$1&gt;$AP$2,$AM$3/2)</f>
      </c>
    </row>
    <row x14ac:dyDescent="0.25" r="610" customHeight="1" ht="18.75">
      <c r="A610" s="1"/>
      <c r="B610" s="7"/>
      <c r="C610" s="170"/>
      <c r="D610" s="331">
        <v>603</v>
      </c>
      <c r="E610" s="544">
        <f>+DATE(YEAR(E609),MONTH(E609)-1,DAY(E609))</f>
        <v>25569.041666666668</v>
      </c>
      <c r="F610" s="333">
        <f>IF(DATE(YEAR($B$6),MONTH($B$6)+1,DAY(1))=E610,1,IF(MONTH(E610)=1,F611*(1+$F$5),F611))</f>
      </c>
      <c r="G610" s="333">
        <f>IF('Simulador - 1º Pilar'!$E$99="Sí",IF('Aportaciones PPE'!$B$13&lt;'Aportaciones PPE'!E610,0,F610*$B$8/12),F610*$B$8/12)</f>
      </c>
      <c r="H610" s="333">
        <f>$H$5*G610</f>
      </c>
      <c r="I610" s="333">
        <f>$I$5*G610</f>
      </c>
      <c r="J610" s="333">
        <f>+I610</f>
      </c>
      <c r="K610" s="333">
        <f>(1+$O$5)^(D610/12)*(H610+IF(AND(F610=1,F611=0),$S$4,0))</f>
      </c>
      <c r="L610" s="333">
        <f>(1+$O$5)^(D610/12)*(I610+IF(AND(F610=1,F611=0),0))</f>
      </c>
      <c r="M610" s="333">
        <f>+L610</f>
      </c>
      <c r="N610" s="333">
        <f>L610+K610+M610</f>
      </c>
      <c r="O610" s="170"/>
      <c r="P610" s="7"/>
      <c r="Q610" s="1"/>
      <c r="R610" s="331">
        <f>D610</f>
      </c>
      <c r="S610" s="169"/>
      <c r="T610" s="1"/>
      <c r="U610" s="217"/>
      <c r="V610" s="331">
        <f>+IF(V609=11,12,IF(V609=12,1,V609+1))</f>
      </c>
      <c r="W610" s="331">
        <f>+W609+IF(V609=12,1,0)</f>
      </c>
      <c r="X610" s="555">
        <f>+DATE(W610,V610,1)</f>
        <v>25569.041666666668</v>
      </c>
      <c r="Y610" s="333">
        <f>+_xlfn.IFNA(AN610+AS610+AX610,0)</f>
      </c>
      <c r="Z610" s="333">
        <f>+_xlfn.IFNA(AO610+AT610+AY610,0)</f>
      </c>
      <c r="AA610" s="333">
        <f>Y610*(1+$O$5)^(($B$7-X610)/365.25)</f>
      </c>
      <c r="AB610" s="333">
        <f>Z610*(1+$O$5)^(($B$7-X610)/365.25)</f>
      </c>
      <c r="AC610" s="1"/>
      <c r="AD610" s="1"/>
      <c r="AE610" s="1"/>
      <c r="AF610" s="111">
        <f>+MONTH(E610)&amp;YEAR(E610)</f>
      </c>
      <c r="AG610" s="217">
        <f>+I610</f>
      </c>
      <c r="AH610" s="217">
        <f>+J610</f>
      </c>
      <c r="AI610" s="217">
        <f>+H610</f>
      </c>
      <c r="AJ610" s="111">
        <f>+V610&amp;W610</f>
      </c>
      <c r="AK610" s="217">
        <f>+_xlfn.IFNA(VLOOKUP(AJ610,$AF$7:$AG$1066,2,0),0)</f>
      </c>
      <c r="AL610" s="217">
        <f>+IF(W610&gt;W609,AK610,AL609+AK610)</f>
      </c>
      <c r="AM610" s="217">
        <f>IF(W610&gt;W609,IF(AL610&gt;=$AZ$8,$AZ$8,AL610),IF(OR(AM609=$AZ$8,AM609=0),0,IF(AL610&gt;=$AZ$8,$AZ$8,AL610)))</f>
      </c>
      <c r="AN610" s="748">
        <f>+IF(OR(AM610&gt;AZ609,AM610=0),0,IF(AM610=AL610,AK610,$AZ$7-AL609))</f>
      </c>
      <c r="AO610" s="748">
        <f>+AK610-AN610</f>
      </c>
      <c r="AP610" s="217">
        <f>+_xlfn.IFNA(VLOOKUP(AJ610,$AF$7:$AI$1066,3,0),0)</f>
      </c>
      <c r="AQ610" s="217">
        <f>+IF(W610&gt;W609,AP610,AQ609+AP610)</f>
      </c>
      <c r="AR610" s="217">
        <f>+MAX($AM$2-SUMIF($W$7:$W$1066,W610,$AN$7:$AN$1066),0)</f>
      </c>
      <c r="AS610" s="748">
        <f>+MAX(IF(AQ610&gt;AR610,AR610-AQ609,AP610),0)</f>
      </c>
      <c r="AT610" s="748">
        <f>+AP610-AS610</f>
      </c>
      <c r="AU610" s="217">
        <f>+_xlfn.IFNA(VLOOKUP(AJ610,$AF$7:$AI$1066,4,0),0)</f>
      </c>
      <c r="AV610" s="217">
        <f>+IF(W610&gt;W609,AU610,AV609+AU610)</f>
      </c>
      <c r="AW610" s="217">
        <f>+MAX($AM$2-SUMIF($W$7:$W$1066,W610,$AN$7:$AN$1066)-SUMIF($W$7:$W$1066,W610,$AS$7:$AS$1066),0)</f>
      </c>
      <c r="AX610" s="748">
        <f>+MAX(IF(AV610&gt;AW610,AW610-AV609,AU610),0)</f>
      </c>
      <c r="AY610" s="748">
        <f>+AU610-AX610</f>
      </c>
      <c r="AZ610" s="331">
        <f>+$AM$1+IF($AP$1&gt;$AP$2,$AM$3/2)</f>
      </c>
    </row>
    <row x14ac:dyDescent="0.25" r="611" customHeight="1" ht="18.75">
      <c r="A611" s="1"/>
      <c r="B611" s="7"/>
      <c r="C611" s="170"/>
      <c r="D611" s="331">
        <v>604</v>
      </c>
      <c r="E611" s="544">
        <f>+DATE(YEAR(E610),MONTH(E610)-1,DAY(E610))</f>
        <v>25569.041666666668</v>
      </c>
      <c r="F611" s="333">
        <f>IF(DATE(YEAR($B$6),MONTH($B$6)+1,DAY(1))=E611,1,IF(MONTH(E611)=1,F612*(1+$F$5),F612))</f>
      </c>
      <c r="G611" s="333">
        <f>IF('Simulador - 1º Pilar'!$E$99="Sí",IF('Aportaciones PPE'!$B$13&lt;'Aportaciones PPE'!E611,0,F611*$B$8/12),F611*$B$8/12)</f>
      </c>
      <c r="H611" s="333">
        <f>$H$5*G611</f>
      </c>
      <c r="I611" s="333">
        <f>$I$5*G611</f>
      </c>
      <c r="J611" s="333">
        <f>+I611</f>
      </c>
      <c r="K611" s="333">
        <f>(1+$O$5)^(D611/12)*(H611+IF(AND(F611=1,F612=0),$S$4,0))</f>
      </c>
      <c r="L611" s="333">
        <f>(1+$O$5)^(D611/12)*(I611+IF(AND(F611=1,F612=0),0))</f>
      </c>
      <c r="M611" s="333">
        <f>+L611</f>
      </c>
      <c r="N611" s="333">
        <f>L611+K611+M611</f>
      </c>
      <c r="O611" s="170"/>
      <c r="P611" s="7"/>
      <c r="Q611" s="1"/>
      <c r="R611" s="331">
        <f>D611</f>
      </c>
      <c r="S611" s="169"/>
      <c r="T611" s="1"/>
      <c r="U611" s="217"/>
      <c r="V611" s="331">
        <f>+IF(V610=11,12,IF(V610=12,1,V610+1))</f>
      </c>
      <c r="W611" s="331">
        <f>+W610+IF(V610=12,1,0)</f>
      </c>
      <c r="X611" s="555">
        <f>+DATE(W611,V611,1)</f>
        <v>25569.041666666668</v>
      </c>
      <c r="Y611" s="333">
        <f>+_xlfn.IFNA(AN611+AS611+AX611,0)</f>
      </c>
      <c r="Z611" s="333">
        <f>+_xlfn.IFNA(AO611+AT611+AY611,0)</f>
      </c>
      <c r="AA611" s="333">
        <f>Y611*(1+$O$5)^(($B$7-X611)/365.25)</f>
      </c>
      <c r="AB611" s="333">
        <f>Z611*(1+$O$5)^(($B$7-X611)/365.25)</f>
      </c>
      <c r="AC611" s="1"/>
      <c r="AD611" s="1"/>
      <c r="AE611" s="1"/>
      <c r="AF611" s="111">
        <f>+MONTH(E611)&amp;YEAR(E611)</f>
      </c>
      <c r="AG611" s="217">
        <f>+I611</f>
      </c>
      <c r="AH611" s="217">
        <f>+J611</f>
      </c>
      <c r="AI611" s="217">
        <f>+H611</f>
      </c>
      <c r="AJ611" s="111">
        <f>+V611&amp;W611</f>
      </c>
      <c r="AK611" s="217">
        <f>+_xlfn.IFNA(VLOOKUP(AJ611,$AF$7:$AG$1066,2,0),0)</f>
      </c>
      <c r="AL611" s="217">
        <f>+IF(W611&gt;W610,AK611,AL610+AK611)</f>
      </c>
      <c r="AM611" s="217">
        <f>IF(W611&gt;W610,IF(AL611&gt;=$AZ$8,$AZ$8,AL611),IF(OR(AM610=$AZ$8,AM610=0),0,IF(AL611&gt;=$AZ$8,$AZ$8,AL611)))</f>
      </c>
      <c r="AN611" s="748">
        <f>+IF(OR(AM611&gt;AZ610,AM611=0),0,IF(AM611=AL611,AK611,$AZ$7-AL610))</f>
      </c>
      <c r="AO611" s="748">
        <f>+AK611-AN611</f>
      </c>
      <c r="AP611" s="217">
        <f>+_xlfn.IFNA(VLOOKUP(AJ611,$AF$7:$AI$1066,3,0),0)</f>
      </c>
      <c r="AQ611" s="217">
        <f>+IF(W611&gt;W610,AP611,AQ610+AP611)</f>
      </c>
      <c r="AR611" s="217">
        <f>+MAX($AM$2-SUMIF($W$7:$W$1066,W611,$AN$7:$AN$1066),0)</f>
      </c>
      <c r="AS611" s="748">
        <f>+MAX(IF(AQ611&gt;AR611,AR611-AQ610,AP611),0)</f>
      </c>
      <c r="AT611" s="748">
        <f>+AP611-AS611</f>
      </c>
      <c r="AU611" s="217">
        <f>+_xlfn.IFNA(VLOOKUP(AJ611,$AF$7:$AI$1066,4,0),0)</f>
      </c>
      <c r="AV611" s="217">
        <f>+IF(W611&gt;W610,AU611,AV610+AU611)</f>
      </c>
      <c r="AW611" s="217">
        <f>+MAX($AM$2-SUMIF($W$7:$W$1066,W611,$AN$7:$AN$1066)-SUMIF($W$7:$W$1066,W611,$AS$7:$AS$1066),0)</f>
      </c>
      <c r="AX611" s="748">
        <f>+MAX(IF(AV611&gt;AW611,AW611-AV610,AU611),0)</f>
      </c>
      <c r="AY611" s="748">
        <f>+AU611-AX611</f>
      </c>
      <c r="AZ611" s="331">
        <f>+$AM$1+IF($AP$1&gt;$AP$2,$AM$3/2)</f>
      </c>
    </row>
    <row x14ac:dyDescent="0.25" r="612" customHeight="1" ht="18.75">
      <c r="A612" s="1"/>
      <c r="B612" s="7"/>
      <c r="C612" s="170"/>
      <c r="D612" s="331">
        <v>605</v>
      </c>
      <c r="E612" s="544">
        <f>+DATE(YEAR(E611),MONTH(E611)-1,DAY(E611))</f>
        <v>25569.041666666668</v>
      </c>
      <c r="F612" s="333">
        <f>IF(DATE(YEAR($B$6),MONTH($B$6)+1,DAY(1))=E612,1,IF(MONTH(E612)=1,F613*(1+$F$5),F613))</f>
      </c>
      <c r="G612" s="333">
        <f>IF('Simulador - 1º Pilar'!$E$99="Sí",IF('Aportaciones PPE'!$B$13&lt;'Aportaciones PPE'!E612,0,F612*$B$8/12),F612*$B$8/12)</f>
      </c>
      <c r="H612" s="333">
        <f>$H$5*G612</f>
      </c>
      <c r="I612" s="333">
        <f>$I$5*G612</f>
      </c>
      <c r="J612" s="333">
        <f>+I612</f>
      </c>
      <c r="K612" s="333">
        <f>(1+$O$5)^(D612/12)*(H612+IF(AND(F612=1,F613=0),$S$4,0))</f>
      </c>
      <c r="L612" s="333">
        <f>(1+$O$5)^(D612/12)*(I612+IF(AND(F612=1,F613=0),0))</f>
      </c>
      <c r="M612" s="333">
        <f>+L612</f>
      </c>
      <c r="N612" s="333">
        <f>L612+K612+M612</f>
      </c>
      <c r="O612" s="170"/>
      <c r="P612" s="7"/>
      <c r="Q612" s="1"/>
      <c r="R612" s="331">
        <f>D612</f>
      </c>
      <c r="S612" s="169"/>
      <c r="T612" s="1"/>
      <c r="U612" s="217"/>
      <c r="V612" s="331">
        <f>+IF(V611=11,12,IF(V611=12,1,V611+1))</f>
      </c>
      <c r="W612" s="331">
        <f>+W611+IF(V611=12,1,0)</f>
      </c>
      <c r="X612" s="555">
        <f>+DATE(W612,V612,1)</f>
        <v>25569.041666666668</v>
      </c>
      <c r="Y612" s="333">
        <f>+_xlfn.IFNA(AN612+AS612+AX612,0)</f>
      </c>
      <c r="Z612" s="333">
        <f>+_xlfn.IFNA(AO612+AT612+AY612,0)</f>
      </c>
      <c r="AA612" s="333">
        <f>Y612*(1+$O$5)^(($B$7-X612)/365.25)</f>
      </c>
      <c r="AB612" s="333">
        <f>Z612*(1+$O$5)^(($B$7-X612)/365.25)</f>
      </c>
      <c r="AC612" s="1"/>
      <c r="AD612" s="1"/>
      <c r="AE612" s="1"/>
      <c r="AF612" s="111">
        <f>+MONTH(E612)&amp;YEAR(E612)</f>
      </c>
      <c r="AG612" s="217">
        <f>+I612</f>
      </c>
      <c r="AH612" s="217">
        <f>+J612</f>
      </c>
      <c r="AI612" s="217">
        <f>+H612</f>
      </c>
      <c r="AJ612" s="111">
        <f>+V612&amp;W612</f>
      </c>
      <c r="AK612" s="217">
        <f>+_xlfn.IFNA(VLOOKUP(AJ612,$AF$7:$AG$1066,2,0),0)</f>
      </c>
      <c r="AL612" s="217">
        <f>+IF(W612&gt;W611,AK612,AL611+AK612)</f>
      </c>
      <c r="AM612" s="217">
        <f>IF(W612&gt;W611,IF(AL612&gt;=$AZ$8,$AZ$8,AL612),IF(OR(AM611=$AZ$8,AM611=0),0,IF(AL612&gt;=$AZ$8,$AZ$8,AL612)))</f>
      </c>
      <c r="AN612" s="748">
        <f>+IF(OR(AM612&gt;AZ611,AM612=0),0,IF(AM612=AL612,AK612,$AZ$7-AL611))</f>
      </c>
      <c r="AO612" s="748">
        <f>+AK612-AN612</f>
      </c>
      <c r="AP612" s="217">
        <f>+_xlfn.IFNA(VLOOKUP(AJ612,$AF$7:$AI$1066,3,0),0)</f>
      </c>
      <c r="AQ612" s="217">
        <f>+IF(W612&gt;W611,AP612,AQ611+AP612)</f>
      </c>
      <c r="AR612" s="217">
        <f>+MAX($AM$2-SUMIF($W$7:$W$1066,W612,$AN$7:$AN$1066),0)</f>
      </c>
      <c r="AS612" s="748">
        <f>+MAX(IF(AQ612&gt;AR612,AR612-AQ611,AP612),0)</f>
      </c>
      <c r="AT612" s="748">
        <f>+AP612-AS612</f>
      </c>
      <c r="AU612" s="217">
        <f>+_xlfn.IFNA(VLOOKUP(AJ612,$AF$7:$AI$1066,4,0),0)</f>
      </c>
      <c r="AV612" s="217">
        <f>+IF(W612&gt;W611,AU612,AV611+AU612)</f>
      </c>
      <c r="AW612" s="217">
        <f>+MAX($AM$2-SUMIF($W$7:$W$1066,W612,$AN$7:$AN$1066)-SUMIF($W$7:$W$1066,W612,$AS$7:$AS$1066),0)</f>
      </c>
      <c r="AX612" s="748">
        <f>+MAX(IF(AV612&gt;AW612,AW612-AV611,AU612),0)</f>
      </c>
      <c r="AY612" s="748">
        <f>+AU612-AX612</f>
      </c>
      <c r="AZ612" s="331">
        <f>+$AM$1+IF($AP$1&gt;$AP$2,$AM$3/2)</f>
      </c>
    </row>
    <row x14ac:dyDescent="0.25" r="613" customHeight="1" ht="18.75">
      <c r="A613" s="1"/>
      <c r="B613" s="7"/>
      <c r="C613" s="170"/>
      <c r="D613" s="331">
        <v>606</v>
      </c>
      <c r="E613" s="544">
        <f>+DATE(YEAR(E612),MONTH(E612)-1,DAY(E612))</f>
        <v>25569.041666666668</v>
      </c>
      <c r="F613" s="333">
        <f>IF(DATE(YEAR($B$6),MONTH($B$6)+1,DAY(1))=E613,1,IF(MONTH(E613)=1,F614*(1+$F$5),F614))</f>
      </c>
      <c r="G613" s="333">
        <f>IF('Simulador - 1º Pilar'!$E$99="Sí",IF('Aportaciones PPE'!$B$13&lt;'Aportaciones PPE'!E613,0,F613*$B$8/12),F613*$B$8/12)</f>
      </c>
      <c r="H613" s="333">
        <f>$H$5*G613</f>
      </c>
      <c r="I613" s="333">
        <f>$I$5*G613</f>
      </c>
      <c r="J613" s="333">
        <f>+I613</f>
      </c>
      <c r="K613" s="333">
        <f>(1+$O$5)^(D613/12)*(H613+IF(AND(F613=1,F614=0),$S$4,0))</f>
      </c>
      <c r="L613" s="333">
        <f>(1+$O$5)^(D613/12)*(I613+IF(AND(F613=1,F614=0),0))</f>
      </c>
      <c r="M613" s="333">
        <f>+L613</f>
      </c>
      <c r="N613" s="333">
        <f>L613+K613+M613</f>
      </c>
      <c r="O613" s="170"/>
      <c r="P613" s="7"/>
      <c r="Q613" s="1"/>
      <c r="R613" s="331">
        <f>D613</f>
      </c>
      <c r="S613" s="169"/>
      <c r="T613" s="1"/>
      <c r="U613" s="217"/>
      <c r="V613" s="331">
        <f>+IF(V612=11,12,IF(V612=12,1,V612+1))</f>
      </c>
      <c r="W613" s="331">
        <f>+W612+IF(V612=12,1,0)</f>
      </c>
      <c r="X613" s="555">
        <f>+DATE(W613,V613,1)</f>
        <v>25569.041666666668</v>
      </c>
      <c r="Y613" s="333">
        <f>+_xlfn.IFNA(AN613+AS613+AX613,0)</f>
      </c>
      <c r="Z613" s="333">
        <f>+_xlfn.IFNA(AO613+AT613+AY613,0)</f>
      </c>
      <c r="AA613" s="333">
        <f>Y613*(1+$O$5)^(($B$7-X613)/365.25)</f>
      </c>
      <c r="AB613" s="333">
        <f>Z613*(1+$O$5)^(($B$7-X613)/365.25)</f>
      </c>
      <c r="AC613" s="1"/>
      <c r="AD613" s="1"/>
      <c r="AE613" s="1"/>
      <c r="AF613" s="111">
        <f>+MONTH(E613)&amp;YEAR(E613)</f>
      </c>
      <c r="AG613" s="217">
        <f>+I613</f>
      </c>
      <c r="AH613" s="217">
        <f>+J613</f>
      </c>
      <c r="AI613" s="217">
        <f>+H613</f>
      </c>
      <c r="AJ613" s="111">
        <f>+V613&amp;W613</f>
      </c>
      <c r="AK613" s="217">
        <f>+_xlfn.IFNA(VLOOKUP(AJ613,$AF$7:$AG$1066,2,0),0)</f>
      </c>
      <c r="AL613" s="217">
        <f>+IF(W613&gt;W612,AK613,AL612+AK613)</f>
      </c>
      <c r="AM613" s="217">
        <f>IF(W613&gt;W612,IF(AL613&gt;=$AZ$8,$AZ$8,AL613),IF(OR(AM612=$AZ$8,AM612=0),0,IF(AL613&gt;=$AZ$8,$AZ$8,AL613)))</f>
      </c>
      <c r="AN613" s="748">
        <f>+IF(OR(AM613&gt;AZ612,AM613=0),0,IF(AM613=AL613,AK613,$AZ$7-AL612))</f>
      </c>
      <c r="AO613" s="748">
        <f>+AK613-AN613</f>
      </c>
      <c r="AP613" s="217">
        <f>+_xlfn.IFNA(VLOOKUP(AJ613,$AF$7:$AI$1066,3,0),0)</f>
      </c>
      <c r="AQ613" s="217">
        <f>+IF(W613&gt;W612,AP613,AQ612+AP613)</f>
      </c>
      <c r="AR613" s="217">
        <f>+MAX($AM$2-SUMIF($W$7:$W$1066,W613,$AN$7:$AN$1066),0)</f>
      </c>
      <c r="AS613" s="748">
        <f>+MAX(IF(AQ613&gt;AR613,AR613-AQ612,AP613),0)</f>
      </c>
      <c r="AT613" s="748">
        <f>+AP613-AS613</f>
      </c>
      <c r="AU613" s="217">
        <f>+_xlfn.IFNA(VLOOKUP(AJ613,$AF$7:$AI$1066,4,0),0)</f>
      </c>
      <c r="AV613" s="217">
        <f>+IF(W613&gt;W612,AU613,AV612+AU613)</f>
      </c>
      <c r="AW613" s="217">
        <f>+MAX($AM$2-SUMIF($W$7:$W$1066,W613,$AN$7:$AN$1066)-SUMIF($W$7:$W$1066,W613,$AS$7:$AS$1066),0)</f>
      </c>
      <c r="AX613" s="748">
        <f>+MAX(IF(AV613&gt;AW613,AW613-AV612,AU613),0)</f>
      </c>
      <c r="AY613" s="748">
        <f>+AU613-AX613</f>
      </c>
      <c r="AZ613" s="331">
        <f>+$AM$1+IF($AP$1&gt;$AP$2,$AM$3/2)</f>
      </c>
    </row>
    <row x14ac:dyDescent="0.25" r="614" customHeight="1" ht="18.75">
      <c r="A614" s="1"/>
      <c r="B614" s="7"/>
      <c r="C614" s="170"/>
      <c r="D614" s="331">
        <v>607</v>
      </c>
      <c r="E614" s="544">
        <f>+DATE(YEAR(E613),MONTH(E613)-1,DAY(E613))</f>
        <v>25569.041666666668</v>
      </c>
      <c r="F614" s="333">
        <f>IF(DATE(YEAR($B$6),MONTH($B$6)+1,DAY(1))=E614,1,IF(MONTH(E614)=1,F615*(1+$F$5),F615))</f>
      </c>
      <c r="G614" s="333">
        <f>IF('Simulador - 1º Pilar'!$E$99="Sí",IF('Aportaciones PPE'!$B$13&lt;'Aportaciones PPE'!E614,0,F614*$B$8/12),F614*$B$8/12)</f>
      </c>
      <c r="H614" s="333">
        <f>$H$5*G614</f>
      </c>
      <c r="I614" s="333">
        <f>$I$5*G614</f>
      </c>
      <c r="J614" s="333">
        <f>+I614</f>
      </c>
      <c r="K614" s="333">
        <f>(1+$O$5)^(D614/12)*(H614+IF(AND(F614=1,F615=0),$S$4,0))</f>
      </c>
      <c r="L614" s="333">
        <f>(1+$O$5)^(D614/12)*(I614+IF(AND(F614=1,F615=0),0))</f>
      </c>
      <c r="M614" s="333">
        <f>+L614</f>
      </c>
      <c r="N614" s="333">
        <f>L614+K614+M614</f>
      </c>
      <c r="O614" s="170"/>
      <c r="P614" s="7"/>
      <c r="Q614" s="1"/>
      <c r="R614" s="331">
        <f>D614</f>
      </c>
      <c r="S614" s="169"/>
      <c r="T614" s="1"/>
      <c r="U614" s="217"/>
      <c r="V614" s="331">
        <f>+IF(V613=11,12,IF(V613=12,1,V613+1))</f>
      </c>
      <c r="W614" s="331">
        <f>+W613+IF(V613=12,1,0)</f>
      </c>
      <c r="X614" s="555">
        <f>+DATE(W614,V614,1)</f>
        <v>25569.041666666668</v>
      </c>
      <c r="Y614" s="333">
        <f>+_xlfn.IFNA(AN614+AS614+AX614,0)</f>
      </c>
      <c r="Z614" s="333">
        <f>+_xlfn.IFNA(AO614+AT614+AY614,0)</f>
      </c>
      <c r="AA614" s="333">
        <f>Y614*(1+$O$5)^(($B$7-X614)/365.25)</f>
      </c>
      <c r="AB614" s="333">
        <f>Z614*(1+$O$5)^(($B$7-X614)/365.25)</f>
      </c>
      <c r="AC614" s="1"/>
      <c r="AD614" s="1"/>
      <c r="AE614" s="1"/>
      <c r="AF614" s="111">
        <f>+MONTH(E614)&amp;YEAR(E614)</f>
      </c>
      <c r="AG614" s="217">
        <f>+I614</f>
      </c>
      <c r="AH614" s="217">
        <f>+J614</f>
      </c>
      <c r="AI614" s="217">
        <f>+H614</f>
      </c>
      <c r="AJ614" s="111">
        <f>+V614&amp;W614</f>
      </c>
      <c r="AK614" s="217">
        <f>+_xlfn.IFNA(VLOOKUP(AJ614,$AF$7:$AG$1066,2,0),0)</f>
      </c>
      <c r="AL614" s="217">
        <f>+IF(W614&gt;W613,AK614,AL613+AK614)</f>
      </c>
      <c r="AM614" s="217">
        <f>IF(W614&gt;W613,IF(AL614&gt;=$AZ$8,$AZ$8,AL614),IF(OR(AM613=$AZ$8,AM613=0),0,IF(AL614&gt;=$AZ$8,$AZ$8,AL614)))</f>
      </c>
      <c r="AN614" s="748">
        <f>+IF(OR(AM614&gt;AZ613,AM614=0),0,IF(AM614=AL614,AK614,$AZ$7-AL613))</f>
      </c>
      <c r="AO614" s="748">
        <f>+AK614-AN614</f>
      </c>
      <c r="AP614" s="217">
        <f>+_xlfn.IFNA(VLOOKUP(AJ614,$AF$7:$AI$1066,3,0),0)</f>
      </c>
      <c r="AQ614" s="217">
        <f>+IF(W614&gt;W613,AP614,AQ613+AP614)</f>
      </c>
      <c r="AR614" s="217">
        <f>+MAX($AM$2-SUMIF($W$7:$W$1066,W614,$AN$7:$AN$1066),0)</f>
      </c>
      <c r="AS614" s="748">
        <f>+MAX(IF(AQ614&gt;AR614,AR614-AQ613,AP614),0)</f>
      </c>
      <c r="AT614" s="748">
        <f>+AP614-AS614</f>
      </c>
      <c r="AU614" s="217">
        <f>+_xlfn.IFNA(VLOOKUP(AJ614,$AF$7:$AI$1066,4,0),0)</f>
      </c>
      <c r="AV614" s="217">
        <f>+IF(W614&gt;W613,AU614,AV613+AU614)</f>
      </c>
      <c r="AW614" s="217">
        <f>+MAX($AM$2-SUMIF($W$7:$W$1066,W614,$AN$7:$AN$1066)-SUMIF($W$7:$W$1066,W614,$AS$7:$AS$1066),0)</f>
      </c>
      <c r="AX614" s="748">
        <f>+MAX(IF(AV614&gt;AW614,AW614-AV613,AU614),0)</f>
      </c>
      <c r="AY614" s="748">
        <f>+AU614-AX614</f>
      </c>
      <c r="AZ614" s="331">
        <f>+$AM$1+IF($AP$1&gt;$AP$2,$AM$3/2)</f>
      </c>
    </row>
    <row x14ac:dyDescent="0.25" r="615" customHeight="1" ht="18.75">
      <c r="A615" s="1"/>
      <c r="B615" s="7"/>
      <c r="C615" s="170"/>
      <c r="D615" s="331">
        <v>608</v>
      </c>
      <c r="E615" s="544">
        <f>+DATE(YEAR(E614),MONTH(E614)-1,DAY(E614))</f>
        <v>25569.041666666668</v>
      </c>
      <c r="F615" s="333">
        <f>IF(DATE(YEAR($B$6),MONTH($B$6)+1,DAY(1))=E615,1,IF(MONTH(E615)=1,F616*(1+$F$5),F616))</f>
      </c>
      <c r="G615" s="333">
        <f>IF('Simulador - 1º Pilar'!$E$99="Sí",IF('Aportaciones PPE'!$B$13&lt;'Aportaciones PPE'!E615,0,F615*$B$8/12),F615*$B$8/12)</f>
      </c>
      <c r="H615" s="333">
        <f>$H$5*G615</f>
      </c>
      <c r="I615" s="333">
        <f>$I$5*G615</f>
      </c>
      <c r="J615" s="333">
        <f>+I615</f>
      </c>
      <c r="K615" s="333">
        <f>(1+$O$5)^(D615/12)*(H615+IF(AND(F615=1,F616=0),$S$4,0))</f>
      </c>
      <c r="L615" s="333">
        <f>(1+$O$5)^(D615/12)*(I615+IF(AND(F615=1,F616=0),0))</f>
      </c>
      <c r="M615" s="333">
        <f>+L615</f>
      </c>
      <c r="N615" s="333">
        <f>L615+K615+M615</f>
      </c>
      <c r="O615" s="170"/>
      <c r="P615" s="7"/>
      <c r="Q615" s="1"/>
      <c r="R615" s="331">
        <f>D615</f>
      </c>
      <c r="S615" s="169"/>
      <c r="T615" s="1"/>
      <c r="U615" s="217"/>
      <c r="V615" s="331">
        <f>+IF(V614=11,12,IF(V614=12,1,V614+1))</f>
      </c>
      <c r="W615" s="331">
        <f>+W614+IF(V614=12,1,0)</f>
      </c>
      <c r="X615" s="555">
        <f>+DATE(W615,V615,1)</f>
        <v>25569.041666666668</v>
      </c>
      <c r="Y615" s="333">
        <f>+_xlfn.IFNA(AN615+AS615+AX615,0)</f>
      </c>
      <c r="Z615" s="333">
        <f>+_xlfn.IFNA(AO615+AT615+AY615,0)</f>
      </c>
      <c r="AA615" s="333">
        <f>Y615*(1+$O$5)^(($B$7-X615)/365.25)</f>
      </c>
      <c r="AB615" s="333">
        <f>Z615*(1+$O$5)^(($B$7-X615)/365.25)</f>
      </c>
      <c r="AC615" s="1"/>
      <c r="AD615" s="1"/>
      <c r="AE615" s="1"/>
      <c r="AF615" s="111">
        <f>+MONTH(E615)&amp;YEAR(E615)</f>
      </c>
      <c r="AG615" s="217">
        <f>+I615</f>
      </c>
      <c r="AH615" s="217">
        <f>+J615</f>
      </c>
      <c r="AI615" s="217">
        <f>+H615</f>
      </c>
      <c r="AJ615" s="111">
        <f>+V615&amp;W615</f>
      </c>
      <c r="AK615" s="217">
        <f>+_xlfn.IFNA(VLOOKUP(AJ615,$AF$7:$AG$1066,2,0),0)</f>
      </c>
      <c r="AL615" s="217">
        <f>+IF(W615&gt;W614,AK615,AL614+AK615)</f>
      </c>
      <c r="AM615" s="217">
        <f>IF(W615&gt;W614,IF(AL615&gt;=$AZ$8,$AZ$8,AL615),IF(OR(AM614=$AZ$8,AM614=0),0,IF(AL615&gt;=$AZ$8,$AZ$8,AL615)))</f>
      </c>
      <c r="AN615" s="748">
        <f>+IF(OR(AM615&gt;AZ614,AM615=0),0,IF(AM615=AL615,AK615,$AZ$7-AL614))</f>
      </c>
      <c r="AO615" s="748">
        <f>+AK615-AN615</f>
      </c>
      <c r="AP615" s="217">
        <f>+_xlfn.IFNA(VLOOKUP(AJ615,$AF$7:$AI$1066,3,0),0)</f>
      </c>
      <c r="AQ615" s="217">
        <f>+IF(W615&gt;W614,AP615,AQ614+AP615)</f>
      </c>
      <c r="AR615" s="217">
        <f>+MAX($AM$2-SUMIF($W$7:$W$1066,W615,$AN$7:$AN$1066),0)</f>
      </c>
      <c r="AS615" s="748">
        <f>+MAX(IF(AQ615&gt;AR615,AR615-AQ614,AP615),0)</f>
      </c>
      <c r="AT615" s="748">
        <f>+AP615-AS615</f>
      </c>
      <c r="AU615" s="217">
        <f>+_xlfn.IFNA(VLOOKUP(AJ615,$AF$7:$AI$1066,4,0),0)</f>
      </c>
      <c r="AV615" s="217">
        <f>+IF(W615&gt;W614,AU615,AV614+AU615)</f>
      </c>
      <c r="AW615" s="217">
        <f>+MAX($AM$2-SUMIF($W$7:$W$1066,W615,$AN$7:$AN$1066)-SUMIF($W$7:$W$1066,W615,$AS$7:$AS$1066),0)</f>
      </c>
      <c r="AX615" s="748">
        <f>+MAX(IF(AV615&gt;AW615,AW615-AV614,AU615),0)</f>
      </c>
      <c r="AY615" s="748">
        <f>+AU615-AX615</f>
      </c>
      <c r="AZ615" s="331">
        <f>+$AM$1+IF($AP$1&gt;$AP$2,$AM$3/2)</f>
      </c>
    </row>
    <row x14ac:dyDescent="0.25" r="616" customHeight="1" ht="18.75">
      <c r="A616" s="1"/>
      <c r="B616" s="7"/>
      <c r="C616" s="170"/>
      <c r="D616" s="331">
        <v>609</v>
      </c>
      <c r="E616" s="544">
        <f>+DATE(YEAR(E615),MONTH(E615)-1,DAY(E615))</f>
        <v>25569.041666666668</v>
      </c>
      <c r="F616" s="333">
        <f>IF(DATE(YEAR($B$6),MONTH($B$6)+1,DAY(1))=E616,1,IF(MONTH(E616)=1,F617*(1+$F$5),F617))</f>
      </c>
      <c r="G616" s="333">
        <f>IF('Simulador - 1º Pilar'!$E$99="Sí",IF('Aportaciones PPE'!$B$13&lt;'Aportaciones PPE'!E616,0,F616*$B$8/12),F616*$B$8/12)</f>
      </c>
      <c r="H616" s="333">
        <f>$H$5*G616</f>
      </c>
      <c r="I616" s="333">
        <f>$I$5*G616</f>
      </c>
      <c r="J616" s="333">
        <f>+I616</f>
      </c>
      <c r="K616" s="333">
        <f>(1+$O$5)^(D616/12)*(H616+IF(AND(F616=1,F617=0),$S$4,0))</f>
      </c>
      <c r="L616" s="333">
        <f>(1+$O$5)^(D616/12)*(I616+IF(AND(F616=1,F617=0),0))</f>
      </c>
      <c r="M616" s="333">
        <f>+L616</f>
      </c>
      <c r="N616" s="333">
        <f>L616+K616+M616</f>
      </c>
      <c r="O616" s="170"/>
      <c r="P616" s="7"/>
      <c r="Q616" s="1"/>
      <c r="R616" s="331">
        <f>D616</f>
      </c>
      <c r="S616" s="169"/>
      <c r="T616" s="1"/>
      <c r="U616" s="217"/>
      <c r="V616" s="331">
        <f>+IF(V615=11,12,IF(V615=12,1,V615+1))</f>
      </c>
      <c r="W616" s="331">
        <f>+W615+IF(V615=12,1,0)</f>
      </c>
      <c r="X616" s="555">
        <f>+DATE(W616,V616,1)</f>
        <v>25569.041666666668</v>
      </c>
      <c r="Y616" s="333">
        <f>+_xlfn.IFNA(AN616+AS616+AX616,0)</f>
      </c>
      <c r="Z616" s="333">
        <f>+_xlfn.IFNA(AO616+AT616+AY616,0)</f>
      </c>
      <c r="AA616" s="333">
        <f>Y616*(1+$O$5)^(($B$7-X616)/365.25)</f>
      </c>
      <c r="AB616" s="333">
        <f>Z616*(1+$O$5)^(($B$7-X616)/365.25)</f>
      </c>
      <c r="AC616" s="1"/>
      <c r="AD616" s="1"/>
      <c r="AE616" s="1"/>
      <c r="AF616" s="111">
        <f>+MONTH(E616)&amp;YEAR(E616)</f>
      </c>
      <c r="AG616" s="217">
        <f>+I616</f>
      </c>
      <c r="AH616" s="217">
        <f>+J616</f>
      </c>
      <c r="AI616" s="217">
        <f>+H616</f>
      </c>
      <c r="AJ616" s="111">
        <f>+V616&amp;W616</f>
      </c>
      <c r="AK616" s="217">
        <f>+_xlfn.IFNA(VLOOKUP(AJ616,$AF$7:$AG$1066,2,0),0)</f>
      </c>
      <c r="AL616" s="217">
        <f>+IF(W616&gt;W615,AK616,AL615+AK616)</f>
      </c>
      <c r="AM616" s="217">
        <f>IF(W616&gt;W615,IF(AL616&gt;=$AZ$8,$AZ$8,AL616),IF(OR(AM615=$AZ$8,AM615=0),0,IF(AL616&gt;=$AZ$8,$AZ$8,AL616)))</f>
      </c>
      <c r="AN616" s="748">
        <f>+IF(OR(AM616&gt;AZ615,AM616=0),0,IF(AM616=AL616,AK616,$AZ$7-AL615))</f>
      </c>
      <c r="AO616" s="748">
        <f>+AK616-AN616</f>
      </c>
      <c r="AP616" s="217">
        <f>+_xlfn.IFNA(VLOOKUP(AJ616,$AF$7:$AI$1066,3,0),0)</f>
      </c>
      <c r="AQ616" s="217">
        <f>+IF(W616&gt;W615,AP616,AQ615+AP616)</f>
      </c>
      <c r="AR616" s="217">
        <f>+MAX($AM$2-SUMIF($W$7:$W$1066,W616,$AN$7:$AN$1066),0)</f>
      </c>
      <c r="AS616" s="748">
        <f>+MAX(IF(AQ616&gt;AR616,AR616-AQ615,AP616),0)</f>
      </c>
      <c r="AT616" s="748">
        <f>+AP616-AS616</f>
      </c>
      <c r="AU616" s="217">
        <f>+_xlfn.IFNA(VLOOKUP(AJ616,$AF$7:$AI$1066,4,0),0)</f>
      </c>
      <c r="AV616" s="217">
        <f>+IF(W616&gt;W615,AU616,AV615+AU616)</f>
      </c>
      <c r="AW616" s="217">
        <f>+MAX($AM$2-SUMIF($W$7:$W$1066,W616,$AN$7:$AN$1066)-SUMIF($W$7:$W$1066,W616,$AS$7:$AS$1066),0)</f>
      </c>
      <c r="AX616" s="748">
        <f>+MAX(IF(AV616&gt;AW616,AW616-AV615,AU616),0)</f>
      </c>
      <c r="AY616" s="748">
        <f>+AU616-AX616</f>
      </c>
      <c r="AZ616" s="331">
        <f>+$AM$1+IF($AP$1&gt;$AP$2,$AM$3/2)</f>
      </c>
    </row>
    <row x14ac:dyDescent="0.25" r="617" customHeight="1" ht="18.75">
      <c r="A617" s="1"/>
      <c r="B617" s="7"/>
      <c r="C617" s="170"/>
      <c r="D617" s="331">
        <v>610</v>
      </c>
      <c r="E617" s="544">
        <f>+DATE(YEAR(E616),MONTH(E616)-1,DAY(E616))</f>
        <v>25569.041666666668</v>
      </c>
      <c r="F617" s="333">
        <f>IF(DATE(YEAR($B$6),MONTH($B$6)+1,DAY(1))=E617,1,IF(MONTH(E617)=1,F618*(1+$F$5),F618))</f>
      </c>
      <c r="G617" s="333">
        <f>IF('Simulador - 1º Pilar'!$E$99="Sí",IF('Aportaciones PPE'!$B$13&lt;'Aportaciones PPE'!E617,0,F617*$B$8/12),F617*$B$8/12)</f>
      </c>
      <c r="H617" s="333">
        <f>$H$5*G617</f>
      </c>
      <c r="I617" s="333">
        <f>$I$5*G617</f>
      </c>
      <c r="J617" s="333">
        <f>+I617</f>
      </c>
      <c r="K617" s="333">
        <f>(1+$O$5)^(D617/12)*(H617+IF(AND(F617=1,F618=0),$S$4,0))</f>
      </c>
      <c r="L617" s="333">
        <f>(1+$O$5)^(D617/12)*(I617+IF(AND(F617=1,F618=0),0))</f>
      </c>
      <c r="M617" s="333">
        <f>+L617</f>
      </c>
      <c r="N617" s="333">
        <f>L617+K617+M617</f>
      </c>
      <c r="O617" s="170"/>
      <c r="P617" s="7"/>
      <c r="Q617" s="1"/>
      <c r="R617" s="331">
        <f>D617</f>
      </c>
      <c r="S617" s="169"/>
      <c r="T617" s="1"/>
      <c r="U617" s="217"/>
      <c r="V617" s="331">
        <f>+IF(V616=11,12,IF(V616=12,1,V616+1))</f>
      </c>
      <c r="W617" s="331">
        <f>+W616+IF(V616=12,1,0)</f>
      </c>
      <c r="X617" s="555">
        <f>+DATE(W617,V617,1)</f>
        <v>25569.041666666668</v>
      </c>
      <c r="Y617" s="333">
        <f>+_xlfn.IFNA(AN617+AS617+AX617,0)</f>
      </c>
      <c r="Z617" s="333">
        <f>+_xlfn.IFNA(AO617+AT617+AY617,0)</f>
      </c>
      <c r="AA617" s="333">
        <f>Y617*(1+$O$5)^(($B$7-X617)/365.25)</f>
      </c>
      <c r="AB617" s="333">
        <f>Z617*(1+$O$5)^(($B$7-X617)/365.25)</f>
      </c>
      <c r="AC617" s="1"/>
      <c r="AD617" s="1"/>
      <c r="AE617" s="1"/>
      <c r="AF617" s="111">
        <f>+MONTH(E617)&amp;YEAR(E617)</f>
      </c>
      <c r="AG617" s="217">
        <f>+I617</f>
      </c>
      <c r="AH617" s="217">
        <f>+J617</f>
      </c>
      <c r="AI617" s="217">
        <f>+H617</f>
      </c>
      <c r="AJ617" s="111">
        <f>+V617&amp;W617</f>
      </c>
      <c r="AK617" s="217">
        <f>+_xlfn.IFNA(VLOOKUP(AJ617,$AF$7:$AG$1066,2,0),0)</f>
      </c>
      <c r="AL617" s="217">
        <f>+IF(W617&gt;W616,AK617,AL616+AK617)</f>
      </c>
      <c r="AM617" s="217">
        <f>IF(W617&gt;W616,IF(AL617&gt;=$AZ$8,$AZ$8,AL617),IF(OR(AM616=$AZ$8,AM616=0),0,IF(AL617&gt;=$AZ$8,$AZ$8,AL617)))</f>
      </c>
      <c r="AN617" s="748">
        <f>+IF(OR(AM617&gt;AZ616,AM617=0),0,IF(AM617=AL617,AK617,$AZ$7-AL616))</f>
      </c>
      <c r="AO617" s="748">
        <f>+AK617-AN617</f>
      </c>
      <c r="AP617" s="217">
        <f>+_xlfn.IFNA(VLOOKUP(AJ617,$AF$7:$AI$1066,3,0),0)</f>
      </c>
      <c r="AQ617" s="217">
        <f>+IF(W617&gt;W616,AP617,AQ616+AP617)</f>
      </c>
      <c r="AR617" s="217">
        <f>+MAX($AM$2-SUMIF($W$7:$W$1066,W617,$AN$7:$AN$1066),0)</f>
      </c>
      <c r="AS617" s="748">
        <f>+MAX(IF(AQ617&gt;AR617,AR617-AQ616,AP617),0)</f>
      </c>
      <c r="AT617" s="748">
        <f>+AP617-AS617</f>
      </c>
      <c r="AU617" s="217">
        <f>+_xlfn.IFNA(VLOOKUP(AJ617,$AF$7:$AI$1066,4,0),0)</f>
      </c>
      <c r="AV617" s="217">
        <f>+IF(W617&gt;W616,AU617,AV616+AU617)</f>
      </c>
      <c r="AW617" s="217">
        <f>+MAX($AM$2-SUMIF($W$7:$W$1066,W617,$AN$7:$AN$1066)-SUMIF($W$7:$W$1066,W617,$AS$7:$AS$1066),0)</f>
      </c>
      <c r="AX617" s="748">
        <f>+MAX(IF(AV617&gt;AW617,AW617-AV616,AU617),0)</f>
      </c>
      <c r="AY617" s="748">
        <f>+AU617-AX617</f>
      </c>
      <c r="AZ617" s="331">
        <f>+$AM$1+IF($AP$1&gt;$AP$2,$AM$3/2)</f>
      </c>
    </row>
    <row x14ac:dyDescent="0.25" r="618" customHeight="1" ht="18.75">
      <c r="A618" s="1"/>
      <c r="B618" s="7"/>
      <c r="C618" s="170"/>
      <c r="D618" s="331">
        <v>611</v>
      </c>
      <c r="E618" s="544">
        <f>+DATE(YEAR(E617),MONTH(E617)-1,DAY(E617))</f>
        <v>25569.041666666668</v>
      </c>
      <c r="F618" s="333">
        <f>IF(DATE(YEAR($B$6),MONTH($B$6)+1,DAY(1))=E618,1,IF(MONTH(E618)=1,F619*(1+$F$5),F619))</f>
      </c>
      <c r="G618" s="333">
        <f>IF('Simulador - 1º Pilar'!$E$99="Sí",IF('Aportaciones PPE'!$B$13&lt;'Aportaciones PPE'!E618,0,F618*$B$8/12),F618*$B$8/12)</f>
      </c>
      <c r="H618" s="333">
        <f>$H$5*G618</f>
      </c>
      <c r="I618" s="333">
        <f>$I$5*G618</f>
      </c>
      <c r="J618" s="333">
        <f>+I618</f>
      </c>
      <c r="K618" s="333">
        <f>(1+$O$5)^(D618/12)*(H618+IF(AND(F618=1,F619=0),$S$4,0))</f>
      </c>
      <c r="L618" s="333">
        <f>(1+$O$5)^(D618/12)*(I618+IF(AND(F618=1,F619=0),0))</f>
      </c>
      <c r="M618" s="333">
        <f>+L618</f>
      </c>
      <c r="N618" s="333">
        <f>L618+K618+M618</f>
      </c>
      <c r="O618" s="170"/>
      <c r="P618" s="7"/>
      <c r="Q618" s="1"/>
      <c r="R618" s="331">
        <f>D618</f>
      </c>
      <c r="S618" s="169"/>
      <c r="T618" s="1"/>
      <c r="U618" s="217"/>
      <c r="V618" s="331">
        <f>+IF(V617=11,12,IF(V617=12,1,V617+1))</f>
      </c>
      <c r="W618" s="331">
        <f>+W617+IF(V617=12,1,0)</f>
      </c>
      <c r="X618" s="555">
        <f>+DATE(W618,V618,1)</f>
        <v>25569.041666666668</v>
      </c>
      <c r="Y618" s="333">
        <f>+_xlfn.IFNA(AN618+AS618+AX618,0)</f>
      </c>
      <c r="Z618" s="333">
        <f>+_xlfn.IFNA(AO618+AT618+AY618,0)</f>
      </c>
      <c r="AA618" s="333">
        <f>Y618*(1+$O$5)^(($B$7-X618)/365.25)</f>
      </c>
      <c r="AB618" s="333">
        <f>Z618*(1+$O$5)^(($B$7-X618)/365.25)</f>
      </c>
      <c r="AC618" s="1"/>
      <c r="AD618" s="1"/>
      <c r="AE618" s="1"/>
      <c r="AF618" s="111">
        <f>+MONTH(E618)&amp;YEAR(E618)</f>
      </c>
      <c r="AG618" s="217">
        <f>+I618</f>
      </c>
      <c r="AH618" s="217">
        <f>+J618</f>
      </c>
      <c r="AI618" s="217">
        <f>+H618</f>
      </c>
      <c r="AJ618" s="111">
        <f>+V618&amp;W618</f>
      </c>
      <c r="AK618" s="217">
        <f>+_xlfn.IFNA(VLOOKUP(AJ618,$AF$7:$AG$1066,2,0),0)</f>
      </c>
      <c r="AL618" s="217">
        <f>+IF(W618&gt;W617,AK618,AL617+AK618)</f>
      </c>
      <c r="AM618" s="217">
        <f>IF(W618&gt;W617,IF(AL618&gt;=$AZ$8,$AZ$8,AL618),IF(OR(AM617=$AZ$8,AM617=0),0,IF(AL618&gt;=$AZ$8,$AZ$8,AL618)))</f>
      </c>
      <c r="AN618" s="748">
        <f>+IF(OR(AM618&gt;AZ617,AM618=0),0,IF(AM618=AL618,AK618,$AZ$7-AL617))</f>
      </c>
      <c r="AO618" s="748">
        <f>+AK618-AN618</f>
      </c>
      <c r="AP618" s="217">
        <f>+_xlfn.IFNA(VLOOKUP(AJ618,$AF$7:$AI$1066,3,0),0)</f>
      </c>
      <c r="AQ618" s="217">
        <f>+IF(W618&gt;W617,AP618,AQ617+AP618)</f>
      </c>
      <c r="AR618" s="217">
        <f>+MAX($AM$2-SUMIF($W$7:$W$1066,W618,$AN$7:$AN$1066),0)</f>
      </c>
      <c r="AS618" s="748">
        <f>+MAX(IF(AQ618&gt;AR618,AR618-AQ617,AP618),0)</f>
      </c>
      <c r="AT618" s="748">
        <f>+AP618-AS618</f>
      </c>
      <c r="AU618" s="217">
        <f>+_xlfn.IFNA(VLOOKUP(AJ618,$AF$7:$AI$1066,4,0),0)</f>
      </c>
      <c r="AV618" s="217">
        <f>+IF(W618&gt;W617,AU618,AV617+AU618)</f>
      </c>
      <c r="AW618" s="217">
        <f>+MAX($AM$2-SUMIF($W$7:$W$1066,W618,$AN$7:$AN$1066)-SUMIF($W$7:$W$1066,W618,$AS$7:$AS$1066),0)</f>
      </c>
      <c r="AX618" s="748">
        <f>+MAX(IF(AV618&gt;AW618,AW618-AV617,AU618),0)</f>
      </c>
      <c r="AY618" s="748">
        <f>+AU618-AX618</f>
      </c>
      <c r="AZ618" s="331">
        <f>+$AM$1+IF($AP$1&gt;$AP$2,$AM$3/2)</f>
      </c>
    </row>
    <row x14ac:dyDescent="0.25" r="619" customHeight="1" ht="18.75">
      <c r="A619" s="1"/>
      <c r="B619" s="7"/>
      <c r="C619" s="170"/>
      <c r="D619" s="331">
        <v>612</v>
      </c>
      <c r="E619" s="544">
        <f>+DATE(YEAR(E618),MONTH(E618)-1,DAY(E618))</f>
        <v>25569.041666666668</v>
      </c>
      <c r="F619" s="333">
        <f>IF(DATE(YEAR($B$6),MONTH($B$6)+1,DAY(1))=E619,1,IF(MONTH(E619)=1,F620*(1+$F$5),F620))</f>
      </c>
      <c r="G619" s="333">
        <f>IF('Simulador - 1º Pilar'!$E$99="Sí",IF('Aportaciones PPE'!$B$13&lt;'Aportaciones PPE'!E619,0,F619*$B$8/12),F619*$B$8/12)</f>
      </c>
      <c r="H619" s="333">
        <f>$H$5*G619</f>
      </c>
      <c r="I619" s="333">
        <f>$I$5*G619</f>
      </c>
      <c r="J619" s="333">
        <f>+I619</f>
      </c>
      <c r="K619" s="333">
        <f>(1+$O$5)^(D619/12)*(H619+IF(AND(F619=1,F620=0),$S$4,0))</f>
      </c>
      <c r="L619" s="333">
        <f>(1+$O$5)^(D619/12)*(I619+IF(AND(F619=1,F620=0),0))</f>
      </c>
      <c r="M619" s="333">
        <f>+L619</f>
      </c>
      <c r="N619" s="333">
        <f>L619+K619+M619</f>
      </c>
      <c r="O619" s="170"/>
      <c r="P619" s="7"/>
      <c r="Q619" s="1"/>
      <c r="R619" s="331">
        <f>D619</f>
      </c>
      <c r="S619" s="169"/>
      <c r="T619" s="1"/>
      <c r="U619" s="217"/>
      <c r="V619" s="331">
        <f>+IF(V618=11,12,IF(V618=12,1,V618+1))</f>
      </c>
      <c r="W619" s="331">
        <f>+W618+IF(V618=12,1,0)</f>
      </c>
      <c r="X619" s="555">
        <f>+DATE(W619,V619,1)</f>
        <v>25569.041666666668</v>
      </c>
      <c r="Y619" s="333">
        <f>+_xlfn.IFNA(AN619+AS619+AX619,0)</f>
      </c>
      <c r="Z619" s="333">
        <f>+_xlfn.IFNA(AO619+AT619+AY619,0)</f>
      </c>
      <c r="AA619" s="333">
        <f>Y619*(1+$O$5)^(($B$7-X619)/365.25)</f>
      </c>
      <c r="AB619" s="333">
        <f>Z619*(1+$O$5)^(($B$7-X619)/365.25)</f>
      </c>
      <c r="AC619" s="1"/>
      <c r="AD619" s="1"/>
      <c r="AE619" s="1"/>
      <c r="AF619" s="111">
        <f>+MONTH(E619)&amp;YEAR(E619)</f>
      </c>
      <c r="AG619" s="217">
        <f>+I619</f>
      </c>
      <c r="AH619" s="217">
        <f>+J619</f>
      </c>
      <c r="AI619" s="217">
        <f>+H619</f>
      </c>
      <c r="AJ619" s="111">
        <f>+V619&amp;W619</f>
      </c>
      <c r="AK619" s="217">
        <f>+_xlfn.IFNA(VLOOKUP(AJ619,$AF$7:$AG$1066,2,0),0)</f>
      </c>
      <c r="AL619" s="217">
        <f>+IF(W619&gt;W618,AK619,AL618+AK619)</f>
      </c>
      <c r="AM619" s="217">
        <f>IF(W619&gt;W618,IF(AL619&gt;=$AZ$8,$AZ$8,AL619),IF(OR(AM618=$AZ$8,AM618=0),0,IF(AL619&gt;=$AZ$8,$AZ$8,AL619)))</f>
      </c>
      <c r="AN619" s="748">
        <f>+IF(OR(AM619&gt;AZ618,AM619=0),0,IF(AM619=AL619,AK619,$AZ$7-AL618))</f>
      </c>
      <c r="AO619" s="748">
        <f>+AK619-AN619</f>
      </c>
      <c r="AP619" s="217">
        <f>+_xlfn.IFNA(VLOOKUP(AJ619,$AF$7:$AI$1066,3,0),0)</f>
      </c>
      <c r="AQ619" s="217">
        <f>+IF(W619&gt;W618,AP619,AQ618+AP619)</f>
      </c>
      <c r="AR619" s="217">
        <f>+MAX($AM$2-SUMIF($W$7:$W$1066,W619,$AN$7:$AN$1066),0)</f>
      </c>
      <c r="AS619" s="748">
        <f>+MAX(IF(AQ619&gt;AR619,AR619-AQ618,AP619),0)</f>
      </c>
      <c r="AT619" s="748">
        <f>+AP619-AS619</f>
      </c>
      <c r="AU619" s="217">
        <f>+_xlfn.IFNA(VLOOKUP(AJ619,$AF$7:$AI$1066,4,0),0)</f>
      </c>
      <c r="AV619" s="217">
        <f>+IF(W619&gt;W618,AU619,AV618+AU619)</f>
      </c>
      <c r="AW619" s="217">
        <f>+MAX($AM$2-SUMIF($W$7:$W$1066,W619,$AN$7:$AN$1066)-SUMIF($W$7:$W$1066,W619,$AS$7:$AS$1066),0)</f>
      </c>
      <c r="AX619" s="748">
        <f>+MAX(IF(AV619&gt;AW619,AW619-AV618,AU619),0)</f>
      </c>
      <c r="AY619" s="748">
        <f>+AU619-AX619</f>
      </c>
      <c r="AZ619" s="331">
        <f>+$AM$1+IF($AP$1&gt;$AP$2,$AM$3/2)</f>
      </c>
    </row>
    <row x14ac:dyDescent="0.25" r="620" customHeight="1" ht="18.75">
      <c r="A620" s="1"/>
      <c r="B620" s="7"/>
      <c r="C620" s="170"/>
      <c r="D620" s="331">
        <v>613</v>
      </c>
      <c r="E620" s="544">
        <f>+DATE(YEAR(E619),MONTH(E619)-1,DAY(E619))</f>
        <v>25569.041666666668</v>
      </c>
      <c r="F620" s="333">
        <f>IF(DATE(YEAR($B$6),MONTH($B$6)+1,DAY(1))=E620,1,IF(MONTH(E620)=1,F621*(1+$F$5),F621))</f>
      </c>
      <c r="G620" s="333">
        <f>IF('Simulador - 1º Pilar'!$E$99="Sí",IF('Aportaciones PPE'!$B$13&lt;'Aportaciones PPE'!E620,0,F620*$B$8/12),F620*$B$8/12)</f>
      </c>
      <c r="H620" s="333">
        <f>$H$5*G620</f>
      </c>
      <c r="I620" s="333">
        <f>$I$5*G620</f>
      </c>
      <c r="J620" s="333">
        <f>+I620</f>
      </c>
      <c r="K620" s="333">
        <f>(1+$O$5)^(D620/12)*(H620+IF(AND(F620=1,F621=0),$S$4,0))</f>
      </c>
      <c r="L620" s="333">
        <f>(1+$O$5)^(D620/12)*(I620+IF(AND(F620=1,F621=0),0))</f>
      </c>
      <c r="M620" s="333">
        <f>+L620</f>
      </c>
      <c r="N620" s="333">
        <f>L620+K620+M620</f>
      </c>
      <c r="O620" s="170"/>
      <c r="P620" s="7"/>
      <c r="Q620" s="1"/>
      <c r="R620" s="331">
        <f>D620</f>
      </c>
      <c r="S620" s="169"/>
      <c r="T620" s="1"/>
      <c r="U620" s="217"/>
      <c r="V620" s="331">
        <f>+IF(V619=11,12,IF(V619=12,1,V619+1))</f>
      </c>
      <c r="W620" s="331">
        <f>+W619+IF(V619=12,1,0)</f>
      </c>
      <c r="X620" s="555">
        <f>+DATE(W620,V620,1)</f>
        <v>25569.041666666668</v>
      </c>
      <c r="Y620" s="333">
        <f>+_xlfn.IFNA(AN620+AS620+AX620,0)</f>
      </c>
      <c r="Z620" s="333">
        <f>+_xlfn.IFNA(AO620+AT620+AY620,0)</f>
      </c>
      <c r="AA620" s="333">
        <f>Y620*(1+$O$5)^(($B$7-X620)/365.25)</f>
      </c>
      <c r="AB620" s="333">
        <f>Z620*(1+$O$5)^(($B$7-X620)/365.25)</f>
      </c>
      <c r="AC620" s="1"/>
      <c r="AD620" s="1"/>
      <c r="AE620" s="1"/>
      <c r="AF620" s="111">
        <f>+MONTH(E620)&amp;YEAR(E620)</f>
      </c>
      <c r="AG620" s="217">
        <f>+I620</f>
      </c>
      <c r="AH620" s="217">
        <f>+J620</f>
      </c>
      <c r="AI620" s="217">
        <f>+H620</f>
      </c>
      <c r="AJ620" s="111">
        <f>+V620&amp;W620</f>
      </c>
      <c r="AK620" s="217">
        <f>+_xlfn.IFNA(VLOOKUP(AJ620,$AF$7:$AG$1066,2,0),0)</f>
      </c>
      <c r="AL620" s="217">
        <f>+IF(W620&gt;W619,AK620,AL619+AK620)</f>
      </c>
      <c r="AM620" s="217">
        <f>IF(W620&gt;W619,IF(AL620&gt;=$AZ$8,$AZ$8,AL620),IF(OR(AM619=$AZ$8,AM619=0),0,IF(AL620&gt;=$AZ$8,$AZ$8,AL620)))</f>
      </c>
      <c r="AN620" s="748">
        <f>+IF(OR(AM620&gt;AZ619,AM620=0),0,IF(AM620=AL620,AK620,$AZ$7-AL619))</f>
      </c>
      <c r="AO620" s="748">
        <f>+AK620-AN620</f>
      </c>
      <c r="AP620" s="217">
        <f>+_xlfn.IFNA(VLOOKUP(AJ620,$AF$7:$AI$1066,3,0),0)</f>
      </c>
      <c r="AQ620" s="217">
        <f>+IF(W620&gt;W619,AP620,AQ619+AP620)</f>
      </c>
      <c r="AR620" s="217">
        <f>+MAX($AM$2-SUMIF($W$7:$W$1066,W620,$AN$7:$AN$1066),0)</f>
      </c>
      <c r="AS620" s="748">
        <f>+MAX(IF(AQ620&gt;AR620,AR620-AQ619,AP620),0)</f>
      </c>
      <c r="AT620" s="748">
        <f>+AP620-AS620</f>
      </c>
      <c r="AU620" s="217">
        <f>+_xlfn.IFNA(VLOOKUP(AJ620,$AF$7:$AI$1066,4,0),0)</f>
      </c>
      <c r="AV620" s="217">
        <f>+IF(W620&gt;W619,AU620,AV619+AU620)</f>
      </c>
      <c r="AW620" s="217">
        <f>+MAX($AM$2-SUMIF($W$7:$W$1066,W620,$AN$7:$AN$1066)-SUMIF($W$7:$W$1066,W620,$AS$7:$AS$1066),0)</f>
      </c>
      <c r="AX620" s="748">
        <f>+MAX(IF(AV620&gt;AW620,AW620-AV619,AU620),0)</f>
      </c>
      <c r="AY620" s="748">
        <f>+AU620-AX620</f>
      </c>
      <c r="AZ620" s="331">
        <f>+$AM$1+IF($AP$1&gt;$AP$2,$AM$3/2)</f>
      </c>
    </row>
    <row x14ac:dyDescent="0.25" r="621" customHeight="1" ht="18.75">
      <c r="A621" s="1"/>
      <c r="B621" s="7"/>
      <c r="C621" s="170"/>
      <c r="D621" s="331">
        <v>614</v>
      </c>
      <c r="E621" s="544">
        <f>+DATE(YEAR(E620),MONTH(E620)-1,DAY(E620))</f>
        <v>25569.041666666668</v>
      </c>
      <c r="F621" s="333">
        <f>IF(DATE(YEAR($B$6),MONTH($B$6)+1,DAY(1))=E621,1,IF(MONTH(E621)=1,F622*(1+$F$5),F622))</f>
      </c>
      <c r="G621" s="333">
        <f>IF('Simulador - 1º Pilar'!$E$99="Sí",IF('Aportaciones PPE'!$B$13&lt;'Aportaciones PPE'!E621,0,F621*$B$8/12),F621*$B$8/12)</f>
      </c>
      <c r="H621" s="333">
        <f>$H$5*G621</f>
      </c>
      <c r="I621" s="333">
        <f>$I$5*G621</f>
      </c>
      <c r="J621" s="333">
        <f>+I621</f>
      </c>
      <c r="K621" s="333">
        <f>(1+$O$5)^(D621/12)*(H621+IF(AND(F621=1,F622=0),$S$4,0))</f>
      </c>
      <c r="L621" s="333">
        <f>(1+$O$5)^(D621/12)*(I621+IF(AND(F621=1,F622=0),0))</f>
      </c>
      <c r="M621" s="333">
        <f>+L621</f>
      </c>
      <c r="N621" s="333">
        <f>L621+K621+M621</f>
      </c>
      <c r="O621" s="170"/>
      <c r="P621" s="7"/>
      <c r="Q621" s="1"/>
      <c r="R621" s="331">
        <f>D621</f>
      </c>
      <c r="S621" s="169"/>
      <c r="T621" s="1"/>
      <c r="U621" s="217"/>
      <c r="V621" s="331">
        <f>+IF(V620=11,12,IF(V620=12,1,V620+1))</f>
      </c>
      <c r="W621" s="331">
        <f>+W620+IF(V620=12,1,0)</f>
      </c>
      <c r="X621" s="555">
        <f>+DATE(W621,V621,1)</f>
        <v>25569.041666666668</v>
      </c>
      <c r="Y621" s="333">
        <f>+_xlfn.IFNA(AN621+AS621+AX621,0)</f>
      </c>
      <c r="Z621" s="333">
        <f>+_xlfn.IFNA(AO621+AT621+AY621,0)</f>
      </c>
      <c r="AA621" s="333">
        <f>Y621*(1+$O$5)^(($B$7-X621)/365.25)</f>
      </c>
      <c r="AB621" s="333">
        <f>Z621*(1+$O$5)^(($B$7-X621)/365.25)</f>
      </c>
      <c r="AC621" s="1"/>
      <c r="AD621" s="1"/>
      <c r="AE621" s="1"/>
      <c r="AF621" s="111">
        <f>+MONTH(E621)&amp;YEAR(E621)</f>
      </c>
      <c r="AG621" s="217">
        <f>+I621</f>
      </c>
      <c r="AH621" s="217">
        <f>+J621</f>
      </c>
      <c r="AI621" s="217">
        <f>+H621</f>
      </c>
      <c r="AJ621" s="111">
        <f>+V621&amp;W621</f>
      </c>
      <c r="AK621" s="217">
        <f>+_xlfn.IFNA(VLOOKUP(AJ621,$AF$7:$AG$1066,2,0),0)</f>
      </c>
      <c r="AL621" s="217">
        <f>+IF(W621&gt;W620,AK621,AL620+AK621)</f>
      </c>
      <c r="AM621" s="217">
        <f>IF(W621&gt;W620,IF(AL621&gt;=$AZ$8,$AZ$8,AL621),IF(OR(AM620=$AZ$8,AM620=0),0,IF(AL621&gt;=$AZ$8,$AZ$8,AL621)))</f>
      </c>
      <c r="AN621" s="748">
        <f>+IF(OR(AM621&gt;AZ620,AM621=0),0,IF(AM621=AL621,AK621,$AZ$7-AL620))</f>
      </c>
      <c r="AO621" s="748">
        <f>+AK621-AN621</f>
      </c>
      <c r="AP621" s="217">
        <f>+_xlfn.IFNA(VLOOKUP(AJ621,$AF$7:$AI$1066,3,0),0)</f>
      </c>
      <c r="AQ621" s="217">
        <f>+IF(W621&gt;W620,AP621,AQ620+AP621)</f>
      </c>
      <c r="AR621" s="217">
        <f>+MAX($AM$2-SUMIF($W$7:$W$1066,W621,$AN$7:$AN$1066),0)</f>
      </c>
      <c r="AS621" s="748">
        <f>+MAX(IF(AQ621&gt;AR621,AR621-AQ620,AP621),0)</f>
      </c>
      <c r="AT621" s="748">
        <f>+AP621-AS621</f>
      </c>
      <c r="AU621" s="217">
        <f>+_xlfn.IFNA(VLOOKUP(AJ621,$AF$7:$AI$1066,4,0),0)</f>
      </c>
      <c r="AV621" s="217">
        <f>+IF(W621&gt;W620,AU621,AV620+AU621)</f>
      </c>
      <c r="AW621" s="217">
        <f>+MAX($AM$2-SUMIF($W$7:$W$1066,W621,$AN$7:$AN$1066)-SUMIF($W$7:$W$1066,W621,$AS$7:$AS$1066),0)</f>
      </c>
      <c r="AX621" s="748">
        <f>+MAX(IF(AV621&gt;AW621,AW621-AV620,AU621),0)</f>
      </c>
      <c r="AY621" s="748">
        <f>+AU621-AX621</f>
      </c>
      <c r="AZ621" s="331">
        <f>+$AM$1+IF($AP$1&gt;$AP$2,$AM$3/2)</f>
      </c>
    </row>
    <row x14ac:dyDescent="0.25" r="622" customHeight="1" ht="18.75">
      <c r="A622" s="1"/>
      <c r="B622" s="7"/>
      <c r="C622" s="170"/>
      <c r="D622" s="331">
        <v>615</v>
      </c>
      <c r="E622" s="544">
        <f>+DATE(YEAR(E621),MONTH(E621)-1,DAY(E621))</f>
        <v>25569.041666666668</v>
      </c>
      <c r="F622" s="333">
        <f>IF(DATE(YEAR($B$6),MONTH($B$6)+1,DAY(1))=E622,1,IF(MONTH(E622)=1,F623*(1+$F$5),F623))</f>
      </c>
      <c r="G622" s="333">
        <f>IF('Simulador - 1º Pilar'!$E$99="Sí",IF('Aportaciones PPE'!$B$13&lt;'Aportaciones PPE'!E622,0,F622*$B$8/12),F622*$B$8/12)</f>
      </c>
      <c r="H622" s="333">
        <f>$H$5*G622</f>
      </c>
      <c r="I622" s="333">
        <f>$I$5*G622</f>
      </c>
      <c r="J622" s="333">
        <f>+I622</f>
      </c>
      <c r="K622" s="333">
        <f>(1+$O$5)^(D622/12)*(H622+IF(AND(F622=1,F623=0),$S$4,0))</f>
      </c>
      <c r="L622" s="333">
        <f>(1+$O$5)^(D622/12)*(I622+IF(AND(F622=1,F623=0),0))</f>
      </c>
      <c r="M622" s="333">
        <f>+L622</f>
      </c>
      <c r="N622" s="333">
        <f>L622+K622+M622</f>
      </c>
      <c r="O622" s="170"/>
      <c r="P622" s="7"/>
      <c r="Q622" s="1"/>
      <c r="R622" s="331">
        <f>D622</f>
      </c>
      <c r="S622" s="169"/>
      <c r="T622" s="1"/>
      <c r="U622" s="217"/>
      <c r="V622" s="331">
        <f>+IF(V621=11,12,IF(V621=12,1,V621+1))</f>
      </c>
      <c r="W622" s="331">
        <f>+W621+IF(V621=12,1,0)</f>
      </c>
      <c r="X622" s="555">
        <f>+DATE(W622,V622,1)</f>
        <v>25569.041666666668</v>
      </c>
      <c r="Y622" s="333">
        <f>+_xlfn.IFNA(AN622+AS622+AX622,0)</f>
      </c>
      <c r="Z622" s="333">
        <f>+_xlfn.IFNA(AO622+AT622+AY622,0)</f>
      </c>
      <c r="AA622" s="333">
        <f>Y622*(1+$O$5)^(($B$7-X622)/365.25)</f>
      </c>
      <c r="AB622" s="333">
        <f>Z622*(1+$O$5)^(($B$7-X622)/365.25)</f>
      </c>
      <c r="AC622" s="1"/>
      <c r="AD622" s="1"/>
      <c r="AE622" s="1"/>
      <c r="AF622" s="111">
        <f>+MONTH(E622)&amp;YEAR(E622)</f>
      </c>
      <c r="AG622" s="217">
        <f>+I622</f>
      </c>
      <c r="AH622" s="217">
        <f>+J622</f>
      </c>
      <c r="AI622" s="217">
        <f>+H622</f>
      </c>
      <c r="AJ622" s="111">
        <f>+V622&amp;W622</f>
      </c>
      <c r="AK622" s="217">
        <f>+_xlfn.IFNA(VLOOKUP(AJ622,$AF$7:$AG$1066,2,0),0)</f>
      </c>
      <c r="AL622" s="217">
        <f>+IF(W622&gt;W621,AK622,AL621+AK622)</f>
      </c>
      <c r="AM622" s="217">
        <f>IF(W622&gt;W621,IF(AL622&gt;=$AZ$8,$AZ$8,AL622),IF(OR(AM621=$AZ$8,AM621=0),0,IF(AL622&gt;=$AZ$8,$AZ$8,AL622)))</f>
      </c>
      <c r="AN622" s="748">
        <f>+IF(OR(AM622&gt;AZ621,AM622=0),0,IF(AM622=AL622,AK622,$AZ$7-AL621))</f>
      </c>
      <c r="AO622" s="748">
        <f>+AK622-AN622</f>
      </c>
      <c r="AP622" s="217">
        <f>+_xlfn.IFNA(VLOOKUP(AJ622,$AF$7:$AI$1066,3,0),0)</f>
      </c>
      <c r="AQ622" s="217">
        <f>+IF(W622&gt;W621,AP622,AQ621+AP622)</f>
      </c>
      <c r="AR622" s="217">
        <f>+MAX($AM$2-SUMIF($W$7:$W$1066,W622,$AN$7:$AN$1066),0)</f>
      </c>
      <c r="AS622" s="748">
        <f>+MAX(IF(AQ622&gt;AR622,AR622-AQ621,AP622),0)</f>
      </c>
      <c r="AT622" s="748">
        <f>+AP622-AS622</f>
      </c>
      <c r="AU622" s="217">
        <f>+_xlfn.IFNA(VLOOKUP(AJ622,$AF$7:$AI$1066,4,0),0)</f>
      </c>
      <c r="AV622" s="217">
        <f>+IF(W622&gt;W621,AU622,AV621+AU622)</f>
      </c>
      <c r="AW622" s="217">
        <f>+MAX($AM$2-SUMIF($W$7:$W$1066,W622,$AN$7:$AN$1066)-SUMIF($W$7:$W$1066,W622,$AS$7:$AS$1066),0)</f>
      </c>
      <c r="AX622" s="748">
        <f>+MAX(IF(AV622&gt;AW622,AW622-AV621,AU622),0)</f>
      </c>
      <c r="AY622" s="748">
        <f>+AU622-AX622</f>
      </c>
      <c r="AZ622" s="331">
        <f>+$AM$1+IF($AP$1&gt;$AP$2,$AM$3/2)</f>
      </c>
    </row>
    <row x14ac:dyDescent="0.25" r="623" customHeight="1" ht="18.75">
      <c r="A623" s="1"/>
      <c r="B623" s="7"/>
      <c r="C623" s="170"/>
      <c r="D623" s="331">
        <v>616</v>
      </c>
      <c r="E623" s="544">
        <f>+DATE(YEAR(E622),MONTH(E622)-1,DAY(E622))</f>
        <v>25569.041666666668</v>
      </c>
      <c r="F623" s="333">
        <f>IF(DATE(YEAR($B$6),MONTH($B$6)+1,DAY(1))=E623,1,IF(MONTH(E623)=1,F624*(1+$F$5),F624))</f>
      </c>
      <c r="G623" s="333">
        <f>IF('Simulador - 1º Pilar'!$E$99="Sí",IF('Aportaciones PPE'!$B$13&lt;'Aportaciones PPE'!E623,0,F623*$B$8/12),F623*$B$8/12)</f>
      </c>
      <c r="H623" s="333">
        <f>$H$5*G623</f>
      </c>
      <c r="I623" s="333">
        <f>$I$5*G623</f>
      </c>
      <c r="J623" s="333">
        <f>+I623</f>
      </c>
      <c r="K623" s="333">
        <f>(1+$O$5)^(D623/12)*(H623+IF(AND(F623=1,F624=0),$S$4,0))</f>
      </c>
      <c r="L623" s="333">
        <f>(1+$O$5)^(D623/12)*(I623+IF(AND(F623=1,F624=0),0))</f>
      </c>
      <c r="M623" s="333">
        <f>+L623</f>
      </c>
      <c r="N623" s="333">
        <f>L623+K623+M623</f>
      </c>
      <c r="O623" s="170"/>
      <c r="P623" s="7"/>
      <c r="Q623" s="1"/>
      <c r="R623" s="331">
        <f>D623</f>
      </c>
      <c r="S623" s="169"/>
      <c r="T623" s="1"/>
      <c r="U623" s="217"/>
      <c r="V623" s="331">
        <f>+IF(V622=11,12,IF(V622=12,1,V622+1))</f>
      </c>
      <c r="W623" s="331">
        <f>+W622+IF(V622=12,1,0)</f>
      </c>
      <c r="X623" s="555">
        <f>+DATE(W623,V623,1)</f>
        <v>25569.041666666668</v>
      </c>
      <c r="Y623" s="333">
        <f>+_xlfn.IFNA(AN623+AS623+AX623,0)</f>
      </c>
      <c r="Z623" s="333">
        <f>+_xlfn.IFNA(AO623+AT623+AY623,0)</f>
      </c>
      <c r="AA623" s="333">
        <f>Y623*(1+$O$5)^(($B$7-X623)/365.25)</f>
      </c>
      <c r="AB623" s="333">
        <f>Z623*(1+$O$5)^(($B$7-X623)/365.25)</f>
      </c>
      <c r="AC623" s="1"/>
      <c r="AD623" s="1"/>
      <c r="AE623" s="1"/>
      <c r="AF623" s="111">
        <f>+MONTH(E623)&amp;YEAR(E623)</f>
      </c>
      <c r="AG623" s="217">
        <f>+I623</f>
      </c>
      <c r="AH623" s="217">
        <f>+J623</f>
      </c>
      <c r="AI623" s="217">
        <f>+H623</f>
      </c>
      <c r="AJ623" s="111">
        <f>+V623&amp;W623</f>
      </c>
      <c r="AK623" s="217">
        <f>+_xlfn.IFNA(VLOOKUP(AJ623,$AF$7:$AG$1066,2,0),0)</f>
      </c>
      <c r="AL623" s="217">
        <f>+IF(W623&gt;W622,AK623,AL622+AK623)</f>
      </c>
      <c r="AM623" s="217">
        <f>IF(W623&gt;W622,IF(AL623&gt;=$AZ$8,$AZ$8,AL623),IF(OR(AM622=$AZ$8,AM622=0),0,IF(AL623&gt;=$AZ$8,$AZ$8,AL623)))</f>
      </c>
      <c r="AN623" s="748">
        <f>+IF(OR(AM623&gt;AZ622,AM623=0),0,IF(AM623=AL623,AK623,$AZ$7-AL622))</f>
      </c>
      <c r="AO623" s="748">
        <f>+AK623-AN623</f>
      </c>
      <c r="AP623" s="217">
        <f>+_xlfn.IFNA(VLOOKUP(AJ623,$AF$7:$AI$1066,3,0),0)</f>
      </c>
      <c r="AQ623" s="217">
        <f>+IF(W623&gt;W622,AP623,AQ622+AP623)</f>
      </c>
      <c r="AR623" s="217">
        <f>+MAX($AM$2-SUMIF($W$7:$W$1066,W623,$AN$7:$AN$1066),0)</f>
      </c>
      <c r="AS623" s="748">
        <f>+MAX(IF(AQ623&gt;AR623,AR623-AQ622,AP623),0)</f>
      </c>
      <c r="AT623" s="748">
        <f>+AP623-AS623</f>
      </c>
      <c r="AU623" s="217">
        <f>+_xlfn.IFNA(VLOOKUP(AJ623,$AF$7:$AI$1066,4,0),0)</f>
      </c>
      <c r="AV623" s="217">
        <f>+IF(W623&gt;W622,AU623,AV622+AU623)</f>
      </c>
      <c r="AW623" s="217">
        <f>+MAX($AM$2-SUMIF($W$7:$W$1066,W623,$AN$7:$AN$1066)-SUMIF($W$7:$W$1066,W623,$AS$7:$AS$1066),0)</f>
      </c>
      <c r="AX623" s="748">
        <f>+MAX(IF(AV623&gt;AW623,AW623-AV622,AU623),0)</f>
      </c>
      <c r="AY623" s="748">
        <f>+AU623-AX623</f>
      </c>
      <c r="AZ623" s="331">
        <f>+$AM$1+IF($AP$1&gt;$AP$2,$AM$3/2)</f>
      </c>
    </row>
    <row x14ac:dyDescent="0.25" r="624" customHeight="1" ht="18.75">
      <c r="A624" s="1"/>
      <c r="B624" s="7"/>
      <c r="C624" s="170"/>
      <c r="D624" s="331">
        <v>617</v>
      </c>
      <c r="E624" s="544">
        <f>+DATE(YEAR(E623),MONTH(E623)-1,DAY(E623))</f>
        <v>25569.041666666668</v>
      </c>
      <c r="F624" s="333">
        <f>IF(DATE(YEAR($B$6),MONTH($B$6)+1,DAY(1))=E624,1,IF(MONTH(E624)=1,F625*(1+$F$5),F625))</f>
      </c>
      <c r="G624" s="333">
        <f>IF('Simulador - 1º Pilar'!$E$99="Sí",IF('Aportaciones PPE'!$B$13&lt;'Aportaciones PPE'!E624,0,F624*$B$8/12),F624*$B$8/12)</f>
      </c>
      <c r="H624" s="333">
        <f>$H$5*G624</f>
      </c>
      <c r="I624" s="333">
        <f>$I$5*G624</f>
      </c>
      <c r="J624" s="333">
        <f>+I624</f>
      </c>
      <c r="K624" s="333">
        <f>(1+$O$5)^(D624/12)*(H624+IF(AND(F624=1,F625=0),$S$4,0))</f>
      </c>
      <c r="L624" s="333">
        <f>(1+$O$5)^(D624/12)*(I624+IF(AND(F624=1,F625=0),0))</f>
      </c>
      <c r="M624" s="333">
        <f>+L624</f>
      </c>
      <c r="N624" s="333">
        <f>L624+K624+M624</f>
      </c>
      <c r="O624" s="170"/>
      <c r="P624" s="7"/>
      <c r="Q624" s="1"/>
      <c r="R624" s="331">
        <f>D624</f>
      </c>
      <c r="S624" s="169"/>
      <c r="T624" s="1"/>
      <c r="U624" s="217"/>
      <c r="V624" s="331">
        <f>+IF(V623=11,12,IF(V623=12,1,V623+1))</f>
      </c>
      <c r="W624" s="331">
        <f>+W623+IF(V623=12,1,0)</f>
      </c>
      <c r="X624" s="555">
        <f>+DATE(W624,V624,1)</f>
        <v>25569.041666666668</v>
      </c>
      <c r="Y624" s="333">
        <f>+_xlfn.IFNA(AN624+AS624+AX624,0)</f>
      </c>
      <c r="Z624" s="333">
        <f>+_xlfn.IFNA(AO624+AT624+AY624,0)</f>
      </c>
      <c r="AA624" s="333">
        <f>Y624*(1+$O$5)^(($B$7-X624)/365.25)</f>
      </c>
      <c r="AB624" s="333">
        <f>Z624*(1+$O$5)^(($B$7-X624)/365.25)</f>
      </c>
      <c r="AC624" s="1"/>
      <c r="AD624" s="1"/>
      <c r="AE624" s="1"/>
      <c r="AF624" s="111">
        <f>+MONTH(E624)&amp;YEAR(E624)</f>
      </c>
      <c r="AG624" s="217">
        <f>+I624</f>
      </c>
      <c r="AH624" s="217">
        <f>+J624</f>
      </c>
      <c r="AI624" s="217">
        <f>+H624</f>
      </c>
      <c r="AJ624" s="111">
        <f>+V624&amp;W624</f>
      </c>
      <c r="AK624" s="217">
        <f>+_xlfn.IFNA(VLOOKUP(AJ624,$AF$7:$AG$1066,2,0),0)</f>
      </c>
      <c r="AL624" s="217">
        <f>+IF(W624&gt;W623,AK624,AL623+AK624)</f>
      </c>
      <c r="AM624" s="217">
        <f>IF(W624&gt;W623,IF(AL624&gt;=$AZ$8,$AZ$8,AL624),IF(OR(AM623=$AZ$8,AM623=0),0,IF(AL624&gt;=$AZ$8,$AZ$8,AL624)))</f>
      </c>
      <c r="AN624" s="748">
        <f>+IF(OR(AM624&gt;AZ623,AM624=0),0,IF(AM624=AL624,AK624,$AZ$7-AL623))</f>
      </c>
      <c r="AO624" s="748">
        <f>+AK624-AN624</f>
      </c>
      <c r="AP624" s="217">
        <f>+_xlfn.IFNA(VLOOKUP(AJ624,$AF$7:$AI$1066,3,0),0)</f>
      </c>
      <c r="AQ624" s="217">
        <f>+IF(W624&gt;W623,AP624,AQ623+AP624)</f>
      </c>
      <c r="AR624" s="217">
        <f>+MAX($AM$2-SUMIF($W$7:$W$1066,W624,$AN$7:$AN$1066),0)</f>
      </c>
      <c r="AS624" s="748">
        <f>+MAX(IF(AQ624&gt;AR624,AR624-AQ623,AP624),0)</f>
      </c>
      <c r="AT624" s="748">
        <f>+AP624-AS624</f>
      </c>
      <c r="AU624" s="217">
        <f>+_xlfn.IFNA(VLOOKUP(AJ624,$AF$7:$AI$1066,4,0),0)</f>
      </c>
      <c r="AV624" s="217">
        <f>+IF(W624&gt;W623,AU624,AV623+AU624)</f>
      </c>
      <c r="AW624" s="217">
        <f>+MAX($AM$2-SUMIF($W$7:$W$1066,W624,$AN$7:$AN$1066)-SUMIF($W$7:$W$1066,W624,$AS$7:$AS$1066),0)</f>
      </c>
      <c r="AX624" s="748">
        <f>+MAX(IF(AV624&gt;AW624,AW624-AV623,AU624),0)</f>
      </c>
      <c r="AY624" s="748">
        <f>+AU624-AX624</f>
      </c>
      <c r="AZ624" s="331">
        <f>+$AM$1+IF($AP$1&gt;$AP$2,$AM$3/2)</f>
      </c>
    </row>
    <row x14ac:dyDescent="0.25" r="625" customHeight="1" ht="18.75">
      <c r="A625" s="1"/>
      <c r="B625" s="7"/>
      <c r="C625" s="170"/>
      <c r="D625" s="331">
        <v>618</v>
      </c>
      <c r="E625" s="544">
        <f>+DATE(YEAR(E624),MONTH(E624)-1,DAY(E624))</f>
        <v>25569.041666666668</v>
      </c>
      <c r="F625" s="333">
        <f>IF(DATE(YEAR($B$6),MONTH($B$6)+1,DAY(1))=E625,1,IF(MONTH(E625)=1,F626*(1+$F$5),F626))</f>
      </c>
      <c r="G625" s="333">
        <f>IF('Simulador - 1º Pilar'!$E$99="Sí",IF('Aportaciones PPE'!$B$13&lt;'Aportaciones PPE'!E625,0,F625*$B$8/12),F625*$B$8/12)</f>
      </c>
      <c r="H625" s="333">
        <f>$H$5*G625</f>
      </c>
      <c r="I625" s="333">
        <f>$I$5*G625</f>
      </c>
      <c r="J625" s="333">
        <f>+I625</f>
      </c>
      <c r="K625" s="333">
        <f>(1+$O$5)^(D625/12)*(H625+IF(AND(F625=1,F626=0),$S$4,0))</f>
      </c>
      <c r="L625" s="333">
        <f>(1+$O$5)^(D625/12)*(I625+IF(AND(F625=1,F626=0),0))</f>
      </c>
      <c r="M625" s="333">
        <f>+L625</f>
      </c>
      <c r="N625" s="333">
        <f>L625+K625+M625</f>
      </c>
      <c r="O625" s="170"/>
      <c r="P625" s="7"/>
      <c r="Q625" s="1"/>
      <c r="R625" s="331">
        <f>D625</f>
      </c>
      <c r="S625" s="169"/>
      <c r="T625" s="1"/>
      <c r="U625" s="217"/>
      <c r="V625" s="331">
        <f>+IF(V624=11,12,IF(V624=12,1,V624+1))</f>
      </c>
      <c r="W625" s="331">
        <f>+W624+IF(V624=12,1,0)</f>
      </c>
      <c r="X625" s="555">
        <f>+DATE(W625,V625,1)</f>
        <v>25569.041666666668</v>
      </c>
      <c r="Y625" s="333">
        <f>+_xlfn.IFNA(AN625+AS625+AX625,0)</f>
      </c>
      <c r="Z625" s="333">
        <f>+_xlfn.IFNA(AO625+AT625+AY625,0)</f>
      </c>
      <c r="AA625" s="333">
        <f>Y625*(1+$O$5)^(($B$7-X625)/365.25)</f>
      </c>
      <c r="AB625" s="333">
        <f>Z625*(1+$O$5)^(($B$7-X625)/365.25)</f>
      </c>
      <c r="AC625" s="1"/>
      <c r="AD625" s="1"/>
      <c r="AE625" s="1"/>
      <c r="AF625" s="111">
        <f>+MONTH(E625)&amp;YEAR(E625)</f>
      </c>
      <c r="AG625" s="217">
        <f>+I625</f>
      </c>
      <c r="AH625" s="217">
        <f>+J625</f>
      </c>
      <c r="AI625" s="217">
        <f>+H625</f>
      </c>
      <c r="AJ625" s="111">
        <f>+V625&amp;W625</f>
      </c>
      <c r="AK625" s="217">
        <f>+_xlfn.IFNA(VLOOKUP(AJ625,$AF$7:$AG$1066,2,0),0)</f>
      </c>
      <c r="AL625" s="217">
        <f>+IF(W625&gt;W624,AK625,AL624+AK625)</f>
      </c>
      <c r="AM625" s="217">
        <f>IF(W625&gt;W624,IF(AL625&gt;=$AZ$8,$AZ$8,AL625),IF(OR(AM624=$AZ$8,AM624=0),0,IF(AL625&gt;=$AZ$8,$AZ$8,AL625)))</f>
      </c>
      <c r="AN625" s="748">
        <f>+IF(OR(AM625&gt;AZ624,AM625=0),0,IF(AM625=AL625,AK625,$AZ$7-AL624))</f>
      </c>
      <c r="AO625" s="748">
        <f>+AK625-AN625</f>
      </c>
      <c r="AP625" s="217">
        <f>+_xlfn.IFNA(VLOOKUP(AJ625,$AF$7:$AI$1066,3,0),0)</f>
      </c>
      <c r="AQ625" s="217">
        <f>+IF(W625&gt;W624,AP625,AQ624+AP625)</f>
      </c>
      <c r="AR625" s="217">
        <f>+MAX($AM$2-SUMIF($W$7:$W$1066,W625,$AN$7:$AN$1066),0)</f>
      </c>
      <c r="AS625" s="748">
        <f>+MAX(IF(AQ625&gt;AR625,AR625-AQ624,AP625),0)</f>
      </c>
      <c r="AT625" s="748">
        <f>+AP625-AS625</f>
      </c>
      <c r="AU625" s="217">
        <f>+_xlfn.IFNA(VLOOKUP(AJ625,$AF$7:$AI$1066,4,0),0)</f>
      </c>
      <c r="AV625" s="217">
        <f>+IF(W625&gt;W624,AU625,AV624+AU625)</f>
      </c>
      <c r="AW625" s="217">
        <f>+MAX($AM$2-SUMIF($W$7:$W$1066,W625,$AN$7:$AN$1066)-SUMIF($W$7:$W$1066,W625,$AS$7:$AS$1066),0)</f>
      </c>
      <c r="AX625" s="748">
        <f>+MAX(IF(AV625&gt;AW625,AW625-AV624,AU625),0)</f>
      </c>
      <c r="AY625" s="748">
        <f>+AU625-AX625</f>
      </c>
      <c r="AZ625" s="331">
        <f>+$AM$1+IF($AP$1&gt;$AP$2,$AM$3/2)</f>
      </c>
    </row>
    <row x14ac:dyDescent="0.25" r="626" customHeight="1" ht="18.75">
      <c r="A626" s="1"/>
      <c r="B626" s="7"/>
      <c r="C626" s="170"/>
      <c r="D626" s="331">
        <v>619</v>
      </c>
      <c r="E626" s="544">
        <f>+DATE(YEAR(E625),MONTH(E625)-1,DAY(E625))</f>
        <v>25569.041666666668</v>
      </c>
      <c r="F626" s="333">
        <f>IF(DATE(YEAR($B$6),MONTH($B$6)+1,DAY(1))=E626,1,IF(MONTH(E626)=1,F627*(1+$F$5),F627))</f>
      </c>
      <c r="G626" s="333">
        <f>IF('Simulador - 1º Pilar'!$E$99="Sí",IF('Aportaciones PPE'!$B$13&lt;'Aportaciones PPE'!E626,0,F626*$B$8/12),F626*$B$8/12)</f>
      </c>
      <c r="H626" s="333">
        <f>$H$5*G626</f>
      </c>
      <c r="I626" s="333">
        <f>$I$5*G626</f>
      </c>
      <c r="J626" s="333">
        <f>+I626</f>
      </c>
      <c r="K626" s="333">
        <f>(1+$O$5)^(D626/12)*(H626+IF(AND(F626=1,F627=0),$S$4,0))</f>
      </c>
      <c r="L626" s="333">
        <f>(1+$O$5)^(D626/12)*(I626+IF(AND(F626=1,F627=0),0))</f>
      </c>
      <c r="M626" s="333">
        <f>+L626</f>
      </c>
      <c r="N626" s="333">
        <f>L626+K626+M626</f>
      </c>
      <c r="O626" s="170"/>
      <c r="P626" s="7"/>
      <c r="Q626" s="1"/>
      <c r="R626" s="331">
        <f>D626</f>
      </c>
      <c r="S626" s="169"/>
      <c r="T626" s="1"/>
      <c r="U626" s="217"/>
      <c r="V626" s="331">
        <f>+IF(V625=11,12,IF(V625=12,1,V625+1))</f>
      </c>
      <c r="W626" s="331">
        <f>+W625+IF(V625=12,1,0)</f>
      </c>
      <c r="X626" s="555">
        <f>+DATE(W626,V626,1)</f>
        <v>25569.041666666668</v>
      </c>
      <c r="Y626" s="333">
        <f>+_xlfn.IFNA(AN626+AS626+AX626,0)</f>
      </c>
      <c r="Z626" s="333">
        <f>+_xlfn.IFNA(AO626+AT626+AY626,0)</f>
      </c>
      <c r="AA626" s="333">
        <f>Y626*(1+$O$5)^(($B$7-X626)/365.25)</f>
      </c>
      <c r="AB626" s="333">
        <f>Z626*(1+$O$5)^(($B$7-X626)/365.25)</f>
      </c>
      <c r="AC626" s="1"/>
      <c r="AD626" s="1"/>
      <c r="AE626" s="1"/>
      <c r="AF626" s="111">
        <f>+MONTH(E626)&amp;YEAR(E626)</f>
      </c>
      <c r="AG626" s="217">
        <f>+I626</f>
      </c>
      <c r="AH626" s="217">
        <f>+J626</f>
      </c>
      <c r="AI626" s="217">
        <f>+H626</f>
      </c>
      <c r="AJ626" s="111">
        <f>+V626&amp;W626</f>
      </c>
      <c r="AK626" s="217">
        <f>+_xlfn.IFNA(VLOOKUP(AJ626,$AF$7:$AG$1066,2,0),0)</f>
      </c>
      <c r="AL626" s="217">
        <f>+IF(W626&gt;W625,AK626,AL625+AK626)</f>
      </c>
      <c r="AM626" s="217">
        <f>IF(W626&gt;W625,IF(AL626&gt;=$AZ$8,$AZ$8,AL626),IF(OR(AM625=$AZ$8,AM625=0),0,IF(AL626&gt;=$AZ$8,$AZ$8,AL626)))</f>
      </c>
      <c r="AN626" s="748">
        <f>+IF(OR(AM626&gt;AZ625,AM626=0),0,IF(AM626=AL626,AK626,$AZ$7-AL625))</f>
      </c>
      <c r="AO626" s="748">
        <f>+AK626-AN626</f>
      </c>
      <c r="AP626" s="217">
        <f>+_xlfn.IFNA(VLOOKUP(AJ626,$AF$7:$AI$1066,3,0),0)</f>
      </c>
      <c r="AQ626" s="217">
        <f>+IF(W626&gt;W625,AP626,AQ625+AP626)</f>
      </c>
      <c r="AR626" s="217">
        <f>+MAX($AM$2-SUMIF($W$7:$W$1066,W626,$AN$7:$AN$1066),0)</f>
      </c>
      <c r="AS626" s="748">
        <f>+MAX(IF(AQ626&gt;AR626,AR626-AQ625,AP626),0)</f>
      </c>
      <c r="AT626" s="748">
        <f>+AP626-AS626</f>
      </c>
      <c r="AU626" s="217">
        <f>+_xlfn.IFNA(VLOOKUP(AJ626,$AF$7:$AI$1066,4,0),0)</f>
      </c>
      <c r="AV626" s="217">
        <f>+IF(W626&gt;W625,AU626,AV625+AU626)</f>
      </c>
      <c r="AW626" s="217">
        <f>+MAX($AM$2-SUMIF($W$7:$W$1066,W626,$AN$7:$AN$1066)-SUMIF($W$7:$W$1066,W626,$AS$7:$AS$1066),0)</f>
      </c>
      <c r="AX626" s="748">
        <f>+MAX(IF(AV626&gt;AW626,AW626-AV625,AU626),0)</f>
      </c>
      <c r="AY626" s="748">
        <f>+AU626-AX626</f>
      </c>
      <c r="AZ626" s="331">
        <f>+$AM$1+IF($AP$1&gt;$AP$2,$AM$3/2)</f>
      </c>
    </row>
    <row x14ac:dyDescent="0.25" r="627" customHeight="1" ht="18.75">
      <c r="A627" s="1"/>
      <c r="B627" s="7"/>
      <c r="C627" s="170"/>
      <c r="D627" s="331">
        <v>620</v>
      </c>
      <c r="E627" s="544">
        <f>+DATE(YEAR(E626),MONTH(E626)-1,DAY(E626))</f>
        <v>25569.041666666668</v>
      </c>
      <c r="F627" s="333">
        <f>IF(DATE(YEAR($B$6),MONTH($B$6)+1,DAY(1))=E627,1,IF(MONTH(E627)=1,F628*(1+$F$5),F628))</f>
      </c>
      <c r="G627" s="333">
        <f>IF('Simulador - 1º Pilar'!$E$99="Sí",IF('Aportaciones PPE'!$B$13&lt;'Aportaciones PPE'!E627,0,F627*$B$8/12),F627*$B$8/12)</f>
      </c>
      <c r="H627" s="333">
        <f>$H$5*G627</f>
      </c>
      <c r="I627" s="333">
        <f>$I$5*G627</f>
      </c>
      <c r="J627" s="333">
        <f>+I627</f>
      </c>
      <c r="K627" s="333">
        <f>(1+$O$5)^(D627/12)*(H627+IF(AND(F627=1,F628=0),$S$4,0))</f>
      </c>
      <c r="L627" s="333">
        <f>(1+$O$5)^(D627/12)*(I627+IF(AND(F627=1,F628=0),0))</f>
      </c>
      <c r="M627" s="333">
        <f>+L627</f>
      </c>
      <c r="N627" s="333">
        <f>L627+K627+M627</f>
      </c>
      <c r="O627" s="170"/>
      <c r="P627" s="7"/>
      <c r="Q627" s="1"/>
      <c r="R627" s="331">
        <f>D627</f>
      </c>
      <c r="S627" s="169"/>
      <c r="T627" s="1"/>
      <c r="U627" s="217"/>
      <c r="V627" s="331">
        <f>+IF(V626=11,12,IF(V626=12,1,V626+1))</f>
      </c>
      <c r="W627" s="331">
        <f>+W626+IF(V626=12,1,0)</f>
      </c>
      <c r="X627" s="555">
        <f>+DATE(W627,V627,1)</f>
        <v>25569.041666666668</v>
      </c>
      <c r="Y627" s="333">
        <f>+_xlfn.IFNA(AN627+AS627+AX627,0)</f>
      </c>
      <c r="Z627" s="333">
        <f>+_xlfn.IFNA(AO627+AT627+AY627,0)</f>
      </c>
      <c r="AA627" s="333">
        <f>Y627*(1+$O$5)^(($B$7-X627)/365.25)</f>
      </c>
      <c r="AB627" s="333">
        <f>Z627*(1+$O$5)^(($B$7-X627)/365.25)</f>
      </c>
      <c r="AC627" s="1"/>
      <c r="AD627" s="1"/>
      <c r="AE627" s="1"/>
      <c r="AF627" s="111">
        <f>+MONTH(E627)&amp;YEAR(E627)</f>
      </c>
      <c r="AG627" s="217">
        <f>+I627</f>
      </c>
      <c r="AH627" s="217">
        <f>+J627</f>
      </c>
      <c r="AI627" s="217">
        <f>+H627</f>
      </c>
      <c r="AJ627" s="111">
        <f>+V627&amp;W627</f>
      </c>
      <c r="AK627" s="217">
        <f>+_xlfn.IFNA(VLOOKUP(AJ627,$AF$7:$AG$1066,2,0),0)</f>
      </c>
      <c r="AL627" s="217">
        <f>+IF(W627&gt;W626,AK627,AL626+AK627)</f>
      </c>
      <c r="AM627" s="217">
        <f>IF(W627&gt;W626,IF(AL627&gt;=$AZ$8,$AZ$8,AL627),IF(OR(AM626=$AZ$8,AM626=0),0,IF(AL627&gt;=$AZ$8,$AZ$8,AL627)))</f>
      </c>
      <c r="AN627" s="748">
        <f>+IF(OR(AM627&gt;AZ626,AM627=0),0,IF(AM627=AL627,AK627,$AZ$7-AL626))</f>
      </c>
      <c r="AO627" s="748">
        <f>+AK627-AN627</f>
      </c>
      <c r="AP627" s="217">
        <f>+_xlfn.IFNA(VLOOKUP(AJ627,$AF$7:$AI$1066,3,0),0)</f>
      </c>
      <c r="AQ627" s="217">
        <f>+IF(W627&gt;W626,AP627,AQ626+AP627)</f>
      </c>
      <c r="AR627" s="217">
        <f>+MAX($AM$2-SUMIF($W$7:$W$1066,W627,$AN$7:$AN$1066),0)</f>
      </c>
      <c r="AS627" s="748">
        <f>+MAX(IF(AQ627&gt;AR627,AR627-AQ626,AP627),0)</f>
      </c>
      <c r="AT627" s="748">
        <f>+AP627-AS627</f>
      </c>
      <c r="AU627" s="217">
        <f>+_xlfn.IFNA(VLOOKUP(AJ627,$AF$7:$AI$1066,4,0),0)</f>
      </c>
      <c r="AV627" s="217">
        <f>+IF(W627&gt;W626,AU627,AV626+AU627)</f>
      </c>
      <c r="AW627" s="217">
        <f>+MAX($AM$2-SUMIF($W$7:$W$1066,W627,$AN$7:$AN$1066)-SUMIF($W$7:$W$1066,W627,$AS$7:$AS$1066),0)</f>
      </c>
      <c r="AX627" s="748">
        <f>+MAX(IF(AV627&gt;AW627,AW627-AV626,AU627),0)</f>
      </c>
      <c r="AY627" s="748">
        <f>+AU627-AX627</f>
      </c>
      <c r="AZ627" s="331">
        <f>+$AM$1+IF($AP$1&gt;$AP$2,$AM$3/2)</f>
      </c>
    </row>
    <row x14ac:dyDescent="0.25" r="628" customHeight="1" ht="18.75">
      <c r="A628" s="1"/>
      <c r="B628" s="7"/>
      <c r="C628" s="170"/>
      <c r="D628" s="331">
        <v>621</v>
      </c>
      <c r="E628" s="544">
        <f>+DATE(YEAR(E627),MONTH(E627)-1,DAY(E627))</f>
        <v>25569.041666666668</v>
      </c>
      <c r="F628" s="333">
        <f>IF(DATE(YEAR($B$6),MONTH($B$6)+1,DAY(1))=E628,1,IF(MONTH(E628)=1,F629*(1+$F$5),F629))</f>
      </c>
      <c r="G628" s="333">
        <f>IF('Simulador - 1º Pilar'!$E$99="Sí",IF('Aportaciones PPE'!$B$13&lt;'Aportaciones PPE'!E628,0,F628*$B$8/12),F628*$B$8/12)</f>
      </c>
      <c r="H628" s="333">
        <f>$H$5*G628</f>
      </c>
      <c r="I628" s="333">
        <f>$I$5*G628</f>
      </c>
      <c r="J628" s="333">
        <f>+I628</f>
      </c>
      <c r="K628" s="333">
        <f>(1+$O$5)^(D628/12)*(H628+IF(AND(F628=1,F629=0),$S$4,0))</f>
      </c>
      <c r="L628" s="333">
        <f>(1+$O$5)^(D628/12)*(I628+IF(AND(F628=1,F629=0),0))</f>
      </c>
      <c r="M628" s="333">
        <f>+L628</f>
      </c>
      <c r="N628" s="333">
        <f>L628+K628+M628</f>
      </c>
      <c r="O628" s="170"/>
      <c r="P628" s="7"/>
      <c r="Q628" s="1"/>
      <c r="R628" s="331">
        <f>D628</f>
      </c>
      <c r="S628" s="169"/>
      <c r="T628" s="1"/>
      <c r="U628" s="217"/>
      <c r="V628" s="331">
        <f>+IF(V627=11,12,IF(V627=12,1,V627+1))</f>
      </c>
      <c r="W628" s="331">
        <f>+W627+IF(V627=12,1,0)</f>
      </c>
      <c r="X628" s="555">
        <f>+DATE(W628,V628,1)</f>
        <v>25569.041666666668</v>
      </c>
      <c r="Y628" s="333">
        <f>+_xlfn.IFNA(AN628+AS628+AX628,0)</f>
      </c>
      <c r="Z628" s="333">
        <f>+_xlfn.IFNA(AO628+AT628+AY628,0)</f>
      </c>
      <c r="AA628" s="333">
        <f>Y628*(1+$O$5)^(($B$7-X628)/365.25)</f>
      </c>
      <c r="AB628" s="333">
        <f>Z628*(1+$O$5)^(($B$7-X628)/365.25)</f>
      </c>
      <c r="AC628" s="1"/>
      <c r="AD628" s="1"/>
      <c r="AE628" s="1"/>
      <c r="AF628" s="111">
        <f>+MONTH(E628)&amp;YEAR(E628)</f>
      </c>
      <c r="AG628" s="217">
        <f>+I628</f>
      </c>
      <c r="AH628" s="217">
        <f>+J628</f>
      </c>
      <c r="AI628" s="217">
        <f>+H628</f>
      </c>
      <c r="AJ628" s="111">
        <f>+V628&amp;W628</f>
      </c>
      <c r="AK628" s="217">
        <f>+_xlfn.IFNA(VLOOKUP(AJ628,$AF$7:$AG$1066,2,0),0)</f>
      </c>
      <c r="AL628" s="217">
        <f>+IF(W628&gt;W627,AK628,AL627+AK628)</f>
      </c>
      <c r="AM628" s="217">
        <f>IF(W628&gt;W627,IF(AL628&gt;=$AZ$8,$AZ$8,AL628),IF(OR(AM627=$AZ$8,AM627=0),0,IF(AL628&gt;=$AZ$8,$AZ$8,AL628)))</f>
      </c>
      <c r="AN628" s="748">
        <f>+IF(OR(AM628&gt;AZ627,AM628=0),0,IF(AM628=AL628,AK628,$AZ$7-AL627))</f>
      </c>
      <c r="AO628" s="748">
        <f>+AK628-AN628</f>
      </c>
      <c r="AP628" s="217">
        <f>+_xlfn.IFNA(VLOOKUP(AJ628,$AF$7:$AI$1066,3,0),0)</f>
      </c>
      <c r="AQ628" s="217">
        <f>+IF(W628&gt;W627,AP628,AQ627+AP628)</f>
      </c>
      <c r="AR628" s="217">
        <f>+MAX($AM$2-SUMIF($W$7:$W$1066,W628,$AN$7:$AN$1066),0)</f>
      </c>
      <c r="AS628" s="748">
        <f>+MAX(IF(AQ628&gt;AR628,AR628-AQ627,AP628),0)</f>
      </c>
      <c r="AT628" s="748">
        <f>+AP628-AS628</f>
      </c>
      <c r="AU628" s="217">
        <f>+_xlfn.IFNA(VLOOKUP(AJ628,$AF$7:$AI$1066,4,0),0)</f>
      </c>
      <c r="AV628" s="217">
        <f>+IF(W628&gt;W627,AU628,AV627+AU628)</f>
      </c>
      <c r="AW628" s="217">
        <f>+MAX($AM$2-SUMIF($W$7:$W$1066,W628,$AN$7:$AN$1066)-SUMIF($W$7:$W$1066,W628,$AS$7:$AS$1066),0)</f>
      </c>
      <c r="AX628" s="748">
        <f>+MAX(IF(AV628&gt;AW628,AW628-AV627,AU628),0)</f>
      </c>
      <c r="AY628" s="748">
        <f>+AU628-AX628</f>
      </c>
      <c r="AZ628" s="331">
        <f>+$AM$1+IF($AP$1&gt;$AP$2,$AM$3/2)</f>
      </c>
    </row>
    <row x14ac:dyDescent="0.25" r="629" customHeight="1" ht="18.75">
      <c r="A629" s="1"/>
      <c r="B629" s="7"/>
      <c r="C629" s="170"/>
      <c r="D629" s="331">
        <v>622</v>
      </c>
      <c r="E629" s="544">
        <f>+DATE(YEAR(E628),MONTH(E628)-1,DAY(E628))</f>
        <v>25569.041666666668</v>
      </c>
      <c r="F629" s="333">
        <f>IF(DATE(YEAR($B$6),MONTH($B$6)+1,DAY(1))=E629,1,IF(MONTH(E629)=1,F630*(1+$F$5),F630))</f>
      </c>
      <c r="G629" s="333">
        <f>IF('Simulador - 1º Pilar'!$E$99="Sí",IF('Aportaciones PPE'!$B$13&lt;'Aportaciones PPE'!E629,0,F629*$B$8/12),F629*$B$8/12)</f>
      </c>
      <c r="H629" s="333">
        <f>$H$5*G629</f>
      </c>
      <c r="I629" s="333">
        <f>$I$5*G629</f>
      </c>
      <c r="J629" s="333">
        <f>+I629</f>
      </c>
      <c r="K629" s="333">
        <f>(1+$O$5)^(D629/12)*(H629+IF(AND(F629=1,F630=0),$S$4,0))</f>
      </c>
      <c r="L629" s="333">
        <f>(1+$O$5)^(D629/12)*(I629+IF(AND(F629=1,F630=0),0))</f>
      </c>
      <c r="M629" s="333">
        <f>+L629</f>
      </c>
      <c r="N629" s="333">
        <f>L629+K629+M629</f>
      </c>
      <c r="O629" s="170"/>
      <c r="P629" s="7"/>
      <c r="Q629" s="1"/>
      <c r="R629" s="331">
        <f>D629</f>
      </c>
      <c r="S629" s="169"/>
      <c r="T629" s="1"/>
      <c r="U629" s="217"/>
      <c r="V629" s="331">
        <f>+IF(V628=11,12,IF(V628=12,1,V628+1))</f>
      </c>
      <c r="W629" s="331">
        <f>+W628+IF(V628=12,1,0)</f>
      </c>
      <c r="X629" s="555">
        <f>+DATE(W629,V629,1)</f>
        <v>25569.041666666668</v>
      </c>
      <c r="Y629" s="333">
        <f>+_xlfn.IFNA(AN629+AS629+AX629,0)</f>
      </c>
      <c r="Z629" s="333">
        <f>+_xlfn.IFNA(AO629+AT629+AY629,0)</f>
      </c>
      <c r="AA629" s="333">
        <f>Y629*(1+$O$5)^(($B$7-X629)/365.25)</f>
      </c>
      <c r="AB629" s="333">
        <f>Z629*(1+$O$5)^(($B$7-X629)/365.25)</f>
      </c>
      <c r="AC629" s="1"/>
      <c r="AD629" s="1"/>
      <c r="AE629" s="1"/>
      <c r="AF629" s="111">
        <f>+MONTH(E629)&amp;YEAR(E629)</f>
      </c>
      <c r="AG629" s="217">
        <f>+I629</f>
      </c>
      <c r="AH629" s="217">
        <f>+J629</f>
      </c>
      <c r="AI629" s="217">
        <f>+H629</f>
      </c>
      <c r="AJ629" s="111">
        <f>+V629&amp;W629</f>
      </c>
      <c r="AK629" s="217">
        <f>+_xlfn.IFNA(VLOOKUP(AJ629,$AF$7:$AG$1066,2,0),0)</f>
      </c>
      <c r="AL629" s="217">
        <f>+IF(W629&gt;W628,AK629,AL628+AK629)</f>
      </c>
      <c r="AM629" s="217">
        <f>IF(W629&gt;W628,IF(AL629&gt;=$AZ$8,$AZ$8,AL629),IF(OR(AM628=$AZ$8,AM628=0),0,IF(AL629&gt;=$AZ$8,$AZ$8,AL629)))</f>
      </c>
      <c r="AN629" s="748">
        <f>+IF(OR(AM629&gt;AZ628,AM629=0),0,IF(AM629=AL629,AK629,$AZ$7-AL628))</f>
      </c>
      <c r="AO629" s="748">
        <f>+AK629-AN629</f>
      </c>
      <c r="AP629" s="217">
        <f>+_xlfn.IFNA(VLOOKUP(AJ629,$AF$7:$AI$1066,3,0),0)</f>
      </c>
      <c r="AQ629" s="217">
        <f>+IF(W629&gt;W628,AP629,AQ628+AP629)</f>
      </c>
      <c r="AR629" s="217">
        <f>+MAX($AM$2-SUMIF($W$7:$W$1066,W629,$AN$7:$AN$1066),0)</f>
      </c>
      <c r="AS629" s="748">
        <f>+MAX(IF(AQ629&gt;AR629,AR629-AQ628,AP629),0)</f>
      </c>
      <c r="AT629" s="748">
        <f>+AP629-AS629</f>
      </c>
      <c r="AU629" s="217">
        <f>+_xlfn.IFNA(VLOOKUP(AJ629,$AF$7:$AI$1066,4,0),0)</f>
      </c>
      <c r="AV629" s="217">
        <f>+IF(W629&gt;W628,AU629,AV628+AU629)</f>
      </c>
      <c r="AW629" s="217">
        <f>+MAX($AM$2-SUMIF($W$7:$W$1066,W629,$AN$7:$AN$1066)-SUMIF($W$7:$W$1066,W629,$AS$7:$AS$1066),0)</f>
      </c>
      <c r="AX629" s="748">
        <f>+MAX(IF(AV629&gt;AW629,AW629-AV628,AU629),0)</f>
      </c>
      <c r="AY629" s="748">
        <f>+AU629-AX629</f>
      </c>
      <c r="AZ629" s="331">
        <f>+$AM$1+IF($AP$1&gt;$AP$2,$AM$3/2)</f>
      </c>
    </row>
    <row x14ac:dyDescent="0.25" r="630" customHeight="1" ht="18.75">
      <c r="A630" s="1"/>
      <c r="B630" s="7"/>
      <c r="C630" s="170"/>
      <c r="D630" s="331">
        <v>623</v>
      </c>
      <c r="E630" s="544">
        <f>+DATE(YEAR(E629),MONTH(E629)-1,DAY(E629))</f>
        <v>25569.041666666668</v>
      </c>
      <c r="F630" s="333">
        <f>IF(DATE(YEAR($B$6),MONTH($B$6)+1,DAY(1))=E630,1,IF(MONTH(E630)=1,F631*(1+$F$5),F631))</f>
      </c>
      <c r="G630" s="333">
        <f>IF('Simulador - 1º Pilar'!$E$99="Sí",IF('Aportaciones PPE'!$B$13&lt;'Aportaciones PPE'!E630,0,F630*$B$8/12),F630*$B$8/12)</f>
      </c>
      <c r="H630" s="333">
        <f>$H$5*G630</f>
      </c>
      <c r="I630" s="333">
        <f>$I$5*G630</f>
      </c>
      <c r="J630" s="333">
        <f>+I630</f>
      </c>
      <c r="K630" s="333">
        <f>(1+$O$5)^(D630/12)*(H630+IF(AND(F630=1,F631=0),$S$4,0))</f>
      </c>
      <c r="L630" s="333">
        <f>(1+$O$5)^(D630/12)*(I630+IF(AND(F630=1,F631=0),0))</f>
      </c>
      <c r="M630" s="333">
        <f>+L630</f>
      </c>
      <c r="N630" s="333">
        <f>L630+K630+M630</f>
      </c>
      <c r="O630" s="170"/>
      <c r="P630" s="7"/>
      <c r="Q630" s="1"/>
      <c r="R630" s="331">
        <f>D630</f>
      </c>
      <c r="S630" s="169"/>
      <c r="T630" s="1"/>
      <c r="U630" s="217"/>
      <c r="V630" s="331">
        <f>+IF(V629=11,12,IF(V629=12,1,V629+1))</f>
      </c>
      <c r="W630" s="331">
        <f>+W629+IF(V629=12,1,0)</f>
      </c>
      <c r="X630" s="555">
        <f>+DATE(W630,V630,1)</f>
        <v>25569.041666666668</v>
      </c>
      <c r="Y630" s="333">
        <f>+_xlfn.IFNA(AN630+AS630+AX630,0)</f>
      </c>
      <c r="Z630" s="333">
        <f>+_xlfn.IFNA(AO630+AT630+AY630,0)</f>
      </c>
      <c r="AA630" s="333">
        <f>Y630*(1+$O$5)^(($B$7-X630)/365.25)</f>
      </c>
      <c r="AB630" s="333">
        <f>Z630*(1+$O$5)^(($B$7-X630)/365.25)</f>
      </c>
      <c r="AC630" s="1"/>
      <c r="AD630" s="1"/>
      <c r="AE630" s="1"/>
      <c r="AF630" s="111">
        <f>+MONTH(E630)&amp;YEAR(E630)</f>
      </c>
      <c r="AG630" s="217">
        <f>+I630</f>
      </c>
      <c r="AH630" s="217">
        <f>+J630</f>
      </c>
      <c r="AI630" s="217">
        <f>+H630</f>
      </c>
      <c r="AJ630" s="111">
        <f>+V630&amp;W630</f>
      </c>
      <c r="AK630" s="217">
        <f>+_xlfn.IFNA(VLOOKUP(AJ630,$AF$7:$AG$1066,2,0),0)</f>
      </c>
      <c r="AL630" s="217">
        <f>+IF(W630&gt;W629,AK630,AL629+AK630)</f>
      </c>
      <c r="AM630" s="217">
        <f>IF(W630&gt;W629,IF(AL630&gt;=$AZ$8,$AZ$8,AL630),IF(OR(AM629=$AZ$8,AM629=0),0,IF(AL630&gt;=$AZ$8,$AZ$8,AL630)))</f>
      </c>
      <c r="AN630" s="748">
        <f>+IF(OR(AM630&gt;AZ629,AM630=0),0,IF(AM630=AL630,AK630,$AZ$7-AL629))</f>
      </c>
      <c r="AO630" s="748">
        <f>+AK630-AN630</f>
      </c>
      <c r="AP630" s="217">
        <f>+_xlfn.IFNA(VLOOKUP(AJ630,$AF$7:$AI$1066,3,0),0)</f>
      </c>
      <c r="AQ630" s="217">
        <f>+IF(W630&gt;W629,AP630,AQ629+AP630)</f>
      </c>
      <c r="AR630" s="217">
        <f>+MAX($AM$2-SUMIF($W$7:$W$1066,W630,$AN$7:$AN$1066),0)</f>
      </c>
      <c r="AS630" s="748">
        <f>+MAX(IF(AQ630&gt;AR630,AR630-AQ629,AP630),0)</f>
      </c>
      <c r="AT630" s="748">
        <f>+AP630-AS630</f>
      </c>
      <c r="AU630" s="217">
        <f>+_xlfn.IFNA(VLOOKUP(AJ630,$AF$7:$AI$1066,4,0),0)</f>
      </c>
      <c r="AV630" s="217">
        <f>+IF(W630&gt;W629,AU630,AV629+AU630)</f>
      </c>
      <c r="AW630" s="217">
        <f>+MAX($AM$2-SUMIF($W$7:$W$1066,W630,$AN$7:$AN$1066)-SUMIF($W$7:$W$1066,W630,$AS$7:$AS$1066),0)</f>
      </c>
      <c r="AX630" s="748">
        <f>+MAX(IF(AV630&gt;AW630,AW630-AV629,AU630),0)</f>
      </c>
      <c r="AY630" s="748">
        <f>+AU630-AX630</f>
      </c>
      <c r="AZ630" s="331">
        <f>+$AM$1+IF($AP$1&gt;$AP$2,$AM$3/2)</f>
      </c>
    </row>
    <row x14ac:dyDescent="0.25" r="631" customHeight="1" ht="18.75">
      <c r="A631" s="1"/>
      <c r="B631" s="7"/>
      <c r="C631" s="170"/>
      <c r="D631" s="331">
        <v>624</v>
      </c>
      <c r="E631" s="544">
        <f>+DATE(YEAR(E630),MONTH(E630)-1,DAY(E630))</f>
        <v>25569.041666666668</v>
      </c>
      <c r="F631" s="333">
        <f>IF(DATE(YEAR($B$6),MONTH($B$6)+1,DAY(1))=E631,1,IF(MONTH(E631)=1,F632*(1+$F$5),F632))</f>
      </c>
      <c r="G631" s="333">
        <f>IF('Simulador - 1º Pilar'!$E$99="Sí",IF('Aportaciones PPE'!$B$13&lt;'Aportaciones PPE'!E631,0,F631*$B$8/12),F631*$B$8/12)</f>
      </c>
      <c r="H631" s="333">
        <f>$H$5*G631</f>
      </c>
      <c r="I631" s="333">
        <f>$I$5*G631</f>
      </c>
      <c r="J631" s="333">
        <f>+I631</f>
      </c>
      <c r="K631" s="333">
        <f>(1+$O$5)^(D631/12)*(H631+IF(AND(F631=1,F632=0),$S$4,0))</f>
      </c>
      <c r="L631" s="333">
        <f>(1+$O$5)^(D631/12)*(I631+IF(AND(F631=1,F632=0),0))</f>
      </c>
      <c r="M631" s="333">
        <f>+L631</f>
      </c>
      <c r="N631" s="333">
        <f>L631+K631+M631</f>
      </c>
      <c r="O631" s="170"/>
      <c r="P631" s="7"/>
      <c r="Q631" s="1"/>
      <c r="R631" s="331">
        <f>D631</f>
      </c>
      <c r="S631" s="169"/>
      <c r="T631" s="1"/>
      <c r="U631" s="217"/>
      <c r="V631" s="331">
        <f>+IF(V630=11,12,IF(V630=12,1,V630+1))</f>
      </c>
      <c r="W631" s="331">
        <f>+W630+IF(V630=12,1,0)</f>
      </c>
      <c r="X631" s="555">
        <f>+DATE(W631,V631,1)</f>
        <v>25569.041666666668</v>
      </c>
      <c r="Y631" s="333">
        <f>+_xlfn.IFNA(AN631+AS631+AX631,0)</f>
      </c>
      <c r="Z631" s="333">
        <f>+_xlfn.IFNA(AO631+AT631+AY631,0)</f>
      </c>
      <c r="AA631" s="333">
        <f>Y631*(1+$O$5)^(($B$7-X631)/365.25)</f>
      </c>
      <c r="AB631" s="333">
        <f>Z631*(1+$O$5)^(($B$7-X631)/365.25)</f>
      </c>
      <c r="AC631" s="1"/>
      <c r="AD631" s="1"/>
      <c r="AE631" s="1"/>
      <c r="AF631" s="111">
        <f>+MONTH(E631)&amp;YEAR(E631)</f>
      </c>
      <c r="AG631" s="217">
        <f>+I631</f>
      </c>
      <c r="AH631" s="217">
        <f>+J631</f>
      </c>
      <c r="AI631" s="217">
        <f>+H631</f>
      </c>
      <c r="AJ631" s="111">
        <f>+V631&amp;W631</f>
      </c>
      <c r="AK631" s="217">
        <f>+_xlfn.IFNA(VLOOKUP(AJ631,$AF$7:$AG$1066,2,0),0)</f>
      </c>
      <c r="AL631" s="217">
        <f>+IF(W631&gt;W630,AK631,AL630+AK631)</f>
      </c>
      <c r="AM631" s="217">
        <f>IF(W631&gt;W630,IF(AL631&gt;=$AZ$8,$AZ$8,AL631),IF(OR(AM630=$AZ$8,AM630=0),0,IF(AL631&gt;=$AZ$8,$AZ$8,AL631)))</f>
      </c>
      <c r="AN631" s="748">
        <f>+IF(OR(AM631&gt;AZ630,AM631=0),0,IF(AM631=AL631,AK631,$AZ$7-AL630))</f>
      </c>
      <c r="AO631" s="748">
        <f>+AK631-AN631</f>
      </c>
      <c r="AP631" s="217">
        <f>+_xlfn.IFNA(VLOOKUP(AJ631,$AF$7:$AI$1066,3,0),0)</f>
      </c>
      <c r="AQ631" s="217">
        <f>+IF(W631&gt;W630,AP631,AQ630+AP631)</f>
      </c>
      <c r="AR631" s="217">
        <f>+MAX($AM$2-SUMIF($W$7:$W$1066,W631,$AN$7:$AN$1066),0)</f>
      </c>
      <c r="AS631" s="748">
        <f>+MAX(IF(AQ631&gt;AR631,AR631-AQ630,AP631),0)</f>
      </c>
      <c r="AT631" s="748">
        <f>+AP631-AS631</f>
      </c>
      <c r="AU631" s="217">
        <f>+_xlfn.IFNA(VLOOKUP(AJ631,$AF$7:$AI$1066,4,0),0)</f>
      </c>
      <c r="AV631" s="217">
        <f>+IF(W631&gt;W630,AU631,AV630+AU631)</f>
      </c>
      <c r="AW631" s="217">
        <f>+MAX($AM$2-SUMIF($W$7:$W$1066,W631,$AN$7:$AN$1066)-SUMIF($W$7:$W$1066,W631,$AS$7:$AS$1066),0)</f>
      </c>
      <c r="AX631" s="748">
        <f>+MAX(IF(AV631&gt;AW631,AW631-AV630,AU631),0)</f>
      </c>
      <c r="AY631" s="748">
        <f>+AU631-AX631</f>
      </c>
      <c r="AZ631" s="331">
        <f>+$AM$1+IF($AP$1&gt;$AP$2,$AM$3/2)</f>
      </c>
    </row>
    <row x14ac:dyDescent="0.25" r="632" customHeight="1" ht="18.75">
      <c r="A632" s="1"/>
      <c r="B632" s="7"/>
      <c r="C632" s="170"/>
      <c r="D632" s="331">
        <v>625</v>
      </c>
      <c r="E632" s="544">
        <f>+DATE(YEAR(E631),MONTH(E631)-1,DAY(E631))</f>
        <v>25569.041666666668</v>
      </c>
      <c r="F632" s="333">
        <f>IF(DATE(YEAR($B$6),MONTH($B$6)+1,DAY(1))=E632,1,IF(MONTH(E632)=1,F633*(1+$F$5),F633))</f>
      </c>
      <c r="G632" s="333">
        <f>IF('Simulador - 1º Pilar'!$E$99="Sí",IF('Aportaciones PPE'!$B$13&lt;'Aportaciones PPE'!E632,0,F632*$B$8/12),F632*$B$8/12)</f>
      </c>
      <c r="H632" s="333">
        <f>$H$5*G632</f>
      </c>
      <c r="I632" s="333">
        <f>$I$5*G632</f>
      </c>
      <c r="J632" s="333">
        <f>+I632</f>
      </c>
      <c r="K632" s="333">
        <f>(1+$O$5)^(D632/12)*(H632+IF(AND(F632=1,F633=0),$S$4,0))</f>
      </c>
      <c r="L632" s="333">
        <f>(1+$O$5)^(D632/12)*(I632+IF(AND(F632=1,F633=0),0))</f>
      </c>
      <c r="M632" s="333">
        <f>+L632</f>
      </c>
      <c r="N632" s="333">
        <f>L632+K632+M632</f>
      </c>
      <c r="O632" s="170"/>
      <c r="P632" s="7"/>
      <c r="Q632" s="1"/>
      <c r="R632" s="331">
        <f>D632</f>
      </c>
      <c r="S632" s="169"/>
      <c r="T632" s="1"/>
      <c r="U632" s="217"/>
      <c r="V632" s="331">
        <f>+IF(V631=11,12,IF(V631=12,1,V631+1))</f>
      </c>
      <c r="W632" s="331">
        <f>+W631+IF(V631=12,1,0)</f>
      </c>
      <c r="X632" s="555">
        <f>+DATE(W632,V632,1)</f>
        <v>25569.041666666668</v>
      </c>
      <c r="Y632" s="333">
        <f>+_xlfn.IFNA(AN632+AS632+AX632,0)</f>
      </c>
      <c r="Z632" s="333">
        <f>+_xlfn.IFNA(AO632+AT632+AY632,0)</f>
      </c>
      <c r="AA632" s="333">
        <f>Y632*(1+$O$5)^(($B$7-X632)/365.25)</f>
      </c>
      <c r="AB632" s="333">
        <f>Z632*(1+$O$5)^(($B$7-X632)/365.25)</f>
      </c>
      <c r="AC632" s="1"/>
      <c r="AD632" s="1"/>
      <c r="AE632" s="1"/>
      <c r="AF632" s="111">
        <f>+MONTH(E632)&amp;YEAR(E632)</f>
      </c>
      <c r="AG632" s="217">
        <f>+I632</f>
      </c>
      <c r="AH632" s="217">
        <f>+J632</f>
      </c>
      <c r="AI632" s="217">
        <f>+H632</f>
      </c>
      <c r="AJ632" s="111">
        <f>+V632&amp;W632</f>
      </c>
      <c r="AK632" s="217">
        <f>+_xlfn.IFNA(VLOOKUP(AJ632,$AF$7:$AG$1066,2,0),0)</f>
      </c>
      <c r="AL632" s="217">
        <f>+IF(W632&gt;W631,AK632,AL631+AK632)</f>
      </c>
      <c r="AM632" s="217">
        <f>IF(W632&gt;W631,IF(AL632&gt;=$AZ$8,$AZ$8,AL632),IF(OR(AM631=$AZ$8,AM631=0),0,IF(AL632&gt;=$AZ$8,$AZ$8,AL632)))</f>
      </c>
      <c r="AN632" s="748">
        <f>+IF(OR(AM632&gt;AZ631,AM632=0),0,IF(AM632=AL632,AK632,$AZ$7-AL631))</f>
      </c>
      <c r="AO632" s="748">
        <f>+AK632-AN632</f>
      </c>
      <c r="AP632" s="217">
        <f>+_xlfn.IFNA(VLOOKUP(AJ632,$AF$7:$AI$1066,3,0),0)</f>
      </c>
      <c r="AQ632" s="217">
        <f>+IF(W632&gt;W631,AP632,AQ631+AP632)</f>
      </c>
      <c r="AR632" s="217">
        <f>+MAX($AM$2-SUMIF($W$7:$W$1066,W632,$AN$7:$AN$1066),0)</f>
      </c>
      <c r="AS632" s="748">
        <f>+MAX(IF(AQ632&gt;AR632,AR632-AQ631,AP632),0)</f>
      </c>
      <c r="AT632" s="748">
        <f>+AP632-AS632</f>
      </c>
      <c r="AU632" s="217">
        <f>+_xlfn.IFNA(VLOOKUP(AJ632,$AF$7:$AI$1066,4,0),0)</f>
      </c>
      <c r="AV632" s="217">
        <f>+IF(W632&gt;W631,AU632,AV631+AU632)</f>
      </c>
      <c r="AW632" s="217">
        <f>+MAX($AM$2-SUMIF($W$7:$W$1066,W632,$AN$7:$AN$1066)-SUMIF($W$7:$W$1066,W632,$AS$7:$AS$1066),0)</f>
      </c>
      <c r="AX632" s="748">
        <f>+MAX(IF(AV632&gt;AW632,AW632-AV631,AU632),0)</f>
      </c>
      <c r="AY632" s="748">
        <f>+AU632-AX632</f>
      </c>
      <c r="AZ632" s="331">
        <f>+$AM$1+IF($AP$1&gt;$AP$2,$AM$3/2)</f>
      </c>
    </row>
    <row x14ac:dyDescent="0.25" r="633" customHeight="1" ht="18.75">
      <c r="A633" s="1"/>
      <c r="B633" s="7"/>
      <c r="C633" s="170"/>
      <c r="D633" s="331">
        <v>626</v>
      </c>
      <c r="E633" s="544">
        <f>+DATE(YEAR(E632),MONTH(E632)-1,DAY(E632))</f>
        <v>25569.041666666668</v>
      </c>
      <c r="F633" s="333">
        <f>IF(DATE(YEAR($B$6),MONTH($B$6)+1,DAY(1))=E633,1,IF(MONTH(E633)=1,F634*(1+$F$5),F634))</f>
      </c>
      <c r="G633" s="333">
        <f>IF('Simulador - 1º Pilar'!$E$99="Sí",IF('Aportaciones PPE'!$B$13&lt;'Aportaciones PPE'!E633,0,F633*$B$8/12),F633*$B$8/12)</f>
      </c>
      <c r="H633" s="333">
        <f>$H$5*G633</f>
      </c>
      <c r="I633" s="333">
        <f>$I$5*G633</f>
      </c>
      <c r="J633" s="333">
        <f>+I633</f>
      </c>
      <c r="K633" s="333">
        <f>(1+$O$5)^(D633/12)*(H633+IF(AND(F633=1,F634=0),$S$4,0))</f>
      </c>
      <c r="L633" s="333">
        <f>(1+$O$5)^(D633/12)*(I633+IF(AND(F633=1,F634=0),0))</f>
      </c>
      <c r="M633" s="333">
        <f>+L633</f>
      </c>
      <c r="N633" s="333">
        <f>L633+K633+M633</f>
      </c>
      <c r="O633" s="170"/>
      <c r="P633" s="7"/>
      <c r="Q633" s="1"/>
      <c r="R633" s="331">
        <f>D633</f>
      </c>
      <c r="S633" s="169"/>
      <c r="T633" s="1"/>
      <c r="U633" s="217"/>
      <c r="V633" s="331">
        <f>+IF(V632=11,12,IF(V632=12,1,V632+1))</f>
      </c>
      <c r="W633" s="331">
        <f>+W632+IF(V632=12,1,0)</f>
      </c>
      <c r="X633" s="555">
        <f>+DATE(W633,V633,1)</f>
        <v>25569.041666666668</v>
      </c>
      <c r="Y633" s="333">
        <f>+_xlfn.IFNA(AN633+AS633+AX633,0)</f>
      </c>
      <c r="Z633" s="333">
        <f>+_xlfn.IFNA(AO633+AT633+AY633,0)</f>
      </c>
      <c r="AA633" s="333">
        <f>Y633*(1+$O$5)^(($B$7-X633)/365.25)</f>
      </c>
      <c r="AB633" s="333">
        <f>Z633*(1+$O$5)^(($B$7-X633)/365.25)</f>
      </c>
      <c r="AC633" s="1"/>
      <c r="AD633" s="1"/>
      <c r="AE633" s="1"/>
      <c r="AF633" s="111">
        <f>+MONTH(E633)&amp;YEAR(E633)</f>
      </c>
      <c r="AG633" s="217">
        <f>+I633</f>
      </c>
      <c r="AH633" s="217">
        <f>+J633</f>
      </c>
      <c r="AI633" s="217">
        <f>+H633</f>
      </c>
      <c r="AJ633" s="111">
        <f>+V633&amp;W633</f>
      </c>
      <c r="AK633" s="217">
        <f>+_xlfn.IFNA(VLOOKUP(AJ633,$AF$7:$AG$1066,2,0),0)</f>
      </c>
      <c r="AL633" s="217">
        <f>+IF(W633&gt;W632,AK633,AL632+AK633)</f>
      </c>
      <c r="AM633" s="217">
        <f>IF(W633&gt;W632,IF(AL633&gt;=$AZ$8,$AZ$8,AL633),IF(OR(AM632=$AZ$8,AM632=0),0,IF(AL633&gt;=$AZ$8,$AZ$8,AL633)))</f>
      </c>
      <c r="AN633" s="748">
        <f>+IF(OR(AM633&gt;AZ632,AM633=0),0,IF(AM633=AL633,AK633,$AZ$7-AL632))</f>
      </c>
      <c r="AO633" s="748">
        <f>+AK633-AN633</f>
      </c>
      <c r="AP633" s="217">
        <f>+_xlfn.IFNA(VLOOKUP(AJ633,$AF$7:$AI$1066,3,0),0)</f>
      </c>
      <c r="AQ633" s="217">
        <f>+IF(W633&gt;W632,AP633,AQ632+AP633)</f>
      </c>
      <c r="AR633" s="217">
        <f>+MAX($AM$2-SUMIF($W$7:$W$1066,W633,$AN$7:$AN$1066),0)</f>
      </c>
      <c r="AS633" s="748">
        <f>+MAX(IF(AQ633&gt;AR633,AR633-AQ632,AP633),0)</f>
      </c>
      <c r="AT633" s="748">
        <f>+AP633-AS633</f>
      </c>
      <c r="AU633" s="217">
        <f>+_xlfn.IFNA(VLOOKUP(AJ633,$AF$7:$AI$1066,4,0),0)</f>
      </c>
      <c r="AV633" s="217">
        <f>+IF(W633&gt;W632,AU633,AV632+AU633)</f>
      </c>
      <c r="AW633" s="217">
        <f>+MAX($AM$2-SUMIF($W$7:$W$1066,W633,$AN$7:$AN$1066)-SUMIF($W$7:$W$1066,W633,$AS$7:$AS$1066),0)</f>
      </c>
      <c r="AX633" s="748">
        <f>+MAX(IF(AV633&gt;AW633,AW633-AV632,AU633),0)</f>
      </c>
      <c r="AY633" s="748">
        <f>+AU633-AX633</f>
      </c>
      <c r="AZ633" s="331">
        <f>+$AM$1+IF($AP$1&gt;$AP$2,$AM$3/2)</f>
      </c>
    </row>
    <row x14ac:dyDescent="0.25" r="634" customHeight="1" ht="18.75">
      <c r="A634" s="1"/>
      <c r="B634" s="7"/>
      <c r="C634" s="170"/>
      <c r="D634" s="331">
        <v>627</v>
      </c>
      <c r="E634" s="544">
        <f>+DATE(YEAR(E633),MONTH(E633)-1,DAY(E633))</f>
        <v>25569.041666666668</v>
      </c>
      <c r="F634" s="333">
        <f>IF(DATE(YEAR($B$6),MONTH($B$6)+1,DAY(1))=E634,1,IF(MONTH(E634)=1,F635*(1+$F$5),F635))</f>
      </c>
      <c r="G634" s="333">
        <f>IF('Simulador - 1º Pilar'!$E$99="Sí",IF('Aportaciones PPE'!$B$13&lt;'Aportaciones PPE'!E634,0,F634*$B$8/12),F634*$B$8/12)</f>
      </c>
      <c r="H634" s="333">
        <f>$H$5*G634</f>
      </c>
      <c r="I634" s="333">
        <f>$I$5*G634</f>
      </c>
      <c r="J634" s="333">
        <f>+I634</f>
      </c>
      <c r="K634" s="333">
        <f>(1+$O$5)^(D634/12)*(H634+IF(AND(F634=1,F635=0),$S$4,0))</f>
      </c>
      <c r="L634" s="333">
        <f>(1+$O$5)^(D634/12)*(I634+IF(AND(F634=1,F635=0),0))</f>
      </c>
      <c r="M634" s="333">
        <f>+L634</f>
      </c>
      <c r="N634" s="333">
        <f>L634+K634+M634</f>
      </c>
      <c r="O634" s="170"/>
      <c r="P634" s="7"/>
      <c r="Q634" s="1"/>
      <c r="R634" s="331">
        <f>D634</f>
      </c>
      <c r="S634" s="169"/>
      <c r="T634" s="1"/>
      <c r="U634" s="217"/>
      <c r="V634" s="331">
        <f>+IF(V633=11,12,IF(V633=12,1,V633+1))</f>
      </c>
      <c r="W634" s="331">
        <f>+W633+IF(V633=12,1,0)</f>
      </c>
      <c r="X634" s="555">
        <f>+DATE(W634,V634,1)</f>
        <v>25569.041666666668</v>
      </c>
      <c r="Y634" s="333">
        <f>+_xlfn.IFNA(AN634+AS634+AX634,0)</f>
      </c>
      <c r="Z634" s="333">
        <f>+_xlfn.IFNA(AO634+AT634+AY634,0)</f>
      </c>
      <c r="AA634" s="333">
        <f>Y634*(1+$O$5)^(($B$7-X634)/365.25)</f>
      </c>
      <c r="AB634" s="333">
        <f>Z634*(1+$O$5)^(($B$7-X634)/365.25)</f>
      </c>
      <c r="AC634" s="1"/>
      <c r="AD634" s="1"/>
      <c r="AE634" s="1"/>
      <c r="AF634" s="111">
        <f>+MONTH(E634)&amp;YEAR(E634)</f>
      </c>
      <c r="AG634" s="217">
        <f>+I634</f>
      </c>
      <c r="AH634" s="217">
        <f>+J634</f>
      </c>
      <c r="AI634" s="217">
        <f>+H634</f>
      </c>
      <c r="AJ634" s="111">
        <f>+V634&amp;W634</f>
      </c>
      <c r="AK634" s="217">
        <f>+_xlfn.IFNA(VLOOKUP(AJ634,$AF$7:$AG$1066,2,0),0)</f>
      </c>
      <c r="AL634" s="217">
        <f>+IF(W634&gt;W633,AK634,AL633+AK634)</f>
      </c>
      <c r="AM634" s="217">
        <f>IF(W634&gt;W633,IF(AL634&gt;=$AZ$8,$AZ$8,AL634),IF(OR(AM633=$AZ$8,AM633=0),0,IF(AL634&gt;=$AZ$8,$AZ$8,AL634)))</f>
      </c>
      <c r="AN634" s="748">
        <f>+IF(OR(AM634&gt;AZ633,AM634=0),0,IF(AM634=AL634,AK634,$AZ$7-AL633))</f>
      </c>
      <c r="AO634" s="748">
        <f>+AK634-AN634</f>
      </c>
      <c r="AP634" s="217">
        <f>+_xlfn.IFNA(VLOOKUP(AJ634,$AF$7:$AI$1066,3,0),0)</f>
      </c>
      <c r="AQ634" s="217">
        <f>+IF(W634&gt;W633,AP634,AQ633+AP634)</f>
      </c>
      <c r="AR634" s="217">
        <f>+MAX($AM$2-SUMIF($W$7:$W$1066,W634,$AN$7:$AN$1066),0)</f>
      </c>
      <c r="AS634" s="748">
        <f>+MAX(IF(AQ634&gt;AR634,AR634-AQ633,AP634),0)</f>
      </c>
      <c r="AT634" s="748">
        <f>+AP634-AS634</f>
      </c>
      <c r="AU634" s="217">
        <f>+_xlfn.IFNA(VLOOKUP(AJ634,$AF$7:$AI$1066,4,0),0)</f>
      </c>
      <c r="AV634" s="217">
        <f>+IF(W634&gt;W633,AU634,AV633+AU634)</f>
      </c>
      <c r="AW634" s="217">
        <f>+MAX($AM$2-SUMIF($W$7:$W$1066,W634,$AN$7:$AN$1066)-SUMIF($W$7:$W$1066,W634,$AS$7:$AS$1066),0)</f>
      </c>
      <c r="AX634" s="748">
        <f>+MAX(IF(AV634&gt;AW634,AW634-AV633,AU634),0)</f>
      </c>
      <c r="AY634" s="748">
        <f>+AU634-AX634</f>
      </c>
      <c r="AZ634" s="331">
        <f>+$AM$1+IF($AP$1&gt;$AP$2,$AM$3/2)</f>
      </c>
    </row>
    <row x14ac:dyDescent="0.25" r="635" customHeight="1" ht="18.75">
      <c r="A635" s="1"/>
      <c r="B635" s="7"/>
      <c r="C635" s="170"/>
      <c r="D635" s="331">
        <v>628</v>
      </c>
      <c r="E635" s="544">
        <f>+DATE(YEAR(E634),MONTH(E634)-1,DAY(E634))</f>
        <v>25569.041666666668</v>
      </c>
      <c r="F635" s="333">
        <f>IF(DATE(YEAR($B$6),MONTH($B$6)+1,DAY(1))=E635,1,IF(MONTH(E635)=1,F636*(1+$F$5),F636))</f>
      </c>
      <c r="G635" s="333">
        <f>IF('Simulador - 1º Pilar'!$E$99="Sí",IF('Aportaciones PPE'!$B$13&lt;'Aportaciones PPE'!E635,0,F635*$B$8/12),F635*$B$8/12)</f>
      </c>
      <c r="H635" s="333">
        <f>$H$5*G635</f>
      </c>
      <c r="I635" s="333">
        <f>$I$5*G635</f>
      </c>
      <c r="J635" s="333">
        <f>+I635</f>
      </c>
      <c r="K635" s="333">
        <f>(1+$O$5)^(D635/12)*(H635+IF(AND(F635=1,F636=0),$S$4,0))</f>
      </c>
      <c r="L635" s="333">
        <f>(1+$O$5)^(D635/12)*(I635+IF(AND(F635=1,F636=0),0))</f>
      </c>
      <c r="M635" s="333">
        <f>+L635</f>
      </c>
      <c r="N635" s="333">
        <f>L635+K635+M635</f>
      </c>
      <c r="O635" s="170"/>
      <c r="P635" s="7"/>
      <c r="Q635" s="1"/>
      <c r="R635" s="331">
        <f>D635</f>
      </c>
      <c r="S635" s="169"/>
      <c r="T635" s="1"/>
      <c r="U635" s="217"/>
      <c r="V635" s="331">
        <f>+IF(V634=11,12,IF(V634=12,1,V634+1))</f>
      </c>
      <c r="W635" s="331">
        <f>+W634+IF(V634=12,1,0)</f>
      </c>
      <c r="X635" s="555">
        <f>+DATE(W635,V635,1)</f>
        <v>25569.041666666668</v>
      </c>
      <c r="Y635" s="333">
        <f>+_xlfn.IFNA(AN635+AS635+AX635,0)</f>
      </c>
      <c r="Z635" s="333">
        <f>+_xlfn.IFNA(AO635+AT635+AY635,0)</f>
      </c>
      <c r="AA635" s="333">
        <f>Y635*(1+$O$5)^(($B$7-X635)/365.25)</f>
      </c>
      <c r="AB635" s="333">
        <f>Z635*(1+$O$5)^(($B$7-X635)/365.25)</f>
      </c>
      <c r="AC635" s="1"/>
      <c r="AD635" s="1"/>
      <c r="AE635" s="1"/>
      <c r="AF635" s="111">
        <f>+MONTH(E635)&amp;YEAR(E635)</f>
      </c>
      <c r="AG635" s="217">
        <f>+I635</f>
      </c>
      <c r="AH635" s="217">
        <f>+J635</f>
      </c>
      <c r="AI635" s="217">
        <f>+H635</f>
      </c>
      <c r="AJ635" s="111">
        <f>+V635&amp;W635</f>
      </c>
      <c r="AK635" s="217">
        <f>+_xlfn.IFNA(VLOOKUP(AJ635,$AF$7:$AG$1066,2,0),0)</f>
      </c>
      <c r="AL635" s="217">
        <f>+IF(W635&gt;W634,AK635,AL634+AK635)</f>
      </c>
      <c r="AM635" s="217">
        <f>IF(W635&gt;W634,IF(AL635&gt;=$AZ$8,$AZ$8,AL635),IF(OR(AM634=$AZ$8,AM634=0),0,IF(AL635&gt;=$AZ$8,$AZ$8,AL635)))</f>
      </c>
      <c r="AN635" s="748">
        <f>+IF(OR(AM635&gt;AZ634,AM635=0),0,IF(AM635=AL635,AK635,$AZ$7-AL634))</f>
      </c>
      <c r="AO635" s="748">
        <f>+AK635-AN635</f>
      </c>
      <c r="AP635" s="217">
        <f>+_xlfn.IFNA(VLOOKUP(AJ635,$AF$7:$AI$1066,3,0),0)</f>
      </c>
      <c r="AQ635" s="217">
        <f>+IF(W635&gt;W634,AP635,AQ634+AP635)</f>
      </c>
      <c r="AR635" s="217">
        <f>+MAX($AM$2-SUMIF($W$7:$W$1066,W635,$AN$7:$AN$1066),0)</f>
      </c>
      <c r="AS635" s="748">
        <f>+MAX(IF(AQ635&gt;AR635,AR635-AQ634,AP635),0)</f>
      </c>
      <c r="AT635" s="748">
        <f>+AP635-AS635</f>
      </c>
      <c r="AU635" s="217">
        <f>+_xlfn.IFNA(VLOOKUP(AJ635,$AF$7:$AI$1066,4,0),0)</f>
      </c>
      <c r="AV635" s="217">
        <f>+IF(W635&gt;W634,AU635,AV634+AU635)</f>
      </c>
      <c r="AW635" s="217">
        <f>+MAX($AM$2-SUMIF($W$7:$W$1066,W635,$AN$7:$AN$1066)-SUMIF($W$7:$W$1066,W635,$AS$7:$AS$1066),0)</f>
      </c>
      <c r="AX635" s="748">
        <f>+MAX(IF(AV635&gt;AW635,AW635-AV634,AU635),0)</f>
      </c>
      <c r="AY635" s="748">
        <f>+AU635-AX635</f>
      </c>
      <c r="AZ635" s="331">
        <f>+$AM$1+IF($AP$1&gt;$AP$2,$AM$3/2)</f>
      </c>
    </row>
    <row x14ac:dyDescent="0.25" r="636" customHeight="1" ht="18.75">
      <c r="A636" s="1"/>
      <c r="B636" s="7"/>
      <c r="C636" s="170"/>
      <c r="D636" s="331">
        <v>629</v>
      </c>
      <c r="E636" s="544">
        <f>+DATE(YEAR(E635),MONTH(E635)-1,DAY(E635))</f>
        <v>25569.041666666668</v>
      </c>
      <c r="F636" s="333">
        <f>IF(DATE(YEAR($B$6),MONTH($B$6)+1,DAY(1))=E636,1,IF(MONTH(E636)=1,F637*(1+$F$5),F637))</f>
      </c>
      <c r="G636" s="333">
        <f>IF('Simulador - 1º Pilar'!$E$99="Sí",IF('Aportaciones PPE'!$B$13&lt;'Aportaciones PPE'!E636,0,F636*$B$8/12),F636*$B$8/12)</f>
      </c>
      <c r="H636" s="333">
        <f>$H$5*G636</f>
      </c>
      <c r="I636" s="333">
        <f>$I$5*G636</f>
      </c>
      <c r="J636" s="333">
        <f>+I636</f>
      </c>
      <c r="K636" s="333">
        <f>(1+$O$5)^(D636/12)*(H636+IF(AND(F636=1,F637=0),$S$4,0))</f>
      </c>
      <c r="L636" s="333">
        <f>(1+$O$5)^(D636/12)*(I636+IF(AND(F636=1,F637=0),0))</f>
      </c>
      <c r="M636" s="333">
        <f>+L636</f>
      </c>
      <c r="N636" s="333">
        <f>L636+K636+M636</f>
      </c>
      <c r="O636" s="170"/>
      <c r="P636" s="7"/>
      <c r="Q636" s="1"/>
      <c r="R636" s="331">
        <f>D636</f>
      </c>
      <c r="S636" s="169"/>
      <c r="T636" s="1"/>
      <c r="U636" s="217"/>
      <c r="V636" s="331">
        <f>+IF(V635=11,12,IF(V635=12,1,V635+1))</f>
      </c>
      <c r="W636" s="331">
        <f>+W635+IF(V635=12,1,0)</f>
      </c>
      <c r="X636" s="555">
        <f>+DATE(W636,V636,1)</f>
        <v>25569.041666666668</v>
      </c>
      <c r="Y636" s="333">
        <f>+_xlfn.IFNA(AN636+AS636+AX636,0)</f>
      </c>
      <c r="Z636" s="333">
        <f>+_xlfn.IFNA(AO636+AT636+AY636,0)</f>
      </c>
      <c r="AA636" s="333">
        <f>Y636*(1+$O$5)^(($B$7-X636)/365.25)</f>
      </c>
      <c r="AB636" s="333">
        <f>Z636*(1+$O$5)^(($B$7-X636)/365.25)</f>
      </c>
      <c r="AC636" s="1"/>
      <c r="AD636" s="1"/>
      <c r="AE636" s="1"/>
      <c r="AF636" s="111">
        <f>+MONTH(E636)&amp;YEAR(E636)</f>
      </c>
      <c r="AG636" s="217">
        <f>+I636</f>
      </c>
      <c r="AH636" s="217">
        <f>+J636</f>
      </c>
      <c r="AI636" s="217">
        <f>+H636</f>
      </c>
      <c r="AJ636" s="111">
        <f>+V636&amp;W636</f>
      </c>
      <c r="AK636" s="217">
        <f>+_xlfn.IFNA(VLOOKUP(AJ636,$AF$7:$AG$1066,2,0),0)</f>
      </c>
      <c r="AL636" s="217">
        <f>+IF(W636&gt;W635,AK636,AL635+AK636)</f>
      </c>
      <c r="AM636" s="217">
        <f>IF(W636&gt;W635,IF(AL636&gt;=$AZ$8,$AZ$8,AL636),IF(OR(AM635=$AZ$8,AM635=0),0,IF(AL636&gt;=$AZ$8,$AZ$8,AL636)))</f>
      </c>
      <c r="AN636" s="748">
        <f>+IF(OR(AM636&gt;AZ635,AM636=0),0,IF(AM636=AL636,AK636,$AZ$7-AL635))</f>
      </c>
      <c r="AO636" s="748">
        <f>+AK636-AN636</f>
      </c>
      <c r="AP636" s="217">
        <f>+_xlfn.IFNA(VLOOKUP(AJ636,$AF$7:$AI$1066,3,0),0)</f>
      </c>
      <c r="AQ636" s="217">
        <f>+IF(W636&gt;W635,AP636,AQ635+AP636)</f>
      </c>
      <c r="AR636" s="217">
        <f>+MAX($AM$2-SUMIF($W$7:$W$1066,W636,$AN$7:$AN$1066),0)</f>
      </c>
      <c r="AS636" s="748">
        <f>+MAX(IF(AQ636&gt;AR636,AR636-AQ635,AP636),0)</f>
      </c>
      <c r="AT636" s="748">
        <f>+AP636-AS636</f>
      </c>
      <c r="AU636" s="217">
        <f>+_xlfn.IFNA(VLOOKUP(AJ636,$AF$7:$AI$1066,4,0),0)</f>
      </c>
      <c r="AV636" s="217">
        <f>+IF(W636&gt;W635,AU636,AV635+AU636)</f>
      </c>
      <c r="AW636" s="217">
        <f>+MAX($AM$2-SUMIF($W$7:$W$1066,W636,$AN$7:$AN$1066)-SUMIF($W$7:$W$1066,W636,$AS$7:$AS$1066),0)</f>
      </c>
      <c r="AX636" s="748">
        <f>+MAX(IF(AV636&gt;AW636,AW636-AV635,AU636),0)</f>
      </c>
      <c r="AY636" s="748">
        <f>+AU636-AX636</f>
      </c>
      <c r="AZ636" s="331">
        <f>+$AM$1+IF($AP$1&gt;$AP$2,$AM$3/2)</f>
      </c>
    </row>
    <row x14ac:dyDescent="0.25" r="637" customHeight="1" ht="18.75">
      <c r="A637" s="1"/>
      <c r="B637" s="7"/>
      <c r="C637" s="170"/>
      <c r="D637" s="331">
        <v>630</v>
      </c>
      <c r="E637" s="544">
        <f>+DATE(YEAR(E636),MONTH(E636)-1,DAY(E636))</f>
        <v>25569.041666666668</v>
      </c>
      <c r="F637" s="333">
        <f>IF(DATE(YEAR($B$6),MONTH($B$6)+1,DAY(1))=E637,1,IF(MONTH(E637)=1,F638*(1+$F$5),F638))</f>
      </c>
      <c r="G637" s="333">
        <f>IF('Simulador - 1º Pilar'!$E$99="Sí",IF('Aportaciones PPE'!$B$13&lt;'Aportaciones PPE'!E637,0,F637*$B$8/12),F637*$B$8/12)</f>
      </c>
      <c r="H637" s="333">
        <f>$H$5*G637</f>
      </c>
      <c r="I637" s="333">
        <f>$I$5*G637</f>
      </c>
      <c r="J637" s="333">
        <f>+I637</f>
      </c>
      <c r="K637" s="333">
        <f>(1+$O$5)^(D637/12)*(H637+IF(AND(F637=1,F638=0),$S$4,0))</f>
      </c>
      <c r="L637" s="333">
        <f>(1+$O$5)^(D637/12)*(I637+IF(AND(F637=1,F638=0),0))</f>
      </c>
      <c r="M637" s="333">
        <f>+L637</f>
      </c>
      <c r="N637" s="333">
        <f>L637+K637+M637</f>
      </c>
      <c r="O637" s="170"/>
      <c r="P637" s="7"/>
      <c r="Q637" s="1"/>
      <c r="R637" s="331">
        <f>D637</f>
      </c>
      <c r="S637" s="169"/>
      <c r="T637" s="1"/>
      <c r="U637" s="217"/>
      <c r="V637" s="331">
        <f>+IF(V636=11,12,IF(V636=12,1,V636+1))</f>
      </c>
      <c r="W637" s="331">
        <f>+W636+IF(V636=12,1,0)</f>
      </c>
      <c r="X637" s="555">
        <f>+DATE(W637,V637,1)</f>
        <v>25569.041666666668</v>
      </c>
      <c r="Y637" s="333">
        <f>+_xlfn.IFNA(AN637+AS637+AX637,0)</f>
      </c>
      <c r="Z637" s="333">
        <f>+_xlfn.IFNA(AO637+AT637+AY637,0)</f>
      </c>
      <c r="AA637" s="333">
        <f>Y637*(1+$O$5)^(($B$7-X637)/365.25)</f>
      </c>
      <c r="AB637" s="333">
        <f>Z637*(1+$O$5)^(($B$7-X637)/365.25)</f>
      </c>
      <c r="AC637" s="1"/>
      <c r="AD637" s="1"/>
      <c r="AE637" s="1"/>
      <c r="AF637" s="111">
        <f>+MONTH(E637)&amp;YEAR(E637)</f>
      </c>
      <c r="AG637" s="217">
        <f>+I637</f>
      </c>
      <c r="AH637" s="217">
        <f>+J637</f>
      </c>
      <c r="AI637" s="217">
        <f>+H637</f>
      </c>
      <c r="AJ637" s="111">
        <f>+V637&amp;W637</f>
      </c>
      <c r="AK637" s="217">
        <f>+_xlfn.IFNA(VLOOKUP(AJ637,$AF$7:$AG$1066,2,0),0)</f>
      </c>
      <c r="AL637" s="217">
        <f>+IF(W637&gt;W636,AK637,AL636+AK637)</f>
      </c>
      <c r="AM637" s="217">
        <f>IF(W637&gt;W636,IF(AL637&gt;=$AZ$8,$AZ$8,AL637),IF(OR(AM636=$AZ$8,AM636=0),0,IF(AL637&gt;=$AZ$8,$AZ$8,AL637)))</f>
      </c>
      <c r="AN637" s="748">
        <f>+IF(OR(AM637&gt;AZ636,AM637=0),0,IF(AM637=AL637,AK637,$AZ$7-AL636))</f>
      </c>
      <c r="AO637" s="748">
        <f>+AK637-AN637</f>
      </c>
      <c r="AP637" s="217">
        <f>+_xlfn.IFNA(VLOOKUP(AJ637,$AF$7:$AI$1066,3,0),0)</f>
      </c>
      <c r="AQ637" s="217">
        <f>+IF(W637&gt;W636,AP637,AQ636+AP637)</f>
      </c>
      <c r="AR637" s="217">
        <f>+MAX($AM$2-SUMIF($W$7:$W$1066,W637,$AN$7:$AN$1066),0)</f>
      </c>
      <c r="AS637" s="748">
        <f>+MAX(IF(AQ637&gt;AR637,AR637-AQ636,AP637),0)</f>
      </c>
      <c r="AT637" s="748">
        <f>+AP637-AS637</f>
      </c>
      <c r="AU637" s="217">
        <f>+_xlfn.IFNA(VLOOKUP(AJ637,$AF$7:$AI$1066,4,0),0)</f>
      </c>
      <c r="AV637" s="217">
        <f>+IF(W637&gt;W636,AU637,AV636+AU637)</f>
      </c>
      <c r="AW637" s="217">
        <f>+MAX($AM$2-SUMIF($W$7:$W$1066,W637,$AN$7:$AN$1066)-SUMIF($W$7:$W$1066,W637,$AS$7:$AS$1066),0)</f>
      </c>
      <c r="AX637" s="748">
        <f>+MAX(IF(AV637&gt;AW637,AW637-AV636,AU637),0)</f>
      </c>
      <c r="AY637" s="748">
        <f>+AU637-AX637</f>
      </c>
      <c r="AZ637" s="331">
        <f>+$AM$1+IF($AP$1&gt;$AP$2,$AM$3/2)</f>
      </c>
    </row>
    <row x14ac:dyDescent="0.25" r="638" customHeight="1" ht="18.75">
      <c r="A638" s="1"/>
      <c r="B638" s="7"/>
      <c r="C638" s="170"/>
      <c r="D638" s="331">
        <v>631</v>
      </c>
      <c r="E638" s="544">
        <f>+DATE(YEAR(E637),MONTH(E637)-1,DAY(E637))</f>
        <v>25569.041666666668</v>
      </c>
      <c r="F638" s="333">
        <f>IF(DATE(YEAR($B$6),MONTH($B$6)+1,DAY(1))=E638,1,IF(MONTH(E638)=1,F639*(1+$F$5),F639))</f>
      </c>
      <c r="G638" s="333">
        <f>IF('Simulador - 1º Pilar'!$E$99="Sí",IF('Aportaciones PPE'!$B$13&lt;'Aportaciones PPE'!E638,0,F638*$B$8/12),F638*$B$8/12)</f>
      </c>
      <c r="H638" s="333">
        <f>$H$5*G638</f>
      </c>
      <c r="I638" s="333">
        <f>$I$5*G638</f>
      </c>
      <c r="J638" s="333">
        <f>+I638</f>
      </c>
      <c r="K638" s="333">
        <f>(1+$O$5)^(D638/12)*(H638+IF(AND(F638=1,F639=0),$S$4,0))</f>
      </c>
      <c r="L638" s="333">
        <f>(1+$O$5)^(D638/12)*(I638+IF(AND(F638=1,F639=0),0))</f>
      </c>
      <c r="M638" s="333">
        <f>+L638</f>
      </c>
      <c r="N638" s="333">
        <f>L638+K638+M638</f>
      </c>
      <c r="O638" s="170"/>
      <c r="P638" s="7"/>
      <c r="Q638" s="1"/>
      <c r="R638" s="331">
        <f>D638</f>
      </c>
      <c r="S638" s="169"/>
      <c r="T638" s="1"/>
      <c r="U638" s="217"/>
      <c r="V638" s="331">
        <f>+IF(V637=11,12,IF(V637=12,1,V637+1))</f>
      </c>
      <c r="W638" s="331">
        <f>+W637+IF(V637=12,1,0)</f>
      </c>
      <c r="X638" s="555">
        <f>+DATE(W638,V638,1)</f>
        <v>25569.041666666668</v>
      </c>
      <c r="Y638" s="333">
        <f>+_xlfn.IFNA(AN638+AS638+AX638,0)</f>
      </c>
      <c r="Z638" s="333">
        <f>+_xlfn.IFNA(AO638+AT638+AY638,0)</f>
      </c>
      <c r="AA638" s="333">
        <f>Y638*(1+$O$5)^(($B$7-X638)/365.25)</f>
      </c>
      <c r="AB638" s="333">
        <f>Z638*(1+$O$5)^(($B$7-X638)/365.25)</f>
      </c>
      <c r="AC638" s="1"/>
      <c r="AD638" s="1"/>
      <c r="AE638" s="1"/>
      <c r="AF638" s="111">
        <f>+MONTH(E638)&amp;YEAR(E638)</f>
      </c>
      <c r="AG638" s="217">
        <f>+I638</f>
      </c>
      <c r="AH638" s="217">
        <f>+J638</f>
      </c>
      <c r="AI638" s="217">
        <f>+H638</f>
      </c>
      <c r="AJ638" s="111">
        <f>+V638&amp;W638</f>
      </c>
      <c r="AK638" s="217">
        <f>+_xlfn.IFNA(VLOOKUP(AJ638,$AF$7:$AG$1066,2,0),0)</f>
      </c>
      <c r="AL638" s="217">
        <f>+IF(W638&gt;W637,AK638,AL637+AK638)</f>
      </c>
      <c r="AM638" s="217">
        <f>IF(W638&gt;W637,IF(AL638&gt;=$AZ$8,$AZ$8,AL638),IF(OR(AM637=$AZ$8,AM637=0),0,IF(AL638&gt;=$AZ$8,$AZ$8,AL638)))</f>
      </c>
      <c r="AN638" s="748">
        <f>+IF(OR(AM638&gt;AZ637,AM638=0),0,IF(AM638=AL638,AK638,$AZ$7-AL637))</f>
      </c>
      <c r="AO638" s="748">
        <f>+AK638-AN638</f>
      </c>
      <c r="AP638" s="217">
        <f>+_xlfn.IFNA(VLOOKUP(AJ638,$AF$7:$AI$1066,3,0),0)</f>
      </c>
      <c r="AQ638" s="217">
        <f>+IF(W638&gt;W637,AP638,AQ637+AP638)</f>
      </c>
      <c r="AR638" s="217">
        <f>+MAX($AM$2-SUMIF($W$7:$W$1066,W638,$AN$7:$AN$1066),0)</f>
      </c>
      <c r="AS638" s="748">
        <f>+MAX(IF(AQ638&gt;AR638,AR638-AQ637,AP638),0)</f>
      </c>
      <c r="AT638" s="748">
        <f>+AP638-AS638</f>
      </c>
      <c r="AU638" s="217">
        <f>+_xlfn.IFNA(VLOOKUP(AJ638,$AF$7:$AI$1066,4,0),0)</f>
      </c>
      <c r="AV638" s="217">
        <f>+IF(W638&gt;W637,AU638,AV637+AU638)</f>
      </c>
      <c r="AW638" s="217">
        <f>+MAX($AM$2-SUMIF($W$7:$W$1066,W638,$AN$7:$AN$1066)-SUMIF($W$7:$W$1066,W638,$AS$7:$AS$1066),0)</f>
      </c>
      <c r="AX638" s="748">
        <f>+MAX(IF(AV638&gt;AW638,AW638-AV637,AU638),0)</f>
      </c>
      <c r="AY638" s="748">
        <f>+AU638-AX638</f>
      </c>
      <c r="AZ638" s="331">
        <f>+$AM$1+IF($AP$1&gt;$AP$2,$AM$3/2)</f>
      </c>
    </row>
    <row x14ac:dyDescent="0.25" r="639" customHeight="1" ht="18.75">
      <c r="A639" s="1"/>
      <c r="B639" s="7"/>
      <c r="C639" s="170"/>
      <c r="D639" s="331">
        <v>632</v>
      </c>
      <c r="E639" s="544">
        <f>+DATE(YEAR(E638),MONTH(E638)-1,DAY(E638))</f>
        <v>25569.041666666668</v>
      </c>
      <c r="F639" s="333">
        <f>IF(DATE(YEAR($B$6),MONTH($B$6)+1,DAY(1))=E639,1,IF(MONTH(E639)=1,F640*(1+$F$5),F640))</f>
      </c>
      <c r="G639" s="333">
        <f>IF('Simulador - 1º Pilar'!$E$99="Sí",IF('Aportaciones PPE'!$B$13&lt;'Aportaciones PPE'!E639,0,F639*$B$8/12),F639*$B$8/12)</f>
      </c>
      <c r="H639" s="333">
        <f>$H$5*G639</f>
      </c>
      <c r="I639" s="333">
        <f>$I$5*G639</f>
      </c>
      <c r="J639" s="333">
        <f>+I639</f>
      </c>
      <c r="K639" s="333">
        <f>(1+$O$5)^(D639/12)*(H639+IF(AND(F639=1,F640=0),$S$4,0))</f>
      </c>
      <c r="L639" s="333">
        <f>(1+$O$5)^(D639/12)*(I639+IF(AND(F639=1,F640=0),0))</f>
      </c>
      <c r="M639" s="333">
        <f>+L639</f>
      </c>
      <c r="N639" s="333">
        <f>L639+K639+M639</f>
      </c>
      <c r="O639" s="170"/>
      <c r="P639" s="7"/>
      <c r="Q639" s="1"/>
      <c r="R639" s="331">
        <f>D639</f>
      </c>
      <c r="S639" s="169"/>
      <c r="T639" s="1"/>
      <c r="U639" s="217"/>
      <c r="V639" s="331">
        <f>+IF(V638=11,12,IF(V638=12,1,V638+1))</f>
      </c>
      <c r="W639" s="331">
        <f>+W638+IF(V638=12,1,0)</f>
      </c>
      <c r="X639" s="555">
        <f>+DATE(W639,V639,1)</f>
        <v>25569.041666666668</v>
      </c>
      <c r="Y639" s="333">
        <f>+_xlfn.IFNA(AN639+AS639+AX639,0)</f>
      </c>
      <c r="Z639" s="333">
        <f>+_xlfn.IFNA(AO639+AT639+AY639,0)</f>
      </c>
      <c r="AA639" s="333">
        <f>Y639*(1+$O$5)^(($B$7-X639)/365.25)</f>
      </c>
      <c r="AB639" s="333">
        <f>Z639*(1+$O$5)^(($B$7-X639)/365.25)</f>
      </c>
      <c r="AC639" s="1"/>
      <c r="AD639" s="1"/>
      <c r="AE639" s="1"/>
      <c r="AF639" s="111">
        <f>+MONTH(E639)&amp;YEAR(E639)</f>
      </c>
      <c r="AG639" s="217">
        <f>+I639</f>
      </c>
      <c r="AH639" s="217">
        <f>+J639</f>
      </c>
      <c r="AI639" s="217">
        <f>+H639</f>
      </c>
      <c r="AJ639" s="111">
        <f>+V639&amp;W639</f>
      </c>
      <c r="AK639" s="217">
        <f>+_xlfn.IFNA(VLOOKUP(AJ639,$AF$7:$AG$1066,2,0),0)</f>
      </c>
      <c r="AL639" s="217">
        <f>+IF(W639&gt;W638,AK639,AL638+AK639)</f>
      </c>
      <c r="AM639" s="217">
        <f>IF(W639&gt;W638,IF(AL639&gt;=$AZ$8,$AZ$8,AL639),IF(OR(AM638=$AZ$8,AM638=0),0,IF(AL639&gt;=$AZ$8,$AZ$8,AL639)))</f>
      </c>
      <c r="AN639" s="748">
        <f>+IF(OR(AM639&gt;AZ638,AM639=0),0,IF(AM639=AL639,AK639,$AZ$7-AL638))</f>
      </c>
      <c r="AO639" s="748">
        <f>+AK639-AN639</f>
      </c>
      <c r="AP639" s="217">
        <f>+_xlfn.IFNA(VLOOKUP(AJ639,$AF$7:$AI$1066,3,0),0)</f>
      </c>
      <c r="AQ639" s="217">
        <f>+IF(W639&gt;W638,AP639,AQ638+AP639)</f>
      </c>
      <c r="AR639" s="217">
        <f>+MAX($AM$2-SUMIF($W$7:$W$1066,W639,$AN$7:$AN$1066),0)</f>
      </c>
      <c r="AS639" s="748">
        <f>+MAX(IF(AQ639&gt;AR639,AR639-AQ638,AP639),0)</f>
      </c>
      <c r="AT639" s="748">
        <f>+AP639-AS639</f>
      </c>
      <c r="AU639" s="217">
        <f>+_xlfn.IFNA(VLOOKUP(AJ639,$AF$7:$AI$1066,4,0),0)</f>
      </c>
      <c r="AV639" s="217">
        <f>+IF(W639&gt;W638,AU639,AV638+AU639)</f>
      </c>
      <c r="AW639" s="217">
        <f>+MAX($AM$2-SUMIF($W$7:$W$1066,W639,$AN$7:$AN$1066)-SUMIF($W$7:$W$1066,W639,$AS$7:$AS$1066),0)</f>
      </c>
      <c r="AX639" s="748">
        <f>+MAX(IF(AV639&gt;AW639,AW639-AV638,AU639),0)</f>
      </c>
      <c r="AY639" s="748">
        <f>+AU639-AX639</f>
      </c>
      <c r="AZ639" s="331">
        <f>+$AM$1+IF($AP$1&gt;$AP$2,$AM$3/2)</f>
      </c>
    </row>
    <row x14ac:dyDescent="0.25" r="640" customHeight="1" ht="18.75">
      <c r="A640" s="1"/>
      <c r="B640" s="7"/>
      <c r="C640" s="170"/>
      <c r="D640" s="331">
        <v>633</v>
      </c>
      <c r="E640" s="544">
        <f>+DATE(YEAR(E639),MONTH(E639)-1,DAY(E639))</f>
        <v>25569.041666666668</v>
      </c>
      <c r="F640" s="333">
        <f>IF(DATE(YEAR($B$6),MONTH($B$6)+1,DAY(1))=E640,1,IF(MONTH(E640)=1,F641*(1+$F$5),F641))</f>
      </c>
      <c r="G640" s="333">
        <f>IF('Simulador - 1º Pilar'!$E$99="Sí",IF('Aportaciones PPE'!$B$13&lt;'Aportaciones PPE'!E640,0,F640*$B$8/12),F640*$B$8/12)</f>
      </c>
      <c r="H640" s="333">
        <f>$H$5*G640</f>
      </c>
      <c r="I640" s="333">
        <f>$I$5*G640</f>
      </c>
      <c r="J640" s="333">
        <f>+I640</f>
      </c>
      <c r="K640" s="333">
        <f>(1+$O$5)^(D640/12)*(H640+IF(AND(F640=1,F641=0),$S$4,0))</f>
      </c>
      <c r="L640" s="333">
        <f>(1+$O$5)^(D640/12)*(I640+IF(AND(F640=1,F641=0),0))</f>
      </c>
      <c r="M640" s="333">
        <f>+L640</f>
      </c>
      <c r="N640" s="333">
        <f>L640+K640+M640</f>
      </c>
      <c r="O640" s="170"/>
      <c r="P640" s="7"/>
      <c r="Q640" s="1"/>
      <c r="R640" s="331">
        <f>D640</f>
      </c>
      <c r="S640" s="169"/>
      <c r="T640" s="1"/>
      <c r="U640" s="217"/>
      <c r="V640" s="331">
        <f>+IF(V639=11,12,IF(V639=12,1,V639+1))</f>
      </c>
      <c r="W640" s="331">
        <f>+W639+IF(V639=12,1,0)</f>
      </c>
      <c r="X640" s="555">
        <f>+DATE(W640,V640,1)</f>
        <v>25569.041666666668</v>
      </c>
      <c r="Y640" s="333">
        <f>+_xlfn.IFNA(AN640+AS640+AX640,0)</f>
      </c>
      <c r="Z640" s="333">
        <f>+_xlfn.IFNA(AO640+AT640+AY640,0)</f>
      </c>
      <c r="AA640" s="333">
        <f>Y640*(1+$O$5)^(($B$7-X640)/365.25)</f>
      </c>
      <c r="AB640" s="333">
        <f>Z640*(1+$O$5)^(($B$7-X640)/365.25)</f>
      </c>
      <c r="AC640" s="1"/>
      <c r="AD640" s="1"/>
      <c r="AE640" s="1"/>
      <c r="AF640" s="111">
        <f>+MONTH(E640)&amp;YEAR(E640)</f>
      </c>
      <c r="AG640" s="217">
        <f>+I640</f>
      </c>
      <c r="AH640" s="217">
        <f>+J640</f>
      </c>
      <c r="AI640" s="217">
        <f>+H640</f>
      </c>
      <c r="AJ640" s="111">
        <f>+V640&amp;W640</f>
      </c>
      <c r="AK640" s="217">
        <f>+_xlfn.IFNA(VLOOKUP(AJ640,$AF$7:$AG$1066,2,0),0)</f>
      </c>
      <c r="AL640" s="217">
        <f>+IF(W640&gt;W639,AK640,AL639+AK640)</f>
      </c>
      <c r="AM640" s="217">
        <f>IF(W640&gt;W639,IF(AL640&gt;=$AZ$8,$AZ$8,AL640),IF(OR(AM639=$AZ$8,AM639=0),0,IF(AL640&gt;=$AZ$8,$AZ$8,AL640)))</f>
      </c>
      <c r="AN640" s="748">
        <f>+IF(OR(AM640&gt;AZ639,AM640=0),0,IF(AM640=AL640,AK640,$AZ$7-AL639))</f>
      </c>
      <c r="AO640" s="748">
        <f>+AK640-AN640</f>
      </c>
      <c r="AP640" s="217">
        <f>+_xlfn.IFNA(VLOOKUP(AJ640,$AF$7:$AI$1066,3,0),0)</f>
      </c>
      <c r="AQ640" s="217">
        <f>+IF(W640&gt;W639,AP640,AQ639+AP640)</f>
      </c>
      <c r="AR640" s="217">
        <f>+MAX($AM$2-SUMIF($W$7:$W$1066,W640,$AN$7:$AN$1066),0)</f>
      </c>
      <c r="AS640" s="748">
        <f>+MAX(IF(AQ640&gt;AR640,AR640-AQ639,AP640),0)</f>
      </c>
      <c r="AT640" s="748">
        <f>+AP640-AS640</f>
      </c>
      <c r="AU640" s="217">
        <f>+_xlfn.IFNA(VLOOKUP(AJ640,$AF$7:$AI$1066,4,0),0)</f>
      </c>
      <c r="AV640" s="217">
        <f>+IF(W640&gt;W639,AU640,AV639+AU640)</f>
      </c>
      <c r="AW640" s="217">
        <f>+MAX($AM$2-SUMIF($W$7:$W$1066,W640,$AN$7:$AN$1066)-SUMIF($W$7:$W$1066,W640,$AS$7:$AS$1066),0)</f>
      </c>
      <c r="AX640" s="748">
        <f>+MAX(IF(AV640&gt;AW640,AW640-AV639,AU640),0)</f>
      </c>
      <c r="AY640" s="748">
        <f>+AU640-AX640</f>
      </c>
      <c r="AZ640" s="331">
        <f>+$AM$1+IF($AP$1&gt;$AP$2,$AM$3/2)</f>
      </c>
    </row>
    <row x14ac:dyDescent="0.25" r="641" customHeight="1" ht="18.75">
      <c r="A641" s="1"/>
      <c r="B641" s="7"/>
      <c r="C641" s="170"/>
      <c r="D641" s="331">
        <v>634</v>
      </c>
      <c r="E641" s="544">
        <f>+DATE(YEAR(E640),MONTH(E640)-1,DAY(E640))</f>
        <v>25569.041666666668</v>
      </c>
      <c r="F641" s="333">
        <f>IF(DATE(YEAR($B$6),MONTH($B$6)+1,DAY(1))=E641,1,IF(MONTH(E641)=1,F642*(1+$F$5),F642))</f>
      </c>
      <c r="G641" s="333">
        <f>IF('Simulador - 1º Pilar'!$E$99="Sí",IF('Aportaciones PPE'!$B$13&lt;'Aportaciones PPE'!E641,0,F641*$B$8/12),F641*$B$8/12)</f>
      </c>
      <c r="H641" s="333">
        <f>$H$5*G641</f>
      </c>
      <c r="I641" s="333">
        <f>$I$5*G641</f>
      </c>
      <c r="J641" s="333">
        <f>+I641</f>
      </c>
      <c r="K641" s="333">
        <f>(1+$O$5)^(D641/12)*(H641+IF(AND(F641=1,F642=0),$S$4,0))</f>
      </c>
      <c r="L641" s="333">
        <f>(1+$O$5)^(D641/12)*(I641+IF(AND(F641=1,F642=0),0))</f>
      </c>
      <c r="M641" s="333">
        <f>+L641</f>
      </c>
      <c r="N641" s="333">
        <f>L641+K641+M641</f>
      </c>
      <c r="O641" s="170"/>
      <c r="P641" s="7"/>
      <c r="Q641" s="1"/>
      <c r="R641" s="331">
        <f>D641</f>
      </c>
      <c r="S641" s="169"/>
      <c r="T641" s="1"/>
      <c r="U641" s="217"/>
      <c r="V641" s="331">
        <f>+IF(V640=11,12,IF(V640=12,1,V640+1))</f>
      </c>
      <c r="W641" s="331">
        <f>+W640+IF(V640=12,1,0)</f>
      </c>
      <c r="X641" s="555">
        <f>+DATE(W641,V641,1)</f>
        <v>25569.041666666668</v>
      </c>
      <c r="Y641" s="333">
        <f>+_xlfn.IFNA(AN641+AS641+AX641,0)</f>
      </c>
      <c r="Z641" s="333">
        <f>+_xlfn.IFNA(AO641+AT641+AY641,0)</f>
      </c>
      <c r="AA641" s="333">
        <f>Y641*(1+$O$5)^(($B$7-X641)/365.25)</f>
      </c>
      <c r="AB641" s="333">
        <f>Z641*(1+$O$5)^(($B$7-X641)/365.25)</f>
      </c>
      <c r="AC641" s="1"/>
      <c r="AD641" s="1"/>
      <c r="AE641" s="1"/>
      <c r="AF641" s="111">
        <f>+MONTH(E641)&amp;YEAR(E641)</f>
      </c>
      <c r="AG641" s="217">
        <f>+I641</f>
      </c>
      <c r="AH641" s="217">
        <f>+J641</f>
      </c>
      <c r="AI641" s="217">
        <f>+H641</f>
      </c>
      <c r="AJ641" s="111">
        <f>+V641&amp;W641</f>
      </c>
      <c r="AK641" s="217">
        <f>+_xlfn.IFNA(VLOOKUP(AJ641,$AF$7:$AG$1066,2,0),0)</f>
      </c>
      <c r="AL641" s="217">
        <f>+IF(W641&gt;W640,AK641,AL640+AK641)</f>
      </c>
      <c r="AM641" s="217">
        <f>IF(W641&gt;W640,IF(AL641&gt;=$AZ$8,$AZ$8,AL641),IF(OR(AM640=$AZ$8,AM640=0),0,IF(AL641&gt;=$AZ$8,$AZ$8,AL641)))</f>
      </c>
      <c r="AN641" s="748">
        <f>+IF(OR(AM641&gt;AZ640,AM641=0),0,IF(AM641=AL641,AK641,$AZ$7-AL640))</f>
      </c>
      <c r="AO641" s="748">
        <f>+AK641-AN641</f>
      </c>
      <c r="AP641" s="217">
        <f>+_xlfn.IFNA(VLOOKUP(AJ641,$AF$7:$AI$1066,3,0),0)</f>
      </c>
      <c r="AQ641" s="217">
        <f>+IF(W641&gt;W640,AP641,AQ640+AP641)</f>
      </c>
      <c r="AR641" s="217">
        <f>+MAX($AM$2-SUMIF($W$7:$W$1066,W641,$AN$7:$AN$1066),0)</f>
      </c>
      <c r="AS641" s="748">
        <f>+MAX(IF(AQ641&gt;AR641,AR641-AQ640,AP641),0)</f>
      </c>
      <c r="AT641" s="748">
        <f>+AP641-AS641</f>
      </c>
      <c r="AU641" s="217">
        <f>+_xlfn.IFNA(VLOOKUP(AJ641,$AF$7:$AI$1066,4,0),0)</f>
      </c>
      <c r="AV641" s="217">
        <f>+IF(W641&gt;W640,AU641,AV640+AU641)</f>
      </c>
      <c r="AW641" s="217">
        <f>+MAX($AM$2-SUMIF($W$7:$W$1066,W641,$AN$7:$AN$1066)-SUMIF($W$7:$W$1066,W641,$AS$7:$AS$1066),0)</f>
      </c>
      <c r="AX641" s="748">
        <f>+MAX(IF(AV641&gt;AW641,AW641-AV640,AU641),0)</f>
      </c>
      <c r="AY641" s="748">
        <f>+AU641-AX641</f>
      </c>
      <c r="AZ641" s="331">
        <f>+$AM$1+IF($AP$1&gt;$AP$2,$AM$3/2)</f>
      </c>
    </row>
    <row x14ac:dyDescent="0.25" r="642" customHeight="1" ht="18.75">
      <c r="A642" s="1"/>
      <c r="B642" s="7"/>
      <c r="C642" s="170"/>
      <c r="D642" s="331">
        <v>635</v>
      </c>
      <c r="E642" s="544">
        <f>+DATE(YEAR(E641),MONTH(E641)-1,DAY(E641))</f>
        <v>25569.041666666668</v>
      </c>
      <c r="F642" s="333">
        <f>IF(DATE(YEAR($B$6),MONTH($B$6)+1,DAY(1))=E642,1,IF(MONTH(E642)=1,F643*(1+$F$5),F643))</f>
      </c>
      <c r="G642" s="333">
        <f>IF('Simulador - 1º Pilar'!$E$99="Sí",IF('Aportaciones PPE'!$B$13&lt;'Aportaciones PPE'!E642,0,F642*$B$8/12),F642*$B$8/12)</f>
      </c>
      <c r="H642" s="333">
        <f>$H$5*G642</f>
      </c>
      <c r="I642" s="333">
        <f>$I$5*G642</f>
      </c>
      <c r="J642" s="333">
        <f>+I642</f>
      </c>
      <c r="K642" s="333">
        <f>(1+$O$5)^(D642/12)*(H642+IF(AND(F642=1,F643=0),$S$4,0))</f>
      </c>
      <c r="L642" s="333">
        <f>(1+$O$5)^(D642/12)*(I642+IF(AND(F642=1,F643=0),0))</f>
      </c>
      <c r="M642" s="333">
        <f>+L642</f>
      </c>
      <c r="N642" s="333">
        <f>L642+K642+M642</f>
      </c>
      <c r="O642" s="170"/>
      <c r="P642" s="7"/>
      <c r="Q642" s="1"/>
      <c r="R642" s="331">
        <f>D642</f>
      </c>
      <c r="S642" s="169"/>
      <c r="T642" s="1"/>
      <c r="U642" s="217"/>
      <c r="V642" s="331">
        <f>+IF(V641=11,12,IF(V641=12,1,V641+1))</f>
      </c>
      <c r="W642" s="331">
        <f>+W641+IF(V641=12,1,0)</f>
      </c>
      <c r="X642" s="555">
        <f>+DATE(W642,V642,1)</f>
        <v>25569.041666666668</v>
      </c>
      <c r="Y642" s="333">
        <f>+_xlfn.IFNA(AN642+AS642+AX642,0)</f>
      </c>
      <c r="Z642" s="333">
        <f>+_xlfn.IFNA(AO642+AT642+AY642,0)</f>
      </c>
      <c r="AA642" s="333">
        <f>Y642*(1+$O$5)^(($B$7-X642)/365.25)</f>
      </c>
      <c r="AB642" s="333">
        <f>Z642*(1+$O$5)^(($B$7-X642)/365.25)</f>
      </c>
      <c r="AC642" s="1"/>
      <c r="AD642" s="1"/>
      <c r="AE642" s="1"/>
      <c r="AF642" s="111">
        <f>+MONTH(E642)&amp;YEAR(E642)</f>
      </c>
      <c r="AG642" s="217">
        <f>+I642</f>
      </c>
      <c r="AH642" s="217">
        <f>+J642</f>
      </c>
      <c r="AI642" s="217">
        <f>+H642</f>
      </c>
      <c r="AJ642" s="111">
        <f>+V642&amp;W642</f>
      </c>
      <c r="AK642" s="217">
        <f>+_xlfn.IFNA(VLOOKUP(AJ642,$AF$7:$AG$1066,2,0),0)</f>
      </c>
      <c r="AL642" s="217">
        <f>+IF(W642&gt;W641,AK642,AL641+AK642)</f>
      </c>
      <c r="AM642" s="217">
        <f>IF(W642&gt;W641,IF(AL642&gt;=$AZ$8,$AZ$8,AL642),IF(OR(AM641=$AZ$8,AM641=0),0,IF(AL642&gt;=$AZ$8,$AZ$8,AL642)))</f>
      </c>
      <c r="AN642" s="748">
        <f>+IF(OR(AM642&gt;AZ641,AM642=0),0,IF(AM642=AL642,AK642,$AZ$7-AL641))</f>
      </c>
      <c r="AO642" s="748">
        <f>+AK642-AN642</f>
      </c>
      <c r="AP642" s="217">
        <f>+_xlfn.IFNA(VLOOKUP(AJ642,$AF$7:$AI$1066,3,0),0)</f>
      </c>
      <c r="AQ642" s="217">
        <f>+IF(W642&gt;W641,AP642,AQ641+AP642)</f>
      </c>
      <c r="AR642" s="217">
        <f>+MAX($AM$2-SUMIF($W$7:$W$1066,W642,$AN$7:$AN$1066),0)</f>
      </c>
      <c r="AS642" s="748">
        <f>+MAX(IF(AQ642&gt;AR642,AR642-AQ641,AP642),0)</f>
      </c>
      <c r="AT642" s="748">
        <f>+AP642-AS642</f>
      </c>
      <c r="AU642" s="217">
        <f>+_xlfn.IFNA(VLOOKUP(AJ642,$AF$7:$AI$1066,4,0),0)</f>
      </c>
      <c r="AV642" s="217">
        <f>+IF(W642&gt;W641,AU642,AV641+AU642)</f>
      </c>
      <c r="AW642" s="217">
        <f>+MAX($AM$2-SUMIF($W$7:$W$1066,W642,$AN$7:$AN$1066)-SUMIF($W$7:$W$1066,W642,$AS$7:$AS$1066),0)</f>
      </c>
      <c r="AX642" s="748">
        <f>+MAX(IF(AV642&gt;AW642,AW642-AV641,AU642),0)</f>
      </c>
      <c r="AY642" s="748">
        <f>+AU642-AX642</f>
      </c>
      <c r="AZ642" s="331">
        <f>+$AM$1+IF($AP$1&gt;$AP$2,$AM$3/2)</f>
      </c>
    </row>
    <row x14ac:dyDescent="0.25" r="643" customHeight="1" ht="18.75">
      <c r="A643" s="1"/>
      <c r="B643" s="7"/>
      <c r="C643" s="170"/>
      <c r="D643" s="331">
        <v>636</v>
      </c>
      <c r="E643" s="544">
        <f>+DATE(YEAR(E642),MONTH(E642)-1,DAY(E642))</f>
        <v>25569.041666666668</v>
      </c>
      <c r="F643" s="333">
        <f>IF(DATE(YEAR($B$6),MONTH($B$6)+1,DAY(1))=E643,1,IF(MONTH(E643)=1,F644*(1+$F$5),F644))</f>
      </c>
      <c r="G643" s="333">
        <f>IF('Simulador - 1º Pilar'!$E$99="Sí",IF('Aportaciones PPE'!$B$13&lt;'Aportaciones PPE'!E643,0,F643*$B$8/12),F643*$B$8/12)</f>
      </c>
      <c r="H643" s="333">
        <f>$H$5*G643</f>
      </c>
      <c r="I643" s="333">
        <f>$I$5*G643</f>
      </c>
      <c r="J643" s="333">
        <f>+I643</f>
      </c>
      <c r="K643" s="333">
        <f>(1+$O$5)^(D643/12)*(H643+IF(AND(F643=1,F644=0),$S$4,0))</f>
      </c>
      <c r="L643" s="333">
        <f>(1+$O$5)^(D643/12)*(I643+IF(AND(F643=1,F644=0),0))</f>
      </c>
      <c r="M643" s="333">
        <f>+L643</f>
      </c>
      <c r="N643" s="333">
        <f>L643+K643+M643</f>
      </c>
      <c r="O643" s="170"/>
      <c r="P643" s="7"/>
      <c r="Q643" s="1"/>
      <c r="R643" s="331">
        <f>D643</f>
      </c>
      <c r="S643" s="169"/>
      <c r="T643" s="1"/>
      <c r="U643" s="217"/>
      <c r="V643" s="331">
        <f>+IF(V642=11,12,IF(V642=12,1,V642+1))</f>
      </c>
      <c r="W643" s="331">
        <f>+W642+IF(V642=12,1,0)</f>
      </c>
      <c r="X643" s="555">
        <f>+DATE(W643,V643,1)</f>
        <v>25569.041666666668</v>
      </c>
      <c r="Y643" s="333">
        <f>+_xlfn.IFNA(AN643+AS643+AX643,0)</f>
      </c>
      <c r="Z643" s="333">
        <f>+_xlfn.IFNA(AO643+AT643+AY643,0)</f>
      </c>
      <c r="AA643" s="333">
        <f>Y643*(1+$O$5)^(($B$7-X643)/365.25)</f>
      </c>
      <c r="AB643" s="333">
        <f>Z643*(1+$O$5)^(($B$7-X643)/365.25)</f>
      </c>
      <c r="AC643" s="1"/>
      <c r="AD643" s="1"/>
      <c r="AE643" s="1"/>
      <c r="AF643" s="111">
        <f>+MONTH(E643)&amp;YEAR(E643)</f>
      </c>
      <c r="AG643" s="217">
        <f>+I643</f>
      </c>
      <c r="AH643" s="217">
        <f>+J643</f>
      </c>
      <c r="AI643" s="217">
        <f>+H643</f>
      </c>
      <c r="AJ643" s="111">
        <f>+V643&amp;W643</f>
      </c>
      <c r="AK643" s="217">
        <f>+_xlfn.IFNA(VLOOKUP(AJ643,$AF$7:$AG$1066,2,0),0)</f>
      </c>
      <c r="AL643" s="217">
        <f>+IF(W643&gt;W642,AK643,AL642+AK643)</f>
      </c>
      <c r="AM643" s="217">
        <f>IF(W643&gt;W642,IF(AL643&gt;=$AZ$8,$AZ$8,AL643),IF(OR(AM642=$AZ$8,AM642=0),0,IF(AL643&gt;=$AZ$8,$AZ$8,AL643)))</f>
      </c>
      <c r="AN643" s="748">
        <f>+IF(OR(AM643&gt;AZ642,AM643=0),0,IF(AM643=AL643,AK643,$AZ$7-AL642))</f>
      </c>
      <c r="AO643" s="748">
        <f>+AK643-AN643</f>
      </c>
      <c r="AP643" s="217">
        <f>+_xlfn.IFNA(VLOOKUP(AJ643,$AF$7:$AI$1066,3,0),0)</f>
      </c>
      <c r="AQ643" s="217">
        <f>+IF(W643&gt;W642,AP643,AQ642+AP643)</f>
      </c>
      <c r="AR643" s="217">
        <f>+MAX($AM$2-SUMIF($W$7:$W$1066,W643,$AN$7:$AN$1066),0)</f>
      </c>
      <c r="AS643" s="748">
        <f>+MAX(IF(AQ643&gt;AR643,AR643-AQ642,AP643),0)</f>
      </c>
      <c r="AT643" s="748">
        <f>+AP643-AS643</f>
      </c>
      <c r="AU643" s="217">
        <f>+_xlfn.IFNA(VLOOKUP(AJ643,$AF$7:$AI$1066,4,0),0)</f>
      </c>
      <c r="AV643" s="217">
        <f>+IF(W643&gt;W642,AU643,AV642+AU643)</f>
      </c>
      <c r="AW643" s="217">
        <f>+MAX($AM$2-SUMIF($W$7:$W$1066,W643,$AN$7:$AN$1066)-SUMIF($W$7:$W$1066,W643,$AS$7:$AS$1066),0)</f>
      </c>
      <c r="AX643" s="748">
        <f>+MAX(IF(AV643&gt;AW643,AW643-AV642,AU643),0)</f>
      </c>
      <c r="AY643" s="748">
        <f>+AU643-AX643</f>
      </c>
      <c r="AZ643" s="331">
        <f>+$AM$1+IF($AP$1&gt;$AP$2,$AM$3/2)</f>
      </c>
    </row>
    <row x14ac:dyDescent="0.25" r="644" customHeight="1" ht="18.75">
      <c r="A644" s="1"/>
      <c r="B644" s="7"/>
      <c r="C644" s="170"/>
      <c r="D644" s="331">
        <v>637</v>
      </c>
      <c r="E644" s="544">
        <f>+DATE(YEAR(E643),MONTH(E643)-1,DAY(E643))</f>
        <v>25569.041666666668</v>
      </c>
      <c r="F644" s="333">
        <f>IF(DATE(YEAR($B$6),MONTH($B$6)+1,DAY(1))=E644,1,IF(MONTH(E644)=1,F645*(1+$F$5),F645))</f>
      </c>
      <c r="G644" s="333">
        <f>IF('Simulador - 1º Pilar'!$E$99="Sí",IF('Aportaciones PPE'!$B$13&lt;'Aportaciones PPE'!E644,0,F644*$B$8/12),F644*$B$8/12)</f>
      </c>
      <c r="H644" s="333">
        <f>$H$5*G644</f>
      </c>
      <c r="I644" s="333">
        <f>$I$5*G644</f>
      </c>
      <c r="J644" s="333">
        <f>+I644</f>
      </c>
      <c r="K644" s="333">
        <f>(1+$O$5)^(D644/12)*(H644+IF(AND(F644=1,F645=0),$S$4,0))</f>
      </c>
      <c r="L644" s="333">
        <f>(1+$O$5)^(D644/12)*(I644+IF(AND(F644=1,F645=0),0))</f>
      </c>
      <c r="M644" s="333">
        <f>+L644</f>
      </c>
      <c r="N644" s="333">
        <f>L644+K644+M644</f>
      </c>
      <c r="O644" s="170"/>
      <c r="P644" s="7"/>
      <c r="Q644" s="1"/>
      <c r="R644" s="331">
        <f>D644</f>
      </c>
      <c r="S644" s="169"/>
      <c r="T644" s="1"/>
      <c r="U644" s="217"/>
      <c r="V644" s="331">
        <f>+IF(V643=11,12,IF(V643=12,1,V643+1))</f>
      </c>
      <c r="W644" s="331">
        <f>+W643+IF(V643=12,1,0)</f>
      </c>
      <c r="X644" s="555">
        <f>+DATE(W644,V644,1)</f>
        <v>25569.041666666668</v>
      </c>
      <c r="Y644" s="333">
        <f>+_xlfn.IFNA(AN644+AS644+AX644,0)</f>
      </c>
      <c r="Z644" s="333">
        <f>+_xlfn.IFNA(AO644+AT644+AY644,0)</f>
      </c>
      <c r="AA644" s="333">
        <f>Y644*(1+$O$5)^(($B$7-X644)/365.25)</f>
      </c>
      <c r="AB644" s="333">
        <f>Z644*(1+$O$5)^(($B$7-X644)/365.25)</f>
      </c>
      <c r="AC644" s="1"/>
      <c r="AD644" s="1"/>
      <c r="AE644" s="1"/>
      <c r="AF644" s="111">
        <f>+MONTH(E644)&amp;YEAR(E644)</f>
      </c>
      <c r="AG644" s="217">
        <f>+I644</f>
      </c>
      <c r="AH644" s="217">
        <f>+J644</f>
      </c>
      <c r="AI644" s="217">
        <f>+H644</f>
      </c>
      <c r="AJ644" s="111">
        <f>+V644&amp;W644</f>
      </c>
      <c r="AK644" s="217">
        <f>+_xlfn.IFNA(VLOOKUP(AJ644,$AF$7:$AG$1066,2,0),0)</f>
      </c>
      <c r="AL644" s="217">
        <f>+IF(W644&gt;W643,AK644,AL643+AK644)</f>
      </c>
      <c r="AM644" s="217">
        <f>IF(W644&gt;W643,IF(AL644&gt;=$AZ$8,$AZ$8,AL644),IF(OR(AM643=$AZ$8,AM643=0),0,IF(AL644&gt;=$AZ$8,$AZ$8,AL644)))</f>
      </c>
      <c r="AN644" s="748">
        <f>+IF(OR(AM644&gt;AZ643,AM644=0),0,IF(AM644=AL644,AK644,$AZ$7-AL643))</f>
      </c>
      <c r="AO644" s="748">
        <f>+AK644-AN644</f>
      </c>
      <c r="AP644" s="217">
        <f>+_xlfn.IFNA(VLOOKUP(AJ644,$AF$7:$AI$1066,3,0),0)</f>
      </c>
      <c r="AQ644" s="217">
        <f>+IF(W644&gt;W643,AP644,AQ643+AP644)</f>
      </c>
      <c r="AR644" s="217">
        <f>+MAX($AM$2-SUMIF($W$7:$W$1066,W644,$AN$7:$AN$1066),0)</f>
      </c>
      <c r="AS644" s="748">
        <f>+MAX(IF(AQ644&gt;AR644,AR644-AQ643,AP644),0)</f>
      </c>
      <c r="AT644" s="748">
        <f>+AP644-AS644</f>
      </c>
      <c r="AU644" s="217">
        <f>+_xlfn.IFNA(VLOOKUP(AJ644,$AF$7:$AI$1066,4,0),0)</f>
      </c>
      <c r="AV644" s="217">
        <f>+IF(W644&gt;W643,AU644,AV643+AU644)</f>
      </c>
      <c r="AW644" s="217">
        <f>+MAX($AM$2-SUMIF($W$7:$W$1066,W644,$AN$7:$AN$1066)-SUMIF($W$7:$W$1066,W644,$AS$7:$AS$1066),0)</f>
      </c>
      <c r="AX644" s="748">
        <f>+MAX(IF(AV644&gt;AW644,AW644-AV643,AU644),0)</f>
      </c>
      <c r="AY644" s="748">
        <f>+AU644-AX644</f>
      </c>
      <c r="AZ644" s="331">
        <f>+$AM$1+IF($AP$1&gt;$AP$2,$AM$3/2)</f>
      </c>
    </row>
    <row x14ac:dyDescent="0.25" r="645" customHeight="1" ht="18.75">
      <c r="A645" s="1"/>
      <c r="B645" s="7"/>
      <c r="C645" s="170"/>
      <c r="D645" s="331">
        <v>638</v>
      </c>
      <c r="E645" s="544">
        <f>+DATE(YEAR(E644),MONTH(E644)-1,DAY(E644))</f>
        <v>25569.041666666668</v>
      </c>
      <c r="F645" s="333">
        <f>IF(DATE(YEAR($B$6),MONTH($B$6)+1,DAY(1))=E645,1,IF(MONTH(E645)=1,F646*(1+$F$5),F646))</f>
      </c>
      <c r="G645" s="333">
        <f>IF('Simulador - 1º Pilar'!$E$99="Sí",IF('Aportaciones PPE'!$B$13&lt;'Aportaciones PPE'!E645,0,F645*$B$8/12),F645*$B$8/12)</f>
      </c>
      <c r="H645" s="333">
        <f>$H$5*G645</f>
      </c>
      <c r="I645" s="333">
        <f>$I$5*G645</f>
      </c>
      <c r="J645" s="333">
        <f>+I645</f>
      </c>
      <c r="K645" s="333">
        <f>(1+$O$5)^(D645/12)*(H645+IF(AND(F645=1,F646=0),$S$4,0))</f>
      </c>
      <c r="L645" s="333">
        <f>(1+$O$5)^(D645/12)*(I645+IF(AND(F645=1,F646=0),0))</f>
      </c>
      <c r="M645" s="333">
        <f>+L645</f>
      </c>
      <c r="N645" s="333">
        <f>L645+K645+M645</f>
      </c>
      <c r="O645" s="170"/>
      <c r="P645" s="7"/>
      <c r="Q645" s="1"/>
      <c r="R645" s="331">
        <f>D645</f>
      </c>
      <c r="S645" s="169"/>
      <c r="T645" s="1"/>
      <c r="U645" s="217"/>
      <c r="V645" s="331">
        <f>+IF(V644=11,12,IF(V644=12,1,V644+1))</f>
      </c>
      <c r="W645" s="331">
        <f>+W644+IF(V644=12,1,0)</f>
      </c>
      <c r="X645" s="555">
        <f>+DATE(W645,V645,1)</f>
        <v>25569.041666666668</v>
      </c>
      <c r="Y645" s="333">
        <f>+_xlfn.IFNA(AN645+AS645+AX645,0)</f>
      </c>
      <c r="Z645" s="333">
        <f>+_xlfn.IFNA(AO645+AT645+AY645,0)</f>
      </c>
      <c r="AA645" s="333">
        <f>Y645*(1+$O$5)^(($B$7-X645)/365.25)</f>
      </c>
      <c r="AB645" s="333">
        <f>Z645*(1+$O$5)^(($B$7-X645)/365.25)</f>
      </c>
      <c r="AC645" s="1"/>
      <c r="AD645" s="1"/>
      <c r="AE645" s="1"/>
      <c r="AF645" s="111">
        <f>+MONTH(E645)&amp;YEAR(E645)</f>
      </c>
      <c r="AG645" s="217">
        <f>+I645</f>
      </c>
      <c r="AH645" s="217">
        <f>+J645</f>
      </c>
      <c r="AI645" s="217">
        <f>+H645</f>
      </c>
      <c r="AJ645" s="111">
        <f>+V645&amp;W645</f>
      </c>
      <c r="AK645" s="217">
        <f>+_xlfn.IFNA(VLOOKUP(AJ645,$AF$7:$AG$1066,2,0),0)</f>
      </c>
      <c r="AL645" s="217">
        <f>+IF(W645&gt;W644,AK645,AL644+AK645)</f>
      </c>
      <c r="AM645" s="217">
        <f>IF(W645&gt;W644,IF(AL645&gt;=$AZ$8,$AZ$8,AL645),IF(OR(AM644=$AZ$8,AM644=0),0,IF(AL645&gt;=$AZ$8,$AZ$8,AL645)))</f>
      </c>
      <c r="AN645" s="748">
        <f>+IF(OR(AM645&gt;AZ644,AM645=0),0,IF(AM645=AL645,AK645,$AZ$7-AL644))</f>
      </c>
      <c r="AO645" s="748">
        <f>+AK645-AN645</f>
      </c>
      <c r="AP645" s="217">
        <f>+_xlfn.IFNA(VLOOKUP(AJ645,$AF$7:$AI$1066,3,0),0)</f>
      </c>
      <c r="AQ645" s="217">
        <f>+IF(W645&gt;W644,AP645,AQ644+AP645)</f>
      </c>
      <c r="AR645" s="217">
        <f>+MAX($AM$2-SUMIF($W$7:$W$1066,W645,$AN$7:$AN$1066),0)</f>
      </c>
      <c r="AS645" s="748">
        <f>+MAX(IF(AQ645&gt;AR645,AR645-AQ644,AP645),0)</f>
      </c>
      <c r="AT645" s="748">
        <f>+AP645-AS645</f>
      </c>
      <c r="AU645" s="217">
        <f>+_xlfn.IFNA(VLOOKUP(AJ645,$AF$7:$AI$1066,4,0),0)</f>
      </c>
      <c r="AV645" s="217">
        <f>+IF(W645&gt;W644,AU645,AV644+AU645)</f>
      </c>
      <c r="AW645" s="217">
        <f>+MAX($AM$2-SUMIF($W$7:$W$1066,W645,$AN$7:$AN$1066)-SUMIF($W$7:$W$1066,W645,$AS$7:$AS$1066),0)</f>
      </c>
      <c r="AX645" s="748">
        <f>+MAX(IF(AV645&gt;AW645,AW645-AV644,AU645),0)</f>
      </c>
      <c r="AY645" s="748">
        <f>+AU645-AX645</f>
      </c>
      <c r="AZ645" s="331">
        <f>+$AM$1+IF($AP$1&gt;$AP$2,$AM$3/2)</f>
      </c>
    </row>
    <row x14ac:dyDescent="0.25" r="646" customHeight="1" ht="18.75">
      <c r="A646" s="1"/>
      <c r="B646" s="7"/>
      <c r="C646" s="170"/>
      <c r="D646" s="331">
        <v>639</v>
      </c>
      <c r="E646" s="544">
        <f>+DATE(YEAR(E645),MONTH(E645)-1,DAY(E645))</f>
        <v>25569.041666666668</v>
      </c>
      <c r="F646" s="333">
        <f>IF(DATE(YEAR($B$6),MONTH($B$6)+1,DAY(1))=E646,1,IF(MONTH(E646)=1,F647*(1+$F$5),F647))</f>
      </c>
      <c r="G646" s="333">
        <f>IF('Simulador - 1º Pilar'!$E$99="Sí",IF('Aportaciones PPE'!$B$13&lt;'Aportaciones PPE'!E646,0,F646*$B$8/12),F646*$B$8/12)</f>
      </c>
      <c r="H646" s="333">
        <f>$H$5*G646</f>
      </c>
      <c r="I646" s="333">
        <f>$I$5*G646</f>
      </c>
      <c r="J646" s="333">
        <f>+I646</f>
      </c>
      <c r="K646" s="333">
        <f>(1+$O$5)^(D646/12)*(H646+IF(AND(F646=1,F647=0),$S$4,0))</f>
      </c>
      <c r="L646" s="333">
        <f>(1+$O$5)^(D646/12)*(I646+IF(AND(F646=1,F647=0),0))</f>
      </c>
      <c r="M646" s="333">
        <f>+L646</f>
      </c>
      <c r="N646" s="333">
        <f>L646+K646+M646</f>
      </c>
      <c r="O646" s="170"/>
      <c r="P646" s="7"/>
      <c r="Q646" s="1"/>
      <c r="R646" s="331">
        <f>D646</f>
      </c>
      <c r="S646" s="169"/>
      <c r="T646" s="1"/>
      <c r="U646" s="217"/>
      <c r="V646" s="331">
        <f>+IF(V645=11,12,IF(V645=12,1,V645+1))</f>
      </c>
      <c r="W646" s="331">
        <f>+W645+IF(V645=12,1,0)</f>
      </c>
      <c r="X646" s="555">
        <f>+DATE(W646,V646,1)</f>
        <v>25569.041666666668</v>
      </c>
      <c r="Y646" s="333">
        <f>+_xlfn.IFNA(AN646+AS646+AX646,0)</f>
      </c>
      <c r="Z646" s="333">
        <f>+_xlfn.IFNA(AO646+AT646+AY646,0)</f>
      </c>
      <c r="AA646" s="333">
        <f>Y646*(1+$O$5)^(($B$7-X646)/365.25)</f>
      </c>
      <c r="AB646" s="333">
        <f>Z646*(1+$O$5)^(($B$7-X646)/365.25)</f>
      </c>
      <c r="AC646" s="1"/>
      <c r="AD646" s="1"/>
      <c r="AE646" s="1"/>
      <c r="AF646" s="111">
        <f>+MONTH(E646)&amp;YEAR(E646)</f>
      </c>
      <c r="AG646" s="217">
        <f>+I646</f>
      </c>
      <c r="AH646" s="217">
        <f>+J646</f>
      </c>
      <c r="AI646" s="217">
        <f>+H646</f>
      </c>
      <c r="AJ646" s="111">
        <f>+V646&amp;W646</f>
      </c>
      <c r="AK646" s="217">
        <f>+_xlfn.IFNA(VLOOKUP(AJ646,$AF$7:$AG$1066,2,0),0)</f>
      </c>
      <c r="AL646" s="217">
        <f>+IF(W646&gt;W645,AK646,AL645+AK646)</f>
      </c>
      <c r="AM646" s="217">
        <f>IF(W646&gt;W645,IF(AL646&gt;=$AZ$8,$AZ$8,AL646),IF(OR(AM645=$AZ$8,AM645=0),0,IF(AL646&gt;=$AZ$8,$AZ$8,AL646)))</f>
      </c>
      <c r="AN646" s="748">
        <f>+IF(OR(AM646&gt;AZ645,AM646=0),0,IF(AM646=AL646,AK646,$AZ$7-AL645))</f>
      </c>
      <c r="AO646" s="748">
        <f>+AK646-AN646</f>
      </c>
      <c r="AP646" s="217">
        <f>+_xlfn.IFNA(VLOOKUP(AJ646,$AF$7:$AI$1066,3,0),0)</f>
      </c>
      <c r="AQ646" s="217">
        <f>+IF(W646&gt;W645,AP646,AQ645+AP646)</f>
      </c>
      <c r="AR646" s="217">
        <f>+MAX($AM$2-SUMIF($W$7:$W$1066,W646,$AN$7:$AN$1066),0)</f>
      </c>
      <c r="AS646" s="748">
        <f>+MAX(IF(AQ646&gt;AR646,AR646-AQ645,AP646),0)</f>
      </c>
      <c r="AT646" s="748">
        <f>+AP646-AS646</f>
      </c>
      <c r="AU646" s="217">
        <f>+_xlfn.IFNA(VLOOKUP(AJ646,$AF$7:$AI$1066,4,0),0)</f>
      </c>
      <c r="AV646" s="217">
        <f>+IF(W646&gt;W645,AU646,AV645+AU646)</f>
      </c>
      <c r="AW646" s="217">
        <f>+MAX($AM$2-SUMIF($W$7:$W$1066,W646,$AN$7:$AN$1066)-SUMIF($W$7:$W$1066,W646,$AS$7:$AS$1066),0)</f>
      </c>
      <c r="AX646" s="748">
        <f>+MAX(IF(AV646&gt;AW646,AW646-AV645,AU646),0)</f>
      </c>
      <c r="AY646" s="748">
        <f>+AU646-AX646</f>
      </c>
      <c r="AZ646" s="331">
        <f>+$AM$1+IF($AP$1&gt;$AP$2,$AM$3/2)</f>
      </c>
    </row>
    <row x14ac:dyDescent="0.25" r="647" customHeight="1" ht="18.75">
      <c r="A647" s="1"/>
      <c r="B647" s="7"/>
      <c r="C647" s="170"/>
      <c r="D647" s="331">
        <v>640</v>
      </c>
      <c r="E647" s="544">
        <f>+DATE(YEAR(E646),MONTH(E646)-1,DAY(E646))</f>
        <v>25569.041666666668</v>
      </c>
      <c r="F647" s="333">
        <f>IF(DATE(YEAR($B$6),MONTH($B$6)+1,DAY(1))=E647,1,IF(MONTH(E647)=1,F648*(1+$F$5),F648))</f>
      </c>
      <c r="G647" s="333">
        <f>IF('Simulador - 1º Pilar'!$E$99="Sí",IF('Aportaciones PPE'!$B$13&lt;'Aportaciones PPE'!E647,0,F647*$B$8/12),F647*$B$8/12)</f>
      </c>
      <c r="H647" s="333">
        <f>$H$5*G647</f>
      </c>
      <c r="I647" s="333">
        <f>$I$5*G647</f>
      </c>
      <c r="J647" s="333">
        <f>+I647</f>
      </c>
      <c r="K647" s="333">
        <f>(1+$O$5)^(D647/12)*(H647+IF(AND(F647=1,F648=0),$S$4,0))</f>
      </c>
      <c r="L647" s="333">
        <f>(1+$O$5)^(D647/12)*(I647+IF(AND(F647=1,F648=0),0))</f>
      </c>
      <c r="M647" s="333">
        <f>+L647</f>
      </c>
      <c r="N647" s="333">
        <f>L647+K647+M647</f>
      </c>
      <c r="O647" s="170"/>
      <c r="P647" s="7"/>
      <c r="Q647" s="1"/>
      <c r="R647" s="331">
        <f>D647</f>
      </c>
      <c r="S647" s="169"/>
      <c r="T647" s="1"/>
      <c r="U647" s="217"/>
      <c r="V647" s="331">
        <f>+IF(V646=11,12,IF(V646=12,1,V646+1))</f>
      </c>
      <c r="W647" s="331">
        <f>+W646+IF(V646=12,1,0)</f>
      </c>
      <c r="X647" s="555">
        <f>+DATE(W647,V647,1)</f>
        <v>25569.041666666668</v>
      </c>
      <c r="Y647" s="333">
        <f>+_xlfn.IFNA(AN647+AS647+AX647,0)</f>
      </c>
      <c r="Z647" s="333">
        <f>+_xlfn.IFNA(AO647+AT647+AY647,0)</f>
      </c>
      <c r="AA647" s="333">
        <f>Y647*(1+$O$5)^(($B$7-X647)/365.25)</f>
      </c>
      <c r="AB647" s="333">
        <f>Z647*(1+$O$5)^(($B$7-X647)/365.25)</f>
      </c>
      <c r="AC647" s="1"/>
      <c r="AD647" s="1"/>
      <c r="AE647" s="1"/>
      <c r="AF647" s="111">
        <f>+MONTH(E647)&amp;YEAR(E647)</f>
      </c>
      <c r="AG647" s="217">
        <f>+I647</f>
      </c>
      <c r="AH647" s="217">
        <f>+J647</f>
      </c>
      <c r="AI647" s="217">
        <f>+H647</f>
      </c>
      <c r="AJ647" s="111">
        <f>+V647&amp;W647</f>
      </c>
      <c r="AK647" s="217">
        <f>+_xlfn.IFNA(VLOOKUP(AJ647,$AF$7:$AG$1066,2,0),0)</f>
      </c>
      <c r="AL647" s="217">
        <f>+IF(W647&gt;W646,AK647,AL646+AK647)</f>
      </c>
      <c r="AM647" s="217">
        <f>IF(W647&gt;W646,IF(AL647&gt;=$AZ$8,$AZ$8,AL647),IF(OR(AM646=$AZ$8,AM646=0),0,IF(AL647&gt;=$AZ$8,$AZ$8,AL647)))</f>
      </c>
      <c r="AN647" s="748">
        <f>+IF(OR(AM647&gt;AZ646,AM647=0),0,IF(AM647=AL647,AK647,$AZ$7-AL646))</f>
      </c>
      <c r="AO647" s="748">
        <f>+AK647-AN647</f>
      </c>
      <c r="AP647" s="217">
        <f>+_xlfn.IFNA(VLOOKUP(AJ647,$AF$7:$AI$1066,3,0),0)</f>
      </c>
      <c r="AQ647" s="217">
        <f>+IF(W647&gt;W646,AP647,AQ646+AP647)</f>
      </c>
      <c r="AR647" s="217">
        <f>+MAX($AM$2-SUMIF($W$7:$W$1066,W647,$AN$7:$AN$1066),0)</f>
      </c>
      <c r="AS647" s="748">
        <f>+MAX(IF(AQ647&gt;AR647,AR647-AQ646,AP647),0)</f>
      </c>
      <c r="AT647" s="748">
        <f>+AP647-AS647</f>
      </c>
      <c r="AU647" s="217">
        <f>+_xlfn.IFNA(VLOOKUP(AJ647,$AF$7:$AI$1066,4,0),0)</f>
      </c>
      <c r="AV647" s="217">
        <f>+IF(W647&gt;W646,AU647,AV646+AU647)</f>
      </c>
      <c r="AW647" s="217">
        <f>+MAX($AM$2-SUMIF($W$7:$W$1066,W647,$AN$7:$AN$1066)-SUMIF($W$7:$W$1066,W647,$AS$7:$AS$1066),0)</f>
      </c>
      <c r="AX647" s="748">
        <f>+MAX(IF(AV647&gt;AW647,AW647-AV646,AU647),0)</f>
      </c>
      <c r="AY647" s="748">
        <f>+AU647-AX647</f>
      </c>
      <c r="AZ647" s="331">
        <f>+$AM$1+IF($AP$1&gt;$AP$2,$AM$3/2)</f>
      </c>
    </row>
    <row x14ac:dyDescent="0.25" r="648" customHeight="1" ht="18.75">
      <c r="A648" s="1"/>
      <c r="B648" s="7"/>
      <c r="C648" s="170"/>
      <c r="D648" s="331">
        <v>641</v>
      </c>
      <c r="E648" s="544">
        <f>+DATE(YEAR(E647),MONTH(E647)-1,DAY(E647))</f>
        <v>25569.041666666668</v>
      </c>
      <c r="F648" s="333">
        <f>IF(DATE(YEAR($B$6),MONTH($B$6)+1,DAY(1))=E648,1,IF(MONTH(E648)=1,F649*(1+$F$5),F649))</f>
      </c>
      <c r="G648" s="333">
        <f>IF('Simulador - 1º Pilar'!$E$99="Sí",IF('Aportaciones PPE'!$B$13&lt;'Aportaciones PPE'!E648,0,F648*$B$8/12),F648*$B$8/12)</f>
      </c>
      <c r="H648" s="333">
        <f>$H$5*G648</f>
      </c>
      <c r="I648" s="333">
        <f>$I$5*G648</f>
      </c>
      <c r="J648" s="333">
        <f>+I648</f>
      </c>
      <c r="K648" s="333">
        <f>(1+$O$5)^(D648/12)*(H648+IF(AND(F648=1,F649=0),$S$4,0))</f>
      </c>
      <c r="L648" s="333">
        <f>(1+$O$5)^(D648/12)*(I648+IF(AND(F648=1,F649=0),0))</f>
      </c>
      <c r="M648" s="333">
        <f>+L648</f>
      </c>
      <c r="N648" s="333">
        <f>L648+K648+M648</f>
      </c>
      <c r="O648" s="170"/>
      <c r="P648" s="7"/>
      <c r="Q648" s="1"/>
      <c r="R648" s="331">
        <f>D648</f>
      </c>
      <c r="S648" s="169"/>
      <c r="T648" s="1"/>
      <c r="U648" s="217"/>
      <c r="V648" s="331">
        <f>+IF(V647=11,12,IF(V647=12,1,V647+1))</f>
      </c>
      <c r="W648" s="331">
        <f>+W647+IF(V647=12,1,0)</f>
      </c>
      <c r="X648" s="555">
        <f>+DATE(W648,V648,1)</f>
        <v>25569.041666666668</v>
      </c>
      <c r="Y648" s="333">
        <f>+_xlfn.IFNA(AN648+AS648+AX648,0)</f>
      </c>
      <c r="Z648" s="333">
        <f>+_xlfn.IFNA(AO648+AT648+AY648,0)</f>
      </c>
      <c r="AA648" s="333">
        <f>Y648*(1+$O$5)^(($B$7-X648)/365.25)</f>
      </c>
      <c r="AB648" s="333">
        <f>Z648*(1+$O$5)^(($B$7-X648)/365.25)</f>
      </c>
      <c r="AC648" s="1"/>
      <c r="AD648" s="1"/>
      <c r="AE648" s="1"/>
      <c r="AF648" s="111">
        <f>+MONTH(E648)&amp;YEAR(E648)</f>
      </c>
      <c r="AG648" s="217">
        <f>+I648</f>
      </c>
      <c r="AH648" s="217">
        <f>+J648</f>
      </c>
      <c r="AI648" s="217">
        <f>+H648</f>
      </c>
      <c r="AJ648" s="111">
        <f>+V648&amp;W648</f>
      </c>
      <c r="AK648" s="217">
        <f>+_xlfn.IFNA(VLOOKUP(AJ648,$AF$7:$AG$1066,2,0),0)</f>
      </c>
      <c r="AL648" s="217">
        <f>+IF(W648&gt;W647,AK648,AL647+AK648)</f>
      </c>
      <c r="AM648" s="217">
        <f>IF(W648&gt;W647,IF(AL648&gt;=$AZ$8,$AZ$8,AL648),IF(OR(AM647=$AZ$8,AM647=0),0,IF(AL648&gt;=$AZ$8,$AZ$8,AL648)))</f>
      </c>
      <c r="AN648" s="748">
        <f>+IF(OR(AM648&gt;AZ647,AM648=0),0,IF(AM648=AL648,AK648,$AZ$7-AL647))</f>
      </c>
      <c r="AO648" s="748">
        <f>+AK648-AN648</f>
      </c>
      <c r="AP648" s="217">
        <f>+_xlfn.IFNA(VLOOKUP(AJ648,$AF$7:$AI$1066,3,0),0)</f>
      </c>
      <c r="AQ648" s="217">
        <f>+IF(W648&gt;W647,AP648,AQ647+AP648)</f>
      </c>
      <c r="AR648" s="217">
        <f>+MAX($AM$2-SUMIF($W$7:$W$1066,W648,$AN$7:$AN$1066),0)</f>
      </c>
      <c r="AS648" s="748">
        <f>+MAX(IF(AQ648&gt;AR648,AR648-AQ647,AP648),0)</f>
      </c>
      <c r="AT648" s="748">
        <f>+AP648-AS648</f>
      </c>
      <c r="AU648" s="217">
        <f>+_xlfn.IFNA(VLOOKUP(AJ648,$AF$7:$AI$1066,4,0),0)</f>
      </c>
      <c r="AV648" s="217">
        <f>+IF(W648&gt;W647,AU648,AV647+AU648)</f>
      </c>
      <c r="AW648" s="217">
        <f>+MAX($AM$2-SUMIF($W$7:$W$1066,W648,$AN$7:$AN$1066)-SUMIF($W$7:$W$1066,W648,$AS$7:$AS$1066),0)</f>
      </c>
      <c r="AX648" s="748">
        <f>+MAX(IF(AV648&gt;AW648,AW648-AV647,AU648),0)</f>
      </c>
      <c r="AY648" s="748">
        <f>+AU648-AX648</f>
      </c>
      <c r="AZ648" s="331">
        <f>+$AM$1+IF($AP$1&gt;$AP$2,$AM$3/2)</f>
      </c>
    </row>
    <row x14ac:dyDescent="0.25" r="649" customHeight="1" ht="18.75">
      <c r="A649" s="1"/>
      <c r="B649" s="7"/>
      <c r="C649" s="170"/>
      <c r="D649" s="331">
        <v>642</v>
      </c>
      <c r="E649" s="544">
        <f>+DATE(YEAR(E648),MONTH(E648)-1,DAY(E648))</f>
        <v>25569.041666666668</v>
      </c>
      <c r="F649" s="333">
        <f>IF(DATE(YEAR($B$6),MONTH($B$6)+1,DAY(1))=E649,1,IF(MONTH(E649)=1,F650*(1+$F$5),F650))</f>
      </c>
      <c r="G649" s="333">
        <f>IF('Simulador - 1º Pilar'!$E$99="Sí",IF('Aportaciones PPE'!$B$13&lt;'Aportaciones PPE'!E649,0,F649*$B$8/12),F649*$B$8/12)</f>
      </c>
      <c r="H649" s="333">
        <f>$H$5*G649</f>
      </c>
      <c r="I649" s="333">
        <f>$I$5*G649</f>
      </c>
      <c r="J649" s="333">
        <f>+I649</f>
      </c>
      <c r="K649" s="333">
        <f>(1+$O$5)^(D649/12)*(H649+IF(AND(F649=1,F650=0),$S$4,0))</f>
      </c>
      <c r="L649" s="333">
        <f>(1+$O$5)^(D649/12)*(I649+IF(AND(F649=1,F650=0),0))</f>
      </c>
      <c r="M649" s="333">
        <f>+L649</f>
      </c>
      <c r="N649" s="333">
        <f>L649+K649+M649</f>
      </c>
      <c r="O649" s="170"/>
      <c r="P649" s="7"/>
      <c r="Q649" s="1"/>
      <c r="R649" s="331">
        <f>D649</f>
      </c>
      <c r="S649" s="169"/>
      <c r="T649" s="1"/>
      <c r="U649" s="217"/>
      <c r="V649" s="331">
        <f>+IF(V648=11,12,IF(V648=12,1,V648+1))</f>
      </c>
      <c r="W649" s="331">
        <f>+W648+IF(V648=12,1,0)</f>
      </c>
      <c r="X649" s="555">
        <f>+DATE(W649,V649,1)</f>
        <v>25569.041666666668</v>
      </c>
      <c r="Y649" s="333">
        <f>+_xlfn.IFNA(AN649+AS649+AX649,0)</f>
      </c>
      <c r="Z649" s="333">
        <f>+_xlfn.IFNA(AO649+AT649+AY649,0)</f>
      </c>
      <c r="AA649" s="333">
        <f>Y649*(1+$O$5)^(($B$7-X649)/365.25)</f>
      </c>
      <c r="AB649" s="333">
        <f>Z649*(1+$O$5)^(($B$7-X649)/365.25)</f>
      </c>
      <c r="AC649" s="1"/>
      <c r="AD649" s="1"/>
      <c r="AE649" s="1"/>
      <c r="AF649" s="111">
        <f>+MONTH(E649)&amp;YEAR(E649)</f>
      </c>
      <c r="AG649" s="217">
        <f>+I649</f>
      </c>
      <c r="AH649" s="217">
        <f>+J649</f>
      </c>
      <c r="AI649" s="217">
        <f>+H649</f>
      </c>
      <c r="AJ649" s="111">
        <f>+V649&amp;W649</f>
      </c>
      <c r="AK649" s="217">
        <f>+_xlfn.IFNA(VLOOKUP(AJ649,$AF$7:$AG$1066,2,0),0)</f>
      </c>
      <c r="AL649" s="217">
        <f>+IF(W649&gt;W648,AK649,AL648+AK649)</f>
      </c>
      <c r="AM649" s="217">
        <f>IF(W649&gt;W648,IF(AL649&gt;=$AZ$8,$AZ$8,AL649),IF(OR(AM648=$AZ$8,AM648=0),0,IF(AL649&gt;=$AZ$8,$AZ$8,AL649)))</f>
      </c>
      <c r="AN649" s="748">
        <f>+IF(OR(AM649&gt;AZ648,AM649=0),0,IF(AM649=AL649,AK649,$AZ$7-AL648))</f>
      </c>
      <c r="AO649" s="748">
        <f>+AK649-AN649</f>
      </c>
      <c r="AP649" s="217">
        <f>+_xlfn.IFNA(VLOOKUP(AJ649,$AF$7:$AI$1066,3,0),0)</f>
      </c>
      <c r="AQ649" s="217">
        <f>+IF(W649&gt;W648,AP649,AQ648+AP649)</f>
      </c>
      <c r="AR649" s="217">
        <f>+MAX($AM$2-SUMIF($W$7:$W$1066,W649,$AN$7:$AN$1066),0)</f>
      </c>
      <c r="AS649" s="748">
        <f>+MAX(IF(AQ649&gt;AR649,AR649-AQ648,AP649),0)</f>
      </c>
      <c r="AT649" s="748">
        <f>+AP649-AS649</f>
      </c>
      <c r="AU649" s="217">
        <f>+_xlfn.IFNA(VLOOKUP(AJ649,$AF$7:$AI$1066,4,0),0)</f>
      </c>
      <c r="AV649" s="217">
        <f>+IF(W649&gt;W648,AU649,AV648+AU649)</f>
      </c>
      <c r="AW649" s="217">
        <f>+MAX($AM$2-SUMIF($W$7:$W$1066,W649,$AN$7:$AN$1066)-SUMIF($W$7:$W$1066,W649,$AS$7:$AS$1066),0)</f>
      </c>
      <c r="AX649" s="748">
        <f>+MAX(IF(AV649&gt;AW649,AW649-AV648,AU649),0)</f>
      </c>
      <c r="AY649" s="748">
        <f>+AU649-AX649</f>
      </c>
      <c r="AZ649" s="331">
        <f>+$AM$1+IF($AP$1&gt;$AP$2,$AM$3/2)</f>
      </c>
    </row>
    <row x14ac:dyDescent="0.25" r="650" customHeight="1" ht="18.75">
      <c r="A650" s="1"/>
      <c r="B650" s="7"/>
      <c r="C650" s="170"/>
      <c r="D650" s="331">
        <v>643</v>
      </c>
      <c r="E650" s="544">
        <f>+DATE(YEAR(E649),MONTH(E649)-1,DAY(E649))</f>
        <v>25569.041666666668</v>
      </c>
      <c r="F650" s="333">
        <f>IF(DATE(YEAR($B$6),MONTH($B$6)+1,DAY(1))=E650,1,IF(MONTH(E650)=1,F651*(1+$F$5),F651))</f>
      </c>
      <c r="G650" s="333">
        <f>IF('Simulador - 1º Pilar'!$E$99="Sí",IF('Aportaciones PPE'!$B$13&lt;'Aportaciones PPE'!E650,0,F650*$B$8/12),F650*$B$8/12)</f>
      </c>
      <c r="H650" s="333">
        <f>$H$5*G650</f>
      </c>
      <c r="I650" s="333">
        <f>$I$5*G650</f>
      </c>
      <c r="J650" s="333">
        <f>+I650</f>
      </c>
      <c r="K650" s="333">
        <f>(1+$O$5)^(D650/12)*(H650+IF(AND(F650=1,F651=0),$S$4,0))</f>
      </c>
      <c r="L650" s="333">
        <f>(1+$O$5)^(D650/12)*(I650+IF(AND(F650=1,F651=0),0))</f>
      </c>
      <c r="M650" s="333">
        <f>+L650</f>
      </c>
      <c r="N650" s="333">
        <f>L650+K650+M650</f>
      </c>
      <c r="O650" s="170"/>
      <c r="P650" s="7"/>
      <c r="Q650" s="1"/>
      <c r="R650" s="331">
        <f>D650</f>
      </c>
      <c r="S650" s="169"/>
      <c r="T650" s="1"/>
      <c r="U650" s="217"/>
      <c r="V650" s="331">
        <f>+IF(V649=11,12,IF(V649=12,1,V649+1))</f>
      </c>
      <c r="W650" s="331">
        <f>+W649+IF(V649=12,1,0)</f>
      </c>
      <c r="X650" s="555">
        <f>+DATE(W650,V650,1)</f>
        <v>25569.041666666668</v>
      </c>
      <c r="Y650" s="333">
        <f>+_xlfn.IFNA(AN650+AS650+AX650,0)</f>
      </c>
      <c r="Z650" s="333">
        <f>+_xlfn.IFNA(AO650+AT650+AY650,0)</f>
      </c>
      <c r="AA650" s="333">
        <f>Y650*(1+$O$5)^(($B$7-X650)/365.25)</f>
      </c>
      <c r="AB650" s="333">
        <f>Z650*(1+$O$5)^(($B$7-X650)/365.25)</f>
      </c>
      <c r="AC650" s="1"/>
      <c r="AD650" s="1"/>
      <c r="AE650" s="1"/>
      <c r="AF650" s="111">
        <f>+MONTH(E650)&amp;YEAR(E650)</f>
      </c>
      <c r="AG650" s="217">
        <f>+I650</f>
      </c>
      <c r="AH650" s="217">
        <f>+J650</f>
      </c>
      <c r="AI650" s="217">
        <f>+H650</f>
      </c>
      <c r="AJ650" s="111">
        <f>+V650&amp;W650</f>
      </c>
      <c r="AK650" s="217">
        <f>+_xlfn.IFNA(VLOOKUP(AJ650,$AF$7:$AG$1066,2,0),0)</f>
      </c>
      <c r="AL650" s="217">
        <f>+IF(W650&gt;W649,AK650,AL649+AK650)</f>
      </c>
      <c r="AM650" s="217">
        <f>IF(W650&gt;W649,IF(AL650&gt;=$AZ$8,$AZ$8,AL650),IF(OR(AM649=$AZ$8,AM649=0),0,IF(AL650&gt;=$AZ$8,$AZ$8,AL650)))</f>
      </c>
      <c r="AN650" s="748">
        <f>+IF(OR(AM650&gt;AZ649,AM650=0),0,IF(AM650=AL650,AK650,$AZ$7-AL649))</f>
      </c>
      <c r="AO650" s="748">
        <f>+AK650-AN650</f>
      </c>
      <c r="AP650" s="217">
        <f>+_xlfn.IFNA(VLOOKUP(AJ650,$AF$7:$AI$1066,3,0),0)</f>
      </c>
      <c r="AQ650" s="217">
        <f>+IF(W650&gt;W649,AP650,AQ649+AP650)</f>
      </c>
      <c r="AR650" s="217">
        <f>+MAX($AM$2-SUMIF($W$7:$W$1066,W650,$AN$7:$AN$1066),0)</f>
      </c>
      <c r="AS650" s="748">
        <f>+MAX(IF(AQ650&gt;AR650,AR650-AQ649,AP650),0)</f>
      </c>
      <c r="AT650" s="748">
        <f>+AP650-AS650</f>
      </c>
      <c r="AU650" s="217">
        <f>+_xlfn.IFNA(VLOOKUP(AJ650,$AF$7:$AI$1066,4,0),0)</f>
      </c>
      <c r="AV650" s="217">
        <f>+IF(W650&gt;W649,AU650,AV649+AU650)</f>
      </c>
      <c r="AW650" s="217">
        <f>+MAX($AM$2-SUMIF($W$7:$W$1066,W650,$AN$7:$AN$1066)-SUMIF($W$7:$W$1066,W650,$AS$7:$AS$1066),0)</f>
      </c>
      <c r="AX650" s="748">
        <f>+MAX(IF(AV650&gt;AW650,AW650-AV649,AU650),0)</f>
      </c>
      <c r="AY650" s="748">
        <f>+AU650-AX650</f>
      </c>
      <c r="AZ650" s="331">
        <f>+$AM$1+IF($AP$1&gt;$AP$2,$AM$3/2)</f>
      </c>
    </row>
    <row x14ac:dyDescent="0.25" r="651" customHeight="1" ht="18.75">
      <c r="A651" s="1"/>
      <c r="B651" s="7"/>
      <c r="C651" s="170"/>
      <c r="D651" s="331">
        <v>644</v>
      </c>
      <c r="E651" s="544">
        <f>+DATE(YEAR(E650),MONTH(E650)-1,DAY(E650))</f>
        <v>25569.041666666668</v>
      </c>
      <c r="F651" s="333">
        <f>IF(DATE(YEAR($B$6),MONTH($B$6)+1,DAY(1))=E651,1,IF(MONTH(E651)=1,F652*(1+$F$5),F652))</f>
      </c>
      <c r="G651" s="333">
        <f>IF('Simulador - 1º Pilar'!$E$99="Sí",IF('Aportaciones PPE'!$B$13&lt;'Aportaciones PPE'!E651,0,F651*$B$8/12),F651*$B$8/12)</f>
      </c>
      <c r="H651" s="333">
        <f>$H$5*G651</f>
      </c>
      <c r="I651" s="333">
        <f>$I$5*G651</f>
      </c>
      <c r="J651" s="333">
        <f>+I651</f>
      </c>
      <c r="K651" s="333">
        <f>(1+$O$5)^(D651/12)*(H651+IF(AND(F651=1,F652=0),$S$4,0))</f>
      </c>
      <c r="L651" s="333">
        <f>(1+$O$5)^(D651/12)*(I651+IF(AND(F651=1,F652=0),0))</f>
      </c>
      <c r="M651" s="333">
        <f>+L651</f>
      </c>
      <c r="N651" s="333">
        <f>L651+K651+M651</f>
      </c>
      <c r="O651" s="170"/>
      <c r="P651" s="7"/>
      <c r="Q651" s="1"/>
      <c r="R651" s="331">
        <f>D651</f>
      </c>
      <c r="S651" s="169"/>
      <c r="T651" s="1"/>
      <c r="U651" s="217"/>
      <c r="V651" s="331">
        <f>+IF(V650=11,12,IF(V650=12,1,V650+1))</f>
      </c>
      <c r="W651" s="331">
        <f>+W650+IF(V650=12,1,0)</f>
      </c>
      <c r="X651" s="555">
        <f>+DATE(W651,V651,1)</f>
        <v>25569.041666666668</v>
      </c>
      <c r="Y651" s="333">
        <f>+_xlfn.IFNA(AN651+AS651+AX651,0)</f>
      </c>
      <c r="Z651" s="333">
        <f>+_xlfn.IFNA(AO651+AT651+AY651,0)</f>
      </c>
      <c r="AA651" s="333">
        <f>Y651*(1+$O$5)^(($B$7-X651)/365.25)</f>
      </c>
      <c r="AB651" s="333">
        <f>Z651*(1+$O$5)^(($B$7-X651)/365.25)</f>
      </c>
      <c r="AC651" s="1"/>
      <c r="AD651" s="1"/>
      <c r="AE651" s="1"/>
      <c r="AF651" s="111">
        <f>+MONTH(E651)&amp;YEAR(E651)</f>
      </c>
      <c r="AG651" s="217">
        <f>+I651</f>
      </c>
      <c r="AH651" s="217">
        <f>+J651</f>
      </c>
      <c r="AI651" s="217">
        <f>+H651</f>
      </c>
      <c r="AJ651" s="111">
        <f>+V651&amp;W651</f>
      </c>
      <c r="AK651" s="217">
        <f>+_xlfn.IFNA(VLOOKUP(AJ651,$AF$7:$AG$1066,2,0),0)</f>
      </c>
      <c r="AL651" s="217">
        <f>+IF(W651&gt;W650,AK651,AL650+AK651)</f>
      </c>
      <c r="AM651" s="217">
        <f>IF(W651&gt;W650,IF(AL651&gt;=$AZ$8,$AZ$8,AL651),IF(OR(AM650=$AZ$8,AM650=0),0,IF(AL651&gt;=$AZ$8,$AZ$8,AL651)))</f>
      </c>
      <c r="AN651" s="748">
        <f>+IF(OR(AM651&gt;AZ650,AM651=0),0,IF(AM651=AL651,AK651,$AZ$7-AL650))</f>
      </c>
      <c r="AO651" s="748">
        <f>+AK651-AN651</f>
      </c>
      <c r="AP651" s="217">
        <f>+_xlfn.IFNA(VLOOKUP(AJ651,$AF$7:$AI$1066,3,0),0)</f>
      </c>
      <c r="AQ651" s="217">
        <f>+IF(W651&gt;W650,AP651,AQ650+AP651)</f>
      </c>
      <c r="AR651" s="217">
        <f>+MAX($AM$2-SUMIF($W$7:$W$1066,W651,$AN$7:$AN$1066),0)</f>
      </c>
      <c r="AS651" s="748">
        <f>+MAX(IF(AQ651&gt;AR651,AR651-AQ650,AP651),0)</f>
      </c>
      <c r="AT651" s="748">
        <f>+AP651-AS651</f>
      </c>
      <c r="AU651" s="217">
        <f>+_xlfn.IFNA(VLOOKUP(AJ651,$AF$7:$AI$1066,4,0),0)</f>
      </c>
      <c r="AV651" s="217">
        <f>+IF(W651&gt;W650,AU651,AV650+AU651)</f>
      </c>
      <c r="AW651" s="217">
        <f>+MAX($AM$2-SUMIF($W$7:$W$1066,W651,$AN$7:$AN$1066)-SUMIF($W$7:$W$1066,W651,$AS$7:$AS$1066),0)</f>
      </c>
      <c r="AX651" s="748">
        <f>+MAX(IF(AV651&gt;AW651,AW651-AV650,AU651),0)</f>
      </c>
      <c r="AY651" s="748">
        <f>+AU651-AX651</f>
      </c>
      <c r="AZ651" s="331">
        <f>+$AM$1+IF($AP$1&gt;$AP$2,$AM$3/2)</f>
      </c>
    </row>
    <row x14ac:dyDescent="0.25" r="652" customHeight="1" ht="18.75">
      <c r="A652" s="1"/>
      <c r="B652" s="7"/>
      <c r="C652" s="170"/>
      <c r="D652" s="331">
        <v>645</v>
      </c>
      <c r="E652" s="544">
        <f>+DATE(YEAR(E651),MONTH(E651)-1,DAY(E651))</f>
        <v>25569.041666666668</v>
      </c>
      <c r="F652" s="333">
        <f>IF(DATE(YEAR($B$6),MONTH($B$6)+1,DAY(1))=E652,1,IF(MONTH(E652)=1,F653*(1+$F$5),F653))</f>
      </c>
      <c r="G652" s="333">
        <f>IF('Simulador - 1º Pilar'!$E$99="Sí",IF('Aportaciones PPE'!$B$13&lt;'Aportaciones PPE'!E652,0,F652*$B$8/12),F652*$B$8/12)</f>
      </c>
      <c r="H652" s="333">
        <f>$H$5*G652</f>
      </c>
      <c r="I652" s="333">
        <f>$I$5*G652</f>
      </c>
      <c r="J652" s="333">
        <f>+I652</f>
      </c>
      <c r="K652" s="333">
        <f>(1+$O$5)^(D652/12)*(H652+IF(AND(F652=1,F653=0),$S$4,0))</f>
      </c>
      <c r="L652" s="333">
        <f>(1+$O$5)^(D652/12)*(I652+IF(AND(F652=1,F653=0),0))</f>
      </c>
      <c r="M652" s="333">
        <f>+L652</f>
      </c>
      <c r="N652" s="333">
        <f>L652+K652+M652</f>
      </c>
      <c r="O652" s="170"/>
      <c r="P652" s="7"/>
      <c r="Q652" s="1"/>
      <c r="R652" s="331">
        <f>D652</f>
      </c>
      <c r="S652" s="169"/>
      <c r="T652" s="1"/>
      <c r="U652" s="217"/>
      <c r="V652" s="331">
        <f>+IF(V651=11,12,IF(V651=12,1,V651+1))</f>
      </c>
      <c r="W652" s="331">
        <f>+W651+IF(V651=12,1,0)</f>
      </c>
      <c r="X652" s="555">
        <f>+DATE(W652,V652,1)</f>
        <v>25569.041666666668</v>
      </c>
      <c r="Y652" s="333">
        <f>+_xlfn.IFNA(AN652+AS652+AX652,0)</f>
      </c>
      <c r="Z652" s="333">
        <f>+_xlfn.IFNA(AO652+AT652+AY652,0)</f>
      </c>
      <c r="AA652" s="333">
        <f>Y652*(1+$O$5)^(($B$7-X652)/365.25)</f>
      </c>
      <c r="AB652" s="333">
        <f>Z652*(1+$O$5)^(($B$7-X652)/365.25)</f>
      </c>
      <c r="AC652" s="1"/>
      <c r="AD652" s="1"/>
      <c r="AE652" s="1"/>
      <c r="AF652" s="111">
        <f>+MONTH(E652)&amp;YEAR(E652)</f>
      </c>
      <c r="AG652" s="217">
        <f>+I652</f>
      </c>
      <c r="AH652" s="217">
        <f>+J652</f>
      </c>
      <c r="AI652" s="217">
        <f>+H652</f>
      </c>
      <c r="AJ652" s="111">
        <f>+V652&amp;W652</f>
      </c>
      <c r="AK652" s="217">
        <f>+_xlfn.IFNA(VLOOKUP(AJ652,$AF$7:$AG$1066,2,0),0)</f>
      </c>
      <c r="AL652" s="217">
        <f>+IF(W652&gt;W651,AK652,AL651+AK652)</f>
      </c>
      <c r="AM652" s="217">
        <f>IF(W652&gt;W651,IF(AL652&gt;=$AZ$8,$AZ$8,AL652),IF(OR(AM651=$AZ$8,AM651=0),0,IF(AL652&gt;=$AZ$8,$AZ$8,AL652)))</f>
      </c>
      <c r="AN652" s="748">
        <f>+IF(OR(AM652&gt;AZ651,AM652=0),0,IF(AM652=AL652,AK652,$AZ$7-AL651))</f>
      </c>
      <c r="AO652" s="748">
        <f>+AK652-AN652</f>
      </c>
      <c r="AP652" s="217">
        <f>+_xlfn.IFNA(VLOOKUP(AJ652,$AF$7:$AI$1066,3,0),0)</f>
      </c>
      <c r="AQ652" s="217">
        <f>+IF(W652&gt;W651,AP652,AQ651+AP652)</f>
      </c>
      <c r="AR652" s="217">
        <f>+MAX($AM$2-SUMIF($W$7:$W$1066,W652,$AN$7:$AN$1066),0)</f>
      </c>
      <c r="AS652" s="748">
        <f>+MAX(IF(AQ652&gt;AR652,AR652-AQ651,AP652),0)</f>
      </c>
      <c r="AT652" s="748">
        <f>+AP652-AS652</f>
      </c>
      <c r="AU652" s="217">
        <f>+_xlfn.IFNA(VLOOKUP(AJ652,$AF$7:$AI$1066,4,0),0)</f>
      </c>
      <c r="AV652" s="217">
        <f>+IF(W652&gt;W651,AU652,AV651+AU652)</f>
      </c>
      <c r="AW652" s="217">
        <f>+MAX($AM$2-SUMIF($W$7:$W$1066,W652,$AN$7:$AN$1066)-SUMIF($W$7:$W$1066,W652,$AS$7:$AS$1066),0)</f>
      </c>
      <c r="AX652" s="748">
        <f>+MAX(IF(AV652&gt;AW652,AW652-AV651,AU652),0)</f>
      </c>
      <c r="AY652" s="748">
        <f>+AU652-AX652</f>
      </c>
      <c r="AZ652" s="331">
        <f>+$AM$1+IF($AP$1&gt;$AP$2,$AM$3/2)</f>
      </c>
    </row>
    <row x14ac:dyDescent="0.25" r="653" customHeight="1" ht="18.75">
      <c r="A653" s="1"/>
      <c r="B653" s="7"/>
      <c r="C653" s="170"/>
      <c r="D653" s="331">
        <v>646</v>
      </c>
      <c r="E653" s="544">
        <f>+DATE(YEAR(E652),MONTH(E652)-1,DAY(E652))</f>
        <v>25569.041666666668</v>
      </c>
      <c r="F653" s="333">
        <f>IF(DATE(YEAR($B$6),MONTH($B$6)+1,DAY(1))=E653,1,IF(MONTH(E653)=1,F654*(1+$F$5),F654))</f>
      </c>
      <c r="G653" s="333">
        <f>IF('Simulador - 1º Pilar'!$E$99="Sí",IF('Aportaciones PPE'!$B$13&lt;'Aportaciones PPE'!E653,0,F653*$B$8/12),F653*$B$8/12)</f>
      </c>
      <c r="H653" s="333">
        <f>$H$5*G653</f>
      </c>
      <c r="I653" s="333">
        <f>$I$5*G653</f>
      </c>
      <c r="J653" s="333">
        <f>+I653</f>
      </c>
      <c r="K653" s="333">
        <f>(1+$O$5)^(D653/12)*(H653+IF(AND(F653=1,F654=0),$S$4,0))</f>
      </c>
      <c r="L653" s="333">
        <f>(1+$O$5)^(D653/12)*(I653+IF(AND(F653=1,F654=0),0))</f>
      </c>
      <c r="M653" s="333">
        <f>+L653</f>
      </c>
      <c r="N653" s="333">
        <f>L653+K653+M653</f>
      </c>
      <c r="O653" s="170"/>
      <c r="P653" s="7"/>
      <c r="Q653" s="1"/>
      <c r="R653" s="331">
        <f>D653</f>
      </c>
      <c r="S653" s="169"/>
      <c r="T653" s="1"/>
      <c r="U653" s="217"/>
      <c r="V653" s="331">
        <f>+IF(V652=11,12,IF(V652=12,1,V652+1))</f>
      </c>
      <c r="W653" s="331">
        <f>+W652+IF(V652=12,1,0)</f>
      </c>
      <c r="X653" s="555">
        <f>+DATE(W653,V653,1)</f>
        <v>25569.041666666668</v>
      </c>
      <c r="Y653" s="333">
        <f>+_xlfn.IFNA(AN653+AS653+AX653,0)</f>
      </c>
      <c r="Z653" s="333">
        <f>+_xlfn.IFNA(AO653+AT653+AY653,0)</f>
      </c>
      <c r="AA653" s="333">
        <f>Y653*(1+$O$5)^(($B$7-X653)/365.25)</f>
      </c>
      <c r="AB653" s="333">
        <f>Z653*(1+$O$5)^(($B$7-X653)/365.25)</f>
      </c>
      <c r="AC653" s="1"/>
      <c r="AD653" s="1"/>
      <c r="AE653" s="1"/>
      <c r="AF653" s="111">
        <f>+MONTH(E653)&amp;YEAR(E653)</f>
      </c>
      <c r="AG653" s="217">
        <f>+I653</f>
      </c>
      <c r="AH653" s="217">
        <f>+J653</f>
      </c>
      <c r="AI653" s="217">
        <f>+H653</f>
      </c>
      <c r="AJ653" s="111">
        <f>+V653&amp;W653</f>
      </c>
      <c r="AK653" s="217">
        <f>+_xlfn.IFNA(VLOOKUP(AJ653,$AF$7:$AG$1066,2,0),0)</f>
      </c>
      <c r="AL653" s="217">
        <f>+IF(W653&gt;W652,AK653,AL652+AK653)</f>
      </c>
      <c r="AM653" s="217">
        <f>IF(W653&gt;W652,IF(AL653&gt;=$AZ$8,$AZ$8,AL653),IF(OR(AM652=$AZ$8,AM652=0),0,IF(AL653&gt;=$AZ$8,$AZ$8,AL653)))</f>
      </c>
      <c r="AN653" s="748">
        <f>+IF(OR(AM653&gt;AZ652,AM653=0),0,IF(AM653=AL653,AK653,$AZ$7-AL652))</f>
      </c>
      <c r="AO653" s="748">
        <f>+AK653-AN653</f>
      </c>
      <c r="AP653" s="217">
        <f>+_xlfn.IFNA(VLOOKUP(AJ653,$AF$7:$AI$1066,3,0),0)</f>
      </c>
      <c r="AQ653" s="217">
        <f>+IF(W653&gt;W652,AP653,AQ652+AP653)</f>
      </c>
      <c r="AR653" s="217">
        <f>+MAX($AM$2-SUMIF($W$7:$W$1066,W653,$AN$7:$AN$1066),0)</f>
      </c>
      <c r="AS653" s="748">
        <f>+MAX(IF(AQ653&gt;AR653,AR653-AQ652,AP653),0)</f>
      </c>
      <c r="AT653" s="748">
        <f>+AP653-AS653</f>
      </c>
      <c r="AU653" s="217">
        <f>+_xlfn.IFNA(VLOOKUP(AJ653,$AF$7:$AI$1066,4,0),0)</f>
      </c>
      <c r="AV653" s="217">
        <f>+IF(W653&gt;W652,AU653,AV652+AU653)</f>
      </c>
      <c r="AW653" s="217">
        <f>+MAX($AM$2-SUMIF($W$7:$W$1066,W653,$AN$7:$AN$1066)-SUMIF($W$7:$W$1066,W653,$AS$7:$AS$1066),0)</f>
      </c>
      <c r="AX653" s="748">
        <f>+MAX(IF(AV653&gt;AW653,AW653-AV652,AU653),0)</f>
      </c>
      <c r="AY653" s="748">
        <f>+AU653-AX653</f>
      </c>
      <c r="AZ653" s="331">
        <f>+$AM$1+IF($AP$1&gt;$AP$2,$AM$3/2)</f>
      </c>
    </row>
    <row x14ac:dyDescent="0.25" r="654" customHeight="1" ht="18.75">
      <c r="A654" s="1"/>
      <c r="B654" s="7"/>
      <c r="C654" s="170"/>
      <c r="D654" s="331">
        <v>647</v>
      </c>
      <c r="E654" s="544">
        <f>+DATE(YEAR(E653),MONTH(E653)-1,DAY(E653))</f>
        <v>25569.041666666668</v>
      </c>
      <c r="F654" s="333">
        <f>IF(DATE(YEAR($B$6),MONTH($B$6)+1,DAY(1))=E654,1,IF(MONTH(E654)=1,F655*(1+$F$5),F655))</f>
      </c>
      <c r="G654" s="333">
        <f>IF('Simulador - 1º Pilar'!$E$99="Sí",IF('Aportaciones PPE'!$B$13&lt;'Aportaciones PPE'!E654,0,F654*$B$8/12),F654*$B$8/12)</f>
      </c>
      <c r="H654" s="333">
        <f>$H$5*G654</f>
      </c>
      <c r="I654" s="333">
        <f>$I$5*G654</f>
      </c>
      <c r="J654" s="333">
        <f>+I654</f>
      </c>
      <c r="K654" s="333">
        <f>(1+$O$5)^(D654/12)*(H654+IF(AND(F654=1,F655=0),$S$4,0))</f>
      </c>
      <c r="L654" s="333">
        <f>(1+$O$5)^(D654/12)*(I654+IF(AND(F654=1,F655=0),0))</f>
      </c>
      <c r="M654" s="333">
        <f>+L654</f>
      </c>
      <c r="N654" s="333">
        <f>L654+K654+M654</f>
      </c>
      <c r="O654" s="170"/>
      <c r="P654" s="7"/>
      <c r="Q654" s="1"/>
      <c r="R654" s="331">
        <f>D654</f>
      </c>
      <c r="S654" s="169"/>
      <c r="T654" s="1"/>
      <c r="U654" s="217"/>
      <c r="V654" s="331">
        <f>+IF(V653=11,12,IF(V653=12,1,V653+1))</f>
      </c>
      <c r="W654" s="331">
        <f>+W653+IF(V653=12,1,0)</f>
      </c>
      <c r="X654" s="555">
        <f>+DATE(W654,V654,1)</f>
        <v>25569.041666666668</v>
      </c>
      <c r="Y654" s="333">
        <f>+_xlfn.IFNA(AN654+AS654+AX654,0)</f>
      </c>
      <c r="Z654" s="333">
        <f>+_xlfn.IFNA(AO654+AT654+AY654,0)</f>
      </c>
      <c r="AA654" s="333">
        <f>Y654*(1+$O$5)^(($B$7-X654)/365.25)</f>
      </c>
      <c r="AB654" s="333">
        <f>Z654*(1+$O$5)^(($B$7-X654)/365.25)</f>
      </c>
      <c r="AC654" s="1"/>
      <c r="AD654" s="1"/>
      <c r="AE654" s="1"/>
      <c r="AF654" s="111">
        <f>+MONTH(E654)&amp;YEAR(E654)</f>
      </c>
      <c r="AG654" s="217">
        <f>+I654</f>
      </c>
      <c r="AH654" s="217">
        <f>+J654</f>
      </c>
      <c r="AI654" s="217">
        <f>+H654</f>
      </c>
      <c r="AJ654" s="111">
        <f>+V654&amp;W654</f>
      </c>
      <c r="AK654" s="217">
        <f>+_xlfn.IFNA(VLOOKUP(AJ654,$AF$7:$AG$1066,2,0),0)</f>
      </c>
      <c r="AL654" s="217">
        <f>+IF(W654&gt;W653,AK654,AL653+AK654)</f>
      </c>
      <c r="AM654" s="217">
        <f>IF(W654&gt;W653,IF(AL654&gt;=$AZ$8,$AZ$8,AL654),IF(OR(AM653=$AZ$8,AM653=0),0,IF(AL654&gt;=$AZ$8,$AZ$8,AL654)))</f>
      </c>
      <c r="AN654" s="748">
        <f>+IF(OR(AM654&gt;AZ653,AM654=0),0,IF(AM654=AL654,AK654,$AZ$7-AL653))</f>
      </c>
      <c r="AO654" s="748">
        <f>+AK654-AN654</f>
      </c>
      <c r="AP654" s="217">
        <f>+_xlfn.IFNA(VLOOKUP(AJ654,$AF$7:$AI$1066,3,0),0)</f>
      </c>
      <c r="AQ654" s="217">
        <f>+IF(W654&gt;W653,AP654,AQ653+AP654)</f>
      </c>
      <c r="AR654" s="217">
        <f>+MAX($AM$2-SUMIF($W$7:$W$1066,W654,$AN$7:$AN$1066),0)</f>
      </c>
      <c r="AS654" s="748">
        <f>+MAX(IF(AQ654&gt;AR654,AR654-AQ653,AP654),0)</f>
      </c>
      <c r="AT654" s="748">
        <f>+AP654-AS654</f>
      </c>
      <c r="AU654" s="217">
        <f>+_xlfn.IFNA(VLOOKUP(AJ654,$AF$7:$AI$1066,4,0),0)</f>
      </c>
      <c r="AV654" s="217">
        <f>+IF(W654&gt;W653,AU654,AV653+AU654)</f>
      </c>
      <c r="AW654" s="217">
        <f>+MAX($AM$2-SUMIF($W$7:$W$1066,W654,$AN$7:$AN$1066)-SUMIF($W$7:$W$1066,W654,$AS$7:$AS$1066),0)</f>
      </c>
      <c r="AX654" s="748">
        <f>+MAX(IF(AV654&gt;AW654,AW654-AV653,AU654),0)</f>
      </c>
      <c r="AY654" s="748">
        <f>+AU654-AX654</f>
      </c>
      <c r="AZ654" s="331">
        <f>+$AM$1+IF($AP$1&gt;$AP$2,$AM$3/2)</f>
      </c>
    </row>
    <row x14ac:dyDescent="0.25" r="655" customHeight="1" ht="18.75">
      <c r="A655" s="1"/>
      <c r="B655" s="7"/>
      <c r="C655" s="170"/>
      <c r="D655" s="331">
        <v>648</v>
      </c>
      <c r="E655" s="544">
        <f>+DATE(YEAR(E654),MONTH(E654)-1,DAY(E654))</f>
        <v>25569.041666666668</v>
      </c>
      <c r="F655" s="333">
        <f>IF(DATE(YEAR($B$6),MONTH($B$6)+1,DAY(1))=E655,1,IF(MONTH(E655)=1,F656*(1+$F$5),F656))</f>
      </c>
      <c r="G655" s="333">
        <f>IF('Simulador - 1º Pilar'!$E$99="Sí",IF('Aportaciones PPE'!$B$13&lt;'Aportaciones PPE'!E655,0,F655*$B$8/12),F655*$B$8/12)</f>
      </c>
      <c r="H655" s="333">
        <f>$H$5*G655</f>
      </c>
      <c r="I655" s="333">
        <f>$I$5*G655</f>
      </c>
      <c r="J655" s="333">
        <f>+I655</f>
      </c>
      <c r="K655" s="333">
        <f>(1+$O$5)^(D655/12)*(H655+IF(AND(F655=1,F656=0),$S$4,0))</f>
      </c>
      <c r="L655" s="333">
        <f>(1+$O$5)^(D655/12)*(I655+IF(AND(F655=1,F656=0),0))</f>
      </c>
      <c r="M655" s="333">
        <f>+L655</f>
      </c>
      <c r="N655" s="333">
        <f>L655+K655+M655</f>
      </c>
      <c r="O655" s="170"/>
      <c r="P655" s="7"/>
      <c r="Q655" s="1"/>
      <c r="R655" s="331">
        <f>D655</f>
      </c>
      <c r="S655" s="169"/>
      <c r="T655" s="1"/>
      <c r="U655" s="217"/>
      <c r="V655" s="331">
        <f>+IF(V654=11,12,IF(V654=12,1,V654+1))</f>
      </c>
      <c r="W655" s="331">
        <f>+W654+IF(V654=12,1,0)</f>
      </c>
      <c r="X655" s="555">
        <f>+DATE(W655,V655,1)</f>
        <v>25569.041666666668</v>
      </c>
      <c r="Y655" s="333">
        <f>+_xlfn.IFNA(AN655+AS655+AX655,0)</f>
      </c>
      <c r="Z655" s="333">
        <f>+_xlfn.IFNA(AO655+AT655+AY655,0)</f>
      </c>
      <c r="AA655" s="333">
        <f>Y655*(1+$O$5)^(($B$7-X655)/365.25)</f>
      </c>
      <c r="AB655" s="333">
        <f>Z655*(1+$O$5)^(($B$7-X655)/365.25)</f>
      </c>
      <c r="AC655" s="1"/>
      <c r="AD655" s="1"/>
      <c r="AE655" s="1"/>
      <c r="AF655" s="111">
        <f>+MONTH(E655)&amp;YEAR(E655)</f>
      </c>
      <c r="AG655" s="217">
        <f>+I655</f>
      </c>
      <c r="AH655" s="217">
        <f>+J655</f>
      </c>
      <c r="AI655" s="217">
        <f>+H655</f>
      </c>
      <c r="AJ655" s="111">
        <f>+V655&amp;W655</f>
      </c>
      <c r="AK655" s="217">
        <f>+_xlfn.IFNA(VLOOKUP(AJ655,$AF$7:$AG$1066,2,0),0)</f>
      </c>
      <c r="AL655" s="217">
        <f>+IF(W655&gt;W654,AK655,AL654+AK655)</f>
      </c>
      <c r="AM655" s="217">
        <f>IF(W655&gt;W654,IF(AL655&gt;=$AZ$8,$AZ$8,AL655),IF(OR(AM654=$AZ$8,AM654=0),0,IF(AL655&gt;=$AZ$8,$AZ$8,AL655)))</f>
      </c>
      <c r="AN655" s="748">
        <f>+IF(OR(AM655&gt;AZ654,AM655=0),0,IF(AM655=AL655,AK655,$AZ$7-AL654))</f>
      </c>
      <c r="AO655" s="748">
        <f>+AK655-AN655</f>
      </c>
      <c r="AP655" s="217">
        <f>+_xlfn.IFNA(VLOOKUP(AJ655,$AF$7:$AI$1066,3,0),0)</f>
      </c>
      <c r="AQ655" s="217">
        <f>+IF(W655&gt;W654,AP655,AQ654+AP655)</f>
      </c>
      <c r="AR655" s="217">
        <f>+MAX($AM$2-SUMIF($W$7:$W$1066,W655,$AN$7:$AN$1066),0)</f>
      </c>
      <c r="AS655" s="748">
        <f>+MAX(IF(AQ655&gt;AR655,AR655-AQ654,AP655),0)</f>
      </c>
      <c r="AT655" s="748">
        <f>+AP655-AS655</f>
      </c>
      <c r="AU655" s="217">
        <f>+_xlfn.IFNA(VLOOKUP(AJ655,$AF$7:$AI$1066,4,0),0)</f>
      </c>
      <c r="AV655" s="217">
        <f>+IF(W655&gt;W654,AU655,AV654+AU655)</f>
      </c>
      <c r="AW655" s="217">
        <f>+MAX($AM$2-SUMIF($W$7:$W$1066,W655,$AN$7:$AN$1066)-SUMIF($W$7:$W$1066,W655,$AS$7:$AS$1066),0)</f>
      </c>
      <c r="AX655" s="748">
        <f>+MAX(IF(AV655&gt;AW655,AW655-AV654,AU655),0)</f>
      </c>
      <c r="AY655" s="748">
        <f>+AU655-AX655</f>
      </c>
      <c r="AZ655" s="331">
        <f>+$AM$1+IF($AP$1&gt;$AP$2,$AM$3/2)</f>
      </c>
    </row>
    <row x14ac:dyDescent="0.25" r="656" customHeight="1" ht="18.75">
      <c r="A656" s="1"/>
      <c r="B656" s="7"/>
      <c r="C656" s="170"/>
      <c r="D656" s="331">
        <v>649</v>
      </c>
      <c r="E656" s="544">
        <f>+DATE(YEAR(E655),MONTH(E655)-1,DAY(E655))</f>
        <v>25569.041666666668</v>
      </c>
      <c r="F656" s="333">
        <f>IF(DATE(YEAR($B$6),MONTH($B$6)+1,DAY(1))=E656,1,IF(MONTH(E656)=1,F657*(1+$F$5),F657))</f>
      </c>
      <c r="G656" s="333">
        <f>IF('Simulador - 1º Pilar'!$E$99="Sí",IF('Aportaciones PPE'!$B$13&lt;'Aportaciones PPE'!E656,0,F656*$B$8/12),F656*$B$8/12)</f>
      </c>
      <c r="H656" s="333">
        <f>$H$5*G656</f>
      </c>
      <c r="I656" s="333">
        <f>$I$5*G656</f>
      </c>
      <c r="J656" s="333">
        <f>+I656</f>
      </c>
      <c r="K656" s="333">
        <f>(1+$O$5)^(D656/12)*(H656+IF(AND(F656=1,F657=0),$S$4,0))</f>
      </c>
      <c r="L656" s="333">
        <f>(1+$O$5)^(D656/12)*(I656+IF(AND(F656=1,F657=0),0))</f>
      </c>
      <c r="M656" s="333">
        <f>+L656</f>
      </c>
      <c r="N656" s="333">
        <f>L656+K656+M656</f>
      </c>
      <c r="O656" s="170"/>
      <c r="P656" s="7"/>
      <c r="Q656" s="1"/>
      <c r="R656" s="331">
        <f>D656</f>
      </c>
      <c r="S656" s="169"/>
      <c r="T656" s="1"/>
      <c r="U656" s="217"/>
      <c r="V656" s="331">
        <f>+IF(V655=11,12,IF(V655=12,1,V655+1))</f>
      </c>
      <c r="W656" s="331">
        <f>+W655+IF(V655=12,1,0)</f>
      </c>
      <c r="X656" s="555">
        <f>+DATE(W656,V656,1)</f>
        <v>25569.041666666668</v>
      </c>
      <c r="Y656" s="333">
        <f>+_xlfn.IFNA(AN656+AS656+AX656,0)</f>
      </c>
      <c r="Z656" s="333">
        <f>+_xlfn.IFNA(AO656+AT656+AY656,0)</f>
      </c>
      <c r="AA656" s="333">
        <f>Y656*(1+$O$5)^(($B$7-X656)/365.25)</f>
      </c>
      <c r="AB656" s="333">
        <f>Z656*(1+$O$5)^(($B$7-X656)/365.25)</f>
      </c>
      <c r="AC656" s="1"/>
      <c r="AD656" s="1"/>
      <c r="AE656" s="1"/>
      <c r="AF656" s="111">
        <f>+MONTH(E656)&amp;YEAR(E656)</f>
      </c>
      <c r="AG656" s="217">
        <f>+I656</f>
      </c>
      <c r="AH656" s="217">
        <f>+J656</f>
      </c>
      <c r="AI656" s="217">
        <f>+H656</f>
      </c>
      <c r="AJ656" s="111">
        <f>+V656&amp;W656</f>
      </c>
      <c r="AK656" s="217">
        <f>+_xlfn.IFNA(VLOOKUP(AJ656,$AF$7:$AG$1066,2,0),0)</f>
      </c>
      <c r="AL656" s="217">
        <f>+IF(W656&gt;W655,AK656,AL655+AK656)</f>
      </c>
      <c r="AM656" s="217">
        <f>IF(W656&gt;W655,IF(AL656&gt;=$AZ$8,$AZ$8,AL656),IF(OR(AM655=$AZ$8,AM655=0),0,IF(AL656&gt;=$AZ$8,$AZ$8,AL656)))</f>
      </c>
      <c r="AN656" s="748">
        <f>+IF(OR(AM656&gt;AZ655,AM656=0),0,IF(AM656=AL656,AK656,$AZ$7-AL655))</f>
      </c>
      <c r="AO656" s="748">
        <f>+AK656-AN656</f>
      </c>
      <c r="AP656" s="217">
        <f>+_xlfn.IFNA(VLOOKUP(AJ656,$AF$7:$AI$1066,3,0),0)</f>
      </c>
      <c r="AQ656" s="217">
        <f>+IF(W656&gt;W655,AP656,AQ655+AP656)</f>
      </c>
      <c r="AR656" s="217">
        <f>+MAX($AM$2-SUMIF($W$7:$W$1066,W656,$AN$7:$AN$1066),0)</f>
      </c>
      <c r="AS656" s="748">
        <f>+MAX(IF(AQ656&gt;AR656,AR656-AQ655,AP656),0)</f>
      </c>
      <c r="AT656" s="748">
        <f>+AP656-AS656</f>
      </c>
      <c r="AU656" s="217">
        <f>+_xlfn.IFNA(VLOOKUP(AJ656,$AF$7:$AI$1066,4,0),0)</f>
      </c>
      <c r="AV656" s="217">
        <f>+IF(W656&gt;W655,AU656,AV655+AU656)</f>
      </c>
      <c r="AW656" s="217">
        <f>+MAX($AM$2-SUMIF($W$7:$W$1066,W656,$AN$7:$AN$1066)-SUMIF($W$7:$W$1066,W656,$AS$7:$AS$1066),0)</f>
      </c>
      <c r="AX656" s="748">
        <f>+MAX(IF(AV656&gt;AW656,AW656-AV655,AU656),0)</f>
      </c>
      <c r="AY656" s="748">
        <f>+AU656-AX656</f>
      </c>
      <c r="AZ656" s="331">
        <f>+$AM$1+IF($AP$1&gt;$AP$2,$AM$3/2)</f>
      </c>
    </row>
    <row x14ac:dyDescent="0.25" r="657" customHeight="1" ht="18.75">
      <c r="A657" s="1"/>
      <c r="B657" s="7"/>
      <c r="C657" s="170"/>
      <c r="D657" s="331">
        <v>650</v>
      </c>
      <c r="E657" s="544">
        <f>+DATE(YEAR(E656),MONTH(E656)-1,DAY(E656))</f>
        <v>25569.041666666668</v>
      </c>
      <c r="F657" s="333">
        <f>IF(DATE(YEAR($B$6),MONTH($B$6)+1,DAY(1))=E657,1,IF(MONTH(E657)=1,F658*(1+$F$5),F658))</f>
      </c>
      <c r="G657" s="333">
        <f>IF('Simulador - 1º Pilar'!$E$99="Sí",IF('Aportaciones PPE'!$B$13&lt;'Aportaciones PPE'!E657,0,F657*$B$8/12),F657*$B$8/12)</f>
      </c>
      <c r="H657" s="333">
        <f>$H$5*G657</f>
      </c>
      <c r="I657" s="333">
        <f>$I$5*G657</f>
      </c>
      <c r="J657" s="333">
        <f>+I657</f>
      </c>
      <c r="K657" s="333">
        <f>(1+$O$5)^(D657/12)*(H657+IF(AND(F657=1,F658=0),$S$4,0))</f>
      </c>
      <c r="L657" s="333">
        <f>(1+$O$5)^(D657/12)*(I657+IF(AND(F657=1,F658=0),0))</f>
      </c>
      <c r="M657" s="333">
        <f>+L657</f>
      </c>
      <c r="N657" s="333">
        <f>L657+K657+M657</f>
      </c>
      <c r="O657" s="170"/>
      <c r="P657" s="7"/>
      <c r="Q657" s="1"/>
      <c r="R657" s="331">
        <f>D657</f>
      </c>
      <c r="S657" s="169"/>
      <c r="T657" s="1"/>
      <c r="U657" s="217"/>
      <c r="V657" s="331">
        <f>+IF(V656=11,12,IF(V656=12,1,V656+1))</f>
      </c>
      <c r="W657" s="331">
        <f>+W656+IF(V656=12,1,0)</f>
      </c>
      <c r="X657" s="555">
        <f>+DATE(W657,V657,1)</f>
        <v>25569.041666666668</v>
      </c>
      <c r="Y657" s="333">
        <f>+_xlfn.IFNA(AN657+AS657+AX657,0)</f>
      </c>
      <c r="Z657" s="333">
        <f>+_xlfn.IFNA(AO657+AT657+AY657,0)</f>
      </c>
      <c r="AA657" s="333">
        <f>Y657*(1+$O$5)^(($B$7-X657)/365.25)</f>
      </c>
      <c r="AB657" s="333">
        <f>Z657*(1+$O$5)^(($B$7-X657)/365.25)</f>
      </c>
      <c r="AC657" s="1"/>
      <c r="AD657" s="1"/>
      <c r="AE657" s="1"/>
      <c r="AF657" s="111">
        <f>+MONTH(E657)&amp;YEAR(E657)</f>
      </c>
      <c r="AG657" s="217">
        <f>+I657</f>
      </c>
      <c r="AH657" s="217">
        <f>+J657</f>
      </c>
      <c r="AI657" s="217">
        <f>+H657</f>
      </c>
      <c r="AJ657" s="111">
        <f>+V657&amp;W657</f>
      </c>
      <c r="AK657" s="217">
        <f>+_xlfn.IFNA(VLOOKUP(AJ657,$AF$7:$AG$1066,2,0),0)</f>
      </c>
      <c r="AL657" s="217">
        <f>+IF(W657&gt;W656,AK657,AL656+AK657)</f>
      </c>
      <c r="AM657" s="217">
        <f>IF(W657&gt;W656,IF(AL657&gt;=$AZ$8,$AZ$8,AL657),IF(OR(AM656=$AZ$8,AM656=0),0,IF(AL657&gt;=$AZ$8,$AZ$8,AL657)))</f>
      </c>
      <c r="AN657" s="748">
        <f>+IF(OR(AM657&gt;AZ656,AM657=0),0,IF(AM657=AL657,AK657,$AZ$7-AL656))</f>
      </c>
      <c r="AO657" s="748">
        <f>+AK657-AN657</f>
      </c>
      <c r="AP657" s="217">
        <f>+_xlfn.IFNA(VLOOKUP(AJ657,$AF$7:$AI$1066,3,0),0)</f>
      </c>
      <c r="AQ657" s="217">
        <f>+IF(W657&gt;W656,AP657,AQ656+AP657)</f>
      </c>
      <c r="AR657" s="217">
        <f>+MAX($AM$2-SUMIF($W$7:$W$1066,W657,$AN$7:$AN$1066),0)</f>
      </c>
      <c r="AS657" s="748">
        <f>+MAX(IF(AQ657&gt;AR657,AR657-AQ656,AP657),0)</f>
      </c>
      <c r="AT657" s="748">
        <f>+AP657-AS657</f>
      </c>
      <c r="AU657" s="217">
        <f>+_xlfn.IFNA(VLOOKUP(AJ657,$AF$7:$AI$1066,4,0),0)</f>
      </c>
      <c r="AV657" s="217">
        <f>+IF(W657&gt;W656,AU657,AV656+AU657)</f>
      </c>
      <c r="AW657" s="217">
        <f>+MAX($AM$2-SUMIF($W$7:$W$1066,W657,$AN$7:$AN$1066)-SUMIF($W$7:$W$1066,W657,$AS$7:$AS$1066),0)</f>
      </c>
      <c r="AX657" s="748">
        <f>+MAX(IF(AV657&gt;AW657,AW657-AV656,AU657),0)</f>
      </c>
      <c r="AY657" s="748">
        <f>+AU657-AX657</f>
      </c>
      <c r="AZ657" s="331">
        <f>+$AM$1+IF($AP$1&gt;$AP$2,$AM$3/2)</f>
      </c>
    </row>
    <row x14ac:dyDescent="0.25" r="658" customHeight="1" ht="18.75">
      <c r="A658" s="1"/>
      <c r="B658" s="7"/>
      <c r="C658" s="170"/>
      <c r="D658" s="331">
        <v>651</v>
      </c>
      <c r="E658" s="544">
        <f>+DATE(YEAR(E657),MONTH(E657)-1,DAY(E657))</f>
        <v>25569.041666666668</v>
      </c>
      <c r="F658" s="333">
        <f>IF(DATE(YEAR($B$6),MONTH($B$6)+1,DAY(1))=E658,1,IF(MONTH(E658)=1,F659*(1+$F$5),F659))</f>
      </c>
      <c r="G658" s="333">
        <f>IF('Simulador - 1º Pilar'!$E$99="Sí",IF('Aportaciones PPE'!$B$13&lt;'Aportaciones PPE'!E658,0,F658*$B$8/12),F658*$B$8/12)</f>
      </c>
      <c r="H658" s="333">
        <f>$H$5*G658</f>
      </c>
      <c r="I658" s="333">
        <f>$I$5*G658</f>
      </c>
      <c r="J658" s="333">
        <f>+I658</f>
      </c>
      <c r="K658" s="333">
        <f>(1+$O$5)^(D658/12)*(H658+IF(AND(F658=1,F659=0),$S$4,0))</f>
      </c>
      <c r="L658" s="333">
        <f>(1+$O$5)^(D658/12)*(I658+IF(AND(F658=1,F659=0),0))</f>
      </c>
      <c r="M658" s="333">
        <f>+L658</f>
      </c>
      <c r="N658" s="333">
        <f>L658+K658+M658</f>
      </c>
      <c r="O658" s="170"/>
      <c r="P658" s="7"/>
      <c r="Q658" s="1"/>
      <c r="R658" s="331">
        <f>D658</f>
      </c>
      <c r="S658" s="169"/>
      <c r="T658" s="1"/>
      <c r="U658" s="217"/>
      <c r="V658" s="331">
        <f>+IF(V657=11,12,IF(V657=12,1,V657+1))</f>
      </c>
      <c r="W658" s="331">
        <f>+W657+IF(V657=12,1,0)</f>
      </c>
      <c r="X658" s="555">
        <f>+DATE(W658,V658,1)</f>
        <v>25569.041666666668</v>
      </c>
      <c r="Y658" s="333">
        <f>+_xlfn.IFNA(AN658+AS658+AX658,0)</f>
      </c>
      <c r="Z658" s="333">
        <f>+_xlfn.IFNA(AO658+AT658+AY658,0)</f>
      </c>
      <c r="AA658" s="333">
        <f>Y658*(1+$O$5)^(($B$7-X658)/365.25)</f>
      </c>
      <c r="AB658" s="333">
        <f>Z658*(1+$O$5)^(($B$7-X658)/365.25)</f>
      </c>
      <c r="AC658" s="1"/>
      <c r="AD658" s="1"/>
      <c r="AE658" s="1"/>
      <c r="AF658" s="111">
        <f>+MONTH(E658)&amp;YEAR(E658)</f>
      </c>
      <c r="AG658" s="217">
        <f>+I658</f>
      </c>
      <c r="AH658" s="217">
        <f>+J658</f>
      </c>
      <c r="AI658" s="217">
        <f>+H658</f>
      </c>
      <c r="AJ658" s="111">
        <f>+V658&amp;W658</f>
      </c>
      <c r="AK658" s="217">
        <f>+_xlfn.IFNA(VLOOKUP(AJ658,$AF$7:$AG$1066,2,0),0)</f>
      </c>
      <c r="AL658" s="217">
        <f>+IF(W658&gt;W657,AK658,AL657+AK658)</f>
      </c>
      <c r="AM658" s="217">
        <f>IF(W658&gt;W657,IF(AL658&gt;=$AZ$8,$AZ$8,AL658),IF(OR(AM657=$AZ$8,AM657=0),0,IF(AL658&gt;=$AZ$8,$AZ$8,AL658)))</f>
      </c>
      <c r="AN658" s="748">
        <f>+IF(OR(AM658&gt;AZ657,AM658=0),0,IF(AM658=AL658,AK658,$AZ$7-AL657))</f>
      </c>
      <c r="AO658" s="748">
        <f>+AK658-AN658</f>
      </c>
      <c r="AP658" s="217">
        <f>+_xlfn.IFNA(VLOOKUP(AJ658,$AF$7:$AI$1066,3,0),0)</f>
      </c>
      <c r="AQ658" s="217">
        <f>+IF(W658&gt;W657,AP658,AQ657+AP658)</f>
      </c>
      <c r="AR658" s="217">
        <f>+MAX($AM$2-SUMIF($W$7:$W$1066,W658,$AN$7:$AN$1066),0)</f>
      </c>
      <c r="AS658" s="748">
        <f>+MAX(IF(AQ658&gt;AR658,AR658-AQ657,AP658),0)</f>
      </c>
      <c r="AT658" s="748">
        <f>+AP658-AS658</f>
      </c>
      <c r="AU658" s="217">
        <f>+_xlfn.IFNA(VLOOKUP(AJ658,$AF$7:$AI$1066,4,0),0)</f>
      </c>
      <c r="AV658" s="217">
        <f>+IF(W658&gt;W657,AU658,AV657+AU658)</f>
      </c>
      <c r="AW658" s="217">
        <f>+MAX($AM$2-SUMIF($W$7:$W$1066,W658,$AN$7:$AN$1066)-SUMIF($W$7:$W$1066,W658,$AS$7:$AS$1066),0)</f>
      </c>
      <c r="AX658" s="748">
        <f>+MAX(IF(AV658&gt;AW658,AW658-AV657,AU658),0)</f>
      </c>
      <c r="AY658" s="748">
        <f>+AU658-AX658</f>
      </c>
      <c r="AZ658" s="331">
        <f>+$AM$1+IF($AP$1&gt;$AP$2,$AM$3/2)</f>
      </c>
    </row>
    <row x14ac:dyDescent="0.25" r="659" customHeight="1" ht="18.75">
      <c r="A659" s="1"/>
      <c r="B659" s="7"/>
      <c r="C659" s="170"/>
      <c r="D659" s="331">
        <v>652</v>
      </c>
      <c r="E659" s="544">
        <f>+DATE(YEAR(E658),MONTH(E658)-1,DAY(E658))</f>
        <v>25569.041666666668</v>
      </c>
      <c r="F659" s="333">
        <f>IF(DATE(YEAR($B$6),MONTH($B$6)+1,DAY(1))=E659,1,IF(MONTH(E659)=1,F660*(1+$F$5),F660))</f>
      </c>
      <c r="G659" s="333">
        <f>IF('Simulador - 1º Pilar'!$E$99="Sí",IF('Aportaciones PPE'!$B$13&lt;'Aportaciones PPE'!E659,0,F659*$B$8/12),F659*$B$8/12)</f>
      </c>
      <c r="H659" s="333">
        <f>$H$5*G659</f>
      </c>
      <c r="I659" s="333">
        <f>$I$5*G659</f>
      </c>
      <c r="J659" s="333">
        <f>+I659</f>
      </c>
      <c r="K659" s="333">
        <f>(1+$O$5)^(D659/12)*(H659+IF(AND(F659=1,F660=0),$S$4,0))</f>
      </c>
      <c r="L659" s="333">
        <f>(1+$O$5)^(D659/12)*(I659+IF(AND(F659=1,F660=0),0))</f>
      </c>
      <c r="M659" s="333">
        <f>+L659</f>
      </c>
      <c r="N659" s="333">
        <f>L659+K659+M659</f>
      </c>
      <c r="O659" s="170"/>
      <c r="P659" s="7"/>
      <c r="Q659" s="1"/>
      <c r="R659" s="331">
        <f>D659</f>
      </c>
      <c r="S659" s="169"/>
      <c r="T659" s="1"/>
      <c r="U659" s="217"/>
      <c r="V659" s="331">
        <f>+IF(V658=11,12,IF(V658=12,1,V658+1))</f>
      </c>
      <c r="W659" s="331">
        <f>+W658+IF(V658=12,1,0)</f>
      </c>
      <c r="X659" s="555">
        <f>+DATE(W659,V659,1)</f>
        <v>25569.041666666668</v>
      </c>
      <c r="Y659" s="333">
        <f>+_xlfn.IFNA(AN659+AS659+AX659,0)</f>
      </c>
      <c r="Z659" s="333">
        <f>+_xlfn.IFNA(AO659+AT659+AY659,0)</f>
      </c>
      <c r="AA659" s="333">
        <f>Y659*(1+$O$5)^(($B$7-X659)/365.25)</f>
      </c>
      <c r="AB659" s="333">
        <f>Z659*(1+$O$5)^(($B$7-X659)/365.25)</f>
      </c>
      <c r="AC659" s="1"/>
      <c r="AD659" s="1"/>
      <c r="AE659" s="1"/>
      <c r="AF659" s="111">
        <f>+MONTH(E659)&amp;YEAR(E659)</f>
      </c>
      <c r="AG659" s="217">
        <f>+I659</f>
      </c>
      <c r="AH659" s="217">
        <f>+J659</f>
      </c>
      <c r="AI659" s="217">
        <f>+H659</f>
      </c>
      <c r="AJ659" s="111">
        <f>+V659&amp;W659</f>
      </c>
      <c r="AK659" s="217">
        <f>+_xlfn.IFNA(VLOOKUP(AJ659,$AF$7:$AG$1066,2,0),0)</f>
      </c>
      <c r="AL659" s="217">
        <f>+IF(W659&gt;W658,AK659,AL658+AK659)</f>
      </c>
      <c r="AM659" s="217">
        <f>IF(W659&gt;W658,IF(AL659&gt;=$AZ$8,$AZ$8,AL659),IF(OR(AM658=$AZ$8,AM658=0),0,IF(AL659&gt;=$AZ$8,$AZ$8,AL659)))</f>
      </c>
      <c r="AN659" s="748">
        <f>+IF(OR(AM659&gt;AZ658,AM659=0),0,IF(AM659=AL659,AK659,$AZ$7-AL658))</f>
      </c>
      <c r="AO659" s="748">
        <f>+AK659-AN659</f>
      </c>
      <c r="AP659" s="217">
        <f>+_xlfn.IFNA(VLOOKUP(AJ659,$AF$7:$AI$1066,3,0),0)</f>
      </c>
      <c r="AQ659" s="217">
        <f>+IF(W659&gt;W658,AP659,AQ658+AP659)</f>
      </c>
      <c r="AR659" s="217">
        <f>+MAX($AM$2-SUMIF($W$7:$W$1066,W659,$AN$7:$AN$1066),0)</f>
      </c>
      <c r="AS659" s="748">
        <f>+MAX(IF(AQ659&gt;AR659,AR659-AQ658,AP659),0)</f>
      </c>
      <c r="AT659" s="748">
        <f>+AP659-AS659</f>
      </c>
      <c r="AU659" s="217">
        <f>+_xlfn.IFNA(VLOOKUP(AJ659,$AF$7:$AI$1066,4,0),0)</f>
      </c>
      <c r="AV659" s="217">
        <f>+IF(W659&gt;W658,AU659,AV658+AU659)</f>
      </c>
      <c r="AW659" s="217">
        <f>+MAX($AM$2-SUMIF($W$7:$W$1066,W659,$AN$7:$AN$1066)-SUMIF($W$7:$W$1066,W659,$AS$7:$AS$1066),0)</f>
      </c>
      <c r="AX659" s="748">
        <f>+MAX(IF(AV659&gt;AW659,AW659-AV658,AU659),0)</f>
      </c>
      <c r="AY659" s="748">
        <f>+AU659-AX659</f>
      </c>
      <c r="AZ659" s="331">
        <f>+$AM$1+IF($AP$1&gt;$AP$2,$AM$3/2)</f>
      </c>
    </row>
    <row x14ac:dyDescent="0.25" r="660" customHeight="1" ht="18.75">
      <c r="A660" s="1"/>
      <c r="B660" s="7"/>
      <c r="C660" s="170"/>
      <c r="D660" s="331">
        <v>653</v>
      </c>
      <c r="E660" s="544">
        <f>+DATE(YEAR(E659),MONTH(E659)-1,DAY(E659))</f>
        <v>25569.041666666668</v>
      </c>
      <c r="F660" s="333">
        <f>IF(DATE(YEAR($B$6),MONTH($B$6)+1,DAY(1))=E660,1,IF(MONTH(E660)=1,F661*(1+$F$5),F661))</f>
      </c>
      <c r="G660" s="333">
        <f>IF('Simulador - 1º Pilar'!$E$99="Sí",IF('Aportaciones PPE'!$B$13&lt;'Aportaciones PPE'!E660,0,F660*$B$8/12),F660*$B$8/12)</f>
      </c>
      <c r="H660" s="333">
        <f>$H$5*G660</f>
      </c>
      <c r="I660" s="333">
        <f>$I$5*G660</f>
      </c>
      <c r="J660" s="333">
        <f>+I660</f>
      </c>
      <c r="K660" s="333">
        <f>(1+$O$5)^(D660/12)*(H660+IF(AND(F660=1,F661=0),$S$4,0))</f>
      </c>
      <c r="L660" s="333">
        <f>(1+$O$5)^(D660/12)*(I660+IF(AND(F660=1,F661=0),0))</f>
      </c>
      <c r="M660" s="333">
        <f>+L660</f>
      </c>
      <c r="N660" s="333">
        <f>L660+K660+M660</f>
      </c>
      <c r="O660" s="170"/>
      <c r="P660" s="7"/>
      <c r="Q660" s="1"/>
      <c r="R660" s="331">
        <f>D660</f>
      </c>
      <c r="S660" s="169"/>
      <c r="T660" s="1"/>
      <c r="U660" s="217"/>
      <c r="V660" s="331">
        <f>+IF(V659=11,12,IF(V659=12,1,V659+1))</f>
      </c>
      <c r="W660" s="331">
        <f>+W659+IF(V659=12,1,0)</f>
      </c>
      <c r="X660" s="555">
        <f>+DATE(W660,V660,1)</f>
        <v>25569.041666666668</v>
      </c>
      <c r="Y660" s="333">
        <f>+_xlfn.IFNA(AN660+AS660+AX660,0)</f>
      </c>
      <c r="Z660" s="333">
        <f>+_xlfn.IFNA(AO660+AT660+AY660,0)</f>
      </c>
      <c r="AA660" s="333">
        <f>Y660*(1+$O$5)^(($B$7-X660)/365.25)</f>
      </c>
      <c r="AB660" s="333">
        <f>Z660*(1+$O$5)^(($B$7-X660)/365.25)</f>
      </c>
      <c r="AC660" s="1"/>
      <c r="AD660" s="1"/>
      <c r="AE660" s="1"/>
      <c r="AF660" s="111">
        <f>+MONTH(E660)&amp;YEAR(E660)</f>
      </c>
      <c r="AG660" s="217">
        <f>+I660</f>
      </c>
      <c r="AH660" s="217">
        <f>+J660</f>
      </c>
      <c r="AI660" s="217">
        <f>+H660</f>
      </c>
      <c r="AJ660" s="111">
        <f>+V660&amp;W660</f>
      </c>
      <c r="AK660" s="217">
        <f>+_xlfn.IFNA(VLOOKUP(AJ660,$AF$7:$AG$1066,2,0),0)</f>
      </c>
      <c r="AL660" s="217">
        <f>+IF(W660&gt;W659,AK660,AL659+AK660)</f>
      </c>
      <c r="AM660" s="217">
        <f>IF(W660&gt;W659,IF(AL660&gt;=$AZ$8,$AZ$8,AL660),IF(OR(AM659=$AZ$8,AM659=0),0,IF(AL660&gt;=$AZ$8,$AZ$8,AL660)))</f>
      </c>
      <c r="AN660" s="748">
        <f>+IF(OR(AM660&gt;AZ659,AM660=0),0,IF(AM660=AL660,AK660,$AZ$7-AL659))</f>
      </c>
      <c r="AO660" s="748">
        <f>+AK660-AN660</f>
      </c>
      <c r="AP660" s="217">
        <f>+_xlfn.IFNA(VLOOKUP(AJ660,$AF$7:$AI$1066,3,0),0)</f>
      </c>
      <c r="AQ660" s="217">
        <f>+IF(W660&gt;W659,AP660,AQ659+AP660)</f>
      </c>
      <c r="AR660" s="217">
        <f>+MAX($AM$2-SUMIF($W$7:$W$1066,W660,$AN$7:$AN$1066),0)</f>
      </c>
      <c r="AS660" s="748">
        <f>+MAX(IF(AQ660&gt;AR660,AR660-AQ659,AP660),0)</f>
      </c>
      <c r="AT660" s="748">
        <f>+AP660-AS660</f>
      </c>
      <c r="AU660" s="217">
        <f>+_xlfn.IFNA(VLOOKUP(AJ660,$AF$7:$AI$1066,4,0),0)</f>
      </c>
      <c r="AV660" s="217">
        <f>+IF(W660&gt;W659,AU660,AV659+AU660)</f>
      </c>
      <c r="AW660" s="217">
        <f>+MAX($AM$2-SUMIF($W$7:$W$1066,W660,$AN$7:$AN$1066)-SUMIF($W$7:$W$1066,W660,$AS$7:$AS$1066),0)</f>
      </c>
      <c r="AX660" s="748">
        <f>+MAX(IF(AV660&gt;AW660,AW660-AV659,AU660),0)</f>
      </c>
      <c r="AY660" s="748">
        <f>+AU660-AX660</f>
      </c>
      <c r="AZ660" s="331">
        <f>+$AM$1+IF($AP$1&gt;$AP$2,$AM$3/2)</f>
      </c>
    </row>
    <row x14ac:dyDescent="0.25" r="661" customHeight="1" ht="18.75">
      <c r="A661" s="1"/>
      <c r="B661" s="7"/>
      <c r="C661" s="170"/>
      <c r="D661" s="331">
        <v>654</v>
      </c>
      <c r="E661" s="544">
        <f>+DATE(YEAR(E660),MONTH(E660)-1,DAY(E660))</f>
        <v>25569.041666666668</v>
      </c>
      <c r="F661" s="333">
        <f>IF(DATE(YEAR($B$6),MONTH($B$6)+1,DAY(1))=E661,1,IF(MONTH(E661)=1,F662*(1+$F$5),F662))</f>
      </c>
      <c r="G661" s="333">
        <f>IF('Simulador - 1º Pilar'!$E$99="Sí",IF('Aportaciones PPE'!$B$13&lt;'Aportaciones PPE'!E661,0,F661*$B$8/12),F661*$B$8/12)</f>
      </c>
      <c r="H661" s="333">
        <f>$H$5*G661</f>
      </c>
      <c r="I661" s="333">
        <f>$I$5*G661</f>
      </c>
      <c r="J661" s="333">
        <f>+I661</f>
      </c>
      <c r="K661" s="333">
        <f>(1+$O$5)^(D661/12)*(H661+IF(AND(F661=1,F662=0),$S$4,0))</f>
      </c>
      <c r="L661" s="333">
        <f>(1+$O$5)^(D661/12)*(I661+IF(AND(F661=1,F662=0),0))</f>
      </c>
      <c r="M661" s="333">
        <f>+L661</f>
      </c>
      <c r="N661" s="333">
        <f>L661+K661+M661</f>
      </c>
      <c r="O661" s="170"/>
      <c r="P661" s="7"/>
      <c r="Q661" s="1"/>
      <c r="R661" s="331">
        <f>D661</f>
      </c>
      <c r="S661" s="169"/>
      <c r="T661" s="1"/>
      <c r="U661" s="217"/>
      <c r="V661" s="331">
        <f>+IF(V660=11,12,IF(V660=12,1,V660+1))</f>
      </c>
      <c r="W661" s="331">
        <f>+W660+IF(V660=12,1,0)</f>
      </c>
      <c r="X661" s="555">
        <f>+DATE(W661,V661,1)</f>
        <v>25569.041666666668</v>
      </c>
      <c r="Y661" s="333">
        <f>+_xlfn.IFNA(AN661+AS661+AX661,0)</f>
      </c>
      <c r="Z661" s="333">
        <f>+_xlfn.IFNA(AO661+AT661+AY661,0)</f>
      </c>
      <c r="AA661" s="333">
        <f>Y661*(1+$O$5)^(($B$7-X661)/365.25)</f>
      </c>
      <c r="AB661" s="333">
        <f>Z661*(1+$O$5)^(($B$7-X661)/365.25)</f>
      </c>
      <c r="AC661" s="1"/>
      <c r="AD661" s="1"/>
      <c r="AE661" s="1"/>
      <c r="AF661" s="111">
        <f>+MONTH(E661)&amp;YEAR(E661)</f>
      </c>
      <c r="AG661" s="217">
        <f>+I661</f>
      </c>
      <c r="AH661" s="217">
        <f>+J661</f>
      </c>
      <c r="AI661" s="217">
        <f>+H661</f>
      </c>
      <c r="AJ661" s="111">
        <f>+V661&amp;W661</f>
      </c>
      <c r="AK661" s="217">
        <f>+_xlfn.IFNA(VLOOKUP(AJ661,$AF$7:$AG$1066,2,0),0)</f>
      </c>
      <c r="AL661" s="217">
        <f>+IF(W661&gt;W660,AK661,AL660+AK661)</f>
      </c>
      <c r="AM661" s="217">
        <f>IF(W661&gt;W660,IF(AL661&gt;=$AZ$8,$AZ$8,AL661),IF(OR(AM660=$AZ$8,AM660=0),0,IF(AL661&gt;=$AZ$8,$AZ$8,AL661)))</f>
      </c>
      <c r="AN661" s="748">
        <f>+IF(OR(AM661&gt;AZ660,AM661=0),0,IF(AM661=AL661,AK661,$AZ$7-AL660))</f>
      </c>
      <c r="AO661" s="748">
        <f>+AK661-AN661</f>
      </c>
      <c r="AP661" s="217">
        <f>+_xlfn.IFNA(VLOOKUP(AJ661,$AF$7:$AI$1066,3,0),0)</f>
      </c>
      <c r="AQ661" s="217">
        <f>+IF(W661&gt;W660,AP661,AQ660+AP661)</f>
      </c>
      <c r="AR661" s="217">
        <f>+MAX($AM$2-SUMIF($W$7:$W$1066,W661,$AN$7:$AN$1066),0)</f>
      </c>
      <c r="AS661" s="748">
        <f>+MAX(IF(AQ661&gt;AR661,AR661-AQ660,AP661),0)</f>
      </c>
      <c r="AT661" s="748">
        <f>+AP661-AS661</f>
      </c>
      <c r="AU661" s="217">
        <f>+_xlfn.IFNA(VLOOKUP(AJ661,$AF$7:$AI$1066,4,0),0)</f>
      </c>
      <c r="AV661" s="217">
        <f>+IF(W661&gt;W660,AU661,AV660+AU661)</f>
      </c>
      <c r="AW661" s="217">
        <f>+MAX($AM$2-SUMIF($W$7:$W$1066,W661,$AN$7:$AN$1066)-SUMIF($W$7:$W$1066,W661,$AS$7:$AS$1066),0)</f>
      </c>
      <c r="AX661" s="748">
        <f>+MAX(IF(AV661&gt;AW661,AW661-AV660,AU661),0)</f>
      </c>
      <c r="AY661" s="748">
        <f>+AU661-AX661</f>
      </c>
      <c r="AZ661" s="331">
        <f>+$AM$1+IF($AP$1&gt;$AP$2,$AM$3/2)</f>
      </c>
    </row>
    <row x14ac:dyDescent="0.25" r="662" customHeight="1" ht="18.75">
      <c r="A662" s="1"/>
      <c r="B662" s="7"/>
      <c r="C662" s="170"/>
      <c r="D662" s="331">
        <v>655</v>
      </c>
      <c r="E662" s="544">
        <f>+DATE(YEAR(E661),MONTH(E661)-1,DAY(E661))</f>
        <v>25569.041666666668</v>
      </c>
      <c r="F662" s="333">
        <f>IF(DATE(YEAR($B$6),MONTH($B$6)+1,DAY(1))=E662,1,IF(MONTH(E662)=1,F663*(1+$F$5),F663))</f>
      </c>
      <c r="G662" s="333">
        <f>IF('Simulador - 1º Pilar'!$E$99="Sí",IF('Aportaciones PPE'!$B$13&lt;'Aportaciones PPE'!E662,0,F662*$B$8/12),F662*$B$8/12)</f>
      </c>
      <c r="H662" s="333">
        <f>$H$5*G662</f>
      </c>
      <c r="I662" s="333">
        <f>$I$5*G662</f>
      </c>
      <c r="J662" s="333">
        <f>+I662</f>
      </c>
      <c r="K662" s="333">
        <f>(1+$O$5)^(D662/12)*(H662+IF(AND(F662=1,F663=0),$S$4,0))</f>
      </c>
      <c r="L662" s="333">
        <f>(1+$O$5)^(D662/12)*(I662+IF(AND(F662=1,F663=0),0))</f>
      </c>
      <c r="M662" s="333">
        <f>+L662</f>
      </c>
      <c r="N662" s="333">
        <f>L662+K662+M662</f>
      </c>
      <c r="O662" s="170"/>
      <c r="P662" s="7"/>
      <c r="Q662" s="1"/>
      <c r="R662" s="331">
        <f>D662</f>
      </c>
      <c r="S662" s="169"/>
      <c r="T662" s="1"/>
      <c r="U662" s="217"/>
      <c r="V662" s="331">
        <f>+IF(V661=11,12,IF(V661=12,1,V661+1))</f>
      </c>
      <c r="W662" s="331">
        <f>+W661+IF(V661=12,1,0)</f>
      </c>
      <c r="X662" s="555">
        <f>+DATE(W662,V662,1)</f>
        <v>25569.041666666668</v>
      </c>
      <c r="Y662" s="333">
        <f>+_xlfn.IFNA(AN662+AS662+AX662,0)</f>
      </c>
      <c r="Z662" s="333">
        <f>+_xlfn.IFNA(AO662+AT662+AY662,0)</f>
      </c>
      <c r="AA662" s="333">
        <f>Y662*(1+$O$5)^(($B$7-X662)/365.25)</f>
      </c>
      <c r="AB662" s="333">
        <f>Z662*(1+$O$5)^(($B$7-X662)/365.25)</f>
      </c>
      <c r="AC662" s="1"/>
      <c r="AD662" s="1"/>
      <c r="AE662" s="1"/>
      <c r="AF662" s="111">
        <f>+MONTH(E662)&amp;YEAR(E662)</f>
      </c>
      <c r="AG662" s="217">
        <f>+I662</f>
      </c>
      <c r="AH662" s="217">
        <f>+J662</f>
      </c>
      <c r="AI662" s="217">
        <f>+H662</f>
      </c>
      <c r="AJ662" s="111">
        <f>+V662&amp;W662</f>
      </c>
      <c r="AK662" s="217">
        <f>+_xlfn.IFNA(VLOOKUP(AJ662,$AF$7:$AG$1066,2,0),0)</f>
      </c>
      <c r="AL662" s="217">
        <f>+IF(W662&gt;W661,AK662,AL661+AK662)</f>
      </c>
      <c r="AM662" s="217">
        <f>IF(W662&gt;W661,IF(AL662&gt;=$AZ$8,$AZ$8,AL662),IF(OR(AM661=$AZ$8,AM661=0),0,IF(AL662&gt;=$AZ$8,$AZ$8,AL662)))</f>
      </c>
      <c r="AN662" s="748">
        <f>+IF(OR(AM662&gt;AZ661,AM662=0),0,IF(AM662=AL662,AK662,$AZ$7-AL661))</f>
      </c>
      <c r="AO662" s="748">
        <f>+AK662-AN662</f>
      </c>
      <c r="AP662" s="217">
        <f>+_xlfn.IFNA(VLOOKUP(AJ662,$AF$7:$AI$1066,3,0),0)</f>
      </c>
      <c r="AQ662" s="217">
        <f>+IF(W662&gt;W661,AP662,AQ661+AP662)</f>
      </c>
      <c r="AR662" s="217">
        <f>+MAX($AM$2-SUMIF($W$7:$W$1066,W662,$AN$7:$AN$1066),0)</f>
      </c>
      <c r="AS662" s="748">
        <f>+MAX(IF(AQ662&gt;AR662,AR662-AQ661,AP662),0)</f>
      </c>
      <c r="AT662" s="748">
        <f>+AP662-AS662</f>
      </c>
      <c r="AU662" s="217">
        <f>+_xlfn.IFNA(VLOOKUP(AJ662,$AF$7:$AI$1066,4,0),0)</f>
      </c>
      <c r="AV662" s="217">
        <f>+IF(W662&gt;W661,AU662,AV661+AU662)</f>
      </c>
      <c r="AW662" s="217">
        <f>+MAX($AM$2-SUMIF($W$7:$W$1066,W662,$AN$7:$AN$1066)-SUMIF($W$7:$W$1066,W662,$AS$7:$AS$1066),0)</f>
      </c>
      <c r="AX662" s="748">
        <f>+MAX(IF(AV662&gt;AW662,AW662-AV661,AU662),0)</f>
      </c>
      <c r="AY662" s="748">
        <f>+AU662-AX662</f>
      </c>
      <c r="AZ662" s="331">
        <f>+$AM$1+IF($AP$1&gt;$AP$2,$AM$3/2)</f>
      </c>
    </row>
    <row x14ac:dyDescent="0.25" r="663" customHeight="1" ht="18.75">
      <c r="A663" s="1"/>
      <c r="B663" s="7"/>
      <c r="C663" s="170"/>
      <c r="D663" s="331">
        <v>656</v>
      </c>
      <c r="E663" s="544">
        <f>+DATE(YEAR(E662),MONTH(E662)-1,DAY(E662))</f>
        <v>25569.041666666668</v>
      </c>
      <c r="F663" s="333">
        <f>IF(DATE(YEAR($B$6),MONTH($B$6)+1,DAY(1))=E663,1,IF(MONTH(E663)=1,F664*(1+$F$5),F664))</f>
      </c>
      <c r="G663" s="333">
        <f>IF('Simulador - 1º Pilar'!$E$99="Sí",IF('Aportaciones PPE'!$B$13&lt;'Aportaciones PPE'!E663,0,F663*$B$8/12),F663*$B$8/12)</f>
      </c>
      <c r="H663" s="333">
        <f>$H$5*G663</f>
      </c>
      <c r="I663" s="333">
        <f>$I$5*G663</f>
      </c>
      <c r="J663" s="333">
        <f>+I663</f>
      </c>
      <c r="K663" s="333">
        <f>(1+$O$5)^(D663/12)*(H663+IF(AND(F663=1,F664=0),$S$4,0))</f>
      </c>
      <c r="L663" s="333">
        <f>(1+$O$5)^(D663/12)*(I663+IF(AND(F663=1,F664=0),0))</f>
      </c>
      <c r="M663" s="333">
        <f>+L663</f>
      </c>
      <c r="N663" s="333">
        <f>L663+K663+M663</f>
      </c>
      <c r="O663" s="170"/>
      <c r="P663" s="7"/>
      <c r="Q663" s="1"/>
      <c r="R663" s="331">
        <f>D663</f>
      </c>
      <c r="S663" s="169"/>
      <c r="T663" s="1"/>
      <c r="U663" s="217"/>
      <c r="V663" s="331">
        <f>+IF(V662=11,12,IF(V662=12,1,V662+1))</f>
      </c>
      <c r="W663" s="331">
        <f>+W662+IF(V662=12,1,0)</f>
      </c>
      <c r="X663" s="555">
        <f>+DATE(W663,V663,1)</f>
        <v>25569.041666666668</v>
      </c>
      <c r="Y663" s="333">
        <f>+_xlfn.IFNA(AN663+AS663+AX663,0)</f>
      </c>
      <c r="Z663" s="333">
        <f>+_xlfn.IFNA(AO663+AT663+AY663,0)</f>
      </c>
      <c r="AA663" s="333">
        <f>Y663*(1+$O$5)^(($B$7-X663)/365.25)</f>
      </c>
      <c r="AB663" s="333">
        <f>Z663*(1+$O$5)^(($B$7-X663)/365.25)</f>
      </c>
      <c r="AC663" s="1"/>
      <c r="AD663" s="1"/>
      <c r="AE663" s="1"/>
      <c r="AF663" s="111">
        <f>+MONTH(E663)&amp;YEAR(E663)</f>
      </c>
      <c r="AG663" s="217">
        <f>+I663</f>
      </c>
      <c r="AH663" s="217">
        <f>+J663</f>
      </c>
      <c r="AI663" s="217">
        <f>+H663</f>
      </c>
      <c r="AJ663" s="111">
        <f>+V663&amp;W663</f>
      </c>
      <c r="AK663" s="217">
        <f>+_xlfn.IFNA(VLOOKUP(AJ663,$AF$7:$AG$1066,2,0),0)</f>
      </c>
      <c r="AL663" s="217">
        <f>+IF(W663&gt;W662,AK663,AL662+AK663)</f>
      </c>
      <c r="AM663" s="217">
        <f>IF(W663&gt;W662,IF(AL663&gt;=$AZ$8,$AZ$8,AL663),IF(OR(AM662=$AZ$8,AM662=0),0,IF(AL663&gt;=$AZ$8,$AZ$8,AL663)))</f>
      </c>
      <c r="AN663" s="748">
        <f>+IF(OR(AM663&gt;AZ662,AM663=0),0,IF(AM663=AL663,AK663,$AZ$7-AL662))</f>
      </c>
      <c r="AO663" s="748">
        <f>+AK663-AN663</f>
      </c>
      <c r="AP663" s="217">
        <f>+_xlfn.IFNA(VLOOKUP(AJ663,$AF$7:$AI$1066,3,0),0)</f>
      </c>
      <c r="AQ663" s="217">
        <f>+IF(W663&gt;W662,AP663,AQ662+AP663)</f>
      </c>
      <c r="AR663" s="217">
        <f>+MAX($AM$2-SUMIF($W$7:$W$1066,W663,$AN$7:$AN$1066),0)</f>
      </c>
      <c r="AS663" s="748">
        <f>+MAX(IF(AQ663&gt;AR663,AR663-AQ662,AP663),0)</f>
      </c>
      <c r="AT663" s="748">
        <f>+AP663-AS663</f>
      </c>
      <c r="AU663" s="217">
        <f>+_xlfn.IFNA(VLOOKUP(AJ663,$AF$7:$AI$1066,4,0),0)</f>
      </c>
      <c r="AV663" s="217">
        <f>+IF(W663&gt;W662,AU663,AV662+AU663)</f>
      </c>
      <c r="AW663" s="217">
        <f>+MAX($AM$2-SUMIF($W$7:$W$1066,W663,$AN$7:$AN$1066)-SUMIF($W$7:$W$1066,W663,$AS$7:$AS$1066),0)</f>
      </c>
      <c r="AX663" s="748">
        <f>+MAX(IF(AV663&gt;AW663,AW663-AV662,AU663),0)</f>
      </c>
      <c r="AY663" s="748">
        <f>+AU663-AX663</f>
      </c>
      <c r="AZ663" s="331">
        <f>+$AM$1+IF($AP$1&gt;$AP$2,$AM$3/2)</f>
      </c>
    </row>
    <row x14ac:dyDescent="0.25" r="664" customHeight="1" ht="18.75">
      <c r="A664" s="1"/>
      <c r="B664" s="7"/>
      <c r="C664" s="170"/>
      <c r="D664" s="331">
        <v>657</v>
      </c>
      <c r="E664" s="544">
        <f>+DATE(YEAR(E663),MONTH(E663)-1,DAY(E663))</f>
        <v>25569.041666666668</v>
      </c>
      <c r="F664" s="333">
        <f>IF(DATE(YEAR($B$6),MONTH($B$6)+1,DAY(1))=E664,1,IF(MONTH(E664)=1,F665*(1+$F$5),F665))</f>
      </c>
      <c r="G664" s="333">
        <f>IF('Simulador - 1º Pilar'!$E$99="Sí",IF('Aportaciones PPE'!$B$13&lt;'Aportaciones PPE'!E664,0,F664*$B$8/12),F664*$B$8/12)</f>
      </c>
      <c r="H664" s="333">
        <f>$H$5*G664</f>
      </c>
      <c r="I664" s="333">
        <f>$I$5*G664</f>
      </c>
      <c r="J664" s="333">
        <f>+I664</f>
      </c>
      <c r="K664" s="333">
        <f>(1+$O$5)^(D664/12)*(H664+IF(AND(F664=1,F665=0),$S$4,0))</f>
      </c>
      <c r="L664" s="333">
        <f>(1+$O$5)^(D664/12)*(I664+IF(AND(F664=1,F665=0),0))</f>
      </c>
      <c r="M664" s="333">
        <f>+L664</f>
      </c>
      <c r="N664" s="333">
        <f>L664+K664+M664</f>
      </c>
      <c r="O664" s="170"/>
      <c r="P664" s="7"/>
      <c r="Q664" s="1"/>
      <c r="R664" s="331">
        <f>D664</f>
      </c>
      <c r="S664" s="169"/>
      <c r="T664" s="1"/>
      <c r="U664" s="217"/>
      <c r="V664" s="331">
        <f>+IF(V663=11,12,IF(V663=12,1,V663+1))</f>
      </c>
      <c r="W664" s="331">
        <f>+W663+IF(V663=12,1,0)</f>
      </c>
      <c r="X664" s="555">
        <f>+DATE(W664,V664,1)</f>
        <v>25569.041666666668</v>
      </c>
      <c r="Y664" s="333">
        <f>+_xlfn.IFNA(AN664+AS664+AX664,0)</f>
      </c>
      <c r="Z664" s="333">
        <f>+_xlfn.IFNA(AO664+AT664+AY664,0)</f>
      </c>
      <c r="AA664" s="333">
        <f>Y664*(1+$O$5)^(($B$7-X664)/365.25)</f>
      </c>
      <c r="AB664" s="333">
        <f>Z664*(1+$O$5)^(($B$7-X664)/365.25)</f>
      </c>
      <c r="AC664" s="1"/>
      <c r="AD664" s="1"/>
      <c r="AE664" s="1"/>
      <c r="AF664" s="111">
        <f>+MONTH(E664)&amp;YEAR(E664)</f>
      </c>
      <c r="AG664" s="217">
        <f>+I664</f>
      </c>
      <c r="AH664" s="217">
        <f>+J664</f>
      </c>
      <c r="AI664" s="217">
        <f>+H664</f>
      </c>
      <c r="AJ664" s="111">
        <f>+V664&amp;W664</f>
      </c>
      <c r="AK664" s="217">
        <f>+_xlfn.IFNA(VLOOKUP(AJ664,$AF$7:$AG$1066,2,0),0)</f>
      </c>
      <c r="AL664" s="217">
        <f>+IF(W664&gt;W663,AK664,AL663+AK664)</f>
      </c>
      <c r="AM664" s="217">
        <f>IF(W664&gt;W663,IF(AL664&gt;=$AZ$8,$AZ$8,AL664),IF(OR(AM663=$AZ$8,AM663=0),0,IF(AL664&gt;=$AZ$8,$AZ$8,AL664)))</f>
      </c>
      <c r="AN664" s="748">
        <f>+IF(OR(AM664&gt;AZ663,AM664=0),0,IF(AM664=AL664,AK664,$AZ$7-AL663))</f>
      </c>
      <c r="AO664" s="748">
        <f>+AK664-AN664</f>
      </c>
      <c r="AP664" s="217">
        <f>+_xlfn.IFNA(VLOOKUP(AJ664,$AF$7:$AI$1066,3,0),0)</f>
      </c>
      <c r="AQ664" s="217">
        <f>+IF(W664&gt;W663,AP664,AQ663+AP664)</f>
      </c>
      <c r="AR664" s="217">
        <f>+MAX($AM$2-SUMIF($W$7:$W$1066,W664,$AN$7:$AN$1066),0)</f>
      </c>
      <c r="AS664" s="748">
        <f>+MAX(IF(AQ664&gt;AR664,AR664-AQ663,AP664),0)</f>
      </c>
      <c r="AT664" s="748">
        <f>+AP664-AS664</f>
      </c>
      <c r="AU664" s="217">
        <f>+_xlfn.IFNA(VLOOKUP(AJ664,$AF$7:$AI$1066,4,0),0)</f>
      </c>
      <c r="AV664" s="217">
        <f>+IF(W664&gt;W663,AU664,AV663+AU664)</f>
      </c>
      <c r="AW664" s="217">
        <f>+MAX($AM$2-SUMIF($W$7:$W$1066,W664,$AN$7:$AN$1066)-SUMIF($W$7:$W$1066,W664,$AS$7:$AS$1066),0)</f>
      </c>
      <c r="AX664" s="748">
        <f>+MAX(IF(AV664&gt;AW664,AW664-AV663,AU664),0)</f>
      </c>
      <c r="AY664" s="748">
        <f>+AU664-AX664</f>
      </c>
      <c r="AZ664" s="331">
        <f>+$AM$1+IF($AP$1&gt;$AP$2,$AM$3/2)</f>
      </c>
    </row>
    <row x14ac:dyDescent="0.25" r="665" customHeight="1" ht="18.75">
      <c r="A665" s="1"/>
      <c r="B665" s="7"/>
      <c r="C665" s="170"/>
      <c r="D665" s="331">
        <v>658</v>
      </c>
      <c r="E665" s="544">
        <f>+DATE(YEAR(E664),MONTH(E664)-1,DAY(E664))</f>
        <v>25569.041666666668</v>
      </c>
      <c r="F665" s="333">
        <f>IF(DATE(YEAR($B$6),MONTH($B$6)+1,DAY(1))=E665,1,IF(MONTH(E665)=1,F666*(1+$F$5),F666))</f>
      </c>
      <c r="G665" s="333">
        <f>IF('Simulador - 1º Pilar'!$E$99="Sí",IF('Aportaciones PPE'!$B$13&lt;'Aportaciones PPE'!E665,0,F665*$B$8/12),F665*$B$8/12)</f>
      </c>
      <c r="H665" s="333">
        <f>$H$5*G665</f>
      </c>
      <c r="I665" s="333">
        <f>$I$5*G665</f>
      </c>
      <c r="J665" s="333">
        <f>+I665</f>
      </c>
      <c r="K665" s="333">
        <f>(1+$O$5)^(D665/12)*(H665+IF(AND(F665=1,F666=0),$S$4,0))</f>
      </c>
      <c r="L665" s="333">
        <f>(1+$O$5)^(D665/12)*(I665+IF(AND(F665=1,F666=0),0))</f>
      </c>
      <c r="M665" s="333">
        <f>+L665</f>
      </c>
      <c r="N665" s="333">
        <f>L665+K665+M665</f>
      </c>
      <c r="O665" s="170"/>
      <c r="P665" s="7"/>
      <c r="Q665" s="1"/>
      <c r="R665" s="331">
        <f>D665</f>
      </c>
      <c r="S665" s="169"/>
      <c r="T665" s="1"/>
      <c r="U665" s="217"/>
      <c r="V665" s="331">
        <f>+IF(V664=11,12,IF(V664=12,1,V664+1))</f>
      </c>
      <c r="W665" s="331">
        <f>+W664+IF(V664=12,1,0)</f>
      </c>
      <c r="X665" s="555">
        <f>+DATE(W665,V665,1)</f>
        <v>25569.041666666668</v>
      </c>
      <c r="Y665" s="333">
        <f>+_xlfn.IFNA(AN665+AS665+AX665,0)</f>
      </c>
      <c r="Z665" s="333">
        <f>+_xlfn.IFNA(AO665+AT665+AY665,0)</f>
      </c>
      <c r="AA665" s="333">
        <f>Y665*(1+$O$5)^(($B$7-X665)/365.25)</f>
      </c>
      <c r="AB665" s="333">
        <f>Z665*(1+$O$5)^(($B$7-X665)/365.25)</f>
      </c>
      <c r="AC665" s="1"/>
      <c r="AD665" s="1"/>
      <c r="AE665" s="1"/>
      <c r="AF665" s="111">
        <f>+MONTH(E665)&amp;YEAR(E665)</f>
      </c>
      <c r="AG665" s="217">
        <f>+I665</f>
      </c>
      <c r="AH665" s="217">
        <f>+J665</f>
      </c>
      <c r="AI665" s="217">
        <f>+H665</f>
      </c>
      <c r="AJ665" s="111">
        <f>+V665&amp;W665</f>
      </c>
      <c r="AK665" s="217">
        <f>+_xlfn.IFNA(VLOOKUP(AJ665,$AF$7:$AG$1066,2,0),0)</f>
      </c>
      <c r="AL665" s="217">
        <f>+IF(W665&gt;W664,AK665,AL664+AK665)</f>
      </c>
      <c r="AM665" s="217">
        <f>IF(W665&gt;W664,IF(AL665&gt;=$AZ$8,$AZ$8,AL665),IF(OR(AM664=$AZ$8,AM664=0),0,IF(AL665&gt;=$AZ$8,$AZ$8,AL665)))</f>
      </c>
      <c r="AN665" s="748">
        <f>+IF(OR(AM665&gt;AZ664,AM665=0),0,IF(AM665=AL665,AK665,$AZ$7-AL664))</f>
      </c>
      <c r="AO665" s="748">
        <f>+AK665-AN665</f>
      </c>
      <c r="AP665" s="217">
        <f>+_xlfn.IFNA(VLOOKUP(AJ665,$AF$7:$AI$1066,3,0),0)</f>
      </c>
      <c r="AQ665" s="217">
        <f>+IF(W665&gt;W664,AP665,AQ664+AP665)</f>
      </c>
      <c r="AR665" s="217">
        <f>+MAX($AM$2-SUMIF($W$7:$W$1066,W665,$AN$7:$AN$1066),0)</f>
      </c>
      <c r="AS665" s="748">
        <f>+MAX(IF(AQ665&gt;AR665,AR665-AQ664,AP665),0)</f>
      </c>
      <c r="AT665" s="748">
        <f>+AP665-AS665</f>
      </c>
      <c r="AU665" s="217">
        <f>+_xlfn.IFNA(VLOOKUP(AJ665,$AF$7:$AI$1066,4,0),0)</f>
      </c>
      <c r="AV665" s="217">
        <f>+IF(W665&gt;W664,AU665,AV664+AU665)</f>
      </c>
      <c r="AW665" s="217">
        <f>+MAX($AM$2-SUMIF($W$7:$W$1066,W665,$AN$7:$AN$1066)-SUMIF($W$7:$W$1066,W665,$AS$7:$AS$1066),0)</f>
      </c>
      <c r="AX665" s="748">
        <f>+MAX(IF(AV665&gt;AW665,AW665-AV664,AU665),0)</f>
      </c>
      <c r="AY665" s="748">
        <f>+AU665-AX665</f>
      </c>
      <c r="AZ665" s="331">
        <f>+$AM$1+IF($AP$1&gt;$AP$2,$AM$3/2)</f>
      </c>
    </row>
    <row x14ac:dyDescent="0.25" r="666" customHeight="1" ht="18.75">
      <c r="A666" s="1"/>
      <c r="B666" s="7"/>
      <c r="C666" s="170"/>
      <c r="D666" s="331">
        <v>659</v>
      </c>
      <c r="E666" s="544">
        <f>+DATE(YEAR(E665),MONTH(E665)-1,DAY(E665))</f>
        <v>25569.041666666668</v>
      </c>
      <c r="F666" s="333">
        <f>IF(DATE(YEAR($B$6),MONTH($B$6)+1,DAY(1))=E666,1,IF(MONTH(E666)=1,F667*(1+$F$5),F667))</f>
      </c>
      <c r="G666" s="333">
        <f>IF('Simulador - 1º Pilar'!$E$99="Sí",IF('Aportaciones PPE'!$B$13&lt;'Aportaciones PPE'!E666,0,F666*$B$8/12),F666*$B$8/12)</f>
      </c>
      <c r="H666" s="333">
        <f>$H$5*G666</f>
      </c>
      <c r="I666" s="333">
        <f>$I$5*G666</f>
      </c>
      <c r="J666" s="333">
        <f>+I666</f>
      </c>
      <c r="K666" s="333">
        <f>(1+$O$5)^(D666/12)*(H666+IF(AND(F666=1,F667=0),$S$4,0))</f>
      </c>
      <c r="L666" s="333">
        <f>(1+$O$5)^(D666/12)*(I666+IF(AND(F666=1,F667=0),0))</f>
      </c>
      <c r="M666" s="333">
        <f>+L666</f>
      </c>
      <c r="N666" s="333">
        <f>L666+K666+M666</f>
      </c>
      <c r="O666" s="170"/>
      <c r="P666" s="7"/>
      <c r="Q666" s="1"/>
      <c r="R666" s="331">
        <f>D666</f>
      </c>
      <c r="S666" s="169"/>
      <c r="T666" s="1"/>
      <c r="U666" s="217"/>
      <c r="V666" s="331">
        <f>+IF(V665=11,12,IF(V665=12,1,V665+1))</f>
      </c>
      <c r="W666" s="331">
        <f>+W665+IF(V665=12,1,0)</f>
      </c>
      <c r="X666" s="555">
        <f>+DATE(W666,V666,1)</f>
        <v>25569.041666666668</v>
      </c>
      <c r="Y666" s="333">
        <f>+_xlfn.IFNA(AN666+AS666+AX666,0)</f>
      </c>
      <c r="Z666" s="333">
        <f>+_xlfn.IFNA(AO666+AT666+AY666,0)</f>
      </c>
      <c r="AA666" s="333">
        <f>Y666*(1+$O$5)^(($B$7-X666)/365.25)</f>
      </c>
      <c r="AB666" s="333">
        <f>Z666*(1+$O$5)^(($B$7-X666)/365.25)</f>
      </c>
      <c r="AC666" s="1"/>
      <c r="AD666" s="1"/>
      <c r="AE666" s="1"/>
      <c r="AF666" s="111">
        <f>+MONTH(E666)&amp;YEAR(E666)</f>
      </c>
      <c r="AG666" s="217">
        <f>+I666</f>
      </c>
      <c r="AH666" s="217">
        <f>+J666</f>
      </c>
      <c r="AI666" s="217">
        <f>+H666</f>
      </c>
      <c r="AJ666" s="111">
        <f>+V666&amp;W666</f>
      </c>
      <c r="AK666" s="217">
        <f>+_xlfn.IFNA(VLOOKUP(AJ666,$AF$7:$AG$1066,2,0),0)</f>
      </c>
      <c r="AL666" s="217">
        <f>+IF(W666&gt;W665,AK666,AL665+AK666)</f>
      </c>
      <c r="AM666" s="217">
        <f>IF(W666&gt;W665,IF(AL666&gt;=$AZ$8,$AZ$8,AL666),IF(OR(AM665=$AZ$8,AM665=0),0,IF(AL666&gt;=$AZ$8,$AZ$8,AL666)))</f>
      </c>
      <c r="AN666" s="748">
        <f>+IF(OR(AM666&gt;AZ665,AM666=0),0,IF(AM666=AL666,AK666,$AZ$7-AL665))</f>
      </c>
      <c r="AO666" s="748">
        <f>+AK666-AN666</f>
      </c>
      <c r="AP666" s="217">
        <f>+_xlfn.IFNA(VLOOKUP(AJ666,$AF$7:$AI$1066,3,0),0)</f>
      </c>
      <c r="AQ666" s="217">
        <f>+IF(W666&gt;W665,AP666,AQ665+AP666)</f>
      </c>
      <c r="AR666" s="217">
        <f>+MAX($AM$2-SUMIF($W$7:$W$1066,W666,$AN$7:$AN$1066),0)</f>
      </c>
      <c r="AS666" s="748">
        <f>+MAX(IF(AQ666&gt;AR666,AR666-AQ665,AP666),0)</f>
      </c>
      <c r="AT666" s="748">
        <f>+AP666-AS666</f>
      </c>
      <c r="AU666" s="217">
        <f>+_xlfn.IFNA(VLOOKUP(AJ666,$AF$7:$AI$1066,4,0),0)</f>
      </c>
      <c r="AV666" s="217">
        <f>+IF(W666&gt;W665,AU666,AV665+AU666)</f>
      </c>
      <c r="AW666" s="217">
        <f>+MAX($AM$2-SUMIF($W$7:$W$1066,W666,$AN$7:$AN$1066)-SUMIF($W$7:$W$1066,W666,$AS$7:$AS$1066),0)</f>
      </c>
      <c r="AX666" s="748">
        <f>+MAX(IF(AV666&gt;AW666,AW666-AV665,AU666),0)</f>
      </c>
      <c r="AY666" s="748">
        <f>+AU666-AX666</f>
      </c>
      <c r="AZ666" s="331">
        <f>+$AM$1+IF($AP$1&gt;$AP$2,$AM$3/2)</f>
      </c>
    </row>
    <row x14ac:dyDescent="0.25" r="667" customHeight="1" ht="18.75">
      <c r="A667" s="1"/>
      <c r="B667" s="7"/>
      <c r="C667" s="170"/>
      <c r="D667" s="331">
        <v>660</v>
      </c>
      <c r="E667" s="544">
        <f>+DATE(YEAR(E666),MONTH(E666)-1,DAY(E666))</f>
        <v>25569.041666666668</v>
      </c>
      <c r="F667" s="333">
        <f>IF(DATE(YEAR($B$6),MONTH($B$6)+1,DAY(1))=E667,1,IF(MONTH(E667)=1,F668*(1+$F$5),F668))</f>
      </c>
      <c r="G667" s="333">
        <f>IF('Simulador - 1º Pilar'!$E$99="Sí",IF('Aportaciones PPE'!$B$13&lt;'Aportaciones PPE'!E667,0,F667*$B$8/12),F667*$B$8/12)</f>
      </c>
      <c r="H667" s="333">
        <f>$H$5*G667</f>
      </c>
      <c r="I667" s="333">
        <f>$I$5*G667</f>
      </c>
      <c r="J667" s="333">
        <f>+I667</f>
      </c>
      <c r="K667" s="333">
        <f>(1+$O$5)^(D667/12)*(H667+IF(AND(F667=1,F668=0),$S$4,0))</f>
      </c>
      <c r="L667" s="333">
        <f>(1+$O$5)^(D667/12)*(I667+IF(AND(F667=1,F668=0),0))</f>
      </c>
      <c r="M667" s="333">
        <f>+L667</f>
      </c>
      <c r="N667" s="333">
        <f>L667+K667+M667</f>
      </c>
      <c r="O667" s="170"/>
      <c r="P667" s="7"/>
      <c r="Q667" s="1"/>
      <c r="R667" s="331">
        <f>D667</f>
      </c>
      <c r="S667" s="169"/>
      <c r="T667" s="1"/>
      <c r="U667" s="217"/>
      <c r="V667" s="331">
        <f>+IF(V666=11,12,IF(V666=12,1,V666+1))</f>
      </c>
      <c r="W667" s="331">
        <f>+W666+IF(V666=12,1,0)</f>
      </c>
      <c r="X667" s="555">
        <f>+DATE(W667,V667,1)</f>
        <v>25569.041666666668</v>
      </c>
      <c r="Y667" s="333">
        <f>+_xlfn.IFNA(AN667+AS667+AX667,0)</f>
      </c>
      <c r="Z667" s="333">
        <f>+_xlfn.IFNA(AO667+AT667+AY667,0)</f>
      </c>
      <c r="AA667" s="333">
        <f>Y667*(1+$O$5)^(($B$7-X667)/365.25)</f>
      </c>
      <c r="AB667" s="333">
        <f>Z667*(1+$O$5)^(($B$7-X667)/365.25)</f>
      </c>
      <c r="AC667" s="1"/>
      <c r="AD667" s="1"/>
      <c r="AE667" s="1"/>
      <c r="AF667" s="111">
        <f>+MONTH(E667)&amp;YEAR(E667)</f>
      </c>
      <c r="AG667" s="217">
        <f>+I667</f>
      </c>
      <c r="AH667" s="217">
        <f>+J667</f>
      </c>
      <c r="AI667" s="217">
        <f>+H667</f>
      </c>
      <c r="AJ667" s="111">
        <f>+V667&amp;W667</f>
      </c>
      <c r="AK667" s="217">
        <f>+_xlfn.IFNA(VLOOKUP(AJ667,$AF$7:$AG$1066,2,0),0)</f>
      </c>
      <c r="AL667" s="217">
        <f>+IF(W667&gt;W666,AK667,AL666+AK667)</f>
      </c>
      <c r="AM667" s="217">
        <f>IF(W667&gt;W666,IF(AL667&gt;=$AZ$8,$AZ$8,AL667),IF(OR(AM666=$AZ$8,AM666=0),0,IF(AL667&gt;=$AZ$8,$AZ$8,AL667)))</f>
      </c>
      <c r="AN667" s="748">
        <f>+IF(OR(AM667&gt;AZ666,AM667=0),0,IF(AM667=AL667,AK667,$AZ$7-AL666))</f>
      </c>
      <c r="AO667" s="748">
        <f>+AK667-AN667</f>
      </c>
      <c r="AP667" s="217">
        <f>+_xlfn.IFNA(VLOOKUP(AJ667,$AF$7:$AI$1066,3,0),0)</f>
      </c>
      <c r="AQ667" s="217">
        <f>+IF(W667&gt;W666,AP667,AQ666+AP667)</f>
      </c>
      <c r="AR667" s="217">
        <f>+MAX($AM$2-SUMIF($W$7:$W$1066,W667,$AN$7:$AN$1066),0)</f>
      </c>
      <c r="AS667" s="748">
        <f>+MAX(IF(AQ667&gt;AR667,AR667-AQ666,AP667),0)</f>
      </c>
      <c r="AT667" s="748">
        <f>+AP667-AS667</f>
      </c>
      <c r="AU667" s="217">
        <f>+_xlfn.IFNA(VLOOKUP(AJ667,$AF$7:$AI$1066,4,0),0)</f>
      </c>
      <c r="AV667" s="217">
        <f>+IF(W667&gt;W666,AU667,AV666+AU667)</f>
      </c>
      <c r="AW667" s="217">
        <f>+MAX($AM$2-SUMIF($W$7:$W$1066,W667,$AN$7:$AN$1066)-SUMIF($W$7:$W$1066,W667,$AS$7:$AS$1066),0)</f>
      </c>
      <c r="AX667" s="748">
        <f>+MAX(IF(AV667&gt;AW667,AW667-AV666,AU667),0)</f>
      </c>
      <c r="AY667" s="748">
        <f>+AU667-AX667</f>
      </c>
      <c r="AZ667" s="331">
        <f>+$AM$1+IF($AP$1&gt;$AP$2,$AM$3/2)</f>
      </c>
    </row>
    <row x14ac:dyDescent="0.25" r="668" customHeight="1" ht="18.75">
      <c r="A668" s="1"/>
      <c r="B668" s="7"/>
      <c r="C668" s="170"/>
      <c r="D668" s="331">
        <v>661</v>
      </c>
      <c r="E668" s="544">
        <f>+DATE(YEAR(E667),MONTH(E667)-1,DAY(E667))</f>
        <v>25569.041666666668</v>
      </c>
      <c r="F668" s="333">
        <f>IF(DATE(YEAR($B$6),MONTH($B$6)+1,DAY(1))=E668,1,IF(MONTH(E668)=1,F669*(1+$F$5),F669))</f>
      </c>
      <c r="G668" s="333">
        <f>IF('Simulador - 1º Pilar'!$E$99="Sí",IF('Aportaciones PPE'!$B$13&lt;'Aportaciones PPE'!E668,0,F668*$B$8/12),F668*$B$8/12)</f>
      </c>
      <c r="H668" s="333">
        <f>$H$5*G668</f>
      </c>
      <c r="I668" s="333">
        <f>$I$5*G668</f>
      </c>
      <c r="J668" s="333">
        <f>+I668</f>
      </c>
      <c r="K668" s="333">
        <f>(1+$O$5)^(D668/12)*(H668+IF(AND(F668=1,F669=0),$S$4,0))</f>
      </c>
      <c r="L668" s="333">
        <f>(1+$O$5)^(D668/12)*(I668+IF(AND(F668=1,F669=0),0))</f>
      </c>
      <c r="M668" s="333">
        <f>+L668</f>
      </c>
      <c r="N668" s="333">
        <f>L668+K668+M668</f>
      </c>
      <c r="O668" s="170"/>
      <c r="P668" s="7"/>
      <c r="Q668" s="1"/>
      <c r="R668" s="331">
        <f>D668</f>
      </c>
      <c r="S668" s="169"/>
      <c r="T668" s="1"/>
      <c r="U668" s="217"/>
      <c r="V668" s="331">
        <f>+IF(V667=11,12,IF(V667=12,1,V667+1))</f>
      </c>
      <c r="W668" s="331">
        <f>+W667+IF(V667=12,1,0)</f>
      </c>
      <c r="X668" s="555">
        <f>+DATE(W668,V668,1)</f>
        <v>25569.041666666668</v>
      </c>
      <c r="Y668" s="333">
        <f>+_xlfn.IFNA(AN668+AS668+AX668,0)</f>
      </c>
      <c r="Z668" s="333">
        <f>+_xlfn.IFNA(AO668+AT668+AY668,0)</f>
      </c>
      <c r="AA668" s="333">
        <f>Y668*(1+$O$5)^(($B$7-X668)/365.25)</f>
      </c>
      <c r="AB668" s="333">
        <f>Z668*(1+$O$5)^(($B$7-X668)/365.25)</f>
      </c>
      <c r="AC668" s="1"/>
      <c r="AD668" s="1"/>
      <c r="AE668" s="1"/>
      <c r="AF668" s="111">
        <f>+MONTH(E668)&amp;YEAR(E668)</f>
      </c>
      <c r="AG668" s="217">
        <f>+I668</f>
      </c>
      <c r="AH668" s="217">
        <f>+J668</f>
      </c>
      <c r="AI668" s="217">
        <f>+H668</f>
      </c>
      <c r="AJ668" s="111">
        <f>+V668&amp;W668</f>
      </c>
      <c r="AK668" s="217">
        <f>+_xlfn.IFNA(VLOOKUP(AJ668,$AF$7:$AG$1066,2,0),0)</f>
      </c>
      <c r="AL668" s="217">
        <f>+IF(W668&gt;W667,AK668,AL667+AK668)</f>
      </c>
      <c r="AM668" s="217">
        <f>IF(W668&gt;W667,IF(AL668&gt;=$AZ$8,$AZ$8,AL668),IF(OR(AM667=$AZ$8,AM667=0),0,IF(AL668&gt;=$AZ$8,$AZ$8,AL668)))</f>
      </c>
      <c r="AN668" s="748">
        <f>+IF(OR(AM668&gt;AZ667,AM668=0),0,IF(AM668=AL668,AK668,$AZ$7-AL667))</f>
      </c>
      <c r="AO668" s="748">
        <f>+AK668-AN668</f>
      </c>
      <c r="AP668" s="217">
        <f>+_xlfn.IFNA(VLOOKUP(AJ668,$AF$7:$AI$1066,3,0),0)</f>
      </c>
      <c r="AQ668" s="217">
        <f>+IF(W668&gt;W667,AP668,AQ667+AP668)</f>
      </c>
      <c r="AR668" s="217">
        <f>+MAX($AM$2-SUMIF($W$7:$W$1066,W668,$AN$7:$AN$1066),0)</f>
      </c>
      <c r="AS668" s="748">
        <f>+MAX(IF(AQ668&gt;AR668,AR668-AQ667,AP668),0)</f>
      </c>
      <c r="AT668" s="748">
        <f>+AP668-AS668</f>
      </c>
      <c r="AU668" s="217">
        <f>+_xlfn.IFNA(VLOOKUP(AJ668,$AF$7:$AI$1066,4,0),0)</f>
      </c>
      <c r="AV668" s="217">
        <f>+IF(W668&gt;W667,AU668,AV667+AU668)</f>
      </c>
      <c r="AW668" s="217">
        <f>+MAX($AM$2-SUMIF($W$7:$W$1066,W668,$AN$7:$AN$1066)-SUMIF($W$7:$W$1066,W668,$AS$7:$AS$1066),0)</f>
      </c>
      <c r="AX668" s="748">
        <f>+MAX(IF(AV668&gt;AW668,AW668-AV667,AU668),0)</f>
      </c>
      <c r="AY668" s="748">
        <f>+AU668-AX668</f>
      </c>
      <c r="AZ668" s="331">
        <f>+$AM$1+IF($AP$1&gt;$AP$2,$AM$3/2)</f>
      </c>
    </row>
    <row x14ac:dyDescent="0.25" r="669" customHeight="1" ht="18.75">
      <c r="A669" s="1"/>
      <c r="B669" s="7"/>
      <c r="C669" s="170"/>
      <c r="D669" s="331">
        <v>662</v>
      </c>
      <c r="E669" s="544">
        <f>+DATE(YEAR(E668),MONTH(E668)-1,DAY(E668))</f>
        <v>25569.041666666668</v>
      </c>
      <c r="F669" s="333">
        <f>IF(DATE(YEAR($B$6),MONTH($B$6)+1,DAY(1))=E669,1,IF(MONTH(E669)=1,F670*(1+$F$5),F670))</f>
      </c>
      <c r="G669" s="333">
        <f>IF('Simulador - 1º Pilar'!$E$99="Sí",IF('Aportaciones PPE'!$B$13&lt;'Aportaciones PPE'!E669,0,F669*$B$8/12),F669*$B$8/12)</f>
      </c>
      <c r="H669" s="333">
        <f>$H$5*G669</f>
      </c>
      <c r="I669" s="333">
        <f>$I$5*G669</f>
      </c>
      <c r="J669" s="333">
        <f>+I669</f>
      </c>
      <c r="K669" s="333">
        <f>(1+$O$5)^(D669/12)*(H669+IF(AND(F669=1,F670=0),$S$4,0))</f>
      </c>
      <c r="L669" s="333">
        <f>(1+$O$5)^(D669/12)*(I669+IF(AND(F669=1,F670=0),0))</f>
      </c>
      <c r="M669" s="333">
        <f>+L669</f>
      </c>
      <c r="N669" s="333">
        <f>L669+K669+M669</f>
      </c>
      <c r="O669" s="170"/>
      <c r="P669" s="7"/>
      <c r="Q669" s="1"/>
      <c r="R669" s="331">
        <f>D669</f>
      </c>
      <c r="S669" s="169"/>
      <c r="T669" s="1"/>
      <c r="U669" s="217"/>
      <c r="V669" s="331">
        <f>+IF(V668=11,12,IF(V668=12,1,V668+1))</f>
      </c>
      <c r="W669" s="331">
        <f>+W668+IF(V668=12,1,0)</f>
      </c>
      <c r="X669" s="555">
        <f>+DATE(W669,V669,1)</f>
        <v>25569.041666666668</v>
      </c>
      <c r="Y669" s="333">
        <f>+_xlfn.IFNA(AN669+AS669+AX669,0)</f>
      </c>
      <c r="Z669" s="333">
        <f>+_xlfn.IFNA(AO669+AT669+AY669,0)</f>
      </c>
      <c r="AA669" s="333">
        <f>Y669*(1+$O$5)^(($B$7-X669)/365.25)</f>
      </c>
      <c r="AB669" s="333">
        <f>Z669*(1+$O$5)^(($B$7-X669)/365.25)</f>
      </c>
      <c r="AC669" s="1"/>
      <c r="AD669" s="1"/>
      <c r="AE669" s="1"/>
      <c r="AF669" s="111">
        <f>+MONTH(E669)&amp;YEAR(E669)</f>
      </c>
      <c r="AG669" s="217">
        <f>+I669</f>
      </c>
      <c r="AH669" s="217">
        <f>+J669</f>
      </c>
      <c r="AI669" s="217">
        <f>+H669</f>
      </c>
      <c r="AJ669" s="111">
        <f>+V669&amp;W669</f>
      </c>
      <c r="AK669" s="217">
        <f>+_xlfn.IFNA(VLOOKUP(AJ669,$AF$7:$AG$1066,2,0),0)</f>
      </c>
      <c r="AL669" s="217">
        <f>+IF(W669&gt;W668,AK669,AL668+AK669)</f>
      </c>
      <c r="AM669" s="217">
        <f>IF(W669&gt;W668,IF(AL669&gt;=$AZ$8,$AZ$8,AL669),IF(OR(AM668=$AZ$8,AM668=0),0,IF(AL669&gt;=$AZ$8,$AZ$8,AL669)))</f>
      </c>
      <c r="AN669" s="748">
        <f>+IF(OR(AM669&gt;AZ668,AM669=0),0,IF(AM669=AL669,AK669,$AZ$7-AL668))</f>
      </c>
      <c r="AO669" s="748">
        <f>+AK669-AN669</f>
      </c>
      <c r="AP669" s="217">
        <f>+_xlfn.IFNA(VLOOKUP(AJ669,$AF$7:$AI$1066,3,0),0)</f>
      </c>
      <c r="AQ669" s="217">
        <f>+IF(W669&gt;W668,AP669,AQ668+AP669)</f>
      </c>
      <c r="AR669" s="217">
        <f>+MAX($AM$2-SUMIF($W$7:$W$1066,W669,$AN$7:$AN$1066),0)</f>
      </c>
      <c r="AS669" s="748">
        <f>+MAX(IF(AQ669&gt;AR669,AR669-AQ668,AP669),0)</f>
      </c>
      <c r="AT669" s="748">
        <f>+AP669-AS669</f>
      </c>
      <c r="AU669" s="217">
        <f>+_xlfn.IFNA(VLOOKUP(AJ669,$AF$7:$AI$1066,4,0),0)</f>
      </c>
      <c r="AV669" s="217">
        <f>+IF(W669&gt;W668,AU669,AV668+AU669)</f>
      </c>
      <c r="AW669" s="217">
        <f>+MAX($AM$2-SUMIF($W$7:$W$1066,W669,$AN$7:$AN$1066)-SUMIF($W$7:$W$1066,W669,$AS$7:$AS$1066),0)</f>
      </c>
      <c r="AX669" s="748">
        <f>+MAX(IF(AV669&gt;AW669,AW669-AV668,AU669),0)</f>
      </c>
      <c r="AY669" s="748">
        <f>+AU669-AX669</f>
      </c>
      <c r="AZ669" s="331">
        <f>+$AM$1+IF($AP$1&gt;$AP$2,$AM$3/2)</f>
      </c>
    </row>
    <row x14ac:dyDescent="0.25" r="670" customHeight="1" ht="18.75">
      <c r="A670" s="1"/>
      <c r="B670" s="7"/>
      <c r="C670" s="170"/>
      <c r="D670" s="331">
        <v>663</v>
      </c>
      <c r="E670" s="544">
        <f>+DATE(YEAR(E669),MONTH(E669)-1,DAY(E669))</f>
        <v>25569.041666666668</v>
      </c>
      <c r="F670" s="333">
        <f>IF(DATE(YEAR($B$6),MONTH($B$6)+1,DAY(1))=E670,1,IF(MONTH(E670)=1,F671*(1+$F$5),F671))</f>
      </c>
      <c r="G670" s="333">
        <f>IF('Simulador - 1º Pilar'!$E$99="Sí",IF('Aportaciones PPE'!$B$13&lt;'Aportaciones PPE'!E670,0,F670*$B$8/12),F670*$B$8/12)</f>
      </c>
      <c r="H670" s="333">
        <f>$H$5*G670</f>
      </c>
      <c r="I670" s="333">
        <f>$I$5*G670</f>
      </c>
      <c r="J670" s="333">
        <f>+I670</f>
      </c>
      <c r="K670" s="333">
        <f>(1+$O$5)^(D670/12)*(H670+IF(AND(F670=1,F671=0),$S$4,0))</f>
      </c>
      <c r="L670" s="333">
        <f>(1+$O$5)^(D670/12)*(I670+IF(AND(F670=1,F671=0),0))</f>
      </c>
      <c r="M670" s="333">
        <f>+L670</f>
      </c>
      <c r="N670" s="333">
        <f>L670+K670+M670</f>
      </c>
      <c r="O670" s="170"/>
      <c r="P670" s="7"/>
      <c r="Q670" s="1"/>
      <c r="R670" s="331">
        <f>D670</f>
      </c>
      <c r="S670" s="169"/>
      <c r="T670" s="1"/>
      <c r="U670" s="217"/>
      <c r="V670" s="331">
        <f>+IF(V669=11,12,IF(V669=12,1,V669+1))</f>
      </c>
      <c r="W670" s="331">
        <f>+W669+IF(V669=12,1,0)</f>
      </c>
      <c r="X670" s="555">
        <f>+DATE(W670,V670,1)</f>
        <v>25569.041666666668</v>
      </c>
      <c r="Y670" s="333">
        <f>+_xlfn.IFNA(AN670+AS670+AX670,0)</f>
      </c>
      <c r="Z670" s="333">
        <f>+_xlfn.IFNA(AO670+AT670+AY670,0)</f>
      </c>
      <c r="AA670" s="333">
        <f>Y670*(1+$O$5)^(($B$7-X670)/365.25)</f>
      </c>
      <c r="AB670" s="333">
        <f>Z670*(1+$O$5)^(($B$7-X670)/365.25)</f>
      </c>
      <c r="AC670" s="1"/>
      <c r="AD670" s="1"/>
      <c r="AE670" s="1"/>
      <c r="AF670" s="111">
        <f>+MONTH(E670)&amp;YEAR(E670)</f>
      </c>
      <c r="AG670" s="217">
        <f>+I670</f>
      </c>
      <c r="AH670" s="217">
        <f>+J670</f>
      </c>
      <c r="AI670" s="217">
        <f>+H670</f>
      </c>
      <c r="AJ670" s="111">
        <f>+V670&amp;W670</f>
      </c>
      <c r="AK670" s="217">
        <f>+_xlfn.IFNA(VLOOKUP(AJ670,$AF$7:$AG$1066,2,0),0)</f>
      </c>
      <c r="AL670" s="217">
        <f>+IF(W670&gt;W669,AK670,AL669+AK670)</f>
      </c>
      <c r="AM670" s="217">
        <f>IF(W670&gt;W669,IF(AL670&gt;=$AZ$8,$AZ$8,AL670),IF(OR(AM669=$AZ$8,AM669=0),0,IF(AL670&gt;=$AZ$8,$AZ$8,AL670)))</f>
      </c>
      <c r="AN670" s="748">
        <f>+IF(OR(AM670&gt;AZ669,AM670=0),0,IF(AM670=AL670,AK670,$AZ$7-AL669))</f>
      </c>
      <c r="AO670" s="748">
        <f>+AK670-AN670</f>
      </c>
      <c r="AP670" s="217">
        <f>+_xlfn.IFNA(VLOOKUP(AJ670,$AF$7:$AI$1066,3,0),0)</f>
      </c>
      <c r="AQ670" s="217">
        <f>+IF(W670&gt;W669,AP670,AQ669+AP670)</f>
      </c>
      <c r="AR670" s="217">
        <f>+MAX($AM$2-SUMIF($W$7:$W$1066,W670,$AN$7:$AN$1066),0)</f>
      </c>
      <c r="AS670" s="748">
        <f>+MAX(IF(AQ670&gt;AR670,AR670-AQ669,AP670),0)</f>
      </c>
      <c r="AT670" s="748">
        <f>+AP670-AS670</f>
      </c>
      <c r="AU670" s="217">
        <f>+_xlfn.IFNA(VLOOKUP(AJ670,$AF$7:$AI$1066,4,0),0)</f>
      </c>
      <c r="AV670" s="217">
        <f>+IF(W670&gt;W669,AU670,AV669+AU670)</f>
      </c>
      <c r="AW670" s="217">
        <f>+MAX($AM$2-SUMIF($W$7:$W$1066,W670,$AN$7:$AN$1066)-SUMIF($W$7:$W$1066,W670,$AS$7:$AS$1066),0)</f>
      </c>
      <c r="AX670" s="748">
        <f>+MAX(IF(AV670&gt;AW670,AW670-AV669,AU670),0)</f>
      </c>
      <c r="AY670" s="748">
        <f>+AU670-AX670</f>
      </c>
      <c r="AZ670" s="331">
        <f>+$AM$1+IF($AP$1&gt;$AP$2,$AM$3/2)</f>
      </c>
    </row>
    <row x14ac:dyDescent="0.25" r="671" customHeight="1" ht="18.75">
      <c r="A671" s="1"/>
      <c r="B671" s="7"/>
      <c r="C671" s="170"/>
      <c r="D671" s="331">
        <v>664</v>
      </c>
      <c r="E671" s="544">
        <f>+DATE(YEAR(E670),MONTH(E670)-1,DAY(E670))</f>
        <v>25569.041666666668</v>
      </c>
      <c r="F671" s="333">
        <f>IF(DATE(YEAR($B$6),MONTH($B$6)+1,DAY(1))=E671,1,IF(MONTH(E671)=1,F672*(1+$F$5),F672))</f>
      </c>
      <c r="G671" s="333">
        <f>IF('Simulador - 1º Pilar'!$E$99="Sí",IF('Aportaciones PPE'!$B$13&lt;'Aportaciones PPE'!E671,0,F671*$B$8/12),F671*$B$8/12)</f>
      </c>
      <c r="H671" s="333">
        <f>$H$5*G671</f>
      </c>
      <c r="I671" s="333">
        <f>$I$5*G671</f>
      </c>
      <c r="J671" s="333">
        <f>+I671</f>
      </c>
      <c r="K671" s="333">
        <f>(1+$O$5)^(D671/12)*(H671+IF(AND(F671=1,F672=0),$S$4,0))</f>
      </c>
      <c r="L671" s="333">
        <f>(1+$O$5)^(D671/12)*(I671+IF(AND(F671=1,F672=0),0))</f>
      </c>
      <c r="M671" s="333">
        <f>+L671</f>
      </c>
      <c r="N671" s="333">
        <f>L671+K671+M671</f>
      </c>
      <c r="O671" s="170"/>
      <c r="P671" s="7"/>
      <c r="Q671" s="1"/>
      <c r="R671" s="331">
        <f>D671</f>
      </c>
      <c r="S671" s="169"/>
      <c r="T671" s="1"/>
      <c r="U671" s="217"/>
      <c r="V671" s="331">
        <f>+IF(V670=11,12,IF(V670=12,1,V670+1))</f>
      </c>
      <c r="W671" s="331">
        <f>+W670+IF(V670=12,1,0)</f>
      </c>
      <c r="X671" s="555">
        <f>+DATE(W671,V671,1)</f>
        <v>25569.041666666668</v>
      </c>
      <c r="Y671" s="333">
        <f>+_xlfn.IFNA(AN671+AS671+AX671,0)</f>
      </c>
      <c r="Z671" s="333">
        <f>+_xlfn.IFNA(AO671+AT671+AY671,0)</f>
      </c>
      <c r="AA671" s="333">
        <f>Y671*(1+$O$5)^(($B$7-X671)/365.25)</f>
      </c>
      <c r="AB671" s="333">
        <f>Z671*(1+$O$5)^(($B$7-X671)/365.25)</f>
      </c>
      <c r="AC671" s="1"/>
      <c r="AD671" s="1"/>
      <c r="AE671" s="1"/>
      <c r="AF671" s="111">
        <f>+MONTH(E671)&amp;YEAR(E671)</f>
      </c>
      <c r="AG671" s="217">
        <f>+I671</f>
      </c>
      <c r="AH671" s="217">
        <f>+J671</f>
      </c>
      <c r="AI671" s="217">
        <f>+H671</f>
      </c>
      <c r="AJ671" s="111">
        <f>+V671&amp;W671</f>
      </c>
      <c r="AK671" s="217">
        <f>+_xlfn.IFNA(VLOOKUP(AJ671,$AF$7:$AG$1066,2,0),0)</f>
      </c>
      <c r="AL671" s="217">
        <f>+IF(W671&gt;W670,AK671,AL670+AK671)</f>
      </c>
      <c r="AM671" s="217">
        <f>IF(W671&gt;W670,IF(AL671&gt;=$AZ$8,$AZ$8,AL671),IF(OR(AM670=$AZ$8,AM670=0),0,IF(AL671&gt;=$AZ$8,$AZ$8,AL671)))</f>
      </c>
      <c r="AN671" s="748">
        <f>+IF(OR(AM671&gt;AZ670,AM671=0),0,IF(AM671=AL671,AK671,$AZ$7-AL670))</f>
      </c>
      <c r="AO671" s="748">
        <f>+AK671-AN671</f>
      </c>
      <c r="AP671" s="217">
        <f>+_xlfn.IFNA(VLOOKUP(AJ671,$AF$7:$AI$1066,3,0),0)</f>
      </c>
      <c r="AQ671" s="217">
        <f>+IF(W671&gt;W670,AP671,AQ670+AP671)</f>
      </c>
      <c r="AR671" s="217">
        <f>+MAX($AM$2-SUMIF($W$7:$W$1066,W671,$AN$7:$AN$1066),0)</f>
      </c>
      <c r="AS671" s="748">
        <f>+MAX(IF(AQ671&gt;AR671,AR671-AQ670,AP671),0)</f>
      </c>
      <c r="AT671" s="748">
        <f>+AP671-AS671</f>
      </c>
      <c r="AU671" s="217">
        <f>+_xlfn.IFNA(VLOOKUP(AJ671,$AF$7:$AI$1066,4,0),0)</f>
      </c>
      <c r="AV671" s="217">
        <f>+IF(W671&gt;W670,AU671,AV670+AU671)</f>
      </c>
      <c r="AW671" s="217">
        <f>+MAX($AM$2-SUMIF($W$7:$W$1066,W671,$AN$7:$AN$1066)-SUMIF($W$7:$W$1066,W671,$AS$7:$AS$1066),0)</f>
      </c>
      <c r="AX671" s="748">
        <f>+MAX(IF(AV671&gt;AW671,AW671-AV670,AU671),0)</f>
      </c>
      <c r="AY671" s="748">
        <f>+AU671-AX671</f>
      </c>
      <c r="AZ671" s="331">
        <f>+$AM$1+IF($AP$1&gt;$AP$2,$AM$3/2)</f>
      </c>
    </row>
    <row x14ac:dyDescent="0.25" r="672" customHeight="1" ht="18.75">
      <c r="A672" s="1"/>
      <c r="B672" s="7"/>
      <c r="C672" s="170"/>
      <c r="D672" s="331">
        <v>665</v>
      </c>
      <c r="E672" s="544">
        <f>+DATE(YEAR(E671),MONTH(E671)-1,DAY(E671))</f>
        <v>25569.041666666668</v>
      </c>
      <c r="F672" s="333">
        <f>IF(DATE(YEAR($B$6),MONTH($B$6)+1,DAY(1))=E672,1,IF(MONTH(E672)=1,F673*(1+$F$5),F673))</f>
      </c>
      <c r="G672" s="333">
        <f>IF('Simulador - 1º Pilar'!$E$99="Sí",IF('Aportaciones PPE'!$B$13&lt;'Aportaciones PPE'!E672,0,F672*$B$8/12),F672*$B$8/12)</f>
      </c>
      <c r="H672" s="333">
        <f>$H$5*G672</f>
      </c>
      <c r="I672" s="333">
        <f>$I$5*G672</f>
      </c>
      <c r="J672" s="333">
        <f>+I672</f>
      </c>
      <c r="K672" s="333">
        <f>(1+$O$5)^(D672/12)*(H672+IF(AND(F672=1,F673=0),$S$4,0))</f>
      </c>
      <c r="L672" s="333">
        <f>(1+$O$5)^(D672/12)*(I672+IF(AND(F672=1,F673=0),0))</f>
      </c>
      <c r="M672" s="333">
        <f>+L672</f>
      </c>
      <c r="N672" s="333">
        <f>L672+K672+M672</f>
      </c>
      <c r="O672" s="170"/>
      <c r="P672" s="7"/>
      <c r="Q672" s="1"/>
      <c r="R672" s="331">
        <f>D672</f>
      </c>
      <c r="S672" s="169"/>
      <c r="T672" s="1"/>
      <c r="U672" s="217"/>
      <c r="V672" s="331">
        <f>+IF(V671=11,12,IF(V671=12,1,V671+1))</f>
      </c>
      <c r="W672" s="331">
        <f>+W671+IF(V671=12,1,0)</f>
      </c>
      <c r="X672" s="555">
        <f>+DATE(W672,V672,1)</f>
        <v>25569.041666666668</v>
      </c>
      <c r="Y672" s="333">
        <f>+_xlfn.IFNA(AN672+AS672+AX672,0)</f>
      </c>
      <c r="Z672" s="333">
        <f>+_xlfn.IFNA(AO672+AT672+AY672,0)</f>
      </c>
      <c r="AA672" s="333">
        <f>Y672*(1+$O$5)^(($B$7-X672)/365.25)</f>
      </c>
      <c r="AB672" s="333">
        <f>Z672*(1+$O$5)^(($B$7-X672)/365.25)</f>
      </c>
      <c r="AC672" s="1"/>
      <c r="AD672" s="1"/>
      <c r="AE672" s="1"/>
      <c r="AF672" s="111">
        <f>+MONTH(E672)&amp;YEAR(E672)</f>
      </c>
      <c r="AG672" s="217">
        <f>+I672</f>
      </c>
      <c r="AH672" s="217">
        <f>+J672</f>
      </c>
      <c r="AI672" s="217">
        <f>+H672</f>
      </c>
      <c r="AJ672" s="111">
        <f>+V672&amp;W672</f>
      </c>
      <c r="AK672" s="217">
        <f>+_xlfn.IFNA(VLOOKUP(AJ672,$AF$7:$AG$1066,2,0),0)</f>
      </c>
      <c r="AL672" s="217">
        <f>+IF(W672&gt;W671,AK672,AL671+AK672)</f>
      </c>
      <c r="AM672" s="217">
        <f>IF(W672&gt;W671,IF(AL672&gt;=$AZ$8,$AZ$8,AL672),IF(OR(AM671=$AZ$8,AM671=0),0,IF(AL672&gt;=$AZ$8,$AZ$8,AL672)))</f>
      </c>
      <c r="AN672" s="748">
        <f>+IF(OR(AM672&gt;AZ671,AM672=0),0,IF(AM672=AL672,AK672,$AZ$7-AL671))</f>
      </c>
      <c r="AO672" s="748">
        <f>+AK672-AN672</f>
      </c>
      <c r="AP672" s="217">
        <f>+_xlfn.IFNA(VLOOKUP(AJ672,$AF$7:$AI$1066,3,0),0)</f>
      </c>
      <c r="AQ672" s="217">
        <f>+IF(W672&gt;W671,AP672,AQ671+AP672)</f>
      </c>
      <c r="AR672" s="217">
        <f>+MAX($AM$2-SUMIF($W$7:$W$1066,W672,$AN$7:$AN$1066),0)</f>
      </c>
      <c r="AS672" s="748">
        <f>+MAX(IF(AQ672&gt;AR672,AR672-AQ671,AP672),0)</f>
      </c>
      <c r="AT672" s="748">
        <f>+AP672-AS672</f>
      </c>
      <c r="AU672" s="217">
        <f>+_xlfn.IFNA(VLOOKUP(AJ672,$AF$7:$AI$1066,4,0),0)</f>
      </c>
      <c r="AV672" s="217">
        <f>+IF(W672&gt;W671,AU672,AV671+AU672)</f>
      </c>
      <c r="AW672" s="217">
        <f>+MAX($AM$2-SUMIF($W$7:$W$1066,W672,$AN$7:$AN$1066)-SUMIF($W$7:$W$1066,W672,$AS$7:$AS$1066),0)</f>
      </c>
      <c r="AX672" s="748">
        <f>+MAX(IF(AV672&gt;AW672,AW672-AV671,AU672),0)</f>
      </c>
      <c r="AY672" s="748">
        <f>+AU672-AX672</f>
      </c>
      <c r="AZ672" s="331">
        <f>+$AM$1+IF($AP$1&gt;$AP$2,$AM$3/2)</f>
      </c>
    </row>
    <row x14ac:dyDescent="0.25" r="673" customHeight="1" ht="18.75">
      <c r="A673" s="1"/>
      <c r="B673" s="7"/>
      <c r="C673" s="170"/>
      <c r="D673" s="331">
        <v>666</v>
      </c>
      <c r="E673" s="544">
        <f>+DATE(YEAR(E672),MONTH(E672)-1,DAY(E672))</f>
        <v>25569.041666666668</v>
      </c>
      <c r="F673" s="333">
        <f>IF(DATE(YEAR($B$6),MONTH($B$6)+1,DAY(1))=E673,1,IF(MONTH(E673)=1,F674*(1+$F$5),F674))</f>
      </c>
      <c r="G673" s="333">
        <f>IF('Simulador - 1º Pilar'!$E$99="Sí",IF('Aportaciones PPE'!$B$13&lt;'Aportaciones PPE'!E673,0,F673*$B$8/12),F673*$B$8/12)</f>
      </c>
      <c r="H673" s="333">
        <f>$H$5*G673</f>
      </c>
      <c r="I673" s="333">
        <f>$I$5*G673</f>
      </c>
      <c r="J673" s="333">
        <f>+I673</f>
      </c>
      <c r="K673" s="333">
        <f>(1+$O$5)^(D673/12)*(H673+IF(AND(F673=1,F674=0),$S$4,0))</f>
      </c>
      <c r="L673" s="333">
        <f>(1+$O$5)^(D673/12)*(I673+IF(AND(F673=1,F674=0),0))</f>
      </c>
      <c r="M673" s="333">
        <f>+L673</f>
      </c>
      <c r="N673" s="333">
        <f>L673+K673+M673</f>
      </c>
      <c r="O673" s="170"/>
      <c r="P673" s="7"/>
      <c r="Q673" s="1"/>
      <c r="R673" s="331">
        <f>D673</f>
      </c>
      <c r="S673" s="169"/>
      <c r="T673" s="1"/>
      <c r="U673" s="217"/>
      <c r="V673" s="331">
        <f>+IF(V672=11,12,IF(V672=12,1,V672+1))</f>
      </c>
      <c r="W673" s="331">
        <f>+W672+IF(V672=12,1,0)</f>
      </c>
      <c r="X673" s="555">
        <f>+DATE(W673,V673,1)</f>
        <v>25569.041666666668</v>
      </c>
      <c r="Y673" s="333">
        <f>+_xlfn.IFNA(AN673+AS673+AX673,0)</f>
      </c>
      <c r="Z673" s="333">
        <f>+_xlfn.IFNA(AO673+AT673+AY673,0)</f>
      </c>
      <c r="AA673" s="333">
        <f>Y673*(1+$O$5)^(($B$7-X673)/365.25)</f>
      </c>
      <c r="AB673" s="333">
        <f>Z673*(1+$O$5)^(($B$7-X673)/365.25)</f>
      </c>
      <c r="AC673" s="1"/>
      <c r="AD673" s="1"/>
      <c r="AE673" s="1"/>
      <c r="AF673" s="111">
        <f>+MONTH(E673)&amp;YEAR(E673)</f>
      </c>
      <c r="AG673" s="217">
        <f>+I673</f>
      </c>
      <c r="AH673" s="217">
        <f>+J673</f>
      </c>
      <c r="AI673" s="217">
        <f>+H673</f>
      </c>
      <c r="AJ673" s="111">
        <f>+V673&amp;W673</f>
      </c>
      <c r="AK673" s="217">
        <f>+_xlfn.IFNA(VLOOKUP(AJ673,$AF$7:$AG$1066,2,0),0)</f>
      </c>
      <c r="AL673" s="217">
        <f>+IF(W673&gt;W672,AK673,AL672+AK673)</f>
      </c>
      <c r="AM673" s="217">
        <f>IF(W673&gt;W672,IF(AL673&gt;=$AZ$8,$AZ$8,AL673),IF(OR(AM672=$AZ$8,AM672=0),0,IF(AL673&gt;=$AZ$8,$AZ$8,AL673)))</f>
      </c>
      <c r="AN673" s="748">
        <f>+IF(OR(AM673&gt;AZ672,AM673=0),0,IF(AM673=AL673,AK673,$AZ$7-AL672))</f>
      </c>
      <c r="AO673" s="748">
        <f>+AK673-AN673</f>
      </c>
      <c r="AP673" s="217">
        <f>+_xlfn.IFNA(VLOOKUP(AJ673,$AF$7:$AI$1066,3,0),0)</f>
      </c>
      <c r="AQ673" s="217">
        <f>+IF(W673&gt;W672,AP673,AQ672+AP673)</f>
      </c>
      <c r="AR673" s="217">
        <f>+MAX($AM$2-SUMIF($W$7:$W$1066,W673,$AN$7:$AN$1066),0)</f>
      </c>
      <c r="AS673" s="748">
        <f>+MAX(IF(AQ673&gt;AR673,AR673-AQ672,AP673),0)</f>
      </c>
      <c r="AT673" s="748">
        <f>+AP673-AS673</f>
      </c>
      <c r="AU673" s="217">
        <f>+_xlfn.IFNA(VLOOKUP(AJ673,$AF$7:$AI$1066,4,0),0)</f>
      </c>
      <c r="AV673" s="217">
        <f>+IF(W673&gt;W672,AU673,AV672+AU673)</f>
      </c>
      <c r="AW673" s="217">
        <f>+MAX($AM$2-SUMIF($W$7:$W$1066,W673,$AN$7:$AN$1066)-SUMIF($W$7:$W$1066,W673,$AS$7:$AS$1066),0)</f>
      </c>
      <c r="AX673" s="748">
        <f>+MAX(IF(AV673&gt;AW673,AW673-AV672,AU673),0)</f>
      </c>
      <c r="AY673" s="748">
        <f>+AU673-AX673</f>
      </c>
      <c r="AZ673" s="331">
        <f>+$AM$1+IF($AP$1&gt;$AP$2,$AM$3/2)</f>
      </c>
    </row>
    <row x14ac:dyDescent="0.25" r="674" customHeight="1" ht="18.75">
      <c r="A674" s="1"/>
      <c r="B674" s="7"/>
      <c r="C674" s="170"/>
      <c r="D674" s="331">
        <v>667</v>
      </c>
      <c r="E674" s="544">
        <f>+DATE(YEAR(E673),MONTH(E673)-1,DAY(E673))</f>
        <v>25569.041666666668</v>
      </c>
      <c r="F674" s="333">
        <f>IF(DATE(YEAR($B$6),MONTH($B$6)+1,DAY(1))=E674,1,IF(MONTH(E674)=1,F675*(1+$F$5),F675))</f>
      </c>
      <c r="G674" s="333">
        <f>IF('Simulador - 1º Pilar'!$E$99="Sí",IF('Aportaciones PPE'!$B$13&lt;'Aportaciones PPE'!E674,0,F674*$B$8/12),F674*$B$8/12)</f>
      </c>
      <c r="H674" s="333">
        <f>$H$5*G674</f>
      </c>
      <c r="I674" s="333">
        <f>$I$5*G674</f>
      </c>
      <c r="J674" s="333">
        <f>+I674</f>
      </c>
      <c r="K674" s="333">
        <f>(1+$O$5)^(D674/12)*(H674+IF(AND(F674=1,F675=0),$S$4,0))</f>
      </c>
      <c r="L674" s="333">
        <f>(1+$O$5)^(D674/12)*(I674+IF(AND(F674=1,F675=0),0))</f>
      </c>
      <c r="M674" s="333">
        <f>+L674</f>
      </c>
      <c r="N674" s="333">
        <f>L674+K674+M674</f>
      </c>
      <c r="O674" s="170"/>
      <c r="P674" s="7"/>
      <c r="Q674" s="1"/>
      <c r="R674" s="331">
        <f>D674</f>
      </c>
      <c r="S674" s="169"/>
      <c r="T674" s="1"/>
      <c r="U674" s="217"/>
      <c r="V674" s="331">
        <f>+IF(V673=11,12,IF(V673=12,1,V673+1))</f>
      </c>
      <c r="W674" s="331">
        <f>+W673+IF(V673=12,1,0)</f>
      </c>
      <c r="X674" s="555">
        <f>+DATE(W674,V674,1)</f>
        <v>25569.041666666668</v>
      </c>
      <c r="Y674" s="333">
        <f>+_xlfn.IFNA(AN674+AS674+AX674,0)</f>
      </c>
      <c r="Z674" s="333">
        <f>+_xlfn.IFNA(AO674+AT674+AY674,0)</f>
      </c>
      <c r="AA674" s="333">
        <f>Y674*(1+$O$5)^(($B$7-X674)/365.25)</f>
      </c>
      <c r="AB674" s="333">
        <f>Z674*(1+$O$5)^(($B$7-X674)/365.25)</f>
      </c>
      <c r="AC674" s="1"/>
      <c r="AD674" s="1"/>
      <c r="AE674" s="1"/>
      <c r="AF674" s="111">
        <f>+MONTH(E674)&amp;YEAR(E674)</f>
      </c>
      <c r="AG674" s="217">
        <f>+I674</f>
      </c>
      <c r="AH674" s="217">
        <f>+J674</f>
      </c>
      <c r="AI674" s="217">
        <f>+H674</f>
      </c>
      <c r="AJ674" s="111">
        <f>+V674&amp;W674</f>
      </c>
      <c r="AK674" s="217">
        <f>+_xlfn.IFNA(VLOOKUP(AJ674,$AF$7:$AG$1066,2,0),0)</f>
      </c>
      <c r="AL674" s="217">
        <f>+IF(W674&gt;W673,AK674,AL673+AK674)</f>
      </c>
      <c r="AM674" s="217">
        <f>IF(W674&gt;W673,IF(AL674&gt;=$AZ$8,$AZ$8,AL674),IF(OR(AM673=$AZ$8,AM673=0),0,IF(AL674&gt;=$AZ$8,$AZ$8,AL674)))</f>
      </c>
      <c r="AN674" s="748">
        <f>+IF(OR(AM674&gt;AZ673,AM674=0),0,IF(AM674=AL674,AK674,$AZ$7-AL673))</f>
      </c>
      <c r="AO674" s="748">
        <f>+AK674-AN674</f>
      </c>
      <c r="AP674" s="217">
        <f>+_xlfn.IFNA(VLOOKUP(AJ674,$AF$7:$AI$1066,3,0),0)</f>
      </c>
      <c r="AQ674" s="217">
        <f>+IF(W674&gt;W673,AP674,AQ673+AP674)</f>
      </c>
      <c r="AR674" s="217">
        <f>+MAX($AM$2-SUMIF($W$7:$W$1066,W674,$AN$7:$AN$1066),0)</f>
      </c>
      <c r="AS674" s="748">
        <f>+MAX(IF(AQ674&gt;AR674,AR674-AQ673,AP674),0)</f>
      </c>
      <c r="AT674" s="748">
        <f>+AP674-AS674</f>
      </c>
      <c r="AU674" s="217">
        <f>+_xlfn.IFNA(VLOOKUP(AJ674,$AF$7:$AI$1066,4,0),0)</f>
      </c>
      <c r="AV674" s="217">
        <f>+IF(W674&gt;W673,AU674,AV673+AU674)</f>
      </c>
      <c r="AW674" s="217">
        <f>+MAX($AM$2-SUMIF($W$7:$W$1066,W674,$AN$7:$AN$1066)-SUMIF($W$7:$W$1066,W674,$AS$7:$AS$1066),0)</f>
      </c>
      <c r="AX674" s="748">
        <f>+MAX(IF(AV674&gt;AW674,AW674-AV673,AU674),0)</f>
      </c>
      <c r="AY674" s="748">
        <f>+AU674-AX674</f>
      </c>
      <c r="AZ674" s="331">
        <f>+$AM$1+IF($AP$1&gt;$AP$2,$AM$3/2)</f>
      </c>
    </row>
    <row x14ac:dyDescent="0.25" r="675" customHeight="1" ht="18.75">
      <c r="A675" s="1"/>
      <c r="B675" s="7"/>
      <c r="C675" s="170"/>
      <c r="D675" s="331">
        <v>668</v>
      </c>
      <c r="E675" s="544">
        <f>+DATE(YEAR(E674),MONTH(E674)-1,DAY(E674))</f>
        <v>25569.041666666668</v>
      </c>
      <c r="F675" s="333">
        <f>IF(DATE(YEAR($B$6),MONTH($B$6)+1,DAY(1))=E675,1,IF(MONTH(E675)=1,F676*(1+$F$5),F676))</f>
      </c>
      <c r="G675" s="333">
        <f>IF('Simulador - 1º Pilar'!$E$99="Sí",IF('Aportaciones PPE'!$B$13&lt;'Aportaciones PPE'!E675,0,F675*$B$8/12),F675*$B$8/12)</f>
      </c>
      <c r="H675" s="333">
        <f>$H$5*G675</f>
      </c>
      <c r="I675" s="333">
        <f>$I$5*G675</f>
      </c>
      <c r="J675" s="333">
        <f>+I675</f>
      </c>
      <c r="K675" s="333">
        <f>(1+$O$5)^(D675/12)*(H675+IF(AND(F675=1,F676=0),$S$4,0))</f>
      </c>
      <c r="L675" s="333">
        <f>(1+$O$5)^(D675/12)*(I675+IF(AND(F675=1,F676=0),0))</f>
      </c>
      <c r="M675" s="333">
        <f>+L675</f>
      </c>
      <c r="N675" s="333">
        <f>L675+K675+M675</f>
      </c>
      <c r="O675" s="170"/>
      <c r="P675" s="7"/>
      <c r="Q675" s="1"/>
      <c r="R675" s="331">
        <f>D675</f>
      </c>
      <c r="S675" s="169"/>
      <c r="T675" s="1"/>
      <c r="U675" s="217"/>
      <c r="V675" s="331">
        <f>+IF(V674=11,12,IF(V674=12,1,V674+1))</f>
      </c>
      <c r="W675" s="331">
        <f>+W674+IF(V674=12,1,0)</f>
      </c>
      <c r="X675" s="555">
        <f>+DATE(W675,V675,1)</f>
        <v>25569.041666666668</v>
      </c>
      <c r="Y675" s="333">
        <f>+_xlfn.IFNA(AN675+AS675+AX675,0)</f>
      </c>
      <c r="Z675" s="333">
        <f>+_xlfn.IFNA(AO675+AT675+AY675,0)</f>
      </c>
      <c r="AA675" s="333">
        <f>Y675*(1+$O$5)^(($B$7-X675)/365.25)</f>
      </c>
      <c r="AB675" s="333">
        <f>Z675*(1+$O$5)^(($B$7-X675)/365.25)</f>
      </c>
      <c r="AC675" s="1"/>
      <c r="AD675" s="1"/>
      <c r="AE675" s="1"/>
      <c r="AF675" s="111">
        <f>+MONTH(E675)&amp;YEAR(E675)</f>
      </c>
      <c r="AG675" s="217">
        <f>+I675</f>
      </c>
      <c r="AH675" s="217">
        <f>+J675</f>
      </c>
      <c r="AI675" s="217">
        <f>+H675</f>
      </c>
      <c r="AJ675" s="111">
        <f>+V675&amp;W675</f>
      </c>
      <c r="AK675" s="217">
        <f>+_xlfn.IFNA(VLOOKUP(AJ675,$AF$7:$AG$1066,2,0),0)</f>
      </c>
      <c r="AL675" s="217">
        <f>+IF(W675&gt;W674,AK675,AL674+AK675)</f>
      </c>
      <c r="AM675" s="217">
        <f>IF(W675&gt;W674,IF(AL675&gt;=$AZ$8,$AZ$8,AL675),IF(OR(AM674=$AZ$8,AM674=0),0,IF(AL675&gt;=$AZ$8,$AZ$8,AL675)))</f>
      </c>
      <c r="AN675" s="748">
        <f>+IF(OR(AM675&gt;AZ674,AM675=0),0,IF(AM675=AL675,AK675,$AZ$7-AL674))</f>
      </c>
      <c r="AO675" s="748">
        <f>+AK675-AN675</f>
      </c>
      <c r="AP675" s="217">
        <f>+_xlfn.IFNA(VLOOKUP(AJ675,$AF$7:$AI$1066,3,0),0)</f>
      </c>
      <c r="AQ675" s="217">
        <f>+IF(W675&gt;W674,AP675,AQ674+AP675)</f>
      </c>
      <c r="AR675" s="217">
        <f>+MAX($AM$2-SUMIF($W$7:$W$1066,W675,$AN$7:$AN$1066),0)</f>
      </c>
      <c r="AS675" s="748">
        <f>+MAX(IF(AQ675&gt;AR675,AR675-AQ674,AP675),0)</f>
      </c>
      <c r="AT675" s="748">
        <f>+AP675-AS675</f>
      </c>
      <c r="AU675" s="217">
        <f>+_xlfn.IFNA(VLOOKUP(AJ675,$AF$7:$AI$1066,4,0),0)</f>
      </c>
      <c r="AV675" s="217">
        <f>+IF(W675&gt;W674,AU675,AV674+AU675)</f>
      </c>
      <c r="AW675" s="217">
        <f>+MAX($AM$2-SUMIF($W$7:$W$1066,W675,$AN$7:$AN$1066)-SUMIF($W$7:$W$1066,W675,$AS$7:$AS$1066),0)</f>
      </c>
      <c r="AX675" s="748">
        <f>+MAX(IF(AV675&gt;AW675,AW675-AV674,AU675),0)</f>
      </c>
      <c r="AY675" s="748">
        <f>+AU675-AX675</f>
      </c>
      <c r="AZ675" s="331">
        <f>+$AM$1+IF($AP$1&gt;$AP$2,$AM$3/2)</f>
      </c>
    </row>
    <row x14ac:dyDescent="0.25" r="676" customHeight="1" ht="18.75">
      <c r="A676" s="1"/>
      <c r="B676" s="7"/>
      <c r="C676" s="170"/>
      <c r="D676" s="331">
        <v>669</v>
      </c>
      <c r="E676" s="544">
        <f>+DATE(YEAR(E675),MONTH(E675)-1,DAY(E675))</f>
        <v>25569.041666666668</v>
      </c>
      <c r="F676" s="333">
        <f>IF(DATE(YEAR($B$6),MONTH($B$6)+1,DAY(1))=E676,1,IF(MONTH(E676)=1,F677*(1+$F$5),F677))</f>
      </c>
      <c r="G676" s="333">
        <f>IF('Simulador - 1º Pilar'!$E$99="Sí",IF('Aportaciones PPE'!$B$13&lt;'Aportaciones PPE'!E676,0,F676*$B$8/12),F676*$B$8/12)</f>
      </c>
      <c r="H676" s="333">
        <f>$H$5*G676</f>
      </c>
      <c r="I676" s="333">
        <f>$I$5*G676</f>
      </c>
      <c r="J676" s="333">
        <f>+I676</f>
      </c>
      <c r="K676" s="333">
        <f>(1+$O$5)^(D676/12)*(H676+IF(AND(F676=1,F677=0),$S$4,0))</f>
      </c>
      <c r="L676" s="333">
        <f>(1+$O$5)^(D676/12)*(I676+IF(AND(F676=1,F677=0),0))</f>
      </c>
      <c r="M676" s="333">
        <f>+L676</f>
      </c>
      <c r="N676" s="333">
        <f>L676+K676+M676</f>
      </c>
      <c r="O676" s="170"/>
      <c r="P676" s="7"/>
      <c r="Q676" s="1"/>
      <c r="R676" s="331">
        <f>D676</f>
      </c>
      <c r="S676" s="169"/>
      <c r="T676" s="1"/>
      <c r="U676" s="217"/>
      <c r="V676" s="331">
        <f>+IF(V675=11,12,IF(V675=12,1,V675+1))</f>
      </c>
      <c r="W676" s="331">
        <f>+W675+IF(V675=12,1,0)</f>
      </c>
      <c r="X676" s="555">
        <f>+DATE(W676,V676,1)</f>
        <v>25569.041666666668</v>
      </c>
      <c r="Y676" s="333">
        <f>+_xlfn.IFNA(AN676+AS676+AX676,0)</f>
      </c>
      <c r="Z676" s="333">
        <f>+_xlfn.IFNA(AO676+AT676+AY676,0)</f>
      </c>
      <c r="AA676" s="333">
        <f>Y676*(1+$O$5)^(($B$7-X676)/365.25)</f>
      </c>
      <c r="AB676" s="333">
        <f>Z676*(1+$O$5)^(($B$7-X676)/365.25)</f>
      </c>
      <c r="AC676" s="1"/>
      <c r="AD676" s="1"/>
      <c r="AE676" s="1"/>
      <c r="AF676" s="111">
        <f>+MONTH(E676)&amp;YEAR(E676)</f>
      </c>
      <c r="AG676" s="217">
        <f>+I676</f>
      </c>
      <c r="AH676" s="217">
        <f>+J676</f>
      </c>
      <c r="AI676" s="217">
        <f>+H676</f>
      </c>
      <c r="AJ676" s="111">
        <f>+V676&amp;W676</f>
      </c>
      <c r="AK676" s="217">
        <f>+_xlfn.IFNA(VLOOKUP(AJ676,$AF$7:$AG$1066,2,0),0)</f>
      </c>
      <c r="AL676" s="217">
        <f>+IF(W676&gt;W675,AK676,AL675+AK676)</f>
      </c>
      <c r="AM676" s="217">
        <f>IF(W676&gt;W675,IF(AL676&gt;=$AZ$8,$AZ$8,AL676),IF(OR(AM675=$AZ$8,AM675=0),0,IF(AL676&gt;=$AZ$8,$AZ$8,AL676)))</f>
      </c>
      <c r="AN676" s="748">
        <f>+IF(OR(AM676&gt;AZ675,AM676=0),0,IF(AM676=AL676,AK676,$AZ$7-AL675))</f>
      </c>
      <c r="AO676" s="748">
        <f>+AK676-AN676</f>
      </c>
      <c r="AP676" s="217">
        <f>+_xlfn.IFNA(VLOOKUP(AJ676,$AF$7:$AI$1066,3,0),0)</f>
      </c>
      <c r="AQ676" s="217">
        <f>+IF(W676&gt;W675,AP676,AQ675+AP676)</f>
      </c>
      <c r="AR676" s="217">
        <f>+MAX($AM$2-SUMIF($W$7:$W$1066,W676,$AN$7:$AN$1066),0)</f>
      </c>
      <c r="AS676" s="748">
        <f>+MAX(IF(AQ676&gt;AR676,AR676-AQ675,AP676),0)</f>
      </c>
      <c r="AT676" s="748">
        <f>+AP676-AS676</f>
      </c>
      <c r="AU676" s="217">
        <f>+_xlfn.IFNA(VLOOKUP(AJ676,$AF$7:$AI$1066,4,0),0)</f>
      </c>
      <c r="AV676" s="217">
        <f>+IF(W676&gt;W675,AU676,AV675+AU676)</f>
      </c>
      <c r="AW676" s="217">
        <f>+MAX($AM$2-SUMIF($W$7:$W$1066,W676,$AN$7:$AN$1066)-SUMIF($W$7:$W$1066,W676,$AS$7:$AS$1066),0)</f>
      </c>
      <c r="AX676" s="748">
        <f>+MAX(IF(AV676&gt;AW676,AW676-AV675,AU676),0)</f>
      </c>
      <c r="AY676" s="748">
        <f>+AU676-AX676</f>
      </c>
      <c r="AZ676" s="331">
        <f>+$AM$1+IF($AP$1&gt;$AP$2,$AM$3/2)</f>
      </c>
    </row>
    <row x14ac:dyDescent="0.25" r="677" customHeight="1" ht="18.75">
      <c r="A677" s="1"/>
      <c r="B677" s="7"/>
      <c r="C677" s="170"/>
      <c r="D677" s="331">
        <v>670</v>
      </c>
      <c r="E677" s="544">
        <f>+DATE(YEAR(E676),MONTH(E676)-1,DAY(E676))</f>
        <v>25569.041666666668</v>
      </c>
      <c r="F677" s="333">
        <f>IF(DATE(YEAR($B$6),MONTH($B$6)+1,DAY(1))=E677,1,IF(MONTH(E677)=1,F678*(1+$F$5),F678))</f>
      </c>
      <c r="G677" s="333">
        <f>IF('Simulador - 1º Pilar'!$E$99="Sí",IF('Aportaciones PPE'!$B$13&lt;'Aportaciones PPE'!E677,0,F677*$B$8/12),F677*$B$8/12)</f>
      </c>
      <c r="H677" s="333">
        <f>$H$5*G677</f>
      </c>
      <c r="I677" s="333">
        <f>$I$5*G677</f>
      </c>
      <c r="J677" s="333">
        <f>+I677</f>
      </c>
      <c r="K677" s="333">
        <f>(1+$O$5)^(D677/12)*(H677+IF(AND(F677=1,F678=0),$S$4,0))</f>
      </c>
      <c r="L677" s="333">
        <f>(1+$O$5)^(D677/12)*(I677+IF(AND(F677=1,F678=0),0))</f>
      </c>
      <c r="M677" s="333">
        <f>+L677</f>
      </c>
      <c r="N677" s="333">
        <f>L677+K677+M677</f>
      </c>
      <c r="O677" s="170"/>
      <c r="P677" s="7"/>
      <c r="Q677" s="1"/>
      <c r="R677" s="331">
        <f>D677</f>
      </c>
      <c r="S677" s="169"/>
      <c r="T677" s="1"/>
      <c r="U677" s="217"/>
      <c r="V677" s="331">
        <f>+IF(V676=11,12,IF(V676=12,1,V676+1))</f>
      </c>
      <c r="W677" s="331">
        <f>+W676+IF(V676=12,1,0)</f>
      </c>
      <c r="X677" s="555">
        <f>+DATE(W677,V677,1)</f>
        <v>25569.041666666668</v>
      </c>
      <c r="Y677" s="333">
        <f>+_xlfn.IFNA(AN677+AS677+AX677,0)</f>
      </c>
      <c r="Z677" s="333">
        <f>+_xlfn.IFNA(AO677+AT677+AY677,0)</f>
      </c>
      <c r="AA677" s="333">
        <f>Y677*(1+$O$5)^(($B$7-X677)/365.25)</f>
      </c>
      <c r="AB677" s="333">
        <f>Z677*(1+$O$5)^(($B$7-X677)/365.25)</f>
      </c>
      <c r="AC677" s="1"/>
      <c r="AD677" s="1"/>
      <c r="AE677" s="1"/>
      <c r="AF677" s="111">
        <f>+MONTH(E677)&amp;YEAR(E677)</f>
      </c>
      <c r="AG677" s="217">
        <f>+I677</f>
      </c>
      <c r="AH677" s="217">
        <f>+J677</f>
      </c>
      <c r="AI677" s="217">
        <f>+H677</f>
      </c>
      <c r="AJ677" s="111">
        <f>+V677&amp;W677</f>
      </c>
      <c r="AK677" s="217">
        <f>+_xlfn.IFNA(VLOOKUP(AJ677,$AF$7:$AG$1066,2,0),0)</f>
      </c>
      <c r="AL677" s="217">
        <f>+IF(W677&gt;W676,AK677,AL676+AK677)</f>
      </c>
      <c r="AM677" s="217">
        <f>IF(W677&gt;W676,IF(AL677&gt;=$AZ$8,$AZ$8,AL677),IF(OR(AM676=$AZ$8,AM676=0),0,IF(AL677&gt;=$AZ$8,$AZ$8,AL677)))</f>
      </c>
      <c r="AN677" s="748">
        <f>+IF(OR(AM677&gt;AZ676,AM677=0),0,IF(AM677=AL677,AK677,$AZ$7-AL676))</f>
      </c>
      <c r="AO677" s="748">
        <f>+AK677-AN677</f>
      </c>
      <c r="AP677" s="217">
        <f>+_xlfn.IFNA(VLOOKUP(AJ677,$AF$7:$AI$1066,3,0),0)</f>
      </c>
      <c r="AQ677" s="217">
        <f>+IF(W677&gt;W676,AP677,AQ676+AP677)</f>
      </c>
      <c r="AR677" s="217">
        <f>+MAX($AM$2-SUMIF($W$7:$W$1066,W677,$AN$7:$AN$1066),0)</f>
      </c>
      <c r="AS677" s="748">
        <f>+MAX(IF(AQ677&gt;AR677,AR677-AQ676,AP677),0)</f>
      </c>
      <c r="AT677" s="748">
        <f>+AP677-AS677</f>
      </c>
      <c r="AU677" s="217">
        <f>+_xlfn.IFNA(VLOOKUP(AJ677,$AF$7:$AI$1066,4,0),0)</f>
      </c>
      <c r="AV677" s="217">
        <f>+IF(W677&gt;W676,AU677,AV676+AU677)</f>
      </c>
      <c r="AW677" s="217">
        <f>+MAX($AM$2-SUMIF($W$7:$W$1066,W677,$AN$7:$AN$1066)-SUMIF($W$7:$W$1066,W677,$AS$7:$AS$1066),0)</f>
      </c>
      <c r="AX677" s="748">
        <f>+MAX(IF(AV677&gt;AW677,AW677-AV676,AU677),0)</f>
      </c>
      <c r="AY677" s="748">
        <f>+AU677-AX677</f>
      </c>
      <c r="AZ677" s="331">
        <f>+$AM$1+IF($AP$1&gt;$AP$2,$AM$3/2)</f>
      </c>
    </row>
    <row x14ac:dyDescent="0.25" r="678" customHeight="1" ht="18.75">
      <c r="A678" s="1"/>
      <c r="B678" s="7"/>
      <c r="C678" s="170"/>
      <c r="D678" s="331">
        <v>671</v>
      </c>
      <c r="E678" s="544">
        <f>+DATE(YEAR(E677),MONTH(E677)-1,DAY(E677))</f>
        <v>25569.041666666668</v>
      </c>
      <c r="F678" s="333">
        <f>IF(DATE(YEAR($B$6),MONTH($B$6)+1,DAY(1))=E678,1,IF(MONTH(E678)=1,F679*(1+$F$5),F679))</f>
      </c>
      <c r="G678" s="333">
        <f>IF('Simulador - 1º Pilar'!$E$99="Sí",IF('Aportaciones PPE'!$B$13&lt;'Aportaciones PPE'!E678,0,F678*$B$8/12),F678*$B$8/12)</f>
      </c>
      <c r="H678" s="333">
        <f>$H$5*G678</f>
      </c>
      <c r="I678" s="333">
        <f>$I$5*G678</f>
      </c>
      <c r="J678" s="333">
        <f>+I678</f>
      </c>
      <c r="K678" s="333">
        <f>(1+$O$5)^(D678/12)*(H678+IF(AND(F678=1,F679=0),$S$4,0))</f>
      </c>
      <c r="L678" s="333">
        <f>(1+$O$5)^(D678/12)*(I678+IF(AND(F678=1,F679=0),0))</f>
      </c>
      <c r="M678" s="333">
        <f>+L678</f>
      </c>
      <c r="N678" s="333">
        <f>L678+K678+M678</f>
      </c>
      <c r="O678" s="170"/>
      <c r="P678" s="7"/>
      <c r="Q678" s="1"/>
      <c r="R678" s="331">
        <f>D678</f>
      </c>
      <c r="S678" s="169"/>
      <c r="T678" s="1"/>
      <c r="U678" s="217"/>
      <c r="V678" s="331">
        <f>+IF(V677=11,12,IF(V677=12,1,V677+1))</f>
      </c>
      <c r="W678" s="331">
        <f>+W677+IF(V677=12,1,0)</f>
      </c>
      <c r="X678" s="555">
        <f>+DATE(W678,V678,1)</f>
        <v>25569.041666666668</v>
      </c>
      <c r="Y678" s="333">
        <f>+_xlfn.IFNA(AN678+AS678+AX678,0)</f>
      </c>
      <c r="Z678" s="333">
        <f>+_xlfn.IFNA(AO678+AT678+AY678,0)</f>
      </c>
      <c r="AA678" s="333">
        <f>Y678*(1+$O$5)^(($B$7-X678)/365.25)</f>
      </c>
      <c r="AB678" s="333">
        <f>Z678*(1+$O$5)^(($B$7-X678)/365.25)</f>
      </c>
      <c r="AC678" s="1"/>
      <c r="AD678" s="1"/>
      <c r="AE678" s="1"/>
      <c r="AF678" s="111">
        <f>+MONTH(E678)&amp;YEAR(E678)</f>
      </c>
      <c r="AG678" s="217">
        <f>+I678</f>
      </c>
      <c r="AH678" s="217">
        <f>+J678</f>
      </c>
      <c r="AI678" s="217">
        <f>+H678</f>
      </c>
      <c r="AJ678" s="111">
        <f>+V678&amp;W678</f>
      </c>
      <c r="AK678" s="217">
        <f>+_xlfn.IFNA(VLOOKUP(AJ678,$AF$7:$AG$1066,2,0),0)</f>
      </c>
      <c r="AL678" s="217">
        <f>+IF(W678&gt;W677,AK678,AL677+AK678)</f>
      </c>
      <c r="AM678" s="217">
        <f>IF(W678&gt;W677,IF(AL678&gt;=$AZ$8,$AZ$8,AL678),IF(OR(AM677=$AZ$8,AM677=0),0,IF(AL678&gt;=$AZ$8,$AZ$8,AL678)))</f>
      </c>
      <c r="AN678" s="748">
        <f>+IF(OR(AM678&gt;AZ677,AM678=0),0,IF(AM678=AL678,AK678,$AZ$7-AL677))</f>
      </c>
      <c r="AO678" s="748">
        <f>+AK678-AN678</f>
      </c>
      <c r="AP678" s="217">
        <f>+_xlfn.IFNA(VLOOKUP(AJ678,$AF$7:$AI$1066,3,0),0)</f>
      </c>
      <c r="AQ678" s="217">
        <f>+IF(W678&gt;W677,AP678,AQ677+AP678)</f>
      </c>
      <c r="AR678" s="217">
        <f>+MAX($AM$2-SUMIF($W$7:$W$1066,W678,$AN$7:$AN$1066),0)</f>
      </c>
      <c r="AS678" s="748">
        <f>+MAX(IF(AQ678&gt;AR678,AR678-AQ677,AP678),0)</f>
      </c>
      <c r="AT678" s="748">
        <f>+AP678-AS678</f>
      </c>
      <c r="AU678" s="217">
        <f>+_xlfn.IFNA(VLOOKUP(AJ678,$AF$7:$AI$1066,4,0),0)</f>
      </c>
      <c r="AV678" s="217">
        <f>+IF(W678&gt;W677,AU678,AV677+AU678)</f>
      </c>
      <c r="AW678" s="217">
        <f>+MAX($AM$2-SUMIF($W$7:$W$1066,W678,$AN$7:$AN$1066)-SUMIF($W$7:$W$1066,W678,$AS$7:$AS$1066),0)</f>
      </c>
      <c r="AX678" s="748">
        <f>+MAX(IF(AV678&gt;AW678,AW678-AV677,AU678),0)</f>
      </c>
      <c r="AY678" s="748">
        <f>+AU678-AX678</f>
      </c>
      <c r="AZ678" s="331">
        <f>+$AM$1+IF($AP$1&gt;$AP$2,$AM$3/2)</f>
      </c>
    </row>
    <row x14ac:dyDescent="0.25" r="679" customHeight="1" ht="18.75">
      <c r="A679" s="1"/>
      <c r="B679" s="7"/>
      <c r="C679" s="170"/>
      <c r="D679" s="331">
        <v>672</v>
      </c>
      <c r="E679" s="544">
        <f>+DATE(YEAR(E678),MONTH(E678)-1,DAY(E678))</f>
        <v>25569.041666666668</v>
      </c>
      <c r="F679" s="333">
        <f>IF(DATE(YEAR($B$6),MONTH($B$6)+1,DAY(1))=E679,1,IF(MONTH(E679)=1,F680*(1+$F$5),F680))</f>
      </c>
      <c r="G679" s="333">
        <f>IF('Simulador - 1º Pilar'!$E$99="Sí",IF('Aportaciones PPE'!$B$13&lt;'Aportaciones PPE'!E679,0,F679*$B$8/12),F679*$B$8/12)</f>
      </c>
      <c r="H679" s="333">
        <f>$H$5*G679</f>
      </c>
      <c r="I679" s="333">
        <f>$I$5*G679</f>
      </c>
      <c r="J679" s="333">
        <f>+I679</f>
      </c>
      <c r="K679" s="333">
        <f>(1+$O$5)^(D679/12)*(H679+IF(AND(F679=1,F680=0),$S$4,0))</f>
      </c>
      <c r="L679" s="333">
        <f>(1+$O$5)^(D679/12)*(I679+IF(AND(F679=1,F680=0),0))</f>
      </c>
      <c r="M679" s="333">
        <f>+L679</f>
      </c>
      <c r="N679" s="333">
        <f>L679+K679+M679</f>
      </c>
      <c r="O679" s="170"/>
      <c r="P679" s="7"/>
      <c r="Q679" s="1"/>
      <c r="R679" s="331">
        <f>D679</f>
      </c>
      <c r="S679" s="169"/>
      <c r="T679" s="1"/>
      <c r="U679" s="217"/>
      <c r="V679" s="331">
        <f>+IF(V678=11,12,IF(V678=12,1,V678+1))</f>
      </c>
      <c r="W679" s="331">
        <f>+W678+IF(V678=12,1,0)</f>
      </c>
      <c r="X679" s="555">
        <f>+DATE(W679,V679,1)</f>
        <v>25569.041666666668</v>
      </c>
      <c r="Y679" s="333">
        <f>+_xlfn.IFNA(AN679+AS679+AX679,0)</f>
      </c>
      <c r="Z679" s="333">
        <f>+_xlfn.IFNA(AO679+AT679+AY679,0)</f>
      </c>
      <c r="AA679" s="333">
        <f>Y679*(1+$O$5)^(($B$7-X679)/365.25)</f>
      </c>
      <c r="AB679" s="333">
        <f>Z679*(1+$O$5)^(($B$7-X679)/365.25)</f>
      </c>
      <c r="AC679" s="1"/>
      <c r="AD679" s="1"/>
      <c r="AE679" s="1"/>
      <c r="AF679" s="111">
        <f>+MONTH(E679)&amp;YEAR(E679)</f>
      </c>
      <c r="AG679" s="217">
        <f>+I679</f>
      </c>
      <c r="AH679" s="217">
        <f>+J679</f>
      </c>
      <c r="AI679" s="217">
        <f>+H679</f>
      </c>
      <c r="AJ679" s="111">
        <f>+V679&amp;W679</f>
      </c>
      <c r="AK679" s="217">
        <f>+_xlfn.IFNA(VLOOKUP(AJ679,$AF$7:$AG$1066,2,0),0)</f>
      </c>
      <c r="AL679" s="217">
        <f>+IF(W679&gt;W678,AK679,AL678+AK679)</f>
      </c>
      <c r="AM679" s="217">
        <f>IF(W679&gt;W678,IF(AL679&gt;=$AZ$8,$AZ$8,AL679),IF(OR(AM678=$AZ$8,AM678=0),0,IF(AL679&gt;=$AZ$8,$AZ$8,AL679)))</f>
      </c>
      <c r="AN679" s="748">
        <f>+IF(OR(AM679&gt;AZ678,AM679=0),0,IF(AM679=AL679,AK679,$AZ$7-AL678))</f>
      </c>
      <c r="AO679" s="748">
        <f>+AK679-AN679</f>
      </c>
      <c r="AP679" s="217">
        <f>+_xlfn.IFNA(VLOOKUP(AJ679,$AF$7:$AI$1066,3,0),0)</f>
      </c>
      <c r="AQ679" s="217">
        <f>+IF(W679&gt;W678,AP679,AQ678+AP679)</f>
      </c>
      <c r="AR679" s="217">
        <f>+MAX($AM$2-SUMIF($W$7:$W$1066,W679,$AN$7:$AN$1066),0)</f>
      </c>
      <c r="AS679" s="748">
        <f>+MAX(IF(AQ679&gt;AR679,AR679-AQ678,AP679),0)</f>
      </c>
      <c r="AT679" s="748">
        <f>+AP679-AS679</f>
      </c>
      <c r="AU679" s="217">
        <f>+_xlfn.IFNA(VLOOKUP(AJ679,$AF$7:$AI$1066,4,0),0)</f>
      </c>
      <c r="AV679" s="217">
        <f>+IF(W679&gt;W678,AU679,AV678+AU679)</f>
      </c>
      <c r="AW679" s="217">
        <f>+MAX($AM$2-SUMIF($W$7:$W$1066,W679,$AN$7:$AN$1066)-SUMIF($W$7:$W$1066,W679,$AS$7:$AS$1066),0)</f>
      </c>
      <c r="AX679" s="748">
        <f>+MAX(IF(AV679&gt;AW679,AW679-AV678,AU679),0)</f>
      </c>
      <c r="AY679" s="748">
        <f>+AU679-AX679</f>
      </c>
      <c r="AZ679" s="331">
        <f>+$AM$1+IF($AP$1&gt;$AP$2,$AM$3/2)</f>
      </c>
    </row>
    <row x14ac:dyDescent="0.25" r="680" customHeight="1" ht="18.75">
      <c r="A680" s="1"/>
      <c r="B680" s="7"/>
      <c r="C680" s="170"/>
      <c r="D680" s="331">
        <v>673</v>
      </c>
      <c r="E680" s="544">
        <f>+DATE(YEAR(E679),MONTH(E679)-1,DAY(E679))</f>
        <v>25569.041666666668</v>
      </c>
      <c r="F680" s="333">
        <f>IF(DATE(YEAR($B$6),MONTH($B$6)+1,DAY(1))=E680,1,IF(MONTH(E680)=1,F681*(1+$F$5),F681))</f>
      </c>
      <c r="G680" s="333">
        <f>IF('Simulador - 1º Pilar'!$E$99="Sí",IF('Aportaciones PPE'!$B$13&lt;'Aportaciones PPE'!E680,0,F680*$B$8/12),F680*$B$8/12)</f>
      </c>
      <c r="H680" s="333">
        <f>$H$5*G680</f>
      </c>
      <c r="I680" s="333">
        <f>$I$5*G680</f>
      </c>
      <c r="J680" s="333">
        <f>+I680</f>
      </c>
      <c r="K680" s="333">
        <f>(1+$O$5)^(D680/12)*(H680+IF(AND(F680=1,F681=0),$S$4,0))</f>
      </c>
      <c r="L680" s="333">
        <f>(1+$O$5)^(D680/12)*(I680+IF(AND(F680=1,F681=0),0))</f>
      </c>
      <c r="M680" s="333">
        <f>+L680</f>
      </c>
      <c r="N680" s="333">
        <f>L680+K680+M680</f>
      </c>
      <c r="O680" s="170"/>
      <c r="P680" s="7"/>
      <c r="Q680" s="1"/>
      <c r="R680" s="331">
        <f>D680</f>
      </c>
      <c r="S680" s="169"/>
      <c r="T680" s="1"/>
      <c r="U680" s="217"/>
      <c r="V680" s="331">
        <f>+IF(V679=11,12,IF(V679=12,1,V679+1))</f>
      </c>
      <c r="W680" s="331">
        <f>+W679+IF(V679=12,1,0)</f>
      </c>
      <c r="X680" s="555">
        <f>+DATE(W680,V680,1)</f>
        <v>25569.041666666668</v>
      </c>
      <c r="Y680" s="333">
        <f>+_xlfn.IFNA(AN680+AS680+AX680,0)</f>
      </c>
      <c r="Z680" s="333">
        <f>+_xlfn.IFNA(AO680+AT680+AY680,0)</f>
      </c>
      <c r="AA680" s="333">
        <f>Y680*(1+$O$5)^(($B$7-X680)/365.25)</f>
      </c>
      <c r="AB680" s="333">
        <f>Z680*(1+$O$5)^(($B$7-X680)/365.25)</f>
      </c>
      <c r="AC680" s="1"/>
      <c r="AD680" s="1"/>
      <c r="AE680" s="1"/>
      <c r="AF680" s="111">
        <f>+MONTH(E680)&amp;YEAR(E680)</f>
      </c>
      <c r="AG680" s="217">
        <f>+I680</f>
      </c>
      <c r="AH680" s="217">
        <f>+J680</f>
      </c>
      <c r="AI680" s="217">
        <f>+H680</f>
      </c>
      <c r="AJ680" s="111">
        <f>+V680&amp;W680</f>
      </c>
      <c r="AK680" s="217">
        <f>+_xlfn.IFNA(VLOOKUP(AJ680,$AF$7:$AG$1066,2,0),0)</f>
      </c>
      <c r="AL680" s="217">
        <f>+IF(W680&gt;W679,AK680,AL679+AK680)</f>
      </c>
      <c r="AM680" s="217">
        <f>IF(W680&gt;W679,IF(AL680&gt;=$AZ$8,$AZ$8,AL680),IF(OR(AM679=$AZ$8,AM679=0),0,IF(AL680&gt;=$AZ$8,$AZ$8,AL680)))</f>
      </c>
      <c r="AN680" s="748">
        <f>+IF(OR(AM680&gt;AZ679,AM680=0),0,IF(AM680=AL680,AK680,$AZ$7-AL679))</f>
      </c>
      <c r="AO680" s="748">
        <f>+AK680-AN680</f>
      </c>
      <c r="AP680" s="217">
        <f>+_xlfn.IFNA(VLOOKUP(AJ680,$AF$7:$AI$1066,3,0),0)</f>
      </c>
      <c r="AQ680" s="217">
        <f>+IF(W680&gt;W679,AP680,AQ679+AP680)</f>
      </c>
      <c r="AR680" s="217">
        <f>+MAX($AM$2-SUMIF($W$7:$W$1066,W680,$AN$7:$AN$1066),0)</f>
      </c>
      <c r="AS680" s="748">
        <f>+MAX(IF(AQ680&gt;AR680,AR680-AQ679,AP680),0)</f>
      </c>
      <c r="AT680" s="748">
        <f>+AP680-AS680</f>
      </c>
      <c r="AU680" s="217">
        <f>+_xlfn.IFNA(VLOOKUP(AJ680,$AF$7:$AI$1066,4,0),0)</f>
      </c>
      <c r="AV680" s="217">
        <f>+IF(W680&gt;W679,AU680,AV679+AU680)</f>
      </c>
      <c r="AW680" s="217">
        <f>+MAX($AM$2-SUMIF($W$7:$W$1066,W680,$AN$7:$AN$1066)-SUMIF($W$7:$W$1066,W680,$AS$7:$AS$1066),0)</f>
      </c>
      <c r="AX680" s="748">
        <f>+MAX(IF(AV680&gt;AW680,AW680-AV679,AU680),0)</f>
      </c>
      <c r="AY680" s="748">
        <f>+AU680-AX680</f>
      </c>
      <c r="AZ680" s="331">
        <f>+$AM$1+IF($AP$1&gt;$AP$2,$AM$3/2)</f>
      </c>
    </row>
    <row x14ac:dyDescent="0.25" r="681" customHeight="1" ht="18.75">
      <c r="A681" s="1"/>
      <c r="B681" s="7"/>
      <c r="C681" s="170"/>
      <c r="D681" s="331">
        <v>674</v>
      </c>
      <c r="E681" s="544">
        <f>+DATE(YEAR(E680),MONTH(E680)-1,DAY(E680))</f>
        <v>25569.041666666668</v>
      </c>
      <c r="F681" s="333">
        <f>IF(DATE(YEAR($B$6),MONTH($B$6)+1,DAY(1))=E681,1,IF(MONTH(E681)=1,F682*(1+$F$5),F682))</f>
      </c>
      <c r="G681" s="333">
        <f>IF('Simulador - 1º Pilar'!$E$99="Sí",IF('Aportaciones PPE'!$B$13&lt;'Aportaciones PPE'!E681,0,F681*$B$8/12),F681*$B$8/12)</f>
      </c>
      <c r="H681" s="333">
        <f>$H$5*G681</f>
      </c>
      <c r="I681" s="333">
        <f>$I$5*G681</f>
      </c>
      <c r="J681" s="333">
        <f>+I681</f>
      </c>
      <c r="K681" s="333">
        <f>(1+$O$5)^(D681/12)*(H681+IF(AND(F681=1,F682=0),$S$4,0))</f>
      </c>
      <c r="L681" s="333">
        <f>(1+$O$5)^(D681/12)*(I681+IF(AND(F681=1,F682=0),0))</f>
      </c>
      <c r="M681" s="333">
        <f>+L681</f>
      </c>
      <c r="N681" s="333">
        <f>L681+K681+M681</f>
      </c>
      <c r="O681" s="170"/>
      <c r="P681" s="7"/>
      <c r="Q681" s="1"/>
      <c r="R681" s="331">
        <f>D681</f>
      </c>
      <c r="S681" s="169"/>
      <c r="T681" s="1"/>
      <c r="U681" s="217"/>
      <c r="V681" s="331">
        <f>+IF(V680=11,12,IF(V680=12,1,V680+1))</f>
      </c>
      <c r="W681" s="331">
        <f>+W680+IF(V680=12,1,0)</f>
      </c>
      <c r="X681" s="555">
        <f>+DATE(W681,V681,1)</f>
        <v>25569.041666666668</v>
      </c>
      <c r="Y681" s="333">
        <f>+_xlfn.IFNA(AN681+AS681+AX681,0)</f>
      </c>
      <c r="Z681" s="333">
        <f>+_xlfn.IFNA(AO681+AT681+AY681,0)</f>
      </c>
      <c r="AA681" s="333">
        <f>Y681*(1+$O$5)^(($B$7-X681)/365.25)</f>
      </c>
      <c r="AB681" s="333">
        <f>Z681*(1+$O$5)^(($B$7-X681)/365.25)</f>
      </c>
      <c r="AC681" s="1"/>
      <c r="AD681" s="1"/>
      <c r="AE681" s="1"/>
      <c r="AF681" s="111">
        <f>+MONTH(E681)&amp;YEAR(E681)</f>
      </c>
      <c r="AG681" s="217">
        <f>+I681</f>
      </c>
      <c r="AH681" s="217">
        <f>+J681</f>
      </c>
      <c r="AI681" s="217">
        <f>+H681</f>
      </c>
      <c r="AJ681" s="111">
        <f>+V681&amp;W681</f>
      </c>
      <c r="AK681" s="217">
        <f>+_xlfn.IFNA(VLOOKUP(AJ681,$AF$7:$AG$1066,2,0),0)</f>
      </c>
      <c r="AL681" s="217">
        <f>+IF(W681&gt;W680,AK681,AL680+AK681)</f>
      </c>
      <c r="AM681" s="217">
        <f>IF(W681&gt;W680,IF(AL681&gt;=$AZ$8,$AZ$8,AL681),IF(OR(AM680=$AZ$8,AM680=0),0,IF(AL681&gt;=$AZ$8,$AZ$8,AL681)))</f>
      </c>
      <c r="AN681" s="748">
        <f>+IF(OR(AM681&gt;AZ680,AM681=0),0,IF(AM681=AL681,AK681,$AZ$7-AL680))</f>
      </c>
      <c r="AO681" s="748">
        <f>+AK681-AN681</f>
      </c>
      <c r="AP681" s="217">
        <f>+_xlfn.IFNA(VLOOKUP(AJ681,$AF$7:$AI$1066,3,0),0)</f>
      </c>
      <c r="AQ681" s="217">
        <f>+IF(W681&gt;W680,AP681,AQ680+AP681)</f>
      </c>
      <c r="AR681" s="217">
        <f>+MAX($AM$2-SUMIF($W$7:$W$1066,W681,$AN$7:$AN$1066),0)</f>
      </c>
      <c r="AS681" s="748">
        <f>+MAX(IF(AQ681&gt;AR681,AR681-AQ680,AP681),0)</f>
      </c>
      <c r="AT681" s="748">
        <f>+AP681-AS681</f>
      </c>
      <c r="AU681" s="217">
        <f>+_xlfn.IFNA(VLOOKUP(AJ681,$AF$7:$AI$1066,4,0),0)</f>
      </c>
      <c r="AV681" s="217">
        <f>+IF(W681&gt;W680,AU681,AV680+AU681)</f>
      </c>
      <c r="AW681" s="217">
        <f>+MAX($AM$2-SUMIF($W$7:$W$1066,W681,$AN$7:$AN$1066)-SUMIF($W$7:$W$1066,W681,$AS$7:$AS$1066),0)</f>
      </c>
      <c r="AX681" s="748">
        <f>+MAX(IF(AV681&gt;AW681,AW681-AV680,AU681),0)</f>
      </c>
      <c r="AY681" s="748">
        <f>+AU681-AX681</f>
      </c>
      <c r="AZ681" s="331">
        <f>+$AM$1+IF($AP$1&gt;$AP$2,$AM$3/2)</f>
      </c>
    </row>
    <row x14ac:dyDescent="0.25" r="682" customHeight="1" ht="18.75">
      <c r="A682" s="1"/>
      <c r="B682" s="7"/>
      <c r="C682" s="170"/>
      <c r="D682" s="331">
        <v>675</v>
      </c>
      <c r="E682" s="544">
        <f>+DATE(YEAR(E681),MONTH(E681)-1,DAY(E681))</f>
        <v>25569.041666666668</v>
      </c>
      <c r="F682" s="333">
        <f>IF(DATE(YEAR($B$6),MONTH($B$6)+1,DAY(1))=E682,1,IF(MONTH(E682)=1,F683*(1+$F$5),F683))</f>
      </c>
      <c r="G682" s="333">
        <f>IF('Simulador - 1º Pilar'!$E$99="Sí",IF('Aportaciones PPE'!$B$13&lt;'Aportaciones PPE'!E682,0,F682*$B$8/12),F682*$B$8/12)</f>
      </c>
      <c r="H682" s="333">
        <f>$H$5*G682</f>
      </c>
      <c r="I682" s="333">
        <f>$I$5*G682</f>
      </c>
      <c r="J682" s="333">
        <f>+I682</f>
      </c>
      <c r="K682" s="333">
        <f>(1+$O$5)^(D682/12)*(H682+IF(AND(F682=1,F683=0),$S$4,0))</f>
      </c>
      <c r="L682" s="333">
        <f>(1+$O$5)^(D682/12)*(I682+IF(AND(F682=1,F683=0),0))</f>
      </c>
      <c r="M682" s="333">
        <f>+L682</f>
      </c>
      <c r="N682" s="333">
        <f>L682+K682+M682</f>
      </c>
      <c r="O682" s="170"/>
      <c r="P682" s="7"/>
      <c r="Q682" s="1"/>
      <c r="R682" s="331">
        <f>D682</f>
      </c>
      <c r="S682" s="169"/>
      <c r="T682" s="1"/>
      <c r="U682" s="217"/>
      <c r="V682" s="331">
        <f>+IF(V681=11,12,IF(V681=12,1,V681+1))</f>
      </c>
      <c r="W682" s="331">
        <f>+W681+IF(V681=12,1,0)</f>
      </c>
      <c r="X682" s="555">
        <f>+DATE(W682,V682,1)</f>
        <v>25569.041666666668</v>
      </c>
      <c r="Y682" s="333">
        <f>+_xlfn.IFNA(AN682+AS682+AX682,0)</f>
      </c>
      <c r="Z682" s="333">
        <f>+_xlfn.IFNA(AO682+AT682+AY682,0)</f>
      </c>
      <c r="AA682" s="333">
        <f>Y682*(1+$O$5)^(($B$7-X682)/365.25)</f>
      </c>
      <c r="AB682" s="333">
        <f>Z682*(1+$O$5)^(($B$7-X682)/365.25)</f>
      </c>
      <c r="AC682" s="1"/>
      <c r="AD682" s="1"/>
      <c r="AE682" s="1"/>
      <c r="AF682" s="111">
        <f>+MONTH(E682)&amp;YEAR(E682)</f>
      </c>
      <c r="AG682" s="217">
        <f>+I682</f>
      </c>
      <c r="AH682" s="217">
        <f>+J682</f>
      </c>
      <c r="AI682" s="217">
        <f>+H682</f>
      </c>
      <c r="AJ682" s="111">
        <f>+V682&amp;W682</f>
      </c>
      <c r="AK682" s="217">
        <f>+_xlfn.IFNA(VLOOKUP(AJ682,$AF$7:$AG$1066,2,0),0)</f>
      </c>
      <c r="AL682" s="217">
        <f>+IF(W682&gt;W681,AK682,AL681+AK682)</f>
      </c>
      <c r="AM682" s="217">
        <f>IF(W682&gt;W681,IF(AL682&gt;=$AZ$8,$AZ$8,AL682),IF(OR(AM681=$AZ$8,AM681=0),0,IF(AL682&gt;=$AZ$8,$AZ$8,AL682)))</f>
      </c>
      <c r="AN682" s="748">
        <f>+IF(OR(AM682&gt;AZ681,AM682=0),0,IF(AM682=AL682,AK682,$AZ$7-AL681))</f>
      </c>
      <c r="AO682" s="748">
        <f>+AK682-AN682</f>
      </c>
      <c r="AP682" s="217">
        <f>+_xlfn.IFNA(VLOOKUP(AJ682,$AF$7:$AI$1066,3,0),0)</f>
      </c>
      <c r="AQ682" s="217">
        <f>+IF(W682&gt;W681,AP682,AQ681+AP682)</f>
      </c>
      <c r="AR682" s="217">
        <f>+MAX($AM$2-SUMIF($W$7:$W$1066,W682,$AN$7:$AN$1066),0)</f>
      </c>
      <c r="AS682" s="748">
        <f>+MAX(IF(AQ682&gt;AR682,AR682-AQ681,AP682),0)</f>
      </c>
      <c r="AT682" s="748">
        <f>+AP682-AS682</f>
      </c>
      <c r="AU682" s="217">
        <f>+_xlfn.IFNA(VLOOKUP(AJ682,$AF$7:$AI$1066,4,0),0)</f>
      </c>
      <c r="AV682" s="217">
        <f>+IF(W682&gt;W681,AU682,AV681+AU682)</f>
      </c>
      <c r="AW682" s="217">
        <f>+MAX($AM$2-SUMIF($W$7:$W$1066,W682,$AN$7:$AN$1066)-SUMIF($W$7:$W$1066,W682,$AS$7:$AS$1066),0)</f>
      </c>
      <c r="AX682" s="748">
        <f>+MAX(IF(AV682&gt;AW682,AW682-AV681,AU682),0)</f>
      </c>
      <c r="AY682" s="748">
        <f>+AU682-AX682</f>
      </c>
      <c r="AZ682" s="331">
        <f>+$AM$1+IF($AP$1&gt;$AP$2,$AM$3/2)</f>
      </c>
    </row>
    <row x14ac:dyDescent="0.25" r="683" customHeight="1" ht="18.75">
      <c r="A683" s="1"/>
      <c r="B683" s="7"/>
      <c r="C683" s="170"/>
      <c r="D683" s="331">
        <v>676</v>
      </c>
      <c r="E683" s="544">
        <f>+DATE(YEAR(E682),MONTH(E682)-1,DAY(E682))</f>
        <v>25569.041666666668</v>
      </c>
      <c r="F683" s="333">
        <f>IF(DATE(YEAR($B$6),MONTH($B$6)+1,DAY(1))=E683,1,IF(MONTH(E683)=1,F684*(1+$F$5),F684))</f>
      </c>
      <c r="G683" s="333">
        <f>IF('Simulador - 1º Pilar'!$E$99="Sí",IF('Aportaciones PPE'!$B$13&lt;'Aportaciones PPE'!E683,0,F683*$B$8/12),F683*$B$8/12)</f>
      </c>
      <c r="H683" s="333">
        <f>$H$5*G683</f>
      </c>
      <c r="I683" s="333">
        <f>$I$5*G683</f>
      </c>
      <c r="J683" s="333">
        <f>+I683</f>
      </c>
      <c r="K683" s="333">
        <f>(1+$O$5)^(D683/12)*(H683+IF(AND(F683=1,F684=0),$S$4,0))</f>
      </c>
      <c r="L683" s="333">
        <f>(1+$O$5)^(D683/12)*(I683+IF(AND(F683=1,F684=0),0))</f>
      </c>
      <c r="M683" s="333">
        <f>+L683</f>
      </c>
      <c r="N683" s="333">
        <f>L683+K683+M683</f>
      </c>
      <c r="O683" s="170"/>
      <c r="P683" s="7"/>
      <c r="Q683" s="1"/>
      <c r="R683" s="331">
        <f>D683</f>
      </c>
      <c r="S683" s="169"/>
      <c r="T683" s="1"/>
      <c r="U683" s="217"/>
      <c r="V683" s="331">
        <f>+IF(V682=11,12,IF(V682=12,1,V682+1))</f>
      </c>
      <c r="W683" s="331">
        <f>+W682+IF(V682=12,1,0)</f>
      </c>
      <c r="X683" s="555">
        <f>+DATE(W683,V683,1)</f>
        <v>25569.041666666668</v>
      </c>
      <c r="Y683" s="333">
        <f>+_xlfn.IFNA(AN683+AS683+AX683,0)</f>
      </c>
      <c r="Z683" s="333">
        <f>+_xlfn.IFNA(AO683+AT683+AY683,0)</f>
      </c>
      <c r="AA683" s="333">
        <f>Y683*(1+$O$5)^(($B$7-X683)/365.25)</f>
      </c>
      <c r="AB683" s="333">
        <f>Z683*(1+$O$5)^(($B$7-X683)/365.25)</f>
      </c>
      <c r="AC683" s="1"/>
      <c r="AD683" s="1"/>
      <c r="AE683" s="1"/>
      <c r="AF683" s="111">
        <f>+MONTH(E683)&amp;YEAR(E683)</f>
      </c>
      <c r="AG683" s="217">
        <f>+I683</f>
      </c>
      <c r="AH683" s="217">
        <f>+J683</f>
      </c>
      <c r="AI683" s="217">
        <f>+H683</f>
      </c>
      <c r="AJ683" s="111">
        <f>+V683&amp;W683</f>
      </c>
      <c r="AK683" s="217">
        <f>+_xlfn.IFNA(VLOOKUP(AJ683,$AF$7:$AG$1066,2,0),0)</f>
      </c>
      <c r="AL683" s="217">
        <f>+IF(W683&gt;W682,AK683,AL682+AK683)</f>
      </c>
      <c r="AM683" s="217">
        <f>IF(W683&gt;W682,IF(AL683&gt;=$AZ$8,$AZ$8,AL683),IF(OR(AM682=$AZ$8,AM682=0),0,IF(AL683&gt;=$AZ$8,$AZ$8,AL683)))</f>
      </c>
      <c r="AN683" s="748">
        <f>+IF(OR(AM683&gt;AZ682,AM683=0),0,IF(AM683=AL683,AK683,$AZ$7-AL682))</f>
      </c>
      <c r="AO683" s="748">
        <f>+AK683-AN683</f>
      </c>
      <c r="AP683" s="217">
        <f>+_xlfn.IFNA(VLOOKUP(AJ683,$AF$7:$AI$1066,3,0),0)</f>
      </c>
      <c r="AQ683" s="217">
        <f>+IF(W683&gt;W682,AP683,AQ682+AP683)</f>
      </c>
      <c r="AR683" s="217">
        <f>+MAX($AM$2-SUMIF($W$7:$W$1066,W683,$AN$7:$AN$1066),0)</f>
      </c>
      <c r="AS683" s="748">
        <f>+MAX(IF(AQ683&gt;AR683,AR683-AQ682,AP683),0)</f>
      </c>
      <c r="AT683" s="748">
        <f>+AP683-AS683</f>
      </c>
      <c r="AU683" s="217">
        <f>+_xlfn.IFNA(VLOOKUP(AJ683,$AF$7:$AI$1066,4,0),0)</f>
      </c>
      <c r="AV683" s="217">
        <f>+IF(W683&gt;W682,AU683,AV682+AU683)</f>
      </c>
      <c r="AW683" s="217">
        <f>+MAX($AM$2-SUMIF($W$7:$W$1066,W683,$AN$7:$AN$1066)-SUMIF($W$7:$W$1066,W683,$AS$7:$AS$1066),0)</f>
      </c>
      <c r="AX683" s="748">
        <f>+MAX(IF(AV683&gt;AW683,AW683-AV682,AU683),0)</f>
      </c>
      <c r="AY683" s="748">
        <f>+AU683-AX683</f>
      </c>
      <c r="AZ683" s="331">
        <f>+$AM$1+IF($AP$1&gt;$AP$2,$AM$3/2)</f>
      </c>
    </row>
    <row x14ac:dyDescent="0.25" r="684" customHeight="1" ht="18.75">
      <c r="A684" s="1"/>
      <c r="B684" s="7"/>
      <c r="C684" s="170"/>
      <c r="D684" s="331">
        <v>677</v>
      </c>
      <c r="E684" s="544">
        <f>+DATE(YEAR(E683),MONTH(E683)-1,DAY(E683))</f>
        <v>25569.041666666668</v>
      </c>
      <c r="F684" s="333">
        <f>IF(DATE(YEAR($B$6),MONTH($B$6)+1,DAY(1))=E684,1,IF(MONTH(E684)=1,F685*(1+$F$5),F685))</f>
      </c>
      <c r="G684" s="333">
        <f>IF('Simulador - 1º Pilar'!$E$99="Sí",IF('Aportaciones PPE'!$B$13&lt;'Aportaciones PPE'!E684,0,F684*$B$8/12),F684*$B$8/12)</f>
      </c>
      <c r="H684" s="333">
        <f>$H$5*G684</f>
      </c>
      <c r="I684" s="333">
        <f>$I$5*G684</f>
      </c>
      <c r="J684" s="333">
        <f>+I684</f>
      </c>
      <c r="K684" s="333">
        <f>(1+$O$5)^(D684/12)*(H684+IF(AND(F684=1,F685=0),$S$4,0))</f>
      </c>
      <c r="L684" s="333">
        <f>(1+$O$5)^(D684/12)*(I684+IF(AND(F684=1,F685=0),0))</f>
      </c>
      <c r="M684" s="333">
        <f>+L684</f>
      </c>
      <c r="N684" s="333">
        <f>L684+K684+M684</f>
      </c>
      <c r="O684" s="170"/>
      <c r="P684" s="7"/>
      <c r="Q684" s="1"/>
      <c r="R684" s="331">
        <f>D684</f>
      </c>
      <c r="S684" s="169"/>
      <c r="T684" s="1"/>
      <c r="U684" s="217"/>
      <c r="V684" s="331">
        <f>+IF(V683=11,12,IF(V683=12,1,V683+1))</f>
      </c>
      <c r="W684" s="331">
        <f>+W683+IF(V683=12,1,0)</f>
      </c>
      <c r="X684" s="555">
        <f>+DATE(W684,V684,1)</f>
        <v>25569.041666666668</v>
      </c>
      <c r="Y684" s="333">
        <f>+_xlfn.IFNA(AN684+AS684+AX684,0)</f>
      </c>
      <c r="Z684" s="333">
        <f>+_xlfn.IFNA(AO684+AT684+AY684,0)</f>
      </c>
      <c r="AA684" s="333">
        <f>Y684*(1+$O$5)^(($B$7-X684)/365.25)</f>
      </c>
      <c r="AB684" s="333">
        <f>Z684*(1+$O$5)^(($B$7-X684)/365.25)</f>
      </c>
      <c r="AC684" s="1"/>
      <c r="AD684" s="1"/>
      <c r="AE684" s="1"/>
      <c r="AF684" s="111">
        <f>+MONTH(E684)&amp;YEAR(E684)</f>
      </c>
      <c r="AG684" s="217">
        <f>+I684</f>
      </c>
      <c r="AH684" s="217">
        <f>+J684</f>
      </c>
      <c r="AI684" s="217">
        <f>+H684</f>
      </c>
      <c r="AJ684" s="111">
        <f>+V684&amp;W684</f>
      </c>
      <c r="AK684" s="217">
        <f>+_xlfn.IFNA(VLOOKUP(AJ684,$AF$7:$AG$1066,2,0),0)</f>
      </c>
      <c r="AL684" s="217">
        <f>+IF(W684&gt;W683,AK684,AL683+AK684)</f>
      </c>
      <c r="AM684" s="217">
        <f>IF(W684&gt;W683,IF(AL684&gt;=$AZ$8,$AZ$8,AL684),IF(OR(AM683=$AZ$8,AM683=0),0,IF(AL684&gt;=$AZ$8,$AZ$8,AL684)))</f>
      </c>
      <c r="AN684" s="748">
        <f>+IF(OR(AM684&gt;AZ683,AM684=0),0,IF(AM684=AL684,AK684,$AZ$7-AL683))</f>
      </c>
      <c r="AO684" s="748">
        <f>+AK684-AN684</f>
      </c>
      <c r="AP684" s="217">
        <f>+_xlfn.IFNA(VLOOKUP(AJ684,$AF$7:$AI$1066,3,0),0)</f>
      </c>
      <c r="AQ684" s="217">
        <f>+IF(W684&gt;W683,AP684,AQ683+AP684)</f>
      </c>
      <c r="AR684" s="217">
        <f>+MAX($AM$2-SUMIF($W$7:$W$1066,W684,$AN$7:$AN$1066),0)</f>
      </c>
      <c r="AS684" s="748">
        <f>+MAX(IF(AQ684&gt;AR684,AR684-AQ683,AP684),0)</f>
      </c>
      <c r="AT684" s="748">
        <f>+AP684-AS684</f>
      </c>
      <c r="AU684" s="217">
        <f>+_xlfn.IFNA(VLOOKUP(AJ684,$AF$7:$AI$1066,4,0),0)</f>
      </c>
      <c r="AV684" s="217">
        <f>+IF(W684&gt;W683,AU684,AV683+AU684)</f>
      </c>
      <c r="AW684" s="217">
        <f>+MAX($AM$2-SUMIF($W$7:$W$1066,W684,$AN$7:$AN$1066)-SUMIF($W$7:$W$1066,W684,$AS$7:$AS$1066),0)</f>
      </c>
      <c r="AX684" s="748">
        <f>+MAX(IF(AV684&gt;AW684,AW684-AV683,AU684),0)</f>
      </c>
      <c r="AY684" s="748">
        <f>+AU684-AX684</f>
      </c>
      <c r="AZ684" s="331">
        <f>+$AM$1+IF($AP$1&gt;$AP$2,$AM$3/2)</f>
      </c>
    </row>
    <row x14ac:dyDescent="0.25" r="685" customHeight="1" ht="18.75">
      <c r="A685" s="1"/>
      <c r="B685" s="7"/>
      <c r="C685" s="170"/>
      <c r="D685" s="331">
        <v>678</v>
      </c>
      <c r="E685" s="544">
        <f>+DATE(YEAR(E684),MONTH(E684)-1,DAY(E684))</f>
        <v>25569.041666666668</v>
      </c>
      <c r="F685" s="333">
        <f>IF(DATE(YEAR($B$6),MONTH($B$6)+1,DAY(1))=E685,1,IF(MONTH(E685)=1,F686*(1+$F$5),F686))</f>
      </c>
      <c r="G685" s="333">
        <f>IF('Simulador - 1º Pilar'!$E$99="Sí",IF('Aportaciones PPE'!$B$13&lt;'Aportaciones PPE'!E685,0,F685*$B$8/12),F685*$B$8/12)</f>
      </c>
      <c r="H685" s="333">
        <f>$H$5*G685</f>
      </c>
      <c r="I685" s="333">
        <f>$I$5*G685</f>
      </c>
      <c r="J685" s="333">
        <f>+I685</f>
      </c>
      <c r="K685" s="333">
        <f>(1+$O$5)^(D685/12)*(H685+IF(AND(F685=1,F686=0),$S$4,0))</f>
      </c>
      <c r="L685" s="333">
        <f>(1+$O$5)^(D685/12)*(I685+IF(AND(F685=1,F686=0),0))</f>
      </c>
      <c r="M685" s="333">
        <f>+L685</f>
      </c>
      <c r="N685" s="333">
        <f>L685+K685+M685</f>
      </c>
      <c r="O685" s="170"/>
      <c r="P685" s="7"/>
      <c r="Q685" s="1"/>
      <c r="R685" s="331">
        <f>D685</f>
      </c>
      <c r="S685" s="169"/>
      <c r="T685" s="1"/>
      <c r="U685" s="217"/>
      <c r="V685" s="331">
        <f>+IF(V684=11,12,IF(V684=12,1,V684+1))</f>
      </c>
      <c r="W685" s="331">
        <f>+W684+IF(V684=12,1,0)</f>
      </c>
      <c r="X685" s="555">
        <f>+DATE(W685,V685,1)</f>
        <v>25569.041666666668</v>
      </c>
      <c r="Y685" s="333">
        <f>+_xlfn.IFNA(AN685+AS685+AX685,0)</f>
      </c>
      <c r="Z685" s="333">
        <f>+_xlfn.IFNA(AO685+AT685+AY685,0)</f>
      </c>
      <c r="AA685" s="333">
        <f>Y685*(1+$O$5)^(($B$7-X685)/365.25)</f>
      </c>
      <c r="AB685" s="333">
        <f>Z685*(1+$O$5)^(($B$7-X685)/365.25)</f>
      </c>
      <c r="AC685" s="1"/>
      <c r="AD685" s="1"/>
      <c r="AE685" s="1"/>
      <c r="AF685" s="111">
        <f>+MONTH(E685)&amp;YEAR(E685)</f>
      </c>
      <c r="AG685" s="217">
        <f>+I685</f>
      </c>
      <c r="AH685" s="217">
        <f>+J685</f>
      </c>
      <c r="AI685" s="217">
        <f>+H685</f>
      </c>
      <c r="AJ685" s="111">
        <f>+V685&amp;W685</f>
      </c>
      <c r="AK685" s="217">
        <f>+_xlfn.IFNA(VLOOKUP(AJ685,$AF$7:$AG$1066,2,0),0)</f>
      </c>
      <c r="AL685" s="217">
        <f>+IF(W685&gt;W684,AK685,AL684+AK685)</f>
      </c>
      <c r="AM685" s="217">
        <f>IF(W685&gt;W684,IF(AL685&gt;=$AZ$8,$AZ$8,AL685),IF(OR(AM684=$AZ$8,AM684=0),0,IF(AL685&gt;=$AZ$8,$AZ$8,AL685)))</f>
      </c>
      <c r="AN685" s="748">
        <f>+IF(OR(AM685&gt;AZ684,AM685=0),0,IF(AM685=AL685,AK685,$AZ$7-AL684))</f>
      </c>
      <c r="AO685" s="748">
        <f>+AK685-AN685</f>
      </c>
      <c r="AP685" s="217">
        <f>+_xlfn.IFNA(VLOOKUP(AJ685,$AF$7:$AI$1066,3,0),0)</f>
      </c>
      <c r="AQ685" s="217">
        <f>+IF(W685&gt;W684,AP685,AQ684+AP685)</f>
      </c>
      <c r="AR685" s="217">
        <f>+MAX($AM$2-SUMIF($W$7:$W$1066,W685,$AN$7:$AN$1066),0)</f>
      </c>
      <c r="AS685" s="748">
        <f>+MAX(IF(AQ685&gt;AR685,AR685-AQ684,AP685),0)</f>
      </c>
      <c r="AT685" s="748">
        <f>+AP685-AS685</f>
      </c>
      <c r="AU685" s="217">
        <f>+_xlfn.IFNA(VLOOKUP(AJ685,$AF$7:$AI$1066,4,0),0)</f>
      </c>
      <c r="AV685" s="217">
        <f>+IF(W685&gt;W684,AU685,AV684+AU685)</f>
      </c>
      <c r="AW685" s="217">
        <f>+MAX($AM$2-SUMIF($W$7:$W$1066,W685,$AN$7:$AN$1066)-SUMIF($W$7:$W$1066,W685,$AS$7:$AS$1066),0)</f>
      </c>
      <c r="AX685" s="748">
        <f>+MAX(IF(AV685&gt;AW685,AW685-AV684,AU685),0)</f>
      </c>
      <c r="AY685" s="748">
        <f>+AU685-AX685</f>
      </c>
      <c r="AZ685" s="331">
        <f>+$AM$1+IF($AP$1&gt;$AP$2,$AM$3/2)</f>
      </c>
    </row>
    <row x14ac:dyDescent="0.25" r="686" customHeight="1" ht="18.75">
      <c r="A686" s="1"/>
      <c r="B686" s="7"/>
      <c r="C686" s="170"/>
      <c r="D686" s="331">
        <v>679</v>
      </c>
      <c r="E686" s="544">
        <f>+DATE(YEAR(E685),MONTH(E685)-1,DAY(E685))</f>
        <v>25569.041666666668</v>
      </c>
      <c r="F686" s="333">
        <f>IF(DATE(YEAR($B$6),MONTH($B$6)+1,DAY(1))=E686,1,IF(MONTH(E686)=1,F687*(1+$F$5),F687))</f>
      </c>
      <c r="G686" s="333">
        <f>IF('Simulador - 1º Pilar'!$E$99="Sí",IF('Aportaciones PPE'!$B$13&lt;'Aportaciones PPE'!E686,0,F686*$B$8/12),F686*$B$8/12)</f>
      </c>
      <c r="H686" s="333">
        <f>$H$5*G686</f>
      </c>
      <c r="I686" s="333">
        <f>$I$5*G686</f>
      </c>
      <c r="J686" s="333">
        <f>+I686</f>
      </c>
      <c r="K686" s="333">
        <f>(1+$O$5)^(D686/12)*(H686+IF(AND(F686=1,F687=0),$S$4,0))</f>
      </c>
      <c r="L686" s="333">
        <f>(1+$O$5)^(D686/12)*(I686+IF(AND(F686=1,F687=0),0))</f>
      </c>
      <c r="M686" s="333">
        <f>+L686</f>
      </c>
      <c r="N686" s="333">
        <f>L686+K686+M686</f>
      </c>
      <c r="O686" s="170"/>
      <c r="P686" s="7"/>
      <c r="Q686" s="1"/>
      <c r="R686" s="331">
        <f>D686</f>
      </c>
      <c r="S686" s="169"/>
      <c r="T686" s="1"/>
      <c r="U686" s="217"/>
      <c r="V686" s="331">
        <f>+IF(V685=11,12,IF(V685=12,1,V685+1))</f>
      </c>
      <c r="W686" s="331">
        <f>+W685+IF(V685=12,1,0)</f>
      </c>
      <c r="X686" s="555">
        <f>+DATE(W686,V686,1)</f>
        <v>25569.041666666668</v>
      </c>
      <c r="Y686" s="333">
        <f>+_xlfn.IFNA(AN686+AS686+AX686,0)</f>
      </c>
      <c r="Z686" s="333">
        <f>+_xlfn.IFNA(AO686+AT686+AY686,0)</f>
      </c>
      <c r="AA686" s="333">
        <f>Y686*(1+$O$5)^(($B$7-X686)/365.25)</f>
      </c>
      <c r="AB686" s="333">
        <f>Z686*(1+$O$5)^(($B$7-X686)/365.25)</f>
      </c>
      <c r="AC686" s="1"/>
      <c r="AD686" s="1"/>
      <c r="AE686" s="1"/>
      <c r="AF686" s="111">
        <f>+MONTH(E686)&amp;YEAR(E686)</f>
      </c>
      <c r="AG686" s="217">
        <f>+I686</f>
      </c>
      <c r="AH686" s="217">
        <f>+J686</f>
      </c>
      <c r="AI686" s="217">
        <f>+H686</f>
      </c>
      <c r="AJ686" s="111">
        <f>+V686&amp;W686</f>
      </c>
      <c r="AK686" s="217">
        <f>+_xlfn.IFNA(VLOOKUP(AJ686,$AF$7:$AG$1066,2,0),0)</f>
      </c>
      <c r="AL686" s="217">
        <f>+IF(W686&gt;W685,AK686,AL685+AK686)</f>
      </c>
      <c r="AM686" s="217">
        <f>IF(W686&gt;W685,IF(AL686&gt;=$AZ$8,$AZ$8,AL686),IF(OR(AM685=$AZ$8,AM685=0),0,IF(AL686&gt;=$AZ$8,$AZ$8,AL686)))</f>
      </c>
      <c r="AN686" s="748">
        <f>+IF(OR(AM686&gt;AZ685,AM686=0),0,IF(AM686=AL686,AK686,$AZ$7-AL685))</f>
      </c>
      <c r="AO686" s="748">
        <f>+AK686-AN686</f>
      </c>
      <c r="AP686" s="217">
        <f>+_xlfn.IFNA(VLOOKUP(AJ686,$AF$7:$AI$1066,3,0),0)</f>
      </c>
      <c r="AQ686" s="217">
        <f>+IF(W686&gt;W685,AP686,AQ685+AP686)</f>
      </c>
      <c r="AR686" s="217">
        <f>+MAX($AM$2-SUMIF($W$7:$W$1066,W686,$AN$7:$AN$1066),0)</f>
      </c>
      <c r="AS686" s="748">
        <f>+MAX(IF(AQ686&gt;AR686,AR686-AQ685,AP686),0)</f>
      </c>
      <c r="AT686" s="748">
        <f>+AP686-AS686</f>
      </c>
      <c r="AU686" s="217">
        <f>+_xlfn.IFNA(VLOOKUP(AJ686,$AF$7:$AI$1066,4,0),0)</f>
      </c>
      <c r="AV686" s="217">
        <f>+IF(W686&gt;W685,AU686,AV685+AU686)</f>
      </c>
      <c r="AW686" s="217">
        <f>+MAX($AM$2-SUMIF($W$7:$W$1066,W686,$AN$7:$AN$1066)-SUMIF($W$7:$W$1066,W686,$AS$7:$AS$1066),0)</f>
      </c>
      <c r="AX686" s="748">
        <f>+MAX(IF(AV686&gt;AW686,AW686-AV685,AU686),0)</f>
      </c>
      <c r="AY686" s="748">
        <f>+AU686-AX686</f>
      </c>
      <c r="AZ686" s="331">
        <f>+$AM$1+IF($AP$1&gt;$AP$2,$AM$3/2)</f>
      </c>
    </row>
    <row x14ac:dyDescent="0.25" r="687" customHeight="1" ht="18.75">
      <c r="A687" s="1"/>
      <c r="B687" s="7"/>
      <c r="C687" s="170"/>
      <c r="D687" s="331">
        <v>680</v>
      </c>
      <c r="E687" s="544">
        <f>+DATE(YEAR(E686),MONTH(E686)-1,DAY(E686))</f>
        <v>25569.041666666668</v>
      </c>
      <c r="F687" s="333">
        <f>IF(DATE(YEAR($B$6),MONTH($B$6)+1,DAY(1))=E687,1,IF(MONTH(E687)=1,F688*(1+$F$5),F688))</f>
      </c>
      <c r="G687" s="333">
        <f>IF('Simulador - 1º Pilar'!$E$99="Sí",IF('Aportaciones PPE'!$B$13&lt;'Aportaciones PPE'!E687,0,F687*$B$8/12),F687*$B$8/12)</f>
      </c>
      <c r="H687" s="333">
        <f>$H$5*G687</f>
      </c>
      <c r="I687" s="333">
        <f>$I$5*G687</f>
      </c>
      <c r="J687" s="333">
        <f>+I687</f>
      </c>
      <c r="K687" s="333">
        <f>(1+$O$5)^(D687/12)*(H687+IF(AND(F687=1,F688=0),$S$4,0))</f>
      </c>
      <c r="L687" s="333">
        <f>(1+$O$5)^(D687/12)*(I687+IF(AND(F687=1,F688=0),0))</f>
      </c>
      <c r="M687" s="333">
        <f>+L687</f>
      </c>
      <c r="N687" s="333">
        <f>L687+K687+M687</f>
      </c>
      <c r="O687" s="170"/>
      <c r="P687" s="7"/>
      <c r="Q687" s="1"/>
      <c r="R687" s="331">
        <f>D687</f>
      </c>
      <c r="S687" s="169"/>
      <c r="T687" s="1"/>
      <c r="U687" s="217"/>
      <c r="V687" s="331">
        <f>+IF(V686=11,12,IF(V686=12,1,V686+1))</f>
      </c>
      <c r="W687" s="331">
        <f>+W686+IF(V686=12,1,0)</f>
      </c>
      <c r="X687" s="555">
        <f>+DATE(W687,V687,1)</f>
        <v>25569.041666666668</v>
      </c>
      <c r="Y687" s="333">
        <f>+_xlfn.IFNA(AN687+AS687+AX687,0)</f>
      </c>
      <c r="Z687" s="333">
        <f>+_xlfn.IFNA(AO687+AT687+AY687,0)</f>
      </c>
      <c r="AA687" s="333">
        <f>Y687*(1+$O$5)^(($B$7-X687)/365.25)</f>
      </c>
      <c r="AB687" s="333">
        <f>Z687*(1+$O$5)^(($B$7-X687)/365.25)</f>
      </c>
      <c r="AC687" s="1"/>
      <c r="AD687" s="1"/>
      <c r="AE687" s="1"/>
      <c r="AF687" s="111">
        <f>+MONTH(E687)&amp;YEAR(E687)</f>
      </c>
      <c r="AG687" s="217">
        <f>+I687</f>
      </c>
      <c r="AH687" s="217">
        <f>+J687</f>
      </c>
      <c r="AI687" s="217">
        <f>+H687</f>
      </c>
      <c r="AJ687" s="111">
        <f>+V687&amp;W687</f>
      </c>
      <c r="AK687" s="217">
        <f>+_xlfn.IFNA(VLOOKUP(AJ687,$AF$7:$AG$1066,2,0),0)</f>
      </c>
      <c r="AL687" s="217">
        <f>+IF(W687&gt;W686,AK687,AL686+AK687)</f>
      </c>
      <c r="AM687" s="217">
        <f>IF(W687&gt;W686,IF(AL687&gt;=$AZ$8,$AZ$8,AL687),IF(OR(AM686=$AZ$8,AM686=0),0,IF(AL687&gt;=$AZ$8,$AZ$8,AL687)))</f>
      </c>
      <c r="AN687" s="748">
        <f>+IF(OR(AM687&gt;AZ686,AM687=0),0,IF(AM687=AL687,AK687,$AZ$7-AL686))</f>
      </c>
      <c r="AO687" s="748">
        <f>+AK687-AN687</f>
      </c>
      <c r="AP687" s="217">
        <f>+_xlfn.IFNA(VLOOKUP(AJ687,$AF$7:$AI$1066,3,0),0)</f>
      </c>
      <c r="AQ687" s="217">
        <f>+IF(W687&gt;W686,AP687,AQ686+AP687)</f>
      </c>
      <c r="AR687" s="217">
        <f>+MAX($AM$2-SUMIF($W$7:$W$1066,W687,$AN$7:$AN$1066),0)</f>
      </c>
      <c r="AS687" s="748">
        <f>+MAX(IF(AQ687&gt;AR687,AR687-AQ686,AP687),0)</f>
      </c>
      <c r="AT687" s="748">
        <f>+AP687-AS687</f>
      </c>
      <c r="AU687" s="217">
        <f>+_xlfn.IFNA(VLOOKUP(AJ687,$AF$7:$AI$1066,4,0),0)</f>
      </c>
      <c r="AV687" s="217">
        <f>+IF(W687&gt;W686,AU687,AV686+AU687)</f>
      </c>
      <c r="AW687" s="217">
        <f>+MAX($AM$2-SUMIF($W$7:$W$1066,W687,$AN$7:$AN$1066)-SUMIF($W$7:$W$1066,W687,$AS$7:$AS$1066),0)</f>
      </c>
      <c r="AX687" s="748">
        <f>+MAX(IF(AV687&gt;AW687,AW687-AV686,AU687),0)</f>
      </c>
      <c r="AY687" s="748">
        <f>+AU687-AX687</f>
      </c>
      <c r="AZ687" s="331">
        <f>+$AM$1+IF($AP$1&gt;$AP$2,$AM$3/2)</f>
      </c>
    </row>
    <row x14ac:dyDescent="0.25" r="688" customHeight="1" ht="18.75">
      <c r="A688" s="1"/>
      <c r="B688" s="7"/>
      <c r="C688" s="170"/>
      <c r="D688" s="331">
        <v>681</v>
      </c>
      <c r="E688" s="544">
        <f>+DATE(YEAR(E687),MONTH(E687)-1,DAY(E687))</f>
        <v>25569.041666666668</v>
      </c>
      <c r="F688" s="333">
        <f>IF(DATE(YEAR($B$6),MONTH($B$6)+1,DAY(1))=E688,1,IF(MONTH(E688)=1,F689*(1+$F$5),F689))</f>
      </c>
      <c r="G688" s="333">
        <f>IF('Simulador - 1º Pilar'!$E$99="Sí",IF('Aportaciones PPE'!$B$13&lt;'Aportaciones PPE'!E688,0,F688*$B$8/12),F688*$B$8/12)</f>
      </c>
      <c r="H688" s="333">
        <f>$H$5*G688</f>
      </c>
      <c r="I688" s="333">
        <f>$I$5*G688</f>
      </c>
      <c r="J688" s="333">
        <f>+I688</f>
      </c>
      <c r="K688" s="333">
        <f>(1+$O$5)^(D688/12)*(H688+IF(AND(F688=1,F689=0),$S$4,0))</f>
      </c>
      <c r="L688" s="333">
        <f>(1+$O$5)^(D688/12)*(I688+IF(AND(F688=1,F689=0),0))</f>
      </c>
      <c r="M688" s="333">
        <f>+L688</f>
      </c>
      <c r="N688" s="333">
        <f>L688+K688+M688</f>
      </c>
      <c r="O688" s="170"/>
      <c r="P688" s="7"/>
      <c r="Q688" s="1"/>
      <c r="R688" s="331">
        <f>D688</f>
      </c>
      <c r="S688" s="169"/>
      <c r="T688" s="1"/>
      <c r="U688" s="217"/>
      <c r="V688" s="331">
        <f>+IF(V687=11,12,IF(V687=12,1,V687+1))</f>
      </c>
      <c r="W688" s="331">
        <f>+W687+IF(V687=12,1,0)</f>
      </c>
      <c r="X688" s="555">
        <f>+DATE(W688,V688,1)</f>
        <v>25569.041666666668</v>
      </c>
      <c r="Y688" s="333">
        <f>+_xlfn.IFNA(AN688+AS688+AX688,0)</f>
      </c>
      <c r="Z688" s="333">
        <f>+_xlfn.IFNA(AO688+AT688+AY688,0)</f>
      </c>
      <c r="AA688" s="333">
        <f>Y688*(1+$O$5)^(($B$7-X688)/365.25)</f>
      </c>
      <c r="AB688" s="333">
        <f>Z688*(1+$O$5)^(($B$7-X688)/365.25)</f>
      </c>
      <c r="AC688" s="1"/>
      <c r="AD688" s="1"/>
      <c r="AE688" s="1"/>
      <c r="AF688" s="111">
        <f>+MONTH(E688)&amp;YEAR(E688)</f>
      </c>
      <c r="AG688" s="217">
        <f>+I688</f>
      </c>
      <c r="AH688" s="217">
        <f>+J688</f>
      </c>
      <c r="AI688" s="217">
        <f>+H688</f>
      </c>
      <c r="AJ688" s="111">
        <f>+V688&amp;W688</f>
      </c>
      <c r="AK688" s="217">
        <f>+_xlfn.IFNA(VLOOKUP(AJ688,$AF$7:$AG$1066,2,0),0)</f>
      </c>
      <c r="AL688" s="217">
        <f>+IF(W688&gt;W687,AK688,AL687+AK688)</f>
      </c>
      <c r="AM688" s="217">
        <f>IF(W688&gt;W687,IF(AL688&gt;=$AZ$8,$AZ$8,AL688),IF(OR(AM687=$AZ$8,AM687=0),0,IF(AL688&gt;=$AZ$8,$AZ$8,AL688)))</f>
      </c>
      <c r="AN688" s="748">
        <f>+IF(OR(AM688&gt;AZ687,AM688=0),0,IF(AM688=AL688,AK688,$AZ$7-AL687))</f>
      </c>
      <c r="AO688" s="748">
        <f>+AK688-AN688</f>
      </c>
      <c r="AP688" s="217">
        <f>+_xlfn.IFNA(VLOOKUP(AJ688,$AF$7:$AI$1066,3,0),0)</f>
      </c>
      <c r="AQ688" s="217">
        <f>+IF(W688&gt;W687,AP688,AQ687+AP688)</f>
      </c>
      <c r="AR688" s="217">
        <f>+MAX($AM$2-SUMIF($W$7:$W$1066,W688,$AN$7:$AN$1066),0)</f>
      </c>
      <c r="AS688" s="748">
        <f>+MAX(IF(AQ688&gt;AR688,AR688-AQ687,AP688),0)</f>
      </c>
      <c r="AT688" s="748">
        <f>+AP688-AS688</f>
      </c>
      <c r="AU688" s="217">
        <f>+_xlfn.IFNA(VLOOKUP(AJ688,$AF$7:$AI$1066,4,0),0)</f>
      </c>
      <c r="AV688" s="217">
        <f>+IF(W688&gt;W687,AU688,AV687+AU688)</f>
      </c>
      <c r="AW688" s="217">
        <f>+MAX($AM$2-SUMIF($W$7:$W$1066,W688,$AN$7:$AN$1066)-SUMIF($W$7:$W$1066,W688,$AS$7:$AS$1066),0)</f>
      </c>
      <c r="AX688" s="748">
        <f>+MAX(IF(AV688&gt;AW688,AW688-AV687,AU688),0)</f>
      </c>
      <c r="AY688" s="748">
        <f>+AU688-AX688</f>
      </c>
      <c r="AZ688" s="331">
        <f>+$AM$1+IF($AP$1&gt;$AP$2,$AM$3/2)</f>
      </c>
    </row>
    <row x14ac:dyDescent="0.25" r="689" customHeight="1" ht="18.75">
      <c r="A689" s="1"/>
      <c r="B689" s="7"/>
      <c r="C689" s="170"/>
      <c r="D689" s="331">
        <v>682</v>
      </c>
      <c r="E689" s="544">
        <f>+DATE(YEAR(E688),MONTH(E688)-1,DAY(E688))</f>
        <v>25569.041666666668</v>
      </c>
      <c r="F689" s="333">
        <f>IF(DATE(YEAR($B$6),MONTH($B$6)+1,DAY(1))=E689,1,IF(MONTH(E689)=1,F690*(1+$F$5),F690))</f>
      </c>
      <c r="G689" s="333">
        <f>IF('Simulador - 1º Pilar'!$E$99="Sí",IF('Aportaciones PPE'!$B$13&lt;'Aportaciones PPE'!E689,0,F689*$B$8/12),F689*$B$8/12)</f>
      </c>
      <c r="H689" s="333">
        <f>$H$5*G689</f>
      </c>
      <c r="I689" s="333">
        <f>$I$5*G689</f>
      </c>
      <c r="J689" s="333">
        <f>+I689</f>
      </c>
      <c r="K689" s="333">
        <f>(1+$O$5)^(D689/12)*(H689+IF(AND(F689=1,F690=0),$S$4,0))</f>
      </c>
      <c r="L689" s="333">
        <f>(1+$O$5)^(D689/12)*(I689+IF(AND(F689=1,F690=0),0))</f>
      </c>
      <c r="M689" s="333">
        <f>+L689</f>
      </c>
      <c r="N689" s="333">
        <f>L689+K689+M689</f>
      </c>
      <c r="O689" s="170"/>
      <c r="P689" s="7"/>
      <c r="Q689" s="1"/>
      <c r="R689" s="331">
        <f>D689</f>
      </c>
      <c r="S689" s="169"/>
      <c r="T689" s="1"/>
      <c r="U689" s="217"/>
      <c r="V689" s="331">
        <f>+IF(V688=11,12,IF(V688=12,1,V688+1))</f>
      </c>
      <c r="W689" s="331">
        <f>+W688+IF(V688=12,1,0)</f>
      </c>
      <c r="X689" s="555">
        <f>+DATE(W689,V689,1)</f>
        <v>25569.041666666668</v>
      </c>
      <c r="Y689" s="333">
        <f>+_xlfn.IFNA(AN689+AS689+AX689,0)</f>
      </c>
      <c r="Z689" s="333">
        <f>+_xlfn.IFNA(AO689+AT689+AY689,0)</f>
      </c>
      <c r="AA689" s="333">
        <f>Y689*(1+$O$5)^(($B$7-X689)/365.25)</f>
      </c>
      <c r="AB689" s="333">
        <f>Z689*(1+$O$5)^(($B$7-X689)/365.25)</f>
      </c>
      <c r="AC689" s="1"/>
      <c r="AD689" s="1"/>
      <c r="AE689" s="1"/>
      <c r="AF689" s="111">
        <f>+MONTH(E689)&amp;YEAR(E689)</f>
      </c>
      <c r="AG689" s="217">
        <f>+I689</f>
      </c>
      <c r="AH689" s="217">
        <f>+J689</f>
      </c>
      <c r="AI689" s="217">
        <f>+H689</f>
      </c>
      <c r="AJ689" s="111">
        <f>+V689&amp;W689</f>
      </c>
      <c r="AK689" s="217">
        <f>+_xlfn.IFNA(VLOOKUP(AJ689,$AF$7:$AG$1066,2,0),0)</f>
      </c>
      <c r="AL689" s="217">
        <f>+IF(W689&gt;W688,AK689,AL688+AK689)</f>
      </c>
      <c r="AM689" s="217">
        <f>IF(W689&gt;W688,IF(AL689&gt;=$AZ$8,$AZ$8,AL689),IF(OR(AM688=$AZ$8,AM688=0),0,IF(AL689&gt;=$AZ$8,$AZ$8,AL689)))</f>
      </c>
      <c r="AN689" s="748">
        <f>+IF(OR(AM689&gt;AZ688,AM689=0),0,IF(AM689=AL689,AK689,$AZ$7-AL688))</f>
      </c>
      <c r="AO689" s="748">
        <f>+AK689-AN689</f>
      </c>
      <c r="AP689" s="217">
        <f>+_xlfn.IFNA(VLOOKUP(AJ689,$AF$7:$AI$1066,3,0),0)</f>
      </c>
      <c r="AQ689" s="217">
        <f>+IF(W689&gt;W688,AP689,AQ688+AP689)</f>
      </c>
      <c r="AR689" s="217">
        <f>+MAX($AM$2-SUMIF($W$7:$W$1066,W689,$AN$7:$AN$1066),0)</f>
      </c>
      <c r="AS689" s="748">
        <f>+MAX(IF(AQ689&gt;AR689,AR689-AQ688,AP689),0)</f>
      </c>
      <c r="AT689" s="748">
        <f>+AP689-AS689</f>
      </c>
      <c r="AU689" s="217">
        <f>+_xlfn.IFNA(VLOOKUP(AJ689,$AF$7:$AI$1066,4,0),0)</f>
      </c>
      <c r="AV689" s="217">
        <f>+IF(W689&gt;W688,AU689,AV688+AU689)</f>
      </c>
      <c r="AW689" s="217">
        <f>+MAX($AM$2-SUMIF($W$7:$W$1066,W689,$AN$7:$AN$1066)-SUMIF($W$7:$W$1066,W689,$AS$7:$AS$1066),0)</f>
      </c>
      <c r="AX689" s="748">
        <f>+MAX(IF(AV689&gt;AW689,AW689-AV688,AU689),0)</f>
      </c>
      <c r="AY689" s="748">
        <f>+AU689-AX689</f>
      </c>
      <c r="AZ689" s="331">
        <f>+$AM$1+IF($AP$1&gt;$AP$2,$AM$3/2)</f>
      </c>
    </row>
    <row x14ac:dyDescent="0.25" r="690" customHeight="1" ht="18.75">
      <c r="A690" s="1"/>
      <c r="B690" s="7"/>
      <c r="C690" s="170"/>
      <c r="D690" s="331">
        <v>683</v>
      </c>
      <c r="E690" s="544">
        <f>+DATE(YEAR(E689),MONTH(E689)-1,DAY(E689))</f>
        <v>25569.041666666668</v>
      </c>
      <c r="F690" s="333">
        <f>IF(DATE(YEAR($B$6),MONTH($B$6)+1,DAY(1))=E690,1,IF(MONTH(E690)=1,F691*(1+$F$5),F691))</f>
      </c>
      <c r="G690" s="333">
        <f>IF('Simulador - 1º Pilar'!$E$99="Sí",IF('Aportaciones PPE'!$B$13&lt;'Aportaciones PPE'!E690,0,F690*$B$8/12),F690*$B$8/12)</f>
      </c>
      <c r="H690" s="333">
        <f>$H$5*G690</f>
      </c>
      <c r="I690" s="333">
        <f>$I$5*G690</f>
      </c>
      <c r="J690" s="333">
        <f>+I690</f>
      </c>
      <c r="K690" s="333">
        <f>(1+$O$5)^(D690/12)*(H690+IF(AND(F690=1,F691=0),$S$4,0))</f>
      </c>
      <c r="L690" s="333">
        <f>(1+$O$5)^(D690/12)*(I690+IF(AND(F690=1,F691=0),0))</f>
      </c>
      <c r="M690" s="333">
        <f>+L690</f>
      </c>
      <c r="N690" s="333">
        <f>L690+K690+M690</f>
      </c>
      <c r="O690" s="170"/>
      <c r="P690" s="7"/>
      <c r="Q690" s="1"/>
      <c r="R690" s="331">
        <f>D690</f>
      </c>
      <c r="S690" s="169"/>
      <c r="T690" s="1"/>
      <c r="U690" s="217"/>
      <c r="V690" s="331">
        <f>+IF(V689=11,12,IF(V689=12,1,V689+1))</f>
      </c>
      <c r="W690" s="331">
        <f>+W689+IF(V689=12,1,0)</f>
      </c>
      <c r="X690" s="555">
        <f>+DATE(W690,V690,1)</f>
        <v>25569.041666666668</v>
      </c>
      <c r="Y690" s="333">
        <f>+_xlfn.IFNA(AN690+AS690+AX690,0)</f>
      </c>
      <c r="Z690" s="333">
        <f>+_xlfn.IFNA(AO690+AT690+AY690,0)</f>
      </c>
      <c r="AA690" s="333">
        <f>Y690*(1+$O$5)^(($B$7-X690)/365.25)</f>
      </c>
      <c r="AB690" s="333">
        <f>Z690*(1+$O$5)^(($B$7-X690)/365.25)</f>
      </c>
      <c r="AC690" s="1"/>
      <c r="AD690" s="1"/>
      <c r="AE690" s="1"/>
      <c r="AF690" s="111">
        <f>+MONTH(E690)&amp;YEAR(E690)</f>
      </c>
      <c r="AG690" s="217">
        <f>+I690</f>
      </c>
      <c r="AH690" s="217">
        <f>+J690</f>
      </c>
      <c r="AI690" s="217">
        <f>+H690</f>
      </c>
      <c r="AJ690" s="111">
        <f>+V690&amp;W690</f>
      </c>
      <c r="AK690" s="217">
        <f>+_xlfn.IFNA(VLOOKUP(AJ690,$AF$7:$AG$1066,2,0),0)</f>
      </c>
      <c r="AL690" s="217">
        <f>+IF(W690&gt;W689,AK690,AL689+AK690)</f>
      </c>
      <c r="AM690" s="217">
        <f>IF(W690&gt;W689,IF(AL690&gt;=$AZ$8,$AZ$8,AL690),IF(OR(AM689=$AZ$8,AM689=0),0,IF(AL690&gt;=$AZ$8,$AZ$8,AL690)))</f>
      </c>
      <c r="AN690" s="748">
        <f>+IF(OR(AM690&gt;AZ689,AM690=0),0,IF(AM690=AL690,AK690,$AZ$7-AL689))</f>
      </c>
      <c r="AO690" s="748">
        <f>+AK690-AN690</f>
      </c>
      <c r="AP690" s="217">
        <f>+_xlfn.IFNA(VLOOKUP(AJ690,$AF$7:$AI$1066,3,0),0)</f>
      </c>
      <c r="AQ690" s="217">
        <f>+IF(W690&gt;W689,AP690,AQ689+AP690)</f>
      </c>
      <c r="AR690" s="217">
        <f>+MAX($AM$2-SUMIF($W$7:$W$1066,W690,$AN$7:$AN$1066),0)</f>
      </c>
      <c r="AS690" s="748">
        <f>+MAX(IF(AQ690&gt;AR690,AR690-AQ689,AP690),0)</f>
      </c>
      <c r="AT690" s="748">
        <f>+AP690-AS690</f>
      </c>
      <c r="AU690" s="217">
        <f>+_xlfn.IFNA(VLOOKUP(AJ690,$AF$7:$AI$1066,4,0),0)</f>
      </c>
      <c r="AV690" s="217">
        <f>+IF(W690&gt;W689,AU690,AV689+AU690)</f>
      </c>
      <c r="AW690" s="217">
        <f>+MAX($AM$2-SUMIF($W$7:$W$1066,W690,$AN$7:$AN$1066)-SUMIF($W$7:$W$1066,W690,$AS$7:$AS$1066),0)</f>
      </c>
      <c r="AX690" s="748">
        <f>+MAX(IF(AV690&gt;AW690,AW690-AV689,AU690),0)</f>
      </c>
      <c r="AY690" s="748">
        <f>+AU690-AX690</f>
      </c>
      <c r="AZ690" s="331">
        <f>+$AM$1+IF($AP$1&gt;$AP$2,$AM$3/2)</f>
      </c>
    </row>
    <row x14ac:dyDescent="0.25" r="691" customHeight="1" ht="18.75">
      <c r="A691" s="1"/>
      <c r="B691" s="7"/>
      <c r="C691" s="170"/>
      <c r="D691" s="331">
        <v>684</v>
      </c>
      <c r="E691" s="544">
        <f>+DATE(YEAR(E690),MONTH(E690)-1,DAY(E690))</f>
        <v>25569.041666666668</v>
      </c>
      <c r="F691" s="333">
        <f>IF(DATE(YEAR($B$6),MONTH($B$6)+1,DAY(1))=E691,1,IF(MONTH(E691)=1,F692*(1+$F$5),F692))</f>
      </c>
      <c r="G691" s="333">
        <f>IF('Simulador - 1º Pilar'!$E$99="Sí",IF('Aportaciones PPE'!$B$13&lt;'Aportaciones PPE'!E691,0,F691*$B$8/12),F691*$B$8/12)</f>
      </c>
      <c r="H691" s="333">
        <f>$H$5*G691</f>
      </c>
      <c r="I691" s="333">
        <f>$I$5*G691</f>
      </c>
      <c r="J691" s="333">
        <f>+I691</f>
      </c>
      <c r="K691" s="333">
        <f>(1+$O$5)^(D691/12)*(H691+IF(AND(F691=1,F692=0),$S$4,0))</f>
      </c>
      <c r="L691" s="333">
        <f>(1+$O$5)^(D691/12)*(I691+IF(AND(F691=1,F692=0),0))</f>
      </c>
      <c r="M691" s="333">
        <f>+L691</f>
      </c>
      <c r="N691" s="333">
        <f>L691+K691+M691</f>
      </c>
      <c r="O691" s="170"/>
      <c r="P691" s="7"/>
      <c r="Q691" s="1"/>
      <c r="R691" s="331">
        <f>D691</f>
      </c>
      <c r="S691" s="169"/>
      <c r="T691" s="1"/>
      <c r="U691" s="217"/>
      <c r="V691" s="331">
        <f>+IF(V690=11,12,IF(V690=12,1,V690+1))</f>
      </c>
      <c r="W691" s="331">
        <f>+W690+IF(V690=12,1,0)</f>
      </c>
      <c r="X691" s="555">
        <f>+DATE(W691,V691,1)</f>
        <v>25569.041666666668</v>
      </c>
      <c r="Y691" s="333">
        <f>+_xlfn.IFNA(AN691+AS691+AX691,0)</f>
      </c>
      <c r="Z691" s="333">
        <f>+_xlfn.IFNA(AO691+AT691+AY691,0)</f>
      </c>
      <c r="AA691" s="333">
        <f>Y691*(1+$O$5)^(($B$7-X691)/365.25)</f>
      </c>
      <c r="AB691" s="333">
        <f>Z691*(1+$O$5)^(($B$7-X691)/365.25)</f>
      </c>
      <c r="AC691" s="1"/>
      <c r="AD691" s="1"/>
      <c r="AE691" s="1"/>
      <c r="AF691" s="111">
        <f>+MONTH(E691)&amp;YEAR(E691)</f>
      </c>
      <c r="AG691" s="217">
        <f>+I691</f>
      </c>
      <c r="AH691" s="217">
        <f>+J691</f>
      </c>
      <c r="AI691" s="217">
        <f>+H691</f>
      </c>
      <c r="AJ691" s="111">
        <f>+V691&amp;W691</f>
      </c>
      <c r="AK691" s="217">
        <f>+_xlfn.IFNA(VLOOKUP(AJ691,$AF$7:$AG$1066,2,0),0)</f>
      </c>
      <c r="AL691" s="217">
        <f>+IF(W691&gt;W690,AK691,AL690+AK691)</f>
      </c>
      <c r="AM691" s="217">
        <f>IF(W691&gt;W690,IF(AL691&gt;=$AZ$8,$AZ$8,AL691),IF(OR(AM690=$AZ$8,AM690=0),0,IF(AL691&gt;=$AZ$8,$AZ$8,AL691)))</f>
      </c>
      <c r="AN691" s="748">
        <f>+IF(OR(AM691&gt;AZ690,AM691=0),0,IF(AM691=AL691,AK691,$AZ$7-AL690))</f>
      </c>
      <c r="AO691" s="748">
        <f>+AK691-AN691</f>
      </c>
      <c r="AP691" s="217">
        <f>+_xlfn.IFNA(VLOOKUP(AJ691,$AF$7:$AI$1066,3,0),0)</f>
      </c>
      <c r="AQ691" s="217">
        <f>+IF(W691&gt;W690,AP691,AQ690+AP691)</f>
      </c>
      <c r="AR691" s="217">
        <f>+MAX($AM$2-SUMIF($W$7:$W$1066,W691,$AN$7:$AN$1066),0)</f>
      </c>
      <c r="AS691" s="748">
        <f>+MAX(IF(AQ691&gt;AR691,AR691-AQ690,AP691),0)</f>
      </c>
      <c r="AT691" s="748">
        <f>+AP691-AS691</f>
      </c>
      <c r="AU691" s="217">
        <f>+_xlfn.IFNA(VLOOKUP(AJ691,$AF$7:$AI$1066,4,0),0)</f>
      </c>
      <c r="AV691" s="217">
        <f>+IF(W691&gt;W690,AU691,AV690+AU691)</f>
      </c>
      <c r="AW691" s="217">
        <f>+MAX($AM$2-SUMIF($W$7:$W$1066,W691,$AN$7:$AN$1066)-SUMIF($W$7:$W$1066,W691,$AS$7:$AS$1066),0)</f>
      </c>
      <c r="AX691" s="748">
        <f>+MAX(IF(AV691&gt;AW691,AW691-AV690,AU691),0)</f>
      </c>
      <c r="AY691" s="748">
        <f>+AU691-AX691</f>
      </c>
      <c r="AZ691" s="331">
        <f>+$AM$1+IF($AP$1&gt;$AP$2,$AM$3/2)</f>
      </c>
    </row>
    <row x14ac:dyDescent="0.25" r="692" customHeight="1" ht="18.75">
      <c r="A692" s="1"/>
      <c r="B692" s="7"/>
      <c r="C692" s="170"/>
      <c r="D692" s="331">
        <v>685</v>
      </c>
      <c r="E692" s="544">
        <f>+DATE(YEAR(E691),MONTH(E691)-1,DAY(E691))</f>
        <v>25569.041666666668</v>
      </c>
      <c r="F692" s="333">
        <f>IF(DATE(YEAR($B$6),MONTH($B$6)+1,DAY(1))=E692,1,IF(MONTH(E692)=1,F693*(1+$F$5),F693))</f>
      </c>
      <c r="G692" s="333">
        <f>IF('Simulador - 1º Pilar'!$E$99="Sí",IF('Aportaciones PPE'!$B$13&lt;'Aportaciones PPE'!E692,0,F692*$B$8/12),F692*$B$8/12)</f>
      </c>
      <c r="H692" s="333">
        <f>$H$5*G692</f>
      </c>
      <c r="I692" s="333">
        <f>$I$5*G692</f>
      </c>
      <c r="J692" s="333">
        <f>+I692</f>
      </c>
      <c r="K692" s="333">
        <f>(1+$O$5)^(D692/12)*(H692+IF(AND(F692=1,F693=0),$S$4,0))</f>
      </c>
      <c r="L692" s="333">
        <f>(1+$O$5)^(D692/12)*(I692+IF(AND(F692=1,F693=0),0))</f>
      </c>
      <c r="M692" s="333">
        <f>+L692</f>
      </c>
      <c r="N692" s="333">
        <f>L692+K692+M692</f>
      </c>
      <c r="O692" s="170"/>
      <c r="P692" s="7"/>
      <c r="Q692" s="1"/>
      <c r="R692" s="331">
        <f>D692</f>
      </c>
      <c r="S692" s="169"/>
      <c r="T692" s="1"/>
      <c r="U692" s="217"/>
      <c r="V692" s="331">
        <f>+IF(V691=11,12,IF(V691=12,1,V691+1))</f>
      </c>
      <c r="W692" s="331">
        <f>+W691+IF(V691=12,1,0)</f>
      </c>
      <c r="X692" s="555">
        <f>+DATE(W692,V692,1)</f>
        <v>25569.041666666668</v>
      </c>
      <c r="Y692" s="333">
        <f>+_xlfn.IFNA(AN692+AS692+AX692,0)</f>
      </c>
      <c r="Z692" s="333">
        <f>+_xlfn.IFNA(AO692+AT692+AY692,0)</f>
      </c>
      <c r="AA692" s="333">
        <f>Y692*(1+$O$5)^(($B$7-X692)/365.25)</f>
      </c>
      <c r="AB692" s="333">
        <f>Z692*(1+$O$5)^(($B$7-X692)/365.25)</f>
      </c>
      <c r="AC692" s="1"/>
      <c r="AD692" s="1"/>
      <c r="AE692" s="1"/>
      <c r="AF692" s="111">
        <f>+MONTH(E692)&amp;YEAR(E692)</f>
      </c>
      <c r="AG692" s="217">
        <f>+I692</f>
      </c>
      <c r="AH692" s="217">
        <f>+J692</f>
      </c>
      <c r="AI692" s="217">
        <f>+H692</f>
      </c>
      <c r="AJ692" s="111">
        <f>+V692&amp;W692</f>
      </c>
      <c r="AK692" s="217">
        <f>+_xlfn.IFNA(VLOOKUP(AJ692,$AF$7:$AG$1066,2,0),0)</f>
      </c>
      <c r="AL692" s="217">
        <f>+IF(W692&gt;W691,AK692,AL691+AK692)</f>
      </c>
      <c r="AM692" s="217">
        <f>IF(W692&gt;W691,IF(AL692&gt;=$AZ$8,$AZ$8,AL692),IF(OR(AM691=$AZ$8,AM691=0),0,IF(AL692&gt;=$AZ$8,$AZ$8,AL692)))</f>
      </c>
      <c r="AN692" s="748">
        <f>+IF(OR(AM692&gt;AZ691,AM692=0),0,IF(AM692=AL692,AK692,$AZ$7-AL691))</f>
      </c>
      <c r="AO692" s="748">
        <f>+AK692-AN692</f>
      </c>
      <c r="AP692" s="217">
        <f>+_xlfn.IFNA(VLOOKUP(AJ692,$AF$7:$AI$1066,3,0),0)</f>
      </c>
      <c r="AQ692" s="217">
        <f>+IF(W692&gt;W691,AP692,AQ691+AP692)</f>
      </c>
      <c r="AR692" s="217">
        <f>+MAX($AM$2-SUMIF($W$7:$W$1066,W692,$AN$7:$AN$1066),0)</f>
      </c>
      <c r="AS692" s="748">
        <f>+MAX(IF(AQ692&gt;AR692,AR692-AQ691,AP692),0)</f>
      </c>
      <c r="AT692" s="748">
        <f>+AP692-AS692</f>
      </c>
      <c r="AU692" s="217">
        <f>+_xlfn.IFNA(VLOOKUP(AJ692,$AF$7:$AI$1066,4,0),0)</f>
      </c>
      <c r="AV692" s="217">
        <f>+IF(W692&gt;W691,AU692,AV691+AU692)</f>
      </c>
      <c r="AW692" s="217">
        <f>+MAX($AM$2-SUMIF($W$7:$W$1066,W692,$AN$7:$AN$1066)-SUMIF($W$7:$W$1066,W692,$AS$7:$AS$1066),0)</f>
      </c>
      <c r="AX692" s="748">
        <f>+MAX(IF(AV692&gt;AW692,AW692-AV691,AU692),0)</f>
      </c>
      <c r="AY692" s="748">
        <f>+AU692-AX692</f>
      </c>
      <c r="AZ692" s="331">
        <f>+$AM$1+IF($AP$1&gt;$AP$2,$AM$3/2)</f>
      </c>
    </row>
    <row x14ac:dyDescent="0.25" r="693" customHeight="1" ht="18.75">
      <c r="A693" s="1"/>
      <c r="B693" s="7"/>
      <c r="C693" s="170"/>
      <c r="D693" s="331">
        <v>686</v>
      </c>
      <c r="E693" s="544">
        <f>+DATE(YEAR(E692),MONTH(E692)-1,DAY(E692))</f>
        <v>25569.041666666668</v>
      </c>
      <c r="F693" s="333">
        <f>IF(DATE(YEAR($B$6),MONTH($B$6)+1,DAY(1))=E693,1,IF(MONTH(E693)=1,F694*(1+$F$5),F694))</f>
      </c>
      <c r="G693" s="333">
        <f>IF('Simulador - 1º Pilar'!$E$99="Sí",IF('Aportaciones PPE'!$B$13&lt;'Aportaciones PPE'!E693,0,F693*$B$8/12),F693*$B$8/12)</f>
      </c>
      <c r="H693" s="333">
        <f>$H$5*G693</f>
      </c>
      <c r="I693" s="333">
        <f>$I$5*G693</f>
      </c>
      <c r="J693" s="333">
        <f>+I693</f>
      </c>
      <c r="K693" s="333">
        <f>(1+$O$5)^(D693/12)*(H693+IF(AND(F693=1,F694=0),$S$4,0))</f>
      </c>
      <c r="L693" s="333">
        <f>(1+$O$5)^(D693/12)*(I693+IF(AND(F693=1,F694=0),0))</f>
      </c>
      <c r="M693" s="333">
        <f>+L693</f>
      </c>
      <c r="N693" s="333">
        <f>L693+K693+M693</f>
      </c>
      <c r="O693" s="170"/>
      <c r="P693" s="7"/>
      <c r="Q693" s="1"/>
      <c r="R693" s="331">
        <f>D693</f>
      </c>
      <c r="S693" s="169"/>
      <c r="T693" s="1"/>
      <c r="U693" s="217"/>
      <c r="V693" s="331">
        <f>+IF(V692=11,12,IF(V692=12,1,V692+1))</f>
      </c>
      <c r="W693" s="331">
        <f>+W692+IF(V692=12,1,0)</f>
      </c>
      <c r="X693" s="555">
        <f>+DATE(W693,V693,1)</f>
        <v>25569.041666666668</v>
      </c>
      <c r="Y693" s="333">
        <f>+_xlfn.IFNA(AN693+AS693+AX693,0)</f>
      </c>
      <c r="Z693" s="333">
        <f>+_xlfn.IFNA(AO693+AT693+AY693,0)</f>
      </c>
      <c r="AA693" s="333">
        <f>Y693*(1+$O$5)^(($B$7-X693)/365.25)</f>
      </c>
      <c r="AB693" s="333">
        <f>Z693*(1+$O$5)^(($B$7-X693)/365.25)</f>
      </c>
      <c r="AC693" s="1"/>
      <c r="AD693" s="1"/>
      <c r="AE693" s="1"/>
      <c r="AF693" s="111">
        <f>+MONTH(E693)&amp;YEAR(E693)</f>
      </c>
      <c r="AG693" s="217">
        <f>+I693</f>
      </c>
      <c r="AH693" s="217">
        <f>+J693</f>
      </c>
      <c r="AI693" s="217">
        <f>+H693</f>
      </c>
      <c r="AJ693" s="111">
        <f>+V693&amp;W693</f>
      </c>
      <c r="AK693" s="217">
        <f>+_xlfn.IFNA(VLOOKUP(AJ693,$AF$7:$AG$1066,2,0),0)</f>
      </c>
      <c r="AL693" s="217">
        <f>+IF(W693&gt;W692,AK693,AL692+AK693)</f>
      </c>
      <c r="AM693" s="217">
        <f>IF(W693&gt;W692,IF(AL693&gt;=$AZ$8,$AZ$8,AL693),IF(OR(AM692=$AZ$8,AM692=0),0,IF(AL693&gt;=$AZ$8,$AZ$8,AL693)))</f>
      </c>
      <c r="AN693" s="748">
        <f>+IF(OR(AM693&gt;AZ692,AM693=0),0,IF(AM693=AL693,AK693,$AZ$7-AL692))</f>
      </c>
      <c r="AO693" s="748">
        <f>+AK693-AN693</f>
      </c>
      <c r="AP693" s="217">
        <f>+_xlfn.IFNA(VLOOKUP(AJ693,$AF$7:$AI$1066,3,0),0)</f>
      </c>
      <c r="AQ693" s="217">
        <f>+IF(W693&gt;W692,AP693,AQ692+AP693)</f>
      </c>
      <c r="AR693" s="217">
        <f>+MAX($AM$2-SUMIF($W$7:$W$1066,W693,$AN$7:$AN$1066),0)</f>
      </c>
      <c r="AS693" s="748">
        <f>+MAX(IF(AQ693&gt;AR693,AR693-AQ692,AP693),0)</f>
      </c>
      <c r="AT693" s="748">
        <f>+AP693-AS693</f>
      </c>
      <c r="AU693" s="217">
        <f>+_xlfn.IFNA(VLOOKUP(AJ693,$AF$7:$AI$1066,4,0),0)</f>
      </c>
      <c r="AV693" s="217">
        <f>+IF(W693&gt;W692,AU693,AV692+AU693)</f>
      </c>
      <c r="AW693" s="217">
        <f>+MAX($AM$2-SUMIF($W$7:$W$1066,W693,$AN$7:$AN$1066)-SUMIF($W$7:$W$1066,W693,$AS$7:$AS$1066),0)</f>
      </c>
      <c r="AX693" s="748">
        <f>+MAX(IF(AV693&gt;AW693,AW693-AV692,AU693),0)</f>
      </c>
      <c r="AY693" s="748">
        <f>+AU693-AX693</f>
      </c>
      <c r="AZ693" s="331">
        <f>+$AM$1+IF($AP$1&gt;$AP$2,$AM$3/2)</f>
      </c>
    </row>
    <row x14ac:dyDescent="0.25" r="694" customHeight="1" ht="18.75">
      <c r="A694" s="1"/>
      <c r="B694" s="7"/>
      <c r="C694" s="170"/>
      <c r="D694" s="331">
        <v>687</v>
      </c>
      <c r="E694" s="544">
        <f>+DATE(YEAR(E693),MONTH(E693)-1,DAY(E693))</f>
        <v>25569.041666666668</v>
      </c>
      <c r="F694" s="333">
        <f>IF(DATE(YEAR($B$6),MONTH($B$6)+1,DAY(1))=E694,1,IF(MONTH(E694)=1,F695*(1+$F$5),F695))</f>
      </c>
      <c r="G694" s="333">
        <f>IF('Simulador - 1º Pilar'!$E$99="Sí",IF('Aportaciones PPE'!$B$13&lt;'Aportaciones PPE'!E694,0,F694*$B$8/12),F694*$B$8/12)</f>
      </c>
      <c r="H694" s="333">
        <f>$H$5*G694</f>
      </c>
      <c r="I694" s="333">
        <f>$I$5*G694</f>
      </c>
      <c r="J694" s="333">
        <f>+I694</f>
      </c>
      <c r="K694" s="333">
        <f>(1+$O$5)^(D694/12)*(H694+IF(AND(F694=1,F695=0),$S$4,0))</f>
      </c>
      <c r="L694" s="333">
        <f>(1+$O$5)^(D694/12)*(I694+IF(AND(F694=1,F695=0),0))</f>
      </c>
      <c r="M694" s="333">
        <f>+L694</f>
      </c>
      <c r="N694" s="333">
        <f>L694+K694+M694</f>
      </c>
      <c r="O694" s="170"/>
      <c r="P694" s="7"/>
      <c r="Q694" s="1"/>
      <c r="R694" s="331">
        <f>D694</f>
      </c>
      <c r="S694" s="169"/>
      <c r="T694" s="1"/>
      <c r="U694" s="217"/>
      <c r="V694" s="331">
        <f>+IF(V693=11,12,IF(V693=12,1,V693+1))</f>
      </c>
      <c r="W694" s="331">
        <f>+W693+IF(V693=12,1,0)</f>
      </c>
      <c r="X694" s="555">
        <f>+DATE(W694,V694,1)</f>
        <v>25569.041666666668</v>
      </c>
      <c r="Y694" s="333">
        <f>+_xlfn.IFNA(AN694+AS694+AX694,0)</f>
      </c>
      <c r="Z694" s="333">
        <f>+_xlfn.IFNA(AO694+AT694+AY694,0)</f>
      </c>
      <c r="AA694" s="333">
        <f>Y694*(1+$O$5)^(($B$7-X694)/365.25)</f>
      </c>
      <c r="AB694" s="333">
        <f>Z694*(1+$O$5)^(($B$7-X694)/365.25)</f>
      </c>
      <c r="AC694" s="1"/>
      <c r="AD694" s="1"/>
      <c r="AE694" s="1"/>
      <c r="AF694" s="111">
        <f>+MONTH(E694)&amp;YEAR(E694)</f>
      </c>
      <c r="AG694" s="217">
        <f>+I694</f>
      </c>
      <c r="AH694" s="217">
        <f>+J694</f>
      </c>
      <c r="AI694" s="217">
        <f>+H694</f>
      </c>
      <c r="AJ694" s="111">
        <f>+V694&amp;W694</f>
      </c>
      <c r="AK694" s="217">
        <f>+_xlfn.IFNA(VLOOKUP(AJ694,$AF$7:$AG$1066,2,0),0)</f>
      </c>
      <c r="AL694" s="217">
        <f>+IF(W694&gt;W693,AK694,AL693+AK694)</f>
      </c>
      <c r="AM694" s="217">
        <f>IF(W694&gt;W693,IF(AL694&gt;=$AZ$8,$AZ$8,AL694),IF(OR(AM693=$AZ$8,AM693=0),0,IF(AL694&gt;=$AZ$8,$AZ$8,AL694)))</f>
      </c>
      <c r="AN694" s="748">
        <f>+IF(OR(AM694&gt;AZ693,AM694=0),0,IF(AM694=AL694,AK694,$AZ$7-AL693))</f>
      </c>
      <c r="AO694" s="748">
        <f>+AK694-AN694</f>
      </c>
      <c r="AP694" s="217">
        <f>+_xlfn.IFNA(VLOOKUP(AJ694,$AF$7:$AI$1066,3,0),0)</f>
      </c>
      <c r="AQ694" s="217">
        <f>+IF(W694&gt;W693,AP694,AQ693+AP694)</f>
      </c>
      <c r="AR694" s="217">
        <f>+MAX($AM$2-SUMIF($W$7:$W$1066,W694,$AN$7:$AN$1066),0)</f>
      </c>
      <c r="AS694" s="748">
        <f>+MAX(IF(AQ694&gt;AR694,AR694-AQ693,AP694),0)</f>
      </c>
      <c r="AT694" s="748">
        <f>+AP694-AS694</f>
      </c>
      <c r="AU694" s="217">
        <f>+_xlfn.IFNA(VLOOKUP(AJ694,$AF$7:$AI$1066,4,0),0)</f>
      </c>
      <c r="AV694" s="217">
        <f>+IF(W694&gt;W693,AU694,AV693+AU694)</f>
      </c>
      <c r="AW694" s="217">
        <f>+MAX($AM$2-SUMIF($W$7:$W$1066,W694,$AN$7:$AN$1066)-SUMIF($W$7:$W$1066,W694,$AS$7:$AS$1066),0)</f>
      </c>
      <c r="AX694" s="748">
        <f>+MAX(IF(AV694&gt;AW694,AW694-AV693,AU694),0)</f>
      </c>
      <c r="AY694" s="748">
        <f>+AU694-AX694</f>
      </c>
      <c r="AZ694" s="331">
        <f>+$AM$1+IF($AP$1&gt;$AP$2,$AM$3/2)</f>
      </c>
    </row>
    <row x14ac:dyDescent="0.25" r="695" customHeight="1" ht="18.75">
      <c r="A695" s="1"/>
      <c r="B695" s="7"/>
      <c r="C695" s="170"/>
      <c r="D695" s="331">
        <v>688</v>
      </c>
      <c r="E695" s="544">
        <f>+DATE(YEAR(E694),MONTH(E694)-1,DAY(E694))</f>
        <v>25569.041666666668</v>
      </c>
      <c r="F695" s="333">
        <f>IF(DATE(YEAR($B$6),MONTH($B$6)+1,DAY(1))=E695,1,IF(MONTH(E695)=1,F696*(1+$F$5),F696))</f>
      </c>
      <c r="G695" s="333">
        <f>IF('Simulador - 1º Pilar'!$E$99="Sí",IF('Aportaciones PPE'!$B$13&lt;'Aportaciones PPE'!E695,0,F695*$B$8/12),F695*$B$8/12)</f>
      </c>
      <c r="H695" s="333">
        <f>$H$5*G695</f>
      </c>
      <c r="I695" s="333">
        <f>$I$5*G695</f>
      </c>
      <c r="J695" s="333">
        <f>+I695</f>
      </c>
      <c r="K695" s="333">
        <f>(1+$O$5)^(D695/12)*(H695+IF(AND(F695=1,F696=0),$S$4,0))</f>
      </c>
      <c r="L695" s="333">
        <f>(1+$O$5)^(D695/12)*(I695+IF(AND(F695=1,F696=0),0))</f>
      </c>
      <c r="M695" s="333">
        <f>+L695</f>
      </c>
      <c r="N695" s="333">
        <f>L695+K695+M695</f>
      </c>
      <c r="O695" s="170"/>
      <c r="P695" s="7"/>
      <c r="Q695" s="1"/>
      <c r="R695" s="331">
        <f>D695</f>
      </c>
      <c r="S695" s="169"/>
      <c r="T695" s="1"/>
      <c r="U695" s="217"/>
      <c r="V695" s="331">
        <f>+IF(V694=11,12,IF(V694=12,1,V694+1))</f>
      </c>
      <c r="W695" s="331">
        <f>+W694+IF(V694=12,1,0)</f>
      </c>
      <c r="X695" s="555">
        <f>+DATE(W695,V695,1)</f>
        <v>25569.041666666668</v>
      </c>
      <c r="Y695" s="333">
        <f>+_xlfn.IFNA(AN695+AS695+AX695,0)</f>
      </c>
      <c r="Z695" s="333">
        <f>+_xlfn.IFNA(AO695+AT695+AY695,0)</f>
      </c>
      <c r="AA695" s="333">
        <f>Y695*(1+$O$5)^(($B$7-X695)/365.25)</f>
      </c>
      <c r="AB695" s="333">
        <f>Z695*(1+$O$5)^(($B$7-X695)/365.25)</f>
      </c>
      <c r="AC695" s="1"/>
      <c r="AD695" s="1"/>
      <c r="AE695" s="1"/>
      <c r="AF695" s="111">
        <f>+MONTH(E695)&amp;YEAR(E695)</f>
      </c>
      <c r="AG695" s="217">
        <f>+I695</f>
      </c>
      <c r="AH695" s="217">
        <f>+J695</f>
      </c>
      <c r="AI695" s="217">
        <f>+H695</f>
      </c>
      <c r="AJ695" s="111">
        <f>+V695&amp;W695</f>
      </c>
      <c r="AK695" s="217">
        <f>+_xlfn.IFNA(VLOOKUP(AJ695,$AF$7:$AG$1066,2,0),0)</f>
      </c>
      <c r="AL695" s="217">
        <f>+IF(W695&gt;W694,AK695,AL694+AK695)</f>
      </c>
      <c r="AM695" s="217">
        <f>IF(W695&gt;W694,IF(AL695&gt;=$AZ$8,$AZ$8,AL695),IF(OR(AM694=$AZ$8,AM694=0),0,IF(AL695&gt;=$AZ$8,$AZ$8,AL695)))</f>
      </c>
      <c r="AN695" s="748">
        <f>+IF(OR(AM695&gt;AZ694,AM695=0),0,IF(AM695=AL695,AK695,$AZ$7-AL694))</f>
      </c>
      <c r="AO695" s="748">
        <f>+AK695-AN695</f>
      </c>
      <c r="AP695" s="217">
        <f>+_xlfn.IFNA(VLOOKUP(AJ695,$AF$7:$AI$1066,3,0),0)</f>
      </c>
      <c r="AQ695" s="217">
        <f>+IF(W695&gt;W694,AP695,AQ694+AP695)</f>
      </c>
      <c r="AR695" s="217">
        <f>+MAX($AM$2-SUMIF($W$7:$W$1066,W695,$AN$7:$AN$1066),0)</f>
      </c>
      <c r="AS695" s="748">
        <f>+MAX(IF(AQ695&gt;AR695,AR695-AQ694,AP695),0)</f>
      </c>
      <c r="AT695" s="748">
        <f>+AP695-AS695</f>
      </c>
      <c r="AU695" s="217">
        <f>+_xlfn.IFNA(VLOOKUP(AJ695,$AF$7:$AI$1066,4,0),0)</f>
      </c>
      <c r="AV695" s="217">
        <f>+IF(W695&gt;W694,AU695,AV694+AU695)</f>
      </c>
      <c r="AW695" s="217">
        <f>+MAX($AM$2-SUMIF($W$7:$W$1066,W695,$AN$7:$AN$1066)-SUMIF($W$7:$W$1066,W695,$AS$7:$AS$1066),0)</f>
      </c>
      <c r="AX695" s="748">
        <f>+MAX(IF(AV695&gt;AW695,AW695-AV694,AU695),0)</f>
      </c>
      <c r="AY695" s="748">
        <f>+AU695-AX695</f>
      </c>
      <c r="AZ695" s="331">
        <f>+$AM$1+IF($AP$1&gt;$AP$2,$AM$3/2)</f>
      </c>
    </row>
    <row x14ac:dyDescent="0.25" r="696" customHeight="1" ht="18.75">
      <c r="A696" s="1"/>
      <c r="B696" s="7"/>
      <c r="C696" s="170"/>
      <c r="D696" s="331">
        <v>689</v>
      </c>
      <c r="E696" s="544">
        <f>+DATE(YEAR(E695),MONTH(E695)-1,DAY(E695))</f>
        <v>25569.041666666668</v>
      </c>
      <c r="F696" s="333">
        <f>IF(DATE(YEAR($B$6),MONTH($B$6)+1,DAY(1))=E696,1,IF(MONTH(E696)=1,F697*(1+$F$5),F697))</f>
      </c>
      <c r="G696" s="333">
        <f>IF('Simulador - 1º Pilar'!$E$99="Sí",IF('Aportaciones PPE'!$B$13&lt;'Aportaciones PPE'!E696,0,F696*$B$8/12),F696*$B$8/12)</f>
      </c>
      <c r="H696" s="333">
        <f>$H$5*G696</f>
      </c>
      <c r="I696" s="333">
        <f>$I$5*G696</f>
      </c>
      <c r="J696" s="333">
        <f>+I696</f>
      </c>
      <c r="K696" s="333">
        <f>(1+$O$5)^(D696/12)*(H696+IF(AND(F696=1,F697=0),$S$4,0))</f>
      </c>
      <c r="L696" s="333">
        <f>(1+$O$5)^(D696/12)*(I696+IF(AND(F696=1,F697=0),0))</f>
      </c>
      <c r="M696" s="333">
        <f>+L696</f>
      </c>
      <c r="N696" s="333">
        <f>L696+K696+M696</f>
      </c>
      <c r="O696" s="170"/>
      <c r="P696" s="7"/>
      <c r="Q696" s="1"/>
      <c r="R696" s="331">
        <f>D696</f>
      </c>
      <c r="S696" s="169"/>
      <c r="T696" s="1"/>
      <c r="U696" s="217"/>
      <c r="V696" s="331">
        <f>+IF(V695=11,12,IF(V695=12,1,V695+1))</f>
      </c>
      <c r="W696" s="331">
        <f>+W695+IF(V695=12,1,0)</f>
      </c>
      <c r="X696" s="555">
        <f>+DATE(W696,V696,1)</f>
        <v>25569.041666666668</v>
      </c>
      <c r="Y696" s="333">
        <f>+_xlfn.IFNA(AN696+AS696+AX696,0)</f>
      </c>
      <c r="Z696" s="333">
        <f>+_xlfn.IFNA(AO696+AT696+AY696,0)</f>
      </c>
      <c r="AA696" s="333">
        <f>Y696*(1+$O$5)^(($B$7-X696)/365.25)</f>
      </c>
      <c r="AB696" s="333">
        <f>Z696*(1+$O$5)^(($B$7-X696)/365.25)</f>
      </c>
      <c r="AC696" s="1"/>
      <c r="AD696" s="1"/>
      <c r="AE696" s="1"/>
      <c r="AF696" s="111">
        <f>+MONTH(E696)&amp;YEAR(E696)</f>
      </c>
      <c r="AG696" s="217">
        <f>+I696</f>
      </c>
      <c r="AH696" s="217">
        <f>+J696</f>
      </c>
      <c r="AI696" s="217">
        <f>+H696</f>
      </c>
      <c r="AJ696" s="111">
        <f>+V696&amp;W696</f>
      </c>
      <c r="AK696" s="217">
        <f>+_xlfn.IFNA(VLOOKUP(AJ696,$AF$7:$AG$1066,2,0),0)</f>
      </c>
      <c r="AL696" s="217">
        <f>+IF(W696&gt;W695,AK696,AL695+AK696)</f>
      </c>
      <c r="AM696" s="217">
        <f>IF(W696&gt;W695,IF(AL696&gt;=$AZ$8,$AZ$8,AL696),IF(OR(AM695=$AZ$8,AM695=0),0,IF(AL696&gt;=$AZ$8,$AZ$8,AL696)))</f>
      </c>
      <c r="AN696" s="748">
        <f>+IF(OR(AM696&gt;AZ695,AM696=0),0,IF(AM696=AL696,AK696,$AZ$7-AL695))</f>
      </c>
      <c r="AO696" s="748">
        <f>+AK696-AN696</f>
      </c>
      <c r="AP696" s="217">
        <f>+_xlfn.IFNA(VLOOKUP(AJ696,$AF$7:$AI$1066,3,0),0)</f>
      </c>
      <c r="AQ696" s="217">
        <f>+IF(W696&gt;W695,AP696,AQ695+AP696)</f>
      </c>
      <c r="AR696" s="217">
        <f>+MAX($AM$2-SUMIF($W$7:$W$1066,W696,$AN$7:$AN$1066),0)</f>
      </c>
      <c r="AS696" s="748">
        <f>+MAX(IF(AQ696&gt;AR696,AR696-AQ695,AP696),0)</f>
      </c>
      <c r="AT696" s="748">
        <f>+AP696-AS696</f>
      </c>
      <c r="AU696" s="217">
        <f>+_xlfn.IFNA(VLOOKUP(AJ696,$AF$7:$AI$1066,4,0),0)</f>
      </c>
      <c r="AV696" s="217">
        <f>+IF(W696&gt;W695,AU696,AV695+AU696)</f>
      </c>
      <c r="AW696" s="217">
        <f>+MAX($AM$2-SUMIF($W$7:$W$1066,W696,$AN$7:$AN$1066)-SUMIF($W$7:$W$1066,W696,$AS$7:$AS$1066),0)</f>
      </c>
      <c r="AX696" s="748">
        <f>+MAX(IF(AV696&gt;AW696,AW696-AV695,AU696),0)</f>
      </c>
      <c r="AY696" s="748">
        <f>+AU696-AX696</f>
      </c>
      <c r="AZ696" s="331">
        <f>+$AM$1+IF($AP$1&gt;$AP$2,$AM$3/2)</f>
      </c>
    </row>
    <row x14ac:dyDescent="0.25" r="697" customHeight="1" ht="18.75">
      <c r="A697" s="1"/>
      <c r="B697" s="7"/>
      <c r="C697" s="170"/>
      <c r="D697" s="331">
        <v>690</v>
      </c>
      <c r="E697" s="544">
        <f>+DATE(YEAR(E696),MONTH(E696)-1,DAY(E696))</f>
        <v>25569.041666666668</v>
      </c>
      <c r="F697" s="333">
        <f>IF(DATE(YEAR($B$6),MONTH($B$6)+1,DAY(1))=E697,1,IF(MONTH(E697)=1,F698*(1+$F$5),F698))</f>
      </c>
      <c r="G697" s="333">
        <f>IF('Simulador - 1º Pilar'!$E$99="Sí",IF('Aportaciones PPE'!$B$13&lt;'Aportaciones PPE'!E697,0,F697*$B$8/12),F697*$B$8/12)</f>
      </c>
      <c r="H697" s="333">
        <f>$H$5*G697</f>
      </c>
      <c r="I697" s="333">
        <f>$I$5*G697</f>
      </c>
      <c r="J697" s="333">
        <f>+I697</f>
      </c>
      <c r="K697" s="333">
        <f>(1+$O$5)^(D697/12)*(H697+IF(AND(F697=1,F698=0),$S$4,0))</f>
      </c>
      <c r="L697" s="333">
        <f>(1+$O$5)^(D697/12)*(I697+IF(AND(F697=1,F698=0),0))</f>
      </c>
      <c r="M697" s="333">
        <f>+L697</f>
      </c>
      <c r="N697" s="333">
        <f>L697+K697+M697</f>
      </c>
      <c r="O697" s="170"/>
      <c r="P697" s="7"/>
      <c r="Q697" s="1"/>
      <c r="R697" s="331">
        <f>D697</f>
      </c>
      <c r="S697" s="169"/>
      <c r="T697" s="1"/>
      <c r="U697" s="217"/>
      <c r="V697" s="331">
        <f>+IF(V696=11,12,IF(V696=12,1,V696+1))</f>
      </c>
      <c r="W697" s="331">
        <f>+W696+IF(V696=12,1,0)</f>
      </c>
      <c r="X697" s="555">
        <f>+DATE(W697,V697,1)</f>
        <v>25569.041666666668</v>
      </c>
      <c r="Y697" s="333">
        <f>+_xlfn.IFNA(AN697+AS697+AX697,0)</f>
      </c>
      <c r="Z697" s="333">
        <f>+_xlfn.IFNA(AO697+AT697+AY697,0)</f>
      </c>
      <c r="AA697" s="333">
        <f>Y697*(1+$O$5)^(($B$7-X697)/365.25)</f>
      </c>
      <c r="AB697" s="333">
        <f>Z697*(1+$O$5)^(($B$7-X697)/365.25)</f>
      </c>
      <c r="AC697" s="1"/>
      <c r="AD697" s="1"/>
      <c r="AE697" s="1"/>
      <c r="AF697" s="111">
        <f>+MONTH(E697)&amp;YEAR(E697)</f>
      </c>
      <c r="AG697" s="217">
        <f>+I697</f>
      </c>
      <c r="AH697" s="217">
        <f>+J697</f>
      </c>
      <c r="AI697" s="217">
        <f>+H697</f>
      </c>
      <c r="AJ697" s="111">
        <f>+V697&amp;W697</f>
      </c>
      <c r="AK697" s="217">
        <f>+_xlfn.IFNA(VLOOKUP(AJ697,$AF$7:$AG$1066,2,0),0)</f>
      </c>
      <c r="AL697" s="217">
        <f>+IF(W697&gt;W696,AK697,AL696+AK697)</f>
      </c>
      <c r="AM697" s="217">
        <f>IF(W697&gt;W696,IF(AL697&gt;=$AZ$8,$AZ$8,AL697),IF(OR(AM696=$AZ$8,AM696=0),0,IF(AL697&gt;=$AZ$8,$AZ$8,AL697)))</f>
      </c>
      <c r="AN697" s="748">
        <f>+IF(OR(AM697&gt;AZ696,AM697=0),0,IF(AM697=AL697,AK697,$AZ$7-AL696))</f>
      </c>
      <c r="AO697" s="748">
        <f>+AK697-AN697</f>
      </c>
      <c r="AP697" s="217">
        <f>+_xlfn.IFNA(VLOOKUP(AJ697,$AF$7:$AI$1066,3,0),0)</f>
      </c>
      <c r="AQ697" s="217">
        <f>+IF(W697&gt;W696,AP697,AQ696+AP697)</f>
      </c>
      <c r="AR697" s="217">
        <f>+MAX($AM$2-SUMIF($W$7:$W$1066,W697,$AN$7:$AN$1066),0)</f>
      </c>
      <c r="AS697" s="748">
        <f>+MAX(IF(AQ697&gt;AR697,AR697-AQ696,AP697),0)</f>
      </c>
      <c r="AT697" s="748">
        <f>+AP697-AS697</f>
      </c>
      <c r="AU697" s="217">
        <f>+_xlfn.IFNA(VLOOKUP(AJ697,$AF$7:$AI$1066,4,0),0)</f>
      </c>
      <c r="AV697" s="217">
        <f>+IF(W697&gt;W696,AU697,AV696+AU697)</f>
      </c>
      <c r="AW697" s="217">
        <f>+MAX($AM$2-SUMIF($W$7:$W$1066,W697,$AN$7:$AN$1066)-SUMIF($W$7:$W$1066,W697,$AS$7:$AS$1066),0)</f>
      </c>
      <c r="AX697" s="748">
        <f>+MAX(IF(AV697&gt;AW697,AW697-AV696,AU697),0)</f>
      </c>
      <c r="AY697" s="748">
        <f>+AU697-AX697</f>
      </c>
      <c r="AZ697" s="331">
        <f>+$AM$1+IF($AP$1&gt;$AP$2,$AM$3/2)</f>
      </c>
    </row>
    <row x14ac:dyDescent="0.25" r="698" customHeight="1" ht="18.75">
      <c r="A698" s="1"/>
      <c r="B698" s="7"/>
      <c r="C698" s="170"/>
      <c r="D698" s="331">
        <v>691</v>
      </c>
      <c r="E698" s="544">
        <f>+DATE(YEAR(E697),MONTH(E697)-1,DAY(E697))</f>
        <v>25569.041666666668</v>
      </c>
      <c r="F698" s="333">
        <f>IF(DATE(YEAR($B$6),MONTH($B$6)+1,DAY(1))=E698,1,IF(MONTH(E698)=1,F699*(1+$F$5),F699))</f>
      </c>
      <c r="G698" s="333">
        <f>IF('Simulador - 1º Pilar'!$E$99="Sí",IF('Aportaciones PPE'!$B$13&lt;'Aportaciones PPE'!E698,0,F698*$B$8/12),F698*$B$8/12)</f>
      </c>
      <c r="H698" s="333">
        <f>$H$5*G698</f>
      </c>
      <c r="I698" s="333">
        <f>$I$5*G698</f>
      </c>
      <c r="J698" s="333">
        <f>+I698</f>
      </c>
      <c r="K698" s="333">
        <f>(1+$O$5)^(D698/12)*(H698+IF(AND(F698=1,F699=0),$S$4,0))</f>
      </c>
      <c r="L698" s="333">
        <f>(1+$O$5)^(D698/12)*(I698+IF(AND(F698=1,F699=0),0))</f>
      </c>
      <c r="M698" s="333">
        <f>+L698</f>
      </c>
      <c r="N698" s="333">
        <f>L698+K698+M698</f>
      </c>
      <c r="O698" s="170"/>
      <c r="P698" s="7"/>
      <c r="Q698" s="1"/>
      <c r="R698" s="331">
        <f>D698</f>
      </c>
      <c r="S698" s="169"/>
      <c r="T698" s="1"/>
      <c r="U698" s="217"/>
      <c r="V698" s="331">
        <f>+IF(V697=11,12,IF(V697=12,1,V697+1))</f>
      </c>
      <c r="W698" s="331">
        <f>+W697+IF(V697=12,1,0)</f>
      </c>
      <c r="X698" s="555">
        <f>+DATE(W698,V698,1)</f>
        <v>25569.041666666668</v>
      </c>
      <c r="Y698" s="333">
        <f>+_xlfn.IFNA(AN698+AS698+AX698,0)</f>
      </c>
      <c r="Z698" s="333">
        <f>+_xlfn.IFNA(AO698+AT698+AY698,0)</f>
      </c>
      <c r="AA698" s="333">
        <f>Y698*(1+$O$5)^(($B$7-X698)/365.25)</f>
      </c>
      <c r="AB698" s="333">
        <f>Z698*(1+$O$5)^(($B$7-X698)/365.25)</f>
      </c>
      <c r="AC698" s="1"/>
      <c r="AD698" s="1"/>
      <c r="AE698" s="1"/>
      <c r="AF698" s="111">
        <f>+MONTH(E698)&amp;YEAR(E698)</f>
      </c>
      <c r="AG698" s="217">
        <f>+I698</f>
      </c>
      <c r="AH698" s="217">
        <f>+J698</f>
      </c>
      <c r="AI698" s="217">
        <f>+H698</f>
      </c>
      <c r="AJ698" s="111">
        <f>+V698&amp;W698</f>
      </c>
      <c r="AK698" s="217">
        <f>+_xlfn.IFNA(VLOOKUP(AJ698,$AF$7:$AG$1066,2,0),0)</f>
      </c>
      <c r="AL698" s="217">
        <f>+IF(W698&gt;W697,AK698,AL697+AK698)</f>
      </c>
      <c r="AM698" s="217">
        <f>IF(W698&gt;W697,IF(AL698&gt;=$AZ$8,$AZ$8,AL698),IF(OR(AM697=$AZ$8,AM697=0),0,IF(AL698&gt;=$AZ$8,$AZ$8,AL698)))</f>
      </c>
      <c r="AN698" s="748">
        <f>+IF(OR(AM698&gt;AZ697,AM698=0),0,IF(AM698=AL698,AK698,$AZ$7-AL697))</f>
      </c>
      <c r="AO698" s="748">
        <f>+AK698-AN698</f>
      </c>
      <c r="AP698" s="217">
        <f>+_xlfn.IFNA(VLOOKUP(AJ698,$AF$7:$AI$1066,3,0),0)</f>
      </c>
      <c r="AQ698" s="217">
        <f>+IF(W698&gt;W697,AP698,AQ697+AP698)</f>
      </c>
      <c r="AR698" s="217">
        <f>+MAX($AM$2-SUMIF($W$7:$W$1066,W698,$AN$7:$AN$1066),0)</f>
      </c>
      <c r="AS698" s="748">
        <f>+MAX(IF(AQ698&gt;AR698,AR698-AQ697,AP698),0)</f>
      </c>
      <c r="AT698" s="748">
        <f>+AP698-AS698</f>
      </c>
      <c r="AU698" s="217">
        <f>+_xlfn.IFNA(VLOOKUP(AJ698,$AF$7:$AI$1066,4,0),0)</f>
      </c>
      <c r="AV698" s="217">
        <f>+IF(W698&gt;W697,AU698,AV697+AU698)</f>
      </c>
      <c r="AW698" s="217">
        <f>+MAX($AM$2-SUMIF($W$7:$W$1066,W698,$AN$7:$AN$1066)-SUMIF($W$7:$W$1066,W698,$AS$7:$AS$1066),0)</f>
      </c>
      <c r="AX698" s="748">
        <f>+MAX(IF(AV698&gt;AW698,AW698-AV697,AU698),0)</f>
      </c>
      <c r="AY698" s="748">
        <f>+AU698-AX698</f>
      </c>
      <c r="AZ698" s="331">
        <f>+$AM$1+IF($AP$1&gt;$AP$2,$AM$3/2)</f>
      </c>
    </row>
    <row x14ac:dyDescent="0.25" r="699" customHeight="1" ht="18.75">
      <c r="A699" s="1"/>
      <c r="B699" s="7"/>
      <c r="C699" s="170"/>
      <c r="D699" s="331">
        <v>692</v>
      </c>
      <c r="E699" s="544">
        <f>+DATE(YEAR(E698),MONTH(E698)-1,DAY(E698))</f>
        <v>25569.041666666668</v>
      </c>
      <c r="F699" s="333">
        <f>IF(DATE(YEAR($B$6),MONTH($B$6)+1,DAY(1))=E699,1,IF(MONTH(E699)=1,F700*(1+$F$5),F700))</f>
      </c>
      <c r="G699" s="333">
        <f>IF('Simulador - 1º Pilar'!$E$99="Sí",IF('Aportaciones PPE'!$B$13&lt;'Aportaciones PPE'!E699,0,F699*$B$8/12),F699*$B$8/12)</f>
      </c>
      <c r="H699" s="333">
        <f>$H$5*G699</f>
      </c>
      <c r="I699" s="333">
        <f>$I$5*G699</f>
      </c>
      <c r="J699" s="333">
        <f>+I699</f>
      </c>
      <c r="K699" s="333">
        <f>(1+$O$5)^(D699/12)*(H699+IF(AND(F699=1,F700=0),$S$4,0))</f>
      </c>
      <c r="L699" s="333">
        <f>(1+$O$5)^(D699/12)*(I699+IF(AND(F699=1,F700=0),0))</f>
      </c>
      <c r="M699" s="333">
        <f>+L699</f>
      </c>
      <c r="N699" s="333">
        <f>L699+K699+M699</f>
      </c>
      <c r="O699" s="170"/>
      <c r="P699" s="7"/>
      <c r="Q699" s="1"/>
      <c r="R699" s="331">
        <f>D699</f>
      </c>
      <c r="S699" s="169"/>
      <c r="T699" s="1"/>
      <c r="U699" s="217"/>
      <c r="V699" s="331">
        <f>+IF(V698=11,12,IF(V698=12,1,V698+1))</f>
      </c>
      <c r="W699" s="331">
        <f>+W698+IF(V698=12,1,0)</f>
      </c>
      <c r="X699" s="555">
        <f>+DATE(W699,V699,1)</f>
        <v>25569.041666666668</v>
      </c>
      <c r="Y699" s="333">
        <f>+_xlfn.IFNA(AN699+AS699+AX699,0)</f>
      </c>
      <c r="Z699" s="333">
        <f>+_xlfn.IFNA(AO699+AT699+AY699,0)</f>
      </c>
      <c r="AA699" s="333">
        <f>Y699*(1+$O$5)^(($B$7-X699)/365.25)</f>
      </c>
      <c r="AB699" s="333">
        <f>Z699*(1+$O$5)^(($B$7-X699)/365.25)</f>
      </c>
      <c r="AC699" s="1"/>
      <c r="AD699" s="1"/>
      <c r="AE699" s="1"/>
      <c r="AF699" s="111">
        <f>+MONTH(E699)&amp;YEAR(E699)</f>
      </c>
      <c r="AG699" s="217">
        <f>+I699</f>
      </c>
      <c r="AH699" s="217">
        <f>+J699</f>
      </c>
      <c r="AI699" s="217">
        <f>+H699</f>
      </c>
      <c r="AJ699" s="111">
        <f>+V699&amp;W699</f>
      </c>
      <c r="AK699" s="217">
        <f>+_xlfn.IFNA(VLOOKUP(AJ699,$AF$7:$AG$1066,2,0),0)</f>
      </c>
      <c r="AL699" s="217">
        <f>+IF(W699&gt;W698,AK699,AL698+AK699)</f>
      </c>
      <c r="AM699" s="217">
        <f>IF(W699&gt;W698,IF(AL699&gt;=$AZ$8,$AZ$8,AL699),IF(OR(AM698=$AZ$8,AM698=0),0,IF(AL699&gt;=$AZ$8,$AZ$8,AL699)))</f>
      </c>
      <c r="AN699" s="748">
        <f>+IF(OR(AM699&gt;AZ698,AM699=0),0,IF(AM699=AL699,AK699,$AZ$7-AL698))</f>
      </c>
      <c r="AO699" s="748">
        <f>+AK699-AN699</f>
      </c>
      <c r="AP699" s="217">
        <f>+_xlfn.IFNA(VLOOKUP(AJ699,$AF$7:$AI$1066,3,0),0)</f>
      </c>
      <c r="AQ699" s="217">
        <f>+IF(W699&gt;W698,AP699,AQ698+AP699)</f>
      </c>
      <c r="AR699" s="217">
        <f>+MAX($AM$2-SUMIF($W$7:$W$1066,W699,$AN$7:$AN$1066),0)</f>
      </c>
      <c r="AS699" s="748">
        <f>+MAX(IF(AQ699&gt;AR699,AR699-AQ698,AP699),0)</f>
      </c>
      <c r="AT699" s="748">
        <f>+AP699-AS699</f>
      </c>
      <c r="AU699" s="217">
        <f>+_xlfn.IFNA(VLOOKUP(AJ699,$AF$7:$AI$1066,4,0),0)</f>
      </c>
      <c r="AV699" s="217">
        <f>+IF(W699&gt;W698,AU699,AV698+AU699)</f>
      </c>
      <c r="AW699" s="217">
        <f>+MAX($AM$2-SUMIF($W$7:$W$1066,W699,$AN$7:$AN$1066)-SUMIF($W$7:$W$1066,W699,$AS$7:$AS$1066),0)</f>
      </c>
      <c r="AX699" s="748">
        <f>+MAX(IF(AV699&gt;AW699,AW699-AV698,AU699),0)</f>
      </c>
      <c r="AY699" s="748">
        <f>+AU699-AX699</f>
      </c>
      <c r="AZ699" s="331">
        <f>+$AM$1+IF($AP$1&gt;$AP$2,$AM$3/2)</f>
      </c>
    </row>
    <row x14ac:dyDescent="0.25" r="700" customHeight="1" ht="18.75">
      <c r="A700" s="1"/>
      <c r="B700" s="7"/>
      <c r="C700" s="170"/>
      <c r="D700" s="331">
        <v>693</v>
      </c>
      <c r="E700" s="544">
        <f>+DATE(YEAR(E699),MONTH(E699)-1,DAY(E699))</f>
        <v>25569.041666666668</v>
      </c>
      <c r="F700" s="333">
        <f>IF(DATE(YEAR($B$6),MONTH($B$6)+1,DAY(1))=E700,1,IF(MONTH(E700)=1,F701*(1+$F$5),F701))</f>
      </c>
      <c r="G700" s="333">
        <f>IF('Simulador - 1º Pilar'!$E$99="Sí",IF('Aportaciones PPE'!$B$13&lt;'Aportaciones PPE'!E700,0,F700*$B$8/12),F700*$B$8/12)</f>
      </c>
      <c r="H700" s="333">
        <f>$H$5*G700</f>
      </c>
      <c r="I700" s="333">
        <f>$I$5*G700</f>
      </c>
      <c r="J700" s="333">
        <f>+I700</f>
      </c>
      <c r="K700" s="333">
        <f>(1+$O$5)^(D700/12)*(H700+IF(AND(F700=1,F701=0),$S$4,0))</f>
      </c>
      <c r="L700" s="333">
        <f>(1+$O$5)^(D700/12)*(I700+IF(AND(F700=1,F701=0),0))</f>
      </c>
      <c r="M700" s="333">
        <f>+L700</f>
      </c>
      <c r="N700" s="333">
        <f>L700+K700+M700</f>
      </c>
      <c r="O700" s="170"/>
      <c r="P700" s="7"/>
      <c r="Q700" s="1"/>
      <c r="R700" s="331">
        <f>D700</f>
      </c>
      <c r="S700" s="169"/>
      <c r="T700" s="1"/>
      <c r="U700" s="217"/>
      <c r="V700" s="331">
        <f>+IF(V699=11,12,IF(V699=12,1,V699+1))</f>
      </c>
      <c r="W700" s="331">
        <f>+W699+IF(V699=12,1,0)</f>
      </c>
      <c r="X700" s="555">
        <f>+DATE(W700,V700,1)</f>
        <v>25569.041666666668</v>
      </c>
      <c r="Y700" s="333">
        <f>+_xlfn.IFNA(AN700+AS700+AX700,0)</f>
      </c>
      <c r="Z700" s="333">
        <f>+_xlfn.IFNA(AO700+AT700+AY700,0)</f>
      </c>
      <c r="AA700" s="333">
        <f>Y700*(1+$O$5)^(($B$7-X700)/365.25)</f>
      </c>
      <c r="AB700" s="333">
        <f>Z700*(1+$O$5)^(($B$7-X700)/365.25)</f>
      </c>
      <c r="AC700" s="1"/>
      <c r="AD700" s="1"/>
      <c r="AE700" s="1"/>
      <c r="AF700" s="111">
        <f>+MONTH(E700)&amp;YEAR(E700)</f>
      </c>
      <c r="AG700" s="217">
        <f>+I700</f>
      </c>
      <c r="AH700" s="217">
        <f>+J700</f>
      </c>
      <c r="AI700" s="217">
        <f>+H700</f>
      </c>
      <c r="AJ700" s="111">
        <f>+V700&amp;W700</f>
      </c>
      <c r="AK700" s="217">
        <f>+_xlfn.IFNA(VLOOKUP(AJ700,$AF$7:$AG$1066,2,0),0)</f>
      </c>
      <c r="AL700" s="217">
        <f>+IF(W700&gt;W699,AK700,AL699+AK700)</f>
      </c>
      <c r="AM700" s="217">
        <f>IF(W700&gt;W699,IF(AL700&gt;=$AZ$8,$AZ$8,AL700),IF(OR(AM699=$AZ$8,AM699=0),0,IF(AL700&gt;=$AZ$8,$AZ$8,AL700)))</f>
      </c>
      <c r="AN700" s="748">
        <f>+IF(OR(AM700&gt;AZ699,AM700=0),0,IF(AM700=AL700,AK700,$AZ$7-AL699))</f>
      </c>
      <c r="AO700" s="748">
        <f>+AK700-AN700</f>
      </c>
      <c r="AP700" s="217">
        <f>+_xlfn.IFNA(VLOOKUP(AJ700,$AF$7:$AI$1066,3,0),0)</f>
      </c>
      <c r="AQ700" s="217">
        <f>+IF(W700&gt;W699,AP700,AQ699+AP700)</f>
      </c>
      <c r="AR700" s="217">
        <f>+MAX($AM$2-SUMIF($W$7:$W$1066,W700,$AN$7:$AN$1066),0)</f>
      </c>
      <c r="AS700" s="748">
        <f>+MAX(IF(AQ700&gt;AR700,AR700-AQ699,AP700),0)</f>
      </c>
      <c r="AT700" s="748">
        <f>+AP700-AS700</f>
      </c>
      <c r="AU700" s="217">
        <f>+_xlfn.IFNA(VLOOKUP(AJ700,$AF$7:$AI$1066,4,0),0)</f>
      </c>
      <c r="AV700" s="217">
        <f>+IF(W700&gt;W699,AU700,AV699+AU700)</f>
      </c>
      <c r="AW700" s="217">
        <f>+MAX($AM$2-SUMIF($W$7:$W$1066,W700,$AN$7:$AN$1066)-SUMIF($W$7:$W$1066,W700,$AS$7:$AS$1066),0)</f>
      </c>
      <c r="AX700" s="748">
        <f>+MAX(IF(AV700&gt;AW700,AW700-AV699,AU700),0)</f>
      </c>
      <c r="AY700" s="748">
        <f>+AU700-AX700</f>
      </c>
      <c r="AZ700" s="331">
        <f>+$AM$1+IF($AP$1&gt;$AP$2,$AM$3/2)</f>
      </c>
    </row>
    <row x14ac:dyDescent="0.25" r="701" customHeight="1" ht="18.75">
      <c r="A701" s="1"/>
      <c r="B701" s="7"/>
      <c r="C701" s="170"/>
      <c r="D701" s="331">
        <v>694</v>
      </c>
      <c r="E701" s="544">
        <f>+DATE(YEAR(E700),MONTH(E700)-1,DAY(E700))</f>
        <v>25569.041666666668</v>
      </c>
      <c r="F701" s="333">
        <f>IF(DATE(YEAR($B$6),MONTH($B$6)+1,DAY(1))=E701,1,IF(MONTH(E701)=1,F702*(1+$F$5),F702))</f>
      </c>
      <c r="G701" s="333">
        <f>IF('Simulador - 1º Pilar'!$E$99="Sí",IF('Aportaciones PPE'!$B$13&lt;'Aportaciones PPE'!E701,0,F701*$B$8/12),F701*$B$8/12)</f>
      </c>
      <c r="H701" s="333">
        <f>$H$5*G701</f>
      </c>
      <c r="I701" s="333">
        <f>$I$5*G701</f>
      </c>
      <c r="J701" s="333">
        <f>+I701</f>
      </c>
      <c r="K701" s="333">
        <f>(1+$O$5)^(D701/12)*(H701+IF(AND(F701=1,F702=0),$S$4,0))</f>
      </c>
      <c r="L701" s="333">
        <f>(1+$O$5)^(D701/12)*(I701+IF(AND(F701=1,F702=0),0))</f>
      </c>
      <c r="M701" s="333">
        <f>+L701</f>
      </c>
      <c r="N701" s="333">
        <f>L701+K701+M701</f>
      </c>
      <c r="O701" s="170"/>
      <c r="P701" s="7"/>
      <c r="Q701" s="1"/>
      <c r="R701" s="331">
        <f>D701</f>
      </c>
      <c r="S701" s="169"/>
      <c r="T701" s="1"/>
      <c r="U701" s="217"/>
      <c r="V701" s="331">
        <f>+IF(V700=11,12,IF(V700=12,1,V700+1))</f>
      </c>
      <c r="W701" s="331">
        <f>+W700+IF(V700=12,1,0)</f>
      </c>
      <c r="X701" s="555">
        <f>+DATE(W701,V701,1)</f>
        <v>25569.041666666668</v>
      </c>
      <c r="Y701" s="333">
        <f>+_xlfn.IFNA(AN701+AS701+AX701,0)</f>
      </c>
      <c r="Z701" s="333">
        <f>+_xlfn.IFNA(AO701+AT701+AY701,0)</f>
      </c>
      <c r="AA701" s="333">
        <f>Y701*(1+$O$5)^(($B$7-X701)/365.25)</f>
      </c>
      <c r="AB701" s="333">
        <f>Z701*(1+$O$5)^(($B$7-X701)/365.25)</f>
      </c>
      <c r="AC701" s="1"/>
      <c r="AD701" s="1"/>
      <c r="AE701" s="1"/>
      <c r="AF701" s="111">
        <f>+MONTH(E701)&amp;YEAR(E701)</f>
      </c>
      <c r="AG701" s="217">
        <f>+I701</f>
      </c>
      <c r="AH701" s="217">
        <f>+J701</f>
      </c>
      <c r="AI701" s="217">
        <f>+H701</f>
      </c>
      <c r="AJ701" s="111">
        <f>+V701&amp;W701</f>
      </c>
      <c r="AK701" s="217">
        <f>+_xlfn.IFNA(VLOOKUP(AJ701,$AF$7:$AG$1066,2,0),0)</f>
      </c>
      <c r="AL701" s="217">
        <f>+IF(W701&gt;W700,AK701,AL700+AK701)</f>
      </c>
      <c r="AM701" s="217">
        <f>IF(W701&gt;W700,IF(AL701&gt;=$AZ$8,$AZ$8,AL701),IF(OR(AM700=$AZ$8,AM700=0),0,IF(AL701&gt;=$AZ$8,$AZ$8,AL701)))</f>
      </c>
      <c r="AN701" s="748">
        <f>+IF(OR(AM701&gt;AZ700,AM701=0),0,IF(AM701=AL701,AK701,$AZ$7-AL700))</f>
      </c>
      <c r="AO701" s="748">
        <f>+AK701-AN701</f>
      </c>
      <c r="AP701" s="217">
        <f>+_xlfn.IFNA(VLOOKUP(AJ701,$AF$7:$AI$1066,3,0),0)</f>
      </c>
      <c r="AQ701" s="217">
        <f>+IF(W701&gt;W700,AP701,AQ700+AP701)</f>
      </c>
      <c r="AR701" s="217">
        <f>+MAX($AM$2-SUMIF($W$7:$W$1066,W701,$AN$7:$AN$1066),0)</f>
      </c>
      <c r="AS701" s="748">
        <f>+MAX(IF(AQ701&gt;AR701,AR701-AQ700,AP701),0)</f>
      </c>
      <c r="AT701" s="748">
        <f>+AP701-AS701</f>
      </c>
      <c r="AU701" s="217">
        <f>+_xlfn.IFNA(VLOOKUP(AJ701,$AF$7:$AI$1066,4,0),0)</f>
      </c>
      <c r="AV701" s="217">
        <f>+IF(W701&gt;W700,AU701,AV700+AU701)</f>
      </c>
      <c r="AW701" s="217">
        <f>+MAX($AM$2-SUMIF($W$7:$W$1066,W701,$AN$7:$AN$1066)-SUMIF($W$7:$W$1066,W701,$AS$7:$AS$1066),0)</f>
      </c>
      <c r="AX701" s="748">
        <f>+MAX(IF(AV701&gt;AW701,AW701-AV700,AU701),0)</f>
      </c>
      <c r="AY701" s="748">
        <f>+AU701-AX701</f>
      </c>
      <c r="AZ701" s="331">
        <f>+$AM$1+IF($AP$1&gt;$AP$2,$AM$3/2)</f>
      </c>
    </row>
    <row x14ac:dyDescent="0.25" r="702" customHeight="1" ht="18.75">
      <c r="A702" s="1"/>
      <c r="B702" s="7"/>
      <c r="C702" s="170"/>
      <c r="D702" s="331">
        <v>695</v>
      </c>
      <c r="E702" s="544">
        <f>+DATE(YEAR(E701),MONTH(E701)-1,DAY(E701))</f>
        <v>25569.041666666668</v>
      </c>
      <c r="F702" s="333">
        <f>IF(DATE(YEAR($B$6),MONTH($B$6)+1,DAY(1))=E702,1,IF(MONTH(E702)=1,F703*(1+$F$5),F703))</f>
      </c>
      <c r="G702" s="333">
        <f>IF('Simulador - 1º Pilar'!$E$99="Sí",IF('Aportaciones PPE'!$B$13&lt;'Aportaciones PPE'!E702,0,F702*$B$8/12),F702*$B$8/12)</f>
      </c>
      <c r="H702" s="333">
        <f>$H$5*G702</f>
      </c>
      <c r="I702" s="333">
        <f>$I$5*G702</f>
      </c>
      <c r="J702" s="333">
        <f>+I702</f>
      </c>
      <c r="K702" s="333">
        <f>(1+$O$5)^(D702/12)*(H702+IF(AND(F702=1,F703=0),$S$4,0))</f>
      </c>
      <c r="L702" s="333">
        <f>(1+$O$5)^(D702/12)*(I702+IF(AND(F702=1,F703=0),0))</f>
      </c>
      <c r="M702" s="333">
        <f>+L702</f>
      </c>
      <c r="N702" s="333">
        <f>L702+K702+M702</f>
      </c>
      <c r="O702" s="170"/>
      <c r="P702" s="7"/>
      <c r="Q702" s="1"/>
      <c r="R702" s="331">
        <f>D702</f>
      </c>
      <c r="S702" s="169"/>
      <c r="T702" s="1"/>
      <c r="U702" s="217"/>
      <c r="V702" s="331">
        <f>+IF(V701=11,12,IF(V701=12,1,V701+1))</f>
      </c>
      <c r="W702" s="331">
        <f>+W701+IF(V701=12,1,0)</f>
      </c>
      <c r="X702" s="555">
        <f>+DATE(W702,V702,1)</f>
        <v>25569.041666666668</v>
      </c>
      <c r="Y702" s="333">
        <f>+_xlfn.IFNA(AN702+AS702+AX702,0)</f>
      </c>
      <c r="Z702" s="333">
        <f>+_xlfn.IFNA(AO702+AT702+AY702,0)</f>
      </c>
      <c r="AA702" s="333">
        <f>Y702*(1+$O$5)^(($B$7-X702)/365.25)</f>
      </c>
      <c r="AB702" s="333">
        <f>Z702*(1+$O$5)^(($B$7-X702)/365.25)</f>
      </c>
      <c r="AC702" s="1"/>
      <c r="AD702" s="1"/>
      <c r="AE702" s="1"/>
      <c r="AF702" s="111">
        <f>+MONTH(E702)&amp;YEAR(E702)</f>
      </c>
      <c r="AG702" s="217">
        <f>+I702</f>
      </c>
      <c r="AH702" s="217">
        <f>+J702</f>
      </c>
      <c r="AI702" s="217">
        <f>+H702</f>
      </c>
      <c r="AJ702" s="111">
        <f>+V702&amp;W702</f>
      </c>
      <c r="AK702" s="217">
        <f>+_xlfn.IFNA(VLOOKUP(AJ702,$AF$7:$AG$1066,2,0),0)</f>
      </c>
      <c r="AL702" s="217">
        <f>+IF(W702&gt;W701,AK702,AL701+AK702)</f>
      </c>
      <c r="AM702" s="217">
        <f>IF(W702&gt;W701,IF(AL702&gt;=$AZ$8,$AZ$8,AL702),IF(OR(AM701=$AZ$8,AM701=0),0,IF(AL702&gt;=$AZ$8,$AZ$8,AL702)))</f>
      </c>
      <c r="AN702" s="748">
        <f>+IF(OR(AM702&gt;AZ701,AM702=0),0,IF(AM702=AL702,AK702,$AZ$7-AL701))</f>
      </c>
      <c r="AO702" s="748">
        <f>+AK702-AN702</f>
      </c>
      <c r="AP702" s="217">
        <f>+_xlfn.IFNA(VLOOKUP(AJ702,$AF$7:$AI$1066,3,0),0)</f>
      </c>
      <c r="AQ702" s="217">
        <f>+IF(W702&gt;W701,AP702,AQ701+AP702)</f>
      </c>
      <c r="AR702" s="217">
        <f>+MAX($AM$2-SUMIF($W$7:$W$1066,W702,$AN$7:$AN$1066),0)</f>
      </c>
      <c r="AS702" s="748">
        <f>+MAX(IF(AQ702&gt;AR702,AR702-AQ701,AP702),0)</f>
      </c>
      <c r="AT702" s="748">
        <f>+AP702-AS702</f>
      </c>
      <c r="AU702" s="217">
        <f>+_xlfn.IFNA(VLOOKUP(AJ702,$AF$7:$AI$1066,4,0),0)</f>
      </c>
      <c r="AV702" s="217">
        <f>+IF(W702&gt;W701,AU702,AV701+AU702)</f>
      </c>
      <c r="AW702" s="217">
        <f>+MAX($AM$2-SUMIF($W$7:$W$1066,W702,$AN$7:$AN$1066)-SUMIF($W$7:$W$1066,W702,$AS$7:$AS$1066),0)</f>
      </c>
      <c r="AX702" s="748">
        <f>+MAX(IF(AV702&gt;AW702,AW702-AV701,AU702),0)</f>
      </c>
      <c r="AY702" s="748">
        <f>+AU702-AX702</f>
      </c>
      <c r="AZ702" s="331">
        <f>+$AM$1+IF($AP$1&gt;$AP$2,$AM$3/2)</f>
      </c>
    </row>
    <row x14ac:dyDescent="0.25" r="703" customHeight="1" ht="18.75">
      <c r="A703" s="1"/>
      <c r="B703" s="7"/>
      <c r="C703" s="170"/>
      <c r="D703" s="331">
        <v>696</v>
      </c>
      <c r="E703" s="544">
        <f>+DATE(YEAR(E702),MONTH(E702)-1,DAY(E702))</f>
        <v>25569.041666666668</v>
      </c>
      <c r="F703" s="333">
        <f>IF(DATE(YEAR($B$6),MONTH($B$6)+1,DAY(1))=E703,1,IF(MONTH(E703)=1,F704*(1+$F$5),F704))</f>
      </c>
      <c r="G703" s="333">
        <f>IF('Simulador - 1º Pilar'!$E$99="Sí",IF('Aportaciones PPE'!$B$13&lt;'Aportaciones PPE'!E703,0,F703*$B$8/12),F703*$B$8/12)</f>
      </c>
      <c r="H703" s="333">
        <f>$H$5*G703</f>
      </c>
      <c r="I703" s="333">
        <f>$I$5*G703</f>
      </c>
      <c r="J703" s="333">
        <f>+I703</f>
      </c>
      <c r="K703" s="333">
        <f>(1+$O$5)^(D703/12)*(H703+IF(AND(F703=1,F704=0),$S$4,0))</f>
      </c>
      <c r="L703" s="333">
        <f>(1+$O$5)^(D703/12)*(I703+IF(AND(F703=1,F704=0),0))</f>
      </c>
      <c r="M703" s="333">
        <f>+L703</f>
      </c>
      <c r="N703" s="333">
        <f>L703+K703+M703</f>
      </c>
      <c r="O703" s="170"/>
      <c r="P703" s="7"/>
      <c r="Q703" s="1"/>
      <c r="R703" s="331">
        <f>D703</f>
      </c>
      <c r="S703" s="169"/>
      <c r="T703" s="1"/>
      <c r="U703" s="217"/>
      <c r="V703" s="331">
        <f>+IF(V702=11,12,IF(V702=12,1,V702+1))</f>
      </c>
      <c r="W703" s="331">
        <f>+W702+IF(V702=12,1,0)</f>
      </c>
      <c r="X703" s="555">
        <f>+DATE(W703,V703,1)</f>
        <v>25569.041666666668</v>
      </c>
      <c r="Y703" s="333">
        <f>+_xlfn.IFNA(AN703+AS703+AX703,0)</f>
      </c>
      <c r="Z703" s="333">
        <f>+_xlfn.IFNA(AO703+AT703+AY703,0)</f>
      </c>
      <c r="AA703" s="333">
        <f>Y703*(1+$O$5)^(($B$7-X703)/365.25)</f>
      </c>
      <c r="AB703" s="333">
        <f>Z703*(1+$O$5)^(($B$7-X703)/365.25)</f>
      </c>
      <c r="AC703" s="1"/>
      <c r="AD703" s="1"/>
      <c r="AE703" s="1"/>
      <c r="AF703" s="111">
        <f>+MONTH(E703)&amp;YEAR(E703)</f>
      </c>
      <c r="AG703" s="217">
        <f>+I703</f>
      </c>
      <c r="AH703" s="217">
        <f>+J703</f>
      </c>
      <c r="AI703" s="217">
        <f>+H703</f>
      </c>
      <c r="AJ703" s="111">
        <f>+V703&amp;W703</f>
      </c>
      <c r="AK703" s="217">
        <f>+_xlfn.IFNA(VLOOKUP(AJ703,$AF$7:$AG$1066,2,0),0)</f>
      </c>
      <c r="AL703" s="217">
        <f>+IF(W703&gt;W702,AK703,AL702+AK703)</f>
      </c>
      <c r="AM703" s="217">
        <f>IF(W703&gt;W702,IF(AL703&gt;=$AZ$8,$AZ$8,AL703),IF(OR(AM702=$AZ$8,AM702=0),0,IF(AL703&gt;=$AZ$8,$AZ$8,AL703)))</f>
      </c>
      <c r="AN703" s="748">
        <f>+IF(OR(AM703&gt;AZ702,AM703=0),0,IF(AM703=AL703,AK703,$AZ$7-AL702))</f>
      </c>
      <c r="AO703" s="748">
        <f>+AK703-AN703</f>
      </c>
      <c r="AP703" s="217">
        <f>+_xlfn.IFNA(VLOOKUP(AJ703,$AF$7:$AI$1066,3,0),0)</f>
      </c>
      <c r="AQ703" s="217">
        <f>+IF(W703&gt;W702,AP703,AQ702+AP703)</f>
      </c>
      <c r="AR703" s="217">
        <f>+MAX($AM$2-SUMIF($W$7:$W$1066,W703,$AN$7:$AN$1066),0)</f>
      </c>
      <c r="AS703" s="748">
        <f>+MAX(IF(AQ703&gt;AR703,AR703-AQ702,AP703),0)</f>
      </c>
      <c r="AT703" s="748">
        <f>+AP703-AS703</f>
      </c>
      <c r="AU703" s="217">
        <f>+_xlfn.IFNA(VLOOKUP(AJ703,$AF$7:$AI$1066,4,0),0)</f>
      </c>
      <c r="AV703" s="217">
        <f>+IF(W703&gt;W702,AU703,AV702+AU703)</f>
      </c>
      <c r="AW703" s="217">
        <f>+MAX($AM$2-SUMIF($W$7:$W$1066,W703,$AN$7:$AN$1066)-SUMIF($W$7:$W$1066,W703,$AS$7:$AS$1066),0)</f>
      </c>
      <c r="AX703" s="748">
        <f>+MAX(IF(AV703&gt;AW703,AW703-AV702,AU703),0)</f>
      </c>
      <c r="AY703" s="748">
        <f>+AU703-AX703</f>
      </c>
      <c r="AZ703" s="331">
        <f>+$AM$1+IF($AP$1&gt;$AP$2,$AM$3/2)</f>
      </c>
    </row>
    <row x14ac:dyDescent="0.25" r="704" customHeight="1" ht="18.75">
      <c r="A704" s="1"/>
      <c r="B704" s="7"/>
      <c r="C704" s="170"/>
      <c r="D704" s="331">
        <v>697</v>
      </c>
      <c r="E704" s="544">
        <f>+DATE(YEAR(E703),MONTH(E703)-1,DAY(E703))</f>
        <v>25569.041666666668</v>
      </c>
      <c r="F704" s="333">
        <f>IF(DATE(YEAR($B$6),MONTH($B$6)+1,DAY(1))=E704,1,IF(MONTH(E704)=1,F705*(1+$F$5),F705))</f>
      </c>
      <c r="G704" s="333">
        <f>IF('Simulador - 1º Pilar'!$E$99="Sí",IF('Aportaciones PPE'!$B$13&lt;'Aportaciones PPE'!E704,0,F704*$B$8/12),F704*$B$8/12)</f>
      </c>
      <c r="H704" s="333">
        <f>$H$5*G704</f>
      </c>
      <c r="I704" s="333">
        <f>$I$5*G704</f>
      </c>
      <c r="J704" s="333">
        <f>+I704</f>
      </c>
      <c r="K704" s="333">
        <f>(1+$O$5)^(D704/12)*(H704+IF(AND(F704=1,F705=0),$S$4,0))</f>
      </c>
      <c r="L704" s="333">
        <f>(1+$O$5)^(D704/12)*(I704+IF(AND(F704=1,F705=0),0))</f>
      </c>
      <c r="M704" s="333">
        <f>+L704</f>
      </c>
      <c r="N704" s="333">
        <f>L704+K704+M704</f>
      </c>
      <c r="O704" s="170"/>
      <c r="P704" s="7"/>
      <c r="Q704" s="1"/>
      <c r="R704" s="331">
        <f>D704</f>
      </c>
      <c r="S704" s="169"/>
      <c r="T704" s="1"/>
      <c r="U704" s="217"/>
      <c r="V704" s="331">
        <f>+IF(V703=11,12,IF(V703=12,1,V703+1))</f>
      </c>
      <c r="W704" s="331">
        <f>+W703+IF(V703=12,1,0)</f>
      </c>
      <c r="X704" s="555">
        <f>+DATE(W704,V704,1)</f>
        <v>25569.041666666668</v>
      </c>
      <c r="Y704" s="333">
        <f>+_xlfn.IFNA(AN704+AS704+AX704,0)</f>
      </c>
      <c r="Z704" s="333">
        <f>+_xlfn.IFNA(AO704+AT704+AY704,0)</f>
      </c>
      <c r="AA704" s="333">
        <f>Y704*(1+$O$5)^(($B$7-X704)/365.25)</f>
      </c>
      <c r="AB704" s="333">
        <f>Z704*(1+$O$5)^(($B$7-X704)/365.25)</f>
      </c>
      <c r="AC704" s="1"/>
      <c r="AD704" s="1"/>
      <c r="AE704" s="1"/>
      <c r="AF704" s="111">
        <f>+MONTH(E704)&amp;YEAR(E704)</f>
      </c>
      <c r="AG704" s="217">
        <f>+I704</f>
      </c>
      <c r="AH704" s="217">
        <f>+J704</f>
      </c>
      <c r="AI704" s="217">
        <f>+H704</f>
      </c>
      <c r="AJ704" s="111">
        <f>+V704&amp;W704</f>
      </c>
      <c r="AK704" s="217">
        <f>+_xlfn.IFNA(VLOOKUP(AJ704,$AF$7:$AG$1066,2,0),0)</f>
      </c>
      <c r="AL704" s="217">
        <f>+IF(W704&gt;W703,AK704,AL703+AK704)</f>
      </c>
      <c r="AM704" s="217">
        <f>IF(W704&gt;W703,IF(AL704&gt;=$AZ$8,$AZ$8,AL704),IF(OR(AM703=$AZ$8,AM703=0),0,IF(AL704&gt;=$AZ$8,$AZ$8,AL704)))</f>
      </c>
      <c r="AN704" s="748">
        <f>+IF(OR(AM704&gt;AZ703,AM704=0),0,IF(AM704=AL704,AK704,$AZ$7-AL703))</f>
      </c>
      <c r="AO704" s="748">
        <f>+AK704-AN704</f>
      </c>
      <c r="AP704" s="217">
        <f>+_xlfn.IFNA(VLOOKUP(AJ704,$AF$7:$AI$1066,3,0),0)</f>
      </c>
      <c r="AQ704" s="217">
        <f>+IF(W704&gt;W703,AP704,AQ703+AP704)</f>
      </c>
      <c r="AR704" s="217">
        <f>+MAX($AM$2-SUMIF($W$7:$W$1066,W704,$AN$7:$AN$1066),0)</f>
      </c>
      <c r="AS704" s="748">
        <f>+MAX(IF(AQ704&gt;AR704,AR704-AQ703,AP704),0)</f>
      </c>
      <c r="AT704" s="748">
        <f>+AP704-AS704</f>
      </c>
      <c r="AU704" s="217">
        <f>+_xlfn.IFNA(VLOOKUP(AJ704,$AF$7:$AI$1066,4,0),0)</f>
      </c>
      <c r="AV704" s="217">
        <f>+IF(W704&gt;W703,AU704,AV703+AU704)</f>
      </c>
      <c r="AW704" s="217">
        <f>+MAX($AM$2-SUMIF($W$7:$W$1066,W704,$AN$7:$AN$1066)-SUMIF($W$7:$W$1066,W704,$AS$7:$AS$1066),0)</f>
      </c>
      <c r="AX704" s="748">
        <f>+MAX(IF(AV704&gt;AW704,AW704-AV703,AU704),0)</f>
      </c>
      <c r="AY704" s="748">
        <f>+AU704-AX704</f>
      </c>
      <c r="AZ704" s="331">
        <f>+$AM$1+IF($AP$1&gt;$AP$2,$AM$3/2)</f>
      </c>
    </row>
    <row x14ac:dyDescent="0.25" r="705" customHeight="1" ht="18.75">
      <c r="A705" s="1"/>
      <c r="B705" s="7"/>
      <c r="C705" s="170"/>
      <c r="D705" s="331">
        <v>698</v>
      </c>
      <c r="E705" s="544">
        <f>+DATE(YEAR(E704),MONTH(E704)-1,DAY(E704))</f>
        <v>25569.041666666668</v>
      </c>
      <c r="F705" s="333">
        <f>IF(DATE(YEAR($B$6),MONTH($B$6)+1,DAY(1))=E705,1,IF(MONTH(E705)=1,F706*(1+$F$5),F706))</f>
      </c>
      <c r="G705" s="333">
        <f>IF('Simulador - 1º Pilar'!$E$99="Sí",IF('Aportaciones PPE'!$B$13&lt;'Aportaciones PPE'!E705,0,F705*$B$8/12),F705*$B$8/12)</f>
      </c>
      <c r="H705" s="333">
        <f>$H$5*G705</f>
      </c>
      <c r="I705" s="333">
        <f>$I$5*G705</f>
      </c>
      <c r="J705" s="333">
        <f>+I705</f>
      </c>
      <c r="K705" s="333">
        <f>(1+$O$5)^(D705/12)*(H705+IF(AND(F705=1,F706=0),$S$4,0))</f>
      </c>
      <c r="L705" s="333">
        <f>(1+$O$5)^(D705/12)*(I705+IF(AND(F705=1,F706=0),0))</f>
      </c>
      <c r="M705" s="333">
        <f>+L705</f>
      </c>
      <c r="N705" s="333">
        <f>L705+K705+M705</f>
      </c>
      <c r="O705" s="170"/>
      <c r="P705" s="7"/>
      <c r="Q705" s="1"/>
      <c r="R705" s="331">
        <f>D705</f>
      </c>
      <c r="S705" s="169"/>
      <c r="T705" s="1"/>
      <c r="U705" s="217"/>
      <c r="V705" s="331">
        <f>+IF(V704=11,12,IF(V704=12,1,V704+1))</f>
      </c>
      <c r="W705" s="331">
        <f>+W704+IF(V704=12,1,0)</f>
      </c>
      <c r="X705" s="555">
        <f>+DATE(W705,V705,1)</f>
        <v>25569.041666666668</v>
      </c>
      <c r="Y705" s="333">
        <f>+_xlfn.IFNA(AN705+AS705+AX705,0)</f>
      </c>
      <c r="Z705" s="333">
        <f>+_xlfn.IFNA(AO705+AT705+AY705,0)</f>
      </c>
      <c r="AA705" s="333">
        <f>Y705*(1+$O$5)^(($B$7-X705)/365.25)</f>
      </c>
      <c r="AB705" s="333">
        <f>Z705*(1+$O$5)^(($B$7-X705)/365.25)</f>
      </c>
      <c r="AC705" s="1"/>
      <c r="AD705" s="1"/>
      <c r="AE705" s="1"/>
      <c r="AF705" s="111">
        <f>+MONTH(E705)&amp;YEAR(E705)</f>
      </c>
      <c r="AG705" s="217">
        <f>+I705</f>
      </c>
      <c r="AH705" s="217">
        <f>+J705</f>
      </c>
      <c r="AI705" s="217">
        <f>+H705</f>
      </c>
      <c r="AJ705" s="111">
        <f>+V705&amp;W705</f>
      </c>
      <c r="AK705" s="217">
        <f>+_xlfn.IFNA(VLOOKUP(AJ705,$AF$7:$AG$1066,2,0),0)</f>
      </c>
      <c r="AL705" s="217">
        <f>+IF(W705&gt;W704,AK705,AL704+AK705)</f>
      </c>
      <c r="AM705" s="217">
        <f>IF(W705&gt;W704,IF(AL705&gt;=$AZ$8,$AZ$8,AL705),IF(OR(AM704=$AZ$8,AM704=0),0,IF(AL705&gt;=$AZ$8,$AZ$8,AL705)))</f>
      </c>
      <c r="AN705" s="748">
        <f>+IF(OR(AM705&gt;AZ704,AM705=0),0,IF(AM705=AL705,AK705,$AZ$7-AL704))</f>
      </c>
      <c r="AO705" s="748">
        <f>+AK705-AN705</f>
      </c>
      <c r="AP705" s="217">
        <f>+_xlfn.IFNA(VLOOKUP(AJ705,$AF$7:$AI$1066,3,0),0)</f>
      </c>
      <c r="AQ705" s="217">
        <f>+IF(W705&gt;W704,AP705,AQ704+AP705)</f>
      </c>
      <c r="AR705" s="217">
        <f>+MAX($AM$2-SUMIF($W$7:$W$1066,W705,$AN$7:$AN$1066),0)</f>
      </c>
      <c r="AS705" s="748">
        <f>+MAX(IF(AQ705&gt;AR705,AR705-AQ704,AP705),0)</f>
      </c>
      <c r="AT705" s="748">
        <f>+AP705-AS705</f>
      </c>
      <c r="AU705" s="217">
        <f>+_xlfn.IFNA(VLOOKUP(AJ705,$AF$7:$AI$1066,4,0),0)</f>
      </c>
      <c r="AV705" s="217">
        <f>+IF(W705&gt;W704,AU705,AV704+AU705)</f>
      </c>
      <c r="AW705" s="217">
        <f>+MAX($AM$2-SUMIF($W$7:$W$1066,W705,$AN$7:$AN$1066)-SUMIF($W$7:$W$1066,W705,$AS$7:$AS$1066),0)</f>
      </c>
      <c r="AX705" s="748">
        <f>+MAX(IF(AV705&gt;AW705,AW705-AV704,AU705),0)</f>
      </c>
      <c r="AY705" s="748">
        <f>+AU705-AX705</f>
      </c>
      <c r="AZ705" s="331">
        <f>+$AM$1+IF($AP$1&gt;$AP$2,$AM$3/2)</f>
      </c>
    </row>
    <row x14ac:dyDescent="0.25" r="706" customHeight="1" ht="18.75">
      <c r="A706" s="1"/>
      <c r="B706" s="7"/>
      <c r="C706" s="170"/>
      <c r="D706" s="331">
        <v>699</v>
      </c>
      <c r="E706" s="544">
        <f>+DATE(YEAR(E705),MONTH(E705)-1,DAY(E705))</f>
        <v>25569.041666666668</v>
      </c>
      <c r="F706" s="333">
        <f>IF(DATE(YEAR($B$6),MONTH($B$6)+1,DAY(1))=E706,1,IF(MONTH(E706)=1,F707*(1+$F$5),F707))</f>
      </c>
      <c r="G706" s="333">
        <f>IF('Simulador - 1º Pilar'!$E$99="Sí",IF('Aportaciones PPE'!$B$13&lt;'Aportaciones PPE'!E706,0,F706*$B$8/12),F706*$B$8/12)</f>
      </c>
      <c r="H706" s="333">
        <f>$H$5*G706</f>
      </c>
      <c r="I706" s="333">
        <f>$I$5*G706</f>
      </c>
      <c r="J706" s="333">
        <f>+I706</f>
      </c>
      <c r="K706" s="333">
        <f>(1+$O$5)^(D706/12)*(H706+IF(AND(F706=1,F707=0),$S$4,0))</f>
      </c>
      <c r="L706" s="333">
        <f>(1+$O$5)^(D706/12)*(I706+IF(AND(F706=1,F707=0),0))</f>
      </c>
      <c r="M706" s="333">
        <f>+L706</f>
      </c>
      <c r="N706" s="333">
        <f>L706+K706+M706</f>
      </c>
      <c r="O706" s="170"/>
      <c r="P706" s="7"/>
      <c r="Q706" s="1"/>
      <c r="R706" s="331">
        <f>D706</f>
      </c>
      <c r="S706" s="169"/>
      <c r="T706" s="1"/>
      <c r="U706" s="217"/>
      <c r="V706" s="331">
        <f>+IF(V705=11,12,IF(V705=12,1,V705+1))</f>
      </c>
      <c r="W706" s="331">
        <f>+W705+IF(V705=12,1,0)</f>
      </c>
      <c r="X706" s="555">
        <f>+DATE(W706,V706,1)</f>
        <v>25569.041666666668</v>
      </c>
      <c r="Y706" s="333">
        <f>+_xlfn.IFNA(AN706+AS706+AX706,0)</f>
      </c>
      <c r="Z706" s="333">
        <f>+_xlfn.IFNA(AO706+AT706+AY706,0)</f>
      </c>
      <c r="AA706" s="333">
        <f>Y706*(1+$O$5)^(($B$7-X706)/365.25)</f>
      </c>
      <c r="AB706" s="333">
        <f>Z706*(1+$O$5)^(($B$7-X706)/365.25)</f>
      </c>
      <c r="AC706" s="1"/>
      <c r="AD706" s="1"/>
      <c r="AE706" s="1"/>
      <c r="AF706" s="111">
        <f>+MONTH(E706)&amp;YEAR(E706)</f>
      </c>
      <c r="AG706" s="217">
        <f>+I706</f>
      </c>
      <c r="AH706" s="217">
        <f>+J706</f>
      </c>
      <c r="AI706" s="217">
        <f>+H706</f>
      </c>
      <c r="AJ706" s="111">
        <f>+V706&amp;W706</f>
      </c>
      <c r="AK706" s="217">
        <f>+_xlfn.IFNA(VLOOKUP(AJ706,$AF$7:$AG$1066,2,0),0)</f>
      </c>
      <c r="AL706" s="217">
        <f>+IF(W706&gt;W705,AK706,AL705+AK706)</f>
      </c>
      <c r="AM706" s="217">
        <f>IF(W706&gt;W705,IF(AL706&gt;=$AZ$8,$AZ$8,AL706),IF(OR(AM705=$AZ$8,AM705=0),0,IF(AL706&gt;=$AZ$8,$AZ$8,AL706)))</f>
      </c>
      <c r="AN706" s="748">
        <f>+IF(OR(AM706&gt;AZ705,AM706=0),0,IF(AM706=AL706,AK706,$AZ$7-AL705))</f>
      </c>
      <c r="AO706" s="748">
        <f>+AK706-AN706</f>
      </c>
      <c r="AP706" s="217">
        <f>+_xlfn.IFNA(VLOOKUP(AJ706,$AF$7:$AI$1066,3,0),0)</f>
      </c>
      <c r="AQ706" s="217">
        <f>+IF(W706&gt;W705,AP706,AQ705+AP706)</f>
      </c>
      <c r="AR706" s="217">
        <f>+MAX($AM$2-SUMIF($W$7:$W$1066,W706,$AN$7:$AN$1066),0)</f>
      </c>
      <c r="AS706" s="748">
        <f>+MAX(IF(AQ706&gt;AR706,AR706-AQ705,AP706),0)</f>
      </c>
      <c r="AT706" s="748">
        <f>+AP706-AS706</f>
      </c>
      <c r="AU706" s="217">
        <f>+_xlfn.IFNA(VLOOKUP(AJ706,$AF$7:$AI$1066,4,0),0)</f>
      </c>
      <c r="AV706" s="217">
        <f>+IF(W706&gt;W705,AU706,AV705+AU706)</f>
      </c>
      <c r="AW706" s="217">
        <f>+MAX($AM$2-SUMIF($W$7:$W$1066,W706,$AN$7:$AN$1066)-SUMIF($W$7:$W$1066,W706,$AS$7:$AS$1066),0)</f>
      </c>
      <c r="AX706" s="748">
        <f>+MAX(IF(AV706&gt;AW706,AW706-AV705,AU706),0)</f>
      </c>
      <c r="AY706" s="748">
        <f>+AU706-AX706</f>
      </c>
      <c r="AZ706" s="331">
        <f>+$AM$1+IF($AP$1&gt;$AP$2,$AM$3/2)</f>
      </c>
    </row>
    <row x14ac:dyDescent="0.25" r="707" customHeight="1" ht="18.75">
      <c r="A707" s="1"/>
      <c r="B707" s="7"/>
      <c r="C707" s="170"/>
      <c r="D707" s="331">
        <v>700</v>
      </c>
      <c r="E707" s="544">
        <f>+DATE(YEAR(E706),MONTH(E706)-1,DAY(E706))</f>
        <v>25569.041666666668</v>
      </c>
      <c r="F707" s="333">
        <f>IF(DATE(YEAR($B$6),MONTH($B$6)+1,DAY(1))=E707,1,IF(MONTH(E707)=1,F708*(1+$F$5),F708))</f>
      </c>
      <c r="G707" s="333">
        <f>IF('Simulador - 1º Pilar'!$E$99="Sí",IF('Aportaciones PPE'!$B$13&lt;'Aportaciones PPE'!E707,0,F707*$B$8/12),F707*$B$8/12)</f>
      </c>
      <c r="H707" s="333">
        <f>$H$5*G707</f>
      </c>
      <c r="I707" s="333">
        <f>$I$5*G707</f>
      </c>
      <c r="J707" s="333">
        <f>+I707</f>
      </c>
      <c r="K707" s="333">
        <f>(1+$O$5)^(D707/12)*(H707+IF(AND(F707=1,F708=0),$S$4,0))</f>
      </c>
      <c r="L707" s="333">
        <f>(1+$O$5)^(D707/12)*(I707+IF(AND(F707=1,F708=0),0))</f>
      </c>
      <c r="M707" s="333">
        <f>+L707</f>
      </c>
      <c r="N707" s="333">
        <f>L707+K707+M707</f>
      </c>
      <c r="O707" s="170"/>
      <c r="P707" s="7"/>
      <c r="Q707" s="1"/>
      <c r="R707" s="331">
        <f>D707</f>
      </c>
      <c r="S707" s="169"/>
      <c r="T707" s="1"/>
      <c r="U707" s="217"/>
      <c r="V707" s="331">
        <f>+IF(V706=11,12,IF(V706=12,1,V706+1))</f>
      </c>
      <c r="W707" s="331">
        <f>+W706+IF(V706=12,1,0)</f>
      </c>
      <c r="X707" s="555">
        <f>+DATE(W707,V707,1)</f>
        <v>25569.041666666668</v>
      </c>
      <c r="Y707" s="333">
        <f>+_xlfn.IFNA(AN707+AS707+AX707,0)</f>
      </c>
      <c r="Z707" s="333">
        <f>+_xlfn.IFNA(AO707+AT707+AY707,0)</f>
      </c>
      <c r="AA707" s="333">
        <f>Y707*(1+$O$5)^(($B$7-X707)/365.25)</f>
      </c>
      <c r="AB707" s="333">
        <f>Z707*(1+$O$5)^(($B$7-X707)/365.25)</f>
      </c>
      <c r="AC707" s="1"/>
      <c r="AD707" s="1"/>
      <c r="AE707" s="1"/>
      <c r="AF707" s="111">
        <f>+MONTH(E707)&amp;YEAR(E707)</f>
      </c>
      <c r="AG707" s="217">
        <f>+I707</f>
      </c>
      <c r="AH707" s="217">
        <f>+J707</f>
      </c>
      <c r="AI707" s="217">
        <f>+H707</f>
      </c>
      <c r="AJ707" s="111">
        <f>+V707&amp;W707</f>
      </c>
      <c r="AK707" s="217">
        <f>+_xlfn.IFNA(VLOOKUP(AJ707,$AF$7:$AG$1066,2,0),0)</f>
      </c>
      <c r="AL707" s="217">
        <f>+IF(W707&gt;W706,AK707,AL706+AK707)</f>
      </c>
      <c r="AM707" s="217">
        <f>IF(W707&gt;W706,IF(AL707&gt;=$AZ$8,$AZ$8,AL707),IF(OR(AM706=$AZ$8,AM706=0),0,IF(AL707&gt;=$AZ$8,$AZ$8,AL707)))</f>
      </c>
      <c r="AN707" s="748">
        <f>+IF(OR(AM707&gt;AZ706,AM707=0),0,IF(AM707=AL707,AK707,$AZ$7-AL706))</f>
      </c>
      <c r="AO707" s="748">
        <f>+AK707-AN707</f>
      </c>
      <c r="AP707" s="217">
        <f>+_xlfn.IFNA(VLOOKUP(AJ707,$AF$7:$AI$1066,3,0),0)</f>
      </c>
      <c r="AQ707" s="217">
        <f>+IF(W707&gt;W706,AP707,AQ706+AP707)</f>
      </c>
      <c r="AR707" s="217">
        <f>+MAX($AM$2-SUMIF($W$7:$W$1066,W707,$AN$7:$AN$1066),0)</f>
      </c>
      <c r="AS707" s="748">
        <f>+MAX(IF(AQ707&gt;AR707,AR707-AQ706,AP707),0)</f>
      </c>
      <c r="AT707" s="748">
        <f>+AP707-AS707</f>
      </c>
      <c r="AU707" s="217">
        <f>+_xlfn.IFNA(VLOOKUP(AJ707,$AF$7:$AI$1066,4,0),0)</f>
      </c>
      <c r="AV707" s="217">
        <f>+IF(W707&gt;W706,AU707,AV706+AU707)</f>
      </c>
      <c r="AW707" s="217">
        <f>+MAX($AM$2-SUMIF($W$7:$W$1066,W707,$AN$7:$AN$1066)-SUMIF($W$7:$W$1066,W707,$AS$7:$AS$1066),0)</f>
      </c>
      <c r="AX707" s="748">
        <f>+MAX(IF(AV707&gt;AW707,AW707-AV706,AU707),0)</f>
      </c>
      <c r="AY707" s="748">
        <f>+AU707-AX707</f>
      </c>
      <c r="AZ707" s="331">
        <f>+$AM$1+IF($AP$1&gt;$AP$2,$AM$3/2)</f>
      </c>
    </row>
    <row x14ac:dyDescent="0.25" r="708" customHeight="1" ht="18.75">
      <c r="A708" s="1"/>
      <c r="B708" s="7"/>
      <c r="C708" s="170"/>
      <c r="D708" s="331">
        <v>701</v>
      </c>
      <c r="E708" s="544">
        <f>+DATE(YEAR(E707),MONTH(E707)-1,DAY(E707))</f>
        <v>25569.041666666668</v>
      </c>
      <c r="F708" s="333">
        <f>IF(DATE(YEAR($B$6),MONTH($B$6)+1,DAY(1))=E708,1,IF(MONTH(E708)=1,F709*(1+$F$5),F709))</f>
      </c>
      <c r="G708" s="333">
        <f>IF('Simulador - 1º Pilar'!$E$99="Sí",IF('Aportaciones PPE'!$B$13&lt;'Aportaciones PPE'!E708,0,F708*$B$8/12),F708*$B$8/12)</f>
      </c>
      <c r="H708" s="333">
        <f>$H$5*G708</f>
      </c>
      <c r="I708" s="333">
        <f>$I$5*G708</f>
      </c>
      <c r="J708" s="333">
        <f>+I708</f>
      </c>
      <c r="K708" s="333">
        <f>(1+$O$5)^(D708/12)*(H708+IF(AND(F708=1,F709=0),$S$4,0))</f>
      </c>
      <c r="L708" s="333">
        <f>(1+$O$5)^(D708/12)*(I708+IF(AND(F708=1,F709=0),0))</f>
      </c>
      <c r="M708" s="333">
        <f>+L708</f>
      </c>
      <c r="N708" s="333">
        <f>L708+K708+M708</f>
      </c>
      <c r="O708" s="170"/>
      <c r="P708" s="7"/>
      <c r="Q708" s="1"/>
      <c r="R708" s="331">
        <f>D708</f>
      </c>
      <c r="S708" s="169"/>
      <c r="T708" s="1"/>
      <c r="U708" s="217"/>
      <c r="V708" s="331">
        <f>+IF(V707=11,12,IF(V707=12,1,V707+1))</f>
      </c>
      <c r="W708" s="331">
        <f>+W707+IF(V707=12,1,0)</f>
      </c>
      <c r="X708" s="555">
        <f>+DATE(W708,V708,1)</f>
        <v>25569.041666666668</v>
      </c>
      <c r="Y708" s="333">
        <f>+_xlfn.IFNA(AN708+AS708+AX708,0)</f>
      </c>
      <c r="Z708" s="333">
        <f>+_xlfn.IFNA(AO708+AT708+AY708,0)</f>
      </c>
      <c r="AA708" s="333">
        <f>Y708*(1+$O$5)^(($B$7-X708)/365.25)</f>
      </c>
      <c r="AB708" s="333">
        <f>Z708*(1+$O$5)^(($B$7-X708)/365.25)</f>
      </c>
      <c r="AC708" s="1"/>
      <c r="AD708" s="1"/>
      <c r="AE708" s="1"/>
      <c r="AF708" s="111">
        <f>+MONTH(E708)&amp;YEAR(E708)</f>
      </c>
      <c r="AG708" s="217">
        <f>+I708</f>
      </c>
      <c r="AH708" s="217">
        <f>+J708</f>
      </c>
      <c r="AI708" s="217">
        <f>+H708</f>
      </c>
      <c r="AJ708" s="111">
        <f>+V708&amp;W708</f>
      </c>
      <c r="AK708" s="217">
        <f>+_xlfn.IFNA(VLOOKUP(AJ708,$AF$7:$AG$1066,2,0),0)</f>
      </c>
      <c r="AL708" s="217">
        <f>+IF(W708&gt;W707,AK708,AL707+AK708)</f>
      </c>
      <c r="AM708" s="217">
        <f>IF(W708&gt;W707,IF(AL708&gt;=$AZ$8,$AZ$8,AL708),IF(OR(AM707=$AZ$8,AM707=0),0,IF(AL708&gt;=$AZ$8,$AZ$8,AL708)))</f>
      </c>
      <c r="AN708" s="748">
        <f>+IF(OR(AM708&gt;AZ707,AM708=0),0,IF(AM708=AL708,AK708,$AZ$7-AL707))</f>
      </c>
      <c r="AO708" s="748">
        <f>+AK708-AN708</f>
      </c>
      <c r="AP708" s="217">
        <f>+_xlfn.IFNA(VLOOKUP(AJ708,$AF$7:$AI$1066,3,0),0)</f>
      </c>
      <c r="AQ708" s="217">
        <f>+IF(W708&gt;W707,AP708,AQ707+AP708)</f>
      </c>
      <c r="AR708" s="217">
        <f>+MAX($AM$2-SUMIF($W$7:$W$1066,W708,$AN$7:$AN$1066),0)</f>
      </c>
      <c r="AS708" s="748">
        <f>+MAX(IF(AQ708&gt;AR708,AR708-AQ707,AP708),0)</f>
      </c>
      <c r="AT708" s="748">
        <f>+AP708-AS708</f>
      </c>
      <c r="AU708" s="217">
        <f>+_xlfn.IFNA(VLOOKUP(AJ708,$AF$7:$AI$1066,4,0),0)</f>
      </c>
      <c r="AV708" s="217">
        <f>+IF(W708&gt;W707,AU708,AV707+AU708)</f>
      </c>
      <c r="AW708" s="217">
        <f>+MAX($AM$2-SUMIF($W$7:$W$1066,W708,$AN$7:$AN$1066)-SUMIF($W$7:$W$1066,W708,$AS$7:$AS$1066),0)</f>
      </c>
      <c r="AX708" s="748">
        <f>+MAX(IF(AV708&gt;AW708,AW708-AV707,AU708),0)</f>
      </c>
      <c r="AY708" s="748">
        <f>+AU708-AX708</f>
      </c>
      <c r="AZ708" s="331">
        <f>+$AM$1+IF($AP$1&gt;$AP$2,$AM$3/2)</f>
      </c>
    </row>
    <row x14ac:dyDescent="0.25" r="709" customHeight="1" ht="18.75">
      <c r="A709" s="1"/>
      <c r="B709" s="7"/>
      <c r="C709" s="170"/>
      <c r="D709" s="331">
        <v>702</v>
      </c>
      <c r="E709" s="544">
        <f>+DATE(YEAR(E708),MONTH(E708)-1,DAY(E708))</f>
        <v>25569.041666666668</v>
      </c>
      <c r="F709" s="333">
        <f>IF(DATE(YEAR($B$6),MONTH($B$6)+1,DAY(1))=E709,1,IF(MONTH(E709)=1,F710*(1+$F$5),F710))</f>
      </c>
      <c r="G709" s="333">
        <f>IF('Simulador - 1º Pilar'!$E$99="Sí",IF('Aportaciones PPE'!$B$13&lt;'Aportaciones PPE'!E709,0,F709*$B$8/12),F709*$B$8/12)</f>
      </c>
      <c r="H709" s="333">
        <f>$H$5*G709</f>
      </c>
      <c r="I709" s="333">
        <f>$I$5*G709</f>
      </c>
      <c r="J709" s="333">
        <f>+I709</f>
      </c>
      <c r="K709" s="333">
        <f>(1+$O$5)^(D709/12)*(H709+IF(AND(F709=1,F710=0),$S$4,0))</f>
      </c>
      <c r="L709" s="333">
        <f>(1+$O$5)^(D709/12)*(I709+IF(AND(F709=1,F710=0),0))</f>
      </c>
      <c r="M709" s="333">
        <f>+L709</f>
      </c>
      <c r="N709" s="333">
        <f>L709+K709+M709</f>
      </c>
      <c r="O709" s="170"/>
      <c r="P709" s="7"/>
      <c r="Q709" s="1"/>
      <c r="R709" s="331">
        <f>D709</f>
      </c>
      <c r="S709" s="169"/>
      <c r="T709" s="1"/>
      <c r="U709" s="217"/>
      <c r="V709" s="331">
        <f>+IF(V708=11,12,IF(V708=12,1,V708+1))</f>
      </c>
      <c r="W709" s="331">
        <f>+W708+IF(V708=12,1,0)</f>
      </c>
      <c r="X709" s="555">
        <f>+DATE(W709,V709,1)</f>
        <v>25569.041666666668</v>
      </c>
      <c r="Y709" s="333">
        <f>+_xlfn.IFNA(AN709+AS709+AX709,0)</f>
      </c>
      <c r="Z709" s="333">
        <f>+_xlfn.IFNA(AO709+AT709+AY709,0)</f>
      </c>
      <c r="AA709" s="333">
        <f>Y709*(1+$O$5)^(($B$7-X709)/365.25)</f>
      </c>
      <c r="AB709" s="333">
        <f>Z709*(1+$O$5)^(($B$7-X709)/365.25)</f>
      </c>
      <c r="AC709" s="1"/>
      <c r="AD709" s="1"/>
      <c r="AE709" s="1"/>
      <c r="AF709" s="111">
        <f>+MONTH(E709)&amp;YEAR(E709)</f>
      </c>
      <c r="AG709" s="217">
        <f>+I709</f>
      </c>
      <c r="AH709" s="217">
        <f>+J709</f>
      </c>
      <c r="AI709" s="217">
        <f>+H709</f>
      </c>
      <c r="AJ709" s="111">
        <f>+V709&amp;W709</f>
      </c>
      <c r="AK709" s="217">
        <f>+_xlfn.IFNA(VLOOKUP(AJ709,$AF$7:$AG$1066,2,0),0)</f>
      </c>
      <c r="AL709" s="217">
        <f>+IF(W709&gt;W708,AK709,AL708+AK709)</f>
      </c>
      <c r="AM709" s="217">
        <f>IF(W709&gt;W708,IF(AL709&gt;=$AZ$8,$AZ$8,AL709),IF(OR(AM708=$AZ$8,AM708=0),0,IF(AL709&gt;=$AZ$8,$AZ$8,AL709)))</f>
      </c>
      <c r="AN709" s="748">
        <f>+IF(OR(AM709&gt;AZ708,AM709=0),0,IF(AM709=AL709,AK709,$AZ$7-AL708))</f>
      </c>
      <c r="AO709" s="748">
        <f>+AK709-AN709</f>
      </c>
      <c r="AP709" s="217">
        <f>+_xlfn.IFNA(VLOOKUP(AJ709,$AF$7:$AI$1066,3,0),0)</f>
      </c>
      <c r="AQ709" s="217">
        <f>+IF(W709&gt;W708,AP709,AQ708+AP709)</f>
      </c>
      <c r="AR709" s="217">
        <f>+MAX($AM$2-SUMIF($W$7:$W$1066,W709,$AN$7:$AN$1066),0)</f>
      </c>
      <c r="AS709" s="748">
        <f>+MAX(IF(AQ709&gt;AR709,AR709-AQ708,AP709),0)</f>
      </c>
      <c r="AT709" s="748">
        <f>+AP709-AS709</f>
      </c>
      <c r="AU709" s="217">
        <f>+_xlfn.IFNA(VLOOKUP(AJ709,$AF$7:$AI$1066,4,0),0)</f>
      </c>
      <c r="AV709" s="217">
        <f>+IF(W709&gt;W708,AU709,AV708+AU709)</f>
      </c>
      <c r="AW709" s="217">
        <f>+MAX($AM$2-SUMIF($W$7:$W$1066,W709,$AN$7:$AN$1066)-SUMIF($W$7:$W$1066,W709,$AS$7:$AS$1066),0)</f>
      </c>
      <c r="AX709" s="748">
        <f>+MAX(IF(AV709&gt;AW709,AW709-AV708,AU709),0)</f>
      </c>
      <c r="AY709" s="748">
        <f>+AU709-AX709</f>
      </c>
      <c r="AZ709" s="331">
        <f>+$AM$1+IF($AP$1&gt;$AP$2,$AM$3/2)</f>
      </c>
    </row>
    <row x14ac:dyDescent="0.25" r="710" customHeight="1" ht="18.75">
      <c r="A710" s="1"/>
      <c r="B710" s="7"/>
      <c r="C710" s="170"/>
      <c r="D710" s="331">
        <v>703</v>
      </c>
      <c r="E710" s="544">
        <f>+DATE(YEAR(E709),MONTH(E709)-1,DAY(E709))</f>
        <v>25569.041666666668</v>
      </c>
      <c r="F710" s="333">
        <f>IF(DATE(YEAR($B$6),MONTH($B$6)+1,DAY(1))=E710,1,IF(MONTH(E710)=1,F711*(1+$F$5),F711))</f>
      </c>
      <c r="G710" s="333">
        <f>IF('Simulador - 1º Pilar'!$E$99="Sí",IF('Aportaciones PPE'!$B$13&lt;'Aportaciones PPE'!E710,0,F710*$B$8/12),F710*$B$8/12)</f>
      </c>
      <c r="H710" s="333">
        <f>$H$5*G710</f>
      </c>
      <c r="I710" s="333">
        <f>$I$5*G710</f>
      </c>
      <c r="J710" s="333">
        <f>+I710</f>
      </c>
      <c r="K710" s="333">
        <f>(1+$O$5)^(D710/12)*(H710+IF(AND(F710=1,F711=0),$S$4,0))</f>
      </c>
      <c r="L710" s="333">
        <f>(1+$O$5)^(D710/12)*(I710+IF(AND(F710=1,F711=0),0))</f>
      </c>
      <c r="M710" s="333">
        <f>+L710</f>
      </c>
      <c r="N710" s="333">
        <f>L710+K710+M710</f>
      </c>
      <c r="O710" s="170"/>
      <c r="P710" s="7"/>
      <c r="Q710" s="1"/>
      <c r="R710" s="331">
        <f>D710</f>
      </c>
      <c r="S710" s="169"/>
      <c r="T710" s="1"/>
      <c r="U710" s="217"/>
      <c r="V710" s="331">
        <f>+IF(V709=11,12,IF(V709=12,1,V709+1))</f>
      </c>
      <c r="W710" s="331">
        <f>+W709+IF(V709=12,1,0)</f>
      </c>
      <c r="X710" s="555">
        <f>+DATE(W710,V710,1)</f>
        <v>25569.041666666668</v>
      </c>
      <c r="Y710" s="333">
        <f>+_xlfn.IFNA(AN710+AS710+AX710,0)</f>
      </c>
      <c r="Z710" s="333">
        <f>+_xlfn.IFNA(AO710+AT710+AY710,0)</f>
      </c>
      <c r="AA710" s="333">
        <f>Y710*(1+$O$5)^(($B$7-X710)/365.25)</f>
      </c>
      <c r="AB710" s="333">
        <f>Z710*(1+$O$5)^(($B$7-X710)/365.25)</f>
      </c>
      <c r="AC710" s="1"/>
      <c r="AD710" s="1"/>
      <c r="AE710" s="1"/>
      <c r="AF710" s="111">
        <f>+MONTH(E710)&amp;YEAR(E710)</f>
      </c>
      <c r="AG710" s="217">
        <f>+I710</f>
      </c>
      <c r="AH710" s="217">
        <f>+J710</f>
      </c>
      <c r="AI710" s="217">
        <f>+H710</f>
      </c>
      <c r="AJ710" s="111">
        <f>+V710&amp;W710</f>
      </c>
      <c r="AK710" s="217">
        <f>+_xlfn.IFNA(VLOOKUP(AJ710,$AF$7:$AG$1066,2,0),0)</f>
      </c>
      <c r="AL710" s="217">
        <f>+IF(W710&gt;W709,AK710,AL709+AK710)</f>
      </c>
      <c r="AM710" s="217">
        <f>IF(W710&gt;W709,IF(AL710&gt;=$AZ$8,$AZ$8,AL710),IF(OR(AM709=$AZ$8,AM709=0),0,IF(AL710&gt;=$AZ$8,$AZ$8,AL710)))</f>
      </c>
      <c r="AN710" s="748">
        <f>+IF(OR(AM710&gt;AZ709,AM710=0),0,IF(AM710=AL710,AK710,$AZ$7-AL709))</f>
      </c>
      <c r="AO710" s="748">
        <f>+AK710-AN710</f>
      </c>
      <c r="AP710" s="217">
        <f>+_xlfn.IFNA(VLOOKUP(AJ710,$AF$7:$AI$1066,3,0),0)</f>
      </c>
      <c r="AQ710" s="217">
        <f>+IF(W710&gt;W709,AP710,AQ709+AP710)</f>
      </c>
      <c r="AR710" s="217">
        <f>+MAX($AM$2-SUMIF($W$7:$W$1066,W710,$AN$7:$AN$1066),0)</f>
      </c>
      <c r="AS710" s="748">
        <f>+MAX(IF(AQ710&gt;AR710,AR710-AQ709,AP710),0)</f>
      </c>
      <c r="AT710" s="748">
        <f>+AP710-AS710</f>
      </c>
      <c r="AU710" s="217">
        <f>+_xlfn.IFNA(VLOOKUP(AJ710,$AF$7:$AI$1066,4,0),0)</f>
      </c>
      <c r="AV710" s="217">
        <f>+IF(W710&gt;W709,AU710,AV709+AU710)</f>
      </c>
      <c r="AW710" s="217">
        <f>+MAX($AM$2-SUMIF($W$7:$W$1066,W710,$AN$7:$AN$1066)-SUMIF($W$7:$W$1066,W710,$AS$7:$AS$1066),0)</f>
      </c>
      <c r="AX710" s="748">
        <f>+MAX(IF(AV710&gt;AW710,AW710-AV709,AU710),0)</f>
      </c>
      <c r="AY710" s="748">
        <f>+AU710-AX710</f>
      </c>
      <c r="AZ710" s="331">
        <f>+$AM$1+IF($AP$1&gt;$AP$2,$AM$3/2)</f>
      </c>
    </row>
    <row x14ac:dyDescent="0.25" r="711" customHeight="1" ht="18.75">
      <c r="A711" s="1"/>
      <c r="B711" s="7"/>
      <c r="C711" s="170"/>
      <c r="D711" s="331">
        <v>704</v>
      </c>
      <c r="E711" s="544">
        <f>+DATE(YEAR(E710),MONTH(E710)-1,DAY(E710))</f>
        <v>25569.041666666668</v>
      </c>
      <c r="F711" s="333">
        <f>IF(DATE(YEAR($B$6),MONTH($B$6)+1,DAY(1))=E711,1,IF(MONTH(E711)=1,F712*(1+$F$5),F712))</f>
      </c>
      <c r="G711" s="333">
        <f>IF('Simulador - 1º Pilar'!$E$99="Sí",IF('Aportaciones PPE'!$B$13&lt;'Aportaciones PPE'!E711,0,F711*$B$8/12),F711*$B$8/12)</f>
      </c>
      <c r="H711" s="333">
        <f>$H$5*G711</f>
      </c>
      <c r="I711" s="333">
        <f>$I$5*G711</f>
      </c>
      <c r="J711" s="333">
        <f>+I711</f>
      </c>
      <c r="K711" s="333">
        <f>(1+$O$5)^(D711/12)*(H711+IF(AND(F711=1,F712=0),$S$4,0))</f>
      </c>
      <c r="L711" s="333">
        <f>(1+$O$5)^(D711/12)*(I711+IF(AND(F711=1,F712=0),0))</f>
      </c>
      <c r="M711" s="333">
        <f>+L711</f>
      </c>
      <c r="N711" s="333">
        <f>L711+K711+M711</f>
      </c>
      <c r="O711" s="170"/>
      <c r="P711" s="7"/>
      <c r="Q711" s="1"/>
      <c r="R711" s="331">
        <f>D711</f>
      </c>
      <c r="S711" s="169"/>
      <c r="T711" s="1"/>
      <c r="U711" s="217"/>
      <c r="V711" s="331">
        <f>+IF(V710=11,12,IF(V710=12,1,V710+1))</f>
      </c>
      <c r="W711" s="331">
        <f>+W710+IF(V710=12,1,0)</f>
      </c>
      <c r="X711" s="555">
        <f>+DATE(W711,V711,1)</f>
        <v>25569.041666666668</v>
      </c>
      <c r="Y711" s="333">
        <f>+_xlfn.IFNA(AN711+AS711+AX711,0)</f>
      </c>
      <c r="Z711" s="333">
        <f>+_xlfn.IFNA(AO711+AT711+AY711,0)</f>
      </c>
      <c r="AA711" s="333">
        <f>Y711*(1+$O$5)^(($B$7-X711)/365.25)</f>
      </c>
      <c r="AB711" s="333">
        <f>Z711*(1+$O$5)^(($B$7-X711)/365.25)</f>
      </c>
      <c r="AC711" s="1"/>
      <c r="AD711" s="1"/>
      <c r="AE711" s="1"/>
      <c r="AF711" s="111">
        <f>+MONTH(E711)&amp;YEAR(E711)</f>
      </c>
      <c r="AG711" s="217">
        <f>+I711</f>
      </c>
      <c r="AH711" s="217">
        <f>+J711</f>
      </c>
      <c r="AI711" s="217">
        <f>+H711</f>
      </c>
      <c r="AJ711" s="111">
        <f>+V711&amp;W711</f>
      </c>
      <c r="AK711" s="217">
        <f>+_xlfn.IFNA(VLOOKUP(AJ711,$AF$7:$AG$1066,2,0),0)</f>
      </c>
      <c r="AL711" s="217">
        <f>+IF(W711&gt;W710,AK711,AL710+AK711)</f>
      </c>
      <c r="AM711" s="217">
        <f>IF(W711&gt;W710,IF(AL711&gt;=$AZ$8,$AZ$8,AL711),IF(OR(AM710=$AZ$8,AM710=0),0,IF(AL711&gt;=$AZ$8,$AZ$8,AL711)))</f>
      </c>
      <c r="AN711" s="748">
        <f>+IF(OR(AM711&gt;AZ710,AM711=0),0,IF(AM711=AL711,AK711,$AZ$7-AL710))</f>
      </c>
      <c r="AO711" s="748">
        <f>+AK711-AN711</f>
      </c>
      <c r="AP711" s="217">
        <f>+_xlfn.IFNA(VLOOKUP(AJ711,$AF$7:$AI$1066,3,0),0)</f>
      </c>
      <c r="AQ711" s="217">
        <f>+IF(W711&gt;W710,AP711,AQ710+AP711)</f>
      </c>
      <c r="AR711" s="217">
        <f>+MAX($AM$2-SUMIF($W$7:$W$1066,W711,$AN$7:$AN$1066),0)</f>
      </c>
      <c r="AS711" s="748">
        <f>+MAX(IF(AQ711&gt;AR711,AR711-AQ710,AP711),0)</f>
      </c>
      <c r="AT711" s="748">
        <f>+AP711-AS711</f>
      </c>
      <c r="AU711" s="217">
        <f>+_xlfn.IFNA(VLOOKUP(AJ711,$AF$7:$AI$1066,4,0),0)</f>
      </c>
      <c r="AV711" s="217">
        <f>+IF(W711&gt;W710,AU711,AV710+AU711)</f>
      </c>
      <c r="AW711" s="217">
        <f>+MAX($AM$2-SUMIF($W$7:$W$1066,W711,$AN$7:$AN$1066)-SUMIF($W$7:$W$1066,W711,$AS$7:$AS$1066),0)</f>
      </c>
      <c r="AX711" s="748">
        <f>+MAX(IF(AV711&gt;AW711,AW711-AV710,AU711),0)</f>
      </c>
      <c r="AY711" s="748">
        <f>+AU711-AX711</f>
      </c>
      <c r="AZ711" s="331">
        <f>+$AM$1+IF($AP$1&gt;$AP$2,$AM$3/2)</f>
      </c>
    </row>
    <row x14ac:dyDescent="0.25" r="712" customHeight="1" ht="18.75">
      <c r="A712" s="1"/>
      <c r="B712" s="7"/>
      <c r="C712" s="170"/>
      <c r="D712" s="331">
        <v>705</v>
      </c>
      <c r="E712" s="544">
        <f>+DATE(YEAR(E711),MONTH(E711)-1,DAY(E711))</f>
        <v>25569.041666666668</v>
      </c>
      <c r="F712" s="333">
        <f>IF(DATE(YEAR($B$6),MONTH($B$6)+1,DAY(1))=E712,1,IF(MONTH(E712)=1,F713*(1+$F$5),F713))</f>
      </c>
      <c r="G712" s="333">
        <f>IF('Simulador - 1º Pilar'!$E$99="Sí",IF('Aportaciones PPE'!$B$13&lt;'Aportaciones PPE'!E712,0,F712*$B$8/12),F712*$B$8/12)</f>
      </c>
      <c r="H712" s="333">
        <f>$H$5*G712</f>
      </c>
      <c r="I712" s="333">
        <f>$I$5*G712</f>
      </c>
      <c r="J712" s="333">
        <f>+I712</f>
      </c>
      <c r="K712" s="333">
        <f>(1+$O$5)^(D712/12)*(H712+IF(AND(F712=1,F713=0),$S$4,0))</f>
      </c>
      <c r="L712" s="333">
        <f>(1+$O$5)^(D712/12)*(I712+IF(AND(F712=1,F713=0),0))</f>
      </c>
      <c r="M712" s="333">
        <f>+L712</f>
      </c>
      <c r="N712" s="333">
        <f>L712+K712+M712</f>
      </c>
      <c r="O712" s="170"/>
      <c r="P712" s="7"/>
      <c r="Q712" s="1"/>
      <c r="R712" s="331">
        <f>D712</f>
      </c>
      <c r="S712" s="169"/>
      <c r="T712" s="1"/>
      <c r="U712" s="217"/>
      <c r="V712" s="331">
        <f>+IF(V711=11,12,IF(V711=12,1,V711+1))</f>
      </c>
      <c r="W712" s="331">
        <f>+W711+IF(V711=12,1,0)</f>
      </c>
      <c r="X712" s="555">
        <f>+DATE(W712,V712,1)</f>
        <v>25569.041666666668</v>
      </c>
      <c r="Y712" s="333">
        <f>+_xlfn.IFNA(AN712+AS712+AX712,0)</f>
      </c>
      <c r="Z712" s="333">
        <f>+_xlfn.IFNA(AO712+AT712+AY712,0)</f>
      </c>
      <c r="AA712" s="333">
        <f>Y712*(1+$O$5)^(($B$7-X712)/365.25)</f>
      </c>
      <c r="AB712" s="333">
        <f>Z712*(1+$O$5)^(($B$7-X712)/365.25)</f>
      </c>
      <c r="AC712" s="1"/>
      <c r="AD712" s="1"/>
      <c r="AE712" s="1"/>
      <c r="AF712" s="111">
        <f>+MONTH(E712)&amp;YEAR(E712)</f>
      </c>
      <c r="AG712" s="217">
        <f>+I712</f>
      </c>
      <c r="AH712" s="217">
        <f>+J712</f>
      </c>
      <c r="AI712" s="217">
        <f>+H712</f>
      </c>
      <c r="AJ712" s="111">
        <f>+V712&amp;W712</f>
      </c>
      <c r="AK712" s="217">
        <f>+_xlfn.IFNA(VLOOKUP(AJ712,$AF$7:$AG$1066,2,0),0)</f>
      </c>
      <c r="AL712" s="217">
        <f>+IF(W712&gt;W711,AK712,AL711+AK712)</f>
      </c>
      <c r="AM712" s="217">
        <f>IF(W712&gt;W711,IF(AL712&gt;=$AZ$8,$AZ$8,AL712),IF(OR(AM711=$AZ$8,AM711=0),0,IF(AL712&gt;=$AZ$8,$AZ$8,AL712)))</f>
      </c>
      <c r="AN712" s="748">
        <f>+IF(OR(AM712&gt;AZ711,AM712=0),0,IF(AM712=AL712,AK712,$AZ$7-AL711))</f>
      </c>
      <c r="AO712" s="748">
        <f>+AK712-AN712</f>
      </c>
      <c r="AP712" s="217">
        <f>+_xlfn.IFNA(VLOOKUP(AJ712,$AF$7:$AI$1066,3,0),0)</f>
      </c>
      <c r="AQ712" s="217">
        <f>+IF(W712&gt;W711,AP712,AQ711+AP712)</f>
      </c>
      <c r="AR712" s="217">
        <f>+MAX($AM$2-SUMIF($W$7:$W$1066,W712,$AN$7:$AN$1066),0)</f>
      </c>
      <c r="AS712" s="748">
        <f>+MAX(IF(AQ712&gt;AR712,AR712-AQ711,AP712),0)</f>
      </c>
      <c r="AT712" s="748">
        <f>+AP712-AS712</f>
      </c>
      <c r="AU712" s="217">
        <f>+_xlfn.IFNA(VLOOKUP(AJ712,$AF$7:$AI$1066,4,0),0)</f>
      </c>
      <c r="AV712" s="217">
        <f>+IF(W712&gt;W711,AU712,AV711+AU712)</f>
      </c>
      <c r="AW712" s="217">
        <f>+MAX($AM$2-SUMIF($W$7:$W$1066,W712,$AN$7:$AN$1066)-SUMIF($W$7:$W$1066,W712,$AS$7:$AS$1066),0)</f>
      </c>
      <c r="AX712" s="748">
        <f>+MAX(IF(AV712&gt;AW712,AW712-AV711,AU712),0)</f>
      </c>
      <c r="AY712" s="748">
        <f>+AU712-AX712</f>
      </c>
      <c r="AZ712" s="331">
        <f>+$AM$1+IF($AP$1&gt;$AP$2,$AM$3/2)</f>
      </c>
    </row>
    <row x14ac:dyDescent="0.25" r="713" customHeight="1" ht="18.75">
      <c r="A713" s="1"/>
      <c r="B713" s="7"/>
      <c r="C713" s="170"/>
      <c r="D713" s="331">
        <v>706</v>
      </c>
      <c r="E713" s="544">
        <f>+DATE(YEAR(E712),MONTH(E712)-1,DAY(E712))</f>
        <v>25569.041666666668</v>
      </c>
      <c r="F713" s="333">
        <f>IF(DATE(YEAR($B$6),MONTH($B$6)+1,DAY(1))=E713,1,IF(MONTH(E713)=1,F714*(1+$F$5),F714))</f>
      </c>
      <c r="G713" s="333">
        <f>IF('Simulador - 1º Pilar'!$E$99="Sí",IF('Aportaciones PPE'!$B$13&lt;'Aportaciones PPE'!E713,0,F713*$B$8/12),F713*$B$8/12)</f>
      </c>
      <c r="H713" s="333">
        <f>$H$5*G713</f>
      </c>
      <c r="I713" s="333">
        <f>$I$5*G713</f>
      </c>
      <c r="J713" s="333">
        <f>+I713</f>
      </c>
      <c r="K713" s="333">
        <f>(1+$O$5)^(D713/12)*(H713+IF(AND(F713=1,F714=0),$S$4,0))</f>
      </c>
      <c r="L713" s="333">
        <f>(1+$O$5)^(D713/12)*(I713+IF(AND(F713=1,F714=0),0))</f>
      </c>
      <c r="M713" s="333">
        <f>+L713</f>
      </c>
      <c r="N713" s="333">
        <f>L713+K713+M713</f>
      </c>
      <c r="O713" s="170"/>
      <c r="P713" s="7"/>
      <c r="Q713" s="1"/>
      <c r="R713" s="331">
        <f>D713</f>
      </c>
      <c r="S713" s="169"/>
      <c r="T713" s="1"/>
      <c r="U713" s="217"/>
      <c r="V713" s="331">
        <f>+IF(V712=11,12,IF(V712=12,1,V712+1))</f>
      </c>
      <c r="W713" s="331">
        <f>+W712+IF(V712=12,1,0)</f>
      </c>
      <c r="X713" s="555">
        <f>+DATE(W713,V713,1)</f>
        <v>25569.041666666668</v>
      </c>
      <c r="Y713" s="333">
        <f>+_xlfn.IFNA(AN713+AS713+AX713,0)</f>
      </c>
      <c r="Z713" s="333">
        <f>+_xlfn.IFNA(AO713+AT713+AY713,0)</f>
      </c>
      <c r="AA713" s="333">
        <f>Y713*(1+$O$5)^(($B$7-X713)/365.25)</f>
      </c>
      <c r="AB713" s="333">
        <f>Z713*(1+$O$5)^(($B$7-X713)/365.25)</f>
      </c>
      <c r="AC713" s="1"/>
      <c r="AD713" s="1"/>
      <c r="AE713" s="1"/>
      <c r="AF713" s="111">
        <f>+MONTH(E713)&amp;YEAR(E713)</f>
      </c>
      <c r="AG713" s="217">
        <f>+I713</f>
      </c>
      <c r="AH713" s="217">
        <f>+J713</f>
      </c>
      <c r="AI713" s="217">
        <f>+H713</f>
      </c>
      <c r="AJ713" s="111">
        <f>+V713&amp;W713</f>
      </c>
      <c r="AK713" s="217">
        <f>+_xlfn.IFNA(VLOOKUP(AJ713,$AF$7:$AG$1066,2,0),0)</f>
      </c>
      <c r="AL713" s="217">
        <f>+IF(W713&gt;W712,AK713,AL712+AK713)</f>
      </c>
      <c r="AM713" s="217">
        <f>IF(W713&gt;W712,IF(AL713&gt;=$AZ$8,$AZ$8,AL713),IF(OR(AM712=$AZ$8,AM712=0),0,IF(AL713&gt;=$AZ$8,$AZ$8,AL713)))</f>
      </c>
      <c r="AN713" s="748">
        <f>+IF(OR(AM713&gt;AZ712,AM713=0),0,IF(AM713=AL713,AK713,$AZ$7-AL712))</f>
      </c>
      <c r="AO713" s="748">
        <f>+AK713-AN713</f>
      </c>
      <c r="AP713" s="217">
        <f>+_xlfn.IFNA(VLOOKUP(AJ713,$AF$7:$AI$1066,3,0),0)</f>
      </c>
      <c r="AQ713" s="217">
        <f>+IF(W713&gt;W712,AP713,AQ712+AP713)</f>
      </c>
      <c r="AR713" s="217">
        <f>+MAX($AM$2-SUMIF($W$7:$W$1066,W713,$AN$7:$AN$1066),0)</f>
      </c>
      <c r="AS713" s="748">
        <f>+MAX(IF(AQ713&gt;AR713,AR713-AQ712,AP713),0)</f>
      </c>
      <c r="AT713" s="748">
        <f>+AP713-AS713</f>
      </c>
      <c r="AU713" s="217">
        <f>+_xlfn.IFNA(VLOOKUP(AJ713,$AF$7:$AI$1066,4,0),0)</f>
      </c>
      <c r="AV713" s="217">
        <f>+IF(W713&gt;W712,AU713,AV712+AU713)</f>
      </c>
      <c r="AW713" s="217">
        <f>+MAX($AM$2-SUMIF($W$7:$W$1066,W713,$AN$7:$AN$1066)-SUMIF($W$7:$W$1066,W713,$AS$7:$AS$1066),0)</f>
      </c>
      <c r="AX713" s="748">
        <f>+MAX(IF(AV713&gt;AW713,AW713-AV712,AU713),0)</f>
      </c>
      <c r="AY713" s="748">
        <f>+AU713-AX713</f>
      </c>
      <c r="AZ713" s="331">
        <f>+$AM$1+IF($AP$1&gt;$AP$2,$AM$3/2)</f>
      </c>
    </row>
    <row x14ac:dyDescent="0.25" r="714" customHeight="1" ht="18.75">
      <c r="A714" s="1"/>
      <c r="B714" s="7"/>
      <c r="C714" s="170"/>
      <c r="D714" s="331">
        <v>707</v>
      </c>
      <c r="E714" s="544">
        <f>+DATE(YEAR(E713),MONTH(E713)-1,DAY(E713))</f>
        <v>25569.041666666668</v>
      </c>
      <c r="F714" s="333">
        <f>IF(DATE(YEAR($B$6),MONTH($B$6)+1,DAY(1))=E714,1,IF(MONTH(E714)=1,F715*(1+$F$5),F715))</f>
      </c>
      <c r="G714" s="333">
        <f>IF('Simulador - 1º Pilar'!$E$99="Sí",IF('Aportaciones PPE'!$B$13&lt;'Aportaciones PPE'!E714,0,F714*$B$8/12),F714*$B$8/12)</f>
      </c>
      <c r="H714" s="333">
        <f>$H$5*G714</f>
      </c>
      <c r="I714" s="333">
        <f>$I$5*G714</f>
      </c>
      <c r="J714" s="333">
        <f>+I714</f>
      </c>
      <c r="K714" s="333">
        <f>(1+$O$5)^(D714/12)*(H714+IF(AND(F714=1,F715=0),$S$4,0))</f>
      </c>
      <c r="L714" s="333">
        <f>(1+$O$5)^(D714/12)*(I714+IF(AND(F714=1,F715=0),0))</f>
      </c>
      <c r="M714" s="333">
        <f>+L714</f>
      </c>
      <c r="N714" s="333">
        <f>L714+K714+M714</f>
      </c>
      <c r="O714" s="170"/>
      <c r="P714" s="7"/>
      <c r="Q714" s="1"/>
      <c r="R714" s="331">
        <f>D714</f>
      </c>
      <c r="S714" s="169"/>
      <c r="T714" s="1"/>
      <c r="U714" s="217"/>
      <c r="V714" s="331">
        <f>+IF(V713=11,12,IF(V713=12,1,V713+1))</f>
      </c>
      <c r="W714" s="331">
        <f>+W713+IF(V713=12,1,0)</f>
      </c>
      <c r="X714" s="555">
        <f>+DATE(W714,V714,1)</f>
        <v>25569.041666666668</v>
      </c>
      <c r="Y714" s="333">
        <f>+_xlfn.IFNA(AN714+AS714+AX714,0)</f>
      </c>
      <c r="Z714" s="333">
        <f>+_xlfn.IFNA(AO714+AT714+AY714,0)</f>
      </c>
      <c r="AA714" s="333">
        <f>Y714*(1+$O$5)^(($B$7-X714)/365.25)</f>
      </c>
      <c r="AB714" s="333">
        <f>Z714*(1+$O$5)^(($B$7-X714)/365.25)</f>
      </c>
      <c r="AC714" s="1"/>
      <c r="AD714" s="1"/>
      <c r="AE714" s="1"/>
      <c r="AF714" s="111">
        <f>+MONTH(E714)&amp;YEAR(E714)</f>
      </c>
      <c r="AG714" s="217">
        <f>+I714</f>
      </c>
      <c r="AH714" s="217">
        <f>+J714</f>
      </c>
      <c r="AI714" s="217">
        <f>+H714</f>
      </c>
      <c r="AJ714" s="111">
        <f>+V714&amp;W714</f>
      </c>
      <c r="AK714" s="217">
        <f>+_xlfn.IFNA(VLOOKUP(AJ714,$AF$7:$AG$1066,2,0),0)</f>
      </c>
      <c r="AL714" s="217">
        <f>+IF(W714&gt;W713,AK714,AL713+AK714)</f>
      </c>
      <c r="AM714" s="217">
        <f>IF(W714&gt;W713,IF(AL714&gt;=$AZ$8,$AZ$8,AL714),IF(OR(AM713=$AZ$8,AM713=0),0,IF(AL714&gt;=$AZ$8,$AZ$8,AL714)))</f>
      </c>
      <c r="AN714" s="748">
        <f>+IF(OR(AM714&gt;AZ713,AM714=0),0,IF(AM714=AL714,AK714,$AZ$7-AL713))</f>
      </c>
      <c r="AO714" s="748">
        <f>+AK714-AN714</f>
      </c>
      <c r="AP714" s="217">
        <f>+_xlfn.IFNA(VLOOKUP(AJ714,$AF$7:$AI$1066,3,0),0)</f>
      </c>
      <c r="AQ714" s="217">
        <f>+IF(W714&gt;W713,AP714,AQ713+AP714)</f>
      </c>
      <c r="AR714" s="217">
        <f>+MAX($AM$2-SUMIF($W$7:$W$1066,W714,$AN$7:$AN$1066),0)</f>
      </c>
      <c r="AS714" s="748">
        <f>+MAX(IF(AQ714&gt;AR714,AR714-AQ713,AP714),0)</f>
      </c>
      <c r="AT714" s="748">
        <f>+AP714-AS714</f>
      </c>
      <c r="AU714" s="217">
        <f>+_xlfn.IFNA(VLOOKUP(AJ714,$AF$7:$AI$1066,4,0),0)</f>
      </c>
      <c r="AV714" s="217">
        <f>+IF(W714&gt;W713,AU714,AV713+AU714)</f>
      </c>
      <c r="AW714" s="217">
        <f>+MAX($AM$2-SUMIF($W$7:$W$1066,W714,$AN$7:$AN$1066)-SUMIF($W$7:$W$1066,W714,$AS$7:$AS$1066),0)</f>
      </c>
      <c r="AX714" s="748">
        <f>+MAX(IF(AV714&gt;AW714,AW714-AV713,AU714),0)</f>
      </c>
      <c r="AY714" s="748">
        <f>+AU714-AX714</f>
      </c>
      <c r="AZ714" s="331">
        <f>+$AM$1+IF($AP$1&gt;$AP$2,$AM$3/2)</f>
      </c>
    </row>
    <row x14ac:dyDescent="0.25" r="715" customHeight="1" ht="18.75">
      <c r="A715" s="1"/>
      <c r="B715" s="7"/>
      <c r="C715" s="170"/>
      <c r="D715" s="331">
        <v>708</v>
      </c>
      <c r="E715" s="544">
        <f>+DATE(YEAR(E714),MONTH(E714)-1,DAY(E714))</f>
        <v>25569.041666666668</v>
      </c>
      <c r="F715" s="333">
        <f>IF(DATE(YEAR($B$6),MONTH($B$6)+1,DAY(1))=E715,1,IF(MONTH(E715)=1,F716*(1+$F$5),F716))</f>
      </c>
      <c r="G715" s="333">
        <f>IF('Simulador - 1º Pilar'!$E$99="Sí",IF('Aportaciones PPE'!$B$13&lt;'Aportaciones PPE'!E715,0,F715*$B$8/12),F715*$B$8/12)</f>
      </c>
      <c r="H715" s="333">
        <f>$H$5*G715</f>
      </c>
      <c r="I715" s="333">
        <f>$I$5*G715</f>
      </c>
      <c r="J715" s="333">
        <f>+I715</f>
      </c>
      <c r="K715" s="333">
        <f>(1+$O$5)^(D715/12)*(H715+IF(AND(F715=1,F716=0),$S$4,0))</f>
      </c>
      <c r="L715" s="333">
        <f>(1+$O$5)^(D715/12)*(I715+IF(AND(F715=1,F716=0),0))</f>
      </c>
      <c r="M715" s="333">
        <f>+L715</f>
      </c>
      <c r="N715" s="333">
        <f>L715+K715+M715</f>
      </c>
      <c r="O715" s="170"/>
      <c r="P715" s="7"/>
      <c r="Q715" s="1"/>
      <c r="R715" s="331">
        <f>D715</f>
      </c>
      <c r="S715" s="169"/>
      <c r="T715" s="1"/>
      <c r="U715" s="217"/>
      <c r="V715" s="331">
        <f>+IF(V714=11,12,IF(V714=12,1,V714+1))</f>
      </c>
      <c r="W715" s="331">
        <f>+W714+IF(V714=12,1,0)</f>
      </c>
      <c r="X715" s="555">
        <f>+DATE(W715,V715,1)</f>
        <v>25569.041666666668</v>
      </c>
      <c r="Y715" s="333">
        <f>+_xlfn.IFNA(AN715+AS715+AX715,0)</f>
      </c>
      <c r="Z715" s="333">
        <f>+_xlfn.IFNA(AO715+AT715+AY715,0)</f>
      </c>
      <c r="AA715" s="333">
        <f>Y715*(1+$O$5)^(($B$7-X715)/365.25)</f>
      </c>
      <c r="AB715" s="333">
        <f>Z715*(1+$O$5)^(($B$7-X715)/365.25)</f>
      </c>
      <c r="AC715" s="1"/>
      <c r="AD715" s="1"/>
      <c r="AE715" s="1"/>
      <c r="AF715" s="111">
        <f>+MONTH(E715)&amp;YEAR(E715)</f>
      </c>
      <c r="AG715" s="217">
        <f>+I715</f>
      </c>
      <c r="AH715" s="217">
        <f>+J715</f>
      </c>
      <c r="AI715" s="217">
        <f>+H715</f>
      </c>
      <c r="AJ715" s="111">
        <f>+V715&amp;W715</f>
      </c>
      <c r="AK715" s="217">
        <f>+_xlfn.IFNA(VLOOKUP(AJ715,$AF$7:$AG$1066,2,0),0)</f>
      </c>
      <c r="AL715" s="217">
        <f>+IF(W715&gt;W714,AK715,AL714+AK715)</f>
      </c>
      <c r="AM715" s="217">
        <f>IF(W715&gt;W714,IF(AL715&gt;=$AZ$8,$AZ$8,AL715),IF(OR(AM714=$AZ$8,AM714=0),0,IF(AL715&gt;=$AZ$8,$AZ$8,AL715)))</f>
      </c>
      <c r="AN715" s="748">
        <f>+IF(OR(AM715&gt;AZ714,AM715=0),0,IF(AM715=AL715,AK715,$AZ$7-AL714))</f>
      </c>
      <c r="AO715" s="748">
        <f>+AK715-AN715</f>
      </c>
      <c r="AP715" s="217">
        <f>+_xlfn.IFNA(VLOOKUP(AJ715,$AF$7:$AI$1066,3,0),0)</f>
      </c>
      <c r="AQ715" s="217">
        <f>+IF(W715&gt;W714,AP715,AQ714+AP715)</f>
      </c>
      <c r="AR715" s="217">
        <f>+MAX($AM$2-SUMIF($W$7:$W$1066,W715,$AN$7:$AN$1066),0)</f>
      </c>
      <c r="AS715" s="748">
        <f>+MAX(IF(AQ715&gt;AR715,AR715-AQ714,AP715),0)</f>
      </c>
      <c r="AT715" s="748">
        <f>+AP715-AS715</f>
      </c>
      <c r="AU715" s="217">
        <f>+_xlfn.IFNA(VLOOKUP(AJ715,$AF$7:$AI$1066,4,0),0)</f>
      </c>
      <c r="AV715" s="217">
        <f>+IF(W715&gt;W714,AU715,AV714+AU715)</f>
      </c>
      <c r="AW715" s="217">
        <f>+MAX($AM$2-SUMIF($W$7:$W$1066,W715,$AN$7:$AN$1066)-SUMIF($W$7:$W$1066,W715,$AS$7:$AS$1066),0)</f>
      </c>
      <c r="AX715" s="748">
        <f>+MAX(IF(AV715&gt;AW715,AW715-AV714,AU715),0)</f>
      </c>
      <c r="AY715" s="748">
        <f>+AU715-AX715</f>
      </c>
      <c r="AZ715" s="331">
        <f>+$AM$1+IF($AP$1&gt;$AP$2,$AM$3/2)</f>
      </c>
    </row>
    <row x14ac:dyDescent="0.25" r="716" customHeight="1" ht="18.75">
      <c r="A716" s="1"/>
      <c r="B716" s="7"/>
      <c r="C716" s="170"/>
      <c r="D716" s="331">
        <v>709</v>
      </c>
      <c r="E716" s="544">
        <f>+DATE(YEAR(E715),MONTH(E715)-1,DAY(E715))</f>
        <v>25569.041666666668</v>
      </c>
      <c r="F716" s="333">
        <f>IF(DATE(YEAR($B$6),MONTH($B$6)+1,DAY(1))=E716,1,IF(MONTH(E716)=1,F717*(1+$F$5),F717))</f>
      </c>
      <c r="G716" s="333">
        <f>IF('Simulador - 1º Pilar'!$E$99="Sí",IF('Aportaciones PPE'!$B$13&lt;'Aportaciones PPE'!E716,0,F716*$B$8/12),F716*$B$8/12)</f>
      </c>
      <c r="H716" s="333">
        <f>$H$5*G716</f>
      </c>
      <c r="I716" s="333">
        <f>$I$5*G716</f>
      </c>
      <c r="J716" s="333">
        <f>+I716</f>
      </c>
      <c r="K716" s="333">
        <f>(1+$O$5)^(D716/12)*(H716+IF(AND(F716=1,F717=0),$S$4,0))</f>
      </c>
      <c r="L716" s="333">
        <f>(1+$O$5)^(D716/12)*(I716+IF(AND(F716=1,F717=0),0))</f>
      </c>
      <c r="M716" s="333">
        <f>+L716</f>
      </c>
      <c r="N716" s="333">
        <f>L716+K716+M716</f>
      </c>
      <c r="O716" s="170"/>
      <c r="P716" s="7"/>
      <c r="Q716" s="1"/>
      <c r="R716" s="331">
        <f>D716</f>
      </c>
      <c r="S716" s="169"/>
      <c r="T716" s="1"/>
      <c r="U716" s="217"/>
      <c r="V716" s="331">
        <f>+IF(V715=11,12,IF(V715=12,1,V715+1))</f>
      </c>
      <c r="W716" s="331">
        <f>+W715+IF(V715=12,1,0)</f>
      </c>
      <c r="X716" s="555">
        <f>+DATE(W716,V716,1)</f>
        <v>25569.041666666668</v>
      </c>
      <c r="Y716" s="333">
        <f>+_xlfn.IFNA(AN716+AS716+AX716,0)</f>
      </c>
      <c r="Z716" s="333">
        <f>+_xlfn.IFNA(AO716+AT716+AY716,0)</f>
      </c>
      <c r="AA716" s="333">
        <f>Y716*(1+$O$5)^(($B$7-X716)/365.25)</f>
      </c>
      <c r="AB716" s="333">
        <f>Z716*(1+$O$5)^(($B$7-X716)/365.25)</f>
      </c>
      <c r="AC716" s="1"/>
      <c r="AD716" s="1"/>
      <c r="AE716" s="1"/>
      <c r="AF716" s="111">
        <f>+MONTH(E716)&amp;YEAR(E716)</f>
      </c>
      <c r="AG716" s="217">
        <f>+I716</f>
      </c>
      <c r="AH716" s="217">
        <f>+J716</f>
      </c>
      <c r="AI716" s="217">
        <f>+H716</f>
      </c>
      <c r="AJ716" s="111">
        <f>+V716&amp;W716</f>
      </c>
      <c r="AK716" s="217">
        <f>+_xlfn.IFNA(VLOOKUP(AJ716,$AF$7:$AG$1066,2,0),0)</f>
      </c>
      <c r="AL716" s="217">
        <f>+IF(W716&gt;W715,AK716,AL715+AK716)</f>
      </c>
      <c r="AM716" s="217">
        <f>IF(W716&gt;W715,IF(AL716&gt;=$AZ$8,$AZ$8,AL716),IF(OR(AM715=$AZ$8,AM715=0),0,IF(AL716&gt;=$AZ$8,$AZ$8,AL716)))</f>
      </c>
      <c r="AN716" s="748">
        <f>+IF(OR(AM716&gt;AZ715,AM716=0),0,IF(AM716=AL716,AK716,$AZ$7-AL715))</f>
      </c>
      <c r="AO716" s="748">
        <f>+AK716-AN716</f>
      </c>
      <c r="AP716" s="217">
        <f>+_xlfn.IFNA(VLOOKUP(AJ716,$AF$7:$AI$1066,3,0),0)</f>
      </c>
      <c r="AQ716" s="217">
        <f>+IF(W716&gt;W715,AP716,AQ715+AP716)</f>
      </c>
      <c r="AR716" s="217">
        <f>+MAX($AM$2-SUMIF($W$7:$W$1066,W716,$AN$7:$AN$1066),0)</f>
      </c>
      <c r="AS716" s="748">
        <f>+MAX(IF(AQ716&gt;AR716,AR716-AQ715,AP716),0)</f>
      </c>
      <c r="AT716" s="748">
        <f>+AP716-AS716</f>
      </c>
      <c r="AU716" s="217">
        <f>+_xlfn.IFNA(VLOOKUP(AJ716,$AF$7:$AI$1066,4,0),0)</f>
      </c>
      <c r="AV716" s="217">
        <f>+IF(W716&gt;W715,AU716,AV715+AU716)</f>
      </c>
      <c r="AW716" s="217">
        <f>+MAX($AM$2-SUMIF($W$7:$W$1066,W716,$AN$7:$AN$1066)-SUMIF($W$7:$W$1066,W716,$AS$7:$AS$1066),0)</f>
      </c>
      <c r="AX716" s="748">
        <f>+MAX(IF(AV716&gt;AW716,AW716-AV715,AU716),0)</f>
      </c>
      <c r="AY716" s="748">
        <f>+AU716-AX716</f>
      </c>
      <c r="AZ716" s="331">
        <f>+$AM$1+IF($AP$1&gt;$AP$2,$AM$3/2)</f>
      </c>
    </row>
    <row x14ac:dyDescent="0.25" r="717" customHeight="1" ht="18.75">
      <c r="A717" s="1"/>
      <c r="B717" s="7"/>
      <c r="C717" s="170"/>
      <c r="D717" s="331">
        <v>710</v>
      </c>
      <c r="E717" s="544">
        <f>+DATE(YEAR(E716),MONTH(E716)-1,DAY(E716))</f>
        <v>25569.041666666668</v>
      </c>
      <c r="F717" s="333">
        <f>IF(DATE(YEAR($B$6),MONTH($B$6)+1,DAY(1))=E717,1,IF(MONTH(E717)=1,F718*(1+$F$5),F718))</f>
      </c>
      <c r="G717" s="333">
        <f>IF('Simulador - 1º Pilar'!$E$99="Sí",IF('Aportaciones PPE'!$B$13&lt;'Aportaciones PPE'!E717,0,F717*$B$8/12),F717*$B$8/12)</f>
      </c>
      <c r="H717" s="333">
        <f>$H$5*G717</f>
      </c>
      <c r="I717" s="333">
        <f>$I$5*G717</f>
      </c>
      <c r="J717" s="333">
        <f>+I717</f>
      </c>
      <c r="K717" s="333">
        <f>(1+$O$5)^(D717/12)*(H717+IF(AND(F717=1,F718=0),$S$4,0))</f>
      </c>
      <c r="L717" s="333">
        <f>(1+$O$5)^(D717/12)*(I717+IF(AND(F717=1,F718=0),0))</f>
      </c>
      <c r="M717" s="333">
        <f>+L717</f>
      </c>
      <c r="N717" s="333">
        <f>L717+K717+M717</f>
      </c>
      <c r="O717" s="170"/>
      <c r="P717" s="7"/>
      <c r="Q717" s="1"/>
      <c r="R717" s="331">
        <f>D717</f>
      </c>
      <c r="S717" s="169"/>
      <c r="T717" s="1"/>
      <c r="U717" s="217"/>
      <c r="V717" s="331">
        <f>+IF(V716=11,12,IF(V716=12,1,V716+1))</f>
      </c>
      <c r="W717" s="331">
        <f>+W716+IF(V716=12,1,0)</f>
      </c>
      <c r="X717" s="555">
        <f>+DATE(W717,V717,1)</f>
        <v>25569.041666666668</v>
      </c>
      <c r="Y717" s="333">
        <f>+_xlfn.IFNA(AN717+AS717+AX717,0)</f>
      </c>
      <c r="Z717" s="333">
        <f>+_xlfn.IFNA(AO717+AT717+AY717,0)</f>
      </c>
      <c r="AA717" s="333">
        <f>Y717*(1+$O$5)^(($B$7-X717)/365.25)</f>
      </c>
      <c r="AB717" s="333">
        <f>Z717*(1+$O$5)^(($B$7-X717)/365.25)</f>
      </c>
      <c r="AC717" s="1"/>
      <c r="AD717" s="1"/>
      <c r="AE717" s="1"/>
      <c r="AF717" s="111">
        <f>+MONTH(E717)&amp;YEAR(E717)</f>
      </c>
      <c r="AG717" s="217">
        <f>+I717</f>
      </c>
      <c r="AH717" s="217">
        <f>+J717</f>
      </c>
      <c r="AI717" s="217">
        <f>+H717</f>
      </c>
      <c r="AJ717" s="111">
        <f>+V717&amp;W717</f>
      </c>
      <c r="AK717" s="217">
        <f>+_xlfn.IFNA(VLOOKUP(AJ717,$AF$7:$AG$1066,2,0),0)</f>
      </c>
      <c r="AL717" s="217">
        <f>+IF(W717&gt;W716,AK717,AL716+AK717)</f>
      </c>
      <c r="AM717" s="217">
        <f>IF(W717&gt;W716,IF(AL717&gt;=$AZ$8,$AZ$8,AL717),IF(OR(AM716=$AZ$8,AM716=0),0,IF(AL717&gt;=$AZ$8,$AZ$8,AL717)))</f>
      </c>
      <c r="AN717" s="748">
        <f>+IF(OR(AM717&gt;AZ716,AM717=0),0,IF(AM717=AL717,AK717,$AZ$7-AL716))</f>
      </c>
      <c r="AO717" s="748">
        <f>+AK717-AN717</f>
      </c>
      <c r="AP717" s="217">
        <f>+_xlfn.IFNA(VLOOKUP(AJ717,$AF$7:$AI$1066,3,0),0)</f>
      </c>
      <c r="AQ717" s="217">
        <f>+IF(W717&gt;W716,AP717,AQ716+AP717)</f>
      </c>
      <c r="AR717" s="217">
        <f>+MAX($AM$2-SUMIF($W$7:$W$1066,W717,$AN$7:$AN$1066),0)</f>
      </c>
      <c r="AS717" s="748">
        <f>+MAX(IF(AQ717&gt;AR717,AR717-AQ716,AP717),0)</f>
      </c>
      <c r="AT717" s="748">
        <f>+AP717-AS717</f>
      </c>
      <c r="AU717" s="217">
        <f>+_xlfn.IFNA(VLOOKUP(AJ717,$AF$7:$AI$1066,4,0),0)</f>
      </c>
      <c r="AV717" s="217">
        <f>+IF(W717&gt;W716,AU717,AV716+AU717)</f>
      </c>
      <c r="AW717" s="217">
        <f>+MAX($AM$2-SUMIF($W$7:$W$1066,W717,$AN$7:$AN$1066)-SUMIF($W$7:$W$1066,W717,$AS$7:$AS$1066),0)</f>
      </c>
      <c r="AX717" s="748">
        <f>+MAX(IF(AV717&gt;AW717,AW717-AV716,AU717),0)</f>
      </c>
      <c r="AY717" s="748">
        <f>+AU717-AX717</f>
      </c>
      <c r="AZ717" s="331">
        <f>+$AM$1+IF($AP$1&gt;$AP$2,$AM$3/2)</f>
      </c>
    </row>
    <row x14ac:dyDescent="0.25" r="718" customHeight="1" ht="18.75">
      <c r="A718" s="1"/>
      <c r="B718" s="7"/>
      <c r="C718" s="170"/>
      <c r="D718" s="331">
        <v>711</v>
      </c>
      <c r="E718" s="544">
        <f>+DATE(YEAR(E717),MONTH(E717)-1,DAY(E717))</f>
        <v>25569.041666666668</v>
      </c>
      <c r="F718" s="333">
        <f>IF(DATE(YEAR($B$6),MONTH($B$6)+1,DAY(1))=E718,1,IF(MONTH(E718)=1,F719*(1+$F$5),F719))</f>
      </c>
      <c r="G718" s="333">
        <f>IF('Simulador - 1º Pilar'!$E$99="Sí",IF('Aportaciones PPE'!$B$13&lt;'Aportaciones PPE'!E718,0,F718*$B$8/12),F718*$B$8/12)</f>
      </c>
      <c r="H718" s="333">
        <f>$H$5*G718</f>
      </c>
      <c r="I718" s="333">
        <f>$I$5*G718</f>
      </c>
      <c r="J718" s="333">
        <f>+I718</f>
      </c>
      <c r="K718" s="333">
        <f>(1+$O$5)^(D718/12)*(H718+IF(AND(F718=1,F719=0),$S$4,0))</f>
      </c>
      <c r="L718" s="333">
        <f>(1+$O$5)^(D718/12)*(I718+IF(AND(F718=1,F719=0),0))</f>
      </c>
      <c r="M718" s="333">
        <f>+L718</f>
      </c>
      <c r="N718" s="333">
        <f>L718+K718+M718</f>
      </c>
      <c r="O718" s="170"/>
      <c r="P718" s="7"/>
      <c r="Q718" s="1"/>
      <c r="R718" s="331">
        <f>D718</f>
      </c>
      <c r="S718" s="169"/>
      <c r="T718" s="1"/>
      <c r="U718" s="217"/>
      <c r="V718" s="331">
        <f>+IF(V717=11,12,IF(V717=12,1,V717+1))</f>
      </c>
      <c r="W718" s="331">
        <f>+W717+IF(V717=12,1,0)</f>
      </c>
      <c r="X718" s="555">
        <f>+DATE(W718,V718,1)</f>
        <v>25569.041666666668</v>
      </c>
      <c r="Y718" s="333">
        <f>+_xlfn.IFNA(AN718+AS718+AX718,0)</f>
      </c>
      <c r="Z718" s="333">
        <f>+_xlfn.IFNA(AO718+AT718+AY718,0)</f>
      </c>
      <c r="AA718" s="333">
        <f>Y718*(1+$O$5)^(($B$7-X718)/365.25)</f>
      </c>
      <c r="AB718" s="333">
        <f>Z718*(1+$O$5)^(($B$7-X718)/365.25)</f>
      </c>
      <c r="AC718" s="1"/>
      <c r="AD718" s="1"/>
      <c r="AE718" s="1"/>
      <c r="AF718" s="111">
        <f>+MONTH(E718)&amp;YEAR(E718)</f>
      </c>
      <c r="AG718" s="217">
        <f>+I718</f>
      </c>
      <c r="AH718" s="217">
        <f>+J718</f>
      </c>
      <c r="AI718" s="217">
        <f>+H718</f>
      </c>
      <c r="AJ718" s="111">
        <f>+V718&amp;W718</f>
      </c>
      <c r="AK718" s="217">
        <f>+_xlfn.IFNA(VLOOKUP(AJ718,$AF$7:$AG$1066,2,0),0)</f>
      </c>
      <c r="AL718" s="217">
        <f>+IF(W718&gt;W717,AK718,AL717+AK718)</f>
      </c>
      <c r="AM718" s="217">
        <f>IF(W718&gt;W717,IF(AL718&gt;=$AZ$8,$AZ$8,AL718),IF(OR(AM717=$AZ$8,AM717=0),0,IF(AL718&gt;=$AZ$8,$AZ$8,AL718)))</f>
      </c>
      <c r="AN718" s="748">
        <f>+IF(OR(AM718&gt;AZ717,AM718=0),0,IF(AM718=AL718,AK718,$AZ$7-AL717))</f>
      </c>
      <c r="AO718" s="748">
        <f>+AK718-AN718</f>
      </c>
      <c r="AP718" s="217">
        <f>+_xlfn.IFNA(VLOOKUP(AJ718,$AF$7:$AI$1066,3,0),0)</f>
      </c>
      <c r="AQ718" s="217">
        <f>+IF(W718&gt;W717,AP718,AQ717+AP718)</f>
      </c>
      <c r="AR718" s="217">
        <f>+MAX($AM$2-SUMIF($W$7:$W$1066,W718,$AN$7:$AN$1066),0)</f>
      </c>
      <c r="AS718" s="748">
        <f>+MAX(IF(AQ718&gt;AR718,AR718-AQ717,AP718),0)</f>
      </c>
      <c r="AT718" s="748">
        <f>+AP718-AS718</f>
      </c>
      <c r="AU718" s="217">
        <f>+_xlfn.IFNA(VLOOKUP(AJ718,$AF$7:$AI$1066,4,0),0)</f>
      </c>
      <c r="AV718" s="217">
        <f>+IF(W718&gt;W717,AU718,AV717+AU718)</f>
      </c>
      <c r="AW718" s="217">
        <f>+MAX($AM$2-SUMIF($W$7:$W$1066,W718,$AN$7:$AN$1066)-SUMIF($W$7:$W$1066,W718,$AS$7:$AS$1066),0)</f>
      </c>
      <c r="AX718" s="748">
        <f>+MAX(IF(AV718&gt;AW718,AW718-AV717,AU718),0)</f>
      </c>
      <c r="AY718" s="748">
        <f>+AU718-AX718</f>
      </c>
      <c r="AZ718" s="331">
        <f>+$AM$1+IF($AP$1&gt;$AP$2,$AM$3/2)</f>
      </c>
    </row>
    <row x14ac:dyDescent="0.25" r="719" customHeight="1" ht="18.75">
      <c r="A719" s="1"/>
      <c r="B719" s="7"/>
      <c r="C719" s="170"/>
      <c r="D719" s="331">
        <v>712</v>
      </c>
      <c r="E719" s="544">
        <f>+DATE(YEAR(E718),MONTH(E718)-1,DAY(E718))</f>
        <v>25569.041666666668</v>
      </c>
      <c r="F719" s="333">
        <f>IF(DATE(YEAR($B$6),MONTH($B$6)+1,DAY(1))=E719,1,IF(MONTH(E719)=1,F720*(1+$F$5),F720))</f>
      </c>
      <c r="G719" s="333">
        <f>IF('Simulador - 1º Pilar'!$E$99="Sí",IF('Aportaciones PPE'!$B$13&lt;'Aportaciones PPE'!E719,0,F719*$B$8/12),F719*$B$8/12)</f>
      </c>
      <c r="H719" s="333">
        <f>$H$5*G719</f>
      </c>
      <c r="I719" s="333">
        <f>$I$5*G719</f>
      </c>
      <c r="J719" s="333">
        <f>+I719</f>
      </c>
      <c r="K719" s="333">
        <f>(1+$O$5)^(D719/12)*(H719+IF(AND(F719=1,F720=0),$S$4,0))</f>
      </c>
      <c r="L719" s="333">
        <f>(1+$O$5)^(D719/12)*(I719+IF(AND(F719=1,F720=0),0))</f>
      </c>
      <c r="M719" s="333">
        <f>+L719</f>
      </c>
      <c r="N719" s="333">
        <f>L719+K719+M719</f>
      </c>
      <c r="O719" s="170"/>
      <c r="P719" s="7"/>
      <c r="Q719" s="1"/>
      <c r="R719" s="331">
        <f>D719</f>
      </c>
      <c r="S719" s="169"/>
      <c r="T719" s="1"/>
      <c r="U719" s="217"/>
      <c r="V719" s="331">
        <f>+IF(V718=11,12,IF(V718=12,1,V718+1))</f>
      </c>
      <c r="W719" s="331">
        <f>+W718+IF(V718=12,1,0)</f>
      </c>
      <c r="X719" s="555">
        <f>+DATE(W719,V719,1)</f>
        <v>25569.041666666668</v>
      </c>
      <c r="Y719" s="333">
        <f>+_xlfn.IFNA(AN719+AS719+AX719,0)</f>
      </c>
      <c r="Z719" s="333">
        <f>+_xlfn.IFNA(AO719+AT719+AY719,0)</f>
      </c>
      <c r="AA719" s="333">
        <f>Y719*(1+$O$5)^(($B$7-X719)/365.25)</f>
      </c>
      <c r="AB719" s="333">
        <f>Z719*(1+$O$5)^(($B$7-X719)/365.25)</f>
      </c>
      <c r="AC719" s="1"/>
      <c r="AD719" s="1"/>
      <c r="AE719" s="1"/>
      <c r="AF719" s="111">
        <f>+MONTH(E719)&amp;YEAR(E719)</f>
      </c>
      <c r="AG719" s="217">
        <f>+I719</f>
      </c>
      <c r="AH719" s="217">
        <f>+J719</f>
      </c>
      <c r="AI719" s="217">
        <f>+H719</f>
      </c>
      <c r="AJ719" s="111">
        <f>+V719&amp;W719</f>
      </c>
      <c r="AK719" s="217">
        <f>+_xlfn.IFNA(VLOOKUP(AJ719,$AF$7:$AG$1066,2,0),0)</f>
      </c>
      <c r="AL719" s="217">
        <f>+IF(W719&gt;W718,AK719,AL718+AK719)</f>
      </c>
      <c r="AM719" s="217">
        <f>IF(W719&gt;W718,IF(AL719&gt;=$AZ$8,$AZ$8,AL719),IF(OR(AM718=$AZ$8,AM718=0),0,IF(AL719&gt;=$AZ$8,$AZ$8,AL719)))</f>
      </c>
      <c r="AN719" s="748">
        <f>+IF(OR(AM719&gt;AZ718,AM719=0),0,IF(AM719=AL719,AK719,$AZ$7-AL718))</f>
      </c>
      <c r="AO719" s="748">
        <f>+AK719-AN719</f>
      </c>
      <c r="AP719" s="217">
        <f>+_xlfn.IFNA(VLOOKUP(AJ719,$AF$7:$AI$1066,3,0),0)</f>
      </c>
      <c r="AQ719" s="217">
        <f>+IF(W719&gt;W718,AP719,AQ718+AP719)</f>
      </c>
      <c r="AR719" s="217">
        <f>+MAX($AM$2-SUMIF($W$7:$W$1066,W719,$AN$7:$AN$1066),0)</f>
      </c>
      <c r="AS719" s="748">
        <f>+MAX(IF(AQ719&gt;AR719,AR719-AQ718,AP719),0)</f>
      </c>
      <c r="AT719" s="748">
        <f>+AP719-AS719</f>
      </c>
      <c r="AU719" s="217">
        <f>+_xlfn.IFNA(VLOOKUP(AJ719,$AF$7:$AI$1066,4,0),0)</f>
      </c>
      <c r="AV719" s="217">
        <f>+IF(W719&gt;W718,AU719,AV718+AU719)</f>
      </c>
      <c r="AW719" s="217">
        <f>+MAX($AM$2-SUMIF($W$7:$W$1066,W719,$AN$7:$AN$1066)-SUMIF($W$7:$W$1066,W719,$AS$7:$AS$1066),0)</f>
      </c>
      <c r="AX719" s="748">
        <f>+MAX(IF(AV719&gt;AW719,AW719-AV718,AU719),0)</f>
      </c>
      <c r="AY719" s="748">
        <f>+AU719-AX719</f>
      </c>
      <c r="AZ719" s="331">
        <f>+$AM$1+IF($AP$1&gt;$AP$2,$AM$3/2)</f>
      </c>
    </row>
    <row x14ac:dyDescent="0.25" r="720" customHeight="1" ht="18.75">
      <c r="A720" s="1"/>
      <c r="B720" s="7"/>
      <c r="C720" s="170"/>
      <c r="D720" s="331">
        <v>713</v>
      </c>
      <c r="E720" s="544">
        <f>+DATE(YEAR(E719),MONTH(E719)-1,DAY(E719))</f>
        <v>25569.041666666668</v>
      </c>
      <c r="F720" s="333">
        <f>IF(DATE(YEAR($B$6),MONTH($B$6)+1,DAY(1))=E720,1,IF(MONTH(E720)=1,F721*(1+$F$5),F721))</f>
      </c>
      <c r="G720" s="333">
        <f>IF('Simulador - 1º Pilar'!$E$99="Sí",IF('Aportaciones PPE'!$B$13&lt;'Aportaciones PPE'!E720,0,F720*$B$8/12),F720*$B$8/12)</f>
      </c>
      <c r="H720" s="333">
        <f>$H$5*G720</f>
      </c>
      <c r="I720" s="333">
        <f>$I$5*G720</f>
      </c>
      <c r="J720" s="333">
        <f>+I720</f>
      </c>
      <c r="K720" s="333">
        <f>(1+$O$5)^(D720/12)*(H720+IF(AND(F720=1,F721=0),$S$4,0))</f>
      </c>
      <c r="L720" s="333">
        <f>(1+$O$5)^(D720/12)*(I720+IF(AND(F720=1,F721=0),0))</f>
      </c>
      <c r="M720" s="333">
        <f>+L720</f>
      </c>
      <c r="N720" s="333">
        <f>L720+K720+M720</f>
      </c>
      <c r="O720" s="170"/>
      <c r="P720" s="7"/>
      <c r="Q720" s="1"/>
      <c r="R720" s="331">
        <f>D720</f>
      </c>
      <c r="S720" s="169"/>
      <c r="T720" s="1"/>
      <c r="U720" s="217"/>
      <c r="V720" s="331">
        <f>+IF(V719=11,12,IF(V719=12,1,V719+1))</f>
      </c>
      <c r="W720" s="331">
        <f>+W719+IF(V719=12,1,0)</f>
      </c>
      <c r="X720" s="555">
        <f>+DATE(W720,V720,1)</f>
        <v>25569.041666666668</v>
      </c>
      <c r="Y720" s="333">
        <f>+_xlfn.IFNA(AN720+AS720+AX720,0)</f>
      </c>
      <c r="Z720" s="333">
        <f>+_xlfn.IFNA(AO720+AT720+AY720,0)</f>
      </c>
      <c r="AA720" s="333">
        <f>Y720*(1+$O$5)^(($B$7-X720)/365.25)</f>
      </c>
      <c r="AB720" s="333">
        <f>Z720*(1+$O$5)^(($B$7-X720)/365.25)</f>
      </c>
      <c r="AC720" s="1"/>
      <c r="AD720" s="1"/>
      <c r="AE720" s="1"/>
      <c r="AF720" s="111">
        <f>+MONTH(E720)&amp;YEAR(E720)</f>
      </c>
      <c r="AG720" s="217">
        <f>+I720</f>
      </c>
      <c r="AH720" s="217">
        <f>+J720</f>
      </c>
      <c r="AI720" s="217">
        <f>+H720</f>
      </c>
      <c r="AJ720" s="111">
        <f>+V720&amp;W720</f>
      </c>
      <c r="AK720" s="217">
        <f>+_xlfn.IFNA(VLOOKUP(AJ720,$AF$7:$AG$1066,2,0),0)</f>
      </c>
      <c r="AL720" s="217">
        <f>+IF(W720&gt;W719,AK720,AL719+AK720)</f>
      </c>
      <c r="AM720" s="217">
        <f>IF(W720&gt;W719,IF(AL720&gt;=$AZ$8,$AZ$8,AL720),IF(OR(AM719=$AZ$8,AM719=0),0,IF(AL720&gt;=$AZ$8,$AZ$8,AL720)))</f>
      </c>
      <c r="AN720" s="748">
        <f>+IF(OR(AM720&gt;AZ719,AM720=0),0,IF(AM720=AL720,AK720,$AZ$7-AL719))</f>
      </c>
      <c r="AO720" s="748">
        <f>+AK720-AN720</f>
      </c>
      <c r="AP720" s="217">
        <f>+_xlfn.IFNA(VLOOKUP(AJ720,$AF$7:$AI$1066,3,0),0)</f>
      </c>
      <c r="AQ720" s="217">
        <f>+IF(W720&gt;W719,AP720,AQ719+AP720)</f>
      </c>
      <c r="AR720" s="217">
        <f>+MAX($AM$2-SUMIF($W$7:$W$1066,W720,$AN$7:$AN$1066),0)</f>
      </c>
      <c r="AS720" s="748">
        <f>+MAX(IF(AQ720&gt;AR720,AR720-AQ719,AP720),0)</f>
      </c>
      <c r="AT720" s="748">
        <f>+AP720-AS720</f>
      </c>
      <c r="AU720" s="217">
        <f>+_xlfn.IFNA(VLOOKUP(AJ720,$AF$7:$AI$1066,4,0),0)</f>
      </c>
      <c r="AV720" s="217">
        <f>+IF(W720&gt;W719,AU720,AV719+AU720)</f>
      </c>
      <c r="AW720" s="217">
        <f>+MAX($AM$2-SUMIF($W$7:$W$1066,W720,$AN$7:$AN$1066)-SUMIF($W$7:$W$1066,W720,$AS$7:$AS$1066),0)</f>
      </c>
      <c r="AX720" s="748">
        <f>+MAX(IF(AV720&gt;AW720,AW720-AV719,AU720),0)</f>
      </c>
      <c r="AY720" s="748">
        <f>+AU720-AX720</f>
      </c>
      <c r="AZ720" s="331">
        <f>+$AM$1+IF($AP$1&gt;$AP$2,$AM$3/2)</f>
      </c>
    </row>
    <row x14ac:dyDescent="0.25" r="721" customHeight="1" ht="18.75">
      <c r="A721" s="1"/>
      <c r="B721" s="7"/>
      <c r="C721" s="170"/>
      <c r="D721" s="331">
        <v>714</v>
      </c>
      <c r="E721" s="544">
        <f>+DATE(YEAR(E720),MONTH(E720)-1,DAY(E720))</f>
        <v>25569.041666666668</v>
      </c>
      <c r="F721" s="333">
        <f>IF(DATE(YEAR($B$6),MONTH($B$6)+1,DAY(1))=E721,1,IF(MONTH(E721)=1,F722*(1+$F$5),F722))</f>
      </c>
      <c r="G721" s="333">
        <f>IF('Simulador - 1º Pilar'!$E$99="Sí",IF('Aportaciones PPE'!$B$13&lt;'Aportaciones PPE'!E721,0,F721*$B$8/12),F721*$B$8/12)</f>
      </c>
      <c r="H721" s="333">
        <f>$H$5*G721</f>
      </c>
      <c r="I721" s="333">
        <f>$I$5*G721</f>
      </c>
      <c r="J721" s="333">
        <f>+I721</f>
      </c>
      <c r="K721" s="333">
        <f>(1+$O$5)^(D721/12)*(H721+IF(AND(F721=1,F722=0),$S$4,0))</f>
      </c>
      <c r="L721" s="333">
        <f>(1+$O$5)^(D721/12)*(I721+IF(AND(F721=1,F722=0),0))</f>
      </c>
      <c r="M721" s="333">
        <f>+L721</f>
      </c>
      <c r="N721" s="333">
        <f>L721+K721+M721</f>
      </c>
      <c r="O721" s="170"/>
      <c r="P721" s="7"/>
      <c r="Q721" s="1"/>
      <c r="R721" s="331">
        <f>D721</f>
      </c>
      <c r="S721" s="169"/>
      <c r="T721" s="1"/>
      <c r="U721" s="217"/>
      <c r="V721" s="331">
        <f>+IF(V720=11,12,IF(V720=12,1,V720+1))</f>
      </c>
      <c r="W721" s="331">
        <f>+W720+IF(V720=12,1,0)</f>
      </c>
      <c r="X721" s="555">
        <f>+DATE(W721,V721,1)</f>
        <v>25569.041666666668</v>
      </c>
      <c r="Y721" s="333">
        <f>+_xlfn.IFNA(AN721+AS721+AX721,0)</f>
      </c>
      <c r="Z721" s="333">
        <f>+_xlfn.IFNA(AO721+AT721+AY721,0)</f>
      </c>
      <c r="AA721" s="333">
        <f>Y721*(1+$O$5)^(($B$7-X721)/365.25)</f>
      </c>
      <c r="AB721" s="333">
        <f>Z721*(1+$O$5)^(($B$7-X721)/365.25)</f>
      </c>
      <c r="AC721" s="1"/>
      <c r="AD721" s="1"/>
      <c r="AE721" s="1"/>
      <c r="AF721" s="111">
        <f>+MONTH(E721)&amp;YEAR(E721)</f>
      </c>
      <c r="AG721" s="217">
        <f>+I721</f>
      </c>
      <c r="AH721" s="217">
        <f>+J721</f>
      </c>
      <c r="AI721" s="217">
        <f>+H721</f>
      </c>
      <c r="AJ721" s="111">
        <f>+V721&amp;W721</f>
      </c>
      <c r="AK721" s="217">
        <f>+_xlfn.IFNA(VLOOKUP(AJ721,$AF$7:$AG$1066,2,0),0)</f>
      </c>
      <c r="AL721" s="217">
        <f>+IF(W721&gt;W720,AK721,AL720+AK721)</f>
      </c>
      <c r="AM721" s="217">
        <f>IF(W721&gt;W720,IF(AL721&gt;=$AZ$8,$AZ$8,AL721),IF(OR(AM720=$AZ$8,AM720=0),0,IF(AL721&gt;=$AZ$8,$AZ$8,AL721)))</f>
      </c>
      <c r="AN721" s="748">
        <f>+IF(OR(AM721&gt;AZ720,AM721=0),0,IF(AM721=AL721,AK721,$AZ$7-AL720))</f>
      </c>
      <c r="AO721" s="748">
        <f>+AK721-AN721</f>
      </c>
      <c r="AP721" s="217">
        <f>+_xlfn.IFNA(VLOOKUP(AJ721,$AF$7:$AI$1066,3,0),0)</f>
      </c>
      <c r="AQ721" s="217">
        <f>+IF(W721&gt;W720,AP721,AQ720+AP721)</f>
      </c>
      <c r="AR721" s="217">
        <f>+MAX($AM$2-SUMIF($W$7:$W$1066,W721,$AN$7:$AN$1066),0)</f>
      </c>
      <c r="AS721" s="748">
        <f>+MAX(IF(AQ721&gt;AR721,AR721-AQ720,AP721),0)</f>
      </c>
      <c r="AT721" s="748">
        <f>+AP721-AS721</f>
      </c>
      <c r="AU721" s="217">
        <f>+_xlfn.IFNA(VLOOKUP(AJ721,$AF$7:$AI$1066,4,0),0)</f>
      </c>
      <c r="AV721" s="217">
        <f>+IF(W721&gt;W720,AU721,AV720+AU721)</f>
      </c>
      <c r="AW721" s="217">
        <f>+MAX($AM$2-SUMIF($W$7:$W$1066,W721,$AN$7:$AN$1066)-SUMIF($W$7:$W$1066,W721,$AS$7:$AS$1066),0)</f>
      </c>
      <c r="AX721" s="748">
        <f>+MAX(IF(AV721&gt;AW721,AW721-AV720,AU721),0)</f>
      </c>
      <c r="AY721" s="748">
        <f>+AU721-AX721</f>
      </c>
      <c r="AZ721" s="331">
        <f>+$AM$1+IF($AP$1&gt;$AP$2,$AM$3/2)</f>
      </c>
    </row>
    <row x14ac:dyDescent="0.25" r="722" customHeight="1" ht="18.75">
      <c r="A722" s="1"/>
      <c r="B722" s="7"/>
      <c r="C722" s="170"/>
      <c r="D722" s="331">
        <v>715</v>
      </c>
      <c r="E722" s="544">
        <f>+DATE(YEAR(E721),MONTH(E721)-1,DAY(E721))</f>
        <v>25569.041666666668</v>
      </c>
      <c r="F722" s="333">
        <f>IF(DATE(YEAR($B$6),MONTH($B$6)+1,DAY(1))=E722,1,IF(MONTH(E722)=1,F723*(1+$F$5),F723))</f>
      </c>
      <c r="G722" s="333">
        <f>IF('Simulador - 1º Pilar'!$E$99="Sí",IF('Aportaciones PPE'!$B$13&lt;'Aportaciones PPE'!E722,0,F722*$B$8/12),F722*$B$8/12)</f>
      </c>
      <c r="H722" s="333">
        <f>$H$5*G722</f>
      </c>
      <c r="I722" s="333">
        <f>$I$5*G722</f>
      </c>
      <c r="J722" s="333">
        <f>+I722</f>
      </c>
      <c r="K722" s="333">
        <f>(1+$O$5)^(D722/12)*(H722+IF(AND(F722=1,F723=0),$S$4,0))</f>
      </c>
      <c r="L722" s="333">
        <f>(1+$O$5)^(D722/12)*(I722+IF(AND(F722=1,F723=0),0))</f>
      </c>
      <c r="M722" s="333">
        <f>+L722</f>
      </c>
      <c r="N722" s="333">
        <f>L722+K722+M722</f>
      </c>
      <c r="O722" s="170"/>
      <c r="P722" s="7"/>
      <c r="Q722" s="1"/>
      <c r="R722" s="331">
        <f>D722</f>
      </c>
      <c r="S722" s="169"/>
      <c r="T722" s="1"/>
      <c r="U722" s="217"/>
      <c r="V722" s="331">
        <f>+IF(V721=11,12,IF(V721=12,1,V721+1))</f>
      </c>
      <c r="W722" s="331">
        <f>+W721+IF(V721=12,1,0)</f>
      </c>
      <c r="X722" s="555">
        <f>+DATE(W722,V722,1)</f>
        <v>25569.041666666668</v>
      </c>
      <c r="Y722" s="333">
        <f>+_xlfn.IFNA(AN722+AS722+AX722,0)</f>
      </c>
      <c r="Z722" s="333">
        <f>+_xlfn.IFNA(AO722+AT722+AY722,0)</f>
      </c>
      <c r="AA722" s="333">
        <f>Y722*(1+$O$5)^(($B$7-X722)/365.25)</f>
      </c>
      <c r="AB722" s="333">
        <f>Z722*(1+$O$5)^(($B$7-X722)/365.25)</f>
      </c>
      <c r="AC722" s="1"/>
      <c r="AD722" s="1"/>
      <c r="AE722" s="1"/>
      <c r="AF722" s="111">
        <f>+MONTH(E722)&amp;YEAR(E722)</f>
      </c>
      <c r="AG722" s="217">
        <f>+I722</f>
      </c>
      <c r="AH722" s="217">
        <f>+J722</f>
      </c>
      <c r="AI722" s="217">
        <f>+H722</f>
      </c>
      <c r="AJ722" s="111">
        <f>+V722&amp;W722</f>
      </c>
      <c r="AK722" s="217">
        <f>+_xlfn.IFNA(VLOOKUP(AJ722,$AF$7:$AG$1066,2,0),0)</f>
      </c>
      <c r="AL722" s="217">
        <f>+IF(W722&gt;W721,AK722,AL721+AK722)</f>
      </c>
      <c r="AM722" s="217">
        <f>IF(W722&gt;W721,IF(AL722&gt;=$AZ$8,$AZ$8,AL722),IF(OR(AM721=$AZ$8,AM721=0),0,IF(AL722&gt;=$AZ$8,$AZ$8,AL722)))</f>
      </c>
      <c r="AN722" s="748">
        <f>+IF(OR(AM722&gt;AZ721,AM722=0),0,IF(AM722=AL722,AK722,$AZ$7-AL721))</f>
      </c>
      <c r="AO722" s="748">
        <f>+AK722-AN722</f>
      </c>
      <c r="AP722" s="217">
        <f>+_xlfn.IFNA(VLOOKUP(AJ722,$AF$7:$AI$1066,3,0),0)</f>
      </c>
      <c r="AQ722" s="217">
        <f>+IF(W722&gt;W721,AP722,AQ721+AP722)</f>
      </c>
      <c r="AR722" s="217">
        <f>+MAX($AM$2-SUMIF($W$7:$W$1066,W722,$AN$7:$AN$1066),0)</f>
      </c>
      <c r="AS722" s="748">
        <f>+MAX(IF(AQ722&gt;AR722,AR722-AQ721,AP722),0)</f>
      </c>
      <c r="AT722" s="748">
        <f>+AP722-AS722</f>
      </c>
      <c r="AU722" s="217">
        <f>+_xlfn.IFNA(VLOOKUP(AJ722,$AF$7:$AI$1066,4,0),0)</f>
      </c>
      <c r="AV722" s="217">
        <f>+IF(W722&gt;W721,AU722,AV721+AU722)</f>
      </c>
      <c r="AW722" s="217">
        <f>+MAX($AM$2-SUMIF($W$7:$W$1066,W722,$AN$7:$AN$1066)-SUMIF($W$7:$W$1066,W722,$AS$7:$AS$1066),0)</f>
      </c>
      <c r="AX722" s="748">
        <f>+MAX(IF(AV722&gt;AW722,AW722-AV721,AU722),0)</f>
      </c>
      <c r="AY722" s="748">
        <f>+AU722-AX722</f>
      </c>
      <c r="AZ722" s="331">
        <f>+$AM$1+IF($AP$1&gt;$AP$2,$AM$3/2)</f>
      </c>
    </row>
    <row x14ac:dyDescent="0.25" r="723" customHeight="1" ht="18.75">
      <c r="A723" s="1"/>
      <c r="B723" s="7"/>
      <c r="C723" s="170"/>
      <c r="D723" s="331">
        <v>716</v>
      </c>
      <c r="E723" s="544">
        <f>+DATE(YEAR(E722),MONTH(E722)-1,DAY(E722))</f>
        <v>25569.041666666668</v>
      </c>
      <c r="F723" s="333">
        <f>IF(DATE(YEAR($B$6),MONTH($B$6)+1,DAY(1))=E723,1,IF(MONTH(E723)=1,F724*(1+$F$5),F724))</f>
      </c>
      <c r="G723" s="333">
        <f>IF('Simulador - 1º Pilar'!$E$99="Sí",IF('Aportaciones PPE'!$B$13&lt;'Aportaciones PPE'!E723,0,F723*$B$8/12),F723*$B$8/12)</f>
      </c>
      <c r="H723" s="333">
        <f>$H$5*G723</f>
      </c>
      <c r="I723" s="333">
        <f>$I$5*G723</f>
      </c>
      <c r="J723" s="333">
        <f>+I723</f>
      </c>
      <c r="K723" s="333">
        <f>(1+$O$5)^(D723/12)*(H723+IF(AND(F723=1,F724=0),$S$4,0))</f>
      </c>
      <c r="L723" s="333">
        <f>(1+$O$5)^(D723/12)*(I723+IF(AND(F723=1,F724=0),0))</f>
      </c>
      <c r="M723" s="333">
        <f>+L723</f>
      </c>
      <c r="N723" s="333">
        <f>L723+K723+M723</f>
      </c>
      <c r="O723" s="170"/>
      <c r="P723" s="7"/>
      <c r="Q723" s="1"/>
      <c r="R723" s="331">
        <f>D723</f>
      </c>
      <c r="S723" s="169"/>
      <c r="T723" s="1"/>
      <c r="U723" s="217"/>
      <c r="V723" s="331">
        <f>+IF(V722=11,12,IF(V722=12,1,V722+1))</f>
      </c>
      <c r="W723" s="331">
        <f>+W722+IF(V722=12,1,0)</f>
      </c>
      <c r="X723" s="555">
        <f>+DATE(W723,V723,1)</f>
        <v>25569.041666666668</v>
      </c>
      <c r="Y723" s="333">
        <f>+_xlfn.IFNA(AN723+AS723+AX723,0)</f>
      </c>
      <c r="Z723" s="333">
        <f>+_xlfn.IFNA(AO723+AT723+AY723,0)</f>
      </c>
      <c r="AA723" s="333">
        <f>Y723*(1+$O$5)^(($B$7-X723)/365.25)</f>
      </c>
      <c r="AB723" s="333">
        <f>Z723*(1+$O$5)^(($B$7-X723)/365.25)</f>
      </c>
      <c r="AC723" s="1"/>
      <c r="AD723" s="1"/>
      <c r="AE723" s="1"/>
      <c r="AF723" s="111">
        <f>+MONTH(E723)&amp;YEAR(E723)</f>
      </c>
      <c r="AG723" s="217">
        <f>+I723</f>
      </c>
      <c r="AH723" s="217">
        <f>+J723</f>
      </c>
      <c r="AI723" s="217">
        <f>+H723</f>
      </c>
      <c r="AJ723" s="111">
        <f>+V723&amp;W723</f>
      </c>
      <c r="AK723" s="217">
        <f>+_xlfn.IFNA(VLOOKUP(AJ723,$AF$7:$AG$1066,2,0),0)</f>
      </c>
      <c r="AL723" s="217">
        <f>+IF(W723&gt;W722,AK723,AL722+AK723)</f>
      </c>
      <c r="AM723" s="217">
        <f>IF(W723&gt;W722,IF(AL723&gt;=$AZ$8,$AZ$8,AL723),IF(OR(AM722=$AZ$8,AM722=0),0,IF(AL723&gt;=$AZ$8,$AZ$8,AL723)))</f>
      </c>
      <c r="AN723" s="748">
        <f>+IF(OR(AM723&gt;AZ722,AM723=0),0,IF(AM723=AL723,AK723,$AZ$7-AL722))</f>
      </c>
      <c r="AO723" s="748">
        <f>+AK723-AN723</f>
      </c>
      <c r="AP723" s="217">
        <f>+_xlfn.IFNA(VLOOKUP(AJ723,$AF$7:$AI$1066,3,0),0)</f>
      </c>
      <c r="AQ723" s="217">
        <f>+IF(W723&gt;W722,AP723,AQ722+AP723)</f>
      </c>
      <c r="AR723" s="217">
        <f>+MAX($AM$2-SUMIF($W$7:$W$1066,W723,$AN$7:$AN$1066),0)</f>
      </c>
      <c r="AS723" s="748">
        <f>+MAX(IF(AQ723&gt;AR723,AR723-AQ722,AP723),0)</f>
      </c>
      <c r="AT723" s="748">
        <f>+AP723-AS723</f>
      </c>
      <c r="AU723" s="217">
        <f>+_xlfn.IFNA(VLOOKUP(AJ723,$AF$7:$AI$1066,4,0),0)</f>
      </c>
      <c r="AV723" s="217">
        <f>+IF(W723&gt;W722,AU723,AV722+AU723)</f>
      </c>
      <c r="AW723" s="217">
        <f>+MAX($AM$2-SUMIF($W$7:$W$1066,W723,$AN$7:$AN$1066)-SUMIF($W$7:$W$1066,W723,$AS$7:$AS$1066),0)</f>
      </c>
      <c r="AX723" s="748">
        <f>+MAX(IF(AV723&gt;AW723,AW723-AV722,AU723),0)</f>
      </c>
      <c r="AY723" s="748">
        <f>+AU723-AX723</f>
      </c>
      <c r="AZ723" s="331">
        <f>+$AM$1+IF($AP$1&gt;$AP$2,$AM$3/2)</f>
      </c>
    </row>
    <row x14ac:dyDescent="0.25" r="724" customHeight="1" ht="18.75">
      <c r="A724" s="1"/>
      <c r="B724" s="7"/>
      <c r="C724" s="170"/>
      <c r="D724" s="331">
        <v>717</v>
      </c>
      <c r="E724" s="544">
        <f>+DATE(YEAR(E723),MONTH(E723)-1,DAY(E723))</f>
        <v>25569.041666666668</v>
      </c>
      <c r="F724" s="333">
        <f>IF(DATE(YEAR($B$6),MONTH($B$6)+1,DAY(1))=E724,1,IF(MONTH(E724)=1,F725*(1+$F$5),F725))</f>
      </c>
      <c r="G724" s="333">
        <f>IF('Simulador - 1º Pilar'!$E$99="Sí",IF('Aportaciones PPE'!$B$13&lt;'Aportaciones PPE'!E724,0,F724*$B$8/12),F724*$B$8/12)</f>
      </c>
      <c r="H724" s="333">
        <f>$H$5*G724</f>
      </c>
      <c r="I724" s="333">
        <f>$I$5*G724</f>
      </c>
      <c r="J724" s="333">
        <f>+I724</f>
      </c>
      <c r="K724" s="333">
        <f>(1+$O$5)^(D724/12)*(H724+IF(AND(F724=1,F725=0),$S$4,0))</f>
      </c>
      <c r="L724" s="333">
        <f>(1+$O$5)^(D724/12)*(I724+IF(AND(F724=1,F725=0),0))</f>
      </c>
      <c r="M724" s="333">
        <f>+L724</f>
      </c>
      <c r="N724" s="333">
        <f>L724+K724+M724</f>
      </c>
      <c r="O724" s="170"/>
      <c r="P724" s="7"/>
      <c r="Q724" s="1"/>
      <c r="R724" s="331">
        <f>D724</f>
      </c>
      <c r="S724" s="169"/>
      <c r="T724" s="1"/>
      <c r="U724" s="217"/>
      <c r="V724" s="331">
        <f>+IF(V723=11,12,IF(V723=12,1,V723+1))</f>
      </c>
      <c r="W724" s="331">
        <f>+W723+IF(V723=12,1,0)</f>
      </c>
      <c r="X724" s="555">
        <f>+DATE(W724,V724,1)</f>
        <v>25569.041666666668</v>
      </c>
      <c r="Y724" s="333">
        <f>+_xlfn.IFNA(AN724+AS724+AX724,0)</f>
      </c>
      <c r="Z724" s="333">
        <f>+_xlfn.IFNA(AO724+AT724+AY724,0)</f>
      </c>
      <c r="AA724" s="333">
        <f>Y724*(1+$O$5)^(($B$7-X724)/365.25)</f>
      </c>
      <c r="AB724" s="333">
        <f>Z724*(1+$O$5)^(($B$7-X724)/365.25)</f>
      </c>
      <c r="AC724" s="1"/>
      <c r="AD724" s="1"/>
      <c r="AE724" s="1"/>
      <c r="AF724" s="111">
        <f>+MONTH(E724)&amp;YEAR(E724)</f>
      </c>
      <c r="AG724" s="217">
        <f>+I724</f>
      </c>
      <c r="AH724" s="217">
        <f>+J724</f>
      </c>
      <c r="AI724" s="217">
        <f>+H724</f>
      </c>
      <c r="AJ724" s="111">
        <f>+V724&amp;W724</f>
      </c>
      <c r="AK724" s="217">
        <f>+_xlfn.IFNA(VLOOKUP(AJ724,$AF$7:$AG$1066,2,0),0)</f>
      </c>
      <c r="AL724" s="217">
        <f>+IF(W724&gt;W723,AK724,AL723+AK724)</f>
      </c>
      <c r="AM724" s="217">
        <f>IF(W724&gt;W723,IF(AL724&gt;=$AZ$8,$AZ$8,AL724),IF(OR(AM723=$AZ$8,AM723=0),0,IF(AL724&gt;=$AZ$8,$AZ$8,AL724)))</f>
      </c>
      <c r="AN724" s="748">
        <f>+IF(OR(AM724&gt;AZ723,AM724=0),0,IF(AM724=AL724,AK724,$AZ$7-AL723))</f>
      </c>
      <c r="AO724" s="748">
        <f>+AK724-AN724</f>
      </c>
      <c r="AP724" s="217">
        <f>+_xlfn.IFNA(VLOOKUP(AJ724,$AF$7:$AI$1066,3,0),0)</f>
      </c>
      <c r="AQ724" s="217">
        <f>+IF(W724&gt;W723,AP724,AQ723+AP724)</f>
      </c>
      <c r="AR724" s="217">
        <f>+MAX($AM$2-SUMIF($W$7:$W$1066,W724,$AN$7:$AN$1066),0)</f>
      </c>
      <c r="AS724" s="748">
        <f>+MAX(IF(AQ724&gt;AR724,AR724-AQ723,AP724),0)</f>
      </c>
      <c r="AT724" s="748">
        <f>+AP724-AS724</f>
      </c>
      <c r="AU724" s="217">
        <f>+_xlfn.IFNA(VLOOKUP(AJ724,$AF$7:$AI$1066,4,0),0)</f>
      </c>
      <c r="AV724" s="217">
        <f>+IF(W724&gt;W723,AU724,AV723+AU724)</f>
      </c>
      <c r="AW724" s="217">
        <f>+MAX($AM$2-SUMIF($W$7:$W$1066,W724,$AN$7:$AN$1066)-SUMIF($W$7:$W$1066,W724,$AS$7:$AS$1066),0)</f>
      </c>
      <c r="AX724" s="748">
        <f>+MAX(IF(AV724&gt;AW724,AW724-AV723,AU724),0)</f>
      </c>
      <c r="AY724" s="748">
        <f>+AU724-AX724</f>
      </c>
      <c r="AZ724" s="331">
        <f>+$AM$1+IF($AP$1&gt;$AP$2,$AM$3/2)</f>
      </c>
    </row>
    <row x14ac:dyDescent="0.25" r="725" customHeight="1" ht="18.75">
      <c r="A725" s="1"/>
      <c r="B725" s="7"/>
      <c r="C725" s="170"/>
      <c r="D725" s="331">
        <v>718</v>
      </c>
      <c r="E725" s="544">
        <f>+DATE(YEAR(E724),MONTH(E724)-1,DAY(E724))</f>
        <v>25569.041666666668</v>
      </c>
      <c r="F725" s="333">
        <f>IF(DATE(YEAR($B$6),MONTH($B$6)+1,DAY(1))=E725,1,IF(MONTH(E725)=1,F726*(1+$F$5),F726))</f>
      </c>
      <c r="G725" s="333">
        <f>IF('Simulador - 1º Pilar'!$E$99="Sí",IF('Aportaciones PPE'!$B$13&lt;'Aportaciones PPE'!E725,0,F725*$B$8/12),F725*$B$8/12)</f>
      </c>
      <c r="H725" s="333">
        <f>$H$5*G725</f>
      </c>
      <c r="I725" s="333">
        <f>$I$5*G725</f>
      </c>
      <c r="J725" s="333">
        <f>+I725</f>
      </c>
      <c r="K725" s="333">
        <f>(1+$O$5)^(D725/12)*(H725+IF(AND(F725=1,F726=0),$S$4,0))</f>
      </c>
      <c r="L725" s="333">
        <f>(1+$O$5)^(D725/12)*(I725+IF(AND(F725=1,F726=0),0))</f>
      </c>
      <c r="M725" s="333">
        <f>+L725</f>
      </c>
      <c r="N725" s="333">
        <f>L725+K725+M725</f>
      </c>
      <c r="O725" s="170"/>
      <c r="P725" s="7"/>
      <c r="Q725" s="1"/>
      <c r="R725" s="331">
        <f>D725</f>
      </c>
      <c r="S725" s="169"/>
      <c r="T725" s="1"/>
      <c r="U725" s="217"/>
      <c r="V725" s="331">
        <f>+IF(V724=11,12,IF(V724=12,1,V724+1))</f>
      </c>
      <c r="W725" s="331">
        <f>+W724+IF(V724=12,1,0)</f>
      </c>
      <c r="X725" s="555">
        <f>+DATE(W725,V725,1)</f>
        <v>25569.041666666668</v>
      </c>
      <c r="Y725" s="333">
        <f>+_xlfn.IFNA(AN725+AS725+AX725,0)</f>
      </c>
      <c r="Z725" s="333">
        <f>+_xlfn.IFNA(AO725+AT725+AY725,0)</f>
      </c>
      <c r="AA725" s="333">
        <f>Y725*(1+$O$5)^(($B$7-X725)/365.25)</f>
      </c>
      <c r="AB725" s="333">
        <f>Z725*(1+$O$5)^(($B$7-X725)/365.25)</f>
      </c>
      <c r="AC725" s="1"/>
      <c r="AD725" s="1"/>
      <c r="AE725" s="1"/>
      <c r="AF725" s="111">
        <f>+MONTH(E725)&amp;YEAR(E725)</f>
      </c>
      <c r="AG725" s="217">
        <f>+I725</f>
      </c>
      <c r="AH725" s="217">
        <f>+J725</f>
      </c>
      <c r="AI725" s="217">
        <f>+H725</f>
      </c>
      <c r="AJ725" s="111">
        <f>+V725&amp;W725</f>
      </c>
      <c r="AK725" s="217">
        <f>+_xlfn.IFNA(VLOOKUP(AJ725,$AF$7:$AG$1066,2,0),0)</f>
      </c>
      <c r="AL725" s="217">
        <f>+IF(W725&gt;W724,AK725,AL724+AK725)</f>
      </c>
      <c r="AM725" s="217">
        <f>IF(W725&gt;W724,IF(AL725&gt;=$AZ$8,$AZ$8,AL725),IF(OR(AM724=$AZ$8,AM724=0),0,IF(AL725&gt;=$AZ$8,$AZ$8,AL725)))</f>
      </c>
      <c r="AN725" s="748">
        <f>+IF(OR(AM725&gt;AZ724,AM725=0),0,IF(AM725=AL725,AK725,$AZ$7-AL724))</f>
      </c>
      <c r="AO725" s="748">
        <f>+AK725-AN725</f>
      </c>
      <c r="AP725" s="217">
        <f>+_xlfn.IFNA(VLOOKUP(AJ725,$AF$7:$AI$1066,3,0),0)</f>
      </c>
      <c r="AQ725" s="217">
        <f>+IF(W725&gt;W724,AP725,AQ724+AP725)</f>
      </c>
      <c r="AR725" s="217">
        <f>+MAX($AM$2-SUMIF($W$7:$W$1066,W725,$AN$7:$AN$1066),0)</f>
      </c>
      <c r="AS725" s="748">
        <f>+MAX(IF(AQ725&gt;AR725,AR725-AQ724,AP725),0)</f>
      </c>
      <c r="AT725" s="748">
        <f>+AP725-AS725</f>
      </c>
      <c r="AU725" s="217">
        <f>+_xlfn.IFNA(VLOOKUP(AJ725,$AF$7:$AI$1066,4,0),0)</f>
      </c>
      <c r="AV725" s="217">
        <f>+IF(W725&gt;W724,AU725,AV724+AU725)</f>
      </c>
      <c r="AW725" s="217">
        <f>+MAX($AM$2-SUMIF($W$7:$W$1066,W725,$AN$7:$AN$1066)-SUMIF($W$7:$W$1066,W725,$AS$7:$AS$1066),0)</f>
      </c>
      <c r="AX725" s="748">
        <f>+MAX(IF(AV725&gt;AW725,AW725-AV724,AU725),0)</f>
      </c>
      <c r="AY725" s="748">
        <f>+AU725-AX725</f>
      </c>
      <c r="AZ725" s="331">
        <f>+$AM$1+IF($AP$1&gt;$AP$2,$AM$3/2)</f>
      </c>
    </row>
    <row x14ac:dyDescent="0.25" r="726" customHeight="1" ht="18.75">
      <c r="A726" s="1"/>
      <c r="B726" s="7"/>
      <c r="C726" s="170"/>
      <c r="D726" s="331">
        <v>719</v>
      </c>
      <c r="E726" s="544">
        <f>+DATE(YEAR(E725),MONTH(E725)-1,DAY(E725))</f>
        <v>25569.041666666668</v>
      </c>
      <c r="F726" s="333">
        <f>IF(DATE(YEAR($B$6),MONTH($B$6)+1,DAY(1))=E726,1,IF(MONTH(E726)=1,F727*(1+$F$5),F727))</f>
      </c>
      <c r="G726" s="333">
        <f>IF('Simulador - 1º Pilar'!$E$99="Sí",IF('Aportaciones PPE'!$B$13&lt;'Aportaciones PPE'!E726,0,F726*$B$8/12),F726*$B$8/12)</f>
      </c>
      <c r="H726" s="333">
        <f>$H$5*G726</f>
      </c>
      <c r="I726" s="333">
        <f>$I$5*G726</f>
      </c>
      <c r="J726" s="333">
        <f>+I726</f>
      </c>
      <c r="K726" s="333">
        <f>(1+$O$5)^(D726/12)*(H726+IF(AND(F726=1,F727=0),$S$4,0))</f>
      </c>
      <c r="L726" s="333">
        <f>(1+$O$5)^(D726/12)*(I726+IF(AND(F726=1,F727=0),0))</f>
      </c>
      <c r="M726" s="333">
        <f>+L726</f>
      </c>
      <c r="N726" s="333">
        <f>L726+K726+M726</f>
      </c>
      <c r="O726" s="170"/>
      <c r="P726" s="7"/>
      <c r="Q726" s="1"/>
      <c r="R726" s="331">
        <f>D726</f>
      </c>
      <c r="S726" s="169"/>
      <c r="T726" s="1"/>
      <c r="U726" s="217"/>
      <c r="V726" s="331">
        <f>+IF(V725=11,12,IF(V725=12,1,V725+1))</f>
      </c>
      <c r="W726" s="331">
        <f>+W725+IF(V725=12,1,0)</f>
      </c>
      <c r="X726" s="555">
        <f>+DATE(W726,V726,1)</f>
        <v>25569.041666666668</v>
      </c>
      <c r="Y726" s="333">
        <f>+_xlfn.IFNA(AN726+AS726+AX726,0)</f>
      </c>
      <c r="Z726" s="333">
        <f>+_xlfn.IFNA(AO726+AT726+AY726,0)</f>
      </c>
      <c r="AA726" s="333">
        <f>Y726*(1+$O$5)^(($B$7-X726)/365.25)</f>
      </c>
      <c r="AB726" s="333">
        <f>Z726*(1+$O$5)^(($B$7-X726)/365.25)</f>
      </c>
      <c r="AC726" s="1"/>
      <c r="AD726" s="1"/>
      <c r="AE726" s="1"/>
      <c r="AF726" s="111">
        <f>+MONTH(E726)&amp;YEAR(E726)</f>
      </c>
      <c r="AG726" s="217">
        <f>+I726</f>
      </c>
      <c r="AH726" s="217">
        <f>+J726</f>
      </c>
      <c r="AI726" s="217">
        <f>+H726</f>
      </c>
      <c r="AJ726" s="111">
        <f>+V726&amp;W726</f>
      </c>
      <c r="AK726" s="217">
        <f>+_xlfn.IFNA(VLOOKUP(AJ726,$AF$7:$AG$1066,2,0),0)</f>
      </c>
      <c r="AL726" s="217">
        <f>+IF(W726&gt;W725,AK726,AL725+AK726)</f>
      </c>
      <c r="AM726" s="217">
        <f>IF(W726&gt;W725,IF(AL726&gt;=$AZ$8,$AZ$8,AL726),IF(OR(AM725=$AZ$8,AM725=0),0,IF(AL726&gt;=$AZ$8,$AZ$8,AL726)))</f>
      </c>
      <c r="AN726" s="748">
        <f>+IF(OR(AM726&gt;AZ725,AM726=0),0,IF(AM726=AL726,AK726,$AZ$7-AL725))</f>
      </c>
      <c r="AO726" s="748">
        <f>+AK726-AN726</f>
      </c>
      <c r="AP726" s="217">
        <f>+_xlfn.IFNA(VLOOKUP(AJ726,$AF$7:$AI$1066,3,0),0)</f>
      </c>
      <c r="AQ726" s="217">
        <f>+IF(W726&gt;W725,AP726,AQ725+AP726)</f>
      </c>
      <c r="AR726" s="217">
        <f>+MAX($AM$2-SUMIF($W$7:$W$1066,W726,$AN$7:$AN$1066),0)</f>
      </c>
      <c r="AS726" s="748">
        <f>+MAX(IF(AQ726&gt;AR726,AR726-AQ725,AP726),0)</f>
      </c>
      <c r="AT726" s="748">
        <f>+AP726-AS726</f>
      </c>
      <c r="AU726" s="217">
        <f>+_xlfn.IFNA(VLOOKUP(AJ726,$AF$7:$AI$1066,4,0),0)</f>
      </c>
      <c r="AV726" s="217">
        <f>+IF(W726&gt;W725,AU726,AV725+AU726)</f>
      </c>
      <c r="AW726" s="217">
        <f>+MAX($AM$2-SUMIF($W$7:$W$1066,W726,$AN$7:$AN$1066)-SUMIF($W$7:$W$1066,W726,$AS$7:$AS$1066),0)</f>
      </c>
      <c r="AX726" s="748">
        <f>+MAX(IF(AV726&gt;AW726,AW726-AV725,AU726),0)</f>
      </c>
      <c r="AY726" s="748">
        <f>+AU726-AX726</f>
      </c>
      <c r="AZ726" s="331">
        <f>+$AM$1+IF($AP$1&gt;$AP$2,$AM$3/2)</f>
      </c>
    </row>
    <row x14ac:dyDescent="0.25" r="727" customHeight="1" ht="18.75">
      <c r="A727" s="1"/>
      <c r="B727" s="7"/>
      <c r="C727" s="170"/>
      <c r="D727" s="331">
        <v>720</v>
      </c>
      <c r="E727" s="544">
        <f>+DATE(YEAR(E726),MONTH(E726)-1,DAY(E726))</f>
        <v>25569.041666666668</v>
      </c>
      <c r="F727" s="333">
        <f>IF(DATE(YEAR($B$6),MONTH($B$6)+1,DAY(1))=E727,1,IF(MONTH(E727)=1,F728*(1+$F$5),F728))</f>
      </c>
      <c r="G727" s="333">
        <f>IF('Simulador - 1º Pilar'!$E$99="Sí",IF('Aportaciones PPE'!$B$13&lt;'Aportaciones PPE'!E727,0,F727*$B$8/12),F727*$B$8/12)</f>
      </c>
      <c r="H727" s="333">
        <f>$H$5*G727</f>
      </c>
      <c r="I727" s="333">
        <f>$I$5*G727</f>
      </c>
      <c r="J727" s="333">
        <f>+I727</f>
      </c>
      <c r="K727" s="333">
        <f>(1+$O$5)^(D727/12)*(H727+IF(AND(F727=1,F728=0),$S$4,0))</f>
      </c>
      <c r="L727" s="333">
        <f>(1+$O$5)^(D727/12)*(I727+IF(AND(F727=1,F728=0),0))</f>
      </c>
      <c r="M727" s="333">
        <f>+L727</f>
      </c>
      <c r="N727" s="333">
        <f>L727+K727+M727</f>
      </c>
      <c r="O727" s="170"/>
      <c r="P727" s="7"/>
      <c r="Q727" s="1"/>
      <c r="R727" s="331">
        <f>D727</f>
      </c>
      <c r="S727" s="169"/>
      <c r="T727" s="1"/>
      <c r="U727" s="217"/>
      <c r="V727" s="331">
        <f>+IF(V726=11,12,IF(V726=12,1,V726+1))</f>
      </c>
      <c r="W727" s="331">
        <f>+W726+IF(V726=12,1,0)</f>
      </c>
      <c r="X727" s="555">
        <f>+DATE(W727,V727,1)</f>
        <v>25569.041666666668</v>
      </c>
      <c r="Y727" s="333">
        <f>+_xlfn.IFNA(AN727+AS727+AX727,0)</f>
      </c>
      <c r="Z727" s="333">
        <f>+_xlfn.IFNA(AO727+AT727+AY727,0)</f>
      </c>
      <c r="AA727" s="333">
        <f>Y727*(1+$O$5)^(($B$7-X727)/365.25)</f>
      </c>
      <c r="AB727" s="333">
        <f>Z727*(1+$O$5)^(($B$7-X727)/365.25)</f>
      </c>
      <c r="AC727" s="1"/>
      <c r="AD727" s="1"/>
      <c r="AE727" s="1"/>
      <c r="AF727" s="111">
        <f>+MONTH(E727)&amp;YEAR(E727)</f>
      </c>
      <c r="AG727" s="217">
        <f>+I727</f>
      </c>
      <c r="AH727" s="217">
        <f>+J727</f>
      </c>
      <c r="AI727" s="217">
        <f>+H727</f>
      </c>
      <c r="AJ727" s="111">
        <f>+V727&amp;W727</f>
      </c>
      <c r="AK727" s="217">
        <f>+_xlfn.IFNA(VLOOKUP(AJ727,$AF$7:$AG$1066,2,0),0)</f>
      </c>
      <c r="AL727" s="217">
        <f>+IF(W727&gt;W726,AK727,AL726+AK727)</f>
      </c>
      <c r="AM727" s="217">
        <f>IF(W727&gt;W726,IF(AL727&gt;=$AZ$8,$AZ$8,AL727),IF(OR(AM726=$AZ$8,AM726=0),0,IF(AL727&gt;=$AZ$8,$AZ$8,AL727)))</f>
      </c>
      <c r="AN727" s="748">
        <f>+IF(OR(AM727&gt;AZ726,AM727=0),0,IF(AM727=AL727,AK727,$AZ$7-AL726))</f>
      </c>
      <c r="AO727" s="748">
        <f>+AK727-AN727</f>
      </c>
      <c r="AP727" s="217">
        <f>+_xlfn.IFNA(VLOOKUP(AJ727,$AF$7:$AI$1066,3,0),0)</f>
      </c>
      <c r="AQ727" s="217">
        <f>+IF(W727&gt;W726,AP727,AQ726+AP727)</f>
      </c>
      <c r="AR727" s="217">
        <f>+MAX($AM$2-SUMIF($W$7:$W$1066,W727,$AN$7:$AN$1066),0)</f>
      </c>
      <c r="AS727" s="748">
        <f>+MAX(IF(AQ727&gt;AR727,AR727-AQ726,AP727),0)</f>
      </c>
      <c r="AT727" s="748">
        <f>+AP727-AS727</f>
      </c>
      <c r="AU727" s="217">
        <f>+_xlfn.IFNA(VLOOKUP(AJ727,$AF$7:$AI$1066,4,0),0)</f>
      </c>
      <c r="AV727" s="217">
        <f>+IF(W727&gt;W726,AU727,AV726+AU727)</f>
      </c>
      <c r="AW727" s="217">
        <f>+MAX($AM$2-SUMIF($W$7:$W$1066,W727,$AN$7:$AN$1066)-SUMIF($W$7:$W$1066,W727,$AS$7:$AS$1066),0)</f>
      </c>
      <c r="AX727" s="748">
        <f>+MAX(IF(AV727&gt;AW727,AW727-AV726,AU727),0)</f>
      </c>
      <c r="AY727" s="748">
        <f>+AU727-AX727</f>
      </c>
      <c r="AZ727" s="331">
        <f>+$AM$1+IF($AP$1&gt;$AP$2,$AM$3/2)</f>
      </c>
    </row>
    <row x14ac:dyDescent="0.25" r="728" customHeight="1" ht="18.75">
      <c r="A728" s="1"/>
      <c r="B728" s="7"/>
      <c r="C728" s="170"/>
      <c r="D728" s="331">
        <v>721</v>
      </c>
      <c r="E728" s="544">
        <f>+DATE(YEAR(E727),MONTH(E727)-1,DAY(E727))</f>
        <v>25569.041666666668</v>
      </c>
      <c r="F728" s="333">
        <f>IF(DATE(YEAR($B$6),MONTH($B$6)+1,DAY(1))=E728,1,IF(MONTH(E728)=1,F729*(1+$F$5),F729))</f>
      </c>
      <c r="G728" s="333">
        <f>IF('Simulador - 1º Pilar'!$E$99="Sí",IF('Aportaciones PPE'!$B$13&lt;'Aportaciones PPE'!E728,0,F728*$B$8/12),F728*$B$8/12)</f>
      </c>
      <c r="H728" s="333">
        <f>$H$5*G728</f>
      </c>
      <c r="I728" s="333">
        <f>$I$5*G728</f>
      </c>
      <c r="J728" s="333">
        <f>+I728</f>
      </c>
      <c r="K728" s="333">
        <f>(1+$O$5)^(D728/12)*(H728+IF(AND(F728=1,F729=0),$S$4,0))</f>
      </c>
      <c r="L728" s="333">
        <f>(1+$O$5)^(D728/12)*(I728+IF(AND(F728=1,F729=0),0))</f>
      </c>
      <c r="M728" s="333">
        <f>+L728</f>
      </c>
      <c r="N728" s="333">
        <f>L728+K728+M728</f>
      </c>
      <c r="O728" s="170"/>
      <c r="P728" s="7"/>
      <c r="Q728" s="1"/>
      <c r="R728" s="331">
        <f>D728</f>
      </c>
      <c r="S728" s="169"/>
      <c r="T728" s="1"/>
      <c r="U728" s="217"/>
      <c r="V728" s="331">
        <f>+IF(V727=11,12,IF(V727=12,1,V727+1))</f>
      </c>
      <c r="W728" s="331">
        <f>+W727+IF(V727=12,1,0)</f>
      </c>
      <c r="X728" s="555">
        <f>+DATE(W728,V728,1)</f>
        <v>25569.041666666668</v>
      </c>
      <c r="Y728" s="333">
        <f>+_xlfn.IFNA(AN728+AS728+AX728,0)</f>
      </c>
      <c r="Z728" s="333">
        <f>+_xlfn.IFNA(AO728+AT728+AY728,0)</f>
      </c>
      <c r="AA728" s="333">
        <f>Y728*(1+$O$5)^(($B$7-X728)/365.25)</f>
      </c>
      <c r="AB728" s="333">
        <f>Z728*(1+$O$5)^(($B$7-X728)/365.25)</f>
      </c>
      <c r="AC728" s="1"/>
      <c r="AD728" s="1"/>
      <c r="AE728" s="1"/>
      <c r="AF728" s="111">
        <f>+MONTH(E728)&amp;YEAR(E728)</f>
      </c>
      <c r="AG728" s="217">
        <f>+I728</f>
      </c>
      <c r="AH728" s="217">
        <f>+J728</f>
      </c>
      <c r="AI728" s="217">
        <f>+H728</f>
      </c>
      <c r="AJ728" s="111">
        <f>+V728&amp;W728</f>
      </c>
      <c r="AK728" s="217">
        <f>+_xlfn.IFNA(VLOOKUP(AJ728,$AF$7:$AG$1066,2,0),0)</f>
      </c>
      <c r="AL728" s="217">
        <f>+IF(W728&gt;W727,AK728,AL727+AK728)</f>
      </c>
      <c r="AM728" s="217">
        <f>IF(W728&gt;W727,IF(AL728&gt;=$AZ$8,$AZ$8,AL728),IF(OR(AM727=$AZ$8,AM727=0),0,IF(AL728&gt;=$AZ$8,$AZ$8,AL728)))</f>
      </c>
      <c r="AN728" s="748">
        <f>+IF(OR(AM728&gt;AZ727,AM728=0),0,IF(AM728=AL728,AK728,$AZ$7-AL727))</f>
      </c>
      <c r="AO728" s="748">
        <f>+AK728-AN728</f>
      </c>
      <c r="AP728" s="217">
        <f>+_xlfn.IFNA(VLOOKUP(AJ728,$AF$7:$AI$1066,3,0),0)</f>
      </c>
      <c r="AQ728" s="217">
        <f>+IF(W728&gt;W727,AP728,AQ727+AP728)</f>
      </c>
      <c r="AR728" s="217">
        <f>+MAX($AM$2-SUMIF($W$7:$W$1066,W728,$AN$7:$AN$1066),0)</f>
      </c>
      <c r="AS728" s="748">
        <f>+MAX(IF(AQ728&gt;AR728,AR728-AQ727,AP728),0)</f>
      </c>
      <c r="AT728" s="748">
        <f>+AP728-AS728</f>
      </c>
      <c r="AU728" s="217">
        <f>+_xlfn.IFNA(VLOOKUP(AJ728,$AF$7:$AI$1066,4,0),0)</f>
      </c>
      <c r="AV728" s="217">
        <f>+IF(W728&gt;W727,AU728,AV727+AU728)</f>
      </c>
      <c r="AW728" s="217">
        <f>+MAX($AM$2-SUMIF($W$7:$W$1066,W728,$AN$7:$AN$1066)-SUMIF($W$7:$W$1066,W728,$AS$7:$AS$1066),0)</f>
      </c>
      <c r="AX728" s="748">
        <f>+MAX(IF(AV728&gt;AW728,AW728-AV727,AU728),0)</f>
      </c>
      <c r="AY728" s="748">
        <f>+AU728-AX728</f>
      </c>
      <c r="AZ728" s="331">
        <f>+$AM$1+IF($AP$1&gt;$AP$2,$AM$3/2)</f>
      </c>
    </row>
    <row x14ac:dyDescent="0.25" r="729" customHeight="1" ht="18.75">
      <c r="A729" s="1"/>
      <c r="B729" s="7"/>
      <c r="C729" s="170"/>
      <c r="D729" s="331">
        <v>722</v>
      </c>
      <c r="E729" s="544">
        <f>+DATE(YEAR(E728),MONTH(E728)-1,DAY(E728))</f>
        <v>25569.041666666668</v>
      </c>
      <c r="F729" s="333">
        <f>IF(DATE(YEAR($B$6),MONTH($B$6)+1,DAY(1))=E729,1,IF(MONTH(E729)=1,F730*(1+$F$5),F730))</f>
      </c>
      <c r="G729" s="333">
        <f>IF('Simulador - 1º Pilar'!$E$99="Sí",IF('Aportaciones PPE'!$B$13&lt;'Aportaciones PPE'!E729,0,F729*$B$8/12),F729*$B$8/12)</f>
      </c>
      <c r="H729" s="333">
        <f>$H$5*G729</f>
      </c>
      <c r="I729" s="333">
        <f>$I$5*G729</f>
      </c>
      <c r="J729" s="333">
        <f>+I729</f>
      </c>
      <c r="K729" s="333">
        <f>(1+$O$5)^(D729/12)*(H729+IF(AND(F729=1,F730=0),$S$4,0))</f>
      </c>
      <c r="L729" s="333">
        <f>(1+$O$5)^(D729/12)*(I729+IF(AND(F729=1,F730=0),0))</f>
      </c>
      <c r="M729" s="333">
        <f>+L729</f>
      </c>
      <c r="N729" s="333">
        <f>L729+K729+M729</f>
      </c>
      <c r="O729" s="170"/>
      <c r="P729" s="7"/>
      <c r="Q729" s="1"/>
      <c r="R729" s="331">
        <f>D729</f>
      </c>
      <c r="S729" s="169"/>
      <c r="T729" s="1"/>
      <c r="U729" s="217"/>
      <c r="V729" s="331">
        <f>+IF(V728=11,12,IF(V728=12,1,V728+1))</f>
      </c>
      <c r="W729" s="331">
        <f>+W728+IF(V728=12,1,0)</f>
      </c>
      <c r="X729" s="555">
        <f>+DATE(W729,V729,1)</f>
        <v>25569.041666666668</v>
      </c>
      <c r="Y729" s="333">
        <f>+_xlfn.IFNA(AN729+AS729+AX729,0)</f>
      </c>
      <c r="Z729" s="333">
        <f>+_xlfn.IFNA(AO729+AT729+AY729,0)</f>
      </c>
      <c r="AA729" s="333">
        <f>Y729*(1+$O$5)^(($B$7-X729)/365.25)</f>
      </c>
      <c r="AB729" s="333">
        <f>Z729*(1+$O$5)^(($B$7-X729)/365.25)</f>
      </c>
      <c r="AC729" s="1"/>
      <c r="AD729" s="1"/>
      <c r="AE729" s="1"/>
      <c r="AF729" s="111">
        <f>+MONTH(E729)&amp;YEAR(E729)</f>
      </c>
      <c r="AG729" s="217">
        <f>+I729</f>
      </c>
      <c r="AH729" s="217">
        <f>+J729</f>
      </c>
      <c r="AI729" s="217">
        <f>+H729</f>
      </c>
      <c r="AJ729" s="111">
        <f>+V729&amp;W729</f>
      </c>
      <c r="AK729" s="217">
        <f>+_xlfn.IFNA(VLOOKUP(AJ729,$AF$7:$AG$1066,2,0),0)</f>
      </c>
      <c r="AL729" s="217">
        <f>+IF(W729&gt;W728,AK729,AL728+AK729)</f>
      </c>
      <c r="AM729" s="217">
        <f>IF(W729&gt;W728,IF(AL729&gt;=$AZ$8,$AZ$8,AL729),IF(OR(AM728=$AZ$8,AM728=0),0,IF(AL729&gt;=$AZ$8,$AZ$8,AL729)))</f>
      </c>
      <c r="AN729" s="748">
        <f>+IF(OR(AM729&gt;AZ728,AM729=0),0,IF(AM729=AL729,AK729,$AZ$7-AL728))</f>
      </c>
      <c r="AO729" s="748">
        <f>+AK729-AN729</f>
      </c>
      <c r="AP729" s="217">
        <f>+_xlfn.IFNA(VLOOKUP(AJ729,$AF$7:$AI$1066,3,0),0)</f>
      </c>
      <c r="AQ729" s="217">
        <f>+IF(W729&gt;W728,AP729,AQ728+AP729)</f>
      </c>
      <c r="AR729" s="217">
        <f>+MAX($AM$2-SUMIF($W$7:$W$1066,W729,$AN$7:$AN$1066),0)</f>
      </c>
      <c r="AS729" s="748">
        <f>+MAX(IF(AQ729&gt;AR729,AR729-AQ728,AP729),0)</f>
      </c>
      <c r="AT729" s="748">
        <f>+AP729-AS729</f>
      </c>
      <c r="AU729" s="217">
        <f>+_xlfn.IFNA(VLOOKUP(AJ729,$AF$7:$AI$1066,4,0),0)</f>
      </c>
      <c r="AV729" s="217">
        <f>+IF(W729&gt;W728,AU729,AV728+AU729)</f>
      </c>
      <c r="AW729" s="217">
        <f>+MAX($AM$2-SUMIF($W$7:$W$1066,W729,$AN$7:$AN$1066)-SUMIF($W$7:$W$1066,W729,$AS$7:$AS$1066),0)</f>
      </c>
      <c r="AX729" s="748">
        <f>+MAX(IF(AV729&gt;AW729,AW729-AV728,AU729),0)</f>
      </c>
      <c r="AY729" s="748">
        <f>+AU729-AX729</f>
      </c>
      <c r="AZ729" s="331">
        <f>+$AM$1+IF($AP$1&gt;$AP$2,$AM$3/2)</f>
      </c>
    </row>
    <row x14ac:dyDescent="0.25" r="730" customHeight="1" ht="18.75">
      <c r="A730" s="1"/>
      <c r="B730" s="7"/>
      <c r="C730" s="170"/>
      <c r="D730" s="331">
        <v>723</v>
      </c>
      <c r="E730" s="544">
        <f>+DATE(YEAR(E729),MONTH(E729)-1,DAY(E729))</f>
        <v>25569.041666666668</v>
      </c>
      <c r="F730" s="333">
        <f>IF(DATE(YEAR($B$6),MONTH($B$6)+1,DAY(1))=E730,1,IF(MONTH(E730)=1,F731*(1+$F$5),F731))</f>
      </c>
      <c r="G730" s="333">
        <f>IF('Simulador - 1º Pilar'!$E$99="Sí",IF('Aportaciones PPE'!$B$13&lt;'Aportaciones PPE'!E730,0,F730*$B$8/12),F730*$B$8/12)</f>
      </c>
      <c r="H730" s="333">
        <f>$H$5*G730</f>
      </c>
      <c r="I730" s="333">
        <f>$I$5*G730</f>
      </c>
      <c r="J730" s="333">
        <f>+I730</f>
      </c>
      <c r="K730" s="333">
        <f>(1+$O$5)^(D730/12)*(H730+IF(AND(F730=1,F731=0),$S$4,0))</f>
      </c>
      <c r="L730" s="333">
        <f>(1+$O$5)^(D730/12)*(I730+IF(AND(F730=1,F731=0),0))</f>
      </c>
      <c r="M730" s="333">
        <f>+L730</f>
      </c>
      <c r="N730" s="333">
        <f>L730+K730+M730</f>
      </c>
      <c r="O730" s="170"/>
      <c r="P730" s="7"/>
      <c r="Q730" s="1"/>
      <c r="R730" s="331">
        <f>D730</f>
      </c>
      <c r="S730" s="169"/>
      <c r="T730" s="1"/>
      <c r="U730" s="217"/>
      <c r="V730" s="331">
        <f>+IF(V729=11,12,IF(V729=12,1,V729+1))</f>
      </c>
      <c r="W730" s="331">
        <f>+W729+IF(V729=12,1,0)</f>
      </c>
      <c r="X730" s="555">
        <f>+DATE(W730,V730,1)</f>
        <v>25569.041666666668</v>
      </c>
      <c r="Y730" s="333">
        <f>+_xlfn.IFNA(AN730+AS730+AX730,0)</f>
      </c>
      <c r="Z730" s="333">
        <f>+_xlfn.IFNA(AO730+AT730+AY730,0)</f>
      </c>
      <c r="AA730" s="333">
        <f>Y730*(1+$O$5)^(($B$7-X730)/365.25)</f>
      </c>
      <c r="AB730" s="333">
        <f>Z730*(1+$O$5)^(($B$7-X730)/365.25)</f>
      </c>
      <c r="AC730" s="1"/>
      <c r="AD730" s="1"/>
      <c r="AE730" s="1"/>
      <c r="AF730" s="111">
        <f>+MONTH(E730)&amp;YEAR(E730)</f>
      </c>
      <c r="AG730" s="217">
        <f>+I730</f>
      </c>
      <c r="AH730" s="217">
        <f>+J730</f>
      </c>
      <c r="AI730" s="217">
        <f>+H730</f>
      </c>
      <c r="AJ730" s="111">
        <f>+V730&amp;W730</f>
      </c>
      <c r="AK730" s="217">
        <f>+_xlfn.IFNA(VLOOKUP(AJ730,$AF$7:$AG$1066,2,0),0)</f>
      </c>
      <c r="AL730" s="217">
        <f>+IF(W730&gt;W729,AK730,AL729+AK730)</f>
      </c>
      <c r="AM730" s="217">
        <f>IF(W730&gt;W729,IF(AL730&gt;=$AZ$8,$AZ$8,AL730),IF(OR(AM729=$AZ$8,AM729=0),0,IF(AL730&gt;=$AZ$8,$AZ$8,AL730)))</f>
      </c>
      <c r="AN730" s="748">
        <f>+IF(OR(AM730&gt;AZ729,AM730=0),0,IF(AM730=AL730,AK730,$AZ$7-AL729))</f>
      </c>
      <c r="AO730" s="748">
        <f>+AK730-AN730</f>
      </c>
      <c r="AP730" s="217">
        <f>+_xlfn.IFNA(VLOOKUP(AJ730,$AF$7:$AI$1066,3,0),0)</f>
      </c>
      <c r="AQ730" s="217">
        <f>+IF(W730&gt;W729,AP730,AQ729+AP730)</f>
      </c>
      <c r="AR730" s="217">
        <f>+MAX($AM$2-SUMIF($W$7:$W$1066,W730,$AN$7:$AN$1066),0)</f>
      </c>
      <c r="AS730" s="748">
        <f>+MAX(IF(AQ730&gt;AR730,AR730-AQ729,AP730),0)</f>
      </c>
      <c r="AT730" s="748">
        <f>+AP730-AS730</f>
      </c>
      <c r="AU730" s="217">
        <f>+_xlfn.IFNA(VLOOKUP(AJ730,$AF$7:$AI$1066,4,0),0)</f>
      </c>
      <c r="AV730" s="217">
        <f>+IF(W730&gt;W729,AU730,AV729+AU730)</f>
      </c>
      <c r="AW730" s="217">
        <f>+MAX($AM$2-SUMIF($W$7:$W$1066,W730,$AN$7:$AN$1066)-SUMIF($W$7:$W$1066,W730,$AS$7:$AS$1066),0)</f>
      </c>
      <c r="AX730" s="748">
        <f>+MAX(IF(AV730&gt;AW730,AW730-AV729,AU730),0)</f>
      </c>
      <c r="AY730" s="748">
        <f>+AU730-AX730</f>
      </c>
      <c r="AZ730" s="331">
        <f>+$AM$1+IF($AP$1&gt;$AP$2,$AM$3/2)</f>
      </c>
    </row>
    <row x14ac:dyDescent="0.25" r="731" customHeight="1" ht="18.75">
      <c r="A731" s="1"/>
      <c r="B731" s="7"/>
      <c r="C731" s="170"/>
      <c r="D731" s="331">
        <v>724</v>
      </c>
      <c r="E731" s="544">
        <f>+DATE(YEAR(E730),MONTH(E730)-1,DAY(E730))</f>
        <v>25569.041666666668</v>
      </c>
      <c r="F731" s="333">
        <f>IF(DATE(YEAR($B$6),MONTH($B$6)+1,DAY(1))=E731,1,IF(MONTH(E731)=1,F732*(1+$F$5),F732))</f>
      </c>
      <c r="G731" s="333">
        <f>IF('Simulador - 1º Pilar'!$E$99="Sí",IF('Aportaciones PPE'!$B$13&lt;'Aportaciones PPE'!E731,0,F731*$B$8/12),F731*$B$8/12)</f>
      </c>
      <c r="H731" s="333">
        <f>$H$5*G731</f>
      </c>
      <c r="I731" s="333">
        <f>$I$5*G731</f>
      </c>
      <c r="J731" s="333">
        <f>+I731</f>
      </c>
      <c r="K731" s="333">
        <f>(1+$O$5)^(D731/12)*(H731+IF(AND(F731=1,F732=0),$S$4,0))</f>
      </c>
      <c r="L731" s="333">
        <f>(1+$O$5)^(D731/12)*(I731+IF(AND(F731=1,F732=0),0))</f>
      </c>
      <c r="M731" s="333">
        <f>+L731</f>
      </c>
      <c r="N731" s="333">
        <f>L731+K731+M731</f>
      </c>
      <c r="O731" s="170"/>
      <c r="P731" s="7"/>
      <c r="Q731" s="1"/>
      <c r="R731" s="331">
        <f>D731</f>
      </c>
      <c r="S731" s="169"/>
      <c r="T731" s="1"/>
      <c r="U731" s="217"/>
      <c r="V731" s="331">
        <f>+IF(V730=11,12,IF(V730=12,1,V730+1))</f>
      </c>
      <c r="W731" s="331">
        <f>+W730+IF(V730=12,1,0)</f>
      </c>
      <c r="X731" s="555">
        <f>+DATE(W731,V731,1)</f>
        <v>25569.041666666668</v>
      </c>
      <c r="Y731" s="333">
        <f>+_xlfn.IFNA(AN731+AS731+AX731,0)</f>
      </c>
      <c r="Z731" s="333">
        <f>+_xlfn.IFNA(AO731+AT731+AY731,0)</f>
      </c>
      <c r="AA731" s="333">
        <f>Y731*(1+$O$5)^(($B$7-X731)/365.25)</f>
      </c>
      <c r="AB731" s="333">
        <f>Z731*(1+$O$5)^(($B$7-X731)/365.25)</f>
      </c>
      <c r="AC731" s="1"/>
      <c r="AD731" s="1"/>
      <c r="AE731" s="1"/>
      <c r="AF731" s="111">
        <f>+MONTH(E731)&amp;YEAR(E731)</f>
      </c>
      <c r="AG731" s="217">
        <f>+I731</f>
      </c>
      <c r="AH731" s="217">
        <f>+J731</f>
      </c>
      <c r="AI731" s="217">
        <f>+H731</f>
      </c>
      <c r="AJ731" s="111">
        <f>+V731&amp;W731</f>
      </c>
      <c r="AK731" s="217">
        <f>+_xlfn.IFNA(VLOOKUP(AJ731,$AF$7:$AG$1066,2,0),0)</f>
      </c>
      <c r="AL731" s="217">
        <f>+IF(W731&gt;W730,AK731,AL730+AK731)</f>
      </c>
      <c r="AM731" s="217">
        <f>IF(W731&gt;W730,IF(AL731&gt;=$AZ$8,$AZ$8,AL731),IF(OR(AM730=$AZ$8,AM730=0),0,IF(AL731&gt;=$AZ$8,$AZ$8,AL731)))</f>
      </c>
      <c r="AN731" s="748">
        <f>+IF(OR(AM731&gt;AZ730,AM731=0),0,IF(AM731=AL731,AK731,$AZ$7-AL730))</f>
      </c>
      <c r="AO731" s="748">
        <f>+AK731-AN731</f>
      </c>
      <c r="AP731" s="217">
        <f>+_xlfn.IFNA(VLOOKUP(AJ731,$AF$7:$AI$1066,3,0),0)</f>
      </c>
      <c r="AQ731" s="217">
        <f>+IF(W731&gt;W730,AP731,AQ730+AP731)</f>
      </c>
      <c r="AR731" s="217">
        <f>+MAX($AM$2-SUMIF($W$7:$W$1066,W731,$AN$7:$AN$1066),0)</f>
      </c>
      <c r="AS731" s="748">
        <f>+MAX(IF(AQ731&gt;AR731,AR731-AQ730,AP731),0)</f>
      </c>
      <c r="AT731" s="748">
        <f>+AP731-AS731</f>
      </c>
      <c r="AU731" s="217">
        <f>+_xlfn.IFNA(VLOOKUP(AJ731,$AF$7:$AI$1066,4,0),0)</f>
      </c>
      <c r="AV731" s="217">
        <f>+IF(W731&gt;W730,AU731,AV730+AU731)</f>
      </c>
      <c r="AW731" s="217">
        <f>+MAX($AM$2-SUMIF($W$7:$W$1066,W731,$AN$7:$AN$1066)-SUMIF($W$7:$W$1066,W731,$AS$7:$AS$1066),0)</f>
      </c>
      <c r="AX731" s="748">
        <f>+MAX(IF(AV731&gt;AW731,AW731-AV730,AU731),0)</f>
      </c>
      <c r="AY731" s="748">
        <f>+AU731-AX731</f>
      </c>
      <c r="AZ731" s="331">
        <f>+$AM$1+IF($AP$1&gt;$AP$2,$AM$3/2)</f>
      </c>
    </row>
    <row x14ac:dyDescent="0.25" r="732" customHeight="1" ht="18.75">
      <c r="A732" s="1"/>
      <c r="B732" s="7"/>
      <c r="C732" s="170"/>
      <c r="D732" s="331">
        <v>725</v>
      </c>
      <c r="E732" s="544">
        <f>+DATE(YEAR(E731),MONTH(E731)-1,DAY(E731))</f>
        <v>25569.041666666668</v>
      </c>
      <c r="F732" s="333">
        <f>IF(DATE(YEAR($B$6),MONTH($B$6)+1,DAY(1))=E732,1,IF(MONTH(E732)=1,F733*(1+$F$5),F733))</f>
      </c>
      <c r="G732" s="333">
        <f>IF('Simulador - 1º Pilar'!$E$99="Sí",IF('Aportaciones PPE'!$B$13&lt;'Aportaciones PPE'!E732,0,F732*$B$8/12),F732*$B$8/12)</f>
      </c>
      <c r="H732" s="333">
        <f>$H$5*G732</f>
      </c>
      <c r="I732" s="333">
        <f>$I$5*G732</f>
      </c>
      <c r="J732" s="333">
        <f>+I732</f>
      </c>
      <c r="K732" s="333">
        <f>(1+$O$5)^(D732/12)*(H732+IF(AND(F732=1,F733=0),$S$4,0))</f>
      </c>
      <c r="L732" s="333">
        <f>(1+$O$5)^(D732/12)*(I732+IF(AND(F732=1,F733=0),0))</f>
      </c>
      <c r="M732" s="333">
        <f>+L732</f>
      </c>
      <c r="N732" s="333">
        <f>L732+K732+M732</f>
      </c>
      <c r="O732" s="170"/>
      <c r="P732" s="7"/>
      <c r="Q732" s="1"/>
      <c r="R732" s="331">
        <f>D732</f>
      </c>
      <c r="S732" s="169"/>
      <c r="T732" s="1"/>
      <c r="U732" s="217"/>
      <c r="V732" s="331">
        <f>+IF(V731=11,12,IF(V731=12,1,V731+1))</f>
      </c>
      <c r="W732" s="331">
        <f>+W731+IF(V731=12,1,0)</f>
      </c>
      <c r="X732" s="555">
        <f>+DATE(W732,V732,1)</f>
        <v>25569.041666666668</v>
      </c>
      <c r="Y732" s="333">
        <f>+_xlfn.IFNA(AN732+AS732+AX732,0)</f>
      </c>
      <c r="Z732" s="333">
        <f>+_xlfn.IFNA(AO732+AT732+AY732,0)</f>
      </c>
      <c r="AA732" s="333">
        <f>Y732*(1+$O$5)^(($B$7-X732)/365.25)</f>
      </c>
      <c r="AB732" s="333">
        <f>Z732*(1+$O$5)^(($B$7-X732)/365.25)</f>
      </c>
      <c r="AC732" s="1"/>
      <c r="AD732" s="1"/>
      <c r="AE732" s="1"/>
      <c r="AF732" s="111">
        <f>+MONTH(E732)&amp;YEAR(E732)</f>
      </c>
      <c r="AG732" s="217">
        <f>+I732</f>
      </c>
      <c r="AH732" s="217">
        <f>+J732</f>
      </c>
      <c r="AI732" s="217">
        <f>+H732</f>
      </c>
      <c r="AJ732" s="111">
        <f>+V732&amp;W732</f>
      </c>
      <c r="AK732" s="217">
        <f>+_xlfn.IFNA(VLOOKUP(AJ732,$AF$7:$AG$1066,2,0),0)</f>
      </c>
      <c r="AL732" s="217">
        <f>+IF(W732&gt;W731,AK732,AL731+AK732)</f>
      </c>
      <c r="AM732" s="217">
        <f>IF(W732&gt;W731,IF(AL732&gt;=$AZ$8,$AZ$8,AL732),IF(OR(AM731=$AZ$8,AM731=0),0,IF(AL732&gt;=$AZ$8,$AZ$8,AL732)))</f>
      </c>
      <c r="AN732" s="748">
        <f>+IF(OR(AM732&gt;AZ731,AM732=0),0,IF(AM732=AL732,AK732,$AZ$7-AL731))</f>
      </c>
      <c r="AO732" s="748">
        <f>+AK732-AN732</f>
      </c>
      <c r="AP732" s="217">
        <f>+_xlfn.IFNA(VLOOKUP(AJ732,$AF$7:$AI$1066,3,0),0)</f>
      </c>
      <c r="AQ732" s="217">
        <f>+IF(W732&gt;W731,AP732,AQ731+AP732)</f>
      </c>
      <c r="AR732" s="217">
        <f>+MAX($AM$2-SUMIF($W$7:$W$1066,W732,$AN$7:$AN$1066),0)</f>
      </c>
      <c r="AS732" s="748">
        <f>+MAX(IF(AQ732&gt;AR732,AR732-AQ731,AP732),0)</f>
      </c>
      <c r="AT732" s="748">
        <f>+AP732-AS732</f>
      </c>
      <c r="AU732" s="217">
        <f>+_xlfn.IFNA(VLOOKUP(AJ732,$AF$7:$AI$1066,4,0),0)</f>
      </c>
      <c r="AV732" s="217">
        <f>+IF(W732&gt;W731,AU732,AV731+AU732)</f>
      </c>
      <c r="AW732" s="217">
        <f>+MAX($AM$2-SUMIF($W$7:$W$1066,W732,$AN$7:$AN$1066)-SUMIF($W$7:$W$1066,W732,$AS$7:$AS$1066),0)</f>
      </c>
      <c r="AX732" s="748">
        <f>+MAX(IF(AV732&gt;AW732,AW732-AV731,AU732),0)</f>
      </c>
      <c r="AY732" s="748">
        <f>+AU732-AX732</f>
      </c>
      <c r="AZ732" s="331">
        <f>+$AM$1+IF($AP$1&gt;$AP$2,$AM$3/2)</f>
      </c>
    </row>
    <row x14ac:dyDescent="0.25" r="733" customHeight="1" ht="18.75">
      <c r="A733" s="1"/>
      <c r="B733" s="7"/>
      <c r="C733" s="170"/>
      <c r="D733" s="331">
        <v>726</v>
      </c>
      <c r="E733" s="544">
        <f>+DATE(YEAR(E732),MONTH(E732)-1,DAY(E732))</f>
        <v>25569.041666666668</v>
      </c>
      <c r="F733" s="333">
        <f>IF(DATE(YEAR($B$6),MONTH($B$6)+1,DAY(1))=E733,1,IF(MONTH(E733)=1,F734*(1+$F$5),F734))</f>
      </c>
      <c r="G733" s="333">
        <f>IF('Simulador - 1º Pilar'!$E$99="Sí",IF('Aportaciones PPE'!$B$13&lt;'Aportaciones PPE'!E733,0,F733*$B$8/12),F733*$B$8/12)</f>
      </c>
      <c r="H733" s="333">
        <f>$H$5*G733</f>
      </c>
      <c r="I733" s="333">
        <f>$I$5*G733</f>
      </c>
      <c r="J733" s="333">
        <f>+I733</f>
      </c>
      <c r="K733" s="333">
        <f>(1+$O$5)^(D733/12)*(H733+IF(AND(F733=1,F734=0),$S$4,0))</f>
      </c>
      <c r="L733" s="333">
        <f>(1+$O$5)^(D733/12)*(I733+IF(AND(F733=1,F734=0),0))</f>
      </c>
      <c r="M733" s="333">
        <f>+L733</f>
      </c>
      <c r="N733" s="333">
        <f>L733+K733+M733</f>
      </c>
      <c r="O733" s="170"/>
      <c r="P733" s="7"/>
      <c r="Q733" s="1"/>
      <c r="R733" s="331">
        <f>D733</f>
      </c>
      <c r="S733" s="169"/>
      <c r="T733" s="1"/>
      <c r="U733" s="217"/>
      <c r="V733" s="331">
        <f>+IF(V732=11,12,IF(V732=12,1,V732+1))</f>
      </c>
      <c r="W733" s="331">
        <f>+W732+IF(V732=12,1,0)</f>
      </c>
      <c r="X733" s="555">
        <f>+DATE(W733,V733,1)</f>
        <v>25569.041666666668</v>
      </c>
      <c r="Y733" s="333">
        <f>+_xlfn.IFNA(AN733+AS733+AX733,0)</f>
      </c>
      <c r="Z733" s="333">
        <f>+_xlfn.IFNA(AO733+AT733+AY733,0)</f>
      </c>
      <c r="AA733" s="333">
        <f>Y733*(1+$O$5)^(($B$7-X733)/365.25)</f>
      </c>
      <c r="AB733" s="333">
        <f>Z733*(1+$O$5)^(($B$7-X733)/365.25)</f>
      </c>
      <c r="AC733" s="1"/>
      <c r="AD733" s="1"/>
      <c r="AE733" s="1"/>
      <c r="AF733" s="111">
        <f>+MONTH(E733)&amp;YEAR(E733)</f>
      </c>
      <c r="AG733" s="217">
        <f>+I733</f>
      </c>
      <c r="AH733" s="217">
        <f>+J733</f>
      </c>
      <c r="AI733" s="217">
        <f>+H733</f>
      </c>
      <c r="AJ733" s="111">
        <f>+V733&amp;W733</f>
      </c>
      <c r="AK733" s="217">
        <f>+_xlfn.IFNA(VLOOKUP(AJ733,$AF$7:$AG$1066,2,0),0)</f>
      </c>
      <c r="AL733" s="217">
        <f>+IF(W733&gt;W732,AK733,AL732+AK733)</f>
      </c>
      <c r="AM733" s="217">
        <f>IF(W733&gt;W732,IF(AL733&gt;=$AZ$8,$AZ$8,AL733),IF(OR(AM732=$AZ$8,AM732=0),0,IF(AL733&gt;=$AZ$8,$AZ$8,AL733)))</f>
      </c>
      <c r="AN733" s="748">
        <f>+IF(OR(AM733&gt;AZ732,AM733=0),0,IF(AM733=AL733,AK733,$AZ$7-AL732))</f>
      </c>
      <c r="AO733" s="748">
        <f>+AK733-AN733</f>
      </c>
      <c r="AP733" s="217">
        <f>+_xlfn.IFNA(VLOOKUP(AJ733,$AF$7:$AI$1066,3,0),0)</f>
      </c>
      <c r="AQ733" s="217">
        <f>+IF(W733&gt;W732,AP733,AQ732+AP733)</f>
      </c>
      <c r="AR733" s="217">
        <f>+MAX($AM$2-SUMIF($W$7:$W$1066,W733,$AN$7:$AN$1066),0)</f>
      </c>
      <c r="AS733" s="748">
        <f>+MAX(IF(AQ733&gt;AR733,AR733-AQ732,AP733),0)</f>
      </c>
      <c r="AT733" s="748">
        <f>+AP733-AS733</f>
      </c>
      <c r="AU733" s="217">
        <f>+_xlfn.IFNA(VLOOKUP(AJ733,$AF$7:$AI$1066,4,0),0)</f>
      </c>
      <c r="AV733" s="217">
        <f>+IF(W733&gt;W732,AU733,AV732+AU733)</f>
      </c>
      <c r="AW733" s="217">
        <f>+MAX($AM$2-SUMIF($W$7:$W$1066,W733,$AN$7:$AN$1066)-SUMIF($W$7:$W$1066,W733,$AS$7:$AS$1066),0)</f>
      </c>
      <c r="AX733" s="748">
        <f>+MAX(IF(AV733&gt;AW733,AW733-AV732,AU733),0)</f>
      </c>
      <c r="AY733" s="748">
        <f>+AU733-AX733</f>
      </c>
      <c r="AZ733" s="331">
        <f>+$AM$1+IF($AP$1&gt;$AP$2,$AM$3/2)</f>
      </c>
    </row>
    <row x14ac:dyDescent="0.25" r="734" customHeight="1" ht="18.75">
      <c r="A734" s="1"/>
      <c r="B734" s="7"/>
      <c r="C734" s="170"/>
      <c r="D734" s="331">
        <v>727</v>
      </c>
      <c r="E734" s="544">
        <f>+DATE(YEAR(E733),MONTH(E733)-1,DAY(E733))</f>
        <v>25569.041666666668</v>
      </c>
      <c r="F734" s="333">
        <f>IF(DATE(YEAR($B$6),MONTH($B$6)+1,DAY(1))=E734,1,IF(MONTH(E734)=1,F735*(1+$F$5),F735))</f>
      </c>
      <c r="G734" s="333">
        <f>IF('Simulador - 1º Pilar'!$E$99="Sí",IF('Aportaciones PPE'!$B$13&lt;'Aportaciones PPE'!E734,0,F734*$B$8/12),F734*$B$8/12)</f>
      </c>
      <c r="H734" s="333">
        <f>$H$5*G734</f>
      </c>
      <c r="I734" s="333">
        <f>$I$5*G734</f>
      </c>
      <c r="J734" s="333">
        <f>+I734</f>
      </c>
      <c r="K734" s="333">
        <f>(1+$O$5)^(D734/12)*(H734+IF(AND(F734=1,F735=0),$S$4,0))</f>
      </c>
      <c r="L734" s="333">
        <f>(1+$O$5)^(D734/12)*(I734+IF(AND(F734=1,F735=0),0))</f>
      </c>
      <c r="M734" s="333">
        <f>+L734</f>
      </c>
      <c r="N734" s="333">
        <f>L734+K734+M734</f>
      </c>
      <c r="O734" s="170"/>
      <c r="P734" s="7"/>
      <c r="Q734" s="1"/>
      <c r="R734" s="331">
        <f>D734</f>
      </c>
      <c r="S734" s="169"/>
      <c r="T734" s="1"/>
      <c r="U734" s="217"/>
      <c r="V734" s="331">
        <f>+IF(V733=11,12,IF(V733=12,1,V733+1))</f>
      </c>
      <c r="W734" s="331">
        <f>+W733+IF(V733=12,1,0)</f>
      </c>
      <c r="X734" s="555">
        <f>+DATE(W734,V734,1)</f>
        <v>25569.041666666668</v>
      </c>
      <c r="Y734" s="333">
        <f>+_xlfn.IFNA(AN734+AS734+AX734,0)</f>
      </c>
      <c r="Z734" s="333">
        <f>+_xlfn.IFNA(AO734+AT734+AY734,0)</f>
      </c>
      <c r="AA734" s="333">
        <f>Y734*(1+$O$5)^(($B$7-X734)/365.25)</f>
      </c>
      <c r="AB734" s="333">
        <f>Z734*(1+$O$5)^(($B$7-X734)/365.25)</f>
      </c>
      <c r="AC734" s="1"/>
      <c r="AD734" s="1"/>
      <c r="AE734" s="1"/>
      <c r="AF734" s="111">
        <f>+MONTH(E734)&amp;YEAR(E734)</f>
      </c>
      <c r="AG734" s="217">
        <f>+I734</f>
      </c>
      <c r="AH734" s="217">
        <f>+J734</f>
      </c>
      <c r="AI734" s="217">
        <f>+H734</f>
      </c>
      <c r="AJ734" s="111">
        <f>+V734&amp;W734</f>
      </c>
      <c r="AK734" s="217">
        <f>+_xlfn.IFNA(VLOOKUP(AJ734,$AF$7:$AG$1066,2,0),0)</f>
      </c>
      <c r="AL734" s="217">
        <f>+IF(W734&gt;W733,AK734,AL733+AK734)</f>
      </c>
      <c r="AM734" s="217">
        <f>IF(W734&gt;W733,IF(AL734&gt;=$AZ$8,$AZ$8,AL734),IF(OR(AM733=$AZ$8,AM733=0),0,IF(AL734&gt;=$AZ$8,$AZ$8,AL734)))</f>
      </c>
      <c r="AN734" s="748">
        <f>+IF(OR(AM734&gt;AZ733,AM734=0),0,IF(AM734=AL734,AK734,$AZ$7-AL733))</f>
      </c>
      <c r="AO734" s="748">
        <f>+AK734-AN734</f>
      </c>
      <c r="AP734" s="217">
        <f>+_xlfn.IFNA(VLOOKUP(AJ734,$AF$7:$AI$1066,3,0),0)</f>
      </c>
      <c r="AQ734" s="217">
        <f>+IF(W734&gt;W733,AP734,AQ733+AP734)</f>
      </c>
      <c r="AR734" s="217">
        <f>+MAX($AM$2-SUMIF($W$7:$W$1066,W734,$AN$7:$AN$1066),0)</f>
      </c>
      <c r="AS734" s="748">
        <f>+MAX(IF(AQ734&gt;AR734,AR734-AQ733,AP734),0)</f>
      </c>
      <c r="AT734" s="748">
        <f>+AP734-AS734</f>
      </c>
      <c r="AU734" s="217">
        <f>+_xlfn.IFNA(VLOOKUP(AJ734,$AF$7:$AI$1066,4,0),0)</f>
      </c>
      <c r="AV734" s="217">
        <f>+IF(W734&gt;W733,AU734,AV733+AU734)</f>
      </c>
      <c r="AW734" s="217">
        <f>+MAX($AM$2-SUMIF($W$7:$W$1066,W734,$AN$7:$AN$1066)-SUMIF($W$7:$W$1066,W734,$AS$7:$AS$1066),0)</f>
      </c>
      <c r="AX734" s="748">
        <f>+MAX(IF(AV734&gt;AW734,AW734-AV733,AU734),0)</f>
      </c>
      <c r="AY734" s="748">
        <f>+AU734-AX734</f>
      </c>
      <c r="AZ734" s="331">
        <f>+$AM$1+IF($AP$1&gt;$AP$2,$AM$3/2)</f>
      </c>
    </row>
    <row x14ac:dyDescent="0.25" r="735" customHeight="1" ht="18.75">
      <c r="A735" s="1"/>
      <c r="B735" s="7"/>
      <c r="C735" s="170"/>
      <c r="D735" s="331">
        <v>728</v>
      </c>
      <c r="E735" s="544">
        <f>+DATE(YEAR(E734),MONTH(E734)-1,DAY(E734))</f>
        <v>25569.041666666668</v>
      </c>
      <c r="F735" s="333">
        <f>IF(DATE(YEAR($B$6),MONTH($B$6)+1,DAY(1))=E735,1,IF(MONTH(E735)=1,F736*(1+$F$5),F736))</f>
      </c>
      <c r="G735" s="333">
        <f>IF('Simulador - 1º Pilar'!$E$99="Sí",IF('Aportaciones PPE'!$B$13&lt;'Aportaciones PPE'!E735,0,F735*$B$8/12),F735*$B$8/12)</f>
      </c>
      <c r="H735" s="333">
        <f>$H$5*G735</f>
      </c>
      <c r="I735" s="333">
        <f>$I$5*G735</f>
      </c>
      <c r="J735" s="333">
        <f>+I735</f>
      </c>
      <c r="K735" s="333">
        <f>(1+$O$5)^(D735/12)*(H735+IF(AND(F735=1,F736=0),$S$4,0))</f>
      </c>
      <c r="L735" s="333">
        <f>(1+$O$5)^(D735/12)*(I735+IF(AND(F735=1,F736=0),0))</f>
      </c>
      <c r="M735" s="333">
        <f>+L735</f>
      </c>
      <c r="N735" s="333">
        <f>L735+K735+M735</f>
      </c>
      <c r="O735" s="170"/>
      <c r="P735" s="7"/>
      <c r="Q735" s="1"/>
      <c r="R735" s="331">
        <f>D735</f>
      </c>
      <c r="S735" s="169"/>
      <c r="T735" s="1"/>
      <c r="U735" s="217"/>
      <c r="V735" s="331">
        <f>+IF(V734=11,12,IF(V734=12,1,V734+1))</f>
      </c>
      <c r="W735" s="331">
        <f>+W734+IF(V734=12,1,0)</f>
      </c>
      <c r="X735" s="555">
        <f>+DATE(W735,V735,1)</f>
        <v>25569.041666666668</v>
      </c>
      <c r="Y735" s="333">
        <f>+_xlfn.IFNA(AN735+AS735+AX735,0)</f>
      </c>
      <c r="Z735" s="333">
        <f>+_xlfn.IFNA(AO735+AT735+AY735,0)</f>
      </c>
      <c r="AA735" s="333">
        <f>Y735*(1+$O$5)^(($B$7-X735)/365.25)</f>
      </c>
      <c r="AB735" s="333">
        <f>Z735*(1+$O$5)^(($B$7-X735)/365.25)</f>
      </c>
      <c r="AC735" s="1"/>
      <c r="AD735" s="1"/>
      <c r="AE735" s="1"/>
      <c r="AF735" s="111">
        <f>+MONTH(E735)&amp;YEAR(E735)</f>
      </c>
      <c r="AG735" s="217">
        <f>+I735</f>
      </c>
      <c r="AH735" s="217">
        <f>+J735</f>
      </c>
      <c r="AI735" s="217">
        <f>+H735</f>
      </c>
      <c r="AJ735" s="111">
        <f>+V735&amp;W735</f>
      </c>
      <c r="AK735" s="217">
        <f>+_xlfn.IFNA(VLOOKUP(AJ735,$AF$7:$AG$1066,2,0),0)</f>
      </c>
      <c r="AL735" s="217">
        <f>+IF(W735&gt;W734,AK735,AL734+AK735)</f>
      </c>
      <c r="AM735" s="217">
        <f>IF(W735&gt;W734,IF(AL735&gt;=$AZ$8,$AZ$8,AL735),IF(OR(AM734=$AZ$8,AM734=0),0,IF(AL735&gt;=$AZ$8,$AZ$8,AL735)))</f>
      </c>
      <c r="AN735" s="748">
        <f>+IF(OR(AM735&gt;AZ734,AM735=0),0,IF(AM735=AL735,AK735,$AZ$7-AL734))</f>
      </c>
      <c r="AO735" s="748">
        <f>+AK735-AN735</f>
      </c>
      <c r="AP735" s="217">
        <f>+_xlfn.IFNA(VLOOKUP(AJ735,$AF$7:$AI$1066,3,0),0)</f>
      </c>
      <c r="AQ735" s="217">
        <f>+IF(W735&gt;W734,AP735,AQ734+AP735)</f>
      </c>
      <c r="AR735" s="217">
        <f>+MAX($AM$2-SUMIF($W$7:$W$1066,W735,$AN$7:$AN$1066),0)</f>
      </c>
      <c r="AS735" s="748">
        <f>+MAX(IF(AQ735&gt;AR735,AR735-AQ734,AP735),0)</f>
      </c>
      <c r="AT735" s="748">
        <f>+AP735-AS735</f>
      </c>
      <c r="AU735" s="217">
        <f>+_xlfn.IFNA(VLOOKUP(AJ735,$AF$7:$AI$1066,4,0),0)</f>
      </c>
      <c r="AV735" s="217">
        <f>+IF(W735&gt;W734,AU735,AV734+AU735)</f>
      </c>
      <c r="AW735" s="217">
        <f>+MAX($AM$2-SUMIF($W$7:$W$1066,W735,$AN$7:$AN$1066)-SUMIF($W$7:$W$1066,W735,$AS$7:$AS$1066),0)</f>
      </c>
      <c r="AX735" s="748">
        <f>+MAX(IF(AV735&gt;AW735,AW735-AV734,AU735),0)</f>
      </c>
      <c r="AY735" s="748">
        <f>+AU735-AX735</f>
      </c>
      <c r="AZ735" s="331">
        <f>+$AM$1+IF($AP$1&gt;$AP$2,$AM$3/2)</f>
      </c>
    </row>
    <row x14ac:dyDescent="0.25" r="736" customHeight="1" ht="18.75">
      <c r="A736" s="1"/>
      <c r="B736" s="7"/>
      <c r="C736" s="170"/>
      <c r="D736" s="331">
        <v>729</v>
      </c>
      <c r="E736" s="544">
        <f>+DATE(YEAR(E735),MONTH(E735)-1,DAY(E735))</f>
        <v>25569.041666666668</v>
      </c>
      <c r="F736" s="333">
        <f>IF(DATE(YEAR($B$6),MONTH($B$6)+1,DAY(1))=E736,1,IF(MONTH(E736)=1,F737*(1+$F$5),F737))</f>
      </c>
      <c r="G736" s="333">
        <f>IF('Simulador - 1º Pilar'!$E$99="Sí",IF('Aportaciones PPE'!$B$13&lt;'Aportaciones PPE'!E736,0,F736*$B$8/12),F736*$B$8/12)</f>
      </c>
      <c r="H736" s="333">
        <f>$H$5*G736</f>
      </c>
      <c r="I736" s="333">
        <f>$I$5*G736</f>
      </c>
      <c r="J736" s="333">
        <f>+I736</f>
      </c>
      <c r="K736" s="333">
        <f>(1+$O$5)^(D736/12)*(H736+IF(AND(F736=1,F737=0),$S$4,0))</f>
      </c>
      <c r="L736" s="333">
        <f>(1+$O$5)^(D736/12)*(I736+IF(AND(F736=1,F737=0),0))</f>
      </c>
      <c r="M736" s="333">
        <f>+L736</f>
      </c>
      <c r="N736" s="333">
        <f>L736+K736+M736</f>
      </c>
      <c r="O736" s="170"/>
      <c r="P736" s="7"/>
      <c r="Q736" s="1"/>
      <c r="R736" s="331">
        <f>D736</f>
      </c>
      <c r="S736" s="169"/>
      <c r="T736" s="1"/>
      <c r="U736" s="217"/>
      <c r="V736" s="331">
        <f>+IF(V735=11,12,IF(V735=12,1,V735+1))</f>
      </c>
      <c r="W736" s="331">
        <f>+W735+IF(V735=12,1,0)</f>
      </c>
      <c r="X736" s="555">
        <f>+DATE(W736,V736,1)</f>
        <v>25569.041666666668</v>
      </c>
      <c r="Y736" s="333">
        <f>+_xlfn.IFNA(AN736+AS736+AX736,0)</f>
      </c>
      <c r="Z736" s="333">
        <f>+_xlfn.IFNA(AO736+AT736+AY736,0)</f>
      </c>
      <c r="AA736" s="333">
        <f>Y736*(1+$O$5)^(($B$7-X736)/365.25)</f>
      </c>
      <c r="AB736" s="333">
        <f>Z736*(1+$O$5)^(($B$7-X736)/365.25)</f>
      </c>
      <c r="AC736" s="1"/>
      <c r="AD736" s="1"/>
      <c r="AE736" s="1"/>
      <c r="AF736" s="111">
        <f>+MONTH(E736)&amp;YEAR(E736)</f>
      </c>
      <c r="AG736" s="217">
        <f>+I736</f>
      </c>
      <c r="AH736" s="217">
        <f>+J736</f>
      </c>
      <c r="AI736" s="217">
        <f>+H736</f>
      </c>
      <c r="AJ736" s="111">
        <f>+V736&amp;W736</f>
      </c>
      <c r="AK736" s="217">
        <f>+_xlfn.IFNA(VLOOKUP(AJ736,$AF$7:$AG$1066,2,0),0)</f>
      </c>
      <c r="AL736" s="217">
        <f>+IF(W736&gt;W735,AK736,AL735+AK736)</f>
      </c>
      <c r="AM736" s="217">
        <f>IF(W736&gt;W735,IF(AL736&gt;=$AZ$8,$AZ$8,AL736),IF(OR(AM735=$AZ$8,AM735=0),0,IF(AL736&gt;=$AZ$8,$AZ$8,AL736)))</f>
      </c>
      <c r="AN736" s="748">
        <f>+IF(OR(AM736&gt;AZ735,AM736=0),0,IF(AM736=AL736,AK736,$AZ$7-AL735))</f>
      </c>
      <c r="AO736" s="748">
        <f>+AK736-AN736</f>
      </c>
      <c r="AP736" s="217">
        <f>+_xlfn.IFNA(VLOOKUP(AJ736,$AF$7:$AI$1066,3,0),0)</f>
      </c>
      <c r="AQ736" s="217">
        <f>+IF(W736&gt;W735,AP736,AQ735+AP736)</f>
      </c>
      <c r="AR736" s="217">
        <f>+MAX($AM$2-SUMIF($W$7:$W$1066,W736,$AN$7:$AN$1066),0)</f>
      </c>
      <c r="AS736" s="748">
        <f>+MAX(IF(AQ736&gt;AR736,AR736-AQ735,AP736),0)</f>
      </c>
      <c r="AT736" s="748">
        <f>+AP736-AS736</f>
      </c>
      <c r="AU736" s="217">
        <f>+_xlfn.IFNA(VLOOKUP(AJ736,$AF$7:$AI$1066,4,0),0)</f>
      </c>
      <c r="AV736" s="217">
        <f>+IF(W736&gt;W735,AU736,AV735+AU736)</f>
      </c>
      <c r="AW736" s="217">
        <f>+MAX($AM$2-SUMIF($W$7:$W$1066,W736,$AN$7:$AN$1066)-SUMIF($W$7:$W$1066,W736,$AS$7:$AS$1066),0)</f>
      </c>
      <c r="AX736" s="748">
        <f>+MAX(IF(AV736&gt;AW736,AW736-AV735,AU736),0)</f>
      </c>
      <c r="AY736" s="748">
        <f>+AU736-AX736</f>
      </c>
      <c r="AZ736" s="331">
        <f>+$AM$1+IF($AP$1&gt;$AP$2,$AM$3/2)</f>
      </c>
    </row>
    <row x14ac:dyDescent="0.25" r="737" customHeight="1" ht="18.75">
      <c r="A737" s="1"/>
      <c r="B737" s="7"/>
      <c r="C737" s="170"/>
      <c r="D737" s="331">
        <v>730</v>
      </c>
      <c r="E737" s="544">
        <f>+DATE(YEAR(E736),MONTH(E736)-1,DAY(E736))</f>
        <v>25569.041666666668</v>
      </c>
      <c r="F737" s="333">
        <f>IF(DATE(YEAR($B$6),MONTH($B$6)+1,DAY(1))=E737,1,IF(MONTH(E737)=1,F738*(1+$F$5),F738))</f>
      </c>
      <c r="G737" s="333">
        <f>IF('Simulador - 1º Pilar'!$E$99="Sí",IF('Aportaciones PPE'!$B$13&lt;'Aportaciones PPE'!E737,0,F737*$B$8/12),F737*$B$8/12)</f>
      </c>
      <c r="H737" s="333">
        <f>$H$5*G737</f>
      </c>
      <c r="I737" s="333">
        <f>$I$5*G737</f>
      </c>
      <c r="J737" s="333">
        <f>+I737</f>
      </c>
      <c r="K737" s="333">
        <f>(1+$O$5)^(D737/12)*(H737+IF(AND(F737=1,F738=0),$S$4,0))</f>
      </c>
      <c r="L737" s="333">
        <f>(1+$O$5)^(D737/12)*(I737+IF(AND(F737=1,F738=0),0))</f>
      </c>
      <c r="M737" s="333">
        <f>+L737</f>
      </c>
      <c r="N737" s="333">
        <f>L737+K737+M737</f>
      </c>
      <c r="O737" s="170"/>
      <c r="P737" s="7"/>
      <c r="Q737" s="1"/>
      <c r="R737" s="331">
        <f>D737</f>
      </c>
      <c r="S737" s="169"/>
      <c r="T737" s="1"/>
      <c r="U737" s="217"/>
      <c r="V737" s="331">
        <f>+IF(V736=11,12,IF(V736=12,1,V736+1))</f>
      </c>
      <c r="W737" s="331">
        <f>+W736+IF(V736=12,1,0)</f>
      </c>
      <c r="X737" s="555">
        <f>+DATE(W737,V737,1)</f>
        <v>25569.041666666668</v>
      </c>
      <c r="Y737" s="333">
        <f>+_xlfn.IFNA(AN737+AS737+AX737,0)</f>
      </c>
      <c r="Z737" s="333">
        <f>+_xlfn.IFNA(AO737+AT737+AY737,0)</f>
      </c>
      <c r="AA737" s="333">
        <f>Y737*(1+$O$5)^(($B$7-X737)/365.25)</f>
      </c>
      <c r="AB737" s="333">
        <f>Z737*(1+$O$5)^(($B$7-X737)/365.25)</f>
      </c>
      <c r="AC737" s="1"/>
      <c r="AD737" s="1"/>
      <c r="AE737" s="1"/>
      <c r="AF737" s="111">
        <f>+MONTH(E737)&amp;YEAR(E737)</f>
      </c>
      <c r="AG737" s="217">
        <f>+I737</f>
      </c>
      <c r="AH737" s="217">
        <f>+J737</f>
      </c>
      <c r="AI737" s="217">
        <f>+H737</f>
      </c>
      <c r="AJ737" s="111">
        <f>+V737&amp;W737</f>
      </c>
      <c r="AK737" s="217">
        <f>+_xlfn.IFNA(VLOOKUP(AJ737,$AF$7:$AG$1066,2,0),0)</f>
      </c>
      <c r="AL737" s="217">
        <f>+IF(W737&gt;W736,AK737,AL736+AK737)</f>
      </c>
      <c r="AM737" s="217">
        <f>IF(W737&gt;W736,IF(AL737&gt;=$AZ$8,$AZ$8,AL737),IF(OR(AM736=$AZ$8,AM736=0),0,IF(AL737&gt;=$AZ$8,$AZ$8,AL737)))</f>
      </c>
      <c r="AN737" s="748">
        <f>+IF(OR(AM737&gt;AZ736,AM737=0),0,IF(AM737=AL737,AK737,$AZ$7-AL736))</f>
      </c>
      <c r="AO737" s="748">
        <f>+AK737-AN737</f>
      </c>
      <c r="AP737" s="217">
        <f>+_xlfn.IFNA(VLOOKUP(AJ737,$AF$7:$AI$1066,3,0),0)</f>
      </c>
      <c r="AQ737" s="217">
        <f>+IF(W737&gt;W736,AP737,AQ736+AP737)</f>
      </c>
      <c r="AR737" s="217">
        <f>+MAX($AM$2-SUMIF($W$7:$W$1066,W737,$AN$7:$AN$1066),0)</f>
      </c>
      <c r="AS737" s="748">
        <f>+MAX(IF(AQ737&gt;AR737,AR737-AQ736,AP737),0)</f>
      </c>
      <c r="AT737" s="748">
        <f>+AP737-AS737</f>
      </c>
      <c r="AU737" s="217">
        <f>+_xlfn.IFNA(VLOOKUP(AJ737,$AF$7:$AI$1066,4,0),0)</f>
      </c>
      <c r="AV737" s="217">
        <f>+IF(W737&gt;W736,AU737,AV736+AU737)</f>
      </c>
      <c r="AW737" s="217">
        <f>+MAX($AM$2-SUMIF($W$7:$W$1066,W737,$AN$7:$AN$1066)-SUMIF($W$7:$W$1066,W737,$AS$7:$AS$1066),0)</f>
      </c>
      <c r="AX737" s="748">
        <f>+MAX(IF(AV737&gt;AW737,AW737-AV736,AU737),0)</f>
      </c>
      <c r="AY737" s="748">
        <f>+AU737-AX737</f>
      </c>
      <c r="AZ737" s="331">
        <f>+$AM$1+IF($AP$1&gt;$AP$2,$AM$3/2)</f>
      </c>
    </row>
    <row x14ac:dyDescent="0.25" r="738" customHeight="1" ht="18.75">
      <c r="A738" s="1"/>
      <c r="B738" s="7"/>
      <c r="C738" s="170"/>
      <c r="D738" s="331">
        <v>731</v>
      </c>
      <c r="E738" s="544">
        <f>+DATE(YEAR(E737),MONTH(E737)-1,DAY(E737))</f>
        <v>25569.041666666668</v>
      </c>
      <c r="F738" s="333">
        <f>IF(DATE(YEAR($B$6),MONTH($B$6)+1,DAY(1))=E738,1,IF(MONTH(E738)=1,F739*(1+$F$5),F739))</f>
      </c>
      <c r="G738" s="333">
        <f>IF('Simulador - 1º Pilar'!$E$99="Sí",IF('Aportaciones PPE'!$B$13&lt;'Aportaciones PPE'!E738,0,F738*$B$8/12),F738*$B$8/12)</f>
      </c>
      <c r="H738" s="333">
        <f>$H$5*G738</f>
      </c>
      <c r="I738" s="333">
        <f>$I$5*G738</f>
      </c>
      <c r="J738" s="333">
        <f>+I738</f>
      </c>
      <c r="K738" s="333">
        <f>(1+$O$5)^(D738/12)*(H738+IF(AND(F738=1,F739=0),$S$4,0))</f>
      </c>
      <c r="L738" s="333">
        <f>(1+$O$5)^(D738/12)*(I738+IF(AND(F738=1,F739=0),0))</f>
      </c>
      <c r="M738" s="333">
        <f>+L738</f>
      </c>
      <c r="N738" s="333">
        <f>L738+K738+M738</f>
      </c>
      <c r="O738" s="170"/>
      <c r="P738" s="7"/>
      <c r="Q738" s="1"/>
      <c r="R738" s="331">
        <f>D738</f>
      </c>
      <c r="S738" s="169"/>
      <c r="T738" s="1"/>
      <c r="U738" s="217"/>
      <c r="V738" s="331">
        <f>+IF(V737=11,12,IF(V737=12,1,V737+1))</f>
      </c>
      <c r="W738" s="331">
        <f>+W737+IF(V737=12,1,0)</f>
      </c>
      <c r="X738" s="555">
        <f>+DATE(W738,V738,1)</f>
        <v>25569.041666666668</v>
      </c>
      <c r="Y738" s="333">
        <f>+_xlfn.IFNA(AN738+AS738+AX738,0)</f>
      </c>
      <c r="Z738" s="333">
        <f>+_xlfn.IFNA(AO738+AT738+AY738,0)</f>
      </c>
      <c r="AA738" s="333">
        <f>Y738*(1+$O$5)^(($B$7-X738)/365.25)</f>
      </c>
      <c r="AB738" s="333">
        <f>Z738*(1+$O$5)^(($B$7-X738)/365.25)</f>
      </c>
      <c r="AC738" s="1"/>
      <c r="AD738" s="1"/>
      <c r="AE738" s="1"/>
      <c r="AF738" s="111">
        <f>+MONTH(E738)&amp;YEAR(E738)</f>
      </c>
      <c r="AG738" s="217">
        <f>+I738</f>
      </c>
      <c r="AH738" s="217">
        <f>+J738</f>
      </c>
      <c r="AI738" s="217">
        <f>+H738</f>
      </c>
      <c r="AJ738" s="111">
        <f>+V738&amp;W738</f>
      </c>
      <c r="AK738" s="217">
        <f>+_xlfn.IFNA(VLOOKUP(AJ738,$AF$7:$AG$1066,2,0),0)</f>
      </c>
      <c r="AL738" s="217">
        <f>+IF(W738&gt;W737,AK738,AL737+AK738)</f>
      </c>
      <c r="AM738" s="217">
        <f>IF(W738&gt;W737,IF(AL738&gt;=$AZ$8,$AZ$8,AL738),IF(OR(AM737=$AZ$8,AM737=0),0,IF(AL738&gt;=$AZ$8,$AZ$8,AL738)))</f>
      </c>
      <c r="AN738" s="748">
        <f>+IF(OR(AM738&gt;AZ737,AM738=0),0,IF(AM738=AL738,AK738,$AZ$7-AL737))</f>
      </c>
      <c r="AO738" s="748">
        <f>+AK738-AN738</f>
      </c>
      <c r="AP738" s="217">
        <f>+_xlfn.IFNA(VLOOKUP(AJ738,$AF$7:$AI$1066,3,0),0)</f>
      </c>
      <c r="AQ738" s="217">
        <f>+IF(W738&gt;W737,AP738,AQ737+AP738)</f>
      </c>
      <c r="AR738" s="217">
        <f>+MAX($AM$2-SUMIF($W$7:$W$1066,W738,$AN$7:$AN$1066),0)</f>
      </c>
      <c r="AS738" s="748">
        <f>+MAX(IF(AQ738&gt;AR738,AR738-AQ737,AP738),0)</f>
      </c>
      <c r="AT738" s="748">
        <f>+AP738-AS738</f>
      </c>
      <c r="AU738" s="217">
        <f>+_xlfn.IFNA(VLOOKUP(AJ738,$AF$7:$AI$1066,4,0),0)</f>
      </c>
      <c r="AV738" s="217">
        <f>+IF(W738&gt;W737,AU738,AV737+AU738)</f>
      </c>
      <c r="AW738" s="217">
        <f>+MAX($AM$2-SUMIF($W$7:$W$1066,W738,$AN$7:$AN$1066)-SUMIF($W$7:$W$1066,W738,$AS$7:$AS$1066),0)</f>
      </c>
      <c r="AX738" s="748">
        <f>+MAX(IF(AV738&gt;AW738,AW738-AV737,AU738),0)</f>
      </c>
      <c r="AY738" s="748">
        <f>+AU738-AX738</f>
      </c>
      <c r="AZ738" s="331">
        <f>+$AM$1+IF($AP$1&gt;$AP$2,$AM$3/2)</f>
      </c>
    </row>
    <row x14ac:dyDescent="0.25" r="739" customHeight="1" ht="18.75">
      <c r="A739" s="1"/>
      <c r="B739" s="7"/>
      <c r="C739" s="170"/>
      <c r="D739" s="331">
        <v>732</v>
      </c>
      <c r="E739" s="544">
        <f>+DATE(YEAR(E738),MONTH(E738)-1,DAY(E738))</f>
        <v>25569.041666666668</v>
      </c>
      <c r="F739" s="333">
        <f>IF(DATE(YEAR($B$6),MONTH($B$6)+1,DAY(1))=E739,1,IF(MONTH(E739)=1,F740*(1+$F$5),F740))</f>
      </c>
      <c r="G739" s="333">
        <f>IF('Simulador - 1º Pilar'!$E$99="Sí",IF('Aportaciones PPE'!$B$13&lt;'Aportaciones PPE'!E739,0,F739*$B$8/12),F739*$B$8/12)</f>
      </c>
      <c r="H739" s="333">
        <f>$H$5*G739</f>
      </c>
      <c r="I739" s="333">
        <f>$I$5*G739</f>
      </c>
      <c r="J739" s="333">
        <f>+I739</f>
      </c>
      <c r="K739" s="333">
        <f>(1+$O$5)^(D739/12)*(H739+IF(AND(F739=1,F740=0),$S$4,0))</f>
      </c>
      <c r="L739" s="333">
        <f>(1+$O$5)^(D739/12)*(I739+IF(AND(F739=1,F740=0),0))</f>
      </c>
      <c r="M739" s="333">
        <f>+L739</f>
      </c>
      <c r="N739" s="333">
        <f>L739+K739+M739</f>
      </c>
      <c r="O739" s="170"/>
      <c r="P739" s="7"/>
      <c r="Q739" s="1"/>
      <c r="R739" s="331">
        <f>D739</f>
      </c>
      <c r="S739" s="169"/>
      <c r="T739" s="1"/>
      <c r="U739" s="217"/>
      <c r="V739" s="331">
        <f>+IF(V738=11,12,IF(V738=12,1,V738+1))</f>
      </c>
      <c r="W739" s="331">
        <f>+W738+IF(V738=12,1,0)</f>
      </c>
      <c r="X739" s="555">
        <f>+DATE(W739,V739,1)</f>
        <v>25569.041666666668</v>
      </c>
      <c r="Y739" s="333">
        <f>+_xlfn.IFNA(AN739+AS739+AX739,0)</f>
      </c>
      <c r="Z739" s="333">
        <f>+_xlfn.IFNA(AO739+AT739+AY739,0)</f>
      </c>
      <c r="AA739" s="333">
        <f>Y739*(1+$O$5)^(($B$7-X739)/365.25)</f>
      </c>
      <c r="AB739" s="333">
        <f>Z739*(1+$O$5)^(($B$7-X739)/365.25)</f>
      </c>
      <c r="AC739" s="1"/>
      <c r="AD739" s="1"/>
      <c r="AE739" s="1"/>
      <c r="AF739" s="111">
        <f>+MONTH(E739)&amp;YEAR(E739)</f>
      </c>
      <c r="AG739" s="217">
        <f>+I739</f>
      </c>
      <c r="AH739" s="217">
        <f>+J739</f>
      </c>
      <c r="AI739" s="217">
        <f>+H739</f>
      </c>
      <c r="AJ739" s="111">
        <f>+V739&amp;W739</f>
      </c>
      <c r="AK739" s="217">
        <f>+_xlfn.IFNA(VLOOKUP(AJ739,$AF$7:$AG$1066,2,0),0)</f>
      </c>
      <c r="AL739" s="217">
        <f>+IF(W739&gt;W738,AK739,AL738+AK739)</f>
      </c>
      <c r="AM739" s="217">
        <f>IF(W739&gt;W738,IF(AL739&gt;=$AZ$8,$AZ$8,AL739),IF(OR(AM738=$AZ$8,AM738=0),0,IF(AL739&gt;=$AZ$8,$AZ$8,AL739)))</f>
      </c>
      <c r="AN739" s="748">
        <f>+IF(OR(AM739&gt;AZ738,AM739=0),0,IF(AM739=AL739,AK739,$AZ$7-AL738))</f>
      </c>
      <c r="AO739" s="748">
        <f>+AK739-AN739</f>
      </c>
      <c r="AP739" s="217">
        <f>+_xlfn.IFNA(VLOOKUP(AJ739,$AF$7:$AI$1066,3,0),0)</f>
      </c>
      <c r="AQ739" s="217">
        <f>+IF(W739&gt;W738,AP739,AQ738+AP739)</f>
      </c>
      <c r="AR739" s="217">
        <f>+MAX($AM$2-SUMIF($W$7:$W$1066,W739,$AN$7:$AN$1066),0)</f>
      </c>
      <c r="AS739" s="748">
        <f>+MAX(IF(AQ739&gt;AR739,AR739-AQ738,AP739),0)</f>
      </c>
      <c r="AT739" s="748">
        <f>+AP739-AS739</f>
      </c>
      <c r="AU739" s="217">
        <f>+_xlfn.IFNA(VLOOKUP(AJ739,$AF$7:$AI$1066,4,0),0)</f>
      </c>
      <c r="AV739" s="217">
        <f>+IF(W739&gt;W738,AU739,AV738+AU739)</f>
      </c>
      <c r="AW739" s="217">
        <f>+MAX($AM$2-SUMIF($W$7:$W$1066,W739,$AN$7:$AN$1066)-SUMIF($W$7:$W$1066,W739,$AS$7:$AS$1066),0)</f>
      </c>
      <c r="AX739" s="748">
        <f>+MAX(IF(AV739&gt;AW739,AW739-AV738,AU739),0)</f>
      </c>
      <c r="AY739" s="748">
        <f>+AU739-AX739</f>
      </c>
      <c r="AZ739" s="331">
        <f>+$AM$1+IF($AP$1&gt;$AP$2,$AM$3/2)</f>
      </c>
    </row>
    <row x14ac:dyDescent="0.25" r="740" customHeight="1" ht="18.75">
      <c r="A740" s="1"/>
      <c r="B740" s="7"/>
      <c r="C740" s="170"/>
      <c r="D740" s="331">
        <v>733</v>
      </c>
      <c r="E740" s="544">
        <f>+DATE(YEAR(E739),MONTH(E739)-1,DAY(E739))</f>
        <v>25569.041666666668</v>
      </c>
      <c r="F740" s="333">
        <f>IF(DATE(YEAR($B$6),MONTH($B$6)+1,DAY(1))=E740,1,IF(MONTH(E740)=1,F741*(1+$F$5),F741))</f>
      </c>
      <c r="G740" s="333">
        <f>IF('Simulador - 1º Pilar'!$E$99="Sí",IF('Aportaciones PPE'!$B$13&lt;'Aportaciones PPE'!E740,0,F740*$B$8/12),F740*$B$8/12)</f>
      </c>
      <c r="H740" s="333">
        <f>$H$5*G740</f>
      </c>
      <c r="I740" s="333">
        <f>$I$5*G740</f>
      </c>
      <c r="J740" s="333">
        <f>+I740</f>
      </c>
      <c r="K740" s="333">
        <f>(1+$O$5)^(D740/12)*(H740+IF(AND(F740=1,F741=0),$S$4,0))</f>
      </c>
      <c r="L740" s="333">
        <f>(1+$O$5)^(D740/12)*(I740+IF(AND(F740=1,F741=0),0))</f>
      </c>
      <c r="M740" s="333">
        <f>+L740</f>
      </c>
      <c r="N740" s="333">
        <f>L740+K740+M740</f>
      </c>
      <c r="O740" s="170"/>
      <c r="P740" s="7"/>
      <c r="Q740" s="1"/>
      <c r="R740" s="331">
        <f>D740</f>
      </c>
      <c r="S740" s="169"/>
      <c r="T740" s="1"/>
      <c r="U740" s="217"/>
      <c r="V740" s="331">
        <f>+IF(V739=11,12,IF(V739=12,1,V739+1))</f>
      </c>
      <c r="W740" s="331">
        <f>+W739+IF(V739=12,1,0)</f>
      </c>
      <c r="X740" s="555">
        <f>+DATE(W740,V740,1)</f>
        <v>25569.041666666668</v>
      </c>
      <c r="Y740" s="333">
        <f>+_xlfn.IFNA(AN740+AS740+AX740,0)</f>
      </c>
      <c r="Z740" s="333">
        <f>+_xlfn.IFNA(AO740+AT740+AY740,0)</f>
      </c>
      <c r="AA740" s="333">
        <f>Y740*(1+$O$5)^(($B$7-X740)/365.25)</f>
      </c>
      <c r="AB740" s="333">
        <f>Z740*(1+$O$5)^(($B$7-X740)/365.25)</f>
      </c>
      <c r="AC740" s="1"/>
      <c r="AD740" s="1"/>
      <c r="AE740" s="1"/>
      <c r="AF740" s="111">
        <f>+MONTH(E740)&amp;YEAR(E740)</f>
      </c>
      <c r="AG740" s="217">
        <f>+I740</f>
      </c>
      <c r="AH740" s="217">
        <f>+J740</f>
      </c>
      <c r="AI740" s="217">
        <f>+H740</f>
      </c>
      <c r="AJ740" s="111">
        <f>+V740&amp;W740</f>
      </c>
      <c r="AK740" s="217">
        <f>+_xlfn.IFNA(VLOOKUP(AJ740,$AF$7:$AG$1066,2,0),0)</f>
      </c>
      <c r="AL740" s="217">
        <f>+IF(W740&gt;W739,AK740,AL739+AK740)</f>
      </c>
      <c r="AM740" s="217">
        <f>IF(W740&gt;W739,IF(AL740&gt;=$AZ$8,$AZ$8,AL740),IF(OR(AM739=$AZ$8,AM739=0),0,IF(AL740&gt;=$AZ$8,$AZ$8,AL740)))</f>
      </c>
      <c r="AN740" s="748">
        <f>+IF(OR(AM740&gt;AZ739,AM740=0),0,IF(AM740=AL740,AK740,$AZ$7-AL739))</f>
      </c>
      <c r="AO740" s="748">
        <f>+AK740-AN740</f>
      </c>
      <c r="AP740" s="217">
        <f>+_xlfn.IFNA(VLOOKUP(AJ740,$AF$7:$AI$1066,3,0),0)</f>
      </c>
      <c r="AQ740" s="217">
        <f>+IF(W740&gt;W739,AP740,AQ739+AP740)</f>
      </c>
      <c r="AR740" s="217">
        <f>+MAX($AM$2-SUMIF($W$7:$W$1066,W740,$AN$7:$AN$1066),0)</f>
      </c>
      <c r="AS740" s="748">
        <f>+MAX(IF(AQ740&gt;AR740,AR740-AQ739,AP740),0)</f>
      </c>
      <c r="AT740" s="748">
        <f>+AP740-AS740</f>
      </c>
      <c r="AU740" s="217">
        <f>+_xlfn.IFNA(VLOOKUP(AJ740,$AF$7:$AI$1066,4,0),0)</f>
      </c>
      <c r="AV740" s="217">
        <f>+IF(W740&gt;W739,AU740,AV739+AU740)</f>
      </c>
      <c r="AW740" s="217">
        <f>+MAX($AM$2-SUMIF($W$7:$W$1066,W740,$AN$7:$AN$1066)-SUMIF($W$7:$W$1066,W740,$AS$7:$AS$1066),0)</f>
      </c>
      <c r="AX740" s="748">
        <f>+MAX(IF(AV740&gt;AW740,AW740-AV739,AU740),0)</f>
      </c>
      <c r="AY740" s="748">
        <f>+AU740-AX740</f>
      </c>
      <c r="AZ740" s="331">
        <f>+$AM$1+IF($AP$1&gt;$AP$2,$AM$3/2)</f>
      </c>
    </row>
    <row x14ac:dyDescent="0.25" r="741" customHeight="1" ht="18.75">
      <c r="A741" s="1"/>
      <c r="B741" s="7"/>
      <c r="C741" s="170"/>
      <c r="D741" s="331">
        <v>734</v>
      </c>
      <c r="E741" s="544">
        <f>+DATE(YEAR(E740),MONTH(E740)-1,DAY(E740))</f>
        <v>25569.041666666668</v>
      </c>
      <c r="F741" s="333">
        <f>IF(DATE(YEAR($B$6),MONTH($B$6)+1,DAY(1))=E741,1,IF(MONTH(E741)=1,F742*(1+$F$5),F742))</f>
      </c>
      <c r="G741" s="333">
        <f>IF('Simulador - 1º Pilar'!$E$99="Sí",IF('Aportaciones PPE'!$B$13&lt;'Aportaciones PPE'!E741,0,F741*$B$8/12),F741*$B$8/12)</f>
      </c>
      <c r="H741" s="333">
        <f>$H$5*G741</f>
      </c>
      <c r="I741" s="333">
        <f>$I$5*G741</f>
      </c>
      <c r="J741" s="333">
        <f>+I741</f>
      </c>
      <c r="K741" s="333">
        <f>(1+$O$5)^(D741/12)*(H741+IF(AND(F741=1,F742=0),$S$4,0))</f>
      </c>
      <c r="L741" s="333">
        <f>(1+$O$5)^(D741/12)*(I741+IF(AND(F741=1,F742=0),0))</f>
      </c>
      <c r="M741" s="333">
        <f>+L741</f>
      </c>
      <c r="N741" s="333">
        <f>L741+K741+M741</f>
      </c>
      <c r="O741" s="170"/>
      <c r="P741" s="7"/>
      <c r="Q741" s="1"/>
      <c r="R741" s="331">
        <f>D741</f>
      </c>
      <c r="S741" s="169"/>
      <c r="T741" s="1"/>
      <c r="U741" s="217"/>
      <c r="V741" s="331">
        <f>+IF(V740=11,12,IF(V740=12,1,V740+1))</f>
      </c>
      <c r="W741" s="331">
        <f>+W740+IF(V740=12,1,0)</f>
      </c>
      <c r="X741" s="555">
        <f>+DATE(W741,V741,1)</f>
        <v>25569.041666666668</v>
      </c>
      <c r="Y741" s="333">
        <f>+_xlfn.IFNA(AN741+AS741+AX741,0)</f>
      </c>
      <c r="Z741" s="333">
        <f>+_xlfn.IFNA(AO741+AT741+AY741,0)</f>
      </c>
      <c r="AA741" s="333">
        <f>Y741*(1+$O$5)^(($B$7-X741)/365.25)</f>
      </c>
      <c r="AB741" s="333">
        <f>Z741*(1+$O$5)^(($B$7-X741)/365.25)</f>
      </c>
      <c r="AC741" s="1"/>
      <c r="AD741" s="1"/>
      <c r="AE741" s="1"/>
      <c r="AF741" s="111">
        <f>+MONTH(E741)&amp;YEAR(E741)</f>
      </c>
      <c r="AG741" s="217">
        <f>+I741</f>
      </c>
      <c r="AH741" s="217">
        <f>+J741</f>
      </c>
      <c r="AI741" s="217">
        <f>+H741</f>
      </c>
      <c r="AJ741" s="111">
        <f>+V741&amp;W741</f>
      </c>
      <c r="AK741" s="217">
        <f>+_xlfn.IFNA(VLOOKUP(AJ741,$AF$7:$AG$1066,2,0),0)</f>
      </c>
      <c r="AL741" s="217">
        <f>+IF(W741&gt;W740,AK741,AL740+AK741)</f>
      </c>
      <c r="AM741" s="217">
        <f>IF(W741&gt;W740,IF(AL741&gt;=$AZ$8,$AZ$8,AL741),IF(OR(AM740=$AZ$8,AM740=0),0,IF(AL741&gt;=$AZ$8,$AZ$8,AL741)))</f>
      </c>
      <c r="AN741" s="748">
        <f>+IF(OR(AM741&gt;AZ740,AM741=0),0,IF(AM741=AL741,AK741,$AZ$7-AL740))</f>
      </c>
      <c r="AO741" s="748">
        <f>+AK741-AN741</f>
      </c>
      <c r="AP741" s="217">
        <f>+_xlfn.IFNA(VLOOKUP(AJ741,$AF$7:$AI$1066,3,0),0)</f>
      </c>
      <c r="AQ741" s="217">
        <f>+IF(W741&gt;W740,AP741,AQ740+AP741)</f>
      </c>
      <c r="AR741" s="217">
        <f>+MAX($AM$2-SUMIF($W$7:$W$1066,W741,$AN$7:$AN$1066),0)</f>
      </c>
      <c r="AS741" s="748">
        <f>+MAX(IF(AQ741&gt;AR741,AR741-AQ740,AP741),0)</f>
      </c>
      <c r="AT741" s="748">
        <f>+AP741-AS741</f>
      </c>
      <c r="AU741" s="217">
        <f>+_xlfn.IFNA(VLOOKUP(AJ741,$AF$7:$AI$1066,4,0),0)</f>
      </c>
      <c r="AV741" s="217">
        <f>+IF(W741&gt;W740,AU741,AV740+AU741)</f>
      </c>
      <c r="AW741" s="217">
        <f>+MAX($AM$2-SUMIF($W$7:$W$1066,W741,$AN$7:$AN$1066)-SUMIF($W$7:$W$1066,W741,$AS$7:$AS$1066),0)</f>
      </c>
      <c r="AX741" s="748">
        <f>+MAX(IF(AV741&gt;AW741,AW741-AV740,AU741),0)</f>
      </c>
      <c r="AY741" s="748">
        <f>+AU741-AX741</f>
      </c>
      <c r="AZ741" s="331">
        <f>+$AM$1+IF($AP$1&gt;$AP$2,$AM$3/2)</f>
      </c>
    </row>
    <row x14ac:dyDescent="0.25" r="742" customHeight="1" ht="18.75">
      <c r="A742" s="1"/>
      <c r="B742" s="7"/>
      <c r="C742" s="170"/>
      <c r="D742" s="331">
        <v>735</v>
      </c>
      <c r="E742" s="544">
        <f>+DATE(YEAR(E741),MONTH(E741)-1,DAY(E741))</f>
        <v>25569.041666666668</v>
      </c>
      <c r="F742" s="333">
        <f>IF(DATE(YEAR($B$6),MONTH($B$6)+1,DAY(1))=E742,1,IF(MONTH(E742)=1,F743*(1+$F$5),F743))</f>
      </c>
      <c r="G742" s="333">
        <f>IF('Simulador - 1º Pilar'!$E$99="Sí",IF('Aportaciones PPE'!$B$13&lt;'Aportaciones PPE'!E742,0,F742*$B$8/12),F742*$B$8/12)</f>
      </c>
      <c r="H742" s="333">
        <f>$H$5*G742</f>
      </c>
      <c r="I742" s="333">
        <f>$I$5*G742</f>
      </c>
      <c r="J742" s="333">
        <f>+I742</f>
      </c>
      <c r="K742" s="333">
        <f>(1+$O$5)^(D742/12)*(H742+IF(AND(F742=1,F743=0),$S$4,0))</f>
      </c>
      <c r="L742" s="333">
        <f>(1+$O$5)^(D742/12)*(I742+IF(AND(F742=1,F743=0),0))</f>
      </c>
      <c r="M742" s="333">
        <f>+L742</f>
      </c>
      <c r="N742" s="333">
        <f>L742+K742+M742</f>
      </c>
      <c r="O742" s="170"/>
      <c r="P742" s="7"/>
      <c r="Q742" s="1"/>
      <c r="R742" s="331">
        <f>D742</f>
      </c>
      <c r="S742" s="169"/>
      <c r="T742" s="1"/>
      <c r="U742" s="217"/>
      <c r="V742" s="331">
        <f>+IF(V741=11,12,IF(V741=12,1,V741+1))</f>
      </c>
      <c r="W742" s="331">
        <f>+W741+IF(V741=12,1,0)</f>
      </c>
      <c r="X742" s="555">
        <f>+DATE(W742,V742,1)</f>
        <v>25569.041666666668</v>
      </c>
      <c r="Y742" s="333">
        <f>+_xlfn.IFNA(AN742+AS742+AX742,0)</f>
      </c>
      <c r="Z742" s="333">
        <f>+_xlfn.IFNA(AO742+AT742+AY742,0)</f>
      </c>
      <c r="AA742" s="333">
        <f>Y742*(1+$O$5)^(($B$7-X742)/365.25)</f>
      </c>
      <c r="AB742" s="333">
        <f>Z742*(1+$O$5)^(($B$7-X742)/365.25)</f>
      </c>
      <c r="AC742" s="1"/>
      <c r="AD742" s="1"/>
      <c r="AE742" s="1"/>
      <c r="AF742" s="111">
        <f>+MONTH(E742)&amp;YEAR(E742)</f>
      </c>
      <c r="AG742" s="217">
        <f>+I742</f>
      </c>
      <c r="AH742" s="217">
        <f>+J742</f>
      </c>
      <c r="AI742" s="217">
        <f>+H742</f>
      </c>
      <c r="AJ742" s="111">
        <f>+V742&amp;W742</f>
      </c>
      <c r="AK742" s="217">
        <f>+_xlfn.IFNA(VLOOKUP(AJ742,$AF$7:$AG$1066,2,0),0)</f>
      </c>
      <c r="AL742" s="217">
        <f>+IF(W742&gt;W741,AK742,AL741+AK742)</f>
      </c>
      <c r="AM742" s="217">
        <f>IF(W742&gt;W741,IF(AL742&gt;=$AZ$8,$AZ$8,AL742),IF(OR(AM741=$AZ$8,AM741=0),0,IF(AL742&gt;=$AZ$8,$AZ$8,AL742)))</f>
      </c>
      <c r="AN742" s="748">
        <f>+IF(OR(AM742&gt;AZ741,AM742=0),0,IF(AM742=AL742,AK742,$AZ$7-AL741))</f>
      </c>
      <c r="AO742" s="748">
        <f>+AK742-AN742</f>
      </c>
      <c r="AP742" s="217">
        <f>+_xlfn.IFNA(VLOOKUP(AJ742,$AF$7:$AI$1066,3,0),0)</f>
      </c>
      <c r="AQ742" s="217">
        <f>+IF(W742&gt;W741,AP742,AQ741+AP742)</f>
      </c>
      <c r="AR742" s="217">
        <f>+MAX($AM$2-SUMIF($W$7:$W$1066,W742,$AN$7:$AN$1066),0)</f>
      </c>
      <c r="AS742" s="748">
        <f>+MAX(IF(AQ742&gt;AR742,AR742-AQ741,AP742),0)</f>
      </c>
      <c r="AT742" s="748">
        <f>+AP742-AS742</f>
      </c>
      <c r="AU742" s="217">
        <f>+_xlfn.IFNA(VLOOKUP(AJ742,$AF$7:$AI$1066,4,0),0)</f>
      </c>
      <c r="AV742" s="217">
        <f>+IF(W742&gt;W741,AU742,AV741+AU742)</f>
      </c>
      <c r="AW742" s="217">
        <f>+MAX($AM$2-SUMIF($W$7:$W$1066,W742,$AN$7:$AN$1066)-SUMIF($W$7:$W$1066,W742,$AS$7:$AS$1066),0)</f>
      </c>
      <c r="AX742" s="748">
        <f>+MAX(IF(AV742&gt;AW742,AW742-AV741,AU742),0)</f>
      </c>
      <c r="AY742" s="748">
        <f>+AU742-AX742</f>
      </c>
      <c r="AZ742" s="331">
        <f>+$AM$1+IF($AP$1&gt;$AP$2,$AM$3/2)</f>
      </c>
    </row>
    <row x14ac:dyDescent="0.25" r="743" customHeight="1" ht="18.75">
      <c r="A743" s="1"/>
      <c r="B743" s="7"/>
      <c r="C743" s="170"/>
      <c r="D743" s="331">
        <v>736</v>
      </c>
      <c r="E743" s="544">
        <f>+DATE(YEAR(E742),MONTH(E742)-1,DAY(E742))</f>
        <v>25569.041666666668</v>
      </c>
      <c r="F743" s="333">
        <f>IF(DATE(YEAR($B$6),MONTH($B$6)+1,DAY(1))=E743,1,IF(MONTH(E743)=1,F744*(1+$F$5),F744))</f>
      </c>
      <c r="G743" s="333">
        <f>IF('Simulador - 1º Pilar'!$E$99="Sí",IF('Aportaciones PPE'!$B$13&lt;'Aportaciones PPE'!E743,0,F743*$B$8/12),F743*$B$8/12)</f>
      </c>
      <c r="H743" s="333">
        <f>$H$5*G743</f>
      </c>
      <c r="I743" s="333">
        <f>$I$5*G743</f>
      </c>
      <c r="J743" s="333">
        <f>+I743</f>
      </c>
      <c r="K743" s="333">
        <f>(1+$O$5)^(D743/12)*(H743+IF(AND(F743=1,F744=0),$S$4,0))</f>
      </c>
      <c r="L743" s="333">
        <f>(1+$O$5)^(D743/12)*(I743+IF(AND(F743=1,F744=0),0))</f>
      </c>
      <c r="M743" s="333">
        <f>+L743</f>
      </c>
      <c r="N743" s="333">
        <f>L743+K743+M743</f>
      </c>
      <c r="O743" s="170"/>
      <c r="P743" s="7"/>
      <c r="Q743" s="1"/>
      <c r="R743" s="331">
        <f>D743</f>
      </c>
      <c r="S743" s="169"/>
      <c r="T743" s="1"/>
      <c r="U743" s="217"/>
      <c r="V743" s="331">
        <f>+IF(V742=11,12,IF(V742=12,1,V742+1))</f>
      </c>
      <c r="W743" s="331">
        <f>+W742+IF(V742=12,1,0)</f>
      </c>
      <c r="X743" s="555">
        <f>+DATE(W743,V743,1)</f>
        <v>25569.041666666668</v>
      </c>
      <c r="Y743" s="333">
        <f>+_xlfn.IFNA(AN743+AS743+AX743,0)</f>
      </c>
      <c r="Z743" s="333">
        <f>+_xlfn.IFNA(AO743+AT743+AY743,0)</f>
      </c>
      <c r="AA743" s="333">
        <f>Y743*(1+$O$5)^(($B$7-X743)/365.25)</f>
      </c>
      <c r="AB743" s="333">
        <f>Z743*(1+$O$5)^(($B$7-X743)/365.25)</f>
      </c>
      <c r="AC743" s="1"/>
      <c r="AD743" s="1"/>
      <c r="AE743" s="1"/>
      <c r="AF743" s="111">
        <f>+MONTH(E743)&amp;YEAR(E743)</f>
      </c>
      <c r="AG743" s="217">
        <f>+I743</f>
      </c>
      <c r="AH743" s="217">
        <f>+J743</f>
      </c>
      <c r="AI743" s="217">
        <f>+H743</f>
      </c>
      <c r="AJ743" s="111">
        <f>+V743&amp;W743</f>
      </c>
      <c r="AK743" s="217">
        <f>+_xlfn.IFNA(VLOOKUP(AJ743,$AF$7:$AG$1066,2,0),0)</f>
      </c>
      <c r="AL743" s="217">
        <f>+IF(W743&gt;W742,AK743,AL742+AK743)</f>
      </c>
      <c r="AM743" s="217">
        <f>IF(W743&gt;W742,IF(AL743&gt;=$AZ$8,$AZ$8,AL743),IF(OR(AM742=$AZ$8,AM742=0),0,IF(AL743&gt;=$AZ$8,$AZ$8,AL743)))</f>
      </c>
      <c r="AN743" s="748">
        <f>+IF(OR(AM743&gt;AZ742,AM743=0),0,IF(AM743=AL743,AK743,$AZ$7-AL742))</f>
      </c>
      <c r="AO743" s="748">
        <f>+AK743-AN743</f>
      </c>
      <c r="AP743" s="217">
        <f>+_xlfn.IFNA(VLOOKUP(AJ743,$AF$7:$AI$1066,3,0),0)</f>
      </c>
      <c r="AQ743" s="217">
        <f>+IF(W743&gt;W742,AP743,AQ742+AP743)</f>
      </c>
      <c r="AR743" s="217">
        <f>+MAX($AM$2-SUMIF($W$7:$W$1066,W743,$AN$7:$AN$1066),0)</f>
      </c>
      <c r="AS743" s="748">
        <f>+MAX(IF(AQ743&gt;AR743,AR743-AQ742,AP743),0)</f>
      </c>
      <c r="AT743" s="748">
        <f>+AP743-AS743</f>
      </c>
      <c r="AU743" s="217">
        <f>+_xlfn.IFNA(VLOOKUP(AJ743,$AF$7:$AI$1066,4,0),0)</f>
      </c>
      <c r="AV743" s="217">
        <f>+IF(W743&gt;W742,AU743,AV742+AU743)</f>
      </c>
      <c r="AW743" s="217">
        <f>+MAX($AM$2-SUMIF($W$7:$W$1066,W743,$AN$7:$AN$1066)-SUMIF($W$7:$W$1066,W743,$AS$7:$AS$1066),0)</f>
      </c>
      <c r="AX743" s="748">
        <f>+MAX(IF(AV743&gt;AW743,AW743-AV742,AU743),0)</f>
      </c>
      <c r="AY743" s="748">
        <f>+AU743-AX743</f>
      </c>
      <c r="AZ743" s="331">
        <f>+$AM$1+IF($AP$1&gt;$AP$2,$AM$3/2)</f>
      </c>
    </row>
    <row x14ac:dyDescent="0.25" r="744" customHeight="1" ht="18.75">
      <c r="A744" s="1"/>
      <c r="B744" s="7"/>
      <c r="C744" s="170"/>
      <c r="D744" s="331">
        <v>737</v>
      </c>
      <c r="E744" s="544">
        <f>+DATE(YEAR(E743),MONTH(E743)-1,DAY(E743))</f>
        <v>25569.041666666668</v>
      </c>
      <c r="F744" s="333">
        <f>IF(DATE(YEAR($B$6),MONTH($B$6)+1,DAY(1))=E744,1,IF(MONTH(E744)=1,F745*(1+$F$5),F745))</f>
      </c>
      <c r="G744" s="333">
        <f>IF('Simulador - 1º Pilar'!$E$99="Sí",IF('Aportaciones PPE'!$B$13&lt;'Aportaciones PPE'!E744,0,F744*$B$8/12),F744*$B$8/12)</f>
      </c>
      <c r="H744" s="333">
        <f>$H$5*G744</f>
      </c>
      <c r="I744" s="333">
        <f>$I$5*G744</f>
      </c>
      <c r="J744" s="333">
        <f>+I744</f>
      </c>
      <c r="K744" s="333">
        <f>(1+$O$5)^(D744/12)*(H744+IF(AND(F744=1,F745=0),$S$4,0))</f>
      </c>
      <c r="L744" s="333">
        <f>(1+$O$5)^(D744/12)*(I744+IF(AND(F744=1,F745=0),0))</f>
      </c>
      <c r="M744" s="333">
        <f>+L744</f>
      </c>
      <c r="N744" s="333">
        <f>L744+K744+M744</f>
      </c>
      <c r="O744" s="170"/>
      <c r="P744" s="7"/>
      <c r="Q744" s="1"/>
      <c r="R744" s="331">
        <f>D744</f>
      </c>
      <c r="S744" s="169"/>
      <c r="T744" s="1"/>
      <c r="U744" s="217"/>
      <c r="V744" s="331">
        <f>+IF(V743=11,12,IF(V743=12,1,V743+1))</f>
      </c>
      <c r="W744" s="331">
        <f>+W743+IF(V743=12,1,0)</f>
      </c>
      <c r="X744" s="555">
        <f>+DATE(W744,V744,1)</f>
        <v>25569.041666666668</v>
      </c>
      <c r="Y744" s="333">
        <f>+_xlfn.IFNA(AN744+AS744+AX744,0)</f>
      </c>
      <c r="Z744" s="333">
        <f>+_xlfn.IFNA(AO744+AT744+AY744,0)</f>
      </c>
      <c r="AA744" s="333">
        <f>Y744*(1+$O$5)^(($B$7-X744)/365.25)</f>
      </c>
      <c r="AB744" s="333">
        <f>Z744*(1+$O$5)^(($B$7-X744)/365.25)</f>
      </c>
      <c r="AC744" s="1"/>
      <c r="AD744" s="1"/>
      <c r="AE744" s="1"/>
      <c r="AF744" s="111">
        <f>+MONTH(E744)&amp;YEAR(E744)</f>
      </c>
      <c r="AG744" s="217">
        <f>+I744</f>
      </c>
      <c r="AH744" s="217">
        <f>+J744</f>
      </c>
      <c r="AI744" s="217">
        <f>+H744</f>
      </c>
      <c r="AJ744" s="111">
        <f>+V744&amp;W744</f>
      </c>
      <c r="AK744" s="217">
        <f>+_xlfn.IFNA(VLOOKUP(AJ744,$AF$7:$AG$1066,2,0),0)</f>
      </c>
      <c r="AL744" s="217">
        <f>+IF(W744&gt;W743,AK744,AL743+AK744)</f>
      </c>
      <c r="AM744" s="217">
        <f>IF(W744&gt;W743,IF(AL744&gt;=$AZ$8,$AZ$8,AL744),IF(OR(AM743=$AZ$8,AM743=0),0,IF(AL744&gt;=$AZ$8,$AZ$8,AL744)))</f>
      </c>
      <c r="AN744" s="748">
        <f>+IF(OR(AM744&gt;AZ743,AM744=0),0,IF(AM744=AL744,AK744,$AZ$7-AL743))</f>
      </c>
      <c r="AO744" s="748">
        <f>+AK744-AN744</f>
      </c>
      <c r="AP744" s="217">
        <f>+_xlfn.IFNA(VLOOKUP(AJ744,$AF$7:$AI$1066,3,0),0)</f>
      </c>
      <c r="AQ744" s="217">
        <f>+IF(W744&gt;W743,AP744,AQ743+AP744)</f>
      </c>
      <c r="AR744" s="217">
        <f>+MAX($AM$2-SUMIF($W$7:$W$1066,W744,$AN$7:$AN$1066),0)</f>
      </c>
      <c r="AS744" s="748">
        <f>+MAX(IF(AQ744&gt;AR744,AR744-AQ743,AP744),0)</f>
      </c>
      <c r="AT744" s="748">
        <f>+AP744-AS744</f>
      </c>
      <c r="AU744" s="217">
        <f>+_xlfn.IFNA(VLOOKUP(AJ744,$AF$7:$AI$1066,4,0),0)</f>
      </c>
      <c r="AV744" s="217">
        <f>+IF(W744&gt;W743,AU744,AV743+AU744)</f>
      </c>
      <c r="AW744" s="217">
        <f>+MAX($AM$2-SUMIF($W$7:$W$1066,W744,$AN$7:$AN$1066)-SUMIF($W$7:$W$1066,W744,$AS$7:$AS$1066),0)</f>
      </c>
      <c r="AX744" s="748">
        <f>+MAX(IF(AV744&gt;AW744,AW744-AV743,AU744),0)</f>
      </c>
      <c r="AY744" s="748">
        <f>+AU744-AX744</f>
      </c>
      <c r="AZ744" s="331">
        <f>+$AM$1+IF($AP$1&gt;$AP$2,$AM$3/2)</f>
      </c>
    </row>
    <row x14ac:dyDescent="0.25" r="745" customHeight="1" ht="18.75">
      <c r="A745" s="1"/>
      <c r="B745" s="7"/>
      <c r="C745" s="170"/>
      <c r="D745" s="331">
        <v>738</v>
      </c>
      <c r="E745" s="544">
        <f>+DATE(YEAR(E744),MONTH(E744)-1,DAY(E744))</f>
        <v>25569.041666666668</v>
      </c>
      <c r="F745" s="333">
        <f>IF(DATE(YEAR($B$6),MONTH($B$6)+1,DAY(1))=E745,1,IF(MONTH(E745)=1,F746*(1+$F$5),F746))</f>
      </c>
      <c r="G745" s="333">
        <f>IF('Simulador - 1º Pilar'!$E$99="Sí",IF('Aportaciones PPE'!$B$13&lt;'Aportaciones PPE'!E745,0,F745*$B$8/12),F745*$B$8/12)</f>
      </c>
      <c r="H745" s="333">
        <f>$H$5*G745</f>
      </c>
      <c r="I745" s="333">
        <f>$I$5*G745</f>
      </c>
      <c r="J745" s="333">
        <f>+I745</f>
      </c>
      <c r="K745" s="333">
        <f>(1+$O$5)^(D745/12)*(H745+IF(AND(F745=1,F746=0),$S$4,0))</f>
      </c>
      <c r="L745" s="333">
        <f>(1+$O$5)^(D745/12)*(I745+IF(AND(F745=1,F746=0),0))</f>
      </c>
      <c r="M745" s="333">
        <f>+L745</f>
      </c>
      <c r="N745" s="333">
        <f>L745+K745+M745</f>
      </c>
      <c r="O745" s="170"/>
      <c r="P745" s="7"/>
      <c r="Q745" s="1"/>
      <c r="R745" s="331">
        <f>D745</f>
      </c>
      <c r="S745" s="169"/>
      <c r="T745" s="1"/>
      <c r="U745" s="217"/>
      <c r="V745" s="331">
        <f>+IF(V744=11,12,IF(V744=12,1,V744+1))</f>
      </c>
      <c r="W745" s="331">
        <f>+W744+IF(V744=12,1,0)</f>
      </c>
      <c r="X745" s="555">
        <f>+DATE(W745,V745,1)</f>
        <v>25569.041666666668</v>
      </c>
      <c r="Y745" s="333">
        <f>+_xlfn.IFNA(AN745+AS745+AX745,0)</f>
      </c>
      <c r="Z745" s="333">
        <f>+_xlfn.IFNA(AO745+AT745+AY745,0)</f>
      </c>
      <c r="AA745" s="333">
        <f>Y745*(1+$O$5)^(($B$7-X745)/365.25)</f>
      </c>
      <c r="AB745" s="333">
        <f>Z745*(1+$O$5)^(($B$7-X745)/365.25)</f>
      </c>
      <c r="AC745" s="1"/>
      <c r="AD745" s="1"/>
      <c r="AE745" s="1"/>
      <c r="AF745" s="111">
        <f>+MONTH(E745)&amp;YEAR(E745)</f>
      </c>
      <c r="AG745" s="217">
        <f>+I745</f>
      </c>
      <c r="AH745" s="217">
        <f>+J745</f>
      </c>
      <c r="AI745" s="217">
        <f>+H745</f>
      </c>
      <c r="AJ745" s="111">
        <f>+V745&amp;W745</f>
      </c>
      <c r="AK745" s="217">
        <f>+_xlfn.IFNA(VLOOKUP(AJ745,$AF$7:$AG$1066,2,0),0)</f>
      </c>
      <c r="AL745" s="217">
        <f>+IF(W745&gt;W744,AK745,AL744+AK745)</f>
      </c>
      <c r="AM745" s="217">
        <f>IF(W745&gt;W744,IF(AL745&gt;=$AZ$8,$AZ$8,AL745),IF(OR(AM744=$AZ$8,AM744=0),0,IF(AL745&gt;=$AZ$8,$AZ$8,AL745)))</f>
      </c>
      <c r="AN745" s="748">
        <f>+IF(OR(AM745&gt;AZ744,AM745=0),0,IF(AM745=AL745,AK745,$AZ$7-AL744))</f>
      </c>
      <c r="AO745" s="748">
        <f>+AK745-AN745</f>
      </c>
      <c r="AP745" s="217">
        <f>+_xlfn.IFNA(VLOOKUP(AJ745,$AF$7:$AI$1066,3,0),0)</f>
      </c>
      <c r="AQ745" s="217">
        <f>+IF(W745&gt;W744,AP745,AQ744+AP745)</f>
      </c>
      <c r="AR745" s="217">
        <f>+MAX($AM$2-SUMIF($W$7:$W$1066,W745,$AN$7:$AN$1066),0)</f>
      </c>
      <c r="AS745" s="748">
        <f>+MAX(IF(AQ745&gt;AR745,AR745-AQ744,AP745),0)</f>
      </c>
      <c r="AT745" s="748">
        <f>+AP745-AS745</f>
      </c>
      <c r="AU745" s="217">
        <f>+_xlfn.IFNA(VLOOKUP(AJ745,$AF$7:$AI$1066,4,0),0)</f>
      </c>
      <c r="AV745" s="217">
        <f>+IF(W745&gt;W744,AU745,AV744+AU745)</f>
      </c>
      <c r="AW745" s="217">
        <f>+MAX($AM$2-SUMIF($W$7:$W$1066,W745,$AN$7:$AN$1066)-SUMIF($W$7:$W$1066,W745,$AS$7:$AS$1066),0)</f>
      </c>
      <c r="AX745" s="748">
        <f>+MAX(IF(AV745&gt;AW745,AW745-AV744,AU745),0)</f>
      </c>
      <c r="AY745" s="748">
        <f>+AU745-AX745</f>
      </c>
      <c r="AZ745" s="331">
        <f>+$AM$1+IF($AP$1&gt;$AP$2,$AM$3/2)</f>
      </c>
    </row>
    <row x14ac:dyDescent="0.25" r="746" customHeight="1" ht="18.75">
      <c r="A746" s="1"/>
      <c r="B746" s="7"/>
      <c r="C746" s="170"/>
      <c r="D746" s="331">
        <v>739</v>
      </c>
      <c r="E746" s="544">
        <f>+DATE(YEAR(E745),MONTH(E745)-1,DAY(E745))</f>
        <v>25569.041666666668</v>
      </c>
      <c r="F746" s="333">
        <f>IF(DATE(YEAR($B$6),MONTH($B$6)+1,DAY(1))=E746,1,IF(MONTH(E746)=1,F747*(1+$F$5),F747))</f>
      </c>
      <c r="G746" s="333">
        <f>IF('Simulador - 1º Pilar'!$E$99="Sí",IF('Aportaciones PPE'!$B$13&lt;'Aportaciones PPE'!E746,0,F746*$B$8/12),F746*$B$8/12)</f>
      </c>
      <c r="H746" s="333">
        <f>$H$5*G746</f>
      </c>
      <c r="I746" s="333">
        <f>$I$5*G746</f>
      </c>
      <c r="J746" s="333">
        <f>+I746</f>
      </c>
      <c r="K746" s="333">
        <f>(1+$O$5)^(D746/12)*(H746+IF(AND(F746=1,F747=0),$S$4,0))</f>
      </c>
      <c r="L746" s="333">
        <f>(1+$O$5)^(D746/12)*(I746+IF(AND(F746=1,F747=0),0))</f>
      </c>
      <c r="M746" s="333">
        <f>+L746</f>
      </c>
      <c r="N746" s="333">
        <f>L746+K746+M746</f>
      </c>
      <c r="O746" s="170"/>
      <c r="P746" s="7"/>
      <c r="Q746" s="1"/>
      <c r="R746" s="331">
        <f>D746</f>
      </c>
      <c r="S746" s="169"/>
      <c r="T746" s="1"/>
      <c r="U746" s="217"/>
      <c r="V746" s="331">
        <f>+IF(V745=11,12,IF(V745=12,1,V745+1))</f>
      </c>
      <c r="W746" s="331">
        <f>+W745+IF(V745=12,1,0)</f>
      </c>
      <c r="X746" s="555">
        <f>+DATE(W746,V746,1)</f>
        <v>25569.041666666668</v>
      </c>
      <c r="Y746" s="333">
        <f>+_xlfn.IFNA(AN746+AS746+AX746,0)</f>
      </c>
      <c r="Z746" s="333">
        <f>+_xlfn.IFNA(AO746+AT746+AY746,0)</f>
      </c>
      <c r="AA746" s="333">
        <f>Y746*(1+$O$5)^(($B$7-X746)/365.25)</f>
      </c>
      <c r="AB746" s="333">
        <f>Z746*(1+$O$5)^(($B$7-X746)/365.25)</f>
      </c>
      <c r="AC746" s="1"/>
      <c r="AD746" s="1"/>
      <c r="AE746" s="1"/>
      <c r="AF746" s="111">
        <f>+MONTH(E746)&amp;YEAR(E746)</f>
      </c>
      <c r="AG746" s="217">
        <f>+I746</f>
      </c>
      <c r="AH746" s="217">
        <f>+J746</f>
      </c>
      <c r="AI746" s="217">
        <f>+H746</f>
      </c>
      <c r="AJ746" s="111">
        <f>+V746&amp;W746</f>
      </c>
      <c r="AK746" s="217">
        <f>+_xlfn.IFNA(VLOOKUP(AJ746,$AF$7:$AG$1066,2,0),0)</f>
      </c>
      <c r="AL746" s="217">
        <f>+IF(W746&gt;W745,AK746,AL745+AK746)</f>
      </c>
      <c r="AM746" s="217">
        <f>IF(W746&gt;W745,IF(AL746&gt;=$AZ$8,$AZ$8,AL746),IF(OR(AM745=$AZ$8,AM745=0),0,IF(AL746&gt;=$AZ$8,$AZ$8,AL746)))</f>
      </c>
      <c r="AN746" s="748">
        <f>+IF(OR(AM746&gt;AZ745,AM746=0),0,IF(AM746=AL746,AK746,$AZ$7-AL745))</f>
      </c>
      <c r="AO746" s="748">
        <f>+AK746-AN746</f>
      </c>
      <c r="AP746" s="217">
        <f>+_xlfn.IFNA(VLOOKUP(AJ746,$AF$7:$AI$1066,3,0),0)</f>
      </c>
      <c r="AQ746" s="217">
        <f>+IF(W746&gt;W745,AP746,AQ745+AP746)</f>
      </c>
      <c r="AR746" s="217">
        <f>+MAX($AM$2-SUMIF($W$7:$W$1066,W746,$AN$7:$AN$1066),0)</f>
      </c>
      <c r="AS746" s="748">
        <f>+MAX(IF(AQ746&gt;AR746,AR746-AQ745,AP746),0)</f>
      </c>
      <c r="AT746" s="748">
        <f>+AP746-AS746</f>
      </c>
      <c r="AU746" s="217">
        <f>+_xlfn.IFNA(VLOOKUP(AJ746,$AF$7:$AI$1066,4,0),0)</f>
      </c>
      <c r="AV746" s="217">
        <f>+IF(W746&gt;W745,AU746,AV745+AU746)</f>
      </c>
      <c r="AW746" s="217">
        <f>+MAX($AM$2-SUMIF($W$7:$W$1066,W746,$AN$7:$AN$1066)-SUMIF($W$7:$W$1066,W746,$AS$7:$AS$1066),0)</f>
      </c>
      <c r="AX746" s="748">
        <f>+MAX(IF(AV746&gt;AW746,AW746-AV745,AU746),0)</f>
      </c>
      <c r="AY746" s="748">
        <f>+AU746-AX746</f>
      </c>
      <c r="AZ746" s="331">
        <f>+$AM$1+IF($AP$1&gt;$AP$2,$AM$3/2)</f>
      </c>
    </row>
    <row x14ac:dyDescent="0.25" r="747" customHeight="1" ht="18.75">
      <c r="A747" s="1"/>
      <c r="B747" s="7"/>
      <c r="C747" s="170"/>
      <c r="D747" s="331">
        <v>740</v>
      </c>
      <c r="E747" s="544">
        <f>+DATE(YEAR(E746),MONTH(E746)-1,DAY(E746))</f>
        <v>25569.041666666668</v>
      </c>
      <c r="F747" s="333">
        <f>IF(DATE(YEAR($B$6),MONTH($B$6)+1,DAY(1))=E747,1,IF(MONTH(E747)=1,F748*(1+$F$5),F748))</f>
      </c>
      <c r="G747" s="333">
        <f>IF('Simulador - 1º Pilar'!$E$99="Sí",IF('Aportaciones PPE'!$B$13&lt;'Aportaciones PPE'!E747,0,F747*$B$8/12),F747*$B$8/12)</f>
      </c>
      <c r="H747" s="333">
        <f>$H$5*G747</f>
      </c>
      <c r="I747" s="333">
        <f>$I$5*G747</f>
      </c>
      <c r="J747" s="333">
        <f>+I747</f>
      </c>
      <c r="K747" s="333">
        <f>(1+$O$5)^(D747/12)*(H747+IF(AND(F747=1,F748=0),$S$4,0))</f>
      </c>
      <c r="L747" s="333">
        <f>(1+$O$5)^(D747/12)*(I747+IF(AND(F747=1,F748=0),0))</f>
      </c>
      <c r="M747" s="333">
        <f>+L747</f>
      </c>
      <c r="N747" s="333">
        <f>L747+K747+M747</f>
      </c>
      <c r="O747" s="170"/>
      <c r="P747" s="7"/>
      <c r="Q747" s="1"/>
      <c r="R747" s="331">
        <f>D747</f>
      </c>
      <c r="S747" s="169"/>
      <c r="T747" s="1"/>
      <c r="U747" s="217"/>
      <c r="V747" s="331">
        <f>+IF(V746=11,12,IF(V746=12,1,V746+1))</f>
      </c>
      <c r="W747" s="331">
        <f>+W746+IF(V746=12,1,0)</f>
      </c>
      <c r="X747" s="555">
        <f>+DATE(W747,V747,1)</f>
        <v>25569.041666666668</v>
      </c>
      <c r="Y747" s="333">
        <f>+_xlfn.IFNA(AN747+AS747+AX747,0)</f>
      </c>
      <c r="Z747" s="333">
        <f>+_xlfn.IFNA(AO747+AT747+AY747,0)</f>
      </c>
      <c r="AA747" s="333">
        <f>Y747*(1+$O$5)^(($B$7-X747)/365.25)</f>
      </c>
      <c r="AB747" s="333">
        <f>Z747*(1+$O$5)^(($B$7-X747)/365.25)</f>
      </c>
      <c r="AC747" s="1"/>
      <c r="AD747" s="1"/>
      <c r="AE747" s="1"/>
      <c r="AF747" s="111">
        <f>+MONTH(E747)&amp;YEAR(E747)</f>
      </c>
      <c r="AG747" s="217">
        <f>+I747</f>
      </c>
      <c r="AH747" s="217">
        <f>+J747</f>
      </c>
      <c r="AI747" s="217">
        <f>+H747</f>
      </c>
      <c r="AJ747" s="111">
        <f>+V747&amp;W747</f>
      </c>
      <c r="AK747" s="217">
        <f>+_xlfn.IFNA(VLOOKUP(AJ747,$AF$7:$AG$1066,2,0),0)</f>
      </c>
      <c r="AL747" s="217">
        <f>+IF(W747&gt;W746,AK747,AL746+AK747)</f>
      </c>
      <c r="AM747" s="217">
        <f>IF(W747&gt;W746,IF(AL747&gt;=$AZ$8,$AZ$8,AL747),IF(OR(AM746=$AZ$8,AM746=0),0,IF(AL747&gt;=$AZ$8,$AZ$8,AL747)))</f>
      </c>
      <c r="AN747" s="748">
        <f>+IF(OR(AM747&gt;AZ746,AM747=0),0,IF(AM747=AL747,AK747,$AZ$7-AL746))</f>
      </c>
      <c r="AO747" s="748">
        <f>+AK747-AN747</f>
      </c>
      <c r="AP747" s="217">
        <f>+_xlfn.IFNA(VLOOKUP(AJ747,$AF$7:$AI$1066,3,0),0)</f>
      </c>
      <c r="AQ747" s="217">
        <f>+IF(W747&gt;W746,AP747,AQ746+AP747)</f>
      </c>
      <c r="AR747" s="217">
        <f>+MAX($AM$2-SUMIF($W$7:$W$1066,W747,$AN$7:$AN$1066),0)</f>
      </c>
      <c r="AS747" s="748">
        <f>+MAX(IF(AQ747&gt;AR747,AR747-AQ746,AP747),0)</f>
      </c>
      <c r="AT747" s="748">
        <f>+AP747-AS747</f>
      </c>
      <c r="AU747" s="217">
        <f>+_xlfn.IFNA(VLOOKUP(AJ747,$AF$7:$AI$1066,4,0),0)</f>
      </c>
      <c r="AV747" s="217">
        <f>+IF(W747&gt;W746,AU747,AV746+AU747)</f>
      </c>
      <c r="AW747" s="217">
        <f>+MAX($AM$2-SUMIF($W$7:$W$1066,W747,$AN$7:$AN$1066)-SUMIF($W$7:$W$1066,W747,$AS$7:$AS$1066),0)</f>
      </c>
      <c r="AX747" s="748">
        <f>+MAX(IF(AV747&gt;AW747,AW747-AV746,AU747),0)</f>
      </c>
      <c r="AY747" s="748">
        <f>+AU747-AX747</f>
      </c>
      <c r="AZ747" s="331">
        <f>+$AM$1+IF($AP$1&gt;$AP$2,$AM$3/2)</f>
      </c>
    </row>
    <row x14ac:dyDescent="0.25" r="748" customHeight="1" ht="18.75">
      <c r="A748" s="1"/>
      <c r="B748" s="7"/>
      <c r="C748" s="170"/>
      <c r="D748" s="331">
        <v>741</v>
      </c>
      <c r="E748" s="544">
        <f>+DATE(YEAR(E747),MONTH(E747)-1,DAY(E747))</f>
        <v>25569.041666666668</v>
      </c>
      <c r="F748" s="333">
        <f>IF(DATE(YEAR($B$6),MONTH($B$6)+1,DAY(1))=E748,1,IF(MONTH(E748)=1,F749*(1+$F$5),F749))</f>
      </c>
      <c r="G748" s="333">
        <f>IF('Simulador - 1º Pilar'!$E$99="Sí",IF('Aportaciones PPE'!$B$13&lt;'Aportaciones PPE'!E748,0,F748*$B$8/12),F748*$B$8/12)</f>
      </c>
      <c r="H748" s="333">
        <f>$H$5*G748</f>
      </c>
      <c r="I748" s="333">
        <f>$I$5*G748</f>
      </c>
      <c r="J748" s="333">
        <f>+I748</f>
      </c>
      <c r="K748" s="333">
        <f>(1+$O$5)^(D748/12)*(H748+IF(AND(F748=1,F749=0),$S$4,0))</f>
      </c>
      <c r="L748" s="333">
        <f>(1+$O$5)^(D748/12)*(I748+IF(AND(F748=1,F749=0),0))</f>
      </c>
      <c r="M748" s="333">
        <f>+L748</f>
      </c>
      <c r="N748" s="333">
        <f>L748+K748+M748</f>
      </c>
      <c r="O748" s="170"/>
      <c r="P748" s="7"/>
      <c r="Q748" s="1"/>
      <c r="R748" s="331">
        <f>D748</f>
      </c>
      <c r="S748" s="169"/>
      <c r="T748" s="1"/>
      <c r="U748" s="217"/>
      <c r="V748" s="331">
        <f>+IF(V747=11,12,IF(V747=12,1,V747+1))</f>
      </c>
      <c r="W748" s="331">
        <f>+W747+IF(V747=12,1,0)</f>
      </c>
      <c r="X748" s="555">
        <f>+DATE(W748,V748,1)</f>
        <v>25569.041666666668</v>
      </c>
      <c r="Y748" s="333">
        <f>+_xlfn.IFNA(AN748+AS748+AX748,0)</f>
      </c>
      <c r="Z748" s="333">
        <f>+_xlfn.IFNA(AO748+AT748+AY748,0)</f>
      </c>
      <c r="AA748" s="333">
        <f>Y748*(1+$O$5)^(($B$7-X748)/365.25)</f>
      </c>
      <c r="AB748" s="333">
        <f>Z748*(1+$O$5)^(($B$7-X748)/365.25)</f>
      </c>
      <c r="AC748" s="1"/>
      <c r="AD748" s="1"/>
      <c r="AE748" s="1"/>
      <c r="AF748" s="111">
        <f>+MONTH(E748)&amp;YEAR(E748)</f>
      </c>
      <c r="AG748" s="217">
        <f>+I748</f>
      </c>
      <c r="AH748" s="217">
        <f>+J748</f>
      </c>
      <c r="AI748" s="217">
        <f>+H748</f>
      </c>
      <c r="AJ748" s="111">
        <f>+V748&amp;W748</f>
      </c>
      <c r="AK748" s="217">
        <f>+_xlfn.IFNA(VLOOKUP(AJ748,$AF$7:$AG$1066,2,0),0)</f>
      </c>
      <c r="AL748" s="217">
        <f>+IF(W748&gt;W747,AK748,AL747+AK748)</f>
      </c>
      <c r="AM748" s="217">
        <f>IF(W748&gt;W747,IF(AL748&gt;=$AZ$8,$AZ$8,AL748),IF(OR(AM747=$AZ$8,AM747=0),0,IF(AL748&gt;=$AZ$8,$AZ$8,AL748)))</f>
      </c>
      <c r="AN748" s="748">
        <f>+IF(OR(AM748&gt;AZ747,AM748=0),0,IF(AM748=AL748,AK748,$AZ$7-AL747))</f>
      </c>
      <c r="AO748" s="748">
        <f>+AK748-AN748</f>
      </c>
      <c r="AP748" s="217">
        <f>+_xlfn.IFNA(VLOOKUP(AJ748,$AF$7:$AI$1066,3,0),0)</f>
      </c>
      <c r="AQ748" s="217">
        <f>+IF(W748&gt;W747,AP748,AQ747+AP748)</f>
      </c>
      <c r="AR748" s="217">
        <f>+MAX($AM$2-SUMIF($W$7:$W$1066,W748,$AN$7:$AN$1066),0)</f>
      </c>
      <c r="AS748" s="748">
        <f>+MAX(IF(AQ748&gt;AR748,AR748-AQ747,AP748),0)</f>
      </c>
      <c r="AT748" s="748">
        <f>+AP748-AS748</f>
      </c>
      <c r="AU748" s="217">
        <f>+_xlfn.IFNA(VLOOKUP(AJ748,$AF$7:$AI$1066,4,0),0)</f>
      </c>
      <c r="AV748" s="217">
        <f>+IF(W748&gt;W747,AU748,AV747+AU748)</f>
      </c>
      <c r="AW748" s="217">
        <f>+MAX($AM$2-SUMIF($W$7:$W$1066,W748,$AN$7:$AN$1066)-SUMIF($W$7:$W$1066,W748,$AS$7:$AS$1066),0)</f>
      </c>
      <c r="AX748" s="748">
        <f>+MAX(IF(AV748&gt;AW748,AW748-AV747,AU748),0)</f>
      </c>
      <c r="AY748" s="748">
        <f>+AU748-AX748</f>
      </c>
      <c r="AZ748" s="331">
        <f>+$AM$1+IF($AP$1&gt;$AP$2,$AM$3/2)</f>
      </c>
    </row>
    <row x14ac:dyDescent="0.25" r="749" customHeight="1" ht="18.75">
      <c r="A749" s="1"/>
      <c r="B749" s="7"/>
      <c r="C749" s="170"/>
      <c r="D749" s="331">
        <v>742</v>
      </c>
      <c r="E749" s="544">
        <f>+DATE(YEAR(E748),MONTH(E748)-1,DAY(E748))</f>
        <v>25569.041666666668</v>
      </c>
      <c r="F749" s="333">
        <f>IF(DATE(YEAR($B$6),MONTH($B$6)+1,DAY(1))=E749,1,IF(MONTH(E749)=1,F750*(1+$F$5),F750))</f>
      </c>
      <c r="G749" s="333">
        <f>IF('Simulador - 1º Pilar'!$E$99="Sí",IF('Aportaciones PPE'!$B$13&lt;'Aportaciones PPE'!E749,0,F749*$B$8/12),F749*$B$8/12)</f>
      </c>
      <c r="H749" s="333">
        <f>$H$5*G749</f>
      </c>
      <c r="I749" s="333">
        <f>$I$5*G749</f>
      </c>
      <c r="J749" s="333">
        <f>+I749</f>
      </c>
      <c r="K749" s="333">
        <f>(1+$O$5)^(D749/12)*(H749+IF(AND(F749=1,F750=0),$S$4,0))</f>
      </c>
      <c r="L749" s="333">
        <f>(1+$O$5)^(D749/12)*(I749+IF(AND(F749=1,F750=0),0))</f>
      </c>
      <c r="M749" s="333">
        <f>+L749</f>
      </c>
      <c r="N749" s="333">
        <f>L749+K749+M749</f>
      </c>
      <c r="O749" s="170"/>
      <c r="P749" s="7"/>
      <c r="Q749" s="1"/>
      <c r="R749" s="331">
        <f>D749</f>
      </c>
      <c r="S749" s="169"/>
      <c r="T749" s="1"/>
      <c r="U749" s="217"/>
      <c r="V749" s="331">
        <f>+IF(V748=11,12,IF(V748=12,1,V748+1))</f>
      </c>
      <c r="W749" s="331">
        <f>+W748+IF(V748=12,1,0)</f>
      </c>
      <c r="X749" s="555">
        <f>+DATE(W749,V749,1)</f>
        <v>25569.041666666668</v>
      </c>
      <c r="Y749" s="333">
        <f>+_xlfn.IFNA(AN749+AS749+AX749,0)</f>
      </c>
      <c r="Z749" s="333">
        <f>+_xlfn.IFNA(AO749+AT749+AY749,0)</f>
      </c>
      <c r="AA749" s="333">
        <f>Y749*(1+$O$5)^(($B$7-X749)/365.25)</f>
      </c>
      <c r="AB749" s="333">
        <f>Z749*(1+$O$5)^(($B$7-X749)/365.25)</f>
      </c>
      <c r="AC749" s="1"/>
      <c r="AD749" s="1"/>
      <c r="AE749" s="1"/>
      <c r="AF749" s="111">
        <f>+MONTH(E749)&amp;YEAR(E749)</f>
      </c>
      <c r="AG749" s="217">
        <f>+I749</f>
      </c>
      <c r="AH749" s="217">
        <f>+J749</f>
      </c>
      <c r="AI749" s="217">
        <f>+H749</f>
      </c>
      <c r="AJ749" s="111">
        <f>+V749&amp;W749</f>
      </c>
      <c r="AK749" s="217">
        <f>+_xlfn.IFNA(VLOOKUP(AJ749,$AF$7:$AG$1066,2,0),0)</f>
      </c>
      <c r="AL749" s="217">
        <f>+IF(W749&gt;W748,AK749,AL748+AK749)</f>
      </c>
      <c r="AM749" s="217">
        <f>IF(W749&gt;W748,IF(AL749&gt;=$AZ$8,$AZ$8,AL749),IF(OR(AM748=$AZ$8,AM748=0),0,IF(AL749&gt;=$AZ$8,$AZ$8,AL749)))</f>
      </c>
      <c r="AN749" s="748">
        <f>+IF(OR(AM749&gt;AZ748,AM749=0),0,IF(AM749=AL749,AK749,$AZ$7-AL748))</f>
      </c>
      <c r="AO749" s="748">
        <f>+AK749-AN749</f>
      </c>
      <c r="AP749" s="217">
        <f>+_xlfn.IFNA(VLOOKUP(AJ749,$AF$7:$AI$1066,3,0),0)</f>
      </c>
      <c r="AQ749" s="217">
        <f>+IF(W749&gt;W748,AP749,AQ748+AP749)</f>
      </c>
      <c r="AR749" s="217">
        <f>+MAX($AM$2-SUMIF($W$7:$W$1066,W749,$AN$7:$AN$1066),0)</f>
      </c>
      <c r="AS749" s="748">
        <f>+MAX(IF(AQ749&gt;AR749,AR749-AQ748,AP749),0)</f>
      </c>
      <c r="AT749" s="748">
        <f>+AP749-AS749</f>
      </c>
      <c r="AU749" s="217">
        <f>+_xlfn.IFNA(VLOOKUP(AJ749,$AF$7:$AI$1066,4,0),0)</f>
      </c>
      <c r="AV749" s="217">
        <f>+IF(W749&gt;W748,AU749,AV748+AU749)</f>
      </c>
      <c r="AW749" s="217">
        <f>+MAX($AM$2-SUMIF($W$7:$W$1066,W749,$AN$7:$AN$1066)-SUMIF($W$7:$W$1066,W749,$AS$7:$AS$1066),0)</f>
      </c>
      <c r="AX749" s="748">
        <f>+MAX(IF(AV749&gt;AW749,AW749-AV748,AU749),0)</f>
      </c>
      <c r="AY749" s="748">
        <f>+AU749-AX749</f>
      </c>
      <c r="AZ749" s="331">
        <f>+$AM$1+IF($AP$1&gt;$AP$2,$AM$3/2)</f>
      </c>
    </row>
    <row x14ac:dyDescent="0.25" r="750" customHeight="1" ht="18.75">
      <c r="A750" s="1"/>
      <c r="B750" s="7"/>
      <c r="C750" s="170"/>
      <c r="D750" s="331">
        <v>743</v>
      </c>
      <c r="E750" s="544">
        <f>+DATE(YEAR(E749),MONTH(E749)-1,DAY(E749))</f>
        <v>25569.041666666668</v>
      </c>
      <c r="F750" s="333">
        <f>IF(DATE(YEAR($B$6),MONTH($B$6)+1,DAY(1))=E750,1,IF(MONTH(E750)=1,F751*(1+$F$5),F751))</f>
      </c>
      <c r="G750" s="333">
        <f>IF('Simulador - 1º Pilar'!$E$99="Sí",IF('Aportaciones PPE'!$B$13&lt;'Aportaciones PPE'!E750,0,F750*$B$8/12),F750*$B$8/12)</f>
      </c>
      <c r="H750" s="333">
        <f>$H$5*G750</f>
      </c>
      <c r="I750" s="333">
        <f>$I$5*G750</f>
      </c>
      <c r="J750" s="333">
        <f>+I750</f>
      </c>
      <c r="K750" s="333">
        <f>(1+$O$5)^(D750/12)*(H750+IF(AND(F750=1,F751=0),$S$4,0))</f>
      </c>
      <c r="L750" s="333">
        <f>(1+$O$5)^(D750/12)*(I750+IF(AND(F750=1,F751=0),0))</f>
      </c>
      <c r="M750" s="333">
        <f>+L750</f>
      </c>
      <c r="N750" s="333">
        <f>L750+K750+M750</f>
      </c>
      <c r="O750" s="170"/>
      <c r="P750" s="7"/>
      <c r="Q750" s="1"/>
      <c r="R750" s="331">
        <f>D750</f>
      </c>
      <c r="S750" s="169"/>
      <c r="T750" s="1"/>
      <c r="U750" s="217"/>
      <c r="V750" s="331">
        <f>+IF(V749=11,12,IF(V749=12,1,V749+1))</f>
      </c>
      <c r="W750" s="331">
        <f>+W749+IF(V749=12,1,0)</f>
      </c>
      <c r="X750" s="555">
        <f>+DATE(W750,V750,1)</f>
        <v>25569.041666666668</v>
      </c>
      <c r="Y750" s="333">
        <f>+_xlfn.IFNA(AN750+AS750+AX750,0)</f>
      </c>
      <c r="Z750" s="333">
        <f>+_xlfn.IFNA(AO750+AT750+AY750,0)</f>
      </c>
      <c r="AA750" s="333">
        <f>Y750*(1+$O$5)^(($B$7-X750)/365.25)</f>
      </c>
      <c r="AB750" s="333">
        <f>Z750*(1+$O$5)^(($B$7-X750)/365.25)</f>
      </c>
      <c r="AC750" s="1"/>
      <c r="AD750" s="1"/>
      <c r="AE750" s="1"/>
      <c r="AF750" s="111">
        <f>+MONTH(E750)&amp;YEAR(E750)</f>
      </c>
      <c r="AG750" s="217">
        <f>+I750</f>
      </c>
      <c r="AH750" s="217">
        <f>+J750</f>
      </c>
      <c r="AI750" s="217">
        <f>+H750</f>
      </c>
      <c r="AJ750" s="111">
        <f>+V750&amp;W750</f>
      </c>
      <c r="AK750" s="217">
        <f>+_xlfn.IFNA(VLOOKUP(AJ750,$AF$7:$AG$1066,2,0),0)</f>
      </c>
      <c r="AL750" s="217">
        <f>+IF(W750&gt;W749,AK750,AL749+AK750)</f>
      </c>
      <c r="AM750" s="217">
        <f>IF(W750&gt;W749,IF(AL750&gt;=$AZ$8,$AZ$8,AL750),IF(OR(AM749=$AZ$8,AM749=0),0,IF(AL750&gt;=$AZ$8,$AZ$8,AL750)))</f>
      </c>
      <c r="AN750" s="748">
        <f>+IF(OR(AM750&gt;AZ749,AM750=0),0,IF(AM750=AL750,AK750,$AZ$7-AL749))</f>
      </c>
      <c r="AO750" s="748">
        <f>+AK750-AN750</f>
      </c>
      <c r="AP750" s="217">
        <f>+_xlfn.IFNA(VLOOKUP(AJ750,$AF$7:$AI$1066,3,0),0)</f>
      </c>
      <c r="AQ750" s="217">
        <f>+IF(W750&gt;W749,AP750,AQ749+AP750)</f>
      </c>
      <c r="AR750" s="217">
        <f>+MAX($AM$2-SUMIF($W$7:$W$1066,W750,$AN$7:$AN$1066),0)</f>
      </c>
      <c r="AS750" s="748">
        <f>+MAX(IF(AQ750&gt;AR750,AR750-AQ749,AP750),0)</f>
      </c>
      <c r="AT750" s="748">
        <f>+AP750-AS750</f>
      </c>
      <c r="AU750" s="217">
        <f>+_xlfn.IFNA(VLOOKUP(AJ750,$AF$7:$AI$1066,4,0),0)</f>
      </c>
      <c r="AV750" s="217">
        <f>+IF(W750&gt;W749,AU750,AV749+AU750)</f>
      </c>
      <c r="AW750" s="217">
        <f>+MAX($AM$2-SUMIF($W$7:$W$1066,W750,$AN$7:$AN$1066)-SUMIF($W$7:$W$1066,W750,$AS$7:$AS$1066),0)</f>
      </c>
      <c r="AX750" s="748">
        <f>+MAX(IF(AV750&gt;AW750,AW750-AV749,AU750),0)</f>
      </c>
      <c r="AY750" s="748">
        <f>+AU750-AX750</f>
      </c>
      <c r="AZ750" s="331">
        <f>+$AM$1+IF($AP$1&gt;$AP$2,$AM$3/2)</f>
      </c>
    </row>
    <row x14ac:dyDescent="0.25" r="751" customHeight="1" ht="18.75">
      <c r="A751" s="1"/>
      <c r="B751" s="7"/>
      <c r="C751" s="170"/>
      <c r="D751" s="331">
        <v>744</v>
      </c>
      <c r="E751" s="544">
        <f>+DATE(YEAR(E750),MONTH(E750)-1,DAY(E750))</f>
        <v>25569.041666666668</v>
      </c>
      <c r="F751" s="333">
        <f>IF(DATE(YEAR($B$6),MONTH($B$6)+1,DAY(1))=E751,1,IF(MONTH(E751)=1,F752*(1+$F$5),F752))</f>
      </c>
      <c r="G751" s="333">
        <f>IF('Simulador - 1º Pilar'!$E$99="Sí",IF('Aportaciones PPE'!$B$13&lt;'Aportaciones PPE'!E751,0,F751*$B$8/12),F751*$B$8/12)</f>
      </c>
      <c r="H751" s="333">
        <f>$H$5*G751</f>
      </c>
      <c r="I751" s="333">
        <f>$I$5*G751</f>
      </c>
      <c r="J751" s="333">
        <f>+I751</f>
      </c>
      <c r="K751" s="333">
        <f>(1+$O$5)^(D751/12)*(H751+IF(AND(F751=1,F752=0),$S$4,0))</f>
      </c>
      <c r="L751" s="333">
        <f>(1+$O$5)^(D751/12)*(I751+IF(AND(F751=1,F752=0),0))</f>
      </c>
      <c r="M751" s="333">
        <f>+L751</f>
      </c>
      <c r="N751" s="333">
        <f>L751+K751+M751</f>
      </c>
      <c r="O751" s="170"/>
      <c r="P751" s="7"/>
      <c r="Q751" s="1"/>
      <c r="R751" s="331">
        <f>D751</f>
      </c>
      <c r="S751" s="169"/>
      <c r="T751" s="1"/>
      <c r="U751" s="217"/>
      <c r="V751" s="331">
        <f>+IF(V750=11,12,IF(V750=12,1,V750+1))</f>
      </c>
      <c r="W751" s="331">
        <f>+W750+IF(V750=12,1,0)</f>
      </c>
      <c r="X751" s="555">
        <f>+DATE(W751,V751,1)</f>
        <v>25569.041666666668</v>
      </c>
      <c r="Y751" s="333">
        <f>+_xlfn.IFNA(AN751+AS751+AX751,0)</f>
      </c>
      <c r="Z751" s="333">
        <f>+_xlfn.IFNA(AO751+AT751+AY751,0)</f>
      </c>
      <c r="AA751" s="333">
        <f>Y751*(1+$O$5)^(($B$7-X751)/365.25)</f>
      </c>
      <c r="AB751" s="333">
        <f>Z751*(1+$O$5)^(($B$7-X751)/365.25)</f>
      </c>
      <c r="AC751" s="1"/>
      <c r="AD751" s="1"/>
      <c r="AE751" s="1"/>
      <c r="AF751" s="111">
        <f>+MONTH(E751)&amp;YEAR(E751)</f>
      </c>
      <c r="AG751" s="217">
        <f>+I751</f>
      </c>
      <c r="AH751" s="217">
        <f>+J751</f>
      </c>
      <c r="AI751" s="217">
        <f>+H751</f>
      </c>
      <c r="AJ751" s="111">
        <f>+V751&amp;W751</f>
      </c>
      <c r="AK751" s="217">
        <f>+_xlfn.IFNA(VLOOKUP(AJ751,$AF$7:$AG$1066,2,0),0)</f>
      </c>
      <c r="AL751" s="217">
        <f>+IF(W751&gt;W750,AK751,AL750+AK751)</f>
      </c>
      <c r="AM751" s="217">
        <f>IF(W751&gt;W750,IF(AL751&gt;=$AZ$8,$AZ$8,AL751),IF(OR(AM750=$AZ$8,AM750=0),0,IF(AL751&gt;=$AZ$8,$AZ$8,AL751)))</f>
      </c>
      <c r="AN751" s="748">
        <f>+IF(OR(AM751&gt;AZ750,AM751=0),0,IF(AM751=AL751,AK751,$AZ$7-AL750))</f>
      </c>
      <c r="AO751" s="748">
        <f>+AK751-AN751</f>
      </c>
      <c r="AP751" s="217">
        <f>+_xlfn.IFNA(VLOOKUP(AJ751,$AF$7:$AI$1066,3,0),0)</f>
      </c>
      <c r="AQ751" s="217">
        <f>+IF(W751&gt;W750,AP751,AQ750+AP751)</f>
      </c>
      <c r="AR751" s="217">
        <f>+MAX($AM$2-SUMIF($W$7:$W$1066,W751,$AN$7:$AN$1066),0)</f>
      </c>
      <c r="AS751" s="748">
        <f>+MAX(IF(AQ751&gt;AR751,AR751-AQ750,AP751),0)</f>
      </c>
      <c r="AT751" s="748">
        <f>+AP751-AS751</f>
      </c>
      <c r="AU751" s="217">
        <f>+_xlfn.IFNA(VLOOKUP(AJ751,$AF$7:$AI$1066,4,0),0)</f>
      </c>
      <c r="AV751" s="217">
        <f>+IF(W751&gt;W750,AU751,AV750+AU751)</f>
      </c>
      <c r="AW751" s="217">
        <f>+MAX($AM$2-SUMIF($W$7:$W$1066,W751,$AN$7:$AN$1066)-SUMIF($W$7:$W$1066,W751,$AS$7:$AS$1066),0)</f>
      </c>
      <c r="AX751" s="748">
        <f>+MAX(IF(AV751&gt;AW751,AW751-AV750,AU751),0)</f>
      </c>
      <c r="AY751" s="748">
        <f>+AU751-AX751</f>
      </c>
      <c r="AZ751" s="331">
        <f>+$AM$1+IF($AP$1&gt;$AP$2,$AM$3/2)</f>
      </c>
    </row>
    <row x14ac:dyDescent="0.25" r="752" customHeight="1" ht="18.75">
      <c r="A752" s="1"/>
      <c r="B752" s="7"/>
      <c r="C752" s="170"/>
      <c r="D752" s="331">
        <v>745</v>
      </c>
      <c r="E752" s="544">
        <f>+DATE(YEAR(E751),MONTH(E751)-1,DAY(E751))</f>
        <v>25569.041666666668</v>
      </c>
      <c r="F752" s="333">
        <f>IF(DATE(YEAR($B$6),MONTH($B$6)+1,DAY(1))=E752,1,IF(MONTH(E752)=1,F753*(1+$F$5),F753))</f>
      </c>
      <c r="G752" s="333">
        <f>IF('Simulador - 1º Pilar'!$E$99="Sí",IF('Aportaciones PPE'!$B$13&lt;'Aportaciones PPE'!E752,0,F752*$B$8/12),F752*$B$8/12)</f>
      </c>
      <c r="H752" s="333">
        <f>$H$5*G752</f>
      </c>
      <c r="I752" s="333">
        <f>$I$5*G752</f>
      </c>
      <c r="J752" s="333">
        <f>+I752</f>
      </c>
      <c r="K752" s="333">
        <f>(1+$O$5)^(D752/12)*(H752+IF(AND(F752=1,F753=0),$S$4,0))</f>
      </c>
      <c r="L752" s="333">
        <f>(1+$O$5)^(D752/12)*(I752+IF(AND(F752=1,F753=0),0))</f>
      </c>
      <c r="M752" s="333">
        <f>+L752</f>
      </c>
      <c r="N752" s="333">
        <f>L752+K752+M752</f>
      </c>
      <c r="O752" s="170"/>
      <c r="P752" s="7"/>
      <c r="Q752" s="1"/>
      <c r="R752" s="331">
        <f>D752</f>
      </c>
      <c r="S752" s="169"/>
      <c r="T752" s="1"/>
      <c r="U752" s="217"/>
      <c r="V752" s="331">
        <f>+IF(V751=11,12,IF(V751=12,1,V751+1))</f>
      </c>
      <c r="W752" s="331">
        <f>+W751+IF(V751=12,1,0)</f>
      </c>
      <c r="X752" s="555">
        <f>+DATE(W752,V752,1)</f>
        <v>25569.041666666668</v>
      </c>
      <c r="Y752" s="333">
        <f>+_xlfn.IFNA(AN752+AS752+AX752,0)</f>
      </c>
      <c r="Z752" s="333">
        <f>+_xlfn.IFNA(AO752+AT752+AY752,0)</f>
      </c>
      <c r="AA752" s="333">
        <f>Y752*(1+$O$5)^(($B$7-X752)/365.25)</f>
      </c>
      <c r="AB752" s="333">
        <f>Z752*(1+$O$5)^(($B$7-X752)/365.25)</f>
      </c>
      <c r="AC752" s="1"/>
      <c r="AD752" s="1"/>
      <c r="AE752" s="1"/>
      <c r="AF752" s="111">
        <f>+MONTH(E752)&amp;YEAR(E752)</f>
      </c>
      <c r="AG752" s="217">
        <f>+I752</f>
      </c>
      <c r="AH752" s="217">
        <f>+J752</f>
      </c>
      <c r="AI752" s="217">
        <f>+H752</f>
      </c>
      <c r="AJ752" s="111">
        <f>+V752&amp;W752</f>
      </c>
      <c r="AK752" s="217">
        <f>+_xlfn.IFNA(VLOOKUP(AJ752,$AF$7:$AG$1066,2,0),0)</f>
      </c>
      <c r="AL752" s="217">
        <f>+IF(W752&gt;W751,AK752,AL751+AK752)</f>
      </c>
      <c r="AM752" s="217">
        <f>IF(W752&gt;W751,IF(AL752&gt;=$AZ$8,$AZ$8,AL752),IF(OR(AM751=$AZ$8,AM751=0),0,IF(AL752&gt;=$AZ$8,$AZ$8,AL752)))</f>
      </c>
      <c r="AN752" s="748">
        <f>+IF(OR(AM752&gt;AZ751,AM752=0),0,IF(AM752=AL752,AK752,$AZ$7-AL751))</f>
      </c>
      <c r="AO752" s="748">
        <f>+AK752-AN752</f>
      </c>
      <c r="AP752" s="217">
        <f>+_xlfn.IFNA(VLOOKUP(AJ752,$AF$7:$AI$1066,3,0),0)</f>
      </c>
      <c r="AQ752" s="217">
        <f>+IF(W752&gt;W751,AP752,AQ751+AP752)</f>
      </c>
      <c r="AR752" s="217">
        <f>+MAX($AM$2-SUMIF($W$7:$W$1066,W752,$AN$7:$AN$1066),0)</f>
      </c>
      <c r="AS752" s="748">
        <f>+MAX(IF(AQ752&gt;AR752,AR752-AQ751,AP752),0)</f>
      </c>
      <c r="AT752" s="748">
        <f>+AP752-AS752</f>
      </c>
      <c r="AU752" s="217">
        <f>+_xlfn.IFNA(VLOOKUP(AJ752,$AF$7:$AI$1066,4,0),0)</f>
      </c>
      <c r="AV752" s="217">
        <f>+IF(W752&gt;W751,AU752,AV751+AU752)</f>
      </c>
      <c r="AW752" s="217">
        <f>+MAX($AM$2-SUMIF($W$7:$W$1066,W752,$AN$7:$AN$1066)-SUMIF($W$7:$W$1066,W752,$AS$7:$AS$1066),0)</f>
      </c>
      <c r="AX752" s="748">
        <f>+MAX(IF(AV752&gt;AW752,AW752-AV751,AU752),0)</f>
      </c>
      <c r="AY752" s="748">
        <f>+AU752-AX752</f>
      </c>
      <c r="AZ752" s="331">
        <f>+$AM$1+IF($AP$1&gt;$AP$2,$AM$3/2)</f>
      </c>
    </row>
    <row x14ac:dyDescent="0.25" r="753" customHeight="1" ht="18.75">
      <c r="A753" s="1"/>
      <c r="B753" s="7"/>
      <c r="C753" s="170"/>
      <c r="D753" s="331">
        <v>746</v>
      </c>
      <c r="E753" s="544">
        <f>+DATE(YEAR(E752),MONTH(E752)-1,DAY(E752))</f>
        <v>25569.041666666668</v>
      </c>
      <c r="F753" s="333">
        <f>IF(DATE(YEAR($B$6),MONTH($B$6)+1,DAY(1))=E753,1,IF(MONTH(E753)=1,F754*(1+$F$5),F754))</f>
      </c>
      <c r="G753" s="333">
        <f>IF('Simulador - 1º Pilar'!$E$99="Sí",IF('Aportaciones PPE'!$B$13&lt;'Aportaciones PPE'!E753,0,F753*$B$8/12),F753*$B$8/12)</f>
      </c>
      <c r="H753" s="333">
        <f>$H$5*G753</f>
      </c>
      <c r="I753" s="333">
        <f>$I$5*G753</f>
      </c>
      <c r="J753" s="333">
        <f>+I753</f>
      </c>
      <c r="K753" s="333">
        <f>(1+$O$5)^(D753/12)*(H753+IF(AND(F753=1,F754=0),$S$4,0))</f>
      </c>
      <c r="L753" s="333">
        <f>(1+$O$5)^(D753/12)*(I753+IF(AND(F753=1,F754=0),0))</f>
      </c>
      <c r="M753" s="333">
        <f>+L753</f>
      </c>
      <c r="N753" s="333">
        <f>L753+K753+M753</f>
      </c>
      <c r="O753" s="170"/>
      <c r="P753" s="7"/>
      <c r="Q753" s="1"/>
      <c r="R753" s="331">
        <f>D753</f>
      </c>
      <c r="S753" s="169"/>
      <c r="T753" s="1"/>
      <c r="U753" s="217"/>
      <c r="V753" s="331">
        <f>+IF(V752=11,12,IF(V752=12,1,V752+1))</f>
      </c>
      <c r="W753" s="331">
        <f>+W752+IF(V752=12,1,0)</f>
      </c>
      <c r="X753" s="555">
        <f>+DATE(W753,V753,1)</f>
        <v>25569.041666666668</v>
      </c>
      <c r="Y753" s="333">
        <f>+_xlfn.IFNA(AN753+AS753+AX753,0)</f>
      </c>
      <c r="Z753" s="333">
        <f>+_xlfn.IFNA(AO753+AT753+AY753,0)</f>
      </c>
      <c r="AA753" s="333">
        <f>Y753*(1+$O$5)^(($B$7-X753)/365.25)</f>
      </c>
      <c r="AB753" s="333">
        <f>Z753*(1+$O$5)^(($B$7-X753)/365.25)</f>
      </c>
      <c r="AC753" s="1"/>
      <c r="AD753" s="1"/>
      <c r="AE753" s="1"/>
      <c r="AF753" s="111">
        <f>+MONTH(E753)&amp;YEAR(E753)</f>
      </c>
      <c r="AG753" s="217">
        <f>+I753</f>
      </c>
      <c r="AH753" s="217">
        <f>+J753</f>
      </c>
      <c r="AI753" s="217">
        <f>+H753</f>
      </c>
      <c r="AJ753" s="111">
        <f>+V753&amp;W753</f>
      </c>
      <c r="AK753" s="217">
        <f>+_xlfn.IFNA(VLOOKUP(AJ753,$AF$7:$AG$1066,2,0),0)</f>
      </c>
      <c r="AL753" s="217">
        <f>+IF(W753&gt;W752,AK753,AL752+AK753)</f>
      </c>
      <c r="AM753" s="217">
        <f>IF(W753&gt;W752,IF(AL753&gt;=$AZ$8,$AZ$8,AL753),IF(OR(AM752=$AZ$8,AM752=0),0,IF(AL753&gt;=$AZ$8,$AZ$8,AL753)))</f>
      </c>
      <c r="AN753" s="748">
        <f>+IF(OR(AM753&gt;AZ752,AM753=0),0,IF(AM753=AL753,AK753,$AZ$7-AL752))</f>
      </c>
      <c r="AO753" s="748">
        <f>+AK753-AN753</f>
      </c>
      <c r="AP753" s="217">
        <f>+_xlfn.IFNA(VLOOKUP(AJ753,$AF$7:$AI$1066,3,0),0)</f>
      </c>
      <c r="AQ753" s="217">
        <f>+IF(W753&gt;W752,AP753,AQ752+AP753)</f>
      </c>
      <c r="AR753" s="217">
        <f>+MAX($AM$2-SUMIF($W$7:$W$1066,W753,$AN$7:$AN$1066),0)</f>
      </c>
      <c r="AS753" s="748">
        <f>+MAX(IF(AQ753&gt;AR753,AR753-AQ752,AP753),0)</f>
      </c>
      <c r="AT753" s="748">
        <f>+AP753-AS753</f>
      </c>
      <c r="AU753" s="217">
        <f>+_xlfn.IFNA(VLOOKUP(AJ753,$AF$7:$AI$1066,4,0),0)</f>
      </c>
      <c r="AV753" s="217">
        <f>+IF(W753&gt;W752,AU753,AV752+AU753)</f>
      </c>
      <c r="AW753" s="217">
        <f>+MAX($AM$2-SUMIF($W$7:$W$1066,W753,$AN$7:$AN$1066)-SUMIF($W$7:$W$1066,W753,$AS$7:$AS$1066),0)</f>
      </c>
      <c r="AX753" s="748">
        <f>+MAX(IF(AV753&gt;AW753,AW753-AV752,AU753),0)</f>
      </c>
      <c r="AY753" s="748">
        <f>+AU753-AX753</f>
      </c>
      <c r="AZ753" s="331">
        <f>+$AM$1+IF($AP$1&gt;$AP$2,$AM$3/2)</f>
      </c>
    </row>
    <row x14ac:dyDescent="0.25" r="754" customHeight="1" ht="18.75">
      <c r="A754" s="1"/>
      <c r="B754" s="7"/>
      <c r="C754" s="170"/>
      <c r="D754" s="331">
        <v>747</v>
      </c>
      <c r="E754" s="544">
        <f>+DATE(YEAR(E753),MONTH(E753)-1,DAY(E753))</f>
        <v>25569.041666666668</v>
      </c>
      <c r="F754" s="333">
        <f>IF(DATE(YEAR($B$6),MONTH($B$6)+1,DAY(1))=E754,1,IF(MONTH(E754)=1,F755*(1+$F$5),F755))</f>
      </c>
      <c r="G754" s="333">
        <f>IF('Simulador - 1º Pilar'!$E$99="Sí",IF('Aportaciones PPE'!$B$13&lt;'Aportaciones PPE'!E754,0,F754*$B$8/12),F754*$B$8/12)</f>
      </c>
      <c r="H754" s="333">
        <f>$H$5*G754</f>
      </c>
      <c r="I754" s="333">
        <f>$I$5*G754</f>
      </c>
      <c r="J754" s="333">
        <f>+I754</f>
      </c>
      <c r="K754" s="333">
        <f>(1+$O$5)^(D754/12)*(H754+IF(AND(F754=1,F755=0),$S$4,0))</f>
      </c>
      <c r="L754" s="333">
        <f>(1+$O$5)^(D754/12)*(I754+IF(AND(F754=1,F755=0),0))</f>
      </c>
      <c r="M754" s="333">
        <f>+L754</f>
      </c>
      <c r="N754" s="333">
        <f>L754+K754+M754</f>
      </c>
      <c r="O754" s="170"/>
      <c r="P754" s="7"/>
      <c r="Q754" s="1"/>
      <c r="R754" s="331">
        <f>D754</f>
      </c>
      <c r="S754" s="169"/>
      <c r="T754" s="1"/>
      <c r="U754" s="217"/>
      <c r="V754" s="331">
        <f>+IF(V753=11,12,IF(V753=12,1,V753+1))</f>
      </c>
      <c r="W754" s="331">
        <f>+W753+IF(V753=12,1,0)</f>
      </c>
      <c r="X754" s="555">
        <f>+DATE(W754,V754,1)</f>
        <v>25569.041666666668</v>
      </c>
      <c r="Y754" s="333">
        <f>+_xlfn.IFNA(AN754+AS754+AX754,0)</f>
      </c>
      <c r="Z754" s="333">
        <f>+_xlfn.IFNA(AO754+AT754+AY754,0)</f>
      </c>
      <c r="AA754" s="333">
        <f>Y754*(1+$O$5)^(($B$7-X754)/365.25)</f>
      </c>
      <c r="AB754" s="333">
        <f>Z754*(1+$O$5)^(($B$7-X754)/365.25)</f>
      </c>
      <c r="AC754" s="1"/>
      <c r="AD754" s="1"/>
      <c r="AE754" s="1"/>
      <c r="AF754" s="111">
        <f>+MONTH(E754)&amp;YEAR(E754)</f>
      </c>
      <c r="AG754" s="217">
        <f>+I754</f>
      </c>
      <c r="AH754" s="217">
        <f>+J754</f>
      </c>
      <c r="AI754" s="217">
        <f>+H754</f>
      </c>
      <c r="AJ754" s="111">
        <f>+V754&amp;W754</f>
      </c>
      <c r="AK754" s="217">
        <f>+_xlfn.IFNA(VLOOKUP(AJ754,$AF$7:$AG$1066,2,0),0)</f>
      </c>
      <c r="AL754" s="217">
        <f>+IF(W754&gt;W753,AK754,AL753+AK754)</f>
      </c>
      <c r="AM754" s="217">
        <f>IF(W754&gt;W753,IF(AL754&gt;=$AZ$8,$AZ$8,AL754),IF(OR(AM753=$AZ$8,AM753=0),0,IF(AL754&gt;=$AZ$8,$AZ$8,AL754)))</f>
      </c>
      <c r="AN754" s="748">
        <f>+IF(OR(AM754&gt;AZ753,AM754=0),0,IF(AM754=AL754,AK754,$AZ$7-AL753))</f>
      </c>
      <c r="AO754" s="748">
        <f>+AK754-AN754</f>
      </c>
      <c r="AP754" s="217">
        <f>+_xlfn.IFNA(VLOOKUP(AJ754,$AF$7:$AI$1066,3,0),0)</f>
      </c>
      <c r="AQ754" s="217">
        <f>+IF(W754&gt;W753,AP754,AQ753+AP754)</f>
      </c>
      <c r="AR754" s="217">
        <f>+MAX($AM$2-SUMIF($W$7:$W$1066,W754,$AN$7:$AN$1066),0)</f>
      </c>
      <c r="AS754" s="748">
        <f>+MAX(IF(AQ754&gt;AR754,AR754-AQ753,AP754),0)</f>
      </c>
      <c r="AT754" s="748">
        <f>+AP754-AS754</f>
      </c>
      <c r="AU754" s="217">
        <f>+_xlfn.IFNA(VLOOKUP(AJ754,$AF$7:$AI$1066,4,0),0)</f>
      </c>
      <c r="AV754" s="217">
        <f>+IF(W754&gt;W753,AU754,AV753+AU754)</f>
      </c>
      <c r="AW754" s="217">
        <f>+MAX($AM$2-SUMIF($W$7:$W$1066,W754,$AN$7:$AN$1066)-SUMIF($W$7:$W$1066,W754,$AS$7:$AS$1066),0)</f>
      </c>
      <c r="AX754" s="748">
        <f>+MAX(IF(AV754&gt;AW754,AW754-AV753,AU754),0)</f>
      </c>
      <c r="AY754" s="748">
        <f>+AU754-AX754</f>
      </c>
      <c r="AZ754" s="331">
        <f>+$AM$1+IF($AP$1&gt;$AP$2,$AM$3/2)</f>
      </c>
    </row>
    <row x14ac:dyDescent="0.25" r="755" customHeight="1" ht="18.75">
      <c r="A755" s="1"/>
      <c r="B755" s="7"/>
      <c r="C755" s="170"/>
      <c r="D755" s="331">
        <v>748</v>
      </c>
      <c r="E755" s="544">
        <f>+DATE(YEAR(E754),MONTH(E754)-1,DAY(E754))</f>
        <v>25569.041666666668</v>
      </c>
      <c r="F755" s="333">
        <f>IF(DATE(YEAR($B$6),MONTH($B$6)+1,DAY(1))=E755,1,IF(MONTH(E755)=1,F756*(1+$F$5),F756))</f>
      </c>
      <c r="G755" s="333">
        <f>IF('Simulador - 1º Pilar'!$E$99="Sí",IF('Aportaciones PPE'!$B$13&lt;'Aportaciones PPE'!E755,0,F755*$B$8/12),F755*$B$8/12)</f>
      </c>
      <c r="H755" s="333">
        <f>$H$5*G755</f>
      </c>
      <c r="I755" s="333">
        <f>$I$5*G755</f>
      </c>
      <c r="J755" s="333">
        <f>+I755</f>
      </c>
      <c r="K755" s="333">
        <f>(1+$O$5)^(D755/12)*(H755+IF(AND(F755=1,F756=0),$S$4,0))</f>
      </c>
      <c r="L755" s="333">
        <f>(1+$O$5)^(D755/12)*(I755+IF(AND(F755=1,F756=0),0))</f>
      </c>
      <c r="M755" s="333">
        <f>+L755</f>
      </c>
      <c r="N755" s="333">
        <f>L755+K755+M755</f>
      </c>
      <c r="O755" s="170"/>
      <c r="P755" s="7"/>
      <c r="Q755" s="1"/>
      <c r="R755" s="331">
        <f>D755</f>
      </c>
      <c r="S755" s="169"/>
      <c r="T755" s="1"/>
      <c r="U755" s="217"/>
      <c r="V755" s="331">
        <f>+IF(V754=11,12,IF(V754=12,1,V754+1))</f>
      </c>
      <c r="W755" s="331">
        <f>+W754+IF(V754=12,1,0)</f>
      </c>
      <c r="X755" s="555">
        <f>+DATE(W755,V755,1)</f>
        <v>25569.041666666668</v>
      </c>
      <c r="Y755" s="333">
        <f>+_xlfn.IFNA(AN755+AS755+AX755,0)</f>
      </c>
      <c r="Z755" s="333">
        <f>+_xlfn.IFNA(AO755+AT755+AY755,0)</f>
      </c>
      <c r="AA755" s="333">
        <f>Y755*(1+$O$5)^(($B$7-X755)/365.25)</f>
      </c>
      <c r="AB755" s="333">
        <f>Z755*(1+$O$5)^(($B$7-X755)/365.25)</f>
      </c>
      <c r="AC755" s="1"/>
      <c r="AD755" s="1"/>
      <c r="AE755" s="1"/>
      <c r="AF755" s="111">
        <f>+MONTH(E755)&amp;YEAR(E755)</f>
      </c>
      <c r="AG755" s="217">
        <f>+I755</f>
      </c>
      <c r="AH755" s="217">
        <f>+J755</f>
      </c>
      <c r="AI755" s="217">
        <f>+H755</f>
      </c>
      <c r="AJ755" s="111">
        <f>+V755&amp;W755</f>
      </c>
      <c r="AK755" s="217">
        <f>+_xlfn.IFNA(VLOOKUP(AJ755,$AF$7:$AG$1066,2,0),0)</f>
      </c>
      <c r="AL755" s="217">
        <f>+IF(W755&gt;W754,AK755,AL754+AK755)</f>
      </c>
      <c r="AM755" s="217">
        <f>IF(W755&gt;W754,IF(AL755&gt;=$AZ$8,$AZ$8,AL755),IF(OR(AM754=$AZ$8,AM754=0),0,IF(AL755&gt;=$AZ$8,$AZ$8,AL755)))</f>
      </c>
      <c r="AN755" s="748">
        <f>+IF(OR(AM755&gt;AZ754,AM755=0),0,IF(AM755=AL755,AK755,$AZ$7-AL754))</f>
      </c>
      <c r="AO755" s="748">
        <f>+AK755-AN755</f>
      </c>
      <c r="AP755" s="217">
        <f>+_xlfn.IFNA(VLOOKUP(AJ755,$AF$7:$AI$1066,3,0),0)</f>
      </c>
      <c r="AQ755" s="217">
        <f>+IF(W755&gt;W754,AP755,AQ754+AP755)</f>
      </c>
      <c r="AR755" s="217">
        <f>+MAX($AM$2-SUMIF($W$7:$W$1066,W755,$AN$7:$AN$1066),0)</f>
      </c>
      <c r="AS755" s="748">
        <f>+MAX(IF(AQ755&gt;AR755,AR755-AQ754,AP755),0)</f>
      </c>
      <c r="AT755" s="748">
        <f>+AP755-AS755</f>
      </c>
      <c r="AU755" s="217">
        <f>+_xlfn.IFNA(VLOOKUP(AJ755,$AF$7:$AI$1066,4,0),0)</f>
      </c>
      <c r="AV755" s="217">
        <f>+IF(W755&gt;W754,AU755,AV754+AU755)</f>
      </c>
      <c r="AW755" s="217">
        <f>+MAX($AM$2-SUMIF($W$7:$W$1066,W755,$AN$7:$AN$1066)-SUMIF($W$7:$W$1066,W755,$AS$7:$AS$1066),0)</f>
      </c>
      <c r="AX755" s="748">
        <f>+MAX(IF(AV755&gt;AW755,AW755-AV754,AU755),0)</f>
      </c>
      <c r="AY755" s="748">
        <f>+AU755-AX755</f>
      </c>
      <c r="AZ755" s="331">
        <f>+$AM$1+IF($AP$1&gt;$AP$2,$AM$3/2)</f>
      </c>
    </row>
    <row x14ac:dyDescent="0.25" r="756" customHeight="1" ht="18.75">
      <c r="A756" s="1"/>
      <c r="B756" s="7"/>
      <c r="C756" s="170"/>
      <c r="D756" s="331">
        <v>749</v>
      </c>
      <c r="E756" s="544">
        <f>+DATE(YEAR(E755),MONTH(E755)-1,DAY(E755))</f>
        <v>25569.041666666668</v>
      </c>
      <c r="F756" s="333">
        <f>IF(DATE(YEAR($B$6),MONTH($B$6)+1,DAY(1))=E756,1,IF(MONTH(E756)=1,F757*(1+$F$5),F757))</f>
      </c>
      <c r="G756" s="333">
        <f>IF('Simulador - 1º Pilar'!$E$99="Sí",IF('Aportaciones PPE'!$B$13&lt;'Aportaciones PPE'!E756,0,F756*$B$8/12),F756*$B$8/12)</f>
      </c>
      <c r="H756" s="333">
        <f>$H$5*G756</f>
      </c>
      <c r="I756" s="333">
        <f>$I$5*G756</f>
      </c>
      <c r="J756" s="333">
        <f>+I756</f>
      </c>
      <c r="K756" s="333">
        <f>(1+$O$5)^(D756/12)*(H756+IF(AND(F756=1,F757=0),$S$4,0))</f>
      </c>
      <c r="L756" s="333">
        <f>(1+$O$5)^(D756/12)*(I756+IF(AND(F756=1,F757=0),0))</f>
      </c>
      <c r="M756" s="333">
        <f>+L756</f>
      </c>
      <c r="N756" s="333">
        <f>L756+K756+M756</f>
      </c>
      <c r="O756" s="170"/>
      <c r="P756" s="7"/>
      <c r="Q756" s="1"/>
      <c r="R756" s="331">
        <f>D756</f>
      </c>
      <c r="S756" s="169"/>
      <c r="T756" s="1"/>
      <c r="U756" s="217"/>
      <c r="V756" s="331">
        <f>+IF(V755=11,12,IF(V755=12,1,V755+1))</f>
      </c>
      <c r="W756" s="331">
        <f>+W755+IF(V755=12,1,0)</f>
      </c>
      <c r="X756" s="555">
        <f>+DATE(W756,V756,1)</f>
        <v>25569.041666666668</v>
      </c>
      <c r="Y756" s="333">
        <f>+_xlfn.IFNA(AN756+AS756+AX756,0)</f>
      </c>
      <c r="Z756" s="333">
        <f>+_xlfn.IFNA(AO756+AT756+AY756,0)</f>
      </c>
      <c r="AA756" s="333">
        <f>Y756*(1+$O$5)^(($B$7-X756)/365.25)</f>
      </c>
      <c r="AB756" s="333">
        <f>Z756*(1+$O$5)^(($B$7-X756)/365.25)</f>
      </c>
      <c r="AC756" s="1"/>
      <c r="AD756" s="1"/>
      <c r="AE756" s="1"/>
      <c r="AF756" s="111">
        <f>+MONTH(E756)&amp;YEAR(E756)</f>
      </c>
      <c r="AG756" s="217">
        <f>+I756</f>
      </c>
      <c r="AH756" s="217">
        <f>+J756</f>
      </c>
      <c r="AI756" s="217">
        <f>+H756</f>
      </c>
      <c r="AJ756" s="111">
        <f>+V756&amp;W756</f>
      </c>
      <c r="AK756" s="217">
        <f>+_xlfn.IFNA(VLOOKUP(AJ756,$AF$7:$AG$1066,2,0),0)</f>
      </c>
      <c r="AL756" s="217">
        <f>+IF(W756&gt;W755,AK756,AL755+AK756)</f>
      </c>
      <c r="AM756" s="217">
        <f>IF(W756&gt;W755,IF(AL756&gt;=$AZ$8,$AZ$8,AL756),IF(OR(AM755=$AZ$8,AM755=0),0,IF(AL756&gt;=$AZ$8,$AZ$8,AL756)))</f>
      </c>
      <c r="AN756" s="748">
        <f>+IF(OR(AM756&gt;AZ755,AM756=0),0,IF(AM756=AL756,AK756,$AZ$7-AL755))</f>
      </c>
      <c r="AO756" s="748">
        <f>+AK756-AN756</f>
      </c>
      <c r="AP756" s="217">
        <f>+_xlfn.IFNA(VLOOKUP(AJ756,$AF$7:$AI$1066,3,0),0)</f>
      </c>
      <c r="AQ756" s="217">
        <f>+IF(W756&gt;W755,AP756,AQ755+AP756)</f>
      </c>
      <c r="AR756" s="217">
        <f>+MAX($AM$2-SUMIF($W$7:$W$1066,W756,$AN$7:$AN$1066),0)</f>
      </c>
      <c r="AS756" s="748">
        <f>+MAX(IF(AQ756&gt;AR756,AR756-AQ755,AP756),0)</f>
      </c>
      <c r="AT756" s="748">
        <f>+AP756-AS756</f>
      </c>
      <c r="AU756" s="217">
        <f>+_xlfn.IFNA(VLOOKUP(AJ756,$AF$7:$AI$1066,4,0),0)</f>
      </c>
      <c r="AV756" s="217">
        <f>+IF(W756&gt;W755,AU756,AV755+AU756)</f>
      </c>
      <c r="AW756" s="217">
        <f>+MAX($AM$2-SUMIF($W$7:$W$1066,W756,$AN$7:$AN$1066)-SUMIF($W$7:$W$1066,W756,$AS$7:$AS$1066),0)</f>
      </c>
      <c r="AX756" s="748">
        <f>+MAX(IF(AV756&gt;AW756,AW756-AV755,AU756),0)</f>
      </c>
      <c r="AY756" s="748">
        <f>+AU756-AX756</f>
      </c>
      <c r="AZ756" s="331">
        <f>+$AM$1+IF($AP$1&gt;$AP$2,$AM$3/2)</f>
      </c>
    </row>
    <row x14ac:dyDescent="0.25" r="757" customHeight="1" ht="18.75">
      <c r="A757" s="1"/>
      <c r="B757" s="7"/>
      <c r="C757" s="170"/>
      <c r="D757" s="331">
        <v>750</v>
      </c>
      <c r="E757" s="544">
        <f>+DATE(YEAR(E756),MONTH(E756)-1,DAY(E756))</f>
        <v>25569.041666666668</v>
      </c>
      <c r="F757" s="333">
        <f>IF(DATE(YEAR($B$6),MONTH($B$6)+1,DAY(1))=E757,1,IF(MONTH(E757)=1,F758*(1+$F$5),F758))</f>
      </c>
      <c r="G757" s="333">
        <f>IF('Simulador - 1º Pilar'!$E$99="Sí",IF('Aportaciones PPE'!$B$13&lt;'Aportaciones PPE'!E757,0,F757*$B$8/12),F757*$B$8/12)</f>
      </c>
      <c r="H757" s="333">
        <f>$H$5*G757</f>
      </c>
      <c r="I757" s="333">
        <f>$I$5*G757</f>
      </c>
      <c r="J757" s="333">
        <f>+I757</f>
      </c>
      <c r="K757" s="333">
        <f>(1+$O$5)^(D757/12)*(H757+IF(AND(F757=1,F758=0),$S$4,0))</f>
      </c>
      <c r="L757" s="333">
        <f>(1+$O$5)^(D757/12)*(I757+IF(AND(F757=1,F758=0),0))</f>
      </c>
      <c r="M757" s="333">
        <f>+L757</f>
      </c>
      <c r="N757" s="333">
        <f>L757+K757+M757</f>
      </c>
      <c r="O757" s="170"/>
      <c r="P757" s="7"/>
      <c r="Q757" s="1"/>
      <c r="R757" s="331">
        <f>D757</f>
      </c>
      <c r="S757" s="169"/>
      <c r="T757" s="1"/>
      <c r="U757" s="217"/>
      <c r="V757" s="331">
        <f>+IF(V756=11,12,IF(V756=12,1,V756+1))</f>
      </c>
      <c r="W757" s="331">
        <f>+W756+IF(V756=12,1,0)</f>
      </c>
      <c r="X757" s="555">
        <f>+DATE(W757,V757,1)</f>
        <v>25569.041666666668</v>
      </c>
      <c r="Y757" s="333">
        <f>+_xlfn.IFNA(AN757+AS757+AX757,0)</f>
      </c>
      <c r="Z757" s="333">
        <f>+_xlfn.IFNA(AO757+AT757+AY757,0)</f>
      </c>
      <c r="AA757" s="333">
        <f>Y757*(1+$O$5)^(($B$7-X757)/365.25)</f>
      </c>
      <c r="AB757" s="333">
        <f>Z757*(1+$O$5)^(($B$7-X757)/365.25)</f>
      </c>
      <c r="AC757" s="1"/>
      <c r="AD757" s="1"/>
      <c r="AE757" s="1"/>
      <c r="AF757" s="111">
        <f>+MONTH(E757)&amp;YEAR(E757)</f>
      </c>
      <c r="AG757" s="217">
        <f>+I757</f>
      </c>
      <c r="AH757" s="217">
        <f>+J757</f>
      </c>
      <c r="AI757" s="217">
        <f>+H757</f>
      </c>
      <c r="AJ757" s="111">
        <f>+V757&amp;W757</f>
      </c>
      <c r="AK757" s="217">
        <f>+_xlfn.IFNA(VLOOKUP(AJ757,$AF$7:$AG$1066,2,0),0)</f>
      </c>
      <c r="AL757" s="217">
        <f>+IF(W757&gt;W756,AK757,AL756+AK757)</f>
      </c>
      <c r="AM757" s="217">
        <f>IF(W757&gt;W756,IF(AL757&gt;=$AZ$8,$AZ$8,AL757),IF(OR(AM756=$AZ$8,AM756=0),0,IF(AL757&gt;=$AZ$8,$AZ$8,AL757)))</f>
      </c>
      <c r="AN757" s="748">
        <f>+IF(OR(AM757&gt;AZ756,AM757=0),0,IF(AM757=AL757,AK757,$AZ$7-AL756))</f>
      </c>
      <c r="AO757" s="748">
        <f>+AK757-AN757</f>
      </c>
      <c r="AP757" s="217">
        <f>+_xlfn.IFNA(VLOOKUP(AJ757,$AF$7:$AI$1066,3,0),0)</f>
      </c>
      <c r="AQ757" s="217">
        <f>+IF(W757&gt;W756,AP757,AQ756+AP757)</f>
      </c>
      <c r="AR757" s="217">
        <f>+MAX($AM$2-SUMIF($W$7:$W$1066,W757,$AN$7:$AN$1066),0)</f>
      </c>
      <c r="AS757" s="748">
        <f>+MAX(IF(AQ757&gt;AR757,AR757-AQ756,AP757),0)</f>
      </c>
      <c r="AT757" s="748">
        <f>+AP757-AS757</f>
      </c>
      <c r="AU757" s="217">
        <f>+_xlfn.IFNA(VLOOKUP(AJ757,$AF$7:$AI$1066,4,0),0)</f>
      </c>
      <c r="AV757" s="217">
        <f>+IF(W757&gt;W756,AU757,AV756+AU757)</f>
      </c>
      <c r="AW757" s="217">
        <f>+MAX($AM$2-SUMIF($W$7:$W$1066,W757,$AN$7:$AN$1066)-SUMIF($W$7:$W$1066,W757,$AS$7:$AS$1066),0)</f>
      </c>
      <c r="AX757" s="748">
        <f>+MAX(IF(AV757&gt;AW757,AW757-AV756,AU757),0)</f>
      </c>
      <c r="AY757" s="748">
        <f>+AU757-AX757</f>
      </c>
      <c r="AZ757" s="331">
        <f>+$AM$1+IF($AP$1&gt;$AP$2,$AM$3/2)</f>
      </c>
    </row>
    <row x14ac:dyDescent="0.25" r="758" customHeight="1" ht="18.75">
      <c r="A758" s="1"/>
      <c r="B758" s="7"/>
      <c r="C758" s="170"/>
      <c r="D758" s="331">
        <v>751</v>
      </c>
      <c r="E758" s="544">
        <f>+DATE(YEAR(E757),MONTH(E757)-1,DAY(E757))</f>
        <v>25569.041666666668</v>
      </c>
      <c r="F758" s="333">
        <f>IF(DATE(YEAR($B$6),MONTH($B$6)+1,DAY(1))=E758,1,IF(MONTH(E758)=1,F759*(1+$F$5),F759))</f>
      </c>
      <c r="G758" s="333">
        <f>IF('Simulador - 1º Pilar'!$E$99="Sí",IF('Aportaciones PPE'!$B$13&lt;'Aportaciones PPE'!E758,0,F758*$B$8/12),F758*$B$8/12)</f>
      </c>
      <c r="H758" s="333">
        <f>$H$5*G758</f>
      </c>
      <c r="I758" s="333">
        <f>$I$5*G758</f>
      </c>
      <c r="J758" s="333">
        <f>+I758</f>
      </c>
      <c r="K758" s="333">
        <f>(1+$O$5)^(D758/12)*(H758+IF(AND(F758=1,F759=0),$S$4,0))</f>
      </c>
      <c r="L758" s="333">
        <f>(1+$O$5)^(D758/12)*(I758+IF(AND(F758=1,F759=0),0))</f>
      </c>
      <c r="M758" s="333">
        <f>+L758</f>
      </c>
      <c r="N758" s="333">
        <f>L758+K758+M758</f>
      </c>
      <c r="O758" s="170"/>
      <c r="P758" s="7"/>
      <c r="Q758" s="1"/>
      <c r="R758" s="331">
        <f>D758</f>
      </c>
      <c r="S758" s="169"/>
      <c r="T758" s="1"/>
      <c r="U758" s="217"/>
      <c r="V758" s="331">
        <f>+IF(V757=11,12,IF(V757=12,1,V757+1))</f>
      </c>
      <c r="W758" s="331">
        <f>+W757+IF(V757=12,1,0)</f>
      </c>
      <c r="X758" s="555">
        <f>+DATE(W758,V758,1)</f>
        <v>25569.041666666668</v>
      </c>
      <c r="Y758" s="333">
        <f>+_xlfn.IFNA(AN758+AS758+AX758,0)</f>
      </c>
      <c r="Z758" s="333">
        <f>+_xlfn.IFNA(AO758+AT758+AY758,0)</f>
      </c>
      <c r="AA758" s="333">
        <f>Y758*(1+$O$5)^(($B$7-X758)/365.25)</f>
      </c>
      <c r="AB758" s="333">
        <f>Z758*(1+$O$5)^(($B$7-X758)/365.25)</f>
      </c>
      <c r="AC758" s="1"/>
      <c r="AD758" s="1"/>
      <c r="AE758" s="1"/>
      <c r="AF758" s="111">
        <f>+MONTH(E758)&amp;YEAR(E758)</f>
      </c>
      <c r="AG758" s="217">
        <f>+I758</f>
      </c>
      <c r="AH758" s="217">
        <f>+J758</f>
      </c>
      <c r="AI758" s="217">
        <f>+H758</f>
      </c>
      <c r="AJ758" s="111">
        <f>+V758&amp;W758</f>
      </c>
      <c r="AK758" s="217">
        <f>+_xlfn.IFNA(VLOOKUP(AJ758,$AF$7:$AG$1066,2,0),0)</f>
      </c>
      <c r="AL758" s="217">
        <f>+IF(W758&gt;W757,AK758,AL757+AK758)</f>
      </c>
      <c r="AM758" s="217">
        <f>IF(W758&gt;W757,IF(AL758&gt;=$AZ$8,$AZ$8,AL758),IF(OR(AM757=$AZ$8,AM757=0),0,IF(AL758&gt;=$AZ$8,$AZ$8,AL758)))</f>
      </c>
      <c r="AN758" s="748">
        <f>+IF(OR(AM758&gt;AZ757,AM758=0),0,IF(AM758=AL758,AK758,$AZ$7-AL757))</f>
      </c>
      <c r="AO758" s="748">
        <f>+AK758-AN758</f>
      </c>
      <c r="AP758" s="217">
        <f>+_xlfn.IFNA(VLOOKUP(AJ758,$AF$7:$AI$1066,3,0),0)</f>
      </c>
      <c r="AQ758" s="217">
        <f>+IF(W758&gt;W757,AP758,AQ757+AP758)</f>
      </c>
      <c r="AR758" s="217">
        <f>+MAX($AM$2-SUMIF($W$7:$W$1066,W758,$AN$7:$AN$1066),0)</f>
      </c>
      <c r="AS758" s="748">
        <f>+MAX(IF(AQ758&gt;AR758,AR758-AQ757,AP758),0)</f>
      </c>
      <c r="AT758" s="748">
        <f>+AP758-AS758</f>
      </c>
      <c r="AU758" s="217">
        <f>+_xlfn.IFNA(VLOOKUP(AJ758,$AF$7:$AI$1066,4,0),0)</f>
      </c>
      <c r="AV758" s="217">
        <f>+IF(W758&gt;W757,AU758,AV757+AU758)</f>
      </c>
      <c r="AW758" s="217">
        <f>+MAX($AM$2-SUMIF($W$7:$W$1066,W758,$AN$7:$AN$1066)-SUMIF($W$7:$W$1066,W758,$AS$7:$AS$1066),0)</f>
      </c>
      <c r="AX758" s="748">
        <f>+MAX(IF(AV758&gt;AW758,AW758-AV757,AU758),0)</f>
      </c>
      <c r="AY758" s="748">
        <f>+AU758-AX758</f>
      </c>
      <c r="AZ758" s="331">
        <f>+$AM$1+IF($AP$1&gt;$AP$2,$AM$3/2)</f>
      </c>
    </row>
    <row x14ac:dyDescent="0.25" r="759" customHeight="1" ht="18.75">
      <c r="A759" s="1"/>
      <c r="B759" s="7"/>
      <c r="C759" s="170"/>
      <c r="D759" s="331">
        <v>752</v>
      </c>
      <c r="E759" s="544">
        <f>+DATE(YEAR(E758),MONTH(E758)-1,DAY(E758))</f>
        <v>25569.041666666668</v>
      </c>
      <c r="F759" s="333">
        <f>IF(DATE(YEAR($B$6),MONTH($B$6)+1,DAY(1))=E759,1,IF(MONTH(E759)=1,F760*(1+$F$5),F760))</f>
      </c>
      <c r="G759" s="333">
        <f>IF('Simulador - 1º Pilar'!$E$99="Sí",IF('Aportaciones PPE'!$B$13&lt;'Aportaciones PPE'!E759,0,F759*$B$8/12),F759*$B$8/12)</f>
      </c>
      <c r="H759" s="333">
        <f>$H$5*G759</f>
      </c>
      <c r="I759" s="333">
        <f>$I$5*G759</f>
      </c>
      <c r="J759" s="333">
        <f>+I759</f>
      </c>
      <c r="K759" s="333">
        <f>(1+$O$5)^(D759/12)*(H759+IF(AND(F759=1,F760=0),$S$4,0))</f>
      </c>
      <c r="L759" s="333">
        <f>(1+$O$5)^(D759/12)*(I759+IF(AND(F759=1,F760=0),0))</f>
      </c>
      <c r="M759" s="333">
        <f>+L759</f>
      </c>
      <c r="N759" s="333">
        <f>L759+K759+M759</f>
      </c>
      <c r="O759" s="170"/>
      <c r="P759" s="7"/>
      <c r="Q759" s="1"/>
      <c r="R759" s="331">
        <f>D759</f>
      </c>
      <c r="S759" s="169"/>
      <c r="T759" s="1"/>
      <c r="U759" s="217"/>
      <c r="V759" s="331">
        <f>+IF(V758=11,12,IF(V758=12,1,V758+1))</f>
      </c>
      <c r="W759" s="331">
        <f>+W758+IF(V758=12,1,0)</f>
      </c>
      <c r="X759" s="555">
        <f>+DATE(W759,V759,1)</f>
        <v>25569.041666666668</v>
      </c>
      <c r="Y759" s="333">
        <f>+_xlfn.IFNA(AN759+AS759+AX759,0)</f>
      </c>
      <c r="Z759" s="333">
        <f>+_xlfn.IFNA(AO759+AT759+AY759,0)</f>
      </c>
      <c r="AA759" s="333">
        <f>Y759*(1+$O$5)^(($B$7-X759)/365.25)</f>
      </c>
      <c r="AB759" s="333">
        <f>Z759*(1+$O$5)^(($B$7-X759)/365.25)</f>
      </c>
      <c r="AC759" s="1"/>
      <c r="AD759" s="1"/>
      <c r="AE759" s="1"/>
      <c r="AF759" s="111">
        <f>+MONTH(E759)&amp;YEAR(E759)</f>
      </c>
      <c r="AG759" s="217">
        <f>+I759</f>
      </c>
      <c r="AH759" s="217">
        <f>+J759</f>
      </c>
      <c r="AI759" s="217">
        <f>+H759</f>
      </c>
      <c r="AJ759" s="111">
        <f>+V759&amp;W759</f>
      </c>
      <c r="AK759" s="217">
        <f>+_xlfn.IFNA(VLOOKUP(AJ759,$AF$7:$AG$1066,2,0),0)</f>
      </c>
      <c r="AL759" s="217">
        <f>+IF(W759&gt;W758,AK759,AL758+AK759)</f>
      </c>
      <c r="AM759" s="217">
        <f>IF(W759&gt;W758,IF(AL759&gt;=$AZ$8,$AZ$8,AL759),IF(OR(AM758=$AZ$8,AM758=0),0,IF(AL759&gt;=$AZ$8,$AZ$8,AL759)))</f>
      </c>
      <c r="AN759" s="748">
        <f>+IF(OR(AM759&gt;AZ758,AM759=0),0,IF(AM759=AL759,AK759,$AZ$7-AL758))</f>
      </c>
      <c r="AO759" s="748">
        <f>+AK759-AN759</f>
      </c>
      <c r="AP759" s="217">
        <f>+_xlfn.IFNA(VLOOKUP(AJ759,$AF$7:$AI$1066,3,0),0)</f>
      </c>
      <c r="AQ759" s="217">
        <f>+IF(W759&gt;W758,AP759,AQ758+AP759)</f>
      </c>
      <c r="AR759" s="217">
        <f>+MAX($AM$2-SUMIF($W$7:$W$1066,W759,$AN$7:$AN$1066),0)</f>
      </c>
      <c r="AS759" s="748">
        <f>+MAX(IF(AQ759&gt;AR759,AR759-AQ758,AP759),0)</f>
      </c>
      <c r="AT759" s="748">
        <f>+AP759-AS759</f>
      </c>
      <c r="AU759" s="217">
        <f>+_xlfn.IFNA(VLOOKUP(AJ759,$AF$7:$AI$1066,4,0),0)</f>
      </c>
      <c r="AV759" s="217">
        <f>+IF(W759&gt;W758,AU759,AV758+AU759)</f>
      </c>
      <c r="AW759" s="217">
        <f>+MAX($AM$2-SUMIF($W$7:$W$1066,W759,$AN$7:$AN$1066)-SUMIF($W$7:$W$1066,W759,$AS$7:$AS$1066),0)</f>
      </c>
      <c r="AX759" s="748">
        <f>+MAX(IF(AV759&gt;AW759,AW759-AV758,AU759),0)</f>
      </c>
      <c r="AY759" s="748">
        <f>+AU759-AX759</f>
      </c>
      <c r="AZ759" s="331">
        <f>+$AM$1+IF($AP$1&gt;$AP$2,$AM$3/2)</f>
      </c>
    </row>
    <row x14ac:dyDescent="0.25" r="760" customHeight="1" ht="18.75">
      <c r="A760" s="1"/>
      <c r="B760" s="7"/>
      <c r="C760" s="170"/>
      <c r="D760" s="331">
        <v>753</v>
      </c>
      <c r="E760" s="544">
        <f>+DATE(YEAR(E759),MONTH(E759)-1,DAY(E759))</f>
        <v>25569.041666666668</v>
      </c>
      <c r="F760" s="333">
        <f>IF(DATE(YEAR($B$6),MONTH($B$6)+1,DAY(1))=E760,1,IF(MONTH(E760)=1,F761*(1+$F$5),F761))</f>
      </c>
      <c r="G760" s="333">
        <f>IF('Simulador - 1º Pilar'!$E$99="Sí",IF('Aportaciones PPE'!$B$13&lt;'Aportaciones PPE'!E760,0,F760*$B$8/12),F760*$B$8/12)</f>
      </c>
      <c r="H760" s="333">
        <f>$H$5*G760</f>
      </c>
      <c r="I760" s="333">
        <f>$I$5*G760</f>
      </c>
      <c r="J760" s="333">
        <f>+I760</f>
      </c>
      <c r="K760" s="333">
        <f>(1+$O$5)^(D760/12)*(H760+IF(AND(F760=1,F761=0),$S$4,0))</f>
      </c>
      <c r="L760" s="333">
        <f>(1+$O$5)^(D760/12)*(I760+IF(AND(F760=1,F761=0),0))</f>
      </c>
      <c r="M760" s="333">
        <f>+L760</f>
      </c>
      <c r="N760" s="333">
        <f>L760+K760+M760</f>
      </c>
      <c r="O760" s="170"/>
      <c r="P760" s="7"/>
      <c r="Q760" s="1"/>
      <c r="R760" s="331">
        <f>D760</f>
      </c>
      <c r="S760" s="169"/>
      <c r="T760" s="1"/>
      <c r="U760" s="217"/>
      <c r="V760" s="331">
        <f>+IF(V759=11,12,IF(V759=12,1,V759+1))</f>
      </c>
      <c r="W760" s="331">
        <f>+W759+IF(V759=12,1,0)</f>
      </c>
      <c r="X760" s="555">
        <f>+DATE(W760,V760,1)</f>
        <v>25569.041666666668</v>
      </c>
      <c r="Y760" s="333">
        <f>+_xlfn.IFNA(AN760+AS760+AX760,0)</f>
      </c>
      <c r="Z760" s="333">
        <f>+_xlfn.IFNA(AO760+AT760+AY760,0)</f>
      </c>
      <c r="AA760" s="333">
        <f>Y760*(1+$O$5)^(($B$7-X760)/365.25)</f>
      </c>
      <c r="AB760" s="333">
        <f>Z760*(1+$O$5)^(($B$7-X760)/365.25)</f>
      </c>
      <c r="AC760" s="1"/>
      <c r="AD760" s="1"/>
      <c r="AE760" s="1"/>
      <c r="AF760" s="111">
        <f>+MONTH(E760)&amp;YEAR(E760)</f>
      </c>
      <c r="AG760" s="217">
        <f>+I760</f>
      </c>
      <c r="AH760" s="217">
        <f>+J760</f>
      </c>
      <c r="AI760" s="217">
        <f>+H760</f>
      </c>
      <c r="AJ760" s="111">
        <f>+V760&amp;W760</f>
      </c>
      <c r="AK760" s="217">
        <f>+_xlfn.IFNA(VLOOKUP(AJ760,$AF$7:$AG$1066,2,0),0)</f>
      </c>
      <c r="AL760" s="217">
        <f>+IF(W760&gt;W759,AK760,AL759+AK760)</f>
      </c>
      <c r="AM760" s="217">
        <f>IF(W760&gt;W759,IF(AL760&gt;=$AZ$8,$AZ$8,AL760),IF(OR(AM759=$AZ$8,AM759=0),0,IF(AL760&gt;=$AZ$8,$AZ$8,AL760)))</f>
      </c>
      <c r="AN760" s="748">
        <f>+IF(OR(AM760&gt;AZ759,AM760=0),0,IF(AM760=AL760,AK760,$AZ$7-AL759))</f>
      </c>
      <c r="AO760" s="748">
        <f>+AK760-AN760</f>
      </c>
      <c r="AP760" s="217">
        <f>+_xlfn.IFNA(VLOOKUP(AJ760,$AF$7:$AI$1066,3,0),0)</f>
      </c>
      <c r="AQ760" s="217">
        <f>+IF(W760&gt;W759,AP760,AQ759+AP760)</f>
      </c>
      <c r="AR760" s="217">
        <f>+MAX($AM$2-SUMIF($W$7:$W$1066,W760,$AN$7:$AN$1066),0)</f>
      </c>
      <c r="AS760" s="748">
        <f>+MAX(IF(AQ760&gt;AR760,AR760-AQ759,AP760),0)</f>
      </c>
      <c r="AT760" s="748">
        <f>+AP760-AS760</f>
      </c>
      <c r="AU760" s="217">
        <f>+_xlfn.IFNA(VLOOKUP(AJ760,$AF$7:$AI$1066,4,0),0)</f>
      </c>
      <c r="AV760" s="217">
        <f>+IF(W760&gt;W759,AU760,AV759+AU760)</f>
      </c>
      <c r="AW760" s="217">
        <f>+MAX($AM$2-SUMIF($W$7:$W$1066,W760,$AN$7:$AN$1066)-SUMIF($W$7:$W$1066,W760,$AS$7:$AS$1066),0)</f>
      </c>
      <c r="AX760" s="748">
        <f>+MAX(IF(AV760&gt;AW760,AW760-AV759,AU760),0)</f>
      </c>
      <c r="AY760" s="748">
        <f>+AU760-AX760</f>
      </c>
      <c r="AZ760" s="331">
        <f>+$AM$1+IF($AP$1&gt;$AP$2,$AM$3/2)</f>
      </c>
    </row>
    <row x14ac:dyDescent="0.25" r="761" customHeight="1" ht="18.75">
      <c r="A761" s="1"/>
      <c r="B761" s="7"/>
      <c r="C761" s="170"/>
      <c r="D761" s="331">
        <v>754</v>
      </c>
      <c r="E761" s="544">
        <f>+DATE(YEAR(E760),MONTH(E760)-1,DAY(E760))</f>
        <v>25569.041666666668</v>
      </c>
      <c r="F761" s="333">
        <f>IF(DATE(YEAR($B$6),MONTH($B$6)+1,DAY(1))=E761,1,IF(MONTH(E761)=1,F762*(1+$F$5),F762))</f>
      </c>
      <c r="G761" s="333">
        <f>IF('Simulador - 1º Pilar'!$E$99="Sí",IF('Aportaciones PPE'!$B$13&lt;'Aportaciones PPE'!E761,0,F761*$B$8/12),F761*$B$8/12)</f>
      </c>
      <c r="H761" s="333">
        <f>$H$5*G761</f>
      </c>
      <c r="I761" s="333">
        <f>$I$5*G761</f>
      </c>
      <c r="J761" s="333">
        <f>+I761</f>
      </c>
      <c r="K761" s="333">
        <f>(1+$O$5)^(D761/12)*(H761+IF(AND(F761=1,F762=0),$S$4,0))</f>
      </c>
      <c r="L761" s="333">
        <f>(1+$O$5)^(D761/12)*(I761+IF(AND(F761=1,F762=0),0))</f>
      </c>
      <c r="M761" s="333">
        <f>+L761</f>
      </c>
      <c r="N761" s="333">
        <f>L761+K761+M761</f>
      </c>
      <c r="O761" s="170"/>
      <c r="P761" s="7"/>
      <c r="Q761" s="1"/>
      <c r="R761" s="331">
        <f>D761</f>
      </c>
      <c r="S761" s="169"/>
      <c r="T761" s="1"/>
      <c r="U761" s="217"/>
      <c r="V761" s="331">
        <f>+IF(V760=11,12,IF(V760=12,1,V760+1))</f>
      </c>
      <c r="W761" s="331">
        <f>+W760+IF(V760=12,1,0)</f>
      </c>
      <c r="X761" s="555">
        <f>+DATE(W761,V761,1)</f>
        <v>25569.041666666668</v>
      </c>
      <c r="Y761" s="333">
        <f>+_xlfn.IFNA(AN761+AS761+AX761,0)</f>
      </c>
      <c r="Z761" s="333">
        <f>+_xlfn.IFNA(AO761+AT761+AY761,0)</f>
      </c>
      <c r="AA761" s="333">
        <f>Y761*(1+$O$5)^(($B$7-X761)/365.25)</f>
      </c>
      <c r="AB761" s="333">
        <f>Z761*(1+$O$5)^(($B$7-X761)/365.25)</f>
      </c>
      <c r="AC761" s="1"/>
      <c r="AD761" s="1"/>
      <c r="AE761" s="1"/>
      <c r="AF761" s="111">
        <f>+MONTH(E761)&amp;YEAR(E761)</f>
      </c>
      <c r="AG761" s="217">
        <f>+I761</f>
      </c>
      <c r="AH761" s="217">
        <f>+J761</f>
      </c>
      <c r="AI761" s="217">
        <f>+H761</f>
      </c>
      <c r="AJ761" s="111">
        <f>+V761&amp;W761</f>
      </c>
      <c r="AK761" s="217">
        <f>+_xlfn.IFNA(VLOOKUP(AJ761,$AF$7:$AG$1066,2,0),0)</f>
      </c>
      <c r="AL761" s="217">
        <f>+IF(W761&gt;W760,AK761,AL760+AK761)</f>
      </c>
      <c r="AM761" s="217">
        <f>IF(W761&gt;W760,IF(AL761&gt;=$AZ$8,$AZ$8,AL761),IF(OR(AM760=$AZ$8,AM760=0),0,IF(AL761&gt;=$AZ$8,$AZ$8,AL761)))</f>
      </c>
      <c r="AN761" s="748">
        <f>+IF(OR(AM761&gt;AZ760,AM761=0),0,IF(AM761=AL761,AK761,$AZ$7-AL760))</f>
      </c>
      <c r="AO761" s="748">
        <f>+AK761-AN761</f>
      </c>
      <c r="AP761" s="217">
        <f>+_xlfn.IFNA(VLOOKUP(AJ761,$AF$7:$AI$1066,3,0),0)</f>
      </c>
      <c r="AQ761" s="217">
        <f>+IF(W761&gt;W760,AP761,AQ760+AP761)</f>
      </c>
      <c r="AR761" s="217">
        <f>+MAX($AM$2-SUMIF($W$7:$W$1066,W761,$AN$7:$AN$1066),0)</f>
      </c>
      <c r="AS761" s="748">
        <f>+MAX(IF(AQ761&gt;AR761,AR761-AQ760,AP761),0)</f>
      </c>
      <c r="AT761" s="748">
        <f>+AP761-AS761</f>
      </c>
      <c r="AU761" s="217">
        <f>+_xlfn.IFNA(VLOOKUP(AJ761,$AF$7:$AI$1066,4,0),0)</f>
      </c>
      <c r="AV761" s="217">
        <f>+IF(W761&gt;W760,AU761,AV760+AU761)</f>
      </c>
      <c r="AW761" s="217">
        <f>+MAX($AM$2-SUMIF($W$7:$W$1066,W761,$AN$7:$AN$1066)-SUMIF($W$7:$W$1066,W761,$AS$7:$AS$1066),0)</f>
      </c>
      <c r="AX761" s="748">
        <f>+MAX(IF(AV761&gt;AW761,AW761-AV760,AU761),0)</f>
      </c>
      <c r="AY761" s="748">
        <f>+AU761-AX761</f>
      </c>
      <c r="AZ761" s="331">
        <f>+$AM$1+IF($AP$1&gt;$AP$2,$AM$3/2)</f>
      </c>
    </row>
    <row x14ac:dyDescent="0.25" r="762" customHeight="1" ht="18.75">
      <c r="A762" s="1"/>
      <c r="B762" s="7"/>
      <c r="C762" s="170"/>
      <c r="D762" s="331">
        <v>755</v>
      </c>
      <c r="E762" s="544">
        <f>+DATE(YEAR(E761),MONTH(E761)-1,DAY(E761))</f>
        <v>25569.041666666668</v>
      </c>
      <c r="F762" s="333">
        <f>IF(DATE(YEAR($B$6),MONTH($B$6)+1,DAY(1))=E762,1,IF(MONTH(E762)=1,F763*(1+$F$5),F763))</f>
      </c>
      <c r="G762" s="333">
        <f>IF('Simulador - 1º Pilar'!$E$99="Sí",IF('Aportaciones PPE'!$B$13&lt;'Aportaciones PPE'!E762,0,F762*$B$8/12),F762*$B$8/12)</f>
      </c>
      <c r="H762" s="333">
        <f>$H$5*G762</f>
      </c>
      <c r="I762" s="333">
        <f>$I$5*G762</f>
      </c>
      <c r="J762" s="333">
        <f>+I762</f>
      </c>
      <c r="K762" s="333">
        <f>(1+$O$5)^(D762/12)*(H762+IF(AND(F762=1,F763=0),$S$4,0))</f>
      </c>
      <c r="L762" s="333">
        <f>(1+$O$5)^(D762/12)*(I762+IF(AND(F762=1,F763=0),0))</f>
      </c>
      <c r="M762" s="333">
        <f>+L762</f>
      </c>
      <c r="N762" s="333">
        <f>L762+K762+M762</f>
      </c>
      <c r="O762" s="170"/>
      <c r="P762" s="7"/>
      <c r="Q762" s="1"/>
      <c r="R762" s="331">
        <f>D762</f>
      </c>
      <c r="S762" s="169"/>
      <c r="T762" s="1"/>
      <c r="U762" s="217"/>
      <c r="V762" s="331">
        <f>+IF(V761=11,12,IF(V761=12,1,V761+1))</f>
      </c>
      <c r="W762" s="331">
        <f>+W761+IF(V761=12,1,0)</f>
      </c>
      <c r="X762" s="555">
        <f>+DATE(W762,V762,1)</f>
        <v>25569.041666666668</v>
      </c>
      <c r="Y762" s="333">
        <f>+_xlfn.IFNA(AN762+AS762+AX762,0)</f>
      </c>
      <c r="Z762" s="333">
        <f>+_xlfn.IFNA(AO762+AT762+AY762,0)</f>
      </c>
      <c r="AA762" s="333">
        <f>Y762*(1+$O$5)^(($B$7-X762)/365.25)</f>
      </c>
      <c r="AB762" s="333">
        <f>Z762*(1+$O$5)^(($B$7-X762)/365.25)</f>
      </c>
      <c r="AC762" s="1"/>
      <c r="AD762" s="1"/>
      <c r="AE762" s="1"/>
      <c r="AF762" s="111">
        <f>+MONTH(E762)&amp;YEAR(E762)</f>
      </c>
      <c r="AG762" s="217">
        <f>+I762</f>
      </c>
      <c r="AH762" s="217">
        <f>+J762</f>
      </c>
      <c r="AI762" s="217">
        <f>+H762</f>
      </c>
      <c r="AJ762" s="111">
        <f>+V762&amp;W762</f>
      </c>
      <c r="AK762" s="217">
        <f>+_xlfn.IFNA(VLOOKUP(AJ762,$AF$7:$AG$1066,2,0),0)</f>
      </c>
      <c r="AL762" s="217">
        <f>+IF(W762&gt;W761,AK762,AL761+AK762)</f>
      </c>
      <c r="AM762" s="217">
        <f>IF(W762&gt;W761,IF(AL762&gt;=$AZ$8,$AZ$8,AL762),IF(OR(AM761=$AZ$8,AM761=0),0,IF(AL762&gt;=$AZ$8,$AZ$8,AL762)))</f>
      </c>
      <c r="AN762" s="748">
        <f>+IF(OR(AM762&gt;AZ761,AM762=0),0,IF(AM762=AL762,AK762,$AZ$7-AL761))</f>
      </c>
      <c r="AO762" s="748">
        <f>+AK762-AN762</f>
      </c>
      <c r="AP762" s="217">
        <f>+_xlfn.IFNA(VLOOKUP(AJ762,$AF$7:$AI$1066,3,0),0)</f>
      </c>
      <c r="AQ762" s="217">
        <f>+IF(W762&gt;W761,AP762,AQ761+AP762)</f>
      </c>
      <c r="AR762" s="217">
        <f>+MAX($AM$2-SUMIF($W$7:$W$1066,W762,$AN$7:$AN$1066),0)</f>
      </c>
      <c r="AS762" s="748">
        <f>+MAX(IF(AQ762&gt;AR762,AR762-AQ761,AP762),0)</f>
      </c>
      <c r="AT762" s="748">
        <f>+AP762-AS762</f>
      </c>
      <c r="AU762" s="217">
        <f>+_xlfn.IFNA(VLOOKUP(AJ762,$AF$7:$AI$1066,4,0),0)</f>
      </c>
      <c r="AV762" s="217">
        <f>+IF(W762&gt;W761,AU762,AV761+AU762)</f>
      </c>
      <c r="AW762" s="217">
        <f>+MAX($AM$2-SUMIF($W$7:$W$1066,W762,$AN$7:$AN$1066)-SUMIF($W$7:$W$1066,W762,$AS$7:$AS$1066),0)</f>
      </c>
      <c r="AX762" s="748">
        <f>+MAX(IF(AV762&gt;AW762,AW762-AV761,AU762),0)</f>
      </c>
      <c r="AY762" s="748">
        <f>+AU762-AX762</f>
      </c>
      <c r="AZ762" s="331">
        <f>+$AM$1+IF($AP$1&gt;$AP$2,$AM$3/2)</f>
      </c>
    </row>
    <row x14ac:dyDescent="0.25" r="763" customHeight="1" ht="18.75">
      <c r="A763" s="1"/>
      <c r="B763" s="7"/>
      <c r="C763" s="170"/>
      <c r="D763" s="331">
        <v>756</v>
      </c>
      <c r="E763" s="544">
        <f>+DATE(YEAR(E762),MONTH(E762)-1,DAY(E762))</f>
        <v>25569.041666666668</v>
      </c>
      <c r="F763" s="333">
        <f>IF(DATE(YEAR($B$6),MONTH($B$6)+1,DAY(1))=E763,1,IF(MONTH(E763)=1,F764*(1+$F$5),F764))</f>
      </c>
      <c r="G763" s="333">
        <f>IF('Simulador - 1º Pilar'!$E$99="Sí",IF('Aportaciones PPE'!$B$13&lt;'Aportaciones PPE'!E763,0,F763*$B$8/12),F763*$B$8/12)</f>
      </c>
      <c r="H763" s="333">
        <f>$H$5*G763</f>
      </c>
      <c r="I763" s="333">
        <f>$I$5*G763</f>
      </c>
      <c r="J763" s="333">
        <f>+I763</f>
      </c>
      <c r="K763" s="333">
        <f>(1+$O$5)^(D763/12)*(H763+IF(AND(F763=1,F764=0),$S$4,0))</f>
      </c>
      <c r="L763" s="333">
        <f>(1+$O$5)^(D763/12)*(I763+IF(AND(F763=1,F764=0),0))</f>
      </c>
      <c r="M763" s="333">
        <f>+L763</f>
      </c>
      <c r="N763" s="333">
        <f>L763+K763+M763</f>
      </c>
      <c r="O763" s="170"/>
      <c r="P763" s="7"/>
      <c r="Q763" s="1"/>
      <c r="R763" s="331">
        <f>D763</f>
      </c>
      <c r="S763" s="169"/>
      <c r="T763" s="1"/>
      <c r="U763" s="217"/>
      <c r="V763" s="331">
        <f>+IF(V762=11,12,IF(V762=12,1,V762+1))</f>
      </c>
      <c r="W763" s="331">
        <f>+W762+IF(V762=12,1,0)</f>
      </c>
      <c r="X763" s="555">
        <f>+DATE(W763,V763,1)</f>
        <v>25569.041666666668</v>
      </c>
      <c r="Y763" s="333">
        <f>+_xlfn.IFNA(AN763+AS763+AX763,0)</f>
      </c>
      <c r="Z763" s="333">
        <f>+_xlfn.IFNA(AO763+AT763+AY763,0)</f>
      </c>
      <c r="AA763" s="333">
        <f>Y763*(1+$O$5)^(($B$7-X763)/365.25)</f>
      </c>
      <c r="AB763" s="333">
        <f>Z763*(1+$O$5)^(($B$7-X763)/365.25)</f>
      </c>
      <c r="AC763" s="1"/>
      <c r="AD763" s="1"/>
      <c r="AE763" s="1"/>
      <c r="AF763" s="111">
        <f>+MONTH(E763)&amp;YEAR(E763)</f>
      </c>
      <c r="AG763" s="217">
        <f>+I763</f>
      </c>
      <c r="AH763" s="217">
        <f>+J763</f>
      </c>
      <c r="AI763" s="217">
        <f>+H763</f>
      </c>
      <c r="AJ763" s="111">
        <f>+V763&amp;W763</f>
      </c>
      <c r="AK763" s="217">
        <f>+_xlfn.IFNA(VLOOKUP(AJ763,$AF$7:$AG$1066,2,0),0)</f>
      </c>
      <c r="AL763" s="217">
        <f>+IF(W763&gt;W762,AK763,AL762+AK763)</f>
      </c>
      <c r="AM763" s="217">
        <f>IF(W763&gt;W762,IF(AL763&gt;=$AZ$8,$AZ$8,AL763),IF(OR(AM762=$AZ$8,AM762=0),0,IF(AL763&gt;=$AZ$8,$AZ$8,AL763)))</f>
      </c>
      <c r="AN763" s="748">
        <f>+IF(OR(AM763&gt;AZ762,AM763=0),0,IF(AM763=AL763,AK763,$AZ$7-AL762))</f>
      </c>
      <c r="AO763" s="748">
        <f>+AK763-AN763</f>
      </c>
      <c r="AP763" s="217">
        <f>+_xlfn.IFNA(VLOOKUP(AJ763,$AF$7:$AI$1066,3,0),0)</f>
      </c>
      <c r="AQ763" s="217">
        <f>+IF(W763&gt;W762,AP763,AQ762+AP763)</f>
      </c>
      <c r="AR763" s="217">
        <f>+MAX($AM$2-SUMIF($W$7:$W$1066,W763,$AN$7:$AN$1066),0)</f>
      </c>
      <c r="AS763" s="748">
        <f>+MAX(IF(AQ763&gt;AR763,AR763-AQ762,AP763),0)</f>
      </c>
      <c r="AT763" s="748">
        <f>+AP763-AS763</f>
      </c>
      <c r="AU763" s="217">
        <f>+_xlfn.IFNA(VLOOKUP(AJ763,$AF$7:$AI$1066,4,0),0)</f>
      </c>
      <c r="AV763" s="217">
        <f>+IF(W763&gt;W762,AU763,AV762+AU763)</f>
      </c>
      <c r="AW763" s="217">
        <f>+MAX($AM$2-SUMIF($W$7:$W$1066,W763,$AN$7:$AN$1066)-SUMIF($W$7:$W$1066,W763,$AS$7:$AS$1066),0)</f>
      </c>
      <c r="AX763" s="748">
        <f>+MAX(IF(AV763&gt;AW763,AW763-AV762,AU763),0)</f>
      </c>
      <c r="AY763" s="748">
        <f>+AU763-AX763</f>
      </c>
      <c r="AZ763" s="331">
        <f>+$AM$1+IF($AP$1&gt;$AP$2,$AM$3/2)</f>
      </c>
    </row>
    <row x14ac:dyDescent="0.25" r="764" customHeight="1" ht="18.75">
      <c r="A764" s="1"/>
      <c r="B764" s="7"/>
      <c r="C764" s="170"/>
      <c r="D764" s="331">
        <v>757</v>
      </c>
      <c r="E764" s="544">
        <f>+DATE(YEAR(E763),MONTH(E763)-1,DAY(E763))</f>
        <v>25569.041666666668</v>
      </c>
      <c r="F764" s="333">
        <f>IF(DATE(YEAR($B$6),MONTH($B$6)+1,DAY(1))=E764,1,IF(MONTH(E764)=1,F765*(1+$F$5),F765))</f>
      </c>
      <c r="G764" s="333">
        <f>IF('Simulador - 1º Pilar'!$E$99="Sí",IF('Aportaciones PPE'!$B$13&lt;'Aportaciones PPE'!E764,0,F764*$B$8/12),F764*$B$8/12)</f>
      </c>
      <c r="H764" s="333">
        <f>$H$5*G764</f>
      </c>
      <c r="I764" s="333">
        <f>$I$5*G764</f>
      </c>
      <c r="J764" s="333">
        <f>+I764</f>
      </c>
      <c r="K764" s="333">
        <f>(1+$O$5)^(D764/12)*(H764+IF(AND(F764=1,F765=0),$S$4,0))</f>
      </c>
      <c r="L764" s="333">
        <f>(1+$O$5)^(D764/12)*(I764+IF(AND(F764=1,F765=0),0))</f>
      </c>
      <c r="M764" s="333">
        <f>+L764</f>
      </c>
      <c r="N764" s="333">
        <f>L764+K764+M764</f>
      </c>
      <c r="O764" s="170"/>
      <c r="P764" s="7"/>
      <c r="Q764" s="1"/>
      <c r="R764" s="331">
        <f>D764</f>
      </c>
      <c r="S764" s="169"/>
      <c r="T764" s="1"/>
      <c r="U764" s="217"/>
      <c r="V764" s="331">
        <f>+IF(V763=11,12,IF(V763=12,1,V763+1))</f>
      </c>
      <c r="W764" s="331">
        <f>+W763+IF(V763=12,1,0)</f>
      </c>
      <c r="X764" s="555">
        <f>+DATE(W764,V764,1)</f>
        <v>25569.041666666668</v>
      </c>
      <c r="Y764" s="333">
        <f>+_xlfn.IFNA(AN764+AS764+AX764,0)</f>
      </c>
      <c r="Z764" s="333">
        <f>+_xlfn.IFNA(AO764+AT764+AY764,0)</f>
      </c>
      <c r="AA764" s="333">
        <f>Y764*(1+$O$5)^(($B$7-X764)/365.25)</f>
      </c>
      <c r="AB764" s="333">
        <f>Z764*(1+$O$5)^(($B$7-X764)/365.25)</f>
      </c>
      <c r="AC764" s="1"/>
      <c r="AD764" s="1"/>
      <c r="AE764" s="1"/>
      <c r="AF764" s="111">
        <f>+MONTH(E764)&amp;YEAR(E764)</f>
      </c>
      <c r="AG764" s="217">
        <f>+I764</f>
      </c>
      <c r="AH764" s="217">
        <f>+J764</f>
      </c>
      <c r="AI764" s="217">
        <f>+H764</f>
      </c>
      <c r="AJ764" s="111">
        <f>+V764&amp;W764</f>
      </c>
      <c r="AK764" s="217">
        <f>+_xlfn.IFNA(VLOOKUP(AJ764,$AF$7:$AG$1066,2,0),0)</f>
      </c>
      <c r="AL764" s="217">
        <f>+IF(W764&gt;W763,AK764,AL763+AK764)</f>
      </c>
      <c r="AM764" s="217">
        <f>IF(W764&gt;W763,IF(AL764&gt;=$AZ$8,$AZ$8,AL764),IF(OR(AM763=$AZ$8,AM763=0),0,IF(AL764&gt;=$AZ$8,$AZ$8,AL764)))</f>
      </c>
      <c r="AN764" s="748">
        <f>+IF(OR(AM764&gt;AZ763,AM764=0),0,IF(AM764=AL764,AK764,$AZ$7-AL763))</f>
      </c>
      <c r="AO764" s="748">
        <f>+AK764-AN764</f>
      </c>
      <c r="AP764" s="217">
        <f>+_xlfn.IFNA(VLOOKUP(AJ764,$AF$7:$AI$1066,3,0),0)</f>
      </c>
      <c r="AQ764" s="217">
        <f>+IF(W764&gt;W763,AP764,AQ763+AP764)</f>
      </c>
      <c r="AR764" s="217">
        <f>+MAX($AM$2-SUMIF($W$7:$W$1066,W764,$AN$7:$AN$1066),0)</f>
      </c>
      <c r="AS764" s="748">
        <f>+MAX(IF(AQ764&gt;AR764,AR764-AQ763,AP764),0)</f>
      </c>
      <c r="AT764" s="748">
        <f>+AP764-AS764</f>
      </c>
      <c r="AU764" s="217">
        <f>+_xlfn.IFNA(VLOOKUP(AJ764,$AF$7:$AI$1066,4,0),0)</f>
      </c>
      <c r="AV764" s="217">
        <f>+IF(W764&gt;W763,AU764,AV763+AU764)</f>
      </c>
      <c r="AW764" s="217">
        <f>+MAX($AM$2-SUMIF($W$7:$W$1066,W764,$AN$7:$AN$1066)-SUMIF($W$7:$W$1066,W764,$AS$7:$AS$1066),0)</f>
      </c>
      <c r="AX764" s="748">
        <f>+MAX(IF(AV764&gt;AW764,AW764-AV763,AU764),0)</f>
      </c>
      <c r="AY764" s="748">
        <f>+AU764-AX764</f>
      </c>
      <c r="AZ764" s="331">
        <f>+$AM$1+IF($AP$1&gt;$AP$2,$AM$3/2)</f>
      </c>
    </row>
    <row x14ac:dyDescent="0.25" r="765" customHeight="1" ht="18.75">
      <c r="A765" s="1"/>
      <c r="B765" s="7"/>
      <c r="C765" s="170"/>
      <c r="D765" s="331">
        <v>758</v>
      </c>
      <c r="E765" s="544">
        <f>+DATE(YEAR(E764),MONTH(E764)-1,DAY(E764))</f>
        <v>25569.041666666668</v>
      </c>
      <c r="F765" s="333">
        <f>IF(DATE(YEAR($B$6),MONTH($B$6)+1,DAY(1))=E765,1,IF(MONTH(E765)=1,F766*(1+$F$5),F766))</f>
      </c>
      <c r="G765" s="333">
        <f>IF('Simulador - 1º Pilar'!$E$99="Sí",IF('Aportaciones PPE'!$B$13&lt;'Aportaciones PPE'!E765,0,F765*$B$8/12),F765*$B$8/12)</f>
      </c>
      <c r="H765" s="333">
        <f>$H$5*G765</f>
      </c>
      <c r="I765" s="333">
        <f>$I$5*G765</f>
      </c>
      <c r="J765" s="333">
        <f>+I765</f>
      </c>
      <c r="K765" s="333">
        <f>(1+$O$5)^(D765/12)*(H765+IF(AND(F765=1,F766=0),$S$4,0))</f>
      </c>
      <c r="L765" s="333">
        <f>(1+$O$5)^(D765/12)*(I765+IF(AND(F765=1,F766=0),0))</f>
      </c>
      <c r="M765" s="333">
        <f>+L765</f>
      </c>
      <c r="N765" s="333">
        <f>L765+K765+M765</f>
      </c>
      <c r="O765" s="170"/>
      <c r="P765" s="7"/>
      <c r="Q765" s="1"/>
      <c r="R765" s="331">
        <f>D765</f>
      </c>
      <c r="S765" s="169"/>
      <c r="T765" s="1"/>
      <c r="U765" s="217"/>
      <c r="V765" s="331">
        <f>+IF(V764=11,12,IF(V764=12,1,V764+1))</f>
      </c>
      <c r="W765" s="331">
        <f>+W764+IF(V764=12,1,0)</f>
      </c>
      <c r="X765" s="555">
        <f>+DATE(W765,V765,1)</f>
        <v>25569.041666666668</v>
      </c>
      <c r="Y765" s="333">
        <f>+_xlfn.IFNA(AN765+AS765+AX765,0)</f>
      </c>
      <c r="Z765" s="333">
        <f>+_xlfn.IFNA(AO765+AT765+AY765,0)</f>
      </c>
      <c r="AA765" s="333">
        <f>Y765*(1+$O$5)^(($B$7-X765)/365.25)</f>
      </c>
      <c r="AB765" s="333">
        <f>Z765*(1+$O$5)^(($B$7-X765)/365.25)</f>
      </c>
      <c r="AC765" s="1"/>
      <c r="AD765" s="1"/>
      <c r="AE765" s="1"/>
      <c r="AF765" s="111">
        <f>+MONTH(E765)&amp;YEAR(E765)</f>
      </c>
      <c r="AG765" s="217">
        <f>+I765</f>
      </c>
      <c r="AH765" s="217">
        <f>+J765</f>
      </c>
      <c r="AI765" s="217">
        <f>+H765</f>
      </c>
      <c r="AJ765" s="111">
        <f>+V765&amp;W765</f>
      </c>
      <c r="AK765" s="217">
        <f>+_xlfn.IFNA(VLOOKUP(AJ765,$AF$7:$AG$1066,2,0),0)</f>
      </c>
      <c r="AL765" s="217">
        <f>+IF(W765&gt;W764,AK765,AL764+AK765)</f>
      </c>
      <c r="AM765" s="217">
        <f>IF(W765&gt;W764,IF(AL765&gt;=$AZ$8,$AZ$8,AL765),IF(OR(AM764=$AZ$8,AM764=0),0,IF(AL765&gt;=$AZ$8,$AZ$8,AL765)))</f>
      </c>
      <c r="AN765" s="748">
        <f>+IF(OR(AM765&gt;AZ764,AM765=0),0,IF(AM765=AL765,AK765,$AZ$7-AL764))</f>
      </c>
      <c r="AO765" s="748">
        <f>+AK765-AN765</f>
      </c>
      <c r="AP765" s="217">
        <f>+_xlfn.IFNA(VLOOKUP(AJ765,$AF$7:$AI$1066,3,0),0)</f>
      </c>
      <c r="AQ765" s="217">
        <f>+IF(W765&gt;W764,AP765,AQ764+AP765)</f>
      </c>
      <c r="AR765" s="217">
        <f>+MAX($AM$2-SUMIF($W$7:$W$1066,W765,$AN$7:$AN$1066),0)</f>
      </c>
      <c r="AS765" s="748">
        <f>+MAX(IF(AQ765&gt;AR765,AR765-AQ764,AP765),0)</f>
      </c>
      <c r="AT765" s="748">
        <f>+AP765-AS765</f>
      </c>
      <c r="AU765" s="217">
        <f>+_xlfn.IFNA(VLOOKUP(AJ765,$AF$7:$AI$1066,4,0),0)</f>
      </c>
      <c r="AV765" s="217">
        <f>+IF(W765&gt;W764,AU765,AV764+AU765)</f>
      </c>
      <c r="AW765" s="217">
        <f>+MAX($AM$2-SUMIF($W$7:$W$1066,W765,$AN$7:$AN$1066)-SUMIF($W$7:$W$1066,W765,$AS$7:$AS$1066),0)</f>
      </c>
      <c r="AX765" s="748">
        <f>+MAX(IF(AV765&gt;AW765,AW765-AV764,AU765),0)</f>
      </c>
      <c r="AY765" s="748">
        <f>+AU765-AX765</f>
      </c>
      <c r="AZ765" s="331">
        <f>+$AM$1+IF($AP$1&gt;$AP$2,$AM$3/2)</f>
      </c>
    </row>
    <row x14ac:dyDescent="0.25" r="766" customHeight="1" ht="18.75">
      <c r="A766" s="1"/>
      <c r="B766" s="7"/>
      <c r="C766" s="170"/>
      <c r="D766" s="331">
        <v>759</v>
      </c>
      <c r="E766" s="544">
        <f>+DATE(YEAR(E765),MONTH(E765)-1,DAY(E765))</f>
        <v>25569.041666666668</v>
      </c>
      <c r="F766" s="333">
        <f>IF(DATE(YEAR($B$6),MONTH($B$6)+1,DAY(1))=E766,1,IF(MONTH(E766)=1,F767*(1+$F$5),F767))</f>
      </c>
      <c r="G766" s="333">
        <f>IF('Simulador - 1º Pilar'!$E$99="Sí",IF('Aportaciones PPE'!$B$13&lt;'Aportaciones PPE'!E766,0,F766*$B$8/12),F766*$B$8/12)</f>
      </c>
      <c r="H766" s="333">
        <f>$H$5*G766</f>
      </c>
      <c r="I766" s="333">
        <f>$I$5*G766</f>
      </c>
      <c r="J766" s="333">
        <f>+I766</f>
      </c>
      <c r="K766" s="333">
        <f>(1+$O$5)^(D766/12)*(H766+IF(AND(F766=1,F767=0),$S$4,0))</f>
      </c>
      <c r="L766" s="333">
        <f>(1+$O$5)^(D766/12)*(I766+IF(AND(F766=1,F767=0),0))</f>
      </c>
      <c r="M766" s="333">
        <f>+L766</f>
      </c>
      <c r="N766" s="333">
        <f>L766+K766+M766</f>
      </c>
      <c r="O766" s="170"/>
      <c r="P766" s="7"/>
      <c r="Q766" s="1"/>
      <c r="R766" s="331">
        <f>D766</f>
      </c>
      <c r="S766" s="169"/>
      <c r="T766" s="1"/>
      <c r="U766" s="217"/>
      <c r="V766" s="331">
        <f>+IF(V765=11,12,IF(V765=12,1,V765+1))</f>
      </c>
      <c r="W766" s="331">
        <f>+W765+IF(V765=12,1,0)</f>
      </c>
      <c r="X766" s="555">
        <f>+DATE(W766,V766,1)</f>
        <v>25569.041666666668</v>
      </c>
      <c r="Y766" s="333">
        <f>+_xlfn.IFNA(AN766+AS766+AX766,0)</f>
      </c>
      <c r="Z766" s="333">
        <f>+_xlfn.IFNA(AO766+AT766+AY766,0)</f>
      </c>
      <c r="AA766" s="333">
        <f>Y766*(1+$O$5)^(($B$7-X766)/365.25)</f>
      </c>
      <c r="AB766" s="333">
        <f>Z766*(1+$O$5)^(($B$7-X766)/365.25)</f>
      </c>
      <c r="AC766" s="1"/>
      <c r="AD766" s="1"/>
      <c r="AE766" s="1"/>
      <c r="AF766" s="111">
        <f>+MONTH(E766)&amp;YEAR(E766)</f>
      </c>
      <c r="AG766" s="217">
        <f>+I766</f>
      </c>
      <c r="AH766" s="217">
        <f>+J766</f>
      </c>
      <c r="AI766" s="217">
        <f>+H766</f>
      </c>
      <c r="AJ766" s="111">
        <f>+V766&amp;W766</f>
      </c>
      <c r="AK766" s="217">
        <f>+_xlfn.IFNA(VLOOKUP(AJ766,$AF$7:$AG$1066,2,0),0)</f>
      </c>
      <c r="AL766" s="217">
        <f>+IF(W766&gt;W765,AK766,AL765+AK766)</f>
      </c>
      <c r="AM766" s="217">
        <f>IF(W766&gt;W765,IF(AL766&gt;=$AZ$8,$AZ$8,AL766),IF(OR(AM765=$AZ$8,AM765=0),0,IF(AL766&gt;=$AZ$8,$AZ$8,AL766)))</f>
      </c>
      <c r="AN766" s="748">
        <f>+IF(OR(AM766&gt;AZ765,AM766=0),0,IF(AM766=AL766,AK766,$AZ$7-AL765))</f>
      </c>
      <c r="AO766" s="748">
        <f>+AK766-AN766</f>
      </c>
      <c r="AP766" s="217">
        <f>+_xlfn.IFNA(VLOOKUP(AJ766,$AF$7:$AI$1066,3,0),0)</f>
      </c>
      <c r="AQ766" s="217">
        <f>+IF(W766&gt;W765,AP766,AQ765+AP766)</f>
      </c>
      <c r="AR766" s="217">
        <f>+MAX($AM$2-SUMIF($W$7:$W$1066,W766,$AN$7:$AN$1066),0)</f>
      </c>
      <c r="AS766" s="748">
        <f>+MAX(IF(AQ766&gt;AR766,AR766-AQ765,AP766),0)</f>
      </c>
      <c r="AT766" s="748">
        <f>+AP766-AS766</f>
      </c>
      <c r="AU766" s="217">
        <f>+_xlfn.IFNA(VLOOKUP(AJ766,$AF$7:$AI$1066,4,0),0)</f>
      </c>
      <c r="AV766" s="217">
        <f>+IF(W766&gt;W765,AU766,AV765+AU766)</f>
      </c>
      <c r="AW766" s="217">
        <f>+MAX($AM$2-SUMIF($W$7:$W$1066,W766,$AN$7:$AN$1066)-SUMIF($W$7:$W$1066,W766,$AS$7:$AS$1066),0)</f>
      </c>
      <c r="AX766" s="748">
        <f>+MAX(IF(AV766&gt;AW766,AW766-AV765,AU766),0)</f>
      </c>
      <c r="AY766" s="748">
        <f>+AU766-AX766</f>
      </c>
      <c r="AZ766" s="331">
        <f>+$AM$1+IF($AP$1&gt;$AP$2,$AM$3/2)</f>
      </c>
    </row>
    <row x14ac:dyDescent="0.25" r="767" customHeight="1" ht="18.75">
      <c r="A767" s="1"/>
      <c r="B767" s="7"/>
      <c r="C767" s="170"/>
      <c r="D767" s="331">
        <v>760</v>
      </c>
      <c r="E767" s="544">
        <f>+DATE(YEAR(E766),MONTH(E766)-1,DAY(E766))</f>
        <v>25569.041666666668</v>
      </c>
      <c r="F767" s="333">
        <f>IF(DATE(YEAR($B$6),MONTH($B$6)+1,DAY(1))=E767,1,IF(MONTH(E767)=1,F768*(1+$F$5),F768))</f>
      </c>
      <c r="G767" s="333">
        <f>IF('Simulador - 1º Pilar'!$E$99="Sí",IF('Aportaciones PPE'!$B$13&lt;'Aportaciones PPE'!E767,0,F767*$B$8/12),F767*$B$8/12)</f>
      </c>
      <c r="H767" s="333">
        <f>$H$5*G767</f>
      </c>
      <c r="I767" s="333">
        <f>$I$5*G767</f>
      </c>
      <c r="J767" s="333">
        <f>+I767</f>
      </c>
      <c r="K767" s="333">
        <f>(1+$O$5)^(D767/12)*(H767+IF(AND(F767=1,F768=0),$S$4,0))</f>
      </c>
      <c r="L767" s="333">
        <f>(1+$O$5)^(D767/12)*(I767+IF(AND(F767=1,F768=0),0))</f>
      </c>
      <c r="M767" s="333">
        <f>+L767</f>
      </c>
      <c r="N767" s="333">
        <f>L767+K767+M767</f>
      </c>
      <c r="O767" s="170"/>
      <c r="P767" s="7"/>
      <c r="Q767" s="1"/>
      <c r="R767" s="331">
        <f>D767</f>
      </c>
      <c r="S767" s="169"/>
      <c r="T767" s="1"/>
      <c r="U767" s="217"/>
      <c r="V767" s="331">
        <f>+IF(V766=11,12,IF(V766=12,1,V766+1))</f>
      </c>
      <c r="W767" s="331">
        <f>+W766+IF(V766=12,1,0)</f>
      </c>
      <c r="X767" s="555">
        <f>+DATE(W767,V767,1)</f>
        <v>25569.041666666668</v>
      </c>
      <c r="Y767" s="333">
        <f>+_xlfn.IFNA(AN767+AS767+AX767,0)</f>
      </c>
      <c r="Z767" s="333">
        <f>+_xlfn.IFNA(AO767+AT767+AY767,0)</f>
      </c>
      <c r="AA767" s="333">
        <f>Y767*(1+$O$5)^(($B$7-X767)/365.25)</f>
      </c>
      <c r="AB767" s="333">
        <f>Z767*(1+$O$5)^(($B$7-X767)/365.25)</f>
      </c>
      <c r="AC767" s="1"/>
      <c r="AD767" s="1"/>
      <c r="AE767" s="1"/>
      <c r="AF767" s="111">
        <f>+MONTH(E767)&amp;YEAR(E767)</f>
      </c>
      <c r="AG767" s="217">
        <f>+I767</f>
      </c>
      <c r="AH767" s="217">
        <f>+J767</f>
      </c>
      <c r="AI767" s="217">
        <f>+H767</f>
      </c>
      <c r="AJ767" s="111">
        <f>+V767&amp;W767</f>
      </c>
      <c r="AK767" s="217">
        <f>+_xlfn.IFNA(VLOOKUP(AJ767,$AF$7:$AG$1066,2,0),0)</f>
      </c>
      <c r="AL767" s="217">
        <f>+IF(W767&gt;W766,AK767,AL766+AK767)</f>
      </c>
      <c r="AM767" s="217">
        <f>IF(W767&gt;W766,IF(AL767&gt;=$AZ$8,$AZ$8,AL767),IF(OR(AM766=$AZ$8,AM766=0),0,IF(AL767&gt;=$AZ$8,$AZ$8,AL767)))</f>
      </c>
      <c r="AN767" s="748">
        <f>+IF(OR(AM767&gt;AZ766,AM767=0),0,IF(AM767=AL767,AK767,$AZ$7-AL766))</f>
      </c>
      <c r="AO767" s="748">
        <f>+AK767-AN767</f>
      </c>
      <c r="AP767" s="217">
        <f>+_xlfn.IFNA(VLOOKUP(AJ767,$AF$7:$AI$1066,3,0),0)</f>
      </c>
      <c r="AQ767" s="217">
        <f>+IF(W767&gt;W766,AP767,AQ766+AP767)</f>
      </c>
      <c r="AR767" s="217">
        <f>+MAX($AM$2-SUMIF($W$7:$W$1066,W767,$AN$7:$AN$1066),0)</f>
      </c>
      <c r="AS767" s="748">
        <f>+MAX(IF(AQ767&gt;AR767,AR767-AQ766,AP767),0)</f>
      </c>
      <c r="AT767" s="748">
        <f>+AP767-AS767</f>
      </c>
      <c r="AU767" s="217">
        <f>+_xlfn.IFNA(VLOOKUP(AJ767,$AF$7:$AI$1066,4,0),0)</f>
      </c>
      <c r="AV767" s="217">
        <f>+IF(W767&gt;W766,AU767,AV766+AU767)</f>
      </c>
      <c r="AW767" s="217">
        <f>+MAX($AM$2-SUMIF($W$7:$W$1066,W767,$AN$7:$AN$1066)-SUMIF($W$7:$W$1066,W767,$AS$7:$AS$1066),0)</f>
      </c>
      <c r="AX767" s="748">
        <f>+MAX(IF(AV767&gt;AW767,AW767-AV766,AU767),0)</f>
      </c>
      <c r="AY767" s="748">
        <f>+AU767-AX767</f>
      </c>
      <c r="AZ767" s="331">
        <f>+$AM$1+IF($AP$1&gt;$AP$2,$AM$3/2)</f>
      </c>
    </row>
    <row x14ac:dyDescent="0.25" r="768" customHeight="1" ht="18.75">
      <c r="A768" s="1"/>
      <c r="B768" s="7"/>
      <c r="C768" s="170"/>
      <c r="D768" s="331">
        <v>761</v>
      </c>
      <c r="E768" s="544">
        <f>+DATE(YEAR(E767),MONTH(E767)-1,DAY(E767))</f>
        <v>25569.041666666668</v>
      </c>
      <c r="F768" s="333">
        <f>IF(DATE(YEAR($B$6),MONTH($B$6)+1,DAY(1))=E768,1,IF(MONTH(E768)=1,F769*(1+$F$5),F769))</f>
      </c>
      <c r="G768" s="333">
        <f>IF('Simulador - 1º Pilar'!$E$99="Sí",IF('Aportaciones PPE'!$B$13&lt;'Aportaciones PPE'!E768,0,F768*$B$8/12),F768*$B$8/12)</f>
      </c>
      <c r="H768" s="333">
        <f>$H$5*G768</f>
      </c>
      <c r="I768" s="333">
        <f>$I$5*G768</f>
      </c>
      <c r="J768" s="333">
        <f>+I768</f>
      </c>
      <c r="K768" s="333">
        <f>(1+$O$5)^(D768/12)*(H768+IF(AND(F768=1,F769=0),$S$4,0))</f>
      </c>
      <c r="L768" s="333">
        <f>(1+$O$5)^(D768/12)*(I768+IF(AND(F768=1,F769=0),0))</f>
      </c>
      <c r="M768" s="333">
        <f>+L768</f>
      </c>
      <c r="N768" s="333">
        <f>L768+K768+M768</f>
      </c>
      <c r="O768" s="170"/>
      <c r="P768" s="7"/>
      <c r="Q768" s="1"/>
      <c r="R768" s="331">
        <f>D768</f>
      </c>
      <c r="S768" s="169"/>
      <c r="T768" s="1"/>
      <c r="U768" s="217"/>
      <c r="V768" s="331">
        <f>+IF(V767=11,12,IF(V767=12,1,V767+1))</f>
      </c>
      <c r="W768" s="331">
        <f>+W767+IF(V767=12,1,0)</f>
      </c>
      <c r="X768" s="555">
        <f>+DATE(W768,V768,1)</f>
        <v>25569.041666666668</v>
      </c>
      <c r="Y768" s="333">
        <f>+_xlfn.IFNA(AN768+AS768+AX768,0)</f>
      </c>
      <c r="Z768" s="333">
        <f>+_xlfn.IFNA(AO768+AT768+AY768,0)</f>
      </c>
      <c r="AA768" s="333">
        <f>Y768*(1+$O$5)^(($B$7-X768)/365.25)</f>
      </c>
      <c r="AB768" s="333">
        <f>Z768*(1+$O$5)^(($B$7-X768)/365.25)</f>
      </c>
      <c r="AC768" s="1"/>
      <c r="AD768" s="1"/>
      <c r="AE768" s="1"/>
      <c r="AF768" s="111">
        <f>+MONTH(E768)&amp;YEAR(E768)</f>
      </c>
      <c r="AG768" s="217">
        <f>+I768</f>
      </c>
      <c r="AH768" s="217">
        <f>+J768</f>
      </c>
      <c r="AI768" s="217">
        <f>+H768</f>
      </c>
      <c r="AJ768" s="111">
        <f>+V768&amp;W768</f>
      </c>
      <c r="AK768" s="217">
        <f>+_xlfn.IFNA(VLOOKUP(AJ768,$AF$7:$AG$1066,2,0),0)</f>
      </c>
      <c r="AL768" s="217">
        <f>+IF(W768&gt;W767,AK768,AL767+AK768)</f>
      </c>
      <c r="AM768" s="217">
        <f>IF(W768&gt;W767,IF(AL768&gt;=$AZ$8,$AZ$8,AL768),IF(OR(AM767=$AZ$8,AM767=0),0,IF(AL768&gt;=$AZ$8,$AZ$8,AL768)))</f>
      </c>
      <c r="AN768" s="748">
        <f>+IF(OR(AM768&gt;AZ767,AM768=0),0,IF(AM768=AL768,AK768,$AZ$7-AL767))</f>
      </c>
      <c r="AO768" s="748">
        <f>+AK768-AN768</f>
      </c>
      <c r="AP768" s="217">
        <f>+_xlfn.IFNA(VLOOKUP(AJ768,$AF$7:$AI$1066,3,0),0)</f>
      </c>
      <c r="AQ768" s="217">
        <f>+IF(W768&gt;W767,AP768,AQ767+AP768)</f>
      </c>
      <c r="AR768" s="217">
        <f>+MAX($AM$2-SUMIF($W$7:$W$1066,W768,$AN$7:$AN$1066),0)</f>
      </c>
      <c r="AS768" s="748">
        <f>+MAX(IF(AQ768&gt;AR768,AR768-AQ767,AP768),0)</f>
      </c>
      <c r="AT768" s="748">
        <f>+AP768-AS768</f>
      </c>
      <c r="AU768" s="217">
        <f>+_xlfn.IFNA(VLOOKUP(AJ768,$AF$7:$AI$1066,4,0),0)</f>
      </c>
      <c r="AV768" s="217">
        <f>+IF(W768&gt;W767,AU768,AV767+AU768)</f>
      </c>
      <c r="AW768" s="217">
        <f>+MAX($AM$2-SUMIF($W$7:$W$1066,W768,$AN$7:$AN$1066)-SUMIF($W$7:$W$1066,W768,$AS$7:$AS$1066),0)</f>
      </c>
      <c r="AX768" s="748">
        <f>+MAX(IF(AV768&gt;AW768,AW768-AV767,AU768),0)</f>
      </c>
      <c r="AY768" s="748">
        <f>+AU768-AX768</f>
      </c>
      <c r="AZ768" s="331">
        <f>+$AM$1+IF($AP$1&gt;$AP$2,$AM$3/2)</f>
      </c>
    </row>
    <row x14ac:dyDescent="0.25" r="769" customHeight="1" ht="18.75">
      <c r="A769" s="1"/>
      <c r="B769" s="7"/>
      <c r="C769" s="170"/>
      <c r="D769" s="331">
        <v>762</v>
      </c>
      <c r="E769" s="544">
        <f>+DATE(YEAR(E768),MONTH(E768)-1,DAY(E768))</f>
        <v>25569.041666666668</v>
      </c>
      <c r="F769" s="333">
        <f>IF(DATE(YEAR($B$6),MONTH($B$6)+1,DAY(1))=E769,1,IF(MONTH(E769)=1,F770*(1+$F$5),F770))</f>
      </c>
      <c r="G769" s="333">
        <f>IF('Simulador - 1º Pilar'!$E$99="Sí",IF('Aportaciones PPE'!$B$13&lt;'Aportaciones PPE'!E769,0,F769*$B$8/12),F769*$B$8/12)</f>
      </c>
      <c r="H769" s="333">
        <f>$H$5*G769</f>
      </c>
      <c r="I769" s="333">
        <f>$I$5*G769</f>
      </c>
      <c r="J769" s="333">
        <f>+I769</f>
      </c>
      <c r="K769" s="333">
        <f>(1+$O$5)^(D769/12)*(H769+IF(AND(F769=1,F770=0),$S$4,0))</f>
      </c>
      <c r="L769" s="333">
        <f>(1+$O$5)^(D769/12)*(I769+IF(AND(F769=1,F770=0),0))</f>
      </c>
      <c r="M769" s="333">
        <f>+L769</f>
      </c>
      <c r="N769" s="333">
        <f>L769+K769+M769</f>
      </c>
      <c r="O769" s="170"/>
      <c r="P769" s="7"/>
      <c r="Q769" s="1"/>
      <c r="R769" s="331">
        <f>D769</f>
      </c>
      <c r="S769" s="169"/>
      <c r="T769" s="1"/>
      <c r="U769" s="217"/>
      <c r="V769" s="331">
        <f>+IF(V768=11,12,IF(V768=12,1,V768+1))</f>
      </c>
      <c r="W769" s="331">
        <f>+W768+IF(V768=12,1,0)</f>
      </c>
      <c r="X769" s="555">
        <f>+DATE(W769,V769,1)</f>
        <v>25569.041666666668</v>
      </c>
      <c r="Y769" s="333">
        <f>+_xlfn.IFNA(AN769+AS769+AX769,0)</f>
      </c>
      <c r="Z769" s="333">
        <f>+_xlfn.IFNA(AO769+AT769+AY769,0)</f>
      </c>
      <c r="AA769" s="333">
        <f>Y769*(1+$O$5)^(($B$7-X769)/365.25)</f>
      </c>
      <c r="AB769" s="333">
        <f>Z769*(1+$O$5)^(($B$7-X769)/365.25)</f>
      </c>
      <c r="AC769" s="1"/>
      <c r="AD769" s="1"/>
      <c r="AE769" s="1"/>
      <c r="AF769" s="111">
        <f>+MONTH(E769)&amp;YEAR(E769)</f>
      </c>
      <c r="AG769" s="217">
        <f>+I769</f>
      </c>
      <c r="AH769" s="217">
        <f>+J769</f>
      </c>
      <c r="AI769" s="217">
        <f>+H769</f>
      </c>
      <c r="AJ769" s="111">
        <f>+V769&amp;W769</f>
      </c>
      <c r="AK769" s="217">
        <f>+_xlfn.IFNA(VLOOKUP(AJ769,$AF$7:$AG$1066,2,0),0)</f>
      </c>
      <c r="AL769" s="217">
        <f>+IF(W769&gt;W768,AK769,AL768+AK769)</f>
      </c>
      <c r="AM769" s="217">
        <f>IF(W769&gt;W768,IF(AL769&gt;=$AZ$8,$AZ$8,AL769),IF(OR(AM768=$AZ$8,AM768=0),0,IF(AL769&gt;=$AZ$8,$AZ$8,AL769)))</f>
      </c>
      <c r="AN769" s="748">
        <f>+IF(OR(AM769&gt;AZ768,AM769=0),0,IF(AM769=AL769,AK769,$AZ$7-AL768))</f>
      </c>
      <c r="AO769" s="748">
        <f>+AK769-AN769</f>
      </c>
      <c r="AP769" s="217">
        <f>+_xlfn.IFNA(VLOOKUP(AJ769,$AF$7:$AI$1066,3,0),0)</f>
      </c>
      <c r="AQ769" s="217">
        <f>+IF(W769&gt;W768,AP769,AQ768+AP769)</f>
      </c>
      <c r="AR769" s="217">
        <f>+MAX($AM$2-SUMIF($W$7:$W$1066,W769,$AN$7:$AN$1066),0)</f>
      </c>
      <c r="AS769" s="748">
        <f>+MAX(IF(AQ769&gt;AR769,AR769-AQ768,AP769),0)</f>
      </c>
      <c r="AT769" s="748">
        <f>+AP769-AS769</f>
      </c>
      <c r="AU769" s="217">
        <f>+_xlfn.IFNA(VLOOKUP(AJ769,$AF$7:$AI$1066,4,0),0)</f>
      </c>
      <c r="AV769" s="217">
        <f>+IF(W769&gt;W768,AU769,AV768+AU769)</f>
      </c>
      <c r="AW769" s="217">
        <f>+MAX($AM$2-SUMIF($W$7:$W$1066,W769,$AN$7:$AN$1066)-SUMIF($W$7:$W$1066,W769,$AS$7:$AS$1066),0)</f>
      </c>
      <c r="AX769" s="748">
        <f>+MAX(IF(AV769&gt;AW769,AW769-AV768,AU769),0)</f>
      </c>
      <c r="AY769" s="748">
        <f>+AU769-AX769</f>
      </c>
      <c r="AZ769" s="331">
        <f>+$AM$1+IF($AP$1&gt;$AP$2,$AM$3/2)</f>
      </c>
    </row>
    <row x14ac:dyDescent="0.25" r="770" customHeight="1" ht="18.75">
      <c r="A770" s="1"/>
      <c r="B770" s="7"/>
      <c r="C770" s="170"/>
      <c r="D770" s="331">
        <v>763</v>
      </c>
      <c r="E770" s="544">
        <f>+DATE(YEAR(E769),MONTH(E769)-1,DAY(E769))</f>
        <v>25569.041666666668</v>
      </c>
      <c r="F770" s="333">
        <f>IF(DATE(YEAR($B$6),MONTH($B$6)+1,DAY(1))=E770,1,IF(MONTH(E770)=1,F771*(1+$F$5),F771))</f>
      </c>
      <c r="G770" s="333">
        <f>IF('Simulador - 1º Pilar'!$E$99="Sí",IF('Aportaciones PPE'!$B$13&lt;'Aportaciones PPE'!E770,0,F770*$B$8/12),F770*$B$8/12)</f>
      </c>
      <c r="H770" s="333">
        <f>$H$5*G770</f>
      </c>
      <c r="I770" s="333">
        <f>$I$5*G770</f>
      </c>
      <c r="J770" s="333">
        <f>+I770</f>
      </c>
      <c r="K770" s="333">
        <f>(1+$O$5)^(D770/12)*(H770+IF(AND(F770=1,F771=0),$S$4,0))</f>
      </c>
      <c r="L770" s="333">
        <f>(1+$O$5)^(D770/12)*(I770+IF(AND(F770=1,F771=0),0))</f>
      </c>
      <c r="M770" s="333">
        <f>+L770</f>
      </c>
      <c r="N770" s="333">
        <f>L770+K770+M770</f>
      </c>
      <c r="O770" s="170"/>
      <c r="P770" s="7"/>
      <c r="Q770" s="1"/>
      <c r="R770" s="331">
        <f>D770</f>
      </c>
      <c r="S770" s="169"/>
      <c r="T770" s="1"/>
      <c r="U770" s="217"/>
      <c r="V770" s="331">
        <f>+IF(V769=11,12,IF(V769=12,1,V769+1))</f>
      </c>
      <c r="W770" s="331">
        <f>+W769+IF(V769=12,1,0)</f>
      </c>
      <c r="X770" s="555">
        <f>+DATE(W770,V770,1)</f>
        <v>25569.041666666668</v>
      </c>
      <c r="Y770" s="333">
        <f>+_xlfn.IFNA(AN770+AS770+AX770,0)</f>
      </c>
      <c r="Z770" s="333">
        <f>+_xlfn.IFNA(AO770+AT770+AY770,0)</f>
      </c>
      <c r="AA770" s="333">
        <f>Y770*(1+$O$5)^(($B$7-X770)/365.25)</f>
      </c>
      <c r="AB770" s="333">
        <f>Z770*(1+$O$5)^(($B$7-X770)/365.25)</f>
      </c>
      <c r="AC770" s="1"/>
      <c r="AD770" s="1"/>
      <c r="AE770" s="1"/>
      <c r="AF770" s="111">
        <f>+MONTH(E770)&amp;YEAR(E770)</f>
      </c>
      <c r="AG770" s="217">
        <f>+I770</f>
      </c>
      <c r="AH770" s="217">
        <f>+J770</f>
      </c>
      <c r="AI770" s="217">
        <f>+H770</f>
      </c>
      <c r="AJ770" s="111">
        <f>+V770&amp;W770</f>
      </c>
      <c r="AK770" s="217">
        <f>+_xlfn.IFNA(VLOOKUP(AJ770,$AF$7:$AG$1066,2,0),0)</f>
      </c>
      <c r="AL770" s="217">
        <f>+IF(W770&gt;W769,AK770,AL769+AK770)</f>
      </c>
      <c r="AM770" s="217">
        <f>IF(W770&gt;W769,IF(AL770&gt;=$AZ$8,$AZ$8,AL770),IF(OR(AM769=$AZ$8,AM769=0),0,IF(AL770&gt;=$AZ$8,$AZ$8,AL770)))</f>
      </c>
      <c r="AN770" s="748">
        <f>+IF(OR(AM770&gt;AZ769,AM770=0),0,IF(AM770=AL770,AK770,$AZ$7-AL769))</f>
      </c>
      <c r="AO770" s="748">
        <f>+AK770-AN770</f>
      </c>
      <c r="AP770" s="217">
        <f>+_xlfn.IFNA(VLOOKUP(AJ770,$AF$7:$AI$1066,3,0),0)</f>
      </c>
      <c r="AQ770" s="217">
        <f>+IF(W770&gt;W769,AP770,AQ769+AP770)</f>
      </c>
      <c r="AR770" s="217">
        <f>+MAX($AM$2-SUMIF($W$7:$W$1066,W770,$AN$7:$AN$1066),0)</f>
      </c>
      <c r="AS770" s="748">
        <f>+MAX(IF(AQ770&gt;AR770,AR770-AQ769,AP770),0)</f>
      </c>
      <c r="AT770" s="748">
        <f>+AP770-AS770</f>
      </c>
      <c r="AU770" s="217">
        <f>+_xlfn.IFNA(VLOOKUP(AJ770,$AF$7:$AI$1066,4,0),0)</f>
      </c>
      <c r="AV770" s="217">
        <f>+IF(W770&gt;W769,AU770,AV769+AU770)</f>
      </c>
      <c r="AW770" s="217">
        <f>+MAX($AM$2-SUMIF($W$7:$W$1066,W770,$AN$7:$AN$1066)-SUMIF($W$7:$W$1066,W770,$AS$7:$AS$1066),0)</f>
      </c>
      <c r="AX770" s="748">
        <f>+MAX(IF(AV770&gt;AW770,AW770-AV769,AU770),0)</f>
      </c>
      <c r="AY770" s="748">
        <f>+AU770-AX770</f>
      </c>
      <c r="AZ770" s="331">
        <f>+$AM$1+IF($AP$1&gt;$AP$2,$AM$3/2)</f>
      </c>
    </row>
    <row x14ac:dyDescent="0.25" r="771" customHeight="1" ht="18.75">
      <c r="A771" s="1"/>
      <c r="B771" s="7"/>
      <c r="C771" s="170"/>
      <c r="D771" s="331">
        <v>764</v>
      </c>
      <c r="E771" s="544">
        <f>+DATE(YEAR(E770),MONTH(E770)-1,DAY(E770))</f>
        <v>25569.041666666668</v>
      </c>
      <c r="F771" s="333">
        <f>IF(DATE(YEAR($B$6),MONTH($B$6)+1,DAY(1))=E771,1,IF(MONTH(E771)=1,F772*(1+$F$5),F772))</f>
      </c>
      <c r="G771" s="333">
        <f>IF('Simulador - 1º Pilar'!$E$99="Sí",IF('Aportaciones PPE'!$B$13&lt;'Aportaciones PPE'!E771,0,F771*$B$8/12),F771*$B$8/12)</f>
      </c>
      <c r="H771" s="333">
        <f>$H$5*G771</f>
      </c>
      <c r="I771" s="333">
        <f>$I$5*G771</f>
      </c>
      <c r="J771" s="333">
        <f>+I771</f>
      </c>
      <c r="K771" s="333">
        <f>(1+$O$5)^(D771/12)*(H771+IF(AND(F771=1,F772=0),$S$4,0))</f>
      </c>
      <c r="L771" s="333">
        <f>(1+$O$5)^(D771/12)*(I771+IF(AND(F771=1,F772=0),0))</f>
      </c>
      <c r="M771" s="333">
        <f>+L771</f>
      </c>
      <c r="N771" s="333">
        <f>L771+K771+M771</f>
      </c>
      <c r="O771" s="170"/>
      <c r="P771" s="7"/>
      <c r="Q771" s="1"/>
      <c r="R771" s="331">
        <f>D771</f>
      </c>
      <c r="S771" s="169"/>
      <c r="T771" s="1"/>
      <c r="U771" s="217"/>
      <c r="V771" s="331">
        <f>+IF(V770=11,12,IF(V770=12,1,V770+1))</f>
      </c>
      <c r="W771" s="331">
        <f>+W770+IF(V770=12,1,0)</f>
      </c>
      <c r="X771" s="555">
        <f>+DATE(W771,V771,1)</f>
        <v>25569.041666666668</v>
      </c>
      <c r="Y771" s="333">
        <f>+_xlfn.IFNA(AN771+AS771+AX771,0)</f>
      </c>
      <c r="Z771" s="333">
        <f>+_xlfn.IFNA(AO771+AT771+AY771,0)</f>
      </c>
      <c r="AA771" s="333">
        <f>Y771*(1+$O$5)^(($B$7-X771)/365.25)</f>
      </c>
      <c r="AB771" s="333">
        <f>Z771*(1+$O$5)^(($B$7-X771)/365.25)</f>
      </c>
      <c r="AC771" s="1"/>
      <c r="AD771" s="1"/>
      <c r="AE771" s="1"/>
      <c r="AF771" s="111">
        <f>+MONTH(E771)&amp;YEAR(E771)</f>
      </c>
      <c r="AG771" s="217">
        <f>+I771</f>
      </c>
      <c r="AH771" s="217">
        <f>+J771</f>
      </c>
      <c r="AI771" s="217">
        <f>+H771</f>
      </c>
      <c r="AJ771" s="111">
        <f>+V771&amp;W771</f>
      </c>
      <c r="AK771" s="217">
        <f>+_xlfn.IFNA(VLOOKUP(AJ771,$AF$7:$AG$1066,2,0),0)</f>
      </c>
      <c r="AL771" s="217">
        <f>+IF(W771&gt;W770,AK771,AL770+AK771)</f>
      </c>
      <c r="AM771" s="217">
        <f>IF(W771&gt;W770,IF(AL771&gt;=$AZ$8,$AZ$8,AL771),IF(OR(AM770=$AZ$8,AM770=0),0,IF(AL771&gt;=$AZ$8,$AZ$8,AL771)))</f>
      </c>
      <c r="AN771" s="748">
        <f>+IF(OR(AM771&gt;AZ770,AM771=0),0,IF(AM771=AL771,AK771,$AZ$7-AL770))</f>
      </c>
      <c r="AO771" s="748">
        <f>+AK771-AN771</f>
      </c>
      <c r="AP771" s="217">
        <f>+_xlfn.IFNA(VLOOKUP(AJ771,$AF$7:$AI$1066,3,0),0)</f>
      </c>
      <c r="AQ771" s="217">
        <f>+IF(W771&gt;W770,AP771,AQ770+AP771)</f>
      </c>
      <c r="AR771" s="217">
        <f>+MAX($AM$2-SUMIF($W$7:$W$1066,W771,$AN$7:$AN$1066),0)</f>
      </c>
      <c r="AS771" s="748">
        <f>+MAX(IF(AQ771&gt;AR771,AR771-AQ770,AP771),0)</f>
      </c>
      <c r="AT771" s="748">
        <f>+AP771-AS771</f>
      </c>
      <c r="AU771" s="217">
        <f>+_xlfn.IFNA(VLOOKUP(AJ771,$AF$7:$AI$1066,4,0),0)</f>
      </c>
      <c r="AV771" s="217">
        <f>+IF(W771&gt;W770,AU771,AV770+AU771)</f>
      </c>
      <c r="AW771" s="217">
        <f>+MAX($AM$2-SUMIF($W$7:$W$1066,W771,$AN$7:$AN$1066)-SUMIF($W$7:$W$1066,W771,$AS$7:$AS$1066),0)</f>
      </c>
      <c r="AX771" s="748">
        <f>+MAX(IF(AV771&gt;AW771,AW771-AV770,AU771),0)</f>
      </c>
      <c r="AY771" s="748">
        <f>+AU771-AX771</f>
      </c>
      <c r="AZ771" s="331">
        <f>+$AM$1+IF($AP$1&gt;$AP$2,$AM$3/2)</f>
      </c>
    </row>
    <row x14ac:dyDescent="0.25" r="772" customHeight="1" ht="18.75">
      <c r="A772" s="1"/>
      <c r="B772" s="7"/>
      <c r="C772" s="170"/>
      <c r="D772" s="331">
        <v>765</v>
      </c>
      <c r="E772" s="544">
        <f>+DATE(YEAR(E771),MONTH(E771)-1,DAY(E771))</f>
        <v>25569.041666666668</v>
      </c>
      <c r="F772" s="333">
        <f>IF(DATE(YEAR($B$6),MONTH($B$6)+1,DAY(1))=E772,1,IF(MONTH(E772)=1,F773*(1+$F$5),F773))</f>
      </c>
      <c r="G772" s="333">
        <f>IF('Simulador - 1º Pilar'!$E$99="Sí",IF('Aportaciones PPE'!$B$13&lt;'Aportaciones PPE'!E772,0,F772*$B$8/12),F772*$B$8/12)</f>
      </c>
      <c r="H772" s="333">
        <f>$H$5*G772</f>
      </c>
      <c r="I772" s="333">
        <f>$I$5*G772</f>
      </c>
      <c r="J772" s="333">
        <f>+I772</f>
      </c>
      <c r="K772" s="333">
        <f>(1+$O$5)^(D772/12)*(H772+IF(AND(F772=1,F773=0),$S$4,0))</f>
      </c>
      <c r="L772" s="333">
        <f>(1+$O$5)^(D772/12)*(I772+IF(AND(F772=1,F773=0),0))</f>
      </c>
      <c r="M772" s="333">
        <f>+L772</f>
      </c>
      <c r="N772" s="333">
        <f>L772+K772+M772</f>
      </c>
      <c r="O772" s="170"/>
      <c r="P772" s="7"/>
      <c r="Q772" s="1"/>
      <c r="R772" s="331">
        <f>D772</f>
      </c>
      <c r="S772" s="169"/>
      <c r="T772" s="1"/>
      <c r="U772" s="217"/>
      <c r="V772" s="331">
        <f>+IF(V771=11,12,IF(V771=12,1,V771+1))</f>
      </c>
      <c r="W772" s="331">
        <f>+W771+IF(V771=12,1,0)</f>
      </c>
      <c r="X772" s="555">
        <f>+DATE(W772,V772,1)</f>
        <v>25569.041666666668</v>
      </c>
      <c r="Y772" s="333">
        <f>+_xlfn.IFNA(AN772+AS772+AX772,0)</f>
      </c>
      <c r="Z772" s="333">
        <f>+_xlfn.IFNA(AO772+AT772+AY772,0)</f>
      </c>
      <c r="AA772" s="333">
        <f>Y772*(1+$O$5)^(($B$7-X772)/365.25)</f>
      </c>
      <c r="AB772" s="333">
        <f>Z772*(1+$O$5)^(($B$7-X772)/365.25)</f>
      </c>
      <c r="AC772" s="1"/>
      <c r="AD772" s="1"/>
      <c r="AE772" s="1"/>
      <c r="AF772" s="111">
        <f>+MONTH(E772)&amp;YEAR(E772)</f>
      </c>
      <c r="AG772" s="217">
        <f>+I772</f>
      </c>
      <c r="AH772" s="217">
        <f>+J772</f>
      </c>
      <c r="AI772" s="217">
        <f>+H772</f>
      </c>
      <c r="AJ772" s="111">
        <f>+V772&amp;W772</f>
      </c>
      <c r="AK772" s="217">
        <f>+_xlfn.IFNA(VLOOKUP(AJ772,$AF$7:$AG$1066,2,0),0)</f>
      </c>
      <c r="AL772" s="217">
        <f>+IF(W772&gt;W771,AK772,AL771+AK772)</f>
      </c>
      <c r="AM772" s="217">
        <f>IF(W772&gt;W771,IF(AL772&gt;=$AZ$8,$AZ$8,AL772),IF(OR(AM771=$AZ$8,AM771=0),0,IF(AL772&gt;=$AZ$8,$AZ$8,AL772)))</f>
      </c>
      <c r="AN772" s="748">
        <f>+IF(OR(AM772&gt;AZ771,AM772=0),0,IF(AM772=AL772,AK772,$AZ$7-AL771))</f>
      </c>
      <c r="AO772" s="748">
        <f>+AK772-AN772</f>
      </c>
      <c r="AP772" s="217">
        <f>+_xlfn.IFNA(VLOOKUP(AJ772,$AF$7:$AI$1066,3,0),0)</f>
      </c>
      <c r="AQ772" s="217">
        <f>+IF(W772&gt;W771,AP772,AQ771+AP772)</f>
      </c>
      <c r="AR772" s="217">
        <f>+MAX($AM$2-SUMIF($W$7:$W$1066,W772,$AN$7:$AN$1066),0)</f>
      </c>
      <c r="AS772" s="748">
        <f>+MAX(IF(AQ772&gt;AR772,AR772-AQ771,AP772),0)</f>
      </c>
      <c r="AT772" s="748">
        <f>+AP772-AS772</f>
      </c>
      <c r="AU772" s="217">
        <f>+_xlfn.IFNA(VLOOKUP(AJ772,$AF$7:$AI$1066,4,0),0)</f>
      </c>
      <c r="AV772" s="217">
        <f>+IF(W772&gt;W771,AU772,AV771+AU772)</f>
      </c>
      <c r="AW772" s="217">
        <f>+MAX($AM$2-SUMIF($W$7:$W$1066,W772,$AN$7:$AN$1066)-SUMIF($W$7:$W$1066,W772,$AS$7:$AS$1066),0)</f>
      </c>
      <c r="AX772" s="748">
        <f>+MAX(IF(AV772&gt;AW772,AW772-AV771,AU772),0)</f>
      </c>
      <c r="AY772" s="748">
        <f>+AU772-AX772</f>
      </c>
      <c r="AZ772" s="331">
        <f>+$AM$1+IF($AP$1&gt;$AP$2,$AM$3/2)</f>
      </c>
    </row>
    <row x14ac:dyDescent="0.25" r="773" customHeight="1" ht="18.75">
      <c r="A773" s="1"/>
      <c r="B773" s="7"/>
      <c r="C773" s="170"/>
      <c r="D773" s="331">
        <v>766</v>
      </c>
      <c r="E773" s="544">
        <f>+DATE(YEAR(E772),MONTH(E772)-1,DAY(E772))</f>
        <v>25569.041666666668</v>
      </c>
      <c r="F773" s="333">
        <f>IF(DATE(YEAR($B$6),MONTH($B$6)+1,DAY(1))=E773,1,IF(MONTH(E773)=1,F774*(1+$F$5),F774))</f>
      </c>
      <c r="G773" s="333">
        <f>IF('Simulador - 1º Pilar'!$E$99="Sí",IF('Aportaciones PPE'!$B$13&lt;'Aportaciones PPE'!E773,0,F773*$B$8/12),F773*$B$8/12)</f>
      </c>
      <c r="H773" s="333">
        <f>$H$5*G773</f>
      </c>
      <c r="I773" s="333">
        <f>$I$5*G773</f>
      </c>
      <c r="J773" s="333">
        <f>+I773</f>
      </c>
      <c r="K773" s="333">
        <f>(1+$O$5)^(D773/12)*(H773+IF(AND(F773=1,F774=0),$S$4,0))</f>
      </c>
      <c r="L773" s="333">
        <f>(1+$O$5)^(D773/12)*(I773+IF(AND(F773=1,F774=0),0))</f>
      </c>
      <c r="M773" s="333">
        <f>+L773</f>
      </c>
      <c r="N773" s="333">
        <f>L773+K773+M773</f>
      </c>
      <c r="O773" s="170"/>
      <c r="P773" s="7"/>
      <c r="Q773" s="1"/>
      <c r="R773" s="331">
        <f>D773</f>
      </c>
      <c r="S773" s="169"/>
      <c r="T773" s="1"/>
      <c r="U773" s="217"/>
      <c r="V773" s="331">
        <f>+IF(V772=11,12,IF(V772=12,1,V772+1))</f>
      </c>
      <c r="W773" s="331">
        <f>+W772+IF(V772=12,1,0)</f>
      </c>
      <c r="X773" s="555">
        <f>+DATE(W773,V773,1)</f>
        <v>25569.041666666668</v>
      </c>
      <c r="Y773" s="333">
        <f>+_xlfn.IFNA(AN773+AS773+AX773,0)</f>
      </c>
      <c r="Z773" s="333">
        <f>+_xlfn.IFNA(AO773+AT773+AY773,0)</f>
      </c>
      <c r="AA773" s="333">
        <f>Y773*(1+$O$5)^(($B$7-X773)/365.25)</f>
      </c>
      <c r="AB773" s="333">
        <f>Z773*(1+$O$5)^(($B$7-X773)/365.25)</f>
      </c>
      <c r="AC773" s="1"/>
      <c r="AD773" s="1"/>
      <c r="AE773" s="1"/>
      <c r="AF773" s="111">
        <f>+MONTH(E773)&amp;YEAR(E773)</f>
      </c>
      <c r="AG773" s="217">
        <f>+I773</f>
      </c>
      <c r="AH773" s="217">
        <f>+J773</f>
      </c>
      <c r="AI773" s="217">
        <f>+H773</f>
      </c>
      <c r="AJ773" s="111">
        <f>+V773&amp;W773</f>
      </c>
      <c r="AK773" s="217">
        <f>+_xlfn.IFNA(VLOOKUP(AJ773,$AF$7:$AG$1066,2,0),0)</f>
      </c>
      <c r="AL773" s="217">
        <f>+IF(W773&gt;W772,AK773,AL772+AK773)</f>
      </c>
      <c r="AM773" s="217">
        <f>IF(W773&gt;W772,IF(AL773&gt;=$AZ$8,$AZ$8,AL773),IF(OR(AM772=$AZ$8,AM772=0),0,IF(AL773&gt;=$AZ$8,$AZ$8,AL773)))</f>
      </c>
      <c r="AN773" s="748">
        <f>+IF(OR(AM773&gt;AZ772,AM773=0),0,IF(AM773=AL773,AK773,$AZ$7-AL772))</f>
      </c>
      <c r="AO773" s="748">
        <f>+AK773-AN773</f>
      </c>
      <c r="AP773" s="217">
        <f>+_xlfn.IFNA(VLOOKUP(AJ773,$AF$7:$AI$1066,3,0),0)</f>
      </c>
      <c r="AQ773" s="217">
        <f>+IF(W773&gt;W772,AP773,AQ772+AP773)</f>
      </c>
      <c r="AR773" s="217">
        <f>+MAX($AM$2-SUMIF($W$7:$W$1066,W773,$AN$7:$AN$1066),0)</f>
      </c>
      <c r="AS773" s="748">
        <f>+MAX(IF(AQ773&gt;AR773,AR773-AQ772,AP773),0)</f>
      </c>
      <c r="AT773" s="748">
        <f>+AP773-AS773</f>
      </c>
      <c r="AU773" s="217">
        <f>+_xlfn.IFNA(VLOOKUP(AJ773,$AF$7:$AI$1066,4,0),0)</f>
      </c>
      <c r="AV773" s="217">
        <f>+IF(W773&gt;W772,AU773,AV772+AU773)</f>
      </c>
      <c r="AW773" s="217">
        <f>+MAX($AM$2-SUMIF($W$7:$W$1066,W773,$AN$7:$AN$1066)-SUMIF($W$7:$W$1066,W773,$AS$7:$AS$1066),0)</f>
      </c>
      <c r="AX773" s="748">
        <f>+MAX(IF(AV773&gt;AW773,AW773-AV772,AU773),0)</f>
      </c>
      <c r="AY773" s="748">
        <f>+AU773-AX773</f>
      </c>
      <c r="AZ773" s="331">
        <f>+$AM$1+IF($AP$1&gt;$AP$2,$AM$3/2)</f>
      </c>
    </row>
    <row x14ac:dyDescent="0.25" r="774" customHeight="1" ht="18.75">
      <c r="A774" s="1"/>
      <c r="B774" s="7"/>
      <c r="C774" s="170"/>
      <c r="D774" s="331">
        <v>767</v>
      </c>
      <c r="E774" s="544">
        <f>+DATE(YEAR(E773),MONTH(E773)-1,DAY(E773))</f>
        <v>25569.041666666668</v>
      </c>
      <c r="F774" s="333">
        <f>IF(DATE(YEAR($B$6),MONTH($B$6)+1,DAY(1))=E774,1,IF(MONTH(E774)=1,F775*(1+$F$5),F775))</f>
      </c>
      <c r="G774" s="333">
        <f>IF('Simulador - 1º Pilar'!$E$99="Sí",IF('Aportaciones PPE'!$B$13&lt;'Aportaciones PPE'!E774,0,F774*$B$8/12),F774*$B$8/12)</f>
      </c>
      <c r="H774" s="333">
        <f>$H$5*G774</f>
      </c>
      <c r="I774" s="333">
        <f>$I$5*G774</f>
      </c>
      <c r="J774" s="333">
        <f>+I774</f>
      </c>
      <c r="K774" s="333">
        <f>(1+$O$5)^(D774/12)*(H774+IF(AND(F774=1,F775=0),$S$4,0))</f>
      </c>
      <c r="L774" s="333">
        <f>(1+$O$5)^(D774/12)*(I774+IF(AND(F774=1,F775=0),0))</f>
      </c>
      <c r="M774" s="333">
        <f>+L774</f>
      </c>
      <c r="N774" s="333">
        <f>L774+K774+M774</f>
      </c>
      <c r="O774" s="170"/>
      <c r="P774" s="7"/>
      <c r="Q774" s="1"/>
      <c r="R774" s="331">
        <f>D774</f>
      </c>
      <c r="S774" s="169"/>
      <c r="T774" s="1"/>
      <c r="U774" s="217"/>
      <c r="V774" s="331">
        <f>+IF(V773=11,12,IF(V773=12,1,V773+1))</f>
      </c>
      <c r="W774" s="331">
        <f>+W773+IF(V773=12,1,0)</f>
      </c>
      <c r="X774" s="555">
        <f>+DATE(W774,V774,1)</f>
        <v>25569.041666666668</v>
      </c>
      <c r="Y774" s="333">
        <f>+_xlfn.IFNA(AN774+AS774+AX774,0)</f>
      </c>
      <c r="Z774" s="333">
        <f>+_xlfn.IFNA(AO774+AT774+AY774,0)</f>
      </c>
      <c r="AA774" s="333">
        <f>Y774*(1+$O$5)^(($B$7-X774)/365.25)</f>
      </c>
      <c r="AB774" s="333">
        <f>Z774*(1+$O$5)^(($B$7-X774)/365.25)</f>
      </c>
      <c r="AC774" s="1"/>
      <c r="AD774" s="1"/>
      <c r="AE774" s="1"/>
      <c r="AF774" s="111">
        <f>+MONTH(E774)&amp;YEAR(E774)</f>
      </c>
      <c r="AG774" s="217">
        <f>+I774</f>
      </c>
      <c r="AH774" s="217">
        <f>+J774</f>
      </c>
      <c r="AI774" s="217">
        <f>+H774</f>
      </c>
      <c r="AJ774" s="111">
        <f>+V774&amp;W774</f>
      </c>
      <c r="AK774" s="217">
        <f>+_xlfn.IFNA(VLOOKUP(AJ774,$AF$7:$AG$1066,2,0),0)</f>
      </c>
      <c r="AL774" s="217">
        <f>+IF(W774&gt;W773,AK774,AL773+AK774)</f>
      </c>
      <c r="AM774" s="217">
        <f>IF(W774&gt;W773,IF(AL774&gt;=$AZ$8,$AZ$8,AL774),IF(OR(AM773=$AZ$8,AM773=0),0,IF(AL774&gt;=$AZ$8,$AZ$8,AL774)))</f>
      </c>
      <c r="AN774" s="748">
        <f>+IF(OR(AM774&gt;AZ773,AM774=0),0,IF(AM774=AL774,AK774,$AZ$7-AL773))</f>
      </c>
      <c r="AO774" s="748">
        <f>+AK774-AN774</f>
      </c>
      <c r="AP774" s="217">
        <f>+_xlfn.IFNA(VLOOKUP(AJ774,$AF$7:$AI$1066,3,0),0)</f>
      </c>
      <c r="AQ774" s="217">
        <f>+IF(W774&gt;W773,AP774,AQ773+AP774)</f>
      </c>
      <c r="AR774" s="217">
        <f>+MAX($AM$2-SUMIF($W$7:$W$1066,W774,$AN$7:$AN$1066),0)</f>
      </c>
      <c r="AS774" s="748">
        <f>+MAX(IF(AQ774&gt;AR774,AR774-AQ773,AP774),0)</f>
      </c>
      <c r="AT774" s="748">
        <f>+AP774-AS774</f>
      </c>
      <c r="AU774" s="217">
        <f>+_xlfn.IFNA(VLOOKUP(AJ774,$AF$7:$AI$1066,4,0),0)</f>
      </c>
      <c r="AV774" s="217">
        <f>+IF(W774&gt;W773,AU774,AV773+AU774)</f>
      </c>
      <c r="AW774" s="217">
        <f>+MAX($AM$2-SUMIF($W$7:$W$1066,W774,$AN$7:$AN$1066)-SUMIF($W$7:$W$1066,W774,$AS$7:$AS$1066),0)</f>
      </c>
      <c r="AX774" s="748">
        <f>+MAX(IF(AV774&gt;AW774,AW774-AV773,AU774),0)</f>
      </c>
      <c r="AY774" s="748">
        <f>+AU774-AX774</f>
      </c>
      <c r="AZ774" s="331">
        <f>+$AM$1+IF($AP$1&gt;$AP$2,$AM$3/2)</f>
      </c>
    </row>
    <row x14ac:dyDescent="0.25" r="775" customHeight="1" ht="18.75">
      <c r="A775" s="1"/>
      <c r="B775" s="7"/>
      <c r="C775" s="170"/>
      <c r="D775" s="331">
        <v>768</v>
      </c>
      <c r="E775" s="544">
        <f>+DATE(YEAR(E774),MONTH(E774)-1,DAY(E774))</f>
        <v>25569.041666666668</v>
      </c>
      <c r="F775" s="333">
        <f>IF(DATE(YEAR($B$6),MONTH($B$6)+1,DAY(1))=E775,1,IF(MONTH(E775)=1,F776*(1+$F$5),F776))</f>
      </c>
      <c r="G775" s="333">
        <f>IF('Simulador - 1º Pilar'!$E$99="Sí",IF('Aportaciones PPE'!$B$13&lt;'Aportaciones PPE'!E775,0,F775*$B$8/12),F775*$B$8/12)</f>
      </c>
      <c r="H775" s="333">
        <f>$H$5*G775</f>
      </c>
      <c r="I775" s="333">
        <f>$I$5*G775</f>
      </c>
      <c r="J775" s="333">
        <f>+I775</f>
      </c>
      <c r="K775" s="333">
        <f>(1+$O$5)^(D775/12)*(H775+IF(AND(F775=1,F776=0),$S$4,0))</f>
      </c>
      <c r="L775" s="333">
        <f>(1+$O$5)^(D775/12)*(I775+IF(AND(F775=1,F776=0),0))</f>
      </c>
      <c r="M775" s="333">
        <f>+L775</f>
      </c>
      <c r="N775" s="333">
        <f>L775+K775+M775</f>
      </c>
      <c r="O775" s="170"/>
      <c r="P775" s="7"/>
      <c r="Q775" s="1"/>
      <c r="R775" s="331">
        <f>D775</f>
      </c>
      <c r="S775" s="169"/>
      <c r="T775" s="1"/>
      <c r="U775" s="217"/>
      <c r="V775" s="331">
        <f>+IF(V774=11,12,IF(V774=12,1,V774+1))</f>
      </c>
      <c r="W775" s="331">
        <f>+W774+IF(V774=12,1,0)</f>
      </c>
      <c r="X775" s="555">
        <f>+DATE(W775,V775,1)</f>
        <v>25569.041666666668</v>
      </c>
      <c r="Y775" s="333">
        <f>+_xlfn.IFNA(AN775+AS775+AX775,0)</f>
      </c>
      <c r="Z775" s="333">
        <f>+_xlfn.IFNA(AO775+AT775+AY775,0)</f>
      </c>
      <c r="AA775" s="333">
        <f>Y775*(1+$O$5)^(($B$7-X775)/365.25)</f>
      </c>
      <c r="AB775" s="333">
        <f>Z775*(1+$O$5)^(($B$7-X775)/365.25)</f>
      </c>
      <c r="AC775" s="1"/>
      <c r="AD775" s="1"/>
      <c r="AE775" s="1"/>
      <c r="AF775" s="111">
        <f>+MONTH(E775)&amp;YEAR(E775)</f>
      </c>
      <c r="AG775" s="217">
        <f>+I775</f>
      </c>
      <c r="AH775" s="217">
        <f>+J775</f>
      </c>
      <c r="AI775" s="217">
        <f>+H775</f>
      </c>
      <c r="AJ775" s="111">
        <f>+V775&amp;W775</f>
      </c>
      <c r="AK775" s="217">
        <f>+_xlfn.IFNA(VLOOKUP(AJ775,$AF$7:$AG$1066,2,0),0)</f>
      </c>
      <c r="AL775" s="217">
        <f>+IF(W775&gt;W774,AK775,AL774+AK775)</f>
      </c>
      <c r="AM775" s="217">
        <f>IF(W775&gt;W774,IF(AL775&gt;=$AZ$8,$AZ$8,AL775),IF(OR(AM774=$AZ$8,AM774=0),0,IF(AL775&gt;=$AZ$8,$AZ$8,AL775)))</f>
      </c>
      <c r="AN775" s="748">
        <f>+IF(OR(AM775&gt;AZ774,AM775=0),0,IF(AM775=AL775,AK775,$AZ$7-AL774))</f>
      </c>
      <c r="AO775" s="748">
        <f>+AK775-AN775</f>
      </c>
      <c r="AP775" s="217">
        <f>+_xlfn.IFNA(VLOOKUP(AJ775,$AF$7:$AI$1066,3,0),0)</f>
      </c>
      <c r="AQ775" s="217">
        <f>+IF(W775&gt;W774,AP775,AQ774+AP775)</f>
      </c>
      <c r="AR775" s="217">
        <f>+MAX($AM$2-SUMIF($W$7:$W$1066,W775,$AN$7:$AN$1066),0)</f>
      </c>
      <c r="AS775" s="748">
        <f>+MAX(IF(AQ775&gt;AR775,AR775-AQ774,AP775),0)</f>
      </c>
      <c r="AT775" s="748">
        <f>+AP775-AS775</f>
      </c>
      <c r="AU775" s="217">
        <f>+_xlfn.IFNA(VLOOKUP(AJ775,$AF$7:$AI$1066,4,0),0)</f>
      </c>
      <c r="AV775" s="217">
        <f>+IF(W775&gt;W774,AU775,AV774+AU775)</f>
      </c>
      <c r="AW775" s="217">
        <f>+MAX($AM$2-SUMIF($W$7:$W$1066,W775,$AN$7:$AN$1066)-SUMIF($W$7:$W$1066,W775,$AS$7:$AS$1066),0)</f>
      </c>
      <c r="AX775" s="748">
        <f>+MAX(IF(AV775&gt;AW775,AW775-AV774,AU775),0)</f>
      </c>
      <c r="AY775" s="748">
        <f>+AU775-AX775</f>
      </c>
      <c r="AZ775" s="331">
        <f>+$AM$1+IF($AP$1&gt;$AP$2,$AM$3/2)</f>
      </c>
    </row>
    <row x14ac:dyDescent="0.25" r="776" customHeight="1" ht="18.75">
      <c r="A776" s="1"/>
      <c r="B776" s="7"/>
      <c r="C776" s="170"/>
      <c r="D776" s="331">
        <v>769</v>
      </c>
      <c r="E776" s="544">
        <f>+DATE(YEAR(E775),MONTH(E775)-1,DAY(E775))</f>
        <v>25569.041666666668</v>
      </c>
      <c r="F776" s="333">
        <f>IF(DATE(YEAR($B$6),MONTH($B$6)+1,DAY(1))=E776,1,IF(MONTH(E776)=1,F777*(1+$F$5),F777))</f>
      </c>
      <c r="G776" s="333">
        <f>IF('Simulador - 1º Pilar'!$E$99="Sí",IF('Aportaciones PPE'!$B$13&lt;'Aportaciones PPE'!E776,0,F776*$B$8/12),F776*$B$8/12)</f>
      </c>
      <c r="H776" s="333">
        <f>$H$5*G776</f>
      </c>
      <c r="I776" s="333">
        <f>$I$5*G776</f>
      </c>
      <c r="J776" s="333">
        <f>+I776</f>
      </c>
      <c r="K776" s="333">
        <f>(1+$O$5)^(D776/12)*(H776+IF(AND(F776=1,F777=0),$S$4,0))</f>
      </c>
      <c r="L776" s="333">
        <f>(1+$O$5)^(D776/12)*(I776+IF(AND(F776=1,F777=0),0))</f>
      </c>
      <c r="M776" s="333">
        <f>+L776</f>
      </c>
      <c r="N776" s="333">
        <f>L776+K776+M776</f>
      </c>
      <c r="O776" s="170"/>
      <c r="P776" s="7"/>
      <c r="Q776" s="1"/>
      <c r="R776" s="331">
        <f>D776</f>
      </c>
      <c r="S776" s="169"/>
      <c r="T776" s="1"/>
      <c r="U776" s="217"/>
      <c r="V776" s="331">
        <f>+IF(V775=11,12,IF(V775=12,1,V775+1))</f>
      </c>
      <c r="W776" s="331">
        <f>+W775+IF(V775=12,1,0)</f>
      </c>
      <c r="X776" s="555">
        <f>+DATE(W776,V776,1)</f>
        <v>25569.041666666668</v>
      </c>
      <c r="Y776" s="333">
        <f>+_xlfn.IFNA(AN776+AS776+AX776,0)</f>
      </c>
      <c r="Z776" s="333">
        <f>+_xlfn.IFNA(AO776+AT776+AY776,0)</f>
      </c>
      <c r="AA776" s="333">
        <f>Y776*(1+$O$5)^(($B$7-X776)/365.25)</f>
      </c>
      <c r="AB776" s="333">
        <f>Z776*(1+$O$5)^(($B$7-X776)/365.25)</f>
      </c>
      <c r="AC776" s="1"/>
      <c r="AD776" s="1"/>
      <c r="AE776" s="1"/>
      <c r="AF776" s="111">
        <f>+MONTH(E776)&amp;YEAR(E776)</f>
      </c>
      <c r="AG776" s="217">
        <f>+I776</f>
      </c>
      <c r="AH776" s="217">
        <f>+J776</f>
      </c>
      <c r="AI776" s="217">
        <f>+H776</f>
      </c>
      <c r="AJ776" s="111">
        <f>+V776&amp;W776</f>
      </c>
      <c r="AK776" s="217">
        <f>+_xlfn.IFNA(VLOOKUP(AJ776,$AF$7:$AG$1066,2,0),0)</f>
      </c>
      <c r="AL776" s="217">
        <f>+IF(W776&gt;W775,AK776,AL775+AK776)</f>
      </c>
      <c r="AM776" s="217">
        <f>IF(W776&gt;W775,IF(AL776&gt;=$AZ$8,$AZ$8,AL776),IF(OR(AM775=$AZ$8,AM775=0),0,IF(AL776&gt;=$AZ$8,$AZ$8,AL776)))</f>
      </c>
      <c r="AN776" s="748">
        <f>+IF(OR(AM776&gt;AZ775,AM776=0),0,IF(AM776=AL776,AK776,$AZ$7-AL775))</f>
      </c>
      <c r="AO776" s="748">
        <f>+AK776-AN776</f>
      </c>
      <c r="AP776" s="217">
        <f>+_xlfn.IFNA(VLOOKUP(AJ776,$AF$7:$AI$1066,3,0),0)</f>
      </c>
      <c r="AQ776" s="217">
        <f>+IF(W776&gt;W775,AP776,AQ775+AP776)</f>
      </c>
      <c r="AR776" s="217">
        <f>+MAX($AM$2-SUMIF($W$7:$W$1066,W776,$AN$7:$AN$1066),0)</f>
      </c>
      <c r="AS776" s="748">
        <f>+MAX(IF(AQ776&gt;AR776,AR776-AQ775,AP776),0)</f>
      </c>
      <c r="AT776" s="748">
        <f>+AP776-AS776</f>
      </c>
      <c r="AU776" s="217">
        <f>+_xlfn.IFNA(VLOOKUP(AJ776,$AF$7:$AI$1066,4,0),0)</f>
      </c>
      <c r="AV776" s="217">
        <f>+IF(W776&gt;W775,AU776,AV775+AU776)</f>
      </c>
      <c r="AW776" s="217">
        <f>+MAX($AM$2-SUMIF($W$7:$W$1066,W776,$AN$7:$AN$1066)-SUMIF($W$7:$W$1066,W776,$AS$7:$AS$1066),0)</f>
      </c>
      <c r="AX776" s="748">
        <f>+MAX(IF(AV776&gt;AW776,AW776-AV775,AU776),0)</f>
      </c>
      <c r="AY776" s="748">
        <f>+AU776-AX776</f>
      </c>
      <c r="AZ776" s="331">
        <f>+$AM$1+IF($AP$1&gt;$AP$2,$AM$3/2)</f>
      </c>
    </row>
    <row x14ac:dyDescent="0.25" r="777" customHeight="1" ht="18.75">
      <c r="A777" s="1"/>
      <c r="B777" s="7"/>
      <c r="C777" s="170"/>
      <c r="D777" s="331">
        <v>770</v>
      </c>
      <c r="E777" s="544">
        <f>+DATE(YEAR(E776),MONTH(E776)-1,DAY(E776))</f>
        <v>25569.041666666668</v>
      </c>
      <c r="F777" s="333">
        <f>IF(DATE(YEAR($B$6),MONTH($B$6)+1,DAY(1))=E777,1,IF(MONTH(E777)=1,F778*(1+$F$5),F778))</f>
      </c>
      <c r="G777" s="333">
        <f>IF('Simulador - 1º Pilar'!$E$99="Sí",IF('Aportaciones PPE'!$B$13&lt;'Aportaciones PPE'!E777,0,F777*$B$8/12),F777*$B$8/12)</f>
      </c>
      <c r="H777" s="333">
        <f>$H$5*G777</f>
      </c>
      <c r="I777" s="333">
        <f>$I$5*G777</f>
      </c>
      <c r="J777" s="333">
        <f>+I777</f>
      </c>
      <c r="K777" s="333">
        <f>(1+$O$5)^(D777/12)*(H777+IF(AND(F777=1,F778=0),$S$4,0))</f>
      </c>
      <c r="L777" s="333">
        <f>(1+$O$5)^(D777/12)*(I777+IF(AND(F777=1,F778=0),0))</f>
      </c>
      <c r="M777" s="333">
        <f>+L777</f>
      </c>
      <c r="N777" s="333">
        <f>L777+K777+M777</f>
      </c>
      <c r="O777" s="170"/>
      <c r="P777" s="7"/>
      <c r="Q777" s="1"/>
      <c r="R777" s="331">
        <f>D777</f>
      </c>
      <c r="S777" s="169"/>
      <c r="T777" s="1"/>
      <c r="U777" s="217"/>
      <c r="V777" s="331">
        <f>+IF(V776=11,12,IF(V776=12,1,V776+1))</f>
      </c>
      <c r="W777" s="331">
        <f>+W776+IF(V776=12,1,0)</f>
      </c>
      <c r="X777" s="555">
        <f>+DATE(W777,V777,1)</f>
        <v>25569.041666666668</v>
      </c>
      <c r="Y777" s="333">
        <f>+_xlfn.IFNA(AN777+AS777+AX777,0)</f>
      </c>
      <c r="Z777" s="333">
        <f>+_xlfn.IFNA(AO777+AT777+AY777,0)</f>
      </c>
      <c r="AA777" s="333">
        <f>Y777*(1+$O$5)^(($B$7-X777)/365.25)</f>
      </c>
      <c r="AB777" s="333">
        <f>Z777*(1+$O$5)^(($B$7-X777)/365.25)</f>
      </c>
      <c r="AC777" s="1"/>
      <c r="AD777" s="1"/>
      <c r="AE777" s="1"/>
      <c r="AF777" s="111">
        <f>+MONTH(E777)&amp;YEAR(E777)</f>
      </c>
      <c r="AG777" s="217">
        <f>+I777</f>
      </c>
      <c r="AH777" s="217">
        <f>+J777</f>
      </c>
      <c r="AI777" s="217">
        <f>+H777</f>
      </c>
      <c r="AJ777" s="111">
        <f>+V777&amp;W777</f>
      </c>
      <c r="AK777" s="217">
        <f>+_xlfn.IFNA(VLOOKUP(AJ777,$AF$7:$AG$1066,2,0),0)</f>
      </c>
      <c r="AL777" s="217">
        <f>+IF(W777&gt;W776,AK777,AL776+AK777)</f>
      </c>
      <c r="AM777" s="217">
        <f>IF(W777&gt;W776,IF(AL777&gt;=$AZ$8,$AZ$8,AL777),IF(OR(AM776=$AZ$8,AM776=0),0,IF(AL777&gt;=$AZ$8,$AZ$8,AL777)))</f>
      </c>
      <c r="AN777" s="748">
        <f>+IF(OR(AM777&gt;AZ776,AM777=0),0,IF(AM777=AL777,AK777,$AZ$7-AL776))</f>
      </c>
      <c r="AO777" s="748">
        <f>+AK777-AN777</f>
      </c>
      <c r="AP777" s="217">
        <f>+_xlfn.IFNA(VLOOKUP(AJ777,$AF$7:$AI$1066,3,0),0)</f>
      </c>
      <c r="AQ777" s="217">
        <f>+IF(W777&gt;W776,AP777,AQ776+AP777)</f>
      </c>
      <c r="AR777" s="217">
        <f>+MAX($AM$2-SUMIF($W$7:$W$1066,W777,$AN$7:$AN$1066),0)</f>
      </c>
      <c r="AS777" s="748">
        <f>+MAX(IF(AQ777&gt;AR777,AR777-AQ776,AP777),0)</f>
      </c>
      <c r="AT777" s="748">
        <f>+AP777-AS777</f>
      </c>
      <c r="AU777" s="217">
        <f>+_xlfn.IFNA(VLOOKUP(AJ777,$AF$7:$AI$1066,4,0),0)</f>
      </c>
      <c r="AV777" s="217">
        <f>+IF(W777&gt;W776,AU777,AV776+AU777)</f>
      </c>
      <c r="AW777" s="217">
        <f>+MAX($AM$2-SUMIF($W$7:$W$1066,W777,$AN$7:$AN$1066)-SUMIF($W$7:$W$1066,W777,$AS$7:$AS$1066),0)</f>
      </c>
      <c r="AX777" s="748">
        <f>+MAX(IF(AV777&gt;AW777,AW777-AV776,AU777),0)</f>
      </c>
      <c r="AY777" s="748">
        <f>+AU777-AX777</f>
      </c>
      <c r="AZ777" s="331">
        <f>+$AM$1+IF($AP$1&gt;$AP$2,$AM$3/2)</f>
      </c>
    </row>
    <row x14ac:dyDescent="0.25" r="778" customHeight="1" ht="18.75">
      <c r="A778" s="1"/>
      <c r="B778" s="7"/>
      <c r="C778" s="170"/>
      <c r="D778" s="331">
        <v>771</v>
      </c>
      <c r="E778" s="544">
        <f>+DATE(YEAR(E777),MONTH(E777)-1,DAY(E777))</f>
        <v>25569.041666666668</v>
      </c>
      <c r="F778" s="333">
        <f>IF(DATE(YEAR($B$6),MONTH($B$6)+1,DAY(1))=E778,1,IF(MONTH(E778)=1,F779*(1+$F$5),F779))</f>
      </c>
      <c r="G778" s="333">
        <f>IF('Simulador - 1º Pilar'!$E$99="Sí",IF('Aportaciones PPE'!$B$13&lt;'Aportaciones PPE'!E778,0,F778*$B$8/12),F778*$B$8/12)</f>
      </c>
      <c r="H778" s="333">
        <f>$H$5*G778</f>
      </c>
      <c r="I778" s="333">
        <f>$I$5*G778</f>
      </c>
      <c r="J778" s="333">
        <f>+I778</f>
      </c>
      <c r="K778" s="333">
        <f>(1+$O$5)^(D778/12)*(H778+IF(AND(F778=1,F779=0),$S$4,0))</f>
      </c>
      <c r="L778" s="333">
        <f>(1+$O$5)^(D778/12)*(I778+IF(AND(F778=1,F779=0),0))</f>
      </c>
      <c r="M778" s="333">
        <f>+L778</f>
      </c>
      <c r="N778" s="333">
        <f>L778+K778+M778</f>
      </c>
      <c r="O778" s="170"/>
      <c r="P778" s="7"/>
      <c r="Q778" s="1"/>
      <c r="R778" s="331">
        <f>D778</f>
      </c>
      <c r="S778" s="169"/>
      <c r="T778" s="1"/>
      <c r="U778" s="217"/>
      <c r="V778" s="331">
        <f>+IF(V777=11,12,IF(V777=12,1,V777+1))</f>
      </c>
      <c r="W778" s="331">
        <f>+W777+IF(V777=12,1,0)</f>
      </c>
      <c r="X778" s="555">
        <f>+DATE(W778,V778,1)</f>
        <v>25569.041666666668</v>
      </c>
      <c r="Y778" s="333">
        <f>+_xlfn.IFNA(AN778+AS778+AX778,0)</f>
      </c>
      <c r="Z778" s="333">
        <f>+_xlfn.IFNA(AO778+AT778+AY778,0)</f>
      </c>
      <c r="AA778" s="333">
        <f>Y778*(1+$O$5)^(($B$7-X778)/365.25)</f>
      </c>
      <c r="AB778" s="333">
        <f>Z778*(1+$O$5)^(($B$7-X778)/365.25)</f>
      </c>
      <c r="AC778" s="1"/>
      <c r="AD778" s="1"/>
      <c r="AE778" s="1"/>
      <c r="AF778" s="111">
        <f>+MONTH(E778)&amp;YEAR(E778)</f>
      </c>
      <c r="AG778" s="217">
        <f>+I778</f>
      </c>
      <c r="AH778" s="217">
        <f>+J778</f>
      </c>
      <c r="AI778" s="217">
        <f>+H778</f>
      </c>
      <c r="AJ778" s="111">
        <f>+V778&amp;W778</f>
      </c>
      <c r="AK778" s="217">
        <f>+_xlfn.IFNA(VLOOKUP(AJ778,$AF$7:$AG$1066,2,0),0)</f>
      </c>
      <c r="AL778" s="217">
        <f>+IF(W778&gt;W777,AK778,AL777+AK778)</f>
      </c>
      <c r="AM778" s="217">
        <f>IF(W778&gt;W777,IF(AL778&gt;=$AZ$8,$AZ$8,AL778),IF(OR(AM777=$AZ$8,AM777=0),0,IF(AL778&gt;=$AZ$8,$AZ$8,AL778)))</f>
      </c>
      <c r="AN778" s="748">
        <f>+IF(OR(AM778&gt;AZ777,AM778=0),0,IF(AM778=AL778,AK778,$AZ$7-AL777))</f>
      </c>
      <c r="AO778" s="748">
        <f>+AK778-AN778</f>
      </c>
      <c r="AP778" s="217">
        <f>+_xlfn.IFNA(VLOOKUP(AJ778,$AF$7:$AI$1066,3,0),0)</f>
      </c>
      <c r="AQ778" s="217">
        <f>+IF(W778&gt;W777,AP778,AQ777+AP778)</f>
      </c>
      <c r="AR778" s="217">
        <f>+MAX($AM$2-SUMIF($W$7:$W$1066,W778,$AN$7:$AN$1066),0)</f>
      </c>
      <c r="AS778" s="748">
        <f>+MAX(IF(AQ778&gt;AR778,AR778-AQ777,AP778),0)</f>
      </c>
      <c r="AT778" s="748">
        <f>+AP778-AS778</f>
      </c>
      <c r="AU778" s="217">
        <f>+_xlfn.IFNA(VLOOKUP(AJ778,$AF$7:$AI$1066,4,0),0)</f>
      </c>
      <c r="AV778" s="217">
        <f>+IF(W778&gt;W777,AU778,AV777+AU778)</f>
      </c>
      <c r="AW778" s="217">
        <f>+MAX($AM$2-SUMIF($W$7:$W$1066,W778,$AN$7:$AN$1066)-SUMIF($W$7:$W$1066,W778,$AS$7:$AS$1066),0)</f>
      </c>
      <c r="AX778" s="748">
        <f>+MAX(IF(AV778&gt;AW778,AW778-AV777,AU778),0)</f>
      </c>
      <c r="AY778" s="748">
        <f>+AU778-AX778</f>
      </c>
      <c r="AZ778" s="331">
        <f>+$AM$1+IF($AP$1&gt;$AP$2,$AM$3/2)</f>
      </c>
    </row>
    <row x14ac:dyDescent="0.25" r="779" customHeight="1" ht="18.75">
      <c r="A779" s="1"/>
      <c r="B779" s="7"/>
      <c r="C779" s="170"/>
      <c r="D779" s="331">
        <v>772</v>
      </c>
      <c r="E779" s="544">
        <f>+DATE(YEAR(E778),MONTH(E778)-1,DAY(E778))</f>
        <v>25569.041666666668</v>
      </c>
      <c r="F779" s="333">
        <f>IF(DATE(YEAR($B$6),MONTH($B$6)+1,DAY(1))=E779,1,IF(MONTH(E779)=1,F780*(1+$F$5),F780))</f>
      </c>
      <c r="G779" s="333">
        <f>IF('Simulador - 1º Pilar'!$E$99="Sí",IF('Aportaciones PPE'!$B$13&lt;'Aportaciones PPE'!E779,0,F779*$B$8/12),F779*$B$8/12)</f>
      </c>
      <c r="H779" s="333">
        <f>$H$5*G779</f>
      </c>
      <c r="I779" s="333">
        <f>$I$5*G779</f>
      </c>
      <c r="J779" s="333">
        <f>+I779</f>
      </c>
      <c r="K779" s="333">
        <f>(1+$O$5)^(D779/12)*(H779+IF(AND(F779=1,F780=0),$S$4,0))</f>
      </c>
      <c r="L779" s="333">
        <f>(1+$O$5)^(D779/12)*(I779+IF(AND(F779=1,F780=0),0))</f>
      </c>
      <c r="M779" s="333">
        <f>+L779</f>
      </c>
      <c r="N779" s="333">
        <f>L779+K779+M779</f>
      </c>
      <c r="O779" s="170"/>
      <c r="P779" s="7"/>
      <c r="Q779" s="1"/>
      <c r="R779" s="331">
        <f>D779</f>
      </c>
      <c r="S779" s="169"/>
      <c r="T779" s="1"/>
      <c r="U779" s="217"/>
      <c r="V779" s="331">
        <f>+IF(V778=11,12,IF(V778=12,1,V778+1))</f>
      </c>
      <c r="W779" s="331">
        <f>+W778+IF(V778=12,1,0)</f>
      </c>
      <c r="X779" s="555">
        <f>+DATE(W779,V779,1)</f>
        <v>25569.041666666668</v>
      </c>
      <c r="Y779" s="333">
        <f>+_xlfn.IFNA(AN779+AS779+AX779,0)</f>
      </c>
      <c r="Z779" s="333">
        <f>+_xlfn.IFNA(AO779+AT779+AY779,0)</f>
      </c>
      <c r="AA779" s="333">
        <f>Y779*(1+$O$5)^(($B$7-X779)/365.25)</f>
      </c>
      <c r="AB779" s="333">
        <f>Z779*(1+$O$5)^(($B$7-X779)/365.25)</f>
      </c>
      <c r="AC779" s="1"/>
      <c r="AD779" s="1"/>
      <c r="AE779" s="1"/>
      <c r="AF779" s="111">
        <f>+MONTH(E779)&amp;YEAR(E779)</f>
      </c>
      <c r="AG779" s="217">
        <f>+I779</f>
      </c>
      <c r="AH779" s="217">
        <f>+J779</f>
      </c>
      <c r="AI779" s="217">
        <f>+H779</f>
      </c>
      <c r="AJ779" s="111">
        <f>+V779&amp;W779</f>
      </c>
      <c r="AK779" s="217">
        <f>+_xlfn.IFNA(VLOOKUP(AJ779,$AF$7:$AG$1066,2,0),0)</f>
      </c>
      <c r="AL779" s="217">
        <f>+IF(W779&gt;W778,AK779,AL778+AK779)</f>
      </c>
      <c r="AM779" s="217">
        <f>IF(W779&gt;W778,IF(AL779&gt;=$AZ$8,$AZ$8,AL779),IF(OR(AM778=$AZ$8,AM778=0),0,IF(AL779&gt;=$AZ$8,$AZ$8,AL779)))</f>
      </c>
      <c r="AN779" s="748">
        <f>+IF(OR(AM779&gt;AZ778,AM779=0),0,IF(AM779=AL779,AK779,$AZ$7-AL778))</f>
      </c>
      <c r="AO779" s="748">
        <f>+AK779-AN779</f>
      </c>
      <c r="AP779" s="217">
        <f>+_xlfn.IFNA(VLOOKUP(AJ779,$AF$7:$AI$1066,3,0),0)</f>
      </c>
      <c r="AQ779" s="217">
        <f>+IF(W779&gt;W778,AP779,AQ778+AP779)</f>
      </c>
      <c r="AR779" s="217">
        <f>+MAX($AM$2-SUMIF($W$7:$W$1066,W779,$AN$7:$AN$1066),0)</f>
      </c>
      <c r="AS779" s="748">
        <f>+MAX(IF(AQ779&gt;AR779,AR779-AQ778,AP779),0)</f>
      </c>
      <c r="AT779" s="748">
        <f>+AP779-AS779</f>
      </c>
      <c r="AU779" s="217">
        <f>+_xlfn.IFNA(VLOOKUP(AJ779,$AF$7:$AI$1066,4,0),0)</f>
      </c>
      <c r="AV779" s="217">
        <f>+IF(W779&gt;W778,AU779,AV778+AU779)</f>
      </c>
      <c r="AW779" s="217">
        <f>+MAX($AM$2-SUMIF($W$7:$W$1066,W779,$AN$7:$AN$1066)-SUMIF($W$7:$W$1066,W779,$AS$7:$AS$1066),0)</f>
      </c>
      <c r="AX779" s="748">
        <f>+MAX(IF(AV779&gt;AW779,AW779-AV778,AU779),0)</f>
      </c>
      <c r="AY779" s="748">
        <f>+AU779-AX779</f>
      </c>
      <c r="AZ779" s="331">
        <f>+$AM$1+IF($AP$1&gt;$AP$2,$AM$3/2)</f>
      </c>
    </row>
    <row x14ac:dyDescent="0.25" r="780" customHeight="1" ht="18.75">
      <c r="A780" s="1"/>
      <c r="B780" s="7"/>
      <c r="C780" s="170"/>
      <c r="D780" s="331">
        <v>773</v>
      </c>
      <c r="E780" s="544">
        <f>+DATE(YEAR(E779),MONTH(E779)-1,DAY(E779))</f>
        <v>25569.041666666668</v>
      </c>
      <c r="F780" s="333">
        <f>IF(DATE(YEAR($B$6),MONTH($B$6)+1,DAY(1))=E780,1,IF(MONTH(E780)=1,F781*(1+$F$5),F781))</f>
      </c>
      <c r="G780" s="333">
        <f>IF('Simulador - 1º Pilar'!$E$99="Sí",IF('Aportaciones PPE'!$B$13&lt;'Aportaciones PPE'!E780,0,F780*$B$8/12),F780*$B$8/12)</f>
      </c>
      <c r="H780" s="333">
        <f>$H$5*G780</f>
      </c>
      <c r="I780" s="333">
        <f>$I$5*G780</f>
      </c>
      <c r="J780" s="333">
        <f>+I780</f>
      </c>
      <c r="K780" s="333">
        <f>(1+$O$5)^(D780/12)*(H780+IF(AND(F780=1,F781=0),$S$4,0))</f>
      </c>
      <c r="L780" s="333">
        <f>(1+$O$5)^(D780/12)*(I780+IF(AND(F780=1,F781=0),0))</f>
      </c>
      <c r="M780" s="333">
        <f>+L780</f>
      </c>
      <c r="N780" s="333">
        <f>L780+K780+M780</f>
      </c>
      <c r="O780" s="170"/>
      <c r="P780" s="7"/>
      <c r="Q780" s="1"/>
      <c r="R780" s="331">
        <f>D780</f>
      </c>
      <c r="S780" s="169"/>
      <c r="T780" s="1"/>
      <c r="U780" s="217"/>
      <c r="V780" s="331">
        <f>+IF(V779=11,12,IF(V779=12,1,V779+1))</f>
      </c>
      <c r="W780" s="331">
        <f>+W779+IF(V779=12,1,0)</f>
      </c>
      <c r="X780" s="555">
        <f>+DATE(W780,V780,1)</f>
        <v>25569.041666666668</v>
      </c>
      <c r="Y780" s="333">
        <f>+_xlfn.IFNA(AN780+AS780+AX780,0)</f>
      </c>
      <c r="Z780" s="333">
        <f>+_xlfn.IFNA(AO780+AT780+AY780,0)</f>
      </c>
      <c r="AA780" s="333">
        <f>Y780*(1+$O$5)^(($B$7-X780)/365.25)</f>
      </c>
      <c r="AB780" s="333">
        <f>Z780*(1+$O$5)^(($B$7-X780)/365.25)</f>
      </c>
      <c r="AC780" s="1"/>
      <c r="AD780" s="1"/>
      <c r="AE780" s="1"/>
      <c r="AF780" s="111">
        <f>+MONTH(E780)&amp;YEAR(E780)</f>
      </c>
      <c r="AG780" s="217">
        <f>+I780</f>
      </c>
      <c r="AH780" s="217">
        <f>+J780</f>
      </c>
      <c r="AI780" s="217">
        <f>+H780</f>
      </c>
      <c r="AJ780" s="111">
        <f>+V780&amp;W780</f>
      </c>
      <c r="AK780" s="217">
        <f>+_xlfn.IFNA(VLOOKUP(AJ780,$AF$7:$AG$1066,2,0),0)</f>
      </c>
      <c r="AL780" s="217">
        <f>+IF(W780&gt;W779,AK780,AL779+AK780)</f>
      </c>
      <c r="AM780" s="217">
        <f>IF(W780&gt;W779,IF(AL780&gt;=$AZ$8,$AZ$8,AL780),IF(OR(AM779=$AZ$8,AM779=0),0,IF(AL780&gt;=$AZ$8,$AZ$8,AL780)))</f>
      </c>
      <c r="AN780" s="748">
        <f>+IF(OR(AM780&gt;AZ779,AM780=0),0,IF(AM780=AL780,AK780,$AZ$7-AL779))</f>
      </c>
      <c r="AO780" s="748">
        <f>+AK780-AN780</f>
      </c>
      <c r="AP780" s="217">
        <f>+_xlfn.IFNA(VLOOKUP(AJ780,$AF$7:$AI$1066,3,0),0)</f>
      </c>
      <c r="AQ780" s="217">
        <f>+IF(W780&gt;W779,AP780,AQ779+AP780)</f>
      </c>
      <c r="AR780" s="217">
        <f>+MAX($AM$2-SUMIF($W$7:$W$1066,W780,$AN$7:$AN$1066),0)</f>
      </c>
      <c r="AS780" s="748">
        <f>+MAX(IF(AQ780&gt;AR780,AR780-AQ779,AP780),0)</f>
      </c>
      <c r="AT780" s="748">
        <f>+AP780-AS780</f>
      </c>
      <c r="AU780" s="217">
        <f>+_xlfn.IFNA(VLOOKUP(AJ780,$AF$7:$AI$1066,4,0),0)</f>
      </c>
      <c r="AV780" s="217">
        <f>+IF(W780&gt;W779,AU780,AV779+AU780)</f>
      </c>
      <c r="AW780" s="217">
        <f>+MAX($AM$2-SUMIF($W$7:$W$1066,W780,$AN$7:$AN$1066)-SUMIF($W$7:$W$1066,W780,$AS$7:$AS$1066),0)</f>
      </c>
      <c r="AX780" s="748">
        <f>+MAX(IF(AV780&gt;AW780,AW780-AV779,AU780),0)</f>
      </c>
      <c r="AY780" s="748">
        <f>+AU780-AX780</f>
      </c>
      <c r="AZ780" s="331">
        <f>+$AM$1+IF($AP$1&gt;$AP$2,$AM$3/2)</f>
      </c>
    </row>
    <row x14ac:dyDescent="0.25" r="781" customHeight="1" ht="18.75">
      <c r="A781" s="1"/>
      <c r="B781" s="7"/>
      <c r="C781" s="170"/>
      <c r="D781" s="331">
        <v>774</v>
      </c>
      <c r="E781" s="544">
        <f>+DATE(YEAR(E780),MONTH(E780)-1,DAY(E780))</f>
        <v>25569.041666666668</v>
      </c>
      <c r="F781" s="333">
        <f>IF(DATE(YEAR($B$6),MONTH($B$6)+1,DAY(1))=E781,1,IF(MONTH(E781)=1,F782*(1+$F$5),F782))</f>
      </c>
      <c r="G781" s="333">
        <f>IF('Simulador - 1º Pilar'!$E$99="Sí",IF('Aportaciones PPE'!$B$13&lt;'Aportaciones PPE'!E781,0,F781*$B$8/12),F781*$B$8/12)</f>
      </c>
      <c r="H781" s="333">
        <f>$H$5*G781</f>
      </c>
      <c r="I781" s="333">
        <f>$I$5*G781</f>
      </c>
      <c r="J781" s="333">
        <f>+I781</f>
      </c>
      <c r="K781" s="333">
        <f>(1+$O$5)^(D781/12)*(H781+IF(AND(F781=1,F782=0),$S$4,0))</f>
      </c>
      <c r="L781" s="333">
        <f>(1+$O$5)^(D781/12)*(I781+IF(AND(F781=1,F782=0),0))</f>
      </c>
      <c r="M781" s="333">
        <f>+L781</f>
      </c>
      <c r="N781" s="333">
        <f>L781+K781+M781</f>
      </c>
      <c r="O781" s="170"/>
      <c r="P781" s="7"/>
      <c r="Q781" s="1"/>
      <c r="R781" s="331">
        <f>D781</f>
      </c>
      <c r="S781" s="169"/>
      <c r="T781" s="1"/>
      <c r="U781" s="217"/>
      <c r="V781" s="331">
        <f>+IF(V780=11,12,IF(V780=12,1,V780+1))</f>
      </c>
      <c r="W781" s="331">
        <f>+W780+IF(V780=12,1,0)</f>
      </c>
      <c r="X781" s="555">
        <f>+DATE(W781,V781,1)</f>
        <v>25569.041666666668</v>
      </c>
      <c r="Y781" s="333">
        <f>+_xlfn.IFNA(AN781+AS781+AX781,0)</f>
      </c>
      <c r="Z781" s="333">
        <f>+_xlfn.IFNA(AO781+AT781+AY781,0)</f>
      </c>
      <c r="AA781" s="333">
        <f>Y781*(1+$O$5)^(($B$7-X781)/365.25)</f>
      </c>
      <c r="AB781" s="333">
        <f>Z781*(1+$O$5)^(($B$7-X781)/365.25)</f>
      </c>
      <c r="AC781" s="1"/>
      <c r="AD781" s="1"/>
      <c r="AE781" s="1"/>
      <c r="AF781" s="111">
        <f>+MONTH(E781)&amp;YEAR(E781)</f>
      </c>
      <c r="AG781" s="217">
        <f>+I781</f>
      </c>
      <c r="AH781" s="217">
        <f>+J781</f>
      </c>
      <c r="AI781" s="217">
        <f>+H781</f>
      </c>
      <c r="AJ781" s="111">
        <f>+V781&amp;W781</f>
      </c>
      <c r="AK781" s="217">
        <f>+_xlfn.IFNA(VLOOKUP(AJ781,$AF$7:$AG$1066,2,0),0)</f>
      </c>
      <c r="AL781" s="217">
        <f>+IF(W781&gt;W780,AK781,AL780+AK781)</f>
      </c>
      <c r="AM781" s="217">
        <f>IF(W781&gt;W780,IF(AL781&gt;=$AZ$8,$AZ$8,AL781),IF(OR(AM780=$AZ$8,AM780=0),0,IF(AL781&gt;=$AZ$8,$AZ$8,AL781)))</f>
      </c>
      <c r="AN781" s="748">
        <f>+IF(OR(AM781&gt;AZ780,AM781=0),0,IF(AM781=AL781,AK781,$AZ$7-AL780))</f>
      </c>
      <c r="AO781" s="748">
        <f>+AK781-AN781</f>
      </c>
      <c r="AP781" s="217">
        <f>+_xlfn.IFNA(VLOOKUP(AJ781,$AF$7:$AI$1066,3,0),0)</f>
      </c>
      <c r="AQ781" s="217">
        <f>+IF(W781&gt;W780,AP781,AQ780+AP781)</f>
      </c>
      <c r="AR781" s="217">
        <f>+MAX($AM$2-SUMIF($W$7:$W$1066,W781,$AN$7:$AN$1066),0)</f>
      </c>
      <c r="AS781" s="748">
        <f>+MAX(IF(AQ781&gt;AR781,AR781-AQ780,AP781),0)</f>
      </c>
      <c r="AT781" s="748">
        <f>+AP781-AS781</f>
      </c>
      <c r="AU781" s="217">
        <f>+_xlfn.IFNA(VLOOKUP(AJ781,$AF$7:$AI$1066,4,0),0)</f>
      </c>
      <c r="AV781" s="217">
        <f>+IF(W781&gt;W780,AU781,AV780+AU781)</f>
      </c>
      <c r="AW781" s="217">
        <f>+MAX($AM$2-SUMIF($W$7:$W$1066,W781,$AN$7:$AN$1066)-SUMIF($W$7:$W$1066,W781,$AS$7:$AS$1066),0)</f>
      </c>
      <c r="AX781" s="748">
        <f>+MAX(IF(AV781&gt;AW781,AW781-AV780,AU781),0)</f>
      </c>
      <c r="AY781" s="748">
        <f>+AU781-AX781</f>
      </c>
      <c r="AZ781" s="331">
        <f>+$AM$1+IF($AP$1&gt;$AP$2,$AM$3/2)</f>
      </c>
    </row>
    <row x14ac:dyDescent="0.25" r="782" customHeight="1" ht="18.75">
      <c r="A782" s="1"/>
      <c r="B782" s="7"/>
      <c r="C782" s="170"/>
      <c r="D782" s="331">
        <v>775</v>
      </c>
      <c r="E782" s="544">
        <f>+DATE(YEAR(E781),MONTH(E781)-1,DAY(E781))</f>
        <v>25569.041666666668</v>
      </c>
      <c r="F782" s="333">
        <f>IF(DATE(YEAR($B$6),MONTH($B$6)+1,DAY(1))=E782,1,IF(MONTH(E782)=1,F783*(1+$F$5),F783))</f>
      </c>
      <c r="G782" s="333">
        <f>IF('Simulador - 1º Pilar'!$E$99="Sí",IF('Aportaciones PPE'!$B$13&lt;'Aportaciones PPE'!E782,0,F782*$B$8/12),F782*$B$8/12)</f>
      </c>
      <c r="H782" s="333">
        <f>$H$5*G782</f>
      </c>
      <c r="I782" s="333">
        <f>$I$5*G782</f>
      </c>
      <c r="J782" s="333">
        <f>+I782</f>
      </c>
      <c r="K782" s="333">
        <f>(1+$O$5)^(D782/12)*(H782+IF(AND(F782=1,F783=0),$S$4,0))</f>
      </c>
      <c r="L782" s="333">
        <f>(1+$O$5)^(D782/12)*(I782+IF(AND(F782=1,F783=0),0))</f>
      </c>
      <c r="M782" s="333">
        <f>+L782</f>
      </c>
      <c r="N782" s="333">
        <f>L782+K782+M782</f>
      </c>
      <c r="O782" s="170"/>
      <c r="P782" s="7"/>
      <c r="Q782" s="1"/>
      <c r="R782" s="331">
        <f>D782</f>
      </c>
      <c r="S782" s="169"/>
      <c r="T782" s="1"/>
      <c r="U782" s="217"/>
      <c r="V782" s="331">
        <f>+IF(V781=11,12,IF(V781=12,1,V781+1))</f>
      </c>
      <c r="W782" s="331">
        <f>+W781+IF(V781=12,1,0)</f>
      </c>
      <c r="X782" s="555">
        <f>+DATE(W782,V782,1)</f>
        <v>25569.041666666668</v>
      </c>
      <c r="Y782" s="333">
        <f>+_xlfn.IFNA(AN782+AS782+AX782,0)</f>
      </c>
      <c r="Z782" s="333">
        <f>+_xlfn.IFNA(AO782+AT782+AY782,0)</f>
      </c>
      <c r="AA782" s="333">
        <f>Y782*(1+$O$5)^(($B$7-X782)/365.25)</f>
      </c>
      <c r="AB782" s="333">
        <f>Z782*(1+$O$5)^(($B$7-X782)/365.25)</f>
      </c>
      <c r="AC782" s="1"/>
      <c r="AD782" s="1"/>
      <c r="AE782" s="1"/>
      <c r="AF782" s="111">
        <f>+MONTH(E782)&amp;YEAR(E782)</f>
      </c>
      <c r="AG782" s="217">
        <f>+I782</f>
      </c>
      <c r="AH782" s="217">
        <f>+J782</f>
      </c>
      <c r="AI782" s="217">
        <f>+H782</f>
      </c>
      <c r="AJ782" s="111">
        <f>+V782&amp;W782</f>
      </c>
      <c r="AK782" s="217">
        <f>+_xlfn.IFNA(VLOOKUP(AJ782,$AF$7:$AG$1066,2,0),0)</f>
      </c>
      <c r="AL782" s="217">
        <f>+IF(W782&gt;W781,AK782,AL781+AK782)</f>
      </c>
      <c r="AM782" s="217">
        <f>IF(W782&gt;W781,IF(AL782&gt;=$AZ$8,$AZ$8,AL782),IF(OR(AM781=$AZ$8,AM781=0),0,IF(AL782&gt;=$AZ$8,$AZ$8,AL782)))</f>
      </c>
      <c r="AN782" s="748">
        <f>+IF(OR(AM782&gt;AZ781,AM782=0),0,IF(AM782=AL782,AK782,$AZ$7-AL781))</f>
      </c>
      <c r="AO782" s="748">
        <f>+AK782-AN782</f>
      </c>
      <c r="AP782" s="217">
        <f>+_xlfn.IFNA(VLOOKUP(AJ782,$AF$7:$AI$1066,3,0),0)</f>
      </c>
      <c r="AQ782" s="217">
        <f>+IF(W782&gt;W781,AP782,AQ781+AP782)</f>
      </c>
      <c r="AR782" s="217">
        <f>+MAX($AM$2-SUMIF($W$7:$W$1066,W782,$AN$7:$AN$1066),0)</f>
      </c>
      <c r="AS782" s="748">
        <f>+MAX(IF(AQ782&gt;AR782,AR782-AQ781,AP782),0)</f>
      </c>
      <c r="AT782" s="748">
        <f>+AP782-AS782</f>
      </c>
      <c r="AU782" s="217">
        <f>+_xlfn.IFNA(VLOOKUP(AJ782,$AF$7:$AI$1066,4,0),0)</f>
      </c>
      <c r="AV782" s="217">
        <f>+IF(W782&gt;W781,AU782,AV781+AU782)</f>
      </c>
      <c r="AW782" s="217">
        <f>+MAX($AM$2-SUMIF($W$7:$W$1066,W782,$AN$7:$AN$1066)-SUMIF($W$7:$W$1066,W782,$AS$7:$AS$1066),0)</f>
      </c>
      <c r="AX782" s="748">
        <f>+MAX(IF(AV782&gt;AW782,AW782-AV781,AU782),0)</f>
      </c>
      <c r="AY782" s="748">
        <f>+AU782-AX782</f>
      </c>
      <c r="AZ782" s="331">
        <f>+$AM$1+IF($AP$1&gt;$AP$2,$AM$3/2)</f>
      </c>
    </row>
    <row x14ac:dyDescent="0.25" r="783" customHeight="1" ht="18.75">
      <c r="A783" s="1"/>
      <c r="B783" s="7"/>
      <c r="C783" s="170"/>
      <c r="D783" s="331">
        <v>776</v>
      </c>
      <c r="E783" s="544">
        <f>+DATE(YEAR(E782),MONTH(E782)-1,DAY(E782))</f>
        <v>25569.041666666668</v>
      </c>
      <c r="F783" s="333">
        <f>IF(DATE(YEAR($B$6),MONTH($B$6)+1,DAY(1))=E783,1,IF(MONTH(E783)=1,F784*(1+$F$5),F784))</f>
      </c>
      <c r="G783" s="333">
        <f>IF('Simulador - 1º Pilar'!$E$99="Sí",IF('Aportaciones PPE'!$B$13&lt;'Aportaciones PPE'!E783,0,F783*$B$8/12),F783*$B$8/12)</f>
      </c>
      <c r="H783" s="333">
        <f>$H$5*G783</f>
      </c>
      <c r="I783" s="333">
        <f>$I$5*G783</f>
      </c>
      <c r="J783" s="333">
        <f>+I783</f>
      </c>
      <c r="K783" s="333">
        <f>(1+$O$5)^(D783/12)*(H783+IF(AND(F783=1,F784=0),$S$4,0))</f>
      </c>
      <c r="L783" s="333">
        <f>(1+$O$5)^(D783/12)*(I783+IF(AND(F783=1,F784=0),0))</f>
      </c>
      <c r="M783" s="333">
        <f>+L783</f>
      </c>
      <c r="N783" s="333">
        <f>L783+K783+M783</f>
      </c>
      <c r="O783" s="170"/>
      <c r="P783" s="7"/>
      <c r="Q783" s="1"/>
      <c r="R783" s="331">
        <f>D783</f>
      </c>
      <c r="S783" s="169"/>
      <c r="T783" s="1"/>
      <c r="U783" s="217"/>
      <c r="V783" s="331">
        <f>+IF(V782=11,12,IF(V782=12,1,V782+1))</f>
      </c>
      <c r="W783" s="331">
        <f>+W782+IF(V782=12,1,0)</f>
      </c>
      <c r="X783" s="555">
        <f>+DATE(W783,V783,1)</f>
        <v>25569.041666666668</v>
      </c>
      <c r="Y783" s="333">
        <f>+_xlfn.IFNA(AN783+AS783+AX783,0)</f>
      </c>
      <c r="Z783" s="333">
        <f>+_xlfn.IFNA(AO783+AT783+AY783,0)</f>
      </c>
      <c r="AA783" s="333">
        <f>Y783*(1+$O$5)^(($B$7-X783)/365.25)</f>
      </c>
      <c r="AB783" s="333">
        <f>Z783*(1+$O$5)^(($B$7-X783)/365.25)</f>
      </c>
      <c r="AC783" s="1"/>
      <c r="AD783" s="1"/>
      <c r="AE783" s="1"/>
      <c r="AF783" s="111">
        <f>+MONTH(E783)&amp;YEAR(E783)</f>
      </c>
      <c r="AG783" s="217">
        <f>+I783</f>
      </c>
      <c r="AH783" s="217">
        <f>+J783</f>
      </c>
      <c r="AI783" s="217">
        <f>+H783</f>
      </c>
      <c r="AJ783" s="111">
        <f>+V783&amp;W783</f>
      </c>
      <c r="AK783" s="217">
        <f>+_xlfn.IFNA(VLOOKUP(AJ783,$AF$7:$AG$1066,2,0),0)</f>
      </c>
      <c r="AL783" s="217">
        <f>+IF(W783&gt;W782,AK783,AL782+AK783)</f>
      </c>
      <c r="AM783" s="217">
        <f>IF(W783&gt;W782,IF(AL783&gt;=$AZ$8,$AZ$8,AL783),IF(OR(AM782=$AZ$8,AM782=0),0,IF(AL783&gt;=$AZ$8,$AZ$8,AL783)))</f>
      </c>
      <c r="AN783" s="748">
        <f>+IF(OR(AM783&gt;AZ782,AM783=0),0,IF(AM783=AL783,AK783,$AZ$7-AL782))</f>
      </c>
      <c r="AO783" s="748">
        <f>+AK783-AN783</f>
      </c>
      <c r="AP783" s="217">
        <f>+_xlfn.IFNA(VLOOKUP(AJ783,$AF$7:$AI$1066,3,0),0)</f>
      </c>
      <c r="AQ783" s="217">
        <f>+IF(W783&gt;W782,AP783,AQ782+AP783)</f>
      </c>
      <c r="AR783" s="217">
        <f>+MAX($AM$2-SUMIF($W$7:$W$1066,W783,$AN$7:$AN$1066),0)</f>
      </c>
      <c r="AS783" s="748">
        <f>+MAX(IF(AQ783&gt;AR783,AR783-AQ782,AP783),0)</f>
      </c>
      <c r="AT783" s="748">
        <f>+AP783-AS783</f>
      </c>
      <c r="AU783" s="217">
        <f>+_xlfn.IFNA(VLOOKUP(AJ783,$AF$7:$AI$1066,4,0),0)</f>
      </c>
      <c r="AV783" s="217">
        <f>+IF(W783&gt;W782,AU783,AV782+AU783)</f>
      </c>
      <c r="AW783" s="217">
        <f>+MAX($AM$2-SUMIF($W$7:$W$1066,W783,$AN$7:$AN$1066)-SUMIF($W$7:$W$1066,W783,$AS$7:$AS$1066),0)</f>
      </c>
      <c r="AX783" s="748">
        <f>+MAX(IF(AV783&gt;AW783,AW783-AV782,AU783),0)</f>
      </c>
      <c r="AY783" s="748">
        <f>+AU783-AX783</f>
      </c>
      <c r="AZ783" s="331">
        <f>+$AM$1+IF($AP$1&gt;$AP$2,$AM$3/2)</f>
      </c>
    </row>
    <row x14ac:dyDescent="0.25" r="784" customHeight="1" ht="18.75">
      <c r="A784" s="1"/>
      <c r="B784" s="7"/>
      <c r="C784" s="170"/>
      <c r="D784" s="331">
        <v>777</v>
      </c>
      <c r="E784" s="544">
        <f>+DATE(YEAR(E783),MONTH(E783)-1,DAY(E783))</f>
        <v>25569.041666666668</v>
      </c>
      <c r="F784" s="333">
        <f>IF(DATE(YEAR($B$6),MONTH($B$6)+1,DAY(1))=E784,1,IF(MONTH(E784)=1,F785*(1+$F$5),F785))</f>
      </c>
      <c r="G784" s="333">
        <f>IF('Simulador - 1º Pilar'!$E$99="Sí",IF('Aportaciones PPE'!$B$13&lt;'Aportaciones PPE'!E784,0,F784*$B$8/12),F784*$B$8/12)</f>
      </c>
      <c r="H784" s="333">
        <f>$H$5*G784</f>
      </c>
      <c r="I784" s="333">
        <f>$I$5*G784</f>
      </c>
      <c r="J784" s="333">
        <f>+I784</f>
      </c>
      <c r="K784" s="333">
        <f>(1+$O$5)^(D784/12)*(H784+IF(AND(F784=1,F785=0),$S$4,0))</f>
      </c>
      <c r="L784" s="333">
        <f>(1+$O$5)^(D784/12)*(I784+IF(AND(F784=1,F785=0),0))</f>
      </c>
      <c r="M784" s="333">
        <f>+L784</f>
      </c>
      <c r="N784" s="333">
        <f>L784+K784+M784</f>
      </c>
      <c r="O784" s="170"/>
      <c r="P784" s="7"/>
      <c r="Q784" s="1"/>
      <c r="R784" s="331">
        <f>D784</f>
      </c>
      <c r="S784" s="169"/>
      <c r="T784" s="1"/>
      <c r="U784" s="217"/>
      <c r="V784" s="331">
        <f>+IF(V783=11,12,IF(V783=12,1,V783+1))</f>
      </c>
      <c r="W784" s="331">
        <f>+W783+IF(V783=12,1,0)</f>
      </c>
      <c r="X784" s="555">
        <f>+DATE(W784,V784,1)</f>
        <v>25569.041666666668</v>
      </c>
      <c r="Y784" s="333">
        <f>+_xlfn.IFNA(AN784+AS784+AX784,0)</f>
      </c>
      <c r="Z784" s="333">
        <f>+_xlfn.IFNA(AO784+AT784+AY784,0)</f>
      </c>
      <c r="AA784" s="333">
        <f>Y784*(1+$O$5)^(($B$7-X784)/365.25)</f>
      </c>
      <c r="AB784" s="333">
        <f>Z784*(1+$O$5)^(($B$7-X784)/365.25)</f>
      </c>
      <c r="AC784" s="1"/>
      <c r="AD784" s="1"/>
      <c r="AE784" s="1"/>
      <c r="AF784" s="111">
        <f>+MONTH(E784)&amp;YEAR(E784)</f>
      </c>
      <c r="AG784" s="217">
        <f>+I784</f>
      </c>
      <c r="AH784" s="217">
        <f>+J784</f>
      </c>
      <c r="AI784" s="217">
        <f>+H784</f>
      </c>
      <c r="AJ784" s="111">
        <f>+V784&amp;W784</f>
      </c>
      <c r="AK784" s="217">
        <f>+_xlfn.IFNA(VLOOKUP(AJ784,$AF$7:$AG$1066,2,0),0)</f>
      </c>
      <c r="AL784" s="217">
        <f>+IF(W784&gt;W783,AK784,AL783+AK784)</f>
      </c>
      <c r="AM784" s="217">
        <f>IF(W784&gt;W783,IF(AL784&gt;=$AZ$8,$AZ$8,AL784),IF(OR(AM783=$AZ$8,AM783=0),0,IF(AL784&gt;=$AZ$8,$AZ$8,AL784)))</f>
      </c>
      <c r="AN784" s="748">
        <f>+IF(OR(AM784&gt;AZ783,AM784=0),0,IF(AM784=AL784,AK784,$AZ$7-AL783))</f>
      </c>
      <c r="AO784" s="748">
        <f>+AK784-AN784</f>
      </c>
      <c r="AP784" s="217">
        <f>+_xlfn.IFNA(VLOOKUP(AJ784,$AF$7:$AI$1066,3,0),0)</f>
      </c>
      <c r="AQ784" s="217">
        <f>+IF(W784&gt;W783,AP784,AQ783+AP784)</f>
      </c>
      <c r="AR784" s="217">
        <f>+MAX($AM$2-SUMIF($W$7:$W$1066,W784,$AN$7:$AN$1066),0)</f>
      </c>
      <c r="AS784" s="748">
        <f>+MAX(IF(AQ784&gt;AR784,AR784-AQ783,AP784),0)</f>
      </c>
      <c r="AT784" s="748">
        <f>+AP784-AS784</f>
      </c>
      <c r="AU784" s="217">
        <f>+_xlfn.IFNA(VLOOKUP(AJ784,$AF$7:$AI$1066,4,0),0)</f>
      </c>
      <c r="AV784" s="217">
        <f>+IF(W784&gt;W783,AU784,AV783+AU784)</f>
      </c>
      <c r="AW784" s="217">
        <f>+MAX($AM$2-SUMIF($W$7:$W$1066,W784,$AN$7:$AN$1066)-SUMIF($W$7:$W$1066,W784,$AS$7:$AS$1066),0)</f>
      </c>
      <c r="AX784" s="748">
        <f>+MAX(IF(AV784&gt;AW784,AW784-AV783,AU784),0)</f>
      </c>
      <c r="AY784" s="748">
        <f>+AU784-AX784</f>
      </c>
      <c r="AZ784" s="331">
        <f>+$AM$1+IF($AP$1&gt;$AP$2,$AM$3/2)</f>
      </c>
    </row>
    <row x14ac:dyDescent="0.25" r="785" customHeight="1" ht="18.75">
      <c r="A785" s="1"/>
      <c r="B785" s="7"/>
      <c r="C785" s="170"/>
      <c r="D785" s="331">
        <v>778</v>
      </c>
      <c r="E785" s="544">
        <f>+DATE(YEAR(E784),MONTH(E784)-1,DAY(E784))</f>
        <v>25569.041666666668</v>
      </c>
      <c r="F785" s="333">
        <f>IF(DATE(YEAR($B$6),MONTH($B$6)+1,DAY(1))=E785,1,IF(MONTH(E785)=1,F786*(1+$F$5),F786))</f>
      </c>
      <c r="G785" s="333">
        <f>IF('Simulador - 1º Pilar'!$E$99="Sí",IF('Aportaciones PPE'!$B$13&lt;'Aportaciones PPE'!E785,0,F785*$B$8/12),F785*$B$8/12)</f>
      </c>
      <c r="H785" s="333">
        <f>$H$5*G785</f>
      </c>
      <c r="I785" s="333">
        <f>$I$5*G785</f>
      </c>
      <c r="J785" s="333">
        <f>+I785</f>
      </c>
      <c r="K785" s="333">
        <f>(1+$O$5)^(D785/12)*(H785+IF(AND(F785=1,F786=0),$S$4,0))</f>
      </c>
      <c r="L785" s="333">
        <f>(1+$O$5)^(D785/12)*(I785+IF(AND(F785=1,F786=0),0))</f>
      </c>
      <c r="M785" s="333">
        <f>+L785</f>
      </c>
      <c r="N785" s="333">
        <f>L785+K785+M785</f>
      </c>
      <c r="O785" s="170"/>
      <c r="P785" s="7"/>
      <c r="Q785" s="1"/>
      <c r="R785" s="331">
        <f>D785</f>
      </c>
      <c r="S785" s="169"/>
      <c r="T785" s="1"/>
      <c r="U785" s="217"/>
      <c r="V785" s="331">
        <f>+IF(V784=11,12,IF(V784=12,1,V784+1))</f>
      </c>
      <c r="W785" s="331">
        <f>+W784+IF(V784=12,1,0)</f>
      </c>
      <c r="X785" s="555">
        <f>+DATE(W785,V785,1)</f>
        <v>25569.041666666668</v>
      </c>
      <c r="Y785" s="333">
        <f>+_xlfn.IFNA(AN785+AS785+AX785,0)</f>
      </c>
      <c r="Z785" s="333">
        <f>+_xlfn.IFNA(AO785+AT785+AY785,0)</f>
      </c>
      <c r="AA785" s="333">
        <f>Y785*(1+$O$5)^(($B$7-X785)/365.25)</f>
      </c>
      <c r="AB785" s="333">
        <f>Z785*(1+$O$5)^(($B$7-X785)/365.25)</f>
      </c>
      <c r="AC785" s="1"/>
      <c r="AD785" s="1"/>
      <c r="AE785" s="1"/>
      <c r="AF785" s="111">
        <f>+MONTH(E785)&amp;YEAR(E785)</f>
      </c>
      <c r="AG785" s="217">
        <f>+I785</f>
      </c>
      <c r="AH785" s="217">
        <f>+J785</f>
      </c>
      <c r="AI785" s="217">
        <f>+H785</f>
      </c>
      <c r="AJ785" s="111">
        <f>+V785&amp;W785</f>
      </c>
      <c r="AK785" s="217">
        <f>+_xlfn.IFNA(VLOOKUP(AJ785,$AF$7:$AG$1066,2,0),0)</f>
      </c>
      <c r="AL785" s="217">
        <f>+IF(W785&gt;W784,AK785,AL784+AK785)</f>
      </c>
      <c r="AM785" s="217">
        <f>IF(W785&gt;W784,IF(AL785&gt;=$AZ$8,$AZ$8,AL785),IF(OR(AM784=$AZ$8,AM784=0),0,IF(AL785&gt;=$AZ$8,$AZ$8,AL785)))</f>
      </c>
      <c r="AN785" s="748">
        <f>+IF(OR(AM785&gt;AZ784,AM785=0),0,IF(AM785=AL785,AK785,$AZ$7-AL784))</f>
      </c>
      <c r="AO785" s="748">
        <f>+AK785-AN785</f>
      </c>
      <c r="AP785" s="217">
        <f>+_xlfn.IFNA(VLOOKUP(AJ785,$AF$7:$AI$1066,3,0),0)</f>
      </c>
      <c r="AQ785" s="217">
        <f>+IF(W785&gt;W784,AP785,AQ784+AP785)</f>
      </c>
      <c r="AR785" s="217">
        <f>+MAX($AM$2-SUMIF($W$7:$W$1066,W785,$AN$7:$AN$1066),0)</f>
      </c>
      <c r="AS785" s="748">
        <f>+MAX(IF(AQ785&gt;AR785,AR785-AQ784,AP785),0)</f>
      </c>
      <c r="AT785" s="748">
        <f>+AP785-AS785</f>
      </c>
      <c r="AU785" s="217">
        <f>+_xlfn.IFNA(VLOOKUP(AJ785,$AF$7:$AI$1066,4,0),0)</f>
      </c>
      <c r="AV785" s="217">
        <f>+IF(W785&gt;W784,AU785,AV784+AU785)</f>
      </c>
      <c r="AW785" s="217">
        <f>+MAX($AM$2-SUMIF($W$7:$W$1066,W785,$AN$7:$AN$1066)-SUMIF($W$7:$W$1066,W785,$AS$7:$AS$1066),0)</f>
      </c>
      <c r="AX785" s="748">
        <f>+MAX(IF(AV785&gt;AW785,AW785-AV784,AU785),0)</f>
      </c>
      <c r="AY785" s="748">
        <f>+AU785-AX785</f>
      </c>
      <c r="AZ785" s="331">
        <f>+$AM$1+IF($AP$1&gt;$AP$2,$AM$3/2)</f>
      </c>
    </row>
    <row x14ac:dyDescent="0.25" r="786" customHeight="1" ht="18.75">
      <c r="A786" s="1"/>
      <c r="B786" s="7"/>
      <c r="C786" s="170"/>
      <c r="D786" s="331">
        <v>779</v>
      </c>
      <c r="E786" s="544">
        <f>+DATE(YEAR(E785),MONTH(E785)-1,DAY(E785))</f>
        <v>25569.041666666668</v>
      </c>
      <c r="F786" s="333">
        <f>IF(DATE(YEAR($B$6),MONTH($B$6)+1,DAY(1))=E786,1,IF(MONTH(E786)=1,F787*(1+$F$5),F787))</f>
      </c>
      <c r="G786" s="333">
        <f>IF('Simulador - 1º Pilar'!$E$99="Sí",IF('Aportaciones PPE'!$B$13&lt;'Aportaciones PPE'!E786,0,F786*$B$8/12),F786*$B$8/12)</f>
      </c>
      <c r="H786" s="333">
        <f>$H$5*G786</f>
      </c>
      <c r="I786" s="333">
        <f>$I$5*G786</f>
      </c>
      <c r="J786" s="333">
        <f>+I786</f>
      </c>
      <c r="K786" s="333">
        <f>(1+$O$5)^(D786/12)*(H786+IF(AND(F786=1,F787=0),$S$4,0))</f>
      </c>
      <c r="L786" s="333">
        <f>(1+$O$5)^(D786/12)*(I786+IF(AND(F786=1,F787=0),0))</f>
      </c>
      <c r="M786" s="333">
        <f>+L786</f>
      </c>
      <c r="N786" s="333">
        <f>L786+K786+M786</f>
      </c>
      <c r="O786" s="170"/>
      <c r="P786" s="7"/>
      <c r="Q786" s="1"/>
      <c r="R786" s="331">
        <f>D786</f>
      </c>
      <c r="S786" s="169"/>
      <c r="T786" s="1"/>
      <c r="U786" s="217"/>
      <c r="V786" s="331">
        <f>+IF(V785=11,12,IF(V785=12,1,V785+1))</f>
      </c>
      <c r="W786" s="331">
        <f>+W785+IF(V785=12,1,0)</f>
      </c>
      <c r="X786" s="555">
        <f>+DATE(W786,V786,1)</f>
        <v>25569.041666666668</v>
      </c>
      <c r="Y786" s="333">
        <f>+_xlfn.IFNA(AN786+AS786+AX786,0)</f>
      </c>
      <c r="Z786" s="333">
        <f>+_xlfn.IFNA(AO786+AT786+AY786,0)</f>
      </c>
      <c r="AA786" s="333">
        <f>Y786*(1+$O$5)^(($B$7-X786)/365.25)</f>
      </c>
      <c r="AB786" s="333">
        <f>Z786*(1+$O$5)^(($B$7-X786)/365.25)</f>
      </c>
      <c r="AC786" s="1"/>
      <c r="AD786" s="1"/>
      <c r="AE786" s="1"/>
      <c r="AF786" s="111">
        <f>+MONTH(E786)&amp;YEAR(E786)</f>
      </c>
      <c r="AG786" s="217">
        <f>+I786</f>
      </c>
      <c r="AH786" s="217">
        <f>+J786</f>
      </c>
      <c r="AI786" s="217">
        <f>+H786</f>
      </c>
      <c r="AJ786" s="111">
        <f>+V786&amp;W786</f>
      </c>
      <c r="AK786" s="217">
        <f>+_xlfn.IFNA(VLOOKUP(AJ786,$AF$7:$AG$1066,2,0),0)</f>
      </c>
      <c r="AL786" s="217">
        <f>+IF(W786&gt;W785,AK786,AL785+AK786)</f>
      </c>
      <c r="AM786" s="217">
        <f>IF(W786&gt;W785,IF(AL786&gt;=$AZ$8,$AZ$8,AL786),IF(OR(AM785=$AZ$8,AM785=0),0,IF(AL786&gt;=$AZ$8,$AZ$8,AL786)))</f>
      </c>
      <c r="AN786" s="748">
        <f>+IF(OR(AM786&gt;AZ785,AM786=0),0,IF(AM786=AL786,AK786,$AZ$7-AL785))</f>
      </c>
      <c r="AO786" s="748">
        <f>+AK786-AN786</f>
      </c>
      <c r="AP786" s="217">
        <f>+_xlfn.IFNA(VLOOKUP(AJ786,$AF$7:$AI$1066,3,0),0)</f>
      </c>
      <c r="AQ786" s="217">
        <f>+IF(W786&gt;W785,AP786,AQ785+AP786)</f>
      </c>
      <c r="AR786" s="217">
        <f>+MAX($AM$2-SUMIF($W$7:$W$1066,W786,$AN$7:$AN$1066),0)</f>
      </c>
      <c r="AS786" s="748">
        <f>+MAX(IF(AQ786&gt;AR786,AR786-AQ785,AP786),0)</f>
      </c>
      <c r="AT786" s="748">
        <f>+AP786-AS786</f>
      </c>
      <c r="AU786" s="217">
        <f>+_xlfn.IFNA(VLOOKUP(AJ786,$AF$7:$AI$1066,4,0),0)</f>
      </c>
      <c r="AV786" s="217">
        <f>+IF(W786&gt;W785,AU786,AV785+AU786)</f>
      </c>
      <c r="AW786" s="217">
        <f>+MAX($AM$2-SUMIF($W$7:$W$1066,W786,$AN$7:$AN$1066)-SUMIF($W$7:$W$1066,W786,$AS$7:$AS$1066),0)</f>
      </c>
      <c r="AX786" s="748">
        <f>+MAX(IF(AV786&gt;AW786,AW786-AV785,AU786),0)</f>
      </c>
      <c r="AY786" s="748">
        <f>+AU786-AX786</f>
      </c>
      <c r="AZ786" s="331">
        <f>+$AM$1+IF($AP$1&gt;$AP$2,$AM$3/2)</f>
      </c>
    </row>
    <row x14ac:dyDescent="0.25" r="787" customHeight="1" ht="18.75">
      <c r="A787" s="1"/>
      <c r="B787" s="7"/>
      <c r="C787" s="170"/>
      <c r="D787" s="331">
        <v>780</v>
      </c>
      <c r="E787" s="544">
        <f>+DATE(YEAR(E786),MONTH(E786)-1,DAY(E786))</f>
        <v>25569.041666666668</v>
      </c>
      <c r="F787" s="333">
        <f>IF(DATE(YEAR($B$6),MONTH($B$6)+1,DAY(1))=E787,1,IF(MONTH(E787)=1,F788*(1+$F$5),F788))</f>
      </c>
      <c r="G787" s="333">
        <f>IF('Simulador - 1º Pilar'!$E$99="Sí",IF('Aportaciones PPE'!$B$13&lt;'Aportaciones PPE'!E787,0,F787*$B$8/12),F787*$B$8/12)</f>
      </c>
      <c r="H787" s="333">
        <f>$H$5*G787</f>
      </c>
      <c r="I787" s="333">
        <f>$I$5*G787</f>
      </c>
      <c r="J787" s="333">
        <f>+I787</f>
      </c>
      <c r="K787" s="333">
        <f>(1+$O$5)^(D787/12)*(H787+IF(AND(F787=1,F788=0),$S$4,0))</f>
      </c>
      <c r="L787" s="333">
        <f>(1+$O$5)^(D787/12)*(I787+IF(AND(F787=1,F788=0),0))</f>
      </c>
      <c r="M787" s="333">
        <f>+L787</f>
      </c>
      <c r="N787" s="333">
        <f>L787+K787+M787</f>
      </c>
      <c r="O787" s="170"/>
      <c r="P787" s="7"/>
      <c r="Q787" s="1"/>
      <c r="R787" s="331">
        <f>D787</f>
      </c>
      <c r="S787" s="169"/>
      <c r="T787" s="1"/>
      <c r="U787" s="217"/>
      <c r="V787" s="331">
        <f>+IF(V786=11,12,IF(V786=12,1,V786+1))</f>
      </c>
      <c r="W787" s="331">
        <f>+W786+IF(V786=12,1,0)</f>
      </c>
      <c r="X787" s="555">
        <f>+DATE(W787,V787,1)</f>
        <v>25569.041666666668</v>
      </c>
      <c r="Y787" s="333">
        <f>+_xlfn.IFNA(AN787+AS787+AX787,0)</f>
      </c>
      <c r="Z787" s="333">
        <f>+_xlfn.IFNA(AO787+AT787+AY787,0)</f>
      </c>
      <c r="AA787" s="333">
        <f>Y787*(1+$O$5)^(($B$7-X787)/365.25)</f>
      </c>
      <c r="AB787" s="333">
        <f>Z787*(1+$O$5)^(($B$7-X787)/365.25)</f>
      </c>
      <c r="AC787" s="1"/>
      <c r="AD787" s="1"/>
      <c r="AE787" s="1"/>
      <c r="AF787" s="111">
        <f>+MONTH(E787)&amp;YEAR(E787)</f>
      </c>
      <c r="AG787" s="217">
        <f>+I787</f>
      </c>
      <c r="AH787" s="217">
        <f>+J787</f>
      </c>
      <c r="AI787" s="217">
        <f>+H787</f>
      </c>
      <c r="AJ787" s="111">
        <f>+V787&amp;W787</f>
      </c>
      <c r="AK787" s="217">
        <f>+_xlfn.IFNA(VLOOKUP(AJ787,$AF$7:$AG$1066,2,0),0)</f>
      </c>
      <c r="AL787" s="217">
        <f>+IF(W787&gt;W786,AK787,AL786+AK787)</f>
      </c>
      <c r="AM787" s="217">
        <f>IF(W787&gt;W786,IF(AL787&gt;=$AZ$8,$AZ$8,AL787),IF(OR(AM786=$AZ$8,AM786=0),0,IF(AL787&gt;=$AZ$8,$AZ$8,AL787)))</f>
      </c>
      <c r="AN787" s="748">
        <f>+IF(OR(AM787&gt;AZ786,AM787=0),0,IF(AM787=AL787,AK787,$AZ$7-AL786))</f>
      </c>
      <c r="AO787" s="748">
        <f>+AK787-AN787</f>
      </c>
      <c r="AP787" s="217">
        <f>+_xlfn.IFNA(VLOOKUP(AJ787,$AF$7:$AI$1066,3,0),0)</f>
      </c>
      <c r="AQ787" s="217">
        <f>+IF(W787&gt;W786,AP787,AQ786+AP787)</f>
      </c>
      <c r="AR787" s="217">
        <f>+MAX($AM$2-SUMIF($W$7:$W$1066,W787,$AN$7:$AN$1066),0)</f>
      </c>
      <c r="AS787" s="748">
        <f>+MAX(IF(AQ787&gt;AR787,AR787-AQ786,AP787),0)</f>
      </c>
      <c r="AT787" s="748">
        <f>+AP787-AS787</f>
      </c>
      <c r="AU787" s="217">
        <f>+_xlfn.IFNA(VLOOKUP(AJ787,$AF$7:$AI$1066,4,0),0)</f>
      </c>
      <c r="AV787" s="217">
        <f>+IF(W787&gt;W786,AU787,AV786+AU787)</f>
      </c>
      <c r="AW787" s="217">
        <f>+MAX($AM$2-SUMIF($W$7:$W$1066,W787,$AN$7:$AN$1066)-SUMIF($W$7:$W$1066,W787,$AS$7:$AS$1066),0)</f>
      </c>
      <c r="AX787" s="748">
        <f>+MAX(IF(AV787&gt;AW787,AW787-AV786,AU787),0)</f>
      </c>
      <c r="AY787" s="748">
        <f>+AU787-AX787</f>
      </c>
      <c r="AZ787" s="331">
        <f>+$AM$1+IF($AP$1&gt;$AP$2,$AM$3/2)</f>
      </c>
    </row>
    <row x14ac:dyDescent="0.25" r="788" customHeight="1" ht="18.75">
      <c r="A788" s="1"/>
      <c r="B788" s="7"/>
      <c r="C788" s="170"/>
      <c r="D788" s="331">
        <v>781</v>
      </c>
      <c r="E788" s="544">
        <f>+DATE(YEAR(E787),MONTH(E787)-1,DAY(E787))</f>
        <v>25569.041666666668</v>
      </c>
      <c r="F788" s="333">
        <f>IF(DATE(YEAR($B$6),MONTH($B$6)+1,DAY(1))=E788,1,IF(MONTH(E788)=1,F789*(1+$F$5),F789))</f>
      </c>
      <c r="G788" s="333">
        <f>IF('Simulador - 1º Pilar'!$E$99="Sí",IF('Aportaciones PPE'!$B$13&lt;'Aportaciones PPE'!E788,0,F788*$B$8/12),F788*$B$8/12)</f>
      </c>
      <c r="H788" s="333">
        <f>$H$5*G788</f>
      </c>
      <c r="I788" s="333">
        <f>$I$5*G788</f>
      </c>
      <c r="J788" s="333">
        <f>+I788</f>
      </c>
      <c r="K788" s="333">
        <f>(1+$O$5)^(D788/12)*(H788+IF(AND(F788=1,F789=0),$S$4,0))</f>
      </c>
      <c r="L788" s="333">
        <f>(1+$O$5)^(D788/12)*(I788+IF(AND(F788=1,F789=0),0))</f>
      </c>
      <c r="M788" s="333">
        <f>+L788</f>
      </c>
      <c r="N788" s="333">
        <f>L788+K788+M788</f>
      </c>
      <c r="O788" s="170"/>
      <c r="P788" s="7"/>
      <c r="Q788" s="1"/>
      <c r="R788" s="331">
        <f>D788</f>
      </c>
      <c r="S788" s="169"/>
      <c r="T788" s="1"/>
      <c r="U788" s="217"/>
      <c r="V788" s="331">
        <f>+IF(V787=11,12,IF(V787=12,1,V787+1))</f>
      </c>
      <c r="W788" s="331">
        <f>+W787+IF(V787=12,1,0)</f>
      </c>
      <c r="X788" s="555">
        <f>+DATE(W788,V788,1)</f>
        <v>25569.041666666668</v>
      </c>
      <c r="Y788" s="333">
        <f>+_xlfn.IFNA(AN788+AS788+AX788,0)</f>
      </c>
      <c r="Z788" s="333">
        <f>+_xlfn.IFNA(AO788+AT788+AY788,0)</f>
      </c>
      <c r="AA788" s="333">
        <f>Y788*(1+$O$5)^(($B$7-X788)/365.25)</f>
      </c>
      <c r="AB788" s="333">
        <f>Z788*(1+$O$5)^(($B$7-X788)/365.25)</f>
      </c>
      <c r="AC788" s="1"/>
      <c r="AD788" s="1"/>
      <c r="AE788" s="1"/>
      <c r="AF788" s="111">
        <f>+MONTH(E788)&amp;YEAR(E788)</f>
      </c>
      <c r="AG788" s="217">
        <f>+I788</f>
      </c>
      <c r="AH788" s="217">
        <f>+J788</f>
      </c>
      <c r="AI788" s="217">
        <f>+H788</f>
      </c>
      <c r="AJ788" s="111">
        <f>+V788&amp;W788</f>
      </c>
      <c r="AK788" s="217">
        <f>+_xlfn.IFNA(VLOOKUP(AJ788,$AF$7:$AG$1066,2,0),0)</f>
      </c>
      <c r="AL788" s="217">
        <f>+IF(W788&gt;W787,AK788,AL787+AK788)</f>
      </c>
      <c r="AM788" s="217">
        <f>IF(W788&gt;W787,IF(AL788&gt;=$AZ$8,$AZ$8,AL788),IF(OR(AM787=$AZ$8,AM787=0),0,IF(AL788&gt;=$AZ$8,$AZ$8,AL788)))</f>
      </c>
      <c r="AN788" s="748">
        <f>+IF(OR(AM788&gt;AZ787,AM788=0),0,IF(AM788=AL788,AK788,$AZ$7-AL787))</f>
      </c>
      <c r="AO788" s="748">
        <f>+AK788-AN788</f>
      </c>
      <c r="AP788" s="217">
        <f>+_xlfn.IFNA(VLOOKUP(AJ788,$AF$7:$AI$1066,3,0),0)</f>
      </c>
      <c r="AQ788" s="217">
        <f>+IF(W788&gt;W787,AP788,AQ787+AP788)</f>
      </c>
      <c r="AR788" s="217">
        <f>+MAX($AM$2-SUMIF($W$7:$W$1066,W788,$AN$7:$AN$1066),0)</f>
      </c>
      <c r="AS788" s="748">
        <f>+MAX(IF(AQ788&gt;AR788,AR788-AQ787,AP788),0)</f>
      </c>
      <c r="AT788" s="748">
        <f>+AP788-AS788</f>
      </c>
      <c r="AU788" s="217">
        <f>+_xlfn.IFNA(VLOOKUP(AJ788,$AF$7:$AI$1066,4,0),0)</f>
      </c>
      <c r="AV788" s="217">
        <f>+IF(W788&gt;W787,AU788,AV787+AU788)</f>
      </c>
      <c r="AW788" s="217">
        <f>+MAX($AM$2-SUMIF($W$7:$W$1066,W788,$AN$7:$AN$1066)-SUMIF($W$7:$W$1066,W788,$AS$7:$AS$1066),0)</f>
      </c>
      <c r="AX788" s="748">
        <f>+MAX(IF(AV788&gt;AW788,AW788-AV787,AU788),0)</f>
      </c>
      <c r="AY788" s="748">
        <f>+AU788-AX788</f>
      </c>
      <c r="AZ788" s="331">
        <f>+$AM$1+IF($AP$1&gt;$AP$2,$AM$3/2)</f>
      </c>
    </row>
    <row x14ac:dyDescent="0.25" r="789" customHeight="1" ht="18.75">
      <c r="A789" s="1"/>
      <c r="B789" s="7"/>
      <c r="C789" s="170"/>
      <c r="D789" s="331">
        <v>782</v>
      </c>
      <c r="E789" s="544">
        <f>+DATE(YEAR(E788),MONTH(E788)-1,DAY(E788))</f>
        <v>25569.041666666668</v>
      </c>
      <c r="F789" s="333">
        <f>IF(DATE(YEAR($B$6),MONTH($B$6)+1,DAY(1))=E789,1,IF(MONTH(E789)=1,F790*(1+$F$5),F790))</f>
      </c>
      <c r="G789" s="333">
        <f>IF('Simulador - 1º Pilar'!$E$99="Sí",IF('Aportaciones PPE'!$B$13&lt;'Aportaciones PPE'!E789,0,F789*$B$8/12),F789*$B$8/12)</f>
      </c>
      <c r="H789" s="333">
        <f>$H$5*G789</f>
      </c>
      <c r="I789" s="333">
        <f>$I$5*G789</f>
      </c>
      <c r="J789" s="333">
        <f>+I789</f>
      </c>
      <c r="K789" s="333">
        <f>(1+$O$5)^(D789/12)*(H789+IF(AND(F789=1,F790=0),$S$4,0))</f>
      </c>
      <c r="L789" s="333">
        <f>(1+$O$5)^(D789/12)*(I789+IF(AND(F789=1,F790=0),0))</f>
      </c>
      <c r="M789" s="333">
        <f>+L789</f>
      </c>
      <c r="N789" s="333">
        <f>L789+K789+M789</f>
      </c>
      <c r="O789" s="170"/>
      <c r="P789" s="7"/>
      <c r="Q789" s="1"/>
      <c r="R789" s="331">
        <f>D789</f>
      </c>
      <c r="S789" s="169"/>
      <c r="T789" s="1"/>
      <c r="U789" s="217"/>
      <c r="V789" s="331">
        <f>+IF(V788=11,12,IF(V788=12,1,V788+1))</f>
      </c>
      <c r="W789" s="331">
        <f>+W788+IF(V788=12,1,0)</f>
      </c>
      <c r="X789" s="555">
        <f>+DATE(W789,V789,1)</f>
        <v>25569.041666666668</v>
      </c>
      <c r="Y789" s="333">
        <f>+_xlfn.IFNA(AN789+AS789+AX789,0)</f>
      </c>
      <c r="Z789" s="333">
        <f>+_xlfn.IFNA(AO789+AT789+AY789,0)</f>
      </c>
      <c r="AA789" s="333">
        <f>Y789*(1+$O$5)^(($B$7-X789)/365.25)</f>
      </c>
      <c r="AB789" s="333">
        <f>Z789*(1+$O$5)^(($B$7-X789)/365.25)</f>
      </c>
      <c r="AC789" s="1"/>
      <c r="AD789" s="1"/>
      <c r="AE789" s="1"/>
      <c r="AF789" s="111">
        <f>+MONTH(E789)&amp;YEAR(E789)</f>
      </c>
      <c r="AG789" s="217">
        <f>+I789</f>
      </c>
      <c r="AH789" s="217">
        <f>+J789</f>
      </c>
      <c r="AI789" s="217">
        <f>+H789</f>
      </c>
      <c r="AJ789" s="111">
        <f>+V789&amp;W789</f>
      </c>
      <c r="AK789" s="217">
        <f>+_xlfn.IFNA(VLOOKUP(AJ789,$AF$7:$AG$1066,2,0),0)</f>
      </c>
      <c r="AL789" s="217">
        <f>+IF(W789&gt;W788,AK789,AL788+AK789)</f>
      </c>
      <c r="AM789" s="217">
        <f>IF(W789&gt;W788,IF(AL789&gt;=$AZ$8,$AZ$8,AL789),IF(OR(AM788=$AZ$8,AM788=0),0,IF(AL789&gt;=$AZ$8,$AZ$8,AL789)))</f>
      </c>
      <c r="AN789" s="748">
        <f>+IF(OR(AM789&gt;AZ788,AM789=0),0,IF(AM789=AL789,AK789,$AZ$7-AL788))</f>
      </c>
      <c r="AO789" s="748">
        <f>+AK789-AN789</f>
      </c>
      <c r="AP789" s="217">
        <f>+_xlfn.IFNA(VLOOKUP(AJ789,$AF$7:$AI$1066,3,0),0)</f>
      </c>
      <c r="AQ789" s="217">
        <f>+IF(W789&gt;W788,AP789,AQ788+AP789)</f>
      </c>
      <c r="AR789" s="217">
        <f>+MAX($AM$2-SUMIF($W$7:$W$1066,W789,$AN$7:$AN$1066),0)</f>
      </c>
      <c r="AS789" s="748">
        <f>+MAX(IF(AQ789&gt;AR789,AR789-AQ788,AP789),0)</f>
      </c>
      <c r="AT789" s="748">
        <f>+AP789-AS789</f>
      </c>
      <c r="AU789" s="217">
        <f>+_xlfn.IFNA(VLOOKUP(AJ789,$AF$7:$AI$1066,4,0),0)</f>
      </c>
      <c r="AV789" s="217">
        <f>+IF(W789&gt;W788,AU789,AV788+AU789)</f>
      </c>
      <c r="AW789" s="217">
        <f>+MAX($AM$2-SUMIF($W$7:$W$1066,W789,$AN$7:$AN$1066)-SUMIF($W$7:$W$1066,W789,$AS$7:$AS$1066),0)</f>
      </c>
      <c r="AX789" s="748">
        <f>+MAX(IF(AV789&gt;AW789,AW789-AV788,AU789),0)</f>
      </c>
      <c r="AY789" s="748">
        <f>+AU789-AX789</f>
      </c>
      <c r="AZ789" s="331">
        <f>+$AM$1+IF($AP$1&gt;$AP$2,$AM$3/2)</f>
      </c>
    </row>
    <row x14ac:dyDescent="0.25" r="790" customHeight="1" ht="18.75">
      <c r="A790" s="1"/>
      <c r="B790" s="7"/>
      <c r="C790" s="170"/>
      <c r="D790" s="331">
        <v>783</v>
      </c>
      <c r="E790" s="544">
        <f>+DATE(YEAR(E789),MONTH(E789)-1,DAY(E789))</f>
        <v>25569.041666666668</v>
      </c>
      <c r="F790" s="333">
        <f>IF(DATE(YEAR($B$6),MONTH($B$6)+1,DAY(1))=E790,1,IF(MONTH(E790)=1,F791*(1+$F$5),F791))</f>
      </c>
      <c r="G790" s="333">
        <f>IF('Simulador - 1º Pilar'!$E$99="Sí",IF('Aportaciones PPE'!$B$13&lt;'Aportaciones PPE'!E790,0,F790*$B$8/12),F790*$B$8/12)</f>
      </c>
      <c r="H790" s="333">
        <f>$H$5*G790</f>
      </c>
      <c r="I790" s="333">
        <f>$I$5*G790</f>
      </c>
      <c r="J790" s="333">
        <f>+I790</f>
      </c>
      <c r="K790" s="333">
        <f>(1+$O$5)^(D790/12)*(H790+IF(AND(F790=1,F791=0),$S$4,0))</f>
      </c>
      <c r="L790" s="333">
        <f>(1+$O$5)^(D790/12)*(I790+IF(AND(F790=1,F791=0),0))</f>
      </c>
      <c r="M790" s="333">
        <f>+L790</f>
      </c>
      <c r="N790" s="333">
        <f>L790+K790+M790</f>
      </c>
      <c r="O790" s="170"/>
      <c r="P790" s="7"/>
      <c r="Q790" s="1"/>
      <c r="R790" s="331">
        <f>D790</f>
      </c>
      <c r="S790" s="169"/>
      <c r="T790" s="1"/>
      <c r="U790" s="217"/>
      <c r="V790" s="331">
        <f>+IF(V789=11,12,IF(V789=12,1,V789+1))</f>
      </c>
      <c r="W790" s="331">
        <f>+W789+IF(V789=12,1,0)</f>
      </c>
      <c r="X790" s="555">
        <f>+DATE(W790,V790,1)</f>
        <v>25569.041666666668</v>
      </c>
      <c r="Y790" s="333">
        <f>+_xlfn.IFNA(AN790+AS790+AX790,0)</f>
      </c>
      <c r="Z790" s="333">
        <f>+_xlfn.IFNA(AO790+AT790+AY790,0)</f>
      </c>
      <c r="AA790" s="333">
        <f>Y790*(1+$O$5)^(($B$7-X790)/365.25)</f>
      </c>
      <c r="AB790" s="333">
        <f>Z790*(1+$O$5)^(($B$7-X790)/365.25)</f>
      </c>
      <c r="AC790" s="1"/>
      <c r="AD790" s="1"/>
      <c r="AE790" s="1"/>
      <c r="AF790" s="111">
        <f>+MONTH(E790)&amp;YEAR(E790)</f>
      </c>
      <c r="AG790" s="217">
        <f>+I790</f>
      </c>
      <c r="AH790" s="217">
        <f>+J790</f>
      </c>
      <c r="AI790" s="217">
        <f>+H790</f>
      </c>
      <c r="AJ790" s="111">
        <f>+V790&amp;W790</f>
      </c>
      <c r="AK790" s="217">
        <f>+_xlfn.IFNA(VLOOKUP(AJ790,$AF$7:$AG$1066,2,0),0)</f>
      </c>
      <c r="AL790" s="217">
        <f>+IF(W790&gt;W789,AK790,AL789+AK790)</f>
      </c>
      <c r="AM790" s="217">
        <f>IF(W790&gt;W789,IF(AL790&gt;=$AZ$8,$AZ$8,AL790),IF(OR(AM789=$AZ$8,AM789=0),0,IF(AL790&gt;=$AZ$8,$AZ$8,AL790)))</f>
      </c>
      <c r="AN790" s="748">
        <f>+IF(OR(AM790&gt;AZ789,AM790=0),0,IF(AM790=AL790,AK790,$AZ$7-AL789))</f>
      </c>
      <c r="AO790" s="748">
        <f>+AK790-AN790</f>
      </c>
      <c r="AP790" s="217">
        <f>+_xlfn.IFNA(VLOOKUP(AJ790,$AF$7:$AI$1066,3,0),0)</f>
      </c>
      <c r="AQ790" s="217">
        <f>+IF(W790&gt;W789,AP790,AQ789+AP790)</f>
      </c>
      <c r="AR790" s="217">
        <f>+MAX($AM$2-SUMIF($W$7:$W$1066,W790,$AN$7:$AN$1066),0)</f>
      </c>
      <c r="AS790" s="748">
        <f>+MAX(IF(AQ790&gt;AR790,AR790-AQ789,AP790),0)</f>
      </c>
      <c r="AT790" s="748">
        <f>+AP790-AS790</f>
      </c>
      <c r="AU790" s="217">
        <f>+_xlfn.IFNA(VLOOKUP(AJ790,$AF$7:$AI$1066,4,0),0)</f>
      </c>
      <c r="AV790" s="217">
        <f>+IF(W790&gt;W789,AU790,AV789+AU790)</f>
      </c>
      <c r="AW790" s="217">
        <f>+MAX($AM$2-SUMIF($W$7:$W$1066,W790,$AN$7:$AN$1066)-SUMIF($W$7:$W$1066,W790,$AS$7:$AS$1066),0)</f>
      </c>
      <c r="AX790" s="748">
        <f>+MAX(IF(AV790&gt;AW790,AW790-AV789,AU790),0)</f>
      </c>
      <c r="AY790" s="748">
        <f>+AU790-AX790</f>
      </c>
      <c r="AZ790" s="331">
        <f>+$AM$1+IF($AP$1&gt;$AP$2,$AM$3/2)</f>
      </c>
    </row>
    <row x14ac:dyDescent="0.25" r="791" customHeight="1" ht="18.75">
      <c r="A791" s="1"/>
      <c r="B791" s="7"/>
      <c r="C791" s="170"/>
      <c r="D791" s="331">
        <v>784</v>
      </c>
      <c r="E791" s="544">
        <f>+DATE(YEAR(E790),MONTH(E790)-1,DAY(E790))</f>
        <v>25569.041666666668</v>
      </c>
      <c r="F791" s="333">
        <f>IF(DATE(YEAR($B$6),MONTH($B$6)+1,DAY(1))=E791,1,IF(MONTH(E791)=1,F792*(1+$F$5),F792))</f>
      </c>
      <c r="G791" s="333">
        <f>IF('Simulador - 1º Pilar'!$E$99="Sí",IF('Aportaciones PPE'!$B$13&lt;'Aportaciones PPE'!E791,0,F791*$B$8/12),F791*$B$8/12)</f>
      </c>
      <c r="H791" s="333">
        <f>$H$5*G791</f>
      </c>
      <c r="I791" s="333">
        <f>$I$5*G791</f>
      </c>
      <c r="J791" s="333">
        <f>+I791</f>
      </c>
      <c r="K791" s="333">
        <f>(1+$O$5)^(D791/12)*(H791+IF(AND(F791=1,F792=0),$S$4,0))</f>
      </c>
      <c r="L791" s="333">
        <f>(1+$O$5)^(D791/12)*(I791+IF(AND(F791=1,F792=0),0))</f>
      </c>
      <c r="M791" s="333">
        <f>+L791</f>
      </c>
      <c r="N791" s="333">
        <f>L791+K791+M791</f>
      </c>
      <c r="O791" s="170"/>
      <c r="P791" s="7"/>
      <c r="Q791" s="1"/>
      <c r="R791" s="331">
        <f>D791</f>
      </c>
      <c r="S791" s="169"/>
      <c r="T791" s="1"/>
      <c r="U791" s="217"/>
      <c r="V791" s="331">
        <f>+IF(V790=11,12,IF(V790=12,1,V790+1))</f>
      </c>
      <c r="W791" s="331">
        <f>+W790+IF(V790=12,1,0)</f>
      </c>
      <c r="X791" s="555">
        <f>+DATE(W791,V791,1)</f>
        <v>25569.041666666668</v>
      </c>
      <c r="Y791" s="333">
        <f>+_xlfn.IFNA(AN791+AS791+AX791,0)</f>
      </c>
      <c r="Z791" s="333">
        <f>+_xlfn.IFNA(AO791+AT791+AY791,0)</f>
      </c>
      <c r="AA791" s="333">
        <f>Y791*(1+$O$5)^(($B$7-X791)/365.25)</f>
      </c>
      <c r="AB791" s="333">
        <f>Z791*(1+$O$5)^(($B$7-X791)/365.25)</f>
      </c>
      <c r="AC791" s="1"/>
      <c r="AD791" s="1"/>
      <c r="AE791" s="1"/>
      <c r="AF791" s="111">
        <f>+MONTH(E791)&amp;YEAR(E791)</f>
      </c>
      <c r="AG791" s="217">
        <f>+I791</f>
      </c>
      <c r="AH791" s="217">
        <f>+J791</f>
      </c>
      <c r="AI791" s="217">
        <f>+H791</f>
      </c>
      <c r="AJ791" s="111">
        <f>+V791&amp;W791</f>
      </c>
      <c r="AK791" s="217">
        <f>+_xlfn.IFNA(VLOOKUP(AJ791,$AF$7:$AG$1066,2,0),0)</f>
      </c>
      <c r="AL791" s="217">
        <f>+IF(W791&gt;W790,AK791,AL790+AK791)</f>
      </c>
      <c r="AM791" s="217">
        <f>IF(W791&gt;W790,IF(AL791&gt;=$AZ$8,$AZ$8,AL791),IF(OR(AM790=$AZ$8,AM790=0),0,IF(AL791&gt;=$AZ$8,$AZ$8,AL791)))</f>
      </c>
      <c r="AN791" s="748">
        <f>+IF(OR(AM791&gt;AZ790,AM791=0),0,IF(AM791=AL791,AK791,$AZ$7-AL790))</f>
      </c>
      <c r="AO791" s="748">
        <f>+AK791-AN791</f>
      </c>
      <c r="AP791" s="217">
        <f>+_xlfn.IFNA(VLOOKUP(AJ791,$AF$7:$AI$1066,3,0),0)</f>
      </c>
      <c r="AQ791" s="217">
        <f>+IF(W791&gt;W790,AP791,AQ790+AP791)</f>
      </c>
      <c r="AR791" s="217">
        <f>+MAX($AM$2-SUMIF($W$7:$W$1066,W791,$AN$7:$AN$1066),0)</f>
      </c>
      <c r="AS791" s="748">
        <f>+MAX(IF(AQ791&gt;AR791,AR791-AQ790,AP791),0)</f>
      </c>
      <c r="AT791" s="748">
        <f>+AP791-AS791</f>
      </c>
      <c r="AU791" s="217">
        <f>+_xlfn.IFNA(VLOOKUP(AJ791,$AF$7:$AI$1066,4,0),0)</f>
      </c>
      <c r="AV791" s="217">
        <f>+IF(W791&gt;W790,AU791,AV790+AU791)</f>
      </c>
      <c r="AW791" s="217">
        <f>+MAX($AM$2-SUMIF($W$7:$W$1066,W791,$AN$7:$AN$1066)-SUMIF($W$7:$W$1066,W791,$AS$7:$AS$1066),0)</f>
      </c>
      <c r="AX791" s="748">
        <f>+MAX(IF(AV791&gt;AW791,AW791-AV790,AU791),0)</f>
      </c>
      <c r="AY791" s="748">
        <f>+AU791-AX791</f>
      </c>
      <c r="AZ791" s="331">
        <f>+$AM$1+IF($AP$1&gt;$AP$2,$AM$3/2)</f>
      </c>
    </row>
    <row x14ac:dyDescent="0.25" r="792" customHeight="1" ht="18.75">
      <c r="A792" s="1"/>
      <c r="B792" s="7"/>
      <c r="C792" s="170"/>
      <c r="D792" s="331">
        <v>785</v>
      </c>
      <c r="E792" s="544">
        <f>+DATE(YEAR(E791),MONTH(E791)-1,DAY(E791))</f>
        <v>25569.041666666668</v>
      </c>
      <c r="F792" s="333">
        <f>IF(DATE(YEAR($B$6),MONTH($B$6)+1,DAY(1))=E792,1,IF(MONTH(E792)=1,F793*(1+$F$5),F793))</f>
      </c>
      <c r="G792" s="333">
        <f>IF('Simulador - 1º Pilar'!$E$99="Sí",IF('Aportaciones PPE'!$B$13&lt;'Aportaciones PPE'!E792,0,F792*$B$8/12),F792*$B$8/12)</f>
      </c>
      <c r="H792" s="333">
        <f>$H$5*G792</f>
      </c>
      <c r="I792" s="333">
        <f>$I$5*G792</f>
      </c>
      <c r="J792" s="333">
        <f>+I792</f>
      </c>
      <c r="K792" s="333">
        <f>(1+$O$5)^(D792/12)*(H792+IF(AND(F792=1,F793=0),$S$4,0))</f>
      </c>
      <c r="L792" s="333">
        <f>(1+$O$5)^(D792/12)*(I792+IF(AND(F792=1,F793=0),0))</f>
      </c>
      <c r="M792" s="333">
        <f>+L792</f>
      </c>
      <c r="N792" s="333">
        <f>L792+K792+M792</f>
      </c>
      <c r="O792" s="170"/>
      <c r="P792" s="7"/>
      <c r="Q792" s="1"/>
      <c r="R792" s="331">
        <f>D792</f>
      </c>
      <c r="S792" s="169"/>
      <c r="T792" s="1"/>
      <c r="U792" s="217"/>
      <c r="V792" s="331">
        <f>+IF(V791=11,12,IF(V791=12,1,V791+1))</f>
      </c>
      <c r="W792" s="331">
        <f>+W791+IF(V791=12,1,0)</f>
      </c>
      <c r="X792" s="555">
        <f>+DATE(W792,V792,1)</f>
        <v>25569.041666666668</v>
      </c>
      <c r="Y792" s="333">
        <f>+_xlfn.IFNA(AN792+AS792+AX792,0)</f>
      </c>
      <c r="Z792" s="333">
        <f>+_xlfn.IFNA(AO792+AT792+AY792,0)</f>
      </c>
      <c r="AA792" s="333">
        <f>Y792*(1+$O$5)^(($B$7-X792)/365.25)</f>
      </c>
      <c r="AB792" s="333">
        <f>Z792*(1+$O$5)^(($B$7-X792)/365.25)</f>
      </c>
      <c r="AC792" s="1"/>
      <c r="AD792" s="1"/>
      <c r="AE792" s="1"/>
      <c r="AF792" s="111">
        <f>+MONTH(E792)&amp;YEAR(E792)</f>
      </c>
      <c r="AG792" s="217">
        <f>+I792</f>
      </c>
      <c r="AH792" s="217">
        <f>+J792</f>
      </c>
      <c r="AI792" s="217">
        <f>+H792</f>
      </c>
      <c r="AJ792" s="111">
        <f>+V792&amp;W792</f>
      </c>
      <c r="AK792" s="217">
        <f>+_xlfn.IFNA(VLOOKUP(AJ792,$AF$7:$AG$1066,2,0),0)</f>
      </c>
      <c r="AL792" s="217">
        <f>+IF(W792&gt;W791,AK792,AL791+AK792)</f>
      </c>
      <c r="AM792" s="217">
        <f>IF(W792&gt;W791,IF(AL792&gt;=$AZ$8,$AZ$8,AL792),IF(OR(AM791=$AZ$8,AM791=0),0,IF(AL792&gt;=$AZ$8,$AZ$8,AL792)))</f>
      </c>
      <c r="AN792" s="748">
        <f>+IF(OR(AM792&gt;AZ791,AM792=0),0,IF(AM792=AL792,AK792,$AZ$7-AL791))</f>
      </c>
      <c r="AO792" s="748">
        <f>+AK792-AN792</f>
      </c>
      <c r="AP792" s="217">
        <f>+_xlfn.IFNA(VLOOKUP(AJ792,$AF$7:$AI$1066,3,0),0)</f>
      </c>
      <c r="AQ792" s="217">
        <f>+IF(W792&gt;W791,AP792,AQ791+AP792)</f>
      </c>
      <c r="AR792" s="217">
        <f>+MAX($AM$2-SUMIF($W$7:$W$1066,W792,$AN$7:$AN$1066),0)</f>
      </c>
      <c r="AS792" s="748">
        <f>+MAX(IF(AQ792&gt;AR792,AR792-AQ791,AP792),0)</f>
      </c>
      <c r="AT792" s="748">
        <f>+AP792-AS792</f>
      </c>
      <c r="AU792" s="217">
        <f>+_xlfn.IFNA(VLOOKUP(AJ792,$AF$7:$AI$1066,4,0),0)</f>
      </c>
      <c r="AV792" s="217">
        <f>+IF(W792&gt;W791,AU792,AV791+AU792)</f>
      </c>
      <c r="AW792" s="217">
        <f>+MAX($AM$2-SUMIF($W$7:$W$1066,W792,$AN$7:$AN$1066)-SUMIF($W$7:$W$1066,W792,$AS$7:$AS$1066),0)</f>
      </c>
      <c r="AX792" s="748">
        <f>+MAX(IF(AV792&gt;AW792,AW792-AV791,AU792),0)</f>
      </c>
      <c r="AY792" s="748">
        <f>+AU792-AX792</f>
      </c>
      <c r="AZ792" s="331">
        <f>+$AM$1+IF($AP$1&gt;$AP$2,$AM$3/2)</f>
      </c>
    </row>
    <row x14ac:dyDescent="0.25" r="793" customHeight="1" ht="18.75">
      <c r="A793" s="1"/>
      <c r="B793" s="7"/>
      <c r="C793" s="170"/>
      <c r="D793" s="331">
        <v>786</v>
      </c>
      <c r="E793" s="544">
        <f>+DATE(YEAR(E792),MONTH(E792)-1,DAY(E792))</f>
        <v>25569.041666666668</v>
      </c>
      <c r="F793" s="333">
        <f>IF(DATE(YEAR($B$6),MONTH($B$6)+1,DAY(1))=E793,1,IF(MONTH(E793)=1,F794*(1+$F$5),F794))</f>
      </c>
      <c r="G793" s="333">
        <f>IF('Simulador - 1º Pilar'!$E$99="Sí",IF('Aportaciones PPE'!$B$13&lt;'Aportaciones PPE'!E793,0,F793*$B$8/12),F793*$B$8/12)</f>
      </c>
      <c r="H793" s="333">
        <f>$H$5*G793</f>
      </c>
      <c r="I793" s="333">
        <f>$I$5*G793</f>
      </c>
      <c r="J793" s="333">
        <f>+I793</f>
      </c>
      <c r="K793" s="333">
        <f>(1+$O$5)^(D793/12)*(H793+IF(AND(F793=1,F794=0),$S$4,0))</f>
      </c>
      <c r="L793" s="333">
        <f>(1+$O$5)^(D793/12)*(I793+IF(AND(F793=1,F794=0),0))</f>
      </c>
      <c r="M793" s="333">
        <f>+L793</f>
      </c>
      <c r="N793" s="333">
        <f>L793+K793+M793</f>
      </c>
      <c r="O793" s="170"/>
      <c r="P793" s="7"/>
      <c r="Q793" s="1"/>
      <c r="R793" s="331">
        <f>D793</f>
      </c>
      <c r="S793" s="169"/>
      <c r="T793" s="1"/>
      <c r="U793" s="217"/>
      <c r="V793" s="331">
        <f>+IF(V792=11,12,IF(V792=12,1,V792+1))</f>
      </c>
      <c r="W793" s="331">
        <f>+W792+IF(V792=12,1,0)</f>
      </c>
      <c r="X793" s="555">
        <f>+DATE(W793,V793,1)</f>
        <v>25569.041666666668</v>
      </c>
      <c r="Y793" s="333">
        <f>+_xlfn.IFNA(AN793+AS793+AX793,0)</f>
      </c>
      <c r="Z793" s="333">
        <f>+_xlfn.IFNA(AO793+AT793+AY793,0)</f>
      </c>
      <c r="AA793" s="333">
        <f>Y793*(1+$O$5)^(($B$7-X793)/365.25)</f>
      </c>
      <c r="AB793" s="333">
        <f>Z793*(1+$O$5)^(($B$7-X793)/365.25)</f>
      </c>
      <c r="AC793" s="1"/>
      <c r="AD793" s="1"/>
      <c r="AE793" s="1"/>
      <c r="AF793" s="111">
        <f>+MONTH(E793)&amp;YEAR(E793)</f>
      </c>
      <c r="AG793" s="217">
        <f>+I793</f>
      </c>
      <c r="AH793" s="217">
        <f>+J793</f>
      </c>
      <c r="AI793" s="217">
        <f>+H793</f>
      </c>
      <c r="AJ793" s="111">
        <f>+V793&amp;W793</f>
      </c>
      <c r="AK793" s="217">
        <f>+_xlfn.IFNA(VLOOKUP(AJ793,$AF$7:$AG$1066,2,0),0)</f>
      </c>
      <c r="AL793" s="217">
        <f>+IF(W793&gt;W792,AK793,AL792+AK793)</f>
      </c>
      <c r="AM793" s="217">
        <f>IF(W793&gt;W792,IF(AL793&gt;=$AZ$8,$AZ$8,AL793),IF(OR(AM792=$AZ$8,AM792=0),0,IF(AL793&gt;=$AZ$8,$AZ$8,AL793)))</f>
      </c>
      <c r="AN793" s="748">
        <f>+IF(OR(AM793&gt;AZ792,AM793=0),0,IF(AM793=AL793,AK793,$AZ$7-AL792))</f>
      </c>
      <c r="AO793" s="748">
        <f>+AK793-AN793</f>
      </c>
      <c r="AP793" s="217">
        <f>+_xlfn.IFNA(VLOOKUP(AJ793,$AF$7:$AI$1066,3,0),0)</f>
      </c>
      <c r="AQ793" s="217">
        <f>+IF(W793&gt;W792,AP793,AQ792+AP793)</f>
      </c>
      <c r="AR793" s="217">
        <f>+MAX($AM$2-SUMIF($W$7:$W$1066,W793,$AN$7:$AN$1066),0)</f>
      </c>
      <c r="AS793" s="748">
        <f>+MAX(IF(AQ793&gt;AR793,AR793-AQ792,AP793),0)</f>
      </c>
      <c r="AT793" s="748">
        <f>+AP793-AS793</f>
      </c>
      <c r="AU793" s="217">
        <f>+_xlfn.IFNA(VLOOKUP(AJ793,$AF$7:$AI$1066,4,0),0)</f>
      </c>
      <c r="AV793" s="217">
        <f>+IF(W793&gt;W792,AU793,AV792+AU793)</f>
      </c>
      <c r="AW793" s="217">
        <f>+MAX($AM$2-SUMIF($W$7:$W$1066,W793,$AN$7:$AN$1066)-SUMIF($W$7:$W$1066,W793,$AS$7:$AS$1066),0)</f>
      </c>
      <c r="AX793" s="748">
        <f>+MAX(IF(AV793&gt;AW793,AW793-AV792,AU793),0)</f>
      </c>
      <c r="AY793" s="748">
        <f>+AU793-AX793</f>
      </c>
      <c r="AZ793" s="331">
        <f>+$AM$1+IF($AP$1&gt;$AP$2,$AM$3/2)</f>
      </c>
    </row>
    <row x14ac:dyDescent="0.25" r="794" customHeight="1" ht="18.75">
      <c r="A794" s="1"/>
      <c r="B794" s="7"/>
      <c r="C794" s="170"/>
      <c r="D794" s="331">
        <v>787</v>
      </c>
      <c r="E794" s="544">
        <f>+DATE(YEAR(E793),MONTH(E793)-1,DAY(E793))</f>
        <v>25569.041666666668</v>
      </c>
      <c r="F794" s="333">
        <f>IF(DATE(YEAR($B$6),MONTH($B$6)+1,DAY(1))=E794,1,IF(MONTH(E794)=1,F795*(1+$F$5),F795))</f>
      </c>
      <c r="G794" s="333">
        <f>IF('Simulador - 1º Pilar'!$E$99="Sí",IF('Aportaciones PPE'!$B$13&lt;'Aportaciones PPE'!E794,0,F794*$B$8/12),F794*$B$8/12)</f>
      </c>
      <c r="H794" s="333">
        <f>$H$5*G794</f>
      </c>
      <c r="I794" s="333">
        <f>$I$5*G794</f>
      </c>
      <c r="J794" s="333">
        <f>+I794</f>
      </c>
      <c r="K794" s="333">
        <f>(1+$O$5)^(D794/12)*(H794+IF(AND(F794=1,F795=0),$S$4,0))</f>
      </c>
      <c r="L794" s="333">
        <f>(1+$O$5)^(D794/12)*(I794+IF(AND(F794=1,F795=0),0))</f>
      </c>
      <c r="M794" s="333">
        <f>+L794</f>
      </c>
      <c r="N794" s="333">
        <f>L794+K794+M794</f>
      </c>
      <c r="O794" s="170"/>
      <c r="P794" s="7"/>
      <c r="Q794" s="1"/>
      <c r="R794" s="331">
        <f>D794</f>
      </c>
      <c r="S794" s="169"/>
      <c r="T794" s="1"/>
      <c r="U794" s="217"/>
      <c r="V794" s="331">
        <f>+IF(V793=11,12,IF(V793=12,1,V793+1))</f>
      </c>
      <c r="W794" s="331">
        <f>+W793+IF(V793=12,1,0)</f>
      </c>
      <c r="X794" s="555">
        <f>+DATE(W794,V794,1)</f>
        <v>25569.041666666668</v>
      </c>
      <c r="Y794" s="333">
        <f>+_xlfn.IFNA(AN794+AS794+AX794,0)</f>
      </c>
      <c r="Z794" s="333">
        <f>+_xlfn.IFNA(AO794+AT794+AY794,0)</f>
      </c>
      <c r="AA794" s="333">
        <f>Y794*(1+$O$5)^(($B$7-X794)/365.25)</f>
      </c>
      <c r="AB794" s="333">
        <f>Z794*(1+$O$5)^(($B$7-X794)/365.25)</f>
      </c>
      <c r="AC794" s="1"/>
      <c r="AD794" s="1"/>
      <c r="AE794" s="1"/>
      <c r="AF794" s="111">
        <f>+MONTH(E794)&amp;YEAR(E794)</f>
      </c>
      <c r="AG794" s="217">
        <f>+I794</f>
      </c>
      <c r="AH794" s="217">
        <f>+J794</f>
      </c>
      <c r="AI794" s="217">
        <f>+H794</f>
      </c>
      <c r="AJ794" s="111">
        <f>+V794&amp;W794</f>
      </c>
      <c r="AK794" s="217">
        <f>+_xlfn.IFNA(VLOOKUP(AJ794,$AF$7:$AG$1066,2,0),0)</f>
      </c>
      <c r="AL794" s="217">
        <f>+IF(W794&gt;W793,AK794,AL793+AK794)</f>
      </c>
      <c r="AM794" s="217">
        <f>IF(W794&gt;W793,IF(AL794&gt;=$AZ$8,$AZ$8,AL794),IF(OR(AM793=$AZ$8,AM793=0),0,IF(AL794&gt;=$AZ$8,$AZ$8,AL794)))</f>
      </c>
      <c r="AN794" s="748">
        <f>+IF(OR(AM794&gt;AZ793,AM794=0),0,IF(AM794=AL794,AK794,$AZ$7-AL793))</f>
      </c>
      <c r="AO794" s="748">
        <f>+AK794-AN794</f>
      </c>
      <c r="AP794" s="217">
        <f>+_xlfn.IFNA(VLOOKUP(AJ794,$AF$7:$AI$1066,3,0),0)</f>
      </c>
      <c r="AQ794" s="217">
        <f>+IF(W794&gt;W793,AP794,AQ793+AP794)</f>
      </c>
      <c r="AR794" s="217">
        <f>+MAX($AM$2-SUMIF($W$7:$W$1066,W794,$AN$7:$AN$1066),0)</f>
      </c>
      <c r="AS794" s="748">
        <f>+MAX(IF(AQ794&gt;AR794,AR794-AQ793,AP794),0)</f>
      </c>
      <c r="AT794" s="748">
        <f>+AP794-AS794</f>
      </c>
      <c r="AU794" s="217">
        <f>+_xlfn.IFNA(VLOOKUP(AJ794,$AF$7:$AI$1066,4,0),0)</f>
      </c>
      <c r="AV794" s="217">
        <f>+IF(W794&gt;W793,AU794,AV793+AU794)</f>
      </c>
      <c r="AW794" s="217">
        <f>+MAX($AM$2-SUMIF($W$7:$W$1066,W794,$AN$7:$AN$1066)-SUMIF($W$7:$W$1066,W794,$AS$7:$AS$1066),0)</f>
      </c>
      <c r="AX794" s="748">
        <f>+MAX(IF(AV794&gt;AW794,AW794-AV793,AU794),0)</f>
      </c>
      <c r="AY794" s="748">
        <f>+AU794-AX794</f>
      </c>
      <c r="AZ794" s="331">
        <f>+$AM$1+IF($AP$1&gt;$AP$2,$AM$3/2)</f>
      </c>
    </row>
    <row x14ac:dyDescent="0.25" r="795" customHeight="1" ht="18.75">
      <c r="A795" s="1"/>
      <c r="B795" s="7"/>
      <c r="C795" s="170"/>
      <c r="D795" s="331">
        <v>788</v>
      </c>
      <c r="E795" s="544">
        <f>+DATE(YEAR(E794),MONTH(E794)-1,DAY(E794))</f>
        <v>25569.041666666668</v>
      </c>
      <c r="F795" s="333">
        <f>IF(DATE(YEAR($B$6),MONTH($B$6)+1,DAY(1))=E795,1,IF(MONTH(E795)=1,F796*(1+$F$5),F796))</f>
      </c>
      <c r="G795" s="333">
        <f>IF('Simulador - 1º Pilar'!$E$99="Sí",IF('Aportaciones PPE'!$B$13&lt;'Aportaciones PPE'!E795,0,F795*$B$8/12),F795*$B$8/12)</f>
      </c>
      <c r="H795" s="333">
        <f>$H$5*G795</f>
      </c>
      <c r="I795" s="333">
        <f>$I$5*G795</f>
      </c>
      <c r="J795" s="333">
        <f>+I795</f>
      </c>
      <c r="K795" s="333">
        <f>(1+$O$5)^(D795/12)*(H795+IF(AND(F795=1,F796=0),$S$4,0))</f>
      </c>
      <c r="L795" s="333">
        <f>(1+$O$5)^(D795/12)*(I795+IF(AND(F795=1,F796=0),0))</f>
      </c>
      <c r="M795" s="333">
        <f>+L795</f>
      </c>
      <c r="N795" s="333">
        <f>L795+K795+M795</f>
      </c>
      <c r="O795" s="170"/>
      <c r="P795" s="7"/>
      <c r="Q795" s="1"/>
      <c r="R795" s="331">
        <f>D795</f>
      </c>
      <c r="S795" s="169"/>
      <c r="T795" s="1"/>
      <c r="U795" s="217"/>
      <c r="V795" s="331">
        <f>+IF(V794=11,12,IF(V794=12,1,V794+1))</f>
      </c>
      <c r="W795" s="331">
        <f>+W794+IF(V794=12,1,0)</f>
      </c>
      <c r="X795" s="555">
        <f>+DATE(W795,V795,1)</f>
        <v>25569.041666666668</v>
      </c>
      <c r="Y795" s="333">
        <f>+_xlfn.IFNA(AN795+AS795+AX795,0)</f>
      </c>
      <c r="Z795" s="333">
        <f>+_xlfn.IFNA(AO795+AT795+AY795,0)</f>
      </c>
      <c r="AA795" s="333">
        <f>Y795*(1+$O$5)^(($B$7-X795)/365.25)</f>
      </c>
      <c r="AB795" s="333">
        <f>Z795*(1+$O$5)^(($B$7-X795)/365.25)</f>
      </c>
      <c r="AC795" s="1"/>
      <c r="AD795" s="1"/>
      <c r="AE795" s="1"/>
      <c r="AF795" s="111">
        <f>+MONTH(E795)&amp;YEAR(E795)</f>
      </c>
      <c r="AG795" s="217">
        <f>+I795</f>
      </c>
      <c r="AH795" s="217">
        <f>+J795</f>
      </c>
      <c r="AI795" s="217">
        <f>+H795</f>
      </c>
      <c r="AJ795" s="111">
        <f>+V795&amp;W795</f>
      </c>
      <c r="AK795" s="217">
        <f>+_xlfn.IFNA(VLOOKUP(AJ795,$AF$7:$AG$1066,2,0),0)</f>
      </c>
      <c r="AL795" s="217">
        <f>+IF(W795&gt;W794,AK795,AL794+AK795)</f>
      </c>
      <c r="AM795" s="217">
        <f>IF(W795&gt;W794,IF(AL795&gt;=$AZ$8,$AZ$8,AL795),IF(OR(AM794=$AZ$8,AM794=0),0,IF(AL795&gt;=$AZ$8,$AZ$8,AL795)))</f>
      </c>
      <c r="AN795" s="748">
        <f>+IF(OR(AM795&gt;AZ794,AM795=0),0,IF(AM795=AL795,AK795,$AZ$7-AL794))</f>
      </c>
      <c r="AO795" s="748">
        <f>+AK795-AN795</f>
      </c>
      <c r="AP795" s="217">
        <f>+_xlfn.IFNA(VLOOKUP(AJ795,$AF$7:$AI$1066,3,0),0)</f>
      </c>
      <c r="AQ795" s="217">
        <f>+IF(W795&gt;W794,AP795,AQ794+AP795)</f>
      </c>
      <c r="AR795" s="217">
        <f>+MAX($AM$2-SUMIF($W$7:$W$1066,W795,$AN$7:$AN$1066),0)</f>
      </c>
      <c r="AS795" s="748">
        <f>+MAX(IF(AQ795&gt;AR795,AR795-AQ794,AP795),0)</f>
      </c>
      <c r="AT795" s="748">
        <f>+AP795-AS795</f>
      </c>
      <c r="AU795" s="217">
        <f>+_xlfn.IFNA(VLOOKUP(AJ795,$AF$7:$AI$1066,4,0),0)</f>
      </c>
      <c r="AV795" s="217">
        <f>+IF(W795&gt;W794,AU795,AV794+AU795)</f>
      </c>
      <c r="AW795" s="217">
        <f>+MAX($AM$2-SUMIF($W$7:$W$1066,W795,$AN$7:$AN$1066)-SUMIF($W$7:$W$1066,W795,$AS$7:$AS$1066),0)</f>
      </c>
      <c r="AX795" s="748">
        <f>+MAX(IF(AV795&gt;AW795,AW795-AV794,AU795),0)</f>
      </c>
      <c r="AY795" s="748">
        <f>+AU795-AX795</f>
      </c>
      <c r="AZ795" s="331">
        <f>+$AM$1+IF($AP$1&gt;$AP$2,$AM$3/2)</f>
      </c>
    </row>
    <row x14ac:dyDescent="0.25" r="796" customHeight="1" ht="18.75">
      <c r="A796" s="1"/>
      <c r="B796" s="7"/>
      <c r="C796" s="170"/>
      <c r="D796" s="331">
        <v>789</v>
      </c>
      <c r="E796" s="544">
        <f>+DATE(YEAR(E795),MONTH(E795)-1,DAY(E795))</f>
        <v>25569.041666666668</v>
      </c>
      <c r="F796" s="333">
        <f>IF(DATE(YEAR($B$6),MONTH($B$6)+1,DAY(1))=E796,1,IF(MONTH(E796)=1,F797*(1+$F$5),F797))</f>
      </c>
      <c r="G796" s="333">
        <f>IF('Simulador - 1º Pilar'!$E$99="Sí",IF('Aportaciones PPE'!$B$13&lt;'Aportaciones PPE'!E796,0,F796*$B$8/12),F796*$B$8/12)</f>
      </c>
      <c r="H796" s="333">
        <f>$H$5*G796</f>
      </c>
      <c r="I796" s="333">
        <f>$I$5*G796</f>
      </c>
      <c r="J796" s="333">
        <f>+I796</f>
      </c>
      <c r="K796" s="333">
        <f>(1+$O$5)^(D796/12)*(H796+IF(AND(F796=1,F797=0),$S$4,0))</f>
      </c>
      <c r="L796" s="333">
        <f>(1+$O$5)^(D796/12)*(I796+IF(AND(F796=1,F797=0),0))</f>
      </c>
      <c r="M796" s="333">
        <f>+L796</f>
      </c>
      <c r="N796" s="333">
        <f>L796+K796+M796</f>
      </c>
      <c r="O796" s="170"/>
      <c r="P796" s="7"/>
      <c r="Q796" s="1"/>
      <c r="R796" s="331">
        <f>D796</f>
      </c>
      <c r="S796" s="169"/>
      <c r="T796" s="1"/>
      <c r="U796" s="217"/>
      <c r="V796" s="331">
        <f>+IF(V795=11,12,IF(V795=12,1,V795+1))</f>
      </c>
      <c r="W796" s="331">
        <f>+W795+IF(V795=12,1,0)</f>
      </c>
      <c r="X796" s="555">
        <f>+DATE(W796,V796,1)</f>
        <v>25569.041666666668</v>
      </c>
      <c r="Y796" s="333">
        <f>+_xlfn.IFNA(AN796+AS796+AX796,0)</f>
      </c>
      <c r="Z796" s="333">
        <f>+_xlfn.IFNA(AO796+AT796+AY796,0)</f>
      </c>
      <c r="AA796" s="333">
        <f>Y796*(1+$O$5)^(($B$7-X796)/365.25)</f>
      </c>
      <c r="AB796" s="333">
        <f>Z796*(1+$O$5)^(($B$7-X796)/365.25)</f>
      </c>
      <c r="AC796" s="1"/>
      <c r="AD796" s="1"/>
      <c r="AE796" s="1"/>
      <c r="AF796" s="111">
        <f>+MONTH(E796)&amp;YEAR(E796)</f>
      </c>
      <c r="AG796" s="217">
        <f>+I796</f>
      </c>
      <c r="AH796" s="217">
        <f>+J796</f>
      </c>
      <c r="AI796" s="217">
        <f>+H796</f>
      </c>
      <c r="AJ796" s="111">
        <f>+V796&amp;W796</f>
      </c>
      <c r="AK796" s="217">
        <f>+_xlfn.IFNA(VLOOKUP(AJ796,$AF$7:$AG$1066,2,0),0)</f>
      </c>
      <c r="AL796" s="217">
        <f>+IF(W796&gt;W795,AK796,AL795+AK796)</f>
      </c>
      <c r="AM796" s="217">
        <f>IF(W796&gt;W795,IF(AL796&gt;=$AZ$8,$AZ$8,AL796),IF(OR(AM795=$AZ$8,AM795=0),0,IF(AL796&gt;=$AZ$8,$AZ$8,AL796)))</f>
      </c>
      <c r="AN796" s="748">
        <f>+IF(OR(AM796&gt;AZ795,AM796=0),0,IF(AM796=AL796,AK796,$AZ$7-AL795))</f>
      </c>
      <c r="AO796" s="748">
        <f>+AK796-AN796</f>
      </c>
      <c r="AP796" s="217">
        <f>+_xlfn.IFNA(VLOOKUP(AJ796,$AF$7:$AI$1066,3,0),0)</f>
      </c>
      <c r="AQ796" s="217">
        <f>+IF(W796&gt;W795,AP796,AQ795+AP796)</f>
      </c>
      <c r="AR796" s="217">
        <f>+MAX($AM$2-SUMIF($W$7:$W$1066,W796,$AN$7:$AN$1066),0)</f>
      </c>
      <c r="AS796" s="748">
        <f>+MAX(IF(AQ796&gt;AR796,AR796-AQ795,AP796),0)</f>
      </c>
      <c r="AT796" s="748">
        <f>+AP796-AS796</f>
      </c>
      <c r="AU796" s="217">
        <f>+_xlfn.IFNA(VLOOKUP(AJ796,$AF$7:$AI$1066,4,0),0)</f>
      </c>
      <c r="AV796" s="217">
        <f>+IF(W796&gt;W795,AU796,AV795+AU796)</f>
      </c>
      <c r="AW796" s="217">
        <f>+MAX($AM$2-SUMIF($W$7:$W$1066,W796,$AN$7:$AN$1066)-SUMIF($W$7:$W$1066,W796,$AS$7:$AS$1066),0)</f>
      </c>
      <c r="AX796" s="748">
        <f>+MAX(IF(AV796&gt;AW796,AW796-AV795,AU796),0)</f>
      </c>
      <c r="AY796" s="748">
        <f>+AU796-AX796</f>
      </c>
      <c r="AZ796" s="331">
        <f>+$AM$1+IF($AP$1&gt;$AP$2,$AM$3/2)</f>
      </c>
    </row>
    <row x14ac:dyDescent="0.25" r="797" customHeight="1" ht="18.75">
      <c r="A797" s="1"/>
      <c r="B797" s="7"/>
      <c r="C797" s="170"/>
      <c r="D797" s="331">
        <v>790</v>
      </c>
      <c r="E797" s="544">
        <f>+DATE(YEAR(E796),MONTH(E796)-1,DAY(E796))</f>
        <v>25569.041666666668</v>
      </c>
      <c r="F797" s="333">
        <f>IF(DATE(YEAR($B$6),MONTH($B$6)+1,DAY(1))=E797,1,IF(MONTH(E797)=1,F798*(1+$F$5),F798))</f>
      </c>
      <c r="G797" s="333">
        <f>IF('Simulador - 1º Pilar'!$E$99="Sí",IF('Aportaciones PPE'!$B$13&lt;'Aportaciones PPE'!E797,0,F797*$B$8/12),F797*$B$8/12)</f>
      </c>
      <c r="H797" s="333">
        <f>$H$5*G797</f>
      </c>
      <c r="I797" s="333">
        <f>$I$5*G797</f>
      </c>
      <c r="J797" s="333">
        <f>+I797</f>
      </c>
      <c r="K797" s="333">
        <f>(1+$O$5)^(D797/12)*(H797+IF(AND(F797=1,F798=0),$S$4,0))</f>
      </c>
      <c r="L797" s="333">
        <f>(1+$O$5)^(D797/12)*(I797+IF(AND(F797=1,F798=0),0))</f>
      </c>
      <c r="M797" s="333">
        <f>+L797</f>
      </c>
      <c r="N797" s="333">
        <f>L797+K797+M797</f>
      </c>
      <c r="O797" s="170"/>
      <c r="P797" s="7"/>
      <c r="Q797" s="1"/>
      <c r="R797" s="331">
        <f>D797</f>
      </c>
      <c r="S797" s="169"/>
      <c r="T797" s="1"/>
      <c r="U797" s="217"/>
      <c r="V797" s="331">
        <f>+IF(V796=11,12,IF(V796=12,1,V796+1))</f>
      </c>
      <c r="W797" s="331">
        <f>+W796+IF(V796=12,1,0)</f>
      </c>
      <c r="X797" s="555">
        <f>+DATE(W797,V797,1)</f>
        <v>25569.041666666668</v>
      </c>
      <c r="Y797" s="333">
        <f>+_xlfn.IFNA(AN797+AS797+AX797,0)</f>
      </c>
      <c r="Z797" s="333">
        <f>+_xlfn.IFNA(AO797+AT797+AY797,0)</f>
      </c>
      <c r="AA797" s="333">
        <f>Y797*(1+$O$5)^(($B$7-X797)/365.25)</f>
      </c>
      <c r="AB797" s="333">
        <f>Z797*(1+$O$5)^(($B$7-X797)/365.25)</f>
      </c>
      <c r="AC797" s="1"/>
      <c r="AD797" s="1"/>
      <c r="AE797" s="1"/>
      <c r="AF797" s="111">
        <f>+MONTH(E797)&amp;YEAR(E797)</f>
      </c>
      <c r="AG797" s="217">
        <f>+I797</f>
      </c>
      <c r="AH797" s="217">
        <f>+J797</f>
      </c>
      <c r="AI797" s="217">
        <f>+H797</f>
      </c>
      <c r="AJ797" s="111">
        <f>+V797&amp;W797</f>
      </c>
      <c r="AK797" s="217">
        <f>+_xlfn.IFNA(VLOOKUP(AJ797,$AF$7:$AG$1066,2,0),0)</f>
      </c>
      <c r="AL797" s="217">
        <f>+IF(W797&gt;W796,AK797,AL796+AK797)</f>
      </c>
      <c r="AM797" s="217">
        <f>IF(W797&gt;W796,IF(AL797&gt;=$AZ$8,$AZ$8,AL797),IF(OR(AM796=$AZ$8,AM796=0),0,IF(AL797&gt;=$AZ$8,$AZ$8,AL797)))</f>
      </c>
      <c r="AN797" s="748">
        <f>+IF(OR(AM797&gt;AZ796,AM797=0),0,IF(AM797=AL797,AK797,$AZ$7-AL796))</f>
      </c>
      <c r="AO797" s="748">
        <f>+AK797-AN797</f>
      </c>
      <c r="AP797" s="217">
        <f>+_xlfn.IFNA(VLOOKUP(AJ797,$AF$7:$AI$1066,3,0),0)</f>
      </c>
      <c r="AQ797" s="217">
        <f>+IF(W797&gt;W796,AP797,AQ796+AP797)</f>
      </c>
      <c r="AR797" s="217">
        <f>+MAX($AM$2-SUMIF($W$7:$W$1066,W797,$AN$7:$AN$1066),0)</f>
      </c>
      <c r="AS797" s="748">
        <f>+MAX(IF(AQ797&gt;AR797,AR797-AQ796,AP797),0)</f>
      </c>
      <c r="AT797" s="748">
        <f>+AP797-AS797</f>
      </c>
      <c r="AU797" s="217">
        <f>+_xlfn.IFNA(VLOOKUP(AJ797,$AF$7:$AI$1066,4,0),0)</f>
      </c>
      <c r="AV797" s="217">
        <f>+IF(W797&gt;W796,AU797,AV796+AU797)</f>
      </c>
      <c r="AW797" s="217">
        <f>+MAX($AM$2-SUMIF($W$7:$W$1066,W797,$AN$7:$AN$1066)-SUMIF($W$7:$W$1066,W797,$AS$7:$AS$1066),0)</f>
      </c>
      <c r="AX797" s="748">
        <f>+MAX(IF(AV797&gt;AW797,AW797-AV796,AU797),0)</f>
      </c>
      <c r="AY797" s="748">
        <f>+AU797-AX797</f>
      </c>
      <c r="AZ797" s="331">
        <f>+$AM$1+IF($AP$1&gt;$AP$2,$AM$3/2)</f>
      </c>
    </row>
    <row x14ac:dyDescent="0.25" r="798" customHeight="1" ht="18.75">
      <c r="A798" s="1"/>
      <c r="B798" s="7"/>
      <c r="C798" s="170"/>
      <c r="D798" s="331">
        <v>791</v>
      </c>
      <c r="E798" s="544">
        <f>+DATE(YEAR(E797),MONTH(E797)-1,DAY(E797))</f>
        <v>25569.041666666668</v>
      </c>
      <c r="F798" s="333">
        <f>IF(DATE(YEAR($B$6),MONTH($B$6)+1,DAY(1))=E798,1,IF(MONTH(E798)=1,F799*(1+$F$5),F799))</f>
      </c>
      <c r="G798" s="333">
        <f>IF('Simulador - 1º Pilar'!$E$99="Sí",IF('Aportaciones PPE'!$B$13&lt;'Aportaciones PPE'!E798,0,F798*$B$8/12),F798*$B$8/12)</f>
      </c>
      <c r="H798" s="333">
        <f>$H$5*G798</f>
      </c>
      <c r="I798" s="333">
        <f>$I$5*G798</f>
      </c>
      <c r="J798" s="333">
        <f>+I798</f>
      </c>
      <c r="K798" s="333">
        <f>(1+$O$5)^(D798/12)*(H798+IF(AND(F798=1,F799=0),$S$4,0))</f>
      </c>
      <c r="L798" s="333">
        <f>(1+$O$5)^(D798/12)*(I798+IF(AND(F798=1,F799=0),0))</f>
      </c>
      <c r="M798" s="333">
        <f>+L798</f>
      </c>
      <c r="N798" s="333">
        <f>L798+K798+M798</f>
      </c>
      <c r="O798" s="170"/>
      <c r="P798" s="7"/>
      <c r="Q798" s="1"/>
      <c r="R798" s="331">
        <f>D798</f>
      </c>
      <c r="S798" s="169"/>
      <c r="T798" s="1"/>
      <c r="U798" s="217"/>
      <c r="V798" s="331">
        <f>+IF(V797=11,12,IF(V797=12,1,V797+1))</f>
      </c>
      <c r="W798" s="331">
        <f>+W797+IF(V797=12,1,0)</f>
      </c>
      <c r="X798" s="555">
        <f>+DATE(W798,V798,1)</f>
        <v>25569.041666666668</v>
      </c>
      <c r="Y798" s="333">
        <f>+_xlfn.IFNA(AN798+AS798+AX798,0)</f>
      </c>
      <c r="Z798" s="333">
        <f>+_xlfn.IFNA(AO798+AT798+AY798,0)</f>
      </c>
      <c r="AA798" s="333">
        <f>Y798*(1+$O$5)^(($B$7-X798)/365.25)</f>
      </c>
      <c r="AB798" s="333">
        <f>Z798*(1+$O$5)^(($B$7-X798)/365.25)</f>
      </c>
      <c r="AC798" s="1"/>
      <c r="AD798" s="1"/>
      <c r="AE798" s="1"/>
      <c r="AF798" s="111">
        <f>+MONTH(E798)&amp;YEAR(E798)</f>
      </c>
      <c r="AG798" s="217">
        <f>+I798</f>
      </c>
      <c r="AH798" s="217">
        <f>+J798</f>
      </c>
      <c r="AI798" s="217">
        <f>+H798</f>
      </c>
      <c r="AJ798" s="111">
        <f>+V798&amp;W798</f>
      </c>
      <c r="AK798" s="217">
        <f>+_xlfn.IFNA(VLOOKUP(AJ798,$AF$7:$AG$1066,2,0),0)</f>
      </c>
      <c r="AL798" s="217">
        <f>+IF(W798&gt;W797,AK798,AL797+AK798)</f>
      </c>
      <c r="AM798" s="217">
        <f>IF(W798&gt;W797,IF(AL798&gt;=$AZ$8,$AZ$8,AL798),IF(OR(AM797=$AZ$8,AM797=0),0,IF(AL798&gt;=$AZ$8,$AZ$8,AL798)))</f>
      </c>
      <c r="AN798" s="748">
        <f>+IF(OR(AM798&gt;AZ797,AM798=0),0,IF(AM798=AL798,AK798,$AZ$7-AL797))</f>
      </c>
      <c r="AO798" s="748">
        <f>+AK798-AN798</f>
      </c>
      <c r="AP798" s="217">
        <f>+_xlfn.IFNA(VLOOKUP(AJ798,$AF$7:$AI$1066,3,0),0)</f>
      </c>
      <c r="AQ798" s="217">
        <f>+IF(W798&gt;W797,AP798,AQ797+AP798)</f>
      </c>
      <c r="AR798" s="217">
        <f>+MAX($AM$2-SUMIF($W$7:$W$1066,W798,$AN$7:$AN$1066),0)</f>
      </c>
      <c r="AS798" s="748">
        <f>+MAX(IF(AQ798&gt;AR798,AR798-AQ797,AP798),0)</f>
      </c>
      <c r="AT798" s="748">
        <f>+AP798-AS798</f>
      </c>
      <c r="AU798" s="217">
        <f>+_xlfn.IFNA(VLOOKUP(AJ798,$AF$7:$AI$1066,4,0),0)</f>
      </c>
      <c r="AV798" s="217">
        <f>+IF(W798&gt;W797,AU798,AV797+AU798)</f>
      </c>
      <c r="AW798" s="217">
        <f>+MAX($AM$2-SUMIF($W$7:$W$1066,W798,$AN$7:$AN$1066)-SUMIF($W$7:$W$1066,W798,$AS$7:$AS$1066),0)</f>
      </c>
      <c r="AX798" s="748">
        <f>+MAX(IF(AV798&gt;AW798,AW798-AV797,AU798),0)</f>
      </c>
      <c r="AY798" s="748">
        <f>+AU798-AX798</f>
      </c>
      <c r="AZ798" s="331">
        <f>+$AM$1+IF($AP$1&gt;$AP$2,$AM$3/2)</f>
      </c>
    </row>
    <row x14ac:dyDescent="0.25" r="799" customHeight="1" ht="18.75">
      <c r="A799" s="1"/>
      <c r="B799" s="7"/>
      <c r="C799" s="170"/>
      <c r="D799" s="331">
        <v>792</v>
      </c>
      <c r="E799" s="544">
        <f>+DATE(YEAR(E798),MONTH(E798)-1,DAY(E798))</f>
        <v>25569.041666666668</v>
      </c>
      <c r="F799" s="333">
        <f>IF(DATE(YEAR($B$6),MONTH($B$6)+1,DAY(1))=E799,1,IF(MONTH(E799)=1,F800*(1+$F$5),F800))</f>
      </c>
      <c r="G799" s="333">
        <f>IF('Simulador - 1º Pilar'!$E$99="Sí",IF('Aportaciones PPE'!$B$13&lt;'Aportaciones PPE'!E799,0,F799*$B$8/12),F799*$B$8/12)</f>
      </c>
      <c r="H799" s="333">
        <f>$H$5*G799</f>
      </c>
      <c r="I799" s="333">
        <f>$I$5*G799</f>
      </c>
      <c r="J799" s="333">
        <f>+I799</f>
      </c>
      <c r="K799" s="333">
        <f>(1+$O$5)^(D799/12)*(H799+IF(AND(F799=1,F800=0),$S$4,0))</f>
      </c>
      <c r="L799" s="333">
        <f>(1+$O$5)^(D799/12)*(I799+IF(AND(F799=1,F800=0),0))</f>
      </c>
      <c r="M799" s="333">
        <f>+L799</f>
      </c>
      <c r="N799" s="333">
        <f>L799+K799+M799</f>
      </c>
      <c r="O799" s="170"/>
      <c r="P799" s="7"/>
      <c r="Q799" s="1"/>
      <c r="R799" s="331">
        <f>D799</f>
      </c>
      <c r="S799" s="169"/>
      <c r="T799" s="1"/>
      <c r="U799" s="217"/>
      <c r="V799" s="331">
        <f>+IF(V798=11,12,IF(V798=12,1,V798+1))</f>
      </c>
      <c r="W799" s="331">
        <f>+W798+IF(V798=12,1,0)</f>
      </c>
      <c r="X799" s="555">
        <f>+DATE(W799,V799,1)</f>
        <v>25569.041666666668</v>
      </c>
      <c r="Y799" s="333">
        <f>+_xlfn.IFNA(AN799+AS799+AX799,0)</f>
      </c>
      <c r="Z799" s="333">
        <f>+_xlfn.IFNA(AO799+AT799+AY799,0)</f>
      </c>
      <c r="AA799" s="333">
        <f>Y799*(1+$O$5)^(($B$7-X799)/365.25)</f>
      </c>
      <c r="AB799" s="333">
        <f>Z799*(1+$O$5)^(($B$7-X799)/365.25)</f>
      </c>
      <c r="AC799" s="1"/>
      <c r="AD799" s="1"/>
      <c r="AE799" s="1"/>
      <c r="AF799" s="111">
        <f>+MONTH(E799)&amp;YEAR(E799)</f>
      </c>
      <c r="AG799" s="217">
        <f>+I799</f>
      </c>
      <c r="AH799" s="217">
        <f>+J799</f>
      </c>
      <c r="AI799" s="217">
        <f>+H799</f>
      </c>
      <c r="AJ799" s="111">
        <f>+V799&amp;W799</f>
      </c>
      <c r="AK799" s="217">
        <f>+_xlfn.IFNA(VLOOKUP(AJ799,$AF$7:$AG$1066,2,0),0)</f>
      </c>
      <c r="AL799" s="217">
        <f>+IF(W799&gt;W798,AK799,AL798+AK799)</f>
      </c>
      <c r="AM799" s="217">
        <f>IF(W799&gt;W798,IF(AL799&gt;=$AZ$8,$AZ$8,AL799),IF(OR(AM798=$AZ$8,AM798=0),0,IF(AL799&gt;=$AZ$8,$AZ$8,AL799)))</f>
      </c>
      <c r="AN799" s="748">
        <f>+IF(OR(AM799&gt;AZ798,AM799=0),0,IF(AM799=AL799,AK799,$AZ$7-AL798))</f>
      </c>
      <c r="AO799" s="748">
        <f>+AK799-AN799</f>
      </c>
      <c r="AP799" s="217">
        <f>+_xlfn.IFNA(VLOOKUP(AJ799,$AF$7:$AI$1066,3,0),0)</f>
      </c>
      <c r="AQ799" s="217">
        <f>+IF(W799&gt;W798,AP799,AQ798+AP799)</f>
      </c>
      <c r="AR799" s="217">
        <f>+MAX($AM$2-SUMIF($W$7:$W$1066,W799,$AN$7:$AN$1066),0)</f>
      </c>
      <c r="AS799" s="748">
        <f>+MAX(IF(AQ799&gt;AR799,AR799-AQ798,AP799),0)</f>
      </c>
      <c r="AT799" s="748">
        <f>+AP799-AS799</f>
      </c>
      <c r="AU799" s="217">
        <f>+_xlfn.IFNA(VLOOKUP(AJ799,$AF$7:$AI$1066,4,0),0)</f>
      </c>
      <c r="AV799" s="217">
        <f>+IF(W799&gt;W798,AU799,AV798+AU799)</f>
      </c>
      <c r="AW799" s="217">
        <f>+MAX($AM$2-SUMIF($W$7:$W$1066,W799,$AN$7:$AN$1066)-SUMIF($W$7:$W$1066,W799,$AS$7:$AS$1066),0)</f>
      </c>
      <c r="AX799" s="748">
        <f>+MAX(IF(AV799&gt;AW799,AW799-AV798,AU799),0)</f>
      </c>
      <c r="AY799" s="748">
        <f>+AU799-AX799</f>
      </c>
      <c r="AZ799" s="331">
        <f>+$AM$1+IF($AP$1&gt;$AP$2,$AM$3/2)</f>
      </c>
    </row>
    <row x14ac:dyDescent="0.25" r="800" customHeight="1" ht="18.75">
      <c r="A800" s="1"/>
      <c r="B800" s="7"/>
      <c r="C800" s="170"/>
      <c r="D800" s="331">
        <v>793</v>
      </c>
      <c r="E800" s="544">
        <f>+DATE(YEAR(E799),MONTH(E799)-1,DAY(E799))</f>
        <v>25569.041666666668</v>
      </c>
      <c r="F800" s="333">
        <f>IF(DATE(YEAR($B$6),MONTH($B$6)+1,DAY(1))=E800,1,IF(MONTH(E800)=1,F801*(1+$F$5),F801))</f>
      </c>
      <c r="G800" s="333">
        <f>IF('Simulador - 1º Pilar'!$E$99="Sí",IF('Aportaciones PPE'!$B$13&lt;'Aportaciones PPE'!E800,0,F800*$B$8/12),F800*$B$8/12)</f>
      </c>
      <c r="H800" s="333">
        <f>$H$5*G800</f>
      </c>
      <c r="I800" s="333">
        <f>$I$5*G800</f>
      </c>
      <c r="J800" s="333">
        <f>+I800</f>
      </c>
      <c r="K800" s="333">
        <f>(1+$O$5)^(D800/12)*(H800+IF(AND(F800=1,F801=0),$S$4,0))</f>
      </c>
      <c r="L800" s="333">
        <f>(1+$O$5)^(D800/12)*(I800+IF(AND(F800=1,F801=0),0))</f>
      </c>
      <c r="M800" s="333">
        <f>+L800</f>
      </c>
      <c r="N800" s="333">
        <f>L800+K800+M800</f>
      </c>
      <c r="O800" s="170"/>
      <c r="P800" s="7"/>
      <c r="Q800" s="1"/>
      <c r="R800" s="331">
        <f>D800</f>
      </c>
      <c r="S800" s="169"/>
      <c r="T800" s="1"/>
      <c r="U800" s="217"/>
      <c r="V800" s="331">
        <f>+IF(V799=11,12,IF(V799=12,1,V799+1))</f>
      </c>
      <c r="W800" s="331">
        <f>+W799+IF(V799=12,1,0)</f>
      </c>
      <c r="X800" s="555">
        <f>+DATE(W800,V800,1)</f>
        <v>25569.041666666668</v>
      </c>
      <c r="Y800" s="333">
        <f>+_xlfn.IFNA(AN800+AS800+AX800,0)</f>
      </c>
      <c r="Z800" s="333">
        <f>+_xlfn.IFNA(AO800+AT800+AY800,0)</f>
      </c>
      <c r="AA800" s="333">
        <f>Y800*(1+$O$5)^(($B$7-X800)/365.25)</f>
      </c>
      <c r="AB800" s="333">
        <f>Z800*(1+$O$5)^(($B$7-X800)/365.25)</f>
      </c>
      <c r="AC800" s="1"/>
      <c r="AD800" s="1"/>
      <c r="AE800" s="1"/>
      <c r="AF800" s="111">
        <f>+MONTH(E800)&amp;YEAR(E800)</f>
      </c>
      <c r="AG800" s="217">
        <f>+I800</f>
      </c>
      <c r="AH800" s="217">
        <f>+J800</f>
      </c>
      <c r="AI800" s="217">
        <f>+H800</f>
      </c>
      <c r="AJ800" s="111">
        <f>+V800&amp;W800</f>
      </c>
      <c r="AK800" s="217">
        <f>+_xlfn.IFNA(VLOOKUP(AJ800,$AF$7:$AG$1066,2,0),0)</f>
      </c>
      <c r="AL800" s="217">
        <f>+IF(W800&gt;W799,AK800,AL799+AK800)</f>
      </c>
      <c r="AM800" s="217">
        <f>IF(W800&gt;W799,IF(AL800&gt;=$AZ$8,$AZ$8,AL800),IF(OR(AM799=$AZ$8,AM799=0),0,IF(AL800&gt;=$AZ$8,$AZ$8,AL800)))</f>
      </c>
      <c r="AN800" s="748">
        <f>+IF(OR(AM800&gt;AZ799,AM800=0),0,IF(AM800=AL800,AK800,$AZ$7-AL799))</f>
      </c>
      <c r="AO800" s="748">
        <f>+AK800-AN800</f>
      </c>
      <c r="AP800" s="217">
        <f>+_xlfn.IFNA(VLOOKUP(AJ800,$AF$7:$AI$1066,3,0),0)</f>
      </c>
      <c r="AQ800" s="217">
        <f>+IF(W800&gt;W799,AP800,AQ799+AP800)</f>
      </c>
      <c r="AR800" s="217">
        <f>+MAX($AM$2-SUMIF($W$7:$W$1066,W800,$AN$7:$AN$1066),0)</f>
      </c>
      <c r="AS800" s="748">
        <f>+MAX(IF(AQ800&gt;AR800,AR800-AQ799,AP800),0)</f>
      </c>
      <c r="AT800" s="748">
        <f>+AP800-AS800</f>
      </c>
      <c r="AU800" s="217">
        <f>+_xlfn.IFNA(VLOOKUP(AJ800,$AF$7:$AI$1066,4,0),0)</f>
      </c>
      <c r="AV800" s="217">
        <f>+IF(W800&gt;W799,AU800,AV799+AU800)</f>
      </c>
      <c r="AW800" s="217">
        <f>+MAX($AM$2-SUMIF($W$7:$W$1066,W800,$AN$7:$AN$1066)-SUMIF($W$7:$W$1066,W800,$AS$7:$AS$1066),0)</f>
      </c>
      <c r="AX800" s="748">
        <f>+MAX(IF(AV800&gt;AW800,AW800-AV799,AU800),0)</f>
      </c>
      <c r="AY800" s="748">
        <f>+AU800-AX800</f>
      </c>
      <c r="AZ800" s="331">
        <f>+$AM$1+IF($AP$1&gt;$AP$2,$AM$3/2)</f>
      </c>
    </row>
    <row x14ac:dyDescent="0.25" r="801" customHeight="1" ht="18.75">
      <c r="A801" s="1"/>
      <c r="B801" s="7"/>
      <c r="C801" s="170"/>
      <c r="D801" s="331">
        <v>794</v>
      </c>
      <c r="E801" s="544">
        <f>+DATE(YEAR(E800),MONTH(E800)-1,DAY(E800))</f>
        <v>25569.041666666668</v>
      </c>
      <c r="F801" s="333">
        <f>IF(DATE(YEAR($B$6),MONTH($B$6)+1,DAY(1))=E801,1,IF(MONTH(E801)=1,F802*(1+$F$5),F802))</f>
      </c>
      <c r="G801" s="333">
        <f>IF('Simulador - 1º Pilar'!$E$99="Sí",IF('Aportaciones PPE'!$B$13&lt;'Aportaciones PPE'!E801,0,F801*$B$8/12),F801*$B$8/12)</f>
      </c>
      <c r="H801" s="333">
        <f>$H$5*G801</f>
      </c>
      <c r="I801" s="333">
        <f>$I$5*G801</f>
      </c>
      <c r="J801" s="333">
        <f>+I801</f>
      </c>
      <c r="K801" s="333">
        <f>(1+$O$5)^(D801/12)*(H801+IF(AND(F801=1,F802=0),$S$4,0))</f>
      </c>
      <c r="L801" s="333">
        <f>(1+$O$5)^(D801/12)*(I801+IF(AND(F801=1,F802=0),0))</f>
      </c>
      <c r="M801" s="333">
        <f>+L801</f>
      </c>
      <c r="N801" s="333">
        <f>L801+K801+M801</f>
      </c>
      <c r="O801" s="170"/>
      <c r="P801" s="7"/>
      <c r="Q801" s="1"/>
      <c r="R801" s="331">
        <f>D801</f>
      </c>
      <c r="S801" s="169"/>
      <c r="T801" s="1"/>
      <c r="U801" s="217"/>
      <c r="V801" s="331">
        <f>+IF(V800=11,12,IF(V800=12,1,V800+1))</f>
      </c>
      <c r="W801" s="331">
        <f>+W800+IF(V800=12,1,0)</f>
      </c>
      <c r="X801" s="555">
        <f>+DATE(W801,V801,1)</f>
        <v>25569.041666666668</v>
      </c>
      <c r="Y801" s="333">
        <f>+_xlfn.IFNA(AN801+AS801+AX801,0)</f>
      </c>
      <c r="Z801" s="333">
        <f>+_xlfn.IFNA(AO801+AT801+AY801,0)</f>
      </c>
      <c r="AA801" s="333">
        <f>Y801*(1+$O$5)^(($B$7-X801)/365.25)</f>
      </c>
      <c r="AB801" s="333">
        <f>Z801*(1+$O$5)^(($B$7-X801)/365.25)</f>
      </c>
      <c r="AC801" s="1"/>
      <c r="AD801" s="1"/>
      <c r="AE801" s="1"/>
      <c r="AF801" s="111">
        <f>+MONTH(E801)&amp;YEAR(E801)</f>
      </c>
      <c r="AG801" s="217">
        <f>+I801</f>
      </c>
      <c r="AH801" s="217">
        <f>+J801</f>
      </c>
      <c r="AI801" s="217">
        <f>+H801</f>
      </c>
      <c r="AJ801" s="111">
        <f>+V801&amp;W801</f>
      </c>
      <c r="AK801" s="217">
        <f>+_xlfn.IFNA(VLOOKUP(AJ801,$AF$7:$AG$1066,2,0),0)</f>
      </c>
      <c r="AL801" s="217">
        <f>+IF(W801&gt;W800,AK801,AL800+AK801)</f>
      </c>
      <c r="AM801" s="217">
        <f>IF(W801&gt;W800,IF(AL801&gt;=$AZ$8,$AZ$8,AL801),IF(OR(AM800=$AZ$8,AM800=0),0,IF(AL801&gt;=$AZ$8,$AZ$8,AL801)))</f>
      </c>
      <c r="AN801" s="748">
        <f>+IF(OR(AM801&gt;AZ800,AM801=0),0,IF(AM801=AL801,AK801,$AZ$7-AL800))</f>
      </c>
      <c r="AO801" s="748">
        <f>+AK801-AN801</f>
      </c>
      <c r="AP801" s="217">
        <f>+_xlfn.IFNA(VLOOKUP(AJ801,$AF$7:$AI$1066,3,0),0)</f>
      </c>
      <c r="AQ801" s="217">
        <f>+IF(W801&gt;W800,AP801,AQ800+AP801)</f>
      </c>
      <c r="AR801" s="217">
        <f>+MAX($AM$2-SUMIF($W$7:$W$1066,W801,$AN$7:$AN$1066),0)</f>
      </c>
      <c r="AS801" s="748">
        <f>+MAX(IF(AQ801&gt;AR801,AR801-AQ800,AP801),0)</f>
      </c>
      <c r="AT801" s="748">
        <f>+AP801-AS801</f>
      </c>
      <c r="AU801" s="217">
        <f>+_xlfn.IFNA(VLOOKUP(AJ801,$AF$7:$AI$1066,4,0),0)</f>
      </c>
      <c r="AV801" s="217">
        <f>+IF(W801&gt;W800,AU801,AV800+AU801)</f>
      </c>
      <c r="AW801" s="217">
        <f>+MAX($AM$2-SUMIF($W$7:$W$1066,W801,$AN$7:$AN$1066)-SUMIF($W$7:$W$1066,W801,$AS$7:$AS$1066),0)</f>
      </c>
      <c r="AX801" s="748">
        <f>+MAX(IF(AV801&gt;AW801,AW801-AV800,AU801),0)</f>
      </c>
      <c r="AY801" s="748">
        <f>+AU801-AX801</f>
      </c>
      <c r="AZ801" s="331">
        <f>+$AM$1+IF($AP$1&gt;$AP$2,$AM$3/2)</f>
      </c>
    </row>
    <row x14ac:dyDescent="0.25" r="802" customHeight="1" ht="18.75">
      <c r="A802" s="1"/>
      <c r="B802" s="7"/>
      <c r="C802" s="170"/>
      <c r="D802" s="331">
        <v>795</v>
      </c>
      <c r="E802" s="544">
        <f>+DATE(YEAR(E801),MONTH(E801)-1,DAY(E801))</f>
        <v>25569.041666666668</v>
      </c>
      <c r="F802" s="333">
        <f>IF(DATE(YEAR($B$6),MONTH($B$6)+1,DAY(1))=E802,1,IF(MONTH(E802)=1,F803*(1+$F$5),F803))</f>
      </c>
      <c r="G802" s="333">
        <f>IF('Simulador - 1º Pilar'!$E$99="Sí",IF('Aportaciones PPE'!$B$13&lt;'Aportaciones PPE'!E802,0,F802*$B$8/12),F802*$B$8/12)</f>
      </c>
      <c r="H802" s="333">
        <f>$H$5*G802</f>
      </c>
      <c r="I802" s="333">
        <f>$I$5*G802</f>
      </c>
      <c r="J802" s="333">
        <f>+I802</f>
      </c>
      <c r="K802" s="333">
        <f>(1+$O$5)^(D802/12)*(H802+IF(AND(F802=1,F803=0),$S$4,0))</f>
      </c>
      <c r="L802" s="333">
        <f>(1+$O$5)^(D802/12)*(I802+IF(AND(F802=1,F803=0),0))</f>
      </c>
      <c r="M802" s="333">
        <f>+L802</f>
      </c>
      <c r="N802" s="333">
        <f>L802+K802+M802</f>
      </c>
      <c r="O802" s="170"/>
      <c r="P802" s="7"/>
      <c r="Q802" s="1"/>
      <c r="R802" s="331">
        <f>D802</f>
      </c>
      <c r="S802" s="169"/>
      <c r="T802" s="1"/>
      <c r="U802" s="217"/>
      <c r="V802" s="331">
        <f>+IF(V801=11,12,IF(V801=12,1,V801+1))</f>
      </c>
      <c r="W802" s="331">
        <f>+W801+IF(V801=12,1,0)</f>
      </c>
      <c r="X802" s="555">
        <f>+DATE(W802,V802,1)</f>
        <v>25569.041666666668</v>
      </c>
      <c r="Y802" s="333">
        <f>+_xlfn.IFNA(AN802+AS802+AX802,0)</f>
      </c>
      <c r="Z802" s="333">
        <f>+_xlfn.IFNA(AO802+AT802+AY802,0)</f>
      </c>
      <c r="AA802" s="333">
        <f>Y802*(1+$O$5)^(($B$7-X802)/365.25)</f>
      </c>
      <c r="AB802" s="333">
        <f>Z802*(1+$O$5)^(($B$7-X802)/365.25)</f>
      </c>
      <c r="AC802" s="1"/>
      <c r="AD802" s="1"/>
      <c r="AE802" s="1"/>
      <c r="AF802" s="111">
        <f>+MONTH(E802)&amp;YEAR(E802)</f>
      </c>
      <c r="AG802" s="217">
        <f>+I802</f>
      </c>
      <c r="AH802" s="217">
        <f>+J802</f>
      </c>
      <c r="AI802" s="217">
        <f>+H802</f>
      </c>
      <c r="AJ802" s="111">
        <f>+V802&amp;W802</f>
      </c>
      <c r="AK802" s="217">
        <f>+_xlfn.IFNA(VLOOKUP(AJ802,$AF$7:$AG$1066,2,0),0)</f>
      </c>
      <c r="AL802" s="217">
        <f>+IF(W802&gt;W801,AK802,AL801+AK802)</f>
      </c>
      <c r="AM802" s="217">
        <f>IF(W802&gt;W801,IF(AL802&gt;=$AZ$8,$AZ$8,AL802),IF(OR(AM801=$AZ$8,AM801=0),0,IF(AL802&gt;=$AZ$8,$AZ$8,AL802)))</f>
      </c>
      <c r="AN802" s="748">
        <f>+IF(OR(AM802&gt;AZ801,AM802=0),0,IF(AM802=AL802,AK802,$AZ$7-AL801))</f>
      </c>
      <c r="AO802" s="748">
        <f>+AK802-AN802</f>
      </c>
      <c r="AP802" s="217">
        <f>+_xlfn.IFNA(VLOOKUP(AJ802,$AF$7:$AI$1066,3,0),0)</f>
      </c>
      <c r="AQ802" s="217">
        <f>+IF(W802&gt;W801,AP802,AQ801+AP802)</f>
      </c>
      <c r="AR802" s="217">
        <f>+MAX($AM$2-SUMIF($W$7:$W$1066,W802,$AN$7:$AN$1066),0)</f>
      </c>
      <c r="AS802" s="748">
        <f>+MAX(IF(AQ802&gt;AR802,AR802-AQ801,AP802),0)</f>
      </c>
      <c r="AT802" s="748">
        <f>+AP802-AS802</f>
      </c>
      <c r="AU802" s="217">
        <f>+_xlfn.IFNA(VLOOKUP(AJ802,$AF$7:$AI$1066,4,0),0)</f>
      </c>
      <c r="AV802" s="217">
        <f>+IF(W802&gt;W801,AU802,AV801+AU802)</f>
      </c>
      <c r="AW802" s="217">
        <f>+MAX($AM$2-SUMIF($W$7:$W$1066,W802,$AN$7:$AN$1066)-SUMIF($W$7:$W$1066,W802,$AS$7:$AS$1066),0)</f>
      </c>
      <c r="AX802" s="748">
        <f>+MAX(IF(AV802&gt;AW802,AW802-AV801,AU802),0)</f>
      </c>
      <c r="AY802" s="748">
        <f>+AU802-AX802</f>
      </c>
      <c r="AZ802" s="331">
        <f>+$AM$1+IF($AP$1&gt;$AP$2,$AM$3/2)</f>
      </c>
    </row>
    <row x14ac:dyDescent="0.25" r="803" customHeight="1" ht="18.75">
      <c r="A803" s="1"/>
      <c r="B803" s="7"/>
      <c r="C803" s="170"/>
      <c r="D803" s="331">
        <v>796</v>
      </c>
      <c r="E803" s="544">
        <f>+DATE(YEAR(E802),MONTH(E802)-1,DAY(E802))</f>
        <v>25569.041666666668</v>
      </c>
      <c r="F803" s="333">
        <f>IF(DATE(YEAR($B$6),MONTH($B$6)+1,DAY(1))=E803,1,IF(MONTH(E803)=1,F804*(1+$F$5),F804))</f>
      </c>
      <c r="G803" s="333">
        <f>IF('Simulador - 1º Pilar'!$E$99="Sí",IF('Aportaciones PPE'!$B$13&lt;'Aportaciones PPE'!E803,0,F803*$B$8/12),F803*$B$8/12)</f>
      </c>
      <c r="H803" s="333">
        <f>$H$5*G803</f>
      </c>
      <c r="I803" s="333">
        <f>$I$5*G803</f>
      </c>
      <c r="J803" s="333">
        <f>+I803</f>
      </c>
      <c r="K803" s="333">
        <f>(1+$O$5)^(D803/12)*(H803+IF(AND(F803=1,F804=0),$S$4,0))</f>
      </c>
      <c r="L803" s="333">
        <f>(1+$O$5)^(D803/12)*(I803+IF(AND(F803=1,F804=0),0))</f>
      </c>
      <c r="M803" s="333">
        <f>+L803</f>
      </c>
      <c r="N803" s="333">
        <f>L803+K803+M803</f>
      </c>
      <c r="O803" s="170"/>
      <c r="P803" s="7"/>
      <c r="Q803" s="1"/>
      <c r="R803" s="331">
        <f>D803</f>
      </c>
      <c r="S803" s="169"/>
      <c r="T803" s="1"/>
      <c r="U803" s="217"/>
      <c r="V803" s="331">
        <f>+IF(V802=11,12,IF(V802=12,1,V802+1))</f>
      </c>
      <c r="W803" s="331">
        <f>+W802+IF(V802=12,1,0)</f>
      </c>
      <c r="X803" s="555">
        <f>+DATE(W803,V803,1)</f>
        <v>25569.041666666668</v>
      </c>
      <c r="Y803" s="333">
        <f>+_xlfn.IFNA(AN803+AS803+AX803,0)</f>
      </c>
      <c r="Z803" s="333">
        <f>+_xlfn.IFNA(AO803+AT803+AY803,0)</f>
      </c>
      <c r="AA803" s="333">
        <f>Y803*(1+$O$5)^(($B$7-X803)/365.25)</f>
      </c>
      <c r="AB803" s="333">
        <f>Z803*(1+$O$5)^(($B$7-X803)/365.25)</f>
      </c>
      <c r="AC803" s="1"/>
      <c r="AD803" s="1"/>
      <c r="AE803" s="1"/>
      <c r="AF803" s="111">
        <f>+MONTH(E803)&amp;YEAR(E803)</f>
      </c>
      <c r="AG803" s="217">
        <f>+I803</f>
      </c>
      <c r="AH803" s="217">
        <f>+J803</f>
      </c>
      <c r="AI803" s="217">
        <f>+H803</f>
      </c>
      <c r="AJ803" s="111">
        <f>+V803&amp;W803</f>
      </c>
      <c r="AK803" s="217">
        <f>+_xlfn.IFNA(VLOOKUP(AJ803,$AF$7:$AG$1066,2,0),0)</f>
      </c>
      <c r="AL803" s="217">
        <f>+IF(W803&gt;W802,AK803,AL802+AK803)</f>
      </c>
      <c r="AM803" s="217">
        <f>IF(W803&gt;W802,IF(AL803&gt;=$AZ$8,$AZ$8,AL803),IF(OR(AM802=$AZ$8,AM802=0),0,IF(AL803&gt;=$AZ$8,$AZ$8,AL803)))</f>
      </c>
      <c r="AN803" s="748">
        <f>+IF(OR(AM803&gt;AZ802,AM803=0),0,IF(AM803=AL803,AK803,$AZ$7-AL802))</f>
      </c>
      <c r="AO803" s="748">
        <f>+AK803-AN803</f>
      </c>
      <c r="AP803" s="217">
        <f>+_xlfn.IFNA(VLOOKUP(AJ803,$AF$7:$AI$1066,3,0),0)</f>
      </c>
      <c r="AQ803" s="217">
        <f>+IF(W803&gt;W802,AP803,AQ802+AP803)</f>
      </c>
      <c r="AR803" s="217">
        <f>+MAX($AM$2-SUMIF($W$7:$W$1066,W803,$AN$7:$AN$1066),0)</f>
      </c>
      <c r="AS803" s="748">
        <f>+MAX(IF(AQ803&gt;AR803,AR803-AQ802,AP803),0)</f>
      </c>
      <c r="AT803" s="748">
        <f>+AP803-AS803</f>
      </c>
      <c r="AU803" s="217">
        <f>+_xlfn.IFNA(VLOOKUP(AJ803,$AF$7:$AI$1066,4,0),0)</f>
      </c>
      <c r="AV803" s="217">
        <f>+IF(W803&gt;W802,AU803,AV802+AU803)</f>
      </c>
      <c r="AW803" s="217">
        <f>+MAX($AM$2-SUMIF($W$7:$W$1066,W803,$AN$7:$AN$1066)-SUMIF($W$7:$W$1066,W803,$AS$7:$AS$1066),0)</f>
      </c>
      <c r="AX803" s="748">
        <f>+MAX(IF(AV803&gt;AW803,AW803-AV802,AU803),0)</f>
      </c>
      <c r="AY803" s="748">
        <f>+AU803-AX803</f>
      </c>
      <c r="AZ803" s="331">
        <f>+$AM$1+IF($AP$1&gt;$AP$2,$AM$3/2)</f>
      </c>
    </row>
    <row x14ac:dyDescent="0.25" r="804" customHeight="1" ht="18.75">
      <c r="A804" s="1"/>
      <c r="B804" s="7"/>
      <c r="C804" s="170"/>
      <c r="D804" s="331">
        <v>797</v>
      </c>
      <c r="E804" s="544">
        <f>+DATE(YEAR(E803),MONTH(E803)-1,DAY(E803))</f>
        <v>25569.041666666668</v>
      </c>
      <c r="F804" s="333">
        <f>IF(DATE(YEAR($B$6),MONTH($B$6)+1,DAY(1))=E804,1,IF(MONTH(E804)=1,F805*(1+$F$5),F805))</f>
      </c>
      <c r="G804" s="333">
        <f>IF('Simulador - 1º Pilar'!$E$99="Sí",IF('Aportaciones PPE'!$B$13&lt;'Aportaciones PPE'!E804,0,F804*$B$8/12),F804*$B$8/12)</f>
      </c>
      <c r="H804" s="333">
        <f>$H$5*G804</f>
      </c>
      <c r="I804" s="333">
        <f>$I$5*G804</f>
      </c>
      <c r="J804" s="333">
        <f>+I804</f>
      </c>
      <c r="K804" s="333">
        <f>(1+$O$5)^(D804/12)*(H804+IF(AND(F804=1,F805=0),$S$4,0))</f>
      </c>
      <c r="L804" s="333">
        <f>(1+$O$5)^(D804/12)*(I804+IF(AND(F804=1,F805=0),0))</f>
      </c>
      <c r="M804" s="333">
        <f>+L804</f>
      </c>
      <c r="N804" s="333">
        <f>L804+K804+M804</f>
      </c>
      <c r="O804" s="170"/>
      <c r="P804" s="7"/>
      <c r="Q804" s="1"/>
      <c r="R804" s="331">
        <f>D804</f>
      </c>
      <c r="S804" s="169"/>
      <c r="T804" s="1"/>
      <c r="U804" s="217"/>
      <c r="V804" s="331">
        <f>+IF(V803=11,12,IF(V803=12,1,V803+1))</f>
      </c>
      <c r="W804" s="331">
        <f>+W803+IF(V803=12,1,0)</f>
      </c>
      <c r="X804" s="555">
        <f>+DATE(W804,V804,1)</f>
        <v>25569.041666666668</v>
      </c>
      <c r="Y804" s="333">
        <f>+_xlfn.IFNA(AN804+AS804+AX804,0)</f>
      </c>
      <c r="Z804" s="333">
        <f>+_xlfn.IFNA(AO804+AT804+AY804,0)</f>
      </c>
      <c r="AA804" s="333">
        <f>Y804*(1+$O$5)^(($B$7-X804)/365.25)</f>
      </c>
      <c r="AB804" s="333">
        <f>Z804*(1+$O$5)^(($B$7-X804)/365.25)</f>
      </c>
      <c r="AC804" s="1"/>
      <c r="AD804" s="1"/>
      <c r="AE804" s="1"/>
      <c r="AF804" s="111">
        <f>+MONTH(E804)&amp;YEAR(E804)</f>
      </c>
      <c r="AG804" s="217">
        <f>+I804</f>
      </c>
      <c r="AH804" s="217">
        <f>+J804</f>
      </c>
      <c r="AI804" s="217">
        <f>+H804</f>
      </c>
      <c r="AJ804" s="111">
        <f>+V804&amp;W804</f>
      </c>
      <c r="AK804" s="217">
        <f>+_xlfn.IFNA(VLOOKUP(AJ804,$AF$7:$AG$1066,2,0),0)</f>
      </c>
      <c r="AL804" s="217">
        <f>+IF(W804&gt;W803,AK804,AL803+AK804)</f>
      </c>
      <c r="AM804" s="217">
        <f>IF(W804&gt;W803,IF(AL804&gt;=$AZ$8,$AZ$8,AL804),IF(OR(AM803=$AZ$8,AM803=0),0,IF(AL804&gt;=$AZ$8,$AZ$8,AL804)))</f>
      </c>
      <c r="AN804" s="748">
        <f>+IF(OR(AM804&gt;AZ803,AM804=0),0,IF(AM804=AL804,AK804,$AZ$7-AL803))</f>
      </c>
      <c r="AO804" s="748">
        <f>+AK804-AN804</f>
      </c>
      <c r="AP804" s="217">
        <f>+_xlfn.IFNA(VLOOKUP(AJ804,$AF$7:$AI$1066,3,0),0)</f>
      </c>
      <c r="AQ804" s="217">
        <f>+IF(W804&gt;W803,AP804,AQ803+AP804)</f>
      </c>
      <c r="AR804" s="217">
        <f>+MAX($AM$2-SUMIF($W$7:$W$1066,W804,$AN$7:$AN$1066),0)</f>
      </c>
      <c r="AS804" s="748">
        <f>+MAX(IF(AQ804&gt;AR804,AR804-AQ803,AP804),0)</f>
      </c>
      <c r="AT804" s="748">
        <f>+AP804-AS804</f>
      </c>
      <c r="AU804" s="217">
        <f>+_xlfn.IFNA(VLOOKUP(AJ804,$AF$7:$AI$1066,4,0),0)</f>
      </c>
      <c r="AV804" s="217">
        <f>+IF(W804&gt;W803,AU804,AV803+AU804)</f>
      </c>
      <c r="AW804" s="217">
        <f>+MAX($AM$2-SUMIF($W$7:$W$1066,W804,$AN$7:$AN$1066)-SUMIF($W$7:$W$1066,W804,$AS$7:$AS$1066),0)</f>
      </c>
      <c r="AX804" s="748">
        <f>+MAX(IF(AV804&gt;AW804,AW804-AV803,AU804),0)</f>
      </c>
      <c r="AY804" s="748">
        <f>+AU804-AX804</f>
      </c>
      <c r="AZ804" s="331">
        <f>+$AM$1+IF($AP$1&gt;$AP$2,$AM$3/2)</f>
      </c>
    </row>
    <row x14ac:dyDescent="0.25" r="805" customHeight="1" ht="18.75">
      <c r="A805" s="1"/>
      <c r="B805" s="7"/>
      <c r="C805" s="170"/>
      <c r="D805" s="331">
        <v>798</v>
      </c>
      <c r="E805" s="544">
        <f>+DATE(YEAR(E804),MONTH(E804)-1,DAY(E804))</f>
        <v>25569.041666666668</v>
      </c>
      <c r="F805" s="333">
        <f>IF(DATE(YEAR($B$6),MONTH($B$6)+1,DAY(1))=E805,1,IF(MONTH(E805)=1,F806*(1+$F$5),F806))</f>
      </c>
      <c r="G805" s="333">
        <f>IF('Simulador - 1º Pilar'!$E$99="Sí",IF('Aportaciones PPE'!$B$13&lt;'Aportaciones PPE'!E805,0,F805*$B$8/12),F805*$B$8/12)</f>
      </c>
      <c r="H805" s="333">
        <f>$H$5*G805</f>
      </c>
      <c r="I805" s="333">
        <f>$I$5*G805</f>
      </c>
      <c r="J805" s="333">
        <f>+I805</f>
      </c>
      <c r="K805" s="333">
        <f>(1+$O$5)^(D805/12)*(H805+IF(AND(F805=1,F806=0),$S$4,0))</f>
      </c>
      <c r="L805" s="333">
        <f>(1+$O$5)^(D805/12)*(I805+IF(AND(F805=1,F806=0),0))</f>
      </c>
      <c r="M805" s="333">
        <f>+L805</f>
      </c>
      <c r="N805" s="333">
        <f>L805+K805+M805</f>
      </c>
      <c r="O805" s="170"/>
      <c r="P805" s="7"/>
      <c r="Q805" s="1"/>
      <c r="R805" s="331">
        <f>D805</f>
      </c>
      <c r="S805" s="169"/>
      <c r="T805" s="1"/>
      <c r="U805" s="217"/>
      <c r="V805" s="331">
        <f>+IF(V804=11,12,IF(V804=12,1,V804+1))</f>
      </c>
      <c r="W805" s="331">
        <f>+W804+IF(V804=12,1,0)</f>
      </c>
      <c r="X805" s="555">
        <f>+DATE(W805,V805,1)</f>
        <v>25569.041666666668</v>
      </c>
      <c r="Y805" s="333">
        <f>+_xlfn.IFNA(AN805+AS805+AX805,0)</f>
      </c>
      <c r="Z805" s="333">
        <f>+_xlfn.IFNA(AO805+AT805+AY805,0)</f>
      </c>
      <c r="AA805" s="333">
        <f>Y805*(1+$O$5)^(($B$7-X805)/365.25)</f>
      </c>
      <c r="AB805" s="333">
        <f>Z805*(1+$O$5)^(($B$7-X805)/365.25)</f>
      </c>
      <c r="AC805" s="1"/>
      <c r="AD805" s="1"/>
      <c r="AE805" s="1"/>
      <c r="AF805" s="111">
        <f>+MONTH(E805)&amp;YEAR(E805)</f>
      </c>
      <c r="AG805" s="217">
        <f>+I805</f>
      </c>
      <c r="AH805" s="217">
        <f>+J805</f>
      </c>
      <c r="AI805" s="217">
        <f>+H805</f>
      </c>
      <c r="AJ805" s="111">
        <f>+V805&amp;W805</f>
      </c>
      <c r="AK805" s="217">
        <f>+_xlfn.IFNA(VLOOKUP(AJ805,$AF$7:$AG$1066,2,0),0)</f>
      </c>
      <c r="AL805" s="217">
        <f>+IF(W805&gt;W804,AK805,AL804+AK805)</f>
      </c>
      <c r="AM805" s="217">
        <f>IF(W805&gt;W804,IF(AL805&gt;=$AZ$8,$AZ$8,AL805),IF(OR(AM804=$AZ$8,AM804=0),0,IF(AL805&gt;=$AZ$8,$AZ$8,AL805)))</f>
      </c>
      <c r="AN805" s="748">
        <f>+IF(OR(AM805&gt;AZ804,AM805=0),0,IF(AM805=AL805,AK805,$AZ$7-AL804))</f>
      </c>
      <c r="AO805" s="748">
        <f>+AK805-AN805</f>
      </c>
      <c r="AP805" s="217">
        <f>+_xlfn.IFNA(VLOOKUP(AJ805,$AF$7:$AI$1066,3,0),0)</f>
      </c>
      <c r="AQ805" s="217">
        <f>+IF(W805&gt;W804,AP805,AQ804+AP805)</f>
      </c>
      <c r="AR805" s="217">
        <f>+MAX($AM$2-SUMIF($W$7:$W$1066,W805,$AN$7:$AN$1066),0)</f>
      </c>
      <c r="AS805" s="748">
        <f>+MAX(IF(AQ805&gt;AR805,AR805-AQ804,AP805),0)</f>
      </c>
      <c r="AT805" s="748">
        <f>+AP805-AS805</f>
      </c>
      <c r="AU805" s="217">
        <f>+_xlfn.IFNA(VLOOKUP(AJ805,$AF$7:$AI$1066,4,0),0)</f>
      </c>
      <c r="AV805" s="217">
        <f>+IF(W805&gt;W804,AU805,AV804+AU805)</f>
      </c>
      <c r="AW805" s="217">
        <f>+MAX($AM$2-SUMIF($W$7:$W$1066,W805,$AN$7:$AN$1066)-SUMIF($W$7:$W$1066,W805,$AS$7:$AS$1066),0)</f>
      </c>
      <c r="AX805" s="748">
        <f>+MAX(IF(AV805&gt;AW805,AW805-AV804,AU805),0)</f>
      </c>
      <c r="AY805" s="748">
        <f>+AU805-AX805</f>
      </c>
      <c r="AZ805" s="331">
        <f>+$AM$1+IF($AP$1&gt;$AP$2,$AM$3/2)</f>
      </c>
    </row>
    <row x14ac:dyDescent="0.25" r="806" customHeight="1" ht="18.75">
      <c r="A806" s="1"/>
      <c r="B806" s="7"/>
      <c r="C806" s="170"/>
      <c r="D806" s="331">
        <v>799</v>
      </c>
      <c r="E806" s="544">
        <f>+DATE(YEAR(E805),MONTH(E805)-1,DAY(E805))</f>
        <v>25569.041666666668</v>
      </c>
      <c r="F806" s="333">
        <f>IF(DATE(YEAR($B$6),MONTH($B$6)+1,DAY(1))=E806,1,IF(MONTH(E806)=1,F807*(1+$F$5),F807))</f>
      </c>
      <c r="G806" s="333">
        <f>IF('Simulador - 1º Pilar'!$E$99="Sí",IF('Aportaciones PPE'!$B$13&lt;'Aportaciones PPE'!E806,0,F806*$B$8/12),F806*$B$8/12)</f>
      </c>
      <c r="H806" s="333">
        <f>$H$5*G806</f>
      </c>
      <c r="I806" s="333">
        <f>$I$5*G806</f>
      </c>
      <c r="J806" s="333">
        <f>+I806</f>
      </c>
      <c r="K806" s="333">
        <f>(1+$O$5)^(D806/12)*(H806+IF(AND(F806=1,F807=0),$S$4,0))</f>
      </c>
      <c r="L806" s="333">
        <f>(1+$O$5)^(D806/12)*(I806+IF(AND(F806=1,F807=0),0))</f>
      </c>
      <c r="M806" s="333">
        <f>+L806</f>
      </c>
      <c r="N806" s="333">
        <f>L806+K806+M806</f>
      </c>
      <c r="O806" s="170"/>
      <c r="P806" s="7"/>
      <c r="Q806" s="1"/>
      <c r="R806" s="331">
        <f>D806</f>
      </c>
      <c r="S806" s="169"/>
      <c r="T806" s="1"/>
      <c r="U806" s="217"/>
      <c r="V806" s="331">
        <f>+IF(V805=11,12,IF(V805=12,1,V805+1))</f>
      </c>
      <c r="W806" s="331">
        <f>+W805+IF(V805=12,1,0)</f>
      </c>
      <c r="X806" s="555">
        <f>+DATE(W806,V806,1)</f>
        <v>25569.041666666668</v>
      </c>
      <c r="Y806" s="333">
        <f>+_xlfn.IFNA(AN806+AS806+AX806,0)</f>
      </c>
      <c r="Z806" s="333">
        <f>+_xlfn.IFNA(AO806+AT806+AY806,0)</f>
      </c>
      <c r="AA806" s="333">
        <f>Y806*(1+$O$5)^(($B$7-X806)/365.25)</f>
      </c>
      <c r="AB806" s="333">
        <f>Z806*(1+$O$5)^(($B$7-X806)/365.25)</f>
      </c>
      <c r="AC806" s="1"/>
      <c r="AD806" s="1"/>
      <c r="AE806" s="1"/>
      <c r="AF806" s="111">
        <f>+MONTH(E806)&amp;YEAR(E806)</f>
      </c>
      <c r="AG806" s="217">
        <f>+I806</f>
      </c>
      <c r="AH806" s="217">
        <f>+J806</f>
      </c>
      <c r="AI806" s="217">
        <f>+H806</f>
      </c>
      <c r="AJ806" s="111">
        <f>+V806&amp;W806</f>
      </c>
      <c r="AK806" s="217">
        <f>+_xlfn.IFNA(VLOOKUP(AJ806,$AF$7:$AG$1066,2,0),0)</f>
      </c>
      <c r="AL806" s="217">
        <f>+IF(W806&gt;W805,AK806,AL805+AK806)</f>
      </c>
      <c r="AM806" s="217">
        <f>IF(W806&gt;W805,IF(AL806&gt;=$AZ$8,$AZ$8,AL806),IF(OR(AM805=$AZ$8,AM805=0),0,IF(AL806&gt;=$AZ$8,$AZ$8,AL806)))</f>
      </c>
      <c r="AN806" s="748">
        <f>+IF(OR(AM806&gt;AZ805,AM806=0),0,IF(AM806=AL806,AK806,$AZ$7-AL805))</f>
      </c>
      <c r="AO806" s="748">
        <f>+AK806-AN806</f>
      </c>
      <c r="AP806" s="217">
        <f>+_xlfn.IFNA(VLOOKUP(AJ806,$AF$7:$AI$1066,3,0),0)</f>
      </c>
      <c r="AQ806" s="217">
        <f>+IF(W806&gt;W805,AP806,AQ805+AP806)</f>
      </c>
      <c r="AR806" s="217">
        <f>+MAX($AM$2-SUMIF($W$7:$W$1066,W806,$AN$7:$AN$1066),0)</f>
      </c>
      <c r="AS806" s="748">
        <f>+MAX(IF(AQ806&gt;AR806,AR806-AQ805,AP806),0)</f>
      </c>
      <c r="AT806" s="748">
        <f>+AP806-AS806</f>
      </c>
      <c r="AU806" s="217">
        <f>+_xlfn.IFNA(VLOOKUP(AJ806,$AF$7:$AI$1066,4,0),0)</f>
      </c>
      <c r="AV806" s="217">
        <f>+IF(W806&gt;W805,AU806,AV805+AU806)</f>
      </c>
      <c r="AW806" s="217">
        <f>+MAX($AM$2-SUMIF($W$7:$W$1066,W806,$AN$7:$AN$1066)-SUMIF($W$7:$W$1066,W806,$AS$7:$AS$1066),0)</f>
      </c>
      <c r="AX806" s="748">
        <f>+MAX(IF(AV806&gt;AW806,AW806-AV805,AU806),0)</f>
      </c>
      <c r="AY806" s="748">
        <f>+AU806-AX806</f>
      </c>
      <c r="AZ806" s="331">
        <f>+$AM$1+IF($AP$1&gt;$AP$2,$AM$3/2)</f>
      </c>
    </row>
    <row x14ac:dyDescent="0.25" r="807" customHeight="1" ht="18.75">
      <c r="A807" s="1"/>
      <c r="B807" s="7"/>
      <c r="C807" s="170"/>
      <c r="D807" s="331">
        <v>800</v>
      </c>
      <c r="E807" s="544">
        <f>+DATE(YEAR(E806),MONTH(E806)-1,DAY(E806))</f>
        <v>25569.041666666668</v>
      </c>
      <c r="F807" s="333">
        <f>IF(DATE(YEAR($B$6),MONTH($B$6)+1,DAY(1))=E807,1,IF(MONTH(E807)=1,F808*(1+$F$5),F808))</f>
      </c>
      <c r="G807" s="333">
        <f>IF('Simulador - 1º Pilar'!$E$99="Sí",IF('Aportaciones PPE'!$B$13&lt;'Aportaciones PPE'!E807,0,F807*$B$8/12),F807*$B$8/12)</f>
      </c>
      <c r="H807" s="333">
        <f>$H$5*G807</f>
      </c>
      <c r="I807" s="333">
        <f>$I$5*G807</f>
      </c>
      <c r="J807" s="333">
        <f>+I807</f>
      </c>
      <c r="K807" s="333">
        <f>(1+$O$5)^(D807/12)*(H807+IF(AND(F807=1,F808=0),$S$4,0))</f>
      </c>
      <c r="L807" s="333">
        <f>(1+$O$5)^(D807/12)*(I807+IF(AND(F807=1,F808=0),0))</f>
      </c>
      <c r="M807" s="333">
        <f>+L807</f>
      </c>
      <c r="N807" s="333">
        <f>L807+K807+M807</f>
      </c>
      <c r="O807" s="170"/>
      <c r="P807" s="7"/>
      <c r="Q807" s="1"/>
      <c r="R807" s="331">
        <f>D807</f>
      </c>
      <c r="S807" s="169"/>
      <c r="T807" s="1"/>
      <c r="U807" s="217"/>
      <c r="V807" s="331">
        <f>+IF(V806=11,12,IF(V806=12,1,V806+1))</f>
      </c>
      <c r="W807" s="331">
        <f>+W806+IF(V806=12,1,0)</f>
      </c>
      <c r="X807" s="555">
        <f>+DATE(W807,V807,1)</f>
        <v>25569.041666666668</v>
      </c>
      <c r="Y807" s="333">
        <f>+_xlfn.IFNA(AN807+AS807+AX807,0)</f>
      </c>
      <c r="Z807" s="333">
        <f>+_xlfn.IFNA(AO807+AT807+AY807,0)</f>
      </c>
      <c r="AA807" s="333">
        <f>Y807*(1+$O$5)^(($B$7-X807)/365.25)</f>
      </c>
      <c r="AB807" s="333">
        <f>Z807*(1+$O$5)^(($B$7-X807)/365.25)</f>
      </c>
      <c r="AC807" s="1"/>
      <c r="AD807" s="1"/>
      <c r="AE807" s="1"/>
      <c r="AF807" s="111">
        <f>+MONTH(E807)&amp;YEAR(E807)</f>
      </c>
      <c r="AG807" s="217">
        <f>+I807</f>
      </c>
      <c r="AH807" s="217">
        <f>+J807</f>
      </c>
      <c r="AI807" s="217">
        <f>+H807</f>
      </c>
      <c r="AJ807" s="111">
        <f>+V807&amp;W807</f>
      </c>
      <c r="AK807" s="217">
        <f>+_xlfn.IFNA(VLOOKUP(AJ807,$AF$7:$AG$1066,2,0),0)</f>
      </c>
      <c r="AL807" s="217">
        <f>+IF(W807&gt;W806,AK807,AL806+AK807)</f>
      </c>
      <c r="AM807" s="217">
        <f>IF(W807&gt;W806,IF(AL807&gt;=$AZ$8,$AZ$8,AL807),IF(OR(AM806=$AZ$8,AM806=0),0,IF(AL807&gt;=$AZ$8,$AZ$8,AL807)))</f>
      </c>
      <c r="AN807" s="748">
        <f>+IF(OR(AM807&gt;AZ806,AM807=0),0,IF(AM807=AL807,AK807,$AZ$7-AL806))</f>
      </c>
      <c r="AO807" s="748">
        <f>+AK807-AN807</f>
      </c>
      <c r="AP807" s="217">
        <f>+_xlfn.IFNA(VLOOKUP(AJ807,$AF$7:$AI$1066,3,0),0)</f>
      </c>
      <c r="AQ807" s="217">
        <f>+IF(W807&gt;W806,AP807,AQ806+AP807)</f>
      </c>
      <c r="AR807" s="217">
        <f>+MAX($AM$2-SUMIF($W$7:$W$1066,W807,$AN$7:$AN$1066),0)</f>
      </c>
      <c r="AS807" s="748">
        <f>+MAX(IF(AQ807&gt;AR807,AR807-AQ806,AP807),0)</f>
      </c>
      <c r="AT807" s="748">
        <f>+AP807-AS807</f>
      </c>
      <c r="AU807" s="217">
        <f>+_xlfn.IFNA(VLOOKUP(AJ807,$AF$7:$AI$1066,4,0),0)</f>
      </c>
      <c r="AV807" s="217">
        <f>+IF(W807&gt;W806,AU807,AV806+AU807)</f>
      </c>
      <c r="AW807" s="217">
        <f>+MAX($AM$2-SUMIF($W$7:$W$1066,W807,$AN$7:$AN$1066)-SUMIF($W$7:$W$1066,W807,$AS$7:$AS$1066),0)</f>
      </c>
      <c r="AX807" s="748">
        <f>+MAX(IF(AV807&gt;AW807,AW807-AV806,AU807),0)</f>
      </c>
      <c r="AY807" s="748">
        <f>+AU807-AX807</f>
      </c>
      <c r="AZ807" s="331">
        <f>+$AM$1+IF($AP$1&gt;$AP$2,$AM$3/2)</f>
      </c>
    </row>
    <row x14ac:dyDescent="0.25" r="808" customHeight="1" ht="18.75">
      <c r="A808" s="1"/>
      <c r="B808" s="7"/>
      <c r="C808" s="170"/>
      <c r="D808" s="331">
        <v>801</v>
      </c>
      <c r="E808" s="544">
        <f>+DATE(YEAR(E807),MONTH(E807)-1,DAY(E807))</f>
        <v>25569.041666666668</v>
      </c>
      <c r="F808" s="333">
        <f>IF(DATE(YEAR($B$6),MONTH($B$6)+1,DAY(1))=E808,1,IF(MONTH(E808)=1,F809*(1+$F$5),F809))</f>
      </c>
      <c r="G808" s="333">
        <f>IF('Simulador - 1º Pilar'!$E$99="Sí",IF('Aportaciones PPE'!$B$13&lt;'Aportaciones PPE'!E808,0,F808*$B$8/12),F808*$B$8/12)</f>
      </c>
      <c r="H808" s="333">
        <f>$H$5*G808</f>
      </c>
      <c r="I808" s="333">
        <f>$I$5*G808</f>
      </c>
      <c r="J808" s="333">
        <f>+I808</f>
      </c>
      <c r="K808" s="333">
        <f>(1+$O$5)^(D808/12)*(H808+IF(AND(F808=1,F809=0),$S$4,0))</f>
      </c>
      <c r="L808" s="333">
        <f>(1+$O$5)^(D808/12)*(I808+IF(AND(F808=1,F809=0),0))</f>
      </c>
      <c r="M808" s="333">
        <f>+L808</f>
      </c>
      <c r="N808" s="333">
        <f>L808+K808+M808</f>
      </c>
      <c r="O808" s="170"/>
      <c r="P808" s="7"/>
      <c r="Q808" s="1"/>
      <c r="R808" s="331">
        <f>D808</f>
      </c>
      <c r="S808" s="169"/>
      <c r="T808" s="1"/>
      <c r="U808" s="217"/>
      <c r="V808" s="331">
        <f>+IF(V807=11,12,IF(V807=12,1,V807+1))</f>
      </c>
      <c r="W808" s="331">
        <f>+W807+IF(V807=12,1,0)</f>
      </c>
      <c r="X808" s="555">
        <f>+DATE(W808,V808,1)</f>
        <v>25569.041666666668</v>
      </c>
      <c r="Y808" s="333">
        <f>+_xlfn.IFNA(AN808+AS808+AX808,0)</f>
      </c>
      <c r="Z808" s="333">
        <f>+_xlfn.IFNA(AO808+AT808+AY808,0)</f>
      </c>
      <c r="AA808" s="333">
        <f>Y808*(1+$O$5)^(($B$7-X808)/365.25)</f>
      </c>
      <c r="AB808" s="333">
        <f>Z808*(1+$O$5)^(($B$7-X808)/365.25)</f>
      </c>
      <c r="AC808" s="1"/>
      <c r="AD808" s="1"/>
      <c r="AE808" s="1"/>
      <c r="AF808" s="111">
        <f>+MONTH(E808)&amp;YEAR(E808)</f>
      </c>
      <c r="AG808" s="217">
        <f>+I808</f>
      </c>
      <c r="AH808" s="217">
        <f>+J808</f>
      </c>
      <c r="AI808" s="217">
        <f>+H808</f>
      </c>
      <c r="AJ808" s="111">
        <f>+V808&amp;W808</f>
      </c>
      <c r="AK808" s="217">
        <f>+_xlfn.IFNA(VLOOKUP(AJ808,$AF$7:$AG$1066,2,0),0)</f>
      </c>
      <c r="AL808" s="217">
        <f>+IF(W808&gt;W807,AK808,AL807+AK808)</f>
      </c>
      <c r="AM808" s="217">
        <f>IF(W808&gt;W807,IF(AL808&gt;=$AZ$8,$AZ$8,AL808),IF(OR(AM807=$AZ$8,AM807=0),0,IF(AL808&gt;=$AZ$8,$AZ$8,AL808)))</f>
      </c>
      <c r="AN808" s="748">
        <f>+IF(OR(AM808&gt;AZ807,AM808=0),0,IF(AM808=AL808,AK808,$AZ$7-AL807))</f>
      </c>
      <c r="AO808" s="748">
        <f>+AK808-AN808</f>
      </c>
      <c r="AP808" s="217">
        <f>+_xlfn.IFNA(VLOOKUP(AJ808,$AF$7:$AI$1066,3,0),0)</f>
      </c>
      <c r="AQ808" s="217">
        <f>+IF(W808&gt;W807,AP808,AQ807+AP808)</f>
      </c>
      <c r="AR808" s="217">
        <f>+MAX($AM$2-SUMIF($W$7:$W$1066,W808,$AN$7:$AN$1066),0)</f>
      </c>
      <c r="AS808" s="748">
        <f>+MAX(IF(AQ808&gt;AR808,AR808-AQ807,AP808),0)</f>
      </c>
      <c r="AT808" s="748">
        <f>+AP808-AS808</f>
      </c>
      <c r="AU808" s="217">
        <f>+_xlfn.IFNA(VLOOKUP(AJ808,$AF$7:$AI$1066,4,0),0)</f>
      </c>
      <c r="AV808" s="217">
        <f>+IF(W808&gt;W807,AU808,AV807+AU808)</f>
      </c>
      <c r="AW808" s="217">
        <f>+MAX($AM$2-SUMIF($W$7:$W$1066,W808,$AN$7:$AN$1066)-SUMIF($W$7:$W$1066,W808,$AS$7:$AS$1066),0)</f>
      </c>
      <c r="AX808" s="748">
        <f>+MAX(IF(AV808&gt;AW808,AW808-AV807,AU808),0)</f>
      </c>
      <c r="AY808" s="748">
        <f>+AU808-AX808</f>
      </c>
      <c r="AZ808" s="331">
        <f>+$AM$1+IF($AP$1&gt;$AP$2,$AM$3/2)</f>
      </c>
    </row>
    <row x14ac:dyDescent="0.25" r="809" customHeight="1" ht="18.75">
      <c r="A809" s="1"/>
      <c r="B809" s="7"/>
      <c r="C809" s="170"/>
      <c r="D809" s="331">
        <v>802</v>
      </c>
      <c r="E809" s="544">
        <f>+DATE(YEAR(E808),MONTH(E808)-1,DAY(E808))</f>
        <v>25569.041666666668</v>
      </c>
      <c r="F809" s="333">
        <f>IF(DATE(YEAR($B$6),MONTH($B$6)+1,DAY(1))=E809,1,IF(MONTH(E809)=1,F810*(1+$F$5),F810))</f>
      </c>
      <c r="G809" s="333">
        <f>IF('Simulador - 1º Pilar'!$E$99="Sí",IF('Aportaciones PPE'!$B$13&lt;'Aportaciones PPE'!E809,0,F809*$B$8/12),F809*$B$8/12)</f>
      </c>
      <c r="H809" s="333">
        <f>$H$5*G809</f>
      </c>
      <c r="I809" s="333">
        <f>$I$5*G809</f>
      </c>
      <c r="J809" s="333">
        <f>+I809</f>
      </c>
      <c r="K809" s="333">
        <f>(1+$O$5)^(D809/12)*(H809+IF(AND(F809=1,F810=0),$S$4,0))</f>
      </c>
      <c r="L809" s="333">
        <f>(1+$O$5)^(D809/12)*(I809+IF(AND(F809=1,F810=0),0))</f>
      </c>
      <c r="M809" s="333">
        <f>+L809</f>
      </c>
      <c r="N809" s="333">
        <f>L809+K809+M809</f>
      </c>
      <c r="O809" s="170"/>
      <c r="P809" s="7"/>
      <c r="Q809" s="1"/>
      <c r="R809" s="331">
        <f>D809</f>
      </c>
      <c r="S809" s="169"/>
      <c r="T809" s="1"/>
      <c r="U809" s="217"/>
      <c r="V809" s="331">
        <f>+IF(V808=11,12,IF(V808=12,1,V808+1))</f>
      </c>
      <c r="W809" s="331">
        <f>+W808+IF(V808=12,1,0)</f>
      </c>
      <c r="X809" s="555">
        <f>+DATE(W809,V809,1)</f>
        <v>25569.041666666668</v>
      </c>
      <c r="Y809" s="333">
        <f>+_xlfn.IFNA(AN809+AS809+AX809,0)</f>
      </c>
      <c r="Z809" s="333">
        <f>+_xlfn.IFNA(AO809+AT809+AY809,0)</f>
      </c>
      <c r="AA809" s="333">
        <f>Y809*(1+$O$5)^(($B$7-X809)/365.25)</f>
      </c>
      <c r="AB809" s="333">
        <f>Z809*(1+$O$5)^(($B$7-X809)/365.25)</f>
      </c>
      <c r="AC809" s="1"/>
      <c r="AD809" s="1"/>
      <c r="AE809" s="1"/>
      <c r="AF809" s="111">
        <f>+MONTH(E809)&amp;YEAR(E809)</f>
      </c>
      <c r="AG809" s="217">
        <f>+I809</f>
      </c>
      <c r="AH809" s="217">
        <f>+J809</f>
      </c>
      <c r="AI809" s="217">
        <f>+H809</f>
      </c>
      <c r="AJ809" s="111">
        <f>+V809&amp;W809</f>
      </c>
      <c r="AK809" s="217">
        <f>+_xlfn.IFNA(VLOOKUP(AJ809,$AF$7:$AG$1066,2,0),0)</f>
      </c>
      <c r="AL809" s="217">
        <f>+IF(W809&gt;W808,AK809,AL808+AK809)</f>
      </c>
      <c r="AM809" s="217">
        <f>IF(W809&gt;W808,IF(AL809&gt;=$AZ$8,$AZ$8,AL809),IF(OR(AM808=$AZ$8,AM808=0),0,IF(AL809&gt;=$AZ$8,$AZ$8,AL809)))</f>
      </c>
      <c r="AN809" s="748">
        <f>+IF(OR(AM809&gt;AZ808,AM809=0),0,IF(AM809=AL809,AK809,$AZ$7-AL808))</f>
      </c>
      <c r="AO809" s="748">
        <f>+AK809-AN809</f>
      </c>
      <c r="AP809" s="217">
        <f>+_xlfn.IFNA(VLOOKUP(AJ809,$AF$7:$AI$1066,3,0),0)</f>
      </c>
      <c r="AQ809" s="217">
        <f>+IF(W809&gt;W808,AP809,AQ808+AP809)</f>
      </c>
      <c r="AR809" s="217">
        <f>+MAX($AM$2-SUMIF($W$7:$W$1066,W809,$AN$7:$AN$1066),0)</f>
      </c>
      <c r="AS809" s="748">
        <f>+MAX(IF(AQ809&gt;AR809,AR809-AQ808,AP809),0)</f>
      </c>
      <c r="AT809" s="748">
        <f>+AP809-AS809</f>
      </c>
      <c r="AU809" s="217">
        <f>+_xlfn.IFNA(VLOOKUP(AJ809,$AF$7:$AI$1066,4,0),0)</f>
      </c>
      <c r="AV809" s="217">
        <f>+IF(W809&gt;W808,AU809,AV808+AU809)</f>
      </c>
      <c r="AW809" s="217">
        <f>+MAX($AM$2-SUMIF($W$7:$W$1066,W809,$AN$7:$AN$1066)-SUMIF($W$7:$W$1066,W809,$AS$7:$AS$1066),0)</f>
      </c>
      <c r="AX809" s="748">
        <f>+MAX(IF(AV809&gt;AW809,AW809-AV808,AU809),0)</f>
      </c>
      <c r="AY809" s="748">
        <f>+AU809-AX809</f>
      </c>
      <c r="AZ809" s="331">
        <f>+$AM$1+IF($AP$1&gt;$AP$2,$AM$3/2)</f>
      </c>
    </row>
    <row x14ac:dyDescent="0.25" r="810" customHeight="1" ht="18.75">
      <c r="A810" s="1"/>
      <c r="B810" s="7"/>
      <c r="C810" s="170"/>
      <c r="D810" s="331">
        <v>803</v>
      </c>
      <c r="E810" s="544">
        <f>+DATE(YEAR(E809),MONTH(E809)-1,DAY(E809))</f>
        <v>25569.041666666668</v>
      </c>
      <c r="F810" s="333">
        <f>IF(DATE(YEAR($B$6),MONTH($B$6)+1,DAY(1))=E810,1,IF(MONTH(E810)=1,F811*(1+$F$5),F811))</f>
      </c>
      <c r="G810" s="333">
        <f>IF('Simulador - 1º Pilar'!$E$99="Sí",IF('Aportaciones PPE'!$B$13&lt;'Aportaciones PPE'!E810,0,F810*$B$8/12),F810*$B$8/12)</f>
      </c>
      <c r="H810" s="333">
        <f>$H$5*G810</f>
      </c>
      <c r="I810" s="333">
        <f>$I$5*G810</f>
      </c>
      <c r="J810" s="333">
        <f>+I810</f>
      </c>
      <c r="K810" s="333">
        <f>(1+$O$5)^(D810/12)*(H810+IF(AND(F810=1,F811=0),$S$4,0))</f>
      </c>
      <c r="L810" s="333">
        <f>(1+$O$5)^(D810/12)*(I810+IF(AND(F810=1,F811=0),0))</f>
      </c>
      <c r="M810" s="333">
        <f>+L810</f>
      </c>
      <c r="N810" s="333">
        <f>L810+K810+M810</f>
      </c>
      <c r="O810" s="170"/>
      <c r="P810" s="7"/>
      <c r="Q810" s="1"/>
      <c r="R810" s="331">
        <f>D810</f>
      </c>
      <c r="S810" s="169"/>
      <c r="T810" s="1"/>
      <c r="U810" s="217"/>
      <c r="V810" s="331">
        <f>+IF(V809=11,12,IF(V809=12,1,V809+1))</f>
      </c>
      <c r="W810" s="331">
        <f>+W809+IF(V809=12,1,0)</f>
      </c>
      <c r="X810" s="555">
        <f>+DATE(W810,V810,1)</f>
        <v>25569.041666666668</v>
      </c>
      <c r="Y810" s="333">
        <f>+_xlfn.IFNA(AN810+AS810+AX810,0)</f>
      </c>
      <c r="Z810" s="333">
        <f>+_xlfn.IFNA(AO810+AT810+AY810,0)</f>
      </c>
      <c r="AA810" s="333">
        <f>Y810*(1+$O$5)^(($B$7-X810)/365.25)</f>
      </c>
      <c r="AB810" s="333">
        <f>Z810*(1+$O$5)^(($B$7-X810)/365.25)</f>
      </c>
      <c r="AC810" s="1"/>
      <c r="AD810" s="1"/>
      <c r="AE810" s="1"/>
      <c r="AF810" s="111">
        <f>+MONTH(E810)&amp;YEAR(E810)</f>
      </c>
      <c r="AG810" s="217">
        <f>+I810</f>
      </c>
      <c r="AH810" s="217">
        <f>+J810</f>
      </c>
      <c r="AI810" s="217">
        <f>+H810</f>
      </c>
      <c r="AJ810" s="111">
        <f>+V810&amp;W810</f>
      </c>
      <c r="AK810" s="217">
        <f>+_xlfn.IFNA(VLOOKUP(AJ810,$AF$7:$AG$1066,2,0),0)</f>
      </c>
      <c r="AL810" s="217">
        <f>+IF(W810&gt;W809,AK810,AL809+AK810)</f>
      </c>
      <c r="AM810" s="217">
        <f>IF(W810&gt;W809,IF(AL810&gt;=$AZ$8,$AZ$8,AL810),IF(OR(AM809=$AZ$8,AM809=0),0,IF(AL810&gt;=$AZ$8,$AZ$8,AL810)))</f>
      </c>
      <c r="AN810" s="748">
        <f>+IF(OR(AM810&gt;AZ809,AM810=0),0,IF(AM810=AL810,AK810,$AZ$7-AL809))</f>
      </c>
      <c r="AO810" s="748">
        <f>+AK810-AN810</f>
      </c>
      <c r="AP810" s="217">
        <f>+_xlfn.IFNA(VLOOKUP(AJ810,$AF$7:$AI$1066,3,0),0)</f>
      </c>
      <c r="AQ810" s="217">
        <f>+IF(W810&gt;W809,AP810,AQ809+AP810)</f>
      </c>
      <c r="AR810" s="217">
        <f>+MAX($AM$2-SUMIF($W$7:$W$1066,W810,$AN$7:$AN$1066),0)</f>
      </c>
      <c r="AS810" s="748">
        <f>+MAX(IF(AQ810&gt;AR810,AR810-AQ809,AP810),0)</f>
      </c>
      <c r="AT810" s="748">
        <f>+AP810-AS810</f>
      </c>
      <c r="AU810" s="217">
        <f>+_xlfn.IFNA(VLOOKUP(AJ810,$AF$7:$AI$1066,4,0),0)</f>
      </c>
      <c r="AV810" s="217">
        <f>+IF(W810&gt;W809,AU810,AV809+AU810)</f>
      </c>
      <c r="AW810" s="217">
        <f>+MAX($AM$2-SUMIF($W$7:$W$1066,W810,$AN$7:$AN$1066)-SUMIF($W$7:$W$1066,W810,$AS$7:$AS$1066),0)</f>
      </c>
      <c r="AX810" s="748">
        <f>+MAX(IF(AV810&gt;AW810,AW810-AV809,AU810),0)</f>
      </c>
      <c r="AY810" s="748">
        <f>+AU810-AX810</f>
      </c>
      <c r="AZ810" s="331">
        <f>+$AM$1+IF($AP$1&gt;$AP$2,$AM$3/2)</f>
      </c>
    </row>
    <row x14ac:dyDescent="0.25" r="811" customHeight="1" ht="18.75">
      <c r="A811" s="1"/>
      <c r="B811" s="7"/>
      <c r="C811" s="170"/>
      <c r="D811" s="331">
        <v>804</v>
      </c>
      <c r="E811" s="544">
        <f>+DATE(YEAR(E810),MONTH(E810)-1,DAY(E810))</f>
        <v>25569.041666666668</v>
      </c>
      <c r="F811" s="333">
        <f>IF(DATE(YEAR($B$6),MONTH($B$6)+1,DAY(1))=E811,1,IF(MONTH(E811)=1,F812*(1+$F$5),F812))</f>
      </c>
      <c r="G811" s="333">
        <f>IF('Simulador - 1º Pilar'!$E$99="Sí",IF('Aportaciones PPE'!$B$13&lt;'Aportaciones PPE'!E811,0,F811*$B$8/12),F811*$B$8/12)</f>
      </c>
      <c r="H811" s="333">
        <f>$H$5*G811</f>
      </c>
      <c r="I811" s="333">
        <f>$I$5*G811</f>
      </c>
      <c r="J811" s="333">
        <f>+I811</f>
      </c>
      <c r="K811" s="333">
        <f>(1+$O$5)^(D811/12)*(H811+IF(AND(F811=1,F812=0),$S$4,0))</f>
      </c>
      <c r="L811" s="333">
        <f>(1+$O$5)^(D811/12)*(I811+IF(AND(F811=1,F812=0),0))</f>
      </c>
      <c r="M811" s="333">
        <f>+L811</f>
      </c>
      <c r="N811" s="333">
        <f>L811+K811+M811</f>
      </c>
      <c r="O811" s="170"/>
      <c r="P811" s="7"/>
      <c r="Q811" s="1"/>
      <c r="R811" s="331">
        <f>D811</f>
      </c>
      <c r="S811" s="169"/>
      <c r="T811" s="1"/>
      <c r="U811" s="217"/>
      <c r="V811" s="331">
        <f>+IF(V810=11,12,IF(V810=12,1,V810+1))</f>
      </c>
      <c r="W811" s="331">
        <f>+W810+IF(V810=12,1,0)</f>
      </c>
      <c r="X811" s="555">
        <f>+DATE(W811,V811,1)</f>
        <v>25569.041666666668</v>
      </c>
      <c r="Y811" s="333">
        <f>+_xlfn.IFNA(AN811+AS811+AX811,0)</f>
      </c>
      <c r="Z811" s="333">
        <f>+_xlfn.IFNA(AO811+AT811+AY811,0)</f>
      </c>
      <c r="AA811" s="333">
        <f>Y811*(1+$O$5)^(($B$7-X811)/365.25)</f>
      </c>
      <c r="AB811" s="333">
        <f>Z811*(1+$O$5)^(($B$7-X811)/365.25)</f>
      </c>
      <c r="AC811" s="1"/>
      <c r="AD811" s="1"/>
      <c r="AE811" s="1"/>
      <c r="AF811" s="111">
        <f>+MONTH(E811)&amp;YEAR(E811)</f>
      </c>
      <c r="AG811" s="217">
        <f>+I811</f>
      </c>
      <c r="AH811" s="217">
        <f>+J811</f>
      </c>
      <c r="AI811" s="217">
        <f>+H811</f>
      </c>
      <c r="AJ811" s="111">
        <f>+V811&amp;W811</f>
      </c>
      <c r="AK811" s="217">
        <f>+_xlfn.IFNA(VLOOKUP(AJ811,$AF$7:$AG$1066,2,0),0)</f>
      </c>
      <c r="AL811" s="217">
        <f>+IF(W811&gt;W810,AK811,AL810+AK811)</f>
      </c>
      <c r="AM811" s="217">
        <f>IF(W811&gt;W810,IF(AL811&gt;=$AZ$8,$AZ$8,AL811),IF(OR(AM810=$AZ$8,AM810=0),0,IF(AL811&gt;=$AZ$8,$AZ$8,AL811)))</f>
      </c>
      <c r="AN811" s="748">
        <f>+IF(OR(AM811&gt;AZ810,AM811=0),0,IF(AM811=AL811,AK811,$AZ$7-AL810))</f>
      </c>
      <c r="AO811" s="748">
        <f>+AK811-AN811</f>
      </c>
      <c r="AP811" s="217">
        <f>+_xlfn.IFNA(VLOOKUP(AJ811,$AF$7:$AI$1066,3,0),0)</f>
      </c>
      <c r="AQ811" s="217">
        <f>+IF(W811&gt;W810,AP811,AQ810+AP811)</f>
      </c>
      <c r="AR811" s="217">
        <f>+MAX($AM$2-SUMIF($W$7:$W$1066,W811,$AN$7:$AN$1066),0)</f>
      </c>
      <c r="AS811" s="748">
        <f>+MAX(IF(AQ811&gt;AR811,AR811-AQ810,AP811),0)</f>
      </c>
      <c r="AT811" s="748">
        <f>+AP811-AS811</f>
      </c>
      <c r="AU811" s="217">
        <f>+_xlfn.IFNA(VLOOKUP(AJ811,$AF$7:$AI$1066,4,0),0)</f>
      </c>
      <c r="AV811" s="217">
        <f>+IF(W811&gt;W810,AU811,AV810+AU811)</f>
      </c>
      <c r="AW811" s="217">
        <f>+MAX($AM$2-SUMIF($W$7:$W$1066,W811,$AN$7:$AN$1066)-SUMIF($W$7:$W$1066,W811,$AS$7:$AS$1066),0)</f>
      </c>
      <c r="AX811" s="748">
        <f>+MAX(IF(AV811&gt;AW811,AW811-AV810,AU811),0)</f>
      </c>
      <c r="AY811" s="748">
        <f>+AU811-AX811</f>
      </c>
      <c r="AZ811" s="331">
        <f>+$AM$1+IF($AP$1&gt;$AP$2,$AM$3/2)</f>
      </c>
    </row>
    <row x14ac:dyDescent="0.25" r="812" customHeight="1" ht="18.75">
      <c r="A812" s="1"/>
      <c r="B812" s="7"/>
      <c r="C812" s="170"/>
      <c r="D812" s="331">
        <v>805</v>
      </c>
      <c r="E812" s="544">
        <f>+DATE(YEAR(E811),MONTH(E811)-1,DAY(E811))</f>
        <v>25569.041666666668</v>
      </c>
      <c r="F812" s="333">
        <f>IF(DATE(YEAR($B$6),MONTH($B$6)+1,DAY(1))=E812,1,IF(MONTH(E812)=1,F813*(1+$F$5),F813))</f>
      </c>
      <c r="G812" s="333">
        <f>IF('Simulador - 1º Pilar'!$E$99="Sí",IF('Aportaciones PPE'!$B$13&lt;'Aportaciones PPE'!E812,0,F812*$B$8/12),F812*$B$8/12)</f>
      </c>
      <c r="H812" s="333">
        <f>$H$5*G812</f>
      </c>
      <c r="I812" s="333">
        <f>$I$5*G812</f>
      </c>
      <c r="J812" s="333">
        <f>+I812</f>
      </c>
      <c r="K812" s="333">
        <f>(1+$O$5)^(D812/12)*(H812+IF(AND(F812=1,F813=0),$S$4,0))</f>
      </c>
      <c r="L812" s="333">
        <f>(1+$O$5)^(D812/12)*(I812+IF(AND(F812=1,F813=0),0))</f>
      </c>
      <c r="M812" s="333">
        <f>+L812</f>
      </c>
      <c r="N812" s="333">
        <f>L812+K812+M812</f>
      </c>
      <c r="O812" s="170"/>
      <c r="P812" s="7"/>
      <c r="Q812" s="1"/>
      <c r="R812" s="331">
        <f>D812</f>
      </c>
      <c r="S812" s="169"/>
      <c r="T812" s="1"/>
      <c r="U812" s="217"/>
      <c r="V812" s="331">
        <f>+IF(V811=11,12,IF(V811=12,1,V811+1))</f>
      </c>
      <c r="W812" s="331">
        <f>+W811+IF(V811=12,1,0)</f>
      </c>
      <c r="X812" s="555">
        <f>+DATE(W812,V812,1)</f>
        <v>25569.041666666668</v>
      </c>
      <c r="Y812" s="333">
        <f>+_xlfn.IFNA(AN812+AS812+AX812,0)</f>
      </c>
      <c r="Z812" s="333">
        <f>+_xlfn.IFNA(AO812+AT812+AY812,0)</f>
      </c>
      <c r="AA812" s="333">
        <f>Y812*(1+$O$5)^(($B$7-X812)/365.25)</f>
      </c>
      <c r="AB812" s="333">
        <f>Z812*(1+$O$5)^(($B$7-X812)/365.25)</f>
      </c>
      <c r="AC812" s="1"/>
      <c r="AD812" s="1"/>
      <c r="AE812" s="1"/>
      <c r="AF812" s="111">
        <f>+MONTH(E812)&amp;YEAR(E812)</f>
      </c>
      <c r="AG812" s="217">
        <f>+I812</f>
      </c>
      <c r="AH812" s="217">
        <f>+J812</f>
      </c>
      <c r="AI812" s="217">
        <f>+H812</f>
      </c>
      <c r="AJ812" s="111">
        <f>+V812&amp;W812</f>
      </c>
      <c r="AK812" s="217">
        <f>+_xlfn.IFNA(VLOOKUP(AJ812,$AF$7:$AG$1066,2,0),0)</f>
      </c>
      <c r="AL812" s="217">
        <f>+IF(W812&gt;W811,AK812,AL811+AK812)</f>
      </c>
      <c r="AM812" s="217">
        <f>IF(W812&gt;W811,IF(AL812&gt;=$AZ$8,$AZ$8,AL812),IF(OR(AM811=$AZ$8,AM811=0),0,IF(AL812&gt;=$AZ$8,$AZ$8,AL812)))</f>
      </c>
      <c r="AN812" s="748">
        <f>+IF(OR(AM812&gt;AZ811,AM812=0),0,IF(AM812=AL812,AK812,$AZ$7-AL811))</f>
      </c>
      <c r="AO812" s="748">
        <f>+AK812-AN812</f>
      </c>
      <c r="AP812" s="217">
        <f>+_xlfn.IFNA(VLOOKUP(AJ812,$AF$7:$AI$1066,3,0),0)</f>
      </c>
      <c r="AQ812" s="217">
        <f>+IF(W812&gt;W811,AP812,AQ811+AP812)</f>
      </c>
      <c r="AR812" s="217">
        <f>+MAX($AM$2-SUMIF($W$7:$W$1066,W812,$AN$7:$AN$1066),0)</f>
      </c>
      <c r="AS812" s="748">
        <f>+MAX(IF(AQ812&gt;AR812,AR812-AQ811,AP812),0)</f>
      </c>
      <c r="AT812" s="748">
        <f>+AP812-AS812</f>
      </c>
      <c r="AU812" s="217">
        <f>+_xlfn.IFNA(VLOOKUP(AJ812,$AF$7:$AI$1066,4,0),0)</f>
      </c>
      <c r="AV812" s="217">
        <f>+IF(W812&gt;W811,AU812,AV811+AU812)</f>
      </c>
      <c r="AW812" s="217">
        <f>+MAX($AM$2-SUMIF($W$7:$W$1066,W812,$AN$7:$AN$1066)-SUMIF($W$7:$W$1066,W812,$AS$7:$AS$1066),0)</f>
      </c>
      <c r="AX812" s="748">
        <f>+MAX(IF(AV812&gt;AW812,AW812-AV811,AU812),0)</f>
      </c>
      <c r="AY812" s="748">
        <f>+AU812-AX812</f>
      </c>
      <c r="AZ812" s="331">
        <f>+$AM$1+IF($AP$1&gt;$AP$2,$AM$3/2)</f>
      </c>
    </row>
    <row x14ac:dyDescent="0.25" r="813" customHeight="1" ht="18.75">
      <c r="A813" s="1"/>
      <c r="B813" s="7"/>
      <c r="C813" s="170"/>
      <c r="D813" s="331">
        <v>806</v>
      </c>
      <c r="E813" s="544">
        <f>+DATE(YEAR(E812),MONTH(E812)-1,DAY(E812))</f>
        <v>25569.041666666668</v>
      </c>
      <c r="F813" s="333">
        <f>IF(DATE(YEAR($B$6),MONTH($B$6)+1,DAY(1))=E813,1,IF(MONTH(E813)=1,F814*(1+$F$5),F814))</f>
      </c>
      <c r="G813" s="333">
        <f>IF('Simulador - 1º Pilar'!$E$99="Sí",IF('Aportaciones PPE'!$B$13&lt;'Aportaciones PPE'!E813,0,F813*$B$8/12),F813*$B$8/12)</f>
      </c>
      <c r="H813" s="333">
        <f>$H$5*G813</f>
      </c>
      <c r="I813" s="333">
        <f>$I$5*G813</f>
      </c>
      <c r="J813" s="333">
        <f>+I813</f>
      </c>
      <c r="K813" s="333">
        <f>(1+$O$5)^(D813/12)*(H813+IF(AND(F813=1,F814=0),$S$4,0))</f>
      </c>
      <c r="L813" s="333">
        <f>(1+$O$5)^(D813/12)*(I813+IF(AND(F813=1,F814=0),0))</f>
      </c>
      <c r="M813" s="333">
        <f>+L813</f>
      </c>
      <c r="N813" s="333">
        <f>L813+K813+M813</f>
      </c>
      <c r="O813" s="170"/>
      <c r="P813" s="7"/>
      <c r="Q813" s="1"/>
      <c r="R813" s="331">
        <f>D813</f>
      </c>
      <c r="S813" s="169"/>
      <c r="T813" s="1"/>
      <c r="U813" s="217"/>
      <c r="V813" s="331">
        <f>+IF(V812=11,12,IF(V812=12,1,V812+1))</f>
      </c>
      <c r="W813" s="331">
        <f>+W812+IF(V812=12,1,0)</f>
      </c>
      <c r="X813" s="555">
        <f>+DATE(W813,V813,1)</f>
        <v>25569.041666666668</v>
      </c>
      <c r="Y813" s="333">
        <f>+_xlfn.IFNA(AN813+AS813+AX813,0)</f>
      </c>
      <c r="Z813" s="333">
        <f>+_xlfn.IFNA(AO813+AT813+AY813,0)</f>
      </c>
      <c r="AA813" s="333">
        <f>Y813*(1+$O$5)^(($B$7-X813)/365.25)</f>
      </c>
      <c r="AB813" s="333">
        <f>Z813*(1+$O$5)^(($B$7-X813)/365.25)</f>
      </c>
      <c r="AC813" s="1"/>
      <c r="AD813" s="1"/>
      <c r="AE813" s="1"/>
      <c r="AF813" s="111">
        <f>+MONTH(E813)&amp;YEAR(E813)</f>
      </c>
      <c r="AG813" s="217">
        <f>+I813</f>
      </c>
      <c r="AH813" s="217">
        <f>+J813</f>
      </c>
      <c r="AI813" s="217">
        <f>+H813</f>
      </c>
      <c r="AJ813" s="111">
        <f>+V813&amp;W813</f>
      </c>
      <c r="AK813" s="217">
        <f>+_xlfn.IFNA(VLOOKUP(AJ813,$AF$7:$AG$1066,2,0),0)</f>
      </c>
      <c r="AL813" s="217">
        <f>+IF(W813&gt;W812,AK813,AL812+AK813)</f>
      </c>
      <c r="AM813" s="217">
        <f>IF(W813&gt;W812,IF(AL813&gt;=$AZ$8,$AZ$8,AL813),IF(OR(AM812=$AZ$8,AM812=0),0,IF(AL813&gt;=$AZ$8,$AZ$8,AL813)))</f>
      </c>
      <c r="AN813" s="748">
        <f>+IF(OR(AM813&gt;AZ812,AM813=0),0,IF(AM813=AL813,AK813,$AZ$7-AL812))</f>
      </c>
      <c r="AO813" s="748">
        <f>+AK813-AN813</f>
      </c>
      <c r="AP813" s="217">
        <f>+_xlfn.IFNA(VLOOKUP(AJ813,$AF$7:$AI$1066,3,0),0)</f>
      </c>
      <c r="AQ813" s="217">
        <f>+IF(W813&gt;W812,AP813,AQ812+AP813)</f>
      </c>
      <c r="AR813" s="217">
        <f>+MAX($AM$2-SUMIF($W$7:$W$1066,W813,$AN$7:$AN$1066),0)</f>
      </c>
      <c r="AS813" s="748">
        <f>+MAX(IF(AQ813&gt;AR813,AR813-AQ812,AP813),0)</f>
      </c>
      <c r="AT813" s="748">
        <f>+AP813-AS813</f>
      </c>
      <c r="AU813" s="217">
        <f>+_xlfn.IFNA(VLOOKUP(AJ813,$AF$7:$AI$1066,4,0),0)</f>
      </c>
      <c r="AV813" s="217">
        <f>+IF(W813&gt;W812,AU813,AV812+AU813)</f>
      </c>
      <c r="AW813" s="217">
        <f>+MAX($AM$2-SUMIF($W$7:$W$1066,W813,$AN$7:$AN$1066)-SUMIF($W$7:$W$1066,W813,$AS$7:$AS$1066),0)</f>
      </c>
      <c r="AX813" s="748">
        <f>+MAX(IF(AV813&gt;AW813,AW813-AV812,AU813),0)</f>
      </c>
      <c r="AY813" s="748">
        <f>+AU813-AX813</f>
      </c>
      <c r="AZ813" s="331">
        <f>+$AM$1+IF($AP$1&gt;$AP$2,$AM$3/2)</f>
      </c>
    </row>
    <row x14ac:dyDescent="0.25" r="814" customHeight="1" ht="18.75">
      <c r="A814" s="1"/>
      <c r="B814" s="7"/>
      <c r="C814" s="170"/>
      <c r="D814" s="331">
        <v>807</v>
      </c>
      <c r="E814" s="544">
        <f>+DATE(YEAR(E813),MONTH(E813)-1,DAY(E813))</f>
        <v>25569.041666666668</v>
      </c>
      <c r="F814" s="333">
        <f>IF(DATE(YEAR($B$6),MONTH($B$6)+1,DAY(1))=E814,1,IF(MONTH(E814)=1,F815*(1+$F$5),F815))</f>
      </c>
      <c r="G814" s="333">
        <f>IF('Simulador - 1º Pilar'!$E$99="Sí",IF('Aportaciones PPE'!$B$13&lt;'Aportaciones PPE'!E814,0,F814*$B$8/12),F814*$B$8/12)</f>
      </c>
      <c r="H814" s="333">
        <f>$H$5*G814</f>
      </c>
      <c r="I814" s="333">
        <f>$I$5*G814</f>
      </c>
      <c r="J814" s="333">
        <f>+I814</f>
      </c>
      <c r="K814" s="333">
        <f>(1+$O$5)^(D814/12)*(H814+IF(AND(F814=1,F815=0),$S$4,0))</f>
      </c>
      <c r="L814" s="333">
        <f>(1+$O$5)^(D814/12)*(I814+IF(AND(F814=1,F815=0),0))</f>
      </c>
      <c r="M814" s="333">
        <f>+L814</f>
      </c>
      <c r="N814" s="333">
        <f>L814+K814+M814</f>
      </c>
      <c r="O814" s="170"/>
      <c r="P814" s="7"/>
      <c r="Q814" s="1"/>
      <c r="R814" s="331">
        <f>D814</f>
      </c>
      <c r="S814" s="169"/>
      <c r="T814" s="1"/>
      <c r="U814" s="217"/>
      <c r="V814" s="331">
        <f>+IF(V813=11,12,IF(V813=12,1,V813+1))</f>
      </c>
      <c r="W814" s="331">
        <f>+W813+IF(V813=12,1,0)</f>
      </c>
      <c r="X814" s="555">
        <f>+DATE(W814,V814,1)</f>
        <v>25569.041666666668</v>
      </c>
      <c r="Y814" s="333">
        <f>+_xlfn.IFNA(AN814+AS814+AX814,0)</f>
      </c>
      <c r="Z814" s="333">
        <f>+_xlfn.IFNA(AO814+AT814+AY814,0)</f>
      </c>
      <c r="AA814" s="333">
        <f>Y814*(1+$O$5)^(($B$7-X814)/365.25)</f>
      </c>
      <c r="AB814" s="333">
        <f>Z814*(1+$O$5)^(($B$7-X814)/365.25)</f>
      </c>
      <c r="AC814" s="1"/>
      <c r="AD814" s="1"/>
      <c r="AE814" s="1"/>
      <c r="AF814" s="111">
        <f>+MONTH(E814)&amp;YEAR(E814)</f>
      </c>
      <c r="AG814" s="217">
        <f>+I814</f>
      </c>
      <c r="AH814" s="217">
        <f>+J814</f>
      </c>
      <c r="AI814" s="217">
        <f>+H814</f>
      </c>
      <c r="AJ814" s="111">
        <f>+V814&amp;W814</f>
      </c>
      <c r="AK814" s="217">
        <f>+_xlfn.IFNA(VLOOKUP(AJ814,$AF$7:$AG$1066,2,0),0)</f>
      </c>
      <c r="AL814" s="217">
        <f>+IF(W814&gt;W813,AK814,AL813+AK814)</f>
      </c>
      <c r="AM814" s="217">
        <f>IF(W814&gt;W813,IF(AL814&gt;=$AZ$8,$AZ$8,AL814),IF(OR(AM813=$AZ$8,AM813=0),0,IF(AL814&gt;=$AZ$8,$AZ$8,AL814)))</f>
      </c>
      <c r="AN814" s="748">
        <f>+IF(OR(AM814&gt;AZ813,AM814=0),0,IF(AM814=AL814,AK814,$AZ$7-AL813))</f>
      </c>
      <c r="AO814" s="748">
        <f>+AK814-AN814</f>
      </c>
      <c r="AP814" s="217">
        <f>+_xlfn.IFNA(VLOOKUP(AJ814,$AF$7:$AI$1066,3,0),0)</f>
      </c>
      <c r="AQ814" s="217">
        <f>+IF(W814&gt;W813,AP814,AQ813+AP814)</f>
      </c>
      <c r="AR814" s="217">
        <f>+MAX($AM$2-SUMIF($W$7:$W$1066,W814,$AN$7:$AN$1066),0)</f>
      </c>
      <c r="AS814" s="748">
        <f>+MAX(IF(AQ814&gt;AR814,AR814-AQ813,AP814),0)</f>
      </c>
      <c r="AT814" s="748">
        <f>+AP814-AS814</f>
      </c>
      <c r="AU814" s="217">
        <f>+_xlfn.IFNA(VLOOKUP(AJ814,$AF$7:$AI$1066,4,0),0)</f>
      </c>
      <c r="AV814" s="217">
        <f>+IF(W814&gt;W813,AU814,AV813+AU814)</f>
      </c>
      <c r="AW814" s="217">
        <f>+MAX($AM$2-SUMIF($W$7:$W$1066,W814,$AN$7:$AN$1066)-SUMIF($W$7:$W$1066,W814,$AS$7:$AS$1066),0)</f>
      </c>
      <c r="AX814" s="748">
        <f>+MAX(IF(AV814&gt;AW814,AW814-AV813,AU814),0)</f>
      </c>
      <c r="AY814" s="748">
        <f>+AU814-AX814</f>
      </c>
      <c r="AZ814" s="331">
        <f>+$AM$1+IF($AP$1&gt;$AP$2,$AM$3/2)</f>
      </c>
    </row>
    <row x14ac:dyDescent="0.25" r="815" customHeight="1" ht="18.75">
      <c r="A815" s="1"/>
      <c r="B815" s="7"/>
      <c r="C815" s="170"/>
      <c r="D815" s="331">
        <v>808</v>
      </c>
      <c r="E815" s="544">
        <f>+DATE(YEAR(E814),MONTH(E814)-1,DAY(E814))</f>
        <v>25569.041666666668</v>
      </c>
      <c r="F815" s="333">
        <f>IF(DATE(YEAR($B$6),MONTH($B$6)+1,DAY(1))=E815,1,IF(MONTH(E815)=1,F816*(1+$F$5),F816))</f>
      </c>
      <c r="G815" s="333">
        <f>IF('Simulador - 1º Pilar'!$E$99="Sí",IF('Aportaciones PPE'!$B$13&lt;'Aportaciones PPE'!E815,0,F815*$B$8/12),F815*$B$8/12)</f>
      </c>
      <c r="H815" s="333">
        <f>$H$5*G815</f>
      </c>
      <c r="I815" s="333">
        <f>$I$5*G815</f>
      </c>
      <c r="J815" s="333">
        <f>+I815</f>
      </c>
      <c r="K815" s="333">
        <f>(1+$O$5)^(D815/12)*(H815+IF(AND(F815=1,F816=0),$S$4,0))</f>
      </c>
      <c r="L815" s="333">
        <f>(1+$O$5)^(D815/12)*(I815+IF(AND(F815=1,F816=0),0))</f>
      </c>
      <c r="M815" s="333">
        <f>+L815</f>
      </c>
      <c r="N815" s="333">
        <f>L815+K815+M815</f>
      </c>
      <c r="O815" s="170"/>
      <c r="P815" s="7"/>
      <c r="Q815" s="1"/>
      <c r="R815" s="331">
        <f>D815</f>
      </c>
      <c r="S815" s="169"/>
      <c r="T815" s="1"/>
      <c r="U815" s="217"/>
      <c r="V815" s="331">
        <f>+IF(V814=11,12,IF(V814=12,1,V814+1))</f>
      </c>
      <c r="W815" s="331">
        <f>+W814+IF(V814=12,1,0)</f>
      </c>
      <c r="X815" s="555">
        <f>+DATE(W815,V815,1)</f>
        <v>25569.041666666668</v>
      </c>
      <c r="Y815" s="333">
        <f>+_xlfn.IFNA(AN815+AS815+AX815,0)</f>
      </c>
      <c r="Z815" s="333">
        <f>+_xlfn.IFNA(AO815+AT815+AY815,0)</f>
      </c>
      <c r="AA815" s="333">
        <f>Y815*(1+$O$5)^(($B$7-X815)/365.25)</f>
      </c>
      <c r="AB815" s="333">
        <f>Z815*(1+$O$5)^(($B$7-X815)/365.25)</f>
      </c>
      <c r="AC815" s="1"/>
      <c r="AD815" s="1"/>
      <c r="AE815" s="1"/>
      <c r="AF815" s="111">
        <f>+MONTH(E815)&amp;YEAR(E815)</f>
      </c>
      <c r="AG815" s="217">
        <f>+I815</f>
      </c>
      <c r="AH815" s="217">
        <f>+J815</f>
      </c>
      <c r="AI815" s="217">
        <f>+H815</f>
      </c>
      <c r="AJ815" s="111">
        <f>+V815&amp;W815</f>
      </c>
      <c r="AK815" s="217">
        <f>+_xlfn.IFNA(VLOOKUP(AJ815,$AF$7:$AG$1066,2,0),0)</f>
      </c>
      <c r="AL815" s="217">
        <f>+IF(W815&gt;W814,AK815,AL814+AK815)</f>
      </c>
      <c r="AM815" s="217">
        <f>IF(W815&gt;W814,IF(AL815&gt;=$AZ$8,$AZ$8,AL815),IF(OR(AM814=$AZ$8,AM814=0),0,IF(AL815&gt;=$AZ$8,$AZ$8,AL815)))</f>
      </c>
      <c r="AN815" s="748">
        <f>+IF(OR(AM815&gt;AZ814,AM815=0),0,IF(AM815=AL815,AK815,$AZ$7-AL814))</f>
      </c>
      <c r="AO815" s="748">
        <f>+AK815-AN815</f>
      </c>
      <c r="AP815" s="217">
        <f>+_xlfn.IFNA(VLOOKUP(AJ815,$AF$7:$AI$1066,3,0),0)</f>
      </c>
      <c r="AQ815" s="217">
        <f>+IF(W815&gt;W814,AP815,AQ814+AP815)</f>
      </c>
      <c r="AR815" s="217">
        <f>+MAX($AM$2-SUMIF($W$7:$W$1066,W815,$AN$7:$AN$1066),0)</f>
      </c>
      <c r="AS815" s="748">
        <f>+MAX(IF(AQ815&gt;AR815,AR815-AQ814,AP815),0)</f>
      </c>
      <c r="AT815" s="748">
        <f>+AP815-AS815</f>
      </c>
      <c r="AU815" s="217">
        <f>+_xlfn.IFNA(VLOOKUP(AJ815,$AF$7:$AI$1066,4,0),0)</f>
      </c>
      <c r="AV815" s="217">
        <f>+IF(W815&gt;W814,AU815,AV814+AU815)</f>
      </c>
      <c r="AW815" s="217">
        <f>+MAX($AM$2-SUMIF($W$7:$W$1066,W815,$AN$7:$AN$1066)-SUMIF($W$7:$W$1066,W815,$AS$7:$AS$1066),0)</f>
      </c>
      <c r="AX815" s="748">
        <f>+MAX(IF(AV815&gt;AW815,AW815-AV814,AU815),0)</f>
      </c>
      <c r="AY815" s="748">
        <f>+AU815-AX815</f>
      </c>
      <c r="AZ815" s="331">
        <f>+$AM$1+IF($AP$1&gt;$AP$2,$AM$3/2)</f>
      </c>
    </row>
    <row x14ac:dyDescent="0.25" r="816" customHeight="1" ht="18.75">
      <c r="A816" s="1"/>
      <c r="B816" s="7"/>
      <c r="C816" s="170"/>
      <c r="D816" s="331">
        <v>809</v>
      </c>
      <c r="E816" s="544">
        <f>+DATE(YEAR(E815),MONTH(E815)-1,DAY(E815))</f>
        <v>25569.041666666668</v>
      </c>
      <c r="F816" s="333">
        <f>IF(DATE(YEAR($B$6),MONTH($B$6)+1,DAY(1))=E816,1,IF(MONTH(E816)=1,F817*(1+$F$5),F817))</f>
      </c>
      <c r="G816" s="333">
        <f>IF('Simulador - 1º Pilar'!$E$99="Sí",IF('Aportaciones PPE'!$B$13&lt;'Aportaciones PPE'!E816,0,F816*$B$8/12),F816*$B$8/12)</f>
      </c>
      <c r="H816" s="333">
        <f>$H$5*G816</f>
      </c>
      <c r="I816" s="333">
        <f>$I$5*G816</f>
      </c>
      <c r="J816" s="333">
        <f>+I816</f>
      </c>
      <c r="K816" s="333">
        <f>(1+$O$5)^(D816/12)*(H816+IF(AND(F816=1,F817=0),$S$4,0))</f>
      </c>
      <c r="L816" s="333">
        <f>(1+$O$5)^(D816/12)*(I816+IF(AND(F816=1,F817=0),0))</f>
      </c>
      <c r="M816" s="333">
        <f>+L816</f>
      </c>
      <c r="N816" s="333">
        <f>L816+K816+M816</f>
      </c>
      <c r="O816" s="170"/>
      <c r="P816" s="7"/>
      <c r="Q816" s="1"/>
      <c r="R816" s="331">
        <f>D816</f>
      </c>
      <c r="S816" s="169"/>
      <c r="T816" s="1"/>
      <c r="U816" s="217"/>
      <c r="V816" s="331">
        <f>+IF(V815=11,12,IF(V815=12,1,V815+1))</f>
      </c>
      <c r="W816" s="331">
        <f>+W815+IF(V815=12,1,0)</f>
      </c>
      <c r="X816" s="555">
        <f>+DATE(W816,V816,1)</f>
        <v>25569.041666666668</v>
      </c>
      <c r="Y816" s="333">
        <f>+_xlfn.IFNA(AN816+AS816+AX816,0)</f>
      </c>
      <c r="Z816" s="333">
        <f>+_xlfn.IFNA(AO816+AT816+AY816,0)</f>
      </c>
      <c r="AA816" s="333">
        <f>Y816*(1+$O$5)^(($B$7-X816)/365.25)</f>
      </c>
      <c r="AB816" s="333">
        <f>Z816*(1+$O$5)^(($B$7-X816)/365.25)</f>
      </c>
      <c r="AC816" s="1"/>
      <c r="AD816" s="1"/>
      <c r="AE816" s="1"/>
      <c r="AF816" s="111">
        <f>+MONTH(E816)&amp;YEAR(E816)</f>
      </c>
      <c r="AG816" s="217">
        <f>+I816</f>
      </c>
      <c r="AH816" s="217">
        <f>+J816</f>
      </c>
      <c r="AI816" s="217">
        <f>+H816</f>
      </c>
      <c r="AJ816" s="111">
        <f>+V816&amp;W816</f>
      </c>
      <c r="AK816" s="217">
        <f>+_xlfn.IFNA(VLOOKUP(AJ816,$AF$7:$AG$1066,2,0),0)</f>
      </c>
      <c r="AL816" s="217">
        <f>+IF(W816&gt;W815,AK816,AL815+AK816)</f>
      </c>
      <c r="AM816" s="217">
        <f>IF(W816&gt;W815,IF(AL816&gt;=$AZ$8,$AZ$8,AL816),IF(OR(AM815=$AZ$8,AM815=0),0,IF(AL816&gt;=$AZ$8,$AZ$8,AL816)))</f>
      </c>
      <c r="AN816" s="748">
        <f>+IF(OR(AM816&gt;AZ815,AM816=0),0,IF(AM816=AL816,AK816,$AZ$7-AL815))</f>
      </c>
      <c r="AO816" s="748">
        <f>+AK816-AN816</f>
      </c>
      <c r="AP816" s="217">
        <f>+_xlfn.IFNA(VLOOKUP(AJ816,$AF$7:$AI$1066,3,0),0)</f>
      </c>
      <c r="AQ816" s="217">
        <f>+IF(W816&gt;W815,AP816,AQ815+AP816)</f>
      </c>
      <c r="AR816" s="217">
        <f>+MAX($AM$2-SUMIF($W$7:$W$1066,W816,$AN$7:$AN$1066),0)</f>
      </c>
      <c r="AS816" s="748">
        <f>+MAX(IF(AQ816&gt;AR816,AR816-AQ815,AP816),0)</f>
      </c>
      <c r="AT816" s="748">
        <f>+AP816-AS816</f>
      </c>
      <c r="AU816" s="217">
        <f>+_xlfn.IFNA(VLOOKUP(AJ816,$AF$7:$AI$1066,4,0),0)</f>
      </c>
      <c r="AV816" s="217">
        <f>+IF(W816&gt;W815,AU816,AV815+AU816)</f>
      </c>
      <c r="AW816" s="217">
        <f>+MAX($AM$2-SUMIF($W$7:$W$1066,W816,$AN$7:$AN$1066)-SUMIF($W$7:$W$1066,W816,$AS$7:$AS$1066),0)</f>
      </c>
      <c r="AX816" s="748">
        <f>+MAX(IF(AV816&gt;AW816,AW816-AV815,AU816),0)</f>
      </c>
      <c r="AY816" s="748">
        <f>+AU816-AX816</f>
      </c>
      <c r="AZ816" s="331">
        <f>+$AM$1+IF($AP$1&gt;$AP$2,$AM$3/2)</f>
      </c>
    </row>
    <row x14ac:dyDescent="0.25" r="817" customHeight="1" ht="18.75">
      <c r="A817" s="1"/>
      <c r="B817" s="7"/>
      <c r="C817" s="170"/>
      <c r="D817" s="331">
        <v>810</v>
      </c>
      <c r="E817" s="544">
        <f>+DATE(YEAR(E816),MONTH(E816)-1,DAY(E816))</f>
        <v>25569.041666666668</v>
      </c>
      <c r="F817" s="333">
        <f>IF(DATE(YEAR($B$6),MONTH($B$6)+1,DAY(1))=E817,1,IF(MONTH(E817)=1,F818*(1+$F$5),F818))</f>
      </c>
      <c r="G817" s="333">
        <f>IF('Simulador - 1º Pilar'!$E$99="Sí",IF('Aportaciones PPE'!$B$13&lt;'Aportaciones PPE'!E817,0,F817*$B$8/12),F817*$B$8/12)</f>
      </c>
      <c r="H817" s="333">
        <f>$H$5*G817</f>
      </c>
      <c r="I817" s="333">
        <f>$I$5*G817</f>
      </c>
      <c r="J817" s="333">
        <f>+I817</f>
      </c>
      <c r="K817" s="333">
        <f>(1+$O$5)^(D817/12)*(H817+IF(AND(F817=1,F818=0),$S$4,0))</f>
      </c>
      <c r="L817" s="333">
        <f>(1+$O$5)^(D817/12)*(I817+IF(AND(F817=1,F818=0),0))</f>
      </c>
      <c r="M817" s="333">
        <f>+L817</f>
      </c>
      <c r="N817" s="333">
        <f>L817+K817+M817</f>
      </c>
      <c r="O817" s="170"/>
      <c r="P817" s="7"/>
      <c r="Q817" s="1"/>
      <c r="R817" s="331">
        <f>D817</f>
      </c>
      <c r="S817" s="169"/>
      <c r="T817" s="1"/>
      <c r="U817" s="217"/>
      <c r="V817" s="331">
        <f>+IF(V816=11,12,IF(V816=12,1,V816+1))</f>
      </c>
      <c r="W817" s="331">
        <f>+W816+IF(V816=12,1,0)</f>
      </c>
      <c r="X817" s="555">
        <f>+DATE(W817,V817,1)</f>
        <v>25569.041666666668</v>
      </c>
      <c r="Y817" s="333">
        <f>+_xlfn.IFNA(AN817+AS817+AX817,0)</f>
      </c>
      <c r="Z817" s="333">
        <f>+_xlfn.IFNA(AO817+AT817+AY817,0)</f>
      </c>
      <c r="AA817" s="333">
        <f>Y817*(1+$O$5)^(($B$7-X817)/365.25)</f>
      </c>
      <c r="AB817" s="333">
        <f>Z817*(1+$O$5)^(($B$7-X817)/365.25)</f>
      </c>
      <c r="AC817" s="1"/>
      <c r="AD817" s="1"/>
      <c r="AE817" s="1"/>
      <c r="AF817" s="111">
        <f>+MONTH(E817)&amp;YEAR(E817)</f>
      </c>
      <c r="AG817" s="217">
        <f>+I817</f>
      </c>
      <c r="AH817" s="217">
        <f>+J817</f>
      </c>
      <c r="AI817" s="217">
        <f>+H817</f>
      </c>
      <c r="AJ817" s="111">
        <f>+V817&amp;W817</f>
      </c>
      <c r="AK817" s="217">
        <f>+_xlfn.IFNA(VLOOKUP(AJ817,$AF$7:$AG$1066,2,0),0)</f>
      </c>
      <c r="AL817" s="217">
        <f>+IF(W817&gt;W816,AK817,AL816+AK817)</f>
      </c>
      <c r="AM817" s="217">
        <f>IF(W817&gt;W816,IF(AL817&gt;=$AZ$8,$AZ$8,AL817),IF(OR(AM816=$AZ$8,AM816=0),0,IF(AL817&gt;=$AZ$8,$AZ$8,AL817)))</f>
      </c>
      <c r="AN817" s="748">
        <f>+IF(OR(AM817&gt;AZ816,AM817=0),0,IF(AM817=AL817,AK817,$AZ$7-AL816))</f>
      </c>
      <c r="AO817" s="748">
        <f>+AK817-AN817</f>
      </c>
      <c r="AP817" s="217">
        <f>+_xlfn.IFNA(VLOOKUP(AJ817,$AF$7:$AI$1066,3,0),0)</f>
      </c>
      <c r="AQ817" s="217">
        <f>+IF(W817&gt;W816,AP817,AQ816+AP817)</f>
      </c>
      <c r="AR817" s="217">
        <f>+MAX($AM$2-SUMIF($W$7:$W$1066,W817,$AN$7:$AN$1066),0)</f>
      </c>
      <c r="AS817" s="748">
        <f>+MAX(IF(AQ817&gt;AR817,AR817-AQ816,AP817),0)</f>
      </c>
      <c r="AT817" s="748">
        <f>+AP817-AS817</f>
      </c>
      <c r="AU817" s="217">
        <f>+_xlfn.IFNA(VLOOKUP(AJ817,$AF$7:$AI$1066,4,0),0)</f>
      </c>
      <c r="AV817" s="217">
        <f>+IF(W817&gt;W816,AU817,AV816+AU817)</f>
      </c>
      <c r="AW817" s="217">
        <f>+MAX($AM$2-SUMIF($W$7:$W$1066,W817,$AN$7:$AN$1066)-SUMIF($W$7:$W$1066,W817,$AS$7:$AS$1066),0)</f>
      </c>
      <c r="AX817" s="748">
        <f>+MAX(IF(AV817&gt;AW817,AW817-AV816,AU817),0)</f>
      </c>
      <c r="AY817" s="748">
        <f>+AU817-AX817</f>
      </c>
      <c r="AZ817" s="331">
        <f>+$AM$1+IF($AP$1&gt;$AP$2,$AM$3/2)</f>
      </c>
    </row>
    <row x14ac:dyDescent="0.25" r="818" customHeight="1" ht="18.75">
      <c r="A818" s="1"/>
      <c r="B818" s="7"/>
      <c r="C818" s="170"/>
      <c r="D818" s="331">
        <v>811</v>
      </c>
      <c r="E818" s="544">
        <f>+DATE(YEAR(E817),MONTH(E817)-1,DAY(E817))</f>
        <v>25569.041666666668</v>
      </c>
      <c r="F818" s="333">
        <f>IF(DATE(YEAR($B$6),MONTH($B$6)+1,DAY(1))=E818,1,IF(MONTH(E818)=1,F819*(1+$F$5),F819))</f>
      </c>
      <c r="G818" s="333">
        <f>IF('Simulador - 1º Pilar'!$E$99="Sí",IF('Aportaciones PPE'!$B$13&lt;'Aportaciones PPE'!E818,0,F818*$B$8/12),F818*$B$8/12)</f>
      </c>
      <c r="H818" s="333">
        <f>$H$5*G818</f>
      </c>
      <c r="I818" s="333">
        <f>$I$5*G818</f>
      </c>
      <c r="J818" s="333">
        <f>+I818</f>
      </c>
      <c r="K818" s="333">
        <f>(1+$O$5)^(D818/12)*(H818+IF(AND(F818=1,F819=0),$S$4,0))</f>
      </c>
      <c r="L818" s="333">
        <f>(1+$O$5)^(D818/12)*(I818+IF(AND(F818=1,F819=0),0))</f>
      </c>
      <c r="M818" s="333">
        <f>+L818</f>
      </c>
      <c r="N818" s="333">
        <f>L818+K818+M818</f>
      </c>
      <c r="O818" s="170"/>
      <c r="P818" s="7"/>
      <c r="Q818" s="1"/>
      <c r="R818" s="331">
        <f>D818</f>
      </c>
      <c r="S818" s="169"/>
      <c r="T818" s="1"/>
      <c r="U818" s="217"/>
      <c r="V818" s="331">
        <f>+IF(V817=11,12,IF(V817=12,1,V817+1))</f>
      </c>
      <c r="W818" s="331">
        <f>+W817+IF(V817=12,1,0)</f>
      </c>
      <c r="X818" s="555">
        <f>+DATE(W818,V818,1)</f>
        <v>25569.041666666668</v>
      </c>
      <c r="Y818" s="333">
        <f>+_xlfn.IFNA(AN818+AS818+AX818,0)</f>
      </c>
      <c r="Z818" s="333">
        <f>+_xlfn.IFNA(AO818+AT818+AY818,0)</f>
      </c>
      <c r="AA818" s="333">
        <f>Y818*(1+$O$5)^(($B$7-X818)/365.25)</f>
      </c>
      <c r="AB818" s="333">
        <f>Z818*(1+$O$5)^(($B$7-X818)/365.25)</f>
      </c>
      <c r="AC818" s="1"/>
      <c r="AD818" s="1"/>
      <c r="AE818" s="1"/>
      <c r="AF818" s="111">
        <f>+MONTH(E818)&amp;YEAR(E818)</f>
      </c>
      <c r="AG818" s="217">
        <f>+I818</f>
      </c>
      <c r="AH818" s="217">
        <f>+J818</f>
      </c>
      <c r="AI818" s="217">
        <f>+H818</f>
      </c>
      <c r="AJ818" s="111">
        <f>+V818&amp;W818</f>
      </c>
      <c r="AK818" s="217">
        <f>+_xlfn.IFNA(VLOOKUP(AJ818,$AF$7:$AG$1066,2,0),0)</f>
      </c>
      <c r="AL818" s="217">
        <f>+IF(W818&gt;W817,AK818,AL817+AK818)</f>
      </c>
      <c r="AM818" s="217">
        <f>IF(W818&gt;W817,IF(AL818&gt;=$AZ$8,$AZ$8,AL818),IF(OR(AM817=$AZ$8,AM817=0),0,IF(AL818&gt;=$AZ$8,$AZ$8,AL818)))</f>
      </c>
      <c r="AN818" s="748">
        <f>+IF(OR(AM818&gt;AZ817,AM818=0),0,IF(AM818=AL818,AK818,$AZ$7-AL817))</f>
      </c>
      <c r="AO818" s="748">
        <f>+AK818-AN818</f>
      </c>
      <c r="AP818" s="217">
        <f>+_xlfn.IFNA(VLOOKUP(AJ818,$AF$7:$AI$1066,3,0),0)</f>
      </c>
      <c r="AQ818" s="217">
        <f>+IF(W818&gt;W817,AP818,AQ817+AP818)</f>
      </c>
      <c r="AR818" s="217">
        <f>+MAX($AM$2-SUMIF($W$7:$W$1066,W818,$AN$7:$AN$1066),0)</f>
      </c>
      <c r="AS818" s="748">
        <f>+MAX(IF(AQ818&gt;AR818,AR818-AQ817,AP818),0)</f>
      </c>
      <c r="AT818" s="748">
        <f>+AP818-AS818</f>
      </c>
      <c r="AU818" s="217">
        <f>+_xlfn.IFNA(VLOOKUP(AJ818,$AF$7:$AI$1066,4,0),0)</f>
      </c>
      <c r="AV818" s="217">
        <f>+IF(W818&gt;W817,AU818,AV817+AU818)</f>
      </c>
      <c r="AW818" s="217">
        <f>+MAX($AM$2-SUMIF($W$7:$W$1066,W818,$AN$7:$AN$1066)-SUMIF($W$7:$W$1066,W818,$AS$7:$AS$1066),0)</f>
      </c>
      <c r="AX818" s="748">
        <f>+MAX(IF(AV818&gt;AW818,AW818-AV817,AU818),0)</f>
      </c>
      <c r="AY818" s="748">
        <f>+AU818-AX818</f>
      </c>
      <c r="AZ818" s="331">
        <f>+$AM$1+IF($AP$1&gt;$AP$2,$AM$3/2)</f>
      </c>
    </row>
    <row x14ac:dyDescent="0.25" r="819" customHeight="1" ht="18.75">
      <c r="A819" s="1"/>
      <c r="B819" s="7"/>
      <c r="C819" s="170"/>
      <c r="D819" s="331">
        <v>812</v>
      </c>
      <c r="E819" s="544">
        <f>+DATE(YEAR(E818),MONTH(E818)-1,DAY(E818))</f>
        <v>25569.041666666668</v>
      </c>
      <c r="F819" s="333">
        <f>IF(DATE(YEAR($B$6),MONTH($B$6)+1,DAY(1))=E819,1,IF(MONTH(E819)=1,F820*(1+$F$5),F820))</f>
      </c>
      <c r="G819" s="333">
        <f>IF('Simulador - 1º Pilar'!$E$99="Sí",IF('Aportaciones PPE'!$B$13&lt;'Aportaciones PPE'!E819,0,F819*$B$8/12),F819*$B$8/12)</f>
      </c>
      <c r="H819" s="333">
        <f>$H$5*G819</f>
      </c>
      <c r="I819" s="333">
        <f>$I$5*G819</f>
      </c>
      <c r="J819" s="333">
        <f>+I819</f>
      </c>
      <c r="K819" s="333">
        <f>(1+$O$5)^(D819/12)*(H819+IF(AND(F819=1,F820=0),$S$4,0))</f>
      </c>
      <c r="L819" s="333">
        <f>(1+$O$5)^(D819/12)*(I819+IF(AND(F819=1,F820=0),0))</f>
      </c>
      <c r="M819" s="333">
        <f>+L819</f>
      </c>
      <c r="N819" s="333">
        <f>L819+K819+M819</f>
      </c>
      <c r="O819" s="170"/>
      <c r="P819" s="7"/>
      <c r="Q819" s="1"/>
      <c r="R819" s="331">
        <f>D819</f>
      </c>
      <c r="S819" s="169"/>
      <c r="T819" s="1"/>
      <c r="U819" s="217"/>
      <c r="V819" s="331">
        <f>+IF(V818=11,12,IF(V818=12,1,V818+1))</f>
      </c>
      <c r="W819" s="331">
        <f>+W818+IF(V818=12,1,0)</f>
      </c>
      <c r="X819" s="555">
        <f>+DATE(W819,V819,1)</f>
        <v>25569.041666666668</v>
      </c>
      <c r="Y819" s="333">
        <f>+_xlfn.IFNA(AN819+AS819+AX819,0)</f>
      </c>
      <c r="Z819" s="333">
        <f>+_xlfn.IFNA(AO819+AT819+AY819,0)</f>
      </c>
      <c r="AA819" s="333">
        <f>Y819*(1+$O$5)^(($B$7-X819)/365.25)</f>
      </c>
      <c r="AB819" s="333">
        <f>Z819*(1+$O$5)^(($B$7-X819)/365.25)</f>
      </c>
      <c r="AC819" s="1"/>
      <c r="AD819" s="1"/>
      <c r="AE819" s="1"/>
      <c r="AF819" s="111">
        <f>+MONTH(E819)&amp;YEAR(E819)</f>
      </c>
      <c r="AG819" s="217">
        <f>+I819</f>
      </c>
      <c r="AH819" s="217">
        <f>+J819</f>
      </c>
      <c r="AI819" s="217">
        <f>+H819</f>
      </c>
      <c r="AJ819" s="111">
        <f>+V819&amp;W819</f>
      </c>
      <c r="AK819" s="217">
        <f>+_xlfn.IFNA(VLOOKUP(AJ819,$AF$7:$AG$1066,2,0),0)</f>
      </c>
      <c r="AL819" s="217">
        <f>+IF(W819&gt;W818,AK819,AL818+AK819)</f>
      </c>
      <c r="AM819" s="217">
        <f>IF(W819&gt;W818,IF(AL819&gt;=$AZ$8,$AZ$8,AL819),IF(OR(AM818=$AZ$8,AM818=0),0,IF(AL819&gt;=$AZ$8,$AZ$8,AL819)))</f>
      </c>
      <c r="AN819" s="748">
        <f>+IF(OR(AM819&gt;AZ818,AM819=0),0,IF(AM819=AL819,AK819,$AZ$7-AL818))</f>
      </c>
      <c r="AO819" s="748">
        <f>+AK819-AN819</f>
      </c>
      <c r="AP819" s="217">
        <f>+_xlfn.IFNA(VLOOKUP(AJ819,$AF$7:$AI$1066,3,0),0)</f>
      </c>
      <c r="AQ819" s="217">
        <f>+IF(W819&gt;W818,AP819,AQ818+AP819)</f>
      </c>
      <c r="AR819" s="217">
        <f>+MAX($AM$2-SUMIF($W$7:$W$1066,W819,$AN$7:$AN$1066),0)</f>
      </c>
      <c r="AS819" s="748">
        <f>+MAX(IF(AQ819&gt;AR819,AR819-AQ818,AP819),0)</f>
      </c>
      <c r="AT819" s="748">
        <f>+AP819-AS819</f>
      </c>
      <c r="AU819" s="217">
        <f>+_xlfn.IFNA(VLOOKUP(AJ819,$AF$7:$AI$1066,4,0),0)</f>
      </c>
      <c r="AV819" s="217">
        <f>+IF(W819&gt;W818,AU819,AV818+AU819)</f>
      </c>
      <c r="AW819" s="217">
        <f>+MAX($AM$2-SUMIF($W$7:$W$1066,W819,$AN$7:$AN$1066)-SUMIF($W$7:$W$1066,W819,$AS$7:$AS$1066),0)</f>
      </c>
      <c r="AX819" s="748">
        <f>+MAX(IF(AV819&gt;AW819,AW819-AV818,AU819),0)</f>
      </c>
      <c r="AY819" s="748">
        <f>+AU819-AX819</f>
      </c>
      <c r="AZ819" s="331">
        <f>+$AM$1+IF($AP$1&gt;$AP$2,$AM$3/2)</f>
      </c>
    </row>
    <row x14ac:dyDescent="0.25" r="820" customHeight="1" ht="18.75">
      <c r="A820" s="1"/>
      <c r="B820" s="7"/>
      <c r="C820" s="170"/>
      <c r="D820" s="331">
        <v>813</v>
      </c>
      <c r="E820" s="544">
        <f>+DATE(YEAR(E819),MONTH(E819)-1,DAY(E819))</f>
        <v>25569.041666666668</v>
      </c>
      <c r="F820" s="333">
        <f>IF(DATE(YEAR($B$6),MONTH($B$6)+1,DAY(1))=E820,1,IF(MONTH(E820)=1,F821*(1+$F$5),F821))</f>
      </c>
      <c r="G820" s="333">
        <f>IF('Simulador - 1º Pilar'!$E$99="Sí",IF('Aportaciones PPE'!$B$13&lt;'Aportaciones PPE'!E820,0,F820*$B$8/12),F820*$B$8/12)</f>
      </c>
      <c r="H820" s="333">
        <f>$H$5*G820</f>
      </c>
      <c r="I820" s="333">
        <f>$I$5*G820</f>
      </c>
      <c r="J820" s="333">
        <f>+I820</f>
      </c>
      <c r="K820" s="333">
        <f>(1+$O$5)^(D820/12)*(H820+IF(AND(F820=1,F821=0),$S$4,0))</f>
      </c>
      <c r="L820" s="333">
        <f>(1+$O$5)^(D820/12)*(I820+IF(AND(F820=1,F821=0),0))</f>
      </c>
      <c r="M820" s="333">
        <f>+L820</f>
      </c>
      <c r="N820" s="333">
        <f>L820+K820+M820</f>
      </c>
      <c r="O820" s="170"/>
      <c r="P820" s="7"/>
      <c r="Q820" s="1"/>
      <c r="R820" s="331">
        <f>D820</f>
      </c>
      <c r="S820" s="169"/>
      <c r="T820" s="1"/>
      <c r="U820" s="217"/>
      <c r="V820" s="331">
        <f>+IF(V819=11,12,IF(V819=12,1,V819+1))</f>
      </c>
      <c r="W820" s="331">
        <f>+W819+IF(V819=12,1,0)</f>
      </c>
      <c r="X820" s="555">
        <f>+DATE(W820,V820,1)</f>
        <v>25569.041666666668</v>
      </c>
      <c r="Y820" s="333">
        <f>+_xlfn.IFNA(AN820+AS820+AX820,0)</f>
      </c>
      <c r="Z820" s="333">
        <f>+_xlfn.IFNA(AO820+AT820+AY820,0)</f>
      </c>
      <c r="AA820" s="333">
        <f>Y820*(1+$O$5)^(($B$7-X820)/365.25)</f>
      </c>
      <c r="AB820" s="333">
        <f>Z820*(1+$O$5)^(($B$7-X820)/365.25)</f>
      </c>
      <c r="AC820" s="1"/>
      <c r="AD820" s="1"/>
      <c r="AE820" s="1"/>
      <c r="AF820" s="111">
        <f>+MONTH(E820)&amp;YEAR(E820)</f>
      </c>
      <c r="AG820" s="217">
        <f>+I820</f>
      </c>
      <c r="AH820" s="217">
        <f>+J820</f>
      </c>
      <c r="AI820" s="217">
        <f>+H820</f>
      </c>
      <c r="AJ820" s="111">
        <f>+V820&amp;W820</f>
      </c>
      <c r="AK820" s="217">
        <f>+_xlfn.IFNA(VLOOKUP(AJ820,$AF$7:$AG$1066,2,0),0)</f>
      </c>
      <c r="AL820" s="217">
        <f>+IF(W820&gt;W819,AK820,AL819+AK820)</f>
      </c>
      <c r="AM820" s="217">
        <f>IF(W820&gt;W819,IF(AL820&gt;=$AZ$8,$AZ$8,AL820),IF(OR(AM819=$AZ$8,AM819=0),0,IF(AL820&gt;=$AZ$8,$AZ$8,AL820)))</f>
      </c>
      <c r="AN820" s="748">
        <f>+IF(OR(AM820&gt;AZ819,AM820=0),0,IF(AM820=AL820,AK820,$AZ$7-AL819))</f>
      </c>
      <c r="AO820" s="748">
        <f>+AK820-AN820</f>
      </c>
      <c r="AP820" s="217">
        <f>+_xlfn.IFNA(VLOOKUP(AJ820,$AF$7:$AI$1066,3,0),0)</f>
      </c>
      <c r="AQ820" s="217">
        <f>+IF(W820&gt;W819,AP820,AQ819+AP820)</f>
      </c>
      <c r="AR820" s="217">
        <f>+MAX($AM$2-SUMIF($W$7:$W$1066,W820,$AN$7:$AN$1066),0)</f>
      </c>
      <c r="AS820" s="748">
        <f>+MAX(IF(AQ820&gt;AR820,AR820-AQ819,AP820),0)</f>
      </c>
      <c r="AT820" s="748">
        <f>+AP820-AS820</f>
      </c>
      <c r="AU820" s="217">
        <f>+_xlfn.IFNA(VLOOKUP(AJ820,$AF$7:$AI$1066,4,0),0)</f>
      </c>
      <c r="AV820" s="217">
        <f>+IF(W820&gt;W819,AU820,AV819+AU820)</f>
      </c>
      <c r="AW820" s="217">
        <f>+MAX($AM$2-SUMIF($W$7:$W$1066,W820,$AN$7:$AN$1066)-SUMIF($W$7:$W$1066,W820,$AS$7:$AS$1066),0)</f>
      </c>
      <c r="AX820" s="748">
        <f>+MAX(IF(AV820&gt;AW820,AW820-AV819,AU820),0)</f>
      </c>
      <c r="AY820" s="748">
        <f>+AU820-AX820</f>
      </c>
      <c r="AZ820" s="331">
        <f>+$AM$1+IF($AP$1&gt;$AP$2,$AM$3/2)</f>
      </c>
    </row>
    <row x14ac:dyDescent="0.25" r="821" customHeight="1" ht="18.75">
      <c r="A821" s="1"/>
      <c r="B821" s="7"/>
      <c r="C821" s="170"/>
      <c r="D821" s="331">
        <v>814</v>
      </c>
      <c r="E821" s="544">
        <f>+DATE(YEAR(E820),MONTH(E820)-1,DAY(E820))</f>
        <v>25569.041666666668</v>
      </c>
      <c r="F821" s="333">
        <f>IF(DATE(YEAR($B$6),MONTH($B$6)+1,DAY(1))=E821,1,IF(MONTH(E821)=1,F822*(1+$F$5),F822))</f>
      </c>
      <c r="G821" s="333">
        <f>IF('Simulador - 1º Pilar'!$E$99="Sí",IF('Aportaciones PPE'!$B$13&lt;'Aportaciones PPE'!E821,0,F821*$B$8/12),F821*$B$8/12)</f>
      </c>
      <c r="H821" s="333">
        <f>$H$5*G821</f>
      </c>
      <c r="I821" s="333">
        <f>$I$5*G821</f>
      </c>
      <c r="J821" s="333">
        <f>+I821</f>
      </c>
      <c r="K821" s="333">
        <f>(1+$O$5)^(D821/12)*(H821+IF(AND(F821=1,F822=0),$S$4,0))</f>
      </c>
      <c r="L821" s="333">
        <f>(1+$O$5)^(D821/12)*(I821+IF(AND(F821=1,F822=0),0))</f>
      </c>
      <c r="M821" s="333">
        <f>+L821</f>
      </c>
      <c r="N821" s="333">
        <f>L821+K821+M821</f>
      </c>
      <c r="O821" s="170"/>
      <c r="P821" s="7"/>
      <c r="Q821" s="1"/>
      <c r="R821" s="331">
        <f>D821</f>
      </c>
      <c r="S821" s="169"/>
      <c r="T821" s="1"/>
      <c r="U821" s="217"/>
      <c r="V821" s="331">
        <f>+IF(V820=11,12,IF(V820=12,1,V820+1))</f>
      </c>
      <c r="W821" s="331">
        <f>+W820+IF(V820=12,1,0)</f>
      </c>
      <c r="X821" s="555">
        <f>+DATE(W821,V821,1)</f>
        <v>25569.041666666668</v>
      </c>
      <c r="Y821" s="333">
        <f>+_xlfn.IFNA(AN821+AS821+AX821,0)</f>
      </c>
      <c r="Z821" s="333">
        <f>+_xlfn.IFNA(AO821+AT821+AY821,0)</f>
      </c>
      <c r="AA821" s="333">
        <f>Y821*(1+$O$5)^(($B$7-X821)/365.25)</f>
      </c>
      <c r="AB821" s="333">
        <f>Z821*(1+$O$5)^(($B$7-X821)/365.25)</f>
      </c>
      <c r="AC821" s="1"/>
      <c r="AD821" s="1"/>
      <c r="AE821" s="1"/>
      <c r="AF821" s="111">
        <f>+MONTH(E821)&amp;YEAR(E821)</f>
      </c>
      <c r="AG821" s="217">
        <f>+I821</f>
      </c>
      <c r="AH821" s="217">
        <f>+J821</f>
      </c>
      <c r="AI821" s="217">
        <f>+H821</f>
      </c>
      <c r="AJ821" s="111">
        <f>+V821&amp;W821</f>
      </c>
      <c r="AK821" s="217">
        <f>+_xlfn.IFNA(VLOOKUP(AJ821,$AF$7:$AG$1066,2,0),0)</f>
      </c>
      <c r="AL821" s="217">
        <f>+IF(W821&gt;W820,AK821,AL820+AK821)</f>
      </c>
      <c r="AM821" s="217">
        <f>IF(W821&gt;W820,IF(AL821&gt;=$AZ$8,$AZ$8,AL821),IF(OR(AM820=$AZ$8,AM820=0),0,IF(AL821&gt;=$AZ$8,$AZ$8,AL821)))</f>
      </c>
      <c r="AN821" s="748">
        <f>+IF(OR(AM821&gt;AZ820,AM821=0),0,IF(AM821=AL821,AK821,$AZ$7-AL820))</f>
      </c>
      <c r="AO821" s="748">
        <f>+AK821-AN821</f>
      </c>
      <c r="AP821" s="217">
        <f>+_xlfn.IFNA(VLOOKUP(AJ821,$AF$7:$AI$1066,3,0),0)</f>
      </c>
      <c r="AQ821" s="217">
        <f>+IF(W821&gt;W820,AP821,AQ820+AP821)</f>
      </c>
      <c r="AR821" s="217">
        <f>+MAX($AM$2-SUMIF($W$7:$W$1066,W821,$AN$7:$AN$1066),0)</f>
      </c>
      <c r="AS821" s="748">
        <f>+MAX(IF(AQ821&gt;AR821,AR821-AQ820,AP821),0)</f>
      </c>
      <c r="AT821" s="748">
        <f>+AP821-AS821</f>
      </c>
      <c r="AU821" s="217">
        <f>+_xlfn.IFNA(VLOOKUP(AJ821,$AF$7:$AI$1066,4,0),0)</f>
      </c>
      <c r="AV821" s="217">
        <f>+IF(W821&gt;W820,AU821,AV820+AU821)</f>
      </c>
      <c r="AW821" s="217">
        <f>+MAX($AM$2-SUMIF($W$7:$W$1066,W821,$AN$7:$AN$1066)-SUMIF($W$7:$W$1066,W821,$AS$7:$AS$1066),0)</f>
      </c>
      <c r="AX821" s="748">
        <f>+MAX(IF(AV821&gt;AW821,AW821-AV820,AU821),0)</f>
      </c>
      <c r="AY821" s="748">
        <f>+AU821-AX821</f>
      </c>
      <c r="AZ821" s="331">
        <f>+$AM$1+IF($AP$1&gt;$AP$2,$AM$3/2)</f>
      </c>
    </row>
    <row x14ac:dyDescent="0.25" r="822" customHeight="1" ht="18.75">
      <c r="A822" s="1"/>
      <c r="B822" s="7"/>
      <c r="C822" s="170"/>
      <c r="D822" s="331">
        <v>815</v>
      </c>
      <c r="E822" s="544">
        <f>+DATE(YEAR(E821),MONTH(E821)-1,DAY(E821))</f>
        <v>25569.041666666668</v>
      </c>
      <c r="F822" s="333">
        <f>IF(DATE(YEAR($B$6),MONTH($B$6)+1,DAY(1))=E822,1,IF(MONTH(E822)=1,F823*(1+$F$5),F823))</f>
      </c>
      <c r="G822" s="333">
        <f>IF('Simulador - 1º Pilar'!$E$99="Sí",IF('Aportaciones PPE'!$B$13&lt;'Aportaciones PPE'!E822,0,F822*$B$8/12),F822*$B$8/12)</f>
      </c>
      <c r="H822" s="333">
        <f>$H$5*G822</f>
      </c>
      <c r="I822" s="333">
        <f>$I$5*G822</f>
      </c>
      <c r="J822" s="333">
        <f>+I822</f>
      </c>
      <c r="K822" s="333">
        <f>(1+$O$5)^(D822/12)*(H822+IF(AND(F822=1,F823=0),$S$4,0))</f>
      </c>
      <c r="L822" s="333">
        <f>(1+$O$5)^(D822/12)*(I822+IF(AND(F822=1,F823=0),0))</f>
      </c>
      <c r="M822" s="333">
        <f>+L822</f>
      </c>
      <c r="N822" s="333">
        <f>L822+K822+M822</f>
      </c>
      <c r="O822" s="170"/>
      <c r="P822" s="7"/>
      <c r="Q822" s="1"/>
      <c r="R822" s="331">
        <f>D822</f>
      </c>
      <c r="S822" s="169"/>
      <c r="T822" s="1"/>
      <c r="U822" s="217"/>
      <c r="V822" s="331">
        <f>+IF(V821=11,12,IF(V821=12,1,V821+1))</f>
      </c>
      <c r="W822" s="331">
        <f>+W821+IF(V821=12,1,0)</f>
      </c>
      <c r="X822" s="555">
        <f>+DATE(W822,V822,1)</f>
        <v>25569.041666666668</v>
      </c>
      <c r="Y822" s="333">
        <f>+_xlfn.IFNA(AN822+AS822+AX822,0)</f>
      </c>
      <c r="Z822" s="333">
        <f>+_xlfn.IFNA(AO822+AT822+AY822,0)</f>
      </c>
      <c r="AA822" s="333">
        <f>Y822*(1+$O$5)^(($B$7-X822)/365.25)</f>
      </c>
      <c r="AB822" s="333">
        <f>Z822*(1+$O$5)^(($B$7-X822)/365.25)</f>
      </c>
      <c r="AC822" s="1"/>
      <c r="AD822" s="1"/>
      <c r="AE822" s="1"/>
      <c r="AF822" s="111">
        <f>+MONTH(E822)&amp;YEAR(E822)</f>
      </c>
      <c r="AG822" s="217">
        <f>+I822</f>
      </c>
      <c r="AH822" s="217">
        <f>+J822</f>
      </c>
      <c r="AI822" s="217">
        <f>+H822</f>
      </c>
      <c r="AJ822" s="111">
        <f>+V822&amp;W822</f>
      </c>
      <c r="AK822" s="217">
        <f>+_xlfn.IFNA(VLOOKUP(AJ822,$AF$7:$AG$1066,2,0),0)</f>
      </c>
      <c r="AL822" s="217">
        <f>+IF(W822&gt;W821,AK822,AL821+AK822)</f>
      </c>
      <c r="AM822" s="217">
        <f>IF(W822&gt;W821,IF(AL822&gt;=$AZ$8,$AZ$8,AL822),IF(OR(AM821=$AZ$8,AM821=0),0,IF(AL822&gt;=$AZ$8,$AZ$8,AL822)))</f>
      </c>
      <c r="AN822" s="748">
        <f>+IF(OR(AM822&gt;AZ821,AM822=0),0,IF(AM822=AL822,AK822,$AZ$7-AL821))</f>
      </c>
      <c r="AO822" s="748">
        <f>+AK822-AN822</f>
      </c>
      <c r="AP822" s="217">
        <f>+_xlfn.IFNA(VLOOKUP(AJ822,$AF$7:$AI$1066,3,0),0)</f>
      </c>
      <c r="AQ822" s="217">
        <f>+IF(W822&gt;W821,AP822,AQ821+AP822)</f>
      </c>
      <c r="AR822" s="217">
        <f>+MAX($AM$2-SUMIF($W$7:$W$1066,W822,$AN$7:$AN$1066),0)</f>
      </c>
      <c r="AS822" s="748">
        <f>+MAX(IF(AQ822&gt;AR822,AR822-AQ821,AP822),0)</f>
      </c>
      <c r="AT822" s="748">
        <f>+AP822-AS822</f>
      </c>
      <c r="AU822" s="217">
        <f>+_xlfn.IFNA(VLOOKUP(AJ822,$AF$7:$AI$1066,4,0),0)</f>
      </c>
      <c r="AV822" s="217">
        <f>+IF(W822&gt;W821,AU822,AV821+AU822)</f>
      </c>
      <c r="AW822" s="217">
        <f>+MAX($AM$2-SUMIF($W$7:$W$1066,W822,$AN$7:$AN$1066)-SUMIF($W$7:$W$1066,W822,$AS$7:$AS$1066),0)</f>
      </c>
      <c r="AX822" s="748">
        <f>+MAX(IF(AV822&gt;AW822,AW822-AV821,AU822),0)</f>
      </c>
      <c r="AY822" s="748">
        <f>+AU822-AX822</f>
      </c>
      <c r="AZ822" s="331">
        <f>+$AM$1+IF($AP$1&gt;$AP$2,$AM$3/2)</f>
      </c>
    </row>
    <row x14ac:dyDescent="0.25" r="823" customHeight="1" ht="18.75">
      <c r="A823" s="1"/>
      <c r="B823" s="7"/>
      <c r="C823" s="170"/>
      <c r="D823" s="331">
        <v>816</v>
      </c>
      <c r="E823" s="544">
        <f>+DATE(YEAR(E822),MONTH(E822)-1,DAY(E822))</f>
        <v>25569.041666666668</v>
      </c>
      <c r="F823" s="333">
        <f>IF(DATE(YEAR($B$6),MONTH($B$6)+1,DAY(1))=E823,1,IF(MONTH(E823)=1,F824*(1+$F$5),F824))</f>
      </c>
      <c r="G823" s="333">
        <f>IF('Simulador - 1º Pilar'!$E$99="Sí",IF('Aportaciones PPE'!$B$13&lt;'Aportaciones PPE'!E823,0,F823*$B$8/12),F823*$B$8/12)</f>
      </c>
      <c r="H823" s="333">
        <f>$H$5*G823</f>
      </c>
      <c r="I823" s="333">
        <f>$I$5*G823</f>
      </c>
      <c r="J823" s="333">
        <f>+I823</f>
      </c>
      <c r="K823" s="333">
        <f>(1+$O$5)^(D823/12)*(H823+IF(AND(F823=1,F824=0),$S$4,0))</f>
      </c>
      <c r="L823" s="333">
        <f>(1+$O$5)^(D823/12)*(I823+IF(AND(F823=1,F824=0),0))</f>
      </c>
      <c r="M823" s="333">
        <f>+L823</f>
      </c>
      <c r="N823" s="333">
        <f>L823+K823+M823</f>
      </c>
      <c r="O823" s="170"/>
      <c r="P823" s="7"/>
      <c r="Q823" s="1"/>
      <c r="R823" s="331">
        <f>D823</f>
      </c>
      <c r="S823" s="169"/>
      <c r="T823" s="1"/>
      <c r="U823" s="217"/>
      <c r="V823" s="331">
        <f>+IF(V822=11,12,IF(V822=12,1,V822+1))</f>
      </c>
      <c r="W823" s="331">
        <f>+W822+IF(V822=12,1,0)</f>
      </c>
      <c r="X823" s="555">
        <f>+DATE(W823,V823,1)</f>
        <v>25569.041666666668</v>
      </c>
      <c r="Y823" s="333">
        <f>+_xlfn.IFNA(AN823+AS823+AX823,0)</f>
      </c>
      <c r="Z823" s="333">
        <f>+_xlfn.IFNA(AO823+AT823+AY823,0)</f>
      </c>
      <c r="AA823" s="333">
        <f>Y823*(1+$O$5)^(($B$7-X823)/365.25)</f>
      </c>
      <c r="AB823" s="333">
        <f>Z823*(1+$O$5)^(($B$7-X823)/365.25)</f>
      </c>
      <c r="AC823" s="1"/>
      <c r="AD823" s="1"/>
      <c r="AE823" s="1"/>
      <c r="AF823" s="111">
        <f>+MONTH(E823)&amp;YEAR(E823)</f>
      </c>
      <c r="AG823" s="217">
        <f>+I823</f>
      </c>
      <c r="AH823" s="217">
        <f>+J823</f>
      </c>
      <c r="AI823" s="217">
        <f>+H823</f>
      </c>
      <c r="AJ823" s="111">
        <f>+V823&amp;W823</f>
      </c>
      <c r="AK823" s="217">
        <f>+_xlfn.IFNA(VLOOKUP(AJ823,$AF$7:$AG$1066,2,0),0)</f>
      </c>
      <c r="AL823" s="217">
        <f>+IF(W823&gt;W822,AK823,AL822+AK823)</f>
      </c>
      <c r="AM823" s="217">
        <f>IF(W823&gt;W822,IF(AL823&gt;=$AZ$8,$AZ$8,AL823),IF(OR(AM822=$AZ$8,AM822=0),0,IF(AL823&gt;=$AZ$8,$AZ$8,AL823)))</f>
      </c>
      <c r="AN823" s="748">
        <f>+IF(OR(AM823&gt;AZ822,AM823=0),0,IF(AM823=AL823,AK823,$AZ$7-AL822))</f>
      </c>
      <c r="AO823" s="748">
        <f>+AK823-AN823</f>
      </c>
      <c r="AP823" s="217">
        <f>+_xlfn.IFNA(VLOOKUP(AJ823,$AF$7:$AI$1066,3,0),0)</f>
      </c>
      <c r="AQ823" s="217">
        <f>+IF(W823&gt;W822,AP823,AQ822+AP823)</f>
      </c>
      <c r="AR823" s="217">
        <f>+MAX($AM$2-SUMIF($W$7:$W$1066,W823,$AN$7:$AN$1066),0)</f>
      </c>
      <c r="AS823" s="748">
        <f>+MAX(IF(AQ823&gt;AR823,AR823-AQ822,AP823),0)</f>
      </c>
      <c r="AT823" s="748">
        <f>+AP823-AS823</f>
      </c>
      <c r="AU823" s="217">
        <f>+_xlfn.IFNA(VLOOKUP(AJ823,$AF$7:$AI$1066,4,0),0)</f>
      </c>
      <c r="AV823" s="217">
        <f>+IF(W823&gt;W822,AU823,AV822+AU823)</f>
      </c>
      <c r="AW823" s="217">
        <f>+MAX($AM$2-SUMIF($W$7:$W$1066,W823,$AN$7:$AN$1066)-SUMIF($W$7:$W$1066,W823,$AS$7:$AS$1066),0)</f>
      </c>
      <c r="AX823" s="748">
        <f>+MAX(IF(AV823&gt;AW823,AW823-AV822,AU823),0)</f>
      </c>
      <c r="AY823" s="748">
        <f>+AU823-AX823</f>
      </c>
      <c r="AZ823" s="331">
        <f>+$AM$1+IF($AP$1&gt;$AP$2,$AM$3/2)</f>
      </c>
    </row>
    <row x14ac:dyDescent="0.25" r="824" customHeight="1" ht="18.75">
      <c r="A824" s="1"/>
      <c r="B824" s="7"/>
      <c r="C824" s="170"/>
      <c r="D824" s="331">
        <v>817</v>
      </c>
      <c r="E824" s="544">
        <f>+DATE(YEAR(E823),MONTH(E823)-1,DAY(E823))</f>
        <v>25569.041666666668</v>
      </c>
      <c r="F824" s="333">
        <f>IF(DATE(YEAR($B$6),MONTH($B$6)+1,DAY(1))=E824,1,IF(MONTH(E824)=1,F825*(1+$F$5),F825))</f>
      </c>
      <c r="G824" s="333">
        <f>IF('Simulador - 1º Pilar'!$E$99="Sí",IF('Aportaciones PPE'!$B$13&lt;'Aportaciones PPE'!E824,0,F824*$B$8/12),F824*$B$8/12)</f>
      </c>
      <c r="H824" s="333">
        <f>$H$5*G824</f>
      </c>
      <c r="I824" s="333">
        <f>$I$5*G824</f>
      </c>
      <c r="J824" s="333">
        <f>+I824</f>
      </c>
      <c r="K824" s="333">
        <f>(1+$O$5)^(D824/12)*(H824+IF(AND(F824=1,F825=0),$S$4,0))</f>
      </c>
      <c r="L824" s="333">
        <f>(1+$O$5)^(D824/12)*(I824+IF(AND(F824=1,F825=0),0))</f>
      </c>
      <c r="M824" s="333">
        <f>+L824</f>
      </c>
      <c r="N824" s="333">
        <f>L824+K824+M824</f>
      </c>
      <c r="O824" s="170"/>
      <c r="P824" s="7"/>
      <c r="Q824" s="1"/>
      <c r="R824" s="331">
        <f>D824</f>
      </c>
      <c r="S824" s="169"/>
      <c r="T824" s="1"/>
      <c r="U824" s="217"/>
      <c r="V824" s="331">
        <f>+IF(V823=11,12,IF(V823=12,1,V823+1))</f>
      </c>
      <c r="W824" s="331">
        <f>+W823+IF(V823=12,1,0)</f>
      </c>
      <c r="X824" s="555">
        <f>+DATE(W824,V824,1)</f>
        <v>25569.041666666668</v>
      </c>
      <c r="Y824" s="333">
        <f>+_xlfn.IFNA(AN824+AS824+AX824,0)</f>
      </c>
      <c r="Z824" s="333">
        <f>+_xlfn.IFNA(AO824+AT824+AY824,0)</f>
      </c>
      <c r="AA824" s="333">
        <f>Y824*(1+$O$5)^(($B$7-X824)/365.25)</f>
      </c>
      <c r="AB824" s="333">
        <f>Z824*(1+$O$5)^(($B$7-X824)/365.25)</f>
      </c>
      <c r="AC824" s="1"/>
      <c r="AD824" s="1"/>
      <c r="AE824" s="1"/>
      <c r="AF824" s="111">
        <f>+MONTH(E824)&amp;YEAR(E824)</f>
      </c>
      <c r="AG824" s="217">
        <f>+I824</f>
      </c>
      <c r="AH824" s="217">
        <f>+J824</f>
      </c>
      <c r="AI824" s="217">
        <f>+H824</f>
      </c>
      <c r="AJ824" s="111">
        <f>+V824&amp;W824</f>
      </c>
      <c r="AK824" s="217">
        <f>+_xlfn.IFNA(VLOOKUP(AJ824,$AF$7:$AG$1066,2,0),0)</f>
      </c>
      <c r="AL824" s="217">
        <f>+IF(W824&gt;W823,AK824,AL823+AK824)</f>
      </c>
      <c r="AM824" s="217">
        <f>IF(W824&gt;W823,IF(AL824&gt;=$AZ$8,$AZ$8,AL824),IF(OR(AM823=$AZ$8,AM823=0),0,IF(AL824&gt;=$AZ$8,$AZ$8,AL824)))</f>
      </c>
      <c r="AN824" s="748">
        <f>+IF(OR(AM824&gt;AZ823,AM824=0),0,IF(AM824=AL824,AK824,$AZ$7-AL823))</f>
      </c>
      <c r="AO824" s="748">
        <f>+AK824-AN824</f>
      </c>
      <c r="AP824" s="217">
        <f>+_xlfn.IFNA(VLOOKUP(AJ824,$AF$7:$AI$1066,3,0),0)</f>
      </c>
      <c r="AQ824" s="217">
        <f>+IF(W824&gt;W823,AP824,AQ823+AP824)</f>
      </c>
      <c r="AR824" s="217">
        <f>+MAX($AM$2-SUMIF($W$7:$W$1066,W824,$AN$7:$AN$1066),0)</f>
      </c>
      <c r="AS824" s="748">
        <f>+MAX(IF(AQ824&gt;AR824,AR824-AQ823,AP824),0)</f>
      </c>
      <c r="AT824" s="748">
        <f>+AP824-AS824</f>
      </c>
      <c r="AU824" s="217">
        <f>+_xlfn.IFNA(VLOOKUP(AJ824,$AF$7:$AI$1066,4,0),0)</f>
      </c>
      <c r="AV824" s="217">
        <f>+IF(W824&gt;W823,AU824,AV823+AU824)</f>
      </c>
      <c r="AW824" s="217">
        <f>+MAX($AM$2-SUMIF($W$7:$W$1066,W824,$AN$7:$AN$1066)-SUMIF($W$7:$W$1066,W824,$AS$7:$AS$1066),0)</f>
      </c>
      <c r="AX824" s="748">
        <f>+MAX(IF(AV824&gt;AW824,AW824-AV823,AU824),0)</f>
      </c>
      <c r="AY824" s="748">
        <f>+AU824-AX824</f>
      </c>
      <c r="AZ824" s="331">
        <f>+$AM$1+IF($AP$1&gt;$AP$2,$AM$3/2)</f>
      </c>
    </row>
    <row x14ac:dyDescent="0.25" r="825" customHeight="1" ht="18.75">
      <c r="A825" s="1"/>
      <c r="B825" s="7"/>
      <c r="C825" s="170"/>
      <c r="D825" s="331">
        <v>818</v>
      </c>
      <c r="E825" s="544">
        <f>+DATE(YEAR(E824),MONTH(E824)-1,DAY(E824))</f>
        <v>25569.041666666668</v>
      </c>
      <c r="F825" s="333">
        <f>IF(DATE(YEAR($B$6),MONTH($B$6)+1,DAY(1))=E825,1,IF(MONTH(E825)=1,F826*(1+$F$5),F826))</f>
      </c>
      <c r="G825" s="333">
        <f>IF('Simulador - 1º Pilar'!$E$99="Sí",IF('Aportaciones PPE'!$B$13&lt;'Aportaciones PPE'!E825,0,F825*$B$8/12),F825*$B$8/12)</f>
      </c>
      <c r="H825" s="333">
        <f>$H$5*G825</f>
      </c>
      <c r="I825" s="333">
        <f>$I$5*G825</f>
      </c>
      <c r="J825" s="333">
        <f>+I825</f>
      </c>
      <c r="K825" s="333">
        <f>(1+$O$5)^(D825/12)*(H825+IF(AND(F825=1,F826=0),$S$4,0))</f>
      </c>
      <c r="L825" s="333">
        <f>(1+$O$5)^(D825/12)*(I825+IF(AND(F825=1,F826=0),0))</f>
      </c>
      <c r="M825" s="333">
        <f>+L825</f>
      </c>
      <c r="N825" s="333">
        <f>L825+K825+M825</f>
      </c>
      <c r="O825" s="170"/>
      <c r="P825" s="7"/>
      <c r="Q825" s="1"/>
      <c r="R825" s="331">
        <f>D825</f>
      </c>
      <c r="S825" s="169"/>
      <c r="T825" s="1"/>
      <c r="U825" s="217"/>
      <c r="V825" s="331">
        <f>+IF(V824=11,12,IF(V824=12,1,V824+1))</f>
      </c>
      <c r="W825" s="331">
        <f>+W824+IF(V824=12,1,0)</f>
      </c>
      <c r="X825" s="555">
        <f>+DATE(W825,V825,1)</f>
        <v>25569.041666666668</v>
      </c>
      <c r="Y825" s="333">
        <f>+_xlfn.IFNA(AN825+AS825+AX825,0)</f>
      </c>
      <c r="Z825" s="333">
        <f>+_xlfn.IFNA(AO825+AT825+AY825,0)</f>
      </c>
      <c r="AA825" s="333">
        <f>Y825*(1+$O$5)^(($B$7-X825)/365.25)</f>
      </c>
      <c r="AB825" s="333">
        <f>Z825*(1+$O$5)^(($B$7-X825)/365.25)</f>
      </c>
      <c r="AC825" s="1"/>
      <c r="AD825" s="1"/>
      <c r="AE825" s="1"/>
      <c r="AF825" s="111">
        <f>+MONTH(E825)&amp;YEAR(E825)</f>
      </c>
      <c r="AG825" s="217">
        <f>+I825</f>
      </c>
      <c r="AH825" s="217">
        <f>+J825</f>
      </c>
      <c r="AI825" s="217">
        <f>+H825</f>
      </c>
      <c r="AJ825" s="111">
        <f>+V825&amp;W825</f>
      </c>
      <c r="AK825" s="217">
        <f>+_xlfn.IFNA(VLOOKUP(AJ825,$AF$7:$AG$1066,2,0),0)</f>
      </c>
      <c r="AL825" s="217">
        <f>+IF(W825&gt;W824,AK825,AL824+AK825)</f>
      </c>
      <c r="AM825" s="217">
        <f>IF(W825&gt;W824,IF(AL825&gt;=$AZ$8,$AZ$8,AL825),IF(OR(AM824=$AZ$8,AM824=0),0,IF(AL825&gt;=$AZ$8,$AZ$8,AL825)))</f>
      </c>
      <c r="AN825" s="748">
        <f>+IF(OR(AM825&gt;AZ824,AM825=0),0,IF(AM825=AL825,AK825,$AZ$7-AL824))</f>
      </c>
      <c r="AO825" s="748">
        <f>+AK825-AN825</f>
      </c>
      <c r="AP825" s="217">
        <f>+_xlfn.IFNA(VLOOKUP(AJ825,$AF$7:$AI$1066,3,0),0)</f>
      </c>
      <c r="AQ825" s="217">
        <f>+IF(W825&gt;W824,AP825,AQ824+AP825)</f>
      </c>
      <c r="AR825" s="217">
        <f>+MAX($AM$2-SUMIF($W$7:$W$1066,W825,$AN$7:$AN$1066),0)</f>
      </c>
      <c r="AS825" s="748">
        <f>+MAX(IF(AQ825&gt;AR825,AR825-AQ824,AP825),0)</f>
      </c>
      <c r="AT825" s="748">
        <f>+AP825-AS825</f>
      </c>
      <c r="AU825" s="217">
        <f>+_xlfn.IFNA(VLOOKUP(AJ825,$AF$7:$AI$1066,4,0),0)</f>
      </c>
      <c r="AV825" s="217">
        <f>+IF(W825&gt;W824,AU825,AV824+AU825)</f>
      </c>
      <c r="AW825" s="217">
        <f>+MAX($AM$2-SUMIF($W$7:$W$1066,W825,$AN$7:$AN$1066)-SUMIF($W$7:$W$1066,W825,$AS$7:$AS$1066),0)</f>
      </c>
      <c r="AX825" s="748">
        <f>+MAX(IF(AV825&gt;AW825,AW825-AV824,AU825),0)</f>
      </c>
      <c r="AY825" s="748">
        <f>+AU825-AX825</f>
      </c>
      <c r="AZ825" s="331">
        <f>+$AM$1+IF($AP$1&gt;$AP$2,$AM$3/2)</f>
      </c>
    </row>
    <row x14ac:dyDescent="0.25" r="826" customHeight="1" ht="18.75">
      <c r="A826" s="1"/>
      <c r="B826" s="7"/>
      <c r="C826" s="170"/>
      <c r="D826" s="331">
        <v>819</v>
      </c>
      <c r="E826" s="544">
        <f>+DATE(YEAR(E825),MONTH(E825)-1,DAY(E825))</f>
        <v>25569.041666666668</v>
      </c>
      <c r="F826" s="333">
        <f>IF(DATE(YEAR($B$6),MONTH($B$6)+1,DAY(1))=E826,1,IF(MONTH(E826)=1,F827*(1+$F$5),F827))</f>
      </c>
      <c r="G826" s="333">
        <f>IF('Simulador - 1º Pilar'!$E$99="Sí",IF('Aportaciones PPE'!$B$13&lt;'Aportaciones PPE'!E826,0,F826*$B$8/12),F826*$B$8/12)</f>
      </c>
      <c r="H826" s="333">
        <f>$H$5*G826</f>
      </c>
      <c r="I826" s="333">
        <f>$I$5*G826</f>
      </c>
      <c r="J826" s="333">
        <f>+I826</f>
      </c>
      <c r="K826" s="333">
        <f>(1+$O$5)^(D826/12)*(H826+IF(AND(F826=1,F827=0),$S$4,0))</f>
      </c>
      <c r="L826" s="333">
        <f>(1+$O$5)^(D826/12)*(I826+IF(AND(F826=1,F827=0),0))</f>
      </c>
      <c r="M826" s="333">
        <f>+L826</f>
      </c>
      <c r="N826" s="333">
        <f>L826+K826+M826</f>
      </c>
      <c r="O826" s="170"/>
      <c r="P826" s="7"/>
      <c r="Q826" s="1"/>
      <c r="R826" s="331">
        <f>D826</f>
      </c>
      <c r="S826" s="169"/>
      <c r="T826" s="1"/>
      <c r="U826" s="217"/>
      <c r="V826" s="331">
        <f>+IF(V825=11,12,IF(V825=12,1,V825+1))</f>
      </c>
      <c r="W826" s="331">
        <f>+W825+IF(V825=12,1,0)</f>
      </c>
      <c r="X826" s="555">
        <f>+DATE(W826,V826,1)</f>
        <v>25569.041666666668</v>
      </c>
      <c r="Y826" s="333">
        <f>+_xlfn.IFNA(AN826+AS826+AX826,0)</f>
      </c>
      <c r="Z826" s="333">
        <f>+_xlfn.IFNA(AO826+AT826+AY826,0)</f>
      </c>
      <c r="AA826" s="333">
        <f>Y826*(1+$O$5)^(($B$7-X826)/365.25)</f>
      </c>
      <c r="AB826" s="333">
        <f>Z826*(1+$O$5)^(($B$7-X826)/365.25)</f>
      </c>
      <c r="AC826" s="1"/>
      <c r="AD826" s="1"/>
      <c r="AE826" s="1"/>
      <c r="AF826" s="111">
        <f>+MONTH(E826)&amp;YEAR(E826)</f>
      </c>
      <c r="AG826" s="217">
        <f>+I826</f>
      </c>
      <c r="AH826" s="217">
        <f>+J826</f>
      </c>
      <c r="AI826" s="217">
        <f>+H826</f>
      </c>
      <c r="AJ826" s="111">
        <f>+V826&amp;W826</f>
      </c>
      <c r="AK826" s="217">
        <f>+_xlfn.IFNA(VLOOKUP(AJ826,$AF$7:$AG$1066,2,0),0)</f>
      </c>
      <c r="AL826" s="217">
        <f>+IF(W826&gt;W825,AK826,AL825+AK826)</f>
      </c>
      <c r="AM826" s="217">
        <f>IF(W826&gt;W825,IF(AL826&gt;=$AZ$8,$AZ$8,AL826),IF(OR(AM825=$AZ$8,AM825=0),0,IF(AL826&gt;=$AZ$8,$AZ$8,AL826)))</f>
      </c>
      <c r="AN826" s="748">
        <f>+IF(OR(AM826&gt;AZ825,AM826=0),0,IF(AM826=AL826,AK826,$AZ$7-AL825))</f>
      </c>
      <c r="AO826" s="748">
        <f>+AK826-AN826</f>
      </c>
      <c r="AP826" s="217">
        <f>+_xlfn.IFNA(VLOOKUP(AJ826,$AF$7:$AI$1066,3,0),0)</f>
      </c>
      <c r="AQ826" s="217">
        <f>+IF(W826&gt;W825,AP826,AQ825+AP826)</f>
      </c>
      <c r="AR826" s="217">
        <f>+MAX($AM$2-SUMIF($W$7:$W$1066,W826,$AN$7:$AN$1066),0)</f>
      </c>
      <c r="AS826" s="748">
        <f>+MAX(IF(AQ826&gt;AR826,AR826-AQ825,AP826),0)</f>
      </c>
      <c r="AT826" s="748">
        <f>+AP826-AS826</f>
      </c>
      <c r="AU826" s="217">
        <f>+_xlfn.IFNA(VLOOKUP(AJ826,$AF$7:$AI$1066,4,0),0)</f>
      </c>
      <c r="AV826" s="217">
        <f>+IF(W826&gt;W825,AU826,AV825+AU826)</f>
      </c>
      <c r="AW826" s="217">
        <f>+MAX($AM$2-SUMIF($W$7:$W$1066,W826,$AN$7:$AN$1066)-SUMIF($W$7:$W$1066,W826,$AS$7:$AS$1066),0)</f>
      </c>
      <c r="AX826" s="748">
        <f>+MAX(IF(AV826&gt;AW826,AW826-AV825,AU826),0)</f>
      </c>
      <c r="AY826" s="748">
        <f>+AU826-AX826</f>
      </c>
      <c r="AZ826" s="331">
        <f>+$AM$1+IF($AP$1&gt;$AP$2,$AM$3/2)</f>
      </c>
    </row>
    <row x14ac:dyDescent="0.25" r="827" customHeight="1" ht="18.75">
      <c r="A827" s="1"/>
      <c r="B827" s="7"/>
      <c r="C827" s="170"/>
      <c r="D827" s="331">
        <v>820</v>
      </c>
      <c r="E827" s="544">
        <f>+DATE(YEAR(E826),MONTH(E826)-1,DAY(E826))</f>
        <v>25569.041666666668</v>
      </c>
      <c r="F827" s="333">
        <f>IF(DATE(YEAR($B$6),MONTH($B$6)+1,DAY(1))=E827,1,IF(MONTH(E827)=1,F828*(1+$F$5),F828))</f>
      </c>
      <c r="G827" s="333">
        <f>IF('Simulador - 1º Pilar'!$E$99="Sí",IF('Aportaciones PPE'!$B$13&lt;'Aportaciones PPE'!E827,0,F827*$B$8/12),F827*$B$8/12)</f>
      </c>
      <c r="H827" s="333">
        <f>$H$5*G827</f>
      </c>
      <c r="I827" s="333">
        <f>$I$5*G827</f>
      </c>
      <c r="J827" s="333">
        <f>+I827</f>
      </c>
      <c r="K827" s="333">
        <f>(1+$O$5)^(D827/12)*(H827+IF(AND(F827=1,F828=0),$S$4,0))</f>
      </c>
      <c r="L827" s="333">
        <f>(1+$O$5)^(D827/12)*(I827+IF(AND(F827=1,F828=0),0))</f>
      </c>
      <c r="M827" s="333">
        <f>+L827</f>
      </c>
      <c r="N827" s="333">
        <f>L827+K827+M827</f>
      </c>
      <c r="O827" s="170"/>
      <c r="P827" s="7"/>
      <c r="Q827" s="1"/>
      <c r="R827" s="331">
        <f>D827</f>
      </c>
      <c r="S827" s="169"/>
      <c r="T827" s="1"/>
      <c r="U827" s="217"/>
      <c r="V827" s="331">
        <f>+IF(V826=11,12,IF(V826=12,1,V826+1))</f>
      </c>
      <c r="W827" s="331">
        <f>+W826+IF(V826=12,1,0)</f>
      </c>
      <c r="X827" s="555">
        <f>+DATE(W827,V827,1)</f>
        <v>25569.041666666668</v>
      </c>
      <c r="Y827" s="333">
        <f>+_xlfn.IFNA(AN827+AS827+AX827,0)</f>
      </c>
      <c r="Z827" s="333">
        <f>+_xlfn.IFNA(AO827+AT827+AY827,0)</f>
      </c>
      <c r="AA827" s="333">
        <f>Y827*(1+$O$5)^(($B$7-X827)/365.25)</f>
      </c>
      <c r="AB827" s="333">
        <f>Z827*(1+$O$5)^(($B$7-X827)/365.25)</f>
      </c>
      <c r="AC827" s="1"/>
      <c r="AD827" s="1"/>
      <c r="AE827" s="1"/>
      <c r="AF827" s="111">
        <f>+MONTH(E827)&amp;YEAR(E827)</f>
      </c>
      <c r="AG827" s="217">
        <f>+I827</f>
      </c>
      <c r="AH827" s="217">
        <f>+J827</f>
      </c>
      <c r="AI827" s="217">
        <f>+H827</f>
      </c>
      <c r="AJ827" s="111">
        <f>+V827&amp;W827</f>
      </c>
      <c r="AK827" s="217">
        <f>+_xlfn.IFNA(VLOOKUP(AJ827,$AF$7:$AG$1066,2,0),0)</f>
      </c>
      <c r="AL827" s="217">
        <f>+IF(W827&gt;W826,AK827,AL826+AK827)</f>
      </c>
      <c r="AM827" s="217">
        <f>IF(W827&gt;W826,IF(AL827&gt;=$AZ$8,$AZ$8,AL827),IF(OR(AM826=$AZ$8,AM826=0),0,IF(AL827&gt;=$AZ$8,$AZ$8,AL827)))</f>
      </c>
      <c r="AN827" s="748">
        <f>+IF(OR(AM827&gt;AZ826,AM827=0),0,IF(AM827=AL827,AK827,$AZ$7-AL826))</f>
      </c>
      <c r="AO827" s="748">
        <f>+AK827-AN827</f>
      </c>
      <c r="AP827" s="217">
        <f>+_xlfn.IFNA(VLOOKUP(AJ827,$AF$7:$AI$1066,3,0),0)</f>
      </c>
      <c r="AQ827" s="217">
        <f>+IF(W827&gt;W826,AP827,AQ826+AP827)</f>
      </c>
      <c r="AR827" s="217">
        <f>+MAX($AM$2-SUMIF($W$7:$W$1066,W827,$AN$7:$AN$1066),0)</f>
      </c>
      <c r="AS827" s="748">
        <f>+MAX(IF(AQ827&gt;AR827,AR827-AQ826,AP827),0)</f>
      </c>
      <c r="AT827" s="748">
        <f>+AP827-AS827</f>
      </c>
      <c r="AU827" s="217">
        <f>+_xlfn.IFNA(VLOOKUP(AJ827,$AF$7:$AI$1066,4,0),0)</f>
      </c>
      <c r="AV827" s="217">
        <f>+IF(W827&gt;W826,AU827,AV826+AU827)</f>
      </c>
      <c r="AW827" s="217">
        <f>+MAX($AM$2-SUMIF($W$7:$W$1066,W827,$AN$7:$AN$1066)-SUMIF($W$7:$W$1066,W827,$AS$7:$AS$1066),0)</f>
      </c>
      <c r="AX827" s="748">
        <f>+MAX(IF(AV827&gt;AW827,AW827-AV826,AU827),0)</f>
      </c>
      <c r="AY827" s="748">
        <f>+AU827-AX827</f>
      </c>
      <c r="AZ827" s="331">
        <f>+$AM$1+IF($AP$1&gt;$AP$2,$AM$3/2)</f>
      </c>
    </row>
    <row x14ac:dyDescent="0.25" r="828" customHeight="1" ht="18.75">
      <c r="A828" s="1"/>
      <c r="B828" s="7"/>
      <c r="C828" s="170"/>
      <c r="D828" s="331">
        <v>821</v>
      </c>
      <c r="E828" s="544">
        <f>+DATE(YEAR(E827),MONTH(E827)-1,DAY(E827))</f>
        <v>25569.041666666668</v>
      </c>
      <c r="F828" s="333">
        <f>IF(DATE(YEAR($B$6),MONTH($B$6)+1,DAY(1))=E828,1,IF(MONTH(E828)=1,F829*(1+$F$5),F829))</f>
      </c>
      <c r="G828" s="333">
        <f>IF('Simulador - 1º Pilar'!$E$99="Sí",IF('Aportaciones PPE'!$B$13&lt;'Aportaciones PPE'!E828,0,F828*$B$8/12),F828*$B$8/12)</f>
      </c>
      <c r="H828" s="333">
        <f>$H$5*G828</f>
      </c>
      <c r="I828" s="333">
        <f>$I$5*G828</f>
      </c>
      <c r="J828" s="333">
        <f>+I828</f>
      </c>
      <c r="K828" s="333">
        <f>(1+$O$5)^(D828/12)*(H828+IF(AND(F828=1,F829=0),$S$4,0))</f>
      </c>
      <c r="L828" s="333">
        <f>(1+$O$5)^(D828/12)*(I828+IF(AND(F828=1,F829=0),0))</f>
      </c>
      <c r="M828" s="333">
        <f>+L828</f>
      </c>
      <c r="N828" s="333">
        <f>L828+K828+M828</f>
      </c>
      <c r="O828" s="170"/>
      <c r="P828" s="7"/>
      <c r="Q828" s="1"/>
      <c r="R828" s="331">
        <f>D828</f>
      </c>
      <c r="S828" s="169"/>
      <c r="T828" s="1"/>
      <c r="U828" s="217"/>
      <c r="V828" s="331">
        <f>+IF(V827=11,12,IF(V827=12,1,V827+1))</f>
      </c>
      <c r="W828" s="331">
        <f>+W827+IF(V827=12,1,0)</f>
      </c>
      <c r="X828" s="555">
        <f>+DATE(W828,V828,1)</f>
        <v>25569.041666666668</v>
      </c>
      <c r="Y828" s="333">
        <f>+_xlfn.IFNA(AN828+AS828+AX828,0)</f>
      </c>
      <c r="Z828" s="333">
        <f>+_xlfn.IFNA(AO828+AT828+AY828,0)</f>
      </c>
      <c r="AA828" s="333">
        <f>Y828*(1+$O$5)^(($B$7-X828)/365.25)</f>
      </c>
      <c r="AB828" s="333">
        <f>Z828*(1+$O$5)^(($B$7-X828)/365.25)</f>
      </c>
      <c r="AC828" s="1"/>
      <c r="AD828" s="1"/>
      <c r="AE828" s="1"/>
      <c r="AF828" s="111">
        <f>+MONTH(E828)&amp;YEAR(E828)</f>
      </c>
      <c r="AG828" s="217">
        <f>+I828</f>
      </c>
      <c r="AH828" s="217">
        <f>+J828</f>
      </c>
      <c r="AI828" s="217">
        <f>+H828</f>
      </c>
      <c r="AJ828" s="111">
        <f>+V828&amp;W828</f>
      </c>
      <c r="AK828" s="217">
        <f>+_xlfn.IFNA(VLOOKUP(AJ828,$AF$7:$AG$1066,2,0),0)</f>
      </c>
      <c r="AL828" s="217">
        <f>+IF(W828&gt;W827,AK828,AL827+AK828)</f>
      </c>
      <c r="AM828" s="217">
        <f>IF(W828&gt;W827,IF(AL828&gt;=$AZ$8,$AZ$8,AL828),IF(OR(AM827=$AZ$8,AM827=0),0,IF(AL828&gt;=$AZ$8,$AZ$8,AL828)))</f>
      </c>
      <c r="AN828" s="748">
        <f>+IF(OR(AM828&gt;AZ827,AM828=0),0,IF(AM828=AL828,AK828,$AZ$7-AL827))</f>
      </c>
      <c r="AO828" s="748">
        <f>+AK828-AN828</f>
      </c>
      <c r="AP828" s="217">
        <f>+_xlfn.IFNA(VLOOKUP(AJ828,$AF$7:$AI$1066,3,0),0)</f>
      </c>
      <c r="AQ828" s="217">
        <f>+IF(W828&gt;W827,AP828,AQ827+AP828)</f>
      </c>
      <c r="AR828" s="217">
        <f>+MAX($AM$2-SUMIF($W$7:$W$1066,W828,$AN$7:$AN$1066),0)</f>
      </c>
      <c r="AS828" s="748">
        <f>+MAX(IF(AQ828&gt;AR828,AR828-AQ827,AP828),0)</f>
      </c>
      <c r="AT828" s="748">
        <f>+AP828-AS828</f>
      </c>
      <c r="AU828" s="217">
        <f>+_xlfn.IFNA(VLOOKUP(AJ828,$AF$7:$AI$1066,4,0),0)</f>
      </c>
      <c r="AV828" s="217">
        <f>+IF(W828&gt;W827,AU828,AV827+AU828)</f>
      </c>
      <c r="AW828" s="217">
        <f>+MAX($AM$2-SUMIF($W$7:$W$1066,W828,$AN$7:$AN$1066)-SUMIF($W$7:$W$1066,W828,$AS$7:$AS$1066),0)</f>
      </c>
      <c r="AX828" s="748">
        <f>+MAX(IF(AV828&gt;AW828,AW828-AV827,AU828),0)</f>
      </c>
      <c r="AY828" s="748">
        <f>+AU828-AX828</f>
      </c>
      <c r="AZ828" s="331">
        <f>+$AM$1+IF($AP$1&gt;$AP$2,$AM$3/2)</f>
      </c>
    </row>
    <row x14ac:dyDescent="0.25" r="829" customHeight="1" ht="18.75">
      <c r="A829" s="1"/>
      <c r="B829" s="7"/>
      <c r="C829" s="170"/>
      <c r="D829" s="331">
        <v>822</v>
      </c>
      <c r="E829" s="544">
        <f>+DATE(YEAR(E828),MONTH(E828)-1,DAY(E828))</f>
        <v>25569.041666666668</v>
      </c>
      <c r="F829" s="333">
        <f>IF(DATE(YEAR($B$6),MONTH($B$6)+1,DAY(1))=E829,1,IF(MONTH(E829)=1,F830*(1+$F$5),F830))</f>
      </c>
      <c r="G829" s="333">
        <f>IF('Simulador - 1º Pilar'!$E$99="Sí",IF('Aportaciones PPE'!$B$13&lt;'Aportaciones PPE'!E829,0,F829*$B$8/12),F829*$B$8/12)</f>
      </c>
      <c r="H829" s="333">
        <f>$H$5*G829</f>
      </c>
      <c r="I829" s="333">
        <f>$I$5*G829</f>
      </c>
      <c r="J829" s="333">
        <f>+I829</f>
      </c>
      <c r="K829" s="333">
        <f>(1+$O$5)^(D829/12)*(H829+IF(AND(F829=1,F830=0),$S$4,0))</f>
      </c>
      <c r="L829" s="333">
        <f>(1+$O$5)^(D829/12)*(I829+IF(AND(F829=1,F830=0),0))</f>
      </c>
      <c r="M829" s="333">
        <f>+L829</f>
      </c>
      <c r="N829" s="333">
        <f>L829+K829+M829</f>
      </c>
      <c r="O829" s="170"/>
      <c r="P829" s="7"/>
      <c r="Q829" s="1"/>
      <c r="R829" s="331">
        <f>D829</f>
      </c>
      <c r="S829" s="169"/>
      <c r="T829" s="1"/>
      <c r="U829" s="217"/>
      <c r="V829" s="331">
        <f>+IF(V828=11,12,IF(V828=12,1,V828+1))</f>
      </c>
      <c r="W829" s="331">
        <f>+W828+IF(V828=12,1,0)</f>
      </c>
      <c r="X829" s="555">
        <f>+DATE(W829,V829,1)</f>
        <v>25569.041666666668</v>
      </c>
      <c r="Y829" s="333">
        <f>+_xlfn.IFNA(AN829+AS829+AX829,0)</f>
      </c>
      <c r="Z829" s="333">
        <f>+_xlfn.IFNA(AO829+AT829+AY829,0)</f>
      </c>
      <c r="AA829" s="333">
        <f>Y829*(1+$O$5)^(($B$7-X829)/365.25)</f>
      </c>
      <c r="AB829" s="333">
        <f>Z829*(1+$O$5)^(($B$7-X829)/365.25)</f>
      </c>
      <c r="AC829" s="1"/>
      <c r="AD829" s="1"/>
      <c r="AE829" s="1"/>
      <c r="AF829" s="111">
        <f>+MONTH(E829)&amp;YEAR(E829)</f>
      </c>
      <c r="AG829" s="217">
        <f>+I829</f>
      </c>
      <c r="AH829" s="217">
        <f>+J829</f>
      </c>
      <c r="AI829" s="217">
        <f>+H829</f>
      </c>
      <c r="AJ829" s="111">
        <f>+V829&amp;W829</f>
      </c>
      <c r="AK829" s="217">
        <f>+_xlfn.IFNA(VLOOKUP(AJ829,$AF$7:$AG$1066,2,0),0)</f>
      </c>
      <c r="AL829" s="217">
        <f>+IF(W829&gt;W828,AK829,AL828+AK829)</f>
      </c>
      <c r="AM829" s="217">
        <f>IF(W829&gt;W828,IF(AL829&gt;=$AZ$8,$AZ$8,AL829),IF(OR(AM828=$AZ$8,AM828=0),0,IF(AL829&gt;=$AZ$8,$AZ$8,AL829)))</f>
      </c>
      <c r="AN829" s="748">
        <f>+IF(OR(AM829&gt;AZ828,AM829=0),0,IF(AM829=AL829,AK829,$AZ$7-AL828))</f>
      </c>
      <c r="AO829" s="748">
        <f>+AK829-AN829</f>
      </c>
      <c r="AP829" s="217">
        <f>+_xlfn.IFNA(VLOOKUP(AJ829,$AF$7:$AI$1066,3,0),0)</f>
      </c>
      <c r="AQ829" s="217">
        <f>+IF(W829&gt;W828,AP829,AQ828+AP829)</f>
      </c>
      <c r="AR829" s="217">
        <f>+MAX($AM$2-SUMIF($W$7:$W$1066,W829,$AN$7:$AN$1066),0)</f>
      </c>
      <c r="AS829" s="748">
        <f>+MAX(IF(AQ829&gt;AR829,AR829-AQ828,AP829),0)</f>
      </c>
      <c r="AT829" s="748">
        <f>+AP829-AS829</f>
      </c>
      <c r="AU829" s="217">
        <f>+_xlfn.IFNA(VLOOKUP(AJ829,$AF$7:$AI$1066,4,0),0)</f>
      </c>
      <c r="AV829" s="217">
        <f>+IF(W829&gt;W828,AU829,AV828+AU829)</f>
      </c>
      <c r="AW829" s="217">
        <f>+MAX($AM$2-SUMIF($W$7:$W$1066,W829,$AN$7:$AN$1066)-SUMIF($W$7:$W$1066,W829,$AS$7:$AS$1066),0)</f>
      </c>
      <c r="AX829" s="748">
        <f>+MAX(IF(AV829&gt;AW829,AW829-AV828,AU829),0)</f>
      </c>
      <c r="AY829" s="748">
        <f>+AU829-AX829</f>
      </c>
      <c r="AZ829" s="331">
        <f>+$AM$1+IF($AP$1&gt;$AP$2,$AM$3/2)</f>
      </c>
    </row>
    <row x14ac:dyDescent="0.25" r="830" customHeight="1" ht="18.75">
      <c r="A830" s="1"/>
      <c r="B830" s="7"/>
      <c r="C830" s="170"/>
      <c r="D830" s="331">
        <v>823</v>
      </c>
      <c r="E830" s="544">
        <f>+DATE(YEAR(E829),MONTH(E829)-1,DAY(E829))</f>
        <v>25569.041666666668</v>
      </c>
      <c r="F830" s="333">
        <f>IF(DATE(YEAR($B$6),MONTH($B$6)+1,DAY(1))=E830,1,IF(MONTH(E830)=1,F831*(1+$F$5),F831))</f>
      </c>
      <c r="G830" s="333">
        <f>IF('Simulador - 1º Pilar'!$E$99="Sí",IF('Aportaciones PPE'!$B$13&lt;'Aportaciones PPE'!E830,0,F830*$B$8/12),F830*$B$8/12)</f>
      </c>
      <c r="H830" s="333">
        <f>$H$5*G830</f>
      </c>
      <c r="I830" s="333">
        <f>$I$5*G830</f>
      </c>
      <c r="J830" s="333">
        <f>+I830</f>
      </c>
      <c r="K830" s="333">
        <f>(1+$O$5)^(D830/12)*(H830+IF(AND(F830=1,F831=0),$S$4,0))</f>
      </c>
      <c r="L830" s="333">
        <f>(1+$O$5)^(D830/12)*(I830+IF(AND(F830=1,F831=0),0))</f>
      </c>
      <c r="M830" s="333">
        <f>+L830</f>
      </c>
      <c r="N830" s="333">
        <f>L830+K830+M830</f>
      </c>
      <c r="O830" s="170"/>
      <c r="P830" s="7"/>
      <c r="Q830" s="1"/>
      <c r="R830" s="331">
        <f>D830</f>
      </c>
      <c r="S830" s="169"/>
      <c r="T830" s="1"/>
      <c r="U830" s="217"/>
      <c r="V830" s="331">
        <f>+IF(V829=11,12,IF(V829=12,1,V829+1))</f>
      </c>
      <c r="W830" s="331">
        <f>+W829+IF(V829=12,1,0)</f>
      </c>
      <c r="X830" s="555">
        <f>+DATE(W830,V830,1)</f>
        <v>25569.041666666668</v>
      </c>
      <c r="Y830" s="333">
        <f>+_xlfn.IFNA(AN830+AS830+AX830,0)</f>
      </c>
      <c r="Z830" s="333">
        <f>+_xlfn.IFNA(AO830+AT830+AY830,0)</f>
      </c>
      <c r="AA830" s="333">
        <f>Y830*(1+$O$5)^(($B$7-X830)/365.25)</f>
      </c>
      <c r="AB830" s="333">
        <f>Z830*(1+$O$5)^(($B$7-X830)/365.25)</f>
      </c>
      <c r="AC830" s="1"/>
      <c r="AD830" s="1"/>
      <c r="AE830" s="1"/>
      <c r="AF830" s="111">
        <f>+MONTH(E830)&amp;YEAR(E830)</f>
      </c>
      <c r="AG830" s="217">
        <f>+I830</f>
      </c>
      <c r="AH830" s="217">
        <f>+J830</f>
      </c>
      <c r="AI830" s="217">
        <f>+H830</f>
      </c>
      <c r="AJ830" s="111">
        <f>+V830&amp;W830</f>
      </c>
      <c r="AK830" s="217">
        <f>+_xlfn.IFNA(VLOOKUP(AJ830,$AF$7:$AG$1066,2,0),0)</f>
      </c>
      <c r="AL830" s="217">
        <f>+IF(W830&gt;W829,AK830,AL829+AK830)</f>
      </c>
      <c r="AM830" s="217">
        <f>IF(W830&gt;W829,IF(AL830&gt;=$AZ$8,$AZ$8,AL830),IF(OR(AM829=$AZ$8,AM829=0),0,IF(AL830&gt;=$AZ$8,$AZ$8,AL830)))</f>
      </c>
      <c r="AN830" s="748">
        <f>+IF(OR(AM830&gt;AZ829,AM830=0),0,IF(AM830=AL830,AK830,$AZ$7-AL829))</f>
      </c>
      <c r="AO830" s="748">
        <f>+AK830-AN830</f>
      </c>
      <c r="AP830" s="217">
        <f>+_xlfn.IFNA(VLOOKUP(AJ830,$AF$7:$AI$1066,3,0),0)</f>
      </c>
      <c r="AQ830" s="217">
        <f>+IF(W830&gt;W829,AP830,AQ829+AP830)</f>
      </c>
      <c r="AR830" s="217">
        <f>+MAX($AM$2-SUMIF($W$7:$W$1066,W830,$AN$7:$AN$1066),0)</f>
      </c>
      <c r="AS830" s="748">
        <f>+MAX(IF(AQ830&gt;AR830,AR830-AQ829,AP830),0)</f>
      </c>
      <c r="AT830" s="748">
        <f>+AP830-AS830</f>
      </c>
      <c r="AU830" s="217">
        <f>+_xlfn.IFNA(VLOOKUP(AJ830,$AF$7:$AI$1066,4,0),0)</f>
      </c>
      <c r="AV830" s="217">
        <f>+IF(W830&gt;W829,AU830,AV829+AU830)</f>
      </c>
      <c r="AW830" s="217">
        <f>+MAX($AM$2-SUMIF($W$7:$W$1066,W830,$AN$7:$AN$1066)-SUMIF($W$7:$W$1066,W830,$AS$7:$AS$1066),0)</f>
      </c>
      <c r="AX830" s="748">
        <f>+MAX(IF(AV830&gt;AW830,AW830-AV829,AU830),0)</f>
      </c>
      <c r="AY830" s="748">
        <f>+AU830-AX830</f>
      </c>
      <c r="AZ830" s="331">
        <f>+$AM$1+IF($AP$1&gt;$AP$2,$AM$3/2)</f>
      </c>
    </row>
    <row x14ac:dyDescent="0.25" r="831" customHeight="1" ht="18.75">
      <c r="A831" s="1"/>
      <c r="B831" s="7"/>
      <c r="C831" s="170"/>
      <c r="D831" s="331">
        <v>824</v>
      </c>
      <c r="E831" s="544">
        <f>+DATE(YEAR(E830),MONTH(E830)-1,DAY(E830))</f>
        <v>25569.041666666668</v>
      </c>
      <c r="F831" s="333">
        <f>IF(DATE(YEAR($B$6),MONTH($B$6)+1,DAY(1))=E831,1,IF(MONTH(E831)=1,F832*(1+$F$5),F832))</f>
      </c>
      <c r="G831" s="333">
        <f>IF('Simulador - 1º Pilar'!$E$99="Sí",IF('Aportaciones PPE'!$B$13&lt;'Aportaciones PPE'!E831,0,F831*$B$8/12),F831*$B$8/12)</f>
      </c>
      <c r="H831" s="333">
        <f>$H$5*G831</f>
      </c>
      <c r="I831" s="333">
        <f>$I$5*G831</f>
      </c>
      <c r="J831" s="333">
        <f>+I831</f>
      </c>
      <c r="K831" s="333">
        <f>(1+$O$5)^(D831/12)*(H831+IF(AND(F831=1,F832=0),$S$4,0))</f>
      </c>
      <c r="L831" s="333">
        <f>(1+$O$5)^(D831/12)*(I831+IF(AND(F831=1,F832=0),0))</f>
      </c>
      <c r="M831" s="333">
        <f>+L831</f>
      </c>
      <c r="N831" s="333">
        <f>L831+K831+M831</f>
      </c>
      <c r="O831" s="170"/>
      <c r="P831" s="7"/>
      <c r="Q831" s="1"/>
      <c r="R831" s="331">
        <f>D831</f>
      </c>
      <c r="S831" s="169"/>
      <c r="T831" s="1"/>
      <c r="U831" s="217"/>
      <c r="V831" s="331">
        <f>+IF(V830=11,12,IF(V830=12,1,V830+1))</f>
      </c>
      <c r="W831" s="331">
        <f>+W830+IF(V830=12,1,0)</f>
      </c>
      <c r="X831" s="555">
        <f>+DATE(W831,V831,1)</f>
        <v>25569.041666666668</v>
      </c>
      <c r="Y831" s="333">
        <f>+_xlfn.IFNA(AN831+AS831+AX831,0)</f>
      </c>
      <c r="Z831" s="333">
        <f>+_xlfn.IFNA(AO831+AT831+AY831,0)</f>
      </c>
      <c r="AA831" s="333">
        <f>Y831*(1+$O$5)^(($B$7-X831)/365.25)</f>
      </c>
      <c r="AB831" s="333">
        <f>Z831*(1+$O$5)^(($B$7-X831)/365.25)</f>
      </c>
      <c r="AC831" s="1"/>
      <c r="AD831" s="1"/>
      <c r="AE831" s="1"/>
      <c r="AF831" s="111">
        <f>+MONTH(E831)&amp;YEAR(E831)</f>
      </c>
      <c r="AG831" s="217">
        <f>+I831</f>
      </c>
      <c r="AH831" s="217">
        <f>+J831</f>
      </c>
      <c r="AI831" s="217">
        <f>+H831</f>
      </c>
      <c r="AJ831" s="111">
        <f>+V831&amp;W831</f>
      </c>
      <c r="AK831" s="217">
        <f>+_xlfn.IFNA(VLOOKUP(AJ831,$AF$7:$AG$1066,2,0),0)</f>
      </c>
      <c r="AL831" s="217">
        <f>+IF(W831&gt;W830,AK831,AL830+AK831)</f>
      </c>
      <c r="AM831" s="217">
        <f>IF(W831&gt;W830,IF(AL831&gt;=$AZ$8,$AZ$8,AL831),IF(OR(AM830=$AZ$8,AM830=0),0,IF(AL831&gt;=$AZ$8,$AZ$8,AL831)))</f>
      </c>
      <c r="AN831" s="748">
        <f>+IF(OR(AM831&gt;AZ830,AM831=0),0,IF(AM831=AL831,AK831,$AZ$7-AL830))</f>
      </c>
      <c r="AO831" s="748">
        <f>+AK831-AN831</f>
      </c>
      <c r="AP831" s="217">
        <f>+_xlfn.IFNA(VLOOKUP(AJ831,$AF$7:$AI$1066,3,0),0)</f>
      </c>
      <c r="AQ831" s="217">
        <f>+IF(W831&gt;W830,AP831,AQ830+AP831)</f>
      </c>
      <c r="AR831" s="217">
        <f>+MAX($AM$2-SUMIF($W$7:$W$1066,W831,$AN$7:$AN$1066),0)</f>
      </c>
      <c r="AS831" s="748">
        <f>+MAX(IF(AQ831&gt;AR831,AR831-AQ830,AP831),0)</f>
      </c>
      <c r="AT831" s="748">
        <f>+AP831-AS831</f>
      </c>
      <c r="AU831" s="217">
        <f>+_xlfn.IFNA(VLOOKUP(AJ831,$AF$7:$AI$1066,4,0),0)</f>
      </c>
      <c r="AV831" s="217">
        <f>+IF(W831&gt;W830,AU831,AV830+AU831)</f>
      </c>
      <c r="AW831" s="217">
        <f>+MAX($AM$2-SUMIF($W$7:$W$1066,W831,$AN$7:$AN$1066)-SUMIF($W$7:$W$1066,W831,$AS$7:$AS$1066),0)</f>
      </c>
      <c r="AX831" s="748">
        <f>+MAX(IF(AV831&gt;AW831,AW831-AV830,AU831),0)</f>
      </c>
      <c r="AY831" s="748">
        <f>+AU831-AX831</f>
      </c>
      <c r="AZ831" s="331">
        <f>+$AM$1+IF($AP$1&gt;$AP$2,$AM$3/2)</f>
      </c>
    </row>
    <row x14ac:dyDescent="0.25" r="832" customHeight="1" ht="18.75">
      <c r="A832" s="1"/>
      <c r="B832" s="7"/>
      <c r="C832" s="170"/>
      <c r="D832" s="331">
        <v>825</v>
      </c>
      <c r="E832" s="544">
        <f>+DATE(YEAR(E831),MONTH(E831)-1,DAY(E831))</f>
        <v>25569.041666666668</v>
      </c>
      <c r="F832" s="333">
        <f>IF(DATE(YEAR($B$6),MONTH($B$6)+1,DAY(1))=E832,1,IF(MONTH(E832)=1,F833*(1+$F$5),F833))</f>
      </c>
      <c r="G832" s="333">
        <f>IF('Simulador - 1º Pilar'!$E$99="Sí",IF('Aportaciones PPE'!$B$13&lt;'Aportaciones PPE'!E832,0,F832*$B$8/12),F832*$B$8/12)</f>
      </c>
      <c r="H832" s="333">
        <f>$H$5*G832</f>
      </c>
      <c r="I832" s="333">
        <f>$I$5*G832</f>
      </c>
      <c r="J832" s="333">
        <f>+I832</f>
      </c>
      <c r="K832" s="333">
        <f>(1+$O$5)^(D832/12)*(H832+IF(AND(F832=1,F833=0),$S$4,0))</f>
      </c>
      <c r="L832" s="333">
        <f>(1+$O$5)^(D832/12)*(I832+IF(AND(F832=1,F833=0),0))</f>
      </c>
      <c r="M832" s="333">
        <f>+L832</f>
      </c>
      <c r="N832" s="333">
        <f>L832+K832+M832</f>
      </c>
      <c r="O832" s="170"/>
      <c r="P832" s="7"/>
      <c r="Q832" s="1"/>
      <c r="R832" s="331">
        <f>D832</f>
      </c>
      <c r="S832" s="169"/>
      <c r="T832" s="1"/>
      <c r="U832" s="217"/>
      <c r="V832" s="331">
        <f>+IF(V831=11,12,IF(V831=12,1,V831+1))</f>
      </c>
      <c r="W832" s="331">
        <f>+W831+IF(V831=12,1,0)</f>
      </c>
      <c r="X832" s="555">
        <f>+DATE(W832,V832,1)</f>
        <v>25569.041666666668</v>
      </c>
      <c r="Y832" s="333">
        <f>+_xlfn.IFNA(AN832+AS832+AX832,0)</f>
      </c>
      <c r="Z832" s="333">
        <f>+_xlfn.IFNA(AO832+AT832+AY832,0)</f>
      </c>
      <c r="AA832" s="333">
        <f>Y832*(1+$O$5)^(($B$7-X832)/365.25)</f>
      </c>
      <c r="AB832" s="333">
        <f>Z832*(1+$O$5)^(($B$7-X832)/365.25)</f>
      </c>
      <c r="AC832" s="1"/>
      <c r="AD832" s="1"/>
      <c r="AE832" s="1"/>
      <c r="AF832" s="111">
        <f>+MONTH(E832)&amp;YEAR(E832)</f>
      </c>
      <c r="AG832" s="217">
        <f>+I832</f>
      </c>
      <c r="AH832" s="217">
        <f>+J832</f>
      </c>
      <c r="AI832" s="217">
        <f>+H832</f>
      </c>
      <c r="AJ832" s="111">
        <f>+V832&amp;W832</f>
      </c>
      <c r="AK832" s="217">
        <f>+_xlfn.IFNA(VLOOKUP(AJ832,$AF$7:$AG$1066,2,0),0)</f>
      </c>
      <c r="AL832" s="217">
        <f>+IF(W832&gt;W831,AK832,AL831+AK832)</f>
      </c>
      <c r="AM832" s="217">
        <f>IF(W832&gt;W831,IF(AL832&gt;=$AZ$8,$AZ$8,AL832),IF(OR(AM831=$AZ$8,AM831=0),0,IF(AL832&gt;=$AZ$8,$AZ$8,AL832)))</f>
      </c>
      <c r="AN832" s="748">
        <f>+IF(OR(AM832&gt;AZ831,AM832=0),0,IF(AM832=AL832,AK832,$AZ$7-AL831))</f>
      </c>
      <c r="AO832" s="748">
        <f>+AK832-AN832</f>
      </c>
      <c r="AP832" s="217">
        <f>+_xlfn.IFNA(VLOOKUP(AJ832,$AF$7:$AI$1066,3,0),0)</f>
      </c>
      <c r="AQ832" s="217">
        <f>+IF(W832&gt;W831,AP832,AQ831+AP832)</f>
      </c>
      <c r="AR832" s="217">
        <f>+MAX($AM$2-SUMIF($W$7:$W$1066,W832,$AN$7:$AN$1066),0)</f>
      </c>
      <c r="AS832" s="748">
        <f>+MAX(IF(AQ832&gt;AR832,AR832-AQ831,AP832),0)</f>
      </c>
      <c r="AT832" s="748">
        <f>+AP832-AS832</f>
      </c>
      <c r="AU832" s="217">
        <f>+_xlfn.IFNA(VLOOKUP(AJ832,$AF$7:$AI$1066,4,0),0)</f>
      </c>
      <c r="AV832" s="217">
        <f>+IF(W832&gt;W831,AU832,AV831+AU832)</f>
      </c>
      <c r="AW832" s="217">
        <f>+MAX($AM$2-SUMIF($W$7:$W$1066,W832,$AN$7:$AN$1066)-SUMIF($W$7:$W$1066,W832,$AS$7:$AS$1066),0)</f>
      </c>
      <c r="AX832" s="748">
        <f>+MAX(IF(AV832&gt;AW832,AW832-AV831,AU832),0)</f>
      </c>
      <c r="AY832" s="748">
        <f>+AU832-AX832</f>
      </c>
      <c r="AZ832" s="331">
        <f>+$AM$1+IF($AP$1&gt;$AP$2,$AM$3/2)</f>
      </c>
    </row>
    <row x14ac:dyDescent="0.25" r="833" customHeight="1" ht="18.75">
      <c r="A833" s="1"/>
      <c r="B833" s="7"/>
      <c r="C833" s="170"/>
      <c r="D833" s="331">
        <v>826</v>
      </c>
      <c r="E833" s="544">
        <f>+DATE(YEAR(E832),MONTH(E832)-1,DAY(E832))</f>
        <v>25569.041666666668</v>
      </c>
      <c r="F833" s="333">
        <f>IF(DATE(YEAR($B$6),MONTH($B$6)+1,DAY(1))=E833,1,IF(MONTH(E833)=1,F834*(1+$F$5),F834))</f>
      </c>
      <c r="G833" s="333">
        <f>IF('Simulador - 1º Pilar'!$E$99="Sí",IF('Aportaciones PPE'!$B$13&lt;'Aportaciones PPE'!E833,0,F833*$B$8/12),F833*$B$8/12)</f>
      </c>
      <c r="H833" s="333">
        <f>$H$5*G833</f>
      </c>
      <c r="I833" s="333">
        <f>$I$5*G833</f>
      </c>
      <c r="J833" s="333">
        <f>+I833</f>
      </c>
      <c r="K833" s="333">
        <f>(1+$O$5)^(D833/12)*(H833+IF(AND(F833=1,F834=0),$S$4,0))</f>
      </c>
      <c r="L833" s="333">
        <f>(1+$O$5)^(D833/12)*(I833+IF(AND(F833=1,F834=0),0))</f>
      </c>
      <c r="M833" s="333">
        <f>+L833</f>
      </c>
      <c r="N833" s="333">
        <f>L833+K833+M833</f>
      </c>
      <c r="O833" s="170"/>
      <c r="P833" s="7"/>
      <c r="Q833" s="1"/>
      <c r="R833" s="331">
        <f>D833</f>
      </c>
      <c r="S833" s="169"/>
      <c r="T833" s="1"/>
      <c r="U833" s="217"/>
      <c r="V833" s="331">
        <f>+IF(V832=11,12,IF(V832=12,1,V832+1))</f>
      </c>
      <c r="W833" s="331">
        <f>+W832+IF(V832=12,1,0)</f>
      </c>
      <c r="X833" s="555">
        <f>+DATE(W833,V833,1)</f>
        <v>25569.041666666668</v>
      </c>
      <c r="Y833" s="333">
        <f>+_xlfn.IFNA(AN833+AS833+AX833,0)</f>
      </c>
      <c r="Z833" s="333">
        <f>+_xlfn.IFNA(AO833+AT833+AY833,0)</f>
      </c>
      <c r="AA833" s="333">
        <f>Y833*(1+$O$5)^(($B$7-X833)/365.25)</f>
      </c>
      <c r="AB833" s="333">
        <f>Z833*(1+$O$5)^(($B$7-X833)/365.25)</f>
      </c>
      <c r="AC833" s="1"/>
      <c r="AD833" s="1"/>
      <c r="AE833" s="1"/>
      <c r="AF833" s="111">
        <f>+MONTH(E833)&amp;YEAR(E833)</f>
      </c>
      <c r="AG833" s="217">
        <f>+I833</f>
      </c>
      <c r="AH833" s="217">
        <f>+J833</f>
      </c>
      <c r="AI833" s="217">
        <f>+H833</f>
      </c>
      <c r="AJ833" s="111">
        <f>+V833&amp;W833</f>
      </c>
      <c r="AK833" s="217">
        <f>+_xlfn.IFNA(VLOOKUP(AJ833,$AF$7:$AG$1066,2,0),0)</f>
      </c>
      <c r="AL833" s="217">
        <f>+IF(W833&gt;W832,AK833,AL832+AK833)</f>
      </c>
      <c r="AM833" s="217">
        <f>IF(W833&gt;W832,IF(AL833&gt;=$AZ$8,$AZ$8,AL833),IF(OR(AM832=$AZ$8,AM832=0),0,IF(AL833&gt;=$AZ$8,$AZ$8,AL833)))</f>
      </c>
      <c r="AN833" s="748">
        <f>+IF(OR(AM833&gt;AZ832,AM833=0),0,IF(AM833=AL833,AK833,$AZ$7-AL832))</f>
      </c>
      <c r="AO833" s="748">
        <f>+AK833-AN833</f>
      </c>
      <c r="AP833" s="217">
        <f>+_xlfn.IFNA(VLOOKUP(AJ833,$AF$7:$AI$1066,3,0),0)</f>
      </c>
      <c r="AQ833" s="217">
        <f>+IF(W833&gt;W832,AP833,AQ832+AP833)</f>
      </c>
      <c r="AR833" s="217">
        <f>+MAX($AM$2-SUMIF($W$7:$W$1066,W833,$AN$7:$AN$1066),0)</f>
      </c>
      <c r="AS833" s="748">
        <f>+MAX(IF(AQ833&gt;AR833,AR833-AQ832,AP833),0)</f>
      </c>
      <c r="AT833" s="748">
        <f>+AP833-AS833</f>
      </c>
      <c r="AU833" s="217">
        <f>+_xlfn.IFNA(VLOOKUP(AJ833,$AF$7:$AI$1066,4,0),0)</f>
      </c>
      <c r="AV833" s="217">
        <f>+IF(W833&gt;W832,AU833,AV832+AU833)</f>
      </c>
      <c r="AW833" s="217">
        <f>+MAX($AM$2-SUMIF($W$7:$W$1066,W833,$AN$7:$AN$1066)-SUMIF($W$7:$W$1066,W833,$AS$7:$AS$1066),0)</f>
      </c>
      <c r="AX833" s="748">
        <f>+MAX(IF(AV833&gt;AW833,AW833-AV832,AU833),0)</f>
      </c>
      <c r="AY833" s="748">
        <f>+AU833-AX833</f>
      </c>
      <c r="AZ833" s="331">
        <f>+$AM$1+IF($AP$1&gt;$AP$2,$AM$3/2)</f>
      </c>
    </row>
    <row x14ac:dyDescent="0.25" r="834" customHeight="1" ht="18.75">
      <c r="A834" s="1"/>
      <c r="B834" s="7"/>
      <c r="C834" s="170"/>
      <c r="D834" s="331">
        <v>827</v>
      </c>
      <c r="E834" s="544">
        <f>+DATE(YEAR(E833),MONTH(E833)-1,DAY(E833))</f>
        <v>25569.041666666668</v>
      </c>
      <c r="F834" s="333">
        <f>IF(DATE(YEAR($B$6),MONTH($B$6)+1,DAY(1))=E834,1,IF(MONTH(E834)=1,F835*(1+$F$5),F835))</f>
      </c>
      <c r="G834" s="333">
        <f>IF('Simulador - 1º Pilar'!$E$99="Sí",IF('Aportaciones PPE'!$B$13&lt;'Aportaciones PPE'!E834,0,F834*$B$8/12),F834*$B$8/12)</f>
      </c>
      <c r="H834" s="333">
        <f>$H$5*G834</f>
      </c>
      <c r="I834" s="333">
        <f>$I$5*G834</f>
      </c>
      <c r="J834" s="333">
        <f>+I834</f>
      </c>
      <c r="K834" s="333">
        <f>(1+$O$5)^(D834/12)*(H834+IF(AND(F834=1,F835=0),$S$4,0))</f>
      </c>
      <c r="L834" s="333">
        <f>(1+$O$5)^(D834/12)*(I834+IF(AND(F834=1,F835=0),0))</f>
      </c>
      <c r="M834" s="333">
        <f>+L834</f>
      </c>
      <c r="N834" s="333">
        <f>L834+K834+M834</f>
      </c>
      <c r="O834" s="170"/>
      <c r="P834" s="7"/>
      <c r="Q834" s="1"/>
      <c r="R834" s="331">
        <f>D834</f>
      </c>
      <c r="S834" s="169"/>
      <c r="T834" s="1"/>
      <c r="U834" s="217"/>
      <c r="V834" s="331">
        <f>+IF(V833=11,12,IF(V833=12,1,V833+1))</f>
      </c>
      <c r="W834" s="331">
        <f>+W833+IF(V833=12,1,0)</f>
      </c>
      <c r="X834" s="555">
        <f>+DATE(W834,V834,1)</f>
        <v>25569.041666666668</v>
      </c>
      <c r="Y834" s="333">
        <f>+_xlfn.IFNA(AN834+AS834+AX834,0)</f>
      </c>
      <c r="Z834" s="333">
        <f>+_xlfn.IFNA(AO834+AT834+AY834,0)</f>
      </c>
      <c r="AA834" s="333">
        <f>Y834*(1+$O$5)^(($B$7-X834)/365.25)</f>
      </c>
      <c r="AB834" s="333">
        <f>Z834*(1+$O$5)^(($B$7-X834)/365.25)</f>
      </c>
      <c r="AC834" s="1"/>
      <c r="AD834" s="1"/>
      <c r="AE834" s="1"/>
      <c r="AF834" s="111">
        <f>+MONTH(E834)&amp;YEAR(E834)</f>
      </c>
      <c r="AG834" s="217">
        <f>+I834</f>
      </c>
      <c r="AH834" s="217">
        <f>+J834</f>
      </c>
      <c r="AI834" s="217">
        <f>+H834</f>
      </c>
      <c r="AJ834" s="111">
        <f>+V834&amp;W834</f>
      </c>
      <c r="AK834" s="217">
        <f>+_xlfn.IFNA(VLOOKUP(AJ834,$AF$7:$AG$1066,2,0),0)</f>
      </c>
      <c r="AL834" s="217">
        <f>+IF(W834&gt;W833,AK834,AL833+AK834)</f>
      </c>
      <c r="AM834" s="217">
        <f>IF(W834&gt;W833,IF(AL834&gt;=$AZ$8,$AZ$8,AL834),IF(OR(AM833=$AZ$8,AM833=0),0,IF(AL834&gt;=$AZ$8,$AZ$8,AL834)))</f>
      </c>
      <c r="AN834" s="748">
        <f>+IF(OR(AM834&gt;AZ833,AM834=0),0,IF(AM834=AL834,AK834,$AZ$7-AL833))</f>
      </c>
      <c r="AO834" s="748">
        <f>+AK834-AN834</f>
      </c>
      <c r="AP834" s="217">
        <f>+_xlfn.IFNA(VLOOKUP(AJ834,$AF$7:$AI$1066,3,0),0)</f>
      </c>
      <c r="AQ834" s="217">
        <f>+IF(W834&gt;W833,AP834,AQ833+AP834)</f>
      </c>
      <c r="AR834" s="217">
        <f>+MAX($AM$2-SUMIF($W$7:$W$1066,W834,$AN$7:$AN$1066),0)</f>
      </c>
      <c r="AS834" s="748">
        <f>+MAX(IF(AQ834&gt;AR834,AR834-AQ833,AP834),0)</f>
      </c>
      <c r="AT834" s="748">
        <f>+AP834-AS834</f>
      </c>
      <c r="AU834" s="217">
        <f>+_xlfn.IFNA(VLOOKUP(AJ834,$AF$7:$AI$1066,4,0),0)</f>
      </c>
      <c r="AV834" s="217">
        <f>+IF(W834&gt;W833,AU834,AV833+AU834)</f>
      </c>
      <c r="AW834" s="217">
        <f>+MAX($AM$2-SUMIF($W$7:$W$1066,W834,$AN$7:$AN$1066)-SUMIF($W$7:$W$1066,W834,$AS$7:$AS$1066),0)</f>
      </c>
      <c r="AX834" s="748">
        <f>+MAX(IF(AV834&gt;AW834,AW834-AV833,AU834),0)</f>
      </c>
      <c r="AY834" s="748">
        <f>+AU834-AX834</f>
      </c>
      <c r="AZ834" s="331">
        <f>+$AM$1+IF($AP$1&gt;$AP$2,$AM$3/2)</f>
      </c>
    </row>
    <row x14ac:dyDescent="0.25" r="835" customHeight="1" ht="18.75">
      <c r="A835" s="1"/>
      <c r="B835" s="7"/>
      <c r="C835" s="170"/>
      <c r="D835" s="331">
        <v>828</v>
      </c>
      <c r="E835" s="544">
        <f>+DATE(YEAR(E834),MONTH(E834)-1,DAY(E834))</f>
        <v>25569.041666666668</v>
      </c>
      <c r="F835" s="333">
        <f>IF(DATE(YEAR($B$6),MONTH($B$6)+1,DAY(1))=E835,1,IF(MONTH(E835)=1,F836*(1+$F$5),F836))</f>
      </c>
      <c r="G835" s="333">
        <f>IF('Simulador - 1º Pilar'!$E$99="Sí",IF('Aportaciones PPE'!$B$13&lt;'Aportaciones PPE'!E835,0,F835*$B$8/12),F835*$B$8/12)</f>
      </c>
      <c r="H835" s="333">
        <f>$H$5*G835</f>
      </c>
      <c r="I835" s="333">
        <f>$I$5*G835</f>
      </c>
      <c r="J835" s="333">
        <f>+I835</f>
      </c>
      <c r="K835" s="333">
        <f>(1+$O$5)^(D835/12)*(H835+IF(AND(F835=1,F836=0),$S$4,0))</f>
      </c>
      <c r="L835" s="333">
        <f>(1+$O$5)^(D835/12)*(I835+IF(AND(F835=1,F836=0),0))</f>
      </c>
      <c r="M835" s="333">
        <f>+L835</f>
      </c>
      <c r="N835" s="333">
        <f>L835+K835+M835</f>
      </c>
      <c r="O835" s="170"/>
      <c r="P835" s="7"/>
      <c r="Q835" s="1"/>
      <c r="R835" s="331">
        <f>D835</f>
      </c>
      <c r="S835" s="169"/>
      <c r="T835" s="1"/>
      <c r="U835" s="217"/>
      <c r="V835" s="331">
        <f>+IF(V834=11,12,IF(V834=12,1,V834+1))</f>
      </c>
      <c r="W835" s="331">
        <f>+W834+IF(V834=12,1,0)</f>
      </c>
      <c r="X835" s="555">
        <f>+DATE(W835,V835,1)</f>
        <v>25569.041666666668</v>
      </c>
      <c r="Y835" s="333">
        <f>+_xlfn.IFNA(AN835+AS835+AX835,0)</f>
      </c>
      <c r="Z835" s="333">
        <f>+_xlfn.IFNA(AO835+AT835+AY835,0)</f>
      </c>
      <c r="AA835" s="333">
        <f>Y835*(1+$O$5)^(($B$7-X835)/365.25)</f>
      </c>
      <c r="AB835" s="333">
        <f>Z835*(1+$O$5)^(($B$7-X835)/365.25)</f>
      </c>
      <c r="AC835" s="1"/>
      <c r="AD835" s="1"/>
      <c r="AE835" s="1"/>
      <c r="AF835" s="111">
        <f>+MONTH(E835)&amp;YEAR(E835)</f>
      </c>
      <c r="AG835" s="217">
        <f>+I835</f>
      </c>
      <c r="AH835" s="217">
        <f>+J835</f>
      </c>
      <c r="AI835" s="217">
        <f>+H835</f>
      </c>
      <c r="AJ835" s="111">
        <f>+V835&amp;W835</f>
      </c>
      <c r="AK835" s="217">
        <f>+_xlfn.IFNA(VLOOKUP(AJ835,$AF$7:$AG$1066,2,0),0)</f>
      </c>
      <c r="AL835" s="217">
        <f>+IF(W835&gt;W834,AK835,AL834+AK835)</f>
      </c>
      <c r="AM835" s="217">
        <f>IF(W835&gt;W834,IF(AL835&gt;=$AZ$8,$AZ$8,AL835),IF(OR(AM834=$AZ$8,AM834=0),0,IF(AL835&gt;=$AZ$8,$AZ$8,AL835)))</f>
      </c>
      <c r="AN835" s="748">
        <f>+IF(OR(AM835&gt;AZ834,AM835=0),0,IF(AM835=AL835,AK835,$AZ$7-AL834))</f>
      </c>
      <c r="AO835" s="748">
        <f>+AK835-AN835</f>
      </c>
      <c r="AP835" s="217">
        <f>+_xlfn.IFNA(VLOOKUP(AJ835,$AF$7:$AI$1066,3,0),0)</f>
      </c>
      <c r="AQ835" s="217">
        <f>+IF(W835&gt;W834,AP835,AQ834+AP835)</f>
      </c>
      <c r="AR835" s="217">
        <f>+MAX($AM$2-SUMIF($W$7:$W$1066,W835,$AN$7:$AN$1066),0)</f>
      </c>
      <c r="AS835" s="748">
        <f>+MAX(IF(AQ835&gt;AR835,AR835-AQ834,AP835),0)</f>
      </c>
      <c r="AT835" s="748">
        <f>+AP835-AS835</f>
      </c>
      <c r="AU835" s="217">
        <f>+_xlfn.IFNA(VLOOKUP(AJ835,$AF$7:$AI$1066,4,0),0)</f>
      </c>
      <c r="AV835" s="217">
        <f>+IF(W835&gt;W834,AU835,AV834+AU835)</f>
      </c>
      <c r="AW835" s="217">
        <f>+MAX($AM$2-SUMIF($W$7:$W$1066,W835,$AN$7:$AN$1066)-SUMIF($W$7:$W$1066,W835,$AS$7:$AS$1066),0)</f>
      </c>
      <c r="AX835" s="748">
        <f>+MAX(IF(AV835&gt;AW835,AW835-AV834,AU835),0)</f>
      </c>
      <c r="AY835" s="748">
        <f>+AU835-AX835</f>
      </c>
      <c r="AZ835" s="331">
        <f>+$AM$1+IF($AP$1&gt;$AP$2,$AM$3/2)</f>
      </c>
    </row>
    <row x14ac:dyDescent="0.25" r="836" customHeight="1" ht="18.75">
      <c r="A836" s="1"/>
      <c r="B836" s="7"/>
      <c r="C836" s="170"/>
      <c r="D836" s="331">
        <v>829</v>
      </c>
      <c r="E836" s="544">
        <f>+DATE(YEAR(E835),MONTH(E835)-1,DAY(E835))</f>
        <v>25569.041666666668</v>
      </c>
      <c r="F836" s="333">
        <f>IF(DATE(YEAR($B$6),MONTH($B$6)+1,DAY(1))=E836,1,IF(MONTH(E836)=1,F837*(1+$F$5),F837))</f>
      </c>
      <c r="G836" s="333">
        <f>IF('Simulador - 1º Pilar'!$E$99="Sí",IF('Aportaciones PPE'!$B$13&lt;'Aportaciones PPE'!E836,0,F836*$B$8/12),F836*$B$8/12)</f>
      </c>
      <c r="H836" s="333">
        <f>$H$5*G836</f>
      </c>
      <c r="I836" s="333">
        <f>$I$5*G836</f>
      </c>
      <c r="J836" s="333">
        <f>+I836</f>
      </c>
      <c r="K836" s="333">
        <f>(1+$O$5)^(D836/12)*(H836+IF(AND(F836=1,F837=0),$S$4,0))</f>
      </c>
      <c r="L836" s="333">
        <f>(1+$O$5)^(D836/12)*(I836+IF(AND(F836=1,F837=0),0))</f>
      </c>
      <c r="M836" s="333">
        <f>+L836</f>
      </c>
      <c r="N836" s="333">
        <f>L836+K836+M836</f>
      </c>
      <c r="O836" s="170"/>
      <c r="P836" s="7"/>
      <c r="Q836" s="1"/>
      <c r="R836" s="331">
        <f>D836</f>
      </c>
      <c r="S836" s="169"/>
      <c r="T836" s="1"/>
      <c r="U836" s="217"/>
      <c r="V836" s="331">
        <f>+IF(V835=11,12,IF(V835=12,1,V835+1))</f>
      </c>
      <c r="W836" s="331">
        <f>+W835+IF(V835=12,1,0)</f>
      </c>
      <c r="X836" s="555">
        <f>+DATE(W836,V836,1)</f>
        <v>25569.041666666668</v>
      </c>
      <c r="Y836" s="333">
        <f>+_xlfn.IFNA(AN836+AS836+AX836,0)</f>
      </c>
      <c r="Z836" s="333">
        <f>+_xlfn.IFNA(AO836+AT836+AY836,0)</f>
      </c>
      <c r="AA836" s="333">
        <f>Y836*(1+$O$5)^(($B$7-X836)/365.25)</f>
      </c>
      <c r="AB836" s="333">
        <f>Z836*(1+$O$5)^(($B$7-X836)/365.25)</f>
      </c>
      <c r="AC836" s="1"/>
      <c r="AD836" s="1"/>
      <c r="AE836" s="1"/>
      <c r="AF836" s="111">
        <f>+MONTH(E836)&amp;YEAR(E836)</f>
      </c>
      <c r="AG836" s="217">
        <f>+I836</f>
      </c>
      <c r="AH836" s="217">
        <f>+J836</f>
      </c>
      <c r="AI836" s="217">
        <f>+H836</f>
      </c>
      <c r="AJ836" s="111">
        <f>+V836&amp;W836</f>
      </c>
      <c r="AK836" s="217">
        <f>+_xlfn.IFNA(VLOOKUP(AJ836,$AF$7:$AG$1066,2,0),0)</f>
      </c>
      <c r="AL836" s="217">
        <f>+IF(W836&gt;W835,AK836,AL835+AK836)</f>
      </c>
      <c r="AM836" s="217">
        <f>IF(W836&gt;W835,IF(AL836&gt;=$AZ$8,$AZ$8,AL836),IF(OR(AM835=$AZ$8,AM835=0),0,IF(AL836&gt;=$AZ$8,$AZ$8,AL836)))</f>
      </c>
      <c r="AN836" s="748">
        <f>+IF(OR(AM836&gt;AZ835,AM836=0),0,IF(AM836=AL836,AK836,$AZ$7-AL835))</f>
      </c>
      <c r="AO836" s="748">
        <f>+AK836-AN836</f>
      </c>
      <c r="AP836" s="217">
        <f>+_xlfn.IFNA(VLOOKUP(AJ836,$AF$7:$AI$1066,3,0),0)</f>
      </c>
      <c r="AQ836" s="217">
        <f>+IF(W836&gt;W835,AP836,AQ835+AP836)</f>
      </c>
      <c r="AR836" s="217">
        <f>+MAX($AM$2-SUMIF($W$7:$W$1066,W836,$AN$7:$AN$1066),0)</f>
      </c>
      <c r="AS836" s="748">
        <f>+MAX(IF(AQ836&gt;AR836,AR836-AQ835,AP836),0)</f>
      </c>
      <c r="AT836" s="748">
        <f>+AP836-AS836</f>
      </c>
      <c r="AU836" s="217">
        <f>+_xlfn.IFNA(VLOOKUP(AJ836,$AF$7:$AI$1066,4,0),0)</f>
      </c>
      <c r="AV836" s="217">
        <f>+IF(W836&gt;W835,AU836,AV835+AU836)</f>
      </c>
      <c r="AW836" s="217">
        <f>+MAX($AM$2-SUMIF($W$7:$W$1066,W836,$AN$7:$AN$1066)-SUMIF($W$7:$W$1066,W836,$AS$7:$AS$1066),0)</f>
      </c>
      <c r="AX836" s="748">
        <f>+MAX(IF(AV836&gt;AW836,AW836-AV835,AU836),0)</f>
      </c>
      <c r="AY836" s="748">
        <f>+AU836-AX836</f>
      </c>
      <c r="AZ836" s="331">
        <f>+$AM$1+IF($AP$1&gt;$AP$2,$AM$3/2)</f>
      </c>
    </row>
    <row x14ac:dyDescent="0.25" r="837" customHeight="1" ht="18.75">
      <c r="A837" s="1"/>
      <c r="B837" s="7"/>
      <c r="C837" s="170"/>
      <c r="D837" s="331">
        <v>830</v>
      </c>
      <c r="E837" s="544">
        <f>+DATE(YEAR(E836),MONTH(E836)-1,DAY(E836))</f>
        <v>25569.041666666668</v>
      </c>
      <c r="F837" s="333">
        <f>IF(DATE(YEAR($B$6),MONTH($B$6)+1,DAY(1))=E837,1,IF(MONTH(E837)=1,F838*(1+$F$5),F838))</f>
      </c>
      <c r="G837" s="333">
        <f>IF('Simulador - 1º Pilar'!$E$99="Sí",IF('Aportaciones PPE'!$B$13&lt;'Aportaciones PPE'!E837,0,F837*$B$8/12),F837*$B$8/12)</f>
      </c>
      <c r="H837" s="333">
        <f>$H$5*G837</f>
      </c>
      <c r="I837" s="333">
        <f>$I$5*G837</f>
      </c>
      <c r="J837" s="333">
        <f>+I837</f>
      </c>
      <c r="K837" s="333">
        <f>(1+$O$5)^(D837/12)*(H837+IF(AND(F837=1,F838=0),$S$4,0))</f>
      </c>
      <c r="L837" s="333">
        <f>(1+$O$5)^(D837/12)*(I837+IF(AND(F837=1,F838=0),0))</f>
      </c>
      <c r="M837" s="333">
        <f>+L837</f>
      </c>
      <c r="N837" s="333">
        <f>L837+K837+M837</f>
      </c>
      <c r="O837" s="170"/>
      <c r="P837" s="7"/>
      <c r="Q837" s="1"/>
      <c r="R837" s="331">
        <f>D837</f>
      </c>
      <c r="S837" s="169"/>
      <c r="T837" s="1"/>
      <c r="U837" s="217"/>
      <c r="V837" s="331">
        <f>+IF(V836=11,12,IF(V836=12,1,V836+1))</f>
      </c>
      <c r="W837" s="331">
        <f>+W836+IF(V836=12,1,0)</f>
      </c>
      <c r="X837" s="555">
        <f>+DATE(W837,V837,1)</f>
        <v>25569.041666666668</v>
      </c>
      <c r="Y837" s="333">
        <f>+_xlfn.IFNA(AN837+AS837+AX837,0)</f>
      </c>
      <c r="Z837" s="333">
        <f>+_xlfn.IFNA(AO837+AT837+AY837,0)</f>
      </c>
      <c r="AA837" s="333">
        <f>Y837*(1+$O$5)^(($B$7-X837)/365.25)</f>
      </c>
      <c r="AB837" s="333">
        <f>Z837*(1+$O$5)^(($B$7-X837)/365.25)</f>
      </c>
      <c r="AC837" s="1"/>
      <c r="AD837" s="1"/>
      <c r="AE837" s="1"/>
      <c r="AF837" s="111">
        <f>+MONTH(E837)&amp;YEAR(E837)</f>
      </c>
      <c r="AG837" s="217">
        <f>+I837</f>
      </c>
      <c r="AH837" s="217">
        <f>+J837</f>
      </c>
      <c r="AI837" s="217">
        <f>+H837</f>
      </c>
      <c r="AJ837" s="111">
        <f>+V837&amp;W837</f>
      </c>
      <c r="AK837" s="217">
        <f>+_xlfn.IFNA(VLOOKUP(AJ837,$AF$7:$AG$1066,2,0),0)</f>
      </c>
      <c r="AL837" s="217">
        <f>+IF(W837&gt;W836,AK837,AL836+AK837)</f>
      </c>
      <c r="AM837" s="217">
        <f>IF(W837&gt;W836,IF(AL837&gt;=$AZ$8,$AZ$8,AL837),IF(OR(AM836=$AZ$8,AM836=0),0,IF(AL837&gt;=$AZ$8,$AZ$8,AL837)))</f>
      </c>
      <c r="AN837" s="748">
        <f>+IF(OR(AM837&gt;AZ836,AM837=0),0,IF(AM837=AL837,AK837,$AZ$7-AL836))</f>
      </c>
      <c r="AO837" s="748">
        <f>+AK837-AN837</f>
      </c>
      <c r="AP837" s="217">
        <f>+_xlfn.IFNA(VLOOKUP(AJ837,$AF$7:$AI$1066,3,0),0)</f>
      </c>
      <c r="AQ837" s="217">
        <f>+IF(W837&gt;W836,AP837,AQ836+AP837)</f>
      </c>
      <c r="AR837" s="217">
        <f>+MAX($AM$2-SUMIF($W$7:$W$1066,W837,$AN$7:$AN$1066),0)</f>
      </c>
      <c r="AS837" s="748">
        <f>+MAX(IF(AQ837&gt;AR837,AR837-AQ836,AP837),0)</f>
      </c>
      <c r="AT837" s="748">
        <f>+AP837-AS837</f>
      </c>
      <c r="AU837" s="217">
        <f>+_xlfn.IFNA(VLOOKUP(AJ837,$AF$7:$AI$1066,4,0),0)</f>
      </c>
      <c r="AV837" s="217">
        <f>+IF(W837&gt;W836,AU837,AV836+AU837)</f>
      </c>
      <c r="AW837" s="217">
        <f>+MAX($AM$2-SUMIF($W$7:$W$1066,W837,$AN$7:$AN$1066)-SUMIF($W$7:$W$1066,W837,$AS$7:$AS$1066),0)</f>
      </c>
      <c r="AX837" s="748">
        <f>+MAX(IF(AV837&gt;AW837,AW837-AV836,AU837),0)</f>
      </c>
      <c r="AY837" s="748">
        <f>+AU837-AX837</f>
      </c>
      <c r="AZ837" s="331">
        <f>+$AM$1+IF($AP$1&gt;$AP$2,$AM$3/2)</f>
      </c>
    </row>
    <row x14ac:dyDescent="0.25" r="838" customHeight="1" ht="18.75">
      <c r="A838" s="1"/>
      <c r="B838" s="7"/>
      <c r="C838" s="170"/>
      <c r="D838" s="331">
        <v>831</v>
      </c>
      <c r="E838" s="544">
        <f>+DATE(YEAR(E837),MONTH(E837)-1,DAY(E837))</f>
        <v>25569.041666666668</v>
      </c>
      <c r="F838" s="333">
        <f>IF(DATE(YEAR($B$6),MONTH($B$6)+1,DAY(1))=E838,1,IF(MONTH(E838)=1,F839*(1+$F$5),F839))</f>
      </c>
      <c r="G838" s="333">
        <f>IF('Simulador - 1º Pilar'!$E$99="Sí",IF('Aportaciones PPE'!$B$13&lt;'Aportaciones PPE'!E838,0,F838*$B$8/12),F838*$B$8/12)</f>
      </c>
      <c r="H838" s="333">
        <f>$H$5*G838</f>
      </c>
      <c r="I838" s="333">
        <f>$I$5*G838</f>
      </c>
      <c r="J838" s="333">
        <f>+I838</f>
      </c>
      <c r="K838" s="333">
        <f>(1+$O$5)^(D838/12)*(H838+IF(AND(F838=1,F839=0),$S$4,0))</f>
      </c>
      <c r="L838" s="333">
        <f>(1+$O$5)^(D838/12)*(I838+IF(AND(F838=1,F839=0),0))</f>
      </c>
      <c r="M838" s="333">
        <f>+L838</f>
      </c>
      <c r="N838" s="333">
        <f>L838+K838+M838</f>
      </c>
      <c r="O838" s="170"/>
      <c r="P838" s="7"/>
      <c r="Q838" s="1"/>
      <c r="R838" s="331">
        <f>D838</f>
      </c>
      <c r="S838" s="169"/>
      <c r="T838" s="1"/>
      <c r="U838" s="217"/>
      <c r="V838" s="331">
        <f>+IF(V837=11,12,IF(V837=12,1,V837+1))</f>
      </c>
      <c r="W838" s="331">
        <f>+W837+IF(V837=12,1,0)</f>
      </c>
      <c r="X838" s="555">
        <f>+DATE(W838,V838,1)</f>
        <v>25569.041666666668</v>
      </c>
      <c r="Y838" s="333">
        <f>+_xlfn.IFNA(AN838+AS838+AX838,0)</f>
      </c>
      <c r="Z838" s="333">
        <f>+_xlfn.IFNA(AO838+AT838+AY838,0)</f>
      </c>
      <c r="AA838" s="333">
        <f>Y838*(1+$O$5)^(($B$7-X838)/365.25)</f>
      </c>
      <c r="AB838" s="333">
        <f>Z838*(1+$O$5)^(($B$7-X838)/365.25)</f>
      </c>
      <c r="AC838" s="1"/>
      <c r="AD838" s="1"/>
      <c r="AE838" s="1"/>
      <c r="AF838" s="111">
        <f>+MONTH(E838)&amp;YEAR(E838)</f>
      </c>
      <c r="AG838" s="217">
        <f>+I838</f>
      </c>
      <c r="AH838" s="217">
        <f>+J838</f>
      </c>
      <c r="AI838" s="217">
        <f>+H838</f>
      </c>
      <c r="AJ838" s="111">
        <f>+V838&amp;W838</f>
      </c>
      <c r="AK838" s="217">
        <f>+_xlfn.IFNA(VLOOKUP(AJ838,$AF$7:$AG$1066,2,0),0)</f>
      </c>
      <c r="AL838" s="217">
        <f>+IF(W838&gt;W837,AK838,AL837+AK838)</f>
      </c>
      <c r="AM838" s="217">
        <f>IF(W838&gt;W837,IF(AL838&gt;=$AZ$8,$AZ$8,AL838),IF(OR(AM837=$AZ$8,AM837=0),0,IF(AL838&gt;=$AZ$8,$AZ$8,AL838)))</f>
      </c>
      <c r="AN838" s="748">
        <f>+IF(OR(AM838&gt;AZ837,AM838=0),0,IF(AM838=AL838,AK838,$AZ$7-AL837))</f>
      </c>
      <c r="AO838" s="748">
        <f>+AK838-AN838</f>
      </c>
      <c r="AP838" s="217">
        <f>+_xlfn.IFNA(VLOOKUP(AJ838,$AF$7:$AI$1066,3,0),0)</f>
      </c>
      <c r="AQ838" s="217">
        <f>+IF(W838&gt;W837,AP838,AQ837+AP838)</f>
      </c>
      <c r="AR838" s="217">
        <f>+MAX($AM$2-SUMIF($W$7:$W$1066,W838,$AN$7:$AN$1066),0)</f>
      </c>
      <c r="AS838" s="748">
        <f>+MAX(IF(AQ838&gt;AR838,AR838-AQ837,AP838),0)</f>
      </c>
      <c r="AT838" s="748">
        <f>+AP838-AS838</f>
      </c>
      <c r="AU838" s="217">
        <f>+_xlfn.IFNA(VLOOKUP(AJ838,$AF$7:$AI$1066,4,0),0)</f>
      </c>
      <c r="AV838" s="217">
        <f>+IF(W838&gt;W837,AU838,AV837+AU838)</f>
      </c>
      <c r="AW838" s="217">
        <f>+MAX($AM$2-SUMIF($W$7:$W$1066,W838,$AN$7:$AN$1066)-SUMIF($W$7:$W$1066,W838,$AS$7:$AS$1066),0)</f>
      </c>
      <c r="AX838" s="748">
        <f>+MAX(IF(AV838&gt;AW838,AW838-AV837,AU838),0)</f>
      </c>
      <c r="AY838" s="748">
        <f>+AU838-AX838</f>
      </c>
      <c r="AZ838" s="331">
        <f>+$AM$1+IF($AP$1&gt;$AP$2,$AM$3/2)</f>
      </c>
    </row>
    <row x14ac:dyDescent="0.25" r="839" customHeight="1" ht="18.75">
      <c r="A839" s="1"/>
      <c r="B839" s="7"/>
      <c r="C839" s="170"/>
      <c r="D839" s="331">
        <v>832</v>
      </c>
      <c r="E839" s="544">
        <f>+DATE(YEAR(E838),MONTH(E838)-1,DAY(E838))</f>
        <v>25569.041666666668</v>
      </c>
      <c r="F839" s="333">
        <f>IF(DATE(YEAR($B$6),MONTH($B$6)+1,DAY(1))=E839,1,IF(MONTH(E839)=1,F840*(1+$F$5),F840))</f>
      </c>
      <c r="G839" s="333">
        <f>IF('Simulador - 1º Pilar'!$E$99="Sí",IF('Aportaciones PPE'!$B$13&lt;'Aportaciones PPE'!E839,0,F839*$B$8/12),F839*$B$8/12)</f>
      </c>
      <c r="H839" s="333">
        <f>$H$5*G839</f>
      </c>
      <c r="I839" s="333">
        <f>$I$5*G839</f>
      </c>
      <c r="J839" s="333">
        <f>+I839</f>
      </c>
      <c r="K839" s="333">
        <f>(1+$O$5)^(D839/12)*(H839+IF(AND(F839=1,F840=0),$S$4,0))</f>
      </c>
      <c r="L839" s="333">
        <f>(1+$O$5)^(D839/12)*(I839+IF(AND(F839=1,F840=0),0))</f>
      </c>
      <c r="M839" s="333">
        <f>+L839</f>
      </c>
      <c r="N839" s="333">
        <f>L839+K839+M839</f>
      </c>
      <c r="O839" s="170"/>
      <c r="P839" s="7"/>
      <c r="Q839" s="1"/>
      <c r="R839" s="331">
        <f>D839</f>
      </c>
      <c r="S839" s="169"/>
      <c r="T839" s="1"/>
      <c r="U839" s="217"/>
      <c r="V839" s="331">
        <f>+IF(V838=11,12,IF(V838=12,1,V838+1))</f>
      </c>
      <c r="W839" s="331">
        <f>+W838+IF(V838=12,1,0)</f>
      </c>
      <c r="X839" s="555">
        <f>+DATE(W839,V839,1)</f>
        <v>25569.041666666668</v>
      </c>
      <c r="Y839" s="333">
        <f>+_xlfn.IFNA(AN839+AS839+AX839,0)</f>
      </c>
      <c r="Z839" s="333">
        <f>+_xlfn.IFNA(AO839+AT839+AY839,0)</f>
      </c>
      <c r="AA839" s="333">
        <f>Y839*(1+$O$5)^(($B$7-X839)/365.25)</f>
      </c>
      <c r="AB839" s="333">
        <f>Z839*(1+$O$5)^(($B$7-X839)/365.25)</f>
      </c>
      <c r="AC839" s="1"/>
      <c r="AD839" s="1"/>
      <c r="AE839" s="1"/>
      <c r="AF839" s="111">
        <f>+MONTH(E839)&amp;YEAR(E839)</f>
      </c>
      <c r="AG839" s="217">
        <f>+I839</f>
      </c>
      <c r="AH839" s="217">
        <f>+J839</f>
      </c>
      <c r="AI839" s="217">
        <f>+H839</f>
      </c>
      <c r="AJ839" s="111">
        <f>+V839&amp;W839</f>
      </c>
      <c r="AK839" s="217">
        <f>+_xlfn.IFNA(VLOOKUP(AJ839,$AF$7:$AG$1066,2,0),0)</f>
      </c>
      <c r="AL839" s="217">
        <f>+IF(W839&gt;W838,AK839,AL838+AK839)</f>
      </c>
      <c r="AM839" s="217">
        <f>IF(W839&gt;W838,IF(AL839&gt;=$AZ$8,$AZ$8,AL839),IF(OR(AM838=$AZ$8,AM838=0),0,IF(AL839&gt;=$AZ$8,$AZ$8,AL839)))</f>
      </c>
      <c r="AN839" s="748">
        <f>+IF(OR(AM839&gt;AZ838,AM839=0),0,IF(AM839=AL839,AK839,$AZ$7-AL838))</f>
      </c>
      <c r="AO839" s="748">
        <f>+AK839-AN839</f>
      </c>
      <c r="AP839" s="217">
        <f>+_xlfn.IFNA(VLOOKUP(AJ839,$AF$7:$AI$1066,3,0),0)</f>
      </c>
      <c r="AQ839" s="217">
        <f>+IF(W839&gt;W838,AP839,AQ838+AP839)</f>
      </c>
      <c r="AR839" s="217">
        <f>+MAX($AM$2-SUMIF($W$7:$W$1066,W839,$AN$7:$AN$1066),0)</f>
      </c>
      <c r="AS839" s="748">
        <f>+MAX(IF(AQ839&gt;AR839,AR839-AQ838,AP839),0)</f>
      </c>
      <c r="AT839" s="748">
        <f>+AP839-AS839</f>
      </c>
      <c r="AU839" s="217">
        <f>+_xlfn.IFNA(VLOOKUP(AJ839,$AF$7:$AI$1066,4,0),0)</f>
      </c>
      <c r="AV839" s="217">
        <f>+IF(W839&gt;W838,AU839,AV838+AU839)</f>
      </c>
      <c r="AW839" s="217">
        <f>+MAX($AM$2-SUMIF($W$7:$W$1066,W839,$AN$7:$AN$1066)-SUMIF($W$7:$W$1066,W839,$AS$7:$AS$1066),0)</f>
      </c>
      <c r="AX839" s="748">
        <f>+MAX(IF(AV839&gt;AW839,AW839-AV838,AU839),0)</f>
      </c>
      <c r="AY839" s="748">
        <f>+AU839-AX839</f>
      </c>
      <c r="AZ839" s="331">
        <f>+$AM$1+IF($AP$1&gt;$AP$2,$AM$3/2)</f>
      </c>
    </row>
    <row x14ac:dyDescent="0.25" r="840" customHeight="1" ht="18.75">
      <c r="A840" s="1"/>
      <c r="B840" s="7"/>
      <c r="C840" s="170"/>
      <c r="D840" s="331">
        <v>833</v>
      </c>
      <c r="E840" s="544">
        <f>+DATE(YEAR(E839),MONTH(E839)-1,DAY(E839))</f>
        <v>25569.041666666668</v>
      </c>
      <c r="F840" s="333">
        <f>IF(DATE(YEAR($B$6),MONTH($B$6)+1,DAY(1))=E840,1,IF(MONTH(E840)=1,F841*(1+$F$5),F841))</f>
      </c>
      <c r="G840" s="333">
        <f>IF('Simulador - 1º Pilar'!$E$99="Sí",IF('Aportaciones PPE'!$B$13&lt;'Aportaciones PPE'!E840,0,F840*$B$8/12),F840*$B$8/12)</f>
      </c>
      <c r="H840" s="333">
        <f>$H$5*G840</f>
      </c>
      <c r="I840" s="333">
        <f>$I$5*G840</f>
      </c>
      <c r="J840" s="333">
        <f>+I840</f>
      </c>
      <c r="K840" s="333">
        <f>(1+$O$5)^(D840/12)*(H840+IF(AND(F840=1,F841=0),$S$4,0))</f>
      </c>
      <c r="L840" s="333">
        <f>(1+$O$5)^(D840/12)*(I840+IF(AND(F840=1,F841=0),0))</f>
      </c>
      <c r="M840" s="333">
        <f>+L840</f>
      </c>
      <c r="N840" s="333">
        <f>L840+K840+M840</f>
      </c>
      <c r="O840" s="170"/>
      <c r="P840" s="7"/>
      <c r="Q840" s="1"/>
      <c r="R840" s="331">
        <f>D840</f>
      </c>
      <c r="S840" s="169"/>
      <c r="T840" s="1"/>
      <c r="U840" s="217"/>
      <c r="V840" s="331">
        <f>+IF(V839=11,12,IF(V839=12,1,V839+1))</f>
      </c>
      <c r="W840" s="331">
        <f>+W839+IF(V839=12,1,0)</f>
      </c>
      <c r="X840" s="555">
        <f>+DATE(W840,V840,1)</f>
        <v>25569.041666666668</v>
      </c>
      <c r="Y840" s="333">
        <f>+_xlfn.IFNA(AN840+AS840+AX840,0)</f>
      </c>
      <c r="Z840" s="333">
        <f>+_xlfn.IFNA(AO840+AT840+AY840,0)</f>
      </c>
      <c r="AA840" s="333">
        <f>Y840*(1+$O$5)^(($B$7-X840)/365.25)</f>
      </c>
      <c r="AB840" s="333">
        <f>Z840*(1+$O$5)^(($B$7-X840)/365.25)</f>
      </c>
      <c r="AC840" s="1"/>
      <c r="AD840" s="1"/>
      <c r="AE840" s="1"/>
      <c r="AF840" s="111">
        <f>+MONTH(E840)&amp;YEAR(E840)</f>
      </c>
      <c r="AG840" s="217">
        <f>+I840</f>
      </c>
      <c r="AH840" s="217">
        <f>+J840</f>
      </c>
      <c r="AI840" s="217">
        <f>+H840</f>
      </c>
      <c r="AJ840" s="111">
        <f>+V840&amp;W840</f>
      </c>
      <c r="AK840" s="217">
        <f>+_xlfn.IFNA(VLOOKUP(AJ840,$AF$7:$AG$1066,2,0),0)</f>
      </c>
      <c r="AL840" s="217">
        <f>+IF(W840&gt;W839,AK840,AL839+AK840)</f>
      </c>
      <c r="AM840" s="217">
        <f>IF(W840&gt;W839,IF(AL840&gt;=$AZ$8,$AZ$8,AL840),IF(OR(AM839=$AZ$8,AM839=0),0,IF(AL840&gt;=$AZ$8,$AZ$8,AL840)))</f>
      </c>
      <c r="AN840" s="748">
        <f>+IF(OR(AM840&gt;AZ839,AM840=0),0,IF(AM840=AL840,AK840,$AZ$7-AL839))</f>
      </c>
      <c r="AO840" s="748">
        <f>+AK840-AN840</f>
      </c>
      <c r="AP840" s="217">
        <f>+_xlfn.IFNA(VLOOKUP(AJ840,$AF$7:$AI$1066,3,0),0)</f>
      </c>
      <c r="AQ840" s="217">
        <f>+IF(W840&gt;W839,AP840,AQ839+AP840)</f>
      </c>
      <c r="AR840" s="217">
        <f>+MAX($AM$2-SUMIF($W$7:$W$1066,W840,$AN$7:$AN$1066),0)</f>
      </c>
      <c r="AS840" s="748">
        <f>+MAX(IF(AQ840&gt;AR840,AR840-AQ839,AP840),0)</f>
      </c>
      <c r="AT840" s="748">
        <f>+AP840-AS840</f>
      </c>
      <c r="AU840" s="217">
        <f>+_xlfn.IFNA(VLOOKUP(AJ840,$AF$7:$AI$1066,4,0),0)</f>
      </c>
      <c r="AV840" s="217">
        <f>+IF(W840&gt;W839,AU840,AV839+AU840)</f>
      </c>
      <c r="AW840" s="217">
        <f>+MAX($AM$2-SUMIF($W$7:$W$1066,W840,$AN$7:$AN$1066)-SUMIF($W$7:$W$1066,W840,$AS$7:$AS$1066),0)</f>
      </c>
      <c r="AX840" s="748">
        <f>+MAX(IF(AV840&gt;AW840,AW840-AV839,AU840),0)</f>
      </c>
      <c r="AY840" s="748">
        <f>+AU840-AX840</f>
      </c>
      <c r="AZ840" s="331">
        <f>+$AM$1+IF($AP$1&gt;$AP$2,$AM$3/2)</f>
      </c>
    </row>
    <row x14ac:dyDescent="0.25" r="841" customHeight="1" ht="18.75">
      <c r="A841" s="1"/>
      <c r="B841" s="7"/>
      <c r="C841" s="170"/>
      <c r="D841" s="331">
        <v>834</v>
      </c>
      <c r="E841" s="544">
        <f>+DATE(YEAR(E840),MONTH(E840)-1,DAY(E840))</f>
        <v>25569.041666666668</v>
      </c>
      <c r="F841" s="333">
        <f>IF(DATE(YEAR($B$6),MONTH($B$6)+1,DAY(1))=E841,1,IF(MONTH(E841)=1,F842*(1+$F$5),F842))</f>
      </c>
      <c r="G841" s="333">
        <f>IF('Simulador - 1º Pilar'!$E$99="Sí",IF('Aportaciones PPE'!$B$13&lt;'Aportaciones PPE'!E841,0,F841*$B$8/12),F841*$B$8/12)</f>
      </c>
      <c r="H841" s="333">
        <f>$H$5*G841</f>
      </c>
      <c r="I841" s="333">
        <f>$I$5*G841</f>
      </c>
      <c r="J841" s="333">
        <f>+I841</f>
      </c>
      <c r="K841" s="333">
        <f>(1+$O$5)^(D841/12)*(H841+IF(AND(F841=1,F842=0),$S$4,0))</f>
      </c>
      <c r="L841" s="333">
        <f>(1+$O$5)^(D841/12)*(I841+IF(AND(F841=1,F842=0),0))</f>
      </c>
      <c r="M841" s="333">
        <f>+L841</f>
      </c>
      <c r="N841" s="333">
        <f>L841+K841+M841</f>
      </c>
      <c r="O841" s="170"/>
      <c r="P841" s="7"/>
      <c r="Q841" s="1"/>
      <c r="R841" s="331">
        <f>D841</f>
      </c>
      <c r="S841" s="169"/>
      <c r="T841" s="1"/>
      <c r="U841" s="217"/>
      <c r="V841" s="331">
        <f>+IF(V840=11,12,IF(V840=12,1,V840+1))</f>
      </c>
      <c r="W841" s="331">
        <f>+W840+IF(V840=12,1,0)</f>
      </c>
      <c r="X841" s="555">
        <f>+DATE(W841,V841,1)</f>
        <v>25569.041666666668</v>
      </c>
      <c r="Y841" s="333">
        <f>+_xlfn.IFNA(AN841+AS841+AX841,0)</f>
      </c>
      <c r="Z841" s="333">
        <f>+_xlfn.IFNA(AO841+AT841+AY841,0)</f>
      </c>
      <c r="AA841" s="333">
        <f>Y841*(1+$O$5)^(($B$7-X841)/365.25)</f>
      </c>
      <c r="AB841" s="333">
        <f>Z841*(1+$O$5)^(($B$7-X841)/365.25)</f>
      </c>
      <c r="AC841" s="1"/>
      <c r="AD841" s="1"/>
      <c r="AE841" s="1"/>
      <c r="AF841" s="111">
        <f>+MONTH(E841)&amp;YEAR(E841)</f>
      </c>
      <c r="AG841" s="217">
        <f>+I841</f>
      </c>
      <c r="AH841" s="217">
        <f>+J841</f>
      </c>
      <c r="AI841" s="217">
        <f>+H841</f>
      </c>
      <c r="AJ841" s="111">
        <f>+V841&amp;W841</f>
      </c>
      <c r="AK841" s="217">
        <f>+_xlfn.IFNA(VLOOKUP(AJ841,$AF$7:$AG$1066,2,0),0)</f>
      </c>
      <c r="AL841" s="217">
        <f>+IF(W841&gt;W840,AK841,AL840+AK841)</f>
      </c>
      <c r="AM841" s="217">
        <f>IF(W841&gt;W840,IF(AL841&gt;=$AZ$8,$AZ$8,AL841),IF(OR(AM840=$AZ$8,AM840=0),0,IF(AL841&gt;=$AZ$8,$AZ$8,AL841)))</f>
      </c>
      <c r="AN841" s="748">
        <f>+IF(OR(AM841&gt;AZ840,AM841=0),0,IF(AM841=AL841,AK841,$AZ$7-AL840))</f>
      </c>
      <c r="AO841" s="748">
        <f>+AK841-AN841</f>
      </c>
      <c r="AP841" s="217">
        <f>+_xlfn.IFNA(VLOOKUP(AJ841,$AF$7:$AI$1066,3,0),0)</f>
      </c>
      <c r="AQ841" s="217">
        <f>+IF(W841&gt;W840,AP841,AQ840+AP841)</f>
      </c>
      <c r="AR841" s="217">
        <f>+MAX($AM$2-SUMIF($W$7:$W$1066,W841,$AN$7:$AN$1066),0)</f>
      </c>
      <c r="AS841" s="748">
        <f>+MAX(IF(AQ841&gt;AR841,AR841-AQ840,AP841),0)</f>
      </c>
      <c r="AT841" s="748">
        <f>+AP841-AS841</f>
      </c>
      <c r="AU841" s="217">
        <f>+_xlfn.IFNA(VLOOKUP(AJ841,$AF$7:$AI$1066,4,0),0)</f>
      </c>
      <c r="AV841" s="217">
        <f>+IF(W841&gt;W840,AU841,AV840+AU841)</f>
      </c>
      <c r="AW841" s="217">
        <f>+MAX($AM$2-SUMIF($W$7:$W$1066,W841,$AN$7:$AN$1066)-SUMIF($W$7:$W$1066,W841,$AS$7:$AS$1066),0)</f>
      </c>
      <c r="AX841" s="748">
        <f>+MAX(IF(AV841&gt;AW841,AW841-AV840,AU841),0)</f>
      </c>
      <c r="AY841" s="748">
        <f>+AU841-AX841</f>
      </c>
      <c r="AZ841" s="331">
        <f>+$AM$1+IF($AP$1&gt;$AP$2,$AM$3/2)</f>
      </c>
    </row>
    <row x14ac:dyDescent="0.25" r="842" customHeight="1" ht="18.75">
      <c r="A842" s="1"/>
      <c r="B842" s="7"/>
      <c r="C842" s="170"/>
      <c r="D842" s="331">
        <v>835</v>
      </c>
      <c r="E842" s="544">
        <f>+DATE(YEAR(E841),MONTH(E841)-1,DAY(E841))</f>
        <v>25569.041666666668</v>
      </c>
      <c r="F842" s="333">
        <f>IF(DATE(YEAR($B$6),MONTH($B$6)+1,DAY(1))=E842,1,IF(MONTH(E842)=1,F843*(1+$F$5),F843))</f>
      </c>
      <c r="G842" s="333">
        <f>IF('Simulador - 1º Pilar'!$E$99="Sí",IF('Aportaciones PPE'!$B$13&lt;'Aportaciones PPE'!E842,0,F842*$B$8/12),F842*$B$8/12)</f>
      </c>
      <c r="H842" s="333">
        <f>$H$5*G842</f>
      </c>
      <c r="I842" s="333">
        <f>$I$5*G842</f>
      </c>
      <c r="J842" s="333">
        <f>+I842</f>
      </c>
      <c r="K842" s="333">
        <f>(1+$O$5)^(D842/12)*(H842+IF(AND(F842=1,F843=0),$S$4,0))</f>
      </c>
      <c r="L842" s="333">
        <f>(1+$O$5)^(D842/12)*(I842+IF(AND(F842=1,F843=0),0))</f>
      </c>
      <c r="M842" s="333">
        <f>+L842</f>
      </c>
      <c r="N842" s="333">
        <f>L842+K842+M842</f>
      </c>
      <c r="O842" s="170"/>
      <c r="P842" s="7"/>
      <c r="Q842" s="1"/>
      <c r="R842" s="331">
        <f>D842</f>
      </c>
      <c r="S842" s="169"/>
      <c r="T842" s="1"/>
      <c r="U842" s="217"/>
      <c r="V842" s="331">
        <f>+IF(V841=11,12,IF(V841=12,1,V841+1))</f>
      </c>
      <c r="W842" s="331">
        <f>+W841+IF(V841=12,1,0)</f>
      </c>
      <c r="X842" s="555">
        <f>+DATE(W842,V842,1)</f>
        <v>25569.041666666668</v>
      </c>
      <c r="Y842" s="333">
        <f>+_xlfn.IFNA(AN842+AS842+AX842,0)</f>
      </c>
      <c r="Z842" s="333">
        <f>+_xlfn.IFNA(AO842+AT842+AY842,0)</f>
      </c>
      <c r="AA842" s="333">
        <f>Y842*(1+$O$5)^(($B$7-X842)/365.25)</f>
      </c>
      <c r="AB842" s="333">
        <f>Z842*(1+$O$5)^(($B$7-X842)/365.25)</f>
      </c>
      <c r="AC842" s="1"/>
      <c r="AD842" s="1"/>
      <c r="AE842" s="1"/>
      <c r="AF842" s="111">
        <f>+MONTH(E842)&amp;YEAR(E842)</f>
      </c>
      <c r="AG842" s="217">
        <f>+I842</f>
      </c>
      <c r="AH842" s="217">
        <f>+J842</f>
      </c>
      <c r="AI842" s="217">
        <f>+H842</f>
      </c>
      <c r="AJ842" s="111">
        <f>+V842&amp;W842</f>
      </c>
      <c r="AK842" s="217">
        <f>+_xlfn.IFNA(VLOOKUP(AJ842,$AF$7:$AG$1066,2,0),0)</f>
      </c>
      <c r="AL842" s="217">
        <f>+IF(W842&gt;W841,AK842,AL841+AK842)</f>
      </c>
      <c r="AM842" s="217">
        <f>IF(W842&gt;W841,IF(AL842&gt;=$AZ$8,$AZ$8,AL842),IF(OR(AM841=$AZ$8,AM841=0),0,IF(AL842&gt;=$AZ$8,$AZ$8,AL842)))</f>
      </c>
      <c r="AN842" s="748">
        <f>+IF(OR(AM842&gt;AZ841,AM842=0),0,IF(AM842=AL842,AK842,$AZ$7-AL841))</f>
      </c>
      <c r="AO842" s="748">
        <f>+AK842-AN842</f>
      </c>
      <c r="AP842" s="217">
        <f>+_xlfn.IFNA(VLOOKUP(AJ842,$AF$7:$AI$1066,3,0),0)</f>
      </c>
      <c r="AQ842" s="217">
        <f>+IF(W842&gt;W841,AP842,AQ841+AP842)</f>
      </c>
      <c r="AR842" s="217">
        <f>+MAX($AM$2-SUMIF($W$7:$W$1066,W842,$AN$7:$AN$1066),0)</f>
      </c>
      <c r="AS842" s="748">
        <f>+MAX(IF(AQ842&gt;AR842,AR842-AQ841,AP842),0)</f>
      </c>
      <c r="AT842" s="748">
        <f>+AP842-AS842</f>
      </c>
      <c r="AU842" s="217">
        <f>+_xlfn.IFNA(VLOOKUP(AJ842,$AF$7:$AI$1066,4,0),0)</f>
      </c>
      <c r="AV842" s="217">
        <f>+IF(W842&gt;W841,AU842,AV841+AU842)</f>
      </c>
      <c r="AW842" s="217">
        <f>+MAX($AM$2-SUMIF($W$7:$W$1066,W842,$AN$7:$AN$1066)-SUMIF($W$7:$W$1066,W842,$AS$7:$AS$1066),0)</f>
      </c>
      <c r="AX842" s="748">
        <f>+MAX(IF(AV842&gt;AW842,AW842-AV841,AU842),0)</f>
      </c>
      <c r="AY842" s="748">
        <f>+AU842-AX842</f>
      </c>
      <c r="AZ842" s="331">
        <f>+$AM$1+IF($AP$1&gt;$AP$2,$AM$3/2)</f>
      </c>
    </row>
    <row x14ac:dyDescent="0.25" r="843" customHeight="1" ht="18.75">
      <c r="A843" s="1"/>
      <c r="B843" s="7"/>
      <c r="C843" s="170"/>
      <c r="D843" s="331">
        <v>836</v>
      </c>
      <c r="E843" s="544">
        <f>+DATE(YEAR(E842),MONTH(E842)-1,DAY(E842))</f>
        <v>25569.041666666668</v>
      </c>
      <c r="F843" s="333">
        <f>IF(DATE(YEAR($B$6),MONTH($B$6)+1,DAY(1))=E843,1,IF(MONTH(E843)=1,F844*(1+$F$5),F844))</f>
      </c>
      <c r="G843" s="333">
        <f>IF('Simulador - 1º Pilar'!$E$99="Sí",IF('Aportaciones PPE'!$B$13&lt;'Aportaciones PPE'!E843,0,F843*$B$8/12),F843*$B$8/12)</f>
      </c>
      <c r="H843" s="333">
        <f>$H$5*G843</f>
      </c>
      <c r="I843" s="333">
        <f>$I$5*G843</f>
      </c>
      <c r="J843" s="333">
        <f>+I843</f>
      </c>
      <c r="K843" s="333">
        <f>(1+$O$5)^(D843/12)*(H843+IF(AND(F843=1,F844=0),$S$4,0))</f>
      </c>
      <c r="L843" s="333">
        <f>(1+$O$5)^(D843/12)*(I843+IF(AND(F843=1,F844=0),0))</f>
      </c>
      <c r="M843" s="333">
        <f>+L843</f>
      </c>
      <c r="N843" s="333">
        <f>L843+K843+M843</f>
      </c>
      <c r="O843" s="170"/>
      <c r="P843" s="7"/>
      <c r="Q843" s="1"/>
      <c r="R843" s="331">
        <f>D843</f>
      </c>
      <c r="S843" s="169"/>
      <c r="T843" s="1"/>
      <c r="U843" s="217"/>
      <c r="V843" s="331">
        <f>+IF(V842=11,12,IF(V842=12,1,V842+1))</f>
      </c>
      <c r="W843" s="331">
        <f>+W842+IF(V842=12,1,0)</f>
      </c>
      <c r="X843" s="555">
        <f>+DATE(W843,V843,1)</f>
        <v>25569.041666666668</v>
      </c>
      <c r="Y843" s="333">
        <f>+_xlfn.IFNA(AN843+AS843+AX843,0)</f>
      </c>
      <c r="Z843" s="333">
        <f>+_xlfn.IFNA(AO843+AT843+AY843,0)</f>
      </c>
      <c r="AA843" s="333">
        <f>Y843*(1+$O$5)^(($B$7-X843)/365.25)</f>
      </c>
      <c r="AB843" s="333">
        <f>Z843*(1+$O$5)^(($B$7-X843)/365.25)</f>
      </c>
      <c r="AC843" s="1"/>
      <c r="AD843" s="1"/>
      <c r="AE843" s="1"/>
      <c r="AF843" s="111">
        <f>+MONTH(E843)&amp;YEAR(E843)</f>
      </c>
      <c r="AG843" s="217">
        <f>+I843</f>
      </c>
      <c r="AH843" s="217">
        <f>+J843</f>
      </c>
      <c r="AI843" s="217">
        <f>+H843</f>
      </c>
      <c r="AJ843" s="111">
        <f>+V843&amp;W843</f>
      </c>
      <c r="AK843" s="217">
        <f>+_xlfn.IFNA(VLOOKUP(AJ843,$AF$7:$AG$1066,2,0),0)</f>
      </c>
      <c r="AL843" s="217">
        <f>+IF(W843&gt;W842,AK843,AL842+AK843)</f>
      </c>
      <c r="AM843" s="217">
        <f>IF(W843&gt;W842,IF(AL843&gt;=$AZ$8,$AZ$8,AL843),IF(OR(AM842=$AZ$8,AM842=0),0,IF(AL843&gt;=$AZ$8,$AZ$8,AL843)))</f>
      </c>
      <c r="AN843" s="748">
        <f>+IF(OR(AM843&gt;AZ842,AM843=0),0,IF(AM843=AL843,AK843,$AZ$7-AL842))</f>
      </c>
      <c r="AO843" s="748">
        <f>+AK843-AN843</f>
      </c>
      <c r="AP843" s="217">
        <f>+_xlfn.IFNA(VLOOKUP(AJ843,$AF$7:$AI$1066,3,0),0)</f>
      </c>
      <c r="AQ843" s="217">
        <f>+IF(W843&gt;W842,AP843,AQ842+AP843)</f>
      </c>
      <c r="AR843" s="217">
        <f>+MAX($AM$2-SUMIF($W$7:$W$1066,W843,$AN$7:$AN$1066),0)</f>
      </c>
      <c r="AS843" s="748">
        <f>+MAX(IF(AQ843&gt;AR843,AR843-AQ842,AP843),0)</f>
      </c>
      <c r="AT843" s="748">
        <f>+AP843-AS843</f>
      </c>
      <c r="AU843" s="217">
        <f>+_xlfn.IFNA(VLOOKUP(AJ843,$AF$7:$AI$1066,4,0),0)</f>
      </c>
      <c r="AV843" s="217">
        <f>+IF(W843&gt;W842,AU843,AV842+AU843)</f>
      </c>
      <c r="AW843" s="217">
        <f>+MAX($AM$2-SUMIF($W$7:$W$1066,W843,$AN$7:$AN$1066)-SUMIF($W$7:$W$1066,W843,$AS$7:$AS$1066),0)</f>
      </c>
      <c r="AX843" s="748">
        <f>+MAX(IF(AV843&gt;AW843,AW843-AV842,AU843),0)</f>
      </c>
      <c r="AY843" s="748">
        <f>+AU843-AX843</f>
      </c>
      <c r="AZ843" s="331">
        <f>+$AM$1+IF($AP$1&gt;$AP$2,$AM$3/2)</f>
      </c>
    </row>
    <row x14ac:dyDescent="0.25" r="844" customHeight="1" ht="18.75">
      <c r="A844" s="1"/>
      <c r="B844" s="7"/>
      <c r="C844" s="170"/>
      <c r="D844" s="331">
        <v>837</v>
      </c>
      <c r="E844" s="544">
        <f>+DATE(YEAR(E843),MONTH(E843)-1,DAY(E843))</f>
        <v>25569.041666666668</v>
      </c>
      <c r="F844" s="333">
        <f>IF(DATE(YEAR($B$6),MONTH($B$6)+1,DAY(1))=E844,1,IF(MONTH(E844)=1,F845*(1+$F$5),F845))</f>
      </c>
      <c r="G844" s="333">
        <f>IF('Simulador - 1º Pilar'!$E$99="Sí",IF('Aportaciones PPE'!$B$13&lt;'Aportaciones PPE'!E844,0,F844*$B$8/12),F844*$B$8/12)</f>
      </c>
      <c r="H844" s="333">
        <f>$H$5*G844</f>
      </c>
      <c r="I844" s="333">
        <f>$I$5*G844</f>
      </c>
      <c r="J844" s="333">
        <f>+I844</f>
      </c>
      <c r="K844" s="333">
        <f>(1+$O$5)^(D844/12)*(H844+IF(AND(F844=1,F845=0),$S$4,0))</f>
      </c>
      <c r="L844" s="333">
        <f>(1+$O$5)^(D844/12)*(I844+IF(AND(F844=1,F845=0),0))</f>
      </c>
      <c r="M844" s="333">
        <f>+L844</f>
      </c>
      <c r="N844" s="333">
        <f>L844+K844+M844</f>
      </c>
      <c r="O844" s="170"/>
      <c r="P844" s="7"/>
      <c r="Q844" s="1"/>
      <c r="R844" s="331">
        <f>D844</f>
      </c>
      <c r="S844" s="169"/>
      <c r="T844" s="1"/>
      <c r="U844" s="217"/>
      <c r="V844" s="331">
        <f>+IF(V843=11,12,IF(V843=12,1,V843+1))</f>
      </c>
      <c r="W844" s="331">
        <f>+W843+IF(V843=12,1,0)</f>
      </c>
      <c r="X844" s="555">
        <f>+DATE(W844,V844,1)</f>
        <v>25569.041666666668</v>
      </c>
      <c r="Y844" s="333">
        <f>+_xlfn.IFNA(AN844+AS844+AX844,0)</f>
      </c>
      <c r="Z844" s="333">
        <f>+_xlfn.IFNA(AO844+AT844+AY844,0)</f>
      </c>
      <c r="AA844" s="333">
        <f>Y844*(1+$O$5)^(($B$7-X844)/365.25)</f>
      </c>
      <c r="AB844" s="333">
        <f>Z844*(1+$O$5)^(($B$7-X844)/365.25)</f>
      </c>
      <c r="AC844" s="1"/>
      <c r="AD844" s="1"/>
      <c r="AE844" s="1"/>
      <c r="AF844" s="111">
        <f>+MONTH(E844)&amp;YEAR(E844)</f>
      </c>
      <c r="AG844" s="217">
        <f>+I844</f>
      </c>
      <c r="AH844" s="217">
        <f>+J844</f>
      </c>
      <c r="AI844" s="217">
        <f>+H844</f>
      </c>
      <c r="AJ844" s="111">
        <f>+V844&amp;W844</f>
      </c>
      <c r="AK844" s="217">
        <f>+_xlfn.IFNA(VLOOKUP(AJ844,$AF$7:$AG$1066,2,0),0)</f>
      </c>
      <c r="AL844" s="217">
        <f>+IF(W844&gt;W843,AK844,AL843+AK844)</f>
      </c>
      <c r="AM844" s="217">
        <f>IF(W844&gt;W843,IF(AL844&gt;=$AZ$8,$AZ$8,AL844),IF(OR(AM843=$AZ$8,AM843=0),0,IF(AL844&gt;=$AZ$8,$AZ$8,AL844)))</f>
      </c>
      <c r="AN844" s="748">
        <f>+IF(OR(AM844&gt;AZ843,AM844=0),0,IF(AM844=AL844,AK844,$AZ$7-AL843))</f>
      </c>
      <c r="AO844" s="748">
        <f>+AK844-AN844</f>
      </c>
      <c r="AP844" s="217">
        <f>+_xlfn.IFNA(VLOOKUP(AJ844,$AF$7:$AI$1066,3,0),0)</f>
      </c>
      <c r="AQ844" s="217">
        <f>+IF(W844&gt;W843,AP844,AQ843+AP844)</f>
      </c>
      <c r="AR844" s="217">
        <f>+MAX($AM$2-SUMIF($W$7:$W$1066,W844,$AN$7:$AN$1066),0)</f>
      </c>
      <c r="AS844" s="748">
        <f>+MAX(IF(AQ844&gt;AR844,AR844-AQ843,AP844),0)</f>
      </c>
      <c r="AT844" s="748">
        <f>+AP844-AS844</f>
      </c>
      <c r="AU844" s="217">
        <f>+_xlfn.IFNA(VLOOKUP(AJ844,$AF$7:$AI$1066,4,0),0)</f>
      </c>
      <c r="AV844" s="217">
        <f>+IF(W844&gt;W843,AU844,AV843+AU844)</f>
      </c>
      <c r="AW844" s="217">
        <f>+MAX($AM$2-SUMIF($W$7:$W$1066,W844,$AN$7:$AN$1066)-SUMIF($W$7:$W$1066,W844,$AS$7:$AS$1066),0)</f>
      </c>
      <c r="AX844" s="748">
        <f>+MAX(IF(AV844&gt;AW844,AW844-AV843,AU844),0)</f>
      </c>
      <c r="AY844" s="748">
        <f>+AU844-AX844</f>
      </c>
      <c r="AZ844" s="331">
        <f>+$AM$1+IF($AP$1&gt;$AP$2,$AM$3/2)</f>
      </c>
    </row>
    <row x14ac:dyDescent="0.25" r="845" customHeight="1" ht="18.75">
      <c r="A845" s="1"/>
      <c r="B845" s="7"/>
      <c r="C845" s="170"/>
      <c r="D845" s="331">
        <v>838</v>
      </c>
      <c r="E845" s="544">
        <f>+DATE(YEAR(E844),MONTH(E844)-1,DAY(E844))</f>
        <v>25569.041666666668</v>
      </c>
      <c r="F845" s="333">
        <f>IF(DATE(YEAR($B$6),MONTH($B$6)+1,DAY(1))=E845,1,IF(MONTH(E845)=1,F846*(1+$F$5),F846))</f>
      </c>
      <c r="G845" s="333">
        <f>IF('Simulador - 1º Pilar'!$E$99="Sí",IF('Aportaciones PPE'!$B$13&lt;'Aportaciones PPE'!E845,0,F845*$B$8/12),F845*$B$8/12)</f>
      </c>
      <c r="H845" s="333">
        <f>$H$5*G845</f>
      </c>
      <c r="I845" s="333">
        <f>$I$5*G845</f>
      </c>
      <c r="J845" s="333">
        <f>+I845</f>
      </c>
      <c r="K845" s="333">
        <f>(1+$O$5)^(D845/12)*(H845+IF(AND(F845=1,F846=0),$S$4,0))</f>
      </c>
      <c r="L845" s="333">
        <f>(1+$O$5)^(D845/12)*(I845+IF(AND(F845=1,F846=0),0))</f>
      </c>
      <c r="M845" s="333">
        <f>+L845</f>
      </c>
      <c r="N845" s="333">
        <f>L845+K845+M845</f>
      </c>
      <c r="O845" s="170"/>
      <c r="P845" s="7"/>
      <c r="Q845" s="1"/>
      <c r="R845" s="331">
        <f>D845</f>
      </c>
      <c r="S845" s="169"/>
      <c r="T845" s="1"/>
      <c r="U845" s="217"/>
      <c r="V845" s="331">
        <f>+IF(V844=11,12,IF(V844=12,1,V844+1))</f>
      </c>
      <c r="W845" s="331">
        <f>+W844+IF(V844=12,1,0)</f>
      </c>
      <c r="X845" s="555">
        <f>+DATE(W845,V845,1)</f>
        <v>25569.041666666668</v>
      </c>
      <c r="Y845" s="333">
        <f>+_xlfn.IFNA(AN845+AS845+AX845,0)</f>
      </c>
      <c r="Z845" s="333">
        <f>+_xlfn.IFNA(AO845+AT845+AY845,0)</f>
      </c>
      <c r="AA845" s="333">
        <f>Y845*(1+$O$5)^(($B$7-X845)/365.25)</f>
      </c>
      <c r="AB845" s="333">
        <f>Z845*(1+$O$5)^(($B$7-X845)/365.25)</f>
      </c>
      <c r="AC845" s="1"/>
      <c r="AD845" s="1"/>
      <c r="AE845" s="1"/>
      <c r="AF845" s="111">
        <f>+MONTH(E845)&amp;YEAR(E845)</f>
      </c>
      <c r="AG845" s="217">
        <f>+I845</f>
      </c>
      <c r="AH845" s="217">
        <f>+J845</f>
      </c>
      <c r="AI845" s="217">
        <f>+H845</f>
      </c>
      <c r="AJ845" s="111">
        <f>+V845&amp;W845</f>
      </c>
      <c r="AK845" s="217">
        <f>+_xlfn.IFNA(VLOOKUP(AJ845,$AF$7:$AG$1066,2,0),0)</f>
      </c>
      <c r="AL845" s="217">
        <f>+IF(W845&gt;W844,AK845,AL844+AK845)</f>
      </c>
      <c r="AM845" s="217">
        <f>IF(W845&gt;W844,IF(AL845&gt;=$AZ$8,$AZ$8,AL845),IF(OR(AM844=$AZ$8,AM844=0),0,IF(AL845&gt;=$AZ$8,$AZ$8,AL845)))</f>
      </c>
      <c r="AN845" s="748">
        <f>+IF(OR(AM845&gt;AZ844,AM845=0),0,IF(AM845=AL845,AK845,$AZ$7-AL844))</f>
      </c>
      <c r="AO845" s="748">
        <f>+AK845-AN845</f>
      </c>
      <c r="AP845" s="217">
        <f>+_xlfn.IFNA(VLOOKUP(AJ845,$AF$7:$AI$1066,3,0),0)</f>
      </c>
      <c r="AQ845" s="217">
        <f>+IF(W845&gt;W844,AP845,AQ844+AP845)</f>
      </c>
      <c r="AR845" s="217">
        <f>+MAX($AM$2-SUMIF($W$7:$W$1066,W845,$AN$7:$AN$1066),0)</f>
      </c>
      <c r="AS845" s="748">
        <f>+MAX(IF(AQ845&gt;AR845,AR845-AQ844,AP845),0)</f>
      </c>
      <c r="AT845" s="748">
        <f>+AP845-AS845</f>
      </c>
      <c r="AU845" s="217">
        <f>+_xlfn.IFNA(VLOOKUP(AJ845,$AF$7:$AI$1066,4,0),0)</f>
      </c>
      <c r="AV845" s="217">
        <f>+IF(W845&gt;W844,AU845,AV844+AU845)</f>
      </c>
      <c r="AW845" s="217">
        <f>+MAX($AM$2-SUMIF($W$7:$W$1066,W845,$AN$7:$AN$1066)-SUMIF($W$7:$W$1066,W845,$AS$7:$AS$1066),0)</f>
      </c>
      <c r="AX845" s="748">
        <f>+MAX(IF(AV845&gt;AW845,AW845-AV844,AU845),0)</f>
      </c>
      <c r="AY845" s="748">
        <f>+AU845-AX845</f>
      </c>
      <c r="AZ845" s="331">
        <f>+$AM$1+IF($AP$1&gt;$AP$2,$AM$3/2)</f>
      </c>
    </row>
    <row x14ac:dyDescent="0.25" r="846" customHeight="1" ht="18.75">
      <c r="A846" s="1"/>
      <c r="B846" s="7"/>
      <c r="C846" s="170"/>
      <c r="D846" s="331">
        <v>839</v>
      </c>
      <c r="E846" s="544">
        <f>+DATE(YEAR(E845),MONTH(E845)-1,DAY(E845))</f>
        <v>25569.041666666668</v>
      </c>
      <c r="F846" s="333">
        <f>IF(DATE(YEAR($B$6),MONTH($B$6)+1,DAY(1))=E846,1,IF(MONTH(E846)=1,F847*(1+$F$5),F847))</f>
      </c>
      <c r="G846" s="333">
        <f>IF('Simulador - 1º Pilar'!$E$99="Sí",IF('Aportaciones PPE'!$B$13&lt;'Aportaciones PPE'!E846,0,F846*$B$8/12),F846*$B$8/12)</f>
      </c>
      <c r="H846" s="333">
        <f>$H$5*G846</f>
      </c>
      <c r="I846" s="333">
        <f>$I$5*G846</f>
      </c>
      <c r="J846" s="333">
        <f>+I846</f>
      </c>
      <c r="K846" s="333">
        <f>(1+$O$5)^(D846/12)*(H846+IF(AND(F846=1,F847=0),$S$4,0))</f>
      </c>
      <c r="L846" s="333">
        <f>(1+$O$5)^(D846/12)*(I846+IF(AND(F846=1,F847=0),0))</f>
      </c>
      <c r="M846" s="333">
        <f>+L846</f>
      </c>
      <c r="N846" s="333">
        <f>L846+K846+M846</f>
      </c>
      <c r="O846" s="170"/>
      <c r="P846" s="7"/>
      <c r="Q846" s="1"/>
      <c r="R846" s="331">
        <f>D846</f>
      </c>
      <c r="S846" s="169"/>
      <c r="T846" s="1"/>
      <c r="U846" s="217"/>
      <c r="V846" s="331">
        <f>+IF(V845=11,12,IF(V845=12,1,V845+1))</f>
      </c>
      <c r="W846" s="331">
        <f>+W845+IF(V845=12,1,0)</f>
      </c>
      <c r="X846" s="555">
        <f>+DATE(W846,V846,1)</f>
        <v>25569.041666666668</v>
      </c>
      <c r="Y846" s="333">
        <f>+_xlfn.IFNA(AN846+AS846+AX846,0)</f>
      </c>
      <c r="Z846" s="333">
        <f>+_xlfn.IFNA(AO846+AT846+AY846,0)</f>
      </c>
      <c r="AA846" s="333">
        <f>Y846*(1+$O$5)^(($B$7-X846)/365.25)</f>
      </c>
      <c r="AB846" s="333">
        <f>Z846*(1+$O$5)^(($B$7-X846)/365.25)</f>
      </c>
      <c r="AC846" s="1"/>
      <c r="AD846" s="1"/>
      <c r="AE846" s="1"/>
      <c r="AF846" s="111">
        <f>+MONTH(E846)&amp;YEAR(E846)</f>
      </c>
      <c r="AG846" s="217">
        <f>+I846</f>
      </c>
      <c r="AH846" s="217">
        <f>+J846</f>
      </c>
      <c r="AI846" s="217">
        <f>+H846</f>
      </c>
      <c r="AJ846" s="111">
        <f>+V846&amp;W846</f>
      </c>
      <c r="AK846" s="217">
        <f>+_xlfn.IFNA(VLOOKUP(AJ846,$AF$7:$AG$1066,2,0),0)</f>
      </c>
      <c r="AL846" s="217">
        <f>+IF(W846&gt;W845,AK846,AL845+AK846)</f>
      </c>
      <c r="AM846" s="217">
        <f>IF(W846&gt;W845,IF(AL846&gt;=$AZ$8,$AZ$8,AL846),IF(OR(AM845=$AZ$8,AM845=0),0,IF(AL846&gt;=$AZ$8,$AZ$8,AL846)))</f>
      </c>
      <c r="AN846" s="748">
        <f>+IF(OR(AM846&gt;AZ845,AM846=0),0,IF(AM846=AL846,AK846,$AZ$7-AL845))</f>
      </c>
      <c r="AO846" s="748">
        <f>+AK846-AN846</f>
      </c>
      <c r="AP846" s="217">
        <f>+_xlfn.IFNA(VLOOKUP(AJ846,$AF$7:$AI$1066,3,0),0)</f>
      </c>
      <c r="AQ846" s="217">
        <f>+IF(W846&gt;W845,AP846,AQ845+AP846)</f>
      </c>
      <c r="AR846" s="217">
        <f>+MAX($AM$2-SUMIF($W$7:$W$1066,W846,$AN$7:$AN$1066),0)</f>
      </c>
      <c r="AS846" s="748">
        <f>+MAX(IF(AQ846&gt;AR846,AR846-AQ845,AP846),0)</f>
      </c>
      <c r="AT846" s="748">
        <f>+AP846-AS846</f>
      </c>
      <c r="AU846" s="217">
        <f>+_xlfn.IFNA(VLOOKUP(AJ846,$AF$7:$AI$1066,4,0),0)</f>
      </c>
      <c r="AV846" s="217">
        <f>+IF(W846&gt;W845,AU846,AV845+AU846)</f>
      </c>
      <c r="AW846" s="217">
        <f>+MAX($AM$2-SUMIF($W$7:$W$1066,W846,$AN$7:$AN$1066)-SUMIF($W$7:$W$1066,W846,$AS$7:$AS$1066),0)</f>
      </c>
      <c r="AX846" s="748">
        <f>+MAX(IF(AV846&gt;AW846,AW846-AV845,AU846),0)</f>
      </c>
      <c r="AY846" s="748">
        <f>+AU846-AX846</f>
      </c>
      <c r="AZ846" s="331">
        <f>+$AM$1+IF($AP$1&gt;$AP$2,$AM$3/2)</f>
      </c>
    </row>
    <row x14ac:dyDescent="0.25" r="847" customHeight="1" ht="18.75">
      <c r="A847" s="1"/>
      <c r="B847" s="7"/>
      <c r="C847" s="170"/>
      <c r="D847" s="331">
        <v>840</v>
      </c>
      <c r="E847" s="544">
        <f>+DATE(YEAR(E846),MONTH(E846)-1,DAY(E846))</f>
        <v>25569.041666666668</v>
      </c>
      <c r="F847" s="333">
        <f>IF(DATE(YEAR($B$6),MONTH($B$6)+1,DAY(1))=E847,1,IF(MONTH(E847)=1,F848*(1+$F$5),F848))</f>
      </c>
      <c r="G847" s="333">
        <f>IF('Simulador - 1º Pilar'!$E$99="Sí",IF('Aportaciones PPE'!$B$13&lt;'Aportaciones PPE'!E847,0,F847*$B$8/12),F847*$B$8/12)</f>
      </c>
      <c r="H847" s="333">
        <f>$H$5*G847</f>
      </c>
      <c r="I847" s="333">
        <f>$I$5*G847</f>
      </c>
      <c r="J847" s="333">
        <f>+I847</f>
      </c>
      <c r="K847" s="333">
        <f>(1+$O$5)^(D847/12)*(H847+IF(AND(F847=1,F848=0),$S$4,0))</f>
      </c>
      <c r="L847" s="333">
        <f>(1+$O$5)^(D847/12)*(I847+IF(AND(F847=1,F848=0),0))</f>
      </c>
      <c r="M847" s="333">
        <f>+L847</f>
      </c>
      <c r="N847" s="333">
        <f>L847+K847+M847</f>
      </c>
      <c r="O847" s="170"/>
      <c r="P847" s="7"/>
      <c r="Q847" s="1"/>
      <c r="R847" s="331">
        <f>D847</f>
      </c>
      <c r="S847" s="169"/>
      <c r="T847" s="1"/>
      <c r="U847" s="217"/>
      <c r="V847" s="331">
        <f>+IF(V846=11,12,IF(V846=12,1,V846+1))</f>
      </c>
      <c r="W847" s="331">
        <f>+W846+IF(V846=12,1,0)</f>
      </c>
      <c r="X847" s="555">
        <f>+DATE(W847,V847,1)</f>
        <v>25569.041666666668</v>
      </c>
      <c r="Y847" s="333">
        <f>+_xlfn.IFNA(AN847+AS847+AX847,0)</f>
      </c>
      <c r="Z847" s="333">
        <f>+_xlfn.IFNA(AO847+AT847+AY847,0)</f>
      </c>
      <c r="AA847" s="333">
        <f>Y847*(1+$O$5)^(($B$7-X847)/365.25)</f>
      </c>
      <c r="AB847" s="333">
        <f>Z847*(1+$O$5)^(($B$7-X847)/365.25)</f>
      </c>
      <c r="AC847" s="1"/>
      <c r="AD847" s="1"/>
      <c r="AE847" s="1"/>
      <c r="AF847" s="111">
        <f>+MONTH(E847)&amp;YEAR(E847)</f>
      </c>
      <c r="AG847" s="217">
        <f>+I847</f>
      </c>
      <c r="AH847" s="217">
        <f>+J847</f>
      </c>
      <c r="AI847" s="217">
        <f>+H847</f>
      </c>
      <c r="AJ847" s="111">
        <f>+V847&amp;W847</f>
      </c>
      <c r="AK847" s="217">
        <f>+_xlfn.IFNA(VLOOKUP(AJ847,$AF$7:$AG$1066,2,0),0)</f>
      </c>
      <c r="AL847" s="217">
        <f>+IF(W847&gt;W846,AK847,AL846+AK847)</f>
      </c>
      <c r="AM847" s="217">
        <f>IF(W847&gt;W846,IF(AL847&gt;=$AZ$8,$AZ$8,AL847),IF(OR(AM846=$AZ$8,AM846=0),0,IF(AL847&gt;=$AZ$8,$AZ$8,AL847)))</f>
      </c>
      <c r="AN847" s="748">
        <f>+IF(OR(AM847&gt;AZ846,AM847=0),0,IF(AM847=AL847,AK847,$AZ$7-AL846))</f>
      </c>
      <c r="AO847" s="748">
        <f>+AK847-AN847</f>
      </c>
      <c r="AP847" s="217">
        <f>+_xlfn.IFNA(VLOOKUP(AJ847,$AF$7:$AI$1066,3,0),0)</f>
      </c>
      <c r="AQ847" s="217">
        <f>+IF(W847&gt;W846,AP847,AQ846+AP847)</f>
      </c>
      <c r="AR847" s="217">
        <f>+MAX($AM$2-SUMIF($W$7:$W$1066,W847,$AN$7:$AN$1066),0)</f>
      </c>
      <c r="AS847" s="748">
        <f>+MAX(IF(AQ847&gt;AR847,AR847-AQ846,AP847),0)</f>
      </c>
      <c r="AT847" s="748">
        <f>+AP847-AS847</f>
      </c>
      <c r="AU847" s="217">
        <f>+_xlfn.IFNA(VLOOKUP(AJ847,$AF$7:$AI$1066,4,0),0)</f>
      </c>
      <c r="AV847" s="217">
        <f>+IF(W847&gt;W846,AU847,AV846+AU847)</f>
      </c>
      <c r="AW847" s="217">
        <f>+MAX($AM$2-SUMIF($W$7:$W$1066,W847,$AN$7:$AN$1066)-SUMIF($W$7:$W$1066,W847,$AS$7:$AS$1066),0)</f>
      </c>
      <c r="AX847" s="748">
        <f>+MAX(IF(AV847&gt;AW847,AW847-AV846,AU847),0)</f>
      </c>
      <c r="AY847" s="748">
        <f>+AU847-AX847</f>
      </c>
      <c r="AZ847" s="331">
        <f>+$AM$1+IF($AP$1&gt;$AP$2,$AM$3/2)</f>
      </c>
    </row>
    <row x14ac:dyDescent="0.25" r="848" customHeight="1" ht="18.75">
      <c r="A848" s="1"/>
      <c r="B848" s="7"/>
      <c r="C848" s="170"/>
      <c r="D848" s="331">
        <v>841</v>
      </c>
      <c r="E848" s="544">
        <f>+DATE(YEAR(E847),MONTH(E847)-1,DAY(E847))</f>
        <v>25569.041666666668</v>
      </c>
      <c r="F848" s="333">
        <f>IF(DATE(YEAR($B$6),MONTH($B$6)+1,DAY(1))=E848,1,IF(MONTH(E848)=1,F849*(1+$F$5),F849))</f>
      </c>
      <c r="G848" s="333">
        <f>IF('Simulador - 1º Pilar'!$E$99="Sí",IF('Aportaciones PPE'!$B$13&lt;'Aportaciones PPE'!E848,0,F848*$B$8/12),F848*$B$8/12)</f>
      </c>
      <c r="H848" s="333">
        <f>$H$5*G848</f>
      </c>
      <c r="I848" s="333">
        <f>$I$5*G848</f>
      </c>
      <c r="J848" s="333">
        <f>+I848</f>
      </c>
      <c r="K848" s="333">
        <f>(1+$O$5)^(D848/12)*(H848+IF(AND(F848=1,F849=0),$S$4,0))</f>
      </c>
      <c r="L848" s="333">
        <f>(1+$O$5)^(D848/12)*(I848+IF(AND(F848=1,F849=0),0))</f>
      </c>
      <c r="M848" s="333">
        <f>+L848</f>
      </c>
      <c r="N848" s="333">
        <f>L848+K848+M848</f>
      </c>
      <c r="O848" s="170"/>
      <c r="P848" s="7"/>
      <c r="Q848" s="1"/>
      <c r="R848" s="331">
        <f>D848</f>
      </c>
      <c r="S848" s="169"/>
      <c r="T848" s="1"/>
      <c r="U848" s="217"/>
      <c r="V848" s="331">
        <f>+IF(V847=11,12,IF(V847=12,1,V847+1))</f>
      </c>
      <c r="W848" s="331">
        <f>+W847+IF(V847=12,1,0)</f>
      </c>
      <c r="X848" s="555">
        <f>+DATE(W848,V848,1)</f>
        <v>25569.041666666668</v>
      </c>
      <c r="Y848" s="333">
        <f>+_xlfn.IFNA(AN848+AS848+AX848,0)</f>
      </c>
      <c r="Z848" s="333">
        <f>+_xlfn.IFNA(AO848+AT848+AY848,0)</f>
      </c>
      <c r="AA848" s="333">
        <f>Y848*(1+$O$5)^(($B$7-X848)/365.25)</f>
      </c>
      <c r="AB848" s="333">
        <f>Z848*(1+$O$5)^(($B$7-X848)/365.25)</f>
      </c>
      <c r="AC848" s="1"/>
      <c r="AD848" s="1"/>
      <c r="AE848" s="1"/>
      <c r="AF848" s="111">
        <f>+MONTH(E848)&amp;YEAR(E848)</f>
      </c>
      <c r="AG848" s="217">
        <f>+I848</f>
      </c>
      <c r="AH848" s="217">
        <f>+J848</f>
      </c>
      <c r="AI848" s="217">
        <f>+H848</f>
      </c>
      <c r="AJ848" s="111">
        <f>+V848&amp;W848</f>
      </c>
      <c r="AK848" s="217">
        <f>+_xlfn.IFNA(VLOOKUP(AJ848,$AF$7:$AG$1066,2,0),0)</f>
      </c>
      <c r="AL848" s="217">
        <f>+IF(W848&gt;W847,AK848,AL847+AK848)</f>
      </c>
      <c r="AM848" s="217">
        <f>IF(W848&gt;W847,IF(AL848&gt;=$AZ$8,$AZ$8,AL848),IF(OR(AM847=$AZ$8,AM847=0),0,IF(AL848&gt;=$AZ$8,$AZ$8,AL848)))</f>
      </c>
      <c r="AN848" s="748">
        <f>+IF(OR(AM848&gt;AZ847,AM848=0),0,IF(AM848=AL848,AK848,$AZ$7-AL847))</f>
      </c>
      <c r="AO848" s="748">
        <f>+AK848-AN848</f>
      </c>
      <c r="AP848" s="217">
        <f>+_xlfn.IFNA(VLOOKUP(AJ848,$AF$7:$AI$1066,3,0),0)</f>
      </c>
      <c r="AQ848" s="217">
        <f>+IF(W848&gt;W847,AP848,AQ847+AP848)</f>
      </c>
      <c r="AR848" s="217">
        <f>+MAX($AM$2-SUMIF($W$7:$W$1066,W848,$AN$7:$AN$1066),0)</f>
      </c>
      <c r="AS848" s="748">
        <f>+MAX(IF(AQ848&gt;AR848,AR848-AQ847,AP848),0)</f>
      </c>
      <c r="AT848" s="748">
        <f>+AP848-AS848</f>
      </c>
      <c r="AU848" s="217">
        <f>+_xlfn.IFNA(VLOOKUP(AJ848,$AF$7:$AI$1066,4,0),0)</f>
      </c>
      <c r="AV848" s="217">
        <f>+IF(W848&gt;W847,AU848,AV847+AU848)</f>
      </c>
      <c r="AW848" s="217">
        <f>+MAX($AM$2-SUMIF($W$7:$W$1066,W848,$AN$7:$AN$1066)-SUMIF($W$7:$W$1066,W848,$AS$7:$AS$1066),0)</f>
      </c>
      <c r="AX848" s="748">
        <f>+MAX(IF(AV848&gt;AW848,AW848-AV847,AU848),0)</f>
      </c>
      <c r="AY848" s="748">
        <f>+AU848-AX848</f>
      </c>
      <c r="AZ848" s="331">
        <f>+$AM$1+IF($AP$1&gt;$AP$2,$AM$3/2)</f>
      </c>
    </row>
    <row x14ac:dyDescent="0.25" r="849" customHeight="1" ht="18.75">
      <c r="A849" s="1"/>
      <c r="B849" s="7"/>
      <c r="C849" s="170"/>
      <c r="D849" s="331">
        <v>842</v>
      </c>
      <c r="E849" s="544">
        <f>+DATE(YEAR(E848),MONTH(E848)-1,DAY(E848))</f>
        <v>25569.041666666668</v>
      </c>
      <c r="F849" s="333">
        <f>IF(DATE(YEAR($B$6),MONTH($B$6)+1,DAY(1))=E849,1,IF(MONTH(E849)=1,F850*(1+$F$5),F850))</f>
      </c>
      <c r="G849" s="333">
        <f>IF('Simulador - 1º Pilar'!$E$99="Sí",IF('Aportaciones PPE'!$B$13&lt;'Aportaciones PPE'!E849,0,F849*$B$8/12),F849*$B$8/12)</f>
      </c>
      <c r="H849" s="333">
        <f>$H$5*G849</f>
      </c>
      <c r="I849" s="333">
        <f>$I$5*G849</f>
      </c>
      <c r="J849" s="333">
        <f>+I849</f>
      </c>
      <c r="K849" s="333">
        <f>(1+$O$5)^(D849/12)*(H849+IF(AND(F849=1,F850=0),$S$4,0))</f>
      </c>
      <c r="L849" s="333">
        <f>(1+$O$5)^(D849/12)*(I849+IF(AND(F849=1,F850=0),0))</f>
      </c>
      <c r="M849" s="333">
        <f>+L849</f>
      </c>
      <c r="N849" s="333">
        <f>L849+K849+M849</f>
      </c>
      <c r="O849" s="170"/>
      <c r="P849" s="7"/>
      <c r="Q849" s="1"/>
      <c r="R849" s="331">
        <f>D849</f>
      </c>
      <c r="S849" s="169"/>
      <c r="T849" s="1"/>
      <c r="U849" s="217"/>
      <c r="V849" s="331">
        <f>+IF(V848=11,12,IF(V848=12,1,V848+1))</f>
      </c>
      <c r="W849" s="331">
        <f>+W848+IF(V848=12,1,0)</f>
      </c>
      <c r="X849" s="555">
        <f>+DATE(W849,V849,1)</f>
        <v>25569.041666666668</v>
      </c>
      <c r="Y849" s="333">
        <f>+_xlfn.IFNA(AN849+AS849+AX849,0)</f>
      </c>
      <c r="Z849" s="333">
        <f>+_xlfn.IFNA(AO849+AT849+AY849,0)</f>
      </c>
      <c r="AA849" s="333">
        <f>Y849*(1+$O$5)^(($B$7-X849)/365.25)</f>
      </c>
      <c r="AB849" s="333">
        <f>Z849*(1+$O$5)^(($B$7-X849)/365.25)</f>
      </c>
      <c r="AC849" s="1"/>
      <c r="AD849" s="1"/>
      <c r="AE849" s="1"/>
      <c r="AF849" s="111">
        <f>+MONTH(E849)&amp;YEAR(E849)</f>
      </c>
      <c r="AG849" s="217">
        <f>+I849</f>
      </c>
      <c r="AH849" s="217">
        <f>+J849</f>
      </c>
      <c r="AI849" s="217">
        <f>+H849</f>
      </c>
      <c r="AJ849" s="111">
        <f>+V849&amp;W849</f>
      </c>
      <c r="AK849" s="217">
        <f>+_xlfn.IFNA(VLOOKUP(AJ849,$AF$7:$AG$1066,2,0),0)</f>
      </c>
      <c r="AL849" s="217">
        <f>+IF(W849&gt;W848,AK849,AL848+AK849)</f>
      </c>
      <c r="AM849" s="217">
        <f>IF(W849&gt;W848,IF(AL849&gt;=$AZ$8,$AZ$8,AL849),IF(OR(AM848=$AZ$8,AM848=0),0,IF(AL849&gt;=$AZ$8,$AZ$8,AL849)))</f>
      </c>
      <c r="AN849" s="748">
        <f>+IF(OR(AM849&gt;AZ848,AM849=0),0,IF(AM849=AL849,AK849,$AZ$7-AL848))</f>
      </c>
      <c r="AO849" s="748">
        <f>+AK849-AN849</f>
      </c>
      <c r="AP849" s="217">
        <f>+_xlfn.IFNA(VLOOKUP(AJ849,$AF$7:$AI$1066,3,0),0)</f>
      </c>
      <c r="AQ849" s="217">
        <f>+IF(W849&gt;W848,AP849,AQ848+AP849)</f>
      </c>
      <c r="AR849" s="217">
        <f>+MAX($AM$2-SUMIF($W$7:$W$1066,W849,$AN$7:$AN$1066),0)</f>
      </c>
      <c r="AS849" s="748">
        <f>+MAX(IF(AQ849&gt;AR849,AR849-AQ848,AP849),0)</f>
      </c>
      <c r="AT849" s="748">
        <f>+AP849-AS849</f>
      </c>
      <c r="AU849" s="217">
        <f>+_xlfn.IFNA(VLOOKUP(AJ849,$AF$7:$AI$1066,4,0),0)</f>
      </c>
      <c r="AV849" s="217">
        <f>+IF(W849&gt;W848,AU849,AV848+AU849)</f>
      </c>
      <c r="AW849" s="217">
        <f>+MAX($AM$2-SUMIF($W$7:$W$1066,W849,$AN$7:$AN$1066)-SUMIF($W$7:$W$1066,W849,$AS$7:$AS$1066),0)</f>
      </c>
      <c r="AX849" s="748">
        <f>+MAX(IF(AV849&gt;AW849,AW849-AV848,AU849),0)</f>
      </c>
      <c r="AY849" s="748">
        <f>+AU849-AX849</f>
      </c>
      <c r="AZ849" s="331">
        <f>+$AM$1+IF($AP$1&gt;$AP$2,$AM$3/2)</f>
      </c>
    </row>
    <row x14ac:dyDescent="0.25" r="850" customHeight="1" ht="18.75">
      <c r="A850" s="1"/>
      <c r="B850" s="7"/>
      <c r="C850" s="170"/>
      <c r="D850" s="331">
        <v>843</v>
      </c>
      <c r="E850" s="544">
        <f>+DATE(YEAR(E849),MONTH(E849)-1,DAY(E849))</f>
        <v>25569.041666666668</v>
      </c>
      <c r="F850" s="333">
        <f>IF(DATE(YEAR($B$6),MONTH($B$6)+1,DAY(1))=E850,1,IF(MONTH(E850)=1,F851*(1+$F$5),F851))</f>
      </c>
      <c r="G850" s="333">
        <f>IF('Simulador - 1º Pilar'!$E$99="Sí",IF('Aportaciones PPE'!$B$13&lt;'Aportaciones PPE'!E850,0,F850*$B$8/12),F850*$B$8/12)</f>
      </c>
      <c r="H850" s="333">
        <f>$H$5*G850</f>
      </c>
      <c r="I850" s="333">
        <f>$I$5*G850</f>
      </c>
      <c r="J850" s="333">
        <f>+I850</f>
      </c>
      <c r="K850" s="333">
        <f>(1+$O$5)^(D850/12)*(H850+IF(AND(F850=1,F851=0),$S$4,0))</f>
      </c>
      <c r="L850" s="333">
        <f>(1+$O$5)^(D850/12)*(I850+IF(AND(F850=1,F851=0),0))</f>
      </c>
      <c r="M850" s="333">
        <f>+L850</f>
      </c>
      <c r="N850" s="333">
        <f>L850+K850+M850</f>
      </c>
      <c r="O850" s="170"/>
      <c r="P850" s="7"/>
      <c r="Q850" s="1"/>
      <c r="R850" s="331">
        <f>D850</f>
      </c>
      <c r="S850" s="169"/>
      <c r="T850" s="1"/>
      <c r="U850" s="217"/>
      <c r="V850" s="331">
        <f>+IF(V849=11,12,IF(V849=12,1,V849+1))</f>
      </c>
      <c r="W850" s="331">
        <f>+W849+IF(V849=12,1,0)</f>
      </c>
      <c r="X850" s="555">
        <f>+DATE(W850,V850,1)</f>
        <v>25569.041666666668</v>
      </c>
      <c r="Y850" s="333">
        <f>+_xlfn.IFNA(AN850+AS850+AX850,0)</f>
      </c>
      <c r="Z850" s="333">
        <f>+_xlfn.IFNA(AO850+AT850+AY850,0)</f>
      </c>
      <c r="AA850" s="333">
        <f>Y850*(1+$O$5)^(($B$7-X850)/365.25)</f>
      </c>
      <c r="AB850" s="333">
        <f>Z850*(1+$O$5)^(($B$7-X850)/365.25)</f>
      </c>
      <c r="AC850" s="1"/>
      <c r="AD850" s="1"/>
      <c r="AE850" s="1"/>
      <c r="AF850" s="111">
        <f>+MONTH(E850)&amp;YEAR(E850)</f>
      </c>
      <c r="AG850" s="217">
        <f>+I850</f>
      </c>
      <c r="AH850" s="217">
        <f>+J850</f>
      </c>
      <c r="AI850" s="217">
        <f>+H850</f>
      </c>
      <c r="AJ850" s="111">
        <f>+V850&amp;W850</f>
      </c>
      <c r="AK850" s="217">
        <f>+_xlfn.IFNA(VLOOKUP(AJ850,$AF$7:$AG$1066,2,0),0)</f>
      </c>
      <c r="AL850" s="217">
        <f>+IF(W850&gt;W849,AK850,AL849+AK850)</f>
      </c>
      <c r="AM850" s="217">
        <f>IF(W850&gt;W849,IF(AL850&gt;=$AZ$8,$AZ$8,AL850),IF(OR(AM849=$AZ$8,AM849=0),0,IF(AL850&gt;=$AZ$8,$AZ$8,AL850)))</f>
      </c>
      <c r="AN850" s="748">
        <f>+IF(OR(AM850&gt;AZ849,AM850=0),0,IF(AM850=AL850,AK850,$AZ$7-AL849))</f>
      </c>
      <c r="AO850" s="748">
        <f>+AK850-AN850</f>
      </c>
      <c r="AP850" s="217">
        <f>+_xlfn.IFNA(VLOOKUP(AJ850,$AF$7:$AI$1066,3,0),0)</f>
      </c>
      <c r="AQ850" s="217">
        <f>+IF(W850&gt;W849,AP850,AQ849+AP850)</f>
      </c>
      <c r="AR850" s="217">
        <f>+MAX($AM$2-SUMIF($W$7:$W$1066,W850,$AN$7:$AN$1066),0)</f>
      </c>
      <c r="AS850" s="748">
        <f>+MAX(IF(AQ850&gt;AR850,AR850-AQ849,AP850),0)</f>
      </c>
      <c r="AT850" s="748">
        <f>+AP850-AS850</f>
      </c>
      <c r="AU850" s="217">
        <f>+_xlfn.IFNA(VLOOKUP(AJ850,$AF$7:$AI$1066,4,0),0)</f>
      </c>
      <c r="AV850" s="217">
        <f>+IF(W850&gt;W849,AU850,AV849+AU850)</f>
      </c>
      <c r="AW850" s="217">
        <f>+MAX($AM$2-SUMIF($W$7:$W$1066,W850,$AN$7:$AN$1066)-SUMIF($W$7:$W$1066,W850,$AS$7:$AS$1066),0)</f>
      </c>
      <c r="AX850" s="748">
        <f>+MAX(IF(AV850&gt;AW850,AW850-AV849,AU850),0)</f>
      </c>
      <c r="AY850" s="748">
        <f>+AU850-AX850</f>
      </c>
      <c r="AZ850" s="331">
        <f>+$AM$1+IF($AP$1&gt;$AP$2,$AM$3/2)</f>
      </c>
    </row>
    <row x14ac:dyDescent="0.25" r="851" customHeight="1" ht="18.75">
      <c r="A851" s="1"/>
      <c r="B851" s="7"/>
      <c r="C851" s="170"/>
      <c r="D851" s="331">
        <v>844</v>
      </c>
      <c r="E851" s="544">
        <f>+DATE(YEAR(E850),MONTH(E850)-1,DAY(E850))</f>
        <v>25569.041666666668</v>
      </c>
      <c r="F851" s="333">
        <f>IF(DATE(YEAR($B$6),MONTH($B$6)+1,DAY(1))=E851,1,IF(MONTH(E851)=1,F852*(1+$F$5),F852))</f>
      </c>
      <c r="G851" s="333">
        <f>IF('Simulador - 1º Pilar'!$E$99="Sí",IF('Aportaciones PPE'!$B$13&lt;'Aportaciones PPE'!E851,0,F851*$B$8/12),F851*$B$8/12)</f>
      </c>
      <c r="H851" s="333">
        <f>$H$5*G851</f>
      </c>
      <c r="I851" s="333">
        <f>$I$5*G851</f>
      </c>
      <c r="J851" s="333">
        <f>+I851</f>
      </c>
      <c r="K851" s="333">
        <f>(1+$O$5)^(D851/12)*(H851+IF(AND(F851=1,F852=0),$S$4,0))</f>
      </c>
      <c r="L851" s="333">
        <f>(1+$O$5)^(D851/12)*(I851+IF(AND(F851=1,F852=0),0))</f>
      </c>
      <c r="M851" s="333">
        <f>+L851</f>
      </c>
      <c r="N851" s="333">
        <f>L851+K851+M851</f>
      </c>
      <c r="O851" s="170"/>
      <c r="P851" s="7"/>
      <c r="Q851" s="1"/>
      <c r="R851" s="331">
        <f>D851</f>
      </c>
      <c r="S851" s="169"/>
      <c r="T851" s="1"/>
      <c r="U851" s="217"/>
      <c r="V851" s="331">
        <f>+IF(V850=11,12,IF(V850=12,1,V850+1))</f>
      </c>
      <c r="W851" s="331">
        <f>+W850+IF(V850=12,1,0)</f>
      </c>
      <c r="X851" s="555">
        <f>+DATE(W851,V851,1)</f>
        <v>25569.041666666668</v>
      </c>
      <c r="Y851" s="333">
        <f>+_xlfn.IFNA(AN851+AS851+AX851,0)</f>
      </c>
      <c r="Z851" s="333">
        <f>+_xlfn.IFNA(AO851+AT851+AY851,0)</f>
      </c>
      <c r="AA851" s="333">
        <f>Y851*(1+$O$5)^(($B$7-X851)/365.25)</f>
      </c>
      <c r="AB851" s="333">
        <f>Z851*(1+$O$5)^(($B$7-X851)/365.25)</f>
      </c>
      <c r="AC851" s="1"/>
      <c r="AD851" s="1"/>
      <c r="AE851" s="1"/>
      <c r="AF851" s="111">
        <f>+MONTH(E851)&amp;YEAR(E851)</f>
      </c>
      <c r="AG851" s="217">
        <f>+I851</f>
      </c>
      <c r="AH851" s="217">
        <f>+J851</f>
      </c>
      <c r="AI851" s="217">
        <f>+H851</f>
      </c>
      <c r="AJ851" s="111">
        <f>+V851&amp;W851</f>
      </c>
      <c r="AK851" s="217">
        <f>+_xlfn.IFNA(VLOOKUP(AJ851,$AF$7:$AG$1066,2,0),0)</f>
      </c>
      <c r="AL851" s="217">
        <f>+IF(W851&gt;W850,AK851,AL850+AK851)</f>
      </c>
      <c r="AM851" s="217">
        <f>IF(W851&gt;W850,IF(AL851&gt;=$AZ$8,$AZ$8,AL851),IF(OR(AM850=$AZ$8,AM850=0),0,IF(AL851&gt;=$AZ$8,$AZ$8,AL851)))</f>
      </c>
      <c r="AN851" s="748">
        <f>+IF(OR(AM851&gt;AZ850,AM851=0),0,IF(AM851=AL851,AK851,$AZ$7-AL850))</f>
      </c>
      <c r="AO851" s="748">
        <f>+AK851-AN851</f>
      </c>
      <c r="AP851" s="217">
        <f>+_xlfn.IFNA(VLOOKUP(AJ851,$AF$7:$AI$1066,3,0),0)</f>
      </c>
      <c r="AQ851" s="217">
        <f>+IF(W851&gt;W850,AP851,AQ850+AP851)</f>
      </c>
      <c r="AR851" s="217">
        <f>+MAX($AM$2-SUMIF($W$7:$W$1066,W851,$AN$7:$AN$1066),0)</f>
      </c>
      <c r="AS851" s="748">
        <f>+MAX(IF(AQ851&gt;AR851,AR851-AQ850,AP851),0)</f>
      </c>
      <c r="AT851" s="748">
        <f>+AP851-AS851</f>
      </c>
      <c r="AU851" s="217">
        <f>+_xlfn.IFNA(VLOOKUP(AJ851,$AF$7:$AI$1066,4,0),0)</f>
      </c>
      <c r="AV851" s="217">
        <f>+IF(W851&gt;W850,AU851,AV850+AU851)</f>
      </c>
      <c r="AW851" s="217">
        <f>+MAX($AM$2-SUMIF($W$7:$W$1066,W851,$AN$7:$AN$1066)-SUMIF($W$7:$W$1066,W851,$AS$7:$AS$1066),0)</f>
      </c>
      <c r="AX851" s="748">
        <f>+MAX(IF(AV851&gt;AW851,AW851-AV850,AU851),0)</f>
      </c>
      <c r="AY851" s="748">
        <f>+AU851-AX851</f>
      </c>
      <c r="AZ851" s="331">
        <f>+$AM$1+IF($AP$1&gt;$AP$2,$AM$3/2)</f>
      </c>
    </row>
    <row x14ac:dyDescent="0.25" r="852" customHeight="1" ht="18.75">
      <c r="A852" s="1"/>
      <c r="B852" s="7"/>
      <c r="C852" s="170"/>
      <c r="D852" s="331">
        <v>845</v>
      </c>
      <c r="E852" s="544">
        <f>+DATE(YEAR(E851),MONTH(E851)-1,DAY(E851))</f>
        <v>25569.041666666668</v>
      </c>
      <c r="F852" s="333">
        <f>IF(DATE(YEAR($B$6),MONTH($B$6)+1,DAY(1))=E852,1,IF(MONTH(E852)=1,F853*(1+$F$5),F853))</f>
      </c>
      <c r="G852" s="333">
        <f>IF('Simulador - 1º Pilar'!$E$99="Sí",IF('Aportaciones PPE'!$B$13&lt;'Aportaciones PPE'!E852,0,F852*$B$8/12),F852*$B$8/12)</f>
      </c>
      <c r="H852" s="333">
        <f>$H$5*G852</f>
      </c>
      <c r="I852" s="333">
        <f>$I$5*G852</f>
      </c>
      <c r="J852" s="333">
        <f>+I852</f>
      </c>
      <c r="K852" s="333">
        <f>(1+$O$5)^(D852/12)*(H852+IF(AND(F852=1,F853=0),$S$4,0))</f>
      </c>
      <c r="L852" s="333">
        <f>(1+$O$5)^(D852/12)*(I852+IF(AND(F852=1,F853=0),0))</f>
      </c>
      <c r="M852" s="333">
        <f>+L852</f>
      </c>
      <c r="N852" s="333">
        <f>L852+K852+M852</f>
      </c>
      <c r="O852" s="170"/>
      <c r="P852" s="7"/>
      <c r="Q852" s="1"/>
      <c r="R852" s="331">
        <f>D852</f>
      </c>
      <c r="S852" s="169"/>
      <c r="T852" s="1"/>
      <c r="U852" s="217"/>
      <c r="V852" s="331">
        <f>+IF(V851=11,12,IF(V851=12,1,V851+1))</f>
      </c>
      <c r="W852" s="331">
        <f>+W851+IF(V851=12,1,0)</f>
      </c>
      <c r="X852" s="555">
        <f>+DATE(W852,V852,1)</f>
        <v>25569.041666666668</v>
      </c>
      <c r="Y852" s="333">
        <f>+_xlfn.IFNA(AN852+AS852+AX852,0)</f>
      </c>
      <c r="Z852" s="333">
        <f>+_xlfn.IFNA(AO852+AT852+AY852,0)</f>
      </c>
      <c r="AA852" s="333">
        <f>Y852*(1+$O$5)^(($B$7-X852)/365.25)</f>
      </c>
      <c r="AB852" s="333">
        <f>Z852*(1+$O$5)^(($B$7-X852)/365.25)</f>
      </c>
      <c r="AC852" s="1"/>
      <c r="AD852" s="1"/>
      <c r="AE852" s="1"/>
      <c r="AF852" s="111">
        <f>+MONTH(E852)&amp;YEAR(E852)</f>
      </c>
      <c r="AG852" s="217">
        <f>+I852</f>
      </c>
      <c r="AH852" s="217">
        <f>+J852</f>
      </c>
      <c r="AI852" s="217">
        <f>+H852</f>
      </c>
      <c r="AJ852" s="111">
        <f>+V852&amp;W852</f>
      </c>
      <c r="AK852" s="217">
        <f>+_xlfn.IFNA(VLOOKUP(AJ852,$AF$7:$AG$1066,2,0),0)</f>
      </c>
      <c r="AL852" s="217">
        <f>+IF(W852&gt;W851,AK852,AL851+AK852)</f>
      </c>
      <c r="AM852" s="217">
        <f>IF(W852&gt;W851,IF(AL852&gt;=$AZ$8,$AZ$8,AL852),IF(OR(AM851=$AZ$8,AM851=0),0,IF(AL852&gt;=$AZ$8,$AZ$8,AL852)))</f>
      </c>
      <c r="AN852" s="748">
        <f>+IF(OR(AM852&gt;AZ851,AM852=0),0,IF(AM852=AL852,AK852,$AZ$7-AL851))</f>
      </c>
      <c r="AO852" s="748">
        <f>+AK852-AN852</f>
      </c>
      <c r="AP852" s="217">
        <f>+_xlfn.IFNA(VLOOKUP(AJ852,$AF$7:$AI$1066,3,0),0)</f>
      </c>
      <c r="AQ852" s="217">
        <f>+IF(W852&gt;W851,AP852,AQ851+AP852)</f>
      </c>
      <c r="AR852" s="217">
        <f>+MAX($AM$2-SUMIF($W$7:$W$1066,W852,$AN$7:$AN$1066),0)</f>
      </c>
      <c r="AS852" s="748">
        <f>+MAX(IF(AQ852&gt;AR852,AR852-AQ851,AP852),0)</f>
      </c>
      <c r="AT852" s="748">
        <f>+AP852-AS852</f>
      </c>
      <c r="AU852" s="217">
        <f>+_xlfn.IFNA(VLOOKUP(AJ852,$AF$7:$AI$1066,4,0),0)</f>
      </c>
      <c r="AV852" s="217">
        <f>+IF(W852&gt;W851,AU852,AV851+AU852)</f>
      </c>
      <c r="AW852" s="217">
        <f>+MAX($AM$2-SUMIF($W$7:$W$1066,W852,$AN$7:$AN$1066)-SUMIF($W$7:$W$1066,W852,$AS$7:$AS$1066),0)</f>
      </c>
      <c r="AX852" s="748">
        <f>+MAX(IF(AV852&gt;AW852,AW852-AV851,AU852),0)</f>
      </c>
      <c r="AY852" s="748">
        <f>+AU852-AX852</f>
      </c>
      <c r="AZ852" s="331">
        <f>+$AM$1+IF($AP$1&gt;$AP$2,$AM$3/2)</f>
      </c>
    </row>
    <row x14ac:dyDescent="0.25" r="853" customHeight="1" ht="18.75">
      <c r="A853" s="1"/>
      <c r="B853" s="7"/>
      <c r="C853" s="170"/>
      <c r="D853" s="331">
        <v>846</v>
      </c>
      <c r="E853" s="544">
        <f>+DATE(YEAR(E852),MONTH(E852)-1,DAY(E852))</f>
        <v>25569.041666666668</v>
      </c>
      <c r="F853" s="333">
        <f>IF(DATE(YEAR($B$6),MONTH($B$6)+1,DAY(1))=E853,1,IF(MONTH(E853)=1,F854*(1+$F$5),F854))</f>
      </c>
      <c r="G853" s="333">
        <f>IF('Simulador - 1º Pilar'!$E$99="Sí",IF('Aportaciones PPE'!$B$13&lt;'Aportaciones PPE'!E853,0,F853*$B$8/12),F853*$B$8/12)</f>
      </c>
      <c r="H853" s="333">
        <f>$H$5*G853</f>
      </c>
      <c r="I853" s="333">
        <f>$I$5*G853</f>
      </c>
      <c r="J853" s="333">
        <f>+I853</f>
      </c>
      <c r="K853" s="333">
        <f>(1+$O$5)^(D853/12)*(H853+IF(AND(F853=1,F854=0),$S$4,0))</f>
      </c>
      <c r="L853" s="333">
        <f>(1+$O$5)^(D853/12)*(I853+IF(AND(F853=1,F854=0),0))</f>
      </c>
      <c r="M853" s="333">
        <f>+L853</f>
      </c>
      <c r="N853" s="333">
        <f>L853+K853+M853</f>
      </c>
      <c r="O853" s="170"/>
      <c r="P853" s="7"/>
      <c r="Q853" s="1"/>
      <c r="R853" s="331">
        <f>D853</f>
      </c>
      <c r="S853" s="169"/>
      <c r="T853" s="1"/>
      <c r="U853" s="217"/>
      <c r="V853" s="331">
        <f>+IF(V852=11,12,IF(V852=12,1,V852+1))</f>
      </c>
      <c r="W853" s="331">
        <f>+W852+IF(V852=12,1,0)</f>
      </c>
      <c r="X853" s="555">
        <f>+DATE(W853,V853,1)</f>
        <v>25569.041666666668</v>
      </c>
      <c r="Y853" s="333">
        <f>+_xlfn.IFNA(AN853+AS853+AX853,0)</f>
      </c>
      <c r="Z853" s="333">
        <f>+_xlfn.IFNA(AO853+AT853+AY853,0)</f>
      </c>
      <c r="AA853" s="333">
        <f>Y853*(1+$O$5)^(($B$7-X853)/365.25)</f>
      </c>
      <c r="AB853" s="333">
        <f>Z853*(1+$O$5)^(($B$7-X853)/365.25)</f>
      </c>
      <c r="AC853" s="1"/>
      <c r="AD853" s="1"/>
      <c r="AE853" s="1"/>
      <c r="AF853" s="111">
        <f>+MONTH(E853)&amp;YEAR(E853)</f>
      </c>
      <c r="AG853" s="217">
        <f>+I853</f>
      </c>
      <c r="AH853" s="217">
        <f>+J853</f>
      </c>
      <c r="AI853" s="217">
        <f>+H853</f>
      </c>
      <c r="AJ853" s="111">
        <f>+V853&amp;W853</f>
      </c>
      <c r="AK853" s="217">
        <f>+_xlfn.IFNA(VLOOKUP(AJ853,$AF$7:$AG$1066,2,0),0)</f>
      </c>
      <c r="AL853" s="217">
        <f>+IF(W853&gt;W852,AK853,AL852+AK853)</f>
      </c>
      <c r="AM853" s="217">
        <f>IF(W853&gt;W852,IF(AL853&gt;=$AZ$8,$AZ$8,AL853),IF(OR(AM852=$AZ$8,AM852=0),0,IF(AL853&gt;=$AZ$8,$AZ$8,AL853)))</f>
      </c>
      <c r="AN853" s="748">
        <f>+IF(OR(AM853&gt;AZ852,AM853=0),0,IF(AM853=AL853,AK853,$AZ$7-AL852))</f>
      </c>
      <c r="AO853" s="748">
        <f>+AK853-AN853</f>
      </c>
      <c r="AP853" s="217">
        <f>+_xlfn.IFNA(VLOOKUP(AJ853,$AF$7:$AI$1066,3,0),0)</f>
      </c>
      <c r="AQ853" s="217">
        <f>+IF(W853&gt;W852,AP853,AQ852+AP853)</f>
      </c>
      <c r="AR853" s="217">
        <f>+MAX($AM$2-SUMIF($W$7:$W$1066,W853,$AN$7:$AN$1066),0)</f>
      </c>
      <c r="AS853" s="748">
        <f>+MAX(IF(AQ853&gt;AR853,AR853-AQ852,AP853),0)</f>
      </c>
      <c r="AT853" s="748">
        <f>+AP853-AS853</f>
      </c>
      <c r="AU853" s="217">
        <f>+_xlfn.IFNA(VLOOKUP(AJ853,$AF$7:$AI$1066,4,0),0)</f>
      </c>
      <c r="AV853" s="217">
        <f>+IF(W853&gt;W852,AU853,AV852+AU853)</f>
      </c>
      <c r="AW853" s="217">
        <f>+MAX($AM$2-SUMIF($W$7:$W$1066,W853,$AN$7:$AN$1066)-SUMIF($W$7:$W$1066,W853,$AS$7:$AS$1066),0)</f>
      </c>
      <c r="AX853" s="748">
        <f>+MAX(IF(AV853&gt;AW853,AW853-AV852,AU853),0)</f>
      </c>
      <c r="AY853" s="748">
        <f>+AU853-AX853</f>
      </c>
      <c r="AZ853" s="331">
        <f>+$AM$1+IF($AP$1&gt;$AP$2,$AM$3/2)</f>
      </c>
    </row>
    <row x14ac:dyDescent="0.25" r="854" customHeight="1" ht="18.75">
      <c r="A854" s="1"/>
      <c r="B854" s="7"/>
      <c r="C854" s="170"/>
      <c r="D854" s="331">
        <v>847</v>
      </c>
      <c r="E854" s="544">
        <f>+DATE(YEAR(E853),MONTH(E853)-1,DAY(E853))</f>
        <v>25569.041666666668</v>
      </c>
      <c r="F854" s="333">
        <f>IF(DATE(YEAR($B$6),MONTH($B$6)+1,DAY(1))=E854,1,IF(MONTH(E854)=1,F855*(1+$F$5),F855))</f>
      </c>
      <c r="G854" s="333">
        <f>IF('Simulador - 1º Pilar'!$E$99="Sí",IF('Aportaciones PPE'!$B$13&lt;'Aportaciones PPE'!E854,0,F854*$B$8/12),F854*$B$8/12)</f>
      </c>
      <c r="H854" s="333">
        <f>$H$5*G854</f>
      </c>
      <c r="I854" s="333">
        <f>$I$5*G854</f>
      </c>
      <c r="J854" s="333">
        <f>+I854</f>
      </c>
      <c r="K854" s="333">
        <f>(1+$O$5)^(D854/12)*(H854+IF(AND(F854=1,F855=0),$S$4,0))</f>
      </c>
      <c r="L854" s="333">
        <f>(1+$O$5)^(D854/12)*(I854+IF(AND(F854=1,F855=0),0))</f>
      </c>
      <c r="M854" s="333">
        <f>+L854</f>
      </c>
      <c r="N854" s="333">
        <f>L854+K854+M854</f>
      </c>
      <c r="O854" s="170"/>
      <c r="P854" s="7"/>
      <c r="Q854" s="1"/>
      <c r="R854" s="331">
        <f>D854</f>
      </c>
      <c r="S854" s="169"/>
      <c r="T854" s="1"/>
      <c r="U854" s="217"/>
      <c r="V854" s="331">
        <f>+IF(V853=11,12,IF(V853=12,1,V853+1))</f>
      </c>
      <c r="W854" s="331">
        <f>+W853+IF(V853=12,1,0)</f>
      </c>
      <c r="X854" s="555">
        <f>+DATE(W854,V854,1)</f>
        <v>25569.041666666668</v>
      </c>
      <c r="Y854" s="333">
        <f>+_xlfn.IFNA(AN854+AS854+AX854,0)</f>
      </c>
      <c r="Z854" s="333">
        <f>+_xlfn.IFNA(AO854+AT854+AY854,0)</f>
      </c>
      <c r="AA854" s="333">
        <f>Y854*(1+$O$5)^(($B$7-X854)/365.25)</f>
      </c>
      <c r="AB854" s="333">
        <f>Z854*(1+$O$5)^(($B$7-X854)/365.25)</f>
      </c>
      <c r="AC854" s="1"/>
      <c r="AD854" s="1"/>
      <c r="AE854" s="1"/>
      <c r="AF854" s="111">
        <f>+MONTH(E854)&amp;YEAR(E854)</f>
      </c>
      <c r="AG854" s="217">
        <f>+I854</f>
      </c>
      <c r="AH854" s="217">
        <f>+J854</f>
      </c>
      <c r="AI854" s="217">
        <f>+H854</f>
      </c>
      <c r="AJ854" s="111">
        <f>+V854&amp;W854</f>
      </c>
      <c r="AK854" s="217">
        <f>+_xlfn.IFNA(VLOOKUP(AJ854,$AF$7:$AG$1066,2,0),0)</f>
      </c>
      <c r="AL854" s="217">
        <f>+IF(W854&gt;W853,AK854,AL853+AK854)</f>
      </c>
      <c r="AM854" s="217">
        <f>IF(W854&gt;W853,IF(AL854&gt;=$AZ$8,$AZ$8,AL854),IF(OR(AM853=$AZ$8,AM853=0),0,IF(AL854&gt;=$AZ$8,$AZ$8,AL854)))</f>
      </c>
      <c r="AN854" s="748">
        <f>+IF(OR(AM854&gt;AZ853,AM854=0),0,IF(AM854=AL854,AK854,$AZ$7-AL853))</f>
      </c>
      <c r="AO854" s="748">
        <f>+AK854-AN854</f>
      </c>
      <c r="AP854" s="217">
        <f>+_xlfn.IFNA(VLOOKUP(AJ854,$AF$7:$AI$1066,3,0),0)</f>
      </c>
      <c r="AQ854" s="217">
        <f>+IF(W854&gt;W853,AP854,AQ853+AP854)</f>
      </c>
      <c r="AR854" s="217">
        <f>+MAX($AM$2-SUMIF($W$7:$W$1066,W854,$AN$7:$AN$1066),0)</f>
      </c>
      <c r="AS854" s="748">
        <f>+MAX(IF(AQ854&gt;AR854,AR854-AQ853,AP854),0)</f>
      </c>
      <c r="AT854" s="748">
        <f>+AP854-AS854</f>
      </c>
      <c r="AU854" s="217">
        <f>+_xlfn.IFNA(VLOOKUP(AJ854,$AF$7:$AI$1066,4,0),0)</f>
      </c>
      <c r="AV854" s="217">
        <f>+IF(W854&gt;W853,AU854,AV853+AU854)</f>
      </c>
      <c r="AW854" s="217">
        <f>+MAX($AM$2-SUMIF($W$7:$W$1066,W854,$AN$7:$AN$1066)-SUMIF($W$7:$W$1066,W854,$AS$7:$AS$1066),0)</f>
      </c>
      <c r="AX854" s="748">
        <f>+MAX(IF(AV854&gt;AW854,AW854-AV853,AU854),0)</f>
      </c>
      <c r="AY854" s="748">
        <f>+AU854-AX854</f>
      </c>
      <c r="AZ854" s="331">
        <f>+$AM$1+IF($AP$1&gt;$AP$2,$AM$3/2)</f>
      </c>
    </row>
    <row x14ac:dyDescent="0.25" r="855" customHeight="1" ht="18.75">
      <c r="A855" s="1"/>
      <c r="B855" s="7"/>
      <c r="C855" s="170"/>
      <c r="D855" s="331">
        <v>848</v>
      </c>
      <c r="E855" s="544">
        <f>+DATE(YEAR(E854),MONTH(E854)-1,DAY(E854))</f>
        <v>25569.041666666668</v>
      </c>
      <c r="F855" s="333">
        <f>IF(DATE(YEAR($B$6),MONTH($B$6)+1,DAY(1))=E855,1,IF(MONTH(E855)=1,F856*(1+$F$5),F856))</f>
      </c>
      <c r="G855" s="333">
        <f>IF('Simulador - 1º Pilar'!$E$99="Sí",IF('Aportaciones PPE'!$B$13&lt;'Aportaciones PPE'!E855,0,F855*$B$8/12),F855*$B$8/12)</f>
      </c>
      <c r="H855" s="333">
        <f>$H$5*G855</f>
      </c>
      <c r="I855" s="333">
        <f>$I$5*G855</f>
      </c>
      <c r="J855" s="333">
        <f>+I855</f>
      </c>
      <c r="K855" s="333">
        <f>(1+$O$5)^(D855/12)*(H855+IF(AND(F855=1,F856=0),$S$4,0))</f>
      </c>
      <c r="L855" s="333">
        <f>(1+$O$5)^(D855/12)*(I855+IF(AND(F855=1,F856=0),0))</f>
      </c>
      <c r="M855" s="333">
        <f>+L855</f>
      </c>
      <c r="N855" s="333">
        <f>L855+K855+M855</f>
      </c>
      <c r="O855" s="170"/>
      <c r="P855" s="7"/>
      <c r="Q855" s="1"/>
      <c r="R855" s="331">
        <f>D855</f>
      </c>
      <c r="S855" s="169"/>
      <c r="T855" s="1"/>
      <c r="U855" s="217"/>
      <c r="V855" s="331">
        <f>+IF(V854=11,12,IF(V854=12,1,V854+1))</f>
      </c>
      <c r="W855" s="331">
        <f>+W854+IF(V854=12,1,0)</f>
      </c>
      <c r="X855" s="555">
        <f>+DATE(W855,V855,1)</f>
        <v>25569.041666666668</v>
      </c>
      <c r="Y855" s="333">
        <f>+_xlfn.IFNA(AN855+AS855+AX855,0)</f>
      </c>
      <c r="Z855" s="333">
        <f>+_xlfn.IFNA(AO855+AT855+AY855,0)</f>
      </c>
      <c r="AA855" s="333">
        <f>Y855*(1+$O$5)^(($B$7-X855)/365.25)</f>
      </c>
      <c r="AB855" s="333">
        <f>Z855*(1+$O$5)^(($B$7-X855)/365.25)</f>
      </c>
      <c r="AC855" s="1"/>
      <c r="AD855" s="1"/>
      <c r="AE855" s="1"/>
      <c r="AF855" s="111">
        <f>+MONTH(E855)&amp;YEAR(E855)</f>
      </c>
      <c r="AG855" s="217">
        <f>+I855</f>
      </c>
      <c r="AH855" s="217">
        <f>+J855</f>
      </c>
      <c r="AI855" s="217">
        <f>+H855</f>
      </c>
      <c r="AJ855" s="111">
        <f>+V855&amp;W855</f>
      </c>
      <c r="AK855" s="217">
        <f>+_xlfn.IFNA(VLOOKUP(AJ855,$AF$7:$AG$1066,2,0),0)</f>
      </c>
      <c r="AL855" s="217">
        <f>+IF(W855&gt;W854,AK855,AL854+AK855)</f>
      </c>
      <c r="AM855" s="217">
        <f>IF(W855&gt;W854,IF(AL855&gt;=$AZ$8,$AZ$8,AL855),IF(OR(AM854=$AZ$8,AM854=0),0,IF(AL855&gt;=$AZ$8,$AZ$8,AL855)))</f>
      </c>
      <c r="AN855" s="748">
        <f>+IF(OR(AM855&gt;AZ854,AM855=0),0,IF(AM855=AL855,AK855,$AZ$7-AL854))</f>
      </c>
      <c r="AO855" s="748">
        <f>+AK855-AN855</f>
      </c>
      <c r="AP855" s="217">
        <f>+_xlfn.IFNA(VLOOKUP(AJ855,$AF$7:$AI$1066,3,0),0)</f>
      </c>
      <c r="AQ855" s="217">
        <f>+IF(W855&gt;W854,AP855,AQ854+AP855)</f>
      </c>
      <c r="AR855" s="217">
        <f>+MAX($AM$2-SUMIF($W$7:$W$1066,W855,$AN$7:$AN$1066),0)</f>
      </c>
      <c r="AS855" s="748">
        <f>+MAX(IF(AQ855&gt;AR855,AR855-AQ854,AP855),0)</f>
      </c>
      <c r="AT855" s="748">
        <f>+AP855-AS855</f>
      </c>
      <c r="AU855" s="217">
        <f>+_xlfn.IFNA(VLOOKUP(AJ855,$AF$7:$AI$1066,4,0),0)</f>
      </c>
      <c r="AV855" s="217">
        <f>+IF(W855&gt;W854,AU855,AV854+AU855)</f>
      </c>
      <c r="AW855" s="217">
        <f>+MAX($AM$2-SUMIF($W$7:$W$1066,W855,$AN$7:$AN$1066)-SUMIF($W$7:$W$1066,W855,$AS$7:$AS$1066),0)</f>
      </c>
      <c r="AX855" s="748">
        <f>+MAX(IF(AV855&gt;AW855,AW855-AV854,AU855),0)</f>
      </c>
      <c r="AY855" s="748">
        <f>+AU855-AX855</f>
      </c>
      <c r="AZ855" s="331">
        <f>+$AM$1+IF($AP$1&gt;$AP$2,$AM$3/2)</f>
      </c>
    </row>
    <row x14ac:dyDescent="0.25" r="856" customHeight="1" ht="18.75">
      <c r="A856" s="1"/>
      <c r="B856" s="7"/>
      <c r="C856" s="170"/>
      <c r="D856" s="331">
        <v>849</v>
      </c>
      <c r="E856" s="544">
        <f>+DATE(YEAR(E855),MONTH(E855)-1,DAY(E855))</f>
        <v>25569.041666666668</v>
      </c>
      <c r="F856" s="333">
        <f>IF(DATE(YEAR($B$6),MONTH($B$6)+1,DAY(1))=E856,1,IF(MONTH(E856)=1,F857*(1+$F$5),F857))</f>
      </c>
      <c r="G856" s="333">
        <f>IF('Simulador - 1º Pilar'!$E$99="Sí",IF('Aportaciones PPE'!$B$13&lt;'Aportaciones PPE'!E856,0,F856*$B$8/12),F856*$B$8/12)</f>
      </c>
      <c r="H856" s="333">
        <f>$H$5*G856</f>
      </c>
      <c r="I856" s="333">
        <f>$I$5*G856</f>
      </c>
      <c r="J856" s="333">
        <f>+I856</f>
      </c>
      <c r="K856" s="333">
        <f>(1+$O$5)^(D856/12)*(H856+IF(AND(F856=1,F857=0),$S$4,0))</f>
      </c>
      <c r="L856" s="333">
        <f>(1+$O$5)^(D856/12)*(I856+IF(AND(F856=1,F857=0),0))</f>
      </c>
      <c r="M856" s="333">
        <f>+L856</f>
      </c>
      <c r="N856" s="333">
        <f>L856+K856+M856</f>
      </c>
      <c r="O856" s="170"/>
      <c r="P856" s="7"/>
      <c r="Q856" s="1"/>
      <c r="R856" s="331">
        <f>D856</f>
      </c>
      <c r="S856" s="169"/>
      <c r="T856" s="1"/>
      <c r="U856" s="217"/>
      <c r="V856" s="331">
        <f>+IF(V855=11,12,IF(V855=12,1,V855+1))</f>
      </c>
      <c r="W856" s="331">
        <f>+W855+IF(V855=12,1,0)</f>
      </c>
      <c r="X856" s="555">
        <f>+DATE(W856,V856,1)</f>
        <v>25569.041666666668</v>
      </c>
      <c r="Y856" s="333">
        <f>+_xlfn.IFNA(AN856+AS856+AX856,0)</f>
      </c>
      <c r="Z856" s="333">
        <f>+_xlfn.IFNA(AO856+AT856+AY856,0)</f>
      </c>
      <c r="AA856" s="333">
        <f>Y856*(1+$O$5)^(($B$7-X856)/365.25)</f>
      </c>
      <c r="AB856" s="333">
        <f>Z856*(1+$O$5)^(($B$7-X856)/365.25)</f>
      </c>
      <c r="AC856" s="1"/>
      <c r="AD856" s="1"/>
      <c r="AE856" s="1"/>
      <c r="AF856" s="111">
        <f>+MONTH(E856)&amp;YEAR(E856)</f>
      </c>
      <c r="AG856" s="217">
        <f>+I856</f>
      </c>
      <c r="AH856" s="217">
        <f>+J856</f>
      </c>
      <c r="AI856" s="217">
        <f>+H856</f>
      </c>
      <c r="AJ856" s="111">
        <f>+V856&amp;W856</f>
      </c>
      <c r="AK856" s="217">
        <f>+_xlfn.IFNA(VLOOKUP(AJ856,$AF$7:$AG$1066,2,0),0)</f>
      </c>
      <c r="AL856" s="217">
        <f>+IF(W856&gt;W855,AK856,AL855+AK856)</f>
      </c>
      <c r="AM856" s="217">
        <f>IF(W856&gt;W855,IF(AL856&gt;=$AZ$8,$AZ$8,AL856),IF(OR(AM855=$AZ$8,AM855=0),0,IF(AL856&gt;=$AZ$8,$AZ$8,AL856)))</f>
      </c>
      <c r="AN856" s="748">
        <f>+IF(OR(AM856&gt;AZ855,AM856=0),0,IF(AM856=AL856,AK856,$AZ$7-AL855))</f>
      </c>
      <c r="AO856" s="748">
        <f>+AK856-AN856</f>
      </c>
      <c r="AP856" s="217">
        <f>+_xlfn.IFNA(VLOOKUP(AJ856,$AF$7:$AI$1066,3,0),0)</f>
      </c>
      <c r="AQ856" s="217">
        <f>+IF(W856&gt;W855,AP856,AQ855+AP856)</f>
      </c>
      <c r="AR856" s="217">
        <f>+MAX($AM$2-SUMIF($W$7:$W$1066,W856,$AN$7:$AN$1066),0)</f>
      </c>
      <c r="AS856" s="748">
        <f>+MAX(IF(AQ856&gt;AR856,AR856-AQ855,AP856),0)</f>
      </c>
      <c r="AT856" s="748">
        <f>+AP856-AS856</f>
      </c>
      <c r="AU856" s="217">
        <f>+_xlfn.IFNA(VLOOKUP(AJ856,$AF$7:$AI$1066,4,0),0)</f>
      </c>
      <c r="AV856" s="217">
        <f>+IF(W856&gt;W855,AU856,AV855+AU856)</f>
      </c>
      <c r="AW856" s="217">
        <f>+MAX($AM$2-SUMIF($W$7:$W$1066,W856,$AN$7:$AN$1066)-SUMIF($W$7:$W$1066,W856,$AS$7:$AS$1066),0)</f>
      </c>
      <c r="AX856" s="748">
        <f>+MAX(IF(AV856&gt;AW856,AW856-AV855,AU856),0)</f>
      </c>
      <c r="AY856" s="748">
        <f>+AU856-AX856</f>
      </c>
      <c r="AZ856" s="331">
        <f>+$AM$1+IF($AP$1&gt;$AP$2,$AM$3/2)</f>
      </c>
    </row>
    <row x14ac:dyDescent="0.25" r="857" customHeight="1" ht="18.75">
      <c r="A857" s="1"/>
      <c r="B857" s="7"/>
      <c r="C857" s="170"/>
      <c r="D857" s="331">
        <v>850</v>
      </c>
      <c r="E857" s="544">
        <f>+DATE(YEAR(E856),MONTH(E856)-1,DAY(E856))</f>
        <v>25569.041666666668</v>
      </c>
      <c r="F857" s="333">
        <f>IF(DATE(YEAR($B$6),MONTH($B$6)+1,DAY(1))=E857,1,IF(MONTH(E857)=1,F858*(1+$F$5),F858))</f>
      </c>
      <c r="G857" s="333">
        <f>IF('Simulador - 1º Pilar'!$E$99="Sí",IF('Aportaciones PPE'!$B$13&lt;'Aportaciones PPE'!E857,0,F857*$B$8/12),F857*$B$8/12)</f>
      </c>
      <c r="H857" s="333">
        <f>$H$5*G857</f>
      </c>
      <c r="I857" s="333">
        <f>$I$5*G857</f>
      </c>
      <c r="J857" s="333">
        <f>+I857</f>
      </c>
      <c r="K857" s="333">
        <f>(1+$O$5)^(D857/12)*(H857+IF(AND(F857=1,F858=0),$S$4,0))</f>
      </c>
      <c r="L857" s="333">
        <f>(1+$O$5)^(D857/12)*(I857+IF(AND(F857=1,F858=0),0))</f>
      </c>
      <c r="M857" s="333">
        <f>+L857</f>
      </c>
      <c r="N857" s="333">
        <f>L857+K857+M857</f>
      </c>
      <c r="O857" s="170"/>
      <c r="P857" s="7"/>
      <c r="Q857" s="1"/>
      <c r="R857" s="331">
        <f>D857</f>
      </c>
      <c r="S857" s="169"/>
      <c r="T857" s="1"/>
      <c r="U857" s="217"/>
      <c r="V857" s="331">
        <f>+IF(V856=11,12,IF(V856=12,1,V856+1))</f>
      </c>
      <c r="W857" s="331">
        <f>+W856+IF(V856=12,1,0)</f>
      </c>
      <c r="X857" s="555">
        <f>+DATE(W857,V857,1)</f>
        <v>25569.041666666668</v>
      </c>
      <c r="Y857" s="333">
        <f>+_xlfn.IFNA(AN857+AS857+AX857,0)</f>
      </c>
      <c r="Z857" s="333">
        <f>+_xlfn.IFNA(AO857+AT857+AY857,0)</f>
      </c>
      <c r="AA857" s="333">
        <f>Y857*(1+$O$5)^(($B$7-X857)/365.25)</f>
      </c>
      <c r="AB857" s="333">
        <f>Z857*(1+$O$5)^(($B$7-X857)/365.25)</f>
      </c>
      <c r="AC857" s="1"/>
      <c r="AD857" s="1"/>
      <c r="AE857" s="1"/>
      <c r="AF857" s="111">
        <f>+MONTH(E857)&amp;YEAR(E857)</f>
      </c>
      <c r="AG857" s="217">
        <f>+I857</f>
      </c>
      <c r="AH857" s="217">
        <f>+J857</f>
      </c>
      <c r="AI857" s="217">
        <f>+H857</f>
      </c>
      <c r="AJ857" s="111">
        <f>+V857&amp;W857</f>
      </c>
      <c r="AK857" s="217">
        <f>+_xlfn.IFNA(VLOOKUP(AJ857,$AF$7:$AG$1066,2,0),0)</f>
      </c>
      <c r="AL857" s="217">
        <f>+IF(W857&gt;W856,AK857,AL856+AK857)</f>
      </c>
      <c r="AM857" s="217">
        <f>IF(W857&gt;W856,IF(AL857&gt;=$AZ$8,$AZ$8,AL857),IF(OR(AM856=$AZ$8,AM856=0),0,IF(AL857&gt;=$AZ$8,$AZ$8,AL857)))</f>
      </c>
      <c r="AN857" s="748">
        <f>+IF(OR(AM857&gt;AZ856,AM857=0),0,IF(AM857=AL857,AK857,$AZ$7-AL856))</f>
      </c>
      <c r="AO857" s="748">
        <f>+AK857-AN857</f>
      </c>
      <c r="AP857" s="217">
        <f>+_xlfn.IFNA(VLOOKUP(AJ857,$AF$7:$AI$1066,3,0),0)</f>
      </c>
      <c r="AQ857" s="217">
        <f>+IF(W857&gt;W856,AP857,AQ856+AP857)</f>
      </c>
      <c r="AR857" s="217">
        <f>+MAX($AM$2-SUMIF($W$7:$W$1066,W857,$AN$7:$AN$1066),0)</f>
      </c>
      <c r="AS857" s="748">
        <f>+MAX(IF(AQ857&gt;AR857,AR857-AQ856,AP857),0)</f>
      </c>
      <c r="AT857" s="748">
        <f>+AP857-AS857</f>
      </c>
      <c r="AU857" s="217">
        <f>+_xlfn.IFNA(VLOOKUP(AJ857,$AF$7:$AI$1066,4,0),0)</f>
      </c>
      <c r="AV857" s="217">
        <f>+IF(W857&gt;W856,AU857,AV856+AU857)</f>
      </c>
      <c r="AW857" s="217">
        <f>+MAX($AM$2-SUMIF($W$7:$W$1066,W857,$AN$7:$AN$1066)-SUMIF($W$7:$W$1066,W857,$AS$7:$AS$1066),0)</f>
      </c>
      <c r="AX857" s="748">
        <f>+MAX(IF(AV857&gt;AW857,AW857-AV856,AU857),0)</f>
      </c>
      <c r="AY857" s="748">
        <f>+AU857-AX857</f>
      </c>
      <c r="AZ857" s="331">
        <f>+$AM$1+IF($AP$1&gt;$AP$2,$AM$3/2)</f>
      </c>
    </row>
    <row x14ac:dyDescent="0.25" r="858" customHeight="1" ht="18.75">
      <c r="A858" s="1"/>
      <c r="B858" s="7"/>
      <c r="C858" s="170"/>
      <c r="D858" s="331">
        <v>851</v>
      </c>
      <c r="E858" s="544">
        <f>+DATE(YEAR(E857),MONTH(E857)-1,DAY(E857))</f>
        <v>25569.041666666668</v>
      </c>
      <c r="F858" s="333">
        <f>IF(DATE(YEAR($B$6),MONTH($B$6)+1,DAY(1))=E858,1,IF(MONTH(E858)=1,F859*(1+$F$5),F859))</f>
      </c>
      <c r="G858" s="333">
        <f>IF('Simulador - 1º Pilar'!$E$99="Sí",IF('Aportaciones PPE'!$B$13&lt;'Aportaciones PPE'!E858,0,F858*$B$8/12),F858*$B$8/12)</f>
      </c>
      <c r="H858" s="333">
        <f>$H$5*G858</f>
      </c>
      <c r="I858" s="333">
        <f>$I$5*G858</f>
      </c>
      <c r="J858" s="333">
        <f>+I858</f>
      </c>
      <c r="K858" s="333">
        <f>(1+$O$5)^(D858/12)*(H858+IF(AND(F858=1,F859=0),$S$4,0))</f>
      </c>
      <c r="L858" s="333">
        <f>(1+$O$5)^(D858/12)*(I858+IF(AND(F858=1,F859=0),0))</f>
      </c>
      <c r="M858" s="333">
        <f>+L858</f>
      </c>
      <c r="N858" s="333">
        <f>L858+K858+M858</f>
      </c>
      <c r="O858" s="170"/>
      <c r="P858" s="7"/>
      <c r="Q858" s="1"/>
      <c r="R858" s="331">
        <f>D858</f>
      </c>
      <c r="S858" s="169"/>
      <c r="T858" s="1"/>
      <c r="U858" s="217"/>
      <c r="V858" s="331">
        <f>+IF(V857=11,12,IF(V857=12,1,V857+1))</f>
      </c>
      <c r="W858" s="331">
        <f>+W857+IF(V857=12,1,0)</f>
      </c>
      <c r="X858" s="555">
        <f>+DATE(W858,V858,1)</f>
        <v>25569.041666666668</v>
      </c>
      <c r="Y858" s="333">
        <f>+_xlfn.IFNA(AN858+AS858+AX858,0)</f>
      </c>
      <c r="Z858" s="333">
        <f>+_xlfn.IFNA(AO858+AT858+AY858,0)</f>
      </c>
      <c r="AA858" s="333">
        <f>Y858*(1+$O$5)^(($B$7-X858)/365.25)</f>
      </c>
      <c r="AB858" s="333">
        <f>Z858*(1+$O$5)^(($B$7-X858)/365.25)</f>
      </c>
      <c r="AC858" s="1"/>
      <c r="AD858" s="1"/>
      <c r="AE858" s="1"/>
      <c r="AF858" s="111">
        <f>+MONTH(E858)&amp;YEAR(E858)</f>
      </c>
      <c r="AG858" s="217">
        <f>+I858</f>
      </c>
      <c r="AH858" s="217">
        <f>+J858</f>
      </c>
      <c r="AI858" s="217">
        <f>+H858</f>
      </c>
      <c r="AJ858" s="111">
        <f>+V858&amp;W858</f>
      </c>
      <c r="AK858" s="217">
        <f>+_xlfn.IFNA(VLOOKUP(AJ858,$AF$7:$AG$1066,2,0),0)</f>
      </c>
      <c r="AL858" s="217">
        <f>+IF(W858&gt;W857,AK858,AL857+AK858)</f>
      </c>
      <c r="AM858" s="217">
        <f>IF(W858&gt;W857,IF(AL858&gt;=$AZ$8,$AZ$8,AL858),IF(OR(AM857=$AZ$8,AM857=0),0,IF(AL858&gt;=$AZ$8,$AZ$8,AL858)))</f>
      </c>
      <c r="AN858" s="748">
        <f>+IF(OR(AM858&gt;AZ857,AM858=0),0,IF(AM858=AL858,AK858,$AZ$7-AL857))</f>
      </c>
      <c r="AO858" s="748">
        <f>+AK858-AN858</f>
      </c>
      <c r="AP858" s="217">
        <f>+_xlfn.IFNA(VLOOKUP(AJ858,$AF$7:$AI$1066,3,0),0)</f>
      </c>
      <c r="AQ858" s="217">
        <f>+IF(W858&gt;W857,AP858,AQ857+AP858)</f>
      </c>
      <c r="AR858" s="217">
        <f>+MAX($AM$2-SUMIF($W$7:$W$1066,W858,$AN$7:$AN$1066),0)</f>
      </c>
      <c r="AS858" s="748">
        <f>+MAX(IF(AQ858&gt;AR858,AR858-AQ857,AP858),0)</f>
      </c>
      <c r="AT858" s="748">
        <f>+AP858-AS858</f>
      </c>
      <c r="AU858" s="217">
        <f>+_xlfn.IFNA(VLOOKUP(AJ858,$AF$7:$AI$1066,4,0),0)</f>
      </c>
      <c r="AV858" s="217">
        <f>+IF(W858&gt;W857,AU858,AV857+AU858)</f>
      </c>
      <c r="AW858" s="217">
        <f>+MAX($AM$2-SUMIF($W$7:$W$1066,W858,$AN$7:$AN$1066)-SUMIF($W$7:$W$1066,W858,$AS$7:$AS$1066),0)</f>
      </c>
      <c r="AX858" s="748">
        <f>+MAX(IF(AV858&gt;AW858,AW858-AV857,AU858),0)</f>
      </c>
      <c r="AY858" s="748">
        <f>+AU858-AX858</f>
      </c>
      <c r="AZ858" s="331">
        <f>+$AM$1+IF($AP$1&gt;$AP$2,$AM$3/2)</f>
      </c>
    </row>
    <row x14ac:dyDescent="0.25" r="859" customHeight="1" ht="18.75">
      <c r="A859" s="1"/>
      <c r="B859" s="7"/>
      <c r="C859" s="170"/>
      <c r="D859" s="331">
        <v>852</v>
      </c>
      <c r="E859" s="544">
        <f>+DATE(YEAR(E858),MONTH(E858)-1,DAY(E858))</f>
        <v>25569.041666666668</v>
      </c>
      <c r="F859" s="333">
        <f>IF(DATE(YEAR($B$6),MONTH($B$6)+1,DAY(1))=E859,1,IF(MONTH(E859)=1,F860*(1+$F$5),F860))</f>
      </c>
      <c r="G859" s="333">
        <f>IF('Simulador - 1º Pilar'!$E$99="Sí",IF('Aportaciones PPE'!$B$13&lt;'Aportaciones PPE'!E859,0,F859*$B$8/12),F859*$B$8/12)</f>
      </c>
      <c r="H859" s="333">
        <f>$H$5*G859</f>
      </c>
      <c r="I859" s="333">
        <f>$I$5*G859</f>
      </c>
      <c r="J859" s="333">
        <f>+I859</f>
      </c>
      <c r="K859" s="333">
        <f>(1+$O$5)^(D859/12)*(H859+IF(AND(F859=1,F860=0),$S$4,0))</f>
      </c>
      <c r="L859" s="333">
        <f>(1+$O$5)^(D859/12)*(I859+IF(AND(F859=1,F860=0),0))</f>
      </c>
      <c r="M859" s="333">
        <f>+L859</f>
      </c>
      <c r="N859" s="333">
        <f>L859+K859+M859</f>
      </c>
      <c r="O859" s="170"/>
      <c r="P859" s="7"/>
      <c r="Q859" s="1"/>
      <c r="R859" s="331">
        <f>D859</f>
      </c>
      <c r="S859" s="169"/>
      <c r="T859" s="1"/>
      <c r="U859" s="217"/>
      <c r="V859" s="331">
        <f>+IF(V858=11,12,IF(V858=12,1,V858+1))</f>
      </c>
      <c r="W859" s="331">
        <f>+W858+IF(V858=12,1,0)</f>
      </c>
      <c r="X859" s="555">
        <f>+DATE(W859,V859,1)</f>
        <v>25569.041666666668</v>
      </c>
      <c r="Y859" s="333">
        <f>+_xlfn.IFNA(AN859+AS859+AX859,0)</f>
      </c>
      <c r="Z859" s="333">
        <f>+_xlfn.IFNA(AO859+AT859+AY859,0)</f>
      </c>
      <c r="AA859" s="333">
        <f>Y859*(1+$O$5)^(($B$7-X859)/365.25)</f>
      </c>
      <c r="AB859" s="333">
        <f>Z859*(1+$O$5)^(($B$7-X859)/365.25)</f>
      </c>
      <c r="AC859" s="1"/>
      <c r="AD859" s="1"/>
      <c r="AE859" s="1"/>
      <c r="AF859" s="111">
        <f>+MONTH(E859)&amp;YEAR(E859)</f>
      </c>
      <c r="AG859" s="217">
        <f>+I859</f>
      </c>
      <c r="AH859" s="217">
        <f>+J859</f>
      </c>
      <c r="AI859" s="217">
        <f>+H859</f>
      </c>
      <c r="AJ859" s="111">
        <f>+V859&amp;W859</f>
      </c>
      <c r="AK859" s="217">
        <f>+_xlfn.IFNA(VLOOKUP(AJ859,$AF$7:$AG$1066,2,0),0)</f>
      </c>
      <c r="AL859" s="217">
        <f>+IF(W859&gt;W858,AK859,AL858+AK859)</f>
      </c>
      <c r="AM859" s="217">
        <f>IF(W859&gt;W858,IF(AL859&gt;=$AZ$8,$AZ$8,AL859),IF(OR(AM858=$AZ$8,AM858=0),0,IF(AL859&gt;=$AZ$8,$AZ$8,AL859)))</f>
      </c>
      <c r="AN859" s="748">
        <f>+IF(OR(AM859&gt;AZ858,AM859=0),0,IF(AM859=AL859,AK859,$AZ$7-AL858))</f>
      </c>
      <c r="AO859" s="748">
        <f>+AK859-AN859</f>
      </c>
      <c r="AP859" s="217">
        <f>+_xlfn.IFNA(VLOOKUP(AJ859,$AF$7:$AI$1066,3,0),0)</f>
      </c>
      <c r="AQ859" s="217">
        <f>+IF(W859&gt;W858,AP859,AQ858+AP859)</f>
      </c>
      <c r="AR859" s="217">
        <f>+MAX($AM$2-SUMIF($W$7:$W$1066,W859,$AN$7:$AN$1066),0)</f>
      </c>
      <c r="AS859" s="748">
        <f>+MAX(IF(AQ859&gt;AR859,AR859-AQ858,AP859),0)</f>
      </c>
      <c r="AT859" s="748">
        <f>+AP859-AS859</f>
      </c>
      <c r="AU859" s="217">
        <f>+_xlfn.IFNA(VLOOKUP(AJ859,$AF$7:$AI$1066,4,0),0)</f>
      </c>
      <c r="AV859" s="217">
        <f>+IF(W859&gt;W858,AU859,AV858+AU859)</f>
      </c>
      <c r="AW859" s="217">
        <f>+MAX($AM$2-SUMIF($W$7:$W$1066,W859,$AN$7:$AN$1066)-SUMIF($W$7:$W$1066,W859,$AS$7:$AS$1066),0)</f>
      </c>
      <c r="AX859" s="748">
        <f>+MAX(IF(AV859&gt;AW859,AW859-AV858,AU859),0)</f>
      </c>
      <c r="AY859" s="748">
        <f>+AU859-AX859</f>
      </c>
      <c r="AZ859" s="331">
        <f>+$AM$1+IF($AP$1&gt;$AP$2,$AM$3/2)</f>
      </c>
    </row>
    <row x14ac:dyDescent="0.25" r="860" customHeight="1" ht="18.75">
      <c r="A860" s="1"/>
      <c r="B860" s="7"/>
      <c r="C860" s="170"/>
      <c r="D860" s="331">
        <v>853</v>
      </c>
      <c r="E860" s="544">
        <f>+DATE(YEAR(E859),MONTH(E859)-1,DAY(E859))</f>
        <v>25569.041666666668</v>
      </c>
      <c r="F860" s="333">
        <f>IF(DATE(YEAR($B$6),MONTH($B$6)+1,DAY(1))=E860,1,IF(MONTH(E860)=1,F861*(1+$F$5),F861))</f>
      </c>
      <c r="G860" s="333">
        <f>IF('Simulador - 1º Pilar'!$E$99="Sí",IF('Aportaciones PPE'!$B$13&lt;'Aportaciones PPE'!E860,0,F860*$B$8/12),F860*$B$8/12)</f>
      </c>
      <c r="H860" s="333">
        <f>$H$5*G860</f>
      </c>
      <c r="I860" s="333">
        <f>$I$5*G860</f>
      </c>
      <c r="J860" s="333">
        <f>+I860</f>
      </c>
      <c r="K860" s="333">
        <f>(1+$O$5)^(D860/12)*(H860+IF(AND(F860=1,F861=0),$S$4,0))</f>
      </c>
      <c r="L860" s="333">
        <f>(1+$O$5)^(D860/12)*(I860+IF(AND(F860=1,F861=0),0))</f>
      </c>
      <c r="M860" s="333">
        <f>+L860</f>
      </c>
      <c r="N860" s="333">
        <f>L860+K860+M860</f>
      </c>
      <c r="O860" s="170"/>
      <c r="P860" s="7"/>
      <c r="Q860" s="1"/>
      <c r="R860" s="331">
        <f>D860</f>
      </c>
      <c r="S860" s="169"/>
      <c r="T860" s="1"/>
      <c r="U860" s="217"/>
      <c r="V860" s="331">
        <f>+IF(V859=11,12,IF(V859=12,1,V859+1))</f>
      </c>
      <c r="W860" s="331">
        <f>+W859+IF(V859=12,1,0)</f>
      </c>
      <c r="X860" s="555">
        <f>+DATE(W860,V860,1)</f>
        <v>25569.041666666668</v>
      </c>
      <c r="Y860" s="333">
        <f>+_xlfn.IFNA(AN860+AS860+AX860,0)</f>
      </c>
      <c r="Z860" s="333">
        <f>+_xlfn.IFNA(AO860+AT860+AY860,0)</f>
      </c>
      <c r="AA860" s="333">
        <f>Y860*(1+$O$5)^(($B$7-X860)/365.25)</f>
      </c>
      <c r="AB860" s="333">
        <f>Z860*(1+$O$5)^(($B$7-X860)/365.25)</f>
      </c>
      <c r="AC860" s="1"/>
      <c r="AD860" s="1"/>
      <c r="AE860" s="1"/>
      <c r="AF860" s="111">
        <f>+MONTH(E860)&amp;YEAR(E860)</f>
      </c>
      <c r="AG860" s="217">
        <f>+I860</f>
      </c>
      <c r="AH860" s="217">
        <f>+J860</f>
      </c>
      <c r="AI860" s="217">
        <f>+H860</f>
      </c>
      <c r="AJ860" s="111">
        <f>+V860&amp;W860</f>
      </c>
      <c r="AK860" s="217">
        <f>+_xlfn.IFNA(VLOOKUP(AJ860,$AF$7:$AG$1066,2,0),0)</f>
      </c>
      <c r="AL860" s="217">
        <f>+IF(W860&gt;W859,AK860,AL859+AK860)</f>
      </c>
      <c r="AM860" s="217">
        <f>IF(W860&gt;W859,IF(AL860&gt;=$AZ$8,$AZ$8,AL860),IF(OR(AM859=$AZ$8,AM859=0),0,IF(AL860&gt;=$AZ$8,$AZ$8,AL860)))</f>
      </c>
      <c r="AN860" s="748">
        <f>+IF(OR(AM860&gt;AZ859,AM860=0),0,IF(AM860=AL860,AK860,$AZ$7-AL859))</f>
      </c>
      <c r="AO860" s="748">
        <f>+AK860-AN860</f>
      </c>
      <c r="AP860" s="217">
        <f>+_xlfn.IFNA(VLOOKUP(AJ860,$AF$7:$AI$1066,3,0),0)</f>
      </c>
      <c r="AQ860" s="217">
        <f>+IF(W860&gt;W859,AP860,AQ859+AP860)</f>
      </c>
      <c r="AR860" s="217">
        <f>+MAX($AM$2-SUMIF($W$7:$W$1066,W860,$AN$7:$AN$1066),0)</f>
      </c>
      <c r="AS860" s="748">
        <f>+MAX(IF(AQ860&gt;AR860,AR860-AQ859,AP860),0)</f>
      </c>
      <c r="AT860" s="748">
        <f>+AP860-AS860</f>
      </c>
      <c r="AU860" s="217">
        <f>+_xlfn.IFNA(VLOOKUP(AJ860,$AF$7:$AI$1066,4,0),0)</f>
      </c>
      <c r="AV860" s="217">
        <f>+IF(W860&gt;W859,AU860,AV859+AU860)</f>
      </c>
      <c r="AW860" s="217">
        <f>+MAX($AM$2-SUMIF($W$7:$W$1066,W860,$AN$7:$AN$1066)-SUMIF($W$7:$W$1066,W860,$AS$7:$AS$1066),0)</f>
      </c>
      <c r="AX860" s="748">
        <f>+MAX(IF(AV860&gt;AW860,AW860-AV859,AU860),0)</f>
      </c>
      <c r="AY860" s="748">
        <f>+AU860-AX860</f>
      </c>
      <c r="AZ860" s="331">
        <f>+$AM$1+IF($AP$1&gt;$AP$2,$AM$3/2)</f>
      </c>
    </row>
    <row x14ac:dyDescent="0.25" r="861" customHeight="1" ht="18.75">
      <c r="A861" s="1"/>
      <c r="B861" s="7"/>
      <c r="C861" s="170"/>
      <c r="D861" s="331">
        <v>854</v>
      </c>
      <c r="E861" s="544">
        <f>+DATE(YEAR(E860),MONTH(E860)-1,DAY(E860))</f>
        <v>25569.041666666668</v>
      </c>
      <c r="F861" s="333">
        <f>IF(DATE(YEAR($B$6),MONTH($B$6)+1,DAY(1))=E861,1,IF(MONTH(E861)=1,F862*(1+$F$5),F862))</f>
      </c>
      <c r="G861" s="333">
        <f>IF('Simulador - 1º Pilar'!$E$99="Sí",IF('Aportaciones PPE'!$B$13&lt;'Aportaciones PPE'!E861,0,F861*$B$8/12),F861*$B$8/12)</f>
      </c>
      <c r="H861" s="333">
        <f>$H$5*G861</f>
      </c>
      <c r="I861" s="333">
        <f>$I$5*G861</f>
      </c>
      <c r="J861" s="333">
        <f>+I861</f>
      </c>
      <c r="K861" s="333">
        <f>(1+$O$5)^(D861/12)*(H861+IF(AND(F861=1,F862=0),$S$4,0))</f>
      </c>
      <c r="L861" s="333">
        <f>(1+$O$5)^(D861/12)*(I861+IF(AND(F861=1,F862=0),0))</f>
      </c>
      <c r="M861" s="333">
        <f>+L861</f>
      </c>
      <c r="N861" s="333">
        <f>L861+K861+M861</f>
      </c>
      <c r="O861" s="170"/>
      <c r="P861" s="7"/>
      <c r="Q861" s="1"/>
      <c r="R861" s="331">
        <f>D861</f>
      </c>
      <c r="S861" s="169"/>
      <c r="T861" s="1"/>
      <c r="U861" s="217"/>
      <c r="V861" s="331">
        <f>+IF(V860=11,12,IF(V860=12,1,V860+1))</f>
      </c>
      <c r="W861" s="331">
        <f>+W860+IF(V860=12,1,0)</f>
      </c>
      <c r="X861" s="555">
        <f>+DATE(W861,V861,1)</f>
        <v>25569.041666666668</v>
      </c>
      <c r="Y861" s="333">
        <f>+_xlfn.IFNA(AN861+AS861+AX861,0)</f>
      </c>
      <c r="Z861" s="333">
        <f>+_xlfn.IFNA(AO861+AT861+AY861,0)</f>
      </c>
      <c r="AA861" s="333">
        <f>Y861*(1+$O$5)^(($B$7-X861)/365.25)</f>
      </c>
      <c r="AB861" s="333">
        <f>Z861*(1+$O$5)^(($B$7-X861)/365.25)</f>
      </c>
      <c r="AC861" s="1"/>
      <c r="AD861" s="1"/>
      <c r="AE861" s="1"/>
      <c r="AF861" s="111">
        <f>+MONTH(E861)&amp;YEAR(E861)</f>
      </c>
      <c r="AG861" s="217">
        <f>+I861</f>
      </c>
      <c r="AH861" s="217">
        <f>+J861</f>
      </c>
      <c r="AI861" s="217">
        <f>+H861</f>
      </c>
      <c r="AJ861" s="111">
        <f>+V861&amp;W861</f>
      </c>
      <c r="AK861" s="217">
        <f>+_xlfn.IFNA(VLOOKUP(AJ861,$AF$7:$AG$1066,2,0),0)</f>
      </c>
      <c r="AL861" s="217">
        <f>+IF(W861&gt;W860,AK861,AL860+AK861)</f>
      </c>
      <c r="AM861" s="217">
        <f>IF(W861&gt;W860,IF(AL861&gt;=$AZ$8,$AZ$8,AL861),IF(OR(AM860=$AZ$8,AM860=0),0,IF(AL861&gt;=$AZ$8,$AZ$8,AL861)))</f>
      </c>
      <c r="AN861" s="748">
        <f>+IF(OR(AM861&gt;AZ860,AM861=0),0,IF(AM861=AL861,AK861,$AZ$7-AL860))</f>
      </c>
      <c r="AO861" s="748">
        <f>+AK861-AN861</f>
      </c>
      <c r="AP861" s="217">
        <f>+_xlfn.IFNA(VLOOKUP(AJ861,$AF$7:$AI$1066,3,0),0)</f>
      </c>
      <c r="AQ861" s="217">
        <f>+IF(W861&gt;W860,AP861,AQ860+AP861)</f>
      </c>
      <c r="AR861" s="217">
        <f>+MAX($AM$2-SUMIF($W$7:$W$1066,W861,$AN$7:$AN$1066),0)</f>
      </c>
      <c r="AS861" s="748">
        <f>+MAX(IF(AQ861&gt;AR861,AR861-AQ860,AP861),0)</f>
      </c>
      <c r="AT861" s="748">
        <f>+AP861-AS861</f>
      </c>
      <c r="AU861" s="217">
        <f>+_xlfn.IFNA(VLOOKUP(AJ861,$AF$7:$AI$1066,4,0),0)</f>
      </c>
      <c r="AV861" s="217">
        <f>+IF(W861&gt;W860,AU861,AV860+AU861)</f>
      </c>
      <c r="AW861" s="217">
        <f>+MAX($AM$2-SUMIF($W$7:$W$1066,W861,$AN$7:$AN$1066)-SUMIF($W$7:$W$1066,W861,$AS$7:$AS$1066),0)</f>
      </c>
      <c r="AX861" s="748">
        <f>+MAX(IF(AV861&gt;AW861,AW861-AV860,AU861),0)</f>
      </c>
      <c r="AY861" s="748">
        <f>+AU861-AX861</f>
      </c>
      <c r="AZ861" s="331">
        <f>+$AM$1+IF($AP$1&gt;$AP$2,$AM$3/2)</f>
      </c>
    </row>
    <row x14ac:dyDescent="0.25" r="862" customHeight="1" ht="18.75">
      <c r="A862" s="1"/>
      <c r="B862" s="7"/>
      <c r="C862" s="170"/>
      <c r="D862" s="331">
        <v>855</v>
      </c>
      <c r="E862" s="544">
        <f>+DATE(YEAR(E861),MONTH(E861)-1,DAY(E861))</f>
        <v>25569.041666666668</v>
      </c>
      <c r="F862" s="333">
        <f>IF(DATE(YEAR($B$6),MONTH($B$6)+1,DAY(1))=E862,1,IF(MONTH(E862)=1,F863*(1+$F$5),F863))</f>
      </c>
      <c r="G862" s="333">
        <f>IF('Simulador - 1º Pilar'!$E$99="Sí",IF('Aportaciones PPE'!$B$13&lt;'Aportaciones PPE'!E862,0,F862*$B$8/12),F862*$B$8/12)</f>
      </c>
      <c r="H862" s="333">
        <f>$H$5*G862</f>
      </c>
      <c r="I862" s="333">
        <f>$I$5*G862</f>
      </c>
      <c r="J862" s="333">
        <f>+I862</f>
      </c>
      <c r="K862" s="333">
        <f>(1+$O$5)^(D862/12)*(H862+IF(AND(F862=1,F863=0),$S$4,0))</f>
      </c>
      <c r="L862" s="333">
        <f>(1+$O$5)^(D862/12)*(I862+IF(AND(F862=1,F863=0),0))</f>
      </c>
      <c r="M862" s="333">
        <f>+L862</f>
      </c>
      <c r="N862" s="333">
        <f>L862+K862+M862</f>
      </c>
      <c r="O862" s="170"/>
      <c r="P862" s="7"/>
      <c r="Q862" s="1"/>
      <c r="R862" s="331">
        <f>D862</f>
      </c>
      <c r="S862" s="169"/>
      <c r="T862" s="1"/>
      <c r="U862" s="217"/>
      <c r="V862" s="331">
        <f>+IF(V861=11,12,IF(V861=12,1,V861+1))</f>
      </c>
      <c r="W862" s="331">
        <f>+W861+IF(V861=12,1,0)</f>
      </c>
      <c r="X862" s="555">
        <f>+DATE(W862,V862,1)</f>
        <v>25569.041666666668</v>
      </c>
      <c r="Y862" s="333">
        <f>+_xlfn.IFNA(AN862+AS862+AX862,0)</f>
      </c>
      <c r="Z862" s="333">
        <f>+_xlfn.IFNA(AO862+AT862+AY862,0)</f>
      </c>
      <c r="AA862" s="333">
        <f>Y862*(1+$O$5)^(($B$7-X862)/365.25)</f>
      </c>
      <c r="AB862" s="333">
        <f>Z862*(1+$O$5)^(($B$7-X862)/365.25)</f>
      </c>
      <c r="AC862" s="1"/>
      <c r="AD862" s="1"/>
      <c r="AE862" s="1"/>
      <c r="AF862" s="111">
        <f>+MONTH(E862)&amp;YEAR(E862)</f>
      </c>
      <c r="AG862" s="217">
        <f>+I862</f>
      </c>
      <c r="AH862" s="217">
        <f>+J862</f>
      </c>
      <c r="AI862" s="217">
        <f>+H862</f>
      </c>
      <c r="AJ862" s="111">
        <f>+V862&amp;W862</f>
      </c>
      <c r="AK862" s="217">
        <f>+_xlfn.IFNA(VLOOKUP(AJ862,$AF$7:$AG$1066,2,0),0)</f>
      </c>
      <c r="AL862" s="217">
        <f>+IF(W862&gt;W861,AK862,AL861+AK862)</f>
      </c>
      <c r="AM862" s="217">
        <f>IF(W862&gt;W861,IF(AL862&gt;=$AZ$8,$AZ$8,AL862),IF(OR(AM861=$AZ$8,AM861=0),0,IF(AL862&gt;=$AZ$8,$AZ$8,AL862)))</f>
      </c>
      <c r="AN862" s="748">
        <f>+IF(OR(AM862&gt;AZ861,AM862=0),0,IF(AM862=AL862,AK862,$AZ$7-AL861))</f>
      </c>
      <c r="AO862" s="748">
        <f>+AK862-AN862</f>
      </c>
      <c r="AP862" s="217">
        <f>+_xlfn.IFNA(VLOOKUP(AJ862,$AF$7:$AI$1066,3,0),0)</f>
      </c>
      <c r="AQ862" s="217">
        <f>+IF(W862&gt;W861,AP862,AQ861+AP862)</f>
      </c>
      <c r="AR862" s="217">
        <f>+MAX($AM$2-SUMIF($W$7:$W$1066,W862,$AN$7:$AN$1066),0)</f>
      </c>
      <c r="AS862" s="748">
        <f>+MAX(IF(AQ862&gt;AR862,AR862-AQ861,AP862),0)</f>
      </c>
      <c r="AT862" s="748">
        <f>+AP862-AS862</f>
      </c>
      <c r="AU862" s="217">
        <f>+_xlfn.IFNA(VLOOKUP(AJ862,$AF$7:$AI$1066,4,0),0)</f>
      </c>
      <c r="AV862" s="217">
        <f>+IF(W862&gt;W861,AU862,AV861+AU862)</f>
      </c>
      <c r="AW862" s="217">
        <f>+MAX($AM$2-SUMIF($W$7:$W$1066,W862,$AN$7:$AN$1066)-SUMIF($W$7:$W$1066,W862,$AS$7:$AS$1066),0)</f>
      </c>
      <c r="AX862" s="748">
        <f>+MAX(IF(AV862&gt;AW862,AW862-AV861,AU862),0)</f>
      </c>
      <c r="AY862" s="748">
        <f>+AU862-AX862</f>
      </c>
      <c r="AZ862" s="331">
        <f>+$AM$1+IF($AP$1&gt;$AP$2,$AM$3/2)</f>
      </c>
    </row>
    <row x14ac:dyDescent="0.25" r="863" customHeight="1" ht="18.75">
      <c r="A863" s="1"/>
      <c r="B863" s="7"/>
      <c r="C863" s="170"/>
      <c r="D863" s="331">
        <v>856</v>
      </c>
      <c r="E863" s="544">
        <f>+DATE(YEAR(E862),MONTH(E862)-1,DAY(E862))</f>
        <v>25569.041666666668</v>
      </c>
      <c r="F863" s="333">
        <f>IF(DATE(YEAR($B$6),MONTH($B$6)+1,DAY(1))=E863,1,IF(MONTH(E863)=1,F864*(1+$F$5),F864))</f>
      </c>
      <c r="G863" s="333">
        <f>IF('Simulador - 1º Pilar'!$E$99="Sí",IF('Aportaciones PPE'!$B$13&lt;'Aportaciones PPE'!E863,0,F863*$B$8/12),F863*$B$8/12)</f>
      </c>
      <c r="H863" s="333">
        <f>$H$5*G863</f>
      </c>
      <c r="I863" s="333">
        <f>$I$5*G863</f>
      </c>
      <c r="J863" s="333">
        <f>+I863</f>
      </c>
      <c r="K863" s="333">
        <f>(1+$O$5)^(D863/12)*(H863+IF(AND(F863=1,F864=0),$S$4,0))</f>
      </c>
      <c r="L863" s="333">
        <f>(1+$O$5)^(D863/12)*(I863+IF(AND(F863=1,F864=0),0))</f>
      </c>
      <c r="M863" s="333">
        <f>+L863</f>
      </c>
      <c r="N863" s="333">
        <f>L863+K863+M863</f>
      </c>
      <c r="O863" s="170"/>
      <c r="P863" s="7"/>
      <c r="Q863" s="1"/>
      <c r="R863" s="331">
        <f>D863</f>
      </c>
      <c r="S863" s="169"/>
      <c r="T863" s="1"/>
      <c r="U863" s="217"/>
      <c r="V863" s="331">
        <f>+IF(V862=11,12,IF(V862=12,1,V862+1))</f>
      </c>
      <c r="W863" s="331">
        <f>+W862+IF(V862=12,1,0)</f>
      </c>
      <c r="X863" s="555">
        <f>+DATE(W863,V863,1)</f>
        <v>25569.041666666668</v>
      </c>
      <c r="Y863" s="333">
        <f>+_xlfn.IFNA(AN863+AS863+AX863,0)</f>
      </c>
      <c r="Z863" s="333">
        <f>+_xlfn.IFNA(AO863+AT863+AY863,0)</f>
      </c>
      <c r="AA863" s="333">
        <f>Y863*(1+$O$5)^(($B$7-X863)/365.25)</f>
      </c>
      <c r="AB863" s="333">
        <f>Z863*(1+$O$5)^(($B$7-X863)/365.25)</f>
      </c>
      <c r="AC863" s="1"/>
      <c r="AD863" s="1"/>
      <c r="AE863" s="1"/>
      <c r="AF863" s="111">
        <f>+MONTH(E863)&amp;YEAR(E863)</f>
      </c>
      <c r="AG863" s="217">
        <f>+I863</f>
      </c>
      <c r="AH863" s="217">
        <f>+J863</f>
      </c>
      <c r="AI863" s="217">
        <f>+H863</f>
      </c>
      <c r="AJ863" s="111">
        <f>+V863&amp;W863</f>
      </c>
      <c r="AK863" s="217">
        <f>+_xlfn.IFNA(VLOOKUP(AJ863,$AF$7:$AG$1066,2,0),0)</f>
      </c>
      <c r="AL863" s="217">
        <f>+IF(W863&gt;W862,AK863,AL862+AK863)</f>
      </c>
      <c r="AM863" s="217">
        <f>IF(W863&gt;W862,IF(AL863&gt;=$AZ$8,$AZ$8,AL863),IF(OR(AM862=$AZ$8,AM862=0),0,IF(AL863&gt;=$AZ$8,$AZ$8,AL863)))</f>
      </c>
      <c r="AN863" s="748">
        <f>+IF(OR(AM863&gt;AZ862,AM863=0),0,IF(AM863=AL863,AK863,$AZ$7-AL862))</f>
      </c>
      <c r="AO863" s="748">
        <f>+AK863-AN863</f>
      </c>
      <c r="AP863" s="217">
        <f>+_xlfn.IFNA(VLOOKUP(AJ863,$AF$7:$AI$1066,3,0),0)</f>
      </c>
      <c r="AQ863" s="217">
        <f>+IF(W863&gt;W862,AP863,AQ862+AP863)</f>
      </c>
      <c r="AR863" s="217">
        <f>+MAX($AM$2-SUMIF($W$7:$W$1066,W863,$AN$7:$AN$1066),0)</f>
      </c>
      <c r="AS863" s="748">
        <f>+MAX(IF(AQ863&gt;AR863,AR863-AQ862,AP863),0)</f>
      </c>
      <c r="AT863" s="748">
        <f>+AP863-AS863</f>
      </c>
      <c r="AU863" s="217">
        <f>+_xlfn.IFNA(VLOOKUP(AJ863,$AF$7:$AI$1066,4,0),0)</f>
      </c>
      <c r="AV863" s="217">
        <f>+IF(W863&gt;W862,AU863,AV862+AU863)</f>
      </c>
      <c r="AW863" s="217">
        <f>+MAX($AM$2-SUMIF($W$7:$W$1066,W863,$AN$7:$AN$1066)-SUMIF($W$7:$W$1066,W863,$AS$7:$AS$1066),0)</f>
      </c>
      <c r="AX863" s="748">
        <f>+MAX(IF(AV863&gt;AW863,AW863-AV862,AU863),0)</f>
      </c>
      <c r="AY863" s="748">
        <f>+AU863-AX863</f>
      </c>
      <c r="AZ863" s="331">
        <f>+$AM$1+IF($AP$1&gt;$AP$2,$AM$3/2)</f>
      </c>
    </row>
    <row x14ac:dyDescent="0.25" r="864" customHeight="1" ht="18.75">
      <c r="A864" s="1"/>
      <c r="B864" s="7"/>
      <c r="C864" s="170"/>
      <c r="D864" s="331">
        <v>857</v>
      </c>
      <c r="E864" s="544">
        <f>+DATE(YEAR(E863),MONTH(E863)-1,DAY(E863))</f>
        <v>25569.041666666668</v>
      </c>
      <c r="F864" s="333">
        <f>IF(DATE(YEAR($B$6),MONTH($B$6)+1,DAY(1))=E864,1,IF(MONTH(E864)=1,F865*(1+$F$5),F865))</f>
      </c>
      <c r="G864" s="333">
        <f>IF('Simulador - 1º Pilar'!$E$99="Sí",IF('Aportaciones PPE'!$B$13&lt;'Aportaciones PPE'!E864,0,F864*$B$8/12),F864*$B$8/12)</f>
      </c>
      <c r="H864" s="333">
        <f>$H$5*G864</f>
      </c>
      <c r="I864" s="333">
        <f>$I$5*G864</f>
      </c>
      <c r="J864" s="333">
        <f>+I864</f>
      </c>
      <c r="K864" s="333">
        <f>(1+$O$5)^(D864/12)*(H864+IF(AND(F864=1,F865=0),$S$4,0))</f>
      </c>
      <c r="L864" s="333">
        <f>(1+$O$5)^(D864/12)*(I864+IF(AND(F864=1,F865=0),0))</f>
      </c>
      <c r="M864" s="333">
        <f>+L864</f>
      </c>
      <c r="N864" s="333">
        <f>L864+K864+M864</f>
      </c>
      <c r="O864" s="170"/>
      <c r="P864" s="7"/>
      <c r="Q864" s="1"/>
      <c r="R864" s="331">
        <f>D864</f>
      </c>
      <c r="S864" s="169"/>
      <c r="T864" s="1"/>
      <c r="U864" s="217"/>
      <c r="V864" s="331">
        <f>+IF(V863=11,12,IF(V863=12,1,V863+1))</f>
      </c>
      <c r="W864" s="331">
        <f>+W863+IF(V863=12,1,0)</f>
      </c>
      <c r="X864" s="555">
        <f>+DATE(W864,V864,1)</f>
        <v>25569.041666666668</v>
      </c>
      <c r="Y864" s="333">
        <f>+_xlfn.IFNA(AN864+AS864+AX864,0)</f>
      </c>
      <c r="Z864" s="333">
        <f>+_xlfn.IFNA(AO864+AT864+AY864,0)</f>
      </c>
      <c r="AA864" s="333">
        <f>Y864*(1+$O$5)^(($B$7-X864)/365.25)</f>
      </c>
      <c r="AB864" s="333">
        <f>Z864*(1+$O$5)^(($B$7-X864)/365.25)</f>
      </c>
      <c r="AC864" s="1"/>
      <c r="AD864" s="1"/>
      <c r="AE864" s="1"/>
      <c r="AF864" s="111">
        <f>+MONTH(E864)&amp;YEAR(E864)</f>
      </c>
      <c r="AG864" s="217">
        <f>+I864</f>
      </c>
      <c r="AH864" s="217">
        <f>+J864</f>
      </c>
      <c r="AI864" s="217">
        <f>+H864</f>
      </c>
      <c r="AJ864" s="111">
        <f>+V864&amp;W864</f>
      </c>
      <c r="AK864" s="217">
        <f>+_xlfn.IFNA(VLOOKUP(AJ864,$AF$7:$AG$1066,2,0),0)</f>
      </c>
      <c r="AL864" s="217">
        <f>+IF(W864&gt;W863,AK864,AL863+AK864)</f>
      </c>
      <c r="AM864" s="217">
        <f>IF(W864&gt;W863,IF(AL864&gt;=$AZ$8,$AZ$8,AL864),IF(OR(AM863=$AZ$8,AM863=0),0,IF(AL864&gt;=$AZ$8,$AZ$8,AL864)))</f>
      </c>
      <c r="AN864" s="748">
        <f>+IF(OR(AM864&gt;AZ863,AM864=0),0,IF(AM864=AL864,AK864,$AZ$7-AL863))</f>
      </c>
      <c r="AO864" s="748">
        <f>+AK864-AN864</f>
      </c>
      <c r="AP864" s="217">
        <f>+_xlfn.IFNA(VLOOKUP(AJ864,$AF$7:$AI$1066,3,0),0)</f>
      </c>
      <c r="AQ864" s="217">
        <f>+IF(W864&gt;W863,AP864,AQ863+AP864)</f>
      </c>
      <c r="AR864" s="217">
        <f>+MAX($AM$2-SUMIF($W$7:$W$1066,W864,$AN$7:$AN$1066),0)</f>
      </c>
      <c r="AS864" s="748">
        <f>+MAX(IF(AQ864&gt;AR864,AR864-AQ863,AP864),0)</f>
      </c>
      <c r="AT864" s="748">
        <f>+AP864-AS864</f>
      </c>
      <c r="AU864" s="217">
        <f>+_xlfn.IFNA(VLOOKUP(AJ864,$AF$7:$AI$1066,4,0),0)</f>
      </c>
      <c r="AV864" s="217">
        <f>+IF(W864&gt;W863,AU864,AV863+AU864)</f>
      </c>
      <c r="AW864" s="217">
        <f>+MAX($AM$2-SUMIF($W$7:$W$1066,W864,$AN$7:$AN$1066)-SUMIF($W$7:$W$1066,W864,$AS$7:$AS$1066),0)</f>
      </c>
      <c r="AX864" s="748">
        <f>+MAX(IF(AV864&gt;AW864,AW864-AV863,AU864),0)</f>
      </c>
      <c r="AY864" s="748">
        <f>+AU864-AX864</f>
      </c>
      <c r="AZ864" s="331">
        <f>+$AM$1+IF($AP$1&gt;$AP$2,$AM$3/2)</f>
      </c>
    </row>
    <row x14ac:dyDescent="0.25" r="865" customHeight="1" ht="18.75">
      <c r="A865" s="1"/>
      <c r="B865" s="7"/>
      <c r="C865" s="170"/>
      <c r="D865" s="331">
        <v>858</v>
      </c>
      <c r="E865" s="544">
        <f>+DATE(YEAR(E864),MONTH(E864)-1,DAY(E864))</f>
        <v>25569.041666666668</v>
      </c>
      <c r="F865" s="333">
        <f>IF(DATE(YEAR($B$6),MONTH($B$6)+1,DAY(1))=E865,1,IF(MONTH(E865)=1,F866*(1+$F$5),F866))</f>
      </c>
      <c r="G865" s="333">
        <f>IF('Simulador - 1º Pilar'!$E$99="Sí",IF('Aportaciones PPE'!$B$13&lt;'Aportaciones PPE'!E865,0,F865*$B$8/12),F865*$B$8/12)</f>
      </c>
      <c r="H865" s="333">
        <f>$H$5*G865</f>
      </c>
      <c r="I865" s="333">
        <f>$I$5*G865</f>
      </c>
      <c r="J865" s="333">
        <f>+I865</f>
      </c>
      <c r="K865" s="333">
        <f>(1+$O$5)^(D865/12)*(H865+IF(AND(F865=1,F866=0),$S$4,0))</f>
      </c>
      <c r="L865" s="333">
        <f>(1+$O$5)^(D865/12)*(I865+IF(AND(F865=1,F866=0),0))</f>
      </c>
      <c r="M865" s="333">
        <f>+L865</f>
      </c>
      <c r="N865" s="333">
        <f>L865+K865+M865</f>
      </c>
      <c r="O865" s="170"/>
      <c r="P865" s="7"/>
      <c r="Q865" s="1"/>
      <c r="R865" s="331">
        <f>D865</f>
      </c>
      <c r="S865" s="169"/>
      <c r="T865" s="1"/>
      <c r="U865" s="217"/>
      <c r="V865" s="331">
        <f>+IF(V864=11,12,IF(V864=12,1,V864+1))</f>
      </c>
      <c r="W865" s="331">
        <f>+W864+IF(V864=12,1,0)</f>
      </c>
      <c r="X865" s="555">
        <f>+DATE(W865,V865,1)</f>
        <v>25569.041666666668</v>
      </c>
      <c r="Y865" s="333">
        <f>+_xlfn.IFNA(AN865+AS865+AX865,0)</f>
      </c>
      <c r="Z865" s="333">
        <f>+_xlfn.IFNA(AO865+AT865+AY865,0)</f>
      </c>
      <c r="AA865" s="333">
        <f>Y865*(1+$O$5)^(($B$7-X865)/365.25)</f>
      </c>
      <c r="AB865" s="333">
        <f>Z865*(1+$O$5)^(($B$7-X865)/365.25)</f>
      </c>
      <c r="AC865" s="1"/>
      <c r="AD865" s="1"/>
      <c r="AE865" s="1"/>
      <c r="AF865" s="111">
        <f>+MONTH(E865)&amp;YEAR(E865)</f>
      </c>
      <c r="AG865" s="217">
        <f>+I865</f>
      </c>
      <c r="AH865" s="217">
        <f>+J865</f>
      </c>
      <c r="AI865" s="217">
        <f>+H865</f>
      </c>
      <c r="AJ865" s="111">
        <f>+V865&amp;W865</f>
      </c>
      <c r="AK865" s="217">
        <f>+_xlfn.IFNA(VLOOKUP(AJ865,$AF$7:$AG$1066,2,0),0)</f>
      </c>
      <c r="AL865" s="217">
        <f>+IF(W865&gt;W864,AK865,AL864+AK865)</f>
      </c>
      <c r="AM865" s="217">
        <f>IF(W865&gt;W864,IF(AL865&gt;=$AZ$8,$AZ$8,AL865),IF(OR(AM864=$AZ$8,AM864=0),0,IF(AL865&gt;=$AZ$8,$AZ$8,AL865)))</f>
      </c>
      <c r="AN865" s="748">
        <f>+IF(OR(AM865&gt;AZ864,AM865=0),0,IF(AM865=AL865,AK865,$AZ$7-AL864))</f>
      </c>
      <c r="AO865" s="748">
        <f>+AK865-AN865</f>
      </c>
      <c r="AP865" s="217">
        <f>+_xlfn.IFNA(VLOOKUP(AJ865,$AF$7:$AI$1066,3,0),0)</f>
      </c>
      <c r="AQ865" s="217">
        <f>+IF(W865&gt;W864,AP865,AQ864+AP865)</f>
      </c>
      <c r="AR865" s="217">
        <f>+MAX($AM$2-SUMIF($W$7:$W$1066,W865,$AN$7:$AN$1066),0)</f>
      </c>
      <c r="AS865" s="748">
        <f>+MAX(IF(AQ865&gt;AR865,AR865-AQ864,AP865),0)</f>
      </c>
      <c r="AT865" s="748">
        <f>+AP865-AS865</f>
      </c>
      <c r="AU865" s="217">
        <f>+_xlfn.IFNA(VLOOKUP(AJ865,$AF$7:$AI$1066,4,0),0)</f>
      </c>
      <c r="AV865" s="217">
        <f>+IF(W865&gt;W864,AU865,AV864+AU865)</f>
      </c>
      <c r="AW865" s="217">
        <f>+MAX($AM$2-SUMIF($W$7:$W$1066,W865,$AN$7:$AN$1066)-SUMIF($W$7:$W$1066,W865,$AS$7:$AS$1066),0)</f>
      </c>
      <c r="AX865" s="748">
        <f>+MAX(IF(AV865&gt;AW865,AW865-AV864,AU865),0)</f>
      </c>
      <c r="AY865" s="748">
        <f>+AU865-AX865</f>
      </c>
      <c r="AZ865" s="331">
        <f>+$AM$1+IF($AP$1&gt;$AP$2,$AM$3/2)</f>
      </c>
    </row>
    <row x14ac:dyDescent="0.25" r="866" customHeight="1" ht="18.75">
      <c r="A866" s="1"/>
      <c r="B866" s="7"/>
      <c r="C866" s="170"/>
      <c r="D866" s="331">
        <v>859</v>
      </c>
      <c r="E866" s="544">
        <f>+DATE(YEAR(E865),MONTH(E865)-1,DAY(E865))</f>
        <v>25569.041666666668</v>
      </c>
      <c r="F866" s="333">
        <f>IF(DATE(YEAR($B$6),MONTH($B$6)+1,DAY(1))=E866,1,IF(MONTH(E866)=1,F867*(1+$F$5),F867))</f>
      </c>
      <c r="G866" s="333">
        <f>IF('Simulador - 1º Pilar'!$E$99="Sí",IF('Aportaciones PPE'!$B$13&lt;'Aportaciones PPE'!E866,0,F866*$B$8/12),F866*$B$8/12)</f>
      </c>
      <c r="H866" s="333">
        <f>$H$5*G866</f>
      </c>
      <c r="I866" s="333">
        <f>$I$5*G866</f>
      </c>
      <c r="J866" s="333">
        <f>+I866</f>
      </c>
      <c r="K866" s="333">
        <f>(1+$O$5)^(D866/12)*(H866+IF(AND(F866=1,F867=0),$S$4,0))</f>
      </c>
      <c r="L866" s="333">
        <f>(1+$O$5)^(D866/12)*(I866+IF(AND(F866=1,F867=0),0))</f>
      </c>
      <c r="M866" s="333">
        <f>+L866</f>
      </c>
      <c r="N866" s="333">
        <f>L866+K866+M866</f>
      </c>
      <c r="O866" s="170"/>
      <c r="P866" s="7"/>
      <c r="Q866" s="1"/>
      <c r="R866" s="331">
        <f>D866</f>
      </c>
      <c r="S866" s="169"/>
      <c r="T866" s="1"/>
      <c r="U866" s="217"/>
      <c r="V866" s="331">
        <f>+IF(V865=11,12,IF(V865=12,1,V865+1))</f>
      </c>
      <c r="W866" s="331">
        <f>+W865+IF(V865=12,1,0)</f>
      </c>
      <c r="X866" s="555">
        <f>+DATE(W866,V866,1)</f>
        <v>25569.041666666668</v>
      </c>
      <c r="Y866" s="333">
        <f>+_xlfn.IFNA(AN866+AS866+AX866,0)</f>
      </c>
      <c r="Z866" s="333">
        <f>+_xlfn.IFNA(AO866+AT866+AY866,0)</f>
      </c>
      <c r="AA866" s="333">
        <f>Y866*(1+$O$5)^(($B$7-X866)/365.25)</f>
      </c>
      <c r="AB866" s="333">
        <f>Z866*(1+$O$5)^(($B$7-X866)/365.25)</f>
      </c>
      <c r="AC866" s="1"/>
      <c r="AD866" s="1"/>
      <c r="AE866" s="1"/>
      <c r="AF866" s="111">
        <f>+MONTH(E866)&amp;YEAR(E866)</f>
      </c>
      <c r="AG866" s="217">
        <f>+I866</f>
      </c>
      <c r="AH866" s="217">
        <f>+J866</f>
      </c>
      <c r="AI866" s="217">
        <f>+H866</f>
      </c>
      <c r="AJ866" s="111">
        <f>+V866&amp;W866</f>
      </c>
      <c r="AK866" s="217">
        <f>+_xlfn.IFNA(VLOOKUP(AJ866,$AF$7:$AG$1066,2,0),0)</f>
      </c>
      <c r="AL866" s="217">
        <f>+IF(W866&gt;W865,AK866,AL865+AK866)</f>
      </c>
      <c r="AM866" s="217">
        <f>IF(W866&gt;W865,IF(AL866&gt;=$AZ$8,$AZ$8,AL866),IF(OR(AM865=$AZ$8,AM865=0),0,IF(AL866&gt;=$AZ$8,$AZ$8,AL866)))</f>
      </c>
      <c r="AN866" s="748">
        <f>+IF(OR(AM866&gt;AZ865,AM866=0),0,IF(AM866=AL866,AK866,$AZ$7-AL865))</f>
      </c>
      <c r="AO866" s="748">
        <f>+AK866-AN866</f>
      </c>
      <c r="AP866" s="217">
        <f>+_xlfn.IFNA(VLOOKUP(AJ866,$AF$7:$AI$1066,3,0),0)</f>
      </c>
      <c r="AQ866" s="217">
        <f>+IF(W866&gt;W865,AP866,AQ865+AP866)</f>
      </c>
      <c r="AR866" s="217">
        <f>+MAX($AM$2-SUMIF($W$7:$W$1066,W866,$AN$7:$AN$1066),0)</f>
      </c>
      <c r="AS866" s="748">
        <f>+MAX(IF(AQ866&gt;AR866,AR866-AQ865,AP866),0)</f>
      </c>
      <c r="AT866" s="748">
        <f>+AP866-AS866</f>
      </c>
      <c r="AU866" s="217">
        <f>+_xlfn.IFNA(VLOOKUP(AJ866,$AF$7:$AI$1066,4,0),0)</f>
      </c>
      <c r="AV866" s="217">
        <f>+IF(W866&gt;W865,AU866,AV865+AU866)</f>
      </c>
      <c r="AW866" s="217">
        <f>+MAX($AM$2-SUMIF($W$7:$W$1066,W866,$AN$7:$AN$1066)-SUMIF($W$7:$W$1066,W866,$AS$7:$AS$1066),0)</f>
      </c>
      <c r="AX866" s="748">
        <f>+MAX(IF(AV866&gt;AW866,AW866-AV865,AU866),0)</f>
      </c>
      <c r="AY866" s="748">
        <f>+AU866-AX866</f>
      </c>
      <c r="AZ866" s="331">
        <f>+$AM$1+IF($AP$1&gt;$AP$2,$AM$3/2)</f>
      </c>
    </row>
    <row x14ac:dyDescent="0.25" r="867" customHeight="1" ht="18.75">
      <c r="A867" s="1"/>
      <c r="B867" s="7"/>
      <c r="C867" s="170"/>
      <c r="D867" s="331">
        <v>860</v>
      </c>
      <c r="E867" s="544">
        <f>+DATE(YEAR(E866),MONTH(E866)-1,DAY(E866))</f>
        <v>25569.041666666668</v>
      </c>
      <c r="F867" s="333">
        <f>IF(DATE(YEAR($B$6),MONTH($B$6)+1,DAY(1))=E867,1,IF(MONTH(E867)=1,F868*(1+$F$5),F868))</f>
      </c>
      <c r="G867" s="333">
        <f>IF('Simulador - 1º Pilar'!$E$99="Sí",IF('Aportaciones PPE'!$B$13&lt;'Aportaciones PPE'!E867,0,F867*$B$8/12),F867*$B$8/12)</f>
      </c>
      <c r="H867" s="333">
        <f>$H$5*G867</f>
      </c>
      <c r="I867" s="333">
        <f>$I$5*G867</f>
      </c>
      <c r="J867" s="333">
        <f>+I867</f>
      </c>
      <c r="K867" s="333">
        <f>(1+$O$5)^(D867/12)*(H867+IF(AND(F867=1,F868=0),$S$4,0))</f>
      </c>
      <c r="L867" s="333">
        <f>(1+$O$5)^(D867/12)*(I867+IF(AND(F867=1,F868=0),0))</f>
      </c>
      <c r="M867" s="333">
        <f>+L867</f>
      </c>
      <c r="N867" s="333">
        <f>L867+K867+M867</f>
      </c>
      <c r="O867" s="170"/>
      <c r="P867" s="7"/>
      <c r="Q867" s="1"/>
      <c r="R867" s="331">
        <f>D867</f>
      </c>
      <c r="S867" s="169"/>
      <c r="T867" s="1"/>
      <c r="U867" s="217"/>
      <c r="V867" s="331">
        <f>+IF(V866=11,12,IF(V866=12,1,V866+1))</f>
      </c>
      <c r="W867" s="331">
        <f>+W866+IF(V866=12,1,0)</f>
      </c>
      <c r="X867" s="555">
        <f>+DATE(W867,V867,1)</f>
        <v>25569.041666666668</v>
      </c>
      <c r="Y867" s="333">
        <f>+_xlfn.IFNA(AN867+AS867+AX867,0)</f>
      </c>
      <c r="Z867" s="333">
        <f>+_xlfn.IFNA(AO867+AT867+AY867,0)</f>
      </c>
      <c r="AA867" s="333">
        <f>Y867*(1+$O$5)^(($B$7-X867)/365.25)</f>
      </c>
      <c r="AB867" s="333">
        <f>Z867*(1+$O$5)^(($B$7-X867)/365.25)</f>
      </c>
      <c r="AC867" s="1"/>
      <c r="AD867" s="1"/>
      <c r="AE867" s="1"/>
      <c r="AF867" s="111">
        <f>+MONTH(E867)&amp;YEAR(E867)</f>
      </c>
      <c r="AG867" s="217">
        <f>+I867</f>
      </c>
      <c r="AH867" s="217">
        <f>+J867</f>
      </c>
      <c r="AI867" s="217">
        <f>+H867</f>
      </c>
      <c r="AJ867" s="111">
        <f>+V867&amp;W867</f>
      </c>
      <c r="AK867" s="217">
        <f>+_xlfn.IFNA(VLOOKUP(AJ867,$AF$7:$AG$1066,2,0),0)</f>
      </c>
      <c r="AL867" s="217">
        <f>+IF(W867&gt;W866,AK867,AL866+AK867)</f>
      </c>
      <c r="AM867" s="217">
        <f>IF(W867&gt;W866,IF(AL867&gt;=$AZ$8,$AZ$8,AL867),IF(OR(AM866=$AZ$8,AM866=0),0,IF(AL867&gt;=$AZ$8,$AZ$8,AL867)))</f>
      </c>
      <c r="AN867" s="748">
        <f>+IF(OR(AM867&gt;AZ866,AM867=0),0,IF(AM867=AL867,AK867,$AZ$7-AL866))</f>
      </c>
      <c r="AO867" s="748">
        <f>+AK867-AN867</f>
      </c>
      <c r="AP867" s="217">
        <f>+_xlfn.IFNA(VLOOKUP(AJ867,$AF$7:$AI$1066,3,0),0)</f>
      </c>
      <c r="AQ867" s="217">
        <f>+IF(W867&gt;W866,AP867,AQ866+AP867)</f>
      </c>
      <c r="AR867" s="217">
        <f>+MAX($AM$2-SUMIF($W$7:$W$1066,W867,$AN$7:$AN$1066),0)</f>
      </c>
      <c r="AS867" s="748">
        <f>+MAX(IF(AQ867&gt;AR867,AR867-AQ866,AP867),0)</f>
      </c>
      <c r="AT867" s="748">
        <f>+AP867-AS867</f>
      </c>
      <c r="AU867" s="217">
        <f>+_xlfn.IFNA(VLOOKUP(AJ867,$AF$7:$AI$1066,4,0),0)</f>
      </c>
      <c r="AV867" s="217">
        <f>+IF(W867&gt;W866,AU867,AV866+AU867)</f>
      </c>
      <c r="AW867" s="217">
        <f>+MAX($AM$2-SUMIF($W$7:$W$1066,W867,$AN$7:$AN$1066)-SUMIF($W$7:$W$1066,W867,$AS$7:$AS$1066),0)</f>
      </c>
      <c r="AX867" s="748">
        <f>+MAX(IF(AV867&gt;AW867,AW867-AV866,AU867),0)</f>
      </c>
      <c r="AY867" s="748">
        <f>+AU867-AX867</f>
      </c>
      <c r="AZ867" s="331">
        <f>+$AM$1+IF($AP$1&gt;$AP$2,$AM$3/2)</f>
      </c>
    </row>
    <row x14ac:dyDescent="0.25" r="868" customHeight="1" ht="18.75">
      <c r="A868" s="1"/>
      <c r="B868" s="7"/>
      <c r="C868" s="170"/>
      <c r="D868" s="331">
        <v>861</v>
      </c>
      <c r="E868" s="544">
        <f>+DATE(YEAR(E867),MONTH(E867)-1,DAY(E867))</f>
        <v>25569.041666666668</v>
      </c>
      <c r="F868" s="333">
        <f>IF(DATE(YEAR($B$6),MONTH($B$6)+1,DAY(1))=E868,1,IF(MONTH(E868)=1,F869*(1+$F$5),F869))</f>
      </c>
      <c r="G868" s="333">
        <f>IF('Simulador - 1º Pilar'!$E$99="Sí",IF('Aportaciones PPE'!$B$13&lt;'Aportaciones PPE'!E868,0,F868*$B$8/12),F868*$B$8/12)</f>
      </c>
      <c r="H868" s="333">
        <f>$H$5*G868</f>
      </c>
      <c r="I868" s="333">
        <f>$I$5*G868</f>
      </c>
      <c r="J868" s="333">
        <f>+I868</f>
      </c>
      <c r="K868" s="333">
        <f>(1+$O$5)^(D868/12)*(H868+IF(AND(F868=1,F869=0),$S$4,0))</f>
      </c>
      <c r="L868" s="333">
        <f>(1+$O$5)^(D868/12)*(I868+IF(AND(F868=1,F869=0),0))</f>
      </c>
      <c r="M868" s="333">
        <f>+L868</f>
      </c>
      <c r="N868" s="333">
        <f>L868+K868+M868</f>
      </c>
      <c r="O868" s="170"/>
      <c r="P868" s="7"/>
      <c r="Q868" s="1"/>
      <c r="R868" s="331">
        <f>D868</f>
      </c>
      <c r="S868" s="169"/>
      <c r="T868" s="1"/>
      <c r="U868" s="217"/>
      <c r="V868" s="331">
        <f>+IF(V867=11,12,IF(V867=12,1,V867+1))</f>
      </c>
      <c r="W868" s="331">
        <f>+W867+IF(V867=12,1,0)</f>
      </c>
      <c r="X868" s="555">
        <f>+DATE(W868,V868,1)</f>
        <v>25569.041666666668</v>
      </c>
      <c r="Y868" s="333">
        <f>+_xlfn.IFNA(AN868+AS868+AX868,0)</f>
      </c>
      <c r="Z868" s="333">
        <f>+_xlfn.IFNA(AO868+AT868+AY868,0)</f>
      </c>
      <c r="AA868" s="333">
        <f>Y868*(1+$O$5)^(($B$7-X868)/365.25)</f>
      </c>
      <c r="AB868" s="333">
        <f>Z868*(1+$O$5)^(($B$7-X868)/365.25)</f>
      </c>
      <c r="AC868" s="1"/>
      <c r="AD868" s="1"/>
      <c r="AE868" s="1"/>
      <c r="AF868" s="111">
        <f>+MONTH(E868)&amp;YEAR(E868)</f>
      </c>
      <c r="AG868" s="217">
        <f>+I868</f>
      </c>
      <c r="AH868" s="217">
        <f>+J868</f>
      </c>
      <c r="AI868" s="217">
        <f>+H868</f>
      </c>
      <c r="AJ868" s="111">
        <f>+V868&amp;W868</f>
      </c>
      <c r="AK868" s="217">
        <f>+_xlfn.IFNA(VLOOKUP(AJ868,$AF$7:$AG$1066,2,0),0)</f>
      </c>
      <c r="AL868" s="217">
        <f>+IF(W868&gt;W867,AK868,AL867+AK868)</f>
      </c>
      <c r="AM868" s="217">
        <f>IF(W868&gt;W867,IF(AL868&gt;=$AZ$8,$AZ$8,AL868),IF(OR(AM867=$AZ$8,AM867=0),0,IF(AL868&gt;=$AZ$8,$AZ$8,AL868)))</f>
      </c>
      <c r="AN868" s="748">
        <f>+IF(OR(AM868&gt;AZ867,AM868=0),0,IF(AM868=AL868,AK868,$AZ$7-AL867))</f>
      </c>
      <c r="AO868" s="748">
        <f>+AK868-AN868</f>
      </c>
      <c r="AP868" s="217">
        <f>+_xlfn.IFNA(VLOOKUP(AJ868,$AF$7:$AI$1066,3,0),0)</f>
      </c>
      <c r="AQ868" s="217">
        <f>+IF(W868&gt;W867,AP868,AQ867+AP868)</f>
      </c>
      <c r="AR868" s="217">
        <f>+MAX($AM$2-SUMIF($W$7:$W$1066,W868,$AN$7:$AN$1066),0)</f>
      </c>
      <c r="AS868" s="748">
        <f>+MAX(IF(AQ868&gt;AR868,AR868-AQ867,AP868),0)</f>
      </c>
      <c r="AT868" s="748">
        <f>+AP868-AS868</f>
      </c>
      <c r="AU868" s="217">
        <f>+_xlfn.IFNA(VLOOKUP(AJ868,$AF$7:$AI$1066,4,0),0)</f>
      </c>
      <c r="AV868" s="217">
        <f>+IF(W868&gt;W867,AU868,AV867+AU868)</f>
      </c>
      <c r="AW868" s="217">
        <f>+MAX($AM$2-SUMIF($W$7:$W$1066,W868,$AN$7:$AN$1066)-SUMIF($W$7:$W$1066,W868,$AS$7:$AS$1066),0)</f>
      </c>
      <c r="AX868" s="748">
        <f>+MAX(IF(AV868&gt;AW868,AW868-AV867,AU868),0)</f>
      </c>
      <c r="AY868" s="748">
        <f>+AU868-AX868</f>
      </c>
      <c r="AZ868" s="331">
        <f>+$AM$1+IF($AP$1&gt;$AP$2,$AM$3/2)</f>
      </c>
    </row>
    <row x14ac:dyDescent="0.25" r="869" customHeight="1" ht="18.75">
      <c r="A869" s="1"/>
      <c r="B869" s="7"/>
      <c r="C869" s="170"/>
      <c r="D869" s="331">
        <v>862</v>
      </c>
      <c r="E869" s="544">
        <f>+DATE(YEAR(E868),MONTH(E868)-1,DAY(E868))</f>
        <v>25569.041666666668</v>
      </c>
      <c r="F869" s="333">
        <f>IF(DATE(YEAR($B$6),MONTH($B$6)+1,DAY(1))=E869,1,IF(MONTH(E869)=1,F870*(1+$F$5),F870))</f>
      </c>
      <c r="G869" s="333">
        <f>IF('Simulador - 1º Pilar'!$E$99="Sí",IF('Aportaciones PPE'!$B$13&lt;'Aportaciones PPE'!E869,0,F869*$B$8/12),F869*$B$8/12)</f>
      </c>
      <c r="H869" s="333">
        <f>$H$5*G869</f>
      </c>
      <c r="I869" s="333">
        <f>$I$5*G869</f>
      </c>
      <c r="J869" s="333">
        <f>+I869</f>
      </c>
      <c r="K869" s="333">
        <f>(1+$O$5)^(D869/12)*(H869+IF(AND(F869=1,F870=0),$S$4,0))</f>
      </c>
      <c r="L869" s="333">
        <f>(1+$O$5)^(D869/12)*(I869+IF(AND(F869=1,F870=0),0))</f>
      </c>
      <c r="M869" s="333">
        <f>+L869</f>
      </c>
      <c r="N869" s="333">
        <f>L869+K869+M869</f>
      </c>
      <c r="O869" s="170"/>
      <c r="P869" s="7"/>
      <c r="Q869" s="1"/>
      <c r="R869" s="331">
        <f>D869</f>
      </c>
      <c r="S869" s="169"/>
      <c r="T869" s="1"/>
      <c r="U869" s="217"/>
      <c r="V869" s="331">
        <f>+IF(V868=11,12,IF(V868=12,1,V868+1))</f>
      </c>
      <c r="W869" s="331">
        <f>+W868+IF(V868=12,1,0)</f>
      </c>
      <c r="X869" s="555">
        <f>+DATE(W869,V869,1)</f>
        <v>25569.041666666668</v>
      </c>
      <c r="Y869" s="333">
        <f>+_xlfn.IFNA(AN869+AS869+AX869,0)</f>
      </c>
      <c r="Z869" s="333">
        <f>+_xlfn.IFNA(AO869+AT869+AY869,0)</f>
      </c>
      <c r="AA869" s="333">
        <f>Y869*(1+$O$5)^(($B$7-X869)/365.25)</f>
      </c>
      <c r="AB869" s="333">
        <f>Z869*(1+$O$5)^(($B$7-X869)/365.25)</f>
      </c>
      <c r="AC869" s="1"/>
      <c r="AD869" s="1"/>
      <c r="AE869" s="1"/>
      <c r="AF869" s="111">
        <f>+MONTH(E869)&amp;YEAR(E869)</f>
      </c>
      <c r="AG869" s="217">
        <f>+I869</f>
      </c>
      <c r="AH869" s="217">
        <f>+J869</f>
      </c>
      <c r="AI869" s="217">
        <f>+H869</f>
      </c>
      <c r="AJ869" s="111">
        <f>+V869&amp;W869</f>
      </c>
      <c r="AK869" s="217">
        <f>+_xlfn.IFNA(VLOOKUP(AJ869,$AF$7:$AG$1066,2,0),0)</f>
      </c>
      <c r="AL869" s="217">
        <f>+IF(W869&gt;W868,AK869,AL868+AK869)</f>
      </c>
      <c r="AM869" s="217">
        <f>IF(W869&gt;W868,IF(AL869&gt;=$AZ$8,$AZ$8,AL869),IF(OR(AM868=$AZ$8,AM868=0),0,IF(AL869&gt;=$AZ$8,$AZ$8,AL869)))</f>
      </c>
      <c r="AN869" s="748">
        <f>+IF(OR(AM869&gt;AZ868,AM869=0),0,IF(AM869=AL869,AK869,$AZ$7-AL868))</f>
      </c>
      <c r="AO869" s="748">
        <f>+AK869-AN869</f>
      </c>
      <c r="AP869" s="217">
        <f>+_xlfn.IFNA(VLOOKUP(AJ869,$AF$7:$AI$1066,3,0),0)</f>
      </c>
      <c r="AQ869" s="217">
        <f>+IF(W869&gt;W868,AP869,AQ868+AP869)</f>
      </c>
      <c r="AR869" s="217">
        <f>+MAX($AM$2-SUMIF($W$7:$W$1066,W869,$AN$7:$AN$1066),0)</f>
      </c>
      <c r="AS869" s="748">
        <f>+MAX(IF(AQ869&gt;AR869,AR869-AQ868,AP869),0)</f>
      </c>
      <c r="AT869" s="748">
        <f>+AP869-AS869</f>
      </c>
      <c r="AU869" s="217">
        <f>+_xlfn.IFNA(VLOOKUP(AJ869,$AF$7:$AI$1066,4,0),0)</f>
      </c>
      <c r="AV869" s="217">
        <f>+IF(W869&gt;W868,AU869,AV868+AU869)</f>
      </c>
      <c r="AW869" s="217">
        <f>+MAX($AM$2-SUMIF($W$7:$W$1066,W869,$AN$7:$AN$1066)-SUMIF($W$7:$W$1066,W869,$AS$7:$AS$1066),0)</f>
      </c>
      <c r="AX869" s="748">
        <f>+MAX(IF(AV869&gt;AW869,AW869-AV868,AU869),0)</f>
      </c>
      <c r="AY869" s="748">
        <f>+AU869-AX869</f>
      </c>
      <c r="AZ869" s="331">
        <f>+$AM$1+IF($AP$1&gt;$AP$2,$AM$3/2)</f>
      </c>
    </row>
    <row x14ac:dyDescent="0.25" r="870" customHeight="1" ht="18.75">
      <c r="A870" s="1"/>
      <c r="B870" s="7"/>
      <c r="C870" s="170"/>
      <c r="D870" s="331">
        <v>863</v>
      </c>
      <c r="E870" s="544">
        <f>+DATE(YEAR(E869),MONTH(E869)-1,DAY(E869))</f>
        <v>25569.041666666668</v>
      </c>
      <c r="F870" s="333">
        <f>IF(DATE(YEAR($B$6),MONTH($B$6)+1,DAY(1))=E870,1,IF(MONTH(E870)=1,F871*(1+$F$5),F871))</f>
      </c>
      <c r="G870" s="333">
        <f>IF('Simulador - 1º Pilar'!$E$99="Sí",IF('Aportaciones PPE'!$B$13&lt;'Aportaciones PPE'!E870,0,F870*$B$8/12),F870*$B$8/12)</f>
      </c>
      <c r="H870" s="333">
        <f>$H$5*G870</f>
      </c>
      <c r="I870" s="333">
        <f>$I$5*G870</f>
      </c>
      <c r="J870" s="333">
        <f>+I870</f>
      </c>
      <c r="K870" s="333">
        <f>(1+$O$5)^(D870/12)*(H870+IF(AND(F870=1,F871=0),$S$4,0))</f>
      </c>
      <c r="L870" s="333">
        <f>(1+$O$5)^(D870/12)*(I870+IF(AND(F870=1,F871=0),0))</f>
      </c>
      <c r="M870" s="333">
        <f>+L870</f>
      </c>
      <c r="N870" s="333">
        <f>L870+K870+M870</f>
      </c>
      <c r="O870" s="170"/>
      <c r="P870" s="7"/>
      <c r="Q870" s="1"/>
      <c r="R870" s="331">
        <f>D870</f>
      </c>
      <c r="S870" s="169"/>
      <c r="T870" s="1"/>
      <c r="U870" s="217"/>
      <c r="V870" s="331">
        <f>+IF(V869=11,12,IF(V869=12,1,V869+1))</f>
      </c>
      <c r="W870" s="331">
        <f>+W869+IF(V869=12,1,0)</f>
      </c>
      <c r="X870" s="555">
        <f>+DATE(W870,V870,1)</f>
        <v>25569.041666666668</v>
      </c>
      <c r="Y870" s="333">
        <f>+_xlfn.IFNA(AN870+AS870+AX870,0)</f>
      </c>
      <c r="Z870" s="333">
        <f>+_xlfn.IFNA(AO870+AT870+AY870,0)</f>
      </c>
      <c r="AA870" s="333">
        <f>Y870*(1+$O$5)^(($B$7-X870)/365.25)</f>
      </c>
      <c r="AB870" s="333">
        <f>Z870*(1+$O$5)^(($B$7-X870)/365.25)</f>
      </c>
      <c r="AC870" s="1"/>
      <c r="AD870" s="1"/>
      <c r="AE870" s="1"/>
      <c r="AF870" s="111">
        <f>+MONTH(E870)&amp;YEAR(E870)</f>
      </c>
      <c r="AG870" s="217">
        <f>+I870</f>
      </c>
      <c r="AH870" s="217">
        <f>+J870</f>
      </c>
      <c r="AI870" s="217">
        <f>+H870</f>
      </c>
      <c r="AJ870" s="111">
        <f>+V870&amp;W870</f>
      </c>
      <c r="AK870" s="217">
        <f>+_xlfn.IFNA(VLOOKUP(AJ870,$AF$7:$AG$1066,2,0),0)</f>
      </c>
      <c r="AL870" s="217">
        <f>+IF(W870&gt;W869,AK870,AL869+AK870)</f>
      </c>
      <c r="AM870" s="217">
        <f>IF(W870&gt;W869,IF(AL870&gt;=$AZ$8,$AZ$8,AL870),IF(OR(AM869=$AZ$8,AM869=0),0,IF(AL870&gt;=$AZ$8,$AZ$8,AL870)))</f>
      </c>
      <c r="AN870" s="748">
        <f>+IF(OR(AM870&gt;AZ869,AM870=0),0,IF(AM870=AL870,AK870,$AZ$7-AL869))</f>
      </c>
      <c r="AO870" s="748">
        <f>+AK870-AN870</f>
      </c>
      <c r="AP870" s="217">
        <f>+_xlfn.IFNA(VLOOKUP(AJ870,$AF$7:$AI$1066,3,0),0)</f>
      </c>
      <c r="AQ870" s="217">
        <f>+IF(W870&gt;W869,AP870,AQ869+AP870)</f>
      </c>
      <c r="AR870" s="217">
        <f>+MAX($AM$2-SUMIF($W$7:$W$1066,W870,$AN$7:$AN$1066),0)</f>
      </c>
      <c r="AS870" s="748">
        <f>+MAX(IF(AQ870&gt;AR870,AR870-AQ869,AP870),0)</f>
      </c>
      <c r="AT870" s="748">
        <f>+AP870-AS870</f>
      </c>
      <c r="AU870" s="217">
        <f>+_xlfn.IFNA(VLOOKUP(AJ870,$AF$7:$AI$1066,4,0),0)</f>
      </c>
      <c r="AV870" s="217">
        <f>+IF(W870&gt;W869,AU870,AV869+AU870)</f>
      </c>
      <c r="AW870" s="217">
        <f>+MAX($AM$2-SUMIF($W$7:$W$1066,W870,$AN$7:$AN$1066)-SUMIF($W$7:$W$1066,W870,$AS$7:$AS$1066),0)</f>
      </c>
      <c r="AX870" s="748">
        <f>+MAX(IF(AV870&gt;AW870,AW870-AV869,AU870),0)</f>
      </c>
      <c r="AY870" s="748">
        <f>+AU870-AX870</f>
      </c>
      <c r="AZ870" s="331">
        <f>+$AM$1+IF($AP$1&gt;$AP$2,$AM$3/2)</f>
      </c>
    </row>
    <row x14ac:dyDescent="0.25" r="871" customHeight="1" ht="18.75">
      <c r="A871" s="1"/>
      <c r="B871" s="7"/>
      <c r="C871" s="170"/>
      <c r="D871" s="331">
        <v>864</v>
      </c>
      <c r="E871" s="544">
        <f>+DATE(YEAR(E870),MONTH(E870)-1,DAY(E870))</f>
        <v>25569.041666666668</v>
      </c>
      <c r="F871" s="333">
        <f>IF(DATE(YEAR($B$6),MONTH($B$6)+1,DAY(1))=E871,1,IF(MONTH(E871)=1,F872*(1+$F$5),F872))</f>
      </c>
      <c r="G871" s="333">
        <f>IF('Simulador - 1º Pilar'!$E$99="Sí",IF('Aportaciones PPE'!$B$13&lt;'Aportaciones PPE'!E871,0,F871*$B$8/12),F871*$B$8/12)</f>
      </c>
      <c r="H871" s="333">
        <f>$H$5*G871</f>
      </c>
      <c r="I871" s="333">
        <f>$I$5*G871</f>
      </c>
      <c r="J871" s="333">
        <f>+I871</f>
      </c>
      <c r="K871" s="333">
        <f>(1+$O$5)^(D871/12)*(H871+IF(AND(F871=1,F872=0),$S$4,0))</f>
      </c>
      <c r="L871" s="333">
        <f>(1+$O$5)^(D871/12)*(I871+IF(AND(F871=1,F872=0),0))</f>
      </c>
      <c r="M871" s="333">
        <f>+L871</f>
      </c>
      <c r="N871" s="333">
        <f>L871+K871+M871</f>
      </c>
      <c r="O871" s="170"/>
      <c r="P871" s="7"/>
      <c r="Q871" s="1"/>
      <c r="R871" s="331">
        <f>D871</f>
      </c>
      <c r="S871" s="169"/>
      <c r="T871" s="1"/>
      <c r="U871" s="217"/>
      <c r="V871" s="331">
        <f>+IF(V870=11,12,IF(V870=12,1,V870+1))</f>
      </c>
      <c r="W871" s="331">
        <f>+W870+IF(V870=12,1,0)</f>
      </c>
      <c r="X871" s="555">
        <f>+DATE(W871,V871,1)</f>
        <v>25569.041666666668</v>
      </c>
      <c r="Y871" s="333">
        <f>+_xlfn.IFNA(AN871+AS871+AX871,0)</f>
      </c>
      <c r="Z871" s="333">
        <f>+_xlfn.IFNA(AO871+AT871+AY871,0)</f>
      </c>
      <c r="AA871" s="333">
        <f>Y871*(1+$O$5)^(($B$7-X871)/365.25)</f>
      </c>
      <c r="AB871" s="333">
        <f>Z871*(1+$O$5)^(($B$7-X871)/365.25)</f>
      </c>
      <c r="AC871" s="1"/>
      <c r="AD871" s="1"/>
      <c r="AE871" s="1"/>
      <c r="AF871" s="111">
        <f>+MONTH(E871)&amp;YEAR(E871)</f>
      </c>
      <c r="AG871" s="217">
        <f>+I871</f>
      </c>
      <c r="AH871" s="217">
        <f>+J871</f>
      </c>
      <c r="AI871" s="217">
        <f>+H871</f>
      </c>
      <c r="AJ871" s="111">
        <f>+V871&amp;W871</f>
      </c>
      <c r="AK871" s="217">
        <f>+_xlfn.IFNA(VLOOKUP(AJ871,$AF$7:$AG$1066,2,0),0)</f>
      </c>
      <c r="AL871" s="217">
        <f>+IF(W871&gt;W870,AK871,AL870+AK871)</f>
      </c>
      <c r="AM871" s="217">
        <f>IF(W871&gt;W870,IF(AL871&gt;=$AZ$8,$AZ$8,AL871),IF(OR(AM870=$AZ$8,AM870=0),0,IF(AL871&gt;=$AZ$8,$AZ$8,AL871)))</f>
      </c>
      <c r="AN871" s="748">
        <f>+IF(OR(AM871&gt;AZ870,AM871=0),0,IF(AM871=AL871,AK871,$AZ$7-AL870))</f>
      </c>
      <c r="AO871" s="748">
        <f>+AK871-AN871</f>
      </c>
      <c r="AP871" s="217">
        <f>+_xlfn.IFNA(VLOOKUP(AJ871,$AF$7:$AI$1066,3,0),0)</f>
      </c>
      <c r="AQ871" s="217">
        <f>+IF(W871&gt;W870,AP871,AQ870+AP871)</f>
      </c>
      <c r="AR871" s="217">
        <f>+MAX($AM$2-SUMIF($W$7:$W$1066,W871,$AN$7:$AN$1066),0)</f>
      </c>
      <c r="AS871" s="748">
        <f>+MAX(IF(AQ871&gt;AR871,AR871-AQ870,AP871),0)</f>
      </c>
      <c r="AT871" s="748">
        <f>+AP871-AS871</f>
      </c>
      <c r="AU871" s="217">
        <f>+_xlfn.IFNA(VLOOKUP(AJ871,$AF$7:$AI$1066,4,0),0)</f>
      </c>
      <c r="AV871" s="217">
        <f>+IF(W871&gt;W870,AU871,AV870+AU871)</f>
      </c>
      <c r="AW871" s="217">
        <f>+MAX($AM$2-SUMIF($W$7:$W$1066,W871,$AN$7:$AN$1066)-SUMIF($W$7:$W$1066,W871,$AS$7:$AS$1066),0)</f>
      </c>
      <c r="AX871" s="748">
        <f>+MAX(IF(AV871&gt;AW871,AW871-AV870,AU871),0)</f>
      </c>
      <c r="AY871" s="748">
        <f>+AU871-AX871</f>
      </c>
      <c r="AZ871" s="331">
        <f>+$AM$1+IF($AP$1&gt;$AP$2,$AM$3/2)</f>
      </c>
    </row>
    <row x14ac:dyDescent="0.25" r="872" customHeight="1" ht="18.75">
      <c r="A872" s="1"/>
      <c r="B872" s="7"/>
      <c r="C872" s="170"/>
      <c r="D872" s="331">
        <v>865</v>
      </c>
      <c r="E872" s="544">
        <f>+DATE(YEAR(E871),MONTH(E871)-1,DAY(E871))</f>
        <v>25569.041666666668</v>
      </c>
      <c r="F872" s="333">
        <f>IF(DATE(YEAR($B$6),MONTH($B$6)+1,DAY(1))=E872,1,IF(MONTH(E872)=1,F873*(1+$F$5),F873))</f>
      </c>
      <c r="G872" s="333">
        <f>IF('Simulador - 1º Pilar'!$E$99="Sí",IF('Aportaciones PPE'!$B$13&lt;'Aportaciones PPE'!E872,0,F872*$B$8/12),F872*$B$8/12)</f>
      </c>
      <c r="H872" s="333">
        <f>$H$5*G872</f>
      </c>
      <c r="I872" s="333">
        <f>$I$5*G872</f>
      </c>
      <c r="J872" s="333">
        <f>+I872</f>
      </c>
      <c r="K872" s="333">
        <f>(1+$O$5)^(D872/12)*(H872+IF(AND(F872=1,F873=0),$S$4,0))</f>
      </c>
      <c r="L872" s="333">
        <f>(1+$O$5)^(D872/12)*(I872+IF(AND(F872=1,F873=0),0))</f>
      </c>
      <c r="M872" s="333">
        <f>+L872</f>
      </c>
      <c r="N872" s="333">
        <f>L872+K872+M872</f>
      </c>
      <c r="O872" s="170"/>
      <c r="P872" s="7"/>
      <c r="Q872" s="1"/>
      <c r="R872" s="331">
        <f>D872</f>
      </c>
      <c r="S872" s="169"/>
      <c r="T872" s="1"/>
      <c r="U872" s="217"/>
      <c r="V872" s="331">
        <f>+IF(V871=11,12,IF(V871=12,1,V871+1))</f>
      </c>
      <c r="W872" s="331">
        <f>+W871+IF(V871=12,1,0)</f>
      </c>
      <c r="X872" s="555">
        <f>+DATE(W872,V872,1)</f>
        <v>25569.041666666668</v>
      </c>
      <c r="Y872" s="333">
        <f>+_xlfn.IFNA(AN872+AS872+AX872,0)</f>
      </c>
      <c r="Z872" s="333">
        <f>+_xlfn.IFNA(AO872+AT872+AY872,0)</f>
      </c>
      <c r="AA872" s="333">
        <f>Y872*(1+$O$5)^(($B$7-X872)/365.25)</f>
      </c>
      <c r="AB872" s="333">
        <f>Z872*(1+$O$5)^(($B$7-X872)/365.25)</f>
      </c>
      <c r="AC872" s="1"/>
      <c r="AD872" s="1"/>
      <c r="AE872" s="1"/>
      <c r="AF872" s="111">
        <f>+MONTH(E872)&amp;YEAR(E872)</f>
      </c>
      <c r="AG872" s="217">
        <f>+I872</f>
      </c>
      <c r="AH872" s="217">
        <f>+J872</f>
      </c>
      <c r="AI872" s="217">
        <f>+H872</f>
      </c>
      <c r="AJ872" s="111">
        <f>+V872&amp;W872</f>
      </c>
      <c r="AK872" s="217">
        <f>+_xlfn.IFNA(VLOOKUP(AJ872,$AF$7:$AG$1066,2,0),0)</f>
      </c>
      <c r="AL872" s="217">
        <f>+IF(W872&gt;W871,AK872,AL871+AK872)</f>
      </c>
      <c r="AM872" s="217">
        <f>IF(W872&gt;W871,IF(AL872&gt;=$AZ$8,$AZ$8,AL872),IF(OR(AM871=$AZ$8,AM871=0),0,IF(AL872&gt;=$AZ$8,$AZ$8,AL872)))</f>
      </c>
      <c r="AN872" s="748">
        <f>+IF(OR(AM872&gt;AZ871,AM872=0),0,IF(AM872=AL872,AK872,$AZ$7-AL871))</f>
      </c>
      <c r="AO872" s="748">
        <f>+AK872-AN872</f>
      </c>
      <c r="AP872" s="217">
        <f>+_xlfn.IFNA(VLOOKUP(AJ872,$AF$7:$AI$1066,3,0),0)</f>
      </c>
      <c r="AQ872" s="217">
        <f>+IF(W872&gt;W871,AP872,AQ871+AP872)</f>
      </c>
      <c r="AR872" s="217">
        <f>+MAX($AM$2-SUMIF($W$7:$W$1066,W872,$AN$7:$AN$1066),0)</f>
      </c>
      <c r="AS872" s="748">
        <f>+MAX(IF(AQ872&gt;AR872,AR872-AQ871,AP872),0)</f>
      </c>
      <c r="AT872" s="748">
        <f>+AP872-AS872</f>
      </c>
      <c r="AU872" s="217">
        <f>+_xlfn.IFNA(VLOOKUP(AJ872,$AF$7:$AI$1066,4,0),0)</f>
      </c>
      <c r="AV872" s="217">
        <f>+IF(W872&gt;W871,AU872,AV871+AU872)</f>
      </c>
      <c r="AW872" s="217">
        <f>+MAX($AM$2-SUMIF($W$7:$W$1066,W872,$AN$7:$AN$1066)-SUMIF($W$7:$W$1066,W872,$AS$7:$AS$1066),0)</f>
      </c>
      <c r="AX872" s="748">
        <f>+MAX(IF(AV872&gt;AW872,AW872-AV871,AU872),0)</f>
      </c>
      <c r="AY872" s="748">
        <f>+AU872-AX872</f>
      </c>
      <c r="AZ872" s="331">
        <f>+$AM$1+IF($AP$1&gt;$AP$2,$AM$3/2)</f>
      </c>
    </row>
    <row x14ac:dyDescent="0.25" r="873" customHeight="1" ht="18.75">
      <c r="A873" s="1"/>
      <c r="B873" s="7"/>
      <c r="C873" s="170"/>
      <c r="D873" s="331">
        <v>866</v>
      </c>
      <c r="E873" s="544">
        <f>+DATE(YEAR(E872),MONTH(E872)-1,DAY(E872))</f>
        <v>25569.041666666668</v>
      </c>
      <c r="F873" s="333">
        <f>IF(DATE(YEAR($B$6),MONTH($B$6)+1,DAY(1))=E873,1,IF(MONTH(E873)=1,F874*(1+$F$5),F874))</f>
      </c>
      <c r="G873" s="333">
        <f>IF('Simulador - 1º Pilar'!$E$99="Sí",IF('Aportaciones PPE'!$B$13&lt;'Aportaciones PPE'!E873,0,F873*$B$8/12),F873*$B$8/12)</f>
      </c>
      <c r="H873" s="333">
        <f>$H$5*G873</f>
      </c>
      <c r="I873" s="333">
        <f>$I$5*G873</f>
      </c>
      <c r="J873" s="333">
        <f>+I873</f>
      </c>
      <c r="K873" s="333">
        <f>(1+$O$5)^(D873/12)*(H873+IF(AND(F873=1,F874=0),$S$4,0))</f>
      </c>
      <c r="L873" s="333">
        <f>(1+$O$5)^(D873/12)*(I873+IF(AND(F873=1,F874=0),0))</f>
      </c>
      <c r="M873" s="333">
        <f>+L873</f>
      </c>
      <c r="N873" s="333">
        <f>L873+K873+M873</f>
      </c>
      <c r="O873" s="170"/>
      <c r="P873" s="7"/>
      <c r="Q873" s="1"/>
      <c r="R873" s="331">
        <f>D873</f>
      </c>
      <c r="S873" s="169"/>
      <c r="T873" s="1"/>
      <c r="U873" s="217"/>
      <c r="V873" s="331">
        <f>+IF(V872=11,12,IF(V872=12,1,V872+1))</f>
      </c>
      <c r="W873" s="331">
        <f>+W872+IF(V872=12,1,0)</f>
      </c>
      <c r="X873" s="555">
        <f>+DATE(W873,V873,1)</f>
        <v>25569.041666666668</v>
      </c>
      <c r="Y873" s="333">
        <f>+_xlfn.IFNA(AN873+AS873+AX873,0)</f>
      </c>
      <c r="Z873" s="333">
        <f>+_xlfn.IFNA(AO873+AT873+AY873,0)</f>
      </c>
      <c r="AA873" s="333">
        <f>Y873*(1+$O$5)^(($B$7-X873)/365.25)</f>
      </c>
      <c r="AB873" s="333">
        <f>Z873*(1+$O$5)^(($B$7-X873)/365.25)</f>
      </c>
      <c r="AC873" s="1"/>
      <c r="AD873" s="1"/>
      <c r="AE873" s="1"/>
      <c r="AF873" s="111">
        <f>+MONTH(E873)&amp;YEAR(E873)</f>
      </c>
      <c r="AG873" s="217">
        <f>+I873</f>
      </c>
      <c r="AH873" s="217">
        <f>+J873</f>
      </c>
      <c r="AI873" s="217">
        <f>+H873</f>
      </c>
      <c r="AJ873" s="111">
        <f>+V873&amp;W873</f>
      </c>
      <c r="AK873" s="217">
        <f>+_xlfn.IFNA(VLOOKUP(AJ873,$AF$7:$AG$1066,2,0),0)</f>
      </c>
      <c r="AL873" s="217">
        <f>+IF(W873&gt;W872,AK873,AL872+AK873)</f>
      </c>
      <c r="AM873" s="217">
        <f>IF(W873&gt;W872,IF(AL873&gt;=$AZ$8,$AZ$8,AL873),IF(OR(AM872=$AZ$8,AM872=0),0,IF(AL873&gt;=$AZ$8,$AZ$8,AL873)))</f>
      </c>
      <c r="AN873" s="748">
        <f>+IF(OR(AM873&gt;AZ872,AM873=0),0,IF(AM873=AL873,AK873,$AZ$7-AL872))</f>
      </c>
      <c r="AO873" s="748">
        <f>+AK873-AN873</f>
      </c>
      <c r="AP873" s="217">
        <f>+_xlfn.IFNA(VLOOKUP(AJ873,$AF$7:$AI$1066,3,0),0)</f>
      </c>
      <c r="AQ873" s="217">
        <f>+IF(W873&gt;W872,AP873,AQ872+AP873)</f>
      </c>
      <c r="AR873" s="217">
        <f>+MAX($AM$2-SUMIF($W$7:$W$1066,W873,$AN$7:$AN$1066),0)</f>
      </c>
      <c r="AS873" s="748">
        <f>+MAX(IF(AQ873&gt;AR873,AR873-AQ872,AP873),0)</f>
      </c>
      <c r="AT873" s="748">
        <f>+AP873-AS873</f>
      </c>
      <c r="AU873" s="217">
        <f>+_xlfn.IFNA(VLOOKUP(AJ873,$AF$7:$AI$1066,4,0),0)</f>
      </c>
      <c r="AV873" s="217">
        <f>+IF(W873&gt;W872,AU873,AV872+AU873)</f>
      </c>
      <c r="AW873" s="217">
        <f>+MAX($AM$2-SUMIF($W$7:$W$1066,W873,$AN$7:$AN$1066)-SUMIF($W$7:$W$1066,W873,$AS$7:$AS$1066),0)</f>
      </c>
      <c r="AX873" s="748">
        <f>+MAX(IF(AV873&gt;AW873,AW873-AV872,AU873),0)</f>
      </c>
      <c r="AY873" s="748">
        <f>+AU873-AX873</f>
      </c>
      <c r="AZ873" s="331">
        <f>+$AM$1+IF($AP$1&gt;$AP$2,$AM$3/2)</f>
      </c>
    </row>
    <row x14ac:dyDescent="0.25" r="874" customHeight="1" ht="18.75">
      <c r="A874" s="1"/>
      <c r="B874" s="7"/>
      <c r="C874" s="170"/>
      <c r="D874" s="331">
        <v>867</v>
      </c>
      <c r="E874" s="544">
        <f>+DATE(YEAR(E873),MONTH(E873)-1,DAY(E873))</f>
        <v>25569.041666666668</v>
      </c>
      <c r="F874" s="333">
        <f>IF(DATE(YEAR($B$6),MONTH($B$6)+1,DAY(1))=E874,1,IF(MONTH(E874)=1,F875*(1+$F$5),F875))</f>
      </c>
      <c r="G874" s="333">
        <f>IF('Simulador - 1º Pilar'!$E$99="Sí",IF('Aportaciones PPE'!$B$13&lt;'Aportaciones PPE'!E874,0,F874*$B$8/12),F874*$B$8/12)</f>
      </c>
      <c r="H874" s="333">
        <f>$H$5*G874</f>
      </c>
      <c r="I874" s="333">
        <f>$I$5*G874</f>
      </c>
      <c r="J874" s="333">
        <f>+I874</f>
      </c>
      <c r="K874" s="333">
        <f>(1+$O$5)^(D874/12)*(H874+IF(AND(F874=1,F875=0),$S$4,0))</f>
      </c>
      <c r="L874" s="333">
        <f>(1+$O$5)^(D874/12)*(I874+IF(AND(F874=1,F875=0),0))</f>
      </c>
      <c r="M874" s="333">
        <f>+L874</f>
      </c>
      <c r="N874" s="333">
        <f>L874+K874+M874</f>
      </c>
      <c r="O874" s="170"/>
      <c r="P874" s="7"/>
      <c r="Q874" s="1"/>
      <c r="R874" s="331">
        <f>D874</f>
      </c>
      <c r="S874" s="169"/>
      <c r="T874" s="1"/>
      <c r="U874" s="217"/>
      <c r="V874" s="331">
        <f>+IF(V873=11,12,IF(V873=12,1,V873+1))</f>
      </c>
      <c r="W874" s="331">
        <f>+W873+IF(V873=12,1,0)</f>
      </c>
      <c r="X874" s="555">
        <f>+DATE(W874,V874,1)</f>
        <v>25569.041666666668</v>
      </c>
      <c r="Y874" s="333">
        <f>+_xlfn.IFNA(AN874+AS874+AX874,0)</f>
      </c>
      <c r="Z874" s="333">
        <f>+_xlfn.IFNA(AO874+AT874+AY874,0)</f>
      </c>
      <c r="AA874" s="333">
        <f>Y874*(1+$O$5)^(($B$7-X874)/365.25)</f>
      </c>
      <c r="AB874" s="333">
        <f>Z874*(1+$O$5)^(($B$7-X874)/365.25)</f>
      </c>
      <c r="AC874" s="1"/>
      <c r="AD874" s="1"/>
      <c r="AE874" s="1"/>
      <c r="AF874" s="111">
        <f>+MONTH(E874)&amp;YEAR(E874)</f>
      </c>
      <c r="AG874" s="217">
        <f>+I874</f>
      </c>
      <c r="AH874" s="217">
        <f>+J874</f>
      </c>
      <c r="AI874" s="217">
        <f>+H874</f>
      </c>
      <c r="AJ874" s="111">
        <f>+V874&amp;W874</f>
      </c>
      <c r="AK874" s="217">
        <f>+_xlfn.IFNA(VLOOKUP(AJ874,$AF$7:$AG$1066,2,0),0)</f>
      </c>
      <c r="AL874" s="217">
        <f>+IF(W874&gt;W873,AK874,AL873+AK874)</f>
      </c>
      <c r="AM874" s="217">
        <f>IF(W874&gt;W873,IF(AL874&gt;=$AZ$8,$AZ$8,AL874),IF(OR(AM873=$AZ$8,AM873=0),0,IF(AL874&gt;=$AZ$8,$AZ$8,AL874)))</f>
      </c>
      <c r="AN874" s="748">
        <f>+IF(OR(AM874&gt;AZ873,AM874=0),0,IF(AM874=AL874,AK874,$AZ$7-AL873))</f>
      </c>
      <c r="AO874" s="748">
        <f>+AK874-AN874</f>
      </c>
      <c r="AP874" s="217">
        <f>+_xlfn.IFNA(VLOOKUP(AJ874,$AF$7:$AI$1066,3,0),0)</f>
      </c>
      <c r="AQ874" s="217">
        <f>+IF(W874&gt;W873,AP874,AQ873+AP874)</f>
      </c>
      <c r="AR874" s="217">
        <f>+MAX($AM$2-SUMIF($W$7:$W$1066,W874,$AN$7:$AN$1066),0)</f>
      </c>
      <c r="AS874" s="748">
        <f>+MAX(IF(AQ874&gt;AR874,AR874-AQ873,AP874),0)</f>
      </c>
      <c r="AT874" s="748">
        <f>+AP874-AS874</f>
      </c>
      <c r="AU874" s="217">
        <f>+_xlfn.IFNA(VLOOKUP(AJ874,$AF$7:$AI$1066,4,0),0)</f>
      </c>
      <c r="AV874" s="217">
        <f>+IF(W874&gt;W873,AU874,AV873+AU874)</f>
      </c>
      <c r="AW874" s="217">
        <f>+MAX($AM$2-SUMIF($W$7:$W$1066,W874,$AN$7:$AN$1066)-SUMIF($W$7:$W$1066,W874,$AS$7:$AS$1066),0)</f>
      </c>
      <c r="AX874" s="748">
        <f>+MAX(IF(AV874&gt;AW874,AW874-AV873,AU874),0)</f>
      </c>
      <c r="AY874" s="748">
        <f>+AU874-AX874</f>
      </c>
      <c r="AZ874" s="331">
        <f>+$AM$1+IF($AP$1&gt;$AP$2,$AM$3/2)</f>
      </c>
    </row>
    <row x14ac:dyDescent="0.25" r="875" customHeight="1" ht="18.75">
      <c r="A875" s="1"/>
      <c r="B875" s="7"/>
      <c r="C875" s="170"/>
      <c r="D875" s="331">
        <v>868</v>
      </c>
      <c r="E875" s="544">
        <f>+DATE(YEAR(E874),MONTH(E874)-1,DAY(E874))</f>
        <v>25569.041666666668</v>
      </c>
      <c r="F875" s="333">
        <f>IF(DATE(YEAR($B$6),MONTH($B$6)+1,DAY(1))=E875,1,IF(MONTH(E875)=1,F876*(1+$F$5),F876))</f>
      </c>
      <c r="G875" s="333">
        <f>IF('Simulador - 1º Pilar'!$E$99="Sí",IF('Aportaciones PPE'!$B$13&lt;'Aportaciones PPE'!E875,0,F875*$B$8/12),F875*$B$8/12)</f>
      </c>
      <c r="H875" s="333">
        <f>$H$5*G875</f>
      </c>
      <c r="I875" s="333">
        <f>$I$5*G875</f>
      </c>
      <c r="J875" s="333">
        <f>+I875</f>
      </c>
      <c r="K875" s="333">
        <f>(1+$O$5)^(D875/12)*(H875+IF(AND(F875=1,F876=0),$S$4,0))</f>
      </c>
      <c r="L875" s="333">
        <f>(1+$O$5)^(D875/12)*(I875+IF(AND(F875=1,F876=0),0))</f>
      </c>
      <c r="M875" s="333">
        <f>+L875</f>
      </c>
      <c r="N875" s="333">
        <f>L875+K875+M875</f>
      </c>
      <c r="O875" s="170"/>
      <c r="P875" s="7"/>
      <c r="Q875" s="1"/>
      <c r="R875" s="331">
        <f>D875</f>
      </c>
      <c r="S875" s="169"/>
      <c r="T875" s="1"/>
      <c r="U875" s="217"/>
      <c r="V875" s="331">
        <f>+IF(V874=11,12,IF(V874=12,1,V874+1))</f>
      </c>
      <c r="W875" s="331">
        <f>+W874+IF(V874=12,1,0)</f>
      </c>
      <c r="X875" s="555">
        <f>+DATE(W875,V875,1)</f>
        <v>25569.041666666668</v>
      </c>
      <c r="Y875" s="333">
        <f>+_xlfn.IFNA(AN875+AS875+AX875,0)</f>
      </c>
      <c r="Z875" s="333">
        <f>+_xlfn.IFNA(AO875+AT875+AY875,0)</f>
      </c>
      <c r="AA875" s="333">
        <f>Y875*(1+$O$5)^(($B$7-X875)/365.25)</f>
      </c>
      <c r="AB875" s="333">
        <f>Z875*(1+$O$5)^(($B$7-X875)/365.25)</f>
      </c>
      <c r="AC875" s="1"/>
      <c r="AD875" s="1"/>
      <c r="AE875" s="1"/>
      <c r="AF875" s="111">
        <f>+MONTH(E875)&amp;YEAR(E875)</f>
      </c>
      <c r="AG875" s="217">
        <f>+I875</f>
      </c>
      <c r="AH875" s="217">
        <f>+J875</f>
      </c>
      <c r="AI875" s="217">
        <f>+H875</f>
      </c>
      <c r="AJ875" s="111">
        <f>+V875&amp;W875</f>
      </c>
      <c r="AK875" s="217">
        <f>+_xlfn.IFNA(VLOOKUP(AJ875,$AF$7:$AG$1066,2,0),0)</f>
      </c>
      <c r="AL875" s="217">
        <f>+IF(W875&gt;W874,AK875,AL874+AK875)</f>
      </c>
      <c r="AM875" s="217">
        <f>IF(W875&gt;W874,IF(AL875&gt;=$AZ$8,$AZ$8,AL875),IF(OR(AM874=$AZ$8,AM874=0),0,IF(AL875&gt;=$AZ$8,$AZ$8,AL875)))</f>
      </c>
      <c r="AN875" s="748">
        <f>+IF(OR(AM875&gt;AZ874,AM875=0),0,IF(AM875=AL875,AK875,$AZ$7-AL874))</f>
      </c>
      <c r="AO875" s="748">
        <f>+AK875-AN875</f>
      </c>
      <c r="AP875" s="217">
        <f>+_xlfn.IFNA(VLOOKUP(AJ875,$AF$7:$AI$1066,3,0),0)</f>
      </c>
      <c r="AQ875" s="217">
        <f>+IF(W875&gt;W874,AP875,AQ874+AP875)</f>
      </c>
      <c r="AR875" s="217">
        <f>+MAX($AM$2-SUMIF($W$7:$W$1066,W875,$AN$7:$AN$1066),0)</f>
      </c>
      <c r="AS875" s="748">
        <f>+MAX(IF(AQ875&gt;AR875,AR875-AQ874,AP875),0)</f>
      </c>
      <c r="AT875" s="748">
        <f>+AP875-AS875</f>
      </c>
      <c r="AU875" s="217">
        <f>+_xlfn.IFNA(VLOOKUP(AJ875,$AF$7:$AI$1066,4,0),0)</f>
      </c>
      <c r="AV875" s="217">
        <f>+IF(W875&gt;W874,AU875,AV874+AU875)</f>
      </c>
      <c r="AW875" s="217">
        <f>+MAX($AM$2-SUMIF($W$7:$W$1066,W875,$AN$7:$AN$1066)-SUMIF($W$7:$W$1066,W875,$AS$7:$AS$1066),0)</f>
      </c>
      <c r="AX875" s="748">
        <f>+MAX(IF(AV875&gt;AW875,AW875-AV874,AU875),0)</f>
      </c>
      <c r="AY875" s="748">
        <f>+AU875-AX875</f>
      </c>
      <c r="AZ875" s="331">
        <f>+$AM$1+IF($AP$1&gt;$AP$2,$AM$3/2)</f>
      </c>
    </row>
    <row x14ac:dyDescent="0.25" r="876" customHeight="1" ht="18.75">
      <c r="A876" s="1"/>
      <c r="B876" s="7"/>
      <c r="C876" s="170"/>
      <c r="D876" s="331">
        <v>869</v>
      </c>
      <c r="E876" s="544">
        <f>+DATE(YEAR(E875),MONTH(E875)-1,DAY(E875))</f>
        <v>25569.041666666668</v>
      </c>
      <c r="F876" s="333">
        <f>IF(DATE(YEAR($B$6),MONTH($B$6)+1,DAY(1))=E876,1,IF(MONTH(E876)=1,F877*(1+$F$5),F877))</f>
      </c>
      <c r="G876" s="333">
        <f>IF('Simulador - 1º Pilar'!$E$99="Sí",IF('Aportaciones PPE'!$B$13&lt;'Aportaciones PPE'!E876,0,F876*$B$8/12),F876*$B$8/12)</f>
      </c>
      <c r="H876" s="333">
        <f>$H$5*G876</f>
      </c>
      <c r="I876" s="333">
        <f>$I$5*G876</f>
      </c>
      <c r="J876" s="333">
        <f>+I876</f>
      </c>
      <c r="K876" s="333">
        <f>(1+$O$5)^(D876/12)*(H876+IF(AND(F876=1,F877=0),$S$4,0))</f>
      </c>
      <c r="L876" s="333">
        <f>(1+$O$5)^(D876/12)*(I876+IF(AND(F876=1,F877=0),0))</f>
      </c>
      <c r="M876" s="333">
        <f>+L876</f>
      </c>
      <c r="N876" s="333">
        <f>L876+K876+M876</f>
      </c>
      <c r="O876" s="170"/>
      <c r="P876" s="7"/>
      <c r="Q876" s="1"/>
      <c r="R876" s="331">
        <f>D876</f>
      </c>
      <c r="S876" s="169"/>
      <c r="T876" s="1"/>
      <c r="U876" s="217"/>
      <c r="V876" s="331">
        <f>+IF(V875=11,12,IF(V875=12,1,V875+1))</f>
      </c>
      <c r="W876" s="331">
        <f>+W875+IF(V875=12,1,0)</f>
      </c>
      <c r="X876" s="555">
        <f>+DATE(W876,V876,1)</f>
        <v>25569.041666666668</v>
      </c>
      <c r="Y876" s="333">
        <f>+_xlfn.IFNA(AN876+AS876+AX876,0)</f>
      </c>
      <c r="Z876" s="333">
        <f>+_xlfn.IFNA(AO876+AT876+AY876,0)</f>
      </c>
      <c r="AA876" s="333">
        <f>Y876*(1+$O$5)^(($B$7-X876)/365.25)</f>
      </c>
      <c r="AB876" s="333">
        <f>Z876*(1+$O$5)^(($B$7-X876)/365.25)</f>
      </c>
      <c r="AC876" s="1"/>
      <c r="AD876" s="1"/>
      <c r="AE876" s="1"/>
      <c r="AF876" s="111">
        <f>+MONTH(E876)&amp;YEAR(E876)</f>
      </c>
      <c r="AG876" s="217">
        <f>+I876</f>
      </c>
      <c r="AH876" s="217">
        <f>+J876</f>
      </c>
      <c r="AI876" s="217">
        <f>+H876</f>
      </c>
      <c r="AJ876" s="111">
        <f>+V876&amp;W876</f>
      </c>
      <c r="AK876" s="217">
        <f>+_xlfn.IFNA(VLOOKUP(AJ876,$AF$7:$AG$1066,2,0),0)</f>
      </c>
      <c r="AL876" s="217">
        <f>+IF(W876&gt;W875,AK876,AL875+AK876)</f>
      </c>
      <c r="AM876" s="217">
        <f>IF(W876&gt;W875,IF(AL876&gt;=$AZ$8,$AZ$8,AL876),IF(OR(AM875=$AZ$8,AM875=0),0,IF(AL876&gt;=$AZ$8,$AZ$8,AL876)))</f>
      </c>
      <c r="AN876" s="748">
        <f>+IF(OR(AM876&gt;AZ875,AM876=0),0,IF(AM876=AL876,AK876,$AZ$7-AL875))</f>
      </c>
      <c r="AO876" s="748">
        <f>+AK876-AN876</f>
      </c>
      <c r="AP876" s="217">
        <f>+_xlfn.IFNA(VLOOKUP(AJ876,$AF$7:$AI$1066,3,0),0)</f>
      </c>
      <c r="AQ876" s="217">
        <f>+IF(W876&gt;W875,AP876,AQ875+AP876)</f>
      </c>
      <c r="AR876" s="217">
        <f>+MAX($AM$2-SUMIF($W$7:$W$1066,W876,$AN$7:$AN$1066),0)</f>
      </c>
      <c r="AS876" s="748">
        <f>+MAX(IF(AQ876&gt;AR876,AR876-AQ875,AP876),0)</f>
      </c>
      <c r="AT876" s="748">
        <f>+AP876-AS876</f>
      </c>
      <c r="AU876" s="217">
        <f>+_xlfn.IFNA(VLOOKUP(AJ876,$AF$7:$AI$1066,4,0),0)</f>
      </c>
      <c r="AV876" s="217">
        <f>+IF(W876&gt;W875,AU876,AV875+AU876)</f>
      </c>
      <c r="AW876" s="217">
        <f>+MAX($AM$2-SUMIF($W$7:$W$1066,W876,$AN$7:$AN$1066)-SUMIF($W$7:$W$1066,W876,$AS$7:$AS$1066),0)</f>
      </c>
      <c r="AX876" s="748">
        <f>+MAX(IF(AV876&gt;AW876,AW876-AV875,AU876),0)</f>
      </c>
      <c r="AY876" s="748">
        <f>+AU876-AX876</f>
      </c>
      <c r="AZ876" s="331">
        <f>+$AM$1+IF($AP$1&gt;$AP$2,$AM$3/2)</f>
      </c>
    </row>
    <row x14ac:dyDescent="0.25" r="877" customHeight="1" ht="18.75">
      <c r="A877" s="1"/>
      <c r="B877" s="7"/>
      <c r="C877" s="170"/>
      <c r="D877" s="331">
        <v>870</v>
      </c>
      <c r="E877" s="544">
        <f>+DATE(YEAR(E876),MONTH(E876)-1,DAY(E876))</f>
        <v>25569.041666666668</v>
      </c>
      <c r="F877" s="333">
        <f>IF(DATE(YEAR($B$6),MONTH($B$6)+1,DAY(1))=E877,1,IF(MONTH(E877)=1,F878*(1+$F$5),F878))</f>
      </c>
      <c r="G877" s="333">
        <f>IF('Simulador - 1º Pilar'!$E$99="Sí",IF('Aportaciones PPE'!$B$13&lt;'Aportaciones PPE'!E877,0,F877*$B$8/12),F877*$B$8/12)</f>
      </c>
      <c r="H877" s="333">
        <f>$H$5*G877</f>
      </c>
      <c r="I877" s="333">
        <f>$I$5*G877</f>
      </c>
      <c r="J877" s="333">
        <f>+I877</f>
      </c>
      <c r="K877" s="333">
        <f>(1+$O$5)^(D877/12)*(H877+IF(AND(F877=1,F878=0),$S$4,0))</f>
      </c>
      <c r="L877" s="333">
        <f>(1+$O$5)^(D877/12)*(I877+IF(AND(F877=1,F878=0),0))</f>
      </c>
      <c r="M877" s="333">
        <f>+L877</f>
      </c>
      <c r="N877" s="333">
        <f>L877+K877+M877</f>
      </c>
      <c r="O877" s="170"/>
      <c r="P877" s="7"/>
      <c r="Q877" s="1"/>
      <c r="R877" s="331">
        <f>D877</f>
      </c>
      <c r="S877" s="169"/>
      <c r="T877" s="1"/>
      <c r="U877" s="217"/>
      <c r="V877" s="331">
        <f>+IF(V876=11,12,IF(V876=12,1,V876+1))</f>
      </c>
      <c r="W877" s="331">
        <f>+W876+IF(V876=12,1,0)</f>
      </c>
      <c r="X877" s="555">
        <f>+DATE(W877,V877,1)</f>
        <v>25569.041666666668</v>
      </c>
      <c r="Y877" s="333">
        <f>+_xlfn.IFNA(AN877+AS877+AX877,0)</f>
      </c>
      <c r="Z877" s="333">
        <f>+_xlfn.IFNA(AO877+AT877+AY877,0)</f>
      </c>
      <c r="AA877" s="333">
        <f>Y877*(1+$O$5)^(($B$7-X877)/365.25)</f>
      </c>
      <c r="AB877" s="333">
        <f>Z877*(1+$O$5)^(($B$7-X877)/365.25)</f>
      </c>
      <c r="AC877" s="1"/>
      <c r="AD877" s="1"/>
      <c r="AE877" s="1"/>
      <c r="AF877" s="111">
        <f>+MONTH(E877)&amp;YEAR(E877)</f>
      </c>
      <c r="AG877" s="217">
        <f>+I877</f>
      </c>
      <c r="AH877" s="217">
        <f>+J877</f>
      </c>
      <c r="AI877" s="217">
        <f>+H877</f>
      </c>
      <c r="AJ877" s="111">
        <f>+V877&amp;W877</f>
      </c>
      <c r="AK877" s="217">
        <f>+_xlfn.IFNA(VLOOKUP(AJ877,$AF$7:$AG$1066,2,0),0)</f>
      </c>
      <c r="AL877" s="217">
        <f>+IF(W877&gt;W876,AK877,AL876+AK877)</f>
      </c>
      <c r="AM877" s="217">
        <f>IF(W877&gt;W876,IF(AL877&gt;=$AZ$8,$AZ$8,AL877),IF(OR(AM876=$AZ$8,AM876=0),0,IF(AL877&gt;=$AZ$8,$AZ$8,AL877)))</f>
      </c>
      <c r="AN877" s="748">
        <f>+IF(OR(AM877&gt;AZ876,AM877=0),0,IF(AM877=AL877,AK877,$AZ$7-AL876))</f>
      </c>
      <c r="AO877" s="748">
        <f>+AK877-AN877</f>
      </c>
      <c r="AP877" s="217">
        <f>+_xlfn.IFNA(VLOOKUP(AJ877,$AF$7:$AI$1066,3,0),0)</f>
      </c>
      <c r="AQ877" s="217">
        <f>+IF(W877&gt;W876,AP877,AQ876+AP877)</f>
      </c>
      <c r="AR877" s="217">
        <f>+MAX($AM$2-SUMIF($W$7:$W$1066,W877,$AN$7:$AN$1066),0)</f>
      </c>
      <c r="AS877" s="748">
        <f>+MAX(IF(AQ877&gt;AR877,AR877-AQ876,AP877),0)</f>
      </c>
      <c r="AT877" s="748">
        <f>+AP877-AS877</f>
      </c>
      <c r="AU877" s="217">
        <f>+_xlfn.IFNA(VLOOKUP(AJ877,$AF$7:$AI$1066,4,0),0)</f>
      </c>
      <c r="AV877" s="217">
        <f>+IF(W877&gt;W876,AU877,AV876+AU877)</f>
      </c>
      <c r="AW877" s="217">
        <f>+MAX($AM$2-SUMIF($W$7:$W$1066,W877,$AN$7:$AN$1066)-SUMIF($W$7:$W$1066,W877,$AS$7:$AS$1066),0)</f>
      </c>
      <c r="AX877" s="748">
        <f>+MAX(IF(AV877&gt;AW877,AW877-AV876,AU877),0)</f>
      </c>
      <c r="AY877" s="748">
        <f>+AU877-AX877</f>
      </c>
      <c r="AZ877" s="331">
        <f>+$AM$1+IF($AP$1&gt;$AP$2,$AM$3/2)</f>
      </c>
    </row>
    <row x14ac:dyDescent="0.25" r="878" customHeight="1" ht="18.75">
      <c r="A878" s="1"/>
      <c r="B878" s="7"/>
      <c r="C878" s="170"/>
      <c r="D878" s="331">
        <v>871</v>
      </c>
      <c r="E878" s="544">
        <f>+DATE(YEAR(E877),MONTH(E877)-1,DAY(E877))</f>
        <v>25569.041666666668</v>
      </c>
      <c r="F878" s="333">
        <f>IF(DATE(YEAR($B$6),MONTH($B$6)+1,DAY(1))=E878,1,IF(MONTH(E878)=1,F879*(1+$F$5),F879))</f>
      </c>
      <c r="G878" s="333">
        <f>IF('Simulador - 1º Pilar'!$E$99="Sí",IF('Aportaciones PPE'!$B$13&lt;'Aportaciones PPE'!E878,0,F878*$B$8/12),F878*$B$8/12)</f>
      </c>
      <c r="H878" s="333">
        <f>$H$5*G878</f>
      </c>
      <c r="I878" s="333">
        <f>$I$5*G878</f>
      </c>
      <c r="J878" s="333">
        <f>+I878</f>
      </c>
      <c r="K878" s="333">
        <f>(1+$O$5)^(D878/12)*(H878+IF(AND(F878=1,F879=0),$S$4,0))</f>
      </c>
      <c r="L878" s="333">
        <f>(1+$O$5)^(D878/12)*(I878+IF(AND(F878=1,F879=0),0))</f>
      </c>
      <c r="M878" s="333">
        <f>+L878</f>
      </c>
      <c r="N878" s="333">
        <f>L878+K878+M878</f>
      </c>
      <c r="O878" s="170"/>
      <c r="P878" s="7"/>
      <c r="Q878" s="1"/>
      <c r="R878" s="331">
        <f>D878</f>
      </c>
      <c r="S878" s="169"/>
      <c r="T878" s="1"/>
      <c r="U878" s="217"/>
      <c r="V878" s="331">
        <f>+IF(V877=11,12,IF(V877=12,1,V877+1))</f>
      </c>
      <c r="W878" s="331">
        <f>+W877+IF(V877=12,1,0)</f>
      </c>
      <c r="X878" s="555">
        <f>+DATE(W878,V878,1)</f>
        <v>25569.041666666668</v>
      </c>
      <c r="Y878" s="333">
        <f>+_xlfn.IFNA(AN878+AS878+AX878,0)</f>
      </c>
      <c r="Z878" s="333">
        <f>+_xlfn.IFNA(AO878+AT878+AY878,0)</f>
      </c>
      <c r="AA878" s="333">
        <f>Y878*(1+$O$5)^(($B$7-X878)/365.25)</f>
      </c>
      <c r="AB878" s="333">
        <f>Z878*(1+$O$5)^(($B$7-X878)/365.25)</f>
      </c>
      <c r="AC878" s="1"/>
      <c r="AD878" s="1"/>
      <c r="AE878" s="1"/>
      <c r="AF878" s="111">
        <f>+MONTH(E878)&amp;YEAR(E878)</f>
      </c>
      <c r="AG878" s="217">
        <f>+I878</f>
      </c>
      <c r="AH878" s="217">
        <f>+J878</f>
      </c>
      <c r="AI878" s="217">
        <f>+H878</f>
      </c>
      <c r="AJ878" s="111">
        <f>+V878&amp;W878</f>
      </c>
      <c r="AK878" s="217">
        <f>+_xlfn.IFNA(VLOOKUP(AJ878,$AF$7:$AG$1066,2,0),0)</f>
      </c>
      <c r="AL878" s="217">
        <f>+IF(W878&gt;W877,AK878,AL877+AK878)</f>
      </c>
      <c r="AM878" s="217">
        <f>IF(W878&gt;W877,IF(AL878&gt;=$AZ$8,$AZ$8,AL878),IF(OR(AM877=$AZ$8,AM877=0),0,IF(AL878&gt;=$AZ$8,$AZ$8,AL878)))</f>
      </c>
      <c r="AN878" s="748">
        <f>+IF(OR(AM878&gt;AZ877,AM878=0),0,IF(AM878=AL878,AK878,$AZ$7-AL877))</f>
      </c>
      <c r="AO878" s="748">
        <f>+AK878-AN878</f>
      </c>
      <c r="AP878" s="217">
        <f>+_xlfn.IFNA(VLOOKUP(AJ878,$AF$7:$AI$1066,3,0),0)</f>
      </c>
      <c r="AQ878" s="217">
        <f>+IF(W878&gt;W877,AP878,AQ877+AP878)</f>
      </c>
      <c r="AR878" s="217">
        <f>+MAX($AM$2-SUMIF($W$7:$W$1066,W878,$AN$7:$AN$1066),0)</f>
      </c>
      <c r="AS878" s="748">
        <f>+MAX(IF(AQ878&gt;AR878,AR878-AQ877,AP878),0)</f>
      </c>
      <c r="AT878" s="748">
        <f>+AP878-AS878</f>
      </c>
      <c r="AU878" s="217">
        <f>+_xlfn.IFNA(VLOOKUP(AJ878,$AF$7:$AI$1066,4,0),0)</f>
      </c>
      <c r="AV878" s="217">
        <f>+IF(W878&gt;W877,AU878,AV877+AU878)</f>
      </c>
      <c r="AW878" s="217">
        <f>+MAX($AM$2-SUMIF($W$7:$W$1066,W878,$AN$7:$AN$1066)-SUMIF($W$7:$W$1066,W878,$AS$7:$AS$1066),0)</f>
      </c>
      <c r="AX878" s="748">
        <f>+MAX(IF(AV878&gt;AW878,AW878-AV877,AU878),0)</f>
      </c>
      <c r="AY878" s="748">
        <f>+AU878-AX878</f>
      </c>
      <c r="AZ878" s="331">
        <f>+$AM$1+IF($AP$1&gt;$AP$2,$AM$3/2)</f>
      </c>
    </row>
    <row x14ac:dyDescent="0.25" r="879" customHeight="1" ht="18.75">
      <c r="A879" s="1"/>
      <c r="B879" s="7"/>
      <c r="C879" s="170"/>
      <c r="D879" s="331">
        <v>872</v>
      </c>
      <c r="E879" s="544">
        <f>+DATE(YEAR(E878),MONTH(E878)-1,DAY(E878))</f>
        <v>25569.041666666668</v>
      </c>
      <c r="F879" s="333">
        <f>IF(DATE(YEAR($B$6),MONTH($B$6)+1,DAY(1))=E879,1,IF(MONTH(E879)=1,F880*(1+$F$5),F880))</f>
      </c>
      <c r="G879" s="333">
        <f>IF('Simulador - 1º Pilar'!$E$99="Sí",IF('Aportaciones PPE'!$B$13&lt;'Aportaciones PPE'!E879,0,F879*$B$8/12),F879*$B$8/12)</f>
      </c>
      <c r="H879" s="333">
        <f>$H$5*G879</f>
      </c>
      <c r="I879" s="333">
        <f>$I$5*G879</f>
      </c>
      <c r="J879" s="333">
        <f>+I879</f>
      </c>
      <c r="K879" s="333">
        <f>(1+$O$5)^(D879/12)*(H879+IF(AND(F879=1,F880=0),$S$4,0))</f>
      </c>
      <c r="L879" s="333">
        <f>(1+$O$5)^(D879/12)*(I879+IF(AND(F879=1,F880=0),0))</f>
      </c>
      <c r="M879" s="333">
        <f>+L879</f>
      </c>
      <c r="N879" s="333">
        <f>L879+K879+M879</f>
      </c>
      <c r="O879" s="170"/>
      <c r="P879" s="7"/>
      <c r="Q879" s="1"/>
      <c r="R879" s="331">
        <f>D879</f>
      </c>
      <c r="S879" s="169"/>
      <c r="T879" s="1"/>
      <c r="U879" s="217"/>
      <c r="V879" s="331">
        <f>+IF(V878=11,12,IF(V878=12,1,V878+1))</f>
      </c>
      <c r="W879" s="331">
        <f>+W878+IF(V878=12,1,0)</f>
      </c>
      <c r="X879" s="555">
        <f>+DATE(W879,V879,1)</f>
        <v>25569.041666666668</v>
      </c>
      <c r="Y879" s="333">
        <f>+_xlfn.IFNA(AN879+AS879+AX879,0)</f>
      </c>
      <c r="Z879" s="333">
        <f>+_xlfn.IFNA(AO879+AT879+AY879,0)</f>
      </c>
      <c r="AA879" s="333">
        <f>Y879*(1+$O$5)^(($B$7-X879)/365.25)</f>
      </c>
      <c r="AB879" s="333">
        <f>Z879*(1+$O$5)^(($B$7-X879)/365.25)</f>
      </c>
      <c r="AC879" s="1"/>
      <c r="AD879" s="1"/>
      <c r="AE879" s="1"/>
      <c r="AF879" s="111">
        <f>+MONTH(E879)&amp;YEAR(E879)</f>
      </c>
      <c r="AG879" s="217">
        <f>+I879</f>
      </c>
      <c r="AH879" s="217">
        <f>+J879</f>
      </c>
      <c r="AI879" s="217">
        <f>+H879</f>
      </c>
      <c r="AJ879" s="111">
        <f>+V879&amp;W879</f>
      </c>
      <c r="AK879" s="217">
        <f>+_xlfn.IFNA(VLOOKUP(AJ879,$AF$7:$AG$1066,2,0),0)</f>
      </c>
      <c r="AL879" s="217">
        <f>+IF(W879&gt;W878,AK879,AL878+AK879)</f>
      </c>
      <c r="AM879" s="217">
        <f>IF(W879&gt;W878,IF(AL879&gt;=$AZ$8,$AZ$8,AL879),IF(OR(AM878=$AZ$8,AM878=0),0,IF(AL879&gt;=$AZ$8,$AZ$8,AL879)))</f>
      </c>
      <c r="AN879" s="748">
        <f>+IF(OR(AM879&gt;AZ878,AM879=0),0,IF(AM879=AL879,AK879,$AZ$7-AL878))</f>
      </c>
      <c r="AO879" s="748">
        <f>+AK879-AN879</f>
      </c>
      <c r="AP879" s="217">
        <f>+_xlfn.IFNA(VLOOKUP(AJ879,$AF$7:$AI$1066,3,0),0)</f>
      </c>
      <c r="AQ879" s="217">
        <f>+IF(W879&gt;W878,AP879,AQ878+AP879)</f>
      </c>
      <c r="AR879" s="217">
        <f>+MAX($AM$2-SUMIF($W$7:$W$1066,W879,$AN$7:$AN$1066),0)</f>
      </c>
      <c r="AS879" s="748">
        <f>+MAX(IF(AQ879&gt;AR879,AR879-AQ878,AP879),0)</f>
      </c>
      <c r="AT879" s="748">
        <f>+AP879-AS879</f>
      </c>
      <c r="AU879" s="217">
        <f>+_xlfn.IFNA(VLOOKUP(AJ879,$AF$7:$AI$1066,4,0),0)</f>
      </c>
      <c r="AV879" s="217">
        <f>+IF(W879&gt;W878,AU879,AV878+AU879)</f>
      </c>
      <c r="AW879" s="217">
        <f>+MAX($AM$2-SUMIF($W$7:$W$1066,W879,$AN$7:$AN$1066)-SUMIF($W$7:$W$1066,W879,$AS$7:$AS$1066),0)</f>
      </c>
      <c r="AX879" s="748">
        <f>+MAX(IF(AV879&gt;AW879,AW879-AV878,AU879),0)</f>
      </c>
      <c r="AY879" s="748">
        <f>+AU879-AX879</f>
      </c>
      <c r="AZ879" s="331">
        <f>+$AM$1+IF($AP$1&gt;$AP$2,$AM$3/2)</f>
      </c>
    </row>
    <row x14ac:dyDescent="0.25" r="880" customHeight="1" ht="18.75">
      <c r="A880" s="1"/>
      <c r="B880" s="7"/>
      <c r="C880" s="170"/>
      <c r="D880" s="331">
        <v>873</v>
      </c>
      <c r="E880" s="544">
        <f>+DATE(YEAR(E879),MONTH(E879)-1,DAY(E879))</f>
        <v>25569.041666666668</v>
      </c>
      <c r="F880" s="333">
        <f>IF(DATE(YEAR($B$6),MONTH($B$6)+1,DAY(1))=E880,1,IF(MONTH(E880)=1,F881*(1+$F$5),F881))</f>
      </c>
      <c r="G880" s="333">
        <f>IF('Simulador - 1º Pilar'!$E$99="Sí",IF('Aportaciones PPE'!$B$13&lt;'Aportaciones PPE'!E880,0,F880*$B$8/12),F880*$B$8/12)</f>
      </c>
      <c r="H880" s="333">
        <f>$H$5*G880</f>
      </c>
      <c r="I880" s="333">
        <f>$I$5*G880</f>
      </c>
      <c r="J880" s="333">
        <f>+I880</f>
      </c>
      <c r="K880" s="333">
        <f>(1+$O$5)^(D880/12)*(H880+IF(AND(F880=1,F881=0),$S$4,0))</f>
      </c>
      <c r="L880" s="333">
        <f>(1+$O$5)^(D880/12)*(I880+IF(AND(F880=1,F881=0),0))</f>
      </c>
      <c r="M880" s="333">
        <f>+L880</f>
      </c>
      <c r="N880" s="333">
        <f>L880+K880+M880</f>
      </c>
      <c r="O880" s="170"/>
      <c r="P880" s="7"/>
      <c r="Q880" s="1"/>
      <c r="R880" s="331">
        <f>D880</f>
      </c>
      <c r="S880" s="169"/>
      <c r="T880" s="1"/>
      <c r="U880" s="217"/>
      <c r="V880" s="331">
        <f>+IF(V879=11,12,IF(V879=12,1,V879+1))</f>
      </c>
      <c r="W880" s="331">
        <f>+W879+IF(V879=12,1,0)</f>
      </c>
      <c r="X880" s="555">
        <f>+DATE(W880,V880,1)</f>
        <v>25569.041666666668</v>
      </c>
      <c r="Y880" s="333">
        <f>+_xlfn.IFNA(AN880+AS880+AX880,0)</f>
      </c>
      <c r="Z880" s="333">
        <f>+_xlfn.IFNA(AO880+AT880+AY880,0)</f>
      </c>
      <c r="AA880" s="333">
        <f>Y880*(1+$O$5)^(($B$7-X880)/365.25)</f>
      </c>
      <c r="AB880" s="333">
        <f>Z880*(1+$O$5)^(($B$7-X880)/365.25)</f>
      </c>
      <c r="AC880" s="1"/>
      <c r="AD880" s="1"/>
      <c r="AE880" s="1"/>
      <c r="AF880" s="111">
        <f>+MONTH(E880)&amp;YEAR(E880)</f>
      </c>
      <c r="AG880" s="217">
        <f>+I880</f>
      </c>
      <c r="AH880" s="217">
        <f>+J880</f>
      </c>
      <c r="AI880" s="217">
        <f>+H880</f>
      </c>
      <c r="AJ880" s="111">
        <f>+V880&amp;W880</f>
      </c>
      <c r="AK880" s="217">
        <f>+_xlfn.IFNA(VLOOKUP(AJ880,$AF$7:$AG$1066,2,0),0)</f>
      </c>
      <c r="AL880" s="217">
        <f>+IF(W880&gt;W879,AK880,AL879+AK880)</f>
      </c>
      <c r="AM880" s="217">
        <f>IF(W880&gt;W879,IF(AL880&gt;=$AZ$8,$AZ$8,AL880),IF(OR(AM879=$AZ$8,AM879=0),0,IF(AL880&gt;=$AZ$8,$AZ$8,AL880)))</f>
      </c>
      <c r="AN880" s="748">
        <f>+IF(OR(AM880&gt;AZ879,AM880=0),0,IF(AM880=AL880,AK880,$AZ$7-AL879))</f>
      </c>
      <c r="AO880" s="748">
        <f>+AK880-AN880</f>
      </c>
      <c r="AP880" s="217">
        <f>+_xlfn.IFNA(VLOOKUP(AJ880,$AF$7:$AI$1066,3,0),0)</f>
      </c>
      <c r="AQ880" s="217">
        <f>+IF(W880&gt;W879,AP880,AQ879+AP880)</f>
      </c>
      <c r="AR880" s="217">
        <f>+MAX($AM$2-SUMIF($W$7:$W$1066,W880,$AN$7:$AN$1066),0)</f>
      </c>
      <c r="AS880" s="748">
        <f>+MAX(IF(AQ880&gt;AR880,AR880-AQ879,AP880),0)</f>
      </c>
      <c r="AT880" s="748">
        <f>+AP880-AS880</f>
      </c>
      <c r="AU880" s="217">
        <f>+_xlfn.IFNA(VLOOKUP(AJ880,$AF$7:$AI$1066,4,0),0)</f>
      </c>
      <c r="AV880" s="217">
        <f>+IF(W880&gt;W879,AU880,AV879+AU880)</f>
      </c>
      <c r="AW880" s="217">
        <f>+MAX($AM$2-SUMIF($W$7:$W$1066,W880,$AN$7:$AN$1066)-SUMIF($W$7:$W$1066,W880,$AS$7:$AS$1066),0)</f>
      </c>
      <c r="AX880" s="748">
        <f>+MAX(IF(AV880&gt;AW880,AW880-AV879,AU880),0)</f>
      </c>
      <c r="AY880" s="748">
        <f>+AU880-AX880</f>
      </c>
      <c r="AZ880" s="331">
        <f>+$AM$1+IF($AP$1&gt;$AP$2,$AM$3/2)</f>
      </c>
    </row>
    <row x14ac:dyDescent="0.25" r="881" customHeight="1" ht="18.75">
      <c r="A881" s="1"/>
      <c r="B881" s="7"/>
      <c r="C881" s="170"/>
      <c r="D881" s="331">
        <v>874</v>
      </c>
      <c r="E881" s="544">
        <f>+DATE(YEAR(E880),MONTH(E880)-1,DAY(E880))</f>
        <v>25569.041666666668</v>
      </c>
      <c r="F881" s="333">
        <f>IF(DATE(YEAR($B$6),MONTH($B$6)+1,DAY(1))=E881,1,IF(MONTH(E881)=1,F882*(1+$F$5),F882))</f>
      </c>
      <c r="G881" s="333">
        <f>IF('Simulador - 1º Pilar'!$E$99="Sí",IF('Aportaciones PPE'!$B$13&lt;'Aportaciones PPE'!E881,0,F881*$B$8/12),F881*$B$8/12)</f>
      </c>
      <c r="H881" s="333">
        <f>$H$5*G881</f>
      </c>
      <c r="I881" s="333">
        <f>$I$5*G881</f>
      </c>
      <c r="J881" s="333">
        <f>+I881</f>
      </c>
      <c r="K881" s="333">
        <f>(1+$O$5)^(D881/12)*(H881+IF(AND(F881=1,F882=0),$S$4,0))</f>
      </c>
      <c r="L881" s="333">
        <f>(1+$O$5)^(D881/12)*(I881+IF(AND(F881=1,F882=0),0))</f>
      </c>
      <c r="M881" s="333">
        <f>+L881</f>
      </c>
      <c r="N881" s="333">
        <f>L881+K881+M881</f>
      </c>
      <c r="O881" s="170"/>
      <c r="P881" s="7"/>
      <c r="Q881" s="1"/>
      <c r="R881" s="331">
        <f>D881</f>
      </c>
      <c r="S881" s="169"/>
      <c r="T881" s="1"/>
      <c r="U881" s="217"/>
      <c r="V881" s="331">
        <f>+IF(V880=11,12,IF(V880=12,1,V880+1))</f>
      </c>
      <c r="W881" s="331">
        <f>+W880+IF(V880=12,1,0)</f>
      </c>
      <c r="X881" s="555">
        <f>+DATE(W881,V881,1)</f>
        <v>25569.041666666668</v>
      </c>
      <c r="Y881" s="333">
        <f>+_xlfn.IFNA(AN881+AS881+AX881,0)</f>
      </c>
      <c r="Z881" s="333">
        <f>+_xlfn.IFNA(AO881+AT881+AY881,0)</f>
      </c>
      <c r="AA881" s="333">
        <f>Y881*(1+$O$5)^(($B$7-X881)/365.25)</f>
      </c>
      <c r="AB881" s="333">
        <f>Z881*(1+$O$5)^(($B$7-X881)/365.25)</f>
      </c>
      <c r="AC881" s="1"/>
      <c r="AD881" s="1"/>
      <c r="AE881" s="1"/>
      <c r="AF881" s="111">
        <f>+MONTH(E881)&amp;YEAR(E881)</f>
      </c>
      <c r="AG881" s="217">
        <f>+I881</f>
      </c>
      <c r="AH881" s="217">
        <f>+J881</f>
      </c>
      <c r="AI881" s="217">
        <f>+H881</f>
      </c>
      <c r="AJ881" s="111">
        <f>+V881&amp;W881</f>
      </c>
      <c r="AK881" s="217">
        <f>+_xlfn.IFNA(VLOOKUP(AJ881,$AF$7:$AG$1066,2,0),0)</f>
      </c>
      <c r="AL881" s="217">
        <f>+IF(W881&gt;W880,AK881,AL880+AK881)</f>
      </c>
      <c r="AM881" s="217">
        <f>IF(W881&gt;W880,IF(AL881&gt;=$AZ$8,$AZ$8,AL881),IF(OR(AM880=$AZ$8,AM880=0),0,IF(AL881&gt;=$AZ$8,$AZ$8,AL881)))</f>
      </c>
      <c r="AN881" s="748">
        <f>+IF(OR(AM881&gt;AZ880,AM881=0),0,IF(AM881=AL881,AK881,$AZ$7-AL880))</f>
      </c>
      <c r="AO881" s="748">
        <f>+AK881-AN881</f>
      </c>
      <c r="AP881" s="217">
        <f>+_xlfn.IFNA(VLOOKUP(AJ881,$AF$7:$AI$1066,3,0),0)</f>
      </c>
      <c r="AQ881" s="217">
        <f>+IF(W881&gt;W880,AP881,AQ880+AP881)</f>
      </c>
      <c r="AR881" s="217">
        <f>+MAX($AM$2-SUMIF($W$7:$W$1066,W881,$AN$7:$AN$1066),0)</f>
      </c>
      <c r="AS881" s="748">
        <f>+MAX(IF(AQ881&gt;AR881,AR881-AQ880,AP881),0)</f>
      </c>
      <c r="AT881" s="748">
        <f>+AP881-AS881</f>
      </c>
      <c r="AU881" s="217">
        <f>+_xlfn.IFNA(VLOOKUP(AJ881,$AF$7:$AI$1066,4,0),0)</f>
      </c>
      <c r="AV881" s="217">
        <f>+IF(W881&gt;W880,AU881,AV880+AU881)</f>
      </c>
      <c r="AW881" s="217">
        <f>+MAX($AM$2-SUMIF($W$7:$W$1066,W881,$AN$7:$AN$1066)-SUMIF($W$7:$W$1066,W881,$AS$7:$AS$1066),0)</f>
      </c>
      <c r="AX881" s="748">
        <f>+MAX(IF(AV881&gt;AW881,AW881-AV880,AU881),0)</f>
      </c>
      <c r="AY881" s="748">
        <f>+AU881-AX881</f>
      </c>
      <c r="AZ881" s="331">
        <f>+$AM$1+IF($AP$1&gt;$AP$2,$AM$3/2)</f>
      </c>
    </row>
    <row x14ac:dyDescent="0.25" r="882" customHeight="1" ht="18.75">
      <c r="A882" s="1"/>
      <c r="B882" s="7"/>
      <c r="C882" s="170"/>
      <c r="D882" s="331">
        <v>875</v>
      </c>
      <c r="E882" s="544">
        <f>+DATE(YEAR(E881),MONTH(E881)-1,DAY(E881))</f>
        <v>25569.041666666668</v>
      </c>
      <c r="F882" s="333">
        <f>IF(DATE(YEAR($B$6),MONTH($B$6)+1,DAY(1))=E882,1,IF(MONTH(E882)=1,F883*(1+$F$5),F883))</f>
      </c>
      <c r="G882" s="333">
        <f>IF('Simulador - 1º Pilar'!$E$99="Sí",IF('Aportaciones PPE'!$B$13&lt;'Aportaciones PPE'!E882,0,F882*$B$8/12),F882*$B$8/12)</f>
      </c>
      <c r="H882" s="333">
        <f>$H$5*G882</f>
      </c>
      <c r="I882" s="333">
        <f>$I$5*G882</f>
      </c>
      <c r="J882" s="333">
        <f>+I882</f>
      </c>
      <c r="K882" s="333">
        <f>(1+$O$5)^(D882/12)*(H882+IF(AND(F882=1,F883=0),$S$4,0))</f>
      </c>
      <c r="L882" s="333">
        <f>(1+$O$5)^(D882/12)*(I882+IF(AND(F882=1,F883=0),0))</f>
      </c>
      <c r="M882" s="333">
        <f>+L882</f>
      </c>
      <c r="N882" s="333">
        <f>L882+K882+M882</f>
      </c>
      <c r="O882" s="170"/>
      <c r="P882" s="7"/>
      <c r="Q882" s="1"/>
      <c r="R882" s="331">
        <f>D882</f>
      </c>
      <c r="S882" s="169"/>
      <c r="T882" s="1"/>
      <c r="U882" s="217"/>
      <c r="V882" s="331">
        <f>+IF(V881=11,12,IF(V881=12,1,V881+1))</f>
      </c>
      <c r="W882" s="331">
        <f>+W881+IF(V881=12,1,0)</f>
      </c>
      <c r="X882" s="555">
        <f>+DATE(W882,V882,1)</f>
        <v>25569.041666666668</v>
      </c>
      <c r="Y882" s="333">
        <f>+_xlfn.IFNA(AN882+AS882+AX882,0)</f>
      </c>
      <c r="Z882" s="333">
        <f>+_xlfn.IFNA(AO882+AT882+AY882,0)</f>
      </c>
      <c r="AA882" s="333">
        <f>Y882*(1+$O$5)^(($B$7-X882)/365.25)</f>
      </c>
      <c r="AB882" s="333">
        <f>Z882*(1+$O$5)^(($B$7-X882)/365.25)</f>
      </c>
      <c r="AC882" s="1"/>
      <c r="AD882" s="1"/>
      <c r="AE882" s="1"/>
      <c r="AF882" s="111">
        <f>+MONTH(E882)&amp;YEAR(E882)</f>
      </c>
      <c r="AG882" s="217">
        <f>+I882</f>
      </c>
      <c r="AH882" s="217">
        <f>+J882</f>
      </c>
      <c r="AI882" s="217">
        <f>+H882</f>
      </c>
      <c r="AJ882" s="111">
        <f>+V882&amp;W882</f>
      </c>
      <c r="AK882" s="217">
        <f>+_xlfn.IFNA(VLOOKUP(AJ882,$AF$7:$AG$1066,2,0),0)</f>
      </c>
      <c r="AL882" s="217">
        <f>+IF(W882&gt;W881,AK882,AL881+AK882)</f>
      </c>
      <c r="AM882" s="217">
        <f>IF(W882&gt;W881,IF(AL882&gt;=$AZ$8,$AZ$8,AL882),IF(OR(AM881=$AZ$8,AM881=0),0,IF(AL882&gt;=$AZ$8,$AZ$8,AL882)))</f>
      </c>
      <c r="AN882" s="748">
        <f>+IF(OR(AM882&gt;AZ881,AM882=0),0,IF(AM882=AL882,AK882,$AZ$7-AL881))</f>
      </c>
      <c r="AO882" s="748">
        <f>+AK882-AN882</f>
      </c>
      <c r="AP882" s="217">
        <f>+_xlfn.IFNA(VLOOKUP(AJ882,$AF$7:$AI$1066,3,0),0)</f>
      </c>
      <c r="AQ882" s="217">
        <f>+IF(W882&gt;W881,AP882,AQ881+AP882)</f>
      </c>
      <c r="AR882" s="217">
        <f>+MAX($AM$2-SUMIF($W$7:$W$1066,W882,$AN$7:$AN$1066),0)</f>
      </c>
      <c r="AS882" s="748">
        <f>+MAX(IF(AQ882&gt;AR882,AR882-AQ881,AP882),0)</f>
      </c>
      <c r="AT882" s="748">
        <f>+AP882-AS882</f>
      </c>
      <c r="AU882" s="217">
        <f>+_xlfn.IFNA(VLOOKUP(AJ882,$AF$7:$AI$1066,4,0),0)</f>
      </c>
      <c r="AV882" s="217">
        <f>+IF(W882&gt;W881,AU882,AV881+AU882)</f>
      </c>
      <c r="AW882" s="217">
        <f>+MAX($AM$2-SUMIF($W$7:$W$1066,W882,$AN$7:$AN$1066)-SUMIF($W$7:$W$1066,W882,$AS$7:$AS$1066),0)</f>
      </c>
      <c r="AX882" s="748">
        <f>+MAX(IF(AV882&gt;AW882,AW882-AV881,AU882),0)</f>
      </c>
      <c r="AY882" s="748">
        <f>+AU882-AX882</f>
      </c>
      <c r="AZ882" s="331">
        <f>+$AM$1+IF($AP$1&gt;$AP$2,$AM$3/2)</f>
      </c>
    </row>
    <row x14ac:dyDescent="0.25" r="883" customHeight="1" ht="18.75">
      <c r="A883" s="1"/>
      <c r="B883" s="7"/>
      <c r="C883" s="170"/>
      <c r="D883" s="331">
        <v>876</v>
      </c>
      <c r="E883" s="544">
        <f>+DATE(YEAR(E882),MONTH(E882)-1,DAY(E882))</f>
        <v>25569.041666666668</v>
      </c>
      <c r="F883" s="333">
        <f>IF(DATE(YEAR($B$6),MONTH($B$6)+1,DAY(1))=E883,1,IF(MONTH(E883)=1,F884*(1+$F$5),F884))</f>
      </c>
      <c r="G883" s="333">
        <f>IF('Simulador - 1º Pilar'!$E$99="Sí",IF('Aportaciones PPE'!$B$13&lt;'Aportaciones PPE'!E883,0,F883*$B$8/12),F883*$B$8/12)</f>
      </c>
      <c r="H883" s="333">
        <f>$H$5*G883</f>
      </c>
      <c r="I883" s="333">
        <f>$I$5*G883</f>
      </c>
      <c r="J883" s="333">
        <f>+I883</f>
      </c>
      <c r="K883" s="333">
        <f>(1+$O$5)^(D883/12)*(H883+IF(AND(F883=1,F884=0),$S$4,0))</f>
      </c>
      <c r="L883" s="333">
        <f>(1+$O$5)^(D883/12)*(I883+IF(AND(F883=1,F884=0),0))</f>
      </c>
      <c r="M883" s="333">
        <f>+L883</f>
      </c>
      <c r="N883" s="333">
        <f>L883+K883+M883</f>
      </c>
      <c r="O883" s="170"/>
      <c r="P883" s="7"/>
      <c r="Q883" s="1"/>
      <c r="R883" s="331">
        <f>D883</f>
      </c>
      <c r="S883" s="169"/>
      <c r="T883" s="1"/>
      <c r="U883" s="217"/>
      <c r="V883" s="331">
        <f>+IF(V882=11,12,IF(V882=12,1,V882+1))</f>
      </c>
      <c r="W883" s="331">
        <f>+W882+IF(V882=12,1,0)</f>
      </c>
      <c r="X883" s="555">
        <f>+DATE(W883,V883,1)</f>
        <v>25569.041666666668</v>
      </c>
      <c r="Y883" s="333">
        <f>+_xlfn.IFNA(AN883+AS883+AX883,0)</f>
      </c>
      <c r="Z883" s="333">
        <f>+_xlfn.IFNA(AO883+AT883+AY883,0)</f>
      </c>
      <c r="AA883" s="333">
        <f>Y883*(1+$O$5)^(($B$7-X883)/365.25)</f>
      </c>
      <c r="AB883" s="333">
        <f>Z883*(1+$O$5)^(($B$7-X883)/365.25)</f>
      </c>
      <c r="AC883" s="1"/>
      <c r="AD883" s="1"/>
      <c r="AE883" s="1"/>
      <c r="AF883" s="111">
        <f>+MONTH(E883)&amp;YEAR(E883)</f>
      </c>
      <c r="AG883" s="217">
        <f>+I883</f>
      </c>
      <c r="AH883" s="217">
        <f>+J883</f>
      </c>
      <c r="AI883" s="217">
        <f>+H883</f>
      </c>
      <c r="AJ883" s="111">
        <f>+V883&amp;W883</f>
      </c>
      <c r="AK883" s="217">
        <f>+_xlfn.IFNA(VLOOKUP(AJ883,$AF$7:$AG$1066,2,0),0)</f>
      </c>
      <c r="AL883" s="217">
        <f>+IF(W883&gt;W882,AK883,AL882+AK883)</f>
      </c>
      <c r="AM883" s="217">
        <f>IF(W883&gt;W882,IF(AL883&gt;=$AZ$8,$AZ$8,AL883),IF(OR(AM882=$AZ$8,AM882=0),0,IF(AL883&gt;=$AZ$8,$AZ$8,AL883)))</f>
      </c>
      <c r="AN883" s="748">
        <f>+IF(OR(AM883&gt;AZ882,AM883=0),0,IF(AM883=AL883,AK883,$AZ$7-AL882))</f>
      </c>
      <c r="AO883" s="748">
        <f>+AK883-AN883</f>
      </c>
      <c r="AP883" s="217">
        <f>+_xlfn.IFNA(VLOOKUP(AJ883,$AF$7:$AI$1066,3,0),0)</f>
      </c>
      <c r="AQ883" s="217">
        <f>+IF(W883&gt;W882,AP883,AQ882+AP883)</f>
      </c>
      <c r="AR883" s="217">
        <f>+MAX($AM$2-SUMIF($W$7:$W$1066,W883,$AN$7:$AN$1066),0)</f>
      </c>
      <c r="AS883" s="748">
        <f>+MAX(IF(AQ883&gt;AR883,AR883-AQ882,AP883),0)</f>
      </c>
      <c r="AT883" s="748">
        <f>+AP883-AS883</f>
      </c>
      <c r="AU883" s="217">
        <f>+_xlfn.IFNA(VLOOKUP(AJ883,$AF$7:$AI$1066,4,0),0)</f>
      </c>
      <c r="AV883" s="217">
        <f>+IF(W883&gt;W882,AU883,AV882+AU883)</f>
      </c>
      <c r="AW883" s="217">
        <f>+MAX($AM$2-SUMIF($W$7:$W$1066,W883,$AN$7:$AN$1066)-SUMIF($W$7:$W$1066,W883,$AS$7:$AS$1066),0)</f>
      </c>
      <c r="AX883" s="748">
        <f>+MAX(IF(AV883&gt;AW883,AW883-AV882,AU883),0)</f>
      </c>
      <c r="AY883" s="748">
        <f>+AU883-AX883</f>
      </c>
      <c r="AZ883" s="331">
        <f>+$AM$1+IF($AP$1&gt;$AP$2,$AM$3/2)</f>
      </c>
    </row>
    <row x14ac:dyDescent="0.25" r="884" customHeight="1" ht="18.75">
      <c r="A884" s="1"/>
      <c r="B884" s="7"/>
      <c r="C884" s="170"/>
      <c r="D884" s="331">
        <v>877</v>
      </c>
      <c r="E884" s="544">
        <f>+DATE(YEAR(E883),MONTH(E883)-1,DAY(E883))</f>
        <v>25569.041666666668</v>
      </c>
      <c r="F884" s="333">
        <f>IF(DATE(YEAR($B$6),MONTH($B$6)+1,DAY(1))=E884,1,IF(MONTH(E884)=1,F885*(1+$F$5),F885))</f>
      </c>
      <c r="G884" s="333">
        <f>IF('Simulador - 1º Pilar'!$E$99="Sí",IF('Aportaciones PPE'!$B$13&lt;'Aportaciones PPE'!E884,0,F884*$B$8/12),F884*$B$8/12)</f>
      </c>
      <c r="H884" s="333">
        <f>$H$5*G884</f>
      </c>
      <c r="I884" s="333">
        <f>$I$5*G884</f>
      </c>
      <c r="J884" s="333">
        <f>+I884</f>
      </c>
      <c r="K884" s="333">
        <f>(1+$O$5)^(D884/12)*(H884+IF(AND(F884=1,F885=0),$S$4,0))</f>
      </c>
      <c r="L884" s="333">
        <f>(1+$O$5)^(D884/12)*(I884+IF(AND(F884=1,F885=0),0))</f>
      </c>
      <c r="M884" s="333">
        <f>+L884</f>
      </c>
      <c r="N884" s="333">
        <f>L884+K884+M884</f>
      </c>
      <c r="O884" s="170"/>
      <c r="P884" s="7"/>
      <c r="Q884" s="1"/>
      <c r="R884" s="331">
        <f>D884</f>
      </c>
      <c r="S884" s="169"/>
      <c r="T884" s="1"/>
      <c r="U884" s="217"/>
      <c r="V884" s="331">
        <f>+IF(V883=11,12,IF(V883=12,1,V883+1))</f>
      </c>
      <c r="W884" s="331">
        <f>+W883+IF(V883=12,1,0)</f>
      </c>
      <c r="X884" s="555">
        <f>+DATE(W884,V884,1)</f>
        <v>25569.041666666668</v>
      </c>
      <c r="Y884" s="333">
        <f>+_xlfn.IFNA(AN884+AS884+AX884,0)</f>
      </c>
      <c r="Z884" s="333">
        <f>+_xlfn.IFNA(AO884+AT884+AY884,0)</f>
      </c>
      <c r="AA884" s="333">
        <f>Y884*(1+$O$5)^(($B$7-X884)/365.25)</f>
      </c>
      <c r="AB884" s="333">
        <f>Z884*(1+$O$5)^(($B$7-X884)/365.25)</f>
      </c>
      <c r="AC884" s="1"/>
      <c r="AD884" s="1"/>
      <c r="AE884" s="1"/>
      <c r="AF884" s="111">
        <f>+MONTH(E884)&amp;YEAR(E884)</f>
      </c>
      <c r="AG884" s="217">
        <f>+I884</f>
      </c>
      <c r="AH884" s="217">
        <f>+J884</f>
      </c>
      <c r="AI884" s="217">
        <f>+H884</f>
      </c>
      <c r="AJ884" s="111">
        <f>+V884&amp;W884</f>
      </c>
      <c r="AK884" s="217">
        <f>+_xlfn.IFNA(VLOOKUP(AJ884,$AF$7:$AG$1066,2,0),0)</f>
      </c>
      <c r="AL884" s="217">
        <f>+IF(W884&gt;W883,AK884,AL883+AK884)</f>
      </c>
      <c r="AM884" s="217">
        <f>IF(W884&gt;W883,IF(AL884&gt;=$AZ$8,$AZ$8,AL884),IF(OR(AM883=$AZ$8,AM883=0),0,IF(AL884&gt;=$AZ$8,$AZ$8,AL884)))</f>
      </c>
      <c r="AN884" s="748">
        <f>+IF(OR(AM884&gt;AZ883,AM884=0),0,IF(AM884=AL884,AK884,$AZ$7-AL883))</f>
      </c>
      <c r="AO884" s="748">
        <f>+AK884-AN884</f>
      </c>
      <c r="AP884" s="217">
        <f>+_xlfn.IFNA(VLOOKUP(AJ884,$AF$7:$AI$1066,3,0),0)</f>
      </c>
      <c r="AQ884" s="217">
        <f>+IF(W884&gt;W883,AP884,AQ883+AP884)</f>
      </c>
      <c r="AR884" s="217">
        <f>+MAX($AM$2-SUMIF($W$7:$W$1066,W884,$AN$7:$AN$1066),0)</f>
      </c>
      <c r="AS884" s="748">
        <f>+MAX(IF(AQ884&gt;AR884,AR884-AQ883,AP884),0)</f>
      </c>
      <c r="AT884" s="748">
        <f>+AP884-AS884</f>
      </c>
      <c r="AU884" s="217">
        <f>+_xlfn.IFNA(VLOOKUP(AJ884,$AF$7:$AI$1066,4,0),0)</f>
      </c>
      <c r="AV884" s="217">
        <f>+IF(W884&gt;W883,AU884,AV883+AU884)</f>
      </c>
      <c r="AW884" s="217">
        <f>+MAX($AM$2-SUMIF($W$7:$W$1066,W884,$AN$7:$AN$1066)-SUMIF($W$7:$W$1066,W884,$AS$7:$AS$1066),0)</f>
      </c>
      <c r="AX884" s="748">
        <f>+MAX(IF(AV884&gt;AW884,AW884-AV883,AU884),0)</f>
      </c>
      <c r="AY884" s="748">
        <f>+AU884-AX884</f>
      </c>
      <c r="AZ884" s="331">
        <f>+$AM$1+IF($AP$1&gt;$AP$2,$AM$3/2)</f>
      </c>
    </row>
    <row x14ac:dyDescent="0.25" r="885" customHeight="1" ht="18.75">
      <c r="A885" s="1"/>
      <c r="B885" s="7"/>
      <c r="C885" s="170"/>
      <c r="D885" s="331">
        <v>878</v>
      </c>
      <c r="E885" s="544">
        <f>+DATE(YEAR(E884),MONTH(E884)-1,DAY(E884))</f>
        <v>25569.041666666668</v>
      </c>
      <c r="F885" s="333">
        <f>IF(DATE(YEAR($B$6),MONTH($B$6)+1,DAY(1))=E885,1,IF(MONTH(E885)=1,F886*(1+$F$5),F886))</f>
      </c>
      <c r="G885" s="333">
        <f>IF('Simulador - 1º Pilar'!$E$99="Sí",IF('Aportaciones PPE'!$B$13&lt;'Aportaciones PPE'!E885,0,F885*$B$8/12),F885*$B$8/12)</f>
      </c>
      <c r="H885" s="333">
        <f>$H$5*G885</f>
      </c>
      <c r="I885" s="333">
        <f>$I$5*G885</f>
      </c>
      <c r="J885" s="333">
        <f>+I885</f>
      </c>
      <c r="K885" s="333">
        <f>(1+$O$5)^(D885/12)*(H885+IF(AND(F885=1,F886=0),$S$4,0))</f>
      </c>
      <c r="L885" s="333">
        <f>(1+$O$5)^(D885/12)*(I885+IF(AND(F885=1,F886=0),0))</f>
      </c>
      <c r="M885" s="333">
        <f>+L885</f>
      </c>
      <c r="N885" s="333">
        <f>L885+K885+M885</f>
      </c>
      <c r="O885" s="170"/>
      <c r="P885" s="7"/>
      <c r="Q885" s="1"/>
      <c r="R885" s="331">
        <f>D885</f>
      </c>
      <c r="S885" s="169"/>
      <c r="T885" s="1"/>
      <c r="U885" s="217"/>
      <c r="V885" s="331">
        <f>+IF(V884=11,12,IF(V884=12,1,V884+1))</f>
      </c>
      <c r="W885" s="331">
        <f>+W884+IF(V884=12,1,0)</f>
      </c>
      <c r="X885" s="555">
        <f>+DATE(W885,V885,1)</f>
        <v>25569.041666666668</v>
      </c>
      <c r="Y885" s="333">
        <f>+_xlfn.IFNA(AN885+AS885+AX885,0)</f>
      </c>
      <c r="Z885" s="333">
        <f>+_xlfn.IFNA(AO885+AT885+AY885,0)</f>
      </c>
      <c r="AA885" s="333">
        <f>Y885*(1+$O$5)^(($B$7-X885)/365.25)</f>
      </c>
      <c r="AB885" s="333">
        <f>Z885*(1+$O$5)^(($B$7-X885)/365.25)</f>
      </c>
      <c r="AC885" s="1"/>
      <c r="AD885" s="1"/>
      <c r="AE885" s="1"/>
      <c r="AF885" s="111">
        <f>+MONTH(E885)&amp;YEAR(E885)</f>
      </c>
      <c r="AG885" s="217">
        <f>+I885</f>
      </c>
      <c r="AH885" s="217">
        <f>+J885</f>
      </c>
      <c r="AI885" s="217">
        <f>+H885</f>
      </c>
      <c r="AJ885" s="111">
        <f>+V885&amp;W885</f>
      </c>
      <c r="AK885" s="217">
        <f>+_xlfn.IFNA(VLOOKUP(AJ885,$AF$7:$AG$1066,2,0),0)</f>
      </c>
      <c r="AL885" s="217">
        <f>+IF(W885&gt;W884,AK885,AL884+AK885)</f>
      </c>
      <c r="AM885" s="217">
        <f>IF(W885&gt;W884,IF(AL885&gt;=$AZ$8,$AZ$8,AL885),IF(OR(AM884=$AZ$8,AM884=0),0,IF(AL885&gt;=$AZ$8,$AZ$8,AL885)))</f>
      </c>
      <c r="AN885" s="748">
        <f>+IF(OR(AM885&gt;AZ884,AM885=0),0,IF(AM885=AL885,AK885,$AZ$7-AL884))</f>
      </c>
      <c r="AO885" s="748">
        <f>+AK885-AN885</f>
      </c>
      <c r="AP885" s="217">
        <f>+_xlfn.IFNA(VLOOKUP(AJ885,$AF$7:$AI$1066,3,0),0)</f>
      </c>
      <c r="AQ885" s="217">
        <f>+IF(W885&gt;W884,AP885,AQ884+AP885)</f>
      </c>
      <c r="AR885" s="217">
        <f>+MAX($AM$2-SUMIF($W$7:$W$1066,W885,$AN$7:$AN$1066),0)</f>
      </c>
      <c r="AS885" s="748">
        <f>+MAX(IF(AQ885&gt;AR885,AR885-AQ884,AP885),0)</f>
      </c>
      <c r="AT885" s="748">
        <f>+AP885-AS885</f>
      </c>
      <c r="AU885" s="217">
        <f>+_xlfn.IFNA(VLOOKUP(AJ885,$AF$7:$AI$1066,4,0),0)</f>
      </c>
      <c r="AV885" s="217">
        <f>+IF(W885&gt;W884,AU885,AV884+AU885)</f>
      </c>
      <c r="AW885" s="217">
        <f>+MAX($AM$2-SUMIF($W$7:$W$1066,W885,$AN$7:$AN$1066)-SUMIF($W$7:$W$1066,W885,$AS$7:$AS$1066),0)</f>
      </c>
      <c r="AX885" s="748">
        <f>+MAX(IF(AV885&gt;AW885,AW885-AV884,AU885),0)</f>
      </c>
      <c r="AY885" s="748">
        <f>+AU885-AX885</f>
      </c>
      <c r="AZ885" s="331">
        <f>+$AM$1+IF($AP$1&gt;$AP$2,$AM$3/2)</f>
      </c>
    </row>
    <row x14ac:dyDescent="0.25" r="886" customHeight="1" ht="18.75">
      <c r="A886" s="1"/>
      <c r="B886" s="7"/>
      <c r="C886" s="170"/>
      <c r="D886" s="331">
        <v>879</v>
      </c>
      <c r="E886" s="544">
        <f>+DATE(YEAR(E885),MONTH(E885)-1,DAY(E885))</f>
        <v>25569.041666666668</v>
      </c>
      <c r="F886" s="333">
        <f>IF(DATE(YEAR($B$6),MONTH($B$6)+1,DAY(1))=E886,1,IF(MONTH(E886)=1,F887*(1+$F$5),F887))</f>
      </c>
      <c r="G886" s="333">
        <f>IF('Simulador - 1º Pilar'!$E$99="Sí",IF('Aportaciones PPE'!$B$13&lt;'Aportaciones PPE'!E886,0,F886*$B$8/12),F886*$B$8/12)</f>
      </c>
      <c r="H886" s="333">
        <f>$H$5*G886</f>
      </c>
      <c r="I886" s="333">
        <f>$I$5*G886</f>
      </c>
      <c r="J886" s="333">
        <f>+I886</f>
      </c>
      <c r="K886" s="333">
        <f>(1+$O$5)^(D886/12)*(H886+IF(AND(F886=1,F887=0),$S$4,0))</f>
      </c>
      <c r="L886" s="333">
        <f>(1+$O$5)^(D886/12)*(I886+IF(AND(F886=1,F887=0),0))</f>
      </c>
      <c r="M886" s="333">
        <f>+L886</f>
      </c>
      <c r="N886" s="333">
        <f>L886+K886+M886</f>
      </c>
      <c r="O886" s="170"/>
      <c r="P886" s="7"/>
      <c r="Q886" s="1"/>
      <c r="R886" s="331">
        <f>D886</f>
      </c>
      <c r="S886" s="169"/>
      <c r="T886" s="1"/>
      <c r="U886" s="217"/>
      <c r="V886" s="331">
        <f>+IF(V885=11,12,IF(V885=12,1,V885+1))</f>
      </c>
      <c r="W886" s="331">
        <f>+W885+IF(V885=12,1,0)</f>
      </c>
      <c r="X886" s="555">
        <f>+DATE(W886,V886,1)</f>
        <v>25569.041666666668</v>
      </c>
      <c r="Y886" s="333">
        <f>+_xlfn.IFNA(AN886+AS886+AX886,0)</f>
      </c>
      <c r="Z886" s="333">
        <f>+_xlfn.IFNA(AO886+AT886+AY886,0)</f>
      </c>
      <c r="AA886" s="333">
        <f>Y886*(1+$O$5)^(($B$7-X886)/365.25)</f>
      </c>
      <c r="AB886" s="333">
        <f>Z886*(1+$O$5)^(($B$7-X886)/365.25)</f>
      </c>
      <c r="AC886" s="1"/>
      <c r="AD886" s="1"/>
      <c r="AE886" s="1"/>
      <c r="AF886" s="111">
        <f>+MONTH(E886)&amp;YEAR(E886)</f>
      </c>
      <c r="AG886" s="217">
        <f>+I886</f>
      </c>
      <c r="AH886" s="217">
        <f>+J886</f>
      </c>
      <c r="AI886" s="217">
        <f>+H886</f>
      </c>
      <c r="AJ886" s="111">
        <f>+V886&amp;W886</f>
      </c>
      <c r="AK886" s="217">
        <f>+_xlfn.IFNA(VLOOKUP(AJ886,$AF$7:$AG$1066,2,0),0)</f>
      </c>
      <c r="AL886" s="217">
        <f>+IF(W886&gt;W885,AK886,AL885+AK886)</f>
      </c>
      <c r="AM886" s="217">
        <f>IF(W886&gt;W885,IF(AL886&gt;=$AZ$8,$AZ$8,AL886),IF(OR(AM885=$AZ$8,AM885=0),0,IF(AL886&gt;=$AZ$8,$AZ$8,AL886)))</f>
      </c>
      <c r="AN886" s="748">
        <f>+IF(OR(AM886&gt;AZ885,AM886=0),0,IF(AM886=AL886,AK886,$AZ$7-AL885))</f>
      </c>
      <c r="AO886" s="748">
        <f>+AK886-AN886</f>
      </c>
      <c r="AP886" s="217">
        <f>+_xlfn.IFNA(VLOOKUP(AJ886,$AF$7:$AI$1066,3,0),0)</f>
      </c>
      <c r="AQ886" s="217">
        <f>+IF(W886&gt;W885,AP886,AQ885+AP886)</f>
      </c>
      <c r="AR886" s="217">
        <f>+MAX($AM$2-SUMIF($W$7:$W$1066,W886,$AN$7:$AN$1066),0)</f>
      </c>
      <c r="AS886" s="748">
        <f>+MAX(IF(AQ886&gt;AR886,AR886-AQ885,AP886),0)</f>
      </c>
      <c r="AT886" s="748">
        <f>+AP886-AS886</f>
      </c>
      <c r="AU886" s="217">
        <f>+_xlfn.IFNA(VLOOKUP(AJ886,$AF$7:$AI$1066,4,0),0)</f>
      </c>
      <c r="AV886" s="217">
        <f>+IF(W886&gt;W885,AU886,AV885+AU886)</f>
      </c>
      <c r="AW886" s="217">
        <f>+MAX($AM$2-SUMIF($W$7:$W$1066,W886,$AN$7:$AN$1066)-SUMIF($W$7:$W$1066,W886,$AS$7:$AS$1066),0)</f>
      </c>
      <c r="AX886" s="748">
        <f>+MAX(IF(AV886&gt;AW886,AW886-AV885,AU886),0)</f>
      </c>
      <c r="AY886" s="748">
        <f>+AU886-AX886</f>
      </c>
      <c r="AZ886" s="331">
        <f>+$AM$1+IF($AP$1&gt;$AP$2,$AM$3/2)</f>
      </c>
    </row>
    <row x14ac:dyDescent="0.25" r="887" customHeight="1" ht="18.75">
      <c r="A887" s="1"/>
      <c r="B887" s="7"/>
      <c r="C887" s="170"/>
      <c r="D887" s="331">
        <v>880</v>
      </c>
      <c r="E887" s="544">
        <f>+DATE(YEAR(E886),MONTH(E886)-1,DAY(E886))</f>
        <v>25569.041666666668</v>
      </c>
      <c r="F887" s="333">
        <f>IF(DATE(YEAR($B$6),MONTH($B$6)+1,DAY(1))=E887,1,IF(MONTH(E887)=1,F888*(1+$F$5),F888))</f>
      </c>
      <c r="G887" s="333">
        <f>IF('Simulador - 1º Pilar'!$E$99="Sí",IF('Aportaciones PPE'!$B$13&lt;'Aportaciones PPE'!E887,0,F887*$B$8/12),F887*$B$8/12)</f>
      </c>
      <c r="H887" s="333">
        <f>$H$5*G887</f>
      </c>
      <c r="I887" s="333">
        <f>$I$5*G887</f>
      </c>
      <c r="J887" s="333">
        <f>+I887</f>
      </c>
      <c r="K887" s="333">
        <f>(1+$O$5)^(D887/12)*(H887+IF(AND(F887=1,F888=0),$S$4,0))</f>
      </c>
      <c r="L887" s="333">
        <f>(1+$O$5)^(D887/12)*(I887+IF(AND(F887=1,F888=0),0))</f>
      </c>
      <c r="M887" s="333">
        <f>+L887</f>
      </c>
      <c r="N887" s="333">
        <f>L887+K887+M887</f>
      </c>
      <c r="O887" s="170"/>
      <c r="P887" s="7"/>
      <c r="Q887" s="1"/>
      <c r="R887" s="331">
        <f>D887</f>
      </c>
      <c r="S887" s="169"/>
      <c r="T887" s="1"/>
      <c r="U887" s="217"/>
      <c r="V887" s="331">
        <f>+IF(V886=11,12,IF(V886=12,1,V886+1))</f>
      </c>
      <c r="W887" s="331">
        <f>+W886+IF(V886=12,1,0)</f>
      </c>
      <c r="X887" s="555">
        <f>+DATE(W887,V887,1)</f>
        <v>25569.041666666668</v>
      </c>
      <c r="Y887" s="333">
        <f>+_xlfn.IFNA(AN887+AS887+AX887,0)</f>
      </c>
      <c r="Z887" s="333">
        <f>+_xlfn.IFNA(AO887+AT887+AY887,0)</f>
      </c>
      <c r="AA887" s="333">
        <f>Y887*(1+$O$5)^(($B$7-X887)/365.25)</f>
      </c>
      <c r="AB887" s="333">
        <f>Z887*(1+$O$5)^(($B$7-X887)/365.25)</f>
      </c>
      <c r="AC887" s="1"/>
      <c r="AD887" s="1"/>
      <c r="AE887" s="1"/>
      <c r="AF887" s="111">
        <f>+MONTH(E887)&amp;YEAR(E887)</f>
      </c>
      <c r="AG887" s="217">
        <f>+I887</f>
      </c>
      <c r="AH887" s="217">
        <f>+J887</f>
      </c>
      <c r="AI887" s="217">
        <f>+H887</f>
      </c>
      <c r="AJ887" s="111">
        <f>+V887&amp;W887</f>
      </c>
      <c r="AK887" s="217">
        <f>+_xlfn.IFNA(VLOOKUP(AJ887,$AF$7:$AG$1066,2,0),0)</f>
      </c>
      <c r="AL887" s="217">
        <f>+IF(W887&gt;W886,AK887,AL886+AK887)</f>
      </c>
      <c r="AM887" s="217">
        <f>IF(W887&gt;W886,IF(AL887&gt;=$AZ$8,$AZ$8,AL887),IF(OR(AM886=$AZ$8,AM886=0),0,IF(AL887&gt;=$AZ$8,$AZ$8,AL887)))</f>
      </c>
      <c r="AN887" s="748">
        <f>+IF(OR(AM887&gt;AZ886,AM887=0),0,IF(AM887=AL887,AK887,$AZ$7-AL886))</f>
      </c>
      <c r="AO887" s="748">
        <f>+AK887-AN887</f>
      </c>
      <c r="AP887" s="217">
        <f>+_xlfn.IFNA(VLOOKUP(AJ887,$AF$7:$AI$1066,3,0),0)</f>
      </c>
      <c r="AQ887" s="217">
        <f>+IF(W887&gt;W886,AP887,AQ886+AP887)</f>
      </c>
      <c r="AR887" s="217">
        <f>+MAX($AM$2-SUMIF($W$7:$W$1066,W887,$AN$7:$AN$1066),0)</f>
      </c>
      <c r="AS887" s="748">
        <f>+MAX(IF(AQ887&gt;AR887,AR887-AQ886,AP887),0)</f>
      </c>
      <c r="AT887" s="748">
        <f>+AP887-AS887</f>
      </c>
      <c r="AU887" s="217">
        <f>+_xlfn.IFNA(VLOOKUP(AJ887,$AF$7:$AI$1066,4,0),0)</f>
      </c>
      <c r="AV887" s="217">
        <f>+IF(W887&gt;W886,AU887,AV886+AU887)</f>
      </c>
      <c r="AW887" s="217">
        <f>+MAX($AM$2-SUMIF($W$7:$W$1066,W887,$AN$7:$AN$1066)-SUMIF($W$7:$W$1066,W887,$AS$7:$AS$1066),0)</f>
      </c>
      <c r="AX887" s="748">
        <f>+MAX(IF(AV887&gt;AW887,AW887-AV886,AU887),0)</f>
      </c>
      <c r="AY887" s="748">
        <f>+AU887-AX887</f>
      </c>
      <c r="AZ887" s="331">
        <f>+$AM$1+IF($AP$1&gt;$AP$2,$AM$3/2)</f>
      </c>
    </row>
    <row x14ac:dyDescent="0.25" r="888" customHeight="1" ht="18.75">
      <c r="A888" s="1"/>
      <c r="B888" s="7"/>
      <c r="C888" s="170"/>
      <c r="D888" s="331">
        <v>881</v>
      </c>
      <c r="E888" s="544">
        <f>+DATE(YEAR(E887),MONTH(E887)-1,DAY(E887))</f>
        <v>25569.041666666668</v>
      </c>
      <c r="F888" s="333">
        <f>IF(DATE(YEAR($B$6),MONTH($B$6)+1,DAY(1))=E888,1,IF(MONTH(E888)=1,F889*(1+$F$5),F889))</f>
      </c>
      <c r="G888" s="333">
        <f>IF('Simulador - 1º Pilar'!$E$99="Sí",IF('Aportaciones PPE'!$B$13&lt;'Aportaciones PPE'!E888,0,F888*$B$8/12),F888*$B$8/12)</f>
      </c>
      <c r="H888" s="333">
        <f>$H$5*G888</f>
      </c>
      <c r="I888" s="333">
        <f>$I$5*G888</f>
      </c>
      <c r="J888" s="333">
        <f>+I888</f>
      </c>
      <c r="K888" s="333">
        <f>(1+$O$5)^(D888/12)*(H888+IF(AND(F888=1,F889=0),$S$4,0))</f>
      </c>
      <c r="L888" s="333">
        <f>(1+$O$5)^(D888/12)*(I888+IF(AND(F888=1,F889=0),0))</f>
      </c>
      <c r="M888" s="333">
        <f>+L888</f>
      </c>
      <c r="N888" s="333">
        <f>L888+K888+M888</f>
      </c>
      <c r="O888" s="170"/>
      <c r="P888" s="7"/>
      <c r="Q888" s="1"/>
      <c r="R888" s="331">
        <f>D888</f>
      </c>
      <c r="S888" s="169"/>
      <c r="T888" s="1"/>
      <c r="U888" s="217"/>
      <c r="V888" s="331">
        <f>+IF(V887=11,12,IF(V887=12,1,V887+1))</f>
      </c>
      <c r="W888" s="331">
        <f>+W887+IF(V887=12,1,0)</f>
      </c>
      <c r="X888" s="555">
        <f>+DATE(W888,V888,1)</f>
        <v>25569.041666666668</v>
      </c>
      <c r="Y888" s="333">
        <f>+_xlfn.IFNA(AN888+AS888+AX888,0)</f>
      </c>
      <c r="Z888" s="333">
        <f>+_xlfn.IFNA(AO888+AT888+AY888,0)</f>
      </c>
      <c r="AA888" s="333">
        <f>Y888*(1+$O$5)^(($B$7-X888)/365.25)</f>
      </c>
      <c r="AB888" s="333">
        <f>Z888*(1+$O$5)^(($B$7-X888)/365.25)</f>
      </c>
      <c r="AC888" s="1"/>
      <c r="AD888" s="1"/>
      <c r="AE888" s="1"/>
      <c r="AF888" s="111">
        <f>+MONTH(E888)&amp;YEAR(E888)</f>
      </c>
      <c r="AG888" s="217">
        <f>+I888</f>
      </c>
      <c r="AH888" s="217">
        <f>+J888</f>
      </c>
      <c r="AI888" s="217">
        <f>+H888</f>
      </c>
      <c r="AJ888" s="111">
        <f>+V888&amp;W888</f>
      </c>
      <c r="AK888" s="217">
        <f>+_xlfn.IFNA(VLOOKUP(AJ888,$AF$7:$AG$1066,2,0),0)</f>
      </c>
      <c r="AL888" s="217">
        <f>+IF(W888&gt;W887,AK888,AL887+AK888)</f>
      </c>
      <c r="AM888" s="217">
        <f>IF(W888&gt;W887,IF(AL888&gt;=$AZ$8,$AZ$8,AL888),IF(OR(AM887=$AZ$8,AM887=0),0,IF(AL888&gt;=$AZ$8,$AZ$8,AL888)))</f>
      </c>
      <c r="AN888" s="748">
        <f>+IF(OR(AM888&gt;AZ887,AM888=0),0,IF(AM888=AL888,AK888,$AZ$7-AL887))</f>
      </c>
      <c r="AO888" s="748">
        <f>+AK888-AN888</f>
      </c>
      <c r="AP888" s="217">
        <f>+_xlfn.IFNA(VLOOKUP(AJ888,$AF$7:$AI$1066,3,0),0)</f>
      </c>
      <c r="AQ888" s="217">
        <f>+IF(W888&gt;W887,AP888,AQ887+AP888)</f>
      </c>
      <c r="AR888" s="217">
        <f>+MAX($AM$2-SUMIF($W$7:$W$1066,W888,$AN$7:$AN$1066),0)</f>
      </c>
      <c r="AS888" s="748">
        <f>+MAX(IF(AQ888&gt;AR888,AR888-AQ887,AP888),0)</f>
      </c>
      <c r="AT888" s="748">
        <f>+AP888-AS888</f>
      </c>
      <c r="AU888" s="217">
        <f>+_xlfn.IFNA(VLOOKUP(AJ888,$AF$7:$AI$1066,4,0),0)</f>
      </c>
      <c r="AV888" s="217">
        <f>+IF(W888&gt;W887,AU888,AV887+AU888)</f>
      </c>
      <c r="AW888" s="217">
        <f>+MAX($AM$2-SUMIF($W$7:$W$1066,W888,$AN$7:$AN$1066)-SUMIF($W$7:$W$1066,W888,$AS$7:$AS$1066),0)</f>
      </c>
      <c r="AX888" s="748">
        <f>+MAX(IF(AV888&gt;AW888,AW888-AV887,AU888),0)</f>
      </c>
      <c r="AY888" s="748">
        <f>+AU888-AX888</f>
      </c>
      <c r="AZ888" s="331">
        <f>+$AM$1+IF($AP$1&gt;$AP$2,$AM$3/2)</f>
      </c>
    </row>
    <row x14ac:dyDescent="0.25" r="889" customHeight="1" ht="18.75">
      <c r="A889" s="1"/>
      <c r="B889" s="7"/>
      <c r="C889" s="170"/>
      <c r="D889" s="331">
        <v>882</v>
      </c>
      <c r="E889" s="544">
        <f>+DATE(YEAR(E888),MONTH(E888)-1,DAY(E888))</f>
        <v>25569.041666666668</v>
      </c>
      <c r="F889" s="333">
        <f>IF(DATE(YEAR($B$6),MONTH($B$6)+1,DAY(1))=E889,1,IF(MONTH(E889)=1,F890*(1+$F$5),F890))</f>
      </c>
      <c r="G889" s="333">
        <f>IF('Simulador - 1º Pilar'!$E$99="Sí",IF('Aportaciones PPE'!$B$13&lt;'Aportaciones PPE'!E889,0,F889*$B$8/12),F889*$B$8/12)</f>
      </c>
      <c r="H889" s="333">
        <f>$H$5*G889</f>
      </c>
      <c r="I889" s="333">
        <f>$I$5*G889</f>
      </c>
      <c r="J889" s="333">
        <f>+I889</f>
      </c>
      <c r="K889" s="333">
        <f>(1+$O$5)^(D889/12)*(H889+IF(AND(F889=1,F890=0),$S$4,0))</f>
      </c>
      <c r="L889" s="333">
        <f>(1+$O$5)^(D889/12)*(I889+IF(AND(F889=1,F890=0),0))</f>
      </c>
      <c r="M889" s="333">
        <f>+L889</f>
      </c>
      <c r="N889" s="333">
        <f>L889+K889+M889</f>
      </c>
      <c r="O889" s="170"/>
      <c r="P889" s="7"/>
      <c r="Q889" s="1"/>
      <c r="R889" s="331">
        <f>D889</f>
      </c>
      <c r="S889" s="169"/>
      <c r="T889" s="1"/>
      <c r="U889" s="217"/>
      <c r="V889" s="331">
        <f>+IF(V888=11,12,IF(V888=12,1,V888+1))</f>
      </c>
      <c r="W889" s="331">
        <f>+W888+IF(V888=12,1,0)</f>
      </c>
      <c r="X889" s="555">
        <f>+DATE(W889,V889,1)</f>
        <v>25569.041666666668</v>
      </c>
      <c r="Y889" s="333">
        <f>+_xlfn.IFNA(AN889+AS889+AX889,0)</f>
      </c>
      <c r="Z889" s="333">
        <f>+_xlfn.IFNA(AO889+AT889+AY889,0)</f>
      </c>
      <c r="AA889" s="333">
        <f>Y889*(1+$O$5)^(($B$7-X889)/365.25)</f>
      </c>
      <c r="AB889" s="333">
        <f>Z889*(1+$O$5)^(($B$7-X889)/365.25)</f>
      </c>
      <c r="AC889" s="1"/>
      <c r="AD889" s="1"/>
      <c r="AE889" s="1"/>
      <c r="AF889" s="111">
        <f>+MONTH(E889)&amp;YEAR(E889)</f>
      </c>
      <c r="AG889" s="217">
        <f>+I889</f>
      </c>
      <c r="AH889" s="217">
        <f>+J889</f>
      </c>
      <c r="AI889" s="217">
        <f>+H889</f>
      </c>
      <c r="AJ889" s="111">
        <f>+V889&amp;W889</f>
      </c>
      <c r="AK889" s="217">
        <f>+_xlfn.IFNA(VLOOKUP(AJ889,$AF$7:$AG$1066,2,0),0)</f>
      </c>
      <c r="AL889" s="217">
        <f>+IF(W889&gt;W888,AK889,AL888+AK889)</f>
      </c>
      <c r="AM889" s="217">
        <f>IF(W889&gt;W888,IF(AL889&gt;=$AZ$8,$AZ$8,AL889),IF(OR(AM888=$AZ$8,AM888=0),0,IF(AL889&gt;=$AZ$8,$AZ$8,AL889)))</f>
      </c>
      <c r="AN889" s="748">
        <f>+IF(OR(AM889&gt;AZ888,AM889=0),0,IF(AM889=AL889,AK889,$AZ$7-AL888))</f>
      </c>
      <c r="AO889" s="748">
        <f>+AK889-AN889</f>
      </c>
      <c r="AP889" s="217">
        <f>+_xlfn.IFNA(VLOOKUP(AJ889,$AF$7:$AI$1066,3,0),0)</f>
      </c>
      <c r="AQ889" s="217">
        <f>+IF(W889&gt;W888,AP889,AQ888+AP889)</f>
      </c>
      <c r="AR889" s="217">
        <f>+MAX($AM$2-SUMIF($W$7:$W$1066,W889,$AN$7:$AN$1066),0)</f>
      </c>
      <c r="AS889" s="748">
        <f>+MAX(IF(AQ889&gt;AR889,AR889-AQ888,AP889),0)</f>
      </c>
      <c r="AT889" s="748">
        <f>+AP889-AS889</f>
      </c>
      <c r="AU889" s="217">
        <f>+_xlfn.IFNA(VLOOKUP(AJ889,$AF$7:$AI$1066,4,0),0)</f>
      </c>
      <c r="AV889" s="217">
        <f>+IF(W889&gt;W888,AU889,AV888+AU889)</f>
      </c>
      <c r="AW889" s="217">
        <f>+MAX($AM$2-SUMIF($W$7:$W$1066,W889,$AN$7:$AN$1066)-SUMIF($W$7:$W$1066,W889,$AS$7:$AS$1066),0)</f>
      </c>
      <c r="AX889" s="748">
        <f>+MAX(IF(AV889&gt;AW889,AW889-AV888,AU889),0)</f>
      </c>
      <c r="AY889" s="748">
        <f>+AU889-AX889</f>
      </c>
      <c r="AZ889" s="331">
        <f>+$AM$1+IF($AP$1&gt;$AP$2,$AM$3/2)</f>
      </c>
    </row>
    <row x14ac:dyDescent="0.25" r="890" customHeight="1" ht="18.75">
      <c r="A890" s="1"/>
      <c r="B890" s="7"/>
      <c r="C890" s="170"/>
      <c r="D890" s="331">
        <v>883</v>
      </c>
      <c r="E890" s="544">
        <f>+DATE(YEAR(E889),MONTH(E889)-1,DAY(E889))</f>
        <v>25569.041666666668</v>
      </c>
      <c r="F890" s="333">
        <f>IF(DATE(YEAR($B$6),MONTH($B$6)+1,DAY(1))=E890,1,IF(MONTH(E890)=1,F891*(1+$F$5),F891))</f>
      </c>
      <c r="G890" s="333">
        <f>IF('Simulador - 1º Pilar'!$E$99="Sí",IF('Aportaciones PPE'!$B$13&lt;'Aportaciones PPE'!E890,0,F890*$B$8/12),F890*$B$8/12)</f>
      </c>
      <c r="H890" s="333">
        <f>$H$5*G890</f>
      </c>
      <c r="I890" s="333">
        <f>$I$5*G890</f>
      </c>
      <c r="J890" s="333">
        <f>+I890</f>
      </c>
      <c r="K890" s="333">
        <f>(1+$O$5)^(D890/12)*(H890+IF(AND(F890=1,F891=0),$S$4,0))</f>
      </c>
      <c r="L890" s="333">
        <f>(1+$O$5)^(D890/12)*(I890+IF(AND(F890=1,F891=0),0))</f>
      </c>
      <c r="M890" s="333">
        <f>+L890</f>
      </c>
      <c r="N890" s="333">
        <f>L890+K890+M890</f>
      </c>
      <c r="O890" s="170"/>
      <c r="P890" s="7"/>
      <c r="Q890" s="1"/>
      <c r="R890" s="331">
        <f>D890</f>
      </c>
      <c r="S890" s="169"/>
      <c r="T890" s="1"/>
      <c r="U890" s="217"/>
      <c r="V890" s="331">
        <f>+IF(V889=11,12,IF(V889=12,1,V889+1))</f>
      </c>
      <c r="W890" s="331">
        <f>+W889+IF(V889=12,1,0)</f>
      </c>
      <c r="X890" s="555">
        <f>+DATE(W890,V890,1)</f>
        <v>25569.041666666668</v>
      </c>
      <c r="Y890" s="333">
        <f>+_xlfn.IFNA(AN890+AS890+AX890,0)</f>
      </c>
      <c r="Z890" s="333">
        <f>+_xlfn.IFNA(AO890+AT890+AY890,0)</f>
      </c>
      <c r="AA890" s="333">
        <f>Y890*(1+$O$5)^(($B$7-X890)/365.25)</f>
      </c>
      <c r="AB890" s="333">
        <f>Z890*(1+$O$5)^(($B$7-X890)/365.25)</f>
      </c>
      <c r="AC890" s="1"/>
      <c r="AD890" s="1"/>
      <c r="AE890" s="1"/>
      <c r="AF890" s="111">
        <f>+MONTH(E890)&amp;YEAR(E890)</f>
      </c>
      <c r="AG890" s="217">
        <f>+I890</f>
      </c>
      <c r="AH890" s="217">
        <f>+J890</f>
      </c>
      <c r="AI890" s="217">
        <f>+H890</f>
      </c>
      <c r="AJ890" s="111">
        <f>+V890&amp;W890</f>
      </c>
      <c r="AK890" s="217">
        <f>+_xlfn.IFNA(VLOOKUP(AJ890,$AF$7:$AG$1066,2,0),0)</f>
      </c>
      <c r="AL890" s="217">
        <f>+IF(W890&gt;W889,AK890,AL889+AK890)</f>
      </c>
      <c r="AM890" s="217">
        <f>IF(W890&gt;W889,IF(AL890&gt;=$AZ$8,$AZ$8,AL890),IF(OR(AM889=$AZ$8,AM889=0),0,IF(AL890&gt;=$AZ$8,$AZ$8,AL890)))</f>
      </c>
      <c r="AN890" s="748">
        <f>+IF(OR(AM890&gt;AZ889,AM890=0),0,IF(AM890=AL890,AK890,$AZ$7-AL889))</f>
      </c>
      <c r="AO890" s="748">
        <f>+AK890-AN890</f>
      </c>
      <c r="AP890" s="217">
        <f>+_xlfn.IFNA(VLOOKUP(AJ890,$AF$7:$AI$1066,3,0),0)</f>
      </c>
      <c r="AQ890" s="217">
        <f>+IF(W890&gt;W889,AP890,AQ889+AP890)</f>
      </c>
      <c r="AR890" s="217">
        <f>+MAX($AM$2-SUMIF($W$7:$W$1066,W890,$AN$7:$AN$1066),0)</f>
      </c>
      <c r="AS890" s="748">
        <f>+MAX(IF(AQ890&gt;AR890,AR890-AQ889,AP890),0)</f>
      </c>
      <c r="AT890" s="748">
        <f>+AP890-AS890</f>
      </c>
      <c r="AU890" s="217">
        <f>+_xlfn.IFNA(VLOOKUP(AJ890,$AF$7:$AI$1066,4,0),0)</f>
      </c>
      <c r="AV890" s="217">
        <f>+IF(W890&gt;W889,AU890,AV889+AU890)</f>
      </c>
      <c r="AW890" s="217">
        <f>+MAX($AM$2-SUMIF($W$7:$W$1066,W890,$AN$7:$AN$1066)-SUMIF($W$7:$W$1066,W890,$AS$7:$AS$1066),0)</f>
      </c>
      <c r="AX890" s="748">
        <f>+MAX(IF(AV890&gt;AW890,AW890-AV889,AU890),0)</f>
      </c>
      <c r="AY890" s="748">
        <f>+AU890-AX890</f>
      </c>
      <c r="AZ890" s="331">
        <f>+$AM$1+IF($AP$1&gt;$AP$2,$AM$3/2)</f>
      </c>
    </row>
    <row x14ac:dyDescent="0.25" r="891" customHeight="1" ht="18.75">
      <c r="A891" s="1"/>
      <c r="B891" s="7"/>
      <c r="C891" s="170"/>
      <c r="D891" s="331">
        <v>884</v>
      </c>
      <c r="E891" s="544">
        <f>+DATE(YEAR(E890),MONTH(E890)-1,DAY(E890))</f>
        <v>25569.041666666668</v>
      </c>
      <c r="F891" s="333">
        <f>IF(DATE(YEAR($B$6),MONTH($B$6)+1,DAY(1))=E891,1,IF(MONTH(E891)=1,F892*(1+$F$5),F892))</f>
      </c>
      <c r="G891" s="333">
        <f>IF('Simulador - 1º Pilar'!$E$99="Sí",IF('Aportaciones PPE'!$B$13&lt;'Aportaciones PPE'!E891,0,F891*$B$8/12),F891*$B$8/12)</f>
      </c>
      <c r="H891" s="333">
        <f>$H$5*G891</f>
      </c>
      <c r="I891" s="333">
        <f>$I$5*G891</f>
      </c>
      <c r="J891" s="333">
        <f>+I891</f>
      </c>
      <c r="K891" s="333">
        <f>(1+$O$5)^(D891/12)*(H891+IF(AND(F891=1,F892=0),$S$4,0))</f>
      </c>
      <c r="L891" s="333">
        <f>(1+$O$5)^(D891/12)*(I891+IF(AND(F891=1,F892=0),0))</f>
      </c>
      <c r="M891" s="333">
        <f>+L891</f>
      </c>
      <c r="N891" s="333">
        <f>L891+K891+M891</f>
      </c>
      <c r="O891" s="170"/>
      <c r="P891" s="7"/>
      <c r="Q891" s="1"/>
      <c r="R891" s="331">
        <f>D891</f>
      </c>
      <c r="S891" s="169"/>
      <c r="T891" s="1"/>
      <c r="U891" s="217"/>
      <c r="V891" s="331">
        <f>+IF(V890=11,12,IF(V890=12,1,V890+1))</f>
      </c>
      <c r="W891" s="331">
        <f>+W890+IF(V890=12,1,0)</f>
      </c>
      <c r="X891" s="555">
        <f>+DATE(W891,V891,1)</f>
        <v>25569.041666666668</v>
      </c>
      <c r="Y891" s="333">
        <f>+_xlfn.IFNA(AN891+AS891+AX891,0)</f>
      </c>
      <c r="Z891" s="333">
        <f>+_xlfn.IFNA(AO891+AT891+AY891,0)</f>
      </c>
      <c r="AA891" s="333">
        <f>Y891*(1+$O$5)^(($B$7-X891)/365.25)</f>
      </c>
      <c r="AB891" s="333">
        <f>Z891*(1+$O$5)^(($B$7-X891)/365.25)</f>
      </c>
      <c r="AC891" s="1"/>
      <c r="AD891" s="1"/>
      <c r="AE891" s="1"/>
      <c r="AF891" s="111">
        <f>+MONTH(E891)&amp;YEAR(E891)</f>
      </c>
      <c r="AG891" s="217">
        <f>+I891</f>
      </c>
      <c r="AH891" s="217">
        <f>+J891</f>
      </c>
      <c r="AI891" s="217">
        <f>+H891</f>
      </c>
      <c r="AJ891" s="111">
        <f>+V891&amp;W891</f>
      </c>
      <c r="AK891" s="217">
        <f>+_xlfn.IFNA(VLOOKUP(AJ891,$AF$7:$AG$1066,2,0),0)</f>
      </c>
      <c r="AL891" s="217">
        <f>+IF(W891&gt;W890,AK891,AL890+AK891)</f>
      </c>
      <c r="AM891" s="217">
        <f>IF(W891&gt;W890,IF(AL891&gt;=$AZ$8,$AZ$8,AL891),IF(OR(AM890=$AZ$8,AM890=0),0,IF(AL891&gt;=$AZ$8,$AZ$8,AL891)))</f>
      </c>
      <c r="AN891" s="748">
        <f>+IF(OR(AM891&gt;AZ890,AM891=0),0,IF(AM891=AL891,AK891,$AZ$7-AL890))</f>
      </c>
      <c r="AO891" s="748">
        <f>+AK891-AN891</f>
      </c>
      <c r="AP891" s="217">
        <f>+_xlfn.IFNA(VLOOKUP(AJ891,$AF$7:$AI$1066,3,0),0)</f>
      </c>
      <c r="AQ891" s="217">
        <f>+IF(W891&gt;W890,AP891,AQ890+AP891)</f>
      </c>
      <c r="AR891" s="217">
        <f>+MAX($AM$2-SUMIF($W$7:$W$1066,W891,$AN$7:$AN$1066),0)</f>
      </c>
      <c r="AS891" s="748">
        <f>+MAX(IF(AQ891&gt;AR891,AR891-AQ890,AP891),0)</f>
      </c>
      <c r="AT891" s="748">
        <f>+AP891-AS891</f>
      </c>
      <c r="AU891" s="217">
        <f>+_xlfn.IFNA(VLOOKUP(AJ891,$AF$7:$AI$1066,4,0),0)</f>
      </c>
      <c r="AV891" s="217">
        <f>+IF(W891&gt;W890,AU891,AV890+AU891)</f>
      </c>
      <c r="AW891" s="217">
        <f>+MAX($AM$2-SUMIF($W$7:$W$1066,W891,$AN$7:$AN$1066)-SUMIF($W$7:$W$1066,W891,$AS$7:$AS$1066),0)</f>
      </c>
      <c r="AX891" s="748">
        <f>+MAX(IF(AV891&gt;AW891,AW891-AV890,AU891),0)</f>
      </c>
      <c r="AY891" s="748">
        <f>+AU891-AX891</f>
      </c>
      <c r="AZ891" s="331">
        <f>+$AM$1+IF($AP$1&gt;$AP$2,$AM$3/2)</f>
      </c>
    </row>
    <row x14ac:dyDescent="0.25" r="892" customHeight="1" ht="18.75">
      <c r="A892" s="1"/>
      <c r="B892" s="7"/>
      <c r="C892" s="170"/>
      <c r="D892" s="331">
        <v>885</v>
      </c>
      <c r="E892" s="544">
        <f>+DATE(YEAR(E891),MONTH(E891)-1,DAY(E891))</f>
        <v>25569.041666666668</v>
      </c>
      <c r="F892" s="333">
        <f>IF(DATE(YEAR($B$6),MONTH($B$6)+1,DAY(1))=E892,1,IF(MONTH(E892)=1,F893*(1+$F$5),F893))</f>
      </c>
      <c r="G892" s="333">
        <f>IF('Simulador - 1º Pilar'!$E$99="Sí",IF('Aportaciones PPE'!$B$13&lt;'Aportaciones PPE'!E892,0,F892*$B$8/12),F892*$B$8/12)</f>
      </c>
      <c r="H892" s="333">
        <f>$H$5*G892</f>
      </c>
      <c r="I892" s="333">
        <f>$I$5*G892</f>
      </c>
      <c r="J892" s="333">
        <f>+I892</f>
      </c>
      <c r="K892" s="333">
        <f>(1+$O$5)^(D892/12)*(H892+IF(AND(F892=1,F893=0),$S$4,0))</f>
      </c>
      <c r="L892" s="333">
        <f>(1+$O$5)^(D892/12)*(I892+IF(AND(F892=1,F893=0),0))</f>
      </c>
      <c r="M892" s="333">
        <f>+L892</f>
      </c>
      <c r="N892" s="333">
        <f>L892+K892+M892</f>
      </c>
      <c r="O892" s="170"/>
      <c r="P892" s="7"/>
      <c r="Q892" s="1"/>
      <c r="R892" s="331">
        <f>D892</f>
      </c>
      <c r="S892" s="169"/>
      <c r="T892" s="1"/>
      <c r="U892" s="217"/>
      <c r="V892" s="331">
        <f>+IF(V891=11,12,IF(V891=12,1,V891+1))</f>
      </c>
      <c r="W892" s="331">
        <f>+W891+IF(V891=12,1,0)</f>
      </c>
      <c r="X892" s="555">
        <f>+DATE(W892,V892,1)</f>
        <v>25569.041666666668</v>
      </c>
      <c r="Y892" s="333">
        <f>+_xlfn.IFNA(AN892+AS892+AX892,0)</f>
      </c>
      <c r="Z892" s="333">
        <f>+_xlfn.IFNA(AO892+AT892+AY892,0)</f>
      </c>
      <c r="AA892" s="333">
        <f>Y892*(1+$O$5)^(($B$7-X892)/365.25)</f>
      </c>
      <c r="AB892" s="333">
        <f>Z892*(1+$O$5)^(($B$7-X892)/365.25)</f>
      </c>
      <c r="AC892" s="1"/>
      <c r="AD892" s="1"/>
      <c r="AE892" s="1"/>
      <c r="AF892" s="111">
        <f>+MONTH(E892)&amp;YEAR(E892)</f>
      </c>
      <c r="AG892" s="217">
        <f>+I892</f>
      </c>
      <c r="AH892" s="217">
        <f>+J892</f>
      </c>
      <c r="AI892" s="217">
        <f>+H892</f>
      </c>
      <c r="AJ892" s="111">
        <f>+V892&amp;W892</f>
      </c>
      <c r="AK892" s="217">
        <f>+_xlfn.IFNA(VLOOKUP(AJ892,$AF$7:$AG$1066,2,0),0)</f>
      </c>
      <c r="AL892" s="217">
        <f>+IF(W892&gt;W891,AK892,AL891+AK892)</f>
      </c>
      <c r="AM892" s="217">
        <f>IF(W892&gt;W891,IF(AL892&gt;=$AZ$8,$AZ$8,AL892),IF(OR(AM891=$AZ$8,AM891=0),0,IF(AL892&gt;=$AZ$8,$AZ$8,AL892)))</f>
      </c>
      <c r="AN892" s="748">
        <f>+IF(OR(AM892&gt;AZ891,AM892=0),0,IF(AM892=AL892,AK892,$AZ$7-AL891))</f>
      </c>
      <c r="AO892" s="748">
        <f>+AK892-AN892</f>
      </c>
      <c r="AP892" s="217">
        <f>+_xlfn.IFNA(VLOOKUP(AJ892,$AF$7:$AI$1066,3,0),0)</f>
      </c>
      <c r="AQ892" s="217">
        <f>+IF(W892&gt;W891,AP892,AQ891+AP892)</f>
      </c>
      <c r="AR892" s="217">
        <f>+MAX($AM$2-SUMIF($W$7:$W$1066,W892,$AN$7:$AN$1066),0)</f>
      </c>
      <c r="AS892" s="748">
        <f>+MAX(IF(AQ892&gt;AR892,AR892-AQ891,AP892),0)</f>
      </c>
      <c r="AT892" s="748">
        <f>+AP892-AS892</f>
      </c>
      <c r="AU892" s="217">
        <f>+_xlfn.IFNA(VLOOKUP(AJ892,$AF$7:$AI$1066,4,0),0)</f>
      </c>
      <c r="AV892" s="217">
        <f>+IF(W892&gt;W891,AU892,AV891+AU892)</f>
      </c>
      <c r="AW892" s="217">
        <f>+MAX($AM$2-SUMIF($W$7:$W$1066,W892,$AN$7:$AN$1066)-SUMIF($W$7:$W$1066,W892,$AS$7:$AS$1066),0)</f>
      </c>
      <c r="AX892" s="748">
        <f>+MAX(IF(AV892&gt;AW892,AW892-AV891,AU892),0)</f>
      </c>
      <c r="AY892" s="748">
        <f>+AU892-AX892</f>
      </c>
      <c r="AZ892" s="331">
        <f>+$AM$1+IF($AP$1&gt;$AP$2,$AM$3/2)</f>
      </c>
    </row>
    <row x14ac:dyDescent="0.25" r="893" customHeight="1" ht="18.75">
      <c r="A893" s="1"/>
      <c r="B893" s="7"/>
      <c r="C893" s="170"/>
      <c r="D893" s="331">
        <v>886</v>
      </c>
      <c r="E893" s="544">
        <f>+DATE(YEAR(E892),MONTH(E892)-1,DAY(E892))</f>
        <v>25569.041666666668</v>
      </c>
      <c r="F893" s="333">
        <f>IF(DATE(YEAR($B$6),MONTH($B$6)+1,DAY(1))=E893,1,IF(MONTH(E893)=1,F894*(1+$F$5),F894))</f>
      </c>
      <c r="G893" s="333">
        <f>IF('Simulador - 1º Pilar'!$E$99="Sí",IF('Aportaciones PPE'!$B$13&lt;'Aportaciones PPE'!E893,0,F893*$B$8/12),F893*$B$8/12)</f>
      </c>
      <c r="H893" s="333">
        <f>$H$5*G893</f>
      </c>
      <c r="I893" s="333">
        <f>$I$5*G893</f>
      </c>
      <c r="J893" s="333">
        <f>+I893</f>
      </c>
      <c r="K893" s="333">
        <f>(1+$O$5)^(D893/12)*(H893+IF(AND(F893=1,F894=0),$S$4,0))</f>
      </c>
      <c r="L893" s="333">
        <f>(1+$O$5)^(D893/12)*(I893+IF(AND(F893=1,F894=0),0))</f>
      </c>
      <c r="M893" s="333">
        <f>+L893</f>
      </c>
      <c r="N893" s="333">
        <f>L893+K893+M893</f>
      </c>
      <c r="O893" s="170"/>
      <c r="P893" s="7"/>
      <c r="Q893" s="1"/>
      <c r="R893" s="331">
        <f>D893</f>
      </c>
      <c r="S893" s="169"/>
      <c r="T893" s="1"/>
      <c r="U893" s="217"/>
      <c r="V893" s="331">
        <f>+IF(V892=11,12,IF(V892=12,1,V892+1))</f>
      </c>
      <c r="W893" s="331">
        <f>+W892+IF(V892=12,1,0)</f>
      </c>
      <c r="X893" s="555">
        <f>+DATE(W893,V893,1)</f>
        <v>25569.041666666668</v>
      </c>
      <c r="Y893" s="333">
        <f>+_xlfn.IFNA(AN893+AS893+AX893,0)</f>
      </c>
      <c r="Z893" s="333">
        <f>+_xlfn.IFNA(AO893+AT893+AY893,0)</f>
      </c>
      <c r="AA893" s="333">
        <f>Y893*(1+$O$5)^(($B$7-X893)/365.25)</f>
      </c>
      <c r="AB893" s="333">
        <f>Z893*(1+$O$5)^(($B$7-X893)/365.25)</f>
      </c>
      <c r="AC893" s="1"/>
      <c r="AD893" s="1"/>
      <c r="AE893" s="1"/>
      <c r="AF893" s="111">
        <f>+MONTH(E893)&amp;YEAR(E893)</f>
      </c>
      <c r="AG893" s="217">
        <f>+I893</f>
      </c>
      <c r="AH893" s="217">
        <f>+J893</f>
      </c>
      <c r="AI893" s="217">
        <f>+H893</f>
      </c>
      <c r="AJ893" s="111">
        <f>+V893&amp;W893</f>
      </c>
      <c r="AK893" s="217">
        <f>+_xlfn.IFNA(VLOOKUP(AJ893,$AF$7:$AG$1066,2,0),0)</f>
      </c>
      <c r="AL893" s="217">
        <f>+IF(W893&gt;W892,AK893,AL892+AK893)</f>
      </c>
      <c r="AM893" s="217">
        <f>IF(W893&gt;W892,IF(AL893&gt;=$AZ$8,$AZ$8,AL893),IF(OR(AM892=$AZ$8,AM892=0),0,IF(AL893&gt;=$AZ$8,$AZ$8,AL893)))</f>
      </c>
      <c r="AN893" s="748">
        <f>+IF(OR(AM893&gt;AZ892,AM893=0),0,IF(AM893=AL893,AK893,$AZ$7-AL892))</f>
      </c>
      <c r="AO893" s="748">
        <f>+AK893-AN893</f>
      </c>
      <c r="AP893" s="217">
        <f>+_xlfn.IFNA(VLOOKUP(AJ893,$AF$7:$AI$1066,3,0),0)</f>
      </c>
      <c r="AQ893" s="217">
        <f>+IF(W893&gt;W892,AP893,AQ892+AP893)</f>
      </c>
      <c r="AR893" s="217">
        <f>+MAX($AM$2-SUMIF($W$7:$W$1066,W893,$AN$7:$AN$1066),0)</f>
      </c>
      <c r="AS893" s="748">
        <f>+MAX(IF(AQ893&gt;AR893,AR893-AQ892,AP893),0)</f>
      </c>
      <c r="AT893" s="748">
        <f>+AP893-AS893</f>
      </c>
      <c r="AU893" s="217">
        <f>+_xlfn.IFNA(VLOOKUP(AJ893,$AF$7:$AI$1066,4,0),0)</f>
      </c>
      <c r="AV893" s="217">
        <f>+IF(W893&gt;W892,AU893,AV892+AU893)</f>
      </c>
      <c r="AW893" s="217">
        <f>+MAX($AM$2-SUMIF($W$7:$W$1066,W893,$AN$7:$AN$1066)-SUMIF($W$7:$W$1066,W893,$AS$7:$AS$1066),0)</f>
      </c>
      <c r="AX893" s="748">
        <f>+MAX(IF(AV893&gt;AW893,AW893-AV892,AU893),0)</f>
      </c>
      <c r="AY893" s="748">
        <f>+AU893-AX893</f>
      </c>
      <c r="AZ893" s="331">
        <f>+$AM$1+IF($AP$1&gt;$AP$2,$AM$3/2)</f>
      </c>
    </row>
    <row x14ac:dyDescent="0.25" r="894" customHeight="1" ht="18.75">
      <c r="A894" s="1"/>
      <c r="B894" s="7"/>
      <c r="C894" s="170"/>
      <c r="D894" s="331">
        <v>887</v>
      </c>
      <c r="E894" s="544">
        <f>+DATE(YEAR(E893),MONTH(E893)-1,DAY(E893))</f>
        <v>25569.041666666668</v>
      </c>
      <c r="F894" s="333">
        <f>IF(DATE(YEAR($B$6),MONTH($B$6)+1,DAY(1))=E894,1,IF(MONTH(E894)=1,F895*(1+$F$5),F895))</f>
      </c>
      <c r="G894" s="333">
        <f>IF('Simulador - 1º Pilar'!$E$99="Sí",IF('Aportaciones PPE'!$B$13&lt;'Aportaciones PPE'!E894,0,F894*$B$8/12),F894*$B$8/12)</f>
      </c>
      <c r="H894" s="333">
        <f>$H$5*G894</f>
      </c>
      <c r="I894" s="333">
        <f>$I$5*G894</f>
      </c>
      <c r="J894" s="333">
        <f>+I894</f>
      </c>
      <c r="K894" s="333">
        <f>(1+$O$5)^(D894/12)*(H894+IF(AND(F894=1,F895=0),$S$4,0))</f>
      </c>
      <c r="L894" s="333">
        <f>(1+$O$5)^(D894/12)*(I894+IF(AND(F894=1,F895=0),0))</f>
      </c>
      <c r="M894" s="333">
        <f>+L894</f>
      </c>
      <c r="N894" s="333">
        <f>L894+K894+M894</f>
      </c>
      <c r="O894" s="170"/>
      <c r="P894" s="7"/>
      <c r="Q894" s="1"/>
      <c r="R894" s="331">
        <f>D894</f>
      </c>
      <c r="S894" s="169"/>
      <c r="T894" s="1"/>
      <c r="U894" s="217"/>
      <c r="V894" s="331">
        <f>+IF(V893=11,12,IF(V893=12,1,V893+1))</f>
      </c>
      <c r="W894" s="331">
        <f>+W893+IF(V893=12,1,0)</f>
      </c>
      <c r="X894" s="555">
        <f>+DATE(W894,V894,1)</f>
        <v>25569.041666666668</v>
      </c>
      <c r="Y894" s="333">
        <f>+_xlfn.IFNA(AN894+AS894+AX894,0)</f>
      </c>
      <c r="Z894" s="333">
        <f>+_xlfn.IFNA(AO894+AT894+AY894,0)</f>
      </c>
      <c r="AA894" s="333">
        <f>Y894*(1+$O$5)^(($B$7-X894)/365.25)</f>
      </c>
      <c r="AB894" s="333">
        <f>Z894*(1+$O$5)^(($B$7-X894)/365.25)</f>
      </c>
      <c r="AC894" s="1"/>
      <c r="AD894" s="1"/>
      <c r="AE894" s="1"/>
      <c r="AF894" s="111">
        <f>+MONTH(E894)&amp;YEAR(E894)</f>
      </c>
      <c r="AG894" s="217">
        <f>+I894</f>
      </c>
      <c r="AH894" s="217">
        <f>+J894</f>
      </c>
      <c r="AI894" s="217">
        <f>+H894</f>
      </c>
      <c r="AJ894" s="111">
        <f>+V894&amp;W894</f>
      </c>
      <c r="AK894" s="217">
        <f>+_xlfn.IFNA(VLOOKUP(AJ894,$AF$7:$AG$1066,2,0),0)</f>
      </c>
      <c r="AL894" s="217">
        <f>+IF(W894&gt;W893,AK894,AL893+AK894)</f>
      </c>
      <c r="AM894" s="217">
        <f>IF(W894&gt;W893,IF(AL894&gt;=$AZ$8,$AZ$8,AL894),IF(OR(AM893=$AZ$8,AM893=0),0,IF(AL894&gt;=$AZ$8,$AZ$8,AL894)))</f>
      </c>
      <c r="AN894" s="748">
        <f>+IF(OR(AM894&gt;AZ893,AM894=0),0,IF(AM894=AL894,AK894,$AZ$7-AL893))</f>
      </c>
      <c r="AO894" s="748">
        <f>+AK894-AN894</f>
      </c>
      <c r="AP894" s="217">
        <f>+_xlfn.IFNA(VLOOKUP(AJ894,$AF$7:$AI$1066,3,0),0)</f>
      </c>
      <c r="AQ894" s="217">
        <f>+IF(W894&gt;W893,AP894,AQ893+AP894)</f>
      </c>
      <c r="AR894" s="217">
        <f>+MAX($AM$2-SUMIF($W$7:$W$1066,W894,$AN$7:$AN$1066),0)</f>
      </c>
      <c r="AS894" s="748">
        <f>+MAX(IF(AQ894&gt;AR894,AR894-AQ893,AP894),0)</f>
      </c>
      <c r="AT894" s="748">
        <f>+AP894-AS894</f>
      </c>
      <c r="AU894" s="217">
        <f>+_xlfn.IFNA(VLOOKUP(AJ894,$AF$7:$AI$1066,4,0),0)</f>
      </c>
      <c r="AV894" s="217">
        <f>+IF(W894&gt;W893,AU894,AV893+AU894)</f>
      </c>
      <c r="AW894" s="217">
        <f>+MAX($AM$2-SUMIF($W$7:$W$1066,W894,$AN$7:$AN$1066)-SUMIF($W$7:$W$1066,W894,$AS$7:$AS$1066),0)</f>
      </c>
      <c r="AX894" s="748">
        <f>+MAX(IF(AV894&gt;AW894,AW894-AV893,AU894),0)</f>
      </c>
      <c r="AY894" s="748">
        <f>+AU894-AX894</f>
      </c>
      <c r="AZ894" s="331">
        <f>+$AM$1+IF($AP$1&gt;$AP$2,$AM$3/2)</f>
      </c>
    </row>
    <row x14ac:dyDescent="0.25" r="895" customHeight="1" ht="18.75">
      <c r="A895" s="1"/>
      <c r="B895" s="7"/>
      <c r="C895" s="170"/>
      <c r="D895" s="331">
        <v>888</v>
      </c>
      <c r="E895" s="544">
        <f>+DATE(YEAR(E894),MONTH(E894)-1,DAY(E894))</f>
        <v>25569.041666666668</v>
      </c>
      <c r="F895" s="333">
        <f>IF(DATE(YEAR($B$6),MONTH($B$6)+1,DAY(1))=E895,1,IF(MONTH(E895)=1,F896*(1+$F$5),F896))</f>
      </c>
      <c r="G895" s="333">
        <f>IF('Simulador - 1º Pilar'!$E$99="Sí",IF('Aportaciones PPE'!$B$13&lt;'Aportaciones PPE'!E895,0,F895*$B$8/12),F895*$B$8/12)</f>
      </c>
      <c r="H895" s="333">
        <f>$H$5*G895</f>
      </c>
      <c r="I895" s="333">
        <f>$I$5*G895</f>
      </c>
      <c r="J895" s="333">
        <f>+I895</f>
      </c>
      <c r="K895" s="333">
        <f>(1+$O$5)^(D895/12)*(H895+IF(AND(F895=1,F896=0),$S$4,0))</f>
      </c>
      <c r="L895" s="333">
        <f>(1+$O$5)^(D895/12)*(I895+IF(AND(F895=1,F896=0),0))</f>
      </c>
      <c r="M895" s="333">
        <f>+L895</f>
      </c>
      <c r="N895" s="333">
        <f>L895+K895+M895</f>
      </c>
      <c r="O895" s="170"/>
      <c r="P895" s="7"/>
      <c r="Q895" s="1"/>
      <c r="R895" s="331">
        <f>D895</f>
      </c>
      <c r="S895" s="169"/>
      <c r="T895" s="1"/>
      <c r="U895" s="217"/>
      <c r="V895" s="331">
        <f>+IF(V894=11,12,IF(V894=12,1,V894+1))</f>
      </c>
      <c r="W895" s="331">
        <f>+W894+IF(V894=12,1,0)</f>
      </c>
      <c r="X895" s="555">
        <f>+DATE(W895,V895,1)</f>
        <v>25569.041666666668</v>
      </c>
      <c r="Y895" s="333">
        <f>+_xlfn.IFNA(AN895+AS895+AX895,0)</f>
      </c>
      <c r="Z895" s="333">
        <f>+_xlfn.IFNA(AO895+AT895+AY895,0)</f>
      </c>
      <c r="AA895" s="333">
        <f>Y895*(1+$O$5)^(($B$7-X895)/365.25)</f>
      </c>
      <c r="AB895" s="333">
        <f>Z895*(1+$O$5)^(($B$7-X895)/365.25)</f>
      </c>
      <c r="AC895" s="1"/>
      <c r="AD895" s="1"/>
      <c r="AE895" s="1"/>
      <c r="AF895" s="111">
        <f>+MONTH(E895)&amp;YEAR(E895)</f>
      </c>
      <c r="AG895" s="217">
        <f>+I895</f>
      </c>
      <c r="AH895" s="217">
        <f>+J895</f>
      </c>
      <c r="AI895" s="217">
        <f>+H895</f>
      </c>
      <c r="AJ895" s="111">
        <f>+V895&amp;W895</f>
      </c>
      <c r="AK895" s="217">
        <f>+_xlfn.IFNA(VLOOKUP(AJ895,$AF$7:$AG$1066,2,0),0)</f>
      </c>
      <c r="AL895" s="217">
        <f>+IF(W895&gt;W894,AK895,AL894+AK895)</f>
      </c>
      <c r="AM895" s="217">
        <f>IF(W895&gt;W894,IF(AL895&gt;=$AZ$8,$AZ$8,AL895),IF(OR(AM894=$AZ$8,AM894=0),0,IF(AL895&gt;=$AZ$8,$AZ$8,AL895)))</f>
      </c>
      <c r="AN895" s="748">
        <f>+IF(OR(AM895&gt;AZ894,AM895=0),0,IF(AM895=AL895,AK895,$AZ$7-AL894))</f>
      </c>
      <c r="AO895" s="748">
        <f>+AK895-AN895</f>
      </c>
      <c r="AP895" s="217">
        <f>+_xlfn.IFNA(VLOOKUP(AJ895,$AF$7:$AI$1066,3,0),0)</f>
      </c>
      <c r="AQ895" s="217">
        <f>+IF(W895&gt;W894,AP895,AQ894+AP895)</f>
      </c>
      <c r="AR895" s="217">
        <f>+MAX($AM$2-SUMIF($W$7:$W$1066,W895,$AN$7:$AN$1066),0)</f>
      </c>
      <c r="AS895" s="748">
        <f>+MAX(IF(AQ895&gt;AR895,AR895-AQ894,AP895),0)</f>
      </c>
      <c r="AT895" s="748">
        <f>+AP895-AS895</f>
      </c>
      <c r="AU895" s="217">
        <f>+_xlfn.IFNA(VLOOKUP(AJ895,$AF$7:$AI$1066,4,0),0)</f>
      </c>
      <c r="AV895" s="217">
        <f>+IF(W895&gt;W894,AU895,AV894+AU895)</f>
      </c>
      <c r="AW895" s="217">
        <f>+MAX($AM$2-SUMIF($W$7:$W$1066,W895,$AN$7:$AN$1066)-SUMIF($W$7:$W$1066,W895,$AS$7:$AS$1066),0)</f>
      </c>
      <c r="AX895" s="748">
        <f>+MAX(IF(AV895&gt;AW895,AW895-AV894,AU895),0)</f>
      </c>
      <c r="AY895" s="748">
        <f>+AU895-AX895</f>
      </c>
      <c r="AZ895" s="331">
        <f>+$AM$1+IF($AP$1&gt;$AP$2,$AM$3/2)</f>
      </c>
    </row>
    <row x14ac:dyDescent="0.25" r="896" customHeight="1" ht="18.75">
      <c r="A896" s="1"/>
      <c r="B896" s="7"/>
      <c r="C896" s="170"/>
      <c r="D896" s="331">
        <v>889</v>
      </c>
      <c r="E896" s="544">
        <f>+DATE(YEAR(E895),MONTH(E895)-1,DAY(E895))</f>
        <v>25569.041666666668</v>
      </c>
      <c r="F896" s="333">
        <f>IF(DATE(YEAR($B$6),MONTH($B$6)+1,DAY(1))=E896,1,IF(MONTH(E896)=1,F897*(1+$F$5),F897))</f>
      </c>
      <c r="G896" s="333">
        <f>IF('Simulador - 1º Pilar'!$E$99="Sí",IF('Aportaciones PPE'!$B$13&lt;'Aportaciones PPE'!E896,0,F896*$B$8/12),F896*$B$8/12)</f>
      </c>
      <c r="H896" s="333">
        <f>$H$5*G896</f>
      </c>
      <c r="I896" s="333">
        <f>$I$5*G896</f>
      </c>
      <c r="J896" s="333">
        <f>+I896</f>
      </c>
      <c r="K896" s="333">
        <f>(1+$O$5)^(D896/12)*(H896+IF(AND(F896=1,F897=0),$S$4,0))</f>
      </c>
      <c r="L896" s="333">
        <f>(1+$O$5)^(D896/12)*(I896+IF(AND(F896=1,F897=0),0))</f>
      </c>
      <c r="M896" s="333">
        <f>+L896</f>
      </c>
      <c r="N896" s="333">
        <f>L896+K896+M896</f>
      </c>
      <c r="O896" s="170"/>
      <c r="P896" s="7"/>
      <c r="Q896" s="1"/>
      <c r="R896" s="331">
        <f>D896</f>
      </c>
      <c r="S896" s="169"/>
      <c r="T896" s="1"/>
      <c r="U896" s="217"/>
      <c r="V896" s="331">
        <f>+IF(V895=11,12,IF(V895=12,1,V895+1))</f>
      </c>
      <c r="W896" s="331">
        <f>+W895+IF(V895=12,1,0)</f>
      </c>
      <c r="X896" s="555">
        <f>+DATE(W896,V896,1)</f>
        <v>25569.041666666668</v>
      </c>
      <c r="Y896" s="333">
        <f>+_xlfn.IFNA(AN896+AS896+AX896,0)</f>
      </c>
      <c r="Z896" s="333">
        <f>+_xlfn.IFNA(AO896+AT896+AY896,0)</f>
      </c>
      <c r="AA896" s="333">
        <f>Y896*(1+$O$5)^(($B$7-X896)/365.25)</f>
      </c>
      <c r="AB896" s="333">
        <f>Z896*(1+$O$5)^(($B$7-X896)/365.25)</f>
      </c>
      <c r="AC896" s="1"/>
      <c r="AD896" s="1"/>
      <c r="AE896" s="1"/>
      <c r="AF896" s="111">
        <f>+MONTH(E896)&amp;YEAR(E896)</f>
      </c>
      <c r="AG896" s="217">
        <f>+I896</f>
      </c>
      <c r="AH896" s="217">
        <f>+J896</f>
      </c>
      <c r="AI896" s="217">
        <f>+H896</f>
      </c>
      <c r="AJ896" s="111">
        <f>+V896&amp;W896</f>
      </c>
      <c r="AK896" s="217">
        <f>+_xlfn.IFNA(VLOOKUP(AJ896,$AF$7:$AG$1066,2,0),0)</f>
      </c>
      <c r="AL896" s="217">
        <f>+IF(W896&gt;W895,AK896,AL895+AK896)</f>
      </c>
      <c r="AM896" s="217">
        <f>IF(W896&gt;W895,IF(AL896&gt;=$AZ$8,$AZ$8,AL896),IF(OR(AM895=$AZ$8,AM895=0),0,IF(AL896&gt;=$AZ$8,$AZ$8,AL896)))</f>
      </c>
      <c r="AN896" s="748">
        <f>+IF(OR(AM896&gt;AZ895,AM896=0),0,IF(AM896=AL896,AK896,$AZ$7-AL895))</f>
      </c>
      <c r="AO896" s="748">
        <f>+AK896-AN896</f>
      </c>
      <c r="AP896" s="217">
        <f>+_xlfn.IFNA(VLOOKUP(AJ896,$AF$7:$AI$1066,3,0),0)</f>
      </c>
      <c r="AQ896" s="217">
        <f>+IF(W896&gt;W895,AP896,AQ895+AP896)</f>
      </c>
      <c r="AR896" s="217">
        <f>+MAX($AM$2-SUMIF($W$7:$W$1066,W896,$AN$7:$AN$1066),0)</f>
      </c>
      <c r="AS896" s="748">
        <f>+MAX(IF(AQ896&gt;AR896,AR896-AQ895,AP896),0)</f>
      </c>
      <c r="AT896" s="748">
        <f>+AP896-AS896</f>
      </c>
      <c r="AU896" s="217">
        <f>+_xlfn.IFNA(VLOOKUP(AJ896,$AF$7:$AI$1066,4,0),0)</f>
      </c>
      <c r="AV896" s="217">
        <f>+IF(W896&gt;W895,AU896,AV895+AU896)</f>
      </c>
      <c r="AW896" s="217">
        <f>+MAX($AM$2-SUMIF($W$7:$W$1066,W896,$AN$7:$AN$1066)-SUMIF($W$7:$W$1066,W896,$AS$7:$AS$1066),0)</f>
      </c>
      <c r="AX896" s="748">
        <f>+MAX(IF(AV896&gt;AW896,AW896-AV895,AU896),0)</f>
      </c>
      <c r="AY896" s="748">
        <f>+AU896-AX896</f>
      </c>
      <c r="AZ896" s="331">
        <f>+$AM$1+IF($AP$1&gt;$AP$2,$AM$3/2)</f>
      </c>
    </row>
    <row x14ac:dyDescent="0.25" r="897" customHeight="1" ht="18.75">
      <c r="A897" s="1"/>
      <c r="B897" s="7"/>
      <c r="C897" s="170"/>
      <c r="D897" s="331">
        <v>890</v>
      </c>
      <c r="E897" s="544">
        <f>+DATE(YEAR(E896),MONTH(E896)-1,DAY(E896))</f>
        <v>25569.041666666668</v>
      </c>
      <c r="F897" s="333">
        <f>IF(DATE(YEAR($B$6),MONTH($B$6)+1,DAY(1))=E897,1,IF(MONTH(E897)=1,F898*(1+$F$5),F898))</f>
      </c>
      <c r="G897" s="333">
        <f>IF('Simulador - 1º Pilar'!$E$99="Sí",IF('Aportaciones PPE'!$B$13&lt;'Aportaciones PPE'!E897,0,F897*$B$8/12),F897*$B$8/12)</f>
      </c>
      <c r="H897" s="333">
        <f>$H$5*G897</f>
      </c>
      <c r="I897" s="333">
        <f>$I$5*G897</f>
      </c>
      <c r="J897" s="333">
        <f>+I897</f>
      </c>
      <c r="K897" s="333">
        <f>(1+$O$5)^(D897/12)*(H897+IF(AND(F897=1,F898=0),$S$4,0))</f>
      </c>
      <c r="L897" s="333">
        <f>(1+$O$5)^(D897/12)*(I897+IF(AND(F897=1,F898=0),0))</f>
      </c>
      <c r="M897" s="333">
        <f>+L897</f>
      </c>
      <c r="N897" s="333">
        <f>L897+K897+M897</f>
      </c>
      <c r="O897" s="170"/>
      <c r="P897" s="7"/>
      <c r="Q897" s="1"/>
      <c r="R897" s="331">
        <f>D897</f>
      </c>
      <c r="S897" s="169"/>
      <c r="T897" s="1"/>
      <c r="U897" s="217"/>
      <c r="V897" s="331">
        <f>+IF(V896=11,12,IF(V896=12,1,V896+1))</f>
      </c>
      <c r="W897" s="331">
        <f>+W896+IF(V896=12,1,0)</f>
      </c>
      <c r="X897" s="555">
        <f>+DATE(W897,V897,1)</f>
        <v>25569.041666666668</v>
      </c>
      <c r="Y897" s="333">
        <f>+_xlfn.IFNA(AN897+AS897+AX897,0)</f>
      </c>
      <c r="Z897" s="333">
        <f>+_xlfn.IFNA(AO897+AT897+AY897,0)</f>
      </c>
      <c r="AA897" s="333">
        <f>Y897*(1+$O$5)^(($B$7-X897)/365.25)</f>
      </c>
      <c r="AB897" s="333">
        <f>Z897*(1+$O$5)^(($B$7-X897)/365.25)</f>
      </c>
      <c r="AC897" s="1"/>
      <c r="AD897" s="1"/>
      <c r="AE897" s="1"/>
      <c r="AF897" s="111">
        <f>+MONTH(E897)&amp;YEAR(E897)</f>
      </c>
      <c r="AG897" s="217">
        <f>+I897</f>
      </c>
      <c r="AH897" s="217">
        <f>+J897</f>
      </c>
      <c r="AI897" s="217">
        <f>+H897</f>
      </c>
      <c r="AJ897" s="111">
        <f>+V897&amp;W897</f>
      </c>
      <c r="AK897" s="217">
        <f>+_xlfn.IFNA(VLOOKUP(AJ897,$AF$7:$AG$1066,2,0),0)</f>
      </c>
      <c r="AL897" s="217">
        <f>+IF(W897&gt;W896,AK897,AL896+AK897)</f>
      </c>
      <c r="AM897" s="217">
        <f>IF(W897&gt;W896,IF(AL897&gt;=$AZ$8,$AZ$8,AL897),IF(OR(AM896=$AZ$8,AM896=0),0,IF(AL897&gt;=$AZ$8,$AZ$8,AL897)))</f>
      </c>
      <c r="AN897" s="748">
        <f>+IF(OR(AM897&gt;AZ896,AM897=0),0,IF(AM897=AL897,AK897,$AZ$7-AL896))</f>
      </c>
      <c r="AO897" s="748">
        <f>+AK897-AN897</f>
      </c>
      <c r="AP897" s="217">
        <f>+_xlfn.IFNA(VLOOKUP(AJ897,$AF$7:$AI$1066,3,0),0)</f>
      </c>
      <c r="AQ897" s="217">
        <f>+IF(W897&gt;W896,AP897,AQ896+AP897)</f>
      </c>
      <c r="AR897" s="217">
        <f>+MAX($AM$2-SUMIF($W$7:$W$1066,W897,$AN$7:$AN$1066),0)</f>
      </c>
      <c r="AS897" s="748">
        <f>+MAX(IF(AQ897&gt;AR897,AR897-AQ896,AP897),0)</f>
      </c>
      <c r="AT897" s="748">
        <f>+AP897-AS897</f>
      </c>
      <c r="AU897" s="217">
        <f>+_xlfn.IFNA(VLOOKUP(AJ897,$AF$7:$AI$1066,4,0),0)</f>
      </c>
      <c r="AV897" s="217">
        <f>+IF(W897&gt;W896,AU897,AV896+AU897)</f>
      </c>
      <c r="AW897" s="217">
        <f>+MAX($AM$2-SUMIF($W$7:$W$1066,W897,$AN$7:$AN$1066)-SUMIF($W$7:$W$1066,W897,$AS$7:$AS$1066),0)</f>
      </c>
      <c r="AX897" s="748">
        <f>+MAX(IF(AV897&gt;AW897,AW897-AV896,AU897),0)</f>
      </c>
      <c r="AY897" s="748">
        <f>+AU897-AX897</f>
      </c>
      <c r="AZ897" s="331">
        <f>+$AM$1+IF($AP$1&gt;$AP$2,$AM$3/2)</f>
      </c>
    </row>
    <row x14ac:dyDescent="0.25" r="898" customHeight="1" ht="18.75">
      <c r="A898" s="1"/>
      <c r="B898" s="7"/>
      <c r="C898" s="170"/>
      <c r="D898" s="331">
        <v>891</v>
      </c>
      <c r="E898" s="544">
        <f>+DATE(YEAR(E897),MONTH(E897)-1,DAY(E897))</f>
        <v>25569.041666666668</v>
      </c>
      <c r="F898" s="333">
        <f>IF(DATE(YEAR($B$6),MONTH($B$6)+1,DAY(1))=E898,1,IF(MONTH(E898)=1,F899*(1+$F$5),F899))</f>
      </c>
      <c r="G898" s="333">
        <f>IF('Simulador - 1º Pilar'!$E$99="Sí",IF('Aportaciones PPE'!$B$13&lt;'Aportaciones PPE'!E898,0,F898*$B$8/12),F898*$B$8/12)</f>
      </c>
      <c r="H898" s="333">
        <f>$H$5*G898</f>
      </c>
      <c r="I898" s="333">
        <f>$I$5*G898</f>
      </c>
      <c r="J898" s="333">
        <f>+I898</f>
      </c>
      <c r="K898" s="333">
        <f>(1+$O$5)^(D898/12)*(H898+IF(AND(F898=1,F899=0),$S$4,0))</f>
      </c>
      <c r="L898" s="333">
        <f>(1+$O$5)^(D898/12)*(I898+IF(AND(F898=1,F899=0),0))</f>
      </c>
      <c r="M898" s="333">
        <f>+L898</f>
      </c>
      <c r="N898" s="333">
        <f>L898+K898+M898</f>
      </c>
      <c r="O898" s="170"/>
      <c r="P898" s="7"/>
      <c r="Q898" s="1"/>
      <c r="R898" s="331">
        <f>D898</f>
      </c>
      <c r="S898" s="169"/>
      <c r="T898" s="1"/>
      <c r="U898" s="217"/>
      <c r="V898" s="331">
        <f>+IF(V897=11,12,IF(V897=12,1,V897+1))</f>
      </c>
      <c r="W898" s="331">
        <f>+W897+IF(V897=12,1,0)</f>
      </c>
      <c r="X898" s="555">
        <f>+DATE(W898,V898,1)</f>
        <v>25569.041666666668</v>
      </c>
      <c r="Y898" s="333">
        <f>+_xlfn.IFNA(AN898+AS898+AX898,0)</f>
      </c>
      <c r="Z898" s="333">
        <f>+_xlfn.IFNA(AO898+AT898+AY898,0)</f>
      </c>
      <c r="AA898" s="333">
        <f>Y898*(1+$O$5)^(($B$7-X898)/365.25)</f>
      </c>
      <c r="AB898" s="333">
        <f>Z898*(1+$O$5)^(($B$7-X898)/365.25)</f>
      </c>
      <c r="AC898" s="1"/>
      <c r="AD898" s="1"/>
      <c r="AE898" s="1"/>
      <c r="AF898" s="111">
        <f>+MONTH(E898)&amp;YEAR(E898)</f>
      </c>
      <c r="AG898" s="217">
        <f>+I898</f>
      </c>
      <c r="AH898" s="217">
        <f>+J898</f>
      </c>
      <c r="AI898" s="217">
        <f>+H898</f>
      </c>
      <c r="AJ898" s="111">
        <f>+V898&amp;W898</f>
      </c>
      <c r="AK898" s="217">
        <f>+_xlfn.IFNA(VLOOKUP(AJ898,$AF$7:$AG$1066,2,0),0)</f>
      </c>
      <c r="AL898" s="217">
        <f>+IF(W898&gt;W897,AK898,AL897+AK898)</f>
      </c>
      <c r="AM898" s="217">
        <f>IF(W898&gt;W897,IF(AL898&gt;=$AZ$8,$AZ$8,AL898),IF(OR(AM897=$AZ$8,AM897=0),0,IF(AL898&gt;=$AZ$8,$AZ$8,AL898)))</f>
      </c>
      <c r="AN898" s="748">
        <f>+IF(OR(AM898&gt;AZ897,AM898=0),0,IF(AM898=AL898,AK898,$AZ$7-AL897))</f>
      </c>
      <c r="AO898" s="748">
        <f>+AK898-AN898</f>
      </c>
      <c r="AP898" s="217">
        <f>+_xlfn.IFNA(VLOOKUP(AJ898,$AF$7:$AI$1066,3,0),0)</f>
      </c>
      <c r="AQ898" s="217">
        <f>+IF(W898&gt;W897,AP898,AQ897+AP898)</f>
      </c>
      <c r="AR898" s="217">
        <f>+MAX($AM$2-SUMIF($W$7:$W$1066,W898,$AN$7:$AN$1066),0)</f>
      </c>
      <c r="AS898" s="748">
        <f>+MAX(IF(AQ898&gt;AR898,AR898-AQ897,AP898),0)</f>
      </c>
      <c r="AT898" s="748">
        <f>+AP898-AS898</f>
      </c>
      <c r="AU898" s="217">
        <f>+_xlfn.IFNA(VLOOKUP(AJ898,$AF$7:$AI$1066,4,0),0)</f>
      </c>
      <c r="AV898" s="217">
        <f>+IF(W898&gt;W897,AU898,AV897+AU898)</f>
      </c>
      <c r="AW898" s="217">
        <f>+MAX($AM$2-SUMIF($W$7:$W$1066,W898,$AN$7:$AN$1066)-SUMIF($W$7:$W$1066,W898,$AS$7:$AS$1066),0)</f>
      </c>
      <c r="AX898" s="748">
        <f>+MAX(IF(AV898&gt;AW898,AW898-AV897,AU898),0)</f>
      </c>
      <c r="AY898" s="748">
        <f>+AU898-AX898</f>
      </c>
      <c r="AZ898" s="331">
        <f>+$AM$1+IF($AP$1&gt;$AP$2,$AM$3/2)</f>
      </c>
    </row>
    <row x14ac:dyDescent="0.25" r="899" customHeight="1" ht="18.75">
      <c r="A899" s="1"/>
      <c r="B899" s="7"/>
      <c r="C899" s="170"/>
      <c r="D899" s="331">
        <v>892</v>
      </c>
      <c r="E899" s="544">
        <f>+DATE(YEAR(E898),MONTH(E898)-1,DAY(E898))</f>
        <v>25569.041666666668</v>
      </c>
      <c r="F899" s="333">
        <f>IF(DATE(YEAR($B$6),MONTH($B$6)+1,DAY(1))=E899,1,IF(MONTH(E899)=1,F900*(1+$F$5),F900))</f>
      </c>
      <c r="G899" s="333">
        <f>IF('Simulador - 1º Pilar'!$E$99="Sí",IF('Aportaciones PPE'!$B$13&lt;'Aportaciones PPE'!E899,0,F899*$B$8/12),F899*$B$8/12)</f>
      </c>
      <c r="H899" s="333">
        <f>$H$5*G899</f>
      </c>
      <c r="I899" s="333">
        <f>$I$5*G899</f>
      </c>
      <c r="J899" s="333">
        <f>+I899</f>
      </c>
      <c r="K899" s="333">
        <f>(1+$O$5)^(D899/12)*(H899+IF(AND(F899=1,F900=0),$S$4,0))</f>
      </c>
      <c r="L899" s="333">
        <f>(1+$O$5)^(D899/12)*(I899+IF(AND(F899=1,F900=0),0))</f>
      </c>
      <c r="M899" s="333">
        <f>+L899</f>
      </c>
      <c r="N899" s="333">
        <f>L899+K899+M899</f>
      </c>
      <c r="O899" s="170"/>
      <c r="P899" s="7"/>
      <c r="Q899" s="1"/>
      <c r="R899" s="331">
        <f>D899</f>
      </c>
      <c r="S899" s="169"/>
      <c r="T899" s="1"/>
      <c r="U899" s="217"/>
      <c r="V899" s="331">
        <f>+IF(V898=11,12,IF(V898=12,1,V898+1))</f>
      </c>
      <c r="W899" s="331">
        <f>+W898+IF(V898=12,1,0)</f>
      </c>
      <c r="X899" s="555">
        <f>+DATE(W899,V899,1)</f>
        <v>25569.041666666668</v>
      </c>
      <c r="Y899" s="333">
        <f>+_xlfn.IFNA(AN899+AS899+AX899,0)</f>
      </c>
      <c r="Z899" s="333">
        <f>+_xlfn.IFNA(AO899+AT899+AY899,0)</f>
      </c>
      <c r="AA899" s="333">
        <f>Y899*(1+$O$5)^(($B$7-X899)/365.25)</f>
      </c>
      <c r="AB899" s="333">
        <f>Z899*(1+$O$5)^(($B$7-X899)/365.25)</f>
      </c>
      <c r="AC899" s="1"/>
      <c r="AD899" s="1"/>
      <c r="AE899" s="1"/>
      <c r="AF899" s="111">
        <f>+MONTH(E899)&amp;YEAR(E899)</f>
      </c>
      <c r="AG899" s="217">
        <f>+I899</f>
      </c>
      <c r="AH899" s="217">
        <f>+J899</f>
      </c>
      <c r="AI899" s="217">
        <f>+H899</f>
      </c>
      <c r="AJ899" s="111">
        <f>+V899&amp;W899</f>
      </c>
      <c r="AK899" s="217">
        <f>+_xlfn.IFNA(VLOOKUP(AJ899,$AF$7:$AG$1066,2,0),0)</f>
      </c>
      <c r="AL899" s="217">
        <f>+IF(W899&gt;W898,AK899,AL898+AK899)</f>
      </c>
      <c r="AM899" s="217">
        <f>IF(W899&gt;W898,IF(AL899&gt;=$AZ$8,$AZ$8,AL899),IF(OR(AM898=$AZ$8,AM898=0),0,IF(AL899&gt;=$AZ$8,$AZ$8,AL899)))</f>
      </c>
      <c r="AN899" s="748">
        <f>+IF(OR(AM899&gt;AZ898,AM899=0),0,IF(AM899=AL899,AK899,$AZ$7-AL898))</f>
      </c>
      <c r="AO899" s="748">
        <f>+AK899-AN899</f>
      </c>
      <c r="AP899" s="217">
        <f>+_xlfn.IFNA(VLOOKUP(AJ899,$AF$7:$AI$1066,3,0),0)</f>
      </c>
      <c r="AQ899" s="217">
        <f>+IF(W899&gt;W898,AP899,AQ898+AP899)</f>
      </c>
      <c r="AR899" s="217">
        <f>+MAX($AM$2-SUMIF($W$7:$W$1066,W899,$AN$7:$AN$1066),0)</f>
      </c>
      <c r="AS899" s="748">
        <f>+MAX(IF(AQ899&gt;AR899,AR899-AQ898,AP899),0)</f>
      </c>
      <c r="AT899" s="748">
        <f>+AP899-AS899</f>
      </c>
      <c r="AU899" s="217">
        <f>+_xlfn.IFNA(VLOOKUP(AJ899,$AF$7:$AI$1066,4,0),0)</f>
      </c>
      <c r="AV899" s="217">
        <f>+IF(W899&gt;W898,AU899,AV898+AU899)</f>
      </c>
      <c r="AW899" s="217">
        <f>+MAX($AM$2-SUMIF($W$7:$W$1066,W899,$AN$7:$AN$1066)-SUMIF($W$7:$W$1066,W899,$AS$7:$AS$1066),0)</f>
      </c>
      <c r="AX899" s="748">
        <f>+MAX(IF(AV899&gt;AW899,AW899-AV898,AU899),0)</f>
      </c>
      <c r="AY899" s="748">
        <f>+AU899-AX899</f>
      </c>
      <c r="AZ899" s="331">
        <f>+$AM$1+IF($AP$1&gt;$AP$2,$AM$3/2)</f>
      </c>
    </row>
    <row x14ac:dyDescent="0.25" r="900" customHeight="1" ht="18.75">
      <c r="A900" s="1"/>
      <c r="B900" s="7"/>
      <c r="C900" s="170"/>
      <c r="D900" s="331">
        <v>893</v>
      </c>
      <c r="E900" s="544">
        <f>+DATE(YEAR(E899),MONTH(E899)-1,DAY(E899))</f>
        <v>25569.041666666668</v>
      </c>
      <c r="F900" s="333">
        <f>IF(DATE(YEAR($B$6),MONTH($B$6)+1,DAY(1))=E900,1,IF(MONTH(E900)=1,F901*(1+$F$5),F901))</f>
      </c>
      <c r="G900" s="333">
        <f>IF('Simulador - 1º Pilar'!$E$99="Sí",IF('Aportaciones PPE'!$B$13&lt;'Aportaciones PPE'!E900,0,F900*$B$8/12),F900*$B$8/12)</f>
      </c>
      <c r="H900" s="333">
        <f>$H$5*G900</f>
      </c>
      <c r="I900" s="333">
        <f>$I$5*G900</f>
      </c>
      <c r="J900" s="333">
        <f>+I900</f>
      </c>
      <c r="K900" s="333">
        <f>(1+$O$5)^(D900/12)*(H900+IF(AND(F900=1,F901=0),$S$4,0))</f>
      </c>
      <c r="L900" s="333">
        <f>(1+$O$5)^(D900/12)*(I900+IF(AND(F900=1,F901=0),0))</f>
      </c>
      <c r="M900" s="333">
        <f>+L900</f>
      </c>
      <c r="N900" s="333">
        <f>L900+K900+M900</f>
      </c>
      <c r="O900" s="170"/>
      <c r="P900" s="7"/>
      <c r="Q900" s="1"/>
      <c r="R900" s="331">
        <f>D900</f>
      </c>
      <c r="S900" s="169"/>
      <c r="T900" s="1"/>
      <c r="U900" s="217"/>
      <c r="V900" s="331">
        <f>+IF(V899=11,12,IF(V899=12,1,V899+1))</f>
      </c>
      <c r="W900" s="331">
        <f>+W899+IF(V899=12,1,0)</f>
      </c>
      <c r="X900" s="555">
        <f>+DATE(W900,V900,1)</f>
        <v>25569.041666666668</v>
      </c>
      <c r="Y900" s="333">
        <f>+_xlfn.IFNA(AN900+AS900+AX900,0)</f>
      </c>
      <c r="Z900" s="333">
        <f>+_xlfn.IFNA(AO900+AT900+AY900,0)</f>
      </c>
      <c r="AA900" s="333">
        <f>Y900*(1+$O$5)^(($B$7-X900)/365.25)</f>
      </c>
      <c r="AB900" s="333">
        <f>Z900*(1+$O$5)^(($B$7-X900)/365.25)</f>
      </c>
      <c r="AC900" s="1"/>
      <c r="AD900" s="1"/>
      <c r="AE900" s="1"/>
      <c r="AF900" s="111">
        <f>+MONTH(E900)&amp;YEAR(E900)</f>
      </c>
      <c r="AG900" s="217">
        <f>+I900</f>
      </c>
      <c r="AH900" s="217">
        <f>+J900</f>
      </c>
      <c r="AI900" s="217">
        <f>+H900</f>
      </c>
      <c r="AJ900" s="111">
        <f>+V900&amp;W900</f>
      </c>
      <c r="AK900" s="217">
        <f>+_xlfn.IFNA(VLOOKUP(AJ900,$AF$7:$AG$1066,2,0),0)</f>
      </c>
      <c r="AL900" s="217">
        <f>+IF(W900&gt;W899,AK900,AL899+AK900)</f>
      </c>
      <c r="AM900" s="217">
        <f>IF(W900&gt;W899,IF(AL900&gt;=$AZ$8,$AZ$8,AL900),IF(OR(AM899=$AZ$8,AM899=0),0,IF(AL900&gt;=$AZ$8,$AZ$8,AL900)))</f>
      </c>
      <c r="AN900" s="748">
        <f>+IF(OR(AM900&gt;AZ899,AM900=0),0,IF(AM900=AL900,AK900,$AZ$7-AL899))</f>
      </c>
      <c r="AO900" s="748">
        <f>+AK900-AN900</f>
      </c>
      <c r="AP900" s="217">
        <f>+_xlfn.IFNA(VLOOKUP(AJ900,$AF$7:$AI$1066,3,0),0)</f>
      </c>
      <c r="AQ900" s="217">
        <f>+IF(W900&gt;W899,AP900,AQ899+AP900)</f>
      </c>
      <c r="AR900" s="217">
        <f>+MAX($AM$2-SUMIF($W$7:$W$1066,W900,$AN$7:$AN$1066),0)</f>
      </c>
      <c r="AS900" s="748">
        <f>+MAX(IF(AQ900&gt;AR900,AR900-AQ899,AP900),0)</f>
      </c>
      <c r="AT900" s="748">
        <f>+AP900-AS900</f>
      </c>
      <c r="AU900" s="217">
        <f>+_xlfn.IFNA(VLOOKUP(AJ900,$AF$7:$AI$1066,4,0),0)</f>
      </c>
      <c r="AV900" s="217">
        <f>+IF(W900&gt;W899,AU900,AV899+AU900)</f>
      </c>
      <c r="AW900" s="217">
        <f>+MAX($AM$2-SUMIF($W$7:$W$1066,W900,$AN$7:$AN$1066)-SUMIF($W$7:$W$1066,W900,$AS$7:$AS$1066),0)</f>
      </c>
      <c r="AX900" s="748">
        <f>+MAX(IF(AV900&gt;AW900,AW900-AV899,AU900),0)</f>
      </c>
      <c r="AY900" s="748">
        <f>+AU900-AX900</f>
      </c>
      <c r="AZ900" s="331">
        <f>+$AM$1+IF($AP$1&gt;$AP$2,$AM$3/2)</f>
      </c>
    </row>
    <row x14ac:dyDescent="0.25" r="901" customHeight="1" ht="18.75">
      <c r="A901" s="1"/>
      <c r="B901" s="7"/>
      <c r="C901" s="170"/>
      <c r="D901" s="331">
        <v>894</v>
      </c>
      <c r="E901" s="544">
        <f>+DATE(YEAR(E900),MONTH(E900)-1,DAY(E900))</f>
        <v>25569.041666666668</v>
      </c>
      <c r="F901" s="333">
        <f>IF(DATE(YEAR($B$6),MONTH($B$6)+1,DAY(1))=E901,1,IF(MONTH(E901)=1,F902*(1+$F$5),F902))</f>
      </c>
      <c r="G901" s="333">
        <f>IF('Simulador - 1º Pilar'!$E$99="Sí",IF('Aportaciones PPE'!$B$13&lt;'Aportaciones PPE'!E901,0,F901*$B$8/12),F901*$B$8/12)</f>
      </c>
      <c r="H901" s="333">
        <f>$H$5*G901</f>
      </c>
      <c r="I901" s="333">
        <f>$I$5*G901</f>
      </c>
      <c r="J901" s="333">
        <f>+I901</f>
      </c>
      <c r="K901" s="333">
        <f>(1+$O$5)^(D901/12)*(H901+IF(AND(F901=1,F902=0),$S$4,0))</f>
      </c>
      <c r="L901" s="333">
        <f>(1+$O$5)^(D901/12)*(I901+IF(AND(F901=1,F902=0),0))</f>
      </c>
      <c r="M901" s="333">
        <f>+L901</f>
      </c>
      <c r="N901" s="333">
        <f>L901+K901+M901</f>
      </c>
      <c r="O901" s="170"/>
      <c r="P901" s="7"/>
      <c r="Q901" s="1"/>
      <c r="R901" s="331">
        <f>D901</f>
      </c>
      <c r="S901" s="169"/>
      <c r="T901" s="1"/>
      <c r="U901" s="217"/>
      <c r="V901" s="331">
        <f>+IF(V900=11,12,IF(V900=12,1,V900+1))</f>
      </c>
      <c r="W901" s="331">
        <f>+W900+IF(V900=12,1,0)</f>
      </c>
      <c r="X901" s="555">
        <f>+DATE(W901,V901,1)</f>
        <v>25569.041666666668</v>
      </c>
      <c r="Y901" s="333">
        <f>+_xlfn.IFNA(AN901+AS901+AX901,0)</f>
      </c>
      <c r="Z901" s="333">
        <f>+_xlfn.IFNA(AO901+AT901+AY901,0)</f>
      </c>
      <c r="AA901" s="333">
        <f>Y901*(1+$O$5)^(($B$7-X901)/365.25)</f>
      </c>
      <c r="AB901" s="333">
        <f>Z901*(1+$O$5)^(($B$7-X901)/365.25)</f>
      </c>
      <c r="AC901" s="1"/>
      <c r="AD901" s="1"/>
      <c r="AE901" s="1"/>
      <c r="AF901" s="111">
        <f>+MONTH(E901)&amp;YEAR(E901)</f>
      </c>
      <c r="AG901" s="217">
        <f>+I901</f>
      </c>
      <c r="AH901" s="217">
        <f>+J901</f>
      </c>
      <c r="AI901" s="217">
        <f>+H901</f>
      </c>
      <c r="AJ901" s="111">
        <f>+V901&amp;W901</f>
      </c>
      <c r="AK901" s="217">
        <f>+_xlfn.IFNA(VLOOKUP(AJ901,$AF$7:$AG$1066,2,0),0)</f>
      </c>
      <c r="AL901" s="217">
        <f>+IF(W901&gt;W900,AK901,AL900+AK901)</f>
      </c>
      <c r="AM901" s="217">
        <f>IF(W901&gt;W900,IF(AL901&gt;=$AZ$8,$AZ$8,AL901),IF(OR(AM900=$AZ$8,AM900=0),0,IF(AL901&gt;=$AZ$8,$AZ$8,AL901)))</f>
      </c>
      <c r="AN901" s="748">
        <f>+IF(OR(AM901&gt;AZ900,AM901=0),0,IF(AM901=AL901,AK901,$AZ$7-AL900))</f>
      </c>
      <c r="AO901" s="748">
        <f>+AK901-AN901</f>
      </c>
      <c r="AP901" s="217">
        <f>+_xlfn.IFNA(VLOOKUP(AJ901,$AF$7:$AI$1066,3,0),0)</f>
      </c>
      <c r="AQ901" s="217">
        <f>+IF(W901&gt;W900,AP901,AQ900+AP901)</f>
      </c>
      <c r="AR901" s="217">
        <f>+MAX($AM$2-SUMIF($W$7:$W$1066,W901,$AN$7:$AN$1066),0)</f>
      </c>
      <c r="AS901" s="748">
        <f>+MAX(IF(AQ901&gt;AR901,AR901-AQ900,AP901),0)</f>
      </c>
      <c r="AT901" s="748">
        <f>+AP901-AS901</f>
      </c>
      <c r="AU901" s="217">
        <f>+_xlfn.IFNA(VLOOKUP(AJ901,$AF$7:$AI$1066,4,0),0)</f>
      </c>
      <c r="AV901" s="217">
        <f>+IF(W901&gt;W900,AU901,AV900+AU901)</f>
      </c>
      <c r="AW901" s="217">
        <f>+MAX($AM$2-SUMIF($W$7:$W$1066,W901,$AN$7:$AN$1066)-SUMIF($W$7:$W$1066,W901,$AS$7:$AS$1066),0)</f>
      </c>
      <c r="AX901" s="748">
        <f>+MAX(IF(AV901&gt;AW901,AW901-AV900,AU901),0)</f>
      </c>
      <c r="AY901" s="748">
        <f>+AU901-AX901</f>
      </c>
      <c r="AZ901" s="331">
        <f>+$AM$1+IF($AP$1&gt;$AP$2,$AM$3/2)</f>
      </c>
    </row>
    <row x14ac:dyDescent="0.25" r="902" customHeight="1" ht="18.75">
      <c r="A902" s="1"/>
      <c r="B902" s="7"/>
      <c r="C902" s="170"/>
      <c r="D902" s="331">
        <v>895</v>
      </c>
      <c r="E902" s="544">
        <f>+DATE(YEAR(E901),MONTH(E901)-1,DAY(E901))</f>
        <v>25569.041666666668</v>
      </c>
      <c r="F902" s="333">
        <f>IF(DATE(YEAR($B$6),MONTH($B$6)+1,DAY(1))=E902,1,IF(MONTH(E902)=1,F903*(1+$F$5),F903))</f>
      </c>
      <c r="G902" s="333">
        <f>IF('Simulador - 1º Pilar'!$E$99="Sí",IF('Aportaciones PPE'!$B$13&lt;'Aportaciones PPE'!E902,0,F902*$B$8/12),F902*$B$8/12)</f>
      </c>
      <c r="H902" s="333">
        <f>$H$5*G902</f>
      </c>
      <c r="I902" s="333">
        <f>$I$5*G902</f>
      </c>
      <c r="J902" s="333">
        <f>+I902</f>
      </c>
      <c r="K902" s="333">
        <f>(1+$O$5)^(D902/12)*(H902+IF(AND(F902=1,F903=0),$S$4,0))</f>
      </c>
      <c r="L902" s="333">
        <f>(1+$O$5)^(D902/12)*(I902+IF(AND(F902=1,F903=0),0))</f>
      </c>
      <c r="M902" s="333">
        <f>+L902</f>
      </c>
      <c r="N902" s="333">
        <f>L902+K902+M902</f>
      </c>
      <c r="O902" s="170"/>
      <c r="P902" s="7"/>
      <c r="Q902" s="1"/>
      <c r="R902" s="331">
        <f>D902</f>
      </c>
      <c r="S902" s="169"/>
      <c r="T902" s="1"/>
      <c r="U902" s="217"/>
      <c r="V902" s="331">
        <f>+IF(V901=11,12,IF(V901=12,1,V901+1))</f>
      </c>
      <c r="W902" s="331">
        <f>+W901+IF(V901=12,1,0)</f>
      </c>
      <c r="X902" s="555">
        <f>+DATE(W902,V902,1)</f>
        <v>25569.041666666668</v>
      </c>
      <c r="Y902" s="333">
        <f>+_xlfn.IFNA(AN902+AS902+AX902,0)</f>
      </c>
      <c r="Z902" s="333">
        <f>+_xlfn.IFNA(AO902+AT902+AY902,0)</f>
      </c>
      <c r="AA902" s="333">
        <f>Y902*(1+$O$5)^(($B$7-X902)/365.25)</f>
      </c>
      <c r="AB902" s="333">
        <f>Z902*(1+$O$5)^(($B$7-X902)/365.25)</f>
      </c>
      <c r="AC902" s="1"/>
      <c r="AD902" s="1"/>
      <c r="AE902" s="1"/>
      <c r="AF902" s="111">
        <f>+MONTH(E902)&amp;YEAR(E902)</f>
      </c>
      <c r="AG902" s="217">
        <f>+I902</f>
      </c>
      <c r="AH902" s="217">
        <f>+J902</f>
      </c>
      <c r="AI902" s="217">
        <f>+H902</f>
      </c>
      <c r="AJ902" s="111">
        <f>+V902&amp;W902</f>
      </c>
      <c r="AK902" s="217">
        <f>+_xlfn.IFNA(VLOOKUP(AJ902,$AF$7:$AG$1066,2,0),0)</f>
      </c>
      <c r="AL902" s="217">
        <f>+IF(W902&gt;W901,AK902,AL901+AK902)</f>
      </c>
      <c r="AM902" s="217">
        <f>IF(W902&gt;W901,IF(AL902&gt;=$AZ$8,$AZ$8,AL902),IF(OR(AM901=$AZ$8,AM901=0),0,IF(AL902&gt;=$AZ$8,$AZ$8,AL902)))</f>
      </c>
      <c r="AN902" s="748">
        <f>+IF(OR(AM902&gt;AZ901,AM902=0),0,IF(AM902=AL902,AK902,$AZ$7-AL901))</f>
      </c>
      <c r="AO902" s="748">
        <f>+AK902-AN902</f>
      </c>
      <c r="AP902" s="217">
        <f>+_xlfn.IFNA(VLOOKUP(AJ902,$AF$7:$AI$1066,3,0),0)</f>
      </c>
      <c r="AQ902" s="217">
        <f>+IF(W902&gt;W901,AP902,AQ901+AP902)</f>
      </c>
      <c r="AR902" s="217">
        <f>+MAX($AM$2-SUMIF($W$7:$W$1066,W902,$AN$7:$AN$1066),0)</f>
      </c>
      <c r="AS902" s="748">
        <f>+MAX(IF(AQ902&gt;AR902,AR902-AQ901,AP902),0)</f>
      </c>
      <c r="AT902" s="748">
        <f>+AP902-AS902</f>
      </c>
      <c r="AU902" s="217">
        <f>+_xlfn.IFNA(VLOOKUP(AJ902,$AF$7:$AI$1066,4,0),0)</f>
      </c>
      <c r="AV902" s="217">
        <f>+IF(W902&gt;W901,AU902,AV901+AU902)</f>
      </c>
      <c r="AW902" s="217">
        <f>+MAX($AM$2-SUMIF($W$7:$W$1066,W902,$AN$7:$AN$1066)-SUMIF($W$7:$W$1066,W902,$AS$7:$AS$1066),0)</f>
      </c>
      <c r="AX902" s="748">
        <f>+MAX(IF(AV902&gt;AW902,AW902-AV901,AU902),0)</f>
      </c>
      <c r="AY902" s="748">
        <f>+AU902-AX902</f>
      </c>
      <c r="AZ902" s="331">
        <f>+$AM$1+IF($AP$1&gt;$AP$2,$AM$3/2)</f>
      </c>
    </row>
    <row x14ac:dyDescent="0.25" r="903" customHeight="1" ht="18.75">
      <c r="A903" s="1"/>
      <c r="B903" s="7"/>
      <c r="C903" s="170"/>
      <c r="D903" s="331">
        <v>896</v>
      </c>
      <c r="E903" s="544">
        <f>+DATE(YEAR(E902),MONTH(E902)-1,DAY(E902))</f>
        <v>25569.041666666668</v>
      </c>
      <c r="F903" s="333">
        <f>IF(DATE(YEAR($B$6),MONTH($B$6)+1,DAY(1))=E903,1,IF(MONTH(E903)=1,F904*(1+$F$5),F904))</f>
      </c>
      <c r="G903" s="333">
        <f>IF('Simulador - 1º Pilar'!$E$99="Sí",IF('Aportaciones PPE'!$B$13&lt;'Aportaciones PPE'!E903,0,F903*$B$8/12),F903*$B$8/12)</f>
      </c>
      <c r="H903" s="333">
        <f>$H$5*G903</f>
      </c>
      <c r="I903" s="333">
        <f>$I$5*G903</f>
      </c>
      <c r="J903" s="333">
        <f>+I903</f>
      </c>
      <c r="K903" s="333">
        <f>(1+$O$5)^(D903/12)*(H903+IF(AND(F903=1,F904=0),$S$4,0))</f>
      </c>
      <c r="L903" s="333">
        <f>(1+$O$5)^(D903/12)*(I903+IF(AND(F903=1,F904=0),0))</f>
      </c>
      <c r="M903" s="333">
        <f>+L903</f>
      </c>
      <c r="N903" s="333">
        <f>L903+K903+M903</f>
      </c>
      <c r="O903" s="170"/>
      <c r="P903" s="7"/>
      <c r="Q903" s="1"/>
      <c r="R903" s="331">
        <f>D903</f>
      </c>
      <c r="S903" s="169"/>
      <c r="T903" s="1"/>
      <c r="U903" s="217"/>
      <c r="V903" s="331">
        <f>+IF(V902=11,12,IF(V902=12,1,V902+1))</f>
      </c>
      <c r="W903" s="331">
        <f>+W902+IF(V902=12,1,0)</f>
      </c>
      <c r="X903" s="555">
        <f>+DATE(W903,V903,1)</f>
        <v>25569.041666666668</v>
      </c>
      <c r="Y903" s="333">
        <f>+_xlfn.IFNA(AN903+AS903+AX903,0)</f>
      </c>
      <c r="Z903" s="333">
        <f>+_xlfn.IFNA(AO903+AT903+AY903,0)</f>
      </c>
      <c r="AA903" s="333">
        <f>Y903*(1+$O$5)^(($B$7-X903)/365.25)</f>
      </c>
      <c r="AB903" s="333">
        <f>Z903*(1+$O$5)^(($B$7-X903)/365.25)</f>
      </c>
      <c r="AC903" s="1"/>
      <c r="AD903" s="1"/>
      <c r="AE903" s="1"/>
      <c r="AF903" s="111">
        <f>+MONTH(E903)&amp;YEAR(E903)</f>
      </c>
      <c r="AG903" s="217">
        <f>+I903</f>
      </c>
      <c r="AH903" s="217">
        <f>+J903</f>
      </c>
      <c r="AI903" s="217">
        <f>+H903</f>
      </c>
      <c r="AJ903" s="111">
        <f>+V903&amp;W903</f>
      </c>
      <c r="AK903" s="217">
        <f>+_xlfn.IFNA(VLOOKUP(AJ903,$AF$7:$AG$1066,2,0),0)</f>
      </c>
      <c r="AL903" s="217">
        <f>+IF(W903&gt;W902,AK903,AL902+AK903)</f>
      </c>
      <c r="AM903" s="217">
        <f>IF(W903&gt;W902,IF(AL903&gt;=$AZ$8,$AZ$8,AL903),IF(OR(AM902=$AZ$8,AM902=0),0,IF(AL903&gt;=$AZ$8,$AZ$8,AL903)))</f>
      </c>
      <c r="AN903" s="748">
        <f>+IF(OR(AM903&gt;AZ902,AM903=0),0,IF(AM903=AL903,AK903,$AZ$7-AL902))</f>
      </c>
      <c r="AO903" s="748">
        <f>+AK903-AN903</f>
      </c>
      <c r="AP903" s="217">
        <f>+_xlfn.IFNA(VLOOKUP(AJ903,$AF$7:$AI$1066,3,0),0)</f>
      </c>
      <c r="AQ903" s="217">
        <f>+IF(W903&gt;W902,AP903,AQ902+AP903)</f>
      </c>
      <c r="AR903" s="217">
        <f>+MAX($AM$2-SUMIF($W$7:$W$1066,W903,$AN$7:$AN$1066),0)</f>
      </c>
      <c r="AS903" s="748">
        <f>+MAX(IF(AQ903&gt;AR903,AR903-AQ902,AP903),0)</f>
      </c>
      <c r="AT903" s="748">
        <f>+AP903-AS903</f>
      </c>
      <c r="AU903" s="217">
        <f>+_xlfn.IFNA(VLOOKUP(AJ903,$AF$7:$AI$1066,4,0),0)</f>
      </c>
      <c r="AV903" s="217">
        <f>+IF(W903&gt;W902,AU903,AV902+AU903)</f>
      </c>
      <c r="AW903" s="217">
        <f>+MAX($AM$2-SUMIF($W$7:$W$1066,W903,$AN$7:$AN$1066)-SUMIF($W$7:$W$1066,W903,$AS$7:$AS$1066),0)</f>
      </c>
      <c r="AX903" s="748">
        <f>+MAX(IF(AV903&gt;AW903,AW903-AV902,AU903),0)</f>
      </c>
      <c r="AY903" s="748">
        <f>+AU903-AX903</f>
      </c>
      <c r="AZ903" s="331">
        <f>+$AM$1+IF($AP$1&gt;$AP$2,$AM$3/2)</f>
      </c>
    </row>
    <row x14ac:dyDescent="0.25" r="904" customHeight="1" ht="18.75">
      <c r="A904" s="1"/>
      <c r="B904" s="7"/>
      <c r="C904" s="170"/>
      <c r="D904" s="331">
        <v>897</v>
      </c>
      <c r="E904" s="544">
        <f>+DATE(YEAR(E903),MONTH(E903)-1,DAY(E903))</f>
        <v>25569.041666666668</v>
      </c>
      <c r="F904" s="333">
        <f>IF(DATE(YEAR($B$6),MONTH($B$6)+1,DAY(1))=E904,1,IF(MONTH(E904)=1,F905*(1+$F$5),F905))</f>
      </c>
      <c r="G904" s="333">
        <f>IF('Simulador - 1º Pilar'!$E$99="Sí",IF('Aportaciones PPE'!$B$13&lt;'Aportaciones PPE'!E904,0,F904*$B$8/12),F904*$B$8/12)</f>
      </c>
      <c r="H904" s="333">
        <f>$H$5*G904</f>
      </c>
      <c r="I904" s="333">
        <f>$I$5*G904</f>
      </c>
      <c r="J904" s="333">
        <f>+I904</f>
      </c>
      <c r="K904" s="333">
        <f>(1+$O$5)^(D904/12)*(H904+IF(AND(F904=1,F905=0),$S$4,0))</f>
      </c>
      <c r="L904" s="333">
        <f>(1+$O$5)^(D904/12)*(I904+IF(AND(F904=1,F905=0),0))</f>
      </c>
      <c r="M904" s="333">
        <f>+L904</f>
      </c>
      <c r="N904" s="333">
        <f>L904+K904+M904</f>
      </c>
      <c r="O904" s="170"/>
      <c r="P904" s="7"/>
      <c r="Q904" s="1"/>
      <c r="R904" s="331">
        <f>D904</f>
      </c>
      <c r="S904" s="169"/>
      <c r="T904" s="1"/>
      <c r="U904" s="217"/>
      <c r="V904" s="331">
        <f>+IF(V903=11,12,IF(V903=12,1,V903+1))</f>
      </c>
      <c r="W904" s="331">
        <f>+W903+IF(V903=12,1,0)</f>
      </c>
      <c r="X904" s="555">
        <f>+DATE(W904,V904,1)</f>
        <v>25569.041666666668</v>
      </c>
      <c r="Y904" s="333">
        <f>+_xlfn.IFNA(AN904+AS904+AX904,0)</f>
      </c>
      <c r="Z904" s="333">
        <f>+_xlfn.IFNA(AO904+AT904+AY904,0)</f>
      </c>
      <c r="AA904" s="333">
        <f>Y904*(1+$O$5)^(($B$7-X904)/365.25)</f>
      </c>
      <c r="AB904" s="333">
        <f>Z904*(1+$O$5)^(($B$7-X904)/365.25)</f>
      </c>
      <c r="AC904" s="1"/>
      <c r="AD904" s="1"/>
      <c r="AE904" s="1"/>
      <c r="AF904" s="111">
        <f>+MONTH(E904)&amp;YEAR(E904)</f>
      </c>
      <c r="AG904" s="217">
        <f>+I904</f>
      </c>
      <c r="AH904" s="217">
        <f>+J904</f>
      </c>
      <c r="AI904" s="217">
        <f>+H904</f>
      </c>
      <c r="AJ904" s="111">
        <f>+V904&amp;W904</f>
      </c>
      <c r="AK904" s="217">
        <f>+_xlfn.IFNA(VLOOKUP(AJ904,$AF$7:$AG$1066,2,0),0)</f>
      </c>
      <c r="AL904" s="217">
        <f>+IF(W904&gt;W903,AK904,AL903+AK904)</f>
      </c>
      <c r="AM904" s="217">
        <f>IF(W904&gt;W903,IF(AL904&gt;=$AZ$8,$AZ$8,AL904),IF(OR(AM903=$AZ$8,AM903=0),0,IF(AL904&gt;=$AZ$8,$AZ$8,AL904)))</f>
      </c>
      <c r="AN904" s="748">
        <f>+IF(OR(AM904&gt;AZ903,AM904=0),0,IF(AM904=AL904,AK904,$AZ$7-AL903))</f>
      </c>
      <c r="AO904" s="748">
        <f>+AK904-AN904</f>
      </c>
      <c r="AP904" s="217">
        <f>+_xlfn.IFNA(VLOOKUP(AJ904,$AF$7:$AI$1066,3,0),0)</f>
      </c>
      <c r="AQ904" s="217">
        <f>+IF(W904&gt;W903,AP904,AQ903+AP904)</f>
      </c>
      <c r="AR904" s="217">
        <f>+MAX($AM$2-SUMIF($W$7:$W$1066,W904,$AN$7:$AN$1066),0)</f>
      </c>
      <c r="AS904" s="748">
        <f>+MAX(IF(AQ904&gt;AR904,AR904-AQ903,AP904),0)</f>
      </c>
      <c r="AT904" s="748">
        <f>+AP904-AS904</f>
      </c>
      <c r="AU904" s="217">
        <f>+_xlfn.IFNA(VLOOKUP(AJ904,$AF$7:$AI$1066,4,0),0)</f>
      </c>
      <c r="AV904" s="217">
        <f>+IF(W904&gt;W903,AU904,AV903+AU904)</f>
      </c>
      <c r="AW904" s="217">
        <f>+MAX($AM$2-SUMIF($W$7:$W$1066,W904,$AN$7:$AN$1066)-SUMIF($W$7:$W$1066,W904,$AS$7:$AS$1066),0)</f>
      </c>
      <c r="AX904" s="748">
        <f>+MAX(IF(AV904&gt;AW904,AW904-AV903,AU904),0)</f>
      </c>
      <c r="AY904" s="748">
        <f>+AU904-AX904</f>
      </c>
      <c r="AZ904" s="331">
        <f>+$AM$1+IF($AP$1&gt;$AP$2,$AM$3/2)</f>
      </c>
    </row>
    <row x14ac:dyDescent="0.25" r="905" customHeight="1" ht="18.75">
      <c r="A905" s="1"/>
      <c r="B905" s="7"/>
      <c r="C905" s="170"/>
      <c r="D905" s="331">
        <v>898</v>
      </c>
      <c r="E905" s="544">
        <f>+DATE(YEAR(E904),MONTH(E904)-1,DAY(E904))</f>
        <v>25569.041666666668</v>
      </c>
      <c r="F905" s="333">
        <f>IF(DATE(YEAR($B$6),MONTH($B$6)+1,DAY(1))=E905,1,IF(MONTH(E905)=1,F906*(1+$F$5),F906))</f>
      </c>
      <c r="G905" s="333">
        <f>IF('Simulador - 1º Pilar'!$E$99="Sí",IF('Aportaciones PPE'!$B$13&lt;'Aportaciones PPE'!E905,0,F905*$B$8/12),F905*$B$8/12)</f>
      </c>
      <c r="H905" s="333">
        <f>$H$5*G905</f>
      </c>
      <c r="I905" s="333">
        <f>$I$5*G905</f>
      </c>
      <c r="J905" s="333">
        <f>+I905</f>
      </c>
      <c r="K905" s="333">
        <f>(1+$O$5)^(D905/12)*(H905+IF(AND(F905=1,F906=0),$S$4,0))</f>
      </c>
      <c r="L905" s="333">
        <f>(1+$O$5)^(D905/12)*(I905+IF(AND(F905=1,F906=0),0))</f>
      </c>
      <c r="M905" s="333">
        <f>+L905</f>
      </c>
      <c r="N905" s="333">
        <f>L905+K905+M905</f>
      </c>
      <c r="O905" s="170"/>
      <c r="P905" s="7"/>
      <c r="Q905" s="1"/>
      <c r="R905" s="331">
        <f>D905</f>
      </c>
      <c r="S905" s="169"/>
      <c r="T905" s="1"/>
      <c r="U905" s="217"/>
      <c r="V905" s="331">
        <f>+IF(V904=11,12,IF(V904=12,1,V904+1))</f>
      </c>
      <c r="W905" s="331">
        <f>+W904+IF(V904=12,1,0)</f>
      </c>
      <c r="X905" s="555">
        <f>+DATE(W905,V905,1)</f>
        <v>25569.041666666668</v>
      </c>
      <c r="Y905" s="333">
        <f>+_xlfn.IFNA(AN905+AS905+AX905,0)</f>
      </c>
      <c r="Z905" s="333">
        <f>+_xlfn.IFNA(AO905+AT905+AY905,0)</f>
      </c>
      <c r="AA905" s="333">
        <f>Y905*(1+$O$5)^(($B$7-X905)/365.25)</f>
      </c>
      <c r="AB905" s="333">
        <f>Z905*(1+$O$5)^(($B$7-X905)/365.25)</f>
      </c>
      <c r="AC905" s="1"/>
      <c r="AD905" s="1"/>
      <c r="AE905" s="1"/>
      <c r="AF905" s="111">
        <f>+MONTH(E905)&amp;YEAR(E905)</f>
      </c>
      <c r="AG905" s="217">
        <f>+I905</f>
      </c>
      <c r="AH905" s="217">
        <f>+J905</f>
      </c>
      <c r="AI905" s="217">
        <f>+H905</f>
      </c>
      <c r="AJ905" s="111">
        <f>+V905&amp;W905</f>
      </c>
      <c r="AK905" s="217">
        <f>+_xlfn.IFNA(VLOOKUP(AJ905,$AF$7:$AG$1066,2,0),0)</f>
      </c>
      <c r="AL905" s="217">
        <f>+IF(W905&gt;W904,AK905,AL904+AK905)</f>
      </c>
      <c r="AM905" s="217">
        <f>IF(W905&gt;W904,IF(AL905&gt;=$AZ$8,$AZ$8,AL905),IF(OR(AM904=$AZ$8,AM904=0),0,IF(AL905&gt;=$AZ$8,$AZ$8,AL905)))</f>
      </c>
      <c r="AN905" s="748">
        <f>+IF(OR(AM905&gt;AZ904,AM905=0),0,IF(AM905=AL905,AK905,$AZ$7-AL904))</f>
      </c>
      <c r="AO905" s="748">
        <f>+AK905-AN905</f>
      </c>
      <c r="AP905" s="217">
        <f>+_xlfn.IFNA(VLOOKUP(AJ905,$AF$7:$AI$1066,3,0),0)</f>
      </c>
      <c r="AQ905" s="217">
        <f>+IF(W905&gt;W904,AP905,AQ904+AP905)</f>
      </c>
      <c r="AR905" s="217">
        <f>+MAX($AM$2-SUMIF($W$7:$W$1066,W905,$AN$7:$AN$1066),0)</f>
      </c>
      <c r="AS905" s="748">
        <f>+MAX(IF(AQ905&gt;AR905,AR905-AQ904,AP905),0)</f>
      </c>
      <c r="AT905" s="748">
        <f>+AP905-AS905</f>
      </c>
      <c r="AU905" s="217">
        <f>+_xlfn.IFNA(VLOOKUP(AJ905,$AF$7:$AI$1066,4,0),0)</f>
      </c>
      <c r="AV905" s="217">
        <f>+IF(W905&gt;W904,AU905,AV904+AU905)</f>
      </c>
      <c r="AW905" s="217">
        <f>+MAX($AM$2-SUMIF($W$7:$W$1066,W905,$AN$7:$AN$1066)-SUMIF($W$7:$W$1066,W905,$AS$7:$AS$1066),0)</f>
      </c>
      <c r="AX905" s="748">
        <f>+MAX(IF(AV905&gt;AW905,AW905-AV904,AU905),0)</f>
      </c>
      <c r="AY905" s="748">
        <f>+AU905-AX905</f>
      </c>
      <c r="AZ905" s="331">
        <f>+$AM$1+IF($AP$1&gt;$AP$2,$AM$3/2)</f>
      </c>
    </row>
    <row x14ac:dyDescent="0.25" r="906" customHeight="1" ht="18.75">
      <c r="A906" s="1"/>
      <c r="B906" s="7"/>
      <c r="C906" s="170"/>
      <c r="D906" s="331">
        <v>899</v>
      </c>
      <c r="E906" s="544">
        <f>+DATE(YEAR(E905),MONTH(E905)-1,DAY(E905))</f>
        <v>25569.041666666668</v>
      </c>
      <c r="F906" s="333">
        <f>IF(DATE(YEAR($B$6),MONTH($B$6)+1,DAY(1))=E906,1,IF(MONTH(E906)=1,F907*(1+$F$5),F907))</f>
      </c>
      <c r="G906" s="333">
        <f>IF('Simulador - 1º Pilar'!$E$99="Sí",IF('Aportaciones PPE'!$B$13&lt;'Aportaciones PPE'!E906,0,F906*$B$8/12),F906*$B$8/12)</f>
      </c>
      <c r="H906" s="333">
        <f>$H$5*G906</f>
      </c>
      <c r="I906" s="333">
        <f>$I$5*G906</f>
      </c>
      <c r="J906" s="333">
        <f>+I906</f>
      </c>
      <c r="K906" s="333">
        <f>(1+$O$5)^(D906/12)*(H906+IF(AND(F906=1,F907=0),$S$4,0))</f>
      </c>
      <c r="L906" s="333">
        <f>(1+$O$5)^(D906/12)*(I906+IF(AND(F906=1,F907=0),0))</f>
      </c>
      <c r="M906" s="333">
        <f>+L906</f>
      </c>
      <c r="N906" s="333">
        <f>L906+K906+M906</f>
      </c>
      <c r="O906" s="170"/>
      <c r="P906" s="7"/>
      <c r="Q906" s="1"/>
      <c r="R906" s="331">
        <f>D906</f>
      </c>
      <c r="S906" s="169"/>
      <c r="T906" s="1"/>
      <c r="U906" s="217"/>
      <c r="V906" s="331">
        <f>+IF(V905=11,12,IF(V905=12,1,V905+1))</f>
      </c>
      <c r="W906" s="331">
        <f>+W905+IF(V905=12,1,0)</f>
      </c>
      <c r="X906" s="555">
        <f>+DATE(W906,V906,1)</f>
        <v>25569.041666666668</v>
      </c>
      <c r="Y906" s="333">
        <f>+_xlfn.IFNA(AN906+AS906+AX906,0)</f>
      </c>
      <c r="Z906" s="333">
        <f>+_xlfn.IFNA(AO906+AT906+AY906,0)</f>
      </c>
      <c r="AA906" s="333">
        <f>Y906*(1+$O$5)^(($B$7-X906)/365.25)</f>
      </c>
      <c r="AB906" s="333">
        <f>Z906*(1+$O$5)^(($B$7-X906)/365.25)</f>
      </c>
      <c r="AC906" s="1"/>
      <c r="AD906" s="1"/>
      <c r="AE906" s="1"/>
      <c r="AF906" s="111">
        <f>+MONTH(E906)&amp;YEAR(E906)</f>
      </c>
      <c r="AG906" s="217">
        <f>+I906</f>
      </c>
      <c r="AH906" s="217">
        <f>+J906</f>
      </c>
      <c r="AI906" s="217">
        <f>+H906</f>
      </c>
      <c r="AJ906" s="111">
        <f>+V906&amp;W906</f>
      </c>
      <c r="AK906" s="217">
        <f>+_xlfn.IFNA(VLOOKUP(AJ906,$AF$7:$AG$1066,2,0),0)</f>
      </c>
      <c r="AL906" s="217">
        <f>+IF(W906&gt;W905,AK906,AL905+AK906)</f>
      </c>
      <c r="AM906" s="217">
        <f>IF(W906&gt;W905,IF(AL906&gt;=$AZ$8,$AZ$8,AL906),IF(OR(AM905=$AZ$8,AM905=0),0,IF(AL906&gt;=$AZ$8,$AZ$8,AL906)))</f>
      </c>
      <c r="AN906" s="748">
        <f>+IF(OR(AM906&gt;AZ905,AM906=0),0,IF(AM906=AL906,AK906,$AZ$7-AL905))</f>
      </c>
      <c r="AO906" s="748">
        <f>+AK906-AN906</f>
      </c>
      <c r="AP906" s="217">
        <f>+_xlfn.IFNA(VLOOKUP(AJ906,$AF$7:$AI$1066,3,0),0)</f>
      </c>
      <c r="AQ906" s="217">
        <f>+IF(W906&gt;W905,AP906,AQ905+AP906)</f>
      </c>
      <c r="AR906" s="217">
        <f>+MAX($AM$2-SUMIF($W$7:$W$1066,W906,$AN$7:$AN$1066),0)</f>
      </c>
      <c r="AS906" s="748">
        <f>+MAX(IF(AQ906&gt;AR906,AR906-AQ905,AP906),0)</f>
      </c>
      <c r="AT906" s="748">
        <f>+AP906-AS906</f>
      </c>
      <c r="AU906" s="217">
        <f>+_xlfn.IFNA(VLOOKUP(AJ906,$AF$7:$AI$1066,4,0),0)</f>
      </c>
      <c r="AV906" s="217">
        <f>+IF(W906&gt;W905,AU906,AV905+AU906)</f>
      </c>
      <c r="AW906" s="217">
        <f>+MAX($AM$2-SUMIF($W$7:$W$1066,W906,$AN$7:$AN$1066)-SUMIF($W$7:$W$1066,W906,$AS$7:$AS$1066),0)</f>
      </c>
      <c r="AX906" s="748">
        <f>+MAX(IF(AV906&gt;AW906,AW906-AV905,AU906),0)</f>
      </c>
      <c r="AY906" s="748">
        <f>+AU906-AX906</f>
      </c>
      <c r="AZ906" s="331">
        <f>+$AM$1+IF($AP$1&gt;$AP$2,$AM$3/2)</f>
      </c>
    </row>
    <row x14ac:dyDescent="0.25" r="907" customHeight="1" ht="18.75">
      <c r="A907" s="1"/>
      <c r="B907" s="7"/>
      <c r="C907" s="170"/>
      <c r="D907" s="331">
        <v>900</v>
      </c>
      <c r="E907" s="544">
        <f>+DATE(YEAR(E906),MONTH(E906)-1,DAY(E906))</f>
        <v>25569.041666666668</v>
      </c>
      <c r="F907" s="333">
        <f>IF(DATE(YEAR($B$6),MONTH($B$6)+1,DAY(1))=E907,1,IF(MONTH(E907)=1,F908*(1+$F$5),F908))</f>
      </c>
      <c r="G907" s="333">
        <f>IF('Simulador - 1º Pilar'!$E$99="Sí",IF('Aportaciones PPE'!$B$13&lt;'Aportaciones PPE'!E907,0,F907*$B$8/12),F907*$B$8/12)</f>
      </c>
      <c r="H907" s="333">
        <f>$H$5*G907</f>
      </c>
      <c r="I907" s="333">
        <f>$I$5*G907</f>
      </c>
      <c r="J907" s="333">
        <f>+I907</f>
      </c>
      <c r="K907" s="333">
        <f>(1+$O$5)^(D907/12)*(H907+IF(AND(F907=1,F908=0),$S$4,0))</f>
      </c>
      <c r="L907" s="333">
        <f>(1+$O$5)^(D907/12)*(I907+IF(AND(F907=1,F908=0),0))</f>
      </c>
      <c r="M907" s="333">
        <f>+L907</f>
      </c>
      <c r="N907" s="333">
        <f>L907+K907+M907</f>
      </c>
      <c r="O907" s="170"/>
      <c r="P907" s="7"/>
      <c r="Q907" s="1"/>
      <c r="R907" s="331">
        <f>D907</f>
      </c>
      <c r="S907" s="169"/>
      <c r="T907" s="1"/>
      <c r="U907" s="217"/>
      <c r="V907" s="331">
        <f>+IF(V906=11,12,IF(V906=12,1,V906+1))</f>
      </c>
      <c r="W907" s="331">
        <f>+W906+IF(V906=12,1,0)</f>
      </c>
      <c r="X907" s="555">
        <f>+DATE(W907,V907,1)</f>
        <v>25569.041666666668</v>
      </c>
      <c r="Y907" s="333">
        <f>+_xlfn.IFNA(AN907+AS907+AX907,0)</f>
      </c>
      <c r="Z907" s="333">
        <f>+_xlfn.IFNA(AO907+AT907+AY907,0)</f>
      </c>
      <c r="AA907" s="333">
        <f>Y907*(1+$O$5)^(($B$7-X907)/365.25)</f>
      </c>
      <c r="AB907" s="333">
        <f>Z907*(1+$O$5)^(($B$7-X907)/365.25)</f>
      </c>
      <c r="AC907" s="1"/>
      <c r="AD907" s="1"/>
      <c r="AE907" s="1"/>
      <c r="AF907" s="111">
        <f>+MONTH(E907)&amp;YEAR(E907)</f>
      </c>
      <c r="AG907" s="217">
        <f>+I907</f>
      </c>
      <c r="AH907" s="217">
        <f>+J907</f>
      </c>
      <c r="AI907" s="217">
        <f>+H907</f>
      </c>
      <c r="AJ907" s="111">
        <f>+V907&amp;W907</f>
      </c>
      <c r="AK907" s="217">
        <f>+_xlfn.IFNA(VLOOKUP(AJ907,$AF$7:$AG$1066,2,0),0)</f>
      </c>
      <c r="AL907" s="217">
        <f>+IF(W907&gt;W906,AK907,AL906+AK907)</f>
      </c>
      <c r="AM907" s="217">
        <f>IF(W907&gt;W906,IF(AL907&gt;=$AZ$8,$AZ$8,AL907),IF(OR(AM906=$AZ$8,AM906=0),0,IF(AL907&gt;=$AZ$8,$AZ$8,AL907)))</f>
      </c>
      <c r="AN907" s="748">
        <f>+IF(OR(AM907&gt;AZ906,AM907=0),0,IF(AM907=AL907,AK907,$AZ$7-AL906))</f>
      </c>
      <c r="AO907" s="748">
        <f>+AK907-AN907</f>
      </c>
      <c r="AP907" s="217">
        <f>+_xlfn.IFNA(VLOOKUP(AJ907,$AF$7:$AI$1066,3,0),0)</f>
      </c>
      <c r="AQ907" s="217">
        <f>+IF(W907&gt;W906,AP907,AQ906+AP907)</f>
      </c>
      <c r="AR907" s="217">
        <f>+MAX($AM$2-SUMIF($W$7:$W$1066,W907,$AN$7:$AN$1066),0)</f>
      </c>
      <c r="AS907" s="748">
        <f>+MAX(IF(AQ907&gt;AR907,AR907-AQ906,AP907),0)</f>
      </c>
      <c r="AT907" s="748">
        <f>+AP907-AS907</f>
      </c>
      <c r="AU907" s="217">
        <f>+_xlfn.IFNA(VLOOKUP(AJ907,$AF$7:$AI$1066,4,0),0)</f>
      </c>
      <c r="AV907" s="217">
        <f>+IF(W907&gt;W906,AU907,AV906+AU907)</f>
      </c>
      <c r="AW907" s="217">
        <f>+MAX($AM$2-SUMIF($W$7:$W$1066,W907,$AN$7:$AN$1066)-SUMIF($W$7:$W$1066,W907,$AS$7:$AS$1066),0)</f>
      </c>
      <c r="AX907" s="748">
        <f>+MAX(IF(AV907&gt;AW907,AW907-AV906,AU907),0)</f>
      </c>
      <c r="AY907" s="748">
        <f>+AU907-AX907</f>
      </c>
      <c r="AZ907" s="331">
        <f>+$AM$1+IF($AP$1&gt;$AP$2,$AM$3/2)</f>
      </c>
    </row>
    <row x14ac:dyDescent="0.25" r="908" customHeight="1" ht="18.75">
      <c r="A908" s="1"/>
      <c r="B908" s="7"/>
      <c r="C908" s="170"/>
      <c r="D908" s="331">
        <v>901</v>
      </c>
      <c r="E908" s="544">
        <f>+DATE(YEAR(E907),MONTH(E907)-1,DAY(E907))</f>
        <v>25569.041666666668</v>
      </c>
      <c r="F908" s="333">
        <f>IF(DATE(YEAR($B$6),MONTH($B$6)+1,DAY(1))=E908,1,IF(MONTH(E908)=1,F909*(1+$F$5),F909))</f>
      </c>
      <c r="G908" s="333">
        <f>IF('Simulador - 1º Pilar'!$E$99="Sí",IF('Aportaciones PPE'!$B$13&lt;'Aportaciones PPE'!E908,0,F908*$B$8/12),F908*$B$8/12)</f>
      </c>
      <c r="H908" s="333">
        <f>$H$5*G908</f>
      </c>
      <c r="I908" s="333">
        <f>$I$5*G908</f>
      </c>
      <c r="J908" s="333">
        <f>+I908</f>
      </c>
      <c r="K908" s="333">
        <f>(1+$O$5)^(D908/12)*(H908+IF(AND(F908=1,F909=0),$S$4,0))</f>
      </c>
      <c r="L908" s="333">
        <f>(1+$O$5)^(D908/12)*(I908+IF(AND(F908=1,F909=0),0))</f>
      </c>
      <c r="M908" s="333">
        <f>+L908</f>
      </c>
      <c r="N908" s="333">
        <f>L908+K908+M908</f>
      </c>
      <c r="O908" s="170"/>
      <c r="P908" s="7"/>
      <c r="Q908" s="1"/>
      <c r="R908" s="331">
        <f>D908</f>
      </c>
      <c r="S908" s="169"/>
      <c r="T908" s="1"/>
      <c r="U908" s="217"/>
      <c r="V908" s="331">
        <f>+IF(V907=11,12,IF(V907=12,1,V907+1))</f>
      </c>
      <c r="W908" s="331">
        <f>+W907+IF(V907=12,1,0)</f>
      </c>
      <c r="X908" s="555">
        <f>+DATE(W908,V908,1)</f>
        <v>25569.041666666668</v>
      </c>
      <c r="Y908" s="333">
        <f>+_xlfn.IFNA(AN908+AS908+AX908,0)</f>
      </c>
      <c r="Z908" s="333">
        <f>+_xlfn.IFNA(AO908+AT908+AY908,0)</f>
      </c>
      <c r="AA908" s="333">
        <f>Y908*(1+$O$5)^(($B$7-X908)/365.25)</f>
      </c>
      <c r="AB908" s="333">
        <f>Z908*(1+$O$5)^(($B$7-X908)/365.25)</f>
      </c>
      <c r="AC908" s="1"/>
      <c r="AD908" s="1"/>
      <c r="AE908" s="1"/>
      <c r="AF908" s="111">
        <f>+MONTH(E908)&amp;YEAR(E908)</f>
      </c>
      <c r="AG908" s="217">
        <f>+I908</f>
      </c>
      <c r="AH908" s="217">
        <f>+J908</f>
      </c>
      <c r="AI908" s="217">
        <f>+H908</f>
      </c>
      <c r="AJ908" s="111">
        <f>+V908&amp;W908</f>
      </c>
      <c r="AK908" s="217">
        <f>+_xlfn.IFNA(VLOOKUP(AJ908,$AF$7:$AG$1066,2,0),0)</f>
      </c>
      <c r="AL908" s="217">
        <f>+IF(W908&gt;W907,AK908,AL907+AK908)</f>
      </c>
      <c r="AM908" s="217">
        <f>IF(W908&gt;W907,IF(AL908&gt;=$AZ$8,$AZ$8,AL908),IF(OR(AM907=$AZ$8,AM907=0),0,IF(AL908&gt;=$AZ$8,$AZ$8,AL908)))</f>
      </c>
      <c r="AN908" s="748">
        <f>+IF(OR(AM908&gt;AZ907,AM908=0),0,IF(AM908=AL908,AK908,$AZ$7-AL907))</f>
      </c>
      <c r="AO908" s="748">
        <f>+AK908-AN908</f>
      </c>
      <c r="AP908" s="217">
        <f>+_xlfn.IFNA(VLOOKUP(AJ908,$AF$7:$AI$1066,3,0),0)</f>
      </c>
      <c r="AQ908" s="217">
        <f>+IF(W908&gt;W907,AP908,AQ907+AP908)</f>
      </c>
      <c r="AR908" s="217">
        <f>+MAX($AM$2-SUMIF($W$7:$W$1066,W908,$AN$7:$AN$1066),0)</f>
      </c>
      <c r="AS908" s="748">
        <f>+MAX(IF(AQ908&gt;AR908,AR908-AQ907,AP908),0)</f>
      </c>
      <c r="AT908" s="748">
        <f>+AP908-AS908</f>
      </c>
      <c r="AU908" s="217">
        <f>+_xlfn.IFNA(VLOOKUP(AJ908,$AF$7:$AI$1066,4,0),0)</f>
      </c>
      <c r="AV908" s="217">
        <f>+IF(W908&gt;W907,AU908,AV907+AU908)</f>
      </c>
      <c r="AW908" s="217">
        <f>+MAX($AM$2-SUMIF($W$7:$W$1066,W908,$AN$7:$AN$1066)-SUMIF($W$7:$W$1066,W908,$AS$7:$AS$1066),0)</f>
      </c>
      <c r="AX908" s="748">
        <f>+MAX(IF(AV908&gt;AW908,AW908-AV907,AU908),0)</f>
      </c>
      <c r="AY908" s="748">
        <f>+AU908-AX908</f>
      </c>
      <c r="AZ908" s="331">
        <f>+$AM$1+IF($AP$1&gt;$AP$2,$AM$3/2)</f>
      </c>
    </row>
    <row x14ac:dyDescent="0.25" r="909" customHeight="1" ht="18.75">
      <c r="A909" s="1"/>
      <c r="B909" s="7"/>
      <c r="C909" s="170"/>
      <c r="D909" s="331">
        <v>902</v>
      </c>
      <c r="E909" s="544">
        <f>+DATE(YEAR(E908),MONTH(E908)-1,DAY(E908))</f>
        <v>25569.041666666668</v>
      </c>
      <c r="F909" s="333">
        <f>IF(DATE(YEAR($B$6),MONTH($B$6)+1,DAY(1))=E909,1,IF(MONTH(E909)=1,F910*(1+$F$5),F910))</f>
      </c>
      <c r="G909" s="333">
        <f>IF('Simulador - 1º Pilar'!$E$99="Sí",IF('Aportaciones PPE'!$B$13&lt;'Aportaciones PPE'!E909,0,F909*$B$8/12),F909*$B$8/12)</f>
      </c>
      <c r="H909" s="333">
        <f>$H$5*G909</f>
      </c>
      <c r="I909" s="333">
        <f>$I$5*G909</f>
      </c>
      <c r="J909" s="333">
        <f>+I909</f>
      </c>
      <c r="K909" s="333">
        <f>(1+$O$5)^(D909/12)*(H909+IF(AND(F909=1,F910=0),$S$4,0))</f>
      </c>
      <c r="L909" s="333">
        <f>(1+$O$5)^(D909/12)*(I909+IF(AND(F909=1,F910=0),0))</f>
      </c>
      <c r="M909" s="333">
        <f>+L909</f>
      </c>
      <c r="N909" s="333">
        <f>L909+K909+M909</f>
      </c>
      <c r="O909" s="170"/>
      <c r="P909" s="7"/>
      <c r="Q909" s="1"/>
      <c r="R909" s="331">
        <f>D909</f>
      </c>
      <c r="S909" s="169"/>
      <c r="T909" s="1"/>
      <c r="U909" s="217"/>
      <c r="V909" s="331">
        <f>+IF(V908=11,12,IF(V908=12,1,V908+1))</f>
      </c>
      <c r="W909" s="331">
        <f>+W908+IF(V908=12,1,0)</f>
      </c>
      <c r="X909" s="555">
        <f>+DATE(W909,V909,1)</f>
        <v>25569.041666666668</v>
      </c>
      <c r="Y909" s="333">
        <f>+_xlfn.IFNA(AN909+AS909+AX909,0)</f>
      </c>
      <c r="Z909" s="333">
        <f>+_xlfn.IFNA(AO909+AT909+AY909,0)</f>
      </c>
      <c r="AA909" s="333">
        <f>Y909*(1+$O$5)^(($B$7-X909)/365.25)</f>
      </c>
      <c r="AB909" s="333">
        <f>Z909*(1+$O$5)^(($B$7-X909)/365.25)</f>
      </c>
      <c r="AC909" s="1"/>
      <c r="AD909" s="1"/>
      <c r="AE909" s="1"/>
      <c r="AF909" s="111">
        <f>+MONTH(E909)&amp;YEAR(E909)</f>
      </c>
      <c r="AG909" s="217">
        <f>+I909</f>
      </c>
      <c r="AH909" s="217">
        <f>+J909</f>
      </c>
      <c r="AI909" s="217">
        <f>+H909</f>
      </c>
      <c r="AJ909" s="111">
        <f>+V909&amp;W909</f>
      </c>
      <c r="AK909" s="217">
        <f>+_xlfn.IFNA(VLOOKUP(AJ909,$AF$7:$AG$1066,2,0),0)</f>
      </c>
      <c r="AL909" s="217">
        <f>+IF(W909&gt;W908,AK909,AL908+AK909)</f>
      </c>
      <c r="AM909" s="217">
        <f>IF(W909&gt;W908,IF(AL909&gt;=$AZ$8,$AZ$8,AL909),IF(OR(AM908=$AZ$8,AM908=0),0,IF(AL909&gt;=$AZ$8,$AZ$8,AL909)))</f>
      </c>
      <c r="AN909" s="748">
        <f>+IF(OR(AM909&gt;AZ908,AM909=0),0,IF(AM909=AL909,AK909,$AZ$7-AL908))</f>
      </c>
      <c r="AO909" s="748">
        <f>+AK909-AN909</f>
      </c>
      <c r="AP909" s="217">
        <f>+_xlfn.IFNA(VLOOKUP(AJ909,$AF$7:$AI$1066,3,0),0)</f>
      </c>
      <c r="AQ909" s="217">
        <f>+IF(W909&gt;W908,AP909,AQ908+AP909)</f>
      </c>
      <c r="AR909" s="217">
        <f>+MAX($AM$2-SUMIF($W$7:$W$1066,W909,$AN$7:$AN$1066),0)</f>
      </c>
      <c r="AS909" s="748">
        <f>+MAX(IF(AQ909&gt;AR909,AR909-AQ908,AP909),0)</f>
      </c>
      <c r="AT909" s="748">
        <f>+AP909-AS909</f>
      </c>
      <c r="AU909" s="217">
        <f>+_xlfn.IFNA(VLOOKUP(AJ909,$AF$7:$AI$1066,4,0),0)</f>
      </c>
      <c r="AV909" s="217">
        <f>+IF(W909&gt;W908,AU909,AV908+AU909)</f>
      </c>
      <c r="AW909" s="217">
        <f>+MAX($AM$2-SUMIF($W$7:$W$1066,W909,$AN$7:$AN$1066)-SUMIF($W$7:$W$1066,W909,$AS$7:$AS$1066),0)</f>
      </c>
      <c r="AX909" s="748">
        <f>+MAX(IF(AV909&gt;AW909,AW909-AV908,AU909),0)</f>
      </c>
      <c r="AY909" s="748">
        <f>+AU909-AX909</f>
      </c>
      <c r="AZ909" s="331">
        <f>+$AM$1+IF($AP$1&gt;$AP$2,$AM$3/2)</f>
      </c>
    </row>
    <row x14ac:dyDescent="0.25" r="910" customHeight="1" ht="18.75">
      <c r="A910" s="1"/>
      <c r="B910" s="7"/>
      <c r="C910" s="170"/>
      <c r="D910" s="331">
        <v>903</v>
      </c>
      <c r="E910" s="544">
        <f>+DATE(YEAR(E909),MONTH(E909)-1,DAY(E909))</f>
        <v>25569.041666666668</v>
      </c>
      <c r="F910" s="333">
        <f>IF(DATE(YEAR($B$6),MONTH($B$6)+1,DAY(1))=E910,1,IF(MONTH(E910)=1,F911*(1+$F$5),F911))</f>
      </c>
      <c r="G910" s="333">
        <f>IF('Simulador - 1º Pilar'!$E$99="Sí",IF('Aportaciones PPE'!$B$13&lt;'Aportaciones PPE'!E910,0,F910*$B$8/12),F910*$B$8/12)</f>
      </c>
      <c r="H910" s="333">
        <f>$H$5*G910</f>
      </c>
      <c r="I910" s="333">
        <f>$I$5*G910</f>
      </c>
      <c r="J910" s="333">
        <f>+I910</f>
      </c>
      <c r="K910" s="333">
        <f>(1+$O$5)^(D910/12)*(H910+IF(AND(F910=1,F911=0),$S$4,0))</f>
      </c>
      <c r="L910" s="333">
        <f>(1+$O$5)^(D910/12)*(I910+IF(AND(F910=1,F911=0),0))</f>
      </c>
      <c r="M910" s="333">
        <f>+L910</f>
      </c>
      <c r="N910" s="333">
        <f>L910+K910+M910</f>
      </c>
      <c r="O910" s="170"/>
      <c r="P910" s="7"/>
      <c r="Q910" s="1"/>
      <c r="R910" s="331">
        <f>D910</f>
      </c>
      <c r="S910" s="169"/>
      <c r="T910" s="1"/>
      <c r="U910" s="217"/>
      <c r="V910" s="331">
        <f>+IF(V909=11,12,IF(V909=12,1,V909+1))</f>
      </c>
      <c r="W910" s="331">
        <f>+W909+IF(V909=12,1,0)</f>
      </c>
      <c r="X910" s="555">
        <f>+DATE(W910,V910,1)</f>
        <v>25569.041666666668</v>
      </c>
      <c r="Y910" s="333">
        <f>+_xlfn.IFNA(AN910+AS910+AX910,0)</f>
      </c>
      <c r="Z910" s="333">
        <f>+_xlfn.IFNA(AO910+AT910+AY910,0)</f>
      </c>
      <c r="AA910" s="333">
        <f>Y910*(1+$O$5)^(($B$7-X910)/365.25)</f>
      </c>
      <c r="AB910" s="333">
        <f>Z910*(1+$O$5)^(($B$7-X910)/365.25)</f>
      </c>
      <c r="AC910" s="1"/>
      <c r="AD910" s="1"/>
      <c r="AE910" s="1"/>
      <c r="AF910" s="111">
        <f>+MONTH(E910)&amp;YEAR(E910)</f>
      </c>
      <c r="AG910" s="217">
        <f>+I910</f>
      </c>
      <c r="AH910" s="217">
        <f>+J910</f>
      </c>
      <c r="AI910" s="217">
        <f>+H910</f>
      </c>
      <c r="AJ910" s="111">
        <f>+V910&amp;W910</f>
      </c>
      <c r="AK910" s="217">
        <f>+_xlfn.IFNA(VLOOKUP(AJ910,$AF$7:$AG$1066,2,0),0)</f>
      </c>
      <c r="AL910" s="217">
        <f>+IF(W910&gt;W909,AK910,AL909+AK910)</f>
      </c>
      <c r="AM910" s="217">
        <f>IF(W910&gt;W909,IF(AL910&gt;=$AZ$8,$AZ$8,AL910),IF(OR(AM909=$AZ$8,AM909=0),0,IF(AL910&gt;=$AZ$8,$AZ$8,AL910)))</f>
      </c>
      <c r="AN910" s="748">
        <f>+IF(OR(AM910&gt;AZ909,AM910=0),0,IF(AM910=AL910,AK910,$AZ$7-AL909))</f>
      </c>
      <c r="AO910" s="748">
        <f>+AK910-AN910</f>
      </c>
      <c r="AP910" s="217">
        <f>+_xlfn.IFNA(VLOOKUP(AJ910,$AF$7:$AI$1066,3,0),0)</f>
      </c>
      <c r="AQ910" s="217">
        <f>+IF(W910&gt;W909,AP910,AQ909+AP910)</f>
      </c>
      <c r="AR910" s="217">
        <f>+MAX($AM$2-SUMIF($W$7:$W$1066,W910,$AN$7:$AN$1066),0)</f>
      </c>
      <c r="AS910" s="748">
        <f>+MAX(IF(AQ910&gt;AR910,AR910-AQ909,AP910),0)</f>
      </c>
      <c r="AT910" s="748">
        <f>+AP910-AS910</f>
      </c>
      <c r="AU910" s="217">
        <f>+_xlfn.IFNA(VLOOKUP(AJ910,$AF$7:$AI$1066,4,0),0)</f>
      </c>
      <c r="AV910" s="217">
        <f>+IF(W910&gt;W909,AU910,AV909+AU910)</f>
      </c>
      <c r="AW910" s="217">
        <f>+MAX($AM$2-SUMIF($W$7:$W$1066,W910,$AN$7:$AN$1066)-SUMIF($W$7:$W$1066,W910,$AS$7:$AS$1066),0)</f>
      </c>
      <c r="AX910" s="748">
        <f>+MAX(IF(AV910&gt;AW910,AW910-AV909,AU910),0)</f>
      </c>
      <c r="AY910" s="748">
        <f>+AU910-AX910</f>
      </c>
      <c r="AZ910" s="331">
        <f>+$AM$1+IF($AP$1&gt;$AP$2,$AM$3/2)</f>
      </c>
    </row>
    <row x14ac:dyDescent="0.25" r="911" customHeight="1" ht="18.75">
      <c r="A911" s="1"/>
      <c r="B911" s="7"/>
      <c r="C911" s="170"/>
      <c r="D911" s="331">
        <v>904</v>
      </c>
      <c r="E911" s="544">
        <f>+DATE(YEAR(E910),MONTH(E910)-1,DAY(E910))</f>
        <v>25569.041666666668</v>
      </c>
      <c r="F911" s="333">
        <f>IF(DATE(YEAR($B$6),MONTH($B$6)+1,DAY(1))=E911,1,IF(MONTH(E911)=1,F912*(1+$F$5),F912))</f>
      </c>
      <c r="G911" s="333">
        <f>IF('Simulador - 1º Pilar'!$E$99="Sí",IF('Aportaciones PPE'!$B$13&lt;'Aportaciones PPE'!E911,0,F911*$B$8/12),F911*$B$8/12)</f>
      </c>
      <c r="H911" s="333">
        <f>$H$5*G911</f>
      </c>
      <c r="I911" s="333">
        <f>$I$5*G911</f>
      </c>
      <c r="J911" s="333">
        <f>+I911</f>
      </c>
      <c r="K911" s="333">
        <f>(1+$O$5)^(D911/12)*(H911+IF(AND(F911=1,F912=0),$S$4,0))</f>
      </c>
      <c r="L911" s="333">
        <f>(1+$O$5)^(D911/12)*(I911+IF(AND(F911=1,F912=0),0))</f>
      </c>
      <c r="M911" s="333">
        <f>+L911</f>
      </c>
      <c r="N911" s="333">
        <f>L911+K911+M911</f>
      </c>
      <c r="O911" s="170"/>
      <c r="P911" s="7"/>
      <c r="Q911" s="1"/>
      <c r="R911" s="331">
        <f>D911</f>
      </c>
      <c r="S911" s="169"/>
      <c r="T911" s="1"/>
      <c r="U911" s="217"/>
      <c r="V911" s="331">
        <f>+IF(V910=11,12,IF(V910=12,1,V910+1))</f>
      </c>
      <c r="W911" s="331">
        <f>+W910+IF(V910=12,1,0)</f>
      </c>
      <c r="X911" s="555">
        <f>+DATE(W911,V911,1)</f>
        <v>25569.041666666668</v>
      </c>
      <c r="Y911" s="333">
        <f>+_xlfn.IFNA(AN911+AS911+AX911,0)</f>
      </c>
      <c r="Z911" s="333">
        <f>+_xlfn.IFNA(AO911+AT911+AY911,0)</f>
      </c>
      <c r="AA911" s="333">
        <f>Y911*(1+$O$5)^(($B$7-X911)/365.25)</f>
      </c>
      <c r="AB911" s="333">
        <f>Z911*(1+$O$5)^(($B$7-X911)/365.25)</f>
      </c>
      <c r="AC911" s="1"/>
      <c r="AD911" s="1"/>
      <c r="AE911" s="1"/>
      <c r="AF911" s="111">
        <f>+MONTH(E911)&amp;YEAR(E911)</f>
      </c>
      <c r="AG911" s="217">
        <f>+I911</f>
      </c>
      <c r="AH911" s="217">
        <f>+J911</f>
      </c>
      <c r="AI911" s="217">
        <f>+H911</f>
      </c>
      <c r="AJ911" s="111">
        <f>+V911&amp;W911</f>
      </c>
      <c r="AK911" s="217">
        <f>+_xlfn.IFNA(VLOOKUP(AJ911,$AF$7:$AG$1066,2,0),0)</f>
      </c>
      <c r="AL911" s="217">
        <f>+IF(W911&gt;W910,AK911,AL910+AK911)</f>
      </c>
      <c r="AM911" s="217">
        <f>IF(W911&gt;W910,IF(AL911&gt;=$AZ$8,$AZ$8,AL911),IF(OR(AM910=$AZ$8,AM910=0),0,IF(AL911&gt;=$AZ$8,$AZ$8,AL911)))</f>
      </c>
      <c r="AN911" s="748">
        <f>+IF(OR(AM911&gt;AZ910,AM911=0),0,IF(AM911=AL911,AK911,$AZ$7-AL910))</f>
      </c>
      <c r="AO911" s="748">
        <f>+AK911-AN911</f>
      </c>
      <c r="AP911" s="217">
        <f>+_xlfn.IFNA(VLOOKUP(AJ911,$AF$7:$AI$1066,3,0),0)</f>
      </c>
      <c r="AQ911" s="217">
        <f>+IF(W911&gt;W910,AP911,AQ910+AP911)</f>
      </c>
      <c r="AR911" s="217">
        <f>+MAX($AM$2-SUMIF($W$7:$W$1066,W911,$AN$7:$AN$1066),0)</f>
      </c>
      <c r="AS911" s="748">
        <f>+MAX(IF(AQ911&gt;AR911,AR911-AQ910,AP911),0)</f>
      </c>
      <c r="AT911" s="748">
        <f>+AP911-AS911</f>
      </c>
      <c r="AU911" s="217">
        <f>+_xlfn.IFNA(VLOOKUP(AJ911,$AF$7:$AI$1066,4,0),0)</f>
      </c>
      <c r="AV911" s="217">
        <f>+IF(W911&gt;W910,AU911,AV910+AU911)</f>
      </c>
      <c r="AW911" s="217">
        <f>+MAX($AM$2-SUMIF($W$7:$W$1066,W911,$AN$7:$AN$1066)-SUMIF($W$7:$W$1066,W911,$AS$7:$AS$1066),0)</f>
      </c>
      <c r="AX911" s="748">
        <f>+MAX(IF(AV911&gt;AW911,AW911-AV910,AU911),0)</f>
      </c>
      <c r="AY911" s="748">
        <f>+AU911-AX911</f>
      </c>
      <c r="AZ911" s="331">
        <f>+$AM$1+IF($AP$1&gt;$AP$2,$AM$3/2)</f>
      </c>
    </row>
    <row x14ac:dyDescent="0.25" r="912" customHeight="1" ht="18.75">
      <c r="A912" s="1"/>
      <c r="B912" s="7"/>
      <c r="C912" s="170"/>
      <c r="D912" s="331">
        <v>905</v>
      </c>
      <c r="E912" s="544">
        <f>+DATE(YEAR(E911),MONTH(E911)-1,DAY(E911))</f>
        <v>25569.041666666668</v>
      </c>
      <c r="F912" s="333">
        <f>IF(DATE(YEAR($B$6),MONTH($B$6)+1,DAY(1))=E912,1,IF(MONTH(E912)=1,F913*(1+$F$5),F913))</f>
      </c>
      <c r="G912" s="333">
        <f>IF('Simulador - 1º Pilar'!$E$99="Sí",IF('Aportaciones PPE'!$B$13&lt;'Aportaciones PPE'!E912,0,F912*$B$8/12),F912*$B$8/12)</f>
      </c>
      <c r="H912" s="333">
        <f>$H$5*G912</f>
      </c>
      <c r="I912" s="333">
        <f>$I$5*G912</f>
      </c>
      <c r="J912" s="333">
        <f>+I912</f>
      </c>
      <c r="K912" s="333">
        <f>(1+$O$5)^(D912/12)*(H912+IF(AND(F912=1,F913=0),$S$4,0))</f>
      </c>
      <c r="L912" s="333">
        <f>(1+$O$5)^(D912/12)*(I912+IF(AND(F912=1,F913=0),0))</f>
      </c>
      <c r="M912" s="333">
        <f>+L912</f>
      </c>
      <c r="N912" s="333">
        <f>L912+K912+M912</f>
      </c>
      <c r="O912" s="170"/>
      <c r="P912" s="7"/>
      <c r="Q912" s="1"/>
      <c r="R912" s="331">
        <f>D912</f>
      </c>
      <c r="S912" s="169"/>
      <c r="T912" s="1"/>
      <c r="U912" s="217"/>
      <c r="V912" s="331">
        <f>+IF(V911=11,12,IF(V911=12,1,V911+1))</f>
      </c>
      <c r="W912" s="331">
        <f>+W911+IF(V911=12,1,0)</f>
      </c>
      <c r="X912" s="555">
        <f>+DATE(W912,V912,1)</f>
        <v>25569.041666666668</v>
      </c>
      <c r="Y912" s="333">
        <f>+_xlfn.IFNA(AN912+AS912+AX912,0)</f>
      </c>
      <c r="Z912" s="333">
        <f>+_xlfn.IFNA(AO912+AT912+AY912,0)</f>
      </c>
      <c r="AA912" s="333">
        <f>Y912*(1+$O$5)^(($B$7-X912)/365.25)</f>
      </c>
      <c r="AB912" s="333">
        <f>Z912*(1+$O$5)^(($B$7-X912)/365.25)</f>
      </c>
      <c r="AC912" s="1"/>
      <c r="AD912" s="1"/>
      <c r="AE912" s="1"/>
      <c r="AF912" s="111">
        <f>+MONTH(E912)&amp;YEAR(E912)</f>
      </c>
      <c r="AG912" s="217">
        <f>+I912</f>
      </c>
      <c r="AH912" s="217">
        <f>+J912</f>
      </c>
      <c r="AI912" s="217">
        <f>+H912</f>
      </c>
      <c r="AJ912" s="111">
        <f>+V912&amp;W912</f>
      </c>
      <c r="AK912" s="217">
        <f>+_xlfn.IFNA(VLOOKUP(AJ912,$AF$7:$AG$1066,2,0),0)</f>
      </c>
      <c r="AL912" s="217">
        <f>+IF(W912&gt;W911,AK912,AL911+AK912)</f>
      </c>
      <c r="AM912" s="217">
        <f>IF(W912&gt;W911,IF(AL912&gt;=$AZ$8,$AZ$8,AL912),IF(OR(AM911=$AZ$8,AM911=0),0,IF(AL912&gt;=$AZ$8,$AZ$8,AL912)))</f>
      </c>
      <c r="AN912" s="748">
        <f>+IF(OR(AM912&gt;AZ911,AM912=0),0,IF(AM912=AL912,AK912,$AZ$7-AL911))</f>
      </c>
      <c r="AO912" s="748">
        <f>+AK912-AN912</f>
      </c>
      <c r="AP912" s="217">
        <f>+_xlfn.IFNA(VLOOKUP(AJ912,$AF$7:$AI$1066,3,0),0)</f>
      </c>
      <c r="AQ912" s="217">
        <f>+IF(W912&gt;W911,AP912,AQ911+AP912)</f>
      </c>
      <c r="AR912" s="217">
        <f>+MAX($AM$2-SUMIF($W$7:$W$1066,W912,$AN$7:$AN$1066),0)</f>
      </c>
      <c r="AS912" s="748">
        <f>+MAX(IF(AQ912&gt;AR912,AR912-AQ911,AP912),0)</f>
      </c>
      <c r="AT912" s="748">
        <f>+AP912-AS912</f>
      </c>
      <c r="AU912" s="217">
        <f>+_xlfn.IFNA(VLOOKUP(AJ912,$AF$7:$AI$1066,4,0),0)</f>
      </c>
      <c r="AV912" s="217">
        <f>+IF(W912&gt;W911,AU912,AV911+AU912)</f>
      </c>
      <c r="AW912" s="217">
        <f>+MAX($AM$2-SUMIF($W$7:$W$1066,W912,$AN$7:$AN$1066)-SUMIF($W$7:$W$1066,W912,$AS$7:$AS$1066),0)</f>
      </c>
      <c r="AX912" s="748">
        <f>+MAX(IF(AV912&gt;AW912,AW912-AV911,AU912),0)</f>
      </c>
      <c r="AY912" s="748">
        <f>+AU912-AX912</f>
      </c>
      <c r="AZ912" s="331">
        <f>+$AM$1+IF($AP$1&gt;$AP$2,$AM$3/2)</f>
      </c>
    </row>
    <row x14ac:dyDescent="0.25" r="913" customHeight="1" ht="18.75">
      <c r="A913" s="1"/>
      <c r="B913" s="7"/>
      <c r="C913" s="170"/>
      <c r="D913" s="331">
        <v>906</v>
      </c>
      <c r="E913" s="544">
        <f>+DATE(YEAR(E912),MONTH(E912)-1,DAY(E912))</f>
        <v>25569.041666666668</v>
      </c>
      <c r="F913" s="333">
        <f>IF(DATE(YEAR($B$6),MONTH($B$6)+1,DAY(1))=E913,1,IF(MONTH(E913)=1,F914*(1+$F$5),F914))</f>
      </c>
      <c r="G913" s="333">
        <f>IF('Simulador - 1º Pilar'!$E$99="Sí",IF('Aportaciones PPE'!$B$13&lt;'Aportaciones PPE'!E913,0,F913*$B$8/12),F913*$B$8/12)</f>
      </c>
      <c r="H913" s="333">
        <f>$H$5*G913</f>
      </c>
      <c r="I913" s="333">
        <f>$I$5*G913</f>
      </c>
      <c r="J913" s="333">
        <f>+I913</f>
      </c>
      <c r="K913" s="333">
        <f>(1+$O$5)^(D913/12)*(H913+IF(AND(F913=1,F914=0),$S$4,0))</f>
      </c>
      <c r="L913" s="333">
        <f>(1+$O$5)^(D913/12)*(I913+IF(AND(F913=1,F914=0),0))</f>
      </c>
      <c r="M913" s="333">
        <f>+L913</f>
      </c>
      <c r="N913" s="333">
        <f>L913+K913+M913</f>
      </c>
      <c r="O913" s="170"/>
      <c r="P913" s="7"/>
      <c r="Q913" s="1"/>
      <c r="R913" s="331">
        <f>D913</f>
      </c>
      <c r="S913" s="169"/>
      <c r="T913" s="1"/>
      <c r="U913" s="217"/>
      <c r="V913" s="331">
        <f>+IF(V912=11,12,IF(V912=12,1,V912+1))</f>
      </c>
      <c r="W913" s="331">
        <f>+W912+IF(V912=12,1,0)</f>
      </c>
      <c r="X913" s="555">
        <f>+DATE(W913,V913,1)</f>
        <v>25569.041666666668</v>
      </c>
      <c r="Y913" s="333">
        <f>+_xlfn.IFNA(AN913+AS913+AX913,0)</f>
      </c>
      <c r="Z913" s="333">
        <f>+_xlfn.IFNA(AO913+AT913+AY913,0)</f>
      </c>
      <c r="AA913" s="333">
        <f>Y913*(1+$O$5)^(($B$7-X913)/365.25)</f>
      </c>
      <c r="AB913" s="333">
        <f>Z913*(1+$O$5)^(($B$7-X913)/365.25)</f>
      </c>
      <c r="AC913" s="1"/>
      <c r="AD913" s="1"/>
      <c r="AE913" s="1"/>
      <c r="AF913" s="111">
        <f>+MONTH(E913)&amp;YEAR(E913)</f>
      </c>
      <c r="AG913" s="217">
        <f>+I913</f>
      </c>
      <c r="AH913" s="217">
        <f>+J913</f>
      </c>
      <c r="AI913" s="217">
        <f>+H913</f>
      </c>
      <c r="AJ913" s="111">
        <f>+V913&amp;W913</f>
      </c>
      <c r="AK913" s="217">
        <f>+_xlfn.IFNA(VLOOKUP(AJ913,$AF$7:$AG$1066,2,0),0)</f>
      </c>
      <c r="AL913" s="217">
        <f>+IF(W913&gt;W912,AK913,AL912+AK913)</f>
      </c>
      <c r="AM913" s="217">
        <f>IF(W913&gt;W912,IF(AL913&gt;=$AZ$8,$AZ$8,AL913),IF(OR(AM912=$AZ$8,AM912=0),0,IF(AL913&gt;=$AZ$8,$AZ$8,AL913)))</f>
      </c>
      <c r="AN913" s="748">
        <f>+IF(OR(AM913&gt;AZ912,AM913=0),0,IF(AM913=AL913,AK913,$AZ$7-AL912))</f>
      </c>
      <c r="AO913" s="748">
        <f>+AK913-AN913</f>
      </c>
      <c r="AP913" s="217">
        <f>+_xlfn.IFNA(VLOOKUP(AJ913,$AF$7:$AI$1066,3,0),0)</f>
      </c>
      <c r="AQ913" s="217">
        <f>+IF(W913&gt;W912,AP913,AQ912+AP913)</f>
      </c>
      <c r="AR913" s="217">
        <f>+MAX($AM$2-SUMIF($W$7:$W$1066,W913,$AN$7:$AN$1066),0)</f>
      </c>
      <c r="AS913" s="748">
        <f>+MAX(IF(AQ913&gt;AR913,AR913-AQ912,AP913),0)</f>
      </c>
      <c r="AT913" s="748">
        <f>+AP913-AS913</f>
      </c>
      <c r="AU913" s="217">
        <f>+_xlfn.IFNA(VLOOKUP(AJ913,$AF$7:$AI$1066,4,0),0)</f>
      </c>
      <c r="AV913" s="217">
        <f>+IF(W913&gt;W912,AU913,AV912+AU913)</f>
      </c>
      <c r="AW913" s="217">
        <f>+MAX($AM$2-SUMIF($W$7:$W$1066,W913,$AN$7:$AN$1066)-SUMIF($W$7:$W$1066,W913,$AS$7:$AS$1066),0)</f>
      </c>
      <c r="AX913" s="748">
        <f>+MAX(IF(AV913&gt;AW913,AW913-AV912,AU913),0)</f>
      </c>
      <c r="AY913" s="748">
        <f>+AU913-AX913</f>
      </c>
      <c r="AZ913" s="331">
        <f>+$AM$1+IF($AP$1&gt;$AP$2,$AM$3/2)</f>
      </c>
    </row>
    <row x14ac:dyDescent="0.25" r="914" customHeight="1" ht="18.75">
      <c r="A914" s="1"/>
      <c r="B914" s="7"/>
      <c r="C914" s="170"/>
      <c r="D914" s="331">
        <v>907</v>
      </c>
      <c r="E914" s="544">
        <f>+DATE(YEAR(E913),MONTH(E913)-1,DAY(E913))</f>
        <v>25569.041666666668</v>
      </c>
      <c r="F914" s="333">
        <f>IF(DATE(YEAR($B$6),MONTH($B$6)+1,DAY(1))=E914,1,IF(MONTH(E914)=1,F915*(1+$F$5),F915))</f>
      </c>
      <c r="G914" s="333">
        <f>IF('Simulador - 1º Pilar'!$E$99="Sí",IF('Aportaciones PPE'!$B$13&lt;'Aportaciones PPE'!E914,0,F914*$B$8/12),F914*$B$8/12)</f>
      </c>
      <c r="H914" s="333">
        <f>$H$5*G914</f>
      </c>
      <c r="I914" s="333">
        <f>$I$5*G914</f>
      </c>
      <c r="J914" s="333">
        <f>+I914</f>
      </c>
      <c r="K914" s="333">
        <f>(1+$O$5)^(D914/12)*(H914+IF(AND(F914=1,F915=0),$S$4,0))</f>
      </c>
      <c r="L914" s="333">
        <f>(1+$O$5)^(D914/12)*(I914+IF(AND(F914=1,F915=0),0))</f>
      </c>
      <c r="M914" s="333">
        <f>+L914</f>
      </c>
      <c r="N914" s="333">
        <f>L914+K914+M914</f>
      </c>
      <c r="O914" s="170"/>
      <c r="P914" s="7"/>
      <c r="Q914" s="1"/>
      <c r="R914" s="331">
        <f>D914</f>
      </c>
      <c r="S914" s="169"/>
      <c r="T914" s="1"/>
      <c r="U914" s="217"/>
      <c r="V914" s="331">
        <f>+IF(V913=11,12,IF(V913=12,1,V913+1))</f>
      </c>
      <c r="W914" s="331">
        <f>+W913+IF(V913=12,1,0)</f>
      </c>
      <c r="X914" s="555">
        <f>+DATE(W914,V914,1)</f>
        <v>25569.041666666668</v>
      </c>
      <c r="Y914" s="333">
        <f>+_xlfn.IFNA(AN914+AS914+AX914,0)</f>
      </c>
      <c r="Z914" s="333">
        <f>+_xlfn.IFNA(AO914+AT914+AY914,0)</f>
      </c>
      <c r="AA914" s="333">
        <f>Y914*(1+$O$5)^(($B$7-X914)/365.25)</f>
      </c>
      <c r="AB914" s="333">
        <f>Z914*(1+$O$5)^(($B$7-X914)/365.25)</f>
      </c>
      <c r="AC914" s="1"/>
      <c r="AD914" s="1"/>
      <c r="AE914" s="1"/>
      <c r="AF914" s="111">
        <f>+MONTH(E914)&amp;YEAR(E914)</f>
      </c>
      <c r="AG914" s="217">
        <f>+I914</f>
      </c>
      <c r="AH914" s="217">
        <f>+J914</f>
      </c>
      <c r="AI914" s="217">
        <f>+H914</f>
      </c>
      <c r="AJ914" s="111">
        <f>+V914&amp;W914</f>
      </c>
      <c r="AK914" s="217">
        <f>+_xlfn.IFNA(VLOOKUP(AJ914,$AF$7:$AG$1066,2,0),0)</f>
      </c>
      <c r="AL914" s="217">
        <f>+IF(W914&gt;W913,AK914,AL913+AK914)</f>
      </c>
      <c r="AM914" s="217">
        <f>IF(W914&gt;W913,IF(AL914&gt;=$AZ$8,$AZ$8,AL914),IF(OR(AM913=$AZ$8,AM913=0),0,IF(AL914&gt;=$AZ$8,$AZ$8,AL914)))</f>
      </c>
      <c r="AN914" s="748">
        <f>+IF(OR(AM914&gt;AZ913,AM914=0),0,IF(AM914=AL914,AK914,$AZ$7-AL913))</f>
      </c>
      <c r="AO914" s="748">
        <f>+AK914-AN914</f>
      </c>
      <c r="AP914" s="217">
        <f>+_xlfn.IFNA(VLOOKUP(AJ914,$AF$7:$AI$1066,3,0),0)</f>
      </c>
      <c r="AQ914" s="217">
        <f>+IF(W914&gt;W913,AP914,AQ913+AP914)</f>
      </c>
      <c r="AR914" s="217">
        <f>+MAX($AM$2-SUMIF($W$7:$W$1066,W914,$AN$7:$AN$1066),0)</f>
      </c>
      <c r="AS914" s="748">
        <f>+MAX(IF(AQ914&gt;AR914,AR914-AQ913,AP914),0)</f>
      </c>
      <c r="AT914" s="748">
        <f>+AP914-AS914</f>
      </c>
      <c r="AU914" s="217">
        <f>+_xlfn.IFNA(VLOOKUP(AJ914,$AF$7:$AI$1066,4,0),0)</f>
      </c>
      <c r="AV914" s="217">
        <f>+IF(W914&gt;W913,AU914,AV913+AU914)</f>
      </c>
      <c r="AW914" s="217">
        <f>+MAX($AM$2-SUMIF($W$7:$W$1066,W914,$AN$7:$AN$1066)-SUMIF($W$7:$W$1066,W914,$AS$7:$AS$1066),0)</f>
      </c>
      <c r="AX914" s="748">
        <f>+MAX(IF(AV914&gt;AW914,AW914-AV913,AU914),0)</f>
      </c>
      <c r="AY914" s="748">
        <f>+AU914-AX914</f>
      </c>
      <c r="AZ914" s="331">
        <f>+$AM$1+IF($AP$1&gt;$AP$2,$AM$3/2)</f>
      </c>
    </row>
    <row x14ac:dyDescent="0.25" r="915" customHeight="1" ht="18.75">
      <c r="A915" s="1"/>
      <c r="B915" s="7"/>
      <c r="C915" s="170"/>
      <c r="D915" s="331">
        <v>908</v>
      </c>
      <c r="E915" s="544">
        <f>+DATE(YEAR(E914),MONTH(E914)-1,DAY(E914))</f>
        <v>25569.041666666668</v>
      </c>
      <c r="F915" s="333">
        <f>IF(DATE(YEAR($B$6),MONTH($B$6)+1,DAY(1))=E915,1,IF(MONTH(E915)=1,F916*(1+$F$5),F916))</f>
      </c>
      <c r="G915" s="333">
        <f>IF('Simulador - 1º Pilar'!$E$99="Sí",IF('Aportaciones PPE'!$B$13&lt;'Aportaciones PPE'!E915,0,F915*$B$8/12),F915*$B$8/12)</f>
      </c>
      <c r="H915" s="333">
        <f>$H$5*G915</f>
      </c>
      <c r="I915" s="333">
        <f>$I$5*G915</f>
      </c>
      <c r="J915" s="333">
        <f>+I915</f>
      </c>
      <c r="K915" s="333">
        <f>(1+$O$5)^(D915/12)*(H915+IF(AND(F915=1,F916=0),$S$4,0))</f>
      </c>
      <c r="L915" s="333">
        <f>(1+$O$5)^(D915/12)*(I915+IF(AND(F915=1,F916=0),0))</f>
      </c>
      <c r="M915" s="333">
        <f>+L915</f>
      </c>
      <c r="N915" s="333">
        <f>L915+K915+M915</f>
      </c>
      <c r="O915" s="170"/>
      <c r="P915" s="7"/>
      <c r="Q915" s="1"/>
      <c r="R915" s="331">
        <f>D915</f>
      </c>
      <c r="S915" s="169"/>
      <c r="T915" s="1"/>
      <c r="U915" s="217"/>
      <c r="V915" s="331">
        <f>+IF(V914=11,12,IF(V914=12,1,V914+1))</f>
      </c>
      <c r="W915" s="331">
        <f>+W914+IF(V914=12,1,0)</f>
      </c>
      <c r="X915" s="555">
        <f>+DATE(W915,V915,1)</f>
        <v>25569.041666666668</v>
      </c>
      <c r="Y915" s="333">
        <f>+_xlfn.IFNA(AN915+AS915+AX915,0)</f>
      </c>
      <c r="Z915" s="333">
        <f>+_xlfn.IFNA(AO915+AT915+AY915,0)</f>
      </c>
      <c r="AA915" s="333">
        <f>Y915*(1+$O$5)^(($B$7-X915)/365.25)</f>
      </c>
      <c r="AB915" s="333">
        <f>Z915*(1+$O$5)^(($B$7-X915)/365.25)</f>
      </c>
      <c r="AC915" s="1"/>
      <c r="AD915" s="1"/>
      <c r="AE915" s="1"/>
      <c r="AF915" s="111">
        <f>+MONTH(E915)&amp;YEAR(E915)</f>
      </c>
      <c r="AG915" s="217">
        <f>+I915</f>
      </c>
      <c r="AH915" s="217">
        <f>+J915</f>
      </c>
      <c r="AI915" s="217">
        <f>+H915</f>
      </c>
      <c r="AJ915" s="111">
        <f>+V915&amp;W915</f>
      </c>
      <c r="AK915" s="217">
        <f>+_xlfn.IFNA(VLOOKUP(AJ915,$AF$7:$AG$1066,2,0),0)</f>
      </c>
      <c r="AL915" s="217">
        <f>+IF(W915&gt;W914,AK915,AL914+AK915)</f>
      </c>
      <c r="AM915" s="217">
        <f>IF(W915&gt;W914,IF(AL915&gt;=$AZ$8,$AZ$8,AL915),IF(OR(AM914=$AZ$8,AM914=0),0,IF(AL915&gt;=$AZ$8,$AZ$8,AL915)))</f>
      </c>
      <c r="AN915" s="748">
        <f>+IF(OR(AM915&gt;AZ914,AM915=0),0,IF(AM915=AL915,AK915,$AZ$7-AL914))</f>
      </c>
      <c r="AO915" s="748">
        <f>+AK915-AN915</f>
      </c>
      <c r="AP915" s="217">
        <f>+_xlfn.IFNA(VLOOKUP(AJ915,$AF$7:$AI$1066,3,0),0)</f>
      </c>
      <c r="AQ915" s="217">
        <f>+IF(W915&gt;W914,AP915,AQ914+AP915)</f>
      </c>
      <c r="AR915" s="217">
        <f>+MAX($AM$2-SUMIF($W$7:$W$1066,W915,$AN$7:$AN$1066),0)</f>
      </c>
      <c r="AS915" s="748">
        <f>+MAX(IF(AQ915&gt;AR915,AR915-AQ914,AP915),0)</f>
      </c>
      <c r="AT915" s="748">
        <f>+AP915-AS915</f>
      </c>
      <c r="AU915" s="217">
        <f>+_xlfn.IFNA(VLOOKUP(AJ915,$AF$7:$AI$1066,4,0),0)</f>
      </c>
      <c r="AV915" s="217">
        <f>+IF(W915&gt;W914,AU915,AV914+AU915)</f>
      </c>
      <c r="AW915" s="217">
        <f>+MAX($AM$2-SUMIF($W$7:$W$1066,W915,$AN$7:$AN$1066)-SUMIF($W$7:$W$1066,W915,$AS$7:$AS$1066),0)</f>
      </c>
      <c r="AX915" s="748">
        <f>+MAX(IF(AV915&gt;AW915,AW915-AV914,AU915),0)</f>
      </c>
      <c r="AY915" s="748">
        <f>+AU915-AX915</f>
      </c>
      <c r="AZ915" s="331">
        <f>+$AM$1+IF($AP$1&gt;$AP$2,$AM$3/2)</f>
      </c>
    </row>
    <row x14ac:dyDescent="0.25" r="916" customHeight="1" ht="18.75">
      <c r="A916" s="1"/>
      <c r="B916" s="7"/>
      <c r="C916" s="170"/>
      <c r="D916" s="331">
        <v>909</v>
      </c>
      <c r="E916" s="544">
        <f>+DATE(YEAR(E915),MONTH(E915)-1,DAY(E915))</f>
        <v>25569.041666666668</v>
      </c>
      <c r="F916" s="333">
        <f>IF(DATE(YEAR($B$6),MONTH($B$6)+1,DAY(1))=E916,1,IF(MONTH(E916)=1,F917*(1+$F$5),F917))</f>
      </c>
      <c r="G916" s="333">
        <f>IF('Simulador - 1º Pilar'!$E$99="Sí",IF('Aportaciones PPE'!$B$13&lt;'Aportaciones PPE'!E916,0,F916*$B$8/12),F916*$B$8/12)</f>
      </c>
      <c r="H916" s="333">
        <f>$H$5*G916</f>
      </c>
      <c r="I916" s="333">
        <f>$I$5*G916</f>
      </c>
      <c r="J916" s="333">
        <f>+I916</f>
      </c>
      <c r="K916" s="333">
        <f>(1+$O$5)^(D916/12)*(H916+IF(AND(F916=1,F917=0),$S$4,0))</f>
      </c>
      <c r="L916" s="333">
        <f>(1+$O$5)^(D916/12)*(I916+IF(AND(F916=1,F917=0),0))</f>
      </c>
      <c r="M916" s="333">
        <f>+L916</f>
      </c>
      <c r="N916" s="333">
        <f>L916+K916+M916</f>
      </c>
      <c r="O916" s="170"/>
      <c r="P916" s="7"/>
      <c r="Q916" s="1"/>
      <c r="R916" s="331">
        <f>D916</f>
      </c>
      <c r="S916" s="169"/>
      <c r="T916" s="1"/>
      <c r="U916" s="217"/>
      <c r="V916" s="331">
        <f>+IF(V915=11,12,IF(V915=12,1,V915+1))</f>
      </c>
      <c r="W916" s="331">
        <f>+W915+IF(V915=12,1,0)</f>
      </c>
      <c r="X916" s="555">
        <f>+DATE(W916,V916,1)</f>
        <v>25569.041666666668</v>
      </c>
      <c r="Y916" s="333">
        <f>+_xlfn.IFNA(AN916+AS916+AX916,0)</f>
      </c>
      <c r="Z916" s="333">
        <f>+_xlfn.IFNA(AO916+AT916+AY916,0)</f>
      </c>
      <c r="AA916" s="333">
        <f>Y916*(1+$O$5)^(($B$7-X916)/365.25)</f>
      </c>
      <c r="AB916" s="333">
        <f>Z916*(1+$O$5)^(($B$7-X916)/365.25)</f>
      </c>
      <c r="AC916" s="1"/>
      <c r="AD916" s="1"/>
      <c r="AE916" s="1"/>
      <c r="AF916" s="111">
        <f>+MONTH(E916)&amp;YEAR(E916)</f>
      </c>
      <c r="AG916" s="217">
        <f>+I916</f>
      </c>
      <c r="AH916" s="217">
        <f>+J916</f>
      </c>
      <c r="AI916" s="217">
        <f>+H916</f>
      </c>
      <c r="AJ916" s="111">
        <f>+V916&amp;W916</f>
      </c>
      <c r="AK916" s="217">
        <f>+_xlfn.IFNA(VLOOKUP(AJ916,$AF$7:$AG$1066,2,0),0)</f>
      </c>
      <c r="AL916" s="217">
        <f>+IF(W916&gt;W915,AK916,AL915+AK916)</f>
      </c>
      <c r="AM916" s="217">
        <f>IF(W916&gt;W915,IF(AL916&gt;=$AZ$8,$AZ$8,AL916),IF(OR(AM915=$AZ$8,AM915=0),0,IF(AL916&gt;=$AZ$8,$AZ$8,AL916)))</f>
      </c>
      <c r="AN916" s="748">
        <f>+IF(OR(AM916&gt;AZ915,AM916=0),0,IF(AM916=AL916,AK916,$AZ$7-AL915))</f>
      </c>
      <c r="AO916" s="748">
        <f>+AK916-AN916</f>
      </c>
      <c r="AP916" s="217">
        <f>+_xlfn.IFNA(VLOOKUP(AJ916,$AF$7:$AI$1066,3,0),0)</f>
      </c>
      <c r="AQ916" s="217">
        <f>+IF(W916&gt;W915,AP916,AQ915+AP916)</f>
      </c>
      <c r="AR916" s="217">
        <f>+MAX($AM$2-SUMIF($W$7:$W$1066,W916,$AN$7:$AN$1066),0)</f>
      </c>
      <c r="AS916" s="748">
        <f>+MAX(IF(AQ916&gt;AR916,AR916-AQ915,AP916),0)</f>
      </c>
      <c r="AT916" s="748">
        <f>+AP916-AS916</f>
      </c>
      <c r="AU916" s="217">
        <f>+_xlfn.IFNA(VLOOKUP(AJ916,$AF$7:$AI$1066,4,0),0)</f>
      </c>
      <c r="AV916" s="217">
        <f>+IF(W916&gt;W915,AU916,AV915+AU916)</f>
      </c>
      <c r="AW916" s="217">
        <f>+MAX($AM$2-SUMIF($W$7:$W$1066,W916,$AN$7:$AN$1066)-SUMIF($W$7:$W$1066,W916,$AS$7:$AS$1066),0)</f>
      </c>
      <c r="AX916" s="748">
        <f>+MAX(IF(AV916&gt;AW916,AW916-AV915,AU916),0)</f>
      </c>
      <c r="AY916" s="748">
        <f>+AU916-AX916</f>
      </c>
      <c r="AZ916" s="331">
        <f>+$AM$1+IF($AP$1&gt;$AP$2,$AM$3/2)</f>
      </c>
    </row>
    <row x14ac:dyDescent="0.25" r="917" customHeight="1" ht="18.75">
      <c r="A917" s="1"/>
      <c r="B917" s="7"/>
      <c r="C917" s="170"/>
      <c r="D917" s="331">
        <v>910</v>
      </c>
      <c r="E917" s="544">
        <f>+DATE(YEAR(E916),MONTH(E916)-1,DAY(E916))</f>
        <v>25569.041666666668</v>
      </c>
      <c r="F917" s="333">
        <f>IF(DATE(YEAR($B$6),MONTH($B$6)+1,DAY(1))=E917,1,IF(MONTH(E917)=1,F918*(1+$F$5),F918))</f>
      </c>
      <c r="G917" s="333">
        <f>IF('Simulador - 1º Pilar'!$E$99="Sí",IF('Aportaciones PPE'!$B$13&lt;'Aportaciones PPE'!E917,0,F917*$B$8/12),F917*$B$8/12)</f>
      </c>
      <c r="H917" s="333">
        <f>$H$5*G917</f>
      </c>
      <c r="I917" s="333">
        <f>$I$5*G917</f>
      </c>
      <c r="J917" s="333">
        <f>+I917</f>
      </c>
      <c r="K917" s="333">
        <f>(1+$O$5)^(D917/12)*(H917+IF(AND(F917=1,F918=0),$S$4,0))</f>
      </c>
      <c r="L917" s="333">
        <f>(1+$O$5)^(D917/12)*(I917+IF(AND(F917=1,F918=0),0))</f>
      </c>
      <c r="M917" s="333">
        <f>+L917</f>
      </c>
      <c r="N917" s="333">
        <f>L917+K917+M917</f>
      </c>
      <c r="O917" s="170"/>
      <c r="P917" s="7"/>
      <c r="Q917" s="1"/>
      <c r="R917" s="331">
        <f>D917</f>
      </c>
      <c r="S917" s="169"/>
      <c r="T917" s="1"/>
      <c r="U917" s="217"/>
      <c r="V917" s="331">
        <f>+IF(V916=11,12,IF(V916=12,1,V916+1))</f>
      </c>
      <c r="W917" s="331">
        <f>+W916+IF(V916=12,1,0)</f>
      </c>
      <c r="X917" s="555">
        <f>+DATE(W917,V917,1)</f>
        <v>25569.041666666668</v>
      </c>
      <c r="Y917" s="333">
        <f>+_xlfn.IFNA(AN917+AS917+AX917,0)</f>
      </c>
      <c r="Z917" s="333">
        <f>+_xlfn.IFNA(AO917+AT917+AY917,0)</f>
      </c>
      <c r="AA917" s="333">
        <f>Y917*(1+$O$5)^(($B$7-X917)/365.25)</f>
      </c>
      <c r="AB917" s="333">
        <f>Z917*(1+$O$5)^(($B$7-X917)/365.25)</f>
      </c>
      <c r="AC917" s="1"/>
      <c r="AD917" s="1"/>
      <c r="AE917" s="1"/>
      <c r="AF917" s="111">
        <f>+MONTH(E917)&amp;YEAR(E917)</f>
      </c>
      <c r="AG917" s="217">
        <f>+I917</f>
      </c>
      <c r="AH917" s="217">
        <f>+J917</f>
      </c>
      <c r="AI917" s="217">
        <f>+H917</f>
      </c>
      <c r="AJ917" s="111">
        <f>+V917&amp;W917</f>
      </c>
      <c r="AK917" s="217">
        <f>+_xlfn.IFNA(VLOOKUP(AJ917,$AF$7:$AG$1066,2,0),0)</f>
      </c>
      <c r="AL917" s="217">
        <f>+IF(W917&gt;W916,AK917,AL916+AK917)</f>
      </c>
      <c r="AM917" s="217">
        <f>IF(W917&gt;W916,IF(AL917&gt;=$AZ$8,$AZ$8,AL917),IF(OR(AM916=$AZ$8,AM916=0),0,IF(AL917&gt;=$AZ$8,$AZ$8,AL917)))</f>
      </c>
      <c r="AN917" s="748">
        <f>+IF(OR(AM917&gt;AZ916,AM917=0),0,IF(AM917=AL917,AK917,$AZ$7-AL916))</f>
      </c>
      <c r="AO917" s="748">
        <f>+AK917-AN917</f>
      </c>
      <c r="AP917" s="217">
        <f>+_xlfn.IFNA(VLOOKUP(AJ917,$AF$7:$AI$1066,3,0),0)</f>
      </c>
      <c r="AQ917" s="217">
        <f>+IF(W917&gt;W916,AP917,AQ916+AP917)</f>
      </c>
      <c r="AR917" s="217">
        <f>+MAX($AM$2-SUMIF($W$7:$W$1066,W917,$AN$7:$AN$1066),0)</f>
      </c>
      <c r="AS917" s="748">
        <f>+MAX(IF(AQ917&gt;AR917,AR917-AQ916,AP917),0)</f>
      </c>
      <c r="AT917" s="748">
        <f>+AP917-AS917</f>
      </c>
      <c r="AU917" s="217">
        <f>+_xlfn.IFNA(VLOOKUP(AJ917,$AF$7:$AI$1066,4,0),0)</f>
      </c>
      <c r="AV917" s="217">
        <f>+IF(W917&gt;W916,AU917,AV916+AU917)</f>
      </c>
      <c r="AW917" s="217">
        <f>+MAX($AM$2-SUMIF($W$7:$W$1066,W917,$AN$7:$AN$1066)-SUMIF($W$7:$W$1066,W917,$AS$7:$AS$1066),0)</f>
      </c>
      <c r="AX917" s="748">
        <f>+MAX(IF(AV917&gt;AW917,AW917-AV916,AU917),0)</f>
      </c>
      <c r="AY917" s="748">
        <f>+AU917-AX917</f>
      </c>
      <c r="AZ917" s="331">
        <f>+$AM$1+IF($AP$1&gt;$AP$2,$AM$3/2)</f>
      </c>
    </row>
    <row x14ac:dyDescent="0.25" r="918" customHeight="1" ht="18.75">
      <c r="A918" s="1"/>
      <c r="B918" s="7"/>
      <c r="C918" s="170"/>
      <c r="D918" s="331">
        <v>911</v>
      </c>
      <c r="E918" s="544">
        <f>+DATE(YEAR(E917),MONTH(E917)-1,DAY(E917))</f>
        <v>25569.041666666668</v>
      </c>
      <c r="F918" s="333">
        <f>IF(DATE(YEAR($B$6),MONTH($B$6)+1,DAY(1))=E918,1,IF(MONTH(E918)=1,F919*(1+$F$5),F919))</f>
      </c>
      <c r="G918" s="333">
        <f>IF('Simulador - 1º Pilar'!$E$99="Sí",IF('Aportaciones PPE'!$B$13&lt;'Aportaciones PPE'!E918,0,F918*$B$8/12),F918*$B$8/12)</f>
      </c>
      <c r="H918" s="333">
        <f>$H$5*G918</f>
      </c>
      <c r="I918" s="333">
        <f>$I$5*G918</f>
      </c>
      <c r="J918" s="333">
        <f>+I918</f>
      </c>
      <c r="K918" s="333">
        <f>(1+$O$5)^(D918/12)*(H918+IF(AND(F918=1,F919=0),$S$4,0))</f>
      </c>
      <c r="L918" s="333">
        <f>(1+$O$5)^(D918/12)*(I918+IF(AND(F918=1,F919=0),0))</f>
      </c>
      <c r="M918" s="333">
        <f>+L918</f>
      </c>
      <c r="N918" s="333">
        <f>L918+K918+M918</f>
      </c>
      <c r="O918" s="170"/>
      <c r="P918" s="7"/>
      <c r="Q918" s="1"/>
      <c r="R918" s="331">
        <f>D918</f>
      </c>
      <c r="S918" s="169"/>
      <c r="T918" s="1"/>
      <c r="U918" s="217"/>
      <c r="V918" s="331">
        <f>+IF(V917=11,12,IF(V917=12,1,V917+1))</f>
      </c>
      <c r="W918" s="331">
        <f>+W917+IF(V917=12,1,0)</f>
      </c>
      <c r="X918" s="555">
        <f>+DATE(W918,V918,1)</f>
        <v>25569.041666666668</v>
      </c>
      <c r="Y918" s="333">
        <f>+_xlfn.IFNA(AN918+AS918+AX918,0)</f>
      </c>
      <c r="Z918" s="333">
        <f>+_xlfn.IFNA(AO918+AT918+AY918,0)</f>
      </c>
      <c r="AA918" s="333">
        <f>Y918*(1+$O$5)^(($B$7-X918)/365.25)</f>
      </c>
      <c r="AB918" s="333">
        <f>Z918*(1+$O$5)^(($B$7-X918)/365.25)</f>
      </c>
      <c r="AC918" s="1"/>
      <c r="AD918" s="1"/>
      <c r="AE918" s="1"/>
      <c r="AF918" s="111">
        <f>+MONTH(E918)&amp;YEAR(E918)</f>
      </c>
      <c r="AG918" s="217">
        <f>+I918</f>
      </c>
      <c r="AH918" s="217">
        <f>+J918</f>
      </c>
      <c r="AI918" s="217">
        <f>+H918</f>
      </c>
      <c r="AJ918" s="111">
        <f>+V918&amp;W918</f>
      </c>
      <c r="AK918" s="217">
        <f>+_xlfn.IFNA(VLOOKUP(AJ918,$AF$7:$AG$1066,2,0),0)</f>
      </c>
      <c r="AL918" s="217">
        <f>+IF(W918&gt;W917,AK918,AL917+AK918)</f>
      </c>
      <c r="AM918" s="217">
        <f>IF(W918&gt;W917,IF(AL918&gt;=$AZ$8,$AZ$8,AL918),IF(OR(AM917=$AZ$8,AM917=0),0,IF(AL918&gt;=$AZ$8,$AZ$8,AL918)))</f>
      </c>
      <c r="AN918" s="748">
        <f>+IF(OR(AM918&gt;AZ917,AM918=0),0,IF(AM918=AL918,AK918,$AZ$7-AL917))</f>
      </c>
      <c r="AO918" s="748">
        <f>+AK918-AN918</f>
      </c>
      <c r="AP918" s="217">
        <f>+_xlfn.IFNA(VLOOKUP(AJ918,$AF$7:$AI$1066,3,0),0)</f>
      </c>
      <c r="AQ918" s="217">
        <f>+IF(W918&gt;W917,AP918,AQ917+AP918)</f>
      </c>
      <c r="AR918" s="217">
        <f>+MAX($AM$2-SUMIF($W$7:$W$1066,W918,$AN$7:$AN$1066),0)</f>
      </c>
      <c r="AS918" s="748">
        <f>+MAX(IF(AQ918&gt;AR918,AR918-AQ917,AP918),0)</f>
      </c>
      <c r="AT918" s="748">
        <f>+AP918-AS918</f>
      </c>
      <c r="AU918" s="217">
        <f>+_xlfn.IFNA(VLOOKUP(AJ918,$AF$7:$AI$1066,4,0),0)</f>
      </c>
      <c r="AV918" s="217">
        <f>+IF(W918&gt;W917,AU918,AV917+AU918)</f>
      </c>
      <c r="AW918" s="217">
        <f>+MAX($AM$2-SUMIF($W$7:$W$1066,W918,$AN$7:$AN$1066)-SUMIF($W$7:$W$1066,W918,$AS$7:$AS$1066),0)</f>
      </c>
      <c r="AX918" s="748">
        <f>+MAX(IF(AV918&gt;AW918,AW918-AV917,AU918),0)</f>
      </c>
      <c r="AY918" s="748">
        <f>+AU918-AX918</f>
      </c>
      <c r="AZ918" s="331">
        <f>+$AM$1+IF($AP$1&gt;$AP$2,$AM$3/2)</f>
      </c>
    </row>
    <row x14ac:dyDescent="0.25" r="919" customHeight="1" ht="18.75">
      <c r="A919" s="1"/>
      <c r="B919" s="7"/>
      <c r="C919" s="170"/>
      <c r="D919" s="331">
        <v>912</v>
      </c>
      <c r="E919" s="544">
        <f>+DATE(YEAR(E918),MONTH(E918)-1,DAY(E918))</f>
        <v>25569.041666666668</v>
      </c>
      <c r="F919" s="333">
        <f>IF(DATE(YEAR($B$6),MONTH($B$6)+1,DAY(1))=E919,1,IF(MONTH(E919)=1,F920*(1+$F$5),F920))</f>
      </c>
      <c r="G919" s="333">
        <f>IF('Simulador - 1º Pilar'!$E$99="Sí",IF('Aportaciones PPE'!$B$13&lt;'Aportaciones PPE'!E919,0,F919*$B$8/12),F919*$B$8/12)</f>
      </c>
      <c r="H919" s="333">
        <f>$H$5*G919</f>
      </c>
      <c r="I919" s="333">
        <f>$I$5*G919</f>
      </c>
      <c r="J919" s="333">
        <f>+I919</f>
      </c>
      <c r="K919" s="333">
        <f>(1+$O$5)^(D919/12)*(H919+IF(AND(F919=1,F920=0),$S$4,0))</f>
      </c>
      <c r="L919" s="333">
        <f>(1+$O$5)^(D919/12)*(I919+IF(AND(F919=1,F920=0),0))</f>
      </c>
      <c r="M919" s="333">
        <f>+L919</f>
      </c>
      <c r="N919" s="333">
        <f>L919+K919+M919</f>
      </c>
      <c r="O919" s="170"/>
      <c r="P919" s="7"/>
      <c r="Q919" s="1"/>
      <c r="R919" s="331">
        <f>D919</f>
      </c>
      <c r="S919" s="169"/>
      <c r="T919" s="1"/>
      <c r="U919" s="217"/>
      <c r="V919" s="331">
        <f>+IF(V918=11,12,IF(V918=12,1,V918+1))</f>
      </c>
      <c r="W919" s="331">
        <f>+W918+IF(V918=12,1,0)</f>
      </c>
      <c r="X919" s="555">
        <f>+DATE(W919,V919,1)</f>
        <v>25569.041666666668</v>
      </c>
      <c r="Y919" s="333">
        <f>+_xlfn.IFNA(AN919+AS919+AX919,0)</f>
      </c>
      <c r="Z919" s="333">
        <f>+_xlfn.IFNA(AO919+AT919+AY919,0)</f>
      </c>
      <c r="AA919" s="333">
        <f>Y919*(1+$O$5)^(($B$7-X919)/365.25)</f>
      </c>
      <c r="AB919" s="333">
        <f>Z919*(1+$O$5)^(($B$7-X919)/365.25)</f>
      </c>
      <c r="AC919" s="1"/>
      <c r="AD919" s="1"/>
      <c r="AE919" s="1"/>
      <c r="AF919" s="111">
        <f>+MONTH(E919)&amp;YEAR(E919)</f>
      </c>
      <c r="AG919" s="217">
        <f>+I919</f>
      </c>
      <c r="AH919" s="217">
        <f>+J919</f>
      </c>
      <c r="AI919" s="217">
        <f>+H919</f>
      </c>
      <c r="AJ919" s="111">
        <f>+V919&amp;W919</f>
      </c>
      <c r="AK919" s="217">
        <f>+_xlfn.IFNA(VLOOKUP(AJ919,$AF$7:$AG$1066,2,0),0)</f>
      </c>
      <c r="AL919" s="217">
        <f>+IF(W919&gt;W918,AK919,AL918+AK919)</f>
      </c>
      <c r="AM919" s="217">
        <f>IF(W919&gt;W918,IF(AL919&gt;=$AZ$8,$AZ$8,AL919),IF(OR(AM918=$AZ$8,AM918=0),0,IF(AL919&gt;=$AZ$8,$AZ$8,AL919)))</f>
      </c>
      <c r="AN919" s="748">
        <f>+IF(OR(AM919&gt;AZ918,AM919=0),0,IF(AM919=AL919,AK919,$AZ$7-AL918))</f>
      </c>
      <c r="AO919" s="748">
        <f>+AK919-AN919</f>
      </c>
      <c r="AP919" s="217">
        <f>+_xlfn.IFNA(VLOOKUP(AJ919,$AF$7:$AI$1066,3,0),0)</f>
      </c>
      <c r="AQ919" s="217">
        <f>+IF(W919&gt;W918,AP919,AQ918+AP919)</f>
      </c>
      <c r="AR919" s="217">
        <f>+MAX($AM$2-SUMIF($W$7:$W$1066,W919,$AN$7:$AN$1066),0)</f>
      </c>
      <c r="AS919" s="748">
        <f>+MAX(IF(AQ919&gt;AR919,AR919-AQ918,AP919),0)</f>
      </c>
      <c r="AT919" s="748">
        <f>+AP919-AS919</f>
      </c>
      <c r="AU919" s="217">
        <f>+_xlfn.IFNA(VLOOKUP(AJ919,$AF$7:$AI$1066,4,0),0)</f>
      </c>
      <c r="AV919" s="217">
        <f>+IF(W919&gt;W918,AU919,AV918+AU919)</f>
      </c>
      <c r="AW919" s="217">
        <f>+MAX($AM$2-SUMIF($W$7:$W$1066,W919,$AN$7:$AN$1066)-SUMIF($W$7:$W$1066,W919,$AS$7:$AS$1066),0)</f>
      </c>
      <c r="AX919" s="748">
        <f>+MAX(IF(AV919&gt;AW919,AW919-AV918,AU919),0)</f>
      </c>
      <c r="AY919" s="748">
        <f>+AU919-AX919</f>
      </c>
      <c r="AZ919" s="331">
        <f>+$AM$1+IF($AP$1&gt;$AP$2,$AM$3/2)</f>
      </c>
    </row>
    <row x14ac:dyDescent="0.25" r="920" customHeight="1" ht="18.75">
      <c r="A920" s="1"/>
      <c r="B920" s="7"/>
      <c r="C920" s="170"/>
      <c r="D920" s="331">
        <v>913</v>
      </c>
      <c r="E920" s="544">
        <f>+DATE(YEAR(E919),MONTH(E919)-1,DAY(E919))</f>
        <v>25569.041666666668</v>
      </c>
      <c r="F920" s="333">
        <f>IF(DATE(YEAR($B$6),MONTH($B$6)+1,DAY(1))=E920,1,IF(MONTH(E920)=1,F921*(1+$F$5),F921))</f>
      </c>
      <c r="G920" s="333">
        <f>IF('Simulador - 1º Pilar'!$E$99="Sí",IF('Aportaciones PPE'!$B$13&lt;'Aportaciones PPE'!E920,0,F920*$B$8/12),F920*$B$8/12)</f>
      </c>
      <c r="H920" s="333">
        <f>$H$5*G920</f>
      </c>
      <c r="I920" s="333">
        <f>$I$5*G920</f>
      </c>
      <c r="J920" s="333">
        <f>+I920</f>
      </c>
      <c r="K920" s="333">
        <f>(1+$O$5)^(D920/12)*(H920+IF(AND(F920=1,F921=0),$S$4,0))</f>
      </c>
      <c r="L920" s="333">
        <f>(1+$O$5)^(D920/12)*(I920+IF(AND(F920=1,F921=0),0))</f>
      </c>
      <c r="M920" s="333">
        <f>+L920</f>
      </c>
      <c r="N920" s="333">
        <f>L920+K920+M920</f>
      </c>
      <c r="O920" s="170"/>
      <c r="P920" s="7"/>
      <c r="Q920" s="1"/>
      <c r="R920" s="331">
        <f>D920</f>
      </c>
      <c r="S920" s="169"/>
      <c r="T920" s="1"/>
      <c r="U920" s="217"/>
      <c r="V920" s="331">
        <f>+IF(V919=11,12,IF(V919=12,1,V919+1))</f>
      </c>
      <c r="W920" s="331">
        <f>+W919+IF(V919=12,1,0)</f>
      </c>
      <c r="X920" s="555">
        <f>+DATE(W920,V920,1)</f>
        <v>25569.041666666668</v>
      </c>
      <c r="Y920" s="333">
        <f>+_xlfn.IFNA(AN920+AS920+AX920,0)</f>
      </c>
      <c r="Z920" s="333">
        <f>+_xlfn.IFNA(AO920+AT920+AY920,0)</f>
      </c>
      <c r="AA920" s="333">
        <f>Y920*(1+$O$5)^(($B$7-X920)/365.25)</f>
      </c>
      <c r="AB920" s="333">
        <f>Z920*(1+$O$5)^(($B$7-X920)/365.25)</f>
      </c>
      <c r="AC920" s="1"/>
      <c r="AD920" s="1"/>
      <c r="AE920" s="1"/>
      <c r="AF920" s="111">
        <f>+MONTH(E920)&amp;YEAR(E920)</f>
      </c>
      <c r="AG920" s="217">
        <f>+I920</f>
      </c>
      <c r="AH920" s="217">
        <f>+J920</f>
      </c>
      <c r="AI920" s="217">
        <f>+H920</f>
      </c>
      <c r="AJ920" s="111">
        <f>+V920&amp;W920</f>
      </c>
      <c r="AK920" s="217">
        <f>+_xlfn.IFNA(VLOOKUP(AJ920,$AF$7:$AG$1066,2,0),0)</f>
      </c>
      <c r="AL920" s="217">
        <f>+IF(W920&gt;W919,AK920,AL919+AK920)</f>
      </c>
      <c r="AM920" s="217">
        <f>IF(W920&gt;W919,IF(AL920&gt;=$AZ$8,$AZ$8,AL920),IF(OR(AM919=$AZ$8,AM919=0),0,IF(AL920&gt;=$AZ$8,$AZ$8,AL920)))</f>
      </c>
      <c r="AN920" s="748">
        <f>+IF(OR(AM920&gt;AZ919,AM920=0),0,IF(AM920=AL920,AK920,$AZ$7-AL919))</f>
      </c>
      <c r="AO920" s="748">
        <f>+AK920-AN920</f>
      </c>
      <c r="AP920" s="217">
        <f>+_xlfn.IFNA(VLOOKUP(AJ920,$AF$7:$AI$1066,3,0),0)</f>
      </c>
      <c r="AQ920" s="217">
        <f>+IF(W920&gt;W919,AP920,AQ919+AP920)</f>
      </c>
      <c r="AR920" s="217">
        <f>+MAX($AM$2-SUMIF($W$7:$W$1066,W920,$AN$7:$AN$1066),0)</f>
      </c>
      <c r="AS920" s="748">
        <f>+MAX(IF(AQ920&gt;AR920,AR920-AQ919,AP920),0)</f>
      </c>
      <c r="AT920" s="748">
        <f>+AP920-AS920</f>
      </c>
      <c r="AU920" s="217">
        <f>+_xlfn.IFNA(VLOOKUP(AJ920,$AF$7:$AI$1066,4,0),0)</f>
      </c>
      <c r="AV920" s="217">
        <f>+IF(W920&gt;W919,AU920,AV919+AU920)</f>
      </c>
      <c r="AW920" s="217">
        <f>+MAX($AM$2-SUMIF($W$7:$W$1066,W920,$AN$7:$AN$1066)-SUMIF($W$7:$W$1066,W920,$AS$7:$AS$1066),0)</f>
      </c>
      <c r="AX920" s="748">
        <f>+MAX(IF(AV920&gt;AW920,AW920-AV919,AU920),0)</f>
      </c>
      <c r="AY920" s="748">
        <f>+AU920-AX920</f>
      </c>
      <c r="AZ920" s="331">
        <f>+$AM$1+IF($AP$1&gt;$AP$2,$AM$3/2)</f>
      </c>
    </row>
    <row x14ac:dyDescent="0.25" r="921" customHeight="1" ht="18.75">
      <c r="A921" s="1"/>
      <c r="B921" s="7"/>
      <c r="C921" s="170"/>
      <c r="D921" s="331">
        <v>914</v>
      </c>
      <c r="E921" s="544">
        <f>+DATE(YEAR(E920),MONTH(E920)-1,DAY(E920))</f>
        <v>25569.041666666668</v>
      </c>
      <c r="F921" s="333">
        <f>IF(DATE(YEAR($B$6),MONTH($B$6)+1,DAY(1))=E921,1,IF(MONTH(E921)=1,F922*(1+$F$5),F922))</f>
      </c>
      <c r="G921" s="333">
        <f>IF('Simulador - 1º Pilar'!$E$99="Sí",IF('Aportaciones PPE'!$B$13&lt;'Aportaciones PPE'!E921,0,F921*$B$8/12),F921*$B$8/12)</f>
      </c>
      <c r="H921" s="333">
        <f>$H$5*G921</f>
      </c>
      <c r="I921" s="333">
        <f>$I$5*G921</f>
      </c>
      <c r="J921" s="333">
        <f>+I921</f>
      </c>
      <c r="K921" s="333">
        <f>(1+$O$5)^(D921/12)*(H921+IF(AND(F921=1,F922=0),$S$4,0))</f>
      </c>
      <c r="L921" s="333">
        <f>(1+$O$5)^(D921/12)*(I921+IF(AND(F921=1,F922=0),0))</f>
      </c>
      <c r="M921" s="333">
        <f>+L921</f>
      </c>
      <c r="N921" s="333">
        <f>L921+K921+M921</f>
      </c>
      <c r="O921" s="170"/>
      <c r="P921" s="7"/>
      <c r="Q921" s="1"/>
      <c r="R921" s="331">
        <f>D921</f>
      </c>
      <c r="S921" s="169"/>
      <c r="T921" s="1"/>
      <c r="U921" s="217"/>
      <c r="V921" s="331">
        <f>+IF(V920=11,12,IF(V920=12,1,V920+1))</f>
      </c>
      <c r="W921" s="331">
        <f>+W920+IF(V920=12,1,0)</f>
      </c>
      <c r="X921" s="555">
        <f>+DATE(W921,V921,1)</f>
        <v>25569.041666666668</v>
      </c>
      <c r="Y921" s="333">
        <f>+_xlfn.IFNA(AN921+AS921+AX921,0)</f>
      </c>
      <c r="Z921" s="333">
        <f>+_xlfn.IFNA(AO921+AT921+AY921,0)</f>
      </c>
      <c r="AA921" s="333">
        <f>Y921*(1+$O$5)^(($B$7-X921)/365.25)</f>
      </c>
      <c r="AB921" s="333">
        <f>Z921*(1+$O$5)^(($B$7-X921)/365.25)</f>
      </c>
      <c r="AC921" s="1"/>
      <c r="AD921" s="1"/>
      <c r="AE921" s="1"/>
      <c r="AF921" s="111">
        <f>+MONTH(E921)&amp;YEAR(E921)</f>
      </c>
      <c r="AG921" s="217">
        <f>+I921</f>
      </c>
      <c r="AH921" s="217">
        <f>+J921</f>
      </c>
      <c r="AI921" s="217">
        <f>+H921</f>
      </c>
      <c r="AJ921" s="111">
        <f>+V921&amp;W921</f>
      </c>
      <c r="AK921" s="217">
        <f>+_xlfn.IFNA(VLOOKUP(AJ921,$AF$7:$AG$1066,2,0),0)</f>
      </c>
      <c r="AL921" s="217">
        <f>+IF(W921&gt;W920,AK921,AL920+AK921)</f>
      </c>
      <c r="AM921" s="217">
        <f>IF(W921&gt;W920,IF(AL921&gt;=$AZ$8,$AZ$8,AL921),IF(OR(AM920=$AZ$8,AM920=0),0,IF(AL921&gt;=$AZ$8,$AZ$8,AL921)))</f>
      </c>
      <c r="AN921" s="748">
        <f>+IF(OR(AM921&gt;AZ920,AM921=0),0,IF(AM921=AL921,AK921,$AZ$7-AL920))</f>
      </c>
      <c r="AO921" s="748">
        <f>+AK921-AN921</f>
      </c>
      <c r="AP921" s="217">
        <f>+_xlfn.IFNA(VLOOKUP(AJ921,$AF$7:$AI$1066,3,0),0)</f>
      </c>
      <c r="AQ921" s="217">
        <f>+IF(W921&gt;W920,AP921,AQ920+AP921)</f>
      </c>
      <c r="AR921" s="217">
        <f>+MAX($AM$2-SUMIF($W$7:$W$1066,W921,$AN$7:$AN$1066),0)</f>
      </c>
      <c r="AS921" s="748">
        <f>+MAX(IF(AQ921&gt;AR921,AR921-AQ920,AP921),0)</f>
      </c>
      <c r="AT921" s="748">
        <f>+AP921-AS921</f>
      </c>
      <c r="AU921" s="217">
        <f>+_xlfn.IFNA(VLOOKUP(AJ921,$AF$7:$AI$1066,4,0),0)</f>
      </c>
      <c r="AV921" s="217">
        <f>+IF(W921&gt;W920,AU921,AV920+AU921)</f>
      </c>
      <c r="AW921" s="217">
        <f>+MAX($AM$2-SUMIF($W$7:$W$1066,W921,$AN$7:$AN$1066)-SUMIF($W$7:$W$1066,W921,$AS$7:$AS$1066),0)</f>
      </c>
      <c r="AX921" s="748">
        <f>+MAX(IF(AV921&gt;AW921,AW921-AV920,AU921),0)</f>
      </c>
      <c r="AY921" s="748">
        <f>+AU921-AX921</f>
      </c>
      <c r="AZ921" s="331">
        <f>+$AM$1+IF($AP$1&gt;$AP$2,$AM$3/2)</f>
      </c>
    </row>
    <row x14ac:dyDescent="0.25" r="922" customHeight="1" ht="18.75">
      <c r="A922" s="1"/>
      <c r="B922" s="7"/>
      <c r="C922" s="170"/>
      <c r="D922" s="331">
        <v>915</v>
      </c>
      <c r="E922" s="544">
        <f>+DATE(YEAR(E921),MONTH(E921)-1,DAY(E921))</f>
        <v>25569.041666666668</v>
      </c>
      <c r="F922" s="333">
        <f>IF(DATE(YEAR($B$6),MONTH($B$6)+1,DAY(1))=E922,1,IF(MONTH(E922)=1,F923*(1+$F$5),F923))</f>
      </c>
      <c r="G922" s="333">
        <f>IF('Simulador - 1º Pilar'!$E$99="Sí",IF('Aportaciones PPE'!$B$13&lt;'Aportaciones PPE'!E922,0,F922*$B$8/12),F922*$B$8/12)</f>
      </c>
      <c r="H922" s="333">
        <f>$H$5*G922</f>
      </c>
      <c r="I922" s="333">
        <f>$I$5*G922</f>
      </c>
      <c r="J922" s="333">
        <f>+I922</f>
      </c>
      <c r="K922" s="333">
        <f>(1+$O$5)^(D922/12)*(H922+IF(AND(F922=1,F923=0),$S$4,0))</f>
      </c>
      <c r="L922" s="333">
        <f>(1+$O$5)^(D922/12)*(I922+IF(AND(F922=1,F923=0),0))</f>
      </c>
      <c r="M922" s="333">
        <f>+L922</f>
      </c>
      <c r="N922" s="333">
        <f>L922+K922+M922</f>
      </c>
      <c r="O922" s="170"/>
      <c r="P922" s="7"/>
      <c r="Q922" s="1"/>
      <c r="R922" s="331">
        <f>D922</f>
      </c>
      <c r="S922" s="169"/>
      <c r="T922" s="1"/>
      <c r="U922" s="217"/>
      <c r="V922" s="331">
        <f>+IF(V921=11,12,IF(V921=12,1,V921+1))</f>
      </c>
      <c r="W922" s="331">
        <f>+W921+IF(V921=12,1,0)</f>
      </c>
      <c r="X922" s="555">
        <f>+DATE(W922,V922,1)</f>
        <v>25569.041666666668</v>
      </c>
      <c r="Y922" s="333">
        <f>+_xlfn.IFNA(AN922+AS922+AX922,0)</f>
      </c>
      <c r="Z922" s="333">
        <f>+_xlfn.IFNA(AO922+AT922+AY922,0)</f>
      </c>
      <c r="AA922" s="333">
        <f>Y922*(1+$O$5)^(($B$7-X922)/365.25)</f>
      </c>
      <c r="AB922" s="333">
        <f>Z922*(1+$O$5)^(($B$7-X922)/365.25)</f>
      </c>
      <c r="AC922" s="1"/>
      <c r="AD922" s="1"/>
      <c r="AE922" s="1"/>
      <c r="AF922" s="111">
        <f>+MONTH(E922)&amp;YEAR(E922)</f>
      </c>
      <c r="AG922" s="217">
        <f>+I922</f>
      </c>
      <c r="AH922" s="217">
        <f>+J922</f>
      </c>
      <c r="AI922" s="217">
        <f>+H922</f>
      </c>
      <c r="AJ922" s="111">
        <f>+V922&amp;W922</f>
      </c>
      <c r="AK922" s="217">
        <f>+_xlfn.IFNA(VLOOKUP(AJ922,$AF$7:$AG$1066,2,0),0)</f>
      </c>
      <c r="AL922" s="217">
        <f>+IF(W922&gt;W921,AK922,AL921+AK922)</f>
      </c>
      <c r="AM922" s="217">
        <f>IF(W922&gt;W921,IF(AL922&gt;=$AZ$8,$AZ$8,AL922),IF(OR(AM921=$AZ$8,AM921=0),0,IF(AL922&gt;=$AZ$8,$AZ$8,AL922)))</f>
      </c>
      <c r="AN922" s="748">
        <f>+IF(OR(AM922&gt;AZ921,AM922=0),0,IF(AM922=AL922,AK922,$AZ$7-AL921))</f>
      </c>
      <c r="AO922" s="748">
        <f>+AK922-AN922</f>
      </c>
      <c r="AP922" s="217">
        <f>+_xlfn.IFNA(VLOOKUP(AJ922,$AF$7:$AI$1066,3,0),0)</f>
      </c>
      <c r="AQ922" s="217">
        <f>+IF(W922&gt;W921,AP922,AQ921+AP922)</f>
      </c>
      <c r="AR922" s="217">
        <f>+MAX($AM$2-SUMIF($W$7:$W$1066,W922,$AN$7:$AN$1066),0)</f>
      </c>
      <c r="AS922" s="748">
        <f>+MAX(IF(AQ922&gt;AR922,AR922-AQ921,AP922),0)</f>
      </c>
      <c r="AT922" s="748">
        <f>+AP922-AS922</f>
      </c>
      <c r="AU922" s="217">
        <f>+_xlfn.IFNA(VLOOKUP(AJ922,$AF$7:$AI$1066,4,0),0)</f>
      </c>
      <c r="AV922" s="217">
        <f>+IF(W922&gt;W921,AU922,AV921+AU922)</f>
      </c>
      <c r="AW922" s="217">
        <f>+MAX($AM$2-SUMIF($W$7:$W$1066,W922,$AN$7:$AN$1066)-SUMIF($W$7:$W$1066,W922,$AS$7:$AS$1066),0)</f>
      </c>
      <c r="AX922" s="748">
        <f>+MAX(IF(AV922&gt;AW922,AW922-AV921,AU922),0)</f>
      </c>
      <c r="AY922" s="748">
        <f>+AU922-AX922</f>
      </c>
      <c r="AZ922" s="331">
        <f>+$AM$1+IF($AP$1&gt;$AP$2,$AM$3/2)</f>
      </c>
    </row>
    <row x14ac:dyDescent="0.25" r="923" customHeight="1" ht="18.75">
      <c r="A923" s="1"/>
      <c r="B923" s="7"/>
      <c r="C923" s="170"/>
      <c r="D923" s="331">
        <v>916</v>
      </c>
      <c r="E923" s="544">
        <f>+DATE(YEAR(E922),MONTH(E922)-1,DAY(E922))</f>
        <v>25569.041666666668</v>
      </c>
      <c r="F923" s="333">
        <f>IF(DATE(YEAR($B$6),MONTH($B$6)+1,DAY(1))=E923,1,IF(MONTH(E923)=1,F924*(1+$F$5),F924))</f>
      </c>
      <c r="G923" s="333">
        <f>IF('Simulador - 1º Pilar'!$E$99="Sí",IF('Aportaciones PPE'!$B$13&lt;'Aportaciones PPE'!E923,0,F923*$B$8/12),F923*$B$8/12)</f>
      </c>
      <c r="H923" s="333">
        <f>$H$5*G923</f>
      </c>
      <c r="I923" s="333">
        <f>$I$5*G923</f>
      </c>
      <c r="J923" s="333">
        <f>+I923</f>
      </c>
      <c r="K923" s="333">
        <f>(1+$O$5)^(D923/12)*(H923+IF(AND(F923=1,F924=0),$S$4,0))</f>
      </c>
      <c r="L923" s="333">
        <f>(1+$O$5)^(D923/12)*(I923+IF(AND(F923=1,F924=0),0))</f>
      </c>
      <c r="M923" s="333">
        <f>+L923</f>
      </c>
      <c r="N923" s="333">
        <f>L923+K923+M923</f>
      </c>
      <c r="O923" s="170"/>
      <c r="P923" s="7"/>
      <c r="Q923" s="1"/>
      <c r="R923" s="331">
        <f>D923</f>
      </c>
      <c r="S923" s="169"/>
      <c r="T923" s="1"/>
      <c r="U923" s="217"/>
      <c r="V923" s="331">
        <f>+IF(V922=11,12,IF(V922=12,1,V922+1))</f>
      </c>
      <c r="W923" s="331">
        <f>+W922+IF(V922=12,1,0)</f>
      </c>
      <c r="X923" s="555">
        <f>+DATE(W923,V923,1)</f>
        <v>25569.041666666668</v>
      </c>
      <c r="Y923" s="333">
        <f>+_xlfn.IFNA(AN923+AS923+AX923,0)</f>
      </c>
      <c r="Z923" s="333">
        <f>+_xlfn.IFNA(AO923+AT923+AY923,0)</f>
      </c>
      <c r="AA923" s="333">
        <f>Y923*(1+$O$5)^(($B$7-X923)/365.25)</f>
      </c>
      <c r="AB923" s="333">
        <f>Z923*(1+$O$5)^(($B$7-X923)/365.25)</f>
      </c>
      <c r="AC923" s="1"/>
      <c r="AD923" s="1"/>
      <c r="AE923" s="1"/>
      <c r="AF923" s="111">
        <f>+MONTH(E923)&amp;YEAR(E923)</f>
      </c>
      <c r="AG923" s="217">
        <f>+I923</f>
      </c>
      <c r="AH923" s="217">
        <f>+J923</f>
      </c>
      <c r="AI923" s="217">
        <f>+H923</f>
      </c>
      <c r="AJ923" s="111">
        <f>+V923&amp;W923</f>
      </c>
      <c r="AK923" s="217">
        <f>+_xlfn.IFNA(VLOOKUP(AJ923,$AF$7:$AG$1066,2,0),0)</f>
      </c>
      <c r="AL923" s="217">
        <f>+IF(W923&gt;W922,AK923,AL922+AK923)</f>
      </c>
      <c r="AM923" s="217">
        <f>IF(W923&gt;W922,IF(AL923&gt;=$AZ$8,$AZ$8,AL923),IF(OR(AM922=$AZ$8,AM922=0),0,IF(AL923&gt;=$AZ$8,$AZ$8,AL923)))</f>
      </c>
      <c r="AN923" s="748">
        <f>+IF(OR(AM923&gt;AZ922,AM923=0),0,IF(AM923=AL923,AK923,$AZ$7-AL922))</f>
      </c>
      <c r="AO923" s="748">
        <f>+AK923-AN923</f>
      </c>
      <c r="AP923" s="217">
        <f>+_xlfn.IFNA(VLOOKUP(AJ923,$AF$7:$AI$1066,3,0),0)</f>
      </c>
      <c r="AQ923" s="217">
        <f>+IF(W923&gt;W922,AP923,AQ922+AP923)</f>
      </c>
      <c r="AR923" s="217">
        <f>+MAX($AM$2-SUMIF($W$7:$W$1066,W923,$AN$7:$AN$1066),0)</f>
      </c>
      <c r="AS923" s="748">
        <f>+MAX(IF(AQ923&gt;AR923,AR923-AQ922,AP923),0)</f>
      </c>
      <c r="AT923" s="748">
        <f>+AP923-AS923</f>
      </c>
      <c r="AU923" s="217">
        <f>+_xlfn.IFNA(VLOOKUP(AJ923,$AF$7:$AI$1066,4,0),0)</f>
      </c>
      <c r="AV923" s="217">
        <f>+IF(W923&gt;W922,AU923,AV922+AU923)</f>
      </c>
      <c r="AW923" s="217">
        <f>+MAX($AM$2-SUMIF($W$7:$W$1066,W923,$AN$7:$AN$1066)-SUMIF($W$7:$W$1066,W923,$AS$7:$AS$1066),0)</f>
      </c>
      <c r="AX923" s="748">
        <f>+MAX(IF(AV923&gt;AW923,AW923-AV922,AU923),0)</f>
      </c>
      <c r="AY923" s="748">
        <f>+AU923-AX923</f>
      </c>
      <c r="AZ923" s="331">
        <f>+$AM$1+IF($AP$1&gt;$AP$2,$AM$3/2)</f>
      </c>
    </row>
    <row x14ac:dyDescent="0.25" r="924" customHeight="1" ht="18.75">
      <c r="A924" s="1"/>
      <c r="B924" s="7"/>
      <c r="C924" s="170"/>
      <c r="D924" s="331">
        <v>917</v>
      </c>
      <c r="E924" s="544">
        <f>+DATE(YEAR(E923),MONTH(E923)-1,DAY(E923))</f>
        <v>25569.041666666668</v>
      </c>
      <c r="F924" s="333">
        <f>IF(DATE(YEAR($B$6),MONTH($B$6)+1,DAY(1))=E924,1,IF(MONTH(E924)=1,F925*(1+$F$5),F925))</f>
      </c>
      <c r="G924" s="333">
        <f>IF('Simulador - 1º Pilar'!$E$99="Sí",IF('Aportaciones PPE'!$B$13&lt;'Aportaciones PPE'!E924,0,F924*$B$8/12),F924*$B$8/12)</f>
      </c>
      <c r="H924" s="333">
        <f>$H$5*G924</f>
      </c>
      <c r="I924" s="333">
        <f>$I$5*G924</f>
      </c>
      <c r="J924" s="333">
        <f>+I924</f>
      </c>
      <c r="K924" s="333">
        <f>(1+$O$5)^(D924/12)*(H924+IF(AND(F924=1,F925=0),$S$4,0))</f>
      </c>
      <c r="L924" s="333">
        <f>(1+$O$5)^(D924/12)*(I924+IF(AND(F924=1,F925=0),0))</f>
      </c>
      <c r="M924" s="333">
        <f>+L924</f>
      </c>
      <c r="N924" s="333">
        <f>L924+K924+M924</f>
      </c>
      <c r="O924" s="170"/>
      <c r="P924" s="7"/>
      <c r="Q924" s="1"/>
      <c r="R924" s="331">
        <f>D924</f>
      </c>
      <c r="S924" s="169"/>
      <c r="T924" s="1"/>
      <c r="U924" s="217"/>
      <c r="V924" s="331">
        <f>+IF(V923=11,12,IF(V923=12,1,V923+1))</f>
      </c>
      <c r="W924" s="331">
        <f>+W923+IF(V923=12,1,0)</f>
      </c>
      <c r="X924" s="555">
        <f>+DATE(W924,V924,1)</f>
        <v>25569.041666666668</v>
      </c>
      <c r="Y924" s="333">
        <f>+_xlfn.IFNA(AN924+AS924+AX924,0)</f>
      </c>
      <c r="Z924" s="333">
        <f>+_xlfn.IFNA(AO924+AT924+AY924,0)</f>
      </c>
      <c r="AA924" s="333">
        <f>Y924*(1+$O$5)^(($B$7-X924)/365.25)</f>
      </c>
      <c r="AB924" s="333">
        <f>Z924*(1+$O$5)^(($B$7-X924)/365.25)</f>
      </c>
      <c r="AC924" s="1"/>
      <c r="AD924" s="1"/>
      <c r="AE924" s="1"/>
      <c r="AF924" s="111">
        <f>+MONTH(E924)&amp;YEAR(E924)</f>
      </c>
      <c r="AG924" s="217">
        <f>+I924</f>
      </c>
      <c r="AH924" s="217">
        <f>+J924</f>
      </c>
      <c r="AI924" s="217">
        <f>+H924</f>
      </c>
      <c r="AJ924" s="111">
        <f>+V924&amp;W924</f>
      </c>
      <c r="AK924" s="217">
        <f>+_xlfn.IFNA(VLOOKUP(AJ924,$AF$7:$AG$1066,2,0),0)</f>
      </c>
      <c r="AL924" s="217">
        <f>+IF(W924&gt;W923,AK924,AL923+AK924)</f>
      </c>
      <c r="AM924" s="217">
        <f>IF(W924&gt;W923,IF(AL924&gt;=$AZ$8,$AZ$8,AL924),IF(OR(AM923=$AZ$8,AM923=0),0,IF(AL924&gt;=$AZ$8,$AZ$8,AL924)))</f>
      </c>
      <c r="AN924" s="748">
        <f>+IF(OR(AM924&gt;AZ923,AM924=0),0,IF(AM924=AL924,AK924,$AZ$7-AL923))</f>
      </c>
      <c r="AO924" s="748">
        <f>+AK924-AN924</f>
      </c>
      <c r="AP924" s="217">
        <f>+_xlfn.IFNA(VLOOKUP(AJ924,$AF$7:$AI$1066,3,0),0)</f>
      </c>
      <c r="AQ924" s="217">
        <f>+IF(W924&gt;W923,AP924,AQ923+AP924)</f>
      </c>
      <c r="AR924" s="217">
        <f>+MAX($AM$2-SUMIF($W$7:$W$1066,W924,$AN$7:$AN$1066),0)</f>
      </c>
      <c r="AS924" s="748">
        <f>+MAX(IF(AQ924&gt;AR924,AR924-AQ923,AP924),0)</f>
      </c>
      <c r="AT924" s="748">
        <f>+AP924-AS924</f>
      </c>
      <c r="AU924" s="217">
        <f>+_xlfn.IFNA(VLOOKUP(AJ924,$AF$7:$AI$1066,4,0),0)</f>
      </c>
      <c r="AV924" s="217">
        <f>+IF(W924&gt;W923,AU924,AV923+AU924)</f>
      </c>
      <c r="AW924" s="217">
        <f>+MAX($AM$2-SUMIF($W$7:$W$1066,W924,$AN$7:$AN$1066)-SUMIF($W$7:$W$1066,W924,$AS$7:$AS$1066),0)</f>
      </c>
      <c r="AX924" s="748">
        <f>+MAX(IF(AV924&gt;AW924,AW924-AV923,AU924),0)</f>
      </c>
      <c r="AY924" s="748">
        <f>+AU924-AX924</f>
      </c>
      <c r="AZ924" s="331">
        <f>+$AM$1+IF($AP$1&gt;$AP$2,$AM$3/2)</f>
      </c>
    </row>
    <row x14ac:dyDescent="0.25" r="925" customHeight="1" ht="18.75">
      <c r="A925" s="1"/>
      <c r="B925" s="7"/>
      <c r="C925" s="170"/>
      <c r="D925" s="331">
        <v>918</v>
      </c>
      <c r="E925" s="544">
        <f>+DATE(YEAR(E924),MONTH(E924)-1,DAY(E924))</f>
        <v>25569.041666666668</v>
      </c>
      <c r="F925" s="333">
        <f>IF(DATE(YEAR($B$6),MONTH($B$6)+1,DAY(1))=E925,1,IF(MONTH(E925)=1,F926*(1+$F$5),F926))</f>
      </c>
      <c r="G925" s="333">
        <f>IF('Simulador - 1º Pilar'!$E$99="Sí",IF('Aportaciones PPE'!$B$13&lt;'Aportaciones PPE'!E925,0,F925*$B$8/12),F925*$B$8/12)</f>
      </c>
      <c r="H925" s="333">
        <f>$H$5*G925</f>
      </c>
      <c r="I925" s="333">
        <f>$I$5*G925</f>
      </c>
      <c r="J925" s="333">
        <f>+I925</f>
      </c>
      <c r="K925" s="333">
        <f>(1+$O$5)^(D925/12)*(H925+IF(AND(F925=1,F926=0),$S$4,0))</f>
      </c>
      <c r="L925" s="333">
        <f>(1+$O$5)^(D925/12)*(I925+IF(AND(F925=1,F926=0),0))</f>
      </c>
      <c r="M925" s="333">
        <f>+L925</f>
      </c>
      <c r="N925" s="333">
        <f>L925+K925+M925</f>
      </c>
      <c r="O925" s="170"/>
      <c r="P925" s="7"/>
      <c r="Q925" s="1"/>
      <c r="R925" s="331">
        <f>D925</f>
      </c>
      <c r="S925" s="169"/>
      <c r="T925" s="1"/>
      <c r="U925" s="217"/>
      <c r="V925" s="331">
        <f>+IF(V924=11,12,IF(V924=12,1,V924+1))</f>
      </c>
      <c r="W925" s="331">
        <f>+W924+IF(V924=12,1,0)</f>
      </c>
      <c r="X925" s="555">
        <f>+DATE(W925,V925,1)</f>
        <v>25569.041666666668</v>
      </c>
      <c r="Y925" s="333">
        <f>+_xlfn.IFNA(AN925+AS925+AX925,0)</f>
      </c>
      <c r="Z925" s="333">
        <f>+_xlfn.IFNA(AO925+AT925+AY925,0)</f>
      </c>
      <c r="AA925" s="333">
        <f>Y925*(1+$O$5)^(($B$7-X925)/365.25)</f>
      </c>
      <c r="AB925" s="333">
        <f>Z925*(1+$O$5)^(($B$7-X925)/365.25)</f>
      </c>
      <c r="AC925" s="1"/>
      <c r="AD925" s="1"/>
      <c r="AE925" s="1"/>
      <c r="AF925" s="111">
        <f>+MONTH(E925)&amp;YEAR(E925)</f>
      </c>
      <c r="AG925" s="217">
        <f>+I925</f>
      </c>
      <c r="AH925" s="217">
        <f>+J925</f>
      </c>
      <c r="AI925" s="217">
        <f>+H925</f>
      </c>
      <c r="AJ925" s="111">
        <f>+V925&amp;W925</f>
      </c>
      <c r="AK925" s="217">
        <f>+_xlfn.IFNA(VLOOKUP(AJ925,$AF$7:$AG$1066,2,0),0)</f>
      </c>
      <c r="AL925" s="217">
        <f>+IF(W925&gt;W924,AK925,AL924+AK925)</f>
      </c>
      <c r="AM925" s="217">
        <f>IF(W925&gt;W924,IF(AL925&gt;=$AZ$8,$AZ$8,AL925),IF(OR(AM924=$AZ$8,AM924=0),0,IF(AL925&gt;=$AZ$8,$AZ$8,AL925)))</f>
      </c>
      <c r="AN925" s="748">
        <f>+IF(OR(AM925&gt;AZ924,AM925=0),0,IF(AM925=AL925,AK925,$AZ$7-AL924))</f>
      </c>
      <c r="AO925" s="748">
        <f>+AK925-AN925</f>
      </c>
      <c r="AP925" s="217">
        <f>+_xlfn.IFNA(VLOOKUP(AJ925,$AF$7:$AI$1066,3,0),0)</f>
      </c>
      <c r="AQ925" s="217">
        <f>+IF(W925&gt;W924,AP925,AQ924+AP925)</f>
      </c>
      <c r="AR925" s="217">
        <f>+MAX($AM$2-SUMIF($W$7:$W$1066,W925,$AN$7:$AN$1066),0)</f>
      </c>
      <c r="AS925" s="748">
        <f>+MAX(IF(AQ925&gt;AR925,AR925-AQ924,AP925),0)</f>
      </c>
      <c r="AT925" s="748">
        <f>+AP925-AS925</f>
      </c>
      <c r="AU925" s="217">
        <f>+_xlfn.IFNA(VLOOKUP(AJ925,$AF$7:$AI$1066,4,0),0)</f>
      </c>
      <c r="AV925" s="217">
        <f>+IF(W925&gt;W924,AU925,AV924+AU925)</f>
      </c>
      <c r="AW925" s="217">
        <f>+MAX($AM$2-SUMIF($W$7:$W$1066,W925,$AN$7:$AN$1066)-SUMIF($W$7:$W$1066,W925,$AS$7:$AS$1066),0)</f>
      </c>
      <c r="AX925" s="748">
        <f>+MAX(IF(AV925&gt;AW925,AW925-AV924,AU925),0)</f>
      </c>
      <c r="AY925" s="748">
        <f>+AU925-AX925</f>
      </c>
      <c r="AZ925" s="331">
        <f>+$AM$1+IF($AP$1&gt;$AP$2,$AM$3/2)</f>
      </c>
    </row>
    <row x14ac:dyDescent="0.25" r="926" customHeight="1" ht="18.75">
      <c r="A926" s="1"/>
      <c r="B926" s="7"/>
      <c r="C926" s="170"/>
      <c r="D926" s="331">
        <v>919</v>
      </c>
      <c r="E926" s="544">
        <f>+DATE(YEAR(E925),MONTH(E925)-1,DAY(E925))</f>
        <v>25569.041666666668</v>
      </c>
      <c r="F926" s="333">
        <f>IF(DATE(YEAR($B$6),MONTH($B$6)+1,DAY(1))=E926,1,IF(MONTH(E926)=1,F927*(1+$F$5),F927))</f>
      </c>
      <c r="G926" s="333">
        <f>IF('Simulador - 1º Pilar'!$E$99="Sí",IF('Aportaciones PPE'!$B$13&lt;'Aportaciones PPE'!E926,0,F926*$B$8/12),F926*$B$8/12)</f>
      </c>
      <c r="H926" s="333">
        <f>$H$5*G926</f>
      </c>
      <c r="I926" s="333">
        <f>$I$5*G926</f>
      </c>
      <c r="J926" s="333">
        <f>+I926</f>
      </c>
      <c r="K926" s="333">
        <f>(1+$O$5)^(D926/12)*(H926+IF(AND(F926=1,F927=0),$S$4,0))</f>
      </c>
      <c r="L926" s="333">
        <f>(1+$O$5)^(D926/12)*(I926+IF(AND(F926=1,F927=0),0))</f>
      </c>
      <c r="M926" s="333">
        <f>+L926</f>
      </c>
      <c r="N926" s="333">
        <f>L926+K926+M926</f>
      </c>
      <c r="O926" s="170"/>
      <c r="P926" s="7"/>
      <c r="Q926" s="1"/>
      <c r="R926" s="331">
        <f>D926</f>
      </c>
      <c r="S926" s="169"/>
      <c r="T926" s="1"/>
      <c r="U926" s="217"/>
      <c r="V926" s="331">
        <f>+IF(V925=11,12,IF(V925=12,1,V925+1))</f>
      </c>
      <c r="W926" s="331">
        <f>+W925+IF(V925=12,1,0)</f>
      </c>
      <c r="X926" s="555">
        <f>+DATE(W926,V926,1)</f>
        <v>25569.041666666668</v>
      </c>
      <c r="Y926" s="333">
        <f>+_xlfn.IFNA(AN926+AS926+AX926,0)</f>
      </c>
      <c r="Z926" s="333">
        <f>+_xlfn.IFNA(AO926+AT926+AY926,0)</f>
      </c>
      <c r="AA926" s="333">
        <f>Y926*(1+$O$5)^(($B$7-X926)/365.25)</f>
      </c>
      <c r="AB926" s="333">
        <f>Z926*(1+$O$5)^(($B$7-X926)/365.25)</f>
      </c>
      <c r="AC926" s="1"/>
      <c r="AD926" s="1"/>
      <c r="AE926" s="1"/>
      <c r="AF926" s="111">
        <f>+MONTH(E926)&amp;YEAR(E926)</f>
      </c>
      <c r="AG926" s="217">
        <f>+I926</f>
      </c>
      <c r="AH926" s="217">
        <f>+J926</f>
      </c>
      <c r="AI926" s="217">
        <f>+H926</f>
      </c>
      <c r="AJ926" s="111">
        <f>+V926&amp;W926</f>
      </c>
      <c r="AK926" s="217">
        <f>+_xlfn.IFNA(VLOOKUP(AJ926,$AF$7:$AG$1066,2,0),0)</f>
      </c>
      <c r="AL926" s="217">
        <f>+IF(W926&gt;W925,AK926,AL925+AK926)</f>
      </c>
      <c r="AM926" s="217">
        <f>IF(W926&gt;W925,IF(AL926&gt;=$AZ$8,$AZ$8,AL926),IF(OR(AM925=$AZ$8,AM925=0),0,IF(AL926&gt;=$AZ$8,$AZ$8,AL926)))</f>
      </c>
      <c r="AN926" s="748">
        <f>+IF(OR(AM926&gt;AZ925,AM926=0),0,IF(AM926=AL926,AK926,$AZ$7-AL925))</f>
      </c>
      <c r="AO926" s="748">
        <f>+AK926-AN926</f>
      </c>
      <c r="AP926" s="217">
        <f>+_xlfn.IFNA(VLOOKUP(AJ926,$AF$7:$AI$1066,3,0),0)</f>
      </c>
      <c r="AQ926" s="217">
        <f>+IF(W926&gt;W925,AP926,AQ925+AP926)</f>
      </c>
      <c r="AR926" s="217">
        <f>+MAX($AM$2-SUMIF($W$7:$W$1066,W926,$AN$7:$AN$1066),0)</f>
      </c>
      <c r="AS926" s="748">
        <f>+MAX(IF(AQ926&gt;AR926,AR926-AQ925,AP926),0)</f>
      </c>
      <c r="AT926" s="748">
        <f>+AP926-AS926</f>
      </c>
      <c r="AU926" s="217">
        <f>+_xlfn.IFNA(VLOOKUP(AJ926,$AF$7:$AI$1066,4,0),0)</f>
      </c>
      <c r="AV926" s="217">
        <f>+IF(W926&gt;W925,AU926,AV925+AU926)</f>
      </c>
      <c r="AW926" s="217">
        <f>+MAX($AM$2-SUMIF($W$7:$W$1066,W926,$AN$7:$AN$1066)-SUMIF($W$7:$W$1066,W926,$AS$7:$AS$1066),0)</f>
      </c>
      <c r="AX926" s="748">
        <f>+MAX(IF(AV926&gt;AW926,AW926-AV925,AU926),0)</f>
      </c>
      <c r="AY926" s="748">
        <f>+AU926-AX926</f>
      </c>
      <c r="AZ926" s="331">
        <f>+$AM$1+IF($AP$1&gt;$AP$2,$AM$3/2)</f>
      </c>
    </row>
    <row x14ac:dyDescent="0.25" r="927" customHeight="1" ht="18.75">
      <c r="A927" s="1"/>
      <c r="B927" s="7"/>
      <c r="C927" s="170"/>
      <c r="D927" s="331">
        <v>920</v>
      </c>
      <c r="E927" s="544">
        <f>+DATE(YEAR(E926),MONTH(E926)-1,DAY(E926))</f>
        <v>25569.041666666668</v>
      </c>
      <c r="F927" s="333">
        <f>IF(DATE(YEAR($B$6),MONTH($B$6)+1,DAY(1))=E927,1,IF(MONTH(E927)=1,F928*(1+$F$5),F928))</f>
      </c>
      <c r="G927" s="333">
        <f>IF('Simulador - 1º Pilar'!$E$99="Sí",IF('Aportaciones PPE'!$B$13&lt;'Aportaciones PPE'!E927,0,F927*$B$8/12),F927*$B$8/12)</f>
      </c>
      <c r="H927" s="333">
        <f>$H$5*G927</f>
      </c>
      <c r="I927" s="333">
        <f>$I$5*G927</f>
      </c>
      <c r="J927" s="333">
        <f>+I927</f>
      </c>
      <c r="K927" s="333">
        <f>(1+$O$5)^(D927/12)*(H927+IF(AND(F927=1,F928=0),$S$4,0))</f>
      </c>
      <c r="L927" s="333">
        <f>(1+$O$5)^(D927/12)*(I927+IF(AND(F927=1,F928=0),0))</f>
      </c>
      <c r="M927" s="333">
        <f>+L927</f>
      </c>
      <c r="N927" s="333">
        <f>L927+K927+M927</f>
      </c>
      <c r="O927" s="170"/>
      <c r="P927" s="7"/>
      <c r="Q927" s="1"/>
      <c r="R927" s="331">
        <f>D927</f>
      </c>
      <c r="S927" s="169"/>
      <c r="T927" s="1"/>
      <c r="U927" s="217"/>
      <c r="V927" s="331">
        <f>+IF(V926=11,12,IF(V926=12,1,V926+1))</f>
      </c>
      <c r="W927" s="331">
        <f>+W926+IF(V926=12,1,0)</f>
      </c>
      <c r="X927" s="555">
        <f>+DATE(W927,V927,1)</f>
        <v>25569.041666666668</v>
      </c>
      <c r="Y927" s="333">
        <f>+_xlfn.IFNA(AN927+AS927+AX927,0)</f>
      </c>
      <c r="Z927" s="333">
        <f>+_xlfn.IFNA(AO927+AT927+AY927,0)</f>
      </c>
      <c r="AA927" s="333">
        <f>Y927*(1+$O$5)^(($B$7-X927)/365.25)</f>
      </c>
      <c r="AB927" s="333">
        <f>Z927*(1+$O$5)^(($B$7-X927)/365.25)</f>
      </c>
      <c r="AC927" s="1"/>
      <c r="AD927" s="1"/>
      <c r="AE927" s="1"/>
      <c r="AF927" s="111">
        <f>+MONTH(E927)&amp;YEAR(E927)</f>
      </c>
      <c r="AG927" s="217">
        <f>+I927</f>
      </c>
      <c r="AH927" s="217">
        <f>+J927</f>
      </c>
      <c r="AI927" s="217">
        <f>+H927</f>
      </c>
      <c r="AJ927" s="111">
        <f>+V927&amp;W927</f>
      </c>
      <c r="AK927" s="217">
        <f>+_xlfn.IFNA(VLOOKUP(AJ927,$AF$7:$AG$1066,2,0),0)</f>
      </c>
      <c r="AL927" s="217">
        <f>+IF(W927&gt;W926,AK927,AL926+AK927)</f>
      </c>
      <c r="AM927" s="217">
        <f>IF(W927&gt;W926,IF(AL927&gt;=$AZ$8,$AZ$8,AL927),IF(OR(AM926=$AZ$8,AM926=0),0,IF(AL927&gt;=$AZ$8,$AZ$8,AL927)))</f>
      </c>
      <c r="AN927" s="748">
        <f>+IF(OR(AM927&gt;AZ926,AM927=0),0,IF(AM927=AL927,AK927,$AZ$7-AL926))</f>
      </c>
      <c r="AO927" s="748">
        <f>+AK927-AN927</f>
      </c>
      <c r="AP927" s="217">
        <f>+_xlfn.IFNA(VLOOKUP(AJ927,$AF$7:$AI$1066,3,0),0)</f>
      </c>
      <c r="AQ927" s="217">
        <f>+IF(W927&gt;W926,AP927,AQ926+AP927)</f>
      </c>
      <c r="AR927" s="217">
        <f>+MAX($AM$2-SUMIF($W$7:$W$1066,W927,$AN$7:$AN$1066),0)</f>
      </c>
      <c r="AS927" s="748">
        <f>+MAX(IF(AQ927&gt;AR927,AR927-AQ926,AP927),0)</f>
      </c>
      <c r="AT927" s="748">
        <f>+AP927-AS927</f>
      </c>
      <c r="AU927" s="217">
        <f>+_xlfn.IFNA(VLOOKUP(AJ927,$AF$7:$AI$1066,4,0),0)</f>
      </c>
      <c r="AV927" s="217">
        <f>+IF(W927&gt;W926,AU927,AV926+AU927)</f>
      </c>
      <c r="AW927" s="217">
        <f>+MAX($AM$2-SUMIF($W$7:$W$1066,W927,$AN$7:$AN$1066)-SUMIF($W$7:$W$1066,W927,$AS$7:$AS$1066),0)</f>
      </c>
      <c r="AX927" s="748">
        <f>+MAX(IF(AV927&gt;AW927,AW927-AV926,AU927),0)</f>
      </c>
      <c r="AY927" s="748">
        <f>+AU927-AX927</f>
      </c>
      <c r="AZ927" s="331">
        <f>+$AM$1+IF($AP$1&gt;$AP$2,$AM$3/2)</f>
      </c>
    </row>
    <row x14ac:dyDescent="0.25" r="928" customHeight="1" ht="18.75">
      <c r="A928" s="1"/>
      <c r="B928" s="7"/>
      <c r="C928" s="170"/>
      <c r="D928" s="331">
        <v>921</v>
      </c>
      <c r="E928" s="544">
        <f>+DATE(YEAR(E927),MONTH(E927)-1,DAY(E927))</f>
        <v>25569.041666666668</v>
      </c>
      <c r="F928" s="333">
        <f>IF(DATE(YEAR($B$6),MONTH($B$6)+1,DAY(1))=E928,1,IF(MONTH(E928)=1,F929*(1+$F$5),F929))</f>
      </c>
      <c r="G928" s="333">
        <f>IF('Simulador - 1º Pilar'!$E$99="Sí",IF('Aportaciones PPE'!$B$13&lt;'Aportaciones PPE'!E928,0,F928*$B$8/12),F928*$B$8/12)</f>
      </c>
      <c r="H928" s="333">
        <f>$H$5*G928</f>
      </c>
      <c r="I928" s="333">
        <f>$I$5*G928</f>
      </c>
      <c r="J928" s="333">
        <f>+I928</f>
      </c>
      <c r="K928" s="333">
        <f>(1+$O$5)^(D928/12)*(H928+IF(AND(F928=1,F929=0),$S$4,0))</f>
      </c>
      <c r="L928" s="333">
        <f>(1+$O$5)^(D928/12)*(I928+IF(AND(F928=1,F929=0),0))</f>
      </c>
      <c r="M928" s="333">
        <f>+L928</f>
      </c>
      <c r="N928" s="333">
        <f>L928+K928+M928</f>
      </c>
      <c r="O928" s="170"/>
      <c r="P928" s="7"/>
      <c r="Q928" s="1"/>
      <c r="R928" s="331">
        <f>D928</f>
      </c>
      <c r="S928" s="169"/>
      <c r="T928" s="1"/>
      <c r="U928" s="217"/>
      <c r="V928" s="331">
        <f>+IF(V927=11,12,IF(V927=12,1,V927+1))</f>
      </c>
      <c r="W928" s="331">
        <f>+W927+IF(V927=12,1,0)</f>
      </c>
      <c r="X928" s="555">
        <f>+DATE(W928,V928,1)</f>
        <v>25569.041666666668</v>
      </c>
      <c r="Y928" s="333">
        <f>+_xlfn.IFNA(AN928+AS928+AX928,0)</f>
      </c>
      <c r="Z928" s="333">
        <f>+_xlfn.IFNA(AO928+AT928+AY928,0)</f>
      </c>
      <c r="AA928" s="333">
        <f>Y928*(1+$O$5)^(($B$7-X928)/365.25)</f>
      </c>
      <c r="AB928" s="333">
        <f>Z928*(1+$O$5)^(($B$7-X928)/365.25)</f>
      </c>
      <c r="AC928" s="1"/>
      <c r="AD928" s="1"/>
      <c r="AE928" s="1"/>
      <c r="AF928" s="111">
        <f>+MONTH(E928)&amp;YEAR(E928)</f>
      </c>
      <c r="AG928" s="217">
        <f>+I928</f>
      </c>
      <c r="AH928" s="217">
        <f>+J928</f>
      </c>
      <c r="AI928" s="217">
        <f>+H928</f>
      </c>
      <c r="AJ928" s="111">
        <f>+V928&amp;W928</f>
      </c>
      <c r="AK928" s="217">
        <f>+_xlfn.IFNA(VLOOKUP(AJ928,$AF$7:$AG$1066,2,0),0)</f>
      </c>
      <c r="AL928" s="217">
        <f>+IF(W928&gt;W927,AK928,AL927+AK928)</f>
      </c>
      <c r="AM928" s="217">
        <f>IF(W928&gt;W927,IF(AL928&gt;=$AZ$8,$AZ$8,AL928),IF(OR(AM927=$AZ$8,AM927=0),0,IF(AL928&gt;=$AZ$8,$AZ$8,AL928)))</f>
      </c>
      <c r="AN928" s="748">
        <f>+IF(OR(AM928&gt;AZ927,AM928=0),0,IF(AM928=AL928,AK928,$AZ$7-AL927))</f>
      </c>
      <c r="AO928" s="748">
        <f>+AK928-AN928</f>
      </c>
      <c r="AP928" s="217">
        <f>+_xlfn.IFNA(VLOOKUP(AJ928,$AF$7:$AI$1066,3,0),0)</f>
      </c>
      <c r="AQ928" s="217">
        <f>+IF(W928&gt;W927,AP928,AQ927+AP928)</f>
      </c>
      <c r="AR928" s="217">
        <f>+MAX($AM$2-SUMIF($W$7:$W$1066,W928,$AN$7:$AN$1066),0)</f>
      </c>
      <c r="AS928" s="748">
        <f>+MAX(IF(AQ928&gt;AR928,AR928-AQ927,AP928),0)</f>
      </c>
      <c r="AT928" s="748">
        <f>+AP928-AS928</f>
      </c>
      <c r="AU928" s="217">
        <f>+_xlfn.IFNA(VLOOKUP(AJ928,$AF$7:$AI$1066,4,0),0)</f>
      </c>
      <c r="AV928" s="217">
        <f>+IF(W928&gt;W927,AU928,AV927+AU928)</f>
      </c>
      <c r="AW928" s="217">
        <f>+MAX($AM$2-SUMIF($W$7:$W$1066,W928,$AN$7:$AN$1066)-SUMIF($W$7:$W$1066,W928,$AS$7:$AS$1066),0)</f>
      </c>
      <c r="AX928" s="748">
        <f>+MAX(IF(AV928&gt;AW928,AW928-AV927,AU928),0)</f>
      </c>
      <c r="AY928" s="748">
        <f>+AU928-AX928</f>
      </c>
      <c r="AZ928" s="331">
        <f>+$AM$1+IF($AP$1&gt;$AP$2,$AM$3/2)</f>
      </c>
    </row>
    <row x14ac:dyDescent="0.25" r="929" customHeight="1" ht="18.75">
      <c r="A929" s="1"/>
      <c r="B929" s="7"/>
      <c r="C929" s="170"/>
      <c r="D929" s="331">
        <v>922</v>
      </c>
      <c r="E929" s="544">
        <f>+DATE(YEAR(E928),MONTH(E928)-1,DAY(E928))</f>
        <v>25569.041666666668</v>
      </c>
      <c r="F929" s="333">
        <f>IF(DATE(YEAR($B$6),MONTH($B$6)+1,DAY(1))=E929,1,IF(MONTH(E929)=1,F930*(1+$F$5),F930))</f>
      </c>
      <c r="G929" s="333">
        <f>IF('Simulador - 1º Pilar'!$E$99="Sí",IF('Aportaciones PPE'!$B$13&lt;'Aportaciones PPE'!E929,0,F929*$B$8/12),F929*$B$8/12)</f>
      </c>
      <c r="H929" s="333">
        <f>$H$5*G929</f>
      </c>
      <c r="I929" s="333">
        <f>$I$5*G929</f>
      </c>
      <c r="J929" s="333">
        <f>+I929</f>
      </c>
      <c r="K929" s="333">
        <f>(1+$O$5)^(D929/12)*(H929+IF(AND(F929=1,F930=0),$S$4,0))</f>
      </c>
      <c r="L929" s="333">
        <f>(1+$O$5)^(D929/12)*(I929+IF(AND(F929=1,F930=0),0))</f>
      </c>
      <c r="M929" s="333">
        <f>+L929</f>
      </c>
      <c r="N929" s="333">
        <f>L929+K929+M929</f>
      </c>
      <c r="O929" s="170"/>
      <c r="P929" s="7"/>
      <c r="Q929" s="1"/>
      <c r="R929" s="331">
        <f>D929</f>
      </c>
      <c r="S929" s="169"/>
      <c r="T929" s="1"/>
      <c r="U929" s="217"/>
      <c r="V929" s="331">
        <f>+IF(V928=11,12,IF(V928=12,1,V928+1))</f>
      </c>
      <c r="W929" s="331">
        <f>+W928+IF(V928=12,1,0)</f>
      </c>
      <c r="X929" s="555">
        <f>+DATE(W929,V929,1)</f>
        <v>25569.041666666668</v>
      </c>
      <c r="Y929" s="333">
        <f>+_xlfn.IFNA(AN929+AS929+AX929,0)</f>
      </c>
      <c r="Z929" s="333">
        <f>+_xlfn.IFNA(AO929+AT929+AY929,0)</f>
      </c>
      <c r="AA929" s="333">
        <f>Y929*(1+$O$5)^(($B$7-X929)/365.25)</f>
      </c>
      <c r="AB929" s="333">
        <f>Z929*(1+$O$5)^(($B$7-X929)/365.25)</f>
      </c>
      <c r="AC929" s="1"/>
      <c r="AD929" s="1"/>
      <c r="AE929" s="1"/>
      <c r="AF929" s="111">
        <f>+MONTH(E929)&amp;YEAR(E929)</f>
      </c>
      <c r="AG929" s="217">
        <f>+I929</f>
      </c>
      <c r="AH929" s="217">
        <f>+J929</f>
      </c>
      <c r="AI929" s="217">
        <f>+H929</f>
      </c>
      <c r="AJ929" s="111">
        <f>+V929&amp;W929</f>
      </c>
      <c r="AK929" s="217">
        <f>+_xlfn.IFNA(VLOOKUP(AJ929,$AF$7:$AG$1066,2,0),0)</f>
      </c>
      <c r="AL929" s="217">
        <f>+IF(W929&gt;W928,AK929,AL928+AK929)</f>
      </c>
      <c r="AM929" s="217">
        <f>IF(W929&gt;W928,IF(AL929&gt;=$AZ$8,$AZ$8,AL929),IF(OR(AM928=$AZ$8,AM928=0),0,IF(AL929&gt;=$AZ$8,$AZ$8,AL929)))</f>
      </c>
      <c r="AN929" s="748">
        <f>+IF(OR(AM929&gt;AZ928,AM929=0),0,IF(AM929=AL929,AK929,$AZ$7-AL928))</f>
      </c>
      <c r="AO929" s="748">
        <f>+AK929-AN929</f>
      </c>
      <c r="AP929" s="217">
        <f>+_xlfn.IFNA(VLOOKUP(AJ929,$AF$7:$AI$1066,3,0),0)</f>
      </c>
      <c r="AQ929" s="217">
        <f>+IF(W929&gt;W928,AP929,AQ928+AP929)</f>
      </c>
      <c r="AR929" s="217">
        <f>+MAX($AM$2-SUMIF($W$7:$W$1066,W929,$AN$7:$AN$1066),0)</f>
      </c>
      <c r="AS929" s="748">
        <f>+MAX(IF(AQ929&gt;AR929,AR929-AQ928,AP929),0)</f>
      </c>
      <c r="AT929" s="748">
        <f>+AP929-AS929</f>
      </c>
      <c r="AU929" s="217">
        <f>+_xlfn.IFNA(VLOOKUP(AJ929,$AF$7:$AI$1066,4,0),0)</f>
      </c>
      <c r="AV929" s="217">
        <f>+IF(W929&gt;W928,AU929,AV928+AU929)</f>
      </c>
      <c r="AW929" s="217">
        <f>+MAX($AM$2-SUMIF($W$7:$W$1066,W929,$AN$7:$AN$1066)-SUMIF($W$7:$W$1066,W929,$AS$7:$AS$1066),0)</f>
      </c>
      <c r="AX929" s="748">
        <f>+MAX(IF(AV929&gt;AW929,AW929-AV928,AU929),0)</f>
      </c>
      <c r="AY929" s="748">
        <f>+AU929-AX929</f>
      </c>
      <c r="AZ929" s="331">
        <f>+$AM$1+IF($AP$1&gt;$AP$2,$AM$3/2)</f>
      </c>
    </row>
    <row x14ac:dyDescent="0.25" r="930" customHeight="1" ht="18.75">
      <c r="A930" s="1"/>
      <c r="B930" s="7"/>
      <c r="C930" s="170"/>
      <c r="D930" s="331">
        <v>923</v>
      </c>
      <c r="E930" s="544">
        <f>+DATE(YEAR(E929),MONTH(E929)-1,DAY(E929))</f>
        <v>25569.041666666668</v>
      </c>
      <c r="F930" s="333">
        <f>IF(DATE(YEAR($B$6),MONTH($B$6)+1,DAY(1))=E930,1,IF(MONTH(E930)=1,F931*(1+$F$5),F931))</f>
      </c>
      <c r="G930" s="333">
        <f>IF('Simulador - 1º Pilar'!$E$99="Sí",IF('Aportaciones PPE'!$B$13&lt;'Aportaciones PPE'!E930,0,F930*$B$8/12),F930*$B$8/12)</f>
      </c>
      <c r="H930" s="333">
        <f>$H$5*G930</f>
      </c>
      <c r="I930" s="333">
        <f>$I$5*G930</f>
      </c>
      <c r="J930" s="333">
        <f>+I930</f>
      </c>
      <c r="K930" s="333">
        <f>(1+$O$5)^(D930/12)*(H930+IF(AND(F930=1,F931=0),$S$4,0))</f>
      </c>
      <c r="L930" s="333">
        <f>(1+$O$5)^(D930/12)*(I930+IF(AND(F930=1,F931=0),0))</f>
      </c>
      <c r="M930" s="333">
        <f>+L930</f>
      </c>
      <c r="N930" s="333">
        <f>L930+K930+M930</f>
      </c>
      <c r="O930" s="170"/>
      <c r="P930" s="7"/>
      <c r="Q930" s="1"/>
      <c r="R930" s="331">
        <f>D930</f>
      </c>
      <c r="S930" s="169"/>
      <c r="T930" s="1"/>
      <c r="U930" s="217"/>
      <c r="V930" s="331">
        <f>+IF(V929=11,12,IF(V929=12,1,V929+1))</f>
      </c>
      <c r="W930" s="331">
        <f>+W929+IF(V929=12,1,0)</f>
      </c>
      <c r="X930" s="555">
        <f>+DATE(W930,V930,1)</f>
        <v>25569.041666666668</v>
      </c>
      <c r="Y930" s="333">
        <f>+_xlfn.IFNA(AN930+AS930+AX930,0)</f>
      </c>
      <c r="Z930" s="333">
        <f>+_xlfn.IFNA(AO930+AT930+AY930,0)</f>
      </c>
      <c r="AA930" s="333">
        <f>Y930*(1+$O$5)^(($B$7-X930)/365.25)</f>
      </c>
      <c r="AB930" s="333">
        <f>Z930*(1+$O$5)^(($B$7-X930)/365.25)</f>
      </c>
      <c r="AC930" s="1"/>
      <c r="AD930" s="1"/>
      <c r="AE930" s="1"/>
      <c r="AF930" s="111">
        <f>+MONTH(E930)&amp;YEAR(E930)</f>
      </c>
      <c r="AG930" s="217">
        <f>+I930</f>
      </c>
      <c r="AH930" s="217">
        <f>+J930</f>
      </c>
      <c r="AI930" s="217">
        <f>+H930</f>
      </c>
      <c r="AJ930" s="111">
        <f>+V930&amp;W930</f>
      </c>
      <c r="AK930" s="217">
        <f>+_xlfn.IFNA(VLOOKUP(AJ930,$AF$7:$AG$1066,2,0),0)</f>
      </c>
      <c r="AL930" s="217">
        <f>+IF(W930&gt;W929,AK930,AL929+AK930)</f>
      </c>
      <c r="AM930" s="217">
        <f>IF(W930&gt;W929,IF(AL930&gt;=$AZ$8,$AZ$8,AL930),IF(OR(AM929=$AZ$8,AM929=0),0,IF(AL930&gt;=$AZ$8,$AZ$8,AL930)))</f>
      </c>
      <c r="AN930" s="748">
        <f>+IF(OR(AM930&gt;AZ929,AM930=0),0,IF(AM930=AL930,AK930,$AZ$7-AL929))</f>
      </c>
      <c r="AO930" s="748">
        <f>+AK930-AN930</f>
      </c>
      <c r="AP930" s="217">
        <f>+_xlfn.IFNA(VLOOKUP(AJ930,$AF$7:$AI$1066,3,0),0)</f>
      </c>
      <c r="AQ930" s="217">
        <f>+IF(W930&gt;W929,AP930,AQ929+AP930)</f>
      </c>
      <c r="AR930" s="217">
        <f>+MAX($AM$2-SUMIF($W$7:$W$1066,W930,$AN$7:$AN$1066),0)</f>
      </c>
      <c r="AS930" s="748">
        <f>+MAX(IF(AQ930&gt;AR930,AR930-AQ929,AP930),0)</f>
      </c>
      <c r="AT930" s="748">
        <f>+AP930-AS930</f>
      </c>
      <c r="AU930" s="217">
        <f>+_xlfn.IFNA(VLOOKUP(AJ930,$AF$7:$AI$1066,4,0),0)</f>
      </c>
      <c r="AV930" s="217">
        <f>+IF(W930&gt;W929,AU930,AV929+AU930)</f>
      </c>
      <c r="AW930" s="217">
        <f>+MAX($AM$2-SUMIF($W$7:$W$1066,W930,$AN$7:$AN$1066)-SUMIF($W$7:$W$1066,W930,$AS$7:$AS$1066),0)</f>
      </c>
      <c r="AX930" s="748">
        <f>+MAX(IF(AV930&gt;AW930,AW930-AV929,AU930),0)</f>
      </c>
      <c r="AY930" s="748">
        <f>+AU930-AX930</f>
      </c>
      <c r="AZ930" s="331">
        <f>+$AM$1+IF($AP$1&gt;$AP$2,$AM$3/2)</f>
      </c>
    </row>
    <row x14ac:dyDescent="0.25" r="931" customHeight="1" ht="18.75">
      <c r="A931" s="1"/>
      <c r="B931" s="7"/>
      <c r="C931" s="170"/>
      <c r="D931" s="331">
        <v>924</v>
      </c>
      <c r="E931" s="544">
        <f>+DATE(YEAR(E930),MONTH(E930)-1,DAY(E930))</f>
        <v>25569.041666666668</v>
      </c>
      <c r="F931" s="333">
        <f>IF(DATE(YEAR($B$6),MONTH($B$6)+1,DAY(1))=E931,1,IF(MONTH(E931)=1,F932*(1+$F$5),F932))</f>
      </c>
      <c r="G931" s="333">
        <f>IF('Simulador - 1º Pilar'!$E$99="Sí",IF('Aportaciones PPE'!$B$13&lt;'Aportaciones PPE'!E931,0,F931*$B$8/12),F931*$B$8/12)</f>
      </c>
      <c r="H931" s="333">
        <f>$H$5*G931</f>
      </c>
      <c r="I931" s="333">
        <f>$I$5*G931</f>
      </c>
      <c r="J931" s="333">
        <f>+I931</f>
      </c>
      <c r="K931" s="333">
        <f>(1+$O$5)^(D931/12)*(H931+IF(AND(F931=1,F932=0),$S$4,0))</f>
      </c>
      <c r="L931" s="333">
        <f>(1+$O$5)^(D931/12)*(I931+IF(AND(F931=1,F932=0),0))</f>
      </c>
      <c r="M931" s="333">
        <f>+L931</f>
      </c>
      <c r="N931" s="333">
        <f>L931+K931+M931</f>
      </c>
      <c r="O931" s="170"/>
      <c r="P931" s="7"/>
      <c r="Q931" s="1"/>
      <c r="R931" s="331">
        <f>D931</f>
      </c>
      <c r="S931" s="169"/>
      <c r="T931" s="1"/>
      <c r="U931" s="217"/>
      <c r="V931" s="331">
        <f>+IF(V930=11,12,IF(V930=12,1,V930+1))</f>
      </c>
      <c r="W931" s="331">
        <f>+W930+IF(V930=12,1,0)</f>
      </c>
      <c r="X931" s="555">
        <f>+DATE(W931,V931,1)</f>
        <v>25569.041666666668</v>
      </c>
      <c r="Y931" s="333">
        <f>+_xlfn.IFNA(AN931+AS931+AX931,0)</f>
      </c>
      <c r="Z931" s="333">
        <f>+_xlfn.IFNA(AO931+AT931+AY931,0)</f>
      </c>
      <c r="AA931" s="333">
        <f>Y931*(1+$O$5)^(($B$7-X931)/365.25)</f>
      </c>
      <c r="AB931" s="333">
        <f>Z931*(1+$O$5)^(($B$7-X931)/365.25)</f>
      </c>
      <c r="AC931" s="1"/>
      <c r="AD931" s="1"/>
      <c r="AE931" s="1"/>
      <c r="AF931" s="111">
        <f>+MONTH(E931)&amp;YEAR(E931)</f>
      </c>
      <c r="AG931" s="217">
        <f>+I931</f>
      </c>
      <c r="AH931" s="217">
        <f>+J931</f>
      </c>
      <c r="AI931" s="217">
        <f>+H931</f>
      </c>
      <c r="AJ931" s="111">
        <f>+V931&amp;W931</f>
      </c>
      <c r="AK931" s="217">
        <f>+_xlfn.IFNA(VLOOKUP(AJ931,$AF$7:$AG$1066,2,0),0)</f>
      </c>
      <c r="AL931" s="217">
        <f>+IF(W931&gt;W930,AK931,AL930+AK931)</f>
      </c>
      <c r="AM931" s="217">
        <f>IF(W931&gt;W930,IF(AL931&gt;=$AZ$8,$AZ$8,AL931),IF(OR(AM930=$AZ$8,AM930=0),0,IF(AL931&gt;=$AZ$8,$AZ$8,AL931)))</f>
      </c>
      <c r="AN931" s="748">
        <f>+IF(OR(AM931&gt;AZ930,AM931=0),0,IF(AM931=AL931,AK931,$AZ$7-AL930))</f>
      </c>
      <c r="AO931" s="748">
        <f>+AK931-AN931</f>
      </c>
      <c r="AP931" s="217">
        <f>+_xlfn.IFNA(VLOOKUP(AJ931,$AF$7:$AI$1066,3,0),0)</f>
      </c>
      <c r="AQ931" s="217">
        <f>+IF(W931&gt;W930,AP931,AQ930+AP931)</f>
      </c>
      <c r="AR931" s="217">
        <f>+MAX($AM$2-SUMIF($W$7:$W$1066,W931,$AN$7:$AN$1066),0)</f>
      </c>
      <c r="AS931" s="748">
        <f>+MAX(IF(AQ931&gt;AR931,AR931-AQ930,AP931),0)</f>
      </c>
      <c r="AT931" s="748">
        <f>+AP931-AS931</f>
      </c>
      <c r="AU931" s="217">
        <f>+_xlfn.IFNA(VLOOKUP(AJ931,$AF$7:$AI$1066,4,0),0)</f>
      </c>
      <c r="AV931" s="217">
        <f>+IF(W931&gt;W930,AU931,AV930+AU931)</f>
      </c>
      <c r="AW931" s="217">
        <f>+MAX($AM$2-SUMIF($W$7:$W$1066,W931,$AN$7:$AN$1066)-SUMIF($W$7:$W$1066,W931,$AS$7:$AS$1066),0)</f>
      </c>
      <c r="AX931" s="748">
        <f>+MAX(IF(AV931&gt;AW931,AW931-AV930,AU931),0)</f>
      </c>
      <c r="AY931" s="748">
        <f>+AU931-AX931</f>
      </c>
      <c r="AZ931" s="331">
        <f>+$AM$1+IF($AP$1&gt;$AP$2,$AM$3/2)</f>
      </c>
    </row>
    <row x14ac:dyDescent="0.25" r="932" customHeight="1" ht="18.75">
      <c r="A932" s="1"/>
      <c r="B932" s="7"/>
      <c r="C932" s="170"/>
      <c r="D932" s="331">
        <v>925</v>
      </c>
      <c r="E932" s="544">
        <f>+DATE(YEAR(E931),MONTH(E931)-1,DAY(E931))</f>
        <v>25569.041666666668</v>
      </c>
      <c r="F932" s="333">
        <f>IF(DATE(YEAR($B$6),MONTH($B$6)+1,DAY(1))=E932,1,IF(MONTH(E932)=1,F933*(1+$F$5),F933))</f>
      </c>
      <c r="G932" s="333">
        <f>IF('Simulador - 1º Pilar'!$E$99="Sí",IF('Aportaciones PPE'!$B$13&lt;'Aportaciones PPE'!E932,0,F932*$B$8/12),F932*$B$8/12)</f>
      </c>
      <c r="H932" s="333">
        <f>$H$5*G932</f>
      </c>
      <c r="I932" s="333">
        <f>$I$5*G932</f>
      </c>
      <c r="J932" s="333">
        <f>+I932</f>
      </c>
      <c r="K932" s="333">
        <f>(1+$O$5)^(D932/12)*(H932+IF(AND(F932=1,F933=0),$S$4,0))</f>
      </c>
      <c r="L932" s="333">
        <f>(1+$O$5)^(D932/12)*(I932+IF(AND(F932=1,F933=0),0))</f>
      </c>
      <c r="M932" s="333">
        <f>+L932</f>
      </c>
      <c r="N932" s="333">
        <f>L932+K932+M932</f>
      </c>
      <c r="O932" s="170"/>
      <c r="P932" s="7"/>
      <c r="Q932" s="1"/>
      <c r="R932" s="331">
        <f>D932</f>
      </c>
      <c r="S932" s="169"/>
      <c r="T932" s="1"/>
      <c r="U932" s="217"/>
      <c r="V932" s="331">
        <f>+IF(V931=11,12,IF(V931=12,1,V931+1))</f>
      </c>
      <c r="W932" s="331">
        <f>+W931+IF(V931=12,1,0)</f>
      </c>
      <c r="X932" s="555">
        <f>+DATE(W932,V932,1)</f>
        <v>25569.041666666668</v>
      </c>
      <c r="Y932" s="333">
        <f>+_xlfn.IFNA(AN932+AS932+AX932,0)</f>
      </c>
      <c r="Z932" s="333">
        <f>+_xlfn.IFNA(AO932+AT932+AY932,0)</f>
      </c>
      <c r="AA932" s="333">
        <f>Y932*(1+$O$5)^(($B$7-X932)/365.25)</f>
      </c>
      <c r="AB932" s="333">
        <f>Z932*(1+$O$5)^(($B$7-X932)/365.25)</f>
      </c>
      <c r="AC932" s="1"/>
      <c r="AD932" s="1"/>
      <c r="AE932" s="1"/>
      <c r="AF932" s="111">
        <f>+MONTH(E932)&amp;YEAR(E932)</f>
      </c>
      <c r="AG932" s="217">
        <f>+I932</f>
      </c>
      <c r="AH932" s="217">
        <f>+J932</f>
      </c>
      <c r="AI932" s="217">
        <f>+H932</f>
      </c>
      <c r="AJ932" s="111">
        <f>+V932&amp;W932</f>
      </c>
      <c r="AK932" s="217">
        <f>+_xlfn.IFNA(VLOOKUP(AJ932,$AF$7:$AG$1066,2,0),0)</f>
      </c>
      <c r="AL932" s="217">
        <f>+IF(W932&gt;W931,AK932,AL931+AK932)</f>
      </c>
      <c r="AM932" s="217">
        <f>IF(W932&gt;W931,IF(AL932&gt;=$AZ$8,$AZ$8,AL932),IF(OR(AM931=$AZ$8,AM931=0),0,IF(AL932&gt;=$AZ$8,$AZ$8,AL932)))</f>
      </c>
      <c r="AN932" s="748">
        <f>+IF(OR(AM932&gt;AZ931,AM932=0),0,IF(AM932=AL932,AK932,$AZ$7-AL931))</f>
      </c>
      <c r="AO932" s="748">
        <f>+AK932-AN932</f>
      </c>
      <c r="AP932" s="217">
        <f>+_xlfn.IFNA(VLOOKUP(AJ932,$AF$7:$AI$1066,3,0),0)</f>
      </c>
      <c r="AQ932" s="217">
        <f>+IF(W932&gt;W931,AP932,AQ931+AP932)</f>
      </c>
      <c r="AR932" s="217">
        <f>+MAX($AM$2-SUMIF($W$7:$W$1066,W932,$AN$7:$AN$1066),0)</f>
      </c>
      <c r="AS932" s="748">
        <f>+MAX(IF(AQ932&gt;AR932,AR932-AQ931,AP932),0)</f>
      </c>
      <c r="AT932" s="748">
        <f>+AP932-AS932</f>
      </c>
      <c r="AU932" s="217">
        <f>+_xlfn.IFNA(VLOOKUP(AJ932,$AF$7:$AI$1066,4,0),0)</f>
      </c>
      <c r="AV932" s="217">
        <f>+IF(W932&gt;W931,AU932,AV931+AU932)</f>
      </c>
      <c r="AW932" s="217">
        <f>+MAX($AM$2-SUMIF($W$7:$W$1066,W932,$AN$7:$AN$1066)-SUMIF($W$7:$W$1066,W932,$AS$7:$AS$1066),0)</f>
      </c>
      <c r="AX932" s="748">
        <f>+MAX(IF(AV932&gt;AW932,AW932-AV931,AU932),0)</f>
      </c>
      <c r="AY932" s="748">
        <f>+AU932-AX932</f>
      </c>
      <c r="AZ932" s="331">
        <f>+$AM$1+IF($AP$1&gt;$AP$2,$AM$3/2)</f>
      </c>
    </row>
    <row x14ac:dyDescent="0.25" r="933" customHeight="1" ht="18.75">
      <c r="A933" s="1"/>
      <c r="B933" s="7"/>
      <c r="C933" s="170"/>
      <c r="D933" s="331">
        <v>926</v>
      </c>
      <c r="E933" s="544">
        <f>+DATE(YEAR(E932),MONTH(E932)-1,DAY(E932))</f>
        <v>25569.041666666668</v>
      </c>
      <c r="F933" s="333">
        <f>IF(DATE(YEAR($B$6),MONTH($B$6)+1,DAY(1))=E933,1,IF(MONTH(E933)=1,F934*(1+$F$5),F934))</f>
      </c>
      <c r="G933" s="333">
        <f>IF('Simulador - 1º Pilar'!$E$99="Sí",IF('Aportaciones PPE'!$B$13&lt;'Aportaciones PPE'!E933,0,F933*$B$8/12),F933*$B$8/12)</f>
      </c>
      <c r="H933" s="333">
        <f>$H$5*G933</f>
      </c>
      <c r="I933" s="333">
        <f>$I$5*G933</f>
      </c>
      <c r="J933" s="333">
        <f>+I933</f>
      </c>
      <c r="K933" s="333">
        <f>(1+$O$5)^(D933/12)*(H933+IF(AND(F933=1,F934=0),$S$4,0))</f>
      </c>
      <c r="L933" s="333">
        <f>(1+$O$5)^(D933/12)*(I933+IF(AND(F933=1,F934=0),0))</f>
      </c>
      <c r="M933" s="333">
        <f>+L933</f>
      </c>
      <c r="N933" s="333">
        <f>L933+K933+M933</f>
      </c>
      <c r="O933" s="170"/>
      <c r="P933" s="7"/>
      <c r="Q933" s="1"/>
      <c r="R933" s="331">
        <f>D933</f>
      </c>
      <c r="S933" s="169"/>
      <c r="T933" s="1"/>
      <c r="U933" s="217"/>
      <c r="V933" s="331">
        <f>+IF(V932=11,12,IF(V932=12,1,V932+1))</f>
      </c>
      <c r="W933" s="331">
        <f>+W932+IF(V932=12,1,0)</f>
      </c>
      <c r="X933" s="555">
        <f>+DATE(W933,V933,1)</f>
        <v>25569.041666666668</v>
      </c>
      <c r="Y933" s="333">
        <f>+_xlfn.IFNA(AN933+AS933+AX933,0)</f>
      </c>
      <c r="Z933" s="333">
        <f>+_xlfn.IFNA(AO933+AT933+AY933,0)</f>
      </c>
      <c r="AA933" s="333">
        <f>Y933*(1+$O$5)^(($B$7-X933)/365.25)</f>
      </c>
      <c r="AB933" s="333">
        <f>Z933*(1+$O$5)^(($B$7-X933)/365.25)</f>
      </c>
      <c r="AC933" s="1"/>
      <c r="AD933" s="1"/>
      <c r="AE933" s="1"/>
      <c r="AF933" s="111">
        <f>+MONTH(E933)&amp;YEAR(E933)</f>
      </c>
      <c r="AG933" s="217">
        <f>+I933</f>
      </c>
      <c r="AH933" s="217">
        <f>+J933</f>
      </c>
      <c r="AI933" s="217">
        <f>+H933</f>
      </c>
      <c r="AJ933" s="111">
        <f>+V933&amp;W933</f>
      </c>
      <c r="AK933" s="217">
        <f>+_xlfn.IFNA(VLOOKUP(AJ933,$AF$7:$AG$1066,2,0),0)</f>
      </c>
      <c r="AL933" s="217">
        <f>+IF(W933&gt;W932,AK933,AL932+AK933)</f>
      </c>
      <c r="AM933" s="217">
        <f>IF(W933&gt;W932,IF(AL933&gt;=$AZ$8,$AZ$8,AL933),IF(OR(AM932=$AZ$8,AM932=0),0,IF(AL933&gt;=$AZ$8,$AZ$8,AL933)))</f>
      </c>
      <c r="AN933" s="748">
        <f>+IF(OR(AM933&gt;AZ932,AM933=0),0,IF(AM933=AL933,AK933,$AZ$7-AL932))</f>
      </c>
      <c r="AO933" s="748">
        <f>+AK933-AN933</f>
      </c>
      <c r="AP933" s="217">
        <f>+_xlfn.IFNA(VLOOKUP(AJ933,$AF$7:$AI$1066,3,0),0)</f>
      </c>
      <c r="AQ933" s="217">
        <f>+IF(W933&gt;W932,AP933,AQ932+AP933)</f>
      </c>
      <c r="AR933" s="217">
        <f>+MAX($AM$2-SUMIF($W$7:$W$1066,W933,$AN$7:$AN$1066),0)</f>
      </c>
      <c r="AS933" s="748">
        <f>+MAX(IF(AQ933&gt;AR933,AR933-AQ932,AP933),0)</f>
      </c>
      <c r="AT933" s="748">
        <f>+AP933-AS933</f>
      </c>
      <c r="AU933" s="217">
        <f>+_xlfn.IFNA(VLOOKUP(AJ933,$AF$7:$AI$1066,4,0),0)</f>
      </c>
      <c r="AV933" s="217">
        <f>+IF(W933&gt;W932,AU933,AV932+AU933)</f>
      </c>
      <c r="AW933" s="217">
        <f>+MAX($AM$2-SUMIF($W$7:$W$1066,W933,$AN$7:$AN$1066)-SUMIF($W$7:$W$1066,W933,$AS$7:$AS$1066),0)</f>
      </c>
      <c r="AX933" s="748">
        <f>+MAX(IF(AV933&gt;AW933,AW933-AV932,AU933),0)</f>
      </c>
      <c r="AY933" s="748">
        <f>+AU933-AX933</f>
      </c>
      <c r="AZ933" s="331">
        <f>+$AM$1+IF($AP$1&gt;$AP$2,$AM$3/2)</f>
      </c>
    </row>
    <row x14ac:dyDescent="0.25" r="934" customHeight="1" ht="18.75">
      <c r="A934" s="1"/>
      <c r="B934" s="7"/>
      <c r="C934" s="170"/>
      <c r="D934" s="331">
        <v>927</v>
      </c>
      <c r="E934" s="544">
        <f>+DATE(YEAR(E933),MONTH(E933)-1,DAY(E933))</f>
        <v>25569.041666666668</v>
      </c>
      <c r="F934" s="333">
        <f>IF(DATE(YEAR($B$6),MONTH($B$6)+1,DAY(1))=E934,1,IF(MONTH(E934)=1,F935*(1+$F$5),F935))</f>
      </c>
      <c r="G934" s="333">
        <f>IF('Simulador - 1º Pilar'!$E$99="Sí",IF('Aportaciones PPE'!$B$13&lt;'Aportaciones PPE'!E934,0,F934*$B$8/12),F934*$B$8/12)</f>
      </c>
      <c r="H934" s="333">
        <f>$H$5*G934</f>
      </c>
      <c r="I934" s="333">
        <f>$I$5*G934</f>
      </c>
      <c r="J934" s="333">
        <f>+I934</f>
      </c>
      <c r="K934" s="333">
        <f>(1+$O$5)^(D934/12)*(H934+IF(AND(F934=1,F935=0),$S$4,0))</f>
      </c>
      <c r="L934" s="333">
        <f>(1+$O$5)^(D934/12)*(I934+IF(AND(F934=1,F935=0),0))</f>
      </c>
      <c r="M934" s="333">
        <f>+L934</f>
      </c>
      <c r="N934" s="333">
        <f>L934+K934+M934</f>
      </c>
      <c r="O934" s="170"/>
      <c r="P934" s="7"/>
      <c r="Q934" s="1"/>
      <c r="R934" s="331">
        <f>D934</f>
      </c>
      <c r="S934" s="169"/>
      <c r="T934" s="1"/>
      <c r="U934" s="217"/>
      <c r="V934" s="331">
        <f>+IF(V933=11,12,IF(V933=12,1,V933+1))</f>
      </c>
      <c r="W934" s="331">
        <f>+W933+IF(V933=12,1,0)</f>
      </c>
      <c r="X934" s="555">
        <f>+DATE(W934,V934,1)</f>
        <v>25569.041666666668</v>
      </c>
      <c r="Y934" s="333">
        <f>+_xlfn.IFNA(AN934+AS934+AX934,0)</f>
      </c>
      <c r="Z934" s="333">
        <f>+_xlfn.IFNA(AO934+AT934+AY934,0)</f>
      </c>
      <c r="AA934" s="333">
        <f>Y934*(1+$O$5)^(($B$7-X934)/365.25)</f>
      </c>
      <c r="AB934" s="333">
        <f>Z934*(1+$O$5)^(($B$7-X934)/365.25)</f>
      </c>
      <c r="AC934" s="1"/>
      <c r="AD934" s="1"/>
      <c r="AE934" s="1"/>
      <c r="AF934" s="111">
        <f>+MONTH(E934)&amp;YEAR(E934)</f>
      </c>
      <c r="AG934" s="217">
        <f>+I934</f>
      </c>
      <c r="AH934" s="217">
        <f>+J934</f>
      </c>
      <c r="AI934" s="217">
        <f>+H934</f>
      </c>
      <c r="AJ934" s="111">
        <f>+V934&amp;W934</f>
      </c>
      <c r="AK934" s="217">
        <f>+_xlfn.IFNA(VLOOKUP(AJ934,$AF$7:$AG$1066,2,0),0)</f>
      </c>
      <c r="AL934" s="217">
        <f>+IF(W934&gt;W933,AK934,AL933+AK934)</f>
      </c>
      <c r="AM934" s="217">
        <f>IF(W934&gt;W933,IF(AL934&gt;=$AZ$8,$AZ$8,AL934),IF(OR(AM933=$AZ$8,AM933=0),0,IF(AL934&gt;=$AZ$8,$AZ$8,AL934)))</f>
      </c>
      <c r="AN934" s="748">
        <f>+IF(OR(AM934&gt;AZ933,AM934=0),0,IF(AM934=AL934,AK934,$AZ$7-AL933))</f>
      </c>
      <c r="AO934" s="748">
        <f>+AK934-AN934</f>
      </c>
      <c r="AP934" s="217">
        <f>+_xlfn.IFNA(VLOOKUP(AJ934,$AF$7:$AI$1066,3,0),0)</f>
      </c>
      <c r="AQ934" s="217">
        <f>+IF(W934&gt;W933,AP934,AQ933+AP934)</f>
      </c>
      <c r="AR934" s="217">
        <f>+MAX($AM$2-SUMIF($W$7:$W$1066,W934,$AN$7:$AN$1066),0)</f>
      </c>
      <c r="AS934" s="748">
        <f>+MAX(IF(AQ934&gt;AR934,AR934-AQ933,AP934),0)</f>
      </c>
      <c r="AT934" s="748">
        <f>+AP934-AS934</f>
      </c>
      <c r="AU934" s="217">
        <f>+_xlfn.IFNA(VLOOKUP(AJ934,$AF$7:$AI$1066,4,0),0)</f>
      </c>
      <c r="AV934" s="217">
        <f>+IF(W934&gt;W933,AU934,AV933+AU934)</f>
      </c>
      <c r="AW934" s="217">
        <f>+MAX($AM$2-SUMIF($W$7:$W$1066,W934,$AN$7:$AN$1066)-SUMIF($W$7:$W$1066,W934,$AS$7:$AS$1066),0)</f>
      </c>
      <c r="AX934" s="748">
        <f>+MAX(IF(AV934&gt;AW934,AW934-AV933,AU934),0)</f>
      </c>
      <c r="AY934" s="748">
        <f>+AU934-AX934</f>
      </c>
      <c r="AZ934" s="331">
        <f>+$AM$1+IF($AP$1&gt;$AP$2,$AM$3/2)</f>
      </c>
    </row>
    <row x14ac:dyDescent="0.25" r="935" customHeight="1" ht="18.75">
      <c r="A935" s="1"/>
      <c r="B935" s="7"/>
      <c r="C935" s="170"/>
      <c r="D935" s="331">
        <v>928</v>
      </c>
      <c r="E935" s="544">
        <f>+DATE(YEAR(E934),MONTH(E934)-1,DAY(E934))</f>
        <v>25569.041666666668</v>
      </c>
      <c r="F935" s="333">
        <f>IF(DATE(YEAR($B$6),MONTH($B$6)+1,DAY(1))=E935,1,IF(MONTH(E935)=1,F936*(1+$F$5),F936))</f>
      </c>
      <c r="G935" s="333">
        <f>IF('Simulador - 1º Pilar'!$E$99="Sí",IF('Aportaciones PPE'!$B$13&lt;'Aportaciones PPE'!E935,0,F935*$B$8/12),F935*$B$8/12)</f>
      </c>
      <c r="H935" s="333">
        <f>$H$5*G935</f>
      </c>
      <c r="I935" s="333">
        <f>$I$5*G935</f>
      </c>
      <c r="J935" s="333">
        <f>+I935</f>
      </c>
      <c r="K935" s="333">
        <f>(1+$O$5)^(D935/12)*(H935+IF(AND(F935=1,F936=0),$S$4,0))</f>
      </c>
      <c r="L935" s="333">
        <f>(1+$O$5)^(D935/12)*(I935+IF(AND(F935=1,F936=0),0))</f>
      </c>
      <c r="M935" s="333">
        <f>+L935</f>
      </c>
      <c r="N935" s="333">
        <f>L935+K935+M935</f>
      </c>
      <c r="O935" s="170"/>
      <c r="P935" s="7"/>
      <c r="Q935" s="1"/>
      <c r="R935" s="331">
        <f>D935</f>
      </c>
      <c r="S935" s="169"/>
      <c r="T935" s="1"/>
      <c r="U935" s="217"/>
      <c r="V935" s="331">
        <f>+IF(V934=11,12,IF(V934=12,1,V934+1))</f>
      </c>
      <c r="W935" s="331">
        <f>+W934+IF(V934=12,1,0)</f>
      </c>
      <c r="X935" s="555">
        <f>+DATE(W935,V935,1)</f>
        <v>25569.041666666668</v>
      </c>
      <c r="Y935" s="333">
        <f>+_xlfn.IFNA(AN935+AS935+AX935,0)</f>
      </c>
      <c r="Z935" s="333">
        <f>+_xlfn.IFNA(AO935+AT935+AY935,0)</f>
      </c>
      <c r="AA935" s="333">
        <f>Y935*(1+$O$5)^(($B$7-X935)/365.25)</f>
      </c>
      <c r="AB935" s="333">
        <f>Z935*(1+$O$5)^(($B$7-X935)/365.25)</f>
      </c>
      <c r="AC935" s="1"/>
      <c r="AD935" s="1"/>
      <c r="AE935" s="1"/>
      <c r="AF935" s="111">
        <f>+MONTH(E935)&amp;YEAR(E935)</f>
      </c>
      <c r="AG935" s="217">
        <f>+I935</f>
      </c>
      <c r="AH935" s="217">
        <f>+J935</f>
      </c>
      <c r="AI935" s="217">
        <f>+H935</f>
      </c>
      <c r="AJ935" s="111">
        <f>+V935&amp;W935</f>
      </c>
      <c r="AK935" s="217">
        <f>+_xlfn.IFNA(VLOOKUP(AJ935,$AF$7:$AG$1066,2,0),0)</f>
      </c>
      <c r="AL935" s="217">
        <f>+IF(W935&gt;W934,AK935,AL934+AK935)</f>
      </c>
      <c r="AM935" s="217">
        <f>IF(W935&gt;W934,IF(AL935&gt;=$AZ$8,$AZ$8,AL935),IF(OR(AM934=$AZ$8,AM934=0),0,IF(AL935&gt;=$AZ$8,$AZ$8,AL935)))</f>
      </c>
      <c r="AN935" s="748">
        <f>+IF(OR(AM935&gt;AZ934,AM935=0),0,IF(AM935=AL935,AK935,$AZ$7-AL934))</f>
      </c>
      <c r="AO935" s="748">
        <f>+AK935-AN935</f>
      </c>
      <c r="AP935" s="217">
        <f>+_xlfn.IFNA(VLOOKUP(AJ935,$AF$7:$AI$1066,3,0),0)</f>
      </c>
      <c r="AQ935" s="217">
        <f>+IF(W935&gt;W934,AP935,AQ934+AP935)</f>
      </c>
      <c r="AR935" s="217">
        <f>+MAX($AM$2-SUMIF($W$7:$W$1066,W935,$AN$7:$AN$1066),0)</f>
      </c>
      <c r="AS935" s="748">
        <f>+MAX(IF(AQ935&gt;AR935,AR935-AQ934,AP935),0)</f>
      </c>
      <c r="AT935" s="748">
        <f>+AP935-AS935</f>
      </c>
      <c r="AU935" s="217">
        <f>+_xlfn.IFNA(VLOOKUP(AJ935,$AF$7:$AI$1066,4,0),0)</f>
      </c>
      <c r="AV935" s="217">
        <f>+IF(W935&gt;W934,AU935,AV934+AU935)</f>
      </c>
      <c r="AW935" s="217">
        <f>+MAX($AM$2-SUMIF($W$7:$W$1066,W935,$AN$7:$AN$1066)-SUMIF($W$7:$W$1066,W935,$AS$7:$AS$1066),0)</f>
      </c>
      <c r="AX935" s="748">
        <f>+MAX(IF(AV935&gt;AW935,AW935-AV934,AU935),0)</f>
      </c>
      <c r="AY935" s="748">
        <f>+AU935-AX935</f>
      </c>
      <c r="AZ935" s="331">
        <f>+$AM$1+IF($AP$1&gt;$AP$2,$AM$3/2)</f>
      </c>
    </row>
    <row x14ac:dyDescent="0.25" r="936" customHeight="1" ht="18.75">
      <c r="A936" s="1"/>
      <c r="B936" s="7"/>
      <c r="C936" s="170"/>
      <c r="D936" s="331">
        <v>929</v>
      </c>
      <c r="E936" s="544">
        <f>+DATE(YEAR(E935),MONTH(E935)-1,DAY(E935))</f>
        <v>25569.041666666668</v>
      </c>
      <c r="F936" s="333">
        <f>IF(DATE(YEAR($B$6),MONTH($B$6)+1,DAY(1))=E936,1,IF(MONTH(E936)=1,F937*(1+$F$5),F937))</f>
      </c>
      <c r="G936" s="333">
        <f>IF('Simulador - 1º Pilar'!$E$99="Sí",IF('Aportaciones PPE'!$B$13&lt;'Aportaciones PPE'!E936,0,F936*$B$8/12),F936*$B$8/12)</f>
      </c>
      <c r="H936" s="333">
        <f>$H$5*G936</f>
      </c>
      <c r="I936" s="333">
        <f>$I$5*G936</f>
      </c>
      <c r="J936" s="333">
        <f>+I936</f>
      </c>
      <c r="K936" s="333">
        <f>(1+$O$5)^(D936/12)*(H936+IF(AND(F936=1,F937=0),$S$4,0))</f>
      </c>
      <c r="L936" s="333">
        <f>(1+$O$5)^(D936/12)*(I936+IF(AND(F936=1,F937=0),0))</f>
      </c>
      <c r="M936" s="333">
        <f>+L936</f>
      </c>
      <c r="N936" s="333">
        <f>L936+K936+M936</f>
      </c>
      <c r="O936" s="170"/>
      <c r="P936" s="7"/>
      <c r="Q936" s="1"/>
      <c r="R936" s="331">
        <f>D936</f>
      </c>
      <c r="S936" s="169"/>
      <c r="T936" s="1"/>
      <c r="U936" s="217"/>
      <c r="V936" s="331">
        <f>+IF(V935=11,12,IF(V935=12,1,V935+1))</f>
      </c>
      <c r="W936" s="331">
        <f>+W935+IF(V935=12,1,0)</f>
      </c>
      <c r="X936" s="555">
        <f>+DATE(W936,V936,1)</f>
        <v>25569.041666666668</v>
      </c>
      <c r="Y936" s="333">
        <f>+_xlfn.IFNA(AN936+AS936+AX936,0)</f>
      </c>
      <c r="Z936" s="333">
        <f>+_xlfn.IFNA(AO936+AT936+AY936,0)</f>
      </c>
      <c r="AA936" s="333">
        <f>Y936*(1+$O$5)^(($B$7-X936)/365.25)</f>
      </c>
      <c r="AB936" s="333">
        <f>Z936*(1+$O$5)^(($B$7-X936)/365.25)</f>
      </c>
      <c r="AC936" s="1"/>
      <c r="AD936" s="1"/>
      <c r="AE936" s="1"/>
      <c r="AF936" s="111">
        <f>+MONTH(E936)&amp;YEAR(E936)</f>
      </c>
      <c r="AG936" s="217">
        <f>+I936</f>
      </c>
      <c r="AH936" s="217">
        <f>+J936</f>
      </c>
      <c r="AI936" s="217">
        <f>+H936</f>
      </c>
      <c r="AJ936" s="111">
        <f>+V936&amp;W936</f>
      </c>
      <c r="AK936" s="217">
        <f>+_xlfn.IFNA(VLOOKUP(AJ936,$AF$7:$AG$1066,2,0),0)</f>
      </c>
      <c r="AL936" s="217">
        <f>+IF(W936&gt;W935,AK936,AL935+AK936)</f>
      </c>
      <c r="AM936" s="217">
        <f>IF(W936&gt;W935,IF(AL936&gt;=$AZ$8,$AZ$8,AL936),IF(OR(AM935=$AZ$8,AM935=0),0,IF(AL936&gt;=$AZ$8,$AZ$8,AL936)))</f>
      </c>
      <c r="AN936" s="748">
        <f>+IF(OR(AM936&gt;AZ935,AM936=0),0,IF(AM936=AL936,AK936,$AZ$7-AL935))</f>
      </c>
      <c r="AO936" s="748">
        <f>+AK936-AN936</f>
      </c>
      <c r="AP936" s="217">
        <f>+_xlfn.IFNA(VLOOKUP(AJ936,$AF$7:$AI$1066,3,0),0)</f>
      </c>
      <c r="AQ936" s="217">
        <f>+IF(W936&gt;W935,AP936,AQ935+AP936)</f>
      </c>
      <c r="AR936" s="217">
        <f>+MAX($AM$2-SUMIF($W$7:$W$1066,W936,$AN$7:$AN$1066),0)</f>
      </c>
      <c r="AS936" s="748">
        <f>+MAX(IF(AQ936&gt;AR936,AR936-AQ935,AP936),0)</f>
      </c>
      <c r="AT936" s="748">
        <f>+AP936-AS936</f>
      </c>
      <c r="AU936" s="217">
        <f>+_xlfn.IFNA(VLOOKUP(AJ936,$AF$7:$AI$1066,4,0),0)</f>
      </c>
      <c r="AV936" s="217">
        <f>+IF(W936&gt;W935,AU936,AV935+AU936)</f>
      </c>
      <c r="AW936" s="217">
        <f>+MAX($AM$2-SUMIF($W$7:$W$1066,W936,$AN$7:$AN$1066)-SUMIF($W$7:$W$1066,W936,$AS$7:$AS$1066),0)</f>
      </c>
      <c r="AX936" s="748">
        <f>+MAX(IF(AV936&gt;AW936,AW936-AV935,AU936),0)</f>
      </c>
      <c r="AY936" s="748">
        <f>+AU936-AX936</f>
      </c>
      <c r="AZ936" s="331">
        <f>+$AM$1+IF($AP$1&gt;$AP$2,$AM$3/2)</f>
      </c>
    </row>
    <row x14ac:dyDescent="0.25" r="937" customHeight="1" ht="18.75">
      <c r="A937" s="1"/>
      <c r="B937" s="7"/>
      <c r="C937" s="170"/>
      <c r="D937" s="331">
        <v>930</v>
      </c>
      <c r="E937" s="544">
        <f>+DATE(YEAR(E936),MONTH(E936)-1,DAY(E936))</f>
        <v>25569.041666666668</v>
      </c>
      <c r="F937" s="333">
        <f>IF(DATE(YEAR($B$6),MONTH($B$6)+1,DAY(1))=E937,1,IF(MONTH(E937)=1,F938*(1+$F$5),F938))</f>
      </c>
      <c r="G937" s="333">
        <f>IF('Simulador - 1º Pilar'!$E$99="Sí",IF('Aportaciones PPE'!$B$13&lt;'Aportaciones PPE'!E937,0,F937*$B$8/12),F937*$B$8/12)</f>
      </c>
      <c r="H937" s="333">
        <f>$H$5*G937</f>
      </c>
      <c r="I937" s="333">
        <f>$I$5*G937</f>
      </c>
      <c r="J937" s="333">
        <f>+I937</f>
      </c>
      <c r="K937" s="333">
        <f>(1+$O$5)^(D937/12)*(H937+IF(AND(F937=1,F938=0),$S$4,0))</f>
      </c>
      <c r="L937" s="333">
        <f>(1+$O$5)^(D937/12)*(I937+IF(AND(F937=1,F938=0),0))</f>
      </c>
      <c r="M937" s="333">
        <f>+L937</f>
      </c>
      <c r="N937" s="333">
        <f>L937+K937+M937</f>
      </c>
      <c r="O937" s="170"/>
      <c r="P937" s="7"/>
      <c r="Q937" s="1"/>
      <c r="R937" s="331">
        <f>D937</f>
      </c>
      <c r="S937" s="169"/>
      <c r="T937" s="1"/>
      <c r="U937" s="217"/>
      <c r="V937" s="331">
        <f>+IF(V936=11,12,IF(V936=12,1,V936+1))</f>
      </c>
      <c r="W937" s="331">
        <f>+W936+IF(V936=12,1,0)</f>
      </c>
      <c r="X937" s="555">
        <f>+DATE(W937,V937,1)</f>
        <v>25569.041666666668</v>
      </c>
      <c r="Y937" s="333">
        <f>+_xlfn.IFNA(AN937+AS937+AX937,0)</f>
      </c>
      <c r="Z937" s="333">
        <f>+_xlfn.IFNA(AO937+AT937+AY937,0)</f>
      </c>
      <c r="AA937" s="333">
        <f>Y937*(1+$O$5)^(($B$7-X937)/365.25)</f>
      </c>
      <c r="AB937" s="333">
        <f>Z937*(1+$O$5)^(($B$7-X937)/365.25)</f>
      </c>
      <c r="AC937" s="1"/>
      <c r="AD937" s="1"/>
      <c r="AE937" s="1"/>
      <c r="AF937" s="111">
        <f>+MONTH(E937)&amp;YEAR(E937)</f>
      </c>
      <c r="AG937" s="217">
        <f>+I937</f>
      </c>
      <c r="AH937" s="217">
        <f>+J937</f>
      </c>
      <c r="AI937" s="217">
        <f>+H937</f>
      </c>
      <c r="AJ937" s="111">
        <f>+V937&amp;W937</f>
      </c>
      <c r="AK937" s="217">
        <f>+_xlfn.IFNA(VLOOKUP(AJ937,$AF$7:$AG$1066,2,0),0)</f>
      </c>
      <c r="AL937" s="217">
        <f>+IF(W937&gt;W936,AK937,AL936+AK937)</f>
      </c>
      <c r="AM937" s="217">
        <f>IF(W937&gt;W936,IF(AL937&gt;=$AZ$8,$AZ$8,AL937),IF(OR(AM936=$AZ$8,AM936=0),0,IF(AL937&gt;=$AZ$8,$AZ$8,AL937)))</f>
      </c>
      <c r="AN937" s="748">
        <f>+IF(OR(AM937&gt;AZ936,AM937=0),0,IF(AM937=AL937,AK937,$AZ$7-AL936))</f>
      </c>
      <c r="AO937" s="748">
        <f>+AK937-AN937</f>
      </c>
      <c r="AP937" s="217">
        <f>+_xlfn.IFNA(VLOOKUP(AJ937,$AF$7:$AI$1066,3,0),0)</f>
      </c>
      <c r="AQ937" s="217">
        <f>+IF(W937&gt;W936,AP937,AQ936+AP937)</f>
      </c>
      <c r="AR937" s="217">
        <f>+MAX($AM$2-SUMIF($W$7:$W$1066,W937,$AN$7:$AN$1066),0)</f>
      </c>
      <c r="AS937" s="748">
        <f>+MAX(IF(AQ937&gt;AR937,AR937-AQ936,AP937),0)</f>
      </c>
      <c r="AT937" s="748">
        <f>+AP937-AS937</f>
      </c>
      <c r="AU937" s="217">
        <f>+_xlfn.IFNA(VLOOKUP(AJ937,$AF$7:$AI$1066,4,0),0)</f>
      </c>
      <c r="AV937" s="217">
        <f>+IF(W937&gt;W936,AU937,AV936+AU937)</f>
      </c>
      <c r="AW937" s="217">
        <f>+MAX($AM$2-SUMIF($W$7:$W$1066,W937,$AN$7:$AN$1066)-SUMIF($W$7:$W$1066,W937,$AS$7:$AS$1066),0)</f>
      </c>
      <c r="AX937" s="748">
        <f>+MAX(IF(AV937&gt;AW937,AW937-AV936,AU937),0)</f>
      </c>
      <c r="AY937" s="748">
        <f>+AU937-AX937</f>
      </c>
      <c r="AZ937" s="331">
        <f>+$AM$1+IF($AP$1&gt;$AP$2,$AM$3/2)</f>
      </c>
    </row>
    <row x14ac:dyDescent="0.25" r="938" customHeight="1" ht="18.75">
      <c r="A938" s="1"/>
      <c r="B938" s="7"/>
      <c r="C938" s="170"/>
      <c r="D938" s="331">
        <v>931</v>
      </c>
      <c r="E938" s="544">
        <f>+DATE(YEAR(E937),MONTH(E937)-1,DAY(E937))</f>
        <v>25569.041666666668</v>
      </c>
      <c r="F938" s="333">
        <f>IF(DATE(YEAR($B$6),MONTH($B$6)+1,DAY(1))=E938,1,IF(MONTH(E938)=1,F939*(1+$F$5),F939))</f>
      </c>
      <c r="G938" s="333">
        <f>IF('Simulador - 1º Pilar'!$E$99="Sí",IF('Aportaciones PPE'!$B$13&lt;'Aportaciones PPE'!E938,0,F938*$B$8/12),F938*$B$8/12)</f>
      </c>
      <c r="H938" s="333">
        <f>$H$5*G938</f>
      </c>
      <c r="I938" s="333">
        <f>$I$5*G938</f>
      </c>
      <c r="J938" s="333">
        <f>+I938</f>
      </c>
      <c r="K938" s="333">
        <f>(1+$O$5)^(D938/12)*(H938+IF(AND(F938=1,F939=0),$S$4,0))</f>
      </c>
      <c r="L938" s="333">
        <f>(1+$O$5)^(D938/12)*(I938+IF(AND(F938=1,F939=0),0))</f>
      </c>
      <c r="M938" s="333">
        <f>+L938</f>
      </c>
      <c r="N938" s="333">
        <f>L938+K938+M938</f>
      </c>
      <c r="O938" s="170"/>
      <c r="P938" s="7"/>
      <c r="Q938" s="1"/>
      <c r="R938" s="331">
        <f>D938</f>
      </c>
      <c r="S938" s="169"/>
      <c r="T938" s="1"/>
      <c r="U938" s="217"/>
      <c r="V938" s="331">
        <f>+IF(V937=11,12,IF(V937=12,1,V937+1))</f>
      </c>
      <c r="W938" s="331">
        <f>+W937+IF(V937=12,1,0)</f>
      </c>
      <c r="X938" s="555">
        <f>+DATE(W938,V938,1)</f>
        <v>25569.041666666668</v>
      </c>
      <c r="Y938" s="333">
        <f>+_xlfn.IFNA(AN938+AS938+AX938,0)</f>
      </c>
      <c r="Z938" s="333">
        <f>+_xlfn.IFNA(AO938+AT938+AY938,0)</f>
      </c>
      <c r="AA938" s="333">
        <f>Y938*(1+$O$5)^(($B$7-X938)/365.25)</f>
      </c>
      <c r="AB938" s="333">
        <f>Z938*(1+$O$5)^(($B$7-X938)/365.25)</f>
      </c>
      <c r="AC938" s="1"/>
      <c r="AD938" s="1"/>
      <c r="AE938" s="1"/>
      <c r="AF938" s="111">
        <f>+MONTH(E938)&amp;YEAR(E938)</f>
      </c>
      <c r="AG938" s="217">
        <f>+I938</f>
      </c>
      <c r="AH938" s="217">
        <f>+J938</f>
      </c>
      <c r="AI938" s="217">
        <f>+H938</f>
      </c>
      <c r="AJ938" s="111">
        <f>+V938&amp;W938</f>
      </c>
      <c r="AK938" s="217">
        <f>+_xlfn.IFNA(VLOOKUP(AJ938,$AF$7:$AG$1066,2,0),0)</f>
      </c>
      <c r="AL938" s="217">
        <f>+IF(W938&gt;W937,AK938,AL937+AK938)</f>
      </c>
      <c r="AM938" s="217">
        <f>IF(W938&gt;W937,IF(AL938&gt;=$AZ$8,$AZ$8,AL938),IF(OR(AM937=$AZ$8,AM937=0),0,IF(AL938&gt;=$AZ$8,$AZ$8,AL938)))</f>
      </c>
      <c r="AN938" s="748">
        <f>+IF(OR(AM938&gt;AZ937,AM938=0),0,IF(AM938=AL938,AK938,$AZ$7-AL937))</f>
      </c>
      <c r="AO938" s="748">
        <f>+AK938-AN938</f>
      </c>
      <c r="AP938" s="217">
        <f>+_xlfn.IFNA(VLOOKUP(AJ938,$AF$7:$AI$1066,3,0),0)</f>
      </c>
      <c r="AQ938" s="217">
        <f>+IF(W938&gt;W937,AP938,AQ937+AP938)</f>
      </c>
      <c r="AR938" s="217">
        <f>+MAX($AM$2-SUMIF($W$7:$W$1066,W938,$AN$7:$AN$1066),0)</f>
      </c>
      <c r="AS938" s="748">
        <f>+MAX(IF(AQ938&gt;AR938,AR938-AQ937,AP938),0)</f>
      </c>
      <c r="AT938" s="748">
        <f>+AP938-AS938</f>
      </c>
      <c r="AU938" s="217">
        <f>+_xlfn.IFNA(VLOOKUP(AJ938,$AF$7:$AI$1066,4,0),0)</f>
      </c>
      <c r="AV938" s="217">
        <f>+IF(W938&gt;W937,AU938,AV937+AU938)</f>
      </c>
      <c r="AW938" s="217">
        <f>+MAX($AM$2-SUMIF($W$7:$W$1066,W938,$AN$7:$AN$1066)-SUMIF($W$7:$W$1066,W938,$AS$7:$AS$1066),0)</f>
      </c>
      <c r="AX938" s="748">
        <f>+MAX(IF(AV938&gt;AW938,AW938-AV937,AU938),0)</f>
      </c>
      <c r="AY938" s="748">
        <f>+AU938-AX938</f>
      </c>
      <c r="AZ938" s="331">
        <f>+$AM$1+IF($AP$1&gt;$AP$2,$AM$3/2)</f>
      </c>
    </row>
    <row x14ac:dyDescent="0.25" r="939" customHeight="1" ht="18.75">
      <c r="A939" s="1"/>
      <c r="B939" s="7"/>
      <c r="C939" s="170"/>
      <c r="D939" s="331">
        <v>932</v>
      </c>
      <c r="E939" s="544">
        <f>+DATE(YEAR(E938),MONTH(E938)-1,DAY(E938))</f>
        <v>25569.041666666668</v>
      </c>
      <c r="F939" s="333">
        <f>IF(DATE(YEAR($B$6),MONTH($B$6)+1,DAY(1))=E939,1,IF(MONTH(E939)=1,F940*(1+$F$5),F940))</f>
      </c>
      <c r="G939" s="333">
        <f>IF('Simulador - 1º Pilar'!$E$99="Sí",IF('Aportaciones PPE'!$B$13&lt;'Aportaciones PPE'!E939,0,F939*$B$8/12),F939*$B$8/12)</f>
      </c>
      <c r="H939" s="333">
        <f>$H$5*G939</f>
      </c>
      <c r="I939" s="333">
        <f>$I$5*G939</f>
      </c>
      <c r="J939" s="333">
        <f>+I939</f>
      </c>
      <c r="K939" s="333">
        <f>(1+$O$5)^(D939/12)*(H939+IF(AND(F939=1,F940=0),$S$4,0))</f>
      </c>
      <c r="L939" s="333">
        <f>(1+$O$5)^(D939/12)*(I939+IF(AND(F939=1,F940=0),0))</f>
      </c>
      <c r="M939" s="333">
        <f>+L939</f>
      </c>
      <c r="N939" s="333">
        <f>L939+K939+M939</f>
      </c>
      <c r="O939" s="170"/>
      <c r="P939" s="7"/>
      <c r="Q939" s="1"/>
      <c r="R939" s="331">
        <f>D939</f>
      </c>
      <c r="S939" s="169"/>
      <c r="T939" s="1"/>
      <c r="U939" s="217"/>
      <c r="V939" s="331">
        <f>+IF(V938=11,12,IF(V938=12,1,V938+1))</f>
      </c>
      <c r="W939" s="331">
        <f>+W938+IF(V938=12,1,0)</f>
      </c>
      <c r="X939" s="555">
        <f>+DATE(W939,V939,1)</f>
        <v>25569.041666666668</v>
      </c>
      <c r="Y939" s="333">
        <f>+_xlfn.IFNA(AN939+AS939+AX939,0)</f>
      </c>
      <c r="Z939" s="333">
        <f>+_xlfn.IFNA(AO939+AT939+AY939,0)</f>
      </c>
      <c r="AA939" s="333">
        <f>Y939*(1+$O$5)^(($B$7-X939)/365.25)</f>
      </c>
      <c r="AB939" s="333">
        <f>Z939*(1+$O$5)^(($B$7-X939)/365.25)</f>
      </c>
      <c r="AC939" s="1"/>
      <c r="AD939" s="1"/>
      <c r="AE939" s="1"/>
      <c r="AF939" s="111">
        <f>+MONTH(E939)&amp;YEAR(E939)</f>
      </c>
      <c r="AG939" s="217">
        <f>+I939</f>
      </c>
      <c r="AH939" s="217">
        <f>+J939</f>
      </c>
      <c r="AI939" s="217">
        <f>+H939</f>
      </c>
      <c r="AJ939" s="111">
        <f>+V939&amp;W939</f>
      </c>
      <c r="AK939" s="217">
        <f>+_xlfn.IFNA(VLOOKUP(AJ939,$AF$7:$AG$1066,2,0),0)</f>
      </c>
      <c r="AL939" s="217">
        <f>+IF(W939&gt;W938,AK939,AL938+AK939)</f>
      </c>
      <c r="AM939" s="217">
        <f>IF(W939&gt;W938,IF(AL939&gt;=$AZ$8,$AZ$8,AL939),IF(OR(AM938=$AZ$8,AM938=0),0,IF(AL939&gt;=$AZ$8,$AZ$8,AL939)))</f>
      </c>
      <c r="AN939" s="748">
        <f>+IF(OR(AM939&gt;AZ938,AM939=0),0,IF(AM939=AL939,AK939,$AZ$7-AL938))</f>
      </c>
      <c r="AO939" s="748">
        <f>+AK939-AN939</f>
      </c>
      <c r="AP939" s="217">
        <f>+_xlfn.IFNA(VLOOKUP(AJ939,$AF$7:$AI$1066,3,0),0)</f>
      </c>
      <c r="AQ939" s="217">
        <f>+IF(W939&gt;W938,AP939,AQ938+AP939)</f>
      </c>
      <c r="AR939" s="217">
        <f>+MAX($AM$2-SUMIF($W$7:$W$1066,W939,$AN$7:$AN$1066),0)</f>
      </c>
      <c r="AS939" s="748">
        <f>+MAX(IF(AQ939&gt;AR939,AR939-AQ938,AP939),0)</f>
      </c>
      <c r="AT939" s="748">
        <f>+AP939-AS939</f>
      </c>
      <c r="AU939" s="217">
        <f>+_xlfn.IFNA(VLOOKUP(AJ939,$AF$7:$AI$1066,4,0),0)</f>
      </c>
      <c r="AV939" s="217">
        <f>+IF(W939&gt;W938,AU939,AV938+AU939)</f>
      </c>
      <c r="AW939" s="217">
        <f>+MAX($AM$2-SUMIF($W$7:$W$1066,W939,$AN$7:$AN$1066)-SUMIF($W$7:$W$1066,W939,$AS$7:$AS$1066),0)</f>
      </c>
      <c r="AX939" s="748">
        <f>+MAX(IF(AV939&gt;AW939,AW939-AV938,AU939),0)</f>
      </c>
      <c r="AY939" s="748">
        <f>+AU939-AX939</f>
      </c>
      <c r="AZ939" s="331">
        <f>+$AM$1+IF($AP$1&gt;$AP$2,$AM$3/2)</f>
      </c>
    </row>
    <row x14ac:dyDescent="0.25" r="940" customHeight="1" ht="18.75">
      <c r="A940" s="1"/>
      <c r="B940" s="7"/>
      <c r="C940" s="170"/>
      <c r="D940" s="331">
        <v>933</v>
      </c>
      <c r="E940" s="544">
        <f>+DATE(YEAR(E939),MONTH(E939)-1,DAY(E939))</f>
        <v>25569.041666666668</v>
      </c>
      <c r="F940" s="333">
        <f>IF(DATE(YEAR($B$6),MONTH($B$6)+1,DAY(1))=E940,1,IF(MONTH(E940)=1,F941*(1+$F$5),F941))</f>
      </c>
      <c r="G940" s="333">
        <f>IF('Simulador - 1º Pilar'!$E$99="Sí",IF('Aportaciones PPE'!$B$13&lt;'Aportaciones PPE'!E940,0,F940*$B$8/12),F940*$B$8/12)</f>
      </c>
      <c r="H940" s="333">
        <f>$H$5*G940</f>
      </c>
      <c r="I940" s="333">
        <f>$I$5*G940</f>
      </c>
      <c r="J940" s="333">
        <f>+I940</f>
      </c>
      <c r="K940" s="333">
        <f>(1+$O$5)^(D940/12)*(H940+IF(AND(F940=1,F941=0),$S$4,0))</f>
      </c>
      <c r="L940" s="333">
        <f>(1+$O$5)^(D940/12)*(I940+IF(AND(F940=1,F941=0),0))</f>
      </c>
      <c r="M940" s="333">
        <f>+L940</f>
      </c>
      <c r="N940" s="333">
        <f>L940+K940+M940</f>
      </c>
      <c r="O940" s="170"/>
      <c r="P940" s="7"/>
      <c r="Q940" s="1"/>
      <c r="R940" s="331">
        <f>D940</f>
      </c>
      <c r="S940" s="169"/>
      <c r="T940" s="1"/>
      <c r="U940" s="217"/>
      <c r="V940" s="331">
        <f>+IF(V939=11,12,IF(V939=12,1,V939+1))</f>
      </c>
      <c r="W940" s="331">
        <f>+W939+IF(V939=12,1,0)</f>
      </c>
      <c r="X940" s="555">
        <f>+DATE(W940,V940,1)</f>
        <v>25569.041666666668</v>
      </c>
      <c r="Y940" s="333">
        <f>+_xlfn.IFNA(AN940+AS940+AX940,0)</f>
      </c>
      <c r="Z940" s="333">
        <f>+_xlfn.IFNA(AO940+AT940+AY940,0)</f>
      </c>
      <c r="AA940" s="333">
        <f>Y940*(1+$O$5)^(($B$7-X940)/365.25)</f>
      </c>
      <c r="AB940" s="333">
        <f>Z940*(1+$O$5)^(($B$7-X940)/365.25)</f>
      </c>
      <c r="AC940" s="1"/>
      <c r="AD940" s="1"/>
      <c r="AE940" s="1"/>
      <c r="AF940" s="111">
        <f>+MONTH(E940)&amp;YEAR(E940)</f>
      </c>
      <c r="AG940" s="217">
        <f>+I940</f>
      </c>
      <c r="AH940" s="217">
        <f>+J940</f>
      </c>
      <c r="AI940" s="217">
        <f>+H940</f>
      </c>
      <c r="AJ940" s="111">
        <f>+V940&amp;W940</f>
      </c>
      <c r="AK940" s="217">
        <f>+_xlfn.IFNA(VLOOKUP(AJ940,$AF$7:$AG$1066,2,0),0)</f>
      </c>
      <c r="AL940" s="217">
        <f>+IF(W940&gt;W939,AK940,AL939+AK940)</f>
      </c>
      <c r="AM940" s="217">
        <f>IF(W940&gt;W939,IF(AL940&gt;=$AZ$8,$AZ$8,AL940),IF(OR(AM939=$AZ$8,AM939=0),0,IF(AL940&gt;=$AZ$8,$AZ$8,AL940)))</f>
      </c>
      <c r="AN940" s="748">
        <f>+IF(OR(AM940&gt;AZ939,AM940=0),0,IF(AM940=AL940,AK940,$AZ$7-AL939))</f>
      </c>
      <c r="AO940" s="748">
        <f>+AK940-AN940</f>
      </c>
      <c r="AP940" s="217">
        <f>+_xlfn.IFNA(VLOOKUP(AJ940,$AF$7:$AI$1066,3,0),0)</f>
      </c>
      <c r="AQ940" s="217">
        <f>+IF(W940&gt;W939,AP940,AQ939+AP940)</f>
      </c>
      <c r="AR940" s="217">
        <f>+MAX($AM$2-SUMIF($W$7:$W$1066,W940,$AN$7:$AN$1066),0)</f>
      </c>
      <c r="AS940" s="748">
        <f>+MAX(IF(AQ940&gt;AR940,AR940-AQ939,AP940),0)</f>
      </c>
      <c r="AT940" s="748">
        <f>+AP940-AS940</f>
      </c>
      <c r="AU940" s="217">
        <f>+_xlfn.IFNA(VLOOKUP(AJ940,$AF$7:$AI$1066,4,0),0)</f>
      </c>
      <c r="AV940" s="217">
        <f>+IF(W940&gt;W939,AU940,AV939+AU940)</f>
      </c>
      <c r="AW940" s="217">
        <f>+MAX($AM$2-SUMIF($W$7:$W$1066,W940,$AN$7:$AN$1066)-SUMIF($W$7:$W$1066,W940,$AS$7:$AS$1066),0)</f>
      </c>
      <c r="AX940" s="748">
        <f>+MAX(IF(AV940&gt;AW940,AW940-AV939,AU940),0)</f>
      </c>
      <c r="AY940" s="748">
        <f>+AU940-AX940</f>
      </c>
      <c r="AZ940" s="331">
        <f>+$AM$1+IF($AP$1&gt;$AP$2,$AM$3/2)</f>
      </c>
    </row>
    <row x14ac:dyDescent="0.25" r="941" customHeight="1" ht="18.75">
      <c r="A941" s="1"/>
      <c r="B941" s="7"/>
      <c r="C941" s="170"/>
      <c r="D941" s="331">
        <v>934</v>
      </c>
      <c r="E941" s="544">
        <f>+DATE(YEAR(E940),MONTH(E940)-1,DAY(E940))</f>
        <v>25569.041666666668</v>
      </c>
      <c r="F941" s="333">
        <f>IF(DATE(YEAR($B$6),MONTH($B$6)+1,DAY(1))=E941,1,IF(MONTH(E941)=1,F942*(1+$F$5),F942))</f>
      </c>
      <c r="G941" s="333">
        <f>IF('Simulador - 1º Pilar'!$E$99="Sí",IF('Aportaciones PPE'!$B$13&lt;'Aportaciones PPE'!E941,0,F941*$B$8/12),F941*$B$8/12)</f>
      </c>
      <c r="H941" s="333">
        <f>$H$5*G941</f>
      </c>
      <c r="I941" s="333">
        <f>$I$5*G941</f>
      </c>
      <c r="J941" s="333">
        <f>+I941</f>
      </c>
      <c r="K941" s="333">
        <f>(1+$O$5)^(D941/12)*(H941+IF(AND(F941=1,F942=0),$S$4,0))</f>
      </c>
      <c r="L941" s="333">
        <f>(1+$O$5)^(D941/12)*(I941+IF(AND(F941=1,F942=0),0))</f>
      </c>
      <c r="M941" s="333">
        <f>+L941</f>
      </c>
      <c r="N941" s="333">
        <f>L941+K941+M941</f>
      </c>
      <c r="O941" s="170"/>
      <c r="P941" s="7"/>
      <c r="Q941" s="1"/>
      <c r="R941" s="331">
        <f>D941</f>
      </c>
      <c r="S941" s="169"/>
      <c r="T941" s="1"/>
      <c r="U941" s="217"/>
      <c r="V941" s="331">
        <f>+IF(V940=11,12,IF(V940=12,1,V940+1))</f>
      </c>
      <c r="W941" s="331">
        <f>+W940+IF(V940=12,1,0)</f>
      </c>
      <c r="X941" s="555">
        <f>+DATE(W941,V941,1)</f>
        <v>25569.041666666668</v>
      </c>
      <c r="Y941" s="333">
        <f>+_xlfn.IFNA(AN941+AS941+AX941,0)</f>
      </c>
      <c r="Z941" s="333">
        <f>+_xlfn.IFNA(AO941+AT941+AY941,0)</f>
      </c>
      <c r="AA941" s="333">
        <f>Y941*(1+$O$5)^(($B$7-X941)/365.25)</f>
      </c>
      <c r="AB941" s="333">
        <f>Z941*(1+$O$5)^(($B$7-X941)/365.25)</f>
      </c>
      <c r="AC941" s="1"/>
      <c r="AD941" s="1"/>
      <c r="AE941" s="1"/>
      <c r="AF941" s="111">
        <f>+MONTH(E941)&amp;YEAR(E941)</f>
      </c>
      <c r="AG941" s="217">
        <f>+I941</f>
      </c>
      <c r="AH941" s="217">
        <f>+J941</f>
      </c>
      <c r="AI941" s="217">
        <f>+H941</f>
      </c>
      <c r="AJ941" s="111">
        <f>+V941&amp;W941</f>
      </c>
      <c r="AK941" s="217">
        <f>+_xlfn.IFNA(VLOOKUP(AJ941,$AF$7:$AG$1066,2,0),0)</f>
      </c>
      <c r="AL941" s="217">
        <f>+IF(W941&gt;W940,AK941,AL940+AK941)</f>
      </c>
      <c r="AM941" s="217">
        <f>IF(W941&gt;W940,IF(AL941&gt;=$AZ$8,$AZ$8,AL941),IF(OR(AM940=$AZ$8,AM940=0),0,IF(AL941&gt;=$AZ$8,$AZ$8,AL941)))</f>
      </c>
      <c r="AN941" s="748">
        <f>+IF(OR(AM941&gt;AZ940,AM941=0),0,IF(AM941=AL941,AK941,$AZ$7-AL940))</f>
      </c>
      <c r="AO941" s="748">
        <f>+AK941-AN941</f>
      </c>
      <c r="AP941" s="217">
        <f>+_xlfn.IFNA(VLOOKUP(AJ941,$AF$7:$AI$1066,3,0),0)</f>
      </c>
      <c r="AQ941" s="217">
        <f>+IF(W941&gt;W940,AP941,AQ940+AP941)</f>
      </c>
      <c r="AR941" s="217">
        <f>+MAX($AM$2-SUMIF($W$7:$W$1066,W941,$AN$7:$AN$1066),0)</f>
      </c>
      <c r="AS941" s="748">
        <f>+MAX(IF(AQ941&gt;AR941,AR941-AQ940,AP941),0)</f>
      </c>
      <c r="AT941" s="748">
        <f>+AP941-AS941</f>
      </c>
      <c r="AU941" s="217">
        <f>+_xlfn.IFNA(VLOOKUP(AJ941,$AF$7:$AI$1066,4,0),0)</f>
      </c>
      <c r="AV941" s="217">
        <f>+IF(W941&gt;W940,AU941,AV940+AU941)</f>
      </c>
      <c r="AW941" s="217">
        <f>+MAX($AM$2-SUMIF($W$7:$W$1066,W941,$AN$7:$AN$1066)-SUMIF($W$7:$W$1066,W941,$AS$7:$AS$1066),0)</f>
      </c>
      <c r="AX941" s="748">
        <f>+MAX(IF(AV941&gt;AW941,AW941-AV940,AU941),0)</f>
      </c>
      <c r="AY941" s="748">
        <f>+AU941-AX941</f>
      </c>
      <c r="AZ941" s="331">
        <f>+$AM$1+IF($AP$1&gt;$AP$2,$AM$3/2)</f>
      </c>
    </row>
    <row x14ac:dyDescent="0.25" r="942" customHeight="1" ht="18.75">
      <c r="A942" s="1"/>
      <c r="B942" s="7"/>
      <c r="C942" s="170"/>
      <c r="D942" s="331">
        <v>935</v>
      </c>
      <c r="E942" s="544">
        <f>+DATE(YEAR(E941),MONTH(E941)-1,DAY(E941))</f>
        <v>25569.041666666668</v>
      </c>
      <c r="F942" s="333">
        <f>IF(DATE(YEAR($B$6),MONTH($B$6)+1,DAY(1))=E942,1,IF(MONTH(E942)=1,F943*(1+$F$5),F943))</f>
      </c>
      <c r="G942" s="333">
        <f>IF('Simulador - 1º Pilar'!$E$99="Sí",IF('Aportaciones PPE'!$B$13&lt;'Aportaciones PPE'!E942,0,F942*$B$8/12),F942*$B$8/12)</f>
      </c>
      <c r="H942" s="333">
        <f>$H$5*G942</f>
      </c>
      <c r="I942" s="333">
        <f>$I$5*G942</f>
      </c>
      <c r="J942" s="333">
        <f>+I942</f>
      </c>
      <c r="K942" s="333">
        <f>(1+$O$5)^(D942/12)*(H942+IF(AND(F942=1,F943=0),$S$4,0))</f>
      </c>
      <c r="L942" s="333">
        <f>(1+$O$5)^(D942/12)*(I942+IF(AND(F942=1,F943=0),0))</f>
      </c>
      <c r="M942" s="333">
        <f>+L942</f>
      </c>
      <c r="N942" s="333">
        <f>L942+K942+M942</f>
      </c>
      <c r="O942" s="170"/>
      <c r="P942" s="7"/>
      <c r="Q942" s="1"/>
      <c r="R942" s="331">
        <f>D942</f>
      </c>
      <c r="S942" s="169"/>
      <c r="T942" s="1"/>
      <c r="U942" s="217"/>
      <c r="V942" s="331">
        <f>+IF(V941=11,12,IF(V941=12,1,V941+1))</f>
      </c>
      <c r="W942" s="331">
        <f>+W941+IF(V941=12,1,0)</f>
      </c>
      <c r="X942" s="555">
        <f>+DATE(W942,V942,1)</f>
        <v>25569.041666666668</v>
      </c>
      <c r="Y942" s="333">
        <f>+_xlfn.IFNA(AN942+AS942+AX942,0)</f>
      </c>
      <c r="Z942" s="333">
        <f>+_xlfn.IFNA(AO942+AT942+AY942,0)</f>
      </c>
      <c r="AA942" s="333">
        <f>Y942*(1+$O$5)^(($B$7-X942)/365.25)</f>
      </c>
      <c r="AB942" s="333">
        <f>Z942*(1+$O$5)^(($B$7-X942)/365.25)</f>
      </c>
      <c r="AC942" s="1"/>
      <c r="AD942" s="1"/>
      <c r="AE942" s="1"/>
      <c r="AF942" s="111">
        <f>+MONTH(E942)&amp;YEAR(E942)</f>
      </c>
      <c r="AG942" s="217">
        <f>+I942</f>
      </c>
      <c r="AH942" s="217">
        <f>+J942</f>
      </c>
      <c r="AI942" s="217">
        <f>+H942</f>
      </c>
      <c r="AJ942" s="111">
        <f>+V942&amp;W942</f>
      </c>
      <c r="AK942" s="217">
        <f>+_xlfn.IFNA(VLOOKUP(AJ942,$AF$7:$AG$1066,2,0),0)</f>
      </c>
      <c r="AL942" s="217">
        <f>+IF(W942&gt;W941,AK942,AL941+AK942)</f>
      </c>
      <c r="AM942" s="217">
        <f>IF(W942&gt;W941,IF(AL942&gt;=$AZ$8,$AZ$8,AL942),IF(OR(AM941=$AZ$8,AM941=0),0,IF(AL942&gt;=$AZ$8,$AZ$8,AL942)))</f>
      </c>
      <c r="AN942" s="748">
        <f>+IF(OR(AM942&gt;AZ941,AM942=0),0,IF(AM942=AL942,AK942,$AZ$7-AL941))</f>
      </c>
      <c r="AO942" s="748">
        <f>+AK942-AN942</f>
      </c>
      <c r="AP942" s="217">
        <f>+_xlfn.IFNA(VLOOKUP(AJ942,$AF$7:$AI$1066,3,0),0)</f>
      </c>
      <c r="AQ942" s="217">
        <f>+IF(W942&gt;W941,AP942,AQ941+AP942)</f>
      </c>
      <c r="AR942" s="217">
        <f>+MAX($AM$2-SUMIF($W$7:$W$1066,W942,$AN$7:$AN$1066),0)</f>
      </c>
      <c r="AS942" s="748">
        <f>+MAX(IF(AQ942&gt;AR942,AR942-AQ941,AP942),0)</f>
      </c>
      <c r="AT942" s="748">
        <f>+AP942-AS942</f>
      </c>
      <c r="AU942" s="217">
        <f>+_xlfn.IFNA(VLOOKUP(AJ942,$AF$7:$AI$1066,4,0),0)</f>
      </c>
      <c r="AV942" s="217">
        <f>+IF(W942&gt;W941,AU942,AV941+AU942)</f>
      </c>
      <c r="AW942" s="217">
        <f>+MAX($AM$2-SUMIF($W$7:$W$1066,W942,$AN$7:$AN$1066)-SUMIF($W$7:$W$1066,W942,$AS$7:$AS$1066),0)</f>
      </c>
      <c r="AX942" s="748">
        <f>+MAX(IF(AV942&gt;AW942,AW942-AV941,AU942),0)</f>
      </c>
      <c r="AY942" s="748">
        <f>+AU942-AX942</f>
      </c>
      <c r="AZ942" s="331">
        <f>+$AM$1+IF($AP$1&gt;$AP$2,$AM$3/2)</f>
      </c>
    </row>
    <row x14ac:dyDescent="0.25" r="943" customHeight="1" ht="18.75">
      <c r="A943" s="1"/>
      <c r="B943" s="7"/>
      <c r="C943" s="170"/>
      <c r="D943" s="331">
        <v>936</v>
      </c>
      <c r="E943" s="544">
        <f>+DATE(YEAR(E942),MONTH(E942)-1,DAY(E942))</f>
        <v>25569.041666666668</v>
      </c>
      <c r="F943" s="333">
        <f>IF(DATE(YEAR($B$6),MONTH($B$6)+1,DAY(1))=E943,1,IF(MONTH(E943)=1,F944*(1+$F$5),F944))</f>
      </c>
      <c r="G943" s="333">
        <f>IF('Simulador - 1º Pilar'!$E$99="Sí",IF('Aportaciones PPE'!$B$13&lt;'Aportaciones PPE'!E943,0,F943*$B$8/12),F943*$B$8/12)</f>
      </c>
      <c r="H943" s="333">
        <f>$H$5*G943</f>
      </c>
      <c r="I943" s="333">
        <f>$I$5*G943</f>
      </c>
      <c r="J943" s="333">
        <f>+I943</f>
      </c>
      <c r="K943" s="333">
        <f>(1+$O$5)^(D943/12)*(H943+IF(AND(F943=1,F944=0),$S$4,0))</f>
      </c>
      <c r="L943" s="333">
        <f>(1+$O$5)^(D943/12)*(I943+IF(AND(F943=1,F944=0),0))</f>
      </c>
      <c r="M943" s="333">
        <f>+L943</f>
      </c>
      <c r="N943" s="333">
        <f>L943+K943+M943</f>
      </c>
      <c r="O943" s="170"/>
      <c r="P943" s="7"/>
      <c r="Q943" s="1"/>
      <c r="R943" s="331">
        <f>D943</f>
      </c>
      <c r="S943" s="169"/>
      <c r="T943" s="1"/>
      <c r="U943" s="217"/>
      <c r="V943" s="331">
        <f>+IF(V942=11,12,IF(V942=12,1,V942+1))</f>
      </c>
      <c r="W943" s="331">
        <f>+W942+IF(V942=12,1,0)</f>
      </c>
      <c r="X943" s="555">
        <f>+DATE(W943,V943,1)</f>
        <v>25569.041666666668</v>
      </c>
      <c r="Y943" s="333">
        <f>+_xlfn.IFNA(AN943+AS943+AX943,0)</f>
      </c>
      <c r="Z943" s="333">
        <f>+_xlfn.IFNA(AO943+AT943+AY943,0)</f>
      </c>
      <c r="AA943" s="333">
        <f>Y943*(1+$O$5)^(($B$7-X943)/365.25)</f>
      </c>
      <c r="AB943" s="333">
        <f>Z943*(1+$O$5)^(($B$7-X943)/365.25)</f>
      </c>
      <c r="AC943" s="1"/>
      <c r="AD943" s="1"/>
      <c r="AE943" s="1"/>
      <c r="AF943" s="111">
        <f>+MONTH(E943)&amp;YEAR(E943)</f>
      </c>
      <c r="AG943" s="217">
        <f>+I943</f>
      </c>
      <c r="AH943" s="217">
        <f>+J943</f>
      </c>
      <c r="AI943" s="217">
        <f>+H943</f>
      </c>
      <c r="AJ943" s="111">
        <f>+V943&amp;W943</f>
      </c>
      <c r="AK943" s="217">
        <f>+_xlfn.IFNA(VLOOKUP(AJ943,$AF$7:$AG$1066,2,0),0)</f>
      </c>
      <c r="AL943" s="217">
        <f>+IF(W943&gt;W942,AK943,AL942+AK943)</f>
      </c>
      <c r="AM943" s="217">
        <f>IF(W943&gt;W942,IF(AL943&gt;=$AZ$8,$AZ$8,AL943),IF(OR(AM942=$AZ$8,AM942=0),0,IF(AL943&gt;=$AZ$8,$AZ$8,AL943)))</f>
      </c>
      <c r="AN943" s="748">
        <f>+IF(OR(AM943&gt;AZ942,AM943=0),0,IF(AM943=AL943,AK943,$AZ$7-AL942))</f>
      </c>
      <c r="AO943" s="748">
        <f>+AK943-AN943</f>
      </c>
      <c r="AP943" s="217">
        <f>+_xlfn.IFNA(VLOOKUP(AJ943,$AF$7:$AI$1066,3,0),0)</f>
      </c>
      <c r="AQ943" s="217">
        <f>+IF(W943&gt;W942,AP943,AQ942+AP943)</f>
      </c>
      <c r="AR943" s="217">
        <f>+MAX($AM$2-SUMIF($W$7:$W$1066,W943,$AN$7:$AN$1066),0)</f>
      </c>
      <c r="AS943" s="748">
        <f>+MAX(IF(AQ943&gt;AR943,AR943-AQ942,AP943),0)</f>
      </c>
      <c r="AT943" s="748">
        <f>+AP943-AS943</f>
      </c>
      <c r="AU943" s="217">
        <f>+_xlfn.IFNA(VLOOKUP(AJ943,$AF$7:$AI$1066,4,0),0)</f>
      </c>
      <c r="AV943" s="217">
        <f>+IF(W943&gt;W942,AU943,AV942+AU943)</f>
      </c>
      <c r="AW943" s="217">
        <f>+MAX($AM$2-SUMIF($W$7:$W$1066,W943,$AN$7:$AN$1066)-SUMIF($W$7:$W$1066,W943,$AS$7:$AS$1066),0)</f>
      </c>
      <c r="AX943" s="748">
        <f>+MAX(IF(AV943&gt;AW943,AW943-AV942,AU943),0)</f>
      </c>
      <c r="AY943" s="748">
        <f>+AU943-AX943</f>
      </c>
      <c r="AZ943" s="331">
        <f>+$AM$1+IF($AP$1&gt;$AP$2,$AM$3/2)</f>
      </c>
    </row>
    <row x14ac:dyDescent="0.25" r="944" customHeight="1" ht="18.75">
      <c r="A944" s="1"/>
      <c r="B944" s="7"/>
      <c r="C944" s="170"/>
      <c r="D944" s="331">
        <v>937</v>
      </c>
      <c r="E944" s="544">
        <f>+DATE(YEAR(E943),MONTH(E943)-1,DAY(E943))</f>
        <v>25569.041666666668</v>
      </c>
      <c r="F944" s="333">
        <f>IF(DATE(YEAR($B$6),MONTH($B$6)+1,DAY(1))=E944,1,IF(MONTH(E944)=1,F945*(1+$F$5),F945))</f>
      </c>
      <c r="G944" s="333">
        <f>IF('Simulador - 1º Pilar'!$E$99="Sí",IF('Aportaciones PPE'!$B$13&lt;'Aportaciones PPE'!E944,0,F944*$B$8/12),F944*$B$8/12)</f>
      </c>
      <c r="H944" s="333">
        <f>$H$5*G944</f>
      </c>
      <c r="I944" s="333">
        <f>$I$5*G944</f>
      </c>
      <c r="J944" s="333">
        <f>+I944</f>
      </c>
      <c r="K944" s="333">
        <f>(1+$O$5)^(D944/12)*(H944+IF(AND(F944=1,F945=0),$S$4,0))</f>
      </c>
      <c r="L944" s="333">
        <f>(1+$O$5)^(D944/12)*(I944+IF(AND(F944=1,F945=0),0))</f>
      </c>
      <c r="M944" s="333">
        <f>+L944</f>
      </c>
      <c r="N944" s="333">
        <f>L944+K944+M944</f>
      </c>
      <c r="O944" s="170"/>
      <c r="P944" s="7"/>
      <c r="Q944" s="1"/>
      <c r="R944" s="331">
        <f>D944</f>
      </c>
      <c r="S944" s="169"/>
      <c r="T944" s="1"/>
      <c r="U944" s="217"/>
      <c r="V944" s="331">
        <f>+IF(V943=11,12,IF(V943=12,1,V943+1))</f>
      </c>
      <c r="W944" s="331">
        <f>+W943+IF(V943=12,1,0)</f>
      </c>
      <c r="X944" s="555">
        <f>+DATE(W944,V944,1)</f>
        <v>25569.041666666668</v>
      </c>
      <c r="Y944" s="333">
        <f>+_xlfn.IFNA(AN944+AS944+AX944,0)</f>
      </c>
      <c r="Z944" s="333">
        <f>+_xlfn.IFNA(AO944+AT944+AY944,0)</f>
      </c>
      <c r="AA944" s="333">
        <f>Y944*(1+$O$5)^(($B$7-X944)/365.25)</f>
      </c>
      <c r="AB944" s="333">
        <f>Z944*(1+$O$5)^(($B$7-X944)/365.25)</f>
      </c>
      <c r="AC944" s="1"/>
      <c r="AD944" s="1"/>
      <c r="AE944" s="1"/>
      <c r="AF944" s="111">
        <f>+MONTH(E944)&amp;YEAR(E944)</f>
      </c>
      <c r="AG944" s="217">
        <f>+I944</f>
      </c>
      <c r="AH944" s="217">
        <f>+J944</f>
      </c>
      <c r="AI944" s="217">
        <f>+H944</f>
      </c>
      <c r="AJ944" s="111">
        <f>+V944&amp;W944</f>
      </c>
      <c r="AK944" s="217">
        <f>+_xlfn.IFNA(VLOOKUP(AJ944,$AF$7:$AG$1066,2,0),0)</f>
      </c>
      <c r="AL944" s="217">
        <f>+IF(W944&gt;W943,AK944,AL943+AK944)</f>
      </c>
      <c r="AM944" s="217">
        <f>IF(W944&gt;W943,IF(AL944&gt;=$AZ$8,$AZ$8,AL944),IF(OR(AM943=$AZ$8,AM943=0),0,IF(AL944&gt;=$AZ$8,$AZ$8,AL944)))</f>
      </c>
      <c r="AN944" s="748">
        <f>+IF(OR(AM944&gt;AZ943,AM944=0),0,IF(AM944=AL944,AK944,$AZ$7-AL943))</f>
      </c>
      <c r="AO944" s="748">
        <f>+AK944-AN944</f>
      </c>
      <c r="AP944" s="217">
        <f>+_xlfn.IFNA(VLOOKUP(AJ944,$AF$7:$AI$1066,3,0),0)</f>
      </c>
      <c r="AQ944" s="217">
        <f>+IF(W944&gt;W943,AP944,AQ943+AP944)</f>
      </c>
      <c r="AR944" s="217">
        <f>+MAX($AM$2-SUMIF($W$7:$W$1066,W944,$AN$7:$AN$1066),0)</f>
      </c>
      <c r="AS944" s="748">
        <f>+MAX(IF(AQ944&gt;AR944,AR944-AQ943,AP944),0)</f>
      </c>
      <c r="AT944" s="748">
        <f>+AP944-AS944</f>
      </c>
      <c r="AU944" s="217">
        <f>+_xlfn.IFNA(VLOOKUP(AJ944,$AF$7:$AI$1066,4,0),0)</f>
      </c>
      <c r="AV944" s="217">
        <f>+IF(W944&gt;W943,AU944,AV943+AU944)</f>
      </c>
      <c r="AW944" s="217">
        <f>+MAX($AM$2-SUMIF($W$7:$W$1066,W944,$AN$7:$AN$1066)-SUMIF($W$7:$W$1066,W944,$AS$7:$AS$1066),0)</f>
      </c>
      <c r="AX944" s="748">
        <f>+MAX(IF(AV944&gt;AW944,AW944-AV943,AU944),0)</f>
      </c>
      <c r="AY944" s="748">
        <f>+AU944-AX944</f>
      </c>
      <c r="AZ944" s="331">
        <f>+$AM$1+IF($AP$1&gt;$AP$2,$AM$3/2)</f>
      </c>
    </row>
    <row x14ac:dyDescent="0.25" r="945" customHeight="1" ht="18.75">
      <c r="A945" s="1"/>
      <c r="B945" s="7"/>
      <c r="C945" s="170"/>
      <c r="D945" s="331">
        <v>938</v>
      </c>
      <c r="E945" s="544">
        <f>+DATE(YEAR(E944),MONTH(E944)-1,DAY(E944))</f>
        <v>25569.041666666668</v>
      </c>
      <c r="F945" s="333">
        <f>IF(DATE(YEAR($B$6),MONTH($B$6)+1,DAY(1))=E945,1,IF(MONTH(E945)=1,F946*(1+$F$5),F946))</f>
      </c>
      <c r="G945" s="333">
        <f>IF('Simulador - 1º Pilar'!$E$99="Sí",IF('Aportaciones PPE'!$B$13&lt;'Aportaciones PPE'!E945,0,F945*$B$8/12),F945*$B$8/12)</f>
      </c>
      <c r="H945" s="333">
        <f>$H$5*G945</f>
      </c>
      <c r="I945" s="333">
        <f>$I$5*G945</f>
      </c>
      <c r="J945" s="333">
        <f>+I945</f>
      </c>
      <c r="K945" s="333">
        <f>(1+$O$5)^(D945/12)*(H945+IF(AND(F945=1,F946=0),$S$4,0))</f>
      </c>
      <c r="L945" s="333">
        <f>(1+$O$5)^(D945/12)*(I945+IF(AND(F945=1,F946=0),0))</f>
      </c>
      <c r="M945" s="333">
        <f>+L945</f>
      </c>
      <c r="N945" s="333">
        <f>L945+K945+M945</f>
      </c>
      <c r="O945" s="170"/>
      <c r="P945" s="7"/>
      <c r="Q945" s="1"/>
      <c r="R945" s="331">
        <f>D945</f>
      </c>
      <c r="S945" s="169"/>
      <c r="T945" s="1"/>
      <c r="U945" s="217"/>
      <c r="V945" s="331">
        <f>+IF(V944=11,12,IF(V944=12,1,V944+1))</f>
      </c>
      <c r="W945" s="331">
        <f>+W944+IF(V944=12,1,0)</f>
      </c>
      <c r="X945" s="555">
        <f>+DATE(W945,V945,1)</f>
        <v>25569.041666666668</v>
      </c>
      <c r="Y945" s="333">
        <f>+_xlfn.IFNA(AN945+AS945+AX945,0)</f>
      </c>
      <c r="Z945" s="333">
        <f>+_xlfn.IFNA(AO945+AT945+AY945,0)</f>
      </c>
      <c r="AA945" s="333">
        <f>Y945*(1+$O$5)^(($B$7-X945)/365.25)</f>
      </c>
      <c r="AB945" s="333">
        <f>Z945*(1+$O$5)^(($B$7-X945)/365.25)</f>
      </c>
      <c r="AC945" s="1"/>
      <c r="AD945" s="1"/>
      <c r="AE945" s="1"/>
      <c r="AF945" s="111">
        <f>+MONTH(E945)&amp;YEAR(E945)</f>
      </c>
      <c r="AG945" s="217">
        <f>+I945</f>
      </c>
      <c r="AH945" s="217">
        <f>+J945</f>
      </c>
      <c r="AI945" s="217">
        <f>+H945</f>
      </c>
      <c r="AJ945" s="111">
        <f>+V945&amp;W945</f>
      </c>
      <c r="AK945" s="217">
        <f>+_xlfn.IFNA(VLOOKUP(AJ945,$AF$7:$AG$1066,2,0),0)</f>
      </c>
      <c r="AL945" s="217">
        <f>+IF(W945&gt;W944,AK945,AL944+AK945)</f>
      </c>
      <c r="AM945" s="217">
        <f>IF(W945&gt;W944,IF(AL945&gt;=$AZ$8,$AZ$8,AL945),IF(OR(AM944=$AZ$8,AM944=0),0,IF(AL945&gt;=$AZ$8,$AZ$8,AL945)))</f>
      </c>
      <c r="AN945" s="748">
        <f>+IF(OR(AM945&gt;AZ944,AM945=0),0,IF(AM945=AL945,AK945,$AZ$7-AL944))</f>
      </c>
      <c r="AO945" s="748">
        <f>+AK945-AN945</f>
      </c>
      <c r="AP945" s="217">
        <f>+_xlfn.IFNA(VLOOKUP(AJ945,$AF$7:$AI$1066,3,0),0)</f>
      </c>
      <c r="AQ945" s="217">
        <f>+IF(W945&gt;W944,AP945,AQ944+AP945)</f>
      </c>
      <c r="AR945" s="217">
        <f>+MAX($AM$2-SUMIF($W$7:$W$1066,W945,$AN$7:$AN$1066),0)</f>
      </c>
      <c r="AS945" s="748">
        <f>+MAX(IF(AQ945&gt;AR945,AR945-AQ944,AP945),0)</f>
      </c>
      <c r="AT945" s="748">
        <f>+AP945-AS945</f>
      </c>
      <c r="AU945" s="217">
        <f>+_xlfn.IFNA(VLOOKUP(AJ945,$AF$7:$AI$1066,4,0),0)</f>
      </c>
      <c r="AV945" s="217">
        <f>+IF(W945&gt;W944,AU945,AV944+AU945)</f>
      </c>
      <c r="AW945" s="217">
        <f>+MAX($AM$2-SUMIF($W$7:$W$1066,W945,$AN$7:$AN$1066)-SUMIF($W$7:$W$1066,W945,$AS$7:$AS$1066),0)</f>
      </c>
      <c r="AX945" s="748">
        <f>+MAX(IF(AV945&gt;AW945,AW945-AV944,AU945),0)</f>
      </c>
      <c r="AY945" s="748">
        <f>+AU945-AX945</f>
      </c>
      <c r="AZ945" s="331">
        <f>+$AM$1+IF($AP$1&gt;$AP$2,$AM$3/2)</f>
      </c>
    </row>
    <row x14ac:dyDescent="0.25" r="946" customHeight="1" ht="18.75">
      <c r="A946" s="1"/>
      <c r="B946" s="7"/>
      <c r="C946" s="170"/>
      <c r="D946" s="331">
        <v>939</v>
      </c>
      <c r="E946" s="544">
        <f>+DATE(YEAR(E945),MONTH(E945)-1,DAY(E945))</f>
        <v>25569.041666666668</v>
      </c>
      <c r="F946" s="333">
        <f>IF(DATE(YEAR($B$6),MONTH($B$6)+1,DAY(1))=E946,1,IF(MONTH(E946)=1,F947*(1+$F$5),F947))</f>
      </c>
      <c r="G946" s="333">
        <f>IF('Simulador - 1º Pilar'!$E$99="Sí",IF('Aportaciones PPE'!$B$13&lt;'Aportaciones PPE'!E946,0,F946*$B$8/12),F946*$B$8/12)</f>
      </c>
      <c r="H946" s="333">
        <f>$H$5*G946</f>
      </c>
      <c r="I946" s="333">
        <f>$I$5*G946</f>
      </c>
      <c r="J946" s="333">
        <f>+I946</f>
      </c>
      <c r="K946" s="333">
        <f>(1+$O$5)^(D946/12)*(H946+IF(AND(F946=1,F947=0),$S$4,0))</f>
      </c>
      <c r="L946" s="333">
        <f>(1+$O$5)^(D946/12)*(I946+IF(AND(F946=1,F947=0),0))</f>
      </c>
      <c r="M946" s="333">
        <f>+L946</f>
      </c>
      <c r="N946" s="333">
        <f>L946+K946+M946</f>
      </c>
      <c r="O946" s="170"/>
      <c r="P946" s="7"/>
      <c r="Q946" s="1"/>
      <c r="R946" s="331">
        <f>D946</f>
      </c>
      <c r="S946" s="169"/>
      <c r="T946" s="1"/>
      <c r="U946" s="217"/>
      <c r="V946" s="331">
        <f>+IF(V945=11,12,IF(V945=12,1,V945+1))</f>
      </c>
      <c r="W946" s="331">
        <f>+W945+IF(V945=12,1,0)</f>
      </c>
      <c r="X946" s="555">
        <f>+DATE(W946,V946,1)</f>
        <v>25569.041666666668</v>
      </c>
      <c r="Y946" s="333">
        <f>+_xlfn.IFNA(AN946+AS946+AX946,0)</f>
      </c>
      <c r="Z946" s="333">
        <f>+_xlfn.IFNA(AO946+AT946+AY946,0)</f>
      </c>
      <c r="AA946" s="333">
        <f>Y946*(1+$O$5)^(($B$7-X946)/365.25)</f>
      </c>
      <c r="AB946" s="333">
        <f>Z946*(1+$O$5)^(($B$7-X946)/365.25)</f>
      </c>
      <c r="AC946" s="1"/>
      <c r="AD946" s="1"/>
      <c r="AE946" s="1"/>
      <c r="AF946" s="111">
        <f>+MONTH(E946)&amp;YEAR(E946)</f>
      </c>
      <c r="AG946" s="217">
        <f>+I946</f>
      </c>
      <c r="AH946" s="217">
        <f>+J946</f>
      </c>
      <c r="AI946" s="217">
        <f>+H946</f>
      </c>
      <c r="AJ946" s="111">
        <f>+V946&amp;W946</f>
      </c>
      <c r="AK946" s="217">
        <f>+_xlfn.IFNA(VLOOKUP(AJ946,$AF$7:$AG$1066,2,0),0)</f>
      </c>
      <c r="AL946" s="217">
        <f>+IF(W946&gt;W945,AK946,AL945+AK946)</f>
      </c>
      <c r="AM946" s="217">
        <f>IF(W946&gt;W945,IF(AL946&gt;=$AZ$8,$AZ$8,AL946),IF(OR(AM945=$AZ$8,AM945=0),0,IF(AL946&gt;=$AZ$8,$AZ$8,AL946)))</f>
      </c>
      <c r="AN946" s="748">
        <f>+IF(OR(AM946&gt;AZ945,AM946=0),0,IF(AM946=AL946,AK946,$AZ$7-AL945))</f>
      </c>
      <c r="AO946" s="748">
        <f>+AK946-AN946</f>
      </c>
      <c r="AP946" s="217">
        <f>+_xlfn.IFNA(VLOOKUP(AJ946,$AF$7:$AI$1066,3,0),0)</f>
      </c>
      <c r="AQ946" s="217">
        <f>+IF(W946&gt;W945,AP946,AQ945+AP946)</f>
      </c>
      <c r="AR946" s="217">
        <f>+MAX($AM$2-SUMIF($W$7:$W$1066,W946,$AN$7:$AN$1066),0)</f>
      </c>
      <c r="AS946" s="748">
        <f>+MAX(IF(AQ946&gt;AR946,AR946-AQ945,AP946),0)</f>
      </c>
      <c r="AT946" s="748">
        <f>+AP946-AS946</f>
      </c>
      <c r="AU946" s="217">
        <f>+_xlfn.IFNA(VLOOKUP(AJ946,$AF$7:$AI$1066,4,0),0)</f>
      </c>
      <c r="AV946" s="217">
        <f>+IF(W946&gt;W945,AU946,AV945+AU946)</f>
      </c>
      <c r="AW946" s="217">
        <f>+MAX($AM$2-SUMIF($W$7:$W$1066,W946,$AN$7:$AN$1066)-SUMIF($W$7:$W$1066,W946,$AS$7:$AS$1066),0)</f>
      </c>
      <c r="AX946" s="748">
        <f>+MAX(IF(AV946&gt;AW946,AW946-AV945,AU946),0)</f>
      </c>
      <c r="AY946" s="748">
        <f>+AU946-AX946</f>
      </c>
      <c r="AZ946" s="331">
        <f>+$AM$1+IF($AP$1&gt;$AP$2,$AM$3/2)</f>
      </c>
    </row>
    <row x14ac:dyDescent="0.25" r="947" customHeight="1" ht="18.75">
      <c r="A947" s="1"/>
      <c r="B947" s="7"/>
      <c r="C947" s="170"/>
      <c r="D947" s="331">
        <v>940</v>
      </c>
      <c r="E947" s="544">
        <f>+DATE(YEAR(E946),MONTH(E946)-1,DAY(E946))</f>
        <v>25569.041666666668</v>
      </c>
      <c r="F947" s="333">
        <f>IF(DATE(YEAR($B$6),MONTH($B$6)+1,DAY(1))=E947,1,IF(MONTH(E947)=1,F948*(1+$F$5),F948))</f>
      </c>
      <c r="G947" s="333">
        <f>IF('Simulador - 1º Pilar'!$E$99="Sí",IF('Aportaciones PPE'!$B$13&lt;'Aportaciones PPE'!E947,0,F947*$B$8/12),F947*$B$8/12)</f>
      </c>
      <c r="H947" s="333">
        <f>$H$5*G947</f>
      </c>
      <c r="I947" s="333">
        <f>$I$5*G947</f>
      </c>
      <c r="J947" s="333">
        <f>+I947</f>
      </c>
      <c r="K947" s="333">
        <f>(1+$O$5)^(D947/12)*(H947+IF(AND(F947=1,F948=0),$S$4,0))</f>
      </c>
      <c r="L947" s="333">
        <f>(1+$O$5)^(D947/12)*(I947+IF(AND(F947=1,F948=0),0))</f>
      </c>
      <c r="M947" s="333">
        <f>+L947</f>
      </c>
      <c r="N947" s="333">
        <f>L947+K947+M947</f>
      </c>
      <c r="O947" s="170"/>
      <c r="P947" s="7"/>
      <c r="Q947" s="1"/>
      <c r="R947" s="331">
        <f>D947</f>
      </c>
      <c r="S947" s="169"/>
      <c r="T947" s="1"/>
      <c r="U947" s="217"/>
      <c r="V947" s="331">
        <f>+IF(V946=11,12,IF(V946=12,1,V946+1))</f>
      </c>
      <c r="W947" s="331">
        <f>+W946+IF(V946=12,1,0)</f>
      </c>
      <c r="X947" s="555">
        <f>+DATE(W947,V947,1)</f>
        <v>25569.041666666668</v>
      </c>
      <c r="Y947" s="333">
        <f>+_xlfn.IFNA(AN947+AS947+AX947,0)</f>
      </c>
      <c r="Z947" s="333">
        <f>+_xlfn.IFNA(AO947+AT947+AY947,0)</f>
      </c>
      <c r="AA947" s="333">
        <f>Y947*(1+$O$5)^(($B$7-X947)/365.25)</f>
      </c>
      <c r="AB947" s="333">
        <f>Z947*(1+$O$5)^(($B$7-X947)/365.25)</f>
      </c>
      <c r="AC947" s="1"/>
      <c r="AD947" s="1"/>
      <c r="AE947" s="1"/>
      <c r="AF947" s="111">
        <f>+MONTH(E947)&amp;YEAR(E947)</f>
      </c>
      <c r="AG947" s="217">
        <f>+I947</f>
      </c>
      <c r="AH947" s="217">
        <f>+J947</f>
      </c>
      <c r="AI947" s="217">
        <f>+H947</f>
      </c>
      <c r="AJ947" s="111">
        <f>+V947&amp;W947</f>
      </c>
      <c r="AK947" s="217">
        <f>+_xlfn.IFNA(VLOOKUP(AJ947,$AF$7:$AG$1066,2,0),0)</f>
      </c>
      <c r="AL947" s="217">
        <f>+IF(W947&gt;W946,AK947,AL946+AK947)</f>
      </c>
      <c r="AM947" s="217">
        <f>IF(W947&gt;W946,IF(AL947&gt;=$AZ$8,$AZ$8,AL947),IF(OR(AM946=$AZ$8,AM946=0),0,IF(AL947&gt;=$AZ$8,$AZ$8,AL947)))</f>
      </c>
      <c r="AN947" s="748">
        <f>+IF(OR(AM947&gt;AZ946,AM947=0),0,IF(AM947=AL947,AK947,$AZ$7-AL946))</f>
      </c>
      <c r="AO947" s="748">
        <f>+AK947-AN947</f>
      </c>
      <c r="AP947" s="217">
        <f>+_xlfn.IFNA(VLOOKUP(AJ947,$AF$7:$AI$1066,3,0),0)</f>
      </c>
      <c r="AQ947" s="217">
        <f>+IF(W947&gt;W946,AP947,AQ946+AP947)</f>
      </c>
      <c r="AR947" s="217">
        <f>+MAX($AM$2-SUMIF($W$7:$W$1066,W947,$AN$7:$AN$1066),0)</f>
      </c>
      <c r="AS947" s="748">
        <f>+MAX(IF(AQ947&gt;AR947,AR947-AQ946,AP947),0)</f>
      </c>
      <c r="AT947" s="748">
        <f>+AP947-AS947</f>
      </c>
      <c r="AU947" s="217">
        <f>+_xlfn.IFNA(VLOOKUP(AJ947,$AF$7:$AI$1066,4,0),0)</f>
      </c>
      <c r="AV947" s="217">
        <f>+IF(W947&gt;W946,AU947,AV946+AU947)</f>
      </c>
      <c r="AW947" s="217">
        <f>+MAX($AM$2-SUMIF($W$7:$W$1066,W947,$AN$7:$AN$1066)-SUMIF($W$7:$W$1066,W947,$AS$7:$AS$1066),0)</f>
      </c>
      <c r="AX947" s="748">
        <f>+MAX(IF(AV947&gt;AW947,AW947-AV946,AU947),0)</f>
      </c>
      <c r="AY947" s="748">
        <f>+AU947-AX947</f>
      </c>
      <c r="AZ947" s="331">
        <f>+$AM$1+IF($AP$1&gt;$AP$2,$AM$3/2)</f>
      </c>
    </row>
    <row x14ac:dyDescent="0.25" r="948" customHeight="1" ht="18.75">
      <c r="A948" s="1"/>
      <c r="B948" s="7"/>
      <c r="C948" s="170"/>
      <c r="D948" s="331">
        <v>941</v>
      </c>
      <c r="E948" s="544">
        <f>+DATE(YEAR(E947),MONTH(E947)-1,DAY(E947))</f>
        <v>25569.041666666668</v>
      </c>
      <c r="F948" s="333">
        <f>IF(DATE(YEAR($B$6),MONTH($B$6)+1,DAY(1))=E948,1,IF(MONTH(E948)=1,F949*(1+$F$5),F949))</f>
      </c>
      <c r="G948" s="333">
        <f>IF('Simulador - 1º Pilar'!$E$99="Sí",IF('Aportaciones PPE'!$B$13&lt;'Aportaciones PPE'!E948,0,F948*$B$8/12),F948*$B$8/12)</f>
      </c>
      <c r="H948" s="333">
        <f>$H$5*G948</f>
      </c>
      <c r="I948" s="333">
        <f>$I$5*G948</f>
      </c>
      <c r="J948" s="333">
        <f>+I948</f>
      </c>
      <c r="K948" s="333">
        <f>(1+$O$5)^(D948/12)*(H948+IF(AND(F948=1,F949=0),$S$4,0))</f>
      </c>
      <c r="L948" s="333">
        <f>(1+$O$5)^(D948/12)*(I948+IF(AND(F948=1,F949=0),0))</f>
      </c>
      <c r="M948" s="333">
        <f>+L948</f>
      </c>
      <c r="N948" s="333">
        <f>L948+K948+M948</f>
      </c>
      <c r="O948" s="170"/>
      <c r="P948" s="7"/>
      <c r="Q948" s="1"/>
      <c r="R948" s="331">
        <f>D948</f>
      </c>
      <c r="S948" s="169"/>
      <c r="T948" s="1"/>
      <c r="U948" s="217"/>
      <c r="V948" s="331">
        <f>+IF(V947=11,12,IF(V947=12,1,V947+1))</f>
      </c>
      <c r="W948" s="331">
        <f>+W947+IF(V947=12,1,0)</f>
      </c>
      <c r="X948" s="555">
        <f>+DATE(W948,V948,1)</f>
        <v>25569.041666666668</v>
      </c>
      <c r="Y948" s="333">
        <f>+_xlfn.IFNA(AN948+AS948+AX948,0)</f>
      </c>
      <c r="Z948" s="333">
        <f>+_xlfn.IFNA(AO948+AT948+AY948,0)</f>
      </c>
      <c r="AA948" s="333">
        <f>Y948*(1+$O$5)^(($B$7-X948)/365.25)</f>
      </c>
      <c r="AB948" s="333">
        <f>Z948*(1+$O$5)^(($B$7-X948)/365.25)</f>
      </c>
      <c r="AC948" s="1"/>
      <c r="AD948" s="1"/>
      <c r="AE948" s="1"/>
      <c r="AF948" s="111">
        <f>+MONTH(E948)&amp;YEAR(E948)</f>
      </c>
      <c r="AG948" s="217">
        <f>+I948</f>
      </c>
      <c r="AH948" s="217">
        <f>+J948</f>
      </c>
      <c r="AI948" s="217">
        <f>+H948</f>
      </c>
      <c r="AJ948" s="111">
        <f>+V948&amp;W948</f>
      </c>
      <c r="AK948" s="217">
        <f>+_xlfn.IFNA(VLOOKUP(AJ948,$AF$7:$AG$1066,2,0),0)</f>
      </c>
      <c r="AL948" s="217">
        <f>+IF(W948&gt;W947,AK948,AL947+AK948)</f>
      </c>
      <c r="AM948" s="217">
        <f>IF(W948&gt;W947,IF(AL948&gt;=$AZ$8,$AZ$8,AL948),IF(OR(AM947=$AZ$8,AM947=0),0,IF(AL948&gt;=$AZ$8,$AZ$8,AL948)))</f>
      </c>
      <c r="AN948" s="748">
        <f>+IF(OR(AM948&gt;AZ947,AM948=0),0,IF(AM948=AL948,AK948,$AZ$7-AL947))</f>
      </c>
      <c r="AO948" s="748">
        <f>+AK948-AN948</f>
      </c>
      <c r="AP948" s="217">
        <f>+_xlfn.IFNA(VLOOKUP(AJ948,$AF$7:$AI$1066,3,0),0)</f>
      </c>
      <c r="AQ948" s="217">
        <f>+IF(W948&gt;W947,AP948,AQ947+AP948)</f>
      </c>
      <c r="AR948" s="217">
        <f>+MAX($AM$2-SUMIF($W$7:$W$1066,W948,$AN$7:$AN$1066),0)</f>
      </c>
      <c r="AS948" s="748">
        <f>+MAX(IF(AQ948&gt;AR948,AR948-AQ947,AP948),0)</f>
      </c>
      <c r="AT948" s="748">
        <f>+AP948-AS948</f>
      </c>
      <c r="AU948" s="217">
        <f>+_xlfn.IFNA(VLOOKUP(AJ948,$AF$7:$AI$1066,4,0),0)</f>
      </c>
      <c r="AV948" s="217">
        <f>+IF(W948&gt;W947,AU948,AV947+AU948)</f>
      </c>
      <c r="AW948" s="217">
        <f>+MAX($AM$2-SUMIF($W$7:$W$1066,W948,$AN$7:$AN$1066)-SUMIF($W$7:$W$1066,W948,$AS$7:$AS$1066),0)</f>
      </c>
      <c r="AX948" s="748">
        <f>+MAX(IF(AV948&gt;AW948,AW948-AV947,AU948),0)</f>
      </c>
      <c r="AY948" s="748">
        <f>+AU948-AX948</f>
      </c>
      <c r="AZ948" s="331">
        <f>+$AM$1+IF($AP$1&gt;$AP$2,$AM$3/2)</f>
      </c>
    </row>
    <row x14ac:dyDescent="0.25" r="949" customHeight="1" ht="18.75">
      <c r="A949" s="1"/>
      <c r="B949" s="7"/>
      <c r="C949" s="170"/>
      <c r="D949" s="331">
        <v>942</v>
      </c>
      <c r="E949" s="544">
        <f>+DATE(YEAR(E948),MONTH(E948)-1,DAY(E948))</f>
        <v>25569.041666666668</v>
      </c>
      <c r="F949" s="333">
        <f>IF(DATE(YEAR($B$6),MONTH($B$6)+1,DAY(1))=E949,1,IF(MONTH(E949)=1,F950*(1+$F$5),F950))</f>
      </c>
      <c r="G949" s="333">
        <f>IF('Simulador - 1º Pilar'!$E$99="Sí",IF('Aportaciones PPE'!$B$13&lt;'Aportaciones PPE'!E949,0,F949*$B$8/12),F949*$B$8/12)</f>
      </c>
      <c r="H949" s="333">
        <f>$H$5*G949</f>
      </c>
      <c r="I949" s="333">
        <f>$I$5*G949</f>
      </c>
      <c r="J949" s="333">
        <f>+I949</f>
      </c>
      <c r="K949" s="333">
        <f>(1+$O$5)^(D949/12)*(H949+IF(AND(F949=1,F950=0),$S$4,0))</f>
      </c>
      <c r="L949" s="333">
        <f>(1+$O$5)^(D949/12)*(I949+IF(AND(F949=1,F950=0),0))</f>
      </c>
      <c r="M949" s="333">
        <f>+L949</f>
      </c>
      <c r="N949" s="333">
        <f>L949+K949+M949</f>
      </c>
      <c r="O949" s="170"/>
      <c r="P949" s="7"/>
      <c r="Q949" s="1"/>
      <c r="R949" s="331">
        <f>D949</f>
      </c>
      <c r="S949" s="169"/>
      <c r="T949" s="1"/>
      <c r="U949" s="217"/>
      <c r="V949" s="331">
        <f>+IF(V948=11,12,IF(V948=12,1,V948+1))</f>
      </c>
      <c r="W949" s="331">
        <f>+W948+IF(V948=12,1,0)</f>
      </c>
      <c r="X949" s="555">
        <f>+DATE(W949,V949,1)</f>
        <v>25569.041666666668</v>
      </c>
      <c r="Y949" s="333">
        <f>+_xlfn.IFNA(AN949+AS949+AX949,0)</f>
      </c>
      <c r="Z949" s="333">
        <f>+_xlfn.IFNA(AO949+AT949+AY949,0)</f>
      </c>
      <c r="AA949" s="333">
        <f>Y949*(1+$O$5)^(($B$7-X949)/365.25)</f>
      </c>
      <c r="AB949" s="333">
        <f>Z949*(1+$O$5)^(($B$7-X949)/365.25)</f>
      </c>
      <c r="AC949" s="1"/>
      <c r="AD949" s="1"/>
      <c r="AE949" s="1"/>
      <c r="AF949" s="111">
        <f>+MONTH(E949)&amp;YEAR(E949)</f>
      </c>
      <c r="AG949" s="217">
        <f>+I949</f>
      </c>
      <c r="AH949" s="217">
        <f>+J949</f>
      </c>
      <c r="AI949" s="217">
        <f>+H949</f>
      </c>
      <c r="AJ949" s="111">
        <f>+V949&amp;W949</f>
      </c>
      <c r="AK949" s="217">
        <f>+_xlfn.IFNA(VLOOKUP(AJ949,$AF$7:$AG$1066,2,0),0)</f>
      </c>
      <c r="AL949" s="217">
        <f>+IF(W949&gt;W948,AK949,AL948+AK949)</f>
      </c>
      <c r="AM949" s="217">
        <f>IF(W949&gt;W948,IF(AL949&gt;=$AZ$8,$AZ$8,AL949),IF(OR(AM948=$AZ$8,AM948=0),0,IF(AL949&gt;=$AZ$8,$AZ$8,AL949)))</f>
      </c>
      <c r="AN949" s="748">
        <f>+IF(OR(AM949&gt;AZ948,AM949=0),0,IF(AM949=AL949,AK949,$AZ$7-AL948))</f>
      </c>
      <c r="AO949" s="748">
        <f>+AK949-AN949</f>
      </c>
      <c r="AP949" s="217">
        <f>+_xlfn.IFNA(VLOOKUP(AJ949,$AF$7:$AI$1066,3,0),0)</f>
      </c>
      <c r="AQ949" s="217">
        <f>+IF(W949&gt;W948,AP949,AQ948+AP949)</f>
      </c>
      <c r="AR949" s="217">
        <f>+MAX($AM$2-SUMIF($W$7:$W$1066,W949,$AN$7:$AN$1066),0)</f>
      </c>
      <c r="AS949" s="748">
        <f>+MAX(IF(AQ949&gt;AR949,AR949-AQ948,AP949),0)</f>
      </c>
      <c r="AT949" s="748">
        <f>+AP949-AS949</f>
      </c>
      <c r="AU949" s="217">
        <f>+_xlfn.IFNA(VLOOKUP(AJ949,$AF$7:$AI$1066,4,0),0)</f>
      </c>
      <c r="AV949" s="217">
        <f>+IF(W949&gt;W948,AU949,AV948+AU949)</f>
      </c>
      <c r="AW949" s="217">
        <f>+MAX($AM$2-SUMIF($W$7:$W$1066,W949,$AN$7:$AN$1066)-SUMIF($W$7:$W$1066,W949,$AS$7:$AS$1066),0)</f>
      </c>
      <c r="AX949" s="748">
        <f>+MAX(IF(AV949&gt;AW949,AW949-AV948,AU949),0)</f>
      </c>
      <c r="AY949" s="748">
        <f>+AU949-AX949</f>
      </c>
      <c r="AZ949" s="331">
        <f>+$AM$1+IF($AP$1&gt;$AP$2,$AM$3/2)</f>
      </c>
    </row>
    <row x14ac:dyDescent="0.25" r="950" customHeight="1" ht="18.75">
      <c r="A950" s="1"/>
      <c r="B950" s="7"/>
      <c r="C950" s="170"/>
      <c r="D950" s="331">
        <v>943</v>
      </c>
      <c r="E950" s="544">
        <f>+DATE(YEAR(E949),MONTH(E949)-1,DAY(E949))</f>
        <v>25569.041666666668</v>
      </c>
      <c r="F950" s="333">
        <f>IF(DATE(YEAR($B$6),MONTH($B$6)+1,DAY(1))=E950,1,IF(MONTH(E950)=1,F951*(1+$F$5),F951))</f>
      </c>
      <c r="G950" s="333">
        <f>IF('Simulador - 1º Pilar'!$E$99="Sí",IF('Aportaciones PPE'!$B$13&lt;'Aportaciones PPE'!E950,0,F950*$B$8/12),F950*$B$8/12)</f>
      </c>
      <c r="H950" s="333">
        <f>$H$5*G950</f>
      </c>
      <c r="I950" s="333">
        <f>$I$5*G950</f>
      </c>
      <c r="J950" s="333">
        <f>+I950</f>
      </c>
      <c r="K950" s="333">
        <f>(1+$O$5)^(D950/12)*(H950+IF(AND(F950=1,F951=0),$S$4,0))</f>
      </c>
      <c r="L950" s="333">
        <f>(1+$O$5)^(D950/12)*(I950+IF(AND(F950=1,F951=0),0))</f>
      </c>
      <c r="M950" s="333">
        <f>+L950</f>
      </c>
      <c r="N950" s="333">
        <f>L950+K950+M950</f>
      </c>
      <c r="O950" s="170"/>
      <c r="P950" s="7"/>
      <c r="Q950" s="1"/>
      <c r="R950" s="331">
        <f>D950</f>
      </c>
      <c r="S950" s="169"/>
      <c r="T950" s="1"/>
      <c r="U950" s="217"/>
      <c r="V950" s="331">
        <f>+IF(V949=11,12,IF(V949=12,1,V949+1))</f>
      </c>
      <c r="W950" s="331">
        <f>+W949+IF(V949=12,1,0)</f>
      </c>
      <c r="X950" s="555">
        <f>+DATE(W950,V950,1)</f>
        <v>25569.041666666668</v>
      </c>
      <c r="Y950" s="333">
        <f>+_xlfn.IFNA(AN950+AS950+AX950,0)</f>
      </c>
      <c r="Z950" s="333">
        <f>+_xlfn.IFNA(AO950+AT950+AY950,0)</f>
      </c>
      <c r="AA950" s="333">
        <f>Y950*(1+$O$5)^(($B$7-X950)/365.25)</f>
      </c>
      <c r="AB950" s="333">
        <f>Z950*(1+$O$5)^(($B$7-X950)/365.25)</f>
      </c>
      <c r="AC950" s="1"/>
      <c r="AD950" s="1"/>
      <c r="AE950" s="1"/>
      <c r="AF950" s="111">
        <f>+MONTH(E950)&amp;YEAR(E950)</f>
      </c>
      <c r="AG950" s="217">
        <f>+I950</f>
      </c>
      <c r="AH950" s="217">
        <f>+J950</f>
      </c>
      <c r="AI950" s="217">
        <f>+H950</f>
      </c>
      <c r="AJ950" s="111">
        <f>+V950&amp;W950</f>
      </c>
      <c r="AK950" s="217">
        <f>+_xlfn.IFNA(VLOOKUP(AJ950,$AF$7:$AG$1066,2,0),0)</f>
      </c>
      <c r="AL950" s="217">
        <f>+IF(W950&gt;W949,AK950,AL949+AK950)</f>
      </c>
      <c r="AM950" s="217">
        <f>IF(W950&gt;W949,IF(AL950&gt;=$AZ$8,$AZ$8,AL950),IF(OR(AM949=$AZ$8,AM949=0),0,IF(AL950&gt;=$AZ$8,$AZ$8,AL950)))</f>
      </c>
      <c r="AN950" s="748">
        <f>+IF(OR(AM950&gt;AZ949,AM950=0),0,IF(AM950=AL950,AK950,$AZ$7-AL949))</f>
      </c>
      <c r="AO950" s="748">
        <f>+AK950-AN950</f>
      </c>
      <c r="AP950" s="217">
        <f>+_xlfn.IFNA(VLOOKUP(AJ950,$AF$7:$AI$1066,3,0),0)</f>
      </c>
      <c r="AQ950" s="217">
        <f>+IF(W950&gt;W949,AP950,AQ949+AP950)</f>
      </c>
      <c r="AR950" s="217">
        <f>+MAX($AM$2-SUMIF($W$7:$W$1066,W950,$AN$7:$AN$1066),0)</f>
      </c>
      <c r="AS950" s="748">
        <f>+MAX(IF(AQ950&gt;AR950,AR950-AQ949,AP950),0)</f>
      </c>
      <c r="AT950" s="748">
        <f>+AP950-AS950</f>
      </c>
      <c r="AU950" s="217">
        <f>+_xlfn.IFNA(VLOOKUP(AJ950,$AF$7:$AI$1066,4,0),0)</f>
      </c>
      <c r="AV950" s="217">
        <f>+IF(W950&gt;W949,AU950,AV949+AU950)</f>
      </c>
      <c r="AW950" s="217">
        <f>+MAX($AM$2-SUMIF($W$7:$W$1066,W950,$AN$7:$AN$1066)-SUMIF($W$7:$W$1066,W950,$AS$7:$AS$1066),0)</f>
      </c>
      <c r="AX950" s="748">
        <f>+MAX(IF(AV950&gt;AW950,AW950-AV949,AU950),0)</f>
      </c>
      <c r="AY950" s="748">
        <f>+AU950-AX950</f>
      </c>
      <c r="AZ950" s="331">
        <f>+$AM$1+IF($AP$1&gt;$AP$2,$AM$3/2)</f>
      </c>
    </row>
    <row x14ac:dyDescent="0.25" r="951" customHeight="1" ht="18.75">
      <c r="A951" s="1"/>
      <c r="B951" s="7"/>
      <c r="C951" s="170"/>
      <c r="D951" s="331">
        <v>944</v>
      </c>
      <c r="E951" s="544">
        <f>+DATE(YEAR(E950),MONTH(E950)-1,DAY(E950))</f>
        <v>25569.041666666668</v>
      </c>
      <c r="F951" s="333">
        <f>IF(DATE(YEAR($B$6),MONTH($B$6)+1,DAY(1))=E951,1,IF(MONTH(E951)=1,F952*(1+$F$5),F952))</f>
      </c>
      <c r="G951" s="333">
        <f>IF('Simulador - 1º Pilar'!$E$99="Sí",IF('Aportaciones PPE'!$B$13&lt;'Aportaciones PPE'!E951,0,F951*$B$8/12),F951*$B$8/12)</f>
      </c>
      <c r="H951" s="333">
        <f>$H$5*G951</f>
      </c>
      <c r="I951" s="333">
        <f>$I$5*G951</f>
      </c>
      <c r="J951" s="333">
        <f>+I951</f>
      </c>
      <c r="K951" s="333">
        <f>(1+$O$5)^(D951/12)*(H951+IF(AND(F951=1,F952=0),$S$4,0))</f>
      </c>
      <c r="L951" s="333">
        <f>(1+$O$5)^(D951/12)*(I951+IF(AND(F951=1,F952=0),0))</f>
      </c>
      <c r="M951" s="333">
        <f>+L951</f>
      </c>
      <c r="N951" s="333">
        <f>L951+K951+M951</f>
      </c>
      <c r="O951" s="170"/>
      <c r="P951" s="7"/>
      <c r="Q951" s="1"/>
      <c r="R951" s="331">
        <f>D951</f>
      </c>
      <c r="S951" s="169"/>
      <c r="T951" s="1"/>
      <c r="U951" s="217"/>
      <c r="V951" s="331">
        <f>+IF(V950=11,12,IF(V950=12,1,V950+1))</f>
      </c>
      <c r="W951" s="331">
        <f>+W950+IF(V950=12,1,0)</f>
      </c>
      <c r="X951" s="555">
        <f>+DATE(W951,V951,1)</f>
        <v>25569.041666666668</v>
      </c>
      <c r="Y951" s="333">
        <f>+_xlfn.IFNA(AN951+AS951+AX951,0)</f>
      </c>
      <c r="Z951" s="333">
        <f>+_xlfn.IFNA(AO951+AT951+AY951,0)</f>
      </c>
      <c r="AA951" s="333">
        <f>Y951*(1+$O$5)^(($B$7-X951)/365.25)</f>
      </c>
      <c r="AB951" s="333">
        <f>Z951*(1+$O$5)^(($B$7-X951)/365.25)</f>
      </c>
      <c r="AC951" s="1"/>
      <c r="AD951" s="1"/>
      <c r="AE951" s="1"/>
      <c r="AF951" s="111">
        <f>+MONTH(E951)&amp;YEAR(E951)</f>
      </c>
      <c r="AG951" s="217">
        <f>+I951</f>
      </c>
      <c r="AH951" s="217">
        <f>+J951</f>
      </c>
      <c r="AI951" s="217">
        <f>+H951</f>
      </c>
      <c r="AJ951" s="111">
        <f>+V951&amp;W951</f>
      </c>
      <c r="AK951" s="217">
        <f>+_xlfn.IFNA(VLOOKUP(AJ951,$AF$7:$AG$1066,2,0),0)</f>
      </c>
      <c r="AL951" s="217">
        <f>+IF(W951&gt;W950,AK951,AL950+AK951)</f>
      </c>
      <c r="AM951" s="217">
        <f>IF(W951&gt;W950,IF(AL951&gt;=$AZ$8,$AZ$8,AL951),IF(OR(AM950=$AZ$8,AM950=0),0,IF(AL951&gt;=$AZ$8,$AZ$8,AL951)))</f>
      </c>
      <c r="AN951" s="748">
        <f>+IF(OR(AM951&gt;AZ950,AM951=0),0,IF(AM951=AL951,AK951,$AZ$7-AL950))</f>
      </c>
      <c r="AO951" s="748">
        <f>+AK951-AN951</f>
      </c>
      <c r="AP951" s="217">
        <f>+_xlfn.IFNA(VLOOKUP(AJ951,$AF$7:$AI$1066,3,0),0)</f>
      </c>
      <c r="AQ951" s="217">
        <f>+IF(W951&gt;W950,AP951,AQ950+AP951)</f>
      </c>
      <c r="AR951" s="217">
        <f>+MAX($AM$2-SUMIF($W$7:$W$1066,W951,$AN$7:$AN$1066),0)</f>
      </c>
      <c r="AS951" s="748">
        <f>+MAX(IF(AQ951&gt;AR951,AR951-AQ950,AP951),0)</f>
      </c>
      <c r="AT951" s="748">
        <f>+AP951-AS951</f>
      </c>
      <c r="AU951" s="217">
        <f>+_xlfn.IFNA(VLOOKUP(AJ951,$AF$7:$AI$1066,4,0),0)</f>
      </c>
      <c r="AV951" s="217">
        <f>+IF(W951&gt;W950,AU951,AV950+AU951)</f>
      </c>
      <c r="AW951" s="217">
        <f>+MAX($AM$2-SUMIF($W$7:$W$1066,W951,$AN$7:$AN$1066)-SUMIF($W$7:$W$1066,W951,$AS$7:$AS$1066),0)</f>
      </c>
      <c r="AX951" s="748">
        <f>+MAX(IF(AV951&gt;AW951,AW951-AV950,AU951),0)</f>
      </c>
      <c r="AY951" s="748">
        <f>+AU951-AX951</f>
      </c>
      <c r="AZ951" s="331">
        <f>+$AM$1+IF($AP$1&gt;$AP$2,$AM$3/2)</f>
      </c>
    </row>
    <row x14ac:dyDescent="0.25" r="952" customHeight="1" ht="18.75">
      <c r="A952" s="1"/>
      <c r="B952" s="7"/>
      <c r="C952" s="170"/>
      <c r="D952" s="331">
        <v>945</v>
      </c>
      <c r="E952" s="544">
        <f>+DATE(YEAR(E951),MONTH(E951)-1,DAY(E951))</f>
        <v>25569.041666666668</v>
      </c>
      <c r="F952" s="333">
        <f>IF(DATE(YEAR($B$6),MONTH($B$6)+1,DAY(1))=E952,1,IF(MONTH(E952)=1,F953*(1+$F$5),F953))</f>
      </c>
      <c r="G952" s="333">
        <f>IF('Simulador - 1º Pilar'!$E$99="Sí",IF('Aportaciones PPE'!$B$13&lt;'Aportaciones PPE'!E952,0,F952*$B$8/12),F952*$B$8/12)</f>
      </c>
      <c r="H952" s="333">
        <f>$H$5*G952</f>
      </c>
      <c r="I952" s="333">
        <f>$I$5*G952</f>
      </c>
      <c r="J952" s="333">
        <f>+I952</f>
      </c>
      <c r="K952" s="333">
        <f>(1+$O$5)^(D952/12)*(H952+IF(AND(F952=1,F953=0),$S$4,0))</f>
      </c>
      <c r="L952" s="333">
        <f>(1+$O$5)^(D952/12)*(I952+IF(AND(F952=1,F953=0),0))</f>
      </c>
      <c r="M952" s="333">
        <f>+L952</f>
      </c>
      <c r="N952" s="333">
        <f>L952+K952+M952</f>
      </c>
      <c r="O952" s="170"/>
      <c r="P952" s="7"/>
      <c r="Q952" s="1"/>
      <c r="R952" s="331">
        <f>D952</f>
      </c>
      <c r="S952" s="169"/>
      <c r="T952" s="1"/>
      <c r="U952" s="217"/>
      <c r="V952" s="331">
        <f>+IF(V951=11,12,IF(V951=12,1,V951+1))</f>
      </c>
      <c r="W952" s="331">
        <f>+W951+IF(V951=12,1,0)</f>
      </c>
      <c r="X952" s="555">
        <f>+DATE(W952,V952,1)</f>
        <v>25569.041666666668</v>
      </c>
      <c r="Y952" s="333">
        <f>+_xlfn.IFNA(AN952+AS952+AX952,0)</f>
      </c>
      <c r="Z952" s="333">
        <f>+_xlfn.IFNA(AO952+AT952+AY952,0)</f>
      </c>
      <c r="AA952" s="333">
        <f>Y952*(1+$O$5)^(($B$7-X952)/365.25)</f>
      </c>
      <c r="AB952" s="333">
        <f>Z952*(1+$O$5)^(($B$7-X952)/365.25)</f>
      </c>
      <c r="AC952" s="1"/>
      <c r="AD952" s="1"/>
      <c r="AE952" s="1"/>
      <c r="AF952" s="111">
        <f>+MONTH(E952)&amp;YEAR(E952)</f>
      </c>
      <c r="AG952" s="217">
        <f>+I952</f>
      </c>
      <c r="AH952" s="217">
        <f>+J952</f>
      </c>
      <c r="AI952" s="217">
        <f>+H952</f>
      </c>
      <c r="AJ952" s="111">
        <f>+V952&amp;W952</f>
      </c>
      <c r="AK952" s="217">
        <f>+_xlfn.IFNA(VLOOKUP(AJ952,$AF$7:$AG$1066,2,0),0)</f>
      </c>
      <c r="AL952" s="217">
        <f>+IF(W952&gt;W951,AK952,AL951+AK952)</f>
      </c>
      <c r="AM952" s="217">
        <f>IF(W952&gt;W951,IF(AL952&gt;=$AZ$8,$AZ$8,AL952),IF(OR(AM951=$AZ$8,AM951=0),0,IF(AL952&gt;=$AZ$8,$AZ$8,AL952)))</f>
      </c>
      <c r="AN952" s="748">
        <f>+IF(OR(AM952&gt;AZ951,AM952=0),0,IF(AM952=AL952,AK952,$AZ$7-AL951))</f>
      </c>
      <c r="AO952" s="748">
        <f>+AK952-AN952</f>
      </c>
      <c r="AP952" s="217">
        <f>+_xlfn.IFNA(VLOOKUP(AJ952,$AF$7:$AI$1066,3,0),0)</f>
      </c>
      <c r="AQ952" s="217">
        <f>+IF(W952&gt;W951,AP952,AQ951+AP952)</f>
      </c>
      <c r="AR952" s="217">
        <f>+MAX($AM$2-SUMIF($W$7:$W$1066,W952,$AN$7:$AN$1066),0)</f>
      </c>
      <c r="AS952" s="748">
        <f>+MAX(IF(AQ952&gt;AR952,AR952-AQ951,AP952),0)</f>
      </c>
      <c r="AT952" s="748">
        <f>+AP952-AS952</f>
      </c>
      <c r="AU952" s="217">
        <f>+_xlfn.IFNA(VLOOKUP(AJ952,$AF$7:$AI$1066,4,0),0)</f>
      </c>
      <c r="AV952" s="217">
        <f>+IF(W952&gt;W951,AU952,AV951+AU952)</f>
      </c>
      <c r="AW952" s="217">
        <f>+MAX($AM$2-SUMIF($W$7:$W$1066,W952,$AN$7:$AN$1066)-SUMIF($W$7:$W$1066,W952,$AS$7:$AS$1066),0)</f>
      </c>
      <c r="AX952" s="748">
        <f>+MAX(IF(AV952&gt;AW952,AW952-AV951,AU952),0)</f>
      </c>
      <c r="AY952" s="748">
        <f>+AU952-AX952</f>
      </c>
      <c r="AZ952" s="331">
        <f>+$AM$1+IF($AP$1&gt;$AP$2,$AM$3/2)</f>
      </c>
    </row>
    <row x14ac:dyDescent="0.25" r="953" customHeight="1" ht="18.75">
      <c r="A953" s="1"/>
      <c r="B953" s="7"/>
      <c r="C953" s="170"/>
      <c r="D953" s="331">
        <v>946</v>
      </c>
      <c r="E953" s="544">
        <f>+DATE(YEAR(E952),MONTH(E952)-1,DAY(E952))</f>
        <v>25569.041666666668</v>
      </c>
      <c r="F953" s="333">
        <f>IF(DATE(YEAR($B$6),MONTH($B$6)+1,DAY(1))=E953,1,IF(MONTH(E953)=1,F954*(1+$F$5),F954))</f>
      </c>
      <c r="G953" s="333">
        <f>IF('Simulador - 1º Pilar'!$E$99="Sí",IF('Aportaciones PPE'!$B$13&lt;'Aportaciones PPE'!E953,0,F953*$B$8/12),F953*$B$8/12)</f>
      </c>
      <c r="H953" s="333">
        <f>$H$5*G953</f>
      </c>
      <c r="I953" s="333">
        <f>$I$5*G953</f>
      </c>
      <c r="J953" s="333">
        <f>+I953</f>
      </c>
      <c r="K953" s="333">
        <f>(1+$O$5)^(D953/12)*(H953+IF(AND(F953=1,F954=0),$S$4,0))</f>
      </c>
      <c r="L953" s="333">
        <f>(1+$O$5)^(D953/12)*(I953+IF(AND(F953=1,F954=0),0))</f>
      </c>
      <c r="M953" s="333">
        <f>+L953</f>
      </c>
      <c r="N953" s="333">
        <f>L953+K953+M953</f>
      </c>
      <c r="O953" s="170"/>
      <c r="P953" s="7"/>
      <c r="Q953" s="1"/>
      <c r="R953" s="331">
        <f>D953</f>
      </c>
      <c r="S953" s="169"/>
      <c r="T953" s="1"/>
      <c r="U953" s="217"/>
      <c r="V953" s="331">
        <f>+IF(V952=11,12,IF(V952=12,1,V952+1))</f>
      </c>
      <c r="W953" s="331">
        <f>+W952+IF(V952=12,1,0)</f>
      </c>
      <c r="X953" s="555">
        <f>+DATE(W953,V953,1)</f>
        <v>25569.041666666668</v>
      </c>
      <c r="Y953" s="333">
        <f>+_xlfn.IFNA(AN953+AS953+AX953,0)</f>
      </c>
      <c r="Z953" s="333">
        <f>+_xlfn.IFNA(AO953+AT953+AY953,0)</f>
      </c>
      <c r="AA953" s="333">
        <f>Y953*(1+$O$5)^(($B$7-X953)/365.25)</f>
      </c>
      <c r="AB953" s="333">
        <f>Z953*(1+$O$5)^(($B$7-X953)/365.25)</f>
      </c>
      <c r="AC953" s="1"/>
      <c r="AD953" s="1"/>
      <c r="AE953" s="1"/>
      <c r="AF953" s="111">
        <f>+MONTH(E953)&amp;YEAR(E953)</f>
      </c>
      <c r="AG953" s="217">
        <f>+I953</f>
      </c>
      <c r="AH953" s="217">
        <f>+J953</f>
      </c>
      <c r="AI953" s="217">
        <f>+H953</f>
      </c>
      <c r="AJ953" s="111">
        <f>+V953&amp;W953</f>
      </c>
      <c r="AK953" s="217">
        <f>+_xlfn.IFNA(VLOOKUP(AJ953,$AF$7:$AG$1066,2,0),0)</f>
      </c>
      <c r="AL953" s="217">
        <f>+IF(W953&gt;W952,AK953,AL952+AK953)</f>
      </c>
      <c r="AM953" s="217">
        <f>IF(W953&gt;W952,IF(AL953&gt;=$AZ$8,$AZ$8,AL953),IF(OR(AM952=$AZ$8,AM952=0),0,IF(AL953&gt;=$AZ$8,$AZ$8,AL953)))</f>
      </c>
      <c r="AN953" s="748">
        <f>+IF(OR(AM953&gt;AZ952,AM953=0),0,IF(AM953=AL953,AK953,$AZ$7-AL952))</f>
      </c>
      <c r="AO953" s="748">
        <f>+AK953-AN953</f>
      </c>
      <c r="AP953" s="217">
        <f>+_xlfn.IFNA(VLOOKUP(AJ953,$AF$7:$AI$1066,3,0),0)</f>
      </c>
      <c r="AQ953" s="217">
        <f>+IF(W953&gt;W952,AP953,AQ952+AP953)</f>
      </c>
      <c r="AR953" s="217">
        <f>+MAX($AM$2-SUMIF($W$7:$W$1066,W953,$AN$7:$AN$1066),0)</f>
      </c>
      <c r="AS953" s="748">
        <f>+MAX(IF(AQ953&gt;AR953,AR953-AQ952,AP953),0)</f>
      </c>
      <c r="AT953" s="748">
        <f>+AP953-AS953</f>
      </c>
      <c r="AU953" s="217">
        <f>+_xlfn.IFNA(VLOOKUP(AJ953,$AF$7:$AI$1066,4,0),0)</f>
      </c>
      <c r="AV953" s="217">
        <f>+IF(W953&gt;W952,AU953,AV952+AU953)</f>
      </c>
      <c r="AW953" s="217">
        <f>+MAX($AM$2-SUMIF($W$7:$W$1066,W953,$AN$7:$AN$1066)-SUMIF($W$7:$W$1066,W953,$AS$7:$AS$1066),0)</f>
      </c>
      <c r="AX953" s="748">
        <f>+MAX(IF(AV953&gt;AW953,AW953-AV952,AU953),0)</f>
      </c>
      <c r="AY953" s="748">
        <f>+AU953-AX953</f>
      </c>
      <c r="AZ953" s="331">
        <f>+$AM$1+IF($AP$1&gt;$AP$2,$AM$3/2)</f>
      </c>
    </row>
    <row x14ac:dyDescent="0.25" r="954" customHeight="1" ht="18.75">
      <c r="A954" s="1"/>
      <c r="B954" s="7"/>
      <c r="C954" s="170"/>
      <c r="D954" s="331">
        <v>947</v>
      </c>
      <c r="E954" s="544">
        <f>+DATE(YEAR(E953),MONTH(E953)-1,DAY(E953))</f>
        <v>25569.041666666668</v>
      </c>
      <c r="F954" s="333">
        <f>IF(DATE(YEAR($B$6),MONTH($B$6)+1,DAY(1))=E954,1,IF(MONTH(E954)=1,F955*(1+$F$5),F955))</f>
      </c>
      <c r="G954" s="333">
        <f>IF('Simulador - 1º Pilar'!$E$99="Sí",IF('Aportaciones PPE'!$B$13&lt;'Aportaciones PPE'!E954,0,F954*$B$8/12),F954*$B$8/12)</f>
      </c>
      <c r="H954" s="333">
        <f>$H$5*G954</f>
      </c>
      <c r="I954" s="333">
        <f>$I$5*G954</f>
      </c>
      <c r="J954" s="333">
        <f>+I954</f>
      </c>
      <c r="K954" s="333">
        <f>(1+$O$5)^(D954/12)*(H954+IF(AND(F954=1,F955=0),$S$4,0))</f>
      </c>
      <c r="L954" s="333">
        <f>(1+$O$5)^(D954/12)*(I954+IF(AND(F954=1,F955=0),0))</f>
      </c>
      <c r="M954" s="333">
        <f>+L954</f>
      </c>
      <c r="N954" s="333">
        <f>L954+K954+M954</f>
      </c>
      <c r="O954" s="170"/>
      <c r="P954" s="7"/>
      <c r="Q954" s="1"/>
      <c r="R954" s="331">
        <f>D954</f>
      </c>
      <c r="S954" s="169"/>
      <c r="T954" s="1"/>
      <c r="U954" s="217"/>
      <c r="V954" s="331">
        <f>+IF(V953=11,12,IF(V953=12,1,V953+1))</f>
      </c>
      <c r="W954" s="331">
        <f>+W953+IF(V953=12,1,0)</f>
      </c>
      <c r="X954" s="555">
        <f>+DATE(W954,V954,1)</f>
        <v>25569.041666666668</v>
      </c>
      <c r="Y954" s="333">
        <f>+_xlfn.IFNA(AN954+AS954+AX954,0)</f>
      </c>
      <c r="Z954" s="333">
        <f>+_xlfn.IFNA(AO954+AT954+AY954,0)</f>
      </c>
      <c r="AA954" s="333">
        <f>Y954*(1+$O$5)^(($B$7-X954)/365.25)</f>
      </c>
      <c r="AB954" s="333">
        <f>Z954*(1+$O$5)^(($B$7-X954)/365.25)</f>
      </c>
      <c r="AC954" s="1"/>
      <c r="AD954" s="1"/>
      <c r="AE954" s="1"/>
      <c r="AF954" s="111">
        <f>+MONTH(E954)&amp;YEAR(E954)</f>
      </c>
      <c r="AG954" s="217">
        <f>+I954</f>
      </c>
      <c r="AH954" s="217">
        <f>+J954</f>
      </c>
      <c r="AI954" s="217">
        <f>+H954</f>
      </c>
      <c r="AJ954" s="111">
        <f>+V954&amp;W954</f>
      </c>
      <c r="AK954" s="217">
        <f>+_xlfn.IFNA(VLOOKUP(AJ954,$AF$7:$AG$1066,2,0),0)</f>
      </c>
      <c r="AL954" s="217">
        <f>+IF(W954&gt;W953,AK954,AL953+AK954)</f>
      </c>
      <c r="AM954" s="217">
        <f>IF(W954&gt;W953,IF(AL954&gt;=$AZ$8,$AZ$8,AL954),IF(OR(AM953=$AZ$8,AM953=0),0,IF(AL954&gt;=$AZ$8,$AZ$8,AL954)))</f>
      </c>
      <c r="AN954" s="748">
        <f>+IF(OR(AM954&gt;AZ953,AM954=0),0,IF(AM954=AL954,AK954,$AZ$7-AL953))</f>
      </c>
      <c r="AO954" s="748">
        <f>+AK954-AN954</f>
      </c>
      <c r="AP954" s="217">
        <f>+_xlfn.IFNA(VLOOKUP(AJ954,$AF$7:$AI$1066,3,0),0)</f>
      </c>
      <c r="AQ954" s="217">
        <f>+IF(W954&gt;W953,AP954,AQ953+AP954)</f>
      </c>
      <c r="AR954" s="217">
        <f>+MAX($AM$2-SUMIF($W$7:$W$1066,W954,$AN$7:$AN$1066),0)</f>
      </c>
      <c r="AS954" s="748">
        <f>+MAX(IF(AQ954&gt;AR954,AR954-AQ953,AP954),0)</f>
      </c>
      <c r="AT954" s="748">
        <f>+AP954-AS954</f>
      </c>
      <c r="AU954" s="217">
        <f>+_xlfn.IFNA(VLOOKUP(AJ954,$AF$7:$AI$1066,4,0),0)</f>
      </c>
      <c r="AV954" s="217">
        <f>+IF(W954&gt;W953,AU954,AV953+AU954)</f>
      </c>
      <c r="AW954" s="217">
        <f>+MAX($AM$2-SUMIF($W$7:$W$1066,W954,$AN$7:$AN$1066)-SUMIF($W$7:$W$1066,W954,$AS$7:$AS$1066),0)</f>
      </c>
      <c r="AX954" s="748">
        <f>+MAX(IF(AV954&gt;AW954,AW954-AV953,AU954),0)</f>
      </c>
      <c r="AY954" s="748">
        <f>+AU954-AX954</f>
      </c>
      <c r="AZ954" s="331">
        <f>+$AM$1+IF($AP$1&gt;$AP$2,$AM$3/2)</f>
      </c>
    </row>
    <row x14ac:dyDescent="0.25" r="955" customHeight="1" ht="18.75">
      <c r="A955" s="1"/>
      <c r="B955" s="7"/>
      <c r="C955" s="170"/>
      <c r="D955" s="331">
        <v>948</v>
      </c>
      <c r="E955" s="544">
        <f>+DATE(YEAR(E954),MONTH(E954)-1,DAY(E954))</f>
        <v>25569.041666666668</v>
      </c>
      <c r="F955" s="333">
        <f>IF(DATE(YEAR($B$6),MONTH($B$6)+1,DAY(1))=E955,1,IF(MONTH(E955)=1,F956*(1+$F$5),F956))</f>
      </c>
      <c r="G955" s="333">
        <f>IF('Simulador - 1º Pilar'!$E$99="Sí",IF('Aportaciones PPE'!$B$13&lt;'Aportaciones PPE'!E955,0,F955*$B$8/12),F955*$B$8/12)</f>
      </c>
      <c r="H955" s="333">
        <f>$H$5*G955</f>
      </c>
      <c r="I955" s="333">
        <f>$I$5*G955</f>
      </c>
      <c r="J955" s="333">
        <f>+I955</f>
      </c>
      <c r="K955" s="333">
        <f>(1+$O$5)^(D955/12)*(H955+IF(AND(F955=1,F956=0),$S$4,0))</f>
      </c>
      <c r="L955" s="333">
        <f>(1+$O$5)^(D955/12)*(I955+IF(AND(F955=1,F956=0),0))</f>
      </c>
      <c r="M955" s="333">
        <f>+L955</f>
      </c>
      <c r="N955" s="333">
        <f>L955+K955+M955</f>
      </c>
      <c r="O955" s="170"/>
      <c r="P955" s="7"/>
      <c r="Q955" s="1"/>
      <c r="R955" s="331">
        <f>D955</f>
      </c>
      <c r="S955" s="169"/>
      <c r="T955" s="1"/>
      <c r="U955" s="217"/>
      <c r="V955" s="331">
        <f>+IF(V954=11,12,IF(V954=12,1,V954+1))</f>
      </c>
      <c r="W955" s="331">
        <f>+W954+IF(V954=12,1,0)</f>
      </c>
      <c r="X955" s="555">
        <f>+DATE(W955,V955,1)</f>
        <v>25569.041666666668</v>
      </c>
      <c r="Y955" s="333">
        <f>+_xlfn.IFNA(AN955+AS955+AX955,0)</f>
      </c>
      <c r="Z955" s="333">
        <f>+_xlfn.IFNA(AO955+AT955+AY955,0)</f>
      </c>
      <c r="AA955" s="333">
        <f>Y955*(1+$O$5)^(($B$7-X955)/365.25)</f>
      </c>
      <c r="AB955" s="333">
        <f>Z955*(1+$O$5)^(($B$7-X955)/365.25)</f>
      </c>
      <c r="AC955" s="1"/>
      <c r="AD955" s="1"/>
      <c r="AE955" s="1"/>
      <c r="AF955" s="111">
        <f>+MONTH(E955)&amp;YEAR(E955)</f>
      </c>
      <c r="AG955" s="217">
        <f>+I955</f>
      </c>
      <c r="AH955" s="217">
        <f>+J955</f>
      </c>
      <c r="AI955" s="217">
        <f>+H955</f>
      </c>
      <c r="AJ955" s="111">
        <f>+V955&amp;W955</f>
      </c>
      <c r="AK955" s="217">
        <f>+_xlfn.IFNA(VLOOKUP(AJ955,$AF$7:$AG$1066,2,0),0)</f>
      </c>
      <c r="AL955" s="217">
        <f>+IF(W955&gt;W954,AK955,AL954+AK955)</f>
      </c>
      <c r="AM955" s="217">
        <f>IF(W955&gt;W954,IF(AL955&gt;=$AZ$8,$AZ$8,AL955),IF(OR(AM954=$AZ$8,AM954=0),0,IF(AL955&gt;=$AZ$8,$AZ$8,AL955)))</f>
      </c>
      <c r="AN955" s="748">
        <f>+IF(OR(AM955&gt;AZ954,AM955=0),0,IF(AM955=AL955,AK955,$AZ$7-AL954))</f>
      </c>
      <c r="AO955" s="748">
        <f>+AK955-AN955</f>
      </c>
      <c r="AP955" s="217">
        <f>+_xlfn.IFNA(VLOOKUP(AJ955,$AF$7:$AI$1066,3,0),0)</f>
      </c>
      <c r="AQ955" s="217">
        <f>+IF(W955&gt;W954,AP955,AQ954+AP955)</f>
      </c>
      <c r="AR955" s="217">
        <f>+MAX($AM$2-SUMIF($W$7:$W$1066,W955,$AN$7:$AN$1066),0)</f>
      </c>
      <c r="AS955" s="748">
        <f>+MAX(IF(AQ955&gt;AR955,AR955-AQ954,AP955),0)</f>
      </c>
      <c r="AT955" s="748">
        <f>+AP955-AS955</f>
      </c>
      <c r="AU955" s="217">
        <f>+_xlfn.IFNA(VLOOKUP(AJ955,$AF$7:$AI$1066,4,0),0)</f>
      </c>
      <c r="AV955" s="217">
        <f>+IF(W955&gt;W954,AU955,AV954+AU955)</f>
      </c>
      <c r="AW955" s="217">
        <f>+MAX($AM$2-SUMIF($W$7:$W$1066,W955,$AN$7:$AN$1066)-SUMIF($W$7:$W$1066,W955,$AS$7:$AS$1066),0)</f>
      </c>
      <c r="AX955" s="748">
        <f>+MAX(IF(AV955&gt;AW955,AW955-AV954,AU955),0)</f>
      </c>
      <c r="AY955" s="748">
        <f>+AU955-AX955</f>
      </c>
      <c r="AZ955" s="331">
        <f>+$AM$1+IF($AP$1&gt;$AP$2,$AM$3/2)</f>
      </c>
    </row>
    <row x14ac:dyDescent="0.25" r="956" customHeight="1" ht="18.75">
      <c r="A956" s="1"/>
      <c r="B956" s="7"/>
      <c r="C956" s="170"/>
      <c r="D956" s="331">
        <v>949</v>
      </c>
      <c r="E956" s="544">
        <f>+DATE(YEAR(E955),MONTH(E955)-1,DAY(E955))</f>
        <v>25569.041666666668</v>
      </c>
      <c r="F956" s="333">
        <f>IF(DATE(YEAR($B$6),MONTH($B$6)+1,DAY(1))=E956,1,IF(MONTH(E956)=1,F957*(1+$F$5),F957))</f>
      </c>
      <c r="G956" s="333">
        <f>IF('Simulador - 1º Pilar'!$E$99="Sí",IF('Aportaciones PPE'!$B$13&lt;'Aportaciones PPE'!E956,0,F956*$B$8/12),F956*$B$8/12)</f>
      </c>
      <c r="H956" s="333">
        <f>$H$5*G956</f>
      </c>
      <c r="I956" s="333">
        <f>$I$5*G956</f>
      </c>
      <c r="J956" s="333">
        <f>+I956</f>
      </c>
      <c r="K956" s="333">
        <f>(1+$O$5)^(D956/12)*(H956+IF(AND(F956=1,F957=0),$S$4,0))</f>
      </c>
      <c r="L956" s="333">
        <f>(1+$O$5)^(D956/12)*(I956+IF(AND(F956=1,F957=0),0))</f>
      </c>
      <c r="M956" s="333">
        <f>+L956</f>
      </c>
      <c r="N956" s="333">
        <f>L956+K956+M956</f>
      </c>
      <c r="O956" s="170"/>
      <c r="P956" s="7"/>
      <c r="Q956" s="1"/>
      <c r="R956" s="331">
        <f>D956</f>
      </c>
      <c r="S956" s="169"/>
      <c r="T956" s="1"/>
      <c r="U956" s="217"/>
      <c r="V956" s="331">
        <f>+IF(V955=11,12,IF(V955=12,1,V955+1))</f>
      </c>
      <c r="W956" s="331">
        <f>+W955+IF(V955=12,1,0)</f>
      </c>
      <c r="X956" s="555">
        <f>+DATE(W956,V956,1)</f>
        <v>25569.041666666668</v>
      </c>
      <c r="Y956" s="333">
        <f>+_xlfn.IFNA(AN956+AS956+AX956,0)</f>
      </c>
      <c r="Z956" s="333">
        <f>+_xlfn.IFNA(AO956+AT956+AY956,0)</f>
      </c>
      <c r="AA956" s="333">
        <f>Y956*(1+$O$5)^(($B$7-X956)/365.25)</f>
      </c>
      <c r="AB956" s="333">
        <f>Z956*(1+$O$5)^(($B$7-X956)/365.25)</f>
      </c>
      <c r="AC956" s="1"/>
      <c r="AD956" s="1"/>
      <c r="AE956" s="1"/>
      <c r="AF956" s="111">
        <f>+MONTH(E956)&amp;YEAR(E956)</f>
      </c>
      <c r="AG956" s="217">
        <f>+I956</f>
      </c>
      <c r="AH956" s="217">
        <f>+J956</f>
      </c>
      <c r="AI956" s="217">
        <f>+H956</f>
      </c>
      <c r="AJ956" s="111">
        <f>+V956&amp;W956</f>
      </c>
      <c r="AK956" s="217">
        <f>+_xlfn.IFNA(VLOOKUP(AJ956,$AF$7:$AG$1066,2,0),0)</f>
      </c>
      <c r="AL956" s="217">
        <f>+IF(W956&gt;W955,AK956,AL955+AK956)</f>
      </c>
      <c r="AM956" s="217">
        <f>IF(W956&gt;W955,IF(AL956&gt;=$AZ$8,$AZ$8,AL956),IF(OR(AM955=$AZ$8,AM955=0),0,IF(AL956&gt;=$AZ$8,$AZ$8,AL956)))</f>
      </c>
      <c r="AN956" s="748">
        <f>+IF(OR(AM956&gt;AZ955,AM956=0),0,IF(AM956=AL956,AK956,$AZ$7-AL955))</f>
      </c>
      <c r="AO956" s="748">
        <f>+AK956-AN956</f>
      </c>
      <c r="AP956" s="217">
        <f>+_xlfn.IFNA(VLOOKUP(AJ956,$AF$7:$AI$1066,3,0),0)</f>
      </c>
      <c r="AQ956" s="217">
        <f>+IF(W956&gt;W955,AP956,AQ955+AP956)</f>
      </c>
      <c r="AR956" s="217">
        <f>+MAX($AM$2-SUMIF($W$7:$W$1066,W956,$AN$7:$AN$1066),0)</f>
      </c>
      <c r="AS956" s="748">
        <f>+MAX(IF(AQ956&gt;AR956,AR956-AQ955,AP956),0)</f>
      </c>
      <c r="AT956" s="748">
        <f>+AP956-AS956</f>
      </c>
      <c r="AU956" s="217">
        <f>+_xlfn.IFNA(VLOOKUP(AJ956,$AF$7:$AI$1066,4,0),0)</f>
      </c>
      <c r="AV956" s="217">
        <f>+IF(W956&gt;W955,AU956,AV955+AU956)</f>
      </c>
      <c r="AW956" s="217">
        <f>+MAX($AM$2-SUMIF($W$7:$W$1066,W956,$AN$7:$AN$1066)-SUMIF($W$7:$W$1066,W956,$AS$7:$AS$1066),0)</f>
      </c>
      <c r="AX956" s="748">
        <f>+MAX(IF(AV956&gt;AW956,AW956-AV955,AU956),0)</f>
      </c>
      <c r="AY956" s="748">
        <f>+AU956-AX956</f>
      </c>
      <c r="AZ956" s="331">
        <f>+$AM$1+IF($AP$1&gt;$AP$2,$AM$3/2)</f>
      </c>
    </row>
    <row x14ac:dyDescent="0.25" r="957" customHeight="1" ht="18.75">
      <c r="A957" s="1"/>
      <c r="B957" s="7"/>
      <c r="C957" s="170"/>
      <c r="D957" s="331">
        <v>950</v>
      </c>
      <c r="E957" s="544">
        <f>+DATE(YEAR(E956),MONTH(E956)-1,DAY(E956))</f>
        <v>25569.041666666668</v>
      </c>
      <c r="F957" s="333">
        <f>IF(DATE(YEAR($B$6),MONTH($B$6)+1,DAY(1))=E957,1,IF(MONTH(E957)=1,F958*(1+$F$5),F958))</f>
      </c>
      <c r="G957" s="333">
        <f>IF('Simulador - 1º Pilar'!$E$99="Sí",IF('Aportaciones PPE'!$B$13&lt;'Aportaciones PPE'!E957,0,F957*$B$8/12),F957*$B$8/12)</f>
      </c>
      <c r="H957" s="333">
        <f>$H$5*G957</f>
      </c>
      <c r="I957" s="333">
        <f>$I$5*G957</f>
      </c>
      <c r="J957" s="333">
        <f>+I957</f>
      </c>
      <c r="K957" s="333">
        <f>(1+$O$5)^(D957/12)*(H957+IF(AND(F957=1,F958=0),$S$4,0))</f>
      </c>
      <c r="L957" s="333">
        <f>(1+$O$5)^(D957/12)*(I957+IF(AND(F957=1,F958=0),0))</f>
      </c>
      <c r="M957" s="333">
        <f>+L957</f>
      </c>
      <c r="N957" s="333">
        <f>L957+K957+M957</f>
      </c>
      <c r="O957" s="170"/>
      <c r="P957" s="7"/>
      <c r="Q957" s="1"/>
      <c r="R957" s="331">
        <f>D957</f>
      </c>
      <c r="S957" s="169"/>
      <c r="T957" s="1"/>
      <c r="U957" s="217"/>
      <c r="V957" s="331">
        <f>+IF(V956=11,12,IF(V956=12,1,V956+1))</f>
      </c>
      <c r="W957" s="331">
        <f>+W956+IF(V956=12,1,0)</f>
      </c>
      <c r="X957" s="555">
        <f>+DATE(W957,V957,1)</f>
        <v>25569.041666666668</v>
      </c>
      <c r="Y957" s="333">
        <f>+_xlfn.IFNA(AN957+AS957+AX957,0)</f>
      </c>
      <c r="Z957" s="333">
        <f>+_xlfn.IFNA(AO957+AT957+AY957,0)</f>
      </c>
      <c r="AA957" s="333">
        <f>Y957*(1+$O$5)^(($B$7-X957)/365.25)</f>
      </c>
      <c r="AB957" s="333">
        <f>Z957*(1+$O$5)^(($B$7-X957)/365.25)</f>
      </c>
      <c r="AC957" s="1"/>
      <c r="AD957" s="1"/>
      <c r="AE957" s="1"/>
      <c r="AF957" s="111">
        <f>+MONTH(E957)&amp;YEAR(E957)</f>
      </c>
      <c r="AG957" s="217">
        <f>+I957</f>
      </c>
      <c r="AH957" s="217">
        <f>+J957</f>
      </c>
      <c r="AI957" s="217">
        <f>+H957</f>
      </c>
      <c r="AJ957" s="111">
        <f>+V957&amp;W957</f>
      </c>
      <c r="AK957" s="217">
        <f>+_xlfn.IFNA(VLOOKUP(AJ957,$AF$7:$AG$1066,2,0),0)</f>
      </c>
      <c r="AL957" s="217">
        <f>+IF(W957&gt;W956,AK957,AL956+AK957)</f>
      </c>
      <c r="AM957" s="217">
        <f>IF(W957&gt;W956,IF(AL957&gt;=$AZ$8,$AZ$8,AL957),IF(OR(AM956=$AZ$8,AM956=0),0,IF(AL957&gt;=$AZ$8,$AZ$8,AL957)))</f>
      </c>
      <c r="AN957" s="748">
        <f>+IF(OR(AM957&gt;AZ956,AM957=0),0,IF(AM957=AL957,AK957,$AZ$7-AL956))</f>
      </c>
      <c r="AO957" s="748">
        <f>+AK957-AN957</f>
      </c>
      <c r="AP957" s="217">
        <f>+_xlfn.IFNA(VLOOKUP(AJ957,$AF$7:$AI$1066,3,0),0)</f>
      </c>
      <c r="AQ957" s="217">
        <f>+IF(W957&gt;W956,AP957,AQ956+AP957)</f>
      </c>
      <c r="AR957" s="217">
        <f>+MAX($AM$2-SUMIF($W$7:$W$1066,W957,$AN$7:$AN$1066),0)</f>
      </c>
      <c r="AS957" s="748">
        <f>+MAX(IF(AQ957&gt;AR957,AR957-AQ956,AP957),0)</f>
      </c>
      <c r="AT957" s="748">
        <f>+AP957-AS957</f>
      </c>
      <c r="AU957" s="217">
        <f>+_xlfn.IFNA(VLOOKUP(AJ957,$AF$7:$AI$1066,4,0),0)</f>
      </c>
      <c r="AV957" s="217">
        <f>+IF(W957&gt;W956,AU957,AV956+AU957)</f>
      </c>
      <c r="AW957" s="217">
        <f>+MAX($AM$2-SUMIF($W$7:$W$1066,W957,$AN$7:$AN$1066)-SUMIF($W$7:$W$1066,W957,$AS$7:$AS$1066),0)</f>
      </c>
      <c r="AX957" s="748">
        <f>+MAX(IF(AV957&gt;AW957,AW957-AV956,AU957),0)</f>
      </c>
      <c r="AY957" s="748">
        <f>+AU957-AX957</f>
      </c>
      <c r="AZ957" s="331">
        <f>+$AM$1+IF($AP$1&gt;$AP$2,$AM$3/2)</f>
      </c>
    </row>
    <row x14ac:dyDescent="0.25" r="958" customHeight="1" ht="18.75">
      <c r="A958" s="1"/>
      <c r="B958" s="7"/>
      <c r="C958" s="170"/>
      <c r="D958" s="331">
        <v>951</v>
      </c>
      <c r="E958" s="544">
        <f>+DATE(YEAR(E957),MONTH(E957)-1,DAY(E957))</f>
        <v>25569.041666666668</v>
      </c>
      <c r="F958" s="333">
        <f>IF(DATE(YEAR($B$6),MONTH($B$6)+1,DAY(1))=E958,1,IF(MONTH(E958)=1,F959*(1+$F$5),F959))</f>
      </c>
      <c r="G958" s="333">
        <f>IF('Simulador - 1º Pilar'!$E$99="Sí",IF('Aportaciones PPE'!$B$13&lt;'Aportaciones PPE'!E958,0,F958*$B$8/12),F958*$B$8/12)</f>
      </c>
      <c r="H958" s="333">
        <f>$H$5*G958</f>
      </c>
      <c r="I958" s="333">
        <f>$I$5*G958</f>
      </c>
      <c r="J958" s="333">
        <f>+I958</f>
      </c>
      <c r="K958" s="333">
        <f>(1+$O$5)^(D958/12)*(H958+IF(AND(F958=1,F959=0),$S$4,0))</f>
      </c>
      <c r="L958" s="333">
        <f>(1+$O$5)^(D958/12)*(I958+IF(AND(F958=1,F959=0),0))</f>
      </c>
      <c r="M958" s="333">
        <f>+L958</f>
      </c>
      <c r="N958" s="333">
        <f>L958+K958+M958</f>
      </c>
      <c r="O958" s="170"/>
      <c r="P958" s="7"/>
      <c r="Q958" s="1"/>
      <c r="R958" s="331">
        <f>D958</f>
      </c>
      <c r="S958" s="169"/>
      <c r="T958" s="1"/>
      <c r="U958" s="217"/>
      <c r="V958" s="331">
        <f>+IF(V957=11,12,IF(V957=12,1,V957+1))</f>
      </c>
      <c r="W958" s="331">
        <f>+W957+IF(V957=12,1,0)</f>
      </c>
      <c r="X958" s="555">
        <f>+DATE(W958,V958,1)</f>
        <v>25569.041666666668</v>
      </c>
      <c r="Y958" s="333">
        <f>+_xlfn.IFNA(AN958+AS958+AX958,0)</f>
      </c>
      <c r="Z958" s="333">
        <f>+_xlfn.IFNA(AO958+AT958+AY958,0)</f>
      </c>
      <c r="AA958" s="333">
        <f>Y958*(1+$O$5)^(($B$7-X958)/365.25)</f>
      </c>
      <c r="AB958" s="333">
        <f>Z958*(1+$O$5)^(($B$7-X958)/365.25)</f>
      </c>
      <c r="AC958" s="1"/>
      <c r="AD958" s="1"/>
      <c r="AE958" s="1"/>
      <c r="AF958" s="111">
        <f>+MONTH(E958)&amp;YEAR(E958)</f>
      </c>
      <c r="AG958" s="217">
        <f>+I958</f>
      </c>
      <c r="AH958" s="217">
        <f>+J958</f>
      </c>
      <c r="AI958" s="217">
        <f>+H958</f>
      </c>
      <c r="AJ958" s="111">
        <f>+V958&amp;W958</f>
      </c>
      <c r="AK958" s="217">
        <f>+_xlfn.IFNA(VLOOKUP(AJ958,$AF$7:$AG$1066,2,0),0)</f>
      </c>
      <c r="AL958" s="217">
        <f>+IF(W958&gt;W957,AK958,AL957+AK958)</f>
      </c>
      <c r="AM958" s="217">
        <f>IF(W958&gt;W957,IF(AL958&gt;=$AZ$8,$AZ$8,AL958),IF(OR(AM957=$AZ$8,AM957=0),0,IF(AL958&gt;=$AZ$8,$AZ$8,AL958)))</f>
      </c>
      <c r="AN958" s="748">
        <f>+IF(OR(AM958&gt;AZ957,AM958=0),0,IF(AM958=AL958,AK958,$AZ$7-AL957))</f>
      </c>
      <c r="AO958" s="748">
        <f>+AK958-AN958</f>
      </c>
      <c r="AP958" s="217">
        <f>+_xlfn.IFNA(VLOOKUP(AJ958,$AF$7:$AI$1066,3,0),0)</f>
      </c>
      <c r="AQ958" s="217">
        <f>+IF(W958&gt;W957,AP958,AQ957+AP958)</f>
      </c>
      <c r="AR958" s="217">
        <f>+MAX($AM$2-SUMIF($W$7:$W$1066,W958,$AN$7:$AN$1066),0)</f>
      </c>
      <c r="AS958" s="748">
        <f>+MAX(IF(AQ958&gt;AR958,AR958-AQ957,AP958),0)</f>
      </c>
      <c r="AT958" s="748">
        <f>+AP958-AS958</f>
      </c>
      <c r="AU958" s="217">
        <f>+_xlfn.IFNA(VLOOKUP(AJ958,$AF$7:$AI$1066,4,0),0)</f>
      </c>
      <c r="AV958" s="217">
        <f>+IF(W958&gt;W957,AU958,AV957+AU958)</f>
      </c>
      <c r="AW958" s="217">
        <f>+MAX($AM$2-SUMIF($W$7:$W$1066,W958,$AN$7:$AN$1066)-SUMIF($W$7:$W$1066,W958,$AS$7:$AS$1066),0)</f>
      </c>
      <c r="AX958" s="748">
        <f>+MAX(IF(AV958&gt;AW958,AW958-AV957,AU958),0)</f>
      </c>
      <c r="AY958" s="748">
        <f>+AU958-AX958</f>
      </c>
      <c r="AZ958" s="331">
        <f>+$AM$1+IF($AP$1&gt;$AP$2,$AM$3/2)</f>
      </c>
    </row>
    <row x14ac:dyDescent="0.25" r="959" customHeight="1" ht="18.75">
      <c r="A959" s="1"/>
      <c r="B959" s="7"/>
      <c r="C959" s="170"/>
      <c r="D959" s="331">
        <v>952</v>
      </c>
      <c r="E959" s="544">
        <f>+DATE(YEAR(E958),MONTH(E958)-1,DAY(E958))</f>
        <v>25569.041666666668</v>
      </c>
      <c r="F959" s="333">
        <f>IF(DATE(YEAR($B$6),MONTH($B$6)+1,DAY(1))=E959,1,IF(MONTH(E959)=1,F960*(1+$F$5),F960))</f>
      </c>
      <c r="G959" s="333">
        <f>IF('Simulador - 1º Pilar'!$E$99="Sí",IF('Aportaciones PPE'!$B$13&lt;'Aportaciones PPE'!E959,0,F959*$B$8/12),F959*$B$8/12)</f>
      </c>
      <c r="H959" s="333">
        <f>$H$5*G959</f>
      </c>
      <c r="I959" s="333">
        <f>$I$5*G959</f>
      </c>
      <c r="J959" s="333">
        <f>+I959</f>
      </c>
      <c r="K959" s="333">
        <f>(1+$O$5)^(D959/12)*(H959+IF(AND(F959=1,F960=0),$S$4,0))</f>
      </c>
      <c r="L959" s="333">
        <f>(1+$O$5)^(D959/12)*(I959+IF(AND(F959=1,F960=0),0))</f>
      </c>
      <c r="M959" s="333">
        <f>+L959</f>
      </c>
      <c r="N959" s="333">
        <f>L959+K959+M959</f>
      </c>
      <c r="O959" s="170"/>
      <c r="P959" s="7"/>
      <c r="Q959" s="1"/>
      <c r="R959" s="331">
        <f>D959</f>
      </c>
      <c r="S959" s="169"/>
      <c r="T959" s="1"/>
      <c r="U959" s="217"/>
      <c r="V959" s="331">
        <f>+IF(V958=11,12,IF(V958=12,1,V958+1))</f>
      </c>
      <c r="W959" s="331">
        <f>+W958+IF(V958=12,1,0)</f>
      </c>
      <c r="X959" s="555">
        <f>+DATE(W959,V959,1)</f>
        <v>25569.041666666668</v>
      </c>
      <c r="Y959" s="333">
        <f>+_xlfn.IFNA(AN959+AS959+AX959,0)</f>
      </c>
      <c r="Z959" s="333">
        <f>+_xlfn.IFNA(AO959+AT959+AY959,0)</f>
      </c>
      <c r="AA959" s="333">
        <f>Y959*(1+$O$5)^(($B$7-X959)/365.25)</f>
      </c>
      <c r="AB959" s="333">
        <f>Z959*(1+$O$5)^(($B$7-X959)/365.25)</f>
      </c>
      <c r="AC959" s="1"/>
      <c r="AD959" s="1"/>
      <c r="AE959" s="1"/>
      <c r="AF959" s="111">
        <f>+MONTH(E959)&amp;YEAR(E959)</f>
      </c>
      <c r="AG959" s="217">
        <f>+I959</f>
      </c>
      <c r="AH959" s="217">
        <f>+J959</f>
      </c>
      <c r="AI959" s="217">
        <f>+H959</f>
      </c>
      <c r="AJ959" s="111">
        <f>+V959&amp;W959</f>
      </c>
      <c r="AK959" s="217">
        <f>+_xlfn.IFNA(VLOOKUP(AJ959,$AF$7:$AG$1066,2,0),0)</f>
      </c>
      <c r="AL959" s="217">
        <f>+IF(W959&gt;W958,AK959,AL958+AK959)</f>
      </c>
      <c r="AM959" s="217">
        <f>IF(W959&gt;W958,IF(AL959&gt;=$AZ$8,$AZ$8,AL959),IF(OR(AM958=$AZ$8,AM958=0),0,IF(AL959&gt;=$AZ$8,$AZ$8,AL959)))</f>
      </c>
      <c r="AN959" s="748">
        <f>+IF(OR(AM959&gt;AZ958,AM959=0),0,IF(AM959=AL959,AK959,$AZ$7-AL958))</f>
      </c>
      <c r="AO959" s="748">
        <f>+AK959-AN959</f>
      </c>
      <c r="AP959" s="217">
        <f>+_xlfn.IFNA(VLOOKUP(AJ959,$AF$7:$AI$1066,3,0),0)</f>
      </c>
      <c r="AQ959" s="217">
        <f>+IF(W959&gt;W958,AP959,AQ958+AP959)</f>
      </c>
      <c r="AR959" s="217">
        <f>+MAX($AM$2-SUMIF($W$7:$W$1066,W959,$AN$7:$AN$1066),0)</f>
      </c>
      <c r="AS959" s="748">
        <f>+MAX(IF(AQ959&gt;AR959,AR959-AQ958,AP959),0)</f>
      </c>
      <c r="AT959" s="748">
        <f>+AP959-AS959</f>
      </c>
      <c r="AU959" s="217">
        <f>+_xlfn.IFNA(VLOOKUP(AJ959,$AF$7:$AI$1066,4,0),0)</f>
      </c>
      <c r="AV959" s="217">
        <f>+IF(W959&gt;W958,AU959,AV958+AU959)</f>
      </c>
      <c r="AW959" s="217">
        <f>+MAX($AM$2-SUMIF($W$7:$W$1066,W959,$AN$7:$AN$1066)-SUMIF($W$7:$W$1066,W959,$AS$7:$AS$1066),0)</f>
      </c>
      <c r="AX959" s="748">
        <f>+MAX(IF(AV959&gt;AW959,AW959-AV958,AU959),0)</f>
      </c>
      <c r="AY959" s="748">
        <f>+AU959-AX959</f>
      </c>
      <c r="AZ959" s="331">
        <f>+$AM$1+IF($AP$1&gt;$AP$2,$AM$3/2)</f>
      </c>
    </row>
    <row x14ac:dyDescent="0.25" r="960" customHeight="1" ht="18.75">
      <c r="A960" s="1"/>
      <c r="B960" s="7"/>
      <c r="C960" s="170"/>
      <c r="D960" s="331">
        <v>953</v>
      </c>
      <c r="E960" s="544">
        <f>+DATE(YEAR(E959),MONTH(E959)-1,DAY(E959))</f>
        <v>25569.041666666668</v>
      </c>
      <c r="F960" s="333">
        <f>IF(DATE(YEAR($B$6),MONTH($B$6)+1,DAY(1))=E960,1,IF(MONTH(E960)=1,F961*(1+$F$5),F961))</f>
      </c>
      <c r="G960" s="333">
        <f>IF('Simulador - 1º Pilar'!$E$99="Sí",IF('Aportaciones PPE'!$B$13&lt;'Aportaciones PPE'!E960,0,F960*$B$8/12),F960*$B$8/12)</f>
      </c>
      <c r="H960" s="333">
        <f>$H$5*G960</f>
      </c>
      <c r="I960" s="333">
        <f>$I$5*G960</f>
      </c>
      <c r="J960" s="333">
        <f>+I960</f>
      </c>
      <c r="K960" s="333">
        <f>(1+$O$5)^(D960/12)*(H960+IF(AND(F960=1,F961=0),$S$4,0))</f>
      </c>
      <c r="L960" s="333">
        <f>(1+$O$5)^(D960/12)*(I960+IF(AND(F960=1,F961=0),0))</f>
      </c>
      <c r="M960" s="333">
        <f>+L960</f>
      </c>
      <c r="N960" s="333">
        <f>L960+K960+M960</f>
      </c>
      <c r="O960" s="170"/>
      <c r="P960" s="7"/>
      <c r="Q960" s="1"/>
      <c r="R960" s="331">
        <f>D960</f>
      </c>
      <c r="S960" s="169"/>
      <c r="T960" s="1"/>
      <c r="U960" s="217"/>
      <c r="V960" s="331">
        <f>+IF(V959=11,12,IF(V959=12,1,V959+1))</f>
      </c>
      <c r="W960" s="331">
        <f>+W959+IF(V959=12,1,0)</f>
      </c>
      <c r="X960" s="555">
        <f>+DATE(W960,V960,1)</f>
        <v>25569.041666666668</v>
      </c>
      <c r="Y960" s="333">
        <f>+_xlfn.IFNA(AN960+AS960+AX960,0)</f>
      </c>
      <c r="Z960" s="333">
        <f>+_xlfn.IFNA(AO960+AT960+AY960,0)</f>
      </c>
      <c r="AA960" s="333">
        <f>Y960*(1+$O$5)^(($B$7-X960)/365.25)</f>
      </c>
      <c r="AB960" s="333">
        <f>Z960*(1+$O$5)^(($B$7-X960)/365.25)</f>
      </c>
      <c r="AC960" s="1"/>
      <c r="AD960" s="1"/>
      <c r="AE960" s="1"/>
      <c r="AF960" s="111">
        <f>+MONTH(E960)&amp;YEAR(E960)</f>
      </c>
      <c r="AG960" s="217">
        <f>+I960</f>
      </c>
      <c r="AH960" s="217">
        <f>+J960</f>
      </c>
      <c r="AI960" s="217">
        <f>+H960</f>
      </c>
      <c r="AJ960" s="111">
        <f>+V960&amp;W960</f>
      </c>
      <c r="AK960" s="217">
        <f>+_xlfn.IFNA(VLOOKUP(AJ960,$AF$7:$AG$1066,2,0),0)</f>
      </c>
      <c r="AL960" s="217">
        <f>+IF(W960&gt;W959,AK960,AL959+AK960)</f>
      </c>
      <c r="AM960" s="217">
        <f>IF(W960&gt;W959,IF(AL960&gt;=$AZ$8,$AZ$8,AL960),IF(OR(AM959=$AZ$8,AM959=0),0,IF(AL960&gt;=$AZ$8,$AZ$8,AL960)))</f>
      </c>
      <c r="AN960" s="748">
        <f>+IF(OR(AM960&gt;AZ959,AM960=0),0,IF(AM960=AL960,AK960,$AZ$7-AL959))</f>
      </c>
      <c r="AO960" s="748">
        <f>+AK960-AN960</f>
      </c>
      <c r="AP960" s="217">
        <f>+_xlfn.IFNA(VLOOKUP(AJ960,$AF$7:$AI$1066,3,0),0)</f>
      </c>
      <c r="AQ960" s="217">
        <f>+IF(W960&gt;W959,AP960,AQ959+AP960)</f>
      </c>
      <c r="AR960" s="217">
        <f>+MAX($AM$2-SUMIF($W$7:$W$1066,W960,$AN$7:$AN$1066),0)</f>
      </c>
      <c r="AS960" s="748">
        <f>+MAX(IF(AQ960&gt;AR960,AR960-AQ959,AP960),0)</f>
      </c>
      <c r="AT960" s="748">
        <f>+AP960-AS960</f>
      </c>
      <c r="AU960" s="217">
        <f>+_xlfn.IFNA(VLOOKUP(AJ960,$AF$7:$AI$1066,4,0),0)</f>
      </c>
      <c r="AV960" s="217">
        <f>+IF(W960&gt;W959,AU960,AV959+AU960)</f>
      </c>
      <c r="AW960" s="217">
        <f>+MAX($AM$2-SUMIF($W$7:$W$1066,W960,$AN$7:$AN$1066)-SUMIF($W$7:$W$1066,W960,$AS$7:$AS$1066),0)</f>
      </c>
      <c r="AX960" s="748">
        <f>+MAX(IF(AV960&gt;AW960,AW960-AV959,AU960),0)</f>
      </c>
      <c r="AY960" s="748">
        <f>+AU960-AX960</f>
      </c>
      <c r="AZ960" s="331">
        <f>+$AM$1+IF($AP$1&gt;$AP$2,$AM$3/2)</f>
      </c>
    </row>
    <row x14ac:dyDescent="0.25" r="961" customHeight="1" ht="18.75">
      <c r="A961" s="1"/>
      <c r="B961" s="7"/>
      <c r="C961" s="170"/>
      <c r="D961" s="331">
        <v>954</v>
      </c>
      <c r="E961" s="544">
        <f>+DATE(YEAR(E960),MONTH(E960)-1,DAY(E960))</f>
        <v>25569.041666666668</v>
      </c>
      <c r="F961" s="333">
        <f>IF(DATE(YEAR($B$6),MONTH($B$6)+1,DAY(1))=E961,1,IF(MONTH(E961)=1,F962*(1+$F$5),F962))</f>
      </c>
      <c r="G961" s="333">
        <f>IF('Simulador - 1º Pilar'!$E$99="Sí",IF('Aportaciones PPE'!$B$13&lt;'Aportaciones PPE'!E961,0,F961*$B$8/12),F961*$B$8/12)</f>
      </c>
      <c r="H961" s="333">
        <f>$H$5*G961</f>
      </c>
      <c r="I961" s="333">
        <f>$I$5*G961</f>
      </c>
      <c r="J961" s="333">
        <f>+I961</f>
      </c>
      <c r="K961" s="333">
        <f>(1+$O$5)^(D961/12)*(H961+IF(AND(F961=1,F962=0),$S$4,0))</f>
      </c>
      <c r="L961" s="333">
        <f>(1+$O$5)^(D961/12)*(I961+IF(AND(F961=1,F962=0),0))</f>
      </c>
      <c r="M961" s="333">
        <f>+L961</f>
      </c>
      <c r="N961" s="333">
        <f>L961+K961+M961</f>
      </c>
      <c r="O961" s="170"/>
      <c r="P961" s="7"/>
      <c r="Q961" s="1"/>
      <c r="R961" s="331">
        <f>D961</f>
      </c>
      <c r="S961" s="169"/>
      <c r="T961" s="1"/>
      <c r="U961" s="217"/>
      <c r="V961" s="331">
        <f>+IF(V960=11,12,IF(V960=12,1,V960+1))</f>
      </c>
      <c r="W961" s="331">
        <f>+W960+IF(V960=12,1,0)</f>
      </c>
      <c r="X961" s="555">
        <f>+DATE(W961,V961,1)</f>
        <v>25569.041666666668</v>
      </c>
      <c r="Y961" s="333">
        <f>+_xlfn.IFNA(AN961+AS961+AX961,0)</f>
      </c>
      <c r="Z961" s="333">
        <f>+_xlfn.IFNA(AO961+AT961+AY961,0)</f>
      </c>
      <c r="AA961" s="333">
        <f>Y961*(1+$O$5)^(($B$7-X961)/365.25)</f>
      </c>
      <c r="AB961" s="333">
        <f>Z961*(1+$O$5)^(($B$7-X961)/365.25)</f>
      </c>
      <c r="AC961" s="1"/>
      <c r="AD961" s="1"/>
      <c r="AE961" s="1"/>
      <c r="AF961" s="111">
        <f>+MONTH(E961)&amp;YEAR(E961)</f>
      </c>
      <c r="AG961" s="217">
        <f>+I961</f>
      </c>
      <c r="AH961" s="217">
        <f>+J961</f>
      </c>
      <c r="AI961" s="217">
        <f>+H961</f>
      </c>
      <c r="AJ961" s="111">
        <f>+V961&amp;W961</f>
      </c>
      <c r="AK961" s="217">
        <f>+_xlfn.IFNA(VLOOKUP(AJ961,$AF$7:$AG$1066,2,0),0)</f>
      </c>
      <c r="AL961" s="217">
        <f>+IF(W961&gt;W960,AK961,AL960+AK961)</f>
      </c>
      <c r="AM961" s="217">
        <f>IF(W961&gt;W960,IF(AL961&gt;=$AZ$8,$AZ$8,AL961),IF(OR(AM960=$AZ$8,AM960=0),0,IF(AL961&gt;=$AZ$8,$AZ$8,AL961)))</f>
      </c>
      <c r="AN961" s="748">
        <f>+IF(OR(AM961&gt;AZ960,AM961=0),0,IF(AM961=AL961,AK961,$AZ$7-AL960))</f>
      </c>
      <c r="AO961" s="748">
        <f>+AK961-AN961</f>
      </c>
      <c r="AP961" s="217">
        <f>+_xlfn.IFNA(VLOOKUP(AJ961,$AF$7:$AI$1066,3,0),0)</f>
      </c>
      <c r="AQ961" s="217">
        <f>+IF(W961&gt;W960,AP961,AQ960+AP961)</f>
      </c>
      <c r="AR961" s="217">
        <f>+MAX($AM$2-SUMIF($W$7:$W$1066,W961,$AN$7:$AN$1066),0)</f>
      </c>
      <c r="AS961" s="748">
        <f>+MAX(IF(AQ961&gt;AR961,AR961-AQ960,AP961),0)</f>
      </c>
      <c r="AT961" s="748">
        <f>+AP961-AS961</f>
      </c>
      <c r="AU961" s="217">
        <f>+_xlfn.IFNA(VLOOKUP(AJ961,$AF$7:$AI$1066,4,0),0)</f>
      </c>
      <c r="AV961" s="217">
        <f>+IF(W961&gt;W960,AU961,AV960+AU961)</f>
      </c>
      <c r="AW961" s="217">
        <f>+MAX($AM$2-SUMIF($W$7:$W$1066,W961,$AN$7:$AN$1066)-SUMIF($W$7:$W$1066,W961,$AS$7:$AS$1066),0)</f>
      </c>
      <c r="AX961" s="748">
        <f>+MAX(IF(AV961&gt;AW961,AW961-AV960,AU961),0)</f>
      </c>
      <c r="AY961" s="748">
        <f>+AU961-AX961</f>
      </c>
      <c r="AZ961" s="331">
        <f>+$AM$1+IF($AP$1&gt;$AP$2,$AM$3/2)</f>
      </c>
    </row>
    <row x14ac:dyDescent="0.25" r="962" customHeight="1" ht="18.75">
      <c r="A962" s="1"/>
      <c r="B962" s="7"/>
      <c r="C962" s="170"/>
      <c r="D962" s="331">
        <v>955</v>
      </c>
      <c r="E962" s="544">
        <f>+DATE(YEAR(E961),MONTH(E961)-1,DAY(E961))</f>
        <v>25569.041666666668</v>
      </c>
      <c r="F962" s="333">
        <f>IF(DATE(YEAR($B$6),MONTH($B$6)+1,DAY(1))=E962,1,IF(MONTH(E962)=1,F963*(1+$F$5),F963))</f>
      </c>
      <c r="G962" s="333">
        <f>IF('Simulador - 1º Pilar'!$E$99="Sí",IF('Aportaciones PPE'!$B$13&lt;'Aportaciones PPE'!E962,0,F962*$B$8/12),F962*$B$8/12)</f>
      </c>
      <c r="H962" s="333">
        <f>$H$5*G962</f>
      </c>
      <c r="I962" s="333">
        <f>$I$5*G962</f>
      </c>
      <c r="J962" s="333">
        <f>+I962</f>
      </c>
      <c r="K962" s="333">
        <f>(1+$O$5)^(D962/12)*(H962+IF(AND(F962=1,F963=0),$S$4,0))</f>
      </c>
      <c r="L962" s="333">
        <f>(1+$O$5)^(D962/12)*(I962+IF(AND(F962=1,F963=0),0))</f>
      </c>
      <c r="M962" s="333">
        <f>+L962</f>
      </c>
      <c r="N962" s="333">
        <f>L962+K962+M962</f>
      </c>
      <c r="O962" s="170"/>
      <c r="P962" s="7"/>
      <c r="Q962" s="1"/>
      <c r="R962" s="331">
        <f>D962</f>
      </c>
      <c r="S962" s="169"/>
      <c r="T962" s="1"/>
      <c r="U962" s="217"/>
      <c r="V962" s="331">
        <f>+IF(V961=11,12,IF(V961=12,1,V961+1))</f>
      </c>
      <c r="W962" s="331">
        <f>+W961+IF(V961=12,1,0)</f>
      </c>
      <c r="X962" s="555">
        <f>+DATE(W962,V962,1)</f>
        <v>25569.041666666668</v>
      </c>
      <c r="Y962" s="333">
        <f>+_xlfn.IFNA(AN962+AS962+AX962,0)</f>
      </c>
      <c r="Z962" s="333">
        <f>+_xlfn.IFNA(AO962+AT962+AY962,0)</f>
      </c>
      <c r="AA962" s="333">
        <f>Y962*(1+$O$5)^(($B$7-X962)/365.25)</f>
      </c>
      <c r="AB962" s="333">
        <f>Z962*(1+$O$5)^(($B$7-X962)/365.25)</f>
      </c>
      <c r="AC962" s="1"/>
      <c r="AD962" s="1"/>
      <c r="AE962" s="1"/>
      <c r="AF962" s="111">
        <f>+MONTH(E962)&amp;YEAR(E962)</f>
      </c>
      <c r="AG962" s="217">
        <f>+I962</f>
      </c>
      <c r="AH962" s="217">
        <f>+J962</f>
      </c>
      <c r="AI962" s="217">
        <f>+H962</f>
      </c>
      <c r="AJ962" s="111">
        <f>+V962&amp;W962</f>
      </c>
      <c r="AK962" s="217">
        <f>+_xlfn.IFNA(VLOOKUP(AJ962,$AF$7:$AG$1066,2,0),0)</f>
      </c>
      <c r="AL962" s="217">
        <f>+IF(W962&gt;W961,AK962,AL961+AK962)</f>
      </c>
      <c r="AM962" s="217">
        <f>IF(W962&gt;W961,IF(AL962&gt;=$AZ$8,$AZ$8,AL962),IF(OR(AM961=$AZ$8,AM961=0),0,IF(AL962&gt;=$AZ$8,$AZ$8,AL962)))</f>
      </c>
      <c r="AN962" s="748">
        <f>+IF(OR(AM962&gt;AZ961,AM962=0),0,IF(AM962=AL962,AK962,$AZ$7-AL961))</f>
      </c>
      <c r="AO962" s="748">
        <f>+AK962-AN962</f>
      </c>
      <c r="AP962" s="217">
        <f>+_xlfn.IFNA(VLOOKUP(AJ962,$AF$7:$AI$1066,3,0),0)</f>
      </c>
      <c r="AQ962" s="217">
        <f>+IF(W962&gt;W961,AP962,AQ961+AP962)</f>
      </c>
      <c r="AR962" s="217">
        <f>+MAX($AM$2-SUMIF($W$7:$W$1066,W962,$AN$7:$AN$1066),0)</f>
      </c>
      <c r="AS962" s="748">
        <f>+MAX(IF(AQ962&gt;AR962,AR962-AQ961,AP962),0)</f>
      </c>
      <c r="AT962" s="748">
        <f>+AP962-AS962</f>
      </c>
      <c r="AU962" s="217">
        <f>+_xlfn.IFNA(VLOOKUP(AJ962,$AF$7:$AI$1066,4,0),0)</f>
      </c>
      <c r="AV962" s="217">
        <f>+IF(W962&gt;W961,AU962,AV961+AU962)</f>
      </c>
      <c r="AW962" s="217">
        <f>+MAX($AM$2-SUMIF($W$7:$W$1066,W962,$AN$7:$AN$1066)-SUMIF($W$7:$W$1066,W962,$AS$7:$AS$1066),0)</f>
      </c>
      <c r="AX962" s="748">
        <f>+MAX(IF(AV962&gt;AW962,AW962-AV961,AU962),0)</f>
      </c>
      <c r="AY962" s="748">
        <f>+AU962-AX962</f>
      </c>
      <c r="AZ962" s="331">
        <f>+$AM$1+IF($AP$1&gt;$AP$2,$AM$3/2)</f>
      </c>
    </row>
    <row x14ac:dyDescent="0.25" r="963" customHeight="1" ht="18.75">
      <c r="A963" s="1"/>
      <c r="B963" s="7"/>
      <c r="C963" s="170"/>
      <c r="D963" s="331">
        <v>956</v>
      </c>
      <c r="E963" s="544">
        <f>+DATE(YEAR(E962),MONTH(E962)-1,DAY(E962))</f>
        <v>25569.041666666668</v>
      </c>
      <c r="F963" s="333">
        <f>IF(DATE(YEAR($B$6),MONTH($B$6)+1,DAY(1))=E963,1,IF(MONTH(E963)=1,F964*(1+$F$5),F964))</f>
      </c>
      <c r="G963" s="333">
        <f>IF('Simulador - 1º Pilar'!$E$99="Sí",IF('Aportaciones PPE'!$B$13&lt;'Aportaciones PPE'!E963,0,F963*$B$8/12),F963*$B$8/12)</f>
      </c>
      <c r="H963" s="333">
        <f>$H$5*G963</f>
      </c>
      <c r="I963" s="333">
        <f>$I$5*G963</f>
      </c>
      <c r="J963" s="333">
        <f>+I963</f>
      </c>
      <c r="K963" s="333">
        <f>(1+$O$5)^(D963/12)*(H963+IF(AND(F963=1,F964=0),$S$4,0))</f>
      </c>
      <c r="L963" s="333">
        <f>(1+$O$5)^(D963/12)*(I963+IF(AND(F963=1,F964=0),0))</f>
      </c>
      <c r="M963" s="333">
        <f>+L963</f>
      </c>
      <c r="N963" s="333">
        <f>L963+K963+M963</f>
      </c>
      <c r="O963" s="170"/>
      <c r="P963" s="7"/>
      <c r="Q963" s="1"/>
      <c r="R963" s="331">
        <f>D963</f>
      </c>
      <c r="S963" s="169"/>
      <c r="T963" s="1"/>
      <c r="U963" s="217"/>
      <c r="V963" s="331">
        <f>+IF(V962=11,12,IF(V962=12,1,V962+1))</f>
      </c>
      <c r="W963" s="331">
        <f>+W962+IF(V962=12,1,0)</f>
      </c>
      <c r="X963" s="555">
        <f>+DATE(W963,V963,1)</f>
        <v>25569.041666666668</v>
      </c>
      <c r="Y963" s="333">
        <f>+_xlfn.IFNA(AN963+AS963+AX963,0)</f>
      </c>
      <c r="Z963" s="333">
        <f>+_xlfn.IFNA(AO963+AT963+AY963,0)</f>
      </c>
      <c r="AA963" s="333">
        <f>Y963*(1+$O$5)^(($B$7-X963)/365.25)</f>
      </c>
      <c r="AB963" s="333">
        <f>Z963*(1+$O$5)^(($B$7-X963)/365.25)</f>
      </c>
      <c r="AC963" s="1"/>
      <c r="AD963" s="1"/>
      <c r="AE963" s="1"/>
      <c r="AF963" s="111">
        <f>+MONTH(E963)&amp;YEAR(E963)</f>
      </c>
      <c r="AG963" s="217">
        <f>+I963</f>
      </c>
      <c r="AH963" s="217">
        <f>+J963</f>
      </c>
      <c r="AI963" s="217">
        <f>+H963</f>
      </c>
      <c r="AJ963" s="111">
        <f>+V963&amp;W963</f>
      </c>
      <c r="AK963" s="217">
        <f>+_xlfn.IFNA(VLOOKUP(AJ963,$AF$7:$AG$1066,2,0),0)</f>
      </c>
      <c r="AL963" s="217">
        <f>+IF(W963&gt;W962,AK963,AL962+AK963)</f>
      </c>
      <c r="AM963" s="217">
        <f>IF(W963&gt;W962,IF(AL963&gt;=$AZ$8,$AZ$8,AL963),IF(OR(AM962=$AZ$8,AM962=0),0,IF(AL963&gt;=$AZ$8,$AZ$8,AL963)))</f>
      </c>
      <c r="AN963" s="748">
        <f>+IF(OR(AM963&gt;AZ962,AM963=0),0,IF(AM963=AL963,AK963,$AZ$7-AL962))</f>
      </c>
      <c r="AO963" s="748">
        <f>+AK963-AN963</f>
      </c>
      <c r="AP963" s="217">
        <f>+_xlfn.IFNA(VLOOKUP(AJ963,$AF$7:$AI$1066,3,0),0)</f>
      </c>
      <c r="AQ963" s="217">
        <f>+IF(W963&gt;W962,AP963,AQ962+AP963)</f>
      </c>
      <c r="AR963" s="217">
        <f>+MAX($AM$2-SUMIF($W$7:$W$1066,W963,$AN$7:$AN$1066),0)</f>
      </c>
      <c r="AS963" s="748">
        <f>+MAX(IF(AQ963&gt;AR963,AR963-AQ962,AP963),0)</f>
      </c>
      <c r="AT963" s="748">
        <f>+AP963-AS963</f>
      </c>
      <c r="AU963" s="217">
        <f>+_xlfn.IFNA(VLOOKUP(AJ963,$AF$7:$AI$1066,4,0),0)</f>
      </c>
      <c r="AV963" s="217">
        <f>+IF(W963&gt;W962,AU963,AV962+AU963)</f>
      </c>
      <c r="AW963" s="217">
        <f>+MAX($AM$2-SUMIF($W$7:$W$1066,W963,$AN$7:$AN$1066)-SUMIF($W$7:$W$1066,W963,$AS$7:$AS$1066),0)</f>
      </c>
      <c r="AX963" s="748">
        <f>+MAX(IF(AV963&gt;AW963,AW963-AV962,AU963),0)</f>
      </c>
      <c r="AY963" s="748">
        <f>+AU963-AX963</f>
      </c>
      <c r="AZ963" s="331">
        <f>+$AM$1+IF($AP$1&gt;$AP$2,$AM$3/2)</f>
      </c>
    </row>
    <row x14ac:dyDescent="0.25" r="964" customHeight="1" ht="18.75">
      <c r="A964" s="1"/>
      <c r="B964" s="7"/>
      <c r="C964" s="170"/>
      <c r="D964" s="331">
        <v>957</v>
      </c>
      <c r="E964" s="544">
        <f>+DATE(YEAR(E963),MONTH(E963)-1,DAY(E963))</f>
        <v>25569.041666666668</v>
      </c>
      <c r="F964" s="333">
        <f>IF(DATE(YEAR($B$6),MONTH($B$6)+1,DAY(1))=E964,1,IF(MONTH(E964)=1,F965*(1+$F$5),F965))</f>
      </c>
      <c r="G964" s="333">
        <f>IF('Simulador - 1º Pilar'!$E$99="Sí",IF('Aportaciones PPE'!$B$13&lt;'Aportaciones PPE'!E964,0,F964*$B$8/12),F964*$B$8/12)</f>
      </c>
      <c r="H964" s="333">
        <f>$H$5*G964</f>
      </c>
      <c r="I964" s="333">
        <f>$I$5*G964</f>
      </c>
      <c r="J964" s="333">
        <f>+I964</f>
      </c>
      <c r="K964" s="333">
        <f>(1+$O$5)^(D964/12)*(H964+IF(AND(F964=1,F965=0),$S$4,0))</f>
      </c>
      <c r="L964" s="333">
        <f>(1+$O$5)^(D964/12)*(I964+IF(AND(F964=1,F965=0),0))</f>
      </c>
      <c r="M964" s="333">
        <f>+L964</f>
      </c>
      <c r="N964" s="333">
        <f>L964+K964+M964</f>
      </c>
      <c r="O964" s="170"/>
      <c r="P964" s="7"/>
      <c r="Q964" s="1"/>
      <c r="R964" s="331">
        <f>D964</f>
      </c>
      <c r="S964" s="169"/>
      <c r="T964" s="1"/>
      <c r="U964" s="217"/>
      <c r="V964" s="331">
        <f>+IF(V963=11,12,IF(V963=12,1,V963+1))</f>
      </c>
      <c r="W964" s="331">
        <f>+W963+IF(V963=12,1,0)</f>
      </c>
      <c r="X964" s="555">
        <f>+DATE(W964,V964,1)</f>
        <v>25569.041666666668</v>
      </c>
      <c r="Y964" s="333">
        <f>+_xlfn.IFNA(AN964+AS964+AX964,0)</f>
      </c>
      <c r="Z964" s="333">
        <f>+_xlfn.IFNA(AO964+AT964+AY964,0)</f>
      </c>
      <c r="AA964" s="333">
        <f>Y964*(1+$O$5)^(($B$7-X964)/365.25)</f>
      </c>
      <c r="AB964" s="333">
        <f>Z964*(1+$O$5)^(($B$7-X964)/365.25)</f>
      </c>
      <c r="AC964" s="1"/>
      <c r="AD964" s="1"/>
      <c r="AE964" s="1"/>
      <c r="AF964" s="111">
        <f>+MONTH(E964)&amp;YEAR(E964)</f>
      </c>
      <c r="AG964" s="217">
        <f>+I964</f>
      </c>
      <c r="AH964" s="217">
        <f>+J964</f>
      </c>
      <c r="AI964" s="217">
        <f>+H964</f>
      </c>
      <c r="AJ964" s="111">
        <f>+V964&amp;W964</f>
      </c>
      <c r="AK964" s="217">
        <f>+_xlfn.IFNA(VLOOKUP(AJ964,$AF$7:$AG$1066,2,0),0)</f>
      </c>
      <c r="AL964" s="217">
        <f>+IF(W964&gt;W963,AK964,AL963+AK964)</f>
      </c>
      <c r="AM964" s="217">
        <f>IF(W964&gt;W963,IF(AL964&gt;=$AZ$8,$AZ$8,AL964),IF(OR(AM963=$AZ$8,AM963=0),0,IF(AL964&gt;=$AZ$8,$AZ$8,AL964)))</f>
      </c>
      <c r="AN964" s="748">
        <f>+IF(OR(AM964&gt;AZ963,AM964=0),0,IF(AM964=AL964,AK964,$AZ$7-AL963))</f>
      </c>
      <c r="AO964" s="748">
        <f>+AK964-AN964</f>
      </c>
      <c r="AP964" s="217">
        <f>+_xlfn.IFNA(VLOOKUP(AJ964,$AF$7:$AI$1066,3,0),0)</f>
      </c>
      <c r="AQ964" s="217">
        <f>+IF(W964&gt;W963,AP964,AQ963+AP964)</f>
      </c>
      <c r="AR964" s="217">
        <f>+MAX($AM$2-SUMIF($W$7:$W$1066,W964,$AN$7:$AN$1066),0)</f>
      </c>
      <c r="AS964" s="748">
        <f>+MAX(IF(AQ964&gt;AR964,AR964-AQ963,AP964),0)</f>
      </c>
      <c r="AT964" s="748">
        <f>+AP964-AS964</f>
      </c>
      <c r="AU964" s="217">
        <f>+_xlfn.IFNA(VLOOKUP(AJ964,$AF$7:$AI$1066,4,0),0)</f>
      </c>
      <c r="AV964" s="217">
        <f>+IF(W964&gt;W963,AU964,AV963+AU964)</f>
      </c>
      <c r="AW964" s="217">
        <f>+MAX($AM$2-SUMIF($W$7:$W$1066,W964,$AN$7:$AN$1066)-SUMIF($W$7:$W$1066,W964,$AS$7:$AS$1066),0)</f>
      </c>
      <c r="AX964" s="748">
        <f>+MAX(IF(AV964&gt;AW964,AW964-AV963,AU964),0)</f>
      </c>
      <c r="AY964" s="748">
        <f>+AU964-AX964</f>
      </c>
      <c r="AZ964" s="331">
        <f>+$AM$1+IF($AP$1&gt;$AP$2,$AM$3/2)</f>
      </c>
    </row>
    <row x14ac:dyDescent="0.25" r="965" customHeight="1" ht="18.75">
      <c r="A965" s="1"/>
      <c r="B965" s="7"/>
      <c r="C965" s="170"/>
      <c r="D965" s="331">
        <v>958</v>
      </c>
      <c r="E965" s="544">
        <f>+DATE(YEAR(E964),MONTH(E964)-1,DAY(E964))</f>
        <v>25569.041666666668</v>
      </c>
      <c r="F965" s="333">
        <f>IF(DATE(YEAR($B$6),MONTH($B$6)+1,DAY(1))=E965,1,IF(MONTH(E965)=1,F966*(1+$F$5),F966))</f>
      </c>
      <c r="G965" s="333">
        <f>IF('Simulador - 1º Pilar'!$E$99="Sí",IF('Aportaciones PPE'!$B$13&lt;'Aportaciones PPE'!E965,0,F965*$B$8/12),F965*$B$8/12)</f>
      </c>
      <c r="H965" s="333">
        <f>$H$5*G965</f>
      </c>
      <c r="I965" s="333">
        <f>$I$5*G965</f>
      </c>
      <c r="J965" s="333">
        <f>+I965</f>
      </c>
      <c r="K965" s="333">
        <f>(1+$O$5)^(D965/12)*(H965+IF(AND(F965=1,F966=0),$S$4,0))</f>
      </c>
      <c r="L965" s="333">
        <f>(1+$O$5)^(D965/12)*(I965+IF(AND(F965=1,F966=0),0))</f>
      </c>
      <c r="M965" s="333">
        <f>+L965</f>
      </c>
      <c r="N965" s="333">
        <f>L965+K965+M965</f>
      </c>
      <c r="O965" s="170"/>
      <c r="P965" s="7"/>
      <c r="Q965" s="1"/>
      <c r="R965" s="331">
        <f>D965</f>
      </c>
      <c r="S965" s="169"/>
      <c r="T965" s="1"/>
      <c r="U965" s="217"/>
      <c r="V965" s="331">
        <f>+IF(V964=11,12,IF(V964=12,1,V964+1))</f>
      </c>
      <c r="W965" s="331">
        <f>+W964+IF(V964=12,1,0)</f>
      </c>
      <c r="X965" s="555">
        <f>+DATE(W965,V965,1)</f>
        <v>25569.041666666668</v>
      </c>
      <c r="Y965" s="333">
        <f>+_xlfn.IFNA(AN965+AS965+AX965,0)</f>
      </c>
      <c r="Z965" s="333">
        <f>+_xlfn.IFNA(AO965+AT965+AY965,0)</f>
      </c>
      <c r="AA965" s="333">
        <f>Y965*(1+$O$5)^(($B$7-X965)/365.25)</f>
      </c>
      <c r="AB965" s="333">
        <f>Z965*(1+$O$5)^(($B$7-X965)/365.25)</f>
      </c>
      <c r="AC965" s="1"/>
      <c r="AD965" s="1"/>
      <c r="AE965" s="1"/>
      <c r="AF965" s="111">
        <f>+MONTH(E965)&amp;YEAR(E965)</f>
      </c>
      <c r="AG965" s="217">
        <f>+I965</f>
      </c>
      <c r="AH965" s="217">
        <f>+J965</f>
      </c>
      <c r="AI965" s="217">
        <f>+H965</f>
      </c>
      <c r="AJ965" s="111">
        <f>+V965&amp;W965</f>
      </c>
      <c r="AK965" s="217">
        <f>+_xlfn.IFNA(VLOOKUP(AJ965,$AF$7:$AG$1066,2,0),0)</f>
      </c>
      <c r="AL965" s="217">
        <f>+IF(W965&gt;W964,AK965,AL964+AK965)</f>
      </c>
      <c r="AM965" s="217">
        <f>IF(W965&gt;W964,IF(AL965&gt;=$AZ$8,$AZ$8,AL965),IF(OR(AM964=$AZ$8,AM964=0),0,IF(AL965&gt;=$AZ$8,$AZ$8,AL965)))</f>
      </c>
      <c r="AN965" s="748">
        <f>+IF(OR(AM965&gt;AZ964,AM965=0),0,IF(AM965=AL965,AK965,$AZ$7-AL964))</f>
      </c>
      <c r="AO965" s="748">
        <f>+AK965-AN965</f>
      </c>
      <c r="AP965" s="217">
        <f>+_xlfn.IFNA(VLOOKUP(AJ965,$AF$7:$AI$1066,3,0),0)</f>
      </c>
      <c r="AQ965" s="217">
        <f>+IF(W965&gt;W964,AP965,AQ964+AP965)</f>
      </c>
      <c r="AR965" s="217">
        <f>+MAX($AM$2-SUMIF($W$7:$W$1066,W965,$AN$7:$AN$1066),0)</f>
      </c>
      <c r="AS965" s="748">
        <f>+MAX(IF(AQ965&gt;AR965,AR965-AQ964,AP965),0)</f>
      </c>
      <c r="AT965" s="748">
        <f>+AP965-AS965</f>
      </c>
      <c r="AU965" s="217">
        <f>+_xlfn.IFNA(VLOOKUP(AJ965,$AF$7:$AI$1066,4,0),0)</f>
      </c>
      <c r="AV965" s="217">
        <f>+IF(W965&gt;W964,AU965,AV964+AU965)</f>
      </c>
      <c r="AW965" s="217">
        <f>+MAX($AM$2-SUMIF($W$7:$W$1066,W965,$AN$7:$AN$1066)-SUMIF($W$7:$W$1066,W965,$AS$7:$AS$1066),0)</f>
      </c>
      <c r="AX965" s="748">
        <f>+MAX(IF(AV965&gt;AW965,AW965-AV964,AU965),0)</f>
      </c>
      <c r="AY965" s="748">
        <f>+AU965-AX965</f>
      </c>
      <c r="AZ965" s="331">
        <f>+$AM$1+IF($AP$1&gt;$AP$2,$AM$3/2)</f>
      </c>
    </row>
    <row x14ac:dyDescent="0.25" r="966" customHeight="1" ht="18.75">
      <c r="A966" s="1"/>
      <c r="B966" s="7"/>
      <c r="C966" s="170"/>
      <c r="D966" s="331">
        <v>959</v>
      </c>
      <c r="E966" s="544">
        <f>+DATE(YEAR(E965),MONTH(E965)-1,DAY(E965))</f>
        <v>25569.041666666668</v>
      </c>
      <c r="F966" s="333">
        <f>IF(DATE(YEAR($B$6),MONTH($B$6)+1,DAY(1))=E966,1,IF(MONTH(E966)=1,F967*(1+$F$5),F967))</f>
      </c>
      <c r="G966" s="333">
        <f>IF('Simulador - 1º Pilar'!$E$99="Sí",IF('Aportaciones PPE'!$B$13&lt;'Aportaciones PPE'!E966,0,F966*$B$8/12),F966*$B$8/12)</f>
      </c>
      <c r="H966" s="333">
        <f>$H$5*G966</f>
      </c>
      <c r="I966" s="333">
        <f>$I$5*G966</f>
      </c>
      <c r="J966" s="333">
        <f>+I966</f>
      </c>
      <c r="K966" s="333">
        <f>(1+$O$5)^(D966/12)*(H966+IF(AND(F966=1,F967=0),$S$4,0))</f>
      </c>
      <c r="L966" s="333">
        <f>(1+$O$5)^(D966/12)*(I966+IF(AND(F966=1,F967=0),0))</f>
      </c>
      <c r="M966" s="333">
        <f>+L966</f>
      </c>
      <c r="N966" s="333">
        <f>L966+K966+M966</f>
      </c>
      <c r="O966" s="170"/>
      <c r="P966" s="7"/>
      <c r="Q966" s="1"/>
      <c r="R966" s="331">
        <f>D966</f>
      </c>
      <c r="S966" s="169"/>
      <c r="T966" s="1"/>
      <c r="U966" s="217"/>
      <c r="V966" s="331">
        <f>+IF(V965=11,12,IF(V965=12,1,V965+1))</f>
      </c>
      <c r="W966" s="331">
        <f>+W965+IF(V965=12,1,0)</f>
      </c>
      <c r="X966" s="555">
        <f>+DATE(W966,V966,1)</f>
        <v>25569.041666666668</v>
      </c>
      <c r="Y966" s="333">
        <f>+_xlfn.IFNA(AN966+AS966+AX966,0)</f>
      </c>
      <c r="Z966" s="333">
        <f>+_xlfn.IFNA(AO966+AT966+AY966,0)</f>
      </c>
      <c r="AA966" s="333">
        <f>Y966*(1+$O$5)^(($B$7-X966)/365.25)</f>
      </c>
      <c r="AB966" s="333">
        <f>Z966*(1+$O$5)^(($B$7-X966)/365.25)</f>
      </c>
      <c r="AC966" s="1"/>
      <c r="AD966" s="1"/>
      <c r="AE966" s="1"/>
      <c r="AF966" s="111">
        <f>+MONTH(E966)&amp;YEAR(E966)</f>
      </c>
      <c r="AG966" s="217">
        <f>+I966</f>
      </c>
      <c r="AH966" s="217">
        <f>+J966</f>
      </c>
      <c r="AI966" s="217">
        <f>+H966</f>
      </c>
      <c r="AJ966" s="111">
        <f>+V966&amp;W966</f>
      </c>
      <c r="AK966" s="217">
        <f>+_xlfn.IFNA(VLOOKUP(AJ966,$AF$7:$AG$1066,2,0),0)</f>
      </c>
      <c r="AL966" s="217">
        <f>+IF(W966&gt;W965,AK966,AL965+AK966)</f>
      </c>
      <c r="AM966" s="217">
        <f>IF(W966&gt;W965,IF(AL966&gt;=$AZ$8,$AZ$8,AL966),IF(OR(AM965=$AZ$8,AM965=0),0,IF(AL966&gt;=$AZ$8,$AZ$8,AL966)))</f>
      </c>
      <c r="AN966" s="748">
        <f>+IF(OR(AM966&gt;AZ965,AM966=0),0,IF(AM966=AL966,AK966,$AZ$7-AL965))</f>
      </c>
      <c r="AO966" s="748">
        <f>+AK966-AN966</f>
      </c>
      <c r="AP966" s="217">
        <f>+_xlfn.IFNA(VLOOKUP(AJ966,$AF$7:$AI$1066,3,0),0)</f>
      </c>
      <c r="AQ966" s="217">
        <f>+IF(W966&gt;W965,AP966,AQ965+AP966)</f>
      </c>
      <c r="AR966" s="217">
        <f>+MAX($AM$2-SUMIF($W$7:$W$1066,W966,$AN$7:$AN$1066),0)</f>
      </c>
      <c r="AS966" s="748">
        <f>+MAX(IF(AQ966&gt;AR966,AR966-AQ965,AP966),0)</f>
      </c>
      <c r="AT966" s="748">
        <f>+AP966-AS966</f>
      </c>
      <c r="AU966" s="217">
        <f>+_xlfn.IFNA(VLOOKUP(AJ966,$AF$7:$AI$1066,4,0),0)</f>
      </c>
      <c r="AV966" s="217">
        <f>+IF(W966&gt;W965,AU966,AV965+AU966)</f>
      </c>
      <c r="AW966" s="217">
        <f>+MAX($AM$2-SUMIF($W$7:$W$1066,W966,$AN$7:$AN$1066)-SUMIF($W$7:$W$1066,W966,$AS$7:$AS$1066),0)</f>
      </c>
      <c r="AX966" s="748">
        <f>+MAX(IF(AV966&gt;AW966,AW966-AV965,AU966),0)</f>
      </c>
      <c r="AY966" s="748">
        <f>+AU966-AX966</f>
      </c>
      <c r="AZ966" s="331">
        <f>+$AM$1+IF($AP$1&gt;$AP$2,$AM$3/2)</f>
      </c>
    </row>
    <row x14ac:dyDescent="0.25" r="967" customHeight="1" ht="18.75">
      <c r="A967" s="1"/>
      <c r="B967" s="7"/>
      <c r="C967" s="170"/>
      <c r="D967" s="331">
        <v>960</v>
      </c>
      <c r="E967" s="544">
        <f>+DATE(YEAR(E966),MONTH(E966)-1,DAY(E966))</f>
        <v>25569.041666666668</v>
      </c>
      <c r="F967" s="333">
        <f>IF(DATE(YEAR($B$6),MONTH($B$6)+1,DAY(1))=E967,1,IF(MONTH(E967)=1,F968*(1+$F$5),F968))</f>
      </c>
      <c r="G967" s="333">
        <f>IF('Simulador - 1º Pilar'!$E$99="Sí",IF('Aportaciones PPE'!$B$13&lt;'Aportaciones PPE'!E967,0,F967*$B$8/12),F967*$B$8/12)</f>
      </c>
      <c r="H967" s="333">
        <f>$H$5*G967</f>
      </c>
      <c r="I967" s="333">
        <f>$I$5*G967</f>
      </c>
      <c r="J967" s="333">
        <f>+I967</f>
      </c>
      <c r="K967" s="333">
        <f>(1+$O$5)^(D967/12)*(H967+IF(AND(F967=1,F968=0),$S$4,0))</f>
      </c>
      <c r="L967" s="333">
        <f>(1+$O$5)^(D967/12)*(I967+IF(AND(F967=1,F968=0),0))</f>
      </c>
      <c r="M967" s="333">
        <f>+L967</f>
      </c>
      <c r="N967" s="333">
        <f>L967+K967+M967</f>
      </c>
      <c r="O967" s="170"/>
      <c r="P967" s="7"/>
      <c r="Q967" s="1"/>
      <c r="R967" s="331">
        <f>D967</f>
      </c>
      <c r="S967" s="169"/>
      <c r="T967" s="1"/>
      <c r="U967" s="217"/>
      <c r="V967" s="331">
        <f>+IF(V966=11,12,IF(V966=12,1,V966+1))</f>
      </c>
      <c r="W967" s="331">
        <f>+W966+IF(V966=12,1,0)</f>
      </c>
      <c r="X967" s="555">
        <f>+DATE(W967,V967,1)</f>
        <v>25569.041666666668</v>
      </c>
      <c r="Y967" s="333">
        <f>+_xlfn.IFNA(AN967+AS967+AX967,0)</f>
      </c>
      <c r="Z967" s="333">
        <f>+_xlfn.IFNA(AO967+AT967+AY967,0)</f>
      </c>
      <c r="AA967" s="333">
        <f>Y967*(1+$O$5)^(($B$7-X967)/365.25)</f>
      </c>
      <c r="AB967" s="333">
        <f>Z967*(1+$O$5)^(($B$7-X967)/365.25)</f>
      </c>
      <c r="AC967" s="1"/>
      <c r="AD967" s="1"/>
      <c r="AE967" s="1"/>
      <c r="AF967" s="111">
        <f>+MONTH(E967)&amp;YEAR(E967)</f>
      </c>
      <c r="AG967" s="217">
        <f>+I967</f>
      </c>
      <c r="AH967" s="217">
        <f>+J967</f>
      </c>
      <c r="AI967" s="217">
        <f>+H967</f>
      </c>
      <c r="AJ967" s="111">
        <f>+V967&amp;W967</f>
      </c>
      <c r="AK967" s="217">
        <f>+_xlfn.IFNA(VLOOKUP(AJ967,$AF$7:$AG$1066,2,0),0)</f>
      </c>
      <c r="AL967" s="217">
        <f>+IF(W967&gt;W966,AK967,AL966+AK967)</f>
      </c>
      <c r="AM967" s="217">
        <f>IF(W967&gt;W966,IF(AL967&gt;=$AZ$8,$AZ$8,AL967),IF(OR(AM966=$AZ$8,AM966=0),0,IF(AL967&gt;=$AZ$8,$AZ$8,AL967)))</f>
      </c>
      <c r="AN967" s="748">
        <f>+IF(OR(AM967&gt;AZ966,AM967=0),0,IF(AM967=AL967,AK967,$AZ$7-AL966))</f>
      </c>
      <c r="AO967" s="748">
        <f>+AK967-AN967</f>
      </c>
      <c r="AP967" s="217">
        <f>+_xlfn.IFNA(VLOOKUP(AJ967,$AF$7:$AI$1066,3,0),0)</f>
      </c>
      <c r="AQ967" s="217">
        <f>+IF(W967&gt;W966,AP967,AQ966+AP967)</f>
      </c>
      <c r="AR967" s="217">
        <f>+MAX($AM$2-SUMIF($W$7:$W$1066,W967,$AN$7:$AN$1066),0)</f>
      </c>
      <c r="AS967" s="748">
        <f>+MAX(IF(AQ967&gt;AR967,AR967-AQ966,AP967),0)</f>
      </c>
      <c r="AT967" s="748">
        <f>+AP967-AS967</f>
      </c>
      <c r="AU967" s="217">
        <f>+_xlfn.IFNA(VLOOKUP(AJ967,$AF$7:$AI$1066,4,0),0)</f>
      </c>
      <c r="AV967" s="217">
        <f>+IF(W967&gt;W966,AU967,AV966+AU967)</f>
      </c>
      <c r="AW967" s="217">
        <f>+MAX($AM$2-SUMIF($W$7:$W$1066,W967,$AN$7:$AN$1066)-SUMIF($W$7:$W$1066,W967,$AS$7:$AS$1066),0)</f>
      </c>
      <c r="AX967" s="748">
        <f>+MAX(IF(AV967&gt;AW967,AW967-AV966,AU967),0)</f>
      </c>
      <c r="AY967" s="748">
        <f>+AU967-AX967</f>
      </c>
      <c r="AZ967" s="331">
        <f>+$AM$1+IF($AP$1&gt;$AP$2,$AM$3/2)</f>
      </c>
    </row>
    <row x14ac:dyDescent="0.25" r="968" customHeight="1" ht="18.75">
      <c r="A968" s="1"/>
      <c r="B968" s="7"/>
      <c r="C968" s="170"/>
      <c r="D968" s="331">
        <v>961</v>
      </c>
      <c r="E968" s="544">
        <f>+DATE(YEAR(E967),MONTH(E967)-1,DAY(E967))</f>
        <v>25569.041666666668</v>
      </c>
      <c r="F968" s="333">
        <f>IF(DATE(YEAR($B$6),MONTH($B$6)+1,DAY(1))=E968,1,IF(MONTH(E968)=1,F969*(1+$F$5),F969))</f>
      </c>
      <c r="G968" s="333">
        <f>IF('Simulador - 1º Pilar'!$E$99="Sí",IF('Aportaciones PPE'!$B$13&lt;'Aportaciones PPE'!E968,0,F968*$B$8/12),F968*$B$8/12)</f>
      </c>
      <c r="H968" s="333">
        <f>$H$5*G968</f>
      </c>
      <c r="I968" s="333">
        <f>$I$5*G968</f>
      </c>
      <c r="J968" s="333">
        <f>+I968</f>
      </c>
      <c r="K968" s="333">
        <f>(1+$O$5)^(D968/12)*(H968+IF(AND(F968=1,F969=0),$S$4,0))</f>
      </c>
      <c r="L968" s="333">
        <f>(1+$O$5)^(D968/12)*(I968+IF(AND(F968=1,F969=0),0))</f>
      </c>
      <c r="M968" s="333">
        <f>+L968</f>
      </c>
      <c r="N968" s="333">
        <f>L968+K968+M968</f>
      </c>
      <c r="O968" s="170"/>
      <c r="P968" s="7"/>
      <c r="Q968" s="1"/>
      <c r="R968" s="331">
        <f>D968</f>
      </c>
      <c r="S968" s="169"/>
      <c r="T968" s="1"/>
      <c r="U968" s="217"/>
      <c r="V968" s="331">
        <f>+IF(V967=11,12,IF(V967=12,1,V967+1))</f>
      </c>
      <c r="W968" s="331">
        <f>+W967+IF(V967=12,1,0)</f>
      </c>
      <c r="X968" s="555">
        <f>+DATE(W968,V968,1)</f>
        <v>25569.041666666668</v>
      </c>
      <c r="Y968" s="333">
        <f>+_xlfn.IFNA(AN968+AS968+AX968,0)</f>
      </c>
      <c r="Z968" s="333">
        <f>+_xlfn.IFNA(AO968+AT968+AY968,0)</f>
      </c>
      <c r="AA968" s="333">
        <f>Y968*(1+$O$5)^(($B$7-X968)/365.25)</f>
      </c>
      <c r="AB968" s="333">
        <f>Z968*(1+$O$5)^(($B$7-X968)/365.25)</f>
      </c>
      <c r="AC968" s="1"/>
      <c r="AD968" s="1"/>
      <c r="AE968" s="1"/>
      <c r="AF968" s="111">
        <f>+MONTH(E968)&amp;YEAR(E968)</f>
      </c>
      <c r="AG968" s="217">
        <f>+I968</f>
      </c>
      <c r="AH968" s="217">
        <f>+J968</f>
      </c>
      <c r="AI968" s="217">
        <f>+H968</f>
      </c>
      <c r="AJ968" s="111">
        <f>+V968&amp;W968</f>
      </c>
      <c r="AK968" s="217">
        <f>+_xlfn.IFNA(VLOOKUP(AJ968,$AF$7:$AG$1066,2,0),0)</f>
      </c>
      <c r="AL968" s="217">
        <f>+IF(W968&gt;W967,AK968,AL967+AK968)</f>
      </c>
      <c r="AM968" s="217">
        <f>IF(W968&gt;W967,IF(AL968&gt;=$AZ$8,$AZ$8,AL968),IF(OR(AM967=$AZ$8,AM967=0),0,IF(AL968&gt;=$AZ$8,$AZ$8,AL968)))</f>
      </c>
      <c r="AN968" s="748">
        <f>+IF(OR(AM968&gt;AZ967,AM968=0),0,IF(AM968=AL968,AK968,$AZ$7-AL967))</f>
      </c>
      <c r="AO968" s="748">
        <f>+AK968-AN968</f>
      </c>
      <c r="AP968" s="217">
        <f>+_xlfn.IFNA(VLOOKUP(AJ968,$AF$7:$AI$1066,3,0),0)</f>
      </c>
      <c r="AQ968" s="217">
        <f>+IF(W968&gt;W967,AP968,AQ967+AP968)</f>
      </c>
      <c r="AR968" s="217">
        <f>+MAX($AM$2-SUMIF($W$7:$W$1066,W968,$AN$7:$AN$1066),0)</f>
      </c>
      <c r="AS968" s="748">
        <f>+MAX(IF(AQ968&gt;AR968,AR968-AQ967,AP968),0)</f>
      </c>
      <c r="AT968" s="748">
        <f>+AP968-AS968</f>
      </c>
      <c r="AU968" s="217">
        <f>+_xlfn.IFNA(VLOOKUP(AJ968,$AF$7:$AI$1066,4,0),0)</f>
      </c>
      <c r="AV968" s="217">
        <f>+IF(W968&gt;W967,AU968,AV967+AU968)</f>
      </c>
      <c r="AW968" s="217">
        <f>+MAX($AM$2-SUMIF($W$7:$W$1066,W968,$AN$7:$AN$1066)-SUMIF($W$7:$W$1066,W968,$AS$7:$AS$1066),0)</f>
      </c>
      <c r="AX968" s="748">
        <f>+MAX(IF(AV968&gt;AW968,AW968-AV967,AU968),0)</f>
      </c>
      <c r="AY968" s="748">
        <f>+AU968-AX968</f>
      </c>
      <c r="AZ968" s="331">
        <f>+$AM$1+IF($AP$1&gt;$AP$2,$AM$3/2)</f>
      </c>
    </row>
    <row x14ac:dyDescent="0.25" r="969" customHeight="1" ht="18.75">
      <c r="A969" s="1"/>
      <c r="B969" s="7"/>
      <c r="C969" s="170"/>
      <c r="D969" s="331">
        <v>962</v>
      </c>
      <c r="E969" s="544">
        <f>+DATE(YEAR(E968),MONTH(E968)-1,DAY(E968))</f>
        <v>25569.041666666668</v>
      </c>
      <c r="F969" s="333">
        <f>IF(DATE(YEAR($B$6),MONTH($B$6)+1,DAY(1))=E969,1,IF(MONTH(E969)=1,F970*(1+$F$5),F970))</f>
      </c>
      <c r="G969" s="333">
        <f>IF('Simulador - 1º Pilar'!$E$99="Sí",IF('Aportaciones PPE'!$B$13&lt;'Aportaciones PPE'!E969,0,F969*$B$8/12),F969*$B$8/12)</f>
      </c>
      <c r="H969" s="333">
        <f>$H$5*G969</f>
      </c>
      <c r="I969" s="333">
        <f>$I$5*G969</f>
      </c>
      <c r="J969" s="333">
        <f>+I969</f>
      </c>
      <c r="K969" s="333">
        <f>(1+$O$5)^(D969/12)*(H969+IF(AND(F969=1,F970=0),$S$4,0))</f>
      </c>
      <c r="L969" s="333">
        <f>(1+$O$5)^(D969/12)*(I969+IF(AND(F969=1,F970=0),0))</f>
      </c>
      <c r="M969" s="333">
        <f>+L969</f>
      </c>
      <c r="N969" s="333">
        <f>L969+K969+M969</f>
      </c>
      <c r="O969" s="170"/>
      <c r="P969" s="7"/>
      <c r="Q969" s="1"/>
      <c r="R969" s="331">
        <f>D969</f>
      </c>
      <c r="S969" s="169"/>
      <c r="T969" s="1"/>
      <c r="U969" s="217"/>
      <c r="V969" s="331">
        <f>+IF(V968=11,12,IF(V968=12,1,V968+1))</f>
      </c>
      <c r="W969" s="331">
        <f>+W968+IF(V968=12,1,0)</f>
      </c>
      <c r="X969" s="555">
        <f>+DATE(W969,V969,1)</f>
        <v>25569.041666666668</v>
      </c>
      <c r="Y969" s="333">
        <f>+_xlfn.IFNA(AN969+AS969+AX969,0)</f>
      </c>
      <c r="Z969" s="333">
        <f>+_xlfn.IFNA(AO969+AT969+AY969,0)</f>
      </c>
      <c r="AA969" s="333">
        <f>Y969*(1+$O$5)^(($B$7-X969)/365.25)</f>
      </c>
      <c r="AB969" s="333">
        <f>Z969*(1+$O$5)^(($B$7-X969)/365.25)</f>
      </c>
      <c r="AC969" s="1"/>
      <c r="AD969" s="1"/>
      <c r="AE969" s="1"/>
      <c r="AF969" s="111">
        <f>+MONTH(E969)&amp;YEAR(E969)</f>
      </c>
      <c r="AG969" s="217">
        <f>+I969</f>
      </c>
      <c r="AH969" s="217">
        <f>+J969</f>
      </c>
      <c r="AI969" s="217">
        <f>+H969</f>
      </c>
      <c r="AJ969" s="111">
        <f>+V969&amp;W969</f>
      </c>
      <c r="AK969" s="217">
        <f>+_xlfn.IFNA(VLOOKUP(AJ969,$AF$7:$AG$1066,2,0),0)</f>
      </c>
      <c r="AL969" s="217">
        <f>+IF(W969&gt;W968,AK969,AL968+AK969)</f>
      </c>
      <c r="AM969" s="217">
        <f>IF(W969&gt;W968,IF(AL969&gt;=$AZ$8,$AZ$8,AL969),IF(OR(AM968=$AZ$8,AM968=0),0,IF(AL969&gt;=$AZ$8,$AZ$8,AL969)))</f>
      </c>
      <c r="AN969" s="748">
        <f>+IF(OR(AM969&gt;AZ968,AM969=0),0,IF(AM969=AL969,AK969,$AZ$7-AL968))</f>
      </c>
      <c r="AO969" s="748">
        <f>+AK969-AN969</f>
      </c>
      <c r="AP969" s="217">
        <f>+_xlfn.IFNA(VLOOKUP(AJ969,$AF$7:$AI$1066,3,0),0)</f>
      </c>
      <c r="AQ969" s="217">
        <f>+IF(W969&gt;W968,AP969,AQ968+AP969)</f>
      </c>
      <c r="AR969" s="217">
        <f>+MAX($AM$2-SUMIF($W$7:$W$1066,W969,$AN$7:$AN$1066),0)</f>
      </c>
      <c r="AS969" s="748">
        <f>+MAX(IF(AQ969&gt;AR969,AR969-AQ968,AP969),0)</f>
      </c>
      <c r="AT969" s="748">
        <f>+AP969-AS969</f>
      </c>
      <c r="AU969" s="217">
        <f>+_xlfn.IFNA(VLOOKUP(AJ969,$AF$7:$AI$1066,4,0),0)</f>
      </c>
      <c r="AV969" s="217">
        <f>+IF(W969&gt;W968,AU969,AV968+AU969)</f>
      </c>
      <c r="AW969" s="217">
        <f>+MAX($AM$2-SUMIF($W$7:$W$1066,W969,$AN$7:$AN$1066)-SUMIF($W$7:$W$1066,W969,$AS$7:$AS$1066),0)</f>
      </c>
      <c r="AX969" s="748">
        <f>+MAX(IF(AV969&gt;AW969,AW969-AV968,AU969),0)</f>
      </c>
      <c r="AY969" s="748">
        <f>+AU969-AX969</f>
      </c>
      <c r="AZ969" s="331">
        <f>+$AM$1+IF($AP$1&gt;$AP$2,$AM$3/2)</f>
      </c>
    </row>
    <row x14ac:dyDescent="0.25" r="970" customHeight="1" ht="18.75">
      <c r="A970" s="1"/>
      <c r="B970" s="7"/>
      <c r="C970" s="170"/>
      <c r="D970" s="331">
        <v>963</v>
      </c>
      <c r="E970" s="544">
        <f>+DATE(YEAR(E969),MONTH(E969)-1,DAY(E969))</f>
        <v>25569.041666666668</v>
      </c>
      <c r="F970" s="333">
        <f>IF(DATE(YEAR($B$6),MONTH($B$6)+1,DAY(1))=E970,1,IF(MONTH(E970)=1,F971*(1+$F$5),F971))</f>
      </c>
      <c r="G970" s="333">
        <f>IF('Simulador - 1º Pilar'!$E$99="Sí",IF('Aportaciones PPE'!$B$13&lt;'Aportaciones PPE'!E970,0,F970*$B$8/12),F970*$B$8/12)</f>
      </c>
      <c r="H970" s="333">
        <f>$H$5*G970</f>
      </c>
      <c r="I970" s="333">
        <f>$I$5*G970</f>
      </c>
      <c r="J970" s="333">
        <f>+I970</f>
      </c>
      <c r="K970" s="333">
        <f>(1+$O$5)^(D970/12)*(H970+IF(AND(F970=1,F971=0),$S$4,0))</f>
      </c>
      <c r="L970" s="333">
        <f>(1+$O$5)^(D970/12)*(I970+IF(AND(F970=1,F971=0),0))</f>
      </c>
      <c r="M970" s="333">
        <f>+L970</f>
      </c>
      <c r="N970" s="333">
        <f>L970+K970+M970</f>
      </c>
      <c r="O970" s="170"/>
      <c r="P970" s="7"/>
      <c r="Q970" s="1"/>
      <c r="R970" s="331">
        <f>D970</f>
      </c>
      <c r="S970" s="169"/>
      <c r="T970" s="1"/>
      <c r="U970" s="217"/>
      <c r="V970" s="331">
        <f>+IF(V969=11,12,IF(V969=12,1,V969+1))</f>
      </c>
      <c r="W970" s="331">
        <f>+W969+IF(V969=12,1,0)</f>
      </c>
      <c r="X970" s="555">
        <f>+DATE(W970,V970,1)</f>
        <v>25569.041666666668</v>
      </c>
      <c r="Y970" s="333">
        <f>+_xlfn.IFNA(AN970+AS970+AX970,0)</f>
      </c>
      <c r="Z970" s="333">
        <f>+_xlfn.IFNA(AO970+AT970+AY970,0)</f>
      </c>
      <c r="AA970" s="333">
        <f>Y970*(1+$O$5)^(($B$7-X970)/365.25)</f>
      </c>
      <c r="AB970" s="333">
        <f>Z970*(1+$O$5)^(($B$7-X970)/365.25)</f>
      </c>
      <c r="AC970" s="1"/>
      <c r="AD970" s="1"/>
      <c r="AE970" s="1"/>
      <c r="AF970" s="111">
        <f>+MONTH(E970)&amp;YEAR(E970)</f>
      </c>
      <c r="AG970" s="217">
        <f>+I970</f>
      </c>
      <c r="AH970" s="217">
        <f>+J970</f>
      </c>
      <c r="AI970" s="217">
        <f>+H970</f>
      </c>
      <c r="AJ970" s="111">
        <f>+V970&amp;W970</f>
      </c>
      <c r="AK970" s="217">
        <f>+_xlfn.IFNA(VLOOKUP(AJ970,$AF$7:$AG$1066,2,0),0)</f>
      </c>
      <c r="AL970" s="217">
        <f>+IF(W970&gt;W969,AK970,AL969+AK970)</f>
      </c>
      <c r="AM970" s="217">
        <f>IF(W970&gt;W969,IF(AL970&gt;=$AZ$8,$AZ$8,AL970),IF(OR(AM969=$AZ$8,AM969=0),0,IF(AL970&gt;=$AZ$8,$AZ$8,AL970)))</f>
      </c>
      <c r="AN970" s="748">
        <f>+IF(OR(AM970&gt;AZ969,AM970=0),0,IF(AM970=AL970,AK970,$AZ$7-AL969))</f>
      </c>
      <c r="AO970" s="748">
        <f>+AK970-AN970</f>
      </c>
      <c r="AP970" s="217">
        <f>+_xlfn.IFNA(VLOOKUP(AJ970,$AF$7:$AI$1066,3,0),0)</f>
      </c>
      <c r="AQ970" s="217">
        <f>+IF(W970&gt;W969,AP970,AQ969+AP970)</f>
      </c>
      <c r="AR970" s="217">
        <f>+MAX($AM$2-SUMIF($W$7:$W$1066,W970,$AN$7:$AN$1066),0)</f>
      </c>
      <c r="AS970" s="748">
        <f>+MAX(IF(AQ970&gt;AR970,AR970-AQ969,AP970),0)</f>
      </c>
      <c r="AT970" s="748">
        <f>+AP970-AS970</f>
      </c>
      <c r="AU970" s="217">
        <f>+_xlfn.IFNA(VLOOKUP(AJ970,$AF$7:$AI$1066,4,0),0)</f>
      </c>
      <c r="AV970" s="217">
        <f>+IF(W970&gt;W969,AU970,AV969+AU970)</f>
      </c>
      <c r="AW970" s="217">
        <f>+MAX($AM$2-SUMIF($W$7:$W$1066,W970,$AN$7:$AN$1066)-SUMIF($W$7:$W$1066,W970,$AS$7:$AS$1066),0)</f>
      </c>
      <c r="AX970" s="748">
        <f>+MAX(IF(AV970&gt;AW970,AW970-AV969,AU970),0)</f>
      </c>
      <c r="AY970" s="748">
        <f>+AU970-AX970</f>
      </c>
      <c r="AZ970" s="331">
        <f>+$AM$1+IF($AP$1&gt;$AP$2,$AM$3/2)</f>
      </c>
    </row>
    <row x14ac:dyDescent="0.25" r="971" customHeight="1" ht="18.75">
      <c r="A971" s="1"/>
      <c r="B971" s="7"/>
      <c r="C971" s="170"/>
      <c r="D971" s="331">
        <v>964</v>
      </c>
      <c r="E971" s="544">
        <f>+DATE(YEAR(E970),MONTH(E970)-1,DAY(E970))</f>
        <v>25569.041666666668</v>
      </c>
      <c r="F971" s="333">
        <f>IF(DATE(YEAR($B$6),MONTH($B$6)+1,DAY(1))=E971,1,IF(MONTH(E971)=1,F972*(1+$F$5),F972))</f>
      </c>
      <c r="G971" s="333">
        <f>IF('Simulador - 1º Pilar'!$E$99="Sí",IF('Aportaciones PPE'!$B$13&lt;'Aportaciones PPE'!E971,0,F971*$B$8/12),F971*$B$8/12)</f>
      </c>
      <c r="H971" s="333">
        <f>$H$5*G971</f>
      </c>
      <c r="I971" s="333">
        <f>$I$5*G971</f>
      </c>
      <c r="J971" s="333">
        <f>+I971</f>
      </c>
      <c r="K971" s="333">
        <f>(1+$O$5)^(D971/12)*(H971+IF(AND(F971=1,F972=0),$S$4,0))</f>
      </c>
      <c r="L971" s="333">
        <f>(1+$O$5)^(D971/12)*(I971+IF(AND(F971=1,F972=0),0))</f>
      </c>
      <c r="M971" s="333">
        <f>+L971</f>
      </c>
      <c r="N971" s="333">
        <f>L971+K971+M971</f>
      </c>
      <c r="O971" s="170"/>
      <c r="P971" s="7"/>
      <c r="Q971" s="1"/>
      <c r="R971" s="331">
        <f>D971</f>
      </c>
      <c r="S971" s="169"/>
      <c r="T971" s="1"/>
      <c r="U971" s="217"/>
      <c r="V971" s="331">
        <f>+IF(V970=11,12,IF(V970=12,1,V970+1))</f>
      </c>
      <c r="W971" s="331">
        <f>+W970+IF(V970=12,1,0)</f>
      </c>
      <c r="X971" s="555">
        <f>+DATE(W971,V971,1)</f>
        <v>25569.041666666668</v>
      </c>
      <c r="Y971" s="333">
        <f>+_xlfn.IFNA(AN971+AS971+AX971,0)</f>
      </c>
      <c r="Z971" s="333">
        <f>+_xlfn.IFNA(AO971+AT971+AY971,0)</f>
      </c>
      <c r="AA971" s="333">
        <f>Y971*(1+$O$5)^(($B$7-X971)/365.25)</f>
      </c>
      <c r="AB971" s="333">
        <f>Z971*(1+$O$5)^(($B$7-X971)/365.25)</f>
      </c>
      <c r="AC971" s="1"/>
      <c r="AD971" s="1"/>
      <c r="AE971" s="1"/>
      <c r="AF971" s="111">
        <f>+MONTH(E971)&amp;YEAR(E971)</f>
      </c>
      <c r="AG971" s="217">
        <f>+I971</f>
      </c>
      <c r="AH971" s="217">
        <f>+J971</f>
      </c>
      <c r="AI971" s="217">
        <f>+H971</f>
      </c>
      <c r="AJ971" s="111">
        <f>+V971&amp;W971</f>
      </c>
      <c r="AK971" s="217">
        <f>+_xlfn.IFNA(VLOOKUP(AJ971,$AF$7:$AG$1066,2,0),0)</f>
      </c>
      <c r="AL971" s="217">
        <f>+IF(W971&gt;W970,AK971,AL970+AK971)</f>
      </c>
      <c r="AM971" s="217">
        <f>IF(W971&gt;W970,IF(AL971&gt;=$AZ$8,$AZ$8,AL971),IF(OR(AM970=$AZ$8,AM970=0),0,IF(AL971&gt;=$AZ$8,$AZ$8,AL971)))</f>
      </c>
      <c r="AN971" s="748">
        <f>+IF(OR(AM971&gt;AZ970,AM971=0),0,IF(AM971=AL971,AK971,$AZ$7-AL970))</f>
      </c>
      <c r="AO971" s="748">
        <f>+AK971-AN971</f>
      </c>
      <c r="AP971" s="217">
        <f>+_xlfn.IFNA(VLOOKUP(AJ971,$AF$7:$AI$1066,3,0),0)</f>
      </c>
      <c r="AQ971" s="217">
        <f>+IF(W971&gt;W970,AP971,AQ970+AP971)</f>
      </c>
      <c r="AR971" s="217">
        <f>+MAX($AM$2-SUMIF($W$7:$W$1066,W971,$AN$7:$AN$1066),0)</f>
      </c>
      <c r="AS971" s="748">
        <f>+MAX(IF(AQ971&gt;AR971,AR971-AQ970,AP971),0)</f>
      </c>
      <c r="AT971" s="748">
        <f>+AP971-AS971</f>
      </c>
      <c r="AU971" s="217">
        <f>+_xlfn.IFNA(VLOOKUP(AJ971,$AF$7:$AI$1066,4,0),0)</f>
      </c>
      <c r="AV971" s="217">
        <f>+IF(W971&gt;W970,AU971,AV970+AU971)</f>
      </c>
      <c r="AW971" s="217">
        <f>+MAX($AM$2-SUMIF($W$7:$W$1066,W971,$AN$7:$AN$1066)-SUMIF($W$7:$W$1066,W971,$AS$7:$AS$1066),0)</f>
      </c>
      <c r="AX971" s="748">
        <f>+MAX(IF(AV971&gt;AW971,AW971-AV970,AU971),0)</f>
      </c>
      <c r="AY971" s="748">
        <f>+AU971-AX971</f>
      </c>
      <c r="AZ971" s="331">
        <f>+$AM$1+IF($AP$1&gt;$AP$2,$AM$3/2)</f>
      </c>
    </row>
    <row x14ac:dyDescent="0.25" r="972" customHeight="1" ht="18.75">
      <c r="A972" s="1"/>
      <c r="B972" s="7"/>
      <c r="C972" s="170"/>
      <c r="D972" s="331">
        <v>965</v>
      </c>
      <c r="E972" s="544">
        <f>+DATE(YEAR(E971),MONTH(E971)-1,DAY(E971))</f>
        <v>25569.041666666668</v>
      </c>
      <c r="F972" s="333">
        <f>IF(DATE(YEAR($B$6),MONTH($B$6)+1,DAY(1))=E972,1,IF(MONTH(E972)=1,F973*(1+$F$5),F973))</f>
      </c>
      <c r="G972" s="333">
        <f>IF('Simulador - 1º Pilar'!$E$99="Sí",IF('Aportaciones PPE'!$B$13&lt;'Aportaciones PPE'!E972,0,F972*$B$8/12),F972*$B$8/12)</f>
      </c>
      <c r="H972" s="333">
        <f>$H$5*G972</f>
      </c>
      <c r="I972" s="333">
        <f>$I$5*G972</f>
      </c>
      <c r="J972" s="333">
        <f>+I972</f>
      </c>
      <c r="K972" s="333">
        <f>(1+$O$5)^(D972/12)*(H972+IF(AND(F972=1,F973=0),$S$4,0))</f>
      </c>
      <c r="L972" s="333">
        <f>(1+$O$5)^(D972/12)*(I972+IF(AND(F972=1,F973=0),0))</f>
      </c>
      <c r="M972" s="333">
        <f>+L972</f>
      </c>
      <c r="N972" s="333">
        <f>L972+K972+M972</f>
      </c>
      <c r="O972" s="170"/>
      <c r="P972" s="7"/>
      <c r="Q972" s="1"/>
      <c r="R972" s="331">
        <f>D972</f>
      </c>
      <c r="S972" s="169"/>
      <c r="T972" s="1"/>
      <c r="U972" s="217"/>
      <c r="V972" s="331">
        <f>+IF(V971=11,12,IF(V971=12,1,V971+1))</f>
      </c>
      <c r="W972" s="331">
        <f>+W971+IF(V971=12,1,0)</f>
      </c>
      <c r="X972" s="555">
        <f>+DATE(W972,V972,1)</f>
        <v>25569.041666666668</v>
      </c>
      <c r="Y972" s="333">
        <f>+_xlfn.IFNA(AN972+AS972+AX972,0)</f>
      </c>
      <c r="Z972" s="333">
        <f>+_xlfn.IFNA(AO972+AT972+AY972,0)</f>
      </c>
      <c r="AA972" s="333">
        <f>Y972*(1+$O$5)^(($B$7-X972)/365.25)</f>
      </c>
      <c r="AB972" s="333">
        <f>Z972*(1+$O$5)^(($B$7-X972)/365.25)</f>
      </c>
      <c r="AC972" s="1"/>
      <c r="AD972" s="1"/>
      <c r="AE972" s="1"/>
      <c r="AF972" s="111">
        <f>+MONTH(E972)&amp;YEAR(E972)</f>
      </c>
      <c r="AG972" s="217">
        <f>+I972</f>
      </c>
      <c r="AH972" s="217">
        <f>+J972</f>
      </c>
      <c r="AI972" s="217">
        <f>+H972</f>
      </c>
      <c r="AJ972" s="111">
        <f>+V972&amp;W972</f>
      </c>
      <c r="AK972" s="217">
        <f>+_xlfn.IFNA(VLOOKUP(AJ972,$AF$7:$AG$1066,2,0),0)</f>
      </c>
      <c r="AL972" s="217">
        <f>+IF(W972&gt;W971,AK972,AL971+AK972)</f>
      </c>
      <c r="AM972" s="217">
        <f>IF(W972&gt;W971,IF(AL972&gt;=$AZ$8,$AZ$8,AL972),IF(OR(AM971=$AZ$8,AM971=0),0,IF(AL972&gt;=$AZ$8,$AZ$8,AL972)))</f>
      </c>
      <c r="AN972" s="748">
        <f>+IF(OR(AM972&gt;AZ971,AM972=0),0,IF(AM972=AL972,AK972,$AZ$7-AL971))</f>
      </c>
      <c r="AO972" s="748">
        <f>+AK972-AN972</f>
      </c>
      <c r="AP972" s="217">
        <f>+_xlfn.IFNA(VLOOKUP(AJ972,$AF$7:$AI$1066,3,0),0)</f>
      </c>
      <c r="AQ972" s="217">
        <f>+IF(W972&gt;W971,AP972,AQ971+AP972)</f>
      </c>
      <c r="AR972" s="217">
        <f>+MAX($AM$2-SUMIF($W$7:$W$1066,W972,$AN$7:$AN$1066),0)</f>
      </c>
      <c r="AS972" s="748">
        <f>+MAX(IF(AQ972&gt;AR972,AR972-AQ971,AP972),0)</f>
      </c>
      <c r="AT972" s="748">
        <f>+AP972-AS972</f>
      </c>
      <c r="AU972" s="217">
        <f>+_xlfn.IFNA(VLOOKUP(AJ972,$AF$7:$AI$1066,4,0),0)</f>
      </c>
      <c r="AV972" s="217">
        <f>+IF(W972&gt;W971,AU972,AV971+AU972)</f>
      </c>
      <c r="AW972" s="217">
        <f>+MAX($AM$2-SUMIF($W$7:$W$1066,W972,$AN$7:$AN$1066)-SUMIF($W$7:$W$1066,W972,$AS$7:$AS$1066),0)</f>
      </c>
      <c r="AX972" s="748">
        <f>+MAX(IF(AV972&gt;AW972,AW972-AV971,AU972),0)</f>
      </c>
      <c r="AY972" s="748">
        <f>+AU972-AX972</f>
      </c>
      <c r="AZ972" s="331">
        <f>+$AM$1+IF($AP$1&gt;$AP$2,$AM$3/2)</f>
      </c>
    </row>
    <row x14ac:dyDescent="0.25" r="973" customHeight="1" ht="18.75">
      <c r="A973" s="1"/>
      <c r="B973" s="7"/>
      <c r="C973" s="170"/>
      <c r="D973" s="331">
        <v>966</v>
      </c>
      <c r="E973" s="544">
        <f>+DATE(YEAR(E972),MONTH(E972)-1,DAY(E972))</f>
        <v>25569.041666666668</v>
      </c>
      <c r="F973" s="333">
        <f>IF(DATE(YEAR($B$6),MONTH($B$6)+1,DAY(1))=E973,1,IF(MONTH(E973)=1,F974*(1+$F$5),F974))</f>
      </c>
      <c r="G973" s="333">
        <f>IF('Simulador - 1º Pilar'!$E$99="Sí",IF('Aportaciones PPE'!$B$13&lt;'Aportaciones PPE'!E973,0,F973*$B$8/12),F973*$B$8/12)</f>
      </c>
      <c r="H973" s="333">
        <f>$H$5*G973</f>
      </c>
      <c r="I973" s="333">
        <f>$I$5*G973</f>
      </c>
      <c r="J973" s="333">
        <f>+I973</f>
      </c>
      <c r="K973" s="333">
        <f>(1+$O$5)^(D973/12)*(H973+IF(AND(F973=1,F974=0),$S$4,0))</f>
      </c>
      <c r="L973" s="333">
        <f>(1+$O$5)^(D973/12)*(I973+IF(AND(F973=1,F974=0),0))</f>
      </c>
      <c r="M973" s="333">
        <f>+L973</f>
      </c>
      <c r="N973" s="333">
        <f>L973+K973+M973</f>
      </c>
      <c r="O973" s="170"/>
      <c r="P973" s="7"/>
      <c r="Q973" s="1"/>
      <c r="R973" s="331">
        <f>D973</f>
      </c>
      <c r="S973" s="169"/>
      <c r="T973" s="1"/>
      <c r="U973" s="217"/>
      <c r="V973" s="331">
        <f>+IF(V972=11,12,IF(V972=12,1,V972+1))</f>
      </c>
      <c r="W973" s="331">
        <f>+W972+IF(V972=12,1,0)</f>
      </c>
      <c r="X973" s="555">
        <f>+DATE(W973,V973,1)</f>
        <v>25569.041666666668</v>
      </c>
      <c r="Y973" s="333">
        <f>+_xlfn.IFNA(AN973+AS973+AX973,0)</f>
      </c>
      <c r="Z973" s="333">
        <f>+_xlfn.IFNA(AO973+AT973+AY973,0)</f>
      </c>
      <c r="AA973" s="333">
        <f>Y973*(1+$O$5)^(($B$7-X973)/365.25)</f>
      </c>
      <c r="AB973" s="333">
        <f>Z973*(1+$O$5)^(($B$7-X973)/365.25)</f>
      </c>
      <c r="AC973" s="1"/>
      <c r="AD973" s="1"/>
      <c r="AE973" s="1"/>
      <c r="AF973" s="111">
        <f>+MONTH(E973)&amp;YEAR(E973)</f>
      </c>
      <c r="AG973" s="217">
        <f>+I973</f>
      </c>
      <c r="AH973" s="217">
        <f>+J973</f>
      </c>
      <c r="AI973" s="217">
        <f>+H973</f>
      </c>
      <c r="AJ973" s="111">
        <f>+V973&amp;W973</f>
      </c>
      <c r="AK973" s="217">
        <f>+_xlfn.IFNA(VLOOKUP(AJ973,$AF$7:$AG$1066,2,0),0)</f>
      </c>
      <c r="AL973" s="217">
        <f>+IF(W973&gt;W972,AK973,AL972+AK973)</f>
      </c>
      <c r="AM973" s="217">
        <f>IF(W973&gt;W972,IF(AL973&gt;=$AZ$8,$AZ$8,AL973),IF(OR(AM972=$AZ$8,AM972=0),0,IF(AL973&gt;=$AZ$8,$AZ$8,AL973)))</f>
      </c>
      <c r="AN973" s="748">
        <f>+IF(OR(AM973&gt;AZ972,AM973=0),0,IF(AM973=AL973,AK973,$AZ$7-AL972))</f>
      </c>
      <c r="AO973" s="748">
        <f>+AK973-AN973</f>
      </c>
      <c r="AP973" s="217">
        <f>+_xlfn.IFNA(VLOOKUP(AJ973,$AF$7:$AI$1066,3,0),0)</f>
      </c>
      <c r="AQ973" s="217">
        <f>+IF(W973&gt;W972,AP973,AQ972+AP973)</f>
      </c>
      <c r="AR973" s="217">
        <f>+MAX($AM$2-SUMIF($W$7:$W$1066,W973,$AN$7:$AN$1066),0)</f>
      </c>
      <c r="AS973" s="748">
        <f>+MAX(IF(AQ973&gt;AR973,AR973-AQ972,AP973),0)</f>
      </c>
      <c r="AT973" s="748">
        <f>+AP973-AS973</f>
      </c>
      <c r="AU973" s="217">
        <f>+_xlfn.IFNA(VLOOKUP(AJ973,$AF$7:$AI$1066,4,0),0)</f>
      </c>
      <c r="AV973" s="217">
        <f>+IF(W973&gt;W972,AU973,AV972+AU973)</f>
      </c>
      <c r="AW973" s="217">
        <f>+MAX($AM$2-SUMIF($W$7:$W$1066,W973,$AN$7:$AN$1066)-SUMIF($W$7:$W$1066,W973,$AS$7:$AS$1066),0)</f>
      </c>
      <c r="AX973" s="748">
        <f>+MAX(IF(AV973&gt;AW973,AW973-AV972,AU973),0)</f>
      </c>
      <c r="AY973" s="748">
        <f>+AU973-AX973</f>
      </c>
      <c r="AZ973" s="331">
        <f>+$AM$1+IF($AP$1&gt;$AP$2,$AM$3/2)</f>
      </c>
    </row>
    <row x14ac:dyDescent="0.25" r="974" customHeight="1" ht="18.75">
      <c r="A974" s="1"/>
      <c r="B974" s="7"/>
      <c r="C974" s="170"/>
      <c r="D974" s="331">
        <v>967</v>
      </c>
      <c r="E974" s="544">
        <f>+DATE(YEAR(E973),MONTH(E973)-1,DAY(E973))</f>
        <v>25569.041666666668</v>
      </c>
      <c r="F974" s="333">
        <f>IF(DATE(YEAR($B$6),MONTH($B$6)+1,DAY(1))=E974,1,IF(MONTH(E974)=1,F975*(1+$F$5),F975))</f>
      </c>
      <c r="G974" s="333">
        <f>IF('Simulador - 1º Pilar'!$E$99="Sí",IF('Aportaciones PPE'!$B$13&lt;'Aportaciones PPE'!E974,0,F974*$B$8/12),F974*$B$8/12)</f>
      </c>
      <c r="H974" s="333">
        <f>$H$5*G974</f>
      </c>
      <c r="I974" s="333">
        <f>$I$5*G974</f>
      </c>
      <c r="J974" s="333">
        <f>+I974</f>
      </c>
      <c r="K974" s="333">
        <f>(1+$O$5)^(D974/12)*(H974+IF(AND(F974=1,F975=0),$S$4,0))</f>
      </c>
      <c r="L974" s="333">
        <f>(1+$O$5)^(D974/12)*(I974+IF(AND(F974=1,F975=0),0))</f>
      </c>
      <c r="M974" s="333">
        <f>+L974</f>
      </c>
      <c r="N974" s="333">
        <f>L974+K974+M974</f>
      </c>
      <c r="O974" s="170"/>
      <c r="P974" s="7"/>
      <c r="Q974" s="1"/>
      <c r="R974" s="331">
        <f>D974</f>
      </c>
      <c r="S974" s="169"/>
      <c r="T974" s="1"/>
      <c r="U974" s="217"/>
      <c r="V974" s="331">
        <f>+IF(V973=11,12,IF(V973=12,1,V973+1))</f>
      </c>
      <c r="W974" s="331">
        <f>+W973+IF(V973=12,1,0)</f>
      </c>
      <c r="X974" s="555">
        <f>+DATE(W974,V974,1)</f>
        <v>25569.041666666668</v>
      </c>
      <c r="Y974" s="333">
        <f>+_xlfn.IFNA(AN974+AS974+AX974,0)</f>
      </c>
      <c r="Z974" s="333">
        <f>+_xlfn.IFNA(AO974+AT974+AY974,0)</f>
      </c>
      <c r="AA974" s="333">
        <f>Y974*(1+$O$5)^(($B$7-X974)/365.25)</f>
      </c>
      <c r="AB974" s="333">
        <f>Z974*(1+$O$5)^(($B$7-X974)/365.25)</f>
      </c>
      <c r="AC974" s="1"/>
      <c r="AD974" s="1"/>
      <c r="AE974" s="1"/>
      <c r="AF974" s="111">
        <f>+MONTH(E974)&amp;YEAR(E974)</f>
      </c>
      <c r="AG974" s="217">
        <f>+I974</f>
      </c>
      <c r="AH974" s="217">
        <f>+J974</f>
      </c>
      <c r="AI974" s="217">
        <f>+H974</f>
      </c>
      <c r="AJ974" s="111">
        <f>+V974&amp;W974</f>
      </c>
      <c r="AK974" s="217">
        <f>+_xlfn.IFNA(VLOOKUP(AJ974,$AF$7:$AG$1066,2,0),0)</f>
      </c>
      <c r="AL974" s="217">
        <f>+IF(W974&gt;W973,AK974,AL973+AK974)</f>
      </c>
      <c r="AM974" s="217">
        <f>IF(W974&gt;W973,IF(AL974&gt;=$AZ$8,$AZ$8,AL974),IF(OR(AM973=$AZ$8,AM973=0),0,IF(AL974&gt;=$AZ$8,$AZ$8,AL974)))</f>
      </c>
      <c r="AN974" s="748">
        <f>+IF(OR(AM974&gt;AZ973,AM974=0),0,IF(AM974=AL974,AK974,$AZ$7-AL973))</f>
      </c>
      <c r="AO974" s="748">
        <f>+AK974-AN974</f>
      </c>
      <c r="AP974" s="217">
        <f>+_xlfn.IFNA(VLOOKUP(AJ974,$AF$7:$AI$1066,3,0),0)</f>
      </c>
      <c r="AQ974" s="217">
        <f>+IF(W974&gt;W973,AP974,AQ973+AP974)</f>
      </c>
      <c r="AR974" s="217">
        <f>+MAX($AM$2-SUMIF($W$7:$W$1066,W974,$AN$7:$AN$1066),0)</f>
      </c>
      <c r="AS974" s="748">
        <f>+MAX(IF(AQ974&gt;AR974,AR974-AQ973,AP974),0)</f>
      </c>
      <c r="AT974" s="748">
        <f>+AP974-AS974</f>
      </c>
      <c r="AU974" s="217">
        <f>+_xlfn.IFNA(VLOOKUP(AJ974,$AF$7:$AI$1066,4,0),0)</f>
      </c>
      <c r="AV974" s="217">
        <f>+IF(W974&gt;W973,AU974,AV973+AU974)</f>
      </c>
      <c r="AW974" s="217">
        <f>+MAX($AM$2-SUMIF($W$7:$W$1066,W974,$AN$7:$AN$1066)-SUMIF($W$7:$W$1066,W974,$AS$7:$AS$1066),0)</f>
      </c>
      <c r="AX974" s="748">
        <f>+MAX(IF(AV974&gt;AW974,AW974-AV973,AU974),0)</f>
      </c>
      <c r="AY974" s="748">
        <f>+AU974-AX974</f>
      </c>
      <c r="AZ974" s="331">
        <f>+$AM$1+IF($AP$1&gt;$AP$2,$AM$3/2)</f>
      </c>
    </row>
    <row x14ac:dyDescent="0.25" r="975" customHeight="1" ht="18.75">
      <c r="A975" s="1"/>
      <c r="B975" s="7"/>
      <c r="C975" s="170"/>
      <c r="D975" s="331">
        <v>968</v>
      </c>
      <c r="E975" s="544">
        <f>+DATE(YEAR(E974),MONTH(E974)-1,DAY(E974))</f>
        <v>25569.041666666668</v>
      </c>
      <c r="F975" s="333">
        <f>IF(DATE(YEAR($B$6),MONTH($B$6)+1,DAY(1))=E975,1,IF(MONTH(E975)=1,F976*(1+$F$5),F976))</f>
      </c>
      <c r="G975" s="333">
        <f>IF('Simulador - 1º Pilar'!$E$99="Sí",IF('Aportaciones PPE'!$B$13&lt;'Aportaciones PPE'!E975,0,F975*$B$8/12),F975*$B$8/12)</f>
      </c>
      <c r="H975" s="333">
        <f>$H$5*G975</f>
      </c>
      <c r="I975" s="333">
        <f>$I$5*G975</f>
      </c>
      <c r="J975" s="333">
        <f>+I975</f>
      </c>
      <c r="K975" s="333">
        <f>(1+$O$5)^(D975/12)*(H975+IF(AND(F975=1,F976=0),$S$4,0))</f>
      </c>
      <c r="L975" s="333">
        <f>(1+$O$5)^(D975/12)*(I975+IF(AND(F975=1,F976=0),0))</f>
      </c>
      <c r="M975" s="333">
        <f>+L975</f>
      </c>
      <c r="N975" s="333">
        <f>L975+K975+M975</f>
      </c>
      <c r="O975" s="170"/>
      <c r="P975" s="7"/>
      <c r="Q975" s="1"/>
      <c r="R975" s="331">
        <f>D975</f>
      </c>
      <c r="S975" s="169"/>
      <c r="T975" s="1"/>
      <c r="U975" s="217"/>
      <c r="V975" s="331">
        <f>+IF(V974=11,12,IF(V974=12,1,V974+1))</f>
      </c>
      <c r="W975" s="331">
        <f>+W974+IF(V974=12,1,0)</f>
      </c>
      <c r="X975" s="555">
        <f>+DATE(W975,V975,1)</f>
        <v>25569.041666666668</v>
      </c>
      <c r="Y975" s="333">
        <f>+_xlfn.IFNA(AN975+AS975+AX975,0)</f>
      </c>
      <c r="Z975" s="333">
        <f>+_xlfn.IFNA(AO975+AT975+AY975,0)</f>
      </c>
      <c r="AA975" s="333">
        <f>Y975*(1+$O$5)^(($B$7-X975)/365.25)</f>
      </c>
      <c r="AB975" s="333">
        <f>Z975*(1+$O$5)^(($B$7-X975)/365.25)</f>
      </c>
      <c r="AC975" s="1"/>
      <c r="AD975" s="1"/>
      <c r="AE975" s="1"/>
      <c r="AF975" s="111">
        <f>+MONTH(E975)&amp;YEAR(E975)</f>
      </c>
      <c r="AG975" s="217">
        <f>+I975</f>
      </c>
      <c r="AH975" s="217">
        <f>+J975</f>
      </c>
      <c r="AI975" s="217">
        <f>+H975</f>
      </c>
      <c r="AJ975" s="111">
        <f>+V975&amp;W975</f>
      </c>
      <c r="AK975" s="217">
        <f>+_xlfn.IFNA(VLOOKUP(AJ975,$AF$7:$AG$1066,2,0),0)</f>
      </c>
      <c r="AL975" s="217">
        <f>+IF(W975&gt;W974,AK975,AL974+AK975)</f>
      </c>
      <c r="AM975" s="217">
        <f>IF(W975&gt;W974,IF(AL975&gt;=$AZ$8,$AZ$8,AL975),IF(OR(AM974=$AZ$8,AM974=0),0,IF(AL975&gt;=$AZ$8,$AZ$8,AL975)))</f>
      </c>
      <c r="AN975" s="748">
        <f>+IF(OR(AM975&gt;AZ974,AM975=0),0,IF(AM975=AL975,AK975,$AZ$7-AL974))</f>
      </c>
      <c r="AO975" s="748">
        <f>+AK975-AN975</f>
      </c>
      <c r="AP975" s="217">
        <f>+_xlfn.IFNA(VLOOKUP(AJ975,$AF$7:$AI$1066,3,0),0)</f>
      </c>
      <c r="AQ975" s="217">
        <f>+IF(W975&gt;W974,AP975,AQ974+AP975)</f>
      </c>
      <c r="AR975" s="217">
        <f>+MAX($AM$2-SUMIF($W$7:$W$1066,W975,$AN$7:$AN$1066),0)</f>
      </c>
      <c r="AS975" s="748">
        <f>+MAX(IF(AQ975&gt;AR975,AR975-AQ974,AP975),0)</f>
      </c>
      <c r="AT975" s="748">
        <f>+AP975-AS975</f>
      </c>
      <c r="AU975" s="217">
        <f>+_xlfn.IFNA(VLOOKUP(AJ975,$AF$7:$AI$1066,4,0),0)</f>
      </c>
      <c r="AV975" s="217">
        <f>+IF(W975&gt;W974,AU975,AV974+AU975)</f>
      </c>
      <c r="AW975" s="217">
        <f>+MAX($AM$2-SUMIF($W$7:$W$1066,W975,$AN$7:$AN$1066)-SUMIF($W$7:$W$1066,W975,$AS$7:$AS$1066),0)</f>
      </c>
      <c r="AX975" s="748">
        <f>+MAX(IF(AV975&gt;AW975,AW975-AV974,AU975),0)</f>
      </c>
      <c r="AY975" s="748">
        <f>+AU975-AX975</f>
      </c>
      <c r="AZ975" s="331">
        <f>+$AM$1+IF($AP$1&gt;$AP$2,$AM$3/2)</f>
      </c>
    </row>
    <row x14ac:dyDescent="0.25" r="976" customHeight="1" ht="18.75">
      <c r="A976" s="1"/>
      <c r="B976" s="7"/>
      <c r="C976" s="170"/>
      <c r="D976" s="331">
        <v>969</v>
      </c>
      <c r="E976" s="544">
        <f>+DATE(YEAR(E975),MONTH(E975)-1,DAY(E975))</f>
        <v>25569.041666666668</v>
      </c>
      <c r="F976" s="333">
        <f>IF(DATE(YEAR($B$6),MONTH($B$6)+1,DAY(1))=E976,1,IF(MONTH(E976)=1,F977*(1+$F$5),F977))</f>
      </c>
      <c r="G976" s="333">
        <f>IF('Simulador - 1º Pilar'!$E$99="Sí",IF('Aportaciones PPE'!$B$13&lt;'Aportaciones PPE'!E976,0,F976*$B$8/12),F976*$B$8/12)</f>
      </c>
      <c r="H976" s="333">
        <f>$H$5*G976</f>
      </c>
      <c r="I976" s="333">
        <f>$I$5*G976</f>
      </c>
      <c r="J976" s="333">
        <f>+I976</f>
      </c>
      <c r="K976" s="333">
        <f>(1+$O$5)^(D976/12)*(H976+IF(AND(F976=1,F977=0),$S$4,0))</f>
      </c>
      <c r="L976" s="333">
        <f>(1+$O$5)^(D976/12)*(I976+IF(AND(F976=1,F977=0),0))</f>
      </c>
      <c r="M976" s="333">
        <f>+L976</f>
      </c>
      <c r="N976" s="333">
        <f>L976+K976+M976</f>
      </c>
      <c r="O976" s="170"/>
      <c r="P976" s="7"/>
      <c r="Q976" s="1"/>
      <c r="R976" s="331">
        <f>D976</f>
      </c>
      <c r="S976" s="169"/>
      <c r="T976" s="1"/>
      <c r="U976" s="217"/>
      <c r="V976" s="331">
        <f>+IF(V975=11,12,IF(V975=12,1,V975+1))</f>
      </c>
      <c r="W976" s="331">
        <f>+W975+IF(V975=12,1,0)</f>
      </c>
      <c r="X976" s="555">
        <f>+DATE(W976,V976,1)</f>
        <v>25569.041666666668</v>
      </c>
      <c r="Y976" s="333">
        <f>+_xlfn.IFNA(AN976+AS976+AX976,0)</f>
      </c>
      <c r="Z976" s="333">
        <f>+_xlfn.IFNA(AO976+AT976+AY976,0)</f>
      </c>
      <c r="AA976" s="333">
        <f>Y976*(1+$O$5)^(($B$7-X976)/365.25)</f>
      </c>
      <c r="AB976" s="333">
        <f>Z976*(1+$O$5)^(($B$7-X976)/365.25)</f>
      </c>
      <c r="AC976" s="1"/>
      <c r="AD976" s="1"/>
      <c r="AE976" s="1"/>
      <c r="AF976" s="111">
        <f>+MONTH(E976)&amp;YEAR(E976)</f>
      </c>
      <c r="AG976" s="217">
        <f>+I976</f>
      </c>
      <c r="AH976" s="217">
        <f>+J976</f>
      </c>
      <c r="AI976" s="217">
        <f>+H976</f>
      </c>
      <c r="AJ976" s="111">
        <f>+V976&amp;W976</f>
      </c>
      <c r="AK976" s="217">
        <f>+_xlfn.IFNA(VLOOKUP(AJ976,$AF$7:$AG$1066,2,0),0)</f>
      </c>
      <c r="AL976" s="217">
        <f>+IF(W976&gt;W975,AK976,AL975+AK976)</f>
      </c>
      <c r="AM976" s="217">
        <f>IF(W976&gt;W975,IF(AL976&gt;=$AZ$8,$AZ$8,AL976),IF(OR(AM975=$AZ$8,AM975=0),0,IF(AL976&gt;=$AZ$8,$AZ$8,AL976)))</f>
      </c>
      <c r="AN976" s="748">
        <f>+IF(OR(AM976&gt;AZ975,AM976=0),0,IF(AM976=AL976,AK976,$AZ$7-AL975))</f>
      </c>
      <c r="AO976" s="748">
        <f>+AK976-AN976</f>
      </c>
      <c r="AP976" s="217">
        <f>+_xlfn.IFNA(VLOOKUP(AJ976,$AF$7:$AI$1066,3,0),0)</f>
      </c>
      <c r="AQ976" s="217">
        <f>+IF(W976&gt;W975,AP976,AQ975+AP976)</f>
      </c>
      <c r="AR976" s="217">
        <f>+MAX($AM$2-SUMIF($W$7:$W$1066,W976,$AN$7:$AN$1066),0)</f>
      </c>
      <c r="AS976" s="748">
        <f>+MAX(IF(AQ976&gt;AR976,AR976-AQ975,AP976),0)</f>
      </c>
      <c r="AT976" s="748">
        <f>+AP976-AS976</f>
      </c>
      <c r="AU976" s="217">
        <f>+_xlfn.IFNA(VLOOKUP(AJ976,$AF$7:$AI$1066,4,0),0)</f>
      </c>
      <c r="AV976" s="217">
        <f>+IF(W976&gt;W975,AU976,AV975+AU976)</f>
      </c>
      <c r="AW976" s="217">
        <f>+MAX($AM$2-SUMIF($W$7:$W$1066,W976,$AN$7:$AN$1066)-SUMIF($W$7:$W$1066,W976,$AS$7:$AS$1066),0)</f>
      </c>
      <c r="AX976" s="748">
        <f>+MAX(IF(AV976&gt;AW976,AW976-AV975,AU976),0)</f>
      </c>
      <c r="AY976" s="748">
        <f>+AU976-AX976</f>
      </c>
      <c r="AZ976" s="331">
        <f>+$AM$1+IF($AP$1&gt;$AP$2,$AM$3/2)</f>
      </c>
    </row>
    <row x14ac:dyDescent="0.25" r="977" customHeight="1" ht="18.75">
      <c r="A977" s="1"/>
      <c r="B977" s="7"/>
      <c r="C977" s="170"/>
      <c r="D977" s="331">
        <v>970</v>
      </c>
      <c r="E977" s="544">
        <f>+DATE(YEAR(E976),MONTH(E976)-1,DAY(E976))</f>
        <v>25569.041666666668</v>
      </c>
      <c r="F977" s="333">
        <f>IF(DATE(YEAR($B$6),MONTH($B$6)+1,DAY(1))=E977,1,IF(MONTH(E977)=1,F978*(1+$F$5),F978))</f>
      </c>
      <c r="G977" s="333">
        <f>IF('Simulador - 1º Pilar'!$E$99="Sí",IF('Aportaciones PPE'!$B$13&lt;'Aportaciones PPE'!E977,0,F977*$B$8/12),F977*$B$8/12)</f>
      </c>
      <c r="H977" s="333">
        <f>$H$5*G977</f>
      </c>
      <c r="I977" s="333">
        <f>$I$5*G977</f>
      </c>
      <c r="J977" s="333">
        <f>+I977</f>
      </c>
      <c r="K977" s="333">
        <f>(1+$O$5)^(D977/12)*(H977+IF(AND(F977=1,F978=0),$S$4,0))</f>
      </c>
      <c r="L977" s="333">
        <f>(1+$O$5)^(D977/12)*(I977+IF(AND(F977=1,F978=0),0))</f>
      </c>
      <c r="M977" s="333">
        <f>+L977</f>
      </c>
      <c r="N977" s="333">
        <f>L977+K977+M977</f>
      </c>
      <c r="O977" s="170"/>
      <c r="P977" s="7"/>
      <c r="Q977" s="1"/>
      <c r="R977" s="331">
        <f>D977</f>
      </c>
      <c r="S977" s="169"/>
      <c r="T977" s="1"/>
      <c r="U977" s="217"/>
      <c r="V977" s="331">
        <f>+IF(V976=11,12,IF(V976=12,1,V976+1))</f>
      </c>
      <c r="W977" s="331">
        <f>+W976+IF(V976=12,1,0)</f>
      </c>
      <c r="X977" s="555">
        <f>+DATE(W977,V977,1)</f>
        <v>25569.041666666668</v>
      </c>
      <c r="Y977" s="333">
        <f>+_xlfn.IFNA(AN977+AS977+AX977,0)</f>
      </c>
      <c r="Z977" s="333">
        <f>+_xlfn.IFNA(AO977+AT977+AY977,0)</f>
      </c>
      <c r="AA977" s="333">
        <f>Y977*(1+$O$5)^(($B$7-X977)/365.25)</f>
      </c>
      <c r="AB977" s="333">
        <f>Z977*(1+$O$5)^(($B$7-X977)/365.25)</f>
      </c>
      <c r="AC977" s="1"/>
      <c r="AD977" s="1"/>
      <c r="AE977" s="1"/>
      <c r="AF977" s="111">
        <f>+MONTH(E977)&amp;YEAR(E977)</f>
      </c>
      <c r="AG977" s="217">
        <f>+I977</f>
      </c>
      <c r="AH977" s="217">
        <f>+J977</f>
      </c>
      <c r="AI977" s="217">
        <f>+H977</f>
      </c>
      <c r="AJ977" s="111">
        <f>+V977&amp;W977</f>
      </c>
      <c r="AK977" s="217">
        <f>+_xlfn.IFNA(VLOOKUP(AJ977,$AF$7:$AG$1066,2,0),0)</f>
      </c>
      <c r="AL977" s="217">
        <f>+IF(W977&gt;W976,AK977,AL976+AK977)</f>
      </c>
      <c r="AM977" s="217">
        <f>IF(W977&gt;W976,IF(AL977&gt;=$AZ$8,$AZ$8,AL977),IF(OR(AM976=$AZ$8,AM976=0),0,IF(AL977&gt;=$AZ$8,$AZ$8,AL977)))</f>
      </c>
      <c r="AN977" s="748">
        <f>+IF(OR(AM977&gt;AZ976,AM977=0),0,IF(AM977=AL977,AK977,$AZ$7-AL976))</f>
      </c>
      <c r="AO977" s="748">
        <f>+AK977-AN977</f>
      </c>
      <c r="AP977" s="217">
        <f>+_xlfn.IFNA(VLOOKUP(AJ977,$AF$7:$AI$1066,3,0),0)</f>
      </c>
      <c r="AQ977" s="217">
        <f>+IF(W977&gt;W976,AP977,AQ976+AP977)</f>
      </c>
      <c r="AR977" s="217">
        <f>+MAX($AM$2-SUMIF($W$7:$W$1066,W977,$AN$7:$AN$1066),0)</f>
      </c>
      <c r="AS977" s="748">
        <f>+MAX(IF(AQ977&gt;AR977,AR977-AQ976,AP977),0)</f>
      </c>
      <c r="AT977" s="748">
        <f>+AP977-AS977</f>
      </c>
      <c r="AU977" s="217">
        <f>+_xlfn.IFNA(VLOOKUP(AJ977,$AF$7:$AI$1066,4,0),0)</f>
      </c>
      <c r="AV977" s="217">
        <f>+IF(W977&gt;W976,AU977,AV976+AU977)</f>
      </c>
      <c r="AW977" s="217">
        <f>+MAX($AM$2-SUMIF($W$7:$W$1066,W977,$AN$7:$AN$1066)-SUMIF($W$7:$W$1066,W977,$AS$7:$AS$1066),0)</f>
      </c>
      <c r="AX977" s="748">
        <f>+MAX(IF(AV977&gt;AW977,AW977-AV976,AU977),0)</f>
      </c>
      <c r="AY977" s="748">
        <f>+AU977-AX977</f>
      </c>
      <c r="AZ977" s="331">
        <f>+$AM$1+IF($AP$1&gt;$AP$2,$AM$3/2)</f>
      </c>
    </row>
    <row x14ac:dyDescent="0.25" r="978" customHeight="1" ht="18.75">
      <c r="A978" s="1"/>
      <c r="B978" s="7"/>
      <c r="C978" s="170"/>
      <c r="D978" s="331">
        <v>971</v>
      </c>
      <c r="E978" s="544">
        <f>+DATE(YEAR(E977),MONTH(E977)-1,DAY(E977))</f>
        <v>25569.041666666668</v>
      </c>
      <c r="F978" s="333">
        <f>IF(DATE(YEAR($B$6),MONTH($B$6)+1,DAY(1))=E978,1,IF(MONTH(E978)=1,F979*(1+$F$5),F979))</f>
      </c>
      <c r="G978" s="333">
        <f>IF('Simulador - 1º Pilar'!$E$99="Sí",IF('Aportaciones PPE'!$B$13&lt;'Aportaciones PPE'!E978,0,F978*$B$8/12),F978*$B$8/12)</f>
      </c>
      <c r="H978" s="333">
        <f>$H$5*G978</f>
      </c>
      <c r="I978" s="333">
        <f>$I$5*G978</f>
      </c>
      <c r="J978" s="333">
        <f>+I978</f>
      </c>
      <c r="K978" s="333">
        <f>(1+$O$5)^(D978/12)*(H978+IF(AND(F978=1,F979=0),$S$4,0))</f>
      </c>
      <c r="L978" s="333">
        <f>(1+$O$5)^(D978/12)*(I978+IF(AND(F978=1,F979=0),0))</f>
      </c>
      <c r="M978" s="333">
        <f>+L978</f>
      </c>
      <c r="N978" s="333">
        <f>L978+K978+M978</f>
      </c>
      <c r="O978" s="170"/>
      <c r="P978" s="7"/>
      <c r="Q978" s="1"/>
      <c r="R978" s="331">
        <f>D978</f>
      </c>
      <c r="S978" s="169"/>
      <c r="T978" s="1"/>
      <c r="U978" s="217"/>
      <c r="V978" s="331">
        <f>+IF(V977=11,12,IF(V977=12,1,V977+1))</f>
      </c>
      <c r="W978" s="331">
        <f>+W977+IF(V977=12,1,0)</f>
      </c>
      <c r="X978" s="555">
        <f>+DATE(W978,V978,1)</f>
        <v>25569.041666666668</v>
      </c>
      <c r="Y978" s="333">
        <f>+_xlfn.IFNA(AN978+AS978+AX978,0)</f>
      </c>
      <c r="Z978" s="333">
        <f>+_xlfn.IFNA(AO978+AT978+AY978,0)</f>
      </c>
      <c r="AA978" s="333">
        <f>Y978*(1+$O$5)^(($B$7-X978)/365.25)</f>
      </c>
      <c r="AB978" s="333">
        <f>Z978*(1+$O$5)^(($B$7-X978)/365.25)</f>
      </c>
      <c r="AC978" s="1"/>
      <c r="AD978" s="1"/>
      <c r="AE978" s="1"/>
      <c r="AF978" s="111">
        <f>+MONTH(E978)&amp;YEAR(E978)</f>
      </c>
      <c r="AG978" s="217">
        <f>+I978</f>
      </c>
      <c r="AH978" s="217">
        <f>+J978</f>
      </c>
      <c r="AI978" s="217">
        <f>+H978</f>
      </c>
      <c r="AJ978" s="111">
        <f>+V978&amp;W978</f>
      </c>
      <c r="AK978" s="217">
        <f>+_xlfn.IFNA(VLOOKUP(AJ978,$AF$7:$AG$1066,2,0),0)</f>
      </c>
      <c r="AL978" s="217">
        <f>+IF(W978&gt;W977,AK978,AL977+AK978)</f>
      </c>
      <c r="AM978" s="217">
        <f>IF(W978&gt;W977,IF(AL978&gt;=$AZ$8,$AZ$8,AL978),IF(OR(AM977=$AZ$8,AM977=0),0,IF(AL978&gt;=$AZ$8,$AZ$8,AL978)))</f>
      </c>
      <c r="AN978" s="748">
        <f>+IF(OR(AM978&gt;AZ977,AM978=0),0,IF(AM978=AL978,AK978,$AZ$7-AL977))</f>
      </c>
      <c r="AO978" s="748">
        <f>+AK978-AN978</f>
      </c>
      <c r="AP978" s="217">
        <f>+_xlfn.IFNA(VLOOKUP(AJ978,$AF$7:$AI$1066,3,0),0)</f>
      </c>
      <c r="AQ978" s="217">
        <f>+IF(W978&gt;W977,AP978,AQ977+AP978)</f>
      </c>
      <c r="AR978" s="217">
        <f>+MAX($AM$2-SUMIF($W$7:$W$1066,W978,$AN$7:$AN$1066),0)</f>
      </c>
      <c r="AS978" s="748">
        <f>+MAX(IF(AQ978&gt;AR978,AR978-AQ977,AP978),0)</f>
      </c>
      <c r="AT978" s="748">
        <f>+AP978-AS978</f>
      </c>
      <c r="AU978" s="217">
        <f>+_xlfn.IFNA(VLOOKUP(AJ978,$AF$7:$AI$1066,4,0),0)</f>
      </c>
      <c r="AV978" s="217">
        <f>+IF(W978&gt;W977,AU978,AV977+AU978)</f>
      </c>
      <c r="AW978" s="217">
        <f>+MAX($AM$2-SUMIF($W$7:$W$1066,W978,$AN$7:$AN$1066)-SUMIF($W$7:$W$1066,W978,$AS$7:$AS$1066),0)</f>
      </c>
      <c r="AX978" s="748">
        <f>+MAX(IF(AV978&gt;AW978,AW978-AV977,AU978),0)</f>
      </c>
      <c r="AY978" s="748">
        <f>+AU978-AX978</f>
      </c>
      <c r="AZ978" s="331">
        <f>+$AM$1+IF($AP$1&gt;$AP$2,$AM$3/2)</f>
      </c>
    </row>
    <row x14ac:dyDescent="0.25" r="979" customHeight="1" ht="18.75">
      <c r="A979" s="1"/>
      <c r="B979" s="7"/>
      <c r="C979" s="170"/>
      <c r="D979" s="331">
        <v>972</v>
      </c>
      <c r="E979" s="544">
        <f>+DATE(YEAR(E978),MONTH(E978)-1,DAY(E978))</f>
        <v>25569.041666666668</v>
      </c>
      <c r="F979" s="333">
        <f>IF(DATE(YEAR($B$6),MONTH($B$6)+1,DAY(1))=E979,1,IF(MONTH(E979)=1,F980*(1+$F$5),F980))</f>
      </c>
      <c r="G979" s="333">
        <f>IF('Simulador - 1º Pilar'!$E$99="Sí",IF('Aportaciones PPE'!$B$13&lt;'Aportaciones PPE'!E979,0,F979*$B$8/12),F979*$B$8/12)</f>
      </c>
      <c r="H979" s="333">
        <f>$H$5*G979</f>
      </c>
      <c r="I979" s="333">
        <f>$I$5*G979</f>
      </c>
      <c r="J979" s="333">
        <f>+I979</f>
      </c>
      <c r="K979" s="333">
        <f>(1+$O$5)^(D979/12)*(H979+IF(AND(F979=1,F980=0),$S$4,0))</f>
      </c>
      <c r="L979" s="333">
        <f>(1+$O$5)^(D979/12)*(I979+IF(AND(F979=1,F980=0),0))</f>
      </c>
      <c r="M979" s="333">
        <f>+L979</f>
      </c>
      <c r="N979" s="333">
        <f>L979+K979+M979</f>
      </c>
      <c r="O979" s="170"/>
      <c r="P979" s="7"/>
      <c r="Q979" s="1"/>
      <c r="R979" s="331">
        <f>D979</f>
      </c>
      <c r="S979" s="169"/>
      <c r="T979" s="1"/>
      <c r="U979" s="217"/>
      <c r="V979" s="331">
        <f>+IF(V978=11,12,IF(V978=12,1,V978+1))</f>
      </c>
      <c r="W979" s="331">
        <f>+W978+IF(V978=12,1,0)</f>
      </c>
      <c r="X979" s="555">
        <f>+DATE(W979,V979,1)</f>
        <v>25569.041666666668</v>
      </c>
      <c r="Y979" s="333">
        <f>+_xlfn.IFNA(AN979+AS979+AX979,0)</f>
      </c>
      <c r="Z979" s="333">
        <f>+_xlfn.IFNA(AO979+AT979+AY979,0)</f>
      </c>
      <c r="AA979" s="333">
        <f>Y979*(1+$O$5)^(($B$7-X979)/365.25)</f>
      </c>
      <c r="AB979" s="333">
        <f>Z979*(1+$O$5)^(($B$7-X979)/365.25)</f>
      </c>
      <c r="AC979" s="1"/>
      <c r="AD979" s="1"/>
      <c r="AE979" s="1"/>
      <c r="AF979" s="111">
        <f>+MONTH(E979)&amp;YEAR(E979)</f>
      </c>
      <c r="AG979" s="217">
        <f>+I979</f>
      </c>
      <c r="AH979" s="217">
        <f>+J979</f>
      </c>
      <c r="AI979" s="217">
        <f>+H979</f>
      </c>
      <c r="AJ979" s="111">
        <f>+V979&amp;W979</f>
      </c>
      <c r="AK979" s="217">
        <f>+_xlfn.IFNA(VLOOKUP(AJ979,$AF$7:$AG$1066,2,0),0)</f>
      </c>
      <c r="AL979" s="217">
        <f>+IF(W979&gt;W978,AK979,AL978+AK979)</f>
      </c>
      <c r="AM979" s="217">
        <f>IF(W979&gt;W978,IF(AL979&gt;=$AZ$8,$AZ$8,AL979),IF(OR(AM978=$AZ$8,AM978=0),0,IF(AL979&gt;=$AZ$8,$AZ$8,AL979)))</f>
      </c>
      <c r="AN979" s="748">
        <f>+IF(OR(AM979&gt;AZ978,AM979=0),0,IF(AM979=AL979,AK979,$AZ$7-AL978))</f>
      </c>
      <c r="AO979" s="748">
        <f>+AK979-AN979</f>
      </c>
      <c r="AP979" s="217">
        <f>+_xlfn.IFNA(VLOOKUP(AJ979,$AF$7:$AI$1066,3,0),0)</f>
      </c>
      <c r="AQ979" s="217">
        <f>+IF(W979&gt;W978,AP979,AQ978+AP979)</f>
      </c>
      <c r="AR979" s="217">
        <f>+MAX($AM$2-SUMIF($W$7:$W$1066,W979,$AN$7:$AN$1066),0)</f>
      </c>
      <c r="AS979" s="748">
        <f>+MAX(IF(AQ979&gt;AR979,AR979-AQ978,AP979),0)</f>
      </c>
      <c r="AT979" s="748">
        <f>+AP979-AS979</f>
      </c>
      <c r="AU979" s="217">
        <f>+_xlfn.IFNA(VLOOKUP(AJ979,$AF$7:$AI$1066,4,0),0)</f>
      </c>
      <c r="AV979" s="217">
        <f>+IF(W979&gt;W978,AU979,AV978+AU979)</f>
      </c>
      <c r="AW979" s="217">
        <f>+MAX($AM$2-SUMIF($W$7:$W$1066,W979,$AN$7:$AN$1066)-SUMIF($W$7:$W$1066,W979,$AS$7:$AS$1066),0)</f>
      </c>
      <c r="AX979" s="748">
        <f>+MAX(IF(AV979&gt;AW979,AW979-AV978,AU979),0)</f>
      </c>
      <c r="AY979" s="748">
        <f>+AU979-AX979</f>
      </c>
      <c r="AZ979" s="331">
        <f>+$AM$1+IF($AP$1&gt;$AP$2,$AM$3/2)</f>
      </c>
    </row>
    <row x14ac:dyDescent="0.25" r="980" customHeight="1" ht="18.75">
      <c r="A980" s="1"/>
      <c r="B980" s="7"/>
      <c r="C980" s="170"/>
      <c r="D980" s="331">
        <v>973</v>
      </c>
      <c r="E980" s="544">
        <f>+DATE(YEAR(E979),MONTH(E979)-1,DAY(E979))</f>
        <v>25569.041666666668</v>
      </c>
      <c r="F980" s="333">
        <f>IF(DATE(YEAR($B$6),MONTH($B$6)+1,DAY(1))=E980,1,IF(MONTH(E980)=1,F981*(1+$F$5),F981))</f>
      </c>
      <c r="G980" s="333">
        <f>IF('Simulador - 1º Pilar'!$E$99="Sí",IF('Aportaciones PPE'!$B$13&lt;'Aportaciones PPE'!E980,0,F980*$B$8/12),F980*$B$8/12)</f>
      </c>
      <c r="H980" s="333">
        <f>$H$5*G980</f>
      </c>
      <c r="I980" s="333">
        <f>$I$5*G980</f>
      </c>
      <c r="J980" s="333">
        <f>+I980</f>
      </c>
      <c r="K980" s="333">
        <f>(1+$O$5)^(D980/12)*(H980+IF(AND(F980=1,F981=0),$S$4,0))</f>
      </c>
      <c r="L980" s="333">
        <f>(1+$O$5)^(D980/12)*(I980+IF(AND(F980=1,F981=0),0))</f>
      </c>
      <c r="M980" s="333">
        <f>+L980</f>
      </c>
      <c r="N980" s="333">
        <f>L980+K980+M980</f>
      </c>
      <c r="O980" s="170"/>
      <c r="P980" s="7"/>
      <c r="Q980" s="1"/>
      <c r="R980" s="331">
        <f>D980</f>
      </c>
      <c r="S980" s="169"/>
      <c r="T980" s="1"/>
      <c r="U980" s="217"/>
      <c r="V980" s="331">
        <f>+IF(V979=11,12,IF(V979=12,1,V979+1))</f>
      </c>
      <c r="W980" s="331">
        <f>+W979+IF(V979=12,1,0)</f>
      </c>
      <c r="X980" s="555">
        <f>+DATE(W980,V980,1)</f>
        <v>25569.041666666668</v>
      </c>
      <c r="Y980" s="333">
        <f>+_xlfn.IFNA(AN980+AS980+AX980,0)</f>
      </c>
      <c r="Z980" s="333">
        <f>+_xlfn.IFNA(AO980+AT980+AY980,0)</f>
      </c>
      <c r="AA980" s="333">
        <f>Y980*(1+$O$5)^(($B$7-X980)/365.25)</f>
      </c>
      <c r="AB980" s="333">
        <f>Z980*(1+$O$5)^(($B$7-X980)/365.25)</f>
      </c>
      <c r="AC980" s="1"/>
      <c r="AD980" s="1"/>
      <c r="AE980" s="1"/>
      <c r="AF980" s="111">
        <f>+MONTH(E980)&amp;YEAR(E980)</f>
      </c>
      <c r="AG980" s="217">
        <f>+I980</f>
      </c>
      <c r="AH980" s="217">
        <f>+J980</f>
      </c>
      <c r="AI980" s="217">
        <f>+H980</f>
      </c>
      <c r="AJ980" s="111">
        <f>+V980&amp;W980</f>
      </c>
      <c r="AK980" s="217">
        <f>+_xlfn.IFNA(VLOOKUP(AJ980,$AF$7:$AG$1066,2,0),0)</f>
      </c>
      <c r="AL980" s="217">
        <f>+IF(W980&gt;W979,AK980,AL979+AK980)</f>
      </c>
      <c r="AM980" s="217">
        <f>IF(W980&gt;W979,IF(AL980&gt;=$AZ$8,$AZ$8,AL980),IF(OR(AM979=$AZ$8,AM979=0),0,IF(AL980&gt;=$AZ$8,$AZ$8,AL980)))</f>
      </c>
      <c r="AN980" s="748">
        <f>+IF(OR(AM980&gt;AZ979,AM980=0),0,IF(AM980=AL980,AK980,$AZ$7-AL979))</f>
      </c>
      <c r="AO980" s="748">
        <f>+AK980-AN980</f>
      </c>
      <c r="AP980" s="217">
        <f>+_xlfn.IFNA(VLOOKUP(AJ980,$AF$7:$AI$1066,3,0),0)</f>
      </c>
      <c r="AQ980" s="217">
        <f>+IF(W980&gt;W979,AP980,AQ979+AP980)</f>
      </c>
      <c r="AR980" s="217">
        <f>+MAX($AM$2-SUMIF($W$7:$W$1066,W980,$AN$7:$AN$1066),0)</f>
      </c>
      <c r="AS980" s="748">
        <f>+MAX(IF(AQ980&gt;AR980,AR980-AQ979,AP980),0)</f>
      </c>
      <c r="AT980" s="748">
        <f>+AP980-AS980</f>
      </c>
      <c r="AU980" s="217">
        <f>+_xlfn.IFNA(VLOOKUP(AJ980,$AF$7:$AI$1066,4,0),0)</f>
      </c>
      <c r="AV980" s="217">
        <f>+IF(W980&gt;W979,AU980,AV979+AU980)</f>
      </c>
      <c r="AW980" s="217">
        <f>+MAX($AM$2-SUMIF($W$7:$W$1066,W980,$AN$7:$AN$1066)-SUMIF($W$7:$W$1066,W980,$AS$7:$AS$1066),0)</f>
      </c>
      <c r="AX980" s="748">
        <f>+MAX(IF(AV980&gt;AW980,AW980-AV979,AU980),0)</f>
      </c>
      <c r="AY980" s="748">
        <f>+AU980-AX980</f>
      </c>
      <c r="AZ980" s="331">
        <f>+$AM$1+IF($AP$1&gt;$AP$2,$AM$3/2)</f>
      </c>
    </row>
    <row x14ac:dyDescent="0.25" r="981" customHeight="1" ht="18.75">
      <c r="A981" s="1"/>
      <c r="B981" s="7"/>
      <c r="C981" s="170"/>
      <c r="D981" s="331">
        <v>974</v>
      </c>
      <c r="E981" s="544">
        <f>+DATE(YEAR(E980),MONTH(E980)-1,DAY(E980))</f>
        <v>25569.041666666668</v>
      </c>
      <c r="F981" s="333">
        <f>IF(DATE(YEAR($B$6),MONTH($B$6)+1,DAY(1))=E981,1,IF(MONTH(E981)=1,F982*(1+$F$5),F982))</f>
      </c>
      <c r="G981" s="333">
        <f>IF('Simulador - 1º Pilar'!$E$99="Sí",IF('Aportaciones PPE'!$B$13&lt;'Aportaciones PPE'!E981,0,F981*$B$8/12),F981*$B$8/12)</f>
      </c>
      <c r="H981" s="333">
        <f>$H$5*G981</f>
      </c>
      <c r="I981" s="333">
        <f>$I$5*G981</f>
      </c>
      <c r="J981" s="333">
        <f>+I981</f>
      </c>
      <c r="K981" s="333">
        <f>(1+$O$5)^(D981/12)*(H981+IF(AND(F981=1,F982=0),$S$4,0))</f>
      </c>
      <c r="L981" s="333">
        <f>(1+$O$5)^(D981/12)*(I981+IF(AND(F981=1,F982=0),0))</f>
      </c>
      <c r="M981" s="333">
        <f>+L981</f>
      </c>
      <c r="N981" s="333">
        <f>L981+K981+M981</f>
      </c>
      <c r="O981" s="170"/>
      <c r="P981" s="7"/>
      <c r="Q981" s="1"/>
      <c r="R981" s="331">
        <f>D981</f>
      </c>
      <c r="S981" s="169"/>
      <c r="T981" s="1"/>
      <c r="U981" s="217"/>
      <c r="V981" s="331">
        <f>+IF(V980=11,12,IF(V980=12,1,V980+1))</f>
      </c>
      <c r="W981" s="331">
        <f>+W980+IF(V980=12,1,0)</f>
      </c>
      <c r="X981" s="555">
        <f>+DATE(W981,V981,1)</f>
        <v>25569.041666666668</v>
      </c>
      <c r="Y981" s="333">
        <f>+_xlfn.IFNA(AN981+AS981+AX981,0)</f>
      </c>
      <c r="Z981" s="333">
        <f>+_xlfn.IFNA(AO981+AT981+AY981,0)</f>
      </c>
      <c r="AA981" s="333">
        <f>Y981*(1+$O$5)^(($B$7-X981)/365.25)</f>
      </c>
      <c r="AB981" s="333">
        <f>Z981*(1+$O$5)^(($B$7-X981)/365.25)</f>
      </c>
      <c r="AC981" s="1"/>
      <c r="AD981" s="1"/>
      <c r="AE981" s="1"/>
      <c r="AF981" s="111">
        <f>+MONTH(E981)&amp;YEAR(E981)</f>
      </c>
      <c r="AG981" s="217">
        <f>+I981</f>
      </c>
      <c r="AH981" s="217">
        <f>+J981</f>
      </c>
      <c r="AI981" s="217">
        <f>+H981</f>
      </c>
      <c r="AJ981" s="111">
        <f>+V981&amp;W981</f>
      </c>
      <c r="AK981" s="217">
        <f>+_xlfn.IFNA(VLOOKUP(AJ981,$AF$7:$AG$1066,2,0),0)</f>
      </c>
      <c r="AL981" s="217">
        <f>+IF(W981&gt;W980,AK981,AL980+AK981)</f>
      </c>
      <c r="AM981" s="217">
        <f>IF(W981&gt;W980,IF(AL981&gt;=$AZ$8,$AZ$8,AL981),IF(OR(AM980=$AZ$8,AM980=0),0,IF(AL981&gt;=$AZ$8,$AZ$8,AL981)))</f>
      </c>
      <c r="AN981" s="748">
        <f>+IF(OR(AM981&gt;AZ980,AM981=0),0,IF(AM981=AL981,AK981,$AZ$7-AL980))</f>
      </c>
      <c r="AO981" s="748">
        <f>+AK981-AN981</f>
      </c>
      <c r="AP981" s="217">
        <f>+_xlfn.IFNA(VLOOKUP(AJ981,$AF$7:$AI$1066,3,0),0)</f>
      </c>
      <c r="AQ981" s="217">
        <f>+IF(W981&gt;W980,AP981,AQ980+AP981)</f>
      </c>
      <c r="AR981" s="217">
        <f>+MAX($AM$2-SUMIF($W$7:$W$1066,W981,$AN$7:$AN$1066),0)</f>
      </c>
      <c r="AS981" s="748">
        <f>+MAX(IF(AQ981&gt;AR981,AR981-AQ980,AP981),0)</f>
      </c>
      <c r="AT981" s="748">
        <f>+AP981-AS981</f>
      </c>
      <c r="AU981" s="217">
        <f>+_xlfn.IFNA(VLOOKUP(AJ981,$AF$7:$AI$1066,4,0),0)</f>
      </c>
      <c r="AV981" s="217">
        <f>+IF(W981&gt;W980,AU981,AV980+AU981)</f>
      </c>
      <c r="AW981" s="217">
        <f>+MAX($AM$2-SUMIF($W$7:$W$1066,W981,$AN$7:$AN$1066)-SUMIF($W$7:$W$1066,W981,$AS$7:$AS$1066),0)</f>
      </c>
      <c r="AX981" s="748">
        <f>+MAX(IF(AV981&gt;AW981,AW981-AV980,AU981),0)</f>
      </c>
      <c r="AY981" s="748">
        <f>+AU981-AX981</f>
      </c>
      <c r="AZ981" s="331">
        <f>+$AM$1+IF($AP$1&gt;$AP$2,$AM$3/2)</f>
      </c>
    </row>
    <row x14ac:dyDescent="0.25" r="982" customHeight="1" ht="18.75">
      <c r="A982" s="1"/>
      <c r="B982" s="7"/>
      <c r="C982" s="170"/>
      <c r="D982" s="331">
        <v>975</v>
      </c>
      <c r="E982" s="544">
        <f>+DATE(YEAR(E981),MONTH(E981)-1,DAY(E981))</f>
        <v>25569.041666666668</v>
      </c>
      <c r="F982" s="333">
        <f>IF(DATE(YEAR($B$6),MONTH($B$6)+1,DAY(1))=E982,1,IF(MONTH(E982)=1,F983*(1+$F$5),F983))</f>
      </c>
      <c r="G982" s="333">
        <f>IF('Simulador - 1º Pilar'!$E$99="Sí",IF('Aportaciones PPE'!$B$13&lt;'Aportaciones PPE'!E982,0,F982*$B$8/12),F982*$B$8/12)</f>
      </c>
      <c r="H982" s="333">
        <f>$H$5*G982</f>
      </c>
      <c r="I982" s="333">
        <f>$I$5*G982</f>
      </c>
      <c r="J982" s="333">
        <f>+I982</f>
      </c>
      <c r="K982" s="333">
        <f>(1+$O$5)^(D982/12)*(H982+IF(AND(F982=1,F983=0),$S$4,0))</f>
      </c>
      <c r="L982" s="333">
        <f>(1+$O$5)^(D982/12)*(I982+IF(AND(F982=1,F983=0),0))</f>
      </c>
      <c r="M982" s="333">
        <f>+L982</f>
      </c>
      <c r="N982" s="333">
        <f>L982+K982+M982</f>
      </c>
      <c r="O982" s="170"/>
      <c r="P982" s="7"/>
      <c r="Q982" s="1"/>
      <c r="R982" s="331">
        <f>D982</f>
      </c>
      <c r="S982" s="169"/>
      <c r="T982" s="1"/>
      <c r="U982" s="217"/>
      <c r="V982" s="331">
        <f>+IF(V981=11,12,IF(V981=12,1,V981+1))</f>
      </c>
      <c r="W982" s="331">
        <f>+W981+IF(V981=12,1,0)</f>
      </c>
      <c r="X982" s="555">
        <f>+DATE(W982,V982,1)</f>
        <v>25569.041666666668</v>
      </c>
      <c r="Y982" s="333">
        <f>+_xlfn.IFNA(AN982+AS982+AX982,0)</f>
      </c>
      <c r="Z982" s="333">
        <f>+_xlfn.IFNA(AO982+AT982+AY982,0)</f>
      </c>
      <c r="AA982" s="333">
        <f>Y982*(1+$O$5)^(($B$7-X982)/365.25)</f>
      </c>
      <c r="AB982" s="333">
        <f>Z982*(1+$O$5)^(($B$7-X982)/365.25)</f>
      </c>
      <c r="AC982" s="1"/>
      <c r="AD982" s="1"/>
      <c r="AE982" s="1"/>
      <c r="AF982" s="111">
        <f>+MONTH(E982)&amp;YEAR(E982)</f>
      </c>
      <c r="AG982" s="217">
        <f>+I982</f>
      </c>
      <c r="AH982" s="217">
        <f>+J982</f>
      </c>
      <c r="AI982" s="217">
        <f>+H982</f>
      </c>
      <c r="AJ982" s="111">
        <f>+V982&amp;W982</f>
      </c>
      <c r="AK982" s="217">
        <f>+_xlfn.IFNA(VLOOKUP(AJ982,$AF$7:$AG$1066,2,0),0)</f>
      </c>
      <c r="AL982" s="217">
        <f>+IF(W982&gt;W981,AK982,AL981+AK982)</f>
      </c>
      <c r="AM982" s="217">
        <f>IF(W982&gt;W981,IF(AL982&gt;=$AZ$8,$AZ$8,AL982),IF(OR(AM981=$AZ$8,AM981=0),0,IF(AL982&gt;=$AZ$8,$AZ$8,AL982)))</f>
      </c>
      <c r="AN982" s="748">
        <f>+IF(OR(AM982&gt;AZ981,AM982=0),0,IF(AM982=AL982,AK982,$AZ$7-AL981))</f>
      </c>
      <c r="AO982" s="748">
        <f>+AK982-AN982</f>
      </c>
      <c r="AP982" s="217">
        <f>+_xlfn.IFNA(VLOOKUP(AJ982,$AF$7:$AI$1066,3,0),0)</f>
      </c>
      <c r="AQ982" s="217">
        <f>+IF(W982&gt;W981,AP982,AQ981+AP982)</f>
      </c>
      <c r="AR982" s="217">
        <f>+MAX($AM$2-SUMIF($W$7:$W$1066,W982,$AN$7:$AN$1066),0)</f>
      </c>
      <c r="AS982" s="748">
        <f>+MAX(IF(AQ982&gt;AR982,AR982-AQ981,AP982),0)</f>
      </c>
      <c r="AT982" s="748">
        <f>+AP982-AS982</f>
      </c>
      <c r="AU982" s="217">
        <f>+_xlfn.IFNA(VLOOKUP(AJ982,$AF$7:$AI$1066,4,0),0)</f>
      </c>
      <c r="AV982" s="217">
        <f>+IF(W982&gt;W981,AU982,AV981+AU982)</f>
      </c>
      <c r="AW982" s="217">
        <f>+MAX($AM$2-SUMIF($W$7:$W$1066,W982,$AN$7:$AN$1066)-SUMIF($W$7:$W$1066,W982,$AS$7:$AS$1066),0)</f>
      </c>
      <c r="AX982" s="748">
        <f>+MAX(IF(AV982&gt;AW982,AW982-AV981,AU982),0)</f>
      </c>
      <c r="AY982" s="748">
        <f>+AU982-AX982</f>
      </c>
      <c r="AZ982" s="331">
        <f>+$AM$1+IF($AP$1&gt;$AP$2,$AM$3/2)</f>
      </c>
    </row>
    <row x14ac:dyDescent="0.25" r="983" customHeight="1" ht="18.75">
      <c r="A983" s="1"/>
      <c r="B983" s="7"/>
      <c r="C983" s="170"/>
      <c r="D983" s="331">
        <v>976</v>
      </c>
      <c r="E983" s="544">
        <f>+DATE(YEAR(E982),MONTH(E982)-1,DAY(E982))</f>
        <v>25569.041666666668</v>
      </c>
      <c r="F983" s="333">
        <f>IF(DATE(YEAR($B$6),MONTH($B$6)+1,DAY(1))=E983,1,IF(MONTH(E983)=1,F984*(1+$F$5),F984))</f>
      </c>
      <c r="G983" s="333">
        <f>IF('Simulador - 1º Pilar'!$E$99="Sí",IF('Aportaciones PPE'!$B$13&lt;'Aportaciones PPE'!E983,0,F983*$B$8/12),F983*$B$8/12)</f>
      </c>
      <c r="H983" s="333">
        <f>$H$5*G983</f>
      </c>
      <c r="I983" s="333">
        <f>$I$5*G983</f>
      </c>
      <c r="J983" s="333">
        <f>+I983</f>
      </c>
      <c r="K983" s="333">
        <f>(1+$O$5)^(D983/12)*(H983+IF(AND(F983=1,F984=0),$S$4,0))</f>
      </c>
      <c r="L983" s="333">
        <f>(1+$O$5)^(D983/12)*(I983+IF(AND(F983=1,F984=0),0))</f>
      </c>
      <c r="M983" s="333">
        <f>+L983</f>
      </c>
      <c r="N983" s="333">
        <f>L983+K983+M983</f>
      </c>
      <c r="O983" s="170"/>
      <c r="P983" s="7"/>
      <c r="Q983" s="1"/>
      <c r="R983" s="331">
        <f>D983</f>
      </c>
      <c r="S983" s="169"/>
      <c r="T983" s="1"/>
      <c r="U983" s="217"/>
      <c r="V983" s="331">
        <f>+IF(V982=11,12,IF(V982=12,1,V982+1))</f>
      </c>
      <c r="W983" s="331">
        <f>+W982+IF(V982=12,1,0)</f>
      </c>
      <c r="X983" s="555">
        <f>+DATE(W983,V983,1)</f>
        <v>25569.041666666668</v>
      </c>
      <c r="Y983" s="333">
        <f>+_xlfn.IFNA(AN983+AS983+AX983,0)</f>
      </c>
      <c r="Z983" s="333">
        <f>+_xlfn.IFNA(AO983+AT983+AY983,0)</f>
      </c>
      <c r="AA983" s="333">
        <f>Y983*(1+$O$5)^(($B$7-X983)/365.25)</f>
      </c>
      <c r="AB983" s="333">
        <f>Z983*(1+$O$5)^(($B$7-X983)/365.25)</f>
      </c>
      <c r="AC983" s="1"/>
      <c r="AD983" s="1"/>
      <c r="AE983" s="1"/>
      <c r="AF983" s="111">
        <f>+MONTH(E983)&amp;YEAR(E983)</f>
      </c>
      <c r="AG983" s="217">
        <f>+I983</f>
      </c>
      <c r="AH983" s="217">
        <f>+J983</f>
      </c>
      <c r="AI983" s="217">
        <f>+H983</f>
      </c>
      <c r="AJ983" s="111">
        <f>+V983&amp;W983</f>
      </c>
      <c r="AK983" s="217">
        <f>+_xlfn.IFNA(VLOOKUP(AJ983,$AF$7:$AG$1066,2,0),0)</f>
      </c>
      <c r="AL983" s="217">
        <f>+IF(W983&gt;W982,AK983,AL982+AK983)</f>
      </c>
      <c r="AM983" s="217">
        <f>IF(W983&gt;W982,IF(AL983&gt;=$AZ$8,$AZ$8,AL983),IF(OR(AM982=$AZ$8,AM982=0),0,IF(AL983&gt;=$AZ$8,$AZ$8,AL983)))</f>
      </c>
      <c r="AN983" s="748">
        <f>+IF(OR(AM983&gt;AZ982,AM983=0),0,IF(AM983=AL983,AK983,$AZ$7-AL982))</f>
      </c>
      <c r="AO983" s="748">
        <f>+AK983-AN983</f>
      </c>
      <c r="AP983" s="217">
        <f>+_xlfn.IFNA(VLOOKUP(AJ983,$AF$7:$AI$1066,3,0),0)</f>
      </c>
      <c r="AQ983" s="217">
        <f>+IF(W983&gt;W982,AP983,AQ982+AP983)</f>
      </c>
      <c r="AR983" s="217">
        <f>+MAX($AM$2-SUMIF($W$7:$W$1066,W983,$AN$7:$AN$1066),0)</f>
      </c>
      <c r="AS983" s="748">
        <f>+MAX(IF(AQ983&gt;AR983,AR983-AQ982,AP983),0)</f>
      </c>
      <c r="AT983" s="748">
        <f>+AP983-AS983</f>
      </c>
      <c r="AU983" s="217">
        <f>+_xlfn.IFNA(VLOOKUP(AJ983,$AF$7:$AI$1066,4,0),0)</f>
      </c>
      <c r="AV983" s="217">
        <f>+IF(W983&gt;W982,AU983,AV982+AU983)</f>
      </c>
      <c r="AW983" s="217">
        <f>+MAX($AM$2-SUMIF($W$7:$W$1066,W983,$AN$7:$AN$1066)-SUMIF($W$7:$W$1066,W983,$AS$7:$AS$1066),0)</f>
      </c>
      <c r="AX983" s="748">
        <f>+MAX(IF(AV983&gt;AW983,AW983-AV982,AU983),0)</f>
      </c>
      <c r="AY983" s="748">
        <f>+AU983-AX983</f>
      </c>
      <c r="AZ983" s="331">
        <f>+$AM$1+IF($AP$1&gt;$AP$2,$AM$3/2)</f>
      </c>
    </row>
    <row x14ac:dyDescent="0.25" r="984" customHeight="1" ht="18.75">
      <c r="A984" s="1"/>
      <c r="B984" s="7"/>
      <c r="C984" s="170"/>
      <c r="D984" s="331">
        <v>977</v>
      </c>
      <c r="E984" s="544">
        <f>+DATE(YEAR(E983),MONTH(E983)-1,DAY(E983))</f>
        <v>25569.041666666668</v>
      </c>
      <c r="F984" s="333">
        <f>IF(DATE(YEAR($B$6),MONTH($B$6)+1,DAY(1))=E984,1,IF(MONTH(E984)=1,F985*(1+$F$5),F985))</f>
      </c>
      <c r="G984" s="333">
        <f>IF('Simulador - 1º Pilar'!$E$99="Sí",IF('Aportaciones PPE'!$B$13&lt;'Aportaciones PPE'!E984,0,F984*$B$8/12),F984*$B$8/12)</f>
      </c>
      <c r="H984" s="333">
        <f>$H$5*G984</f>
      </c>
      <c r="I984" s="333">
        <f>$I$5*G984</f>
      </c>
      <c r="J984" s="333">
        <f>+I984</f>
      </c>
      <c r="K984" s="333">
        <f>(1+$O$5)^(D984/12)*(H984+IF(AND(F984=1,F985=0),$S$4,0))</f>
      </c>
      <c r="L984" s="333">
        <f>(1+$O$5)^(D984/12)*(I984+IF(AND(F984=1,F985=0),0))</f>
      </c>
      <c r="M984" s="333">
        <f>+L984</f>
      </c>
      <c r="N984" s="333">
        <f>L984+K984+M984</f>
      </c>
      <c r="O984" s="170"/>
      <c r="P984" s="7"/>
      <c r="Q984" s="1"/>
      <c r="R984" s="331">
        <f>D984</f>
      </c>
      <c r="S984" s="169"/>
      <c r="T984" s="1"/>
      <c r="U984" s="217"/>
      <c r="V984" s="331">
        <f>+IF(V983=11,12,IF(V983=12,1,V983+1))</f>
      </c>
      <c r="W984" s="331">
        <f>+W983+IF(V983=12,1,0)</f>
      </c>
      <c r="X984" s="555">
        <f>+DATE(W984,V984,1)</f>
        <v>25569.041666666668</v>
      </c>
      <c r="Y984" s="333">
        <f>+_xlfn.IFNA(AN984+AS984+AX984,0)</f>
      </c>
      <c r="Z984" s="333">
        <f>+_xlfn.IFNA(AO984+AT984+AY984,0)</f>
      </c>
      <c r="AA984" s="333">
        <f>Y984*(1+$O$5)^(($B$7-X984)/365.25)</f>
      </c>
      <c r="AB984" s="333">
        <f>Z984*(1+$O$5)^(($B$7-X984)/365.25)</f>
      </c>
      <c r="AC984" s="1"/>
      <c r="AD984" s="1"/>
      <c r="AE984" s="1"/>
      <c r="AF984" s="111">
        <f>+MONTH(E984)&amp;YEAR(E984)</f>
      </c>
      <c r="AG984" s="217">
        <f>+I984</f>
      </c>
      <c r="AH984" s="217">
        <f>+J984</f>
      </c>
      <c r="AI984" s="217">
        <f>+H984</f>
      </c>
      <c r="AJ984" s="111">
        <f>+V984&amp;W984</f>
      </c>
      <c r="AK984" s="217">
        <f>+_xlfn.IFNA(VLOOKUP(AJ984,$AF$7:$AG$1066,2,0),0)</f>
      </c>
      <c r="AL984" s="217">
        <f>+IF(W984&gt;W983,AK984,AL983+AK984)</f>
      </c>
      <c r="AM984" s="217">
        <f>IF(W984&gt;W983,IF(AL984&gt;=$AZ$8,$AZ$8,AL984),IF(OR(AM983=$AZ$8,AM983=0),0,IF(AL984&gt;=$AZ$8,$AZ$8,AL984)))</f>
      </c>
      <c r="AN984" s="748">
        <f>+IF(OR(AM984&gt;AZ983,AM984=0),0,IF(AM984=AL984,AK984,$AZ$7-AL983))</f>
      </c>
      <c r="AO984" s="748">
        <f>+AK984-AN984</f>
      </c>
      <c r="AP984" s="217">
        <f>+_xlfn.IFNA(VLOOKUP(AJ984,$AF$7:$AI$1066,3,0),0)</f>
      </c>
      <c r="AQ984" s="217">
        <f>+IF(W984&gt;W983,AP984,AQ983+AP984)</f>
      </c>
      <c r="AR984" s="217">
        <f>+MAX($AM$2-SUMIF($W$7:$W$1066,W984,$AN$7:$AN$1066),0)</f>
      </c>
      <c r="AS984" s="748">
        <f>+MAX(IF(AQ984&gt;AR984,AR984-AQ983,AP984),0)</f>
      </c>
      <c r="AT984" s="748">
        <f>+AP984-AS984</f>
      </c>
      <c r="AU984" s="217">
        <f>+_xlfn.IFNA(VLOOKUP(AJ984,$AF$7:$AI$1066,4,0),0)</f>
      </c>
      <c r="AV984" s="217">
        <f>+IF(W984&gt;W983,AU984,AV983+AU984)</f>
      </c>
      <c r="AW984" s="217">
        <f>+MAX($AM$2-SUMIF($W$7:$W$1066,W984,$AN$7:$AN$1066)-SUMIF($W$7:$W$1066,W984,$AS$7:$AS$1066),0)</f>
      </c>
      <c r="AX984" s="748">
        <f>+MAX(IF(AV984&gt;AW984,AW984-AV983,AU984),0)</f>
      </c>
      <c r="AY984" s="748">
        <f>+AU984-AX984</f>
      </c>
      <c r="AZ984" s="331">
        <f>+$AM$1+IF($AP$1&gt;$AP$2,$AM$3/2)</f>
      </c>
    </row>
    <row x14ac:dyDescent="0.25" r="985" customHeight="1" ht="18.75">
      <c r="A985" s="1"/>
      <c r="B985" s="7"/>
      <c r="C985" s="170"/>
      <c r="D985" s="331">
        <v>978</v>
      </c>
      <c r="E985" s="544">
        <f>+DATE(YEAR(E984),MONTH(E984)-1,DAY(E984))</f>
        <v>25569.041666666668</v>
      </c>
      <c r="F985" s="333">
        <f>IF(DATE(YEAR($B$6),MONTH($B$6)+1,DAY(1))=E985,1,IF(MONTH(E985)=1,F986*(1+$F$5),F986))</f>
      </c>
      <c r="G985" s="333">
        <f>IF('Simulador - 1º Pilar'!$E$99="Sí",IF('Aportaciones PPE'!$B$13&lt;'Aportaciones PPE'!E985,0,F985*$B$8/12),F985*$B$8/12)</f>
      </c>
      <c r="H985" s="333">
        <f>$H$5*G985</f>
      </c>
      <c r="I985" s="333">
        <f>$I$5*G985</f>
      </c>
      <c r="J985" s="333">
        <f>+I985</f>
      </c>
      <c r="K985" s="333">
        <f>(1+$O$5)^(D985/12)*(H985+IF(AND(F985=1,F986=0),$S$4,0))</f>
      </c>
      <c r="L985" s="333">
        <f>(1+$O$5)^(D985/12)*(I985+IF(AND(F985=1,F986=0),0))</f>
      </c>
      <c r="M985" s="333">
        <f>+L985</f>
      </c>
      <c r="N985" s="333">
        <f>L985+K985+M985</f>
      </c>
      <c r="O985" s="170"/>
      <c r="P985" s="7"/>
      <c r="Q985" s="1"/>
      <c r="R985" s="331">
        <f>D985</f>
      </c>
      <c r="S985" s="169"/>
      <c r="T985" s="1"/>
      <c r="U985" s="217"/>
      <c r="V985" s="331">
        <f>+IF(V984=11,12,IF(V984=12,1,V984+1))</f>
      </c>
      <c r="W985" s="331">
        <f>+W984+IF(V984=12,1,0)</f>
      </c>
      <c r="X985" s="555">
        <f>+DATE(W985,V985,1)</f>
        <v>25569.041666666668</v>
      </c>
      <c r="Y985" s="333">
        <f>+_xlfn.IFNA(AN985+AS985+AX985,0)</f>
      </c>
      <c r="Z985" s="333">
        <f>+_xlfn.IFNA(AO985+AT985+AY985,0)</f>
      </c>
      <c r="AA985" s="333">
        <f>Y985*(1+$O$5)^(($B$7-X985)/365.25)</f>
      </c>
      <c r="AB985" s="333">
        <f>Z985*(1+$O$5)^(($B$7-X985)/365.25)</f>
      </c>
      <c r="AC985" s="1"/>
      <c r="AD985" s="1"/>
      <c r="AE985" s="1"/>
      <c r="AF985" s="111">
        <f>+MONTH(E985)&amp;YEAR(E985)</f>
      </c>
      <c r="AG985" s="217">
        <f>+I985</f>
      </c>
      <c r="AH985" s="217">
        <f>+J985</f>
      </c>
      <c r="AI985" s="217">
        <f>+H985</f>
      </c>
      <c r="AJ985" s="111">
        <f>+V985&amp;W985</f>
      </c>
      <c r="AK985" s="217">
        <f>+_xlfn.IFNA(VLOOKUP(AJ985,$AF$7:$AG$1066,2,0),0)</f>
      </c>
      <c r="AL985" s="217">
        <f>+IF(W985&gt;W984,AK985,AL984+AK985)</f>
      </c>
      <c r="AM985" s="217">
        <f>IF(W985&gt;W984,IF(AL985&gt;=$AZ$8,$AZ$8,AL985),IF(OR(AM984=$AZ$8,AM984=0),0,IF(AL985&gt;=$AZ$8,$AZ$8,AL985)))</f>
      </c>
      <c r="AN985" s="748">
        <f>+IF(OR(AM985&gt;AZ984,AM985=0),0,IF(AM985=AL985,AK985,$AZ$7-AL984))</f>
      </c>
      <c r="AO985" s="748">
        <f>+AK985-AN985</f>
      </c>
      <c r="AP985" s="217">
        <f>+_xlfn.IFNA(VLOOKUP(AJ985,$AF$7:$AI$1066,3,0),0)</f>
      </c>
      <c r="AQ985" s="217">
        <f>+IF(W985&gt;W984,AP985,AQ984+AP985)</f>
      </c>
      <c r="AR985" s="217">
        <f>+MAX($AM$2-SUMIF($W$7:$W$1066,W985,$AN$7:$AN$1066),0)</f>
      </c>
      <c r="AS985" s="748">
        <f>+MAX(IF(AQ985&gt;AR985,AR985-AQ984,AP985),0)</f>
      </c>
      <c r="AT985" s="748">
        <f>+AP985-AS985</f>
      </c>
      <c r="AU985" s="217">
        <f>+_xlfn.IFNA(VLOOKUP(AJ985,$AF$7:$AI$1066,4,0),0)</f>
      </c>
      <c r="AV985" s="217">
        <f>+IF(W985&gt;W984,AU985,AV984+AU985)</f>
      </c>
      <c r="AW985" s="217">
        <f>+MAX($AM$2-SUMIF($W$7:$W$1066,W985,$AN$7:$AN$1066)-SUMIF($W$7:$W$1066,W985,$AS$7:$AS$1066),0)</f>
      </c>
      <c r="AX985" s="748">
        <f>+MAX(IF(AV985&gt;AW985,AW985-AV984,AU985),0)</f>
      </c>
      <c r="AY985" s="748">
        <f>+AU985-AX985</f>
      </c>
      <c r="AZ985" s="331">
        <f>+$AM$1+IF($AP$1&gt;$AP$2,$AM$3/2)</f>
      </c>
    </row>
    <row x14ac:dyDescent="0.25" r="986" customHeight="1" ht="18.75">
      <c r="A986" s="1"/>
      <c r="B986" s="7"/>
      <c r="C986" s="170"/>
      <c r="D986" s="331">
        <v>979</v>
      </c>
      <c r="E986" s="544">
        <f>+DATE(YEAR(E985),MONTH(E985)-1,DAY(E985))</f>
        <v>25569.041666666668</v>
      </c>
      <c r="F986" s="333">
        <f>IF(DATE(YEAR($B$6),MONTH($B$6)+1,DAY(1))=E986,1,IF(MONTH(E986)=1,F987*(1+$F$5),F987))</f>
      </c>
      <c r="G986" s="333">
        <f>IF('Simulador - 1º Pilar'!$E$99="Sí",IF('Aportaciones PPE'!$B$13&lt;'Aportaciones PPE'!E986,0,F986*$B$8/12),F986*$B$8/12)</f>
      </c>
      <c r="H986" s="333">
        <f>$H$5*G986</f>
      </c>
      <c r="I986" s="333">
        <f>$I$5*G986</f>
      </c>
      <c r="J986" s="333">
        <f>+I986</f>
      </c>
      <c r="K986" s="333">
        <f>(1+$O$5)^(D986/12)*(H986+IF(AND(F986=1,F987=0),$S$4,0))</f>
      </c>
      <c r="L986" s="333">
        <f>(1+$O$5)^(D986/12)*(I986+IF(AND(F986=1,F987=0),0))</f>
      </c>
      <c r="M986" s="333">
        <f>+L986</f>
      </c>
      <c r="N986" s="333">
        <f>L986+K986+M986</f>
      </c>
      <c r="O986" s="170"/>
      <c r="P986" s="7"/>
      <c r="Q986" s="1"/>
      <c r="R986" s="331">
        <f>D986</f>
      </c>
      <c r="S986" s="169"/>
      <c r="T986" s="1"/>
      <c r="U986" s="217"/>
      <c r="V986" s="331">
        <f>+IF(V985=11,12,IF(V985=12,1,V985+1))</f>
      </c>
      <c r="W986" s="331">
        <f>+W985+IF(V985=12,1,0)</f>
      </c>
      <c r="X986" s="555">
        <f>+DATE(W986,V986,1)</f>
        <v>25569.041666666668</v>
      </c>
      <c r="Y986" s="333">
        <f>+_xlfn.IFNA(AN986+AS986+AX986,0)</f>
      </c>
      <c r="Z986" s="333">
        <f>+_xlfn.IFNA(AO986+AT986+AY986,0)</f>
      </c>
      <c r="AA986" s="333">
        <f>Y986*(1+$O$5)^(($B$7-X986)/365.25)</f>
      </c>
      <c r="AB986" s="333">
        <f>Z986*(1+$O$5)^(($B$7-X986)/365.25)</f>
      </c>
      <c r="AC986" s="1"/>
      <c r="AD986" s="1"/>
      <c r="AE986" s="1"/>
      <c r="AF986" s="111">
        <f>+MONTH(E986)&amp;YEAR(E986)</f>
      </c>
      <c r="AG986" s="217">
        <f>+I986</f>
      </c>
      <c r="AH986" s="217">
        <f>+J986</f>
      </c>
      <c r="AI986" s="217">
        <f>+H986</f>
      </c>
      <c r="AJ986" s="111">
        <f>+V986&amp;W986</f>
      </c>
      <c r="AK986" s="217">
        <f>+_xlfn.IFNA(VLOOKUP(AJ986,$AF$7:$AG$1066,2,0),0)</f>
      </c>
      <c r="AL986" s="217">
        <f>+IF(W986&gt;W985,AK986,AL985+AK986)</f>
      </c>
      <c r="AM986" s="217">
        <f>IF(W986&gt;W985,IF(AL986&gt;=$AZ$8,$AZ$8,AL986),IF(OR(AM985=$AZ$8,AM985=0),0,IF(AL986&gt;=$AZ$8,$AZ$8,AL986)))</f>
      </c>
      <c r="AN986" s="748">
        <f>+IF(OR(AM986&gt;AZ985,AM986=0),0,IF(AM986=AL986,AK986,$AZ$7-AL985))</f>
      </c>
      <c r="AO986" s="748">
        <f>+AK986-AN986</f>
      </c>
      <c r="AP986" s="217">
        <f>+_xlfn.IFNA(VLOOKUP(AJ986,$AF$7:$AI$1066,3,0),0)</f>
      </c>
      <c r="AQ986" s="217">
        <f>+IF(W986&gt;W985,AP986,AQ985+AP986)</f>
      </c>
      <c r="AR986" s="217">
        <f>+MAX($AM$2-SUMIF($W$7:$W$1066,W986,$AN$7:$AN$1066),0)</f>
      </c>
      <c r="AS986" s="748">
        <f>+MAX(IF(AQ986&gt;AR986,AR986-AQ985,AP986),0)</f>
      </c>
      <c r="AT986" s="748">
        <f>+AP986-AS986</f>
      </c>
      <c r="AU986" s="217">
        <f>+_xlfn.IFNA(VLOOKUP(AJ986,$AF$7:$AI$1066,4,0),0)</f>
      </c>
      <c r="AV986" s="217">
        <f>+IF(W986&gt;W985,AU986,AV985+AU986)</f>
      </c>
      <c r="AW986" s="217">
        <f>+MAX($AM$2-SUMIF($W$7:$W$1066,W986,$AN$7:$AN$1066)-SUMIF($W$7:$W$1066,W986,$AS$7:$AS$1066),0)</f>
      </c>
      <c r="AX986" s="748">
        <f>+MAX(IF(AV986&gt;AW986,AW986-AV985,AU986),0)</f>
      </c>
      <c r="AY986" s="748">
        <f>+AU986-AX986</f>
      </c>
      <c r="AZ986" s="331">
        <f>+$AM$1+IF($AP$1&gt;$AP$2,$AM$3/2)</f>
      </c>
    </row>
    <row x14ac:dyDescent="0.25" r="987" customHeight="1" ht="18.75">
      <c r="A987" s="1"/>
      <c r="B987" s="7"/>
      <c r="C987" s="170"/>
      <c r="D987" s="331">
        <v>980</v>
      </c>
      <c r="E987" s="544">
        <f>+DATE(YEAR(E986),MONTH(E986)-1,DAY(E986))</f>
        <v>25569.041666666668</v>
      </c>
      <c r="F987" s="333">
        <f>IF(DATE(YEAR($B$6),MONTH($B$6)+1,DAY(1))=E987,1,IF(MONTH(E987)=1,F988*(1+$F$5),F988))</f>
      </c>
      <c r="G987" s="333">
        <f>IF('Simulador - 1º Pilar'!$E$99="Sí",IF('Aportaciones PPE'!$B$13&lt;'Aportaciones PPE'!E987,0,F987*$B$8/12),F987*$B$8/12)</f>
      </c>
      <c r="H987" s="333">
        <f>$H$5*G987</f>
      </c>
      <c r="I987" s="333">
        <f>$I$5*G987</f>
      </c>
      <c r="J987" s="333">
        <f>+I987</f>
      </c>
      <c r="K987" s="333">
        <f>(1+$O$5)^(D987/12)*(H987+IF(AND(F987=1,F988=0),$S$4,0))</f>
      </c>
      <c r="L987" s="333">
        <f>(1+$O$5)^(D987/12)*(I987+IF(AND(F987=1,F988=0),0))</f>
      </c>
      <c r="M987" s="333">
        <f>+L987</f>
      </c>
      <c r="N987" s="333">
        <f>L987+K987+M987</f>
      </c>
      <c r="O987" s="170"/>
      <c r="P987" s="7"/>
      <c r="Q987" s="1"/>
      <c r="R987" s="331">
        <f>D987</f>
      </c>
      <c r="S987" s="169"/>
      <c r="T987" s="1"/>
      <c r="U987" s="217"/>
      <c r="V987" s="331">
        <f>+IF(V986=11,12,IF(V986=12,1,V986+1))</f>
      </c>
      <c r="W987" s="331">
        <f>+W986+IF(V986=12,1,0)</f>
      </c>
      <c r="X987" s="555">
        <f>+DATE(W987,V987,1)</f>
        <v>25569.041666666668</v>
      </c>
      <c r="Y987" s="333">
        <f>+_xlfn.IFNA(AN987+AS987+AX987,0)</f>
      </c>
      <c r="Z987" s="333">
        <f>+_xlfn.IFNA(AO987+AT987+AY987,0)</f>
      </c>
      <c r="AA987" s="333">
        <f>Y987*(1+$O$5)^(($B$7-X987)/365.25)</f>
      </c>
      <c r="AB987" s="333">
        <f>Z987*(1+$O$5)^(($B$7-X987)/365.25)</f>
      </c>
      <c r="AC987" s="1"/>
      <c r="AD987" s="1"/>
      <c r="AE987" s="1"/>
      <c r="AF987" s="111">
        <f>+MONTH(E987)&amp;YEAR(E987)</f>
      </c>
      <c r="AG987" s="217">
        <f>+I987</f>
      </c>
      <c r="AH987" s="217">
        <f>+J987</f>
      </c>
      <c r="AI987" s="217">
        <f>+H987</f>
      </c>
      <c r="AJ987" s="111">
        <f>+V987&amp;W987</f>
      </c>
      <c r="AK987" s="217">
        <f>+_xlfn.IFNA(VLOOKUP(AJ987,$AF$7:$AG$1066,2,0),0)</f>
      </c>
      <c r="AL987" s="217">
        <f>+IF(W987&gt;W986,AK987,AL986+AK987)</f>
      </c>
      <c r="AM987" s="217">
        <f>IF(W987&gt;W986,IF(AL987&gt;=$AZ$8,$AZ$8,AL987),IF(OR(AM986=$AZ$8,AM986=0),0,IF(AL987&gt;=$AZ$8,$AZ$8,AL987)))</f>
      </c>
      <c r="AN987" s="748">
        <f>+IF(OR(AM987&gt;AZ986,AM987=0),0,IF(AM987=AL987,AK987,$AZ$7-AL986))</f>
      </c>
      <c r="AO987" s="748">
        <f>+AK987-AN987</f>
      </c>
      <c r="AP987" s="217">
        <f>+_xlfn.IFNA(VLOOKUP(AJ987,$AF$7:$AI$1066,3,0),0)</f>
      </c>
      <c r="AQ987" s="217">
        <f>+IF(W987&gt;W986,AP987,AQ986+AP987)</f>
      </c>
      <c r="AR987" s="217">
        <f>+MAX($AM$2-SUMIF($W$7:$W$1066,W987,$AN$7:$AN$1066),0)</f>
      </c>
      <c r="AS987" s="748">
        <f>+MAX(IF(AQ987&gt;AR987,AR987-AQ986,AP987),0)</f>
      </c>
      <c r="AT987" s="748">
        <f>+AP987-AS987</f>
      </c>
      <c r="AU987" s="217">
        <f>+_xlfn.IFNA(VLOOKUP(AJ987,$AF$7:$AI$1066,4,0),0)</f>
      </c>
      <c r="AV987" s="217">
        <f>+IF(W987&gt;W986,AU987,AV986+AU987)</f>
      </c>
      <c r="AW987" s="217">
        <f>+MAX($AM$2-SUMIF($W$7:$W$1066,W987,$AN$7:$AN$1066)-SUMIF($W$7:$W$1066,W987,$AS$7:$AS$1066),0)</f>
      </c>
      <c r="AX987" s="748">
        <f>+MAX(IF(AV987&gt;AW987,AW987-AV986,AU987),0)</f>
      </c>
      <c r="AY987" s="748">
        <f>+AU987-AX987</f>
      </c>
      <c r="AZ987" s="331">
        <f>+$AM$1+IF($AP$1&gt;$AP$2,$AM$3/2)</f>
      </c>
    </row>
    <row x14ac:dyDescent="0.25" r="988" customHeight="1" ht="18.75">
      <c r="A988" s="1"/>
      <c r="B988" s="7"/>
      <c r="C988" s="170"/>
      <c r="D988" s="331">
        <v>981</v>
      </c>
      <c r="E988" s="544">
        <f>+DATE(YEAR(E987),MONTH(E987)-1,DAY(E987))</f>
        <v>25569.041666666668</v>
      </c>
      <c r="F988" s="333">
        <f>IF(DATE(YEAR($B$6),MONTH($B$6)+1,DAY(1))=E988,1,IF(MONTH(E988)=1,F989*(1+$F$5),F989))</f>
      </c>
      <c r="G988" s="333">
        <f>IF('Simulador - 1º Pilar'!$E$99="Sí",IF('Aportaciones PPE'!$B$13&lt;'Aportaciones PPE'!E988,0,F988*$B$8/12),F988*$B$8/12)</f>
      </c>
      <c r="H988" s="333">
        <f>$H$5*G988</f>
      </c>
      <c r="I988" s="333">
        <f>$I$5*G988</f>
      </c>
      <c r="J988" s="333">
        <f>+I988</f>
      </c>
      <c r="K988" s="333">
        <f>(1+$O$5)^(D988/12)*(H988+IF(AND(F988=1,F989=0),$S$4,0))</f>
      </c>
      <c r="L988" s="333">
        <f>(1+$O$5)^(D988/12)*(I988+IF(AND(F988=1,F989=0),0))</f>
      </c>
      <c r="M988" s="333">
        <f>+L988</f>
      </c>
      <c r="N988" s="333">
        <f>L988+K988+M988</f>
      </c>
      <c r="O988" s="170"/>
      <c r="P988" s="7"/>
      <c r="Q988" s="1"/>
      <c r="R988" s="331">
        <f>D988</f>
      </c>
      <c r="S988" s="169"/>
      <c r="T988" s="1"/>
      <c r="U988" s="217"/>
      <c r="V988" s="331">
        <f>+IF(V987=11,12,IF(V987=12,1,V987+1))</f>
      </c>
      <c r="W988" s="331">
        <f>+W987+IF(V987=12,1,0)</f>
      </c>
      <c r="X988" s="555">
        <f>+DATE(W988,V988,1)</f>
        <v>25569.041666666668</v>
      </c>
      <c r="Y988" s="333">
        <f>+_xlfn.IFNA(AN988+AS988+AX988,0)</f>
      </c>
      <c r="Z988" s="333">
        <f>+_xlfn.IFNA(AO988+AT988+AY988,0)</f>
      </c>
      <c r="AA988" s="333">
        <f>Y988*(1+$O$5)^(($B$7-X988)/365.25)</f>
      </c>
      <c r="AB988" s="333">
        <f>Z988*(1+$O$5)^(($B$7-X988)/365.25)</f>
      </c>
      <c r="AC988" s="1"/>
      <c r="AD988" s="1"/>
      <c r="AE988" s="1"/>
      <c r="AF988" s="111">
        <f>+MONTH(E988)&amp;YEAR(E988)</f>
      </c>
      <c r="AG988" s="217">
        <f>+I988</f>
      </c>
      <c r="AH988" s="217">
        <f>+J988</f>
      </c>
      <c r="AI988" s="217">
        <f>+H988</f>
      </c>
      <c r="AJ988" s="111">
        <f>+V988&amp;W988</f>
      </c>
      <c r="AK988" s="217">
        <f>+_xlfn.IFNA(VLOOKUP(AJ988,$AF$7:$AG$1066,2,0),0)</f>
      </c>
      <c r="AL988" s="217">
        <f>+IF(W988&gt;W987,AK988,AL987+AK988)</f>
      </c>
      <c r="AM988" s="217">
        <f>IF(W988&gt;W987,IF(AL988&gt;=$AZ$8,$AZ$8,AL988),IF(OR(AM987=$AZ$8,AM987=0),0,IF(AL988&gt;=$AZ$8,$AZ$8,AL988)))</f>
      </c>
      <c r="AN988" s="748">
        <f>+IF(OR(AM988&gt;AZ987,AM988=0),0,IF(AM988=AL988,AK988,$AZ$7-AL987))</f>
      </c>
      <c r="AO988" s="748">
        <f>+AK988-AN988</f>
      </c>
      <c r="AP988" s="217">
        <f>+_xlfn.IFNA(VLOOKUP(AJ988,$AF$7:$AI$1066,3,0),0)</f>
      </c>
      <c r="AQ988" s="217">
        <f>+IF(W988&gt;W987,AP988,AQ987+AP988)</f>
      </c>
      <c r="AR988" s="217">
        <f>+MAX($AM$2-SUMIF($W$7:$W$1066,W988,$AN$7:$AN$1066),0)</f>
      </c>
      <c r="AS988" s="748">
        <f>+MAX(IF(AQ988&gt;AR988,AR988-AQ987,AP988),0)</f>
      </c>
      <c r="AT988" s="748">
        <f>+AP988-AS988</f>
      </c>
      <c r="AU988" s="217">
        <f>+_xlfn.IFNA(VLOOKUP(AJ988,$AF$7:$AI$1066,4,0),0)</f>
      </c>
      <c r="AV988" s="217">
        <f>+IF(W988&gt;W987,AU988,AV987+AU988)</f>
      </c>
      <c r="AW988" s="217">
        <f>+MAX($AM$2-SUMIF($W$7:$W$1066,W988,$AN$7:$AN$1066)-SUMIF($W$7:$W$1066,W988,$AS$7:$AS$1066),0)</f>
      </c>
      <c r="AX988" s="748">
        <f>+MAX(IF(AV988&gt;AW988,AW988-AV987,AU988),0)</f>
      </c>
      <c r="AY988" s="748">
        <f>+AU988-AX988</f>
      </c>
      <c r="AZ988" s="331">
        <f>+$AM$1+IF($AP$1&gt;$AP$2,$AM$3/2)</f>
      </c>
    </row>
    <row x14ac:dyDescent="0.25" r="989" customHeight="1" ht="18.75">
      <c r="A989" s="1"/>
      <c r="B989" s="7"/>
      <c r="C989" s="170"/>
      <c r="D989" s="331">
        <v>982</v>
      </c>
      <c r="E989" s="544">
        <f>+DATE(YEAR(E988),MONTH(E988)-1,DAY(E988))</f>
        <v>25569.041666666668</v>
      </c>
      <c r="F989" s="333">
        <f>IF(DATE(YEAR($B$6),MONTH($B$6)+1,DAY(1))=E989,1,IF(MONTH(E989)=1,F990*(1+$F$5),F990))</f>
      </c>
      <c r="G989" s="333">
        <f>IF('Simulador - 1º Pilar'!$E$99="Sí",IF('Aportaciones PPE'!$B$13&lt;'Aportaciones PPE'!E989,0,F989*$B$8/12),F989*$B$8/12)</f>
      </c>
      <c r="H989" s="333">
        <f>$H$5*G989</f>
      </c>
      <c r="I989" s="333">
        <f>$I$5*G989</f>
      </c>
      <c r="J989" s="333">
        <f>+I989</f>
      </c>
      <c r="K989" s="333">
        <f>(1+$O$5)^(D989/12)*(H989+IF(AND(F989=1,F990=0),$S$4,0))</f>
      </c>
      <c r="L989" s="333">
        <f>(1+$O$5)^(D989/12)*(I989+IF(AND(F989=1,F990=0),0))</f>
      </c>
      <c r="M989" s="333">
        <f>+L989</f>
      </c>
      <c r="N989" s="333">
        <f>L989+K989+M989</f>
      </c>
      <c r="O989" s="170"/>
      <c r="P989" s="7"/>
      <c r="Q989" s="1"/>
      <c r="R989" s="331">
        <f>D989</f>
      </c>
      <c r="S989" s="169"/>
      <c r="T989" s="1"/>
      <c r="U989" s="217"/>
      <c r="V989" s="331">
        <f>+IF(V988=11,12,IF(V988=12,1,V988+1))</f>
      </c>
      <c r="W989" s="331">
        <f>+W988+IF(V988=12,1,0)</f>
      </c>
      <c r="X989" s="555">
        <f>+DATE(W989,V989,1)</f>
        <v>25569.041666666668</v>
      </c>
      <c r="Y989" s="333">
        <f>+_xlfn.IFNA(AN989+AS989+AX989,0)</f>
      </c>
      <c r="Z989" s="333">
        <f>+_xlfn.IFNA(AO989+AT989+AY989,0)</f>
      </c>
      <c r="AA989" s="333">
        <f>Y989*(1+$O$5)^(($B$7-X989)/365.25)</f>
      </c>
      <c r="AB989" s="333">
        <f>Z989*(1+$O$5)^(($B$7-X989)/365.25)</f>
      </c>
      <c r="AC989" s="1"/>
      <c r="AD989" s="1"/>
      <c r="AE989" s="1"/>
      <c r="AF989" s="111">
        <f>+MONTH(E989)&amp;YEAR(E989)</f>
      </c>
      <c r="AG989" s="217">
        <f>+I989</f>
      </c>
      <c r="AH989" s="217">
        <f>+J989</f>
      </c>
      <c r="AI989" s="217">
        <f>+H989</f>
      </c>
      <c r="AJ989" s="111">
        <f>+V989&amp;W989</f>
      </c>
      <c r="AK989" s="217">
        <f>+_xlfn.IFNA(VLOOKUP(AJ989,$AF$7:$AG$1066,2,0),0)</f>
      </c>
      <c r="AL989" s="217">
        <f>+IF(W989&gt;W988,AK989,AL988+AK989)</f>
      </c>
      <c r="AM989" s="217">
        <f>IF(W989&gt;W988,IF(AL989&gt;=$AZ$8,$AZ$8,AL989),IF(OR(AM988=$AZ$8,AM988=0),0,IF(AL989&gt;=$AZ$8,$AZ$8,AL989)))</f>
      </c>
      <c r="AN989" s="748">
        <f>+IF(OR(AM989&gt;AZ988,AM989=0),0,IF(AM989=AL989,AK989,$AZ$7-AL988))</f>
      </c>
      <c r="AO989" s="748">
        <f>+AK989-AN989</f>
      </c>
      <c r="AP989" s="217">
        <f>+_xlfn.IFNA(VLOOKUP(AJ989,$AF$7:$AI$1066,3,0),0)</f>
      </c>
      <c r="AQ989" s="217">
        <f>+IF(W989&gt;W988,AP989,AQ988+AP989)</f>
      </c>
      <c r="AR989" s="217">
        <f>+MAX($AM$2-SUMIF($W$7:$W$1066,W989,$AN$7:$AN$1066),0)</f>
      </c>
      <c r="AS989" s="748">
        <f>+MAX(IF(AQ989&gt;AR989,AR989-AQ988,AP989),0)</f>
      </c>
      <c r="AT989" s="748">
        <f>+AP989-AS989</f>
      </c>
      <c r="AU989" s="217">
        <f>+_xlfn.IFNA(VLOOKUP(AJ989,$AF$7:$AI$1066,4,0),0)</f>
      </c>
      <c r="AV989" s="217">
        <f>+IF(W989&gt;W988,AU989,AV988+AU989)</f>
      </c>
      <c r="AW989" s="217">
        <f>+MAX($AM$2-SUMIF($W$7:$W$1066,W989,$AN$7:$AN$1066)-SUMIF($W$7:$W$1066,W989,$AS$7:$AS$1066),0)</f>
      </c>
      <c r="AX989" s="748">
        <f>+MAX(IF(AV989&gt;AW989,AW989-AV988,AU989),0)</f>
      </c>
      <c r="AY989" s="748">
        <f>+AU989-AX989</f>
      </c>
      <c r="AZ989" s="331">
        <f>+$AM$1+IF($AP$1&gt;$AP$2,$AM$3/2)</f>
      </c>
    </row>
    <row x14ac:dyDescent="0.25" r="990" customHeight="1" ht="18.75">
      <c r="A990" s="1"/>
      <c r="B990" s="7"/>
      <c r="C990" s="170"/>
      <c r="D990" s="331">
        <v>983</v>
      </c>
      <c r="E990" s="544">
        <f>+DATE(YEAR(E989),MONTH(E989)-1,DAY(E989))</f>
        <v>25569.041666666668</v>
      </c>
      <c r="F990" s="333">
        <f>IF(DATE(YEAR($B$6),MONTH($B$6)+1,DAY(1))=E990,1,IF(MONTH(E990)=1,F991*(1+$F$5),F991))</f>
      </c>
      <c r="G990" s="333">
        <f>IF('Simulador - 1º Pilar'!$E$99="Sí",IF('Aportaciones PPE'!$B$13&lt;'Aportaciones PPE'!E990,0,F990*$B$8/12),F990*$B$8/12)</f>
      </c>
      <c r="H990" s="333">
        <f>$H$5*G990</f>
      </c>
      <c r="I990" s="333">
        <f>$I$5*G990</f>
      </c>
      <c r="J990" s="333">
        <f>+I990</f>
      </c>
      <c r="K990" s="333">
        <f>(1+$O$5)^(D990/12)*(H990+IF(AND(F990=1,F991=0),$S$4,0))</f>
      </c>
      <c r="L990" s="333">
        <f>(1+$O$5)^(D990/12)*(I990+IF(AND(F990=1,F991=0),0))</f>
      </c>
      <c r="M990" s="333">
        <f>+L990</f>
      </c>
      <c r="N990" s="333">
        <f>L990+K990+M990</f>
      </c>
      <c r="O990" s="170"/>
      <c r="P990" s="7"/>
      <c r="Q990" s="1"/>
      <c r="R990" s="331">
        <f>D990</f>
      </c>
      <c r="S990" s="169"/>
      <c r="T990" s="1"/>
      <c r="U990" s="217"/>
      <c r="V990" s="331">
        <f>+IF(V989=11,12,IF(V989=12,1,V989+1))</f>
      </c>
      <c r="W990" s="331">
        <f>+W989+IF(V989=12,1,0)</f>
      </c>
      <c r="X990" s="555">
        <f>+DATE(W990,V990,1)</f>
        <v>25569.041666666668</v>
      </c>
      <c r="Y990" s="333">
        <f>+_xlfn.IFNA(AN990+AS990+AX990,0)</f>
      </c>
      <c r="Z990" s="333">
        <f>+_xlfn.IFNA(AO990+AT990+AY990,0)</f>
      </c>
      <c r="AA990" s="333">
        <f>Y990*(1+$O$5)^(($B$7-X990)/365.25)</f>
      </c>
      <c r="AB990" s="333">
        <f>Z990*(1+$O$5)^(($B$7-X990)/365.25)</f>
      </c>
      <c r="AC990" s="1"/>
      <c r="AD990" s="1"/>
      <c r="AE990" s="1"/>
      <c r="AF990" s="111">
        <f>+MONTH(E990)&amp;YEAR(E990)</f>
      </c>
      <c r="AG990" s="217">
        <f>+I990</f>
      </c>
      <c r="AH990" s="217">
        <f>+J990</f>
      </c>
      <c r="AI990" s="217">
        <f>+H990</f>
      </c>
      <c r="AJ990" s="111">
        <f>+V990&amp;W990</f>
      </c>
      <c r="AK990" s="217">
        <f>+_xlfn.IFNA(VLOOKUP(AJ990,$AF$7:$AG$1066,2,0),0)</f>
      </c>
      <c r="AL990" s="217">
        <f>+IF(W990&gt;W989,AK990,AL989+AK990)</f>
      </c>
      <c r="AM990" s="217">
        <f>IF(W990&gt;W989,IF(AL990&gt;=$AZ$8,$AZ$8,AL990),IF(OR(AM989=$AZ$8,AM989=0),0,IF(AL990&gt;=$AZ$8,$AZ$8,AL990)))</f>
      </c>
      <c r="AN990" s="748">
        <f>+IF(OR(AM990&gt;AZ989,AM990=0),0,IF(AM990=AL990,AK990,$AZ$7-AL989))</f>
      </c>
      <c r="AO990" s="748">
        <f>+AK990-AN990</f>
      </c>
      <c r="AP990" s="217">
        <f>+_xlfn.IFNA(VLOOKUP(AJ990,$AF$7:$AI$1066,3,0),0)</f>
      </c>
      <c r="AQ990" s="217">
        <f>+IF(W990&gt;W989,AP990,AQ989+AP990)</f>
      </c>
      <c r="AR990" s="217">
        <f>+MAX($AM$2-SUMIF($W$7:$W$1066,W990,$AN$7:$AN$1066),0)</f>
      </c>
      <c r="AS990" s="748">
        <f>+MAX(IF(AQ990&gt;AR990,AR990-AQ989,AP990),0)</f>
      </c>
      <c r="AT990" s="748">
        <f>+AP990-AS990</f>
      </c>
      <c r="AU990" s="217">
        <f>+_xlfn.IFNA(VLOOKUP(AJ990,$AF$7:$AI$1066,4,0),0)</f>
      </c>
      <c r="AV990" s="217">
        <f>+IF(W990&gt;W989,AU990,AV989+AU990)</f>
      </c>
      <c r="AW990" s="217">
        <f>+MAX($AM$2-SUMIF($W$7:$W$1066,W990,$AN$7:$AN$1066)-SUMIF($W$7:$W$1066,W990,$AS$7:$AS$1066),0)</f>
      </c>
      <c r="AX990" s="748">
        <f>+MAX(IF(AV990&gt;AW990,AW990-AV989,AU990),0)</f>
      </c>
      <c r="AY990" s="748">
        <f>+AU990-AX990</f>
      </c>
      <c r="AZ990" s="331">
        <f>+$AM$1+IF($AP$1&gt;$AP$2,$AM$3/2)</f>
      </c>
    </row>
    <row x14ac:dyDescent="0.25" r="991" customHeight="1" ht="18.75">
      <c r="A991" s="1"/>
      <c r="B991" s="7"/>
      <c r="C991" s="170"/>
      <c r="D991" s="331">
        <v>984</v>
      </c>
      <c r="E991" s="544">
        <f>+DATE(YEAR(E990),MONTH(E990)-1,DAY(E990))</f>
        <v>25569.041666666668</v>
      </c>
      <c r="F991" s="333">
        <f>IF(DATE(YEAR($B$6),MONTH($B$6)+1,DAY(1))=E991,1,IF(MONTH(E991)=1,F992*(1+$F$5),F992))</f>
      </c>
      <c r="G991" s="333">
        <f>IF('Simulador - 1º Pilar'!$E$99="Sí",IF('Aportaciones PPE'!$B$13&lt;'Aportaciones PPE'!E991,0,F991*$B$8/12),F991*$B$8/12)</f>
      </c>
      <c r="H991" s="333">
        <f>$H$5*G991</f>
      </c>
      <c r="I991" s="333">
        <f>$I$5*G991</f>
      </c>
      <c r="J991" s="333">
        <f>+I991</f>
      </c>
      <c r="K991" s="333">
        <f>(1+$O$5)^(D991/12)*(H991+IF(AND(F991=1,F992=0),$S$4,0))</f>
      </c>
      <c r="L991" s="333">
        <f>(1+$O$5)^(D991/12)*(I991+IF(AND(F991=1,F992=0),0))</f>
      </c>
      <c r="M991" s="333">
        <f>+L991</f>
      </c>
      <c r="N991" s="333">
        <f>L991+K991+M991</f>
      </c>
      <c r="O991" s="170"/>
      <c r="P991" s="7"/>
      <c r="Q991" s="1"/>
      <c r="R991" s="331">
        <f>D991</f>
      </c>
      <c r="S991" s="169"/>
      <c r="T991" s="1"/>
      <c r="U991" s="217"/>
      <c r="V991" s="331">
        <f>+IF(V990=11,12,IF(V990=12,1,V990+1))</f>
      </c>
      <c r="W991" s="331">
        <f>+W990+IF(V990=12,1,0)</f>
      </c>
      <c r="X991" s="555">
        <f>+DATE(W991,V991,1)</f>
        <v>25569.041666666668</v>
      </c>
      <c r="Y991" s="333">
        <f>+_xlfn.IFNA(AN991+AS991+AX991,0)</f>
      </c>
      <c r="Z991" s="333">
        <f>+_xlfn.IFNA(AO991+AT991+AY991,0)</f>
      </c>
      <c r="AA991" s="333">
        <f>Y991*(1+$O$5)^(($B$7-X991)/365.25)</f>
      </c>
      <c r="AB991" s="333">
        <f>Z991*(1+$O$5)^(($B$7-X991)/365.25)</f>
      </c>
      <c r="AC991" s="1"/>
      <c r="AD991" s="1"/>
      <c r="AE991" s="1"/>
      <c r="AF991" s="111">
        <f>+MONTH(E991)&amp;YEAR(E991)</f>
      </c>
      <c r="AG991" s="217">
        <f>+I991</f>
      </c>
      <c r="AH991" s="217">
        <f>+J991</f>
      </c>
      <c r="AI991" s="217">
        <f>+H991</f>
      </c>
      <c r="AJ991" s="111">
        <f>+V991&amp;W991</f>
      </c>
      <c r="AK991" s="217">
        <f>+_xlfn.IFNA(VLOOKUP(AJ991,$AF$7:$AG$1066,2,0),0)</f>
      </c>
      <c r="AL991" s="217">
        <f>+IF(W991&gt;W990,AK991,AL990+AK991)</f>
      </c>
      <c r="AM991" s="217">
        <f>IF(W991&gt;W990,IF(AL991&gt;=$AZ$8,$AZ$8,AL991),IF(OR(AM990=$AZ$8,AM990=0),0,IF(AL991&gt;=$AZ$8,$AZ$8,AL991)))</f>
      </c>
      <c r="AN991" s="748">
        <f>+IF(OR(AM991&gt;AZ990,AM991=0),0,IF(AM991=AL991,AK991,$AZ$7-AL990))</f>
      </c>
      <c r="AO991" s="748">
        <f>+AK991-AN991</f>
      </c>
      <c r="AP991" s="217">
        <f>+_xlfn.IFNA(VLOOKUP(AJ991,$AF$7:$AI$1066,3,0),0)</f>
      </c>
      <c r="AQ991" s="217">
        <f>+IF(W991&gt;W990,AP991,AQ990+AP991)</f>
      </c>
      <c r="AR991" s="217">
        <f>+MAX($AM$2-SUMIF($W$7:$W$1066,W991,$AN$7:$AN$1066),0)</f>
      </c>
      <c r="AS991" s="748">
        <f>+MAX(IF(AQ991&gt;AR991,AR991-AQ990,AP991),0)</f>
      </c>
      <c r="AT991" s="748">
        <f>+AP991-AS991</f>
      </c>
      <c r="AU991" s="217">
        <f>+_xlfn.IFNA(VLOOKUP(AJ991,$AF$7:$AI$1066,4,0),0)</f>
      </c>
      <c r="AV991" s="217">
        <f>+IF(W991&gt;W990,AU991,AV990+AU991)</f>
      </c>
      <c r="AW991" s="217">
        <f>+MAX($AM$2-SUMIF($W$7:$W$1066,W991,$AN$7:$AN$1066)-SUMIF($W$7:$W$1066,W991,$AS$7:$AS$1066),0)</f>
      </c>
      <c r="AX991" s="748">
        <f>+MAX(IF(AV991&gt;AW991,AW991-AV990,AU991),0)</f>
      </c>
      <c r="AY991" s="748">
        <f>+AU991-AX991</f>
      </c>
      <c r="AZ991" s="331">
        <f>+$AM$1+IF($AP$1&gt;$AP$2,$AM$3/2)</f>
      </c>
    </row>
    <row x14ac:dyDescent="0.25" r="992" customHeight="1" ht="18.75">
      <c r="A992" s="1"/>
      <c r="B992" s="7"/>
      <c r="C992" s="170"/>
      <c r="D992" s="331">
        <v>985</v>
      </c>
      <c r="E992" s="544">
        <f>+DATE(YEAR(E991),MONTH(E991)-1,DAY(E991))</f>
        <v>25569.041666666668</v>
      </c>
      <c r="F992" s="333">
        <f>IF(DATE(YEAR($B$6),MONTH($B$6)+1,DAY(1))=E992,1,IF(MONTH(E992)=1,F993*(1+$F$5),F993))</f>
      </c>
      <c r="G992" s="333">
        <f>IF('Simulador - 1º Pilar'!$E$99="Sí",IF('Aportaciones PPE'!$B$13&lt;'Aportaciones PPE'!E992,0,F992*$B$8/12),F992*$B$8/12)</f>
      </c>
      <c r="H992" s="333">
        <f>$H$5*G992</f>
      </c>
      <c r="I992" s="333">
        <f>$I$5*G992</f>
      </c>
      <c r="J992" s="333">
        <f>+I992</f>
      </c>
      <c r="K992" s="333">
        <f>(1+$O$5)^(D992/12)*(H992+IF(AND(F992=1,F993=0),$S$4,0))</f>
      </c>
      <c r="L992" s="333">
        <f>(1+$O$5)^(D992/12)*(I992+IF(AND(F992=1,F993=0),0))</f>
      </c>
      <c r="M992" s="333">
        <f>+L992</f>
      </c>
      <c r="N992" s="333">
        <f>L992+K992+M992</f>
      </c>
      <c r="O992" s="170"/>
      <c r="P992" s="7"/>
      <c r="Q992" s="1"/>
      <c r="R992" s="331">
        <f>D992</f>
      </c>
      <c r="S992" s="169"/>
      <c r="T992" s="1"/>
      <c r="U992" s="217"/>
      <c r="V992" s="331">
        <f>+IF(V991=11,12,IF(V991=12,1,V991+1))</f>
      </c>
      <c r="W992" s="331">
        <f>+W991+IF(V991=12,1,0)</f>
      </c>
      <c r="X992" s="555">
        <f>+DATE(W992,V992,1)</f>
        <v>25569.041666666668</v>
      </c>
      <c r="Y992" s="333">
        <f>+_xlfn.IFNA(AN992+AS992+AX992,0)</f>
      </c>
      <c r="Z992" s="333">
        <f>+_xlfn.IFNA(AO992+AT992+AY992,0)</f>
      </c>
      <c r="AA992" s="333">
        <f>Y992*(1+$O$5)^(($B$7-X992)/365.25)</f>
      </c>
      <c r="AB992" s="333">
        <f>Z992*(1+$O$5)^(($B$7-X992)/365.25)</f>
      </c>
      <c r="AC992" s="1"/>
      <c r="AD992" s="1"/>
      <c r="AE992" s="1"/>
      <c r="AF992" s="111">
        <f>+MONTH(E992)&amp;YEAR(E992)</f>
      </c>
      <c r="AG992" s="217">
        <f>+I992</f>
      </c>
      <c r="AH992" s="217">
        <f>+J992</f>
      </c>
      <c r="AI992" s="217">
        <f>+H992</f>
      </c>
      <c r="AJ992" s="111">
        <f>+V992&amp;W992</f>
      </c>
      <c r="AK992" s="217">
        <f>+_xlfn.IFNA(VLOOKUP(AJ992,$AF$7:$AG$1066,2,0),0)</f>
      </c>
      <c r="AL992" s="217">
        <f>+IF(W992&gt;W991,AK992,AL991+AK992)</f>
      </c>
      <c r="AM992" s="217">
        <f>IF(W992&gt;W991,IF(AL992&gt;=$AZ$8,$AZ$8,AL992),IF(OR(AM991=$AZ$8,AM991=0),0,IF(AL992&gt;=$AZ$8,$AZ$8,AL992)))</f>
      </c>
      <c r="AN992" s="748">
        <f>+IF(OR(AM992&gt;AZ991,AM992=0),0,IF(AM992=AL992,AK992,$AZ$7-AL991))</f>
      </c>
      <c r="AO992" s="748">
        <f>+AK992-AN992</f>
      </c>
      <c r="AP992" s="217">
        <f>+_xlfn.IFNA(VLOOKUP(AJ992,$AF$7:$AI$1066,3,0),0)</f>
      </c>
      <c r="AQ992" s="217">
        <f>+IF(W992&gt;W991,AP992,AQ991+AP992)</f>
      </c>
      <c r="AR992" s="217">
        <f>+MAX($AM$2-SUMIF($W$7:$W$1066,W992,$AN$7:$AN$1066),0)</f>
      </c>
      <c r="AS992" s="748">
        <f>+MAX(IF(AQ992&gt;AR992,AR992-AQ991,AP992),0)</f>
      </c>
      <c r="AT992" s="748">
        <f>+AP992-AS992</f>
      </c>
      <c r="AU992" s="217">
        <f>+_xlfn.IFNA(VLOOKUP(AJ992,$AF$7:$AI$1066,4,0),0)</f>
      </c>
      <c r="AV992" s="217">
        <f>+IF(W992&gt;W991,AU992,AV991+AU992)</f>
      </c>
      <c r="AW992" s="217">
        <f>+MAX($AM$2-SUMIF($W$7:$W$1066,W992,$AN$7:$AN$1066)-SUMIF($W$7:$W$1066,W992,$AS$7:$AS$1066),0)</f>
      </c>
      <c r="AX992" s="748">
        <f>+MAX(IF(AV992&gt;AW992,AW992-AV991,AU992),0)</f>
      </c>
      <c r="AY992" s="748">
        <f>+AU992-AX992</f>
      </c>
      <c r="AZ992" s="331">
        <f>+$AM$1+IF($AP$1&gt;$AP$2,$AM$3/2)</f>
      </c>
    </row>
    <row x14ac:dyDescent="0.25" r="993" customHeight="1" ht="18.75">
      <c r="A993" s="1"/>
      <c r="B993" s="7"/>
      <c r="C993" s="170"/>
      <c r="D993" s="331">
        <v>986</v>
      </c>
      <c r="E993" s="544">
        <f>+DATE(YEAR(E992),MONTH(E992)-1,DAY(E992))</f>
        <v>25569.041666666668</v>
      </c>
      <c r="F993" s="333">
        <f>IF(DATE(YEAR($B$6),MONTH($B$6)+1,DAY(1))=E993,1,IF(MONTH(E993)=1,F994*(1+$F$5),F994))</f>
      </c>
      <c r="G993" s="333">
        <f>IF('Simulador - 1º Pilar'!$E$99="Sí",IF('Aportaciones PPE'!$B$13&lt;'Aportaciones PPE'!E993,0,F993*$B$8/12),F993*$B$8/12)</f>
      </c>
      <c r="H993" s="333">
        <f>$H$5*G993</f>
      </c>
      <c r="I993" s="333">
        <f>$I$5*G993</f>
      </c>
      <c r="J993" s="333">
        <f>+I993</f>
      </c>
      <c r="K993" s="333">
        <f>(1+$O$5)^(D993/12)*(H993+IF(AND(F993=1,F994=0),$S$4,0))</f>
      </c>
      <c r="L993" s="333">
        <f>(1+$O$5)^(D993/12)*(I993+IF(AND(F993=1,F994=0),0))</f>
      </c>
      <c r="M993" s="333">
        <f>+L993</f>
      </c>
      <c r="N993" s="333">
        <f>L993+K993+M993</f>
      </c>
      <c r="O993" s="170"/>
      <c r="P993" s="7"/>
      <c r="Q993" s="1"/>
      <c r="R993" s="331">
        <f>D993</f>
      </c>
      <c r="S993" s="169"/>
      <c r="T993" s="1"/>
      <c r="U993" s="217"/>
      <c r="V993" s="331">
        <f>+IF(V992=11,12,IF(V992=12,1,V992+1))</f>
      </c>
      <c r="W993" s="331">
        <f>+W992+IF(V992=12,1,0)</f>
      </c>
      <c r="X993" s="555">
        <f>+DATE(W993,V993,1)</f>
        <v>25569.041666666668</v>
      </c>
      <c r="Y993" s="333">
        <f>+_xlfn.IFNA(AN993+AS993+AX993,0)</f>
      </c>
      <c r="Z993" s="333">
        <f>+_xlfn.IFNA(AO993+AT993+AY993,0)</f>
      </c>
      <c r="AA993" s="333">
        <f>Y993*(1+$O$5)^(($B$7-X993)/365.25)</f>
      </c>
      <c r="AB993" s="333">
        <f>Z993*(1+$O$5)^(($B$7-X993)/365.25)</f>
      </c>
      <c r="AC993" s="1"/>
      <c r="AD993" s="1"/>
      <c r="AE993" s="1"/>
      <c r="AF993" s="111">
        <f>+MONTH(E993)&amp;YEAR(E993)</f>
      </c>
      <c r="AG993" s="217">
        <f>+I993</f>
      </c>
      <c r="AH993" s="217">
        <f>+J993</f>
      </c>
      <c r="AI993" s="217">
        <f>+H993</f>
      </c>
      <c r="AJ993" s="111">
        <f>+V993&amp;W993</f>
      </c>
      <c r="AK993" s="217">
        <f>+_xlfn.IFNA(VLOOKUP(AJ993,$AF$7:$AG$1066,2,0),0)</f>
      </c>
      <c r="AL993" s="217">
        <f>+IF(W993&gt;W992,AK993,AL992+AK993)</f>
      </c>
      <c r="AM993" s="217">
        <f>IF(W993&gt;W992,IF(AL993&gt;=$AZ$8,$AZ$8,AL993),IF(OR(AM992=$AZ$8,AM992=0),0,IF(AL993&gt;=$AZ$8,$AZ$8,AL993)))</f>
      </c>
      <c r="AN993" s="748">
        <f>+IF(OR(AM993&gt;AZ992,AM993=0),0,IF(AM993=AL993,AK993,$AZ$7-AL992))</f>
      </c>
      <c r="AO993" s="748">
        <f>+AK993-AN993</f>
      </c>
      <c r="AP993" s="217">
        <f>+_xlfn.IFNA(VLOOKUP(AJ993,$AF$7:$AI$1066,3,0),0)</f>
      </c>
      <c r="AQ993" s="217">
        <f>+IF(W993&gt;W992,AP993,AQ992+AP993)</f>
      </c>
      <c r="AR993" s="217">
        <f>+MAX($AM$2-SUMIF($W$7:$W$1066,W993,$AN$7:$AN$1066),0)</f>
      </c>
      <c r="AS993" s="748">
        <f>+MAX(IF(AQ993&gt;AR993,AR993-AQ992,AP993),0)</f>
      </c>
      <c r="AT993" s="748">
        <f>+AP993-AS993</f>
      </c>
      <c r="AU993" s="217">
        <f>+_xlfn.IFNA(VLOOKUP(AJ993,$AF$7:$AI$1066,4,0),0)</f>
      </c>
      <c r="AV993" s="217">
        <f>+IF(W993&gt;W992,AU993,AV992+AU993)</f>
      </c>
      <c r="AW993" s="217">
        <f>+MAX($AM$2-SUMIF($W$7:$W$1066,W993,$AN$7:$AN$1066)-SUMIF($W$7:$W$1066,W993,$AS$7:$AS$1066),0)</f>
      </c>
      <c r="AX993" s="748">
        <f>+MAX(IF(AV993&gt;AW993,AW993-AV992,AU993),0)</f>
      </c>
      <c r="AY993" s="748">
        <f>+AU993-AX993</f>
      </c>
      <c r="AZ993" s="331">
        <f>+$AM$1+IF($AP$1&gt;$AP$2,$AM$3/2)</f>
      </c>
    </row>
    <row x14ac:dyDescent="0.25" r="994" customHeight="1" ht="18.75">
      <c r="A994" s="1"/>
      <c r="B994" s="7"/>
      <c r="C994" s="170"/>
      <c r="D994" s="331">
        <v>987</v>
      </c>
      <c r="E994" s="544">
        <f>+DATE(YEAR(E993),MONTH(E993)-1,DAY(E993))</f>
        <v>25569.041666666668</v>
      </c>
      <c r="F994" s="333">
        <f>IF(DATE(YEAR($B$6),MONTH($B$6)+1,DAY(1))=E994,1,IF(MONTH(E994)=1,F995*(1+$F$5),F995))</f>
      </c>
      <c r="G994" s="333">
        <f>IF('Simulador - 1º Pilar'!$E$99="Sí",IF('Aportaciones PPE'!$B$13&lt;'Aportaciones PPE'!E994,0,F994*$B$8/12),F994*$B$8/12)</f>
      </c>
      <c r="H994" s="333">
        <f>$H$5*G994</f>
      </c>
      <c r="I994" s="333">
        <f>$I$5*G994</f>
      </c>
      <c r="J994" s="333">
        <f>+I994</f>
      </c>
      <c r="K994" s="333">
        <f>(1+$O$5)^(D994/12)*(H994+IF(AND(F994=1,F995=0),$S$4,0))</f>
      </c>
      <c r="L994" s="333">
        <f>(1+$O$5)^(D994/12)*(I994+IF(AND(F994=1,F995=0),0))</f>
      </c>
      <c r="M994" s="333">
        <f>+L994</f>
      </c>
      <c r="N994" s="333">
        <f>L994+K994+M994</f>
      </c>
      <c r="O994" s="170"/>
      <c r="P994" s="7"/>
      <c r="Q994" s="1"/>
      <c r="R994" s="331">
        <f>D994</f>
      </c>
      <c r="S994" s="169"/>
      <c r="T994" s="1"/>
      <c r="U994" s="217"/>
      <c r="V994" s="331">
        <f>+IF(V993=11,12,IF(V993=12,1,V993+1))</f>
      </c>
      <c r="W994" s="331">
        <f>+W993+IF(V993=12,1,0)</f>
      </c>
      <c r="X994" s="555">
        <f>+DATE(W994,V994,1)</f>
        <v>25569.041666666668</v>
      </c>
      <c r="Y994" s="333">
        <f>+_xlfn.IFNA(AN994+AS994+AX994,0)</f>
      </c>
      <c r="Z994" s="333">
        <f>+_xlfn.IFNA(AO994+AT994+AY994,0)</f>
      </c>
      <c r="AA994" s="333">
        <f>Y994*(1+$O$5)^(($B$7-X994)/365.25)</f>
      </c>
      <c r="AB994" s="333">
        <f>Z994*(1+$O$5)^(($B$7-X994)/365.25)</f>
      </c>
      <c r="AC994" s="1"/>
      <c r="AD994" s="1"/>
      <c r="AE994" s="1"/>
      <c r="AF994" s="111">
        <f>+MONTH(E994)&amp;YEAR(E994)</f>
      </c>
      <c r="AG994" s="217">
        <f>+I994</f>
      </c>
      <c r="AH994" s="217">
        <f>+J994</f>
      </c>
      <c r="AI994" s="217">
        <f>+H994</f>
      </c>
      <c r="AJ994" s="111">
        <f>+V994&amp;W994</f>
      </c>
      <c r="AK994" s="217">
        <f>+_xlfn.IFNA(VLOOKUP(AJ994,$AF$7:$AG$1066,2,0),0)</f>
      </c>
      <c r="AL994" s="217">
        <f>+IF(W994&gt;W993,AK994,AL993+AK994)</f>
      </c>
      <c r="AM994" s="217">
        <f>IF(W994&gt;W993,IF(AL994&gt;=$AZ$8,$AZ$8,AL994),IF(OR(AM993=$AZ$8,AM993=0),0,IF(AL994&gt;=$AZ$8,$AZ$8,AL994)))</f>
      </c>
      <c r="AN994" s="748">
        <f>+IF(OR(AM994&gt;AZ993,AM994=0),0,IF(AM994=AL994,AK994,$AZ$7-AL993))</f>
      </c>
      <c r="AO994" s="748">
        <f>+AK994-AN994</f>
      </c>
      <c r="AP994" s="217">
        <f>+_xlfn.IFNA(VLOOKUP(AJ994,$AF$7:$AI$1066,3,0),0)</f>
      </c>
      <c r="AQ994" s="217">
        <f>+IF(W994&gt;W993,AP994,AQ993+AP994)</f>
      </c>
      <c r="AR994" s="217">
        <f>+MAX($AM$2-SUMIF($W$7:$W$1066,W994,$AN$7:$AN$1066),0)</f>
      </c>
      <c r="AS994" s="748">
        <f>+MAX(IF(AQ994&gt;AR994,AR994-AQ993,AP994),0)</f>
      </c>
      <c r="AT994" s="748">
        <f>+AP994-AS994</f>
      </c>
      <c r="AU994" s="217">
        <f>+_xlfn.IFNA(VLOOKUP(AJ994,$AF$7:$AI$1066,4,0),0)</f>
      </c>
      <c r="AV994" s="217">
        <f>+IF(W994&gt;W993,AU994,AV993+AU994)</f>
      </c>
      <c r="AW994" s="217">
        <f>+MAX($AM$2-SUMIF($W$7:$W$1066,W994,$AN$7:$AN$1066)-SUMIF($W$7:$W$1066,W994,$AS$7:$AS$1066),0)</f>
      </c>
      <c r="AX994" s="748">
        <f>+MAX(IF(AV994&gt;AW994,AW994-AV993,AU994),0)</f>
      </c>
      <c r="AY994" s="748">
        <f>+AU994-AX994</f>
      </c>
      <c r="AZ994" s="331">
        <f>+$AM$1+IF($AP$1&gt;$AP$2,$AM$3/2)</f>
      </c>
    </row>
    <row x14ac:dyDescent="0.25" r="995" customHeight="1" ht="18.75">
      <c r="A995" s="1"/>
      <c r="B995" s="7"/>
      <c r="C995" s="170"/>
      <c r="D995" s="331">
        <v>988</v>
      </c>
      <c r="E995" s="544">
        <f>+DATE(YEAR(E994),MONTH(E994)-1,DAY(E994))</f>
        <v>25569.041666666668</v>
      </c>
      <c r="F995" s="333">
        <f>IF(DATE(YEAR($B$6),MONTH($B$6)+1,DAY(1))=E995,1,IF(MONTH(E995)=1,F996*(1+$F$5),F996))</f>
      </c>
      <c r="G995" s="333">
        <f>IF('Simulador - 1º Pilar'!$E$99="Sí",IF('Aportaciones PPE'!$B$13&lt;'Aportaciones PPE'!E995,0,F995*$B$8/12),F995*$B$8/12)</f>
      </c>
      <c r="H995" s="333">
        <f>$H$5*G995</f>
      </c>
      <c r="I995" s="333">
        <f>$I$5*G995</f>
      </c>
      <c r="J995" s="333">
        <f>+I995</f>
      </c>
      <c r="K995" s="333">
        <f>(1+$O$5)^(D995/12)*(H995+IF(AND(F995=1,F996=0),$S$4,0))</f>
      </c>
      <c r="L995" s="333">
        <f>(1+$O$5)^(D995/12)*(I995+IF(AND(F995=1,F996=0),0))</f>
      </c>
      <c r="M995" s="333">
        <f>+L995</f>
      </c>
      <c r="N995" s="333">
        <f>L995+K995+M995</f>
      </c>
      <c r="O995" s="170"/>
      <c r="P995" s="7"/>
      <c r="Q995" s="1"/>
      <c r="R995" s="331">
        <f>D995</f>
      </c>
      <c r="S995" s="169"/>
      <c r="T995" s="1"/>
      <c r="U995" s="217"/>
      <c r="V995" s="331">
        <f>+IF(V994=11,12,IF(V994=12,1,V994+1))</f>
      </c>
      <c r="W995" s="331">
        <f>+W994+IF(V994=12,1,0)</f>
      </c>
      <c r="X995" s="555">
        <f>+DATE(W995,V995,1)</f>
        <v>25569.041666666668</v>
      </c>
      <c r="Y995" s="333">
        <f>+_xlfn.IFNA(AN995+AS995+AX995,0)</f>
      </c>
      <c r="Z995" s="333">
        <f>+_xlfn.IFNA(AO995+AT995+AY995,0)</f>
      </c>
      <c r="AA995" s="333">
        <f>Y995*(1+$O$5)^(($B$7-X995)/365.25)</f>
      </c>
      <c r="AB995" s="333">
        <f>Z995*(1+$O$5)^(($B$7-X995)/365.25)</f>
      </c>
      <c r="AC995" s="1"/>
      <c r="AD995" s="1"/>
      <c r="AE995" s="1"/>
      <c r="AF995" s="111">
        <f>+MONTH(E995)&amp;YEAR(E995)</f>
      </c>
      <c r="AG995" s="217">
        <f>+I995</f>
      </c>
      <c r="AH995" s="217">
        <f>+J995</f>
      </c>
      <c r="AI995" s="217">
        <f>+H995</f>
      </c>
      <c r="AJ995" s="111">
        <f>+V995&amp;W995</f>
      </c>
      <c r="AK995" s="217">
        <f>+_xlfn.IFNA(VLOOKUP(AJ995,$AF$7:$AG$1066,2,0),0)</f>
      </c>
      <c r="AL995" s="217">
        <f>+IF(W995&gt;W994,AK995,AL994+AK995)</f>
      </c>
      <c r="AM995" s="217">
        <f>IF(W995&gt;W994,IF(AL995&gt;=$AZ$8,$AZ$8,AL995),IF(OR(AM994=$AZ$8,AM994=0),0,IF(AL995&gt;=$AZ$8,$AZ$8,AL995)))</f>
      </c>
      <c r="AN995" s="748">
        <f>+IF(OR(AM995&gt;AZ994,AM995=0),0,IF(AM995=AL995,AK995,$AZ$7-AL994))</f>
      </c>
      <c r="AO995" s="748">
        <f>+AK995-AN995</f>
      </c>
      <c r="AP995" s="217">
        <f>+_xlfn.IFNA(VLOOKUP(AJ995,$AF$7:$AI$1066,3,0),0)</f>
      </c>
      <c r="AQ995" s="217">
        <f>+IF(W995&gt;W994,AP995,AQ994+AP995)</f>
      </c>
      <c r="AR995" s="217">
        <f>+MAX($AM$2-SUMIF($W$7:$W$1066,W995,$AN$7:$AN$1066),0)</f>
      </c>
      <c r="AS995" s="748">
        <f>+MAX(IF(AQ995&gt;AR995,AR995-AQ994,AP995),0)</f>
      </c>
      <c r="AT995" s="748">
        <f>+AP995-AS995</f>
      </c>
      <c r="AU995" s="217">
        <f>+_xlfn.IFNA(VLOOKUP(AJ995,$AF$7:$AI$1066,4,0),0)</f>
      </c>
      <c r="AV995" s="217">
        <f>+IF(W995&gt;W994,AU995,AV994+AU995)</f>
      </c>
      <c r="AW995" s="217">
        <f>+MAX($AM$2-SUMIF($W$7:$W$1066,W995,$AN$7:$AN$1066)-SUMIF($W$7:$W$1066,W995,$AS$7:$AS$1066),0)</f>
      </c>
      <c r="AX995" s="748">
        <f>+MAX(IF(AV995&gt;AW995,AW995-AV994,AU995),0)</f>
      </c>
      <c r="AY995" s="748">
        <f>+AU995-AX995</f>
      </c>
      <c r="AZ995" s="331">
        <f>+$AM$1+IF($AP$1&gt;$AP$2,$AM$3/2)</f>
      </c>
    </row>
    <row x14ac:dyDescent="0.25" r="996" customHeight="1" ht="18.75">
      <c r="A996" s="1"/>
      <c r="B996" s="7"/>
      <c r="C996" s="170"/>
      <c r="D996" s="331">
        <v>989</v>
      </c>
      <c r="E996" s="544">
        <f>+DATE(YEAR(E995),MONTH(E995)-1,DAY(E995))</f>
        <v>25569.041666666668</v>
      </c>
      <c r="F996" s="333">
        <f>IF(DATE(YEAR($B$6),MONTH($B$6)+1,DAY(1))=E996,1,IF(MONTH(E996)=1,F997*(1+$F$5),F997))</f>
      </c>
      <c r="G996" s="333">
        <f>IF('Simulador - 1º Pilar'!$E$99="Sí",IF('Aportaciones PPE'!$B$13&lt;'Aportaciones PPE'!E996,0,F996*$B$8/12),F996*$B$8/12)</f>
      </c>
      <c r="H996" s="333">
        <f>$H$5*G996</f>
      </c>
      <c r="I996" s="333">
        <f>$I$5*G996</f>
      </c>
      <c r="J996" s="333">
        <f>+I996</f>
      </c>
      <c r="K996" s="333">
        <f>(1+$O$5)^(D996/12)*(H996+IF(AND(F996=1,F997=0),$S$4,0))</f>
      </c>
      <c r="L996" s="333">
        <f>(1+$O$5)^(D996/12)*(I996+IF(AND(F996=1,F997=0),0))</f>
      </c>
      <c r="M996" s="333">
        <f>+L996</f>
      </c>
      <c r="N996" s="333">
        <f>L996+K996+M996</f>
      </c>
      <c r="O996" s="170"/>
      <c r="P996" s="7"/>
      <c r="Q996" s="1"/>
      <c r="R996" s="331">
        <f>D996</f>
      </c>
      <c r="S996" s="169"/>
      <c r="T996" s="1"/>
      <c r="U996" s="217"/>
      <c r="V996" s="331">
        <f>+IF(V995=11,12,IF(V995=12,1,V995+1))</f>
      </c>
      <c r="W996" s="331">
        <f>+W995+IF(V995=12,1,0)</f>
      </c>
      <c r="X996" s="555">
        <f>+DATE(W996,V996,1)</f>
        <v>25569.041666666668</v>
      </c>
      <c r="Y996" s="333">
        <f>+_xlfn.IFNA(AN996+AS996+AX996,0)</f>
      </c>
      <c r="Z996" s="333">
        <f>+_xlfn.IFNA(AO996+AT996+AY996,0)</f>
      </c>
      <c r="AA996" s="333">
        <f>Y996*(1+$O$5)^(($B$7-X996)/365.25)</f>
      </c>
      <c r="AB996" s="333">
        <f>Z996*(1+$O$5)^(($B$7-X996)/365.25)</f>
      </c>
      <c r="AC996" s="1"/>
      <c r="AD996" s="1"/>
      <c r="AE996" s="1"/>
      <c r="AF996" s="111">
        <f>+MONTH(E996)&amp;YEAR(E996)</f>
      </c>
      <c r="AG996" s="217">
        <f>+I996</f>
      </c>
      <c r="AH996" s="217">
        <f>+J996</f>
      </c>
      <c r="AI996" s="217">
        <f>+H996</f>
      </c>
      <c r="AJ996" s="111">
        <f>+V996&amp;W996</f>
      </c>
      <c r="AK996" s="217">
        <f>+_xlfn.IFNA(VLOOKUP(AJ996,$AF$7:$AG$1066,2,0),0)</f>
      </c>
      <c r="AL996" s="217">
        <f>+IF(W996&gt;W995,AK996,AL995+AK996)</f>
      </c>
      <c r="AM996" s="217">
        <f>IF(W996&gt;W995,IF(AL996&gt;=$AZ$8,$AZ$8,AL996),IF(OR(AM995=$AZ$8,AM995=0),0,IF(AL996&gt;=$AZ$8,$AZ$8,AL996)))</f>
      </c>
      <c r="AN996" s="748">
        <f>+IF(OR(AM996&gt;AZ995,AM996=0),0,IF(AM996=AL996,AK996,$AZ$7-AL995))</f>
      </c>
      <c r="AO996" s="748">
        <f>+AK996-AN996</f>
      </c>
      <c r="AP996" s="217">
        <f>+_xlfn.IFNA(VLOOKUP(AJ996,$AF$7:$AI$1066,3,0),0)</f>
      </c>
      <c r="AQ996" s="217">
        <f>+IF(W996&gt;W995,AP996,AQ995+AP996)</f>
      </c>
      <c r="AR996" s="217">
        <f>+MAX($AM$2-SUMIF($W$7:$W$1066,W996,$AN$7:$AN$1066),0)</f>
      </c>
      <c r="AS996" s="748">
        <f>+MAX(IF(AQ996&gt;AR996,AR996-AQ995,AP996),0)</f>
      </c>
      <c r="AT996" s="748">
        <f>+AP996-AS996</f>
      </c>
      <c r="AU996" s="217">
        <f>+_xlfn.IFNA(VLOOKUP(AJ996,$AF$7:$AI$1066,4,0),0)</f>
      </c>
      <c r="AV996" s="217">
        <f>+IF(W996&gt;W995,AU996,AV995+AU996)</f>
      </c>
      <c r="AW996" s="217">
        <f>+MAX($AM$2-SUMIF($W$7:$W$1066,W996,$AN$7:$AN$1066)-SUMIF($W$7:$W$1066,W996,$AS$7:$AS$1066),0)</f>
      </c>
      <c r="AX996" s="748">
        <f>+MAX(IF(AV996&gt;AW996,AW996-AV995,AU996),0)</f>
      </c>
      <c r="AY996" s="748">
        <f>+AU996-AX996</f>
      </c>
      <c r="AZ996" s="331">
        <f>+$AM$1+IF($AP$1&gt;$AP$2,$AM$3/2)</f>
      </c>
    </row>
    <row x14ac:dyDescent="0.25" r="997" customHeight="1" ht="18.75">
      <c r="A997" s="1"/>
      <c r="B997" s="7"/>
      <c r="C997" s="170"/>
      <c r="D997" s="331">
        <v>990</v>
      </c>
      <c r="E997" s="544">
        <f>+DATE(YEAR(E996),MONTH(E996)-1,DAY(E996))</f>
        <v>25569.041666666668</v>
      </c>
      <c r="F997" s="333">
        <f>IF(DATE(YEAR($B$6),MONTH($B$6)+1,DAY(1))=E997,1,IF(MONTH(E997)=1,F998*(1+$F$5),F998))</f>
      </c>
      <c r="G997" s="333">
        <f>IF('Simulador - 1º Pilar'!$E$99="Sí",IF('Aportaciones PPE'!$B$13&lt;'Aportaciones PPE'!E997,0,F997*$B$8/12),F997*$B$8/12)</f>
      </c>
      <c r="H997" s="333">
        <f>$H$5*G997</f>
      </c>
      <c r="I997" s="333">
        <f>$I$5*G997</f>
      </c>
      <c r="J997" s="333">
        <f>+I997</f>
      </c>
      <c r="K997" s="333">
        <f>(1+$O$5)^(D997/12)*(H997+IF(AND(F997=1,F998=0),$S$4,0))</f>
      </c>
      <c r="L997" s="333">
        <f>(1+$O$5)^(D997/12)*(I997+IF(AND(F997=1,F998=0),0))</f>
      </c>
      <c r="M997" s="333">
        <f>+L997</f>
      </c>
      <c r="N997" s="333">
        <f>L997+K997+M997</f>
      </c>
      <c r="O997" s="170"/>
      <c r="P997" s="7"/>
      <c r="Q997" s="1"/>
      <c r="R997" s="331">
        <f>D997</f>
      </c>
      <c r="S997" s="169"/>
      <c r="T997" s="1"/>
      <c r="U997" s="217"/>
      <c r="V997" s="331">
        <f>+IF(V996=11,12,IF(V996=12,1,V996+1))</f>
      </c>
      <c r="W997" s="331">
        <f>+W996+IF(V996=12,1,0)</f>
      </c>
      <c r="X997" s="555">
        <f>+DATE(W997,V997,1)</f>
        <v>25569.041666666668</v>
      </c>
      <c r="Y997" s="333">
        <f>+_xlfn.IFNA(AN997+AS997+AX997,0)</f>
      </c>
      <c r="Z997" s="333">
        <f>+_xlfn.IFNA(AO997+AT997+AY997,0)</f>
      </c>
      <c r="AA997" s="333">
        <f>Y997*(1+$O$5)^(($B$7-X997)/365.25)</f>
      </c>
      <c r="AB997" s="333">
        <f>Z997*(1+$O$5)^(($B$7-X997)/365.25)</f>
      </c>
      <c r="AC997" s="1"/>
      <c r="AD997" s="1"/>
      <c r="AE997" s="1"/>
      <c r="AF997" s="111">
        <f>+MONTH(E997)&amp;YEAR(E997)</f>
      </c>
      <c r="AG997" s="217">
        <f>+I997</f>
      </c>
      <c r="AH997" s="217">
        <f>+J997</f>
      </c>
      <c r="AI997" s="217">
        <f>+H997</f>
      </c>
      <c r="AJ997" s="111">
        <f>+V997&amp;W997</f>
      </c>
      <c r="AK997" s="217">
        <f>+_xlfn.IFNA(VLOOKUP(AJ997,$AF$7:$AG$1066,2,0),0)</f>
      </c>
      <c r="AL997" s="217">
        <f>+IF(W997&gt;W996,AK997,AL996+AK997)</f>
      </c>
      <c r="AM997" s="217">
        <f>IF(W997&gt;W996,IF(AL997&gt;=$AZ$8,$AZ$8,AL997),IF(OR(AM996=$AZ$8,AM996=0),0,IF(AL997&gt;=$AZ$8,$AZ$8,AL997)))</f>
      </c>
      <c r="AN997" s="748">
        <f>+IF(OR(AM997&gt;AZ996,AM997=0),0,IF(AM997=AL997,AK997,$AZ$7-AL996))</f>
      </c>
      <c r="AO997" s="748">
        <f>+AK997-AN997</f>
      </c>
      <c r="AP997" s="217">
        <f>+_xlfn.IFNA(VLOOKUP(AJ997,$AF$7:$AI$1066,3,0),0)</f>
      </c>
      <c r="AQ997" s="217">
        <f>+IF(W997&gt;W996,AP997,AQ996+AP997)</f>
      </c>
      <c r="AR997" s="217">
        <f>+MAX($AM$2-SUMIF($W$7:$W$1066,W997,$AN$7:$AN$1066),0)</f>
      </c>
      <c r="AS997" s="748">
        <f>+MAX(IF(AQ997&gt;AR997,AR997-AQ996,AP997),0)</f>
      </c>
      <c r="AT997" s="748">
        <f>+AP997-AS997</f>
      </c>
      <c r="AU997" s="217">
        <f>+_xlfn.IFNA(VLOOKUP(AJ997,$AF$7:$AI$1066,4,0),0)</f>
      </c>
      <c r="AV997" s="217">
        <f>+IF(W997&gt;W996,AU997,AV996+AU997)</f>
      </c>
      <c r="AW997" s="217">
        <f>+MAX($AM$2-SUMIF($W$7:$W$1066,W997,$AN$7:$AN$1066)-SUMIF($W$7:$W$1066,W997,$AS$7:$AS$1066),0)</f>
      </c>
      <c r="AX997" s="748">
        <f>+MAX(IF(AV997&gt;AW997,AW997-AV996,AU997),0)</f>
      </c>
      <c r="AY997" s="748">
        <f>+AU997-AX997</f>
      </c>
      <c r="AZ997" s="331">
        <f>+$AM$1+IF($AP$1&gt;$AP$2,$AM$3/2)</f>
      </c>
    </row>
    <row x14ac:dyDescent="0.25" r="998" customHeight="1" ht="18.75">
      <c r="A998" s="1"/>
      <c r="B998" s="7"/>
      <c r="C998" s="170"/>
      <c r="D998" s="331">
        <v>991</v>
      </c>
      <c r="E998" s="544">
        <f>+DATE(YEAR(E997),MONTH(E997)-1,DAY(E997))</f>
        <v>25569.041666666668</v>
      </c>
      <c r="F998" s="333">
        <f>IF(DATE(YEAR($B$6),MONTH($B$6)+1,DAY(1))=E998,1,IF(MONTH(E998)=1,F999*(1+$F$5),F999))</f>
      </c>
      <c r="G998" s="333">
        <f>IF('Simulador - 1º Pilar'!$E$99="Sí",IF('Aportaciones PPE'!$B$13&lt;'Aportaciones PPE'!E998,0,F998*$B$8/12),F998*$B$8/12)</f>
      </c>
      <c r="H998" s="333">
        <f>$H$5*G998</f>
      </c>
      <c r="I998" s="333">
        <f>$I$5*G998</f>
      </c>
      <c r="J998" s="333">
        <f>+I998</f>
      </c>
      <c r="K998" s="333">
        <f>(1+$O$5)^(D998/12)*(H998+IF(AND(F998=1,F999=0),$S$4,0))</f>
      </c>
      <c r="L998" s="333">
        <f>(1+$O$5)^(D998/12)*(I998+IF(AND(F998=1,F999=0),0))</f>
      </c>
      <c r="M998" s="333">
        <f>+L998</f>
      </c>
      <c r="N998" s="333">
        <f>L998+K998+M998</f>
      </c>
      <c r="O998" s="170"/>
      <c r="P998" s="7"/>
      <c r="Q998" s="1"/>
      <c r="R998" s="331">
        <f>D998</f>
      </c>
      <c r="S998" s="169"/>
      <c r="T998" s="1"/>
      <c r="U998" s="217"/>
      <c r="V998" s="331">
        <f>+IF(V997=11,12,IF(V997=12,1,V997+1))</f>
      </c>
      <c r="W998" s="331">
        <f>+W997+IF(V997=12,1,0)</f>
      </c>
      <c r="X998" s="555">
        <f>+DATE(W998,V998,1)</f>
        <v>25569.041666666668</v>
      </c>
      <c r="Y998" s="333">
        <f>+_xlfn.IFNA(AN998+AS998+AX998,0)</f>
      </c>
      <c r="Z998" s="333">
        <f>+_xlfn.IFNA(AO998+AT998+AY998,0)</f>
      </c>
      <c r="AA998" s="333">
        <f>Y998*(1+$O$5)^(($B$7-X998)/365.25)</f>
      </c>
      <c r="AB998" s="333">
        <f>Z998*(1+$O$5)^(($B$7-X998)/365.25)</f>
      </c>
      <c r="AC998" s="1"/>
      <c r="AD998" s="1"/>
      <c r="AE998" s="1"/>
      <c r="AF998" s="111">
        <f>+MONTH(E998)&amp;YEAR(E998)</f>
      </c>
      <c r="AG998" s="217">
        <f>+I998</f>
      </c>
      <c r="AH998" s="217">
        <f>+J998</f>
      </c>
      <c r="AI998" s="217">
        <f>+H998</f>
      </c>
      <c r="AJ998" s="111">
        <f>+V998&amp;W998</f>
      </c>
      <c r="AK998" s="217">
        <f>+_xlfn.IFNA(VLOOKUP(AJ998,$AF$7:$AG$1066,2,0),0)</f>
      </c>
      <c r="AL998" s="217">
        <f>+IF(W998&gt;W997,AK998,AL997+AK998)</f>
      </c>
      <c r="AM998" s="217">
        <f>IF(W998&gt;W997,IF(AL998&gt;=$AZ$8,$AZ$8,AL998),IF(OR(AM997=$AZ$8,AM997=0),0,IF(AL998&gt;=$AZ$8,$AZ$8,AL998)))</f>
      </c>
      <c r="AN998" s="748">
        <f>+IF(OR(AM998&gt;AZ997,AM998=0),0,IF(AM998=AL998,AK998,$AZ$7-AL997))</f>
      </c>
      <c r="AO998" s="748">
        <f>+AK998-AN998</f>
      </c>
      <c r="AP998" s="217">
        <f>+_xlfn.IFNA(VLOOKUP(AJ998,$AF$7:$AI$1066,3,0),0)</f>
      </c>
      <c r="AQ998" s="217">
        <f>+IF(W998&gt;W997,AP998,AQ997+AP998)</f>
      </c>
      <c r="AR998" s="217">
        <f>+MAX($AM$2-SUMIF($W$7:$W$1066,W998,$AN$7:$AN$1066),0)</f>
      </c>
      <c r="AS998" s="748">
        <f>+MAX(IF(AQ998&gt;AR998,AR998-AQ997,AP998),0)</f>
      </c>
      <c r="AT998" s="748">
        <f>+AP998-AS998</f>
      </c>
      <c r="AU998" s="217">
        <f>+_xlfn.IFNA(VLOOKUP(AJ998,$AF$7:$AI$1066,4,0),0)</f>
      </c>
      <c r="AV998" s="217">
        <f>+IF(W998&gt;W997,AU998,AV997+AU998)</f>
      </c>
      <c r="AW998" s="217">
        <f>+MAX($AM$2-SUMIF($W$7:$W$1066,W998,$AN$7:$AN$1066)-SUMIF($W$7:$W$1066,W998,$AS$7:$AS$1066),0)</f>
      </c>
      <c r="AX998" s="748">
        <f>+MAX(IF(AV998&gt;AW998,AW998-AV997,AU998),0)</f>
      </c>
      <c r="AY998" s="748">
        <f>+AU998-AX998</f>
      </c>
      <c r="AZ998" s="331">
        <f>+$AM$1+IF($AP$1&gt;$AP$2,$AM$3/2)</f>
      </c>
    </row>
    <row x14ac:dyDescent="0.25" r="999" customHeight="1" ht="18.75">
      <c r="A999" s="1"/>
      <c r="B999" s="7"/>
      <c r="C999" s="170"/>
      <c r="D999" s="331">
        <v>992</v>
      </c>
      <c r="E999" s="544">
        <f>+DATE(YEAR(E998),MONTH(E998)-1,DAY(E998))</f>
        <v>25569.041666666668</v>
      </c>
      <c r="F999" s="333">
        <f>IF(DATE(YEAR($B$6),MONTH($B$6)+1,DAY(1))=E999,1,IF(MONTH(E999)=1,F1000*(1+$F$5),F1000))</f>
      </c>
      <c r="G999" s="333">
        <f>IF('Simulador - 1º Pilar'!$E$99="Sí",IF('Aportaciones PPE'!$B$13&lt;'Aportaciones PPE'!E999,0,F999*$B$8/12),F999*$B$8/12)</f>
      </c>
      <c r="H999" s="333">
        <f>$H$5*G999</f>
      </c>
      <c r="I999" s="333">
        <f>$I$5*G999</f>
      </c>
      <c r="J999" s="333">
        <f>+I999</f>
      </c>
      <c r="K999" s="333">
        <f>(1+$O$5)^(D999/12)*(H999+IF(AND(F999=1,F1000=0),$S$4,0))</f>
      </c>
      <c r="L999" s="333">
        <f>(1+$O$5)^(D999/12)*(I999+IF(AND(F999=1,F1000=0),0))</f>
      </c>
      <c r="M999" s="333">
        <f>+L999</f>
      </c>
      <c r="N999" s="333">
        <f>L999+K999+M999</f>
      </c>
      <c r="O999" s="170"/>
      <c r="P999" s="7"/>
      <c r="Q999" s="1"/>
      <c r="R999" s="331">
        <f>D999</f>
      </c>
      <c r="S999" s="169"/>
      <c r="T999" s="1"/>
      <c r="U999" s="217"/>
      <c r="V999" s="331">
        <f>+IF(V998=11,12,IF(V998=12,1,V998+1))</f>
      </c>
      <c r="W999" s="331">
        <f>+W998+IF(V998=12,1,0)</f>
      </c>
      <c r="X999" s="555">
        <f>+DATE(W999,V999,1)</f>
        <v>25569.041666666668</v>
      </c>
      <c r="Y999" s="333">
        <f>+_xlfn.IFNA(AN999+AS999+AX999,0)</f>
      </c>
      <c r="Z999" s="333">
        <f>+_xlfn.IFNA(AO999+AT999+AY999,0)</f>
      </c>
      <c r="AA999" s="333">
        <f>Y999*(1+$O$5)^(($B$7-X999)/365.25)</f>
      </c>
      <c r="AB999" s="333">
        <f>Z999*(1+$O$5)^(($B$7-X999)/365.25)</f>
      </c>
      <c r="AC999" s="1"/>
      <c r="AD999" s="1"/>
      <c r="AE999" s="1"/>
      <c r="AF999" s="111">
        <f>+MONTH(E999)&amp;YEAR(E999)</f>
      </c>
      <c r="AG999" s="217">
        <f>+I999</f>
      </c>
      <c r="AH999" s="217">
        <f>+J999</f>
      </c>
      <c r="AI999" s="217">
        <f>+H999</f>
      </c>
      <c r="AJ999" s="111">
        <f>+V999&amp;W999</f>
      </c>
      <c r="AK999" s="217">
        <f>+_xlfn.IFNA(VLOOKUP(AJ999,$AF$7:$AG$1066,2,0),0)</f>
      </c>
      <c r="AL999" s="217">
        <f>+IF(W999&gt;W998,AK999,AL998+AK999)</f>
      </c>
      <c r="AM999" s="217">
        <f>IF(W999&gt;W998,IF(AL999&gt;=$AZ$8,$AZ$8,AL999),IF(OR(AM998=$AZ$8,AM998=0),0,IF(AL999&gt;=$AZ$8,$AZ$8,AL999)))</f>
      </c>
      <c r="AN999" s="748">
        <f>+IF(OR(AM999&gt;AZ998,AM999=0),0,IF(AM999=AL999,AK999,$AZ$7-AL998))</f>
      </c>
      <c r="AO999" s="748">
        <f>+AK999-AN999</f>
      </c>
      <c r="AP999" s="217">
        <f>+_xlfn.IFNA(VLOOKUP(AJ999,$AF$7:$AI$1066,3,0),0)</f>
      </c>
      <c r="AQ999" s="217">
        <f>+IF(W999&gt;W998,AP999,AQ998+AP999)</f>
      </c>
      <c r="AR999" s="217">
        <f>+MAX($AM$2-SUMIF($W$7:$W$1066,W999,$AN$7:$AN$1066),0)</f>
      </c>
      <c r="AS999" s="748">
        <f>+MAX(IF(AQ999&gt;AR999,AR999-AQ998,AP999),0)</f>
      </c>
      <c r="AT999" s="748">
        <f>+AP999-AS999</f>
      </c>
      <c r="AU999" s="217">
        <f>+_xlfn.IFNA(VLOOKUP(AJ999,$AF$7:$AI$1066,4,0),0)</f>
      </c>
      <c r="AV999" s="217">
        <f>+IF(W999&gt;W998,AU999,AV998+AU999)</f>
      </c>
      <c r="AW999" s="217">
        <f>+MAX($AM$2-SUMIF($W$7:$W$1066,W999,$AN$7:$AN$1066)-SUMIF($W$7:$W$1066,W999,$AS$7:$AS$1066),0)</f>
      </c>
      <c r="AX999" s="748">
        <f>+MAX(IF(AV999&gt;AW999,AW999-AV998,AU999),0)</f>
      </c>
      <c r="AY999" s="748">
        <f>+AU999-AX999</f>
      </c>
      <c r="AZ999" s="331">
        <f>+$AM$1+IF($AP$1&gt;$AP$2,$AM$3/2)</f>
      </c>
    </row>
    <row x14ac:dyDescent="0.25" r="1000" customHeight="1" ht="18.75">
      <c r="A1000" s="1"/>
      <c r="B1000" s="7"/>
      <c r="C1000" s="170"/>
      <c r="D1000" s="331">
        <v>993</v>
      </c>
      <c r="E1000" s="544">
        <f>+DATE(YEAR(E999),MONTH(E999)-1,DAY(E999))</f>
        <v>25569.041666666668</v>
      </c>
      <c r="F1000" s="333">
        <f>IF(DATE(YEAR($B$6),MONTH($B$6)+1,DAY(1))=E1000,1,IF(MONTH(E1000)=1,F1001*(1+$F$5),F1001))</f>
      </c>
      <c r="G1000" s="333">
        <f>IF('Simulador - 1º Pilar'!$E$99="Sí",IF('Aportaciones PPE'!$B$13&lt;'Aportaciones PPE'!E1000,0,F1000*$B$8/12),F1000*$B$8/12)</f>
      </c>
      <c r="H1000" s="333">
        <f>$H$5*G1000</f>
      </c>
      <c r="I1000" s="333">
        <f>$I$5*G1000</f>
      </c>
      <c r="J1000" s="333">
        <f>+I1000</f>
      </c>
      <c r="K1000" s="333">
        <f>(1+$O$5)^(D1000/12)*(H1000+IF(AND(F1000=1,F1001=0),$S$4,0))</f>
      </c>
      <c r="L1000" s="333">
        <f>(1+$O$5)^(D1000/12)*(I1000+IF(AND(F1000=1,F1001=0),0))</f>
      </c>
      <c r="M1000" s="333">
        <f>+L1000</f>
      </c>
      <c r="N1000" s="333">
        <f>L1000+K1000+M1000</f>
      </c>
      <c r="O1000" s="170"/>
      <c r="P1000" s="7"/>
      <c r="Q1000" s="1"/>
      <c r="R1000" s="331">
        <f>D1000</f>
      </c>
      <c r="S1000" s="169"/>
      <c r="T1000" s="1"/>
      <c r="U1000" s="217"/>
      <c r="V1000" s="331">
        <f>+IF(V999=11,12,IF(V999=12,1,V999+1))</f>
      </c>
      <c r="W1000" s="331">
        <f>+W999+IF(V999=12,1,0)</f>
      </c>
      <c r="X1000" s="555">
        <f>+DATE(W1000,V1000,1)</f>
        <v>25569.041666666668</v>
      </c>
      <c r="Y1000" s="333">
        <f>+_xlfn.IFNA(AN1000+AS1000+AX1000,0)</f>
      </c>
      <c r="Z1000" s="333">
        <f>+_xlfn.IFNA(AO1000+AT1000+AY1000,0)</f>
      </c>
      <c r="AA1000" s="333">
        <f>Y1000*(1+$O$5)^(($B$7-X1000)/365.25)</f>
      </c>
      <c r="AB1000" s="333">
        <f>Z1000*(1+$O$5)^(($B$7-X1000)/365.25)</f>
      </c>
      <c r="AC1000" s="1"/>
      <c r="AD1000" s="1"/>
      <c r="AE1000" s="1"/>
      <c r="AF1000" s="111">
        <f>+MONTH(E1000)&amp;YEAR(E1000)</f>
      </c>
      <c r="AG1000" s="217">
        <f>+I1000</f>
      </c>
      <c r="AH1000" s="217">
        <f>+J1000</f>
      </c>
      <c r="AI1000" s="217">
        <f>+H1000</f>
      </c>
      <c r="AJ1000" s="111">
        <f>+V1000&amp;W1000</f>
      </c>
      <c r="AK1000" s="217">
        <f>+_xlfn.IFNA(VLOOKUP(AJ1000,$AF$7:$AG$1066,2,0),0)</f>
      </c>
      <c r="AL1000" s="217">
        <f>+IF(W1000&gt;W999,AK1000,AL999+AK1000)</f>
      </c>
      <c r="AM1000" s="217">
        <f>IF(W1000&gt;W999,IF(AL1000&gt;=$AZ$8,$AZ$8,AL1000),IF(OR(AM999=$AZ$8,AM999=0),0,IF(AL1000&gt;=$AZ$8,$AZ$8,AL1000)))</f>
      </c>
      <c r="AN1000" s="748">
        <f>+IF(OR(AM1000&gt;AZ999,AM1000=0),0,IF(AM1000=AL1000,AK1000,$AZ$7-AL999))</f>
      </c>
      <c r="AO1000" s="748">
        <f>+AK1000-AN1000</f>
      </c>
      <c r="AP1000" s="217">
        <f>+_xlfn.IFNA(VLOOKUP(AJ1000,$AF$7:$AI$1066,3,0),0)</f>
      </c>
      <c r="AQ1000" s="217">
        <f>+IF(W1000&gt;W999,AP1000,AQ999+AP1000)</f>
      </c>
      <c r="AR1000" s="217">
        <f>+MAX($AM$2-SUMIF($W$7:$W$1066,W1000,$AN$7:$AN$1066),0)</f>
      </c>
      <c r="AS1000" s="748">
        <f>+MAX(IF(AQ1000&gt;AR1000,AR1000-AQ999,AP1000),0)</f>
      </c>
      <c r="AT1000" s="748">
        <f>+AP1000-AS1000</f>
      </c>
      <c r="AU1000" s="217">
        <f>+_xlfn.IFNA(VLOOKUP(AJ1000,$AF$7:$AI$1066,4,0),0)</f>
      </c>
      <c r="AV1000" s="217">
        <f>+IF(W1000&gt;W999,AU1000,AV999+AU1000)</f>
      </c>
      <c r="AW1000" s="217">
        <f>+MAX($AM$2-SUMIF($W$7:$W$1066,W1000,$AN$7:$AN$1066)-SUMIF($W$7:$W$1066,W1000,$AS$7:$AS$1066),0)</f>
      </c>
      <c r="AX1000" s="748">
        <f>+MAX(IF(AV1000&gt;AW1000,AW1000-AV999,AU1000),0)</f>
      </c>
      <c r="AY1000" s="748">
        <f>+AU1000-AX1000</f>
      </c>
      <c r="AZ1000" s="331">
        <f>+$AM$1+IF($AP$1&gt;$AP$2,$AM$3/2)</f>
      </c>
    </row>
    <row x14ac:dyDescent="0.25" r="1001" customHeight="1" ht="18.75">
      <c r="A1001" s="1"/>
      <c r="B1001" s="7"/>
      <c r="C1001" s="170"/>
      <c r="D1001" s="331">
        <v>994</v>
      </c>
      <c r="E1001" s="544">
        <f>+DATE(YEAR(E1000),MONTH(E1000)-1,DAY(E1000))</f>
        <v>25569.041666666668</v>
      </c>
      <c r="F1001" s="333">
        <f>IF(DATE(YEAR($B$6),MONTH($B$6)+1,DAY(1))=E1001,1,IF(MONTH(E1001)=1,F1002*(1+$F$5),F1002))</f>
      </c>
      <c r="G1001" s="333">
        <f>IF('Simulador - 1º Pilar'!$E$99="Sí",IF('Aportaciones PPE'!$B$13&lt;'Aportaciones PPE'!E1001,0,F1001*$B$8/12),F1001*$B$8/12)</f>
      </c>
      <c r="H1001" s="333">
        <f>$H$5*G1001</f>
      </c>
      <c r="I1001" s="333">
        <f>$I$5*G1001</f>
      </c>
      <c r="J1001" s="333">
        <f>+I1001</f>
      </c>
      <c r="K1001" s="333">
        <f>(1+$O$5)^(D1001/12)*(H1001+IF(AND(F1001=1,F1002=0),$S$4,0))</f>
      </c>
      <c r="L1001" s="333">
        <f>(1+$O$5)^(D1001/12)*(I1001+IF(AND(F1001=1,F1002=0),0))</f>
      </c>
      <c r="M1001" s="333">
        <f>+L1001</f>
      </c>
      <c r="N1001" s="333">
        <f>L1001+K1001+M1001</f>
      </c>
      <c r="O1001" s="170"/>
      <c r="P1001" s="7"/>
      <c r="Q1001" s="1"/>
      <c r="R1001" s="331">
        <f>D1001</f>
      </c>
      <c r="S1001" s="169"/>
      <c r="T1001" s="1"/>
      <c r="U1001" s="217"/>
      <c r="V1001" s="331">
        <f>+IF(V1000=11,12,IF(V1000=12,1,V1000+1))</f>
      </c>
      <c r="W1001" s="331">
        <f>+W1000+IF(V1000=12,1,0)</f>
      </c>
      <c r="X1001" s="555">
        <f>+DATE(W1001,V1001,1)</f>
        <v>25569.041666666668</v>
      </c>
      <c r="Y1001" s="333">
        <f>+_xlfn.IFNA(AN1001+AS1001+AX1001,0)</f>
      </c>
      <c r="Z1001" s="333">
        <f>+_xlfn.IFNA(AO1001+AT1001+AY1001,0)</f>
      </c>
      <c r="AA1001" s="333">
        <f>Y1001*(1+$O$5)^(($B$7-X1001)/365.25)</f>
      </c>
      <c r="AB1001" s="333">
        <f>Z1001*(1+$O$5)^(($B$7-X1001)/365.25)</f>
      </c>
      <c r="AC1001" s="1"/>
      <c r="AD1001" s="1"/>
      <c r="AE1001" s="1"/>
      <c r="AF1001" s="111">
        <f>+MONTH(E1001)&amp;YEAR(E1001)</f>
      </c>
      <c r="AG1001" s="217">
        <f>+I1001</f>
      </c>
      <c r="AH1001" s="217">
        <f>+J1001</f>
      </c>
      <c r="AI1001" s="217">
        <f>+H1001</f>
      </c>
      <c r="AJ1001" s="111">
        <f>+V1001&amp;W1001</f>
      </c>
      <c r="AK1001" s="217">
        <f>+_xlfn.IFNA(VLOOKUP(AJ1001,$AF$7:$AG$1066,2,0),0)</f>
      </c>
      <c r="AL1001" s="217">
        <f>+IF(W1001&gt;W1000,AK1001,AL1000+AK1001)</f>
      </c>
      <c r="AM1001" s="217">
        <f>IF(W1001&gt;W1000,IF(AL1001&gt;=$AZ$8,$AZ$8,AL1001),IF(OR(AM1000=$AZ$8,AM1000=0),0,IF(AL1001&gt;=$AZ$8,$AZ$8,AL1001)))</f>
      </c>
      <c r="AN1001" s="748">
        <f>+IF(OR(AM1001&gt;AZ1000,AM1001=0),0,IF(AM1001=AL1001,AK1001,$AZ$7-AL1000))</f>
      </c>
      <c r="AO1001" s="748">
        <f>+AK1001-AN1001</f>
      </c>
      <c r="AP1001" s="217">
        <f>+_xlfn.IFNA(VLOOKUP(AJ1001,$AF$7:$AI$1066,3,0),0)</f>
      </c>
      <c r="AQ1001" s="217">
        <f>+IF(W1001&gt;W1000,AP1001,AQ1000+AP1001)</f>
      </c>
      <c r="AR1001" s="217">
        <f>+MAX($AM$2-SUMIF($W$7:$W$1066,W1001,$AN$7:$AN$1066),0)</f>
      </c>
      <c r="AS1001" s="748">
        <f>+MAX(IF(AQ1001&gt;AR1001,AR1001-AQ1000,AP1001),0)</f>
      </c>
      <c r="AT1001" s="748">
        <f>+AP1001-AS1001</f>
      </c>
      <c r="AU1001" s="217">
        <f>+_xlfn.IFNA(VLOOKUP(AJ1001,$AF$7:$AI$1066,4,0),0)</f>
      </c>
      <c r="AV1001" s="217">
        <f>+IF(W1001&gt;W1000,AU1001,AV1000+AU1001)</f>
      </c>
      <c r="AW1001" s="217">
        <f>+MAX($AM$2-SUMIF($W$7:$W$1066,W1001,$AN$7:$AN$1066)-SUMIF($W$7:$W$1066,W1001,$AS$7:$AS$1066),0)</f>
      </c>
      <c r="AX1001" s="748">
        <f>+MAX(IF(AV1001&gt;AW1001,AW1001-AV1000,AU1001),0)</f>
      </c>
      <c r="AY1001" s="748">
        <f>+AU1001-AX1001</f>
      </c>
      <c r="AZ1001" s="331">
        <f>+$AM$1+IF($AP$1&gt;$AP$2,$AM$3/2)</f>
      </c>
    </row>
    <row x14ac:dyDescent="0.25" r="1002" customHeight="1" ht="18.75">
      <c r="A1002" s="1"/>
      <c r="B1002" s="7"/>
      <c r="C1002" s="170"/>
      <c r="D1002" s="331">
        <v>995</v>
      </c>
      <c r="E1002" s="544">
        <f>+DATE(YEAR(E1001),MONTH(E1001)-1,DAY(E1001))</f>
        <v>25569.041666666668</v>
      </c>
      <c r="F1002" s="333">
        <f>IF(DATE(YEAR($B$6),MONTH($B$6)+1,DAY(1))=E1002,1,IF(MONTH(E1002)=1,F1003*(1+$F$5),F1003))</f>
      </c>
      <c r="G1002" s="333">
        <f>IF('Simulador - 1º Pilar'!$E$99="Sí",IF('Aportaciones PPE'!$B$13&lt;'Aportaciones PPE'!E1002,0,F1002*$B$8/12),F1002*$B$8/12)</f>
      </c>
      <c r="H1002" s="333">
        <f>$H$5*G1002</f>
      </c>
      <c r="I1002" s="333">
        <f>$I$5*G1002</f>
      </c>
      <c r="J1002" s="333">
        <f>+I1002</f>
      </c>
      <c r="K1002" s="333">
        <f>(1+$O$5)^(D1002/12)*(H1002+IF(AND(F1002=1,F1003=0),$S$4,0))</f>
      </c>
      <c r="L1002" s="333">
        <f>(1+$O$5)^(D1002/12)*(I1002+IF(AND(F1002=1,F1003=0),0))</f>
      </c>
      <c r="M1002" s="333">
        <f>+L1002</f>
      </c>
      <c r="N1002" s="333">
        <f>L1002+K1002+M1002</f>
      </c>
      <c r="O1002" s="170"/>
      <c r="P1002" s="7"/>
      <c r="Q1002" s="1"/>
      <c r="R1002" s="331">
        <f>D1002</f>
      </c>
      <c r="S1002" s="169"/>
      <c r="T1002" s="1"/>
      <c r="U1002" s="217"/>
      <c r="V1002" s="331">
        <f>+IF(V1001=11,12,IF(V1001=12,1,V1001+1))</f>
      </c>
      <c r="W1002" s="331">
        <f>+W1001+IF(V1001=12,1,0)</f>
      </c>
      <c r="X1002" s="555">
        <f>+DATE(W1002,V1002,1)</f>
        <v>25569.041666666668</v>
      </c>
      <c r="Y1002" s="333">
        <f>+_xlfn.IFNA(AN1002+AS1002+AX1002,0)</f>
      </c>
      <c r="Z1002" s="333">
        <f>+_xlfn.IFNA(AO1002+AT1002+AY1002,0)</f>
      </c>
      <c r="AA1002" s="333">
        <f>Y1002*(1+$O$5)^(($B$7-X1002)/365.25)</f>
      </c>
      <c r="AB1002" s="333">
        <f>Z1002*(1+$O$5)^(($B$7-X1002)/365.25)</f>
      </c>
      <c r="AC1002" s="1"/>
      <c r="AD1002" s="1"/>
      <c r="AE1002" s="1"/>
      <c r="AF1002" s="111">
        <f>+MONTH(E1002)&amp;YEAR(E1002)</f>
      </c>
      <c r="AG1002" s="217">
        <f>+I1002</f>
      </c>
      <c r="AH1002" s="217">
        <f>+J1002</f>
      </c>
      <c r="AI1002" s="217">
        <f>+H1002</f>
      </c>
      <c r="AJ1002" s="111">
        <f>+V1002&amp;W1002</f>
      </c>
      <c r="AK1002" s="217">
        <f>+_xlfn.IFNA(VLOOKUP(AJ1002,$AF$7:$AG$1066,2,0),0)</f>
      </c>
      <c r="AL1002" s="217">
        <f>+IF(W1002&gt;W1001,AK1002,AL1001+AK1002)</f>
      </c>
      <c r="AM1002" s="217">
        <f>IF(W1002&gt;W1001,IF(AL1002&gt;=$AZ$8,$AZ$8,AL1002),IF(OR(AM1001=$AZ$8,AM1001=0),0,IF(AL1002&gt;=$AZ$8,$AZ$8,AL1002)))</f>
      </c>
      <c r="AN1002" s="748">
        <f>+IF(OR(AM1002&gt;AZ1001,AM1002=0),0,IF(AM1002=AL1002,AK1002,$AZ$7-AL1001))</f>
      </c>
      <c r="AO1002" s="748">
        <f>+AK1002-AN1002</f>
      </c>
      <c r="AP1002" s="217">
        <f>+_xlfn.IFNA(VLOOKUP(AJ1002,$AF$7:$AI$1066,3,0),0)</f>
      </c>
      <c r="AQ1002" s="217">
        <f>+IF(W1002&gt;W1001,AP1002,AQ1001+AP1002)</f>
      </c>
      <c r="AR1002" s="217">
        <f>+MAX($AM$2-SUMIF($W$7:$W$1066,W1002,$AN$7:$AN$1066),0)</f>
      </c>
      <c r="AS1002" s="748">
        <f>+MAX(IF(AQ1002&gt;AR1002,AR1002-AQ1001,AP1002),0)</f>
      </c>
      <c r="AT1002" s="748">
        <f>+AP1002-AS1002</f>
      </c>
      <c r="AU1002" s="217">
        <f>+_xlfn.IFNA(VLOOKUP(AJ1002,$AF$7:$AI$1066,4,0),0)</f>
      </c>
      <c r="AV1002" s="217">
        <f>+IF(W1002&gt;W1001,AU1002,AV1001+AU1002)</f>
      </c>
      <c r="AW1002" s="217">
        <f>+MAX($AM$2-SUMIF($W$7:$W$1066,W1002,$AN$7:$AN$1066)-SUMIF($W$7:$W$1066,W1002,$AS$7:$AS$1066),0)</f>
      </c>
      <c r="AX1002" s="748">
        <f>+MAX(IF(AV1002&gt;AW1002,AW1002-AV1001,AU1002),0)</f>
      </c>
      <c r="AY1002" s="748">
        <f>+AU1002-AX1002</f>
      </c>
      <c r="AZ1002" s="331">
        <f>+$AM$1+IF($AP$1&gt;$AP$2,$AM$3/2)</f>
      </c>
    </row>
    <row x14ac:dyDescent="0.25" r="1003" customHeight="1" ht="18.75">
      <c r="A1003" s="1"/>
      <c r="B1003" s="7"/>
      <c r="C1003" s="170"/>
      <c r="D1003" s="331">
        <v>996</v>
      </c>
      <c r="E1003" s="544">
        <f>+DATE(YEAR(E1002),MONTH(E1002)-1,DAY(E1002))</f>
        <v>25569.041666666668</v>
      </c>
      <c r="F1003" s="333">
        <f>IF(DATE(YEAR($B$6),MONTH($B$6)+1,DAY(1))=E1003,1,IF(MONTH(E1003)=1,F1004*(1+$F$5),F1004))</f>
      </c>
      <c r="G1003" s="333">
        <f>IF('Simulador - 1º Pilar'!$E$99="Sí",IF('Aportaciones PPE'!$B$13&lt;'Aportaciones PPE'!E1003,0,F1003*$B$8/12),F1003*$B$8/12)</f>
      </c>
      <c r="H1003" s="333">
        <f>$H$5*G1003</f>
      </c>
      <c r="I1003" s="333">
        <f>$I$5*G1003</f>
      </c>
      <c r="J1003" s="333">
        <f>+I1003</f>
      </c>
      <c r="K1003" s="333">
        <f>(1+$O$5)^(D1003/12)*(H1003+IF(AND(F1003=1,F1004=0),$S$4,0))</f>
      </c>
      <c r="L1003" s="333">
        <f>(1+$O$5)^(D1003/12)*(I1003+IF(AND(F1003=1,F1004=0),0))</f>
      </c>
      <c r="M1003" s="333">
        <f>+L1003</f>
      </c>
      <c r="N1003" s="333">
        <f>L1003+K1003+M1003</f>
      </c>
      <c r="O1003" s="170"/>
      <c r="P1003" s="7"/>
      <c r="Q1003" s="1"/>
      <c r="R1003" s="331">
        <f>D1003</f>
      </c>
      <c r="S1003" s="169"/>
      <c r="T1003" s="1"/>
      <c r="U1003" s="217"/>
      <c r="V1003" s="331">
        <f>+IF(V1002=11,12,IF(V1002=12,1,V1002+1))</f>
      </c>
      <c r="W1003" s="331">
        <f>+W1002+IF(V1002=12,1,0)</f>
      </c>
      <c r="X1003" s="555">
        <f>+DATE(W1003,V1003,1)</f>
        <v>25569.041666666668</v>
      </c>
      <c r="Y1003" s="333">
        <f>+_xlfn.IFNA(AN1003+AS1003+AX1003,0)</f>
      </c>
      <c r="Z1003" s="333">
        <f>+_xlfn.IFNA(AO1003+AT1003+AY1003,0)</f>
      </c>
      <c r="AA1003" s="333">
        <f>Y1003*(1+$O$5)^(($B$7-X1003)/365.25)</f>
      </c>
      <c r="AB1003" s="333">
        <f>Z1003*(1+$O$5)^(($B$7-X1003)/365.25)</f>
      </c>
      <c r="AC1003" s="1"/>
      <c r="AD1003" s="1"/>
      <c r="AE1003" s="1"/>
      <c r="AF1003" s="111">
        <f>+MONTH(E1003)&amp;YEAR(E1003)</f>
      </c>
      <c r="AG1003" s="217">
        <f>+I1003</f>
      </c>
      <c r="AH1003" s="217">
        <f>+J1003</f>
      </c>
      <c r="AI1003" s="217">
        <f>+H1003</f>
      </c>
      <c r="AJ1003" s="111">
        <f>+V1003&amp;W1003</f>
      </c>
      <c r="AK1003" s="217">
        <f>+_xlfn.IFNA(VLOOKUP(AJ1003,$AF$7:$AG$1066,2,0),0)</f>
      </c>
      <c r="AL1003" s="217">
        <f>+IF(W1003&gt;W1002,AK1003,AL1002+AK1003)</f>
      </c>
      <c r="AM1003" s="217">
        <f>IF(W1003&gt;W1002,IF(AL1003&gt;=$AZ$8,$AZ$8,AL1003),IF(OR(AM1002=$AZ$8,AM1002=0),0,IF(AL1003&gt;=$AZ$8,$AZ$8,AL1003)))</f>
      </c>
      <c r="AN1003" s="748">
        <f>+IF(OR(AM1003&gt;AZ1002,AM1003=0),0,IF(AM1003=AL1003,AK1003,$AZ$7-AL1002))</f>
      </c>
      <c r="AO1003" s="748">
        <f>+AK1003-AN1003</f>
      </c>
      <c r="AP1003" s="217">
        <f>+_xlfn.IFNA(VLOOKUP(AJ1003,$AF$7:$AI$1066,3,0),0)</f>
      </c>
      <c r="AQ1003" s="217">
        <f>+IF(W1003&gt;W1002,AP1003,AQ1002+AP1003)</f>
      </c>
      <c r="AR1003" s="217">
        <f>+MAX($AM$2-SUMIF($W$7:$W$1066,W1003,$AN$7:$AN$1066),0)</f>
      </c>
      <c r="AS1003" s="748">
        <f>+MAX(IF(AQ1003&gt;AR1003,AR1003-AQ1002,AP1003),0)</f>
      </c>
      <c r="AT1003" s="748">
        <f>+AP1003-AS1003</f>
      </c>
      <c r="AU1003" s="217">
        <f>+_xlfn.IFNA(VLOOKUP(AJ1003,$AF$7:$AI$1066,4,0),0)</f>
      </c>
      <c r="AV1003" s="217">
        <f>+IF(W1003&gt;W1002,AU1003,AV1002+AU1003)</f>
      </c>
      <c r="AW1003" s="217">
        <f>+MAX($AM$2-SUMIF($W$7:$W$1066,W1003,$AN$7:$AN$1066)-SUMIF($W$7:$W$1066,W1003,$AS$7:$AS$1066),0)</f>
      </c>
      <c r="AX1003" s="748">
        <f>+MAX(IF(AV1003&gt;AW1003,AW1003-AV1002,AU1003),0)</f>
      </c>
      <c r="AY1003" s="748">
        <f>+AU1003-AX1003</f>
      </c>
      <c r="AZ1003" s="331">
        <f>+$AM$1+IF($AP$1&gt;$AP$2,$AM$3/2)</f>
      </c>
    </row>
    <row x14ac:dyDescent="0.25" r="1004" customHeight="1" ht="18.75">
      <c r="A1004" s="1"/>
      <c r="B1004" s="7"/>
      <c r="C1004" s="170"/>
      <c r="D1004" s="331">
        <v>997</v>
      </c>
      <c r="E1004" s="544">
        <f>+DATE(YEAR(E1003),MONTH(E1003)-1,DAY(E1003))</f>
        <v>25569.041666666668</v>
      </c>
      <c r="F1004" s="333">
        <f>IF(DATE(YEAR($B$6),MONTH($B$6)+1,DAY(1))=E1004,1,IF(MONTH(E1004)=1,F1005*(1+$F$5),F1005))</f>
      </c>
      <c r="G1004" s="333">
        <f>IF('Simulador - 1º Pilar'!$E$99="Sí",IF('Aportaciones PPE'!$B$13&lt;'Aportaciones PPE'!E1004,0,F1004*$B$8/12),F1004*$B$8/12)</f>
      </c>
      <c r="H1004" s="333">
        <f>$H$5*G1004</f>
      </c>
      <c r="I1004" s="333">
        <f>$I$5*G1004</f>
      </c>
      <c r="J1004" s="333">
        <f>+I1004</f>
      </c>
      <c r="K1004" s="333">
        <f>(1+$O$5)^(D1004/12)*(H1004+IF(AND(F1004=1,F1005=0),$S$4,0))</f>
      </c>
      <c r="L1004" s="333">
        <f>(1+$O$5)^(D1004/12)*(I1004+IF(AND(F1004=1,F1005=0),0))</f>
      </c>
      <c r="M1004" s="333">
        <f>+L1004</f>
      </c>
      <c r="N1004" s="333">
        <f>L1004+K1004+M1004</f>
      </c>
      <c r="O1004" s="170"/>
      <c r="P1004" s="7"/>
      <c r="Q1004" s="1"/>
      <c r="R1004" s="331">
        <f>D1004</f>
      </c>
      <c r="S1004" s="169"/>
      <c r="T1004" s="1"/>
      <c r="U1004" s="217"/>
      <c r="V1004" s="331">
        <f>+IF(V1003=11,12,IF(V1003=12,1,V1003+1))</f>
      </c>
      <c r="W1004" s="331">
        <f>+W1003+IF(V1003=12,1,0)</f>
      </c>
      <c r="X1004" s="555">
        <f>+DATE(W1004,V1004,1)</f>
        <v>25569.041666666668</v>
      </c>
      <c r="Y1004" s="333">
        <f>+_xlfn.IFNA(AN1004+AS1004+AX1004,0)</f>
      </c>
      <c r="Z1004" s="333">
        <f>+_xlfn.IFNA(AO1004+AT1004+AY1004,0)</f>
      </c>
      <c r="AA1004" s="333">
        <f>Y1004*(1+$O$5)^(($B$7-X1004)/365.25)</f>
      </c>
      <c r="AB1004" s="333">
        <f>Z1004*(1+$O$5)^(($B$7-X1004)/365.25)</f>
      </c>
      <c r="AC1004" s="1"/>
      <c r="AD1004" s="1"/>
      <c r="AE1004" s="1"/>
      <c r="AF1004" s="111">
        <f>+MONTH(E1004)&amp;YEAR(E1004)</f>
      </c>
      <c r="AG1004" s="217">
        <f>+I1004</f>
      </c>
      <c r="AH1004" s="217">
        <f>+J1004</f>
      </c>
      <c r="AI1004" s="217">
        <f>+H1004</f>
      </c>
      <c r="AJ1004" s="111">
        <f>+V1004&amp;W1004</f>
      </c>
      <c r="AK1004" s="217">
        <f>+_xlfn.IFNA(VLOOKUP(AJ1004,$AF$7:$AG$1066,2,0),0)</f>
      </c>
      <c r="AL1004" s="217">
        <f>+IF(W1004&gt;W1003,AK1004,AL1003+AK1004)</f>
      </c>
      <c r="AM1004" s="217">
        <f>IF(W1004&gt;W1003,IF(AL1004&gt;=$AZ$8,$AZ$8,AL1004),IF(OR(AM1003=$AZ$8,AM1003=0),0,IF(AL1004&gt;=$AZ$8,$AZ$8,AL1004)))</f>
      </c>
      <c r="AN1004" s="748">
        <f>+IF(OR(AM1004&gt;AZ1003,AM1004=0),0,IF(AM1004=AL1004,AK1004,$AZ$7-AL1003))</f>
      </c>
      <c r="AO1004" s="748">
        <f>+AK1004-AN1004</f>
      </c>
      <c r="AP1004" s="217">
        <f>+_xlfn.IFNA(VLOOKUP(AJ1004,$AF$7:$AI$1066,3,0),0)</f>
      </c>
      <c r="AQ1004" s="217">
        <f>+IF(W1004&gt;W1003,AP1004,AQ1003+AP1004)</f>
      </c>
      <c r="AR1004" s="217">
        <f>+MAX($AM$2-SUMIF($W$7:$W$1066,W1004,$AN$7:$AN$1066),0)</f>
      </c>
      <c r="AS1004" s="748">
        <f>+MAX(IF(AQ1004&gt;AR1004,AR1004-AQ1003,AP1004),0)</f>
      </c>
      <c r="AT1004" s="748">
        <f>+AP1004-AS1004</f>
      </c>
      <c r="AU1004" s="217">
        <f>+_xlfn.IFNA(VLOOKUP(AJ1004,$AF$7:$AI$1066,4,0),0)</f>
      </c>
      <c r="AV1004" s="217">
        <f>+IF(W1004&gt;W1003,AU1004,AV1003+AU1004)</f>
      </c>
      <c r="AW1004" s="217">
        <f>+MAX($AM$2-SUMIF($W$7:$W$1066,W1004,$AN$7:$AN$1066)-SUMIF($W$7:$W$1066,W1004,$AS$7:$AS$1066),0)</f>
      </c>
      <c r="AX1004" s="748">
        <f>+MAX(IF(AV1004&gt;AW1004,AW1004-AV1003,AU1004),0)</f>
      </c>
      <c r="AY1004" s="748">
        <f>+AU1004-AX1004</f>
      </c>
      <c r="AZ1004" s="331">
        <f>+$AM$1+IF($AP$1&gt;$AP$2,$AM$3/2)</f>
      </c>
    </row>
    <row x14ac:dyDescent="0.25" r="1005" customHeight="1" ht="18.75">
      <c r="A1005" s="1"/>
      <c r="B1005" s="7"/>
      <c r="C1005" s="170"/>
      <c r="D1005" s="331">
        <v>998</v>
      </c>
      <c r="E1005" s="544">
        <f>+DATE(YEAR(E1004),MONTH(E1004)-1,DAY(E1004))</f>
        <v>25569.041666666668</v>
      </c>
      <c r="F1005" s="333">
        <f>IF(DATE(YEAR($B$6),MONTH($B$6)+1,DAY(1))=E1005,1,IF(MONTH(E1005)=1,F1006*(1+$F$5),F1006))</f>
      </c>
      <c r="G1005" s="333">
        <f>IF('Simulador - 1º Pilar'!$E$99="Sí",IF('Aportaciones PPE'!$B$13&lt;'Aportaciones PPE'!E1005,0,F1005*$B$8/12),F1005*$B$8/12)</f>
      </c>
      <c r="H1005" s="333">
        <f>$H$5*G1005</f>
      </c>
      <c r="I1005" s="333">
        <f>$I$5*G1005</f>
      </c>
      <c r="J1005" s="333">
        <f>+I1005</f>
      </c>
      <c r="K1005" s="333">
        <f>(1+$O$5)^(D1005/12)*(H1005+IF(AND(F1005=1,F1006=0),$S$4,0))</f>
      </c>
      <c r="L1005" s="333">
        <f>(1+$O$5)^(D1005/12)*(I1005+IF(AND(F1005=1,F1006=0),0))</f>
      </c>
      <c r="M1005" s="333">
        <f>+L1005</f>
      </c>
      <c r="N1005" s="333">
        <f>L1005+K1005+M1005</f>
      </c>
      <c r="O1005" s="170"/>
      <c r="P1005" s="7"/>
      <c r="Q1005" s="1"/>
      <c r="R1005" s="331">
        <f>D1005</f>
      </c>
      <c r="S1005" s="169"/>
      <c r="T1005" s="1"/>
      <c r="U1005" s="217"/>
      <c r="V1005" s="331">
        <f>+IF(V1004=11,12,IF(V1004=12,1,V1004+1))</f>
      </c>
      <c r="W1005" s="331">
        <f>+W1004+IF(V1004=12,1,0)</f>
      </c>
      <c r="X1005" s="555">
        <f>+DATE(W1005,V1005,1)</f>
        <v>25569.041666666668</v>
      </c>
      <c r="Y1005" s="333">
        <f>+_xlfn.IFNA(AN1005+AS1005+AX1005,0)</f>
      </c>
      <c r="Z1005" s="333">
        <f>+_xlfn.IFNA(AO1005+AT1005+AY1005,0)</f>
      </c>
      <c r="AA1005" s="333">
        <f>Y1005*(1+$O$5)^(($B$7-X1005)/365.25)</f>
      </c>
      <c r="AB1005" s="333">
        <f>Z1005*(1+$O$5)^(($B$7-X1005)/365.25)</f>
      </c>
      <c r="AC1005" s="1"/>
      <c r="AD1005" s="1"/>
      <c r="AE1005" s="1"/>
      <c r="AF1005" s="111">
        <f>+MONTH(E1005)&amp;YEAR(E1005)</f>
      </c>
      <c r="AG1005" s="217">
        <f>+I1005</f>
      </c>
      <c r="AH1005" s="217">
        <f>+J1005</f>
      </c>
      <c r="AI1005" s="217">
        <f>+H1005</f>
      </c>
      <c r="AJ1005" s="111">
        <f>+V1005&amp;W1005</f>
      </c>
      <c r="AK1005" s="217">
        <f>+_xlfn.IFNA(VLOOKUP(AJ1005,$AF$7:$AG$1066,2,0),0)</f>
      </c>
      <c r="AL1005" s="217">
        <f>+IF(W1005&gt;W1004,AK1005,AL1004+AK1005)</f>
      </c>
      <c r="AM1005" s="217">
        <f>IF(W1005&gt;W1004,IF(AL1005&gt;=$AZ$8,$AZ$8,AL1005),IF(OR(AM1004=$AZ$8,AM1004=0),0,IF(AL1005&gt;=$AZ$8,$AZ$8,AL1005)))</f>
      </c>
      <c r="AN1005" s="748">
        <f>+IF(OR(AM1005&gt;AZ1004,AM1005=0),0,IF(AM1005=AL1005,AK1005,$AZ$7-AL1004))</f>
      </c>
      <c r="AO1005" s="748">
        <f>+AK1005-AN1005</f>
      </c>
      <c r="AP1005" s="217">
        <f>+_xlfn.IFNA(VLOOKUP(AJ1005,$AF$7:$AI$1066,3,0),0)</f>
      </c>
      <c r="AQ1005" s="217">
        <f>+IF(W1005&gt;W1004,AP1005,AQ1004+AP1005)</f>
      </c>
      <c r="AR1005" s="217">
        <f>+MAX($AM$2-SUMIF($W$7:$W$1066,W1005,$AN$7:$AN$1066),0)</f>
      </c>
      <c r="AS1005" s="748">
        <f>+MAX(IF(AQ1005&gt;AR1005,AR1005-AQ1004,AP1005),0)</f>
      </c>
      <c r="AT1005" s="748">
        <f>+AP1005-AS1005</f>
      </c>
      <c r="AU1005" s="217">
        <f>+_xlfn.IFNA(VLOOKUP(AJ1005,$AF$7:$AI$1066,4,0),0)</f>
      </c>
      <c r="AV1005" s="217">
        <f>+IF(W1005&gt;W1004,AU1005,AV1004+AU1005)</f>
      </c>
      <c r="AW1005" s="217">
        <f>+MAX($AM$2-SUMIF($W$7:$W$1066,W1005,$AN$7:$AN$1066)-SUMIF($W$7:$W$1066,W1005,$AS$7:$AS$1066),0)</f>
      </c>
      <c r="AX1005" s="748">
        <f>+MAX(IF(AV1005&gt;AW1005,AW1005-AV1004,AU1005),0)</f>
      </c>
      <c r="AY1005" s="748">
        <f>+AU1005-AX1005</f>
      </c>
      <c r="AZ1005" s="331">
        <f>+$AM$1+IF($AP$1&gt;$AP$2,$AM$3/2)</f>
      </c>
    </row>
    <row x14ac:dyDescent="0.25" r="1006" customHeight="1" ht="18.75">
      <c r="A1006" s="1"/>
      <c r="B1006" s="7"/>
      <c r="C1006" s="170"/>
      <c r="D1006" s="331">
        <v>999</v>
      </c>
      <c r="E1006" s="544">
        <f>+DATE(YEAR(E1005),MONTH(E1005)-1,DAY(E1005))</f>
        <v>25569.041666666668</v>
      </c>
      <c r="F1006" s="333">
        <f>IF(DATE(YEAR($B$6),MONTH($B$6)+1,DAY(1))=E1006,1,IF(MONTH(E1006)=1,F1007*(1+$F$5),F1007))</f>
      </c>
      <c r="G1006" s="333">
        <f>IF('Simulador - 1º Pilar'!$E$99="Sí",IF('Aportaciones PPE'!$B$13&lt;'Aportaciones PPE'!E1006,0,F1006*$B$8/12),F1006*$B$8/12)</f>
      </c>
      <c r="H1006" s="333">
        <f>$H$5*G1006</f>
      </c>
      <c r="I1006" s="333">
        <f>$I$5*G1006</f>
      </c>
      <c r="J1006" s="333">
        <f>+I1006</f>
      </c>
      <c r="K1006" s="333">
        <f>(1+$O$5)^(D1006/12)*(H1006+IF(AND(F1006=1,F1007=0),$S$4,0))</f>
      </c>
      <c r="L1006" s="333">
        <f>(1+$O$5)^(D1006/12)*(I1006+IF(AND(F1006=1,F1007=0),0))</f>
      </c>
      <c r="M1006" s="333">
        <f>+L1006</f>
      </c>
      <c r="N1006" s="333">
        <f>L1006+K1006+M1006</f>
      </c>
      <c r="O1006" s="170"/>
      <c r="P1006" s="7"/>
      <c r="Q1006" s="1"/>
      <c r="R1006" s="331">
        <f>D1006</f>
      </c>
      <c r="S1006" s="169"/>
      <c r="T1006" s="1"/>
      <c r="U1006" s="217"/>
      <c r="V1006" s="331">
        <f>+IF(V1005=11,12,IF(V1005=12,1,V1005+1))</f>
      </c>
      <c r="W1006" s="331">
        <f>+W1005+IF(V1005=12,1,0)</f>
      </c>
      <c r="X1006" s="555">
        <f>+DATE(W1006,V1006,1)</f>
        <v>25569.041666666668</v>
      </c>
      <c r="Y1006" s="333">
        <f>+_xlfn.IFNA(AN1006+AS1006+AX1006,0)</f>
      </c>
      <c r="Z1006" s="333">
        <f>+_xlfn.IFNA(AO1006+AT1006+AY1006,0)</f>
      </c>
      <c r="AA1006" s="333">
        <f>Y1006*(1+$O$5)^(($B$7-X1006)/365.25)</f>
      </c>
      <c r="AB1006" s="333">
        <f>Z1006*(1+$O$5)^(($B$7-X1006)/365.25)</f>
      </c>
      <c r="AC1006" s="1"/>
      <c r="AD1006" s="1"/>
      <c r="AE1006" s="1"/>
      <c r="AF1006" s="111">
        <f>+MONTH(E1006)&amp;YEAR(E1006)</f>
      </c>
      <c r="AG1006" s="217">
        <f>+I1006</f>
      </c>
      <c r="AH1006" s="217">
        <f>+J1006</f>
      </c>
      <c r="AI1006" s="217">
        <f>+H1006</f>
      </c>
      <c r="AJ1006" s="111">
        <f>+V1006&amp;W1006</f>
      </c>
      <c r="AK1006" s="217">
        <f>+_xlfn.IFNA(VLOOKUP(AJ1006,$AF$7:$AG$1066,2,0),0)</f>
      </c>
      <c r="AL1006" s="217">
        <f>+IF(W1006&gt;W1005,AK1006,AL1005+AK1006)</f>
      </c>
      <c r="AM1006" s="217">
        <f>IF(W1006&gt;W1005,IF(AL1006&gt;=$AZ$8,$AZ$8,AL1006),IF(OR(AM1005=$AZ$8,AM1005=0),0,IF(AL1006&gt;=$AZ$8,$AZ$8,AL1006)))</f>
      </c>
      <c r="AN1006" s="748">
        <f>+IF(OR(AM1006&gt;AZ1005,AM1006=0),0,IF(AM1006=AL1006,AK1006,$AZ$7-AL1005))</f>
      </c>
      <c r="AO1006" s="748">
        <f>+AK1006-AN1006</f>
      </c>
      <c r="AP1006" s="217">
        <f>+_xlfn.IFNA(VLOOKUP(AJ1006,$AF$7:$AI$1066,3,0),0)</f>
      </c>
      <c r="AQ1006" s="217">
        <f>+IF(W1006&gt;W1005,AP1006,AQ1005+AP1006)</f>
      </c>
      <c r="AR1006" s="217">
        <f>+MAX($AM$2-SUMIF($W$7:$W$1066,W1006,$AN$7:$AN$1066),0)</f>
      </c>
      <c r="AS1006" s="748">
        <f>+MAX(IF(AQ1006&gt;AR1006,AR1006-AQ1005,AP1006),0)</f>
      </c>
      <c r="AT1006" s="748">
        <f>+AP1006-AS1006</f>
      </c>
      <c r="AU1006" s="217">
        <f>+_xlfn.IFNA(VLOOKUP(AJ1006,$AF$7:$AI$1066,4,0),0)</f>
      </c>
      <c r="AV1006" s="217">
        <f>+IF(W1006&gt;W1005,AU1006,AV1005+AU1006)</f>
      </c>
      <c r="AW1006" s="217">
        <f>+MAX($AM$2-SUMIF($W$7:$W$1066,W1006,$AN$7:$AN$1066)-SUMIF($W$7:$W$1066,W1006,$AS$7:$AS$1066),0)</f>
      </c>
      <c r="AX1006" s="748">
        <f>+MAX(IF(AV1006&gt;AW1006,AW1006-AV1005,AU1006),0)</f>
      </c>
      <c r="AY1006" s="748">
        <f>+AU1006-AX1006</f>
      </c>
      <c r="AZ1006" s="331">
        <f>+$AM$1+IF($AP$1&gt;$AP$2,$AM$3/2)</f>
      </c>
    </row>
    <row x14ac:dyDescent="0.25" r="1007" customHeight="1" ht="18.75">
      <c r="A1007" s="1"/>
      <c r="B1007" s="7"/>
      <c r="C1007" s="170"/>
      <c r="D1007" s="331">
        <v>1000</v>
      </c>
      <c r="E1007" s="544">
        <f>+DATE(YEAR(E1006),MONTH(E1006)-1,DAY(E1006))</f>
        <v>25569.041666666668</v>
      </c>
      <c r="F1007" s="333">
        <f>IF(DATE(YEAR($B$6),MONTH($B$6)+1,DAY(1))=E1007,1,IF(MONTH(E1007)=1,F1008*(1+$F$5),F1008))</f>
      </c>
      <c r="G1007" s="333">
        <f>IF('Simulador - 1º Pilar'!$E$99="Sí",IF('Aportaciones PPE'!$B$13&lt;'Aportaciones PPE'!E1007,0,F1007*$B$8/12),F1007*$B$8/12)</f>
      </c>
      <c r="H1007" s="333">
        <f>$H$5*G1007</f>
      </c>
      <c r="I1007" s="333">
        <f>$I$5*G1007</f>
      </c>
      <c r="J1007" s="333">
        <f>+I1007</f>
      </c>
      <c r="K1007" s="333">
        <f>(1+$O$5)^(D1007/12)*(H1007+IF(AND(F1007=1,F1008=0),$S$4,0))</f>
      </c>
      <c r="L1007" s="333">
        <f>(1+$O$5)^(D1007/12)*(I1007+IF(AND(F1007=1,F1008=0),0))</f>
      </c>
      <c r="M1007" s="333">
        <f>+L1007</f>
      </c>
      <c r="N1007" s="333">
        <f>L1007+K1007+M1007</f>
      </c>
      <c r="O1007" s="170"/>
      <c r="P1007" s="7"/>
      <c r="Q1007" s="1"/>
      <c r="R1007" s="331">
        <f>D1007</f>
      </c>
      <c r="S1007" s="169"/>
      <c r="T1007" s="1"/>
      <c r="U1007" s="217"/>
      <c r="V1007" s="331">
        <f>+IF(V1006=11,12,IF(V1006=12,1,V1006+1))</f>
      </c>
      <c r="W1007" s="331">
        <f>+W1006+IF(V1006=12,1,0)</f>
      </c>
      <c r="X1007" s="555">
        <f>+DATE(W1007,V1007,1)</f>
        <v>25569.041666666668</v>
      </c>
      <c r="Y1007" s="333">
        <f>+_xlfn.IFNA(AN1007+AS1007+AX1007,0)</f>
      </c>
      <c r="Z1007" s="333">
        <f>+_xlfn.IFNA(AO1007+AT1007+AY1007,0)</f>
      </c>
      <c r="AA1007" s="333">
        <f>Y1007*(1+$O$5)^(($B$7-X1007)/365.25)</f>
      </c>
      <c r="AB1007" s="333">
        <f>Z1007*(1+$O$5)^(($B$7-X1007)/365.25)</f>
      </c>
      <c r="AC1007" s="1"/>
      <c r="AD1007" s="1"/>
      <c r="AE1007" s="1"/>
      <c r="AF1007" s="111">
        <f>+MONTH(E1007)&amp;YEAR(E1007)</f>
      </c>
      <c r="AG1007" s="217">
        <f>+I1007</f>
      </c>
      <c r="AH1007" s="217">
        <f>+J1007</f>
      </c>
      <c r="AI1007" s="217">
        <f>+H1007</f>
      </c>
      <c r="AJ1007" s="111">
        <f>+V1007&amp;W1007</f>
      </c>
      <c r="AK1007" s="217">
        <f>+_xlfn.IFNA(VLOOKUP(AJ1007,$AF$7:$AG$1066,2,0),0)</f>
      </c>
      <c r="AL1007" s="217">
        <f>+IF(W1007&gt;W1006,AK1007,AL1006+AK1007)</f>
      </c>
      <c r="AM1007" s="217">
        <f>IF(W1007&gt;W1006,IF(AL1007&gt;=$AZ$8,$AZ$8,AL1007),IF(OR(AM1006=$AZ$8,AM1006=0),0,IF(AL1007&gt;=$AZ$8,$AZ$8,AL1007)))</f>
      </c>
      <c r="AN1007" s="748">
        <f>+IF(OR(AM1007&gt;AZ1006,AM1007=0),0,IF(AM1007=AL1007,AK1007,$AZ$7-AL1006))</f>
      </c>
      <c r="AO1007" s="748">
        <f>+AK1007-AN1007</f>
      </c>
      <c r="AP1007" s="217">
        <f>+_xlfn.IFNA(VLOOKUP(AJ1007,$AF$7:$AI$1066,3,0),0)</f>
      </c>
      <c r="AQ1007" s="217">
        <f>+IF(W1007&gt;W1006,AP1007,AQ1006+AP1007)</f>
      </c>
      <c r="AR1007" s="217">
        <f>+MAX($AM$2-SUMIF($W$7:$W$1066,W1007,$AN$7:$AN$1066),0)</f>
      </c>
      <c r="AS1007" s="748">
        <f>+MAX(IF(AQ1007&gt;AR1007,AR1007-AQ1006,AP1007),0)</f>
      </c>
      <c r="AT1007" s="748">
        <f>+AP1007-AS1007</f>
      </c>
      <c r="AU1007" s="217">
        <f>+_xlfn.IFNA(VLOOKUP(AJ1007,$AF$7:$AI$1066,4,0),0)</f>
      </c>
      <c r="AV1007" s="217">
        <f>+IF(W1007&gt;W1006,AU1007,AV1006+AU1007)</f>
      </c>
      <c r="AW1007" s="217">
        <f>+MAX($AM$2-SUMIF($W$7:$W$1066,W1007,$AN$7:$AN$1066)-SUMIF($W$7:$W$1066,W1007,$AS$7:$AS$1066),0)</f>
      </c>
      <c r="AX1007" s="748">
        <f>+MAX(IF(AV1007&gt;AW1007,AW1007-AV1006,AU1007),0)</f>
      </c>
      <c r="AY1007" s="748">
        <f>+AU1007-AX1007</f>
      </c>
      <c r="AZ1007" s="331">
        <f>+$AM$1+IF($AP$1&gt;$AP$2,$AM$3/2)</f>
      </c>
    </row>
    <row x14ac:dyDescent="0.25" r="1008" customHeight="1" ht="18.75">
      <c r="A1008" s="1"/>
      <c r="B1008" s="7"/>
      <c r="C1008" s="170"/>
      <c r="D1008" s="331">
        <v>1001</v>
      </c>
      <c r="E1008" s="544">
        <f>+DATE(YEAR(E1007),MONTH(E1007)-1,DAY(E1007))</f>
        <v>25569.041666666668</v>
      </c>
      <c r="F1008" s="333">
        <f>IF(DATE(YEAR($B$6),MONTH($B$6)+1,DAY(1))=E1008,1,IF(MONTH(E1008)=1,F1009*(1+$F$5),F1009))</f>
      </c>
      <c r="G1008" s="333">
        <f>IF('Simulador - 1º Pilar'!$E$99="Sí",IF('Aportaciones PPE'!$B$13&lt;'Aportaciones PPE'!E1008,0,F1008*$B$8/12),F1008*$B$8/12)</f>
      </c>
      <c r="H1008" s="333">
        <f>$H$5*G1008</f>
      </c>
      <c r="I1008" s="333">
        <f>$I$5*G1008</f>
      </c>
      <c r="J1008" s="333">
        <f>+I1008</f>
      </c>
      <c r="K1008" s="333">
        <f>(1+$O$5)^(D1008/12)*(H1008+IF(AND(F1008=1,F1009=0),$S$4,0))</f>
      </c>
      <c r="L1008" s="333">
        <f>(1+$O$5)^(D1008/12)*(I1008+IF(AND(F1008=1,F1009=0),0))</f>
      </c>
      <c r="M1008" s="333">
        <f>+L1008</f>
      </c>
      <c r="N1008" s="333">
        <f>L1008+K1008+M1008</f>
      </c>
      <c r="O1008" s="170"/>
      <c r="P1008" s="7"/>
      <c r="Q1008" s="1"/>
      <c r="R1008" s="331">
        <f>D1008</f>
      </c>
      <c r="S1008" s="169"/>
      <c r="T1008" s="1"/>
      <c r="U1008" s="217"/>
      <c r="V1008" s="331">
        <f>+IF(V1007=11,12,IF(V1007=12,1,V1007+1))</f>
      </c>
      <c r="W1008" s="331">
        <f>+W1007+IF(V1007=12,1,0)</f>
      </c>
      <c r="X1008" s="555">
        <f>+DATE(W1008,V1008,1)</f>
        <v>25569.041666666668</v>
      </c>
      <c r="Y1008" s="333">
        <f>+_xlfn.IFNA(AN1008+AS1008+AX1008,0)</f>
      </c>
      <c r="Z1008" s="333">
        <f>+_xlfn.IFNA(AO1008+AT1008+AY1008,0)</f>
      </c>
      <c r="AA1008" s="333">
        <f>Y1008*(1+$O$5)^(($B$7-X1008)/365.25)</f>
      </c>
      <c r="AB1008" s="333">
        <f>Z1008*(1+$O$5)^(($B$7-X1008)/365.25)</f>
      </c>
      <c r="AC1008" s="1"/>
      <c r="AD1008" s="1"/>
      <c r="AE1008" s="1"/>
      <c r="AF1008" s="111">
        <f>+MONTH(E1008)&amp;YEAR(E1008)</f>
      </c>
      <c r="AG1008" s="217">
        <f>+I1008</f>
      </c>
      <c r="AH1008" s="217">
        <f>+J1008</f>
      </c>
      <c r="AI1008" s="217">
        <f>+H1008</f>
      </c>
      <c r="AJ1008" s="111">
        <f>+V1008&amp;W1008</f>
      </c>
      <c r="AK1008" s="217">
        <f>+_xlfn.IFNA(VLOOKUP(AJ1008,$AF$7:$AG$1066,2,0),0)</f>
      </c>
      <c r="AL1008" s="217">
        <f>+IF(W1008&gt;W1007,AK1008,AL1007+AK1008)</f>
      </c>
      <c r="AM1008" s="217">
        <f>IF(W1008&gt;W1007,IF(AL1008&gt;=$AZ$8,$AZ$8,AL1008),IF(OR(AM1007=$AZ$8,AM1007=0),0,IF(AL1008&gt;=$AZ$8,$AZ$8,AL1008)))</f>
      </c>
      <c r="AN1008" s="748">
        <f>+IF(OR(AM1008&gt;AZ1007,AM1008=0),0,IF(AM1008=AL1008,AK1008,$AZ$7-AL1007))</f>
      </c>
      <c r="AO1008" s="748">
        <f>+AK1008-AN1008</f>
      </c>
      <c r="AP1008" s="217">
        <f>+_xlfn.IFNA(VLOOKUP(AJ1008,$AF$7:$AI$1066,3,0),0)</f>
      </c>
      <c r="AQ1008" s="217">
        <f>+IF(W1008&gt;W1007,AP1008,AQ1007+AP1008)</f>
      </c>
      <c r="AR1008" s="217">
        <f>+MAX($AM$2-SUMIF($W$7:$W$1066,W1008,$AN$7:$AN$1066),0)</f>
      </c>
      <c r="AS1008" s="748">
        <f>+MAX(IF(AQ1008&gt;AR1008,AR1008-AQ1007,AP1008),0)</f>
      </c>
      <c r="AT1008" s="748">
        <f>+AP1008-AS1008</f>
      </c>
      <c r="AU1008" s="217">
        <f>+_xlfn.IFNA(VLOOKUP(AJ1008,$AF$7:$AI$1066,4,0),0)</f>
      </c>
      <c r="AV1008" s="217">
        <f>+IF(W1008&gt;W1007,AU1008,AV1007+AU1008)</f>
      </c>
      <c r="AW1008" s="217">
        <f>+MAX($AM$2-SUMIF($W$7:$W$1066,W1008,$AN$7:$AN$1066)-SUMIF($W$7:$W$1066,W1008,$AS$7:$AS$1066),0)</f>
      </c>
      <c r="AX1008" s="748">
        <f>+MAX(IF(AV1008&gt;AW1008,AW1008-AV1007,AU1008),0)</f>
      </c>
      <c r="AY1008" s="748">
        <f>+AU1008-AX1008</f>
      </c>
      <c r="AZ1008" s="331">
        <f>+$AM$1+IF($AP$1&gt;$AP$2,$AM$3/2)</f>
      </c>
    </row>
    <row x14ac:dyDescent="0.25" r="1009" customHeight="1" ht="18.75">
      <c r="A1009" s="1"/>
      <c r="B1009" s="7"/>
      <c r="C1009" s="170"/>
      <c r="D1009" s="331">
        <v>1002</v>
      </c>
      <c r="E1009" s="544">
        <f>+DATE(YEAR(E1008),MONTH(E1008)-1,DAY(E1008))</f>
        <v>25569.041666666668</v>
      </c>
      <c r="F1009" s="333">
        <f>IF(DATE(YEAR($B$6),MONTH($B$6)+1,DAY(1))=E1009,1,IF(MONTH(E1009)=1,F1010*(1+$F$5),F1010))</f>
      </c>
      <c r="G1009" s="333">
        <f>IF('Simulador - 1º Pilar'!$E$99="Sí",IF('Aportaciones PPE'!$B$13&lt;'Aportaciones PPE'!E1009,0,F1009*$B$8/12),F1009*$B$8/12)</f>
      </c>
      <c r="H1009" s="333">
        <f>$H$5*G1009</f>
      </c>
      <c r="I1009" s="333">
        <f>$I$5*G1009</f>
      </c>
      <c r="J1009" s="333">
        <f>+I1009</f>
      </c>
      <c r="K1009" s="333">
        <f>(1+$O$5)^(D1009/12)*(H1009+IF(AND(F1009=1,F1010=0),$S$4,0))</f>
      </c>
      <c r="L1009" s="333">
        <f>(1+$O$5)^(D1009/12)*(I1009+IF(AND(F1009=1,F1010=0),0))</f>
      </c>
      <c r="M1009" s="333">
        <f>+L1009</f>
      </c>
      <c r="N1009" s="333">
        <f>L1009+K1009+M1009</f>
      </c>
      <c r="O1009" s="170"/>
      <c r="P1009" s="7"/>
      <c r="Q1009" s="1"/>
      <c r="R1009" s="331">
        <f>D1009</f>
      </c>
      <c r="S1009" s="169"/>
      <c r="T1009" s="1"/>
      <c r="U1009" s="217"/>
      <c r="V1009" s="331">
        <f>+IF(V1008=11,12,IF(V1008=12,1,V1008+1))</f>
      </c>
      <c r="W1009" s="331">
        <f>+W1008+IF(V1008=12,1,0)</f>
      </c>
      <c r="X1009" s="555">
        <f>+DATE(W1009,V1009,1)</f>
        <v>25569.041666666668</v>
      </c>
      <c r="Y1009" s="333">
        <f>+_xlfn.IFNA(AN1009+AS1009+AX1009,0)</f>
      </c>
      <c r="Z1009" s="333">
        <f>+_xlfn.IFNA(AO1009+AT1009+AY1009,0)</f>
      </c>
      <c r="AA1009" s="333">
        <f>Y1009*(1+$O$5)^(($B$7-X1009)/365.25)</f>
      </c>
      <c r="AB1009" s="333">
        <f>Z1009*(1+$O$5)^(($B$7-X1009)/365.25)</f>
      </c>
      <c r="AC1009" s="1"/>
      <c r="AD1009" s="1"/>
      <c r="AE1009" s="1"/>
      <c r="AF1009" s="111">
        <f>+MONTH(E1009)&amp;YEAR(E1009)</f>
      </c>
      <c r="AG1009" s="217">
        <f>+I1009</f>
      </c>
      <c r="AH1009" s="217">
        <f>+J1009</f>
      </c>
      <c r="AI1009" s="217">
        <f>+H1009</f>
      </c>
      <c r="AJ1009" s="111">
        <f>+V1009&amp;W1009</f>
      </c>
      <c r="AK1009" s="217">
        <f>+_xlfn.IFNA(VLOOKUP(AJ1009,$AF$7:$AG$1066,2,0),0)</f>
      </c>
      <c r="AL1009" s="217">
        <f>+IF(W1009&gt;W1008,AK1009,AL1008+AK1009)</f>
      </c>
      <c r="AM1009" s="217">
        <f>IF(W1009&gt;W1008,IF(AL1009&gt;=$AZ$8,$AZ$8,AL1009),IF(OR(AM1008=$AZ$8,AM1008=0),0,IF(AL1009&gt;=$AZ$8,$AZ$8,AL1009)))</f>
      </c>
      <c r="AN1009" s="748">
        <f>+IF(OR(AM1009&gt;AZ1008,AM1009=0),0,IF(AM1009=AL1009,AK1009,$AZ$7-AL1008))</f>
      </c>
      <c r="AO1009" s="748">
        <f>+AK1009-AN1009</f>
      </c>
      <c r="AP1009" s="217">
        <f>+_xlfn.IFNA(VLOOKUP(AJ1009,$AF$7:$AI$1066,3,0),0)</f>
      </c>
      <c r="AQ1009" s="217">
        <f>+IF(W1009&gt;W1008,AP1009,AQ1008+AP1009)</f>
      </c>
      <c r="AR1009" s="217">
        <f>+MAX($AM$2-SUMIF($W$7:$W$1066,W1009,$AN$7:$AN$1066),0)</f>
      </c>
      <c r="AS1009" s="748">
        <f>+MAX(IF(AQ1009&gt;AR1009,AR1009-AQ1008,AP1009),0)</f>
      </c>
      <c r="AT1009" s="748">
        <f>+AP1009-AS1009</f>
      </c>
      <c r="AU1009" s="217">
        <f>+_xlfn.IFNA(VLOOKUP(AJ1009,$AF$7:$AI$1066,4,0),0)</f>
      </c>
      <c r="AV1009" s="217">
        <f>+IF(W1009&gt;W1008,AU1009,AV1008+AU1009)</f>
      </c>
      <c r="AW1009" s="217">
        <f>+MAX($AM$2-SUMIF($W$7:$W$1066,W1009,$AN$7:$AN$1066)-SUMIF($W$7:$W$1066,W1009,$AS$7:$AS$1066),0)</f>
      </c>
      <c r="AX1009" s="748">
        <f>+MAX(IF(AV1009&gt;AW1009,AW1009-AV1008,AU1009),0)</f>
      </c>
      <c r="AY1009" s="748">
        <f>+AU1009-AX1009</f>
      </c>
      <c r="AZ1009" s="331">
        <f>+$AM$1+IF($AP$1&gt;$AP$2,$AM$3/2)</f>
      </c>
    </row>
    <row x14ac:dyDescent="0.25" r="1010" customHeight="1" ht="18.75">
      <c r="A1010" s="1"/>
      <c r="B1010" s="7"/>
      <c r="C1010" s="170"/>
      <c r="D1010" s="331">
        <v>1003</v>
      </c>
      <c r="E1010" s="544">
        <f>+DATE(YEAR(E1009),MONTH(E1009)-1,DAY(E1009))</f>
        <v>25569.041666666668</v>
      </c>
      <c r="F1010" s="333">
        <f>IF(DATE(YEAR($B$6),MONTH($B$6)+1,DAY(1))=E1010,1,IF(MONTH(E1010)=1,F1011*(1+$F$5),F1011))</f>
      </c>
      <c r="G1010" s="333">
        <f>IF('Simulador - 1º Pilar'!$E$99="Sí",IF('Aportaciones PPE'!$B$13&lt;'Aportaciones PPE'!E1010,0,F1010*$B$8/12),F1010*$B$8/12)</f>
      </c>
      <c r="H1010" s="333">
        <f>$H$5*G1010</f>
      </c>
      <c r="I1010" s="333">
        <f>$I$5*G1010</f>
      </c>
      <c r="J1010" s="333">
        <f>+I1010</f>
      </c>
      <c r="K1010" s="333">
        <f>(1+$O$5)^(D1010/12)*(H1010+IF(AND(F1010=1,F1011=0),$S$4,0))</f>
      </c>
      <c r="L1010" s="333">
        <f>(1+$O$5)^(D1010/12)*(I1010+IF(AND(F1010=1,F1011=0),0))</f>
      </c>
      <c r="M1010" s="333">
        <f>+L1010</f>
      </c>
      <c r="N1010" s="333">
        <f>L1010+K1010+M1010</f>
      </c>
      <c r="O1010" s="170"/>
      <c r="P1010" s="7"/>
      <c r="Q1010" s="1"/>
      <c r="R1010" s="331">
        <f>D1010</f>
      </c>
      <c r="S1010" s="169"/>
      <c r="T1010" s="1"/>
      <c r="U1010" s="217"/>
      <c r="V1010" s="331">
        <f>+IF(V1009=11,12,IF(V1009=12,1,V1009+1))</f>
      </c>
      <c r="W1010" s="331">
        <f>+W1009+IF(V1009=12,1,0)</f>
      </c>
      <c r="X1010" s="555">
        <f>+DATE(W1010,V1010,1)</f>
        <v>25569.041666666668</v>
      </c>
      <c r="Y1010" s="333">
        <f>+_xlfn.IFNA(AN1010+AS1010+AX1010,0)</f>
      </c>
      <c r="Z1010" s="333">
        <f>+_xlfn.IFNA(AO1010+AT1010+AY1010,0)</f>
      </c>
      <c r="AA1010" s="333">
        <f>Y1010*(1+$O$5)^(($B$7-X1010)/365.25)</f>
      </c>
      <c r="AB1010" s="333">
        <f>Z1010*(1+$O$5)^(($B$7-X1010)/365.25)</f>
      </c>
      <c r="AC1010" s="1"/>
      <c r="AD1010" s="1"/>
      <c r="AE1010" s="1"/>
      <c r="AF1010" s="111">
        <f>+MONTH(E1010)&amp;YEAR(E1010)</f>
      </c>
      <c r="AG1010" s="217">
        <f>+I1010</f>
      </c>
      <c r="AH1010" s="217">
        <f>+J1010</f>
      </c>
      <c r="AI1010" s="217">
        <f>+H1010</f>
      </c>
      <c r="AJ1010" s="111">
        <f>+V1010&amp;W1010</f>
      </c>
      <c r="AK1010" s="217">
        <f>+_xlfn.IFNA(VLOOKUP(AJ1010,$AF$7:$AG$1066,2,0),0)</f>
      </c>
      <c r="AL1010" s="217">
        <f>+IF(W1010&gt;W1009,AK1010,AL1009+AK1010)</f>
      </c>
      <c r="AM1010" s="217">
        <f>IF(W1010&gt;W1009,IF(AL1010&gt;=$AZ$8,$AZ$8,AL1010),IF(OR(AM1009=$AZ$8,AM1009=0),0,IF(AL1010&gt;=$AZ$8,$AZ$8,AL1010)))</f>
      </c>
      <c r="AN1010" s="748">
        <f>+IF(OR(AM1010&gt;AZ1009,AM1010=0),0,IF(AM1010=AL1010,AK1010,$AZ$7-AL1009))</f>
      </c>
      <c r="AO1010" s="748">
        <f>+AK1010-AN1010</f>
      </c>
      <c r="AP1010" s="217">
        <f>+_xlfn.IFNA(VLOOKUP(AJ1010,$AF$7:$AI$1066,3,0),0)</f>
      </c>
      <c r="AQ1010" s="217">
        <f>+IF(W1010&gt;W1009,AP1010,AQ1009+AP1010)</f>
      </c>
      <c r="AR1010" s="217">
        <f>+MAX($AM$2-SUMIF($W$7:$W$1066,W1010,$AN$7:$AN$1066),0)</f>
      </c>
      <c r="AS1010" s="748">
        <f>+MAX(IF(AQ1010&gt;AR1010,AR1010-AQ1009,AP1010),0)</f>
      </c>
      <c r="AT1010" s="748">
        <f>+AP1010-AS1010</f>
      </c>
      <c r="AU1010" s="217">
        <f>+_xlfn.IFNA(VLOOKUP(AJ1010,$AF$7:$AI$1066,4,0),0)</f>
      </c>
      <c r="AV1010" s="217">
        <f>+IF(W1010&gt;W1009,AU1010,AV1009+AU1010)</f>
      </c>
      <c r="AW1010" s="217">
        <f>+MAX($AM$2-SUMIF($W$7:$W$1066,W1010,$AN$7:$AN$1066)-SUMIF($W$7:$W$1066,W1010,$AS$7:$AS$1066),0)</f>
      </c>
      <c r="AX1010" s="748">
        <f>+MAX(IF(AV1010&gt;AW1010,AW1010-AV1009,AU1010),0)</f>
      </c>
      <c r="AY1010" s="748">
        <f>+AU1010-AX1010</f>
      </c>
      <c r="AZ1010" s="331">
        <f>+$AM$1+IF($AP$1&gt;$AP$2,$AM$3/2)</f>
      </c>
    </row>
    <row x14ac:dyDescent="0.25" r="1011" customHeight="1" ht="18.75">
      <c r="A1011" s="1"/>
      <c r="B1011" s="7"/>
      <c r="C1011" s="170"/>
      <c r="D1011" s="331">
        <v>1004</v>
      </c>
      <c r="E1011" s="544">
        <f>+DATE(YEAR(E1010),MONTH(E1010)-1,DAY(E1010))</f>
        <v>25569.041666666668</v>
      </c>
      <c r="F1011" s="333">
        <f>IF(DATE(YEAR($B$6),MONTH($B$6)+1,DAY(1))=E1011,1,IF(MONTH(E1011)=1,F1012*(1+$F$5),F1012))</f>
      </c>
      <c r="G1011" s="333">
        <f>IF('Simulador - 1º Pilar'!$E$99="Sí",IF('Aportaciones PPE'!$B$13&lt;'Aportaciones PPE'!E1011,0,F1011*$B$8/12),F1011*$B$8/12)</f>
      </c>
      <c r="H1011" s="333">
        <f>$H$5*G1011</f>
      </c>
      <c r="I1011" s="333">
        <f>$I$5*G1011</f>
      </c>
      <c r="J1011" s="333">
        <f>+I1011</f>
      </c>
      <c r="K1011" s="333">
        <f>(1+$O$5)^(D1011/12)*(H1011+IF(AND(F1011=1,F1012=0),$S$4,0))</f>
      </c>
      <c r="L1011" s="333">
        <f>(1+$O$5)^(D1011/12)*(I1011+IF(AND(F1011=1,F1012=0),0))</f>
      </c>
      <c r="M1011" s="333">
        <f>+L1011</f>
      </c>
      <c r="N1011" s="333">
        <f>L1011+K1011+M1011</f>
      </c>
      <c r="O1011" s="170"/>
      <c r="P1011" s="7"/>
      <c r="Q1011" s="1"/>
      <c r="R1011" s="331">
        <f>D1011</f>
      </c>
      <c r="S1011" s="169"/>
      <c r="T1011" s="1"/>
      <c r="U1011" s="217"/>
      <c r="V1011" s="331">
        <f>+IF(V1010=11,12,IF(V1010=12,1,V1010+1))</f>
      </c>
      <c r="W1011" s="331">
        <f>+W1010+IF(V1010=12,1,0)</f>
      </c>
      <c r="X1011" s="555">
        <f>+DATE(W1011,V1011,1)</f>
        <v>25569.041666666668</v>
      </c>
      <c r="Y1011" s="333">
        <f>+_xlfn.IFNA(AN1011+AS1011+AX1011,0)</f>
      </c>
      <c r="Z1011" s="333">
        <f>+_xlfn.IFNA(AO1011+AT1011+AY1011,0)</f>
      </c>
      <c r="AA1011" s="333">
        <f>Y1011*(1+$O$5)^(($B$7-X1011)/365.25)</f>
      </c>
      <c r="AB1011" s="333">
        <f>Z1011*(1+$O$5)^(($B$7-X1011)/365.25)</f>
      </c>
      <c r="AC1011" s="1"/>
      <c r="AD1011" s="1"/>
      <c r="AE1011" s="1"/>
      <c r="AF1011" s="111">
        <f>+MONTH(E1011)&amp;YEAR(E1011)</f>
      </c>
      <c r="AG1011" s="217">
        <f>+I1011</f>
      </c>
      <c r="AH1011" s="217">
        <f>+J1011</f>
      </c>
      <c r="AI1011" s="217">
        <f>+H1011</f>
      </c>
      <c r="AJ1011" s="111">
        <f>+V1011&amp;W1011</f>
      </c>
      <c r="AK1011" s="217">
        <f>+_xlfn.IFNA(VLOOKUP(AJ1011,$AF$7:$AG$1066,2,0),0)</f>
      </c>
      <c r="AL1011" s="217">
        <f>+IF(W1011&gt;W1010,AK1011,AL1010+AK1011)</f>
      </c>
      <c r="AM1011" s="217">
        <f>IF(W1011&gt;W1010,IF(AL1011&gt;=$AZ$8,$AZ$8,AL1011),IF(OR(AM1010=$AZ$8,AM1010=0),0,IF(AL1011&gt;=$AZ$8,$AZ$8,AL1011)))</f>
      </c>
      <c r="AN1011" s="748">
        <f>+IF(OR(AM1011&gt;AZ1010,AM1011=0),0,IF(AM1011=AL1011,AK1011,$AZ$7-AL1010))</f>
      </c>
      <c r="AO1011" s="748">
        <f>+AK1011-AN1011</f>
      </c>
      <c r="AP1011" s="217">
        <f>+_xlfn.IFNA(VLOOKUP(AJ1011,$AF$7:$AI$1066,3,0),0)</f>
      </c>
      <c r="AQ1011" s="217">
        <f>+IF(W1011&gt;W1010,AP1011,AQ1010+AP1011)</f>
      </c>
      <c r="AR1011" s="217">
        <f>+MAX($AM$2-SUMIF($W$7:$W$1066,W1011,$AN$7:$AN$1066),0)</f>
      </c>
      <c r="AS1011" s="748">
        <f>+MAX(IF(AQ1011&gt;AR1011,AR1011-AQ1010,AP1011),0)</f>
      </c>
      <c r="AT1011" s="748">
        <f>+AP1011-AS1011</f>
      </c>
      <c r="AU1011" s="217">
        <f>+_xlfn.IFNA(VLOOKUP(AJ1011,$AF$7:$AI$1066,4,0),0)</f>
      </c>
      <c r="AV1011" s="217">
        <f>+IF(W1011&gt;W1010,AU1011,AV1010+AU1011)</f>
      </c>
      <c r="AW1011" s="217">
        <f>+MAX($AM$2-SUMIF($W$7:$W$1066,W1011,$AN$7:$AN$1066)-SUMIF($W$7:$W$1066,W1011,$AS$7:$AS$1066),0)</f>
      </c>
      <c r="AX1011" s="748">
        <f>+MAX(IF(AV1011&gt;AW1011,AW1011-AV1010,AU1011),0)</f>
      </c>
      <c r="AY1011" s="748">
        <f>+AU1011-AX1011</f>
      </c>
      <c r="AZ1011" s="331">
        <f>+$AM$1+IF($AP$1&gt;$AP$2,$AM$3/2)</f>
      </c>
    </row>
    <row x14ac:dyDescent="0.25" r="1012" customHeight="1" ht="18.75">
      <c r="A1012" s="1"/>
      <c r="B1012" s="7"/>
      <c r="C1012" s="170"/>
      <c r="D1012" s="331">
        <v>1005</v>
      </c>
      <c r="E1012" s="544">
        <f>+DATE(YEAR(E1011),MONTH(E1011)-1,DAY(E1011))</f>
        <v>25569.041666666668</v>
      </c>
      <c r="F1012" s="333">
        <f>IF(DATE(YEAR($B$6),MONTH($B$6)+1,DAY(1))=E1012,1,IF(MONTH(E1012)=1,F1013*(1+$F$5),F1013))</f>
      </c>
      <c r="G1012" s="333">
        <f>IF('Simulador - 1º Pilar'!$E$99="Sí",IF('Aportaciones PPE'!$B$13&lt;'Aportaciones PPE'!E1012,0,F1012*$B$8/12),F1012*$B$8/12)</f>
      </c>
      <c r="H1012" s="333">
        <f>$H$5*G1012</f>
      </c>
      <c r="I1012" s="333">
        <f>$I$5*G1012</f>
      </c>
      <c r="J1012" s="333">
        <f>+I1012</f>
      </c>
      <c r="K1012" s="333">
        <f>(1+$O$5)^(D1012/12)*(H1012+IF(AND(F1012=1,F1013=0),$S$4,0))</f>
      </c>
      <c r="L1012" s="333">
        <f>(1+$O$5)^(D1012/12)*(I1012+IF(AND(F1012=1,F1013=0),0))</f>
      </c>
      <c r="M1012" s="333">
        <f>+L1012</f>
      </c>
      <c r="N1012" s="333">
        <f>L1012+K1012+M1012</f>
      </c>
      <c r="O1012" s="170"/>
      <c r="P1012" s="7"/>
      <c r="Q1012" s="1"/>
      <c r="R1012" s="331">
        <f>D1012</f>
      </c>
      <c r="S1012" s="169"/>
      <c r="T1012" s="1"/>
      <c r="U1012" s="217"/>
      <c r="V1012" s="331">
        <f>+IF(V1011=11,12,IF(V1011=12,1,V1011+1))</f>
      </c>
      <c r="W1012" s="331">
        <f>+W1011+IF(V1011=12,1,0)</f>
      </c>
      <c r="X1012" s="555">
        <f>+DATE(W1012,V1012,1)</f>
        <v>25569.041666666668</v>
      </c>
      <c r="Y1012" s="333">
        <f>+_xlfn.IFNA(AN1012+AS1012+AX1012,0)</f>
      </c>
      <c r="Z1012" s="333">
        <f>+_xlfn.IFNA(AO1012+AT1012+AY1012,0)</f>
      </c>
      <c r="AA1012" s="333">
        <f>Y1012*(1+$O$5)^(($B$7-X1012)/365.25)</f>
      </c>
      <c r="AB1012" s="333">
        <f>Z1012*(1+$O$5)^(($B$7-X1012)/365.25)</f>
      </c>
      <c r="AC1012" s="1"/>
      <c r="AD1012" s="1"/>
      <c r="AE1012" s="1"/>
      <c r="AF1012" s="111">
        <f>+MONTH(E1012)&amp;YEAR(E1012)</f>
      </c>
      <c r="AG1012" s="217">
        <f>+I1012</f>
      </c>
      <c r="AH1012" s="217">
        <f>+J1012</f>
      </c>
      <c r="AI1012" s="217">
        <f>+H1012</f>
      </c>
      <c r="AJ1012" s="111">
        <f>+V1012&amp;W1012</f>
      </c>
      <c r="AK1012" s="217">
        <f>+_xlfn.IFNA(VLOOKUP(AJ1012,$AF$7:$AG$1066,2,0),0)</f>
      </c>
      <c r="AL1012" s="217">
        <f>+IF(W1012&gt;W1011,AK1012,AL1011+AK1012)</f>
      </c>
      <c r="AM1012" s="217">
        <f>IF(W1012&gt;W1011,IF(AL1012&gt;=$AZ$8,$AZ$8,AL1012),IF(OR(AM1011=$AZ$8,AM1011=0),0,IF(AL1012&gt;=$AZ$8,$AZ$8,AL1012)))</f>
      </c>
      <c r="AN1012" s="748">
        <f>+IF(OR(AM1012&gt;AZ1011,AM1012=0),0,IF(AM1012=AL1012,AK1012,$AZ$7-AL1011))</f>
      </c>
      <c r="AO1012" s="748">
        <f>+AK1012-AN1012</f>
      </c>
      <c r="AP1012" s="217">
        <f>+_xlfn.IFNA(VLOOKUP(AJ1012,$AF$7:$AI$1066,3,0),0)</f>
      </c>
      <c r="AQ1012" s="217">
        <f>+IF(W1012&gt;W1011,AP1012,AQ1011+AP1012)</f>
      </c>
      <c r="AR1012" s="217">
        <f>+MAX($AM$2-SUMIF($W$7:$W$1066,W1012,$AN$7:$AN$1066),0)</f>
      </c>
      <c r="AS1012" s="748">
        <f>+MAX(IF(AQ1012&gt;AR1012,AR1012-AQ1011,AP1012),0)</f>
      </c>
      <c r="AT1012" s="748">
        <f>+AP1012-AS1012</f>
      </c>
      <c r="AU1012" s="217">
        <f>+_xlfn.IFNA(VLOOKUP(AJ1012,$AF$7:$AI$1066,4,0),0)</f>
      </c>
      <c r="AV1012" s="217">
        <f>+IF(W1012&gt;W1011,AU1012,AV1011+AU1012)</f>
      </c>
      <c r="AW1012" s="217">
        <f>+MAX($AM$2-SUMIF($W$7:$W$1066,W1012,$AN$7:$AN$1066)-SUMIF($W$7:$W$1066,W1012,$AS$7:$AS$1066),0)</f>
      </c>
      <c r="AX1012" s="748">
        <f>+MAX(IF(AV1012&gt;AW1012,AW1012-AV1011,AU1012),0)</f>
      </c>
      <c r="AY1012" s="748">
        <f>+AU1012-AX1012</f>
      </c>
      <c r="AZ1012" s="331">
        <f>+$AM$1+IF($AP$1&gt;$AP$2,$AM$3/2)</f>
      </c>
    </row>
    <row x14ac:dyDescent="0.25" r="1013" customHeight="1" ht="18.75">
      <c r="A1013" s="1"/>
      <c r="B1013" s="7"/>
      <c r="C1013" s="170"/>
      <c r="D1013" s="331">
        <v>1006</v>
      </c>
      <c r="E1013" s="544">
        <f>+DATE(YEAR(E1012),MONTH(E1012)-1,DAY(E1012))</f>
        <v>25569.041666666668</v>
      </c>
      <c r="F1013" s="333">
        <f>IF(DATE(YEAR($B$6),MONTH($B$6)+1,DAY(1))=E1013,1,IF(MONTH(E1013)=1,F1014*(1+$F$5),F1014))</f>
      </c>
      <c r="G1013" s="333">
        <f>IF('Simulador - 1º Pilar'!$E$99="Sí",IF('Aportaciones PPE'!$B$13&lt;'Aportaciones PPE'!E1013,0,F1013*$B$8/12),F1013*$B$8/12)</f>
      </c>
      <c r="H1013" s="333">
        <f>$H$5*G1013</f>
      </c>
      <c r="I1013" s="333">
        <f>$I$5*G1013</f>
      </c>
      <c r="J1013" s="333">
        <f>+I1013</f>
      </c>
      <c r="K1013" s="333">
        <f>(1+$O$5)^(D1013/12)*(H1013+IF(AND(F1013=1,F1014=0),$S$4,0))</f>
      </c>
      <c r="L1013" s="333">
        <f>(1+$O$5)^(D1013/12)*(I1013+IF(AND(F1013=1,F1014=0),0))</f>
      </c>
      <c r="M1013" s="333">
        <f>+L1013</f>
      </c>
      <c r="N1013" s="333">
        <f>L1013+K1013+M1013</f>
      </c>
      <c r="O1013" s="170"/>
      <c r="P1013" s="7"/>
      <c r="Q1013" s="1"/>
      <c r="R1013" s="331">
        <f>D1013</f>
      </c>
      <c r="S1013" s="169"/>
      <c r="T1013" s="1"/>
      <c r="U1013" s="217"/>
      <c r="V1013" s="331">
        <f>+IF(V1012=11,12,IF(V1012=12,1,V1012+1))</f>
      </c>
      <c r="W1013" s="331">
        <f>+W1012+IF(V1012=12,1,0)</f>
      </c>
      <c r="X1013" s="555">
        <f>+DATE(W1013,V1013,1)</f>
        <v>25569.041666666668</v>
      </c>
      <c r="Y1013" s="333">
        <f>+_xlfn.IFNA(AN1013+AS1013+AX1013,0)</f>
      </c>
      <c r="Z1013" s="333">
        <f>+_xlfn.IFNA(AO1013+AT1013+AY1013,0)</f>
      </c>
      <c r="AA1013" s="333">
        <f>Y1013*(1+$O$5)^(($B$7-X1013)/365.25)</f>
      </c>
      <c r="AB1013" s="333">
        <f>Z1013*(1+$O$5)^(($B$7-X1013)/365.25)</f>
      </c>
      <c r="AC1013" s="1"/>
      <c r="AD1013" s="1"/>
      <c r="AE1013" s="1"/>
      <c r="AF1013" s="111">
        <f>+MONTH(E1013)&amp;YEAR(E1013)</f>
      </c>
      <c r="AG1013" s="217">
        <f>+I1013</f>
      </c>
      <c r="AH1013" s="217">
        <f>+J1013</f>
      </c>
      <c r="AI1013" s="217">
        <f>+H1013</f>
      </c>
      <c r="AJ1013" s="111">
        <f>+V1013&amp;W1013</f>
      </c>
      <c r="AK1013" s="217">
        <f>+_xlfn.IFNA(VLOOKUP(AJ1013,$AF$7:$AG$1066,2,0),0)</f>
      </c>
      <c r="AL1013" s="217">
        <f>+IF(W1013&gt;W1012,AK1013,AL1012+AK1013)</f>
      </c>
      <c r="AM1013" s="217">
        <f>IF(W1013&gt;W1012,IF(AL1013&gt;=$AZ$8,$AZ$8,AL1013),IF(OR(AM1012=$AZ$8,AM1012=0),0,IF(AL1013&gt;=$AZ$8,$AZ$8,AL1013)))</f>
      </c>
      <c r="AN1013" s="748">
        <f>+IF(OR(AM1013&gt;AZ1012,AM1013=0),0,IF(AM1013=AL1013,AK1013,$AZ$7-AL1012))</f>
      </c>
      <c r="AO1013" s="748">
        <f>+AK1013-AN1013</f>
      </c>
      <c r="AP1013" s="217">
        <f>+_xlfn.IFNA(VLOOKUP(AJ1013,$AF$7:$AI$1066,3,0),0)</f>
      </c>
      <c r="AQ1013" s="217">
        <f>+IF(W1013&gt;W1012,AP1013,AQ1012+AP1013)</f>
      </c>
      <c r="AR1013" s="217">
        <f>+MAX($AM$2-SUMIF($W$7:$W$1066,W1013,$AN$7:$AN$1066),0)</f>
      </c>
      <c r="AS1013" s="748">
        <f>+MAX(IF(AQ1013&gt;AR1013,AR1013-AQ1012,AP1013),0)</f>
      </c>
      <c r="AT1013" s="748">
        <f>+AP1013-AS1013</f>
      </c>
      <c r="AU1013" s="217">
        <f>+_xlfn.IFNA(VLOOKUP(AJ1013,$AF$7:$AI$1066,4,0),0)</f>
      </c>
      <c r="AV1013" s="217">
        <f>+IF(W1013&gt;W1012,AU1013,AV1012+AU1013)</f>
      </c>
      <c r="AW1013" s="217">
        <f>+MAX($AM$2-SUMIF($W$7:$W$1066,W1013,$AN$7:$AN$1066)-SUMIF($W$7:$W$1066,W1013,$AS$7:$AS$1066),0)</f>
      </c>
      <c r="AX1013" s="748">
        <f>+MAX(IF(AV1013&gt;AW1013,AW1013-AV1012,AU1013),0)</f>
      </c>
      <c r="AY1013" s="748">
        <f>+AU1013-AX1013</f>
      </c>
      <c r="AZ1013" s="331">
        <f>+$AM$1+IF($AP$1&gt;$AP$2,$AM$3/2)</f>
      </c>
    </row>
    <row x14ac:dyDescent="0.25" r="1014" customHeight="1" ht="18.75">
      <c r="A1014" s="1"/>
      <c r="B1014" s="7"/>
      <c r="C1014" s="170"/>
      <c r="D1014" s="331">
        <v>1007</v>
      </c>
      <c r="E1014" s="544">
        <f>+DATE(YEAR(E1013),MONTH(E1013)-1,DAY(E1013))</f>
        <v>25569.041666666668</v>
      </c>
      <c r="F1014" s="333">
        <f>IF(DATE(YEAR($B$6),MONTH($B$6)+1,DAY(1))=E1014,1,IF(MONTH(E1014)=1,F1015*(1+$F$5),F1015))</f>
      </c>
      <c r="G1014" s="333">
        <f>IF('Simulador - 1º Pilar'!$E$99="Sí",IF('Aportaciones PPE'!$B$13&lt;'Aportaciones PPE'!E1014,0,F1014*$B$8/12),F1014*$B$8/12)</f>
      </c>
      <c r="H1014" s="333">
        <f>$H$5*G1014</f>
      </c>
      <c r="I1014" s="333">
        <f>$I$5*G1014</f>
      </c>
      <c r="J1014" s="333">
        <f>+I1014</f>
      </c>
      <c r="K1014" s="333">
        <f>(1+$O$5)^(D1014/12)*(H1014+IF(AND(F1014=1,F1015=0),$S$4,0))</f>
      </c>
      <c r="L1014" s="333">
        <f>(1+$O$5)^(D1014/12)*(I1014+IF(AND(F1014=1,F1015=0),0))</f>
      </c>
      <c r="M1014" s="333">
        <f>+L1014</f>
      </c>
      <c r="N1014" s="333">
        <f>L1014+K1014+M1014</f>
      </c>
      <c r="O1014" s="170"/>
      <c r="P1014" s="7"/>
      <c r="Q1014" s="1"/>
      <c r="R1014" s="331">
        <f>D1014</f>
      </c>
      <c r="S1014" s="169"/>
      <c r="T1014" s="1"/>
      <c r="U1014" s="217"/>
      <c r="V1014" s="331">
        <f>+IF(V1013=11,12,IF(V1013=12,1,V1013+1))</f>
      </c>
      <c r="W1014" s="331">
        <f>+W1013+IF(V1013=12,1,0)</f>
      </c>
      <c r="X1014" s="555">
        <f>+DATE(W1014,V1014,1)</f>
        <v>25569.041666666668</v>
      </c>
      <c r="Y1014" s="333">
        <f>+_xlfn.IFNA(AN1014+AS1014+AX1014,0)</f>
      </c>
      <c r="Z1014" s="333">
        <f>+_xlfn.IFNA(AO1014+AT1014+AY1014,0)</f>
      </c>
      <c r="AA1014" s="333">
        <f>Y1014*(1+$O$5)^(($B$7-X1014)/365.25)</f>
      </c>
      <c r="AB1014" s="333">
        <f>Z1014*(1+$O$5)^(($B$7-X1014)/365.25)</f>
      </c>
      <c r="AC1014" s="1"/>
      <c r="AD1014" s="1"/>
      <c r="AE1014" s="1"/>
      <c r="AF1014" s="111">
        <f>+MONTH(E1014)&amp;YEAR(E1014)</f>
      </c>
      <c r="AG1014" s="217">
        <f>+I1014</f>
      </c>
      <c r="AH1014" s="217">
        <f>+J1014</f>
      </c>
      <c r="AI1014" s="217">
        <f>+H1014</f>
      </c>
      <c r="AJ1014" s="111">
        <f>+V1014&amp;W1014</f>
      </c>
      <c r="AK1014" s="217">
        <f>+_xlfn.IFNA(VLOOKUP(AJ1014,$AF$7:$AG$1066,2,0),0)</f>
      </c>
      <c r="AL1014" s="217">
        <f>+IF(W1014&gt;W1013,AK1014,AL1013+AK1014)</f>
      </c>
      <c r="AM1014" s="217">
        <f>IF(W1014&gt;W1013,IF(AL1014&gt;=$AZ$8,$AZ$8,AL1014),IF(OR(AM1013=$AZ$8,AM1013=0),0,IF(AL1014&gt;=$AZ$8,$AZ$8,AL1014)))</f>
      </c>
      <c r="AN1014" s="748">
        <f>+IF(OR(AM1014&gt;AZ1013,AM1014=0),0,IF(AM1014=AL1014,AK1014,$AZ$7-AL1013))</f>
      </c>
      <c r="AO1014" s="748">
        <f>+AK1014-AN1014</f>
      </c>
      <c r="AP1014" s="217">
        <f>+_xlfn.IFNA(VLOOKUP(AJ1014,$AF$7:$AI$1066,3,0),0)</f>
      </c>
      <c r="AQ1014" s="217">
        <f>+IF(W1014&gt;W1013,AP1014,AQ1013+AP1014)</f>
      </c>
      <c r="AR1014" s="217">
        <f>+MAX($AM$2-SUMIF($W$7:$W$1066,W1014,$AN$7:$AN$1066),0)</f>
      </c>
      <c r="AS1014" s="748">
        <f>+MAX(IF(AQ1014&gt;AR1014,AR1014-AQ1013,AP1014),0)</f>
      </c>
      <c r="AT1014" s="748">
        <f>+AP1014-AS1014</f>
      </c>
      <c r="AU1014" s="217">
        <f>+_xlfn.IFNA(VLOOKUP(AJ1014,$AF$7:$AI$1066,4,0),0)</f>
      </c>
      <c r="AV1014" s="217">
        <f>+IF(W1014&gt;W1013,AU1014,AV1013+AU1014)</f>
      </c>
      <c r="AW1014" s="217">
        <f>+MAX($AM$2-SUMIF($W$7:$W$1066,W1014,$AN$7:$AN$1066)-SUMIF($W$7:$W$1066,W1014,$AS$7:$AS$1066),0)</f>
      </c>
      <c r="AX1014" s="748">
        <f>+MAX(IF(AV1014&gt;AW1014,AW1014-AV1013,AU1014),0)</f>
      </c>
      <c r="AY1014" s="748">
        <f>+AU1014-AX1014</f>
      </c>
      <c r="AZ1014" s="331">
        <f>+$AM$1+IF($AP$1&gt;$AP$2,$AM$3/2)</f>
      </c>
    </row>
    <row x14ac:dyDescent="0.25" r="1015" customHeight="1" ht="18.75">
      <c r="A1015" s="1"/>
      <c r="B1015" s="7"/>
      <c r="C1015" s="170"/>
      <c r="D1015" s="331">
        <v>1008</v>
      </c>
      <c r="E1015" s="544">
        <f>+DATE(YEAR(E1014),MONTH(E1014)-1,DAY(E1014))</f>
        <v>25569.041666666668</v>
      </c>
      <c r="F1015" s="333">
        <f>IF(DATE(YEAR($B$6),MONTH($B$6)+1,DAY(1))=E1015,1,IF(MONTH(E1015)=1,F1016*(1+$F$5),F1016))</f>
      </c>
      <c r="G1015" s="333">
        <f>IF('Simulador - 1º Pilar'!$E$99="Sí",IF('Aportaciones PPE'!$B$13&lt;'Aportaciones PPE'!E1015,0,F1015*$B$8/12),F1015*$B$8/12)</f>
      </c>
      <c r="H1015" s="333">
        <f>$H$5*G1015</f>
      </c>
      <c r="I1015" s="333">
        <f>$I$5*G1015</f>
      </c>
      <c r="J1015" s="333">
        <f>+I1015</f>
      </c>
      <c r="K1015" s="333">
        <f>(1+$O$5)^(D1015/12)*(H1015+IF(AND(F1015=1,F1016=0),$S$4,0))</f>
      </c>
      <c r="L1015" s="333">
        <f>(1+$O$5)^(D1015/12)*(I1015+IF(AND(F1015=1,F1016=0),0))</f>
      </c>
      <c r="M1015" s="333">
        <f>+L1015</f>
      </c>
      <c r="N1015" s="333">
        <f>L1015+K1015+M1015</f>
      </c>
      <c r="O1015" s="170"/>
      <c r="P1015" s="7"/>
      <c r="Q1015" s="1"/>
      <c r="R1015" s="331">
        <f>D1015</f>
      </c>
      <c r="S1015" s="169"/>
      <c r="T1015" s="1"/>
      <c r="U1015" s="217"/>
      <c r="V1015" s="331">
        <f>+IF(V1014=11,12,IF(V1014=12,1,V1014+1))</f>
      </c>
      <c r="W1015" s="331">
        <f>+W1014+IF(V1014=12,1,0)</f>
      </c>
      <c r="X1015" s="555">
        <f>+DATE(W1015,V1015,1)</f>
        <v>25569.041666666668</v>
      </c>
      <c r="Y1015" s="333">
        <f>+_xlfn.IFNA(AN1015+AS1015+AX1015,0)</f>
      </c>
      <c r="Z1015" s="333">
        <f>+_xlfn.IFNA(AO1015+AT1015+AY1015,0)</f>
      </c>
      <c r="AA1015" s="333">
        <f>Y1015*(1+$O$5)^(($B$7-X1015)/365.25)</f>
      </c>
      <c r="AB1015" s="333">
        <f>Z1015*(1+$O$5)^(($B$7-X1015)/365.25)</f>
      </c>
      <c r="AC1015" s="1"/>
      <c r="AD1015" s="1"/>
      <c r="AE1015" s="1"/>
      <c r="AF1015" s="111">
        <f>+MONTH(E1015)&amp;YEAR(E1015)</f>
      </c>
      <c r="AG1015" s="217">
        <f>+I1015</f>
      </c>
      <c r="AH1015" s="217">
        <f>+J1015</f>
      </c>
      <c r="AI1015" s="217">
        <f>+H1015</f>
      </c>
      <c r="AJ1015" s="111">
        <f>+V1015&amp;W1015</f>
      </c>
      <c r="AK1015" s="217">
        <f>+_xlfn.IFNA(VLOOKUP(AJ1015,$AF$7:$AG$1066,2,0),0)</f>
      </c>
      <c r="AL1015" s="217">
        <f>+IF(W1015&gt;W1014,AK1015,AL1014+AK1015)</f>
      </c>
      <c r="AM1015" s="217">
        <f>IF(W1015&gt;W1014,IF(AL1015&gt;=$AZ$8,$AZ$8,AL1015),IF(OR(AM1014=$AZ$8,AM1014=0),0,IF(AL1015&gt;=$AZ$8,$AZ$8,AL1015)))</f>
      </c>
      <c r="AN1015" s="748">
        <f>+IF(OR(AM1015&gt;AZ1014,AM1015=0),0,IF(AM1015=AL1015,AK1015,$AZ$7-AL1014))</f>
      </c>
      <c r="AO1015" s="748">
        <f>+AK1015-AN1015</f>
      </c>
      <c r="AP1015" s="217">
        <f>+_xlfn.IFNA(VLOOKUP(AJ1015,$AF$7:$AI$1066,3,0),0)</f>
      </c>
      <c r="AQ1015" s="217">
        <f>+IF(W1015&gt;W1014,AP1015,AQ1014+AP1015)</f>
      </c>
      <c r="AR1015" s="217">
        <f>+MAX($AM$2-SUMIF($W$7:$W$1066,W1015,$AN$7:$AN$1066),0)</f>
      </c>
      <c r="AS1015" s="748">
        <f>+MAX(IF(AQ1015&gt;AR1015,AR1015-AQ1014,AP1015),0)</f>
      </c>
      <c r="AT1015" s="748">
        <f>+AP1015-AS1015</f>
      </c>
      <c r="AU1015" s="217">
        <f>+_xlfn.IFNA(VLOOKUP(AJ1015,$AF$7:$AI$1066,4,0),0)</f>
      </c>
      <c r="AV1015" s="217">
        <f>+IF(W1015&gt;W1014,AU1015,AV1014+AU1015)</f>
      </c>
      <c r="AW1015" s="217">
        <f>+MAX($AM$2-SUMIF($W$7:$W$1066,W1015,$AN$7:$AN$1066)-SUMIF($W$7:$W$1066,W1015,$AS$7:$AS$1066),0)</f>
      </c>
      <c r="AX1015" s="748">
        <f>+MAX(IF(AV1015&gt;AW1015,AW1015-AV1014,AU1015),0)</f>
      </c>
      <c r="AY1015" s="748">
        <f>+AU1015-AX1015</f>
      </c>
      <c r="AZ1015" s="331">
        <f>+$AM$1+IF($AP$1&gt;$AP$2,$AM$3/2)</f>
      </c>
    </row>
    <row x14ac:dyDescent="0.25" r="1016" customHeight="1" ht="18.75">
      <c r="A1016" s="1"/>
      <c r="B1016" s="7"/>
      <c r="C1016" s="170"/>
      <c r="D1016" s="331">
        <v>1009</v>
      </c>
      <c r="E1016" s="544">
        <f>+DATE(YEAR(E1015),MONTH(E1015)-1,DAY(E1015))</f>
        <v>25569.041666666668</v>
      </c>
      <c r="F1016" s="333">
        <f>IF(DATE(YEAR($B$6),MONTH($B$6)+1,DAY(1))=E1016,1,IF(MONTH(E1016)=1,F1017*(1+$F$5),F1017))</f>
      </c>
      <c r="G1016" s="333">
        <f>IF('Simulador - 1º Pilar'!$E$99="Sí",IF('Aportaciones PPE'!$B$13&lt;'Aportaciones PPE'!E1016,0,F1016*$B$8/12),F1016*$B$8/12)</f>
      </c>
      <c r="H1016" s="333">
        <f>$H$5*G1016</f>
      </c>
      <c r="I1016" s="333">
        <f>$I$5*G1016</f>
      </c>
      <c r="J1016" s="333">
        <f>+I1016</f>
      </c>
      <c r="K1016" s="333">
        <f>(1+$O$5)^(D1016/12)*(H1016+IF(AND(F1016=1,F1017=0),$S$4,0))</f>
      </c>
      <c r="L1016" s="333">
        <f>(1+$O$5)^(D1016/12)*(I1016+IF(AND(F1016=1,F1017=0),0))</f>
      </c>
      <c r="M1016" s="333">
        <f>+L1016</f>
      </c>
      <c r="N1016" s="333">
        <f>L1016+K1016+M1016</f>
      </c>
      <c r="O1016" s="170"/>
      <c r="P1016" s="7"/>
      <c r="Q1016" s="1"/>
      <c r="R1016" s="331">
        <f>D1016</f>
      </c>
      <c r="S1016" s="169"/>
      <c r="T1016" s="1"/>
      <c r="U1016" s="217"/>
      <c r="V1016" s="331">
        <f>+IF(V1015=11,12,IF(V1015=12,1,V1015+1))</f>
      </c>
      <c r="W1016" s="331">
        <f>+W1015+IF(V1015=12,1,0)</f>
      </c>
      <c r="X1016" s="555">
        <f>+DATE(W1016,V1016,1)</f>
        <v>25569.041666666668</v>
      </c>
      <c r="Y1016" s="333">
        <f>+_xlfn.IFNA(AN1016+AS1016+AX1016,0)</f>
      </c>
      <c r="Z1016" s="333">
        <f>+_xlfn.IFNA(AO1016+AT1016+AY1016,0)</f>
      </c>
      <c r="AA1016" s="333">
        <f>Y1016*(1+$O$5)^(($B$7-X1016)/365.25)</f>
      </c>
      <c r="AB1016" s="333">
        <f>Z1016*(1+$O$5)^(($B$7-X1016)/365.25)</f>
      </c>
      <c r="AC1016" s="1"/>
      <c r="AD1016" s="1"/>
      <c r="AE1016" s="1"/>
      <c r="AF1016" s="111">
        <f>+MONTH(E1016)&amp;YEAR(E1016)</f>
      </c>
      <c r="AG1016" s="217">
        <f>+I1016</f>
      </c>
      <c r="AH1016" s="217">
        <f>+J1016</f>
      </c>
      <c r="AI1016" s="217">
        <f>+H1016</f>
      </c>
      <c r="AJ1016" s="111">
        <f>+V1016&amp;W1016</f>
      </c>
      <c r="AK1016" s="217">
        <f>+_xlfn.IFNA(VLOOKUP(AJ1016,$AF$7:$AG$1066,2,0),0)</f>
      </c>
      <c r="AL1016" s="217">
        <f>+IF(W1016&gt;W1015,AK1016,AL1015+AK1016)</f>
      </c>
      <c r="AM1016" s="217">
        <f>IF(W1016&gt;W1015,IF(AL1016&gt;=$AZ$8,$AZ$8,AL1016),IF(OR(AM1015=$AZ$8,AM1015=0),0,IF(AL1016&gt;=$AZ$8,$AZ$8,AL1016)))</f>
      </c>
      <c r="AN1016" s="748">
        <f>+IF(OR(AM1016&gt;AZ1015,AM1016=0),0,IF(AM1016=AL1016,AK1016,$AZ$7-AL1015))</f>
      </c>
      <c r="AO1016" s="748">
        <f>+AK1016-AN1016</f>
      </c>
      <c r="AP1016" s="217">
        <f>+_xlfn.IFNA(VLOOKUP(AJ1016,$AF$7:$AI$1066,3,0),0)</f>
      </c>
      <c r="AQ1016" s="217">
        <f>+IF(W1016&gt;W1015,AP1016,AQ1015+AP1016)</f>
      </c>
      <c r="AR1016" s="217">
        <f>+MAX($AM$2-SUMIF($W$7:$W$1066,W1016,$AN$7:$AN$1066),0)</f>
      </c>
      <c r="AS1016" s="748">
        <f>+MAX(IF(AQ1016&gt;AR1016,AR1016-AQ1015,AP1016),0)</f>
      </c>
      <c r="AT1016" s="748">
        <f>+AP1016-AS1016</f>
      </c>
      <c r="AU1016" s="217">
        <f>+_xlfn.IFNA(VLOOKUP(AJ1016,$AF$7:$AI$1066,4,0),0)</f>
      </c>
      <c r="AV1016" s="217">
        <f>+IF(W1016&gt;W1015,AU1016,AV1015+AU1016)</f>
      </c>
      <c r="AW1016" s="217">
        <f>+MAX($AM$2-SUMIF($W$7:$W$1066,W1016,$AN$7:$AN$1066)-SUMIF($W$7:$W$1066,W1016,$AS$7:$AS$1066),0)</f>
      </c>
      <c r="AX1016" s="748">
        <f>+MAX(IF(AV1016&gt;AW1016,AW1016-AV1015,AU1016),0)</f>
      </c>
      <c r="AY1016" s="748">
        <f>+AU1016-AX1016</f>
      </c>
      <c r="AZ1016" s="331">
        <f>+$AM$1+IF($AP$1&gt;$AP$2,$AM$3/2)</f>
      </c>
    </row>
    <row x14ac:dyDescent="0.25" r="1017" customHeight="1" ht="18.75">
      <c r="A1017" s="1"/>
      <c r="B1017" s="7"/>
      <c r="C1017" s="170"/>
      <c r="D1017" s="331">
        <v>1010</v>
      </c>
      <c r="E1017" s="544">
        <f>+DATE(YEAR(E1016),MONTH(E1016)-1,DAY(E1016))</f>
        <v>25569.041666666668</v>
      </c>
      <c r="F1017" s="333">
        <f>IF(DATE(YEAR($B$6),MONTH($B$6)+1,DAY(1))=E1017,1,IF(MONTH(E1017)=1,F1018*(1+$F$5),F1018))</f>
      </c>
      <c r="G1017" s="333">
        <f>IF('Simulador - 1º Pilar'!$E$99="Sí",IF('Aportaciones PPE'!$B$13&lt;'Aportaciones PPE'!E1017,0,F1017*$B$8/12),F1017*$B$8/12)</f>
      </c>
      <c r="H1017" s="333">
        <f>$H$5*G1017</f>
      </c>
      <c r="I1017" s="333">
        <f>$I$5*G1017</f>
      </c>
      <c r="J1017" s="333">
        <f>+I1017</f>
      </c>
      <c r="K1017" s="333">
        <f>(1+$O$5)^(D1017/12)*(H1017+IF(AND(F1017=1,F1018=0),$S$4,0))</f>
      </c>
      <c r="L1017" s="333">
        <f>(1+$O$5)^(D1017/12)*(I1017+IF(AND(F1017=1,F1018=0),0))</f>
      </c>
      <c r="M1017" s="333">
        <f>+L1017</f>
      </c>
      <c r="N1017" s="333">
        <f>L1017+K1017+M1017</f>
      </c>
      <c r="O1017" s="170"/>
      <c r="P1017" s="7"/>
      <c r="Q1017" s="1"/>
      <c r="R1017" s="331">
        <f>D1017</f>
      </c>
      <c r="S1017" s="169"/>
      <c r="T1017" s="1"/>
      <c r="U1017" s="217"/>
      <c r="V1017" s="331">
        <f>+IF(V1016=11,12,IF(V1016=12,1,V1016+1))</f>
      </c>
      <c r="W1017" s="331">
        <f>+W1016+IF(V1016=12,1,0)</f>
      </c>
      <c r="X1017" s="555">
        <f>+DATE(W1017,V1017,1)</f>
        <v>25569.041666666668</v>
      </c>
      <c r="Y1017" s="333">
        <f>+_xlfn.IFNA(AN1017+AS1017+AX1017,0)</f>
      </c>
      <c r="Z1017" s="333">
        <f>+_xlfn.IFNA(AO1017+AT1017+AY1017,0)</f>
      </c>
      <c r="AA1017" s="333">
        <f>Y1017*(1+$O$5)^(($B$7-X1017)/365.25)</f>
      </c>
      <c r="AB1017" s="333">
        <f>Z1017*(1+$O$5)^(($B$7-X1017)/365.25)</f>
      </c>
      <c r="AC1017" s="1"/>
      <c r="AD1017" s="1"/>
      <c r="AE1017" s="1"/>
      <c r="AF1017" s="111">
        <f>+MONTH(E1017)&amp;YEAR(E1017)</f>
      </c>
      <c r="AG1017" s="217">
        <f>+I1017</f>
      </c>
      <c r="AH1017" s="217">
        <f>+J1017</f>
      </c>
      <c r="AI1017" s="217">
        <f>+H1017</f>
      </c>
      <c r="AJ1017" s="111">
        <f>+V1017&amp;W1017</f>
      </c>
      <c r="AK1017" s="217">
        <f>+_xlfn.IFNA(VLOOKUP(AJ1017,$AF$7:$AG$1066,2,0),0)</f>
      </c>
      <c r="AL1017" s="217">
        <f>+IF(W1017&gt;W1016,AK1017,AL1016+AK1017)</f>
      </c>
      <c r="AM1017" s="217">
        <f>IF(W1017&gt;W1016,IF(AL1017&gt;=$AZ$8,$AZ$8,AL1017),IF(OR(AM1016=$AZ$8,AM1016=0),0,IF(AL1017&gt;=$AZ$8,$AZ$8,AL1017)))</f>
      </c>
      <c r="AN1017" s="748">
        <f>+IF(OR(AM1017&gt;AZ1016,AM1017=0),0,IF(AM1017=AL1017,AK1017,$AZ$7-AL1016))</f>
      </c>
      <c r="AO1017" s="748">
        <f>+AK1017-AN1017</f>
      </c>
      <c r="AP1017" s="217">
        <f>+_xlfn.IFNA(VLOOKUP(AJ1017,$AF$7:$AI$1066,3,0),0)</f>
      </c>
      <c r="AQ1017" s="217">
        <f>+IF(W1017&gt;W1016,AP1017,AQ1016+AP1017)</f>
      </c>
      <c r="AR1017" s="217">
        <f>+MAX($AM$2-SUMIF($W$7:$W$1066,W1017,$AN$7:$AN$1066),0)</f>
      </c>
      <c r="AS1017" s="748">
        <f>+MAX(IF(AQ1017&gt;AR1017,AR1017-AQ1016,AP1017),0)</f>
      </c>
      <c r="AT1017" s="748">
        <f>+AP1017-AS1017</f>
      </c>
      <c r="AU1017" s="217">
        <f>+_xlfn.IFNA(VLOOKUP(AJ1017,$AF$7:$AI$1066,4,0),0)</f>
      </c>
      <c r="AV1017" s="217">
        <f>+IF(W1017&gt;W1016,AU1017,AV1016+AU1017)</f>
      </c>
      <c r="AW1017" s="217">
        <f>+MAX($AM$2-SUMIF($W$7:$W$1066,W1017,$AN$7:$AN$1066)-SUMIF($W$7:$W$1066,W1017,$AS$7:$AS$1066),0)</f>
      </c>
      <c r="AX1017" s="748">
        <f>+MAX(IF(AV1017&gt;AW1017,AW1017-AV1016,AU1017),0)</f>
      </c>
      <c r="AY1017" s="748">
        <f>+AU1017-AX1017</f>
      </c>
      <c r="AZ1017" s="331">
        <f>+$AM$1+IF($AP$1&gt;$AP$2,$AM$3/2)</f>
      </c>
    </row>
    <row x14ac:dyDescent="0.25" r="1018" customHeight="1" ht="18.75">
      <c r="A1018" s="1"/>
      <c r="B1018" s="7"/>
      <c r="C1018" s="170"/>
      <c r="D1018" s="331">
        <v>1011</v>
      </c>
      <c r="E1018" s="544">
        <f>+DATE(YEAR(E1017),MONTH(E1017)-1,DAY(E1017))</f>
        <v>25569.041666666668</v>
      </c>
      <c r="F1018" s="333">
        <f>IF(DATE(YEAR($B$6),MONTH($B$6)+1,DAY(1))=E1018,1,IF(MONTH(E1018)=1,F1019*(1+$F$5),F1019))</f>
      </c>
      <c r="G1018" s="333">
        <f>IF('Simulador - 1º Pilar'!$E$99="Sí",IF('Aportaciones PPE'!$B$13&lt;'Aportaciones PPE'!E1018,0,F1018*$B$8/12),F1018*$B$8/12)</f>
      </c>
      <c r="H1018" s="333">
        <f>$H$5*G1018</f>
      </c>
      <c r="I1018" s="333">
        <f>$I$5*G1018</f>
      </c>
      <c r="J1018" s="333">
        <f>+I1018</f>
      </c>
      <c r="K1018" s="333">
        <f>(1+$O$5)^(D1018/12)*(H1018+IF(AND(F1018=1,F1019=0),$S$4,0))</f>
      </c>
      <c r="L1018" s="333">
        <f>(1+$O$5)^(D1018/12)*(I1018+IF(AND(F1018=1,F1019=0),0))</f>
      </c>
      <c r="M1018" s="333">
        <f>+L1018</f>
      </c>
      <c r="N1018" s="333">
        <f>L1018+K1018+M1018</f>
      </c>
      <c r="O1018" s="170"/>
      <c r="P1018" s="7"/>
      <c r="Q1018" s="1"/>
      <c r="R1018" s="331">
        <f>D1018</f>
      </c>
      <c r="S1018" s="169"/>
      <c r="T1018" s="1"/>
      <c r="U1018" s="217"/>
      <c r="V1018" s="331">
        <f>+IF(V1017=11,12,IF(V1017=12,1,V1017+1))</f>
      </c>
      <c r="W1018" s="331">
        <f>+W1017+IF(V1017=12,1,0)</f>
      </c>
      <c r="X1018" s="555">
        <f>+DATE(W1018,V1018,1)</f>
        <v>25569.041666666668</v>
      </c>
      <c r="Y1018" s="333">
        <f>+_xlfn.IFNA(AN1018+AS1018+AX1018,0)</f>
      </c>
      <c r="Z1018" s="333">
        <f>+_xlfn.IFNA(AO1018+AT1018+AY1018,0)</f>
      </c>
      <c r="AA1018" s="333">
        <f>Y1018*(1+$O$5)^(($B$7-X1018)/365.25)</f>
      </c>
      <c r="AB1018" s="333">
        <f>Z1018*(1+$O$5)^(($B$7-X1018)/365.25)</f>
      </c>
      <c r="AC1018" s="1"/>
      <c r="AD1018" s="1"/>
      <c r="AE1018" s="1"/>
      <c r="AF1018" s="111">
        <f>+MONTH(E1018)&amp;YEAR(E1018)</f>
      </c>
      <c r="AG1018" s="217">
        <f>+I1018</f>
      </c>
      <c r="AH1018" s="217">
        <f>+J1018</f>
      </c>
      <c r="AI1018" s="217">
        <f>+H1018</f>
      </c>
      <c r="AJ1018" s="111">
        <f>+V1018&amp;W1018</f>
      </c>
      <c r="AK1018" s="217">
        <f>+_xlfn.IFNA(VLOOKUP(AJ1018,$AF$7:$AG$1066,2,0),0)</f>
      </c>
      <c r="AL1018" s="217">
        <f>+IF(W1018&gt;W1017,AK1018,AL1017+AK1018)</f>
      </c>
      <c r="AM1018" s="217">
        <f>IF(W1018&gt;W1017,IF(AL1018&gt;=$AZ$8,$AZ$8,AL1018),IF(OR(AM1017=$AZ$8,AM1017=0),0,IF(AL1018&gt;=$AZ$8,$AZ$8,AL1018)))</f>
      </c>
      <c r="AN1018" s="748">
        <f>+IF(OR(AM1018&gt;AZ1017,AM1018=0),0,IF(AM1018=AL1018,AK1018,$AZ$7-AL1017))</f>
      </c>
      <c r="AO1018" s="748">
        <f>+AK1018-AN1018</f>
      </c>
      <c r="AP1018" s="217">
        <f>+_xlfn.IFNA(VLOOKUP(AJ1018,$AF$7:$AI$1066,3,0),0)</f>
      </c>
      <c r="AQ1018" s="217">
        <f>+IF(W1018&gt;W1017,AP1018,AQ1017+AP1018)</f>
      </c>
      <c r="AR1018" s="217">
        <f>+MAX($AM$2-SUMIF($W$7:$W$1066,W1018,$AN$7:$AN$1066),0)</f>
      </c>
      <c r="AS1018" s="748">
        <f>+MAX(IF(AQ1018&gt;AR1018,AR1018-AQ1017,AP1018),0)</f>
      </c>
      <c r="AT1018" s="748">
        <f>+AP1018-AS1018</f>
      </c>
      <c r="AU1018" s="217">
        <f>+_xlfn.IFNA(VLOOKUP(AJ1018,$AF$7:$AI$1066,4,0),0)</f>
      </c>
      <c r="AV1018" s="217">
        <f>+IF(W1018&gt;W1017,AU1018,AV1017+AU1018)</f>
      </c>
      <c r="AW1018" s="217">
        <f>+MAX($AM$2-SUMIF($W$7:$W$1066,W1018,$AN$7:$AN$1066)-SUMIF($W$7:$W$1066,W1018,$AS$7:$AS$1066),0)</f>
      </c>
      <c r="AX1018" s="748">
        <f>+MAX(IF(AV1018&gt;AW1018,AW1018-AV1017,AU1018),0)</f>
      </c>
      <c r="AY1018" s="748">
        <f>+AU1018-AX1018</f>
      </c>
      <c r="AZ1018" s="331">
        <f>+$AM$1+IF($AP$1&gt;$AP$2,$AM$3/2)</f>
      </c>
    </row>
    <row x14ac:dyDescent="0.25" r="1019" customHeight="1" ht="18.75">
      <c r="A1019" s="1"/>
      <c r="B1019" s="7"/>
      <c r="C1019" s="170"/>
      <c r="D1019" s="331">
        <v>1012</v>
      </c>
      <c r="E1019" s="544">
        <f>+DATE(YEAR(E1018),MONTH(E1018)-1,DAY(E1018))</f>
        <v>25569.041666666668</v>
      </c>
      <c r="F1019" s="333">
        <f>IF(DATE(YEAR($B$6),MONTH($B$6)+1,DAY(1))=E1019,1,IF(MONTH(E1019)=1,F1020*(1+$F$5),F1020))</f>
      </c>
      <c r="G1019" s="333">
        <f>IF('Simulador - 1º Pilar'!$E$99="Sí",IF('Aportaciones PPE'!$B$13&lt;'Aportaciones PPE'!E1019,0,F1019*$B$8/12),F1019*$B$8/12)</f>
      </c>
      <c r="H1019" s="333">
        <f>$H$5*G1019</f>
      </c>
      <c r="I1019" s="333">
        <f>$I$5*G1019</f>
      </c>
      <c r="J1019" s="333">
        <f>+I1019</f>
      </c>
      <c r="K1019" s="333">
        <f>(1+$O$5)^(D1019/12)*(H1019+IF(AND(F1019=1,F1020=0),$S$4,0))</f>
      </c>
      <c r="L1019" s="333">
        <f>(1+$O$5)^(D1019/12)*(I1019+IF(AND(F1019=1,F1020=0),0))</f>
      </c>
      <c r="M1019" s="333">
        <f>+L1019</f>
      </c>
      <c r="N1019" s="333">
        <f>L1019+K1019+M1019</f>
      </c>
      <c r="O1019" s="170"/>
      <c r="P1019" s="7"/>
      <c r="Q1019" s="1"/>
      <c r="R1019" s="331">
        <f>D1019</f>
      </c>
      <c r="S1019" s="169"/>
      <c r="T1019" s="1"/>
      <c r="U1019" s="217"/>
      <c r="V1019" s="331">
        <f>+IF(V1018=11,12,IF(V1018=12,1,V1018+1))</f>
      </c>
      <c r="W1019" s="331">
        <f>+W1018+IF(V1018=12,1,0)</f>
      </c>
      <c r="X1019" s="555">
        <f>+DATE(W1019,V1019,1)</f>
        <v>25569.041666666668</v>
      </c>
      <c r="Y1019" s="333">
        <f>+_xlfn.IFNA(AN1019+AS1019+AX1019,0)</f>
      </c>
      <c r="Z1019" s="333">
        <f>+_xlfn.IFNA(AO1019+AT1019+AY1019,0)</f>
      </c>
      <c r="AA1019" s="333">
        <f>Y1019*(1+$O$5)^(($B$7-X1019)/365.25)</f>
      </c>
      <c r="AB1019" s="333">
        <f>Z1019*(1+$O$5)^(($B$7-X1019)/365.25)</f>
      </c>
      <c r="AC1019" s="1"/>
      <c r="AD1019" s="1"/>
      <c r="AE1019" s="1"/>
      <c r="AF1019" s="111">
        <f>+MONTH(E1019)&amp;YEAR(E1019)</f>
      </c>
      <c r="AG1019" s="217">
        <f>+I1019</f>
      </c>
      <c r="AH1019" s="217">
        <f>+J1019</f>
      </c>
      <c r="AI1019" s="217">
        <f>+H1019</f>
      </c>
      <c r="AJ1019" s="111">
        <f>+V1019&amp;W1019</f>
      </c>
      <c r="AK1019" s="217">
        <f>+_xlfn.IFNA(VLOOKUP(AJ1019,$AF$7:$AG$1066,2,0),0)</f>
      </c>
      <c r="AL1019" s="217">
        <f>+IF(W1019&gt;W1018,AK1019,AL1018+AK1019)</f>
      </c>
      <c r="AM1019" s="217">
        <f>IF(W1019&gt;W1018,IF(AL1019&gt;=$AZ$8,$AZ$8,AL1019),IF(OR(AM1018=$AZ$8,AM1018=0),0,IF(AL1019&gt;=$AZ$8,$AZ$8,AL1019)))</f>
      </c>
      <c r="AN1019" s="748">
        <f>+IF(OR(AM1019&gt;AZ1018,AM1019=0),0,IF(AM1019=AL1019,AK1019,$AZ$7-AL1018))</f>
      </c>
      <c r="AO1019" s="748">
        <f>+AK1019-AN1019</f>
      </c>
      <c r="AP1019" s="217">
        <f>+_xlfn.IFNA(VLOOKUP(AJ1019,$AF$7:$AI$1066,3,0),0)</f>
      </c>
      <c r="AQ1019" s="217">
        <f>+IF(W1019&gt;W1018,AP1019,AQ1018+AP1019)</f>
      </c>
      <c r="AR1019" s="217">
        <f>+MAX($AM$2-SUMIF($W$7:$W$1066,W1019,$AN$7:$AN$1066),0)</f>
      </c>
      <c r="AS1019" s="748">
        <f>+MAX(IF(AQ1019&gt;AR1019,AR1019-AQ1018,AP1019),0)</f>
      </c>
      <c r="AT1019" s="748">
        <f>+AP1019-AS1019</f>
      </c>
      <c r="AU1019" s="217">
        <f>+_xlfn.IFNA(VLOOKUP(AJ1019,$AF$7:$AI$1066,4,0),0)</f>
      </c>
      <c r="AV1019" s="217">
        <f>+IF(W1019&gt;W1018,AU1019,AV1018+AU1019)</f>
      </c>
      <c r="AW1019" s="217">
        <f>+MAX($AM$2-SUMIF($W$7:$W$1066,W1019,$AN$7:$AN$1066)-SUMIF($W$7:$W$1066,W1019,$AS$7:$AS$1066),0)</f>
      </c>
      <c r="AX1019" s="748">
        <f>+MAX(IF(AV1019&gt;AW1019,AW1019-AV1018,AU1019),0)</f>
      </c>
      <c r="AY1019" s="748">
        <f>+AU1019-AX1019</f>
      </c>
      <c r="AZ1019" s="331">
        <f>+$AM$1+IF($AP$1&gt;$AP$2,$AM$3/2)</f>
      </c>
    </row>
    <row x14ac:dyDescent="0.25" r="1020" customHeight="1" ht="18.75">
      <c r="A1020" s="1"/>
      <c r="B1020" s="7"/>
      <c r="C1020" s="170"/>
      <c r="D1020" s="331">
        <v>1013</v>
      </c>
      <c r="E1020" s="544">
        <f>+DATE(YEAR(E1019),MONTH(E1019)-1,DAY(E1019))</f>
        <v>25569.041666666668</v>
      </c>
      <c r="F1020" s="333">
        <f>IF(DATE(YEAR($B$6),MONTH($B$6)+1,DAY(1))=E1020,1,IF(MONTH(E1020)=1,F1021*(1+$F$5),F1021))</f>
      </c>
      <c r="G1020" s="333">
        <f>IF('Simulador - 1º Pilar'!$E$99="Sí",IF('Aportaciones PPE'!$B$13&lt;'Aportaciones PPE'!E1020,0,F1020*$B$8/12),F1020*$B$8/12)</f>
      </c>
      <c r="H1020" s="333">
        <f>$H$5*G1020</f>
      </c>
      <c r="I1020" s="333">
        <f>$I$5*G1020</f>
      </c>
      <c r="J1020" s="333">
        <f>+I1020</f>
      </c>
      <c r="K1020" s="333">
        <f>(1+$O$5)^(D1020/12)*(H1020+IF(AND(F1020=1,F1021=0),$S$4,0))</f>
      </c>
      <c r="L1020" s="333">
        <f>(1+$O$5)^(D1020/12)*(I1020+IF(AND(F1020=1,F1021=0),0))</f>
      </c>
      <c r="M1020" s="333">
        <f>+L1020</f>
      </c>
      <c r="N1020" s="333">
        <f>L1020+K1020+M1020</f>
      </c>
      <c r="O1020" s="170"/>
      <c r="P1020" s="7"/>
      <c r="Q1020" s="1"/>
      <c r="R1020" s="331">
        <f>D1020</f>
      </c>
      <c r="S1020" s="169"/>
      <c r="T1020" s="1"/>
      <c r="U1020" s="217"/>
      <c r="V1020" s="331">
        <f>+IF(V1019=11,12,IF(V1019=12,1,V1019+1))</f>
      </c>
      <c r="W1020" s="331">
        <f>+W1019+IF(V1019=12,1,0)</f>
      </c>
      <c r="X1020" s="555">
        <f>+DATE(W1020,V1020,1)</f>
        <v>25569.041666666668</v>
      </c>
      <c r="Y1020" s="333">
        <f>+_xlfn.IFNA(AN1020+AS1020+AX1020,0)</f>
      </c>
      <c r="Z1020" s="333">
        <f>+_xlfn.IFNA(AO1020+AT1020+AY1020,0)</f>
      </c>
      <c r="AA1020" s="333">
        <f>Y1020*(1+$O$5)^(($B$7-X1020)/365.25)</f>
      </c>
      <c r="AB1020" s="333">
        <f>Z1020*(1+$O$5)^(($B$7-X1020)/365.25)</f>
      </c>
      <c r="AC1020" s="1"/>
      <c r="AD1020" s="1"/>
      <c r="AE1020" s="1"/>
      <c r="AF1020" s="111">
        <f>+MONTH(E1020)&amp;YEAR(E1020)</f>
      </c>
      <c r="AG1020" s="217">
        <f>+I1020</f>
      </c>
      <c r="AH1020" s="217">
        <f>+J1020</f>
      </c>
      <c r="AI1020" s="217">
        <f>+H1020</f>
      </c>
      <c r="AJ1020" s="111">
        <f>+V1020&amp;W1020</f>
      </c>
      <c r="AK1020" s="217">
        <f>+_xlfn.IFNA(VLOOKUP(AJ1020,$AF$7:$AG$1066,2,0),0)</f>
      </c>
      <c r="AL1020" s="217">
        <f>+IF(W1020&gt;W1019,AK1020,AL1019+AK1020)</f>
      </c>
      <c r="AM1020" s="217">
        <f>IF(W1020&gt;W1019,IF(AL1020&gt;=$AZ$8,$AZ$8,AL1020),IF(OR(AM1019=$AZ$8,AM1019=0),0,IF(AL1020&gt;=$AZ$8,$AZ$8,AL1020)))</f>
      </c>
      <c r="AN1020" s="748">
        <f>+IF(OR(AM1020&gt;AZ1019,AM1020=0),0,IF(AM1020=AL1020,AK1020,$AZ$7-AL1019))</f>
      </c>
      <c r="AO1020" s="748">
        <f>+AK1020-AN1020</f>
      </c>
      <c r="AP1020" s="217">
        <f>+_xlfn.IFNA(VLOOKUP(AJ1020,$AF$7:$AI$1066,3,0),0)</f>
      </c>
      <c r="AQ1020" s="217">
        <f>+IF(W1020&gt;W1019,AP1020,AQ1019+AP1020)</f>
      </c>
      <c r="AR1020" s="217">
        <f>+MAX($AM$2-SUMIF($W$7:$W$1066,W1020,$AN$7:$AN$1066),0)</f>
      </c>
      <c r="AS1020" s="748">
        <f>+MAX(IF(AQ1020&gt;AR1020,AR1020-AQ1019,AP1020),0)</f>
      </c>
      <c r="AT1020" s="748">
        <f>+AP1020-AS1020</f>
      </c>
      <c r="AU1020" s="217">
        <f>+_xlfn.IFNA(VLOOKUP(AJ1020,$AF$7:$AI$1066,4,0),0)</f>
      </c>
      <c r="AV1020" s="217">
        <f>+IF(W1020&gt;W1019,AU1020,AV1019+AU1020)</f>
      </c>
      <c r="AW1020" s="217">
        <f>+MAX($AM$2-SUMIF($W$7:$W$1066,W1020,$AN$7:$AN$1066)-SUMIF($W$7:$W$1066,W1020,$AS$7:$AS$1066),0)</f>
      </c>
      <c r="AX1020" s="748">
        <f>+MAX(IF(AV1020&gt;AW1020,AW1020-AV1019,AU1020),0)</f>
      </c>
      <c r="AY1020" s="748">
        <f>+AU1020-AX1020</f>
      </c>
      <c r="AZ1020" s="331">
        <f>+$AM$1+IF($AP$1&gt;$AP$2,$AM$3/2)</f>
      </c>
    </row>
    <row x14ac:dyDescent="0.25" r="1021" customHeight="1" ht="18.75">
      <c r="A1021" s="1"/>
      <c r="B1021" s="7"/>
      <c r="C1021" s="170"/>
      <c r="D1021" s="331">
        <v>1014</v>
      </c>
      <c r="E1021" s="544">
        <f>+DATE(YEAR(E1020),MONTH(E1020)-1,DAY(E1020))</f>
        <v>25569.041666666668</v>
      </c>
      <c r="F1021" s="333">
        <f>IF(DATE(YEAR($B$6),MONTH($B$6)+1,DAY(1))=E1021,1,IF(MONTH(E1021)=1,F1022*(1+$F$5),F1022))</f>
      </c>
      <c r="G1021" s="333">
        <f>IF('Simulador - 1º Pilar'!$E$99="Sí",IF('Aportaciones PPE'!$B$13&lt;'Aportaciones PPE'!E1021,0,F1021*$B$8/12),F1021*$B$8/12)</f>
      </c>
      <c r="H1021" s="333">
        <f>$H$5*G1021</f>
      </c>
      <c r="I1021" s="333">
        <f>$I$5*G1021</f>
      </c>
      <c r="J1021" s="333">
        <f>+I1021</f>
      </c>
      <c r="K1021" s="333">
        <f>(1+$O$5)^(D1021/12)*(H1021+IF(AND(F1021=1,F1022=0),$S$4,0))</f>
      </c>
      <c r="L1021" s="333">
        <f>(1+$O$5)^(D1021/12)*(I1021+IF(AND(F1021=1,F1022=0),0))</f>
      </c>
      <c r="M1021" s="333">
        <f>+L1021</f>
      </c>
      <c r="N1021" s="333">
        <f>L1021+K1021+M1021</f>
      </c>
      <c r="O1021" s="170"/>
      <c r="P1021" s="7"/>
      <c r="Q1021" s="1"/>
      <c r="R1021" s="331">
        <f>D1021</f>
      </c>
      <c r="S1021" s="169"/>
      <c r="T1021" s="1"/>
      <c r="U1021" s="217"/>
      <c r="V1021" s="331">
        <f>+IF(V1020=11,12,IF(V1020=12,1,V1020+1))</f>
      </c>
      <c r="W1021" s="331">
        <f>+W1020+IF(V1020=12,1,0)</f>
      </c>
      <c r="X1021" s="555">
        <f>+DATE(W1021,V1021,1)</f>
        <v>25569.041666666668</v>
      </c>
      <c r="Y1021" s="333">
        <f>+_xlfn.IFNA(AN1021+AS1021+AX1021,0)</f>
      </c>
      <c r="Z1021" s="333">
        <f>+_xlfn.IFNA(AO1021+AT1021+AY1021,0)</f>
      </c>
      <c r="AA1021" s="333">
        <f>Y1021*(1+$O$5)^(($B$7-X1021)/365.25)</f>
      </c>
      <c r="AB1021" s="333">
        <f>Z1021*(1+$O$5)^(($B$7-X1021)/365.25)</f>
      </c>
      <c r="AC1021" s="1"/>
      <c r="AD1021" s="1"/>
      <c r="AE1021" s="1"/>
      <c r="AF1021" s="111">
        <f>+MONTH(E1021)&amp;YEAR(E1021)</f>
      </c>
      <c r="AG1021" s="217">
        <f>+I1021</f>
      </c>
      <c r="AH1021" s="217">
        <f>+J1021</f>
      </c>
      <c r="AI1021" s="217">
        <f>+H1021</f>
      </c>
      <c r="AJ1021" s="111">
        <f>+V1021&amp;W1021</f>
      </c>
      <c r="AK1021" s="217">
        <f>+_xlfn.IFNA(VLOOKUP(AJ1021,$AF$7:$AG$1066,2,0),0)</f>
      </c>
      <c r="AL1021" s="217">
        <f>+IF(W1021&gt;W1020,AK1021,AL1020+AK1021)</f>
      </c>
      <c r="AM1021" s="217">
        <f>IF(W1021&gt;W1020,IF(AL1021&gt;=$AZ$8,$AZ$8,AL1021),IF(OR(AM1020=$AZ$8,AM1020=0),0,IF(AL1021&gt;=$AZ$8,$AZ$8,AL1021)))</f>
      </c>
      <c r="AN1021" s="748">
        <f>+IF(OR(AM1021&gt;AZ1020,AM1021=0),0,IF(AM1021=AL1021,AK1021,$AZ$7-AL1020))</f>
      </c>
      <c r="AO1021" s="748">
        <f>+AK1021-AN1021</f>
      </c>
      <c r="AP1021" s="217">
        <f>+_xlfn.IFNA(VLOOKUP(AJ1021,$AF$7:$AI$1066,3,0),0)</f>
      </c>
      <c r="AQ1021" s="217">
        <f>+IF(W1021&gt;W1020,AP1021,AQ1020+AP1021)</f>
      </c>
      <c r="AR1021" s="217">
        <f>+MAX($AM$2-SUMIF($W$7:$W$1066,W1021,$AN$7:$AN$1066),0)</f>
      </c>
      <c r="AS1021" s="748">
        <f>+MAX(IF(AQ1021&gt;AR1021,AR1021-AQ1020,AP1021),0)</f>
      </c>
      <c r="AT1021" s="748">
        <f>+AP1021-AS1021</f>
      </c>
      <c r="AU1021" s="217">
        <f>+_xlfn.IFNA(VLOOKUP(AJ1021,$AF$7:$AI$1066,4,0),0)</f>
      </c>
      <c r="AV1021" s="217">
        <f>+IF(W1021&gt;W1020,AU1021,AV1020+AU1021)</f>
      </c>
      <c r="AW1021" s="217">
        <f>+MAX($AM$2-SUMIF($W$7:$W$1066,W1021,$AN$7:$AN$1066)-SUMIF($W$7:$W$1066,W1021,$AS$7:$AS$1066),0)</f>
      </c>
      <c r="AX1021" s="748">
        <f>+MAX(IF(AV1021&gt;AW1021,AW1021-AV1020,AU1021),0)</f>
      </c>
      <c r="AY1021" s="748">
        <f>+AU1021-AX1021</f>
      </c>
      <c r="AZ1021" s="331">
        <f>+$AM$1+IF($AP$1&gt;$AP$2,$AM$3/2)</f>
      </c>
    </row>
    <row x14ac:dyDescent="0.25" r="1022" customHeight="1" ht="18.75">
      <c r="A1022" s="1"/>
      <c r="B1022" s="7"/>
      <c r="C1022" s="170"/>
      <c r="D1022" s="331">
        <v>1015</v>
      </c>
      <c r="E1022" s="544">
        <f>+DATE(YEAR(E1021),MONTH(E1021)-1,DAY(E1021))</f>
        <v>25569.041666666668</v>
      </c>
      <c r="F1022" s="333">
        <f>IF(DATE(YEAR($B$6),MONTH($B$6)+1,DAY(1))=E1022,1,IF(MONTH(E1022)=1,F1023*(1+$F$5),F1023))</f>
      </c>
      <c r="G1022" s="333">
        <f>IF('Simulador - 1º Pilar'!$E$99="Sí",IF('Aportaciones PPE'!$B$13&lt;'Aportaciones PPE'!E1022,0,F1022*$B$8/12),F1022*$B$8/12)</f>
      </c>
      <c r="H1022" s="333">
        <f>$H$5*G1022</f>
      </c>
      <c r="I1022" s="333">
        <f>$I$5*G1022</f>
      </c>
      <c r="J1022" s="333">
        <f>+I1022</f>
      </c>
      <c r="K1022" s="333">
        <f>(1+$O$5)^(D1022/12)*(H1022+IF(AND(F1022=1,F1023=0),$S$4,0))</f>
      </c>
      <c r="L1022" s="333">
        <f>(1+$O$5)^(D1022/12)*(I1022+IF(AND(F1022=1,F1023=0),0))</f>
      </c>
      <c r="M1022" s="333">
        <f>+L1022</f>
      </c>
      <c r="N1022" s="333">
        <f>L1022+K1022+M1022</f>
      </c>
      <c r="O1022" s="170"/>
      <c r="P1022" s="7"/>
      <c r="Q1022" s="1"/>
      <c r="R1022" s="331">
        <f>D1022</f>
      </c>
      <c r="S1022" s="169"/>
      <c r="T1022" s="1"/>
      <c r="U1022" s="217"/>
      <c r="V1022" s="331">
        <f>+IF(V1021=11,12,IF(V1021=12,1,V1021+1))</f>
      </c>
      <c r="W1022" s="331">
        <f>+W1021+IF(V1021=12,1,0)</f>
      </c>
      <c r="X1022" s="555">
        <f>+DATE(W1022,V1022,1)</f>
        <v>25569.041666666668</v>
      </c>
      <c r="Y1022" s="333">
        <f>+_xlfn.IFNA(AN1022+AS1022+AX1022,0)</f>
      </c>
      <c r="Z1022" s="333">
        <f>+_xlfn.IFNA(AO1022+AT1022+AY1022,0)</f>
      </c>
      <c r="AA1022" s="333">
        <f>Y1022*(1+$O$5)^(($B$7-X1022)/365.25)</f>
      </c>
      <c r="AB1022" s="333">
        <f>Z1022*(1+$O$5)^(($B$7-X1022)/365.25)</f>
      </c>
      <c r="AC1022" s="1"/>
      <c r="AD1022" s="1"/>
      <c r="AE1022" s="1"/>
      <c r="AF1022" s="111">
        <f>+MONTH(E1022)&amp;YEAR(E1022)</f>
      </c>
      <c r="AG1022" s="217">
        <f>+I1022</f>
      </c>
      <c r="AH1022" s="217">
        <f>+J1022</f>
      </c>
      <c r="AI1022" s="217">
        <f>+H1022</f>
      </c>
      <c r="AJ1022" s="111">
        <f>+V1022&amp;W1022</f>
      </c>
      <c r="AK1022" s="217">
        <f>+_xlfn.IFNA(VLOOKUP(AJ1022,$AF$7:$AG$1066,2,0),0)</f>
      </c>
      <c r="AL1022" s="217">
        <f>+IF(W1022&gt;W1021,AK1022,AL1021+AK1022)</f>
      </c>
      <c r="AM1022" s="217">
        <f>IF(W1022&gt;W1021,IF(AL1022&gt;=$AZ$8,$AZ$8,AL1022),IF(OR(AM1021=$AZ$8,AM1021=0),0,IF(AL1022&gt;=$AZ$8,$AZ$8,AL1022)))</f>
      </c>
      <c r="AN1022" s="748">
        <f>+IF(OR(AM1022&gt;AZ1021,AM1022=0),0,IF(AM1022=AL1022,AK1022,$AZ$7-AL1021))</f>
      </c>
      <c r="AO1022" s="748">
        <f>+AK1022-AN1022</f>
      </c>
      <c r="AP1022" s="217">
        <f>+_xlfn.IFNA(VLOOKUP(AJ1022,$AF$7:$AI$1066,3,0),0)</f>
      </c>
      <c r="AQ1022" s="217">
        <f>+IF(W1022&gt;W1021,AP1022,AQ1021+AP1022)</f>
      </c>
      <c r="AR1022" s="217">
        <f>+MAX($AM$2-SUMIF($W$7:$W$1066,W1022,$AN$7:$AN$1066),0)</f>
      </c>
      <c r="AS1022" s="748">
        <f>+MAX(IF(AQ1022&gt;AR1022,AR1022-AQ1021,AP1022),0)</f>
      </c>
      <c r="AT1022" s="748">
        <f>+AP1022-AS1022</f>
      </c>
      <c r="AU1022" s="217">
        <f>+_xlfn.IFNA(VLOOKUP(AJ1022,$AF$7:$AI$1066,4,0),0)</f>
      </c>
      <c r="AV1022" s="217">
        <f>+IF(W1022&gt;W1021,AU1022,AV1021+AU1022)</f>
      </c>
      <c r="AW1022" s="217">
        <f>+MAX($AM$2-SUMIF($W$7:$W$1066,W1022,$AN$7:$AN$1066)-SUMIF($W$7:$W$1066,W1022,$AS$7:$AS$1066),0)</f>
      </c>
      <c r="AX1022" s="748">
        <f>+MAX(IF(AV1022&gt;AW1022,AW1022-AV1021,AU1022),0)</f>
      </c>
      <c r="AY1022" s="748">
        <f>+AU1022-AX1022</f>
      </c>
      <c r="AZ1022" s="331">
        <f>+$AM$1+IF($AP$1&gt;$AP$2,$AM$3/2)</f>
      </c>
    </row>
    <row x14ac:dyDescent="0.25" r="1023" customHeight="1" ht="18.75">
      <c r="A1023" s="1"/>
      <c r="B1023" s="7"/>
      <c r="C1023" s="170"/>
      <c r="D1023" s="331">
        <v>1016</v>
      </c>
      <c r="E1023" s="544">
        <f>+DATE(YEAR(E1022),MONTH(E1022)-1,DAY(E1022))</f>
        <v>25569.041666666668</v>
      </c>
      <c r="F1023" s="333">
        <f>IF(DATE(YEAR($B$6),MONTH($B$6)+1,DAY(1))=E1023,1,IF(MONTH(E1023)=1,F1024*(1+$F$5),F1024))</f>
      </c>
      <c r="G1023" s="333">
        <f>IF('Simulador - 1º Pilar'!$E$99="Sí",IF('Aportaciones PPE'!$B$13&lt;'Aportaciones PPE'!E1023,0,F1023*$B$8/12),F1023*$B$8/12)</f>
      </c>
      <c r="H1023" s="333">
        <f>$H$5*G1023</f>
      </c>
      <c r="I1023" s="333">
        <f>$I$5*G1023</f>
      </c>
      <c r="J1023" s="333">
        <f>+I1023</f>
      </c>
      <c r="K1023" s="333">
        <f>(1+$O$5)^(D1023/12)*(H1023+IF(AND(F1023=1,F1024=0),$S$4,0))</f>
      </c>
      <c r="L1023" s="333">
        <f>(1+$O$5)^(D1023/12)*(I1023+IF(AND(F1023=1,F1024=0),0))</f>
      </c>
      <c r="M1023" s="333">
        <f>+L1023</f>
      </c>
      <c r="N1023" s="333">
        <f>L1023+K1023+M1023</f>
      </c>
      <c r="O1023" s="170"/>
      <c r="P1023" s="7"/>
      <c r="Q1023" s="1"/>
      <c r="R1023" s="331">
        <f>D1023</f>
      </c>
      <c r="S1023" s="169"/>
      <c r="T1023" s="1"/>
      <c r="U1023" s="217"/>
      <c r="V1023" s="331">
        <f>+IF(V1022=11,12,IF(V1022=12,1,V1022+1))</f>
      </c>
      <c r="W1023" s="331">
        <f>+W1022+IF(V1022=12,1,0)</f>
      </c>
      <c r="X1023" s="555">
        <f>+DATE(W1023,V1023,1)</f>
        <v>25569.041666666668</v>
      </c>
      <c r="Y1023" s="333">
        <f>+_xlfn.IFNA(AN1023+AS1023+AX1023,0)</f>
      </c>
      <c r="Z1023" s="333">
        <f>+_xlfn.IFNA(AO1023+AT1023+AY1023,0)</f>
      </c>
      <c r="AA1023" s="333">
        <f>Y1023*(1+$O$5)^(($B$7-X1023)/365.25)</f>
      </c>
      <c r="AB1023" s="333">
        <f>Z1023*(1+$O$5)^(($B$7-X1023)/365.25)</f>
      </c>
      <c r="AC1023" s="1"/>
      <c r="AD1023" s="1"/>
      <c r="AE1023" s="1"/>
      <c r="AF1023" s="111">
        <f>+MONTH(E1023)&amp;YEAR(E1023)</f>
      </c>
      <c r="AG1023" s="217">
        <f>+I1023</f>
      </c>
      <c r="AH1023" s="217">
        <f>+J1023</f>
      </c>
      <c r="AI1023" s="217">
        <f>+H1023</f>
      </c>
      <c r="AJ1023" s="111">
        <f>+V1023&amp;W1023</f>
      </c>
      <c r="AK1023" s="217">
        <f>+_xlfn.IFNA(VLOOKUP(AJ1023,$AF$7:$AG$1066,2,0),0)</f>
      </c>
      <c r="AL1023" s="217">
        <f>+IF(W1023&gt;W1022,AK1023,AL1022+AK1023)</f>
      </c>
      <c r="AM1023" s="217">
        <f>IF(W1023&gt;W1022,IF(AL1023&gt;=$AZ$8,$AZ$8,AL1023),IF(OR(AM1022=$AZ$8,AM1022=0),0,IF(AL1023&gt;=$AZ$8,$AZ$8,AL1023)))</f>
      </c>
      <c r="AN1023" s="748">
        <f>+IF(OR(AM1023&gt;AZ1022,AM1023=0),0,IF(AM1023=AL1023,AK1023,$AZ$7-AL1022))</f>
      </c>
      <c r="AO1023" s="748">
        <f>+AK1023-AN1023</f>
      </c>
      <c r="AP1023" s="217">
        <f>+_xlfn.IFNA(VLOOKUP(AJ1023,$AF$7:$AI$1066,3,0),0)</f>
      </c>
      <c r="AQ1023" s="217">
        <f>+IF(W1023&gt;W1022,AP1023,AQ1022+AP1023)</f>
      </c>
      <c r="AR1023" s="217">
        <f>+MAX($AM$2-SUMIF($W$7:$W$1066,W1023,$AN$7:$AN$1066),0)</f>
      </c>
      <c r="AS1023" s="748">
        <f>+MAX(IF(AQ1023&gt;AR1023,AR1023-AQ1022,AP1023),0)</f>
      </c>
      <c r="AT1023" s="748">
        <f>+AP1023-AS1023</f>
      </c>
      <c r="AU1023" s="217">
        <f>+_xlfn.IFNA(VLOOKUP(AJ1023,$AF$7:$AI$1066,4,0),0)</f>
      </c>
      <c r="AV1023" s="217">
        <f>+IF(W1023&gt;W1022,AU1023,AV1022+AU1023)</f>
      </c>
      <c r="AW1023" s="217">
        <f>+MAX($AM$2-SUMIF($W$7:$W$1066,W1023,$AN$7:$AN$1066)-SUMIF($W$7:$W$1066,W1023,$AS$7:$AS$1066),0)</f>
      </c>
      <c r="AX1023" s="748">
        <f>+MAX(IF(AV1023&gt;AW1023,AW1023-AV1022,AU1023),0)</f>
      </c>
      <c r="AY1023" s="748">
        <f>+AU1023-AX1023</f>
      </c>
      <c r="AZ1023" s="331">
        <f>+$AM$1+IF($AP$1&gt;$AP$2,$AM$3/2)</f>
      </c>
    </row>
    <row x14ac:dyDescent="0.25" r="1024" customHeight="1" ht="18.75">
      <c r="A1024" s="1"/>
      <c r="B1024" s="7"/>
      <c r="C1024" s="170"/>
      <c r="D1024" s="331">
        <v>1017</v>
      </c>
      <c r="E1024" s="544">
        <f>+DATE(YEAR(E1023),MONTH(E1023)-1,DAY(E1023))</f>
        <v>25569.041666666668</v>
      </c>
      <c r="F1024" s="333">
        <f>IF(DATE(YEAR($B$6),MONTH($B$6)+1,DAY(1))=E1024,1,IF(MONTH(E1024)=1,F1025*(1+$F$5),F1025))</f>
      </c>
      <c r="G1024" s="333">
        <f>IF('Simulador - 1º Pilar'!$E$99="Sí",IF('Aportaciones PPE'!$B$13&lt;'Aportaciones PPE'!E1024,0,F1024*$B$8/12),F1024*$B$8/12)</f>
      </c>
      <c r="H1024" s="333">
        <f>$H$5*G1024</f>
      </c>
      <c r="I1024" s="333">
        <f>$I$5*G1024</f>
      </c>
      <c r="J1024" s="333">
        <f>+I1024</f>
      </c>
      <c r="K1024" s="333">
        <f>(1+$O$5)^(D1024/12)*(H1024+IF(AND(F1024=1,F1025=0),$S$4,0))</f>
      </c>
      <c r="L1024" s="333">
        <f>(1+$O$5)^(D1024/12)*(I1024+IF(AND(F1024=1,F1025=0),0))</f>
      </c>
      <c r="M1024" s="333">
        <f>+L1024</f>
      </c>
      <c r="N1024" s="333">
        <f>L1024+K1024+M1024</f>
      </c>
      <c r="O1024" s="170"/>
      <c r="P1024" s="7"/>
      <c r="Q1024" s="1"/>
      <c r="R1024" s="331">
        <f>D1024</f>
      </c>
      <c r="S1024" s="169"/>
      <c r="T1024" s="1"/>
      <c r="U1024" s="217"/>
      <c r="V1024" s="331">
        <f>+IF(V1023=11,12,IF(V1023=12,1,V1023+1))</f>
      </c>
      <c r="W1024" s="331">
        <f>+W1023+IF(V1023=12,1,0)</f>
      </c>
      <c r="X1024" s="555">
        <f>+DATE(W1024,V1024,1)</f>
        <v>25569.041666666668</v>
      </c>
      <c r="Y1024" s="333">
        <f>+_xlfn.IFNA(AN1024+AS1024+AX1024,0)</f>
      </c>
      <c r="Z1024" s="333">
        <f>+_xlfn.IFNA(AO1024+AT1024+AY1024,0)</f>
      </c>
      <c r="AA1024" s="333">
        <f>Y1024*(1+$O$5)^(($B$7-X1024)/365.25)</f>
      </c>
      <c r="AB1024" s="333">
        <f>Z1024*(1+$O$5)^(($B$7-X1024)/365.25)</f>
      </c>
      <c r="AC1024" s="1"/>
      <c r="AD1024" s="1"/>
      <c r="AE1024" s="1"/>
      <c r="AF1024" s="111">
        <f>+MONTH(E1024)&amp;YEAR(E1024)</f>
      </c>
      <c r="AG1024" s="217">
        <f>+I1024</f>
      </c>
      <c r="AH1024" s="217">
        <f>+J1024</f>
      </c>
      <c r="AI1024" s="217">
        <f>+H1024</f>
      </c>
      <c r="AJ1024" s="111">
        <f>+V1024&amp;W1024</f>
      </c>
      <c r="AK1024" s="217">
        <f>+_xlfn.IFNA(VLOOKUP(AJ1024,$AF$7:$AG$1066,2,0),0)</f>
      </c>
      <c r="AL1024" s="217">
        <f>+IF(W1024&gt;W1023,AK1024,AL1023+AK1024)</f>
      </c>
      <c r="AM1024" s="217">
        <f>IF(W1024&gt;W1023,IF(AL1024&gt;=$AZ$8,$AZ$8,AL1024),IF(OR(AM1023=$AZ$8,AM1023=0),0,IF(AL1024&gt;=$AZ$8,$AZ$8,AL1024)))</f>
      </c>
      <c r="AN1024" s="748">
        <f>+IF(OR(AM1024&gt;AZ1023,AM1024=0),0,IF(AM1024=AL1024,AK1024,$AZ$7-AL1023))</f>
      </c>
      <c r="AO1024" s="748">
        <f>+AK1024-AN1024</f>
      </c>
      <c r="AP1024" s="217">
        <f>+_xlfn.IFNA(VLOOKUP(AJ1024,$AF$7:$AI$1066,3,0),0)</f>
      </c>
      <c r="AQ1024" s="217">
        <f>+IF(W1024&gt;W1023,AP1024,AQ1023+AP1024)</f>
      </c>
      <c r="AR1024" s="217">
        <f>+MAX($AM$2-SUMIF($W$7:$W$1066,W1024,$AN$7:$AN$1066),0)</f>
      </c>
      <c r="AS1024" s="748">
        <f>+MAX(IF(AQ1024&gt;AR1024,AR1024-AQ1023,AP1024),0)</f>
      </c>
      <c r="AT1024" s="748">
        <f>+AP1024-AS1024</f>
      </c>
      <c r="AU1024" s="217">
        <f>+_xlfn.IFNA(VLOOKUP(AJ1024,$AF$7:$AI$1066,4,0),0)</f>
      </c>
      <c r="AV1024" s="217">
        <f>+IF(W1024&gt;W1023,AU1024,AV1023+AU1024)</f>
      </c>
      <c r="AW1024" s="217">
        <f>+MAX($AM$2-SUMIF($W$7:$W$1066,W1024,$AN$7:$AN$1066)-SUMIF($W$7:$W$1066,W1024,$AS$7:$AS$1066),0)</f>
      </c>
      <c r="AX1024" s="748">
        <f>+MAX(IF(AV1024&gt;AW1024,AW1024-AV1023,AU1024),0)</f>
      </c>
      <c r="AY1024" s="748">
        <f>+AU1024-AX1024</f>
      </c>
      <c r="AZ1024" s="331">
        <f>+$AM$1+IF($AP$1&gt;$AP$2,$AM$3/2)</f>
      </c>
    </row>
    <row x14ac:dyDescent="0.25" r="1025" customHeight="1" ht="18.75">
      <c r="A1025" s="1"/>
      <c r="B1025" s="7"/>
      <c r="C1025" s="170"/>
      <c r="D1025" s="331">
        <v>1018</v>
      </c>
      <c r="E1025" s="544">
        <f>+DATE(YEAR(E1024),MONTH(E1024)-1,DAY(E1024))</f>
        <v>25569.041666666668</v>
      </c>
      <c r="F1025" s="333">
        <f>IF(DATE(YEAR($B$6),MONTH($B$6)+1,DAY(1))=E1025,1,IF(MONTH(E1025)=1,F1026*(1+$F$5),F1026))</f>
      </c>
      <c r="G1025" s="333">
        <f>IF('Simulador - 1º Pilar'!$E$99="Sí",IF('Aportaciones PPE'!$B$13&lt;'Aportaciones PPE'!E1025,0,F1025*$B$8/12),F1025*$B$8/12)</f>
      </c>
      <c r="H1025" s="333">
        <f>$H$5*G1025</f>
      </c>
      <c r="I1025" s="333">
        <f>$I$5*G1025</f>
      </c>
      <c r="J1025" s="333">
        <f>+I1025</f>
      </c>
      <c r="K1025" s="333">
        <f>(1+$O$5)^(D1025/12)*(H1025+IF(AND(F1025=1,F1026=0),$S$4,0))</f>
      </c>
      <c r="L1025" s="333">
        <f>(1+$O$5)^(D1025/12)*(I1025+IF(AND(F1025=1,F1026=0),0))</f>
      </c>
      <c r="M1025" s="333">
        <f>+L1025</f>
      </c>
      <c r="N1025" s="333">
        <f>L1025+K1025+M1025</f>
      </c>
      <c r="O1025" s="170"/>
      <c r="P1025" s="7"/>
      <c r="Q1025" s="1"/>
      <c r="R1025" s="331">
        <f>D1025</f>
      </c>
      <c r="S1025" s="169"/>
      <c r="T1025" s="1"/>
      <c r="U1025" s="217"/>
      <c r="V1025" s="331">
        <f>+IF(V1024=11,12,IF(V1024=12,1,V1024+1))</f>
      </c>
      <c r="W1025" s="331">
        <f>+W1024+IF(V1024=12,1,0)</f>
      </c>
      <c r="X1025" s="555">
        <f>+DATE(W1025,V1025,1)</f>
        <v>25569.041666666668</v>
      </c>
      <c r="Y1025" s="333">
        <f>+_xlfn.IFNA(AN1025+AS1025+AX1025,0)</f>
      </c>
      <c r="Z1025" s="333">
        <f>+_xlfn.IFNA(AO1025+AT1025+AY1025,0)</f>
      </c>
      <c r="AA1025" s="333">
        <f>Y1025*(1+$O$5)^(($B$7-X1025)/365.25)</f>
      </c>
      <c r="AB1025" s="333">
        <f>Z1025*(1+$O$5)^(($B$7-X1025)/365.25)</f>
      </c>
      <c r="AC1025" s="1"/>
      <c r="AD1025" s="1"/>
      <c r="AE1025" s="1"/>
      <c r="AF1025" s="111">
        <f>+MONTH(E1025)&amp;YEAR(E1025)</f>
      </c>
      <c r="AG1025" s="217">
        <f>+I1025</f>
      </c>
      <c r="AH1025" s="217">
        <f>+J1025</f>
      </c>
      <c r="AI1025" s="217">
        <f>+H1025</f>
      </c>
      <c r="AJ1025" s="111">
        <f>+V1025&amp;W1025</f>
      </c>
      <c r="AK1025" s="217">
        <f>+_xlfn.IFNA(VLOOKUP(AJ1025,$AF$7:$AG$1066,2,0),0)</f>
      </c>
      <c r="AL1025" s="217">
        <f>+IF(W1025&gt;W1024,AK1025,AL1024+AK1025)</f>
      </c>
      <c r="AM1025" s="217">
        <f>IF(W1025&gt;W1024,IF(AL1025&gt;=$AZ$8,$AZ$8,AL1025),IF(OR(AM1024=$AZ$8,AM1024=0),0,IF(AL1025&gt;=$AZ$8,$AZ$8,AL1025)))</f>
      </c>
      <c r="AN1025" s="748">
        <f>+IF(OR(AM1025&gt;AZ1024,AM1025=0),0,IF(AM1025=AL1025,AK1025,$AZ$7-AL1024))</f>
      </c>
      <c r="AO1025" s="748">
        <f>+AK1025-AN1025</f>
      </c>
      <c r="AP1025" s="217">
        <f>+_xlfn.IFNA(VLOOKUP(AJ1025,$AF$7:$AI$1066,3,0),0)</f>
      </c>
      <c r="AQ1025" s="217">
        <f>+IF(W1025&gt;W1024,AP1025,AQ1024+AP1025)</f>
      </c>
      <c r="AR1025" s="217">
        <f>+MAX($AM$2-SUMIF($W$7:$W$1066,W1025,$AN$7:$AN$1066),0)</f>
      </c>
      <c r="AS1025" s="748">
        <f>+MAX(IF(AQ1025&gt;AR1025,AR1025-AQ1024,AP1025),0)</f>
      </c>
      <c r="AT1025" s="748">
        <f>+AP1025-AS1025</f>
      </c>
      <c r="AU1025" s="217">
        <f>+_xlfn.IFNA(VLOOKUP(AJ1025,$AF$7:$AI$1066,4,0),0)</f>
      </c>
      <c r="AV1025" s="217">
        <f>+IF(W1025&gt;W1024,AU1025,AV1024+AU1025)</f>
      </c>
      <c r="AW1025" s="217">
        <f>+MAX($AM$2-SUMIF($W$7:$W$1066,W1025,$AN$7:$AN$1066)-SUMIF($W$7:$W$1066,W1025,$AS$7:$AS$1066),0)</f>
      </c>
      <c r="AX1025" s="748">
        <f>+MAX(IF(AV1025&gt;AW1025,AW1025-AV1024,AU1025),0)</f>
      </c>
      <c r="AY1025" s="748">
        <f>+AU1025-AX1025</f>
      </c>
      <c r="AZ1025" s="331">
        <f>+$AM$1+IF($AP$1&gt;$AP$2,$AM$3/2)</f>
      </c>
    </row>
    <row x14ac:dyDescent="0.25" r="1026" customHeight="1" ht="18.75">
      <c r="A1026" s="1"/>
      <c r="B1026" s="7"/>
      <c r="C1026" s="170"/>
      <c r="D1026" s="331">
        <v>1019</v>
      </c>
      <c r="E1026" s="544">
        <f>+DATE(YEAR(E1025),MONTH(E1025)-1,DAY(E1025))</f>
        <v>25569.041666666668</v>
      </c>
      <c r="F1026" s="333">
        <f>IF(DATE(YEAR($B$6),MONTH($B$6)+1,DAY(1))=E1026,1,IF(MONTH(E1026)=1,F1027*(1+$F$5),F1027))</f>
      </c>
      <c r="G1026" s="333">
        <f>IF('Simulador - 1º Pilar'!$E$99="Sí",IF('Aportaciones PPE'!$B$13&lt;'Aportaciones PPE'!E1026,0,F1026*$B$8/12),F1026*$B$8/12)</f>
      </c>
      <c r="H1026" s="333">
        <f>$H$5*G1026</f>
      </c>
      <c r="I1026" s="333">
        <f>$I$5*G1026</f>
      </c>
      <c r="J1026" s="333">
        <f>+I1026</f>
      </c>
      <c r="K1026" s="333">
        <f>(1+$O$5)^(D1026/12)*(H1026+IF(AND(F1026=1,F1027=0),$S$4,0))</f>
      </c>
      <c r="L1026" s="333">
        <f>(1+$O$5)^(D1026/12)*(I1026+IF(AND(F1026=1,F1027=0),0))</f>
      </c>
      <c r="M1026" s="333">
        <f>+L1026</f>
      </c>
      <c r="N1026" s="333">
        <f>L1026+K1026+M1026</f>
      </c>
      <c r="O1026" s="170"/>
      <c r="P1026" s="7"/>
      <c r="Q1026" s="1"/>
      <c r="R1026" s="331">
        <f>D1026</f>
      </c>
      <c r="S1026" s="169"/>
      <c r="T1026" s="1"/>
      <c r="U1026" s="217"/>
      <c r="V1026" s="331">
        <f>+IF(V1025=11,12,IF(V1025=12,1,V1025+1))</f>
      </c>
      <c r="W1026" s="331">
        <f>+W1025+IF(V1025=12,1,0)</f>
      </c>
      <c r="X1026" s="555">
        <f>+DATE(W1026,V1026,1)</f>
        <v>25569.041666666668</v>
      </c>
      <c r="Y1026" s="333">
        <f>+_xlfn.IFNA(AN1026+AS1026+AX1026,0)</f>
      </c>
      <c r="Z1026" s="333">
        <f>+_xlfn.IFNA(AO1026+AT1026+AY1026,0)</f>
      </c>
      <c r="AA1026" s="333">
        <f>Y1026*(1+$O$5)^(($B$7-X1026)/365.25)</f>
      </c>
      <c r="AB1026" s="333">
        <f>Z1026*(1+$O$5)^(($B$7-X1026)/365.25)</f>
      </c>
      <c r="AC1026" s="1"/>
      <c r="AD1026" s="1"/>
      <c r="AE1026" s="1"/>
      <c r="AF1026" s="111">
        <f>+MONTH(E1026)&amp;YEAR(E1026)</f>
      </c>
      <c r="AG1026" s="217">
        <f>+I1026</f>
      </c>
      <c r="AH1026" s="217">
        <f>+J1026</f>
      </c>
      <c r="AI1026" s="217">
        <f>+H1026</f>
      </c>
      <c r="AJ1026" s="111">
        <f>+V1026&amp;W1026</f>
      </c>
      <c r="AK1026" s="217">
        <f>+_xlfn.IFNA(VLOOKUP(AJ1026,$AF$7:$AG$1066,2,0),0)</f>
      </c>
      <c r="AL1026" s="217">
        <f>+IF(W1026&gt;W1025,AK1026,AL1025+AK1026)</f>
      </c>
      <c r="AM1026" s="217">
        <f>IF(W1026&gt;W1025,IF(AL1026&gt;=$AZ$8,$AZ$8,AL1026),IF(OR(AM1025=$AZ$8,AM1025=0),0,IF(AL1026&gt;=$AZ$8,$AZ$8,AL1026)))</f>
      </c>
      <c r="AN1026" s="748">
        <f>+IF(OR(AM1026&gt;AZ1025,AM1026=0),0,IF(AM1026=AL1026,AK1026,$AZ$7-AL1025))</f>
      </c>
      <c r="AO1026" s="748">
        <f>+AK1026-AN1026</f>
      </c>
      <c r="AP1026" s="217">
        <f>+_xlfn.IFNA(VLOOKUP(AJ1026,$AF$7:$AI$1066,3,0),0)</f>
      </c>
      <c r="AQ1026" s="217">
        <f>+IF(W1026&gt;W1025,AP1026,AQ1025+AP1026)</f>
      </c>
      <c r="AR1026" s="217">
        <f>+MAX($AM$2-SUMIF($W$7:$W$1066,W1026,$AN$7:$AN$1066),0)</f>
      </c>
      <c r="AS1026" s="748">
        <f>+MAX(IF(AQ1026&gt;AR1026,AR1026-AQ1025,AP1026),0)</f>
      </c>
      <c r="AT1026" s="748">
        <f>+AP1026-AS1026</f>
      </c>
      <c r="AU1026" s="217">
        <f>+_xlfn.IFNA(VLOOKUP(AJ1026,$AF$7:$AI$1066,4,0),0)</f>
      </c>
      <c r="AV1026" s="217">
        <f>+IF(W1026&gt;W1025,AU1026,AV1025+AU1026)</f>
      </c>
      <c r="AW1026" s="217">
        <f>+MAX($AM$2-SUMIF($W$7:$W$1066,W1026,$AN$7:$AN$1066)-SUMIF($W$7:$W$1066,W1026,$AS$7:$AS$1066),0)</f>
      </c>
      <c r="AX1026" s="748">
        <f>+MAX(IF(AV1026&gt;AW1026,AW1026-AV1025,AU1026),0)</f>
      </c>
      <c r="AY1026" s="748">
        <f>+AU1026-AX1026</f>
      </c>
      <c r="AZ1026" s="331">
        <f>+$AM$1+IF($AP$1&gt;$AP$2,$AM$3/2)</f>
      </c>
    </row>
    <row x14ac:dyDescent="0.25" r="1027" customHeight="1" ht="18.75">
      <c r="A1027" s="1"/>
      <c r="B1027" s="7"/>
      <c r="C1027" s="170"/>
      <c r="D1027" s="331">
        <v>1020</v>
      </c>
      <c r="E1027" s="544">
        <f>+DATE(YEAR(E1026),MONTH(E1026)-1,DAY(E1026))</f>
        <v>25569.041666666668</v>
      </c>
      <c r="F1027" s="333">
        <f>IF(DATE(YEAR($B$6),MONTH($B$6)+1,DAY(1))=E1027,1,IF(MONTH(E1027)=1,F1028*(1+$F$5),F1028))</f>
      </c>
      <c r="G1027" s="333">
        <f>IF('Simulador - 1º Pilar'!$E$99="Sí",IF('Aportaciones PPE'!$B$13&lt;'Aportaciones PPE'!E1027,0,F1027*$B$8/12),F1027*$B$8/12)</f>
      </c>
      <c r="H1027" s="333">
        <f>$H$5*G1027</f>
      </c>
      <c r="I1027" s="333">
        <f>$I$5*G1027</f>
      </c>
      <c r="J1027" s="333">
        <f>+I1027</f>
      </c>
      <c r="K1027" s="333">
        <f>(1+$O$5)^(D1027/12)*(H1027+IF(AND(F1027=1,F1028=0),$S$4,0))</f>
      </c>
      <c r="L1027" s="333">
        <f>(1+$O$5)^(D1027/12)*(I1027+IF(AND(F1027=1,F1028=0),0))</f>
      </c>
      <c r="M1027" s="333">
        <f>+L1027</f>
      </c>
      <c r="N1027" s="333">
        <f>L1027+K1027+M1027</f>
      </c>
      <c r="O1027" s="170"/>
      <c r="P1027" s="7"/>
      <c r="Q1027" s="1"/>
      <c r="R1027" s="331">
        <f>D1027</f>
      </c>
      <c r="S1027" s="169"/>
      <c r="T1027" s="1"/>
      <c r="U1027" s="217"/>
      <c r="V1027" s="331">
        <f>+IF(V1026=11,12,IF(V1026=12,1,V1026+1))</f>
      </c>
      <c r="W1027" s="331">
        <f>+W1026+IF(V1026=12,1,0)</f>
      </c>
      <c r="X1027" s="555">
        <f>+DATE(W1027,V1027,1)</f>
        <v>25569.041666666668</v>
      </c>
      <c r="Y1027" s="333">
        <f>+_xlfn.IFNA(AN1027+AS1027+AX1027,0)</f>
      </c>
      <c r="Z1027" s="333">
        <f>+_xlfn.IFNA(AO1027+AT1027+AY1027,0)</f>
      </c>
      <c r="AA1027" s="333">
        <f>Y1027*(1+$O$5)^(($B$7-X1027)/365.25)</f>
      </c>
      <c r="AB1027" s="333">
        <f>Z1027*(1+$O$5)^(($B$7-X1027)/365.25)</f>
      </c>
      <c r="AC1027" s="1"/>
      <c r="AD1027" s="1"/>
      <c r="AE1027" s="1"/>
      <c r="AF1027" s="111">
        <f>+MONTH(E1027)&amp;YEAR(E1027)</f>
      </c>
      <c r="AG1027" s="217">
        <f>+I1027</f>
      </c>
      <c r="AH1027" s="217">
        <f>+J1027</f>
      </c>
      <c r="AI1027" s="217">
        <f>+H1027</f>
      </c>
      <c r="AJ1027" s="111">
        <f>+V1027&amp;W1027</f>
      </c>
      <c r="AK1027" s="217">
        <f>+_xlfn.IFNA(VLOOKUP(AJ1027,$AF$7:$AG$1066,2,0),0)</f>
      </c>
      <c r="AL1027" s="217">
        <f>+IF(W1027&gt;W1026,AK1027,AL1026+AK1027)</f>
      </c>
      <c r="AM1027" s="217">
        <f>IF(W1027&gt;W1026,IF(AL1027&gt;=$AZ$8,$AZ$8,AL1027),IF(OR(AM1026=$AZ$8,AM1026=0),0,IF(AL1027&gt;=$AZ$8,$AZ$8,AL1027)))</f>
      </c>
      <c r="AN1027" s="748">
        <f>+IF(OR(AM1027&gt;AZ1026,AM1027=0),0,IF(AM1027=AL1027,AK1027,$AZ$7-AL1026))</f>
      </c>
      <c r="AO1027" s="748">
        <f>+AK1027-AN1027</f>
      </c>
      <c r="AP1027" s="217">
        <f>+_xlfn.IFNA(VLOOKUP(AJ1027,$AF$7:$AI$1066,3,0),0)</f>
      </c>
      <c r="AQ1027" s="217">
        <f>+IF(W1027&gt;W1026,AP1027,AQ1026+AP1027)</f>
      </c>
      <c r="AR1027" s="217">
        <f>+MAX($AM$2-SUMIF($W$7:$W$1066,W1027,$AN$7:$AN$1066),0)</f>
      </c>
      <c r="AS1027" s="748">
        <f>+MAX(IF(AQ1027&gt;AR1027,AR1027-AQ1026,AP1027),0)</f>
      </c>
      <c r="AT1027" s="748">
        <f>+AP1027-AS1027</f>
      </c>
      <c r="AU1027" s="217">
        <f>+_xlfn.IFNA(VLOOKUP(AJ1027,$AF$7:$AI$1066,4,0),0)</f>
      </c>
      <c r="AV1027" s="217">
        <f>+IF(W1027&gt;W1026,AU1027,AV1026+AU1027)</f>
      </c>
      <c r="AW1027" s="217">
        <f>+MAX($AM$2-SUMIF($W$7:$W$1066,W1027,$AN$7:$AN$1066)-SUMIF($W$7:$W$1066,W1027,$AS$7:$AS$1066),0)</f>
      </c>
      <c r="AX1027" s="748">
        <f>+MAX(IF(AV1027&gt;AW1027,AW1027-AV1026,AU1027),0)</f>
      </c>
      <c r="AY1027" s="748">
        <f>+AU1027-AX1027</f>
      </c>
      <c r="AZ1027" s="331">
        <f>+$AM$1+IF($AP$1&gt;$AP$2,$AM$3/2)</f>
      </c>
    </row>
    <row x14ac:dyDescent="0.25" r="1028" customHeight="1" ht="18.75">
      <c r="A1028" s="1"/>
      <c r="B1028" s="7"/>
      <c r="C1028" s="170"/>
      <c r="D1028" s="331">
        <v>1021</v>
      </c>
      <c r="E1028" s="544">
        <f>+DATE(YEAR(E1027),MONTH(E1027)-1,DAY(E1027))</f>
        <v>25569.041666666668</v>
      </c>
      <c r="F1028" s="333">
        <f>IF(DATE(YEAR($B$6),MONTH($B$6)+1,DAY(1))=E1028,1,IF(MONTH(E1028)=1,F1029*(1+$F$5),F1029))</f>
      </c>
      <c r="G1028" s="333">
        <f>IF('Simulador - 1º Pilar'!$E$99="Sí",IF('Aportaciones PPE'!$B$13&lt;'Aportaciones PPE'!E1028,0,F1028*$B$8/12),F1028*$B$8/12)</f>
      </c>
      <c r="H1028" s="333">
        <f>$H$5*G1028</f>
      </c>
      <c r="I1028" s="333">
        <f>$I$5*G1028</f>
      </c>
      <c r="J1028" s="333">
        <f>+I1028</f>
      </c>
      <c r="K1028" s="333">
        <f>(1+$O$5)^(D1028/12)*(H1028+IF(AND(F1028=1,F1029=0),$S$4,0))</f>
      </c>
      <c r="L1028" s="333">
        <f>(1+$O$5)^(D1028/12)*(I1028+IF(AND(F1028=1,F1029=0),0))</f>
      </c>
      <c r="M1028" s="333">
        <f>+L1028</f>
      </c>
      <c r="N1028" s="333">
        <f>L1028+K1028+M1028</f>
      </c>
      <c r="O1028" s="170"/>
      <c r="P1028" s="7"/>
      <c r="Q1028" s="1"/>
      <c r="R1028" s="331">
        <f>D1028</f>
      </c>
      <c r="S1028" s="169"/>
      <c r="T1028" s="1"/>
      <c r="U1028" s="217"/>
      <c r="V1028" s="331">
        <f>+IF(V1027=11,12,IF(V1027=12,1,V1027+1))</f>
      </c>
      <c r="W1028" s="331">
        <f>+W1027+IF(V1027=12,1,0)</f>
      </c>
      <c r="X1028" s="555">
        <f>+DATE(W1028,V1028,1)</f>
        <v>25569.041666666668</v>
      </c>
      <c r="Y1028" s="333">
        <f>+_xlfn.IFNA(AN1028+AS1028+AX1028,0)</f>
      </c>
      <c r="Z1028" s="333">
        <f>+_xlfn.IFNA(AO1028+AT1028+AY1028,0)</f>
      </c>
      <c r="AA1028" s="333">
        <f>Y1028*(1+$O$5)^(($B$7-X1028)/365.25)</f>
      </c>
      <c r="AB1028" s="333">
        <f>Z1028*(1+$O$5)^(($B$7-X1028)/365.25)</f>
      </c>
      <c r="AC1028" s="1"/>
      <c r="AD1028" s="1"/>
      <c r="AE1028" s="1"/>
      <c r="AF1028" s="111">
        <f>+MONTH(E1028)&amp;YEAR(E1028)</f>
      </c>
      <c r="AG1028" s="217">
        <f>+I1028</f>
      </c>
      <c r="AH1028" s="217">
        <f>+J1028</f>
      </c>
      <c r="AI1028" s="217">
        <f>+H1028</f>
      </c>
      <c r="AJ1028" s="111">
        <f>+V1028&amp;W1028</f>
      </c>
      <c r="AK1028" s="217">
        <f>+_xlfn.IFNA(VLOOKUP(AJ1028,$AF$7:$AG$1066,2,0),0)</f>
      </c>
      <c r="AL1028" s="217">
        <f>+IF(W1028&gt;W1027,AK1028,AL1027+AK1028)</f>
      </c>
      <c r="AM1028" s="217">
        <f>IF(W1028&gt;W1027,IF(AL1028&gt;=$AZ$8,$AZ$8,AL1028),IF(OR(AM1027=$AZ$8,AM1027=0),0,IF(AL1028&gt;=$AZ$8,$AZ$8,AL1028)))</f>
      </c>
      <c r="AN1028" s="748">
        <f>+IF(OR(AM1028&gt;AZ1027,AM1028=0),0,IF(AM1028=AL1028,AK1028,$AZ$7-AL1027))</f>
      </c>
      <c r="AO1028" s="748">
        <f>+AK1028-AN1028</f>
      </c>
      <c r="AP1028" s="217">
        <f>+_xlfn.IFNA(VLOOKUP(AJ1028,$AF$7:$AI$1066,3,0),0)</f>
      </c>
      <c r="AQ1028" s="217">
        <f>+IF(W1028&gt;W1027,AP1028,AQ1027+AP1028)</f>
      </c>
      <c r="AR1028" s="217">
        <f>+MAX($AM$2-SUMIF($W$7:$W$1066,W1028,$AN$7:$AN$1066),0)</f>
      </c>
      <c r="AS1028" s="748">
        <f>+MAX(IF(AQ1028&gt;AR1028,AR1028-AQ1027,AP1028),0)</f>
      </c>
      <c r="AT1028" s="748">
        <f>+AP1028-AS1028</f>
      </c>
      <c r="AU1028" s="217">
        <f>+_xlfn.IFNA(VLOOKUP(AJ1028,$AF$7:$AI$1066,4,0),0)</f>
      </c>
      <c r="AV1028" s="217">
        <f>+IF(W1028&gt;W1027,AU1028,AV1027+AU1028)</f>
      </c>
      <c r="AW1028" s="217">
        <f>+MAX($AM$2-SUMIF($W$7:$W$1066,W1028,$AN$7:$AN$1066)-SUMIF($W$7:$W$1066,W1028,$AS$7:$AS$1066),0)</f>
      </c>
      <c r="AX1028" s="748">
        <f>+MAX(IF(AV1028&gt;AW1028,AW1028-AV1027,AU1028),0)</f>
      </c>
      <c r="AY1028" s="748">
        <f>+AU1028-AX1028</f>
      </c>
      <c r="AZ1028" s="331">
        <f>+$AM$1+IF($AP$1&gt;$AP$2,$AM$3/2)</f>
      </c>
    </row>
    <row x14ac:dyDescent="0.25" r="1029" customHeight="1" ht="18.75">
      <c r="A1029" s="1"/>
      <c r="B1029" s="7"/>
      <c r="C1029" s="170"/>
      <c r="D1029" s="331">
        <v>1022</v>
      </c>
      <c r="E1029" s="544">
        <f>+DATE(YEAR(E1028),MONTH(E1028)-1,DAY(E1028))</f>
        <v>25569.041666666668</v>
      </c>
      <c r="F1029" s="333">
        <f>IF(DATE(YEAR($B$6),MONTH($B$6)+1,DAY(1))=E1029,1,IF(MONTH(E1029)=1,F1030*(1+$F$5),F1030))</f>
      </c>
      <c r="G1029" s="333">
        <f>IF('Simulador - 1º Pilar'!$E$99="Sí",IF('Aportaciones PPE'!$B$13&lt;'Aportaciones PPE'!E1029,0,F1029*$B$8/12),F1029*$B$8/12)</f>
      </c>
      <c r="H1029" s="333">
        <f>$H$5*G1029</f>
      </c>
      <c r="I1029" s="333">
        <f>$I$5*G1029</f>
      </c>
      <c r="J1029" s="333">
        <f>+I1029</f>
      </c>
      <c r="K1029" s="333">
        <f>(1+$O$5)^(D1029/12)*(H1029+IF(AND(F1029=1,F1030=0),$S$4,0))</f>
      </c>
      <c r="L1029" s="333">
        <f>(1+$O$5)^(D1029/12)*(I1029+IF(AND(F1029=1,F1030=0),0))</f>
      </c>
      <c r="M1029" s="333">
        <f>+L1029</f>
      </c>
      <c r="N1029" s="333">
        <f>L1029+K1029+M1029</f>
      </c>
      <c r="O1029" s="170"/>
      <c r="P1029" s="7"/>
      <c r="Q1029" s="1"/>
      <c r="R1029" s="331">
        <f>D1029</f>
      </c>
      <c r="S1029" s="169"/>
      <c r="T1029" s="1"/>
      <c r="U1029" s="217"/>
      <c r="V1029" s="331">
        <f>+IF(V1028=11,12,IF(V1028=12,1,V1028+1))</f>
      </c>
      <c r="W1029" s="331">
        <f>+W1028+IF(V1028=12,1,0)</f>
      </c>
      <c r="X1029" s="555">
        <f>+DATE(W1029,V1029,1)</f>
        <v>25569.041666666668</v>
      </c>
      <c r="Y1029" s="333">
        <f>+_xlfn.IFNA(AN1029+AS1029+AX1029,0)</f>
      </c>
      <c r="Z1029" s="333">
        <f>+_xlfn.IFNA(AO1029+AT1029+AY1029,0)</f>
      </c>
      <c r="AA1029" s="333">
        <f>Y1029*(1+$O$5)^(($B$7-X1029)/365.25)</f>
      </c>
      <c r="AB1029" s="333">
        <f>Z1029*(1+$O$5)^(($B$7-X1029)/365.25)</f>
      </c>
      <c r="AC1029" s="1"/>
      <c r="AD1029" s="1"/>
      <c r="AE1029" s="1"/>
      <c r="AF1029" s="111">
        <f>+MONTH(E1029)&amp;YEAR(E1029)</f>
      </c>
      <c r="AG1029" s="217">
        <f>+I1029</f>
      </c>
      <c r="AH1029" s="217">
        <f>+J1029</f>
      </c>
      <c r="AI1029" s="217">
        <f>+H1029</f>
      </c>
      <c r="AJ1029" s="111">
        <f>+V1029&amp;W1029</f>
      </c>
      <c r="AK1029" s="217">
        <f>+_xlfn.IFNA(VLOOKUP(AJ1029,$AF$7:$AG$1066,2,0),0)</f>
      </c>
      <c r="AL1029" s="217">
        <f>+IF(W1029&gt;W1028,AK1029,AL1028+AK1029)</f>
      </c>
      <c r="AM1029" s="217">
        <f>IF(W1029&gt;W1028,IF(AL1029&gt;=$AZ$8,$AZ$8,AL1029),IF(OR(AM1028=$AZ$8,AM1028=0),0,IF(AL1029&gt;=$AZ$8,$AZ$8,AL1029)))</f>
      </c>
      <c r="AN1029" s="748">
        <f>+IF(OR(AM1029&gt;AZ1028,AM1029=0),0,IF(AM1029=AL1029,AK1029,$AZ$7-AL1028))</f>
      </c>
      <c r="AO1029" s="748">
        <f>+AK1029-AN1029</f>
      </c>
      <c r="AP1029" s="217">
        <f>+_xlfn.IFNA(VLOOKUP(AJ1029,$AF$7:$AI$1066,3,0),0)</f>
      </c>
      <c r="AQ1029" s="217">
        <f>+IF(W1029&gt;W1028,AP1029,AQ1028+AP1029)</f>
      </c>
      <c r="AR1029" s="217">
        <f>+MAX($AM$2-SUMIF($W$7:$W$1066,W1029,$AN$7:$AN$1066),0)</f>
      </c>
      <c r="AS1029" s="748">
        <f>+MAX(IF(AQ1029&gt;AR1029,AR1029-AQ1028,AP1029),0)</f>
      </c>
      <c r="AT1029" s="748">
        <f>+AP1029-AS1029</f>
      </c>
      <c r="AU1029" s="217">
        <f>+_xlfn.IFNA(VLOOKUP(AJ1029,$AF$7:$AI$1066,4,0),0)</f>
      </c>
      <c r="AV1029" s="217">
        <f>+IF(W1029&gt;W1028,AU1029,AV1028+AU1029)</f>
      </c>
      <c r="AW1029" s="217">
        <f>+MAX($AM$2-SUMIF($W$7:$W$1066,W1029,$AN$7:$AN$1066)-SUMIF($W$7:$W$1066,W1029,$AS$7:$AS$1066),0)</f>
      </c>
      <c r="AX1029" s="748">
        <f>+MAX(IF(AV1029&gt;AW1029,AW1029-AV1028,AU1029),0)</f>
      </c>
      <c r="AY1029" s="748">
        <f>+AU1029-AX1029</f>
      </c>
      <c r="AZ1029" s="331">
        <f>+$AM$1+IF($AP$1&gt;$AP$2,$AM$3/2)</f>
      </c>
    </row>
    <row x14ac:dyDescent="0.25" r="1030" customHeight="1" ht="18.75">
      <c r="A1030" s="1"/>
      <c r="B1030" s="7"/>
      <c r="C1030" s="170"/>
      <c r="D1030" s="331">
        <v>1023</v>
      </c>
      <c r="E1030" s="544">
        <f>+DATE(YEAR(E1029),MONTH(E1029)-1,DAY(E1029))</f>
        <v>25569.041666666668</v>
      </c>
      <c r="F1030" s="333">
        <f>IF(DATE(YEAR($B$6),MONTH($B$6)+1,DAY(1))=E1030,1,IF(MONTH(E1030)=1,F1031*(1+$F$5),F1031))</f>
      </c>
      <c r="G1030" s="333">
        <f>IF('Simulador - 1º Pilar'!$E$99="Sí",IF('Aportaciones PPE'!$B$13&lt;'Aportaciones PPE'!E1030,0,F1030*$B$8/12),F1030*$B$8/12)</f>
      </c>
      <c r="H1030" s="333">
        <f>$H$5*G1030</f>
      </c>
      <c r="I1030" s="333">
        <f>$I$5*G1030</f>
      </c>
      <c r="J1030" s="333">
        <f>+I1030</f>
      </c>
      <c r="K1030" s="333">
        <f>(1+$O$5)^(D1030/12)*(H1030+IF(AND(F1030=1,F1031=0),$S$4,0))</f>
      </c>
      <c r="L1030" s="333">
        <f>(1+$O$5)^(D1030/12)*(I1030+IF(AND(F1030=1,F1031=0),0))</f>
      </c>
      <c r="M1030" s="333">
        <f>+L1030</f>
      </c>
      <c r="N1030" s="333">
        <f>L1030+K1030+M1030</f>
      </c>
      <c r="O1030" s="170"/>
      <c r="P1030" s="7"/>
      <c r="Q1030" s="1"/>
      <c r="R1030" s="331">
        <f>D1030</f>
      </c>
      <c r="S1030" s="169"/>
      <c r="T1030" s="1"/>
      <c r="U1030" s="217"/>
      <c r="V1030" s="331">
        <f>+IF(V1029=11,12,IF(V1029=12,1,V1029+1))</f>
      </c>
      <c r="W1030" s="331">
        <f>+W1029+IF(V1029=12,1,0)</f>
      </c>
      <c r="X1030" s="555">
        <f>+DATE(W1030,V1030,1)</f>
        <v>25569.041666666668</v>
      </c>
      <c r="Y1030" s="333">
        <f>+_xlfn.IFNA(AN1030+AS1030+AX1030,0)</f>
      </c>
      <c r="Z1030" s="333">
        <f>+_xlfn.IFNA(AO1030+AT1030+AY1030,0)</f>
      </c>
      <c r="AA1030" s="333">
        <f>Y1030*(1+$O$5)^(($B$7-X1030)/365.25)</f>
      </c>
      <c r="AB1030" s="333">
        <f>Z1030*(1+$O$5)^(($B$7-X1030)/365.25)</f>
      </c>
      <c r="AC1030" s="1"/>
      <c r="AD1030" s="1"/>
      <c r="AE1030" s="1"/>
      <c r="AF1030" s="111">
        <f>+MONTH(E1030)&amp;YEAR(E1030)</f>
      </c>
      <c r="AG1030" s="217">
        <f>+I1030</f>
      </c>
      <c r="AH1030" s="217">
        <f>+J1030</f>
      </c>
      <c r="AI1030" s="217">
        <f>+H1030</f>
      </c>
      <c r="AJ1030" s="111">
        <f>+V1030&amp;W1030</f>
      </c>
      <c r="AK1030" s="217">
        <f>+_xlfn.IFNA(VLOOKUP(AJ1030,$AF$7:$AG$1066,2,0),0)</f>
      </c>
      <c r="AL1030" s="217">
        <f>+IF(W1030&gt;W1029,AK1030,AL1029+AK1030)</f>
      </c>
      <c r="AM1030" s="217">
        <f>IF(W1030&gt;W1029,IF(AL1030&gt;=$AZ$8,$AZ$8,AL1030),IF(OR(AM1029=$AZ$8,AM1029=0),0,IF(AL1030&gt;=$AZ$8,$AZ$8,AL1030)))</f>
      </c>
      <c r="AN1030" s="748">
        <f>+IF(OR(AM1030&gt;AZ1029,AM1030=0),0,IF(AM1030=AL1030,AK1030,$AZ$7-AL1029))</f>
      </c>
      <c r="AO1030" s="748">
        <f>+AK1030-AN1030</f>
      </c>
      <c r="AP1030" s="217">
        <f>+_xlfn.IFNA(VLOOKUP(AJ1030,$AF$7:$AI$1066,3,0),0)</f>
      </c>
      <c r="AQ1030" s="217">
        <f>+IF(W1030&gt;W1029,AP1030,AQ1029+AP1030)</f>
      </c>
      <c r="AR1030" s="217">
        <f>+MAX($AM$2-SUMIF($W$7:$W$1066,W1030,$AN$7:$AN$1066),0)</f>
      </c>
      <c r="AS1030" s="748">
        <f>+MAX(IF(AQ1030&gt;AR1030,AR1030-AQ1029,AP1030),0)</f>
      </c>
      <c r="AT1030" s="748">
        <f>+AP1030-AS1030</f>
      </c>
      <c r="AU1030" s="217">
        <f>+_xlfn.IFNA(VLOOKUP(AJ1030,$AF$7:$AI$1066,4,0),0)</f>
      </c>
      <c r="AV1030" s="217">
        <f>+IF(W1030&gt;W1029,AU1030,AV1029+AU1030)</f>
      </c>
      <c r="AW1030" s="217">
        <f>+MAX($AM$2-SUMIF($W$7:$W$1066,W1030,$AN$7:$AN$1066)-SUMIF($W$7:$W$1066,W1030,$AS$7:$AS$1066),0)</f>
      </c>
      <c r="AX1030" s="748">
        <f>+MAX(IF(AV1030&gt;AW1030,AW1030-AV1029,AU1030),0)</f>
      </c>
      <c r="AY1030" s="748">
        <f>+AU1030-AX1030</f>
      </c>
      <c r="AZ1030" s="331">
        <f>+$AM$1+IF($AP$1&gt;$AP$2,$AM$3/2)</f>
      </c>
    </row>
    <row x14ac:dyDescent="0.25" r="1031" customHeight="1" ht="18.75">
      <c r="A1031" s="1"/>
      <c r="B1031" s="7"/>
      <c r="C1031" s="170"/>
      <c r="D1031" s="331">
        <v>1024</v>
      </c>
      <c r="E1031" s="544">
        <f>+DATE(YEAR(E1030),MONTH(E1030)-1,DAY(E1030))</f>
        <v>25569.041666666668</v>
      </c>
      <c r="F1031" s="333">
        <f>IF(DATE(YEAR($B$6),MONTH($B$6)+1,DAY(1))=E1031,1,IF(MONTH(E1031)=1,F1032*(1+$F$5),F1032))</f>
      </c>
      <c r="G1031" s="333">
        <f>IF('Simulador - 1º Pilar'!$E$99="Sí",IF('Aportaciones PPE'!$B$13&lt;'Aportaciones PPE'!E1031,0,F1031*$B$8/12),F1031*$B$8/12)</f>
      </c>
      <c r="H1031" s="333">
        <f>$H$5*G1031</f>
      </c>
      <c r="I1031" s="333">
        <f>$I$5*G1031</f>
      </c>
      <c r="J1031" s="333">
        <f>+I1031</f>
      </c>
      <c r="K1031" s="333">
        <f>(1+$O$5)^(D1031/12)*(H1031+IF(AND(F1031=1,F1032=0),$S$4,0))</f>
      </c>
      <c r="L1031" s="333">
        <f>(1+$O$5)^(D1031/12)*(I1031+IF(AND(F1031=1,F1032=0),0))</f>
      </c>
      <c r="M1031" s="333">
        <f>+L1031</f>
      </c>
      <c r="N1031" s="333">
        <f>L1031+K1031+M1031</f>
      </c>
      <c r="O1031" s="170"/>
      <c r="P1031" s="7"/>
      <c r="Q1031" s="1"/>
      <c r="R1031" s="331">
        <f>D1031</f>
      </c>
      <c r="S1031" s="169"/>
      <c r="T1031" s="1"/>
      <c r="U1031" s="217"/>
      <c r="V1031" s="331">
        <f>+IF(V1030=11,12,IF(V1030=12,1,V1030+1))</f>
      </c>
      <c r="W1031" s="331">
        <f>+W1030+IF(V1030=12,1,0)</f>
      </c>
      <c r="X1031" s="555">
        <f>+DATE(W1031,V1031,1)</f>
        <v>25569.041666666668</v>
      </c>
      <c r="Y1031" s="333">
        <f>+_xlfn.IFNA(AN1031+AS1031+AX1031,0)</f>
      </c>
      <c r="Z1031" s="333">
        <f>+_xlfn.IFNA(AO1031+AT1031+AY1031,0)</f>
      </c>
      <c r="AA1031" s="333">
        <f>Y1031*(1+$O$5)^(($B$7-X1031)/365.25)</f>
      </c>
      <c r="AB1031" s="333">
        <f>Z1031*(1+$O$5)^(($B$7-X1031)/365.25)</f>
      </c>
      <c r="AC1031" s="1"/>
      <c r="AD1031" s="1"/>
      <c r="AE1031" s="1"/>
      <c r="AF1031" s="111">
        <f>+MONTH(E1031)&amp;YEAR(E1031)</f>
      </c>
      <c r="AG1031" s="217">
        <f>+I1031</f>
      </c>
      <c r="AH1031" s="217">
        <f>+J1031</f>
      </c>
      <c r="AI1031" s="217">
        <f>+H1031</f>
      </c>
      <c r="AJ1031" s="111">
        <f>+V1031&amp;W1031</f>
      </c>
      <c r="AK1031" s="217">
        <f>+_xlfn.IFNA(VLOOKUP(AJ1031,$AF$7:$AG$1066,2,0),0)</f>
      </c>
      <c r="AL1031" s="217">
        <f>+IF(W1031&gt;W1030,AK1031,AL1030+AK1031)</f>
      </c>
      <c r="AM1031" s="217">
        <f>IF(W1031&gt;W1030,IF(AL1031&gt;=$AZ$8,$AZ$8,AL1031),IF(OR(AM1030=$AZ$8,AM1030=0),0,IF(AL1031&gt;=$AZ$8,$AZ$8,AL1031)))</f>
      </c>
      <c r="AN1031" s="748">
        <f>+IF(OR(AM1031&gt;AZ1030,AM1031=0),0,IF(AM1031=AL1031,AK1031,$AZ$7-AL1030))</f>
      </c>
      <c r="AO1031" s="748">
        <f>+AK1031-AN1031</f>
      </c>
      <c r="AP1031" s="217">
        <f>+_xlfn.IFNA(VLOOKUP(AJ1031,$AF$7:$AI$1066,3,0),0)</f>
      </c>
      <c r="AQ1031" s="217">
        <f>+IF(W1031&gt;W1030,AP1031,AQ1030+AP1031)</f>
      </c>
      <c r="AR1031" s="217">
        <f>+MAX($AM$2-SUMIF($W$7:$W$1066,W1031,$AN$7:$AN$1066),0)</f>
      </c>
      <c r="AS1031" s="748">
        <f>+MAX(IF(AQ1031&gt;AR1031,AR1031-AQ1030,AP1031),0)</f>
      </c>
      <c r="AT1031" s="748">
        <f>+AP1031-AS1031</f>
      </c>
      <c r="AU1031" s="217">
        <f>+_xlfn.IFNA(VLOOKUP(AJ1031,$AF$7:$AI$1066,4,0),0)</f>
      </c>
      <c r="AV1031" s="217">
        <f>+IF(W1031&gt;W1030,AU1031,AV1030+AU1031)</f>
      </c>
      <c r="AW1031" s="217">
        <f>+MAX($AM$2-SUMIF($W$7:$W$1066,W1031,$AN$7:$AN$1066)-SUMIF($W$7:$W$1066,W1031,$AS$7:$AS$1066),0)</f>
      </c>
      <c r="AX1031" s="748">
        <f>+MAX(IF(AV1031&gt;AW1031,AW1031-AV1030,AU1031),0)</f>
      </c>
      <c r="AY1031" s="748">
        <f>+AU1031-AX1031</f>
      </c>
      <c r="AZ1031" s="331">
        <f>+$AM$1+IF($AP$1&gt;$AP$2,$AM$3/2)</f>
      </c>
    </row>
    <row x14ac:dyDescent="0.25" r="1032" customHeight="1" ht="18.75">
      <c r="A1032" s="1"/>
      <c r="B1032" s="7"/>
      <c r="C1032" s="170"/>
      <c r="D1032" s="331">
        <v>1025</v>
      </c>
      <c r="E1032" s="544">
        <f>+DATE(YEAR(E1031),MONTH(E1031)-1,DAY(E1031))</f>
        <v>25569.041666666668</v>
      </c>
      <c r="F1032" s="333">
        <f>IF(DATE(YEAR($B$6),MONTH($B$6)+1,DAY(1))=E1032,1,IF(MONTH(E1032)=1,F1033*(1+$F$5),F1033))</f>
      </c>
      <c r="G1032" s="333">
        <f>IF('Simulador - 1º Pilar'!$E$99="Sí",IF('Aportaciones PPE'!$B$13&lt;'Aportaciones PPE'!E1032,0,F1032*$B$8/12),F1032*$B$8/12)</f>
      </c>
      <c r="H1032" s="333">
        <f>$H$5*G1032</f>
      </c>
      <c r="I1032" s="333">
        <f>$I$5*G1032</f>
      </c>
      <c r="J1032" s="333">
        <f>+I1032</f>
      </c>
      <c r="K1032" s="333">
        <f>(1+$O$5)^(D1032/12)*(H1032+IF(AND(F1032=1,F1033=0),$S$4,0))</f>
      </c>
      <c r="L1032" s="333">
        <f>(1+$O$5)^(D1032/12)*(I1032+IF(AND(F1032=1,F1033=0),0))</f>
      </c>
      <c r="M1032" s="333">
        <f>+L1032</f>
      </c>
      <c r="N1032" s="333">
        <f>L1032+K1032+M1032</f>
      </c>
      <c r="O1032" s="170"/>
      <c r="P1032" s="7"/>
      <c r="Q1032" s="1"/>
      <c r="R1032" s="331">
        <f>D1032</f>
      </c>
      <c r="S1032" s="169"/>
      <c r="T1032" s="1"/>
      <c r="U1032" s="217"/>
      <c r="V1032" s="331">
        <f>+IF(V1031=11,12,IF(V1031=12,1,V1031+1))</f>
      </c>
      <c r="W1032" s="331">
        <f>+W1031+IF(V1031=12,1,0)</f>
      </c>
      <c r="X1032" s="555">
        <f>+DATE(W1032,V1032,1)</f>
        <v>25569.041666666668</v>
      </c>
      <c r="Y1032" s="333">
        <f>+_xlfn.IFNA(AN1032+AS1032+AX1032,0)</f>
      </c>
      <c r="Z1032" s="333">
        <f>+_xlfn.IFNA(AO1032+AT1032+AY1032,0)</f>
      </c>
      <c r="AA1032" s="333">
        <f>Y1032*(1+$O$5)^(($B$7-X1032)/365.25)</f>
      </c>
      <c r="AB1032" s="333">
        <f>Z1032*(1+$O$5)^(($B$7-X1032)/365.25)</f>
      </c>
      <c r="AC1032" s="1"/>
      <c r="AD1032" s="1"/>
      <c r="AE1032" s="1"/>
      <c r="AF1032" s="111">
        <f>+MONTH(E1032)&amp;YEAR(E1032)</f>
      </c>
      <c r="AG1032" s="217">
        <f>+I1032</f>
      </c>
      <c r="AH1032" s="217">
        <f>+J1032</f>
      </c>
      <c r="AI1032" s="217">
        <f>+H1032</f>
      </c>
      <c r="AJ1032" s="111">
        <f>+V1032&amp;W1032</f>
      </c>
      <c r="AK1032" s="217">
        <f>+_xlfn.IFNA(VLOOKUP(AJ1032,$AF$7:$AG$1066,2,0),0)</f>
      </c>
      <c r="AL1032" s="217">
        <f>+IF(W1032&gt;W1031,AK1032,AL1031+AK1032)</f>
      </c>
      <c r="AM1032" s="217">
        <f>IF(W1032&gt;W1031,IF(AL1032&gt;=$AZ$8,$AZ$8,AL1032),IF(OR(AM1031=$AZ$8,AM1031=0),0,IF(AL1032&gt;=$AZ$8,$AZ$8,AL1032)))</f>
      </c>
      <c r="AN1032" s="748">
        <f>+IF(OR(AM1032&gt;AZ1031,AM1032=0),0,IF(AM1032=AL1032,AK1032,$AZ$7-AL1031))</f>
      </c>
      <c r="AO1032" s="748">
        <f>+AK1032-AN1032</f>
      </c>
      <c r="AP1032" s="217">
        <f>+_xlfn.IFNA(VLOOKUP(AJ1032,$AF$7:$AI$1066,3,0),0)</f>
      </c>
      <c r="AQ1032" s="217">
        <f>+IF(W1032&gt;W1031,AP1032,AQ1031+AP1032)</f>
      </c>
      <c r="AR1032" s="217">
        <f>+MAX($AM$2-SUMIF($W$7:$W$1066,W1032,$AN$7:$AN$1066),0)</f>
      </c>
      <c r="AS1032" s="748">
        <f>+MAX(IF(AQ1032&gt;AR1032,AR1032-AQ1031,AP1032),0)</f>
      </c>
      <c r="AT1032" s="748">
        <f>+AP1032-AS1032</f>
      </c>
      <c r="AU1032" s="217">
        <f>+_xlfn.IFNA(VLOOKUP(AJ1032,$AF$7:$AI$1066,4,0),0)</f>
      </c>
      <c r="AV1032" s="217">
        <f>+IF(W1032&gt;W1031,AU1032,AV1031+AU1032)</f>
      </c>
      <c r="AW1032" s="217">
        <f>+MAX($AM$2-SUMIF($W$7:$W$1066,W1032,$AN$7:$AN$1066)-SUMIF($W$7:$W$1066,W1032,$AS$7:$AS$1066),0)</f>
      </c>
      <c r="AX1032" s="748">
        <f>+MAX(IF(AV1032&gt;AW1032,AW1032-AV1031,AU1032),0)</f>
      </c>
      <c r="AY1032" s="748">
        <f>+AU1032-AX1032</f>
      </c>
      <c r="AZ1032" s="331">
        <f>+$AM$1+IF($AP$1&gt;$AP$2,$AM$3/2)</f>
      </c>
    </row>
    <row x14ac:dyDescent="0.25" r="1033" customHeight="1" ht="18.75">
      <c r="A1033" s="1"/>
      <c r="B1033" s="7"/>
      <c r="C1033" s="170"/>
      <c r="D1033" s="331">
        <v>1026</v>
      </c>
      <c r="E1033" s="544">
        <f>+DATE(YEAR(E1032),MONTH(E1032)-1,DAY(E1032))</f>
        <v>25569.041666666668</v>
      </c>
      <c r="F1033" s="333">
        <f>IF(DATE(YEAR($B$6),MONTH($B$6)+1,DAY(1))=E1033,1,IF(MONTH(E1033)=1,F1034*(1+$F$5),F1034))</f>
      </c>
      <c r="G1033" s="333">
        <f>IF('Simulador - 1º Pilar'!$E$99="Sí",IF('Aportaciones PPE'!$B$13&lt;'Aportaciones PPE'!E1033,0,F1033*$B$8/12),F1033*$B$8/12)</f>
      </c>
      <c r="H1033" s="333">
        <f>$H$5*G1033</f>
      </c>
      <c r="I1033" s="333">
        <f>$I$5*G1033</f>
      </c>
      <c r="J1033" s="333">
        <f>+I1033</f>
      </c>
      <c r="K1033" s="333">
        <f>(1+$O$5)^(D1033/12)*(H1033+IF(AND(F1033=1,F1034=0),$S$4,0))</f>
      </c>
      <c r="L1033" s="333">
        <f>(1+$O$5)^(D1033/12)*(I1033+IF(AND(F1033=1,F1034=0),0))</f>
      </c>
      <c r="M1033" s="333">
        <f>+L1033</f>
      </c>
      <c r="N1033" s="333">
        <f>L1033+K1033+M1033</f>
      </c>
      <c r="O1033" s="170"/>
      <c r="P1033" s="7"/>
      <c r="Q1033" s="1"/>
      <c r="R1033" s="331">
        <f>D1033</f>
      </c>
      <c r="S1033" s="169"/>
      <c r="T1033" s="1"/>
      <c r="U1033" s="217"/>
      <c r="V1033" s="331">
        <f>+IF(V1032=11,12,IF(V1032=12,1,V1032+1))</f>
      </c>
      <c r="W1033" s="331">
        <f>+W1032+IF(V1032=12,1,0)</f>
      </c>
      <c r="X1033" s="555">
        <f>+DATE(W1033,V1033,1)</f>
        <v>25569.041666666668</v>
      </c>
      <c r="Y1033" s="333">
        <f>+_xlfn.IFNA(AN1033+AS1033+AX1033,0)</f>
      </c>
      <c r="Z1033" s="333">
        <f>+_xlfn.IFNA(AO1033+AT1033+AY1033,0)</f>
      </c>
      <c r="AA1033" s="333">
        <f>Y1033*(1+$O$5)^(($B$7-X1033)/365.25)</f>
      </c>
      <c r="AB1033" s="333">
        <f>Z1033*(1+$O$5)^(($B$7-X1033)/365.25)</f>
      </c>
      <c r="AC1033" s="1"/>
      <c r="AD1033" s="1"/>
      <c r="AE1033" s="1"/>
      <c r="AF1033" s="111">
        <f>+MONTH(E1033)&amp;YEAR(E1033)</f>
      </c>
      <c r="AG1033" s="217">
        <f>+I1033</f>
      </c>
      <c r="AH1033" s="217">
        <f>+J1033</f>
      </c>
      <c r="AI1033" s="217">
        <f>+H1033</f>
      </c>
      <c r="AJ1033" s="111">
        <f>+V1033&amp;W1033</f>
      </c>
      <c r="AK1033" s="217">
        <f>+_xlfn.IFNA(VLOOKUP(AJ1033,$AF$7:$AG$1066,2,0),0)</f>
      </c>
      <c r="AL1033" s="217">
        <f>+IF(W1033&gt;W1032,AK1033,AL1032+AK1033)</f>
      </c>
      <c r="AM1033" s="217">
        <f>IF(W1033&gt;W1032,IF(AL1033&gt;=$AZ$8,$AZ$8,AL1033),IF(OR(AM1032=$AZ$8,AM1032=0),0,IF(AL1033&gt;=$AZ$8,$AZ$8,AL1033)))</f>
      </c>
      <c r="AN1033" s="748">
        <f>+IF(OR(AM1033&gt;AZ1032,AM1033=0),0,IF(AM1033=AL1033,AK1033,$AZ$7-AL1032))</f>
      </c>
      <c r="AO1033" s="748">
        <f>+AK1033-AN1033</f>
      </c>
      <c r="AP1033" s="217">
        <f>+_xlfn.IFNA(VLOOKUP(AJ1033,$AF$7:$AI$1066,3,0),0)</f>
      </c>
      <c r="AQ1033" s="217">
        <f>+IF(W1033&gt;W1032,AP1033,AQ1032+AP1033)</f>
      </c>
      <c r="AR1033" s="217">
        <f>+MAX($AM$2-SUMIF($W$7:$W$1066,W1033,$AN$7:$AN$1066),0)</f>
      </c>
      <c r="AS1033" s="748">
        <f>+MAX(IF(AQ1033&gt;AR1033,AR1033-AQ1032,AP1033),0)</f>
      </c>
      <c r="AT1033" s="748">
        <f>+AP1033-AS1033</f>
      </c>
      <c r="AU1033" s="217">
        <f>+_xlfn.IFNA(VLOOKUP(AJ1033,$AF$7:$AI$1066,4,0),0)</f>
      </c>
      <c r="AV1033" s="217">
        <f>+IF(W1033&gt;W1032,AU1033,AV1032+AU1033)</f>
      </c>
      <c r="AW1033" s="217">
        <f>+MAX($AM$2-SUMIF($W$7:$W$1066,W1033,$AN$7:$AN$1066)-SUMIF($W$7:$W$1066,W1033,$AS$7:$AS$1066),0)</f>
      </c>
      <c r="AX1033" s="748">
        <f>+MAX(IF(AV1033&gt;AW1033,AW1033-AV1032,AU1033),0)</f>
      </c>
      <c r="AY1033" s="748">
        <f>+AU1033-AX1033</f>
      </c>
      <c r="AZ1033" s="331">
        <f>+$AM$1+IF($AP$1&gt;$AP$2,$AM$3/2)</f>
      </c>
    </row>
    <row x14ac:dyDescent="0.25" r="1034" customHeight="1" ht="18.75">
      <c r="A1034" s="1"/>
      <c r="B1034" s="7"/>
      <c r="C1034" s="170"/>
      <c r="D1034" s="331">
        <v>1027</v>
      </c>
      <c r="E1034" s="544">
        <f>+DATE(YEAR(E1033),MONTH(E1033)-1,DAY(E1033))</f>
        <v>25569.041666666668</v>
      </c>
      <c r="F1034" s="333">
        <f>IF(DATE(YEAR($B$6),MONTH($B$6)+1,DAY(1))=E1034,1,IF(MONTH(E1034)=1,F1035*(1+$F$5),F1035))</f>
      </c>
      <c r="G1034" s="333">
        <f>IF('Simulador - 1º Pilar'!$E$99="Sí",IF('Aportaciones PPE'!$B$13&lt;'Aportaciones PPE'!E1034,0,F1034*$B$8/12),F1034*$B$8/12)</f>
      </c>
      <c r="H1034" s="333">
        <f>$H$5*G1034</f>
      </c>
      <c r="I1034" s="333">
        <f>$I$5*G1034</f>
      </c>
      <c r="J1034" s="333">
        <f>+I1034</f>
      </c>
      <c r="K1034" s="333">
        <f>(1+$O$5)^(D1034/12)*(H1034+IF(AND(F1034=1,F1035=0),$S$4,0))</f>
      </c>
      <c r="L1034" s="333">
        <f>(1+$O$5)^(D1034/12)*(I1034+IF(AND(F1034=1,F1035=0),0))</f>
      </c>
      <c r="M1034" s="333">
        <f>+L1034</f>
      </c>
      <c r="N1034" s="333">
        <f>L1034+K1034+M1034</f>
      </c>
      <c r="O1034" s="170"/>
      <c r="P1034" s="7"/>
      <c r="Q1034" s="1"/>
      <c r="R1034" s="331">
        <f>D1034</f>
      </c>
      <c r="S1034" s="169"/>
      <c r="T1034" s="1"/>
      <c r="U1034" s="217"/>
      <c r="V1034" s="331">
        <f>+IF(V1033=11,12,IF(V1033=12,1,V1033+1))</f>
      </c>
      <c r="W1034" s="331">
        <f>+W1033+IF(V1033=12,1,0)</f>
      </c>
      <c r="X1034" s="555">
        <f>+DATE(W1034,V1034,1)</f>
        <v>25569.041666666668</v>
      </c>
      <c r="Y1034" s="333">
        <f>+_xlfn.IFNA(AN1034+AS1034+AX1034,0)</f>
      </c>
      <c r="Z1034" s="333">
        <f>+_xlfn.IFNA(AO1034+AT1034+AY1034,0)</f>
      </c>
      <c r="AA1034" s="333">
        <f>Y1034*(1+$O$5)^(($B$7-X1034)/365.25)</f>
      </c>
      <c r="AB1034" s="333">
        <f>Z1034*(1+$O$5)^(($B$7-X1034)/365.25)</f>
      </c>
      <c r="AC1034" s="1"/>
      <c r="AD1034" s="1"/>
      <c r="AE1034" s="1"/>
      <c r="AF1034" s="111">
        <f>+MONTH(E1034)&amp;YEAR(E1034)</f>
      </c>
      <c r="AG1034" s="217">
        <f>+I1034</f>
      </c>
      <c r="AH1034" s="217">
        <f>+J1034</f>
      </c>
      <c r="AI1034" s="217">
        <f>+H1034</f>
      </c>
      <c r="AJ1034" s="111">
        <f>+V1034&amp;W1034</f>
      </c>
      <c r="AK1034" s="217">
        <f>+_xlfn.IFNA(VLOOKUP(AJ1034,$AF$7:$AG$1066,2,0),0)</f>
      </c>
      <c r="AL1034" s="217">
        <f>+IF(W1034&gt;W1033,AK1034,AL1033+AK1034)</f>
      </c>
      <c r="AM1034" s="217">
        <f>IF(W1034&gt;W1033,IF(AL1034&gt;=$AZ$8,$AZ$8,AL1034),IF(OR(AM1033=$AZ$8,AM1033=0),0,IF(AL1034&gt;=$AZ$8,$AZ$8,AL1034)))</f>
      </c>
      <c r="AN1034" s="748">
        <f>+IF(OR(AM1034&gt;AZ1033,AM1034=0),0,IF(AM1034=AL1034,AK1034,$AZ$7-AL1033))</f>
      </c>
      <c r="AO1034" s="748">
        <f>+AK1034-AN1034</f>
      </c>
      <c r="AP1034" s="217">
        <f>+_xlfn.IFNA(VLOOKUP(AJ1034,$AF$7:$AI$1066,3,0),0)</f>
      </c>
      <c r="AQ1034" s="217">
        <f>+IF(W1034&gt;W1033,AP1034,AQ1033+AP1034)</f>
      </c>
      <c r="AR1034" s="217">
        <f>+MAX($AM$2-SUMIF($W$7:$W$1066,W1034,$AN$7:$AN$1066),0)</f>
      </c>
      <c r="AS1034" s="748">
        <f>+MAX(IF(AQ1034&gt;AR1034,AR1034-AQ1033,AP1034),0)</f>
      </c>
      <c r="AT1034" s="748">
        <f>+AP1034-AS1034</f>
      </c>
      <c r="AU1034" s="217">
        <f>+_xlfn.IFNA(VLOOKUP(AJ1034,$AF$7:$AI$1066,4,0),0)</f>
      </c>
      <c r="AV1034" s="217">
        <f>+IF(W1034&gt;W1033,AU1034,AV1033+AU1034)</f>
      </c>
      <c r="AW1034" s="217">
        <f>+MAX($AM$2-SUMIF($W$7:$W$1066,W1034,$AN$7:$AN$1066)-SUMIF($W$7:$W$1066,W1034,$AS$7:$AS$1066),0)</f>
      </c>
      <c r="AX1034" s="748">
        <f>+MAX(IF(AV1034&gt;AW1034,AW1034-AV1033,AU1034),0)</f>
      </c>
      <c r="AY1034" s="748">
        <f>+AU1034-AX1034</f>
      </c>
      <c r="AZ1034" s="331">
        <f>+$AM$1+IF($AP$1&gt;$AP$2,$AM$3/2)</f>
      </c>
    </row>
    <row x14ac:dyDescent="0.25" r="1035" customHeight="1" ht="18.75">
      <c r="A1035" s="1"/>
      <c r="B1035" s="7"/>
      <c r="C1035" s="170"/>
      <c r="D1035" s="331">
        <v>1028</v>
      </c>
      <c r="E1035" s="544">
        <f>+DATE(YEAR(E1034),MONTH(E1034)-1,DAY(E1034))</f>
        <v>25569.041666666668</v>
      </c>
      <c r="F1035" s="333">
        <f>IF(DATE(YEAR($B$6),MONTH($B$6)+1,DAY(1))=E1035,1,IF(MONTH(E1035)=1,F1036*(1+$F$5),F1036))</f>
      </c>
      <c r="G1035" s="333">
        <f>IF('Simulador - 1º Pilar'!$E$99="Sí",IF('Aportaciones PPE'!$B$13&lt;'Aportaciones PPE'!E1035,0,F1035*$B$8/12),F1035*$B$8/12)</f>
      </c>
      <c r="H1035" s="333">
        <f>$H$5*G1035</f>
      </c>
      <c r="I1035" s="333">
        <f>$I$5*G1035</f>
      </c>
      <c r="J1035" s="333">
        <f>+I1035</f>
      </c>
      <c r="K1035" s="333">
        <f>(1+$O$5)^(D1035/12)*(H1035+IF(AND(F1035=1,F1036=0),$S$4,0))</f>
      </c>
      <c r="L1035" s="333">
        <f>(1+$O$5)^(D1035/12)*(I1035+IF(AND(F1035=1,F1036=0),0))</f>
      </c>
      <c r="M1035" s="333">
        <f>+L1035</f>
      </c>
      <c r="N1035" s="333">
        <f>L1035+K1035+M1035</f>
      </c>
      <c r="O1035" s="170"/>
      <c r="P1035" s="7"/>
      <c r="Q1035" s="1"/>
      <c r="R1035" s="331">
        <f>D1035</f>
      </c>
      <c r="S1035" s="169"/>
      <c r="T1035" s="1"/>
      <c r="U1035" s="217"/>
      <c r="V1035" s="331">
        <f>+IF(V1034=11,12,IF(V1034=12,1,V1034+1))</f>
      </c>
      <c r="W1035" s="331">
        <f>+W1034+IF(V1034=12,1,0)</f>
      </c>
      <c r="X1035" s="555">
        <f>+DATE(W1035,V1035,1)</f>
        <v>25569.041666666668</v>
      </c>
      <c r="Y1035" s="333">
        <f>+_xlfn.IFNA(AN1035+AS1035+AX1035,0)</f>
      </c>
      <c r="Z1035" s="333">
        <f>+_xlfn.IFNA(AO1035+AT1035+AY1035,0)</f>
      </c>
      <c r="AA1035" s="333">
        <f>Y1035*(1+$O$5)^(($B$7-X1035)/365.25)</f>
      </c>
      <c r="AB1035" s="333">
        <f>Z1035*(1+$O$5)^(($B$7-X1035)/365.25)</f>
      </c>
      <c r="AC1035" s="1"/>
      <c r="AD1035" s="1"/>
      <c r="AE1035" s="1"/>
      <c r="AF1035" s="111">
        <f>+MONTH(E1035)&amp;YEAR(E1035)</f>
      </c>
      <c r="AG1035" s="217">
        <f>+I1035</f>
      </c>
      <c r="AH1035" s="217">
        <f>+J1035</f>
      </c>
      <c r="AI1035" s="217">
        <f>+H1035</f>
      </c>
      <c r="AJ1035" s="111">
        <f>+V1035&amp;W1035</f>
      </c>
      <c r="AK1035" s="217">
        <f>+_xlfn.IFNA(VLOOKUP(AJ1035,$AF$7:$AG$1066,2,0),0)</f>
      </c>
      <c r="AL1035" s="217">
        <f>+IF(W1035&gt;W1034,AK1035,AL1034+AK1035)</f>
      </c>
      <c r="AM1035" s="217">
        <f>IF(W1035&gt;W1034,IF(AL1035&gt;=$AZ$8,$AZ$8,AL1035),IF(OR(AM1034=$AZ$8,AM1034=0),0,IF(AL1035&gt;=$AZ$8,$AZ$8,AL1035)))</f>
      </c>
      <c r="AN1035" s="748">
        <f>+IF(OR(AM1035&gt;AZ1034,AM1035=0),0,IF(AM1035=AL1035,AK1035,$AZ$7-AL1034))</f>
      </c>
      <c r="AO1035" s="748">
        <f>+AK1035-AN1035</f>
      </c>
      <c r="AP1035" s="217">
        <f>+_xlfn.IFNA(VLOOKUP(AJ1035,$AF$7:$AI$1066,3,0),0)</f>
      </c>
      <c r="AQ1035" s="217">
        <f>+IF(W1035&gt;W1034,AP1035,AQ1034+AP1035)</f>
      </c>
      <c r="AR1035" s="217">
        <f>+MAX($AM$2-SUMIF($W$7:$W$1066,W1035,$AN$7:$AN$1066),0)</f>
      </c>
      <c r="AS1035" s="748">
        <f>+MAX(IF(AQ1035&gt;AR1035,AR1035-AQ1034,AP1035),0)</f>
      </c>
      <c r="AT1035" s="748">
        <f>+AP1035-AS1035</f>
      </c>
      <c r="AU1035" s="217">
        <f>+_xlfn.IFNA(VLOOKUP(AJ1035,$AF$7:$AI$1066,4,0),0)</f>
      </c>
      <c r="AV1035" s="217">
        <f>+IF(W1035&gt;W1034,AU1035,AV1034+AU1035)</f>
      </c>
      <c r="AW1035" s="217">
        <f>+MAX($AM$2-SUMIF($W$7:$W$1066,W1035,$AN$7:$AN$1066)-SUMIF($W$7:$W$1066,W1035,$AS$7:$AS$1066),0)</f>
      </c>
      <c r="AX1035" s="748">
        <f>+MAX(IF(AV1035&gt;AW1035,AW1035-AV1034,AU1035),0)</f>
      </c>
      <c r="AY1035" s="748">
        <f>+AU1035-AX1035</f>
      </c>
      <c r="AZ1035" s="331">
        <f>+$AM$1+IF($AP$1&gt;$AP$2,$AM$3/2)</f>
      </c>
    </row>
    <row x14ac:dyDescent="0.25" r="1036" customHeight="1" ht="18.75">
      <c r="A1036" s="1"/>
      <c r="B1036" s="7"/>
      <c r="C1036" s="170"/>
      <c r="D1036" s="331">
        <v>1029</v>
      </c>
      <c r="E1036" s="544">
        <f>+DATE(YEAR(E1035),MONTH(E1035)-1,DAY(E1035))</f>
        <v>25569.041666666668</v>
      </c>
      <c r="F1036" s="333">
        <f>IF(DATE(YEAR($B$6),MONTH($B$6)+1,DAY(1))=E1036,1,IF(MONTH(E1036)=1,F1037*(1+$F$5),F1037))</f>
      </c>
      <c r="G1036" s="333">
        <f>IF('Simulador - 1º Pilar'!$E$99="Sí",IF('Aportaciones PPE'!$B$13&lt;'Aportaciones PPE'!E1036,0,F1036*$B$8/12),F1036*$B$8/12)</f>
      </c>
      <c r="H1036" s="333">
        <f>$H$5*G1036</f>
      </c>
      <c r="I1036" s="333">
        <f>$I$5*G1036</f>
      </c>
      <c r="J1036" s="333">
        <f>+I1036</f>
      </c>
      <c r="K1036" s="333">
        <f>(1+$O$5)^(D1036/12)*(H1036+IF(AND(F1036=1,F1037=0),$S$4,0))</f>
      </c>
      <c r="L1036" s="333">
        <f>(1+$O$5)^(D1036/12)*(I1036+IF(AND(F1036=1,F1037=0),0))</f>
      </c>
      <c r="M1036" s="333">
        <f>+L1036</f>
      </c>
      <c r="N1036" s="333">
        <f>L1036+K1036+M1036</f>
      </c>
      <c r="O1036" s="170"/>
      <c r="P1036" s="7"/>
      <c r="Q1036" s="1"/>
      <c r="R1036" s="331">
        <f>D1036</f>
      </c>
      <c r="S1036" s="169"/>
      <c r="T1036" s="1"/>
      <c r="U1036" s="217"/>
      <c r="V1036" s="331">
        <f>+IF(V1035=11,12,IF(V1035=12,1,V1035+1))</f>
      </c>
      <c r="W1036" s="331">
        <f>+W1035+IF(V1035=12,1,0)</f>
      </c>
      <c r="X1036" s="555">
        <f>+DATE(W1036,V1036,1)</f>
        <v>25569.041666666668</v>
      </c>
      <c r="Y1036" s="333">
        <f>+_xlfn.IFNA(AN1036+AS1036+AX1036,0)</f>
      </c>
      <c r="Z1036" s="333">
        <f>+_xlfn.IFNA(AO1036+AT1036+AY1036,0)</f>
      </c>
      <c r="AA1036" s="333">
        <f>Y1036*(1+$O$5)^(($B$7-X1036)/365.25)</f>
      </c>
      <c r="AB1036" s="333">
        <f>Z1036*(1+$O$5)^(($B$7-X1036)/365.25)</f>
      </c>
      <c r="AC1036" s="1"/>
      <c r="AD1036" s="1"/>
      <c r="AE1036" s="1"/>
      <c r="AF1036" s="111">
        <f>+MONTH(E1036)&amp;YEAR(E1036)</f>
      </c>
      <c r="AG1036" s="217">
        <f>+I1036</f>
      </c>
      <c r="AH1036" s="217">
        <f>+J1036</f>
      </c>
      <c r="AI1036" s="217">
        <f>+H1036</f>
      </c>
      <c r="AJ1036" s="111">
        <f>+V1036&amp;W1036</f>
      </c>
      <c r="AK1036" s="217">
        <f>+_xlfn.IFNA(VLOOKUP(AJ1036,$AF$7:$AG$1066,2,0),0)</f>
      </c>
      <c r="AL1036" s="217">
        <f>+IF(W1036&gt;W1035,AK1036,AL1035+AK1036)</f>
      </c>
      <c r="AM1036" s="217">
        <f>IF(W1036&gt;W1035,IF(AL1036&gt;=$AZ$8,$AZ$8,AL1036),IF(OR(AM1035=$AZ$8,AM1035=0),0,IF(AL1036&gt;=$AZ$8,$AZ$8,AL1036)))</f>
      </c>
      <c r="AN1036" s="748">
        <f>+IF(OR(AM1036&gt;AZ1035,AM1036=0),0,IF(AM1036=AL1036,AK1036,$AZ$7-AL1035))</f>
      </c>
      <c r="AO1036" s="748">
        <f>+AK1036-AN1036</f>
      </c>
      <c r="AP1036" s="217">
        <f>+_xlfn.IFNA(VLOOKUP(AJ1036,$AF$7:$AI$1066,3,0),0)</f>
      </c>
      <c r="AQ1036" s="217">
        <f>+IF(W1036&gt;W1035,AP1036,AQ1035+AP1036)</f>
      </c>
      <c r="AR1036" s="217">
        <f>+MAX($AM$2-SUMIF($W$7:$W$1066,W1036,$AN$7:$AN$1066),0)</f>
      </c>
      <c r="AS1036" s="748">
        <f>+MAX(IF(AQ1036&gt;AR1036,AR1036-AQ1035,AP1036),0)</f>
      </c>
      <c r="AT1036" s="748">
        <f>+AP1036-AS1036</f>
      </c>
      <c r="AU1036" s="217">
        <f>+_xlfn.IFNA(VLOOKUP(AJ1036,$AF$7:$AI$1066,4,0),0)</f>
      </c>
      <c r="AV1036" s="217">
        <f>+IF(W1036&gt;W1035,AU1036,AV1035+AU1036)</f>
      </c>
      <c r="AW1036" s="217">
        <f>+MAX($AM$2-SUMIF($W$7:$W$1066,W1036,$AN$7:$AN$1066)-SUMIF($W$7:$W$1066,W1036,$AS$7:$AS$1066),0)</f>
      </c>
      <c r="AX1036" s="748">
        <f>+MAX(IF(AV1036&gt;AW1036,AW1036-AV1035,AU1036),0)</f>
      </c>
      <c r="AY1036" s="748">
        <f>+AU1036-AX1036</f>
      </c>
      <c r="AZ1036" s="331">
        <f>+$AM$1+IF($AP$1&gt;$AP$2,$AM$3/2)</f>
      </c>
    </row>
    <row x14ac:dyDescent="0.25" r="1037" customHeight="1" ht="18.75">
      <c r="A1037" s="1"/>
      <c r="B1037" s="7"/>
      <c r="C1037" s="170"/>
      <c r="D1037" s="331">
        <v>1030</v>
      </c>
      <c r="E1037" s="544">
        <f>+DATE(YEAR(E1036),MONTH(E1036)-1,DAY(E1036))</f>
        <v>25569.041666666668</v>
      </c>
      <c r="F1037" s="333">
        <f>IF(DATE(YEAR($B$6),MONTH($B$6)+1,DAY(1))=E1037,1,IF(MONTH(E1037)=1,F1038*(1+$F$5),F1038))</f>
      </c>
      <c r="G1037" s="333">
        <f>IF('Simulador - 1º Pilar'!$E$99="Sí",IF('Aportaciones PPE'!$B$13&lt;'Aportaciones PPE'!E1037,0,F1037*$B$8/12),F1037*$B$8/12)</f>
      </c>
      <c r="H1037" s="333">
        <f>$H$5*G1037</f>
      </c>
      <c r="I1037" s="333">
        <f>$I$5*G1037</f>
      </c>
      <c r="J1037" s="333">
        <f>+I1037</f>
      </c>
      <c r="K1037" s="333">
        <f>(1+$O$5)^(D1037/12)*(H1037+IF(AND(F1037=1,F1038=0),$S$4,0))</f>
      </c>
      <c r="L1037" s="333">
        <f>(1+$O$5)^(D1037/12)*(I1037+IF(AND(F1037=1,F1038=0),0))</f>
      </c>
      <c r="M1037" s="333">
        <f>+L1037</f>
      </c>
      <c r="N1037" s="333">
        <f>L1037+K1037+M1037</f>
      </c>
      <c r="O1037" s="170"/>
      <c r="P1037" s="7"/>
      <c r="Q1037" s="1"/>
      <c r="R1037" s="331">
        <f>D1037</f>
      </c>
      <c r="S1037" s="169"/>
      <c r="T1037" s="1"/>
      <c r="U1037" s="217"/>
      <c r="V1037" s="331">
        <f>+IF(V1036=11,12,IF(V1036=12,1,V1036+1))</f>
      </c>
      <c r="W1037" s="331">
        <f>+W1036+IF(V1036=12,1,0)</f>
      </c>
      <c r="X1037" s="555">
        <f>+DATE(W1037,V1037,1)</f>
        <v>25569.041666666668</v>
      </c>
      <c r="Y1037" s="333">
        <f>+_xlfn.IFNA(AN1037+AS1037+AX1037,0)</f>
      </c>
      <c r="Z1037" s="333">
        <f>+_xlfn.IFNA(AO1037+AT1037+AY1037,0)</f>
      </c>
      <c r="AA1037" s="333">
        <f>Y1037*(1+$O$5)^(($B$7-X1037)/365.25)</f>
      </c>
      <c r="AB1037" s="333">
        <f>Z1037*(1+$O$5)^(($B$7-X1037)/365.25)</f>
      </c>
      <c r="AC1037" s="1"/>
      <c r="AD1037" s="1"/>
      <c r="AE1037" s="1"/>
      <c r="AF1037" s="111">
        <f>+MONTH(E1037)&amp;YEAR(E1037)</f>
      </c>
      <c r="AG1037" s="217">
        <f>+I1037</f>
      </c>
      <c r="AH1037" s="217">
        <f>+J1037</f>
      </c>
      <c r="AI1037" s="217">
        <f>+H1037</f>
      </c>
      <c r="AJ1037" s="111">
        <f>+V1037&amp;W1037</f>
      </c>
      <c r="AK1037" s="217">
        <f>+_xlfn.IFNA(VLOOKUP(AJ1037,$AF$7:$AG$1066,2,0),0)</f>
      </c>
      <c r="AL1037" s="217">
        <f>+IF(W1037&gt;W1036,AK1037,AL1036+AK1037)</f>
      </c>
      <c r="AM1037" s="217">
        <f>IF(W1037&gt;W1036,IF(AL1037&gt;=$AZ$8,$AZ$8,AL1037),IF(OR(AM1036=$AZ$8,AM1036=0),0,IF(AL1037&gt;=$AZ$8,$AZ$8,AL1037)))</f>
      </c>
      <c r="AN1037" s="748">
        <f>+IF(OR(AM1037&gt;AZ1036,AM1037=0),0,IF(AM1037=AL1037,AK1037,$AZ$7-AL1036))</f>
      </c>
      <c r="AO1037" s="748">
        <f>+AK1037-AN1037</f>
      </c>
      <c r="AP1037" s="217">
        <f>+_xlfn.IFNA(VLOOKUP(AJ1037,$AF$7:$AI$1066,3,0),0)</f>
      </c>
      <c r="AQ1037" s="217">
        <f>+IF(W1037&gt;W1036,AP1037,AQ1036+AP1037)</f>
      </c>
      <c r="AR1037" s="217">
        <f>+MAX($AM$2-SUMIF($W$7:$W$1066,W1037,$AN$7:$AN$1066),0)</f>
      </c>
      <c r="AS1037" s="748">
        <f>+MAX(IF(AQ1037&gt;AR1037,AR1037-AQ1036,AP1037),0)</f>
      </c>
      <c r="AT1037" s="748">
        <f>+AP1037-AS1037</f>
      </c>
      <c r="AU1037" s="217">
        <f>+_xlfn.IFNA(VLOOKUP(AJ1037,$AF$7:$AI$1066,4,0),0)</f>
      </c>
      <c r="AV1037" s="217">
        <f>+IF(W1037&gt;W1036,AU1037,AV1036+AU1037)</f>
      </c>
      <c r="AW1037" s="217">
        <f>+MAX($AM$2-SUMIF($W$7:$W$1066,W1037,$AN$7:$AN$1066)-SUMIF($W$7:$W$1066,W1037,$AS$7:$AS$1066),0)</f>
      </c>
      <c r="AX1037" s="748">
        <f>+MAX(IF(AV1037&gt;AW1037,AW1037-AV1036,AU1037),0)</f>
      </c>
      <c r="AY1037" s="748">
        <f>+AU1037-AX1037</f>
      </c>
      <c r="AZ1037" s="331">
        <f>+$AM$1+IF($AP$1&gt;$AP$2,$AM$3/2)</f>
      </c>
    </row>
    <row x14ac:dyDescent="0.25" r="1038" customHeight="1" ht="18.75">
      <c r="A1038" s="1"/>
      <c r="B1038" s="7"/>
      <c r="C1038" s="170"/>
      <c r="D1038" s="331">
        <v>1031</v>
      </c>
      <c r="E1038" s="544">
        <f>+DATE(YEAR(E1037),MONTH(E1037)-1,DAY(E1037))</f>
        <v>25569.041666666668</v>
      </c>
      <c r="F1038" s="333">
        <f>IF(DATE(YEAR($B$6),MONTH($B$6)+1,DAY(1))=E1038,1,IF(MONTH(E1038)=1,F1039*(1+$F$5),F1039))</f>
      </c>
      <c r="G1038" s="333">
        <f>IF('Simulador - 1º Pilar'!$E$99="Sí",IF('Aportaciones PPE'!$B$13&lt;'Aportaciones PPE'!E1038,0,F1038*$B$8/12),F1038*$B$8/12)</f>
      </c>
      <c r="H1038" s="333">
        <f>$H$5*G1038</f>
      </c>
      <c r="I1038" s="333">
        <f>$I$5*G1038</f>
      </c>
      <c r="J1038" s="333">
        <f>+I1038</f>
      </c>
      <c r="K1038" s="333">
        <f>(1+$O$5)^(D1038/12)*(H1038+IF(AND(F1038=1,F1039=0),$S$4,0))</f>
      </c>
      <c r="L1038" s="333">
        <f>(1+$O$5)^(D1038/12)*(I1038+IF(AND(F1038=1,F1039=0),0))</f>
      </c>
      <c r="M1038" s="333">
        <f>+L1038</f>
      </c>
      <c r="N1038" s="333">
        <f>L1038+K1038+M1038</f>
      </c>
      <c r="O1038" s="170"/>
      <c r="P1038" s="7"/>
      <c r="Q1038" s="1"/>
      <c r="R1038" s="331">
        <f>D1038</f>
      </c>
      <c r="S1038" s="169"/>
      <c r="T1038" s="1"/>
      <c r="U1038" s="217"/>
      <c r="V1038" s="331">
        <f>+IF(V1037=11,12,IF(V1037=12,1,V1037+1))</f>
      </c>
      <c r="W1038" s="331">
        <f>+W1037+IF(V1037=12,1,0)</f>
      </c>
      <c r="X1038" s="555">
        <f>+DATE(W1038,V1038,1)</f>
        <v>25569.041666666668</v>
      </c>
      <c r="Y1038" s="333">
        <f>+_xlfn.IFNA(AN1038+AS1038+AX1038,0)</f>
      </c>
      <c r="Z1038" s="333">
        <f>+_xlfn.IFNA(AO1038+AT1038+AY1038,0)</f>
      </c>
      <c r="AA1038" s="333">
        <f>Y1038*(1+$O$5)^(($B$7-X1038)/365.25)</f>
      </c>
      <c r="AB1038" s="333">
        <f>Z1038*(1+$O$5)^(($B$7-X1038)/365.25)</f>
      </c>
      <c r="AC1038" s="1"/>
      <c r="AD1038" s="1"/>
      <c r="AE1038" s="1"/>
      <c r="AF1038" s="111">
        <f>+MONTH(E1038)&amp;YEAR(E1038)</f>
      </c>
      <c r="AG1038" s="217">
        <f>+I1038</f>
      </c>
      <c r="AH1038" s="217">
        <f>+J1038</f>
      </c>
      <c r="AI1038" s="217">
        <f>+H1038</f>
      </c>
      <c r="AJ1038" s="111">
        <f>+V1038&amp;W1038</f>
      </c>
      <c r="AK1038" s="217">
        <f>+_xlfn.IFNA(VLOOKUP(AJ1038,$AF$7:$AG$1066,2,0),0)</f>
      </c>
      <c r="AL1038" s="217">
        <f>+IF(W1038&gt;W1037,AK1038,AL1037+AK1038)</f>
      </c>
      <c r="AM1038" s="217">
        <f>IF(W1038&gt;W1037,IF(AL1038&gt;=$AZ$8,$AZ$8,AL1038),IF(OR(AM1037=$AZ$8,AM1037=0),0,IF(AL1038&gt;=$AZ$8,$AZ$8,AL1038)))</f>
      </c>
      <c r="AN1038" s="748">
        <f>+IF(OR(AM1038&gt;AZ1037,AM1038=0),0,IF(AM1038=AL1038,AK1038,$AZ$7-AL1037))</f>
      </c>
      <c r="AO1038" s="748">
        <f>+AK1038-AN1038</f>
      </c>
      <c r="AP1038" s="217">
        <f>+_xlfn.IFNA(VLOOKUP(AJ1038,$AF$7:$AI$1066,3,0),0)</f>
      </c>
      <c r="AQ1038" s="217">
        <f>+IF(W1038&gt;W1037,AP1038,AQ1037+AP1038)</f>
      </c>
      <c r="AR1038" s="217">
        <f>+MAX($AM$2-SUMIF($W$7:$W$1066,W1038,$AN$7:$AN$1066),0)</f>
      </c>
      <c r="AS1038" s="748">
        <f>+MAX(IF(AQ1038&gt;AR1038,AR1038-AQ1037,AP1038),0)</f>
      </c>
      <c r="AT1038" s="748">
        <f>+AP1038-AS1038</f>
      </c>
      <c r="AU1038" s="217">
        <f>+_xlfn.IFNA(VLOOKUP(AJ1038,$AF$7:$AI$1066,4,0),0)</f>
      </c>
      <c r="AV1038" s="217">
        <f>+IF(W1038&gt;W1037,AU1038,AV1037+AU1038)</f>
      </c>
      <c r="AW1038" s="217">
        <f>+MAX($AM$2-SUMIF($W$7:$W$1066,W1038,$AN$7:$AN$1066)-SUMIF($W$7:$W$1066,W1038,$AS$7:$AS$1066),0)</f>
      </c>
      <c r="AX1038" s="748">
        <f>+MAX(IF(AV1038&gt;AW1038,AW1038-AV1037,AU1038),0)</f>
      </c>
      <c r="AY1038" s="748">
        <f>+AU1038-AX1038</f>
      </c>
      <c r="AZ1038" s="331">
        <f>+$AM$1+IF($AP$1&gt;$AP$2,$AM$3/2)</f>
      </c>
    </row>
    <row x14ac:dyDescent="0.25" r="1039" customHeight="1" ht="18.75">
      <c r="A1039" s="1"/>
      <c r="B1039" s="7"/>
      <c r="C1039" s="170"/>
      <c r="D1039" s="331">
        <v>1032</v>
      </c>
      <c r="E1039" s="544">
        <f>+DATE(YEAR(E1038),MONTH(E1038)-1,DAY(E1038))</f>
        <v>25569.041666666668</v>
      </c>
      <c r="F1039" s="333">
        <f>IF(DATE(YEAR($B$6),MONTH($B$6)+1,DAY(1))=E1039,1,IF(MONTH(E1039)=1,F1040*(1+$F$5),F1040))</f>
      </c>
      <c r="G1039" s="333">
        <f>IF('Simulador - 1º Pilar'!$E$99="Sí",IF('Aportaciones PPE'!$B$13&lt;'Aportaciones PPE'!E1039,0,F1039*$B$8/12),F1039*$B$8/12)</f>
      </c>
      <c r="H1039" s="333">
        <f>$H$5*G1039</f>
      </c>
      <c r="I1039" s="333">
        <f>$I$5*G1039</f>
      </c>
      <c r="J1039" s="333">
        <f>+I1039</f>
      </c>
      <c r="K1039" s="333">
        <f>(1+$O$5)^(D1039/12)*(H1039+IF(AND(F1039=1,F1040=0),$S$4,0))</f>
      </c>
      <c r="L1039" s="333">
        <f>(1+$O$5)^(D1039/12)*(I1039+IF(AND(F1039=1,F1040=0),0))</f>
      </c>
      <c r="M1039" s="333">
        <f>+L1039</f>
      </c>
      <c r="N1039" s="333">
        <f>L1039+K1039+M1039</f>
      </c>
      <c r="O1039" s="170"/>
      <c r="P1039" s="7"/>
      <c r="Q1039" s="1"/>
      <c r="R1039" s="331">
        <f>D1039</f>
      </c>
      <c r="S1039" s="169"/>
      <c r="T1039" s="1"/>
      <c r="U1039" s="217"/>
      <c r="V1039" s="331">
        <f>+IF(V1038=11,12,IF(V1038=12,1,V1038+1))</f>
      </c>
      <c r="W1039" s="331">
        <f>+W1038+IF(V1038=12,1,0)</f>
      </c>
      <c r="X1039" s="555">
        <f>+DATE(W1039,V1039,1)</f>
        <v>25569.041666666668</v>
      </c>
      <c r="Y1039" s="333">
        <f>+_xlfn.IFNA(AN1039+AS1039+AX1039,0)</f>
      </c>
      <c r="Z1039" s="333">
        <f>+_xlfn.IFNA(AO1039+AT1039+AY1039,0)</f>
      </c>
      <c r="AA1039" s="333">
        <f>Y1039*(1+$O$5)^(($B$7-X1039)/365.25)</f>
      </c>
      <c r="AB1039" s="333">
        <f>Z1039*(1+$O$5)^(($B$7-X1039)/365.25)</f>
      </c>
      <c r="AC1039" s="1"/>
      <c r="AD1039" s="1"/>
      <c r="AE1039" s="1"/>
      <c r="AF1039" s="111">
        <f>+MONTH(E1039)&amp;YEAR(E1039)</f>
      </c>
      <c r="AG1039" s="217">
        <f>+I1039</f>
      </c>
      <c r="AH1039" s="217">
        <f>+J1039</f>
      </c>
      <c r="AI1039" s="217">
        <f>+H1039</f>
      </c>
      <c r="AJ1039" s="111">
        <f>+V1039&amp;W1039</f>
      </c>
      <c r="AK1039" s="217">
        <f>+_xlfn.IFNA(VLOOKUP(AJ1039,$AF$7:$AG$1066,2,0),0)</f>
      </c>
      <c r="AL1039" s="217">
        <f>+IF(W1039&gt;W1038,AK1039,AL1038+AK1039)</f>
      </c>
      <c r="AM1039" s="217">
        <f>IF(W1039&gt;W1038,IF(AL1039&gt;=$AZ$8,$AZ$8,AL1039),IF(OR(AM1038=$AZ$8,AM1038=0),0,IF(AL1039&gt;=$AZ$8,$AZ$8,AL1039)))</f>
      </c>
      <c r="AN1039" s="748">
        <f>+IF(OR(AM1039&gt;AZ1038,AM1039=0),0,IF(AM1039=AL1039,AK1039,$AZ$7-AL1038))</f>
      </c>
      <c r="AO1039" s="748">
        <f>+AK1039-AN1039</f>
      </c>
      <c r="AP1039" s="217">
        <f>+_xlfn.IFNA(VLOOKUP(AJ1039,$AF$7:$AI$1066,3,0),0)</f>
      </c>
      <c r="AQ1039" s="217">
        <f>+IF(W1039&gt;W1038,AP1039,AQ1038+AP1039)</f>
      </c>
      <c r="AR1039" s="217">
        <f>+MAX($AM$2-SUMIF($W$7:$W$1066,W1039,$AN$7:$AN$1066),0)</f>
      </c>
      <c r="AS1039" s="748">
        <f>+MAX(IF(AQ1039&gt;AR1039,AR1039-AQ1038,AP1039),0)</f>
      </c>
      <c r="AT1039" s="748">
        <f>+AP1039-AS1039</f>
      </c>
      <c r="AU1039" s="217">
        <f>+_xlfn.IFNA(VLOOKUP(AJ1039,$AF$7:$AI$1066,4,0),0)</f>
      </c>
      <c r="AV1039" s="217">
        <f>+IF(W1039&gt;W1038,AU1039,AV1038+AU1039)</f>
      </c>
      <c r="AW1039" s="217">
        <f>+MAX($AM$2-SUMIF($W$7:$W$1066,W1039,$AN$7:$AN$1066)-SUMIF($W$7:$W$1066,W1039,$AS$7:$AS$1066),0)</f>
      </c>
      <c r="AX1039" s="748">
        <f>+MAX(IF(AV1039&gt;AW1039,AW1039-AV1038,AU1039),0)</f>
      </c>
      <c r="AY1039" s="748">
        <f>+AU1039-AX1039</f>
      </c>
      <c r="AZ1039" s="331">
        <f>+$AM$1+IF($AP$1&gt;$AP$2,$AM$3/2)</f>
      </c>
    </row>
    <row x14ac:dyDescent="0.25" r="1040" customHeight="1" ht="18.75">
      <c r="A1040" s="1"/>
      <c r="B1040" s="7"/>
      <c r="C1040" s="170"/>
      <c r="D1040" s="331">
        <v>1033</v>
      </c>
      <c r="E1040" s="544">
        <f>+DATE(YEAR(E1039),MONTH(E1039)-1,DAY(E1039))</f>
        <v>25569.041666666668</v>
      </c>
      <c r="F1040" s="333">
        <f>IF(DATE(YEAR($B$6),MONTH($B$6)+1,DAY(1))=E1040,1,IF(MONTH(E1040)=1,F1041*(1+$F$5),F1041))</f>
      </c>
      <c r="G1040" s="333">
        <f>IF('Simulador - 1º Pilar'!$E$99="Sí",IF('Aportaciones PPE'!$B$13&lt;'Aportaciones PPE'!E1040,0,F1040*$B$8/12),F1040*$B$8/12)</f>
      </c>
      <c r="H1040" s="333">
        <f>$H$5*G1040</f>
      </c>
      <c r="I1040" s="333">
        <f>$I$5*G1040</f>
      </c>
      <c r="J1040" s="333">
        <f>+I1040</f>
      </c>
      <c r="K1040" s="333">
        <f>(1+$O$5)^(D1040/12)*(H1040+IF(AND(F1040=1,F1041=0),$S$4,0))</f>
      </c>
      <c r="L1040" s="333">
        <f>(1+$O$5)^(D1040/12)*(I1040+IF(AND(F1040=1,F1041=0),0))</f>
      </c>
      <c r="M1040" s="333">
        <f>+L1040</f>
      </c>
      <c r="N1040" s="333">
        <f>L1040+K1040+M1040</f>
      </c>
      <c r="O1040" s="170"/>
      <c r="P1040" s="7"/>
      <c r="Q1040" s="1"/>
      <c r="R1040" s="331">
        <f>D1040</f>
      </c>
      <c r="S1040" s="169"/>
      <c r="T1040" s="1"/>
      <c r="U1040" s="217"/>
      <c r="V1040" s="331">
        <f>+IF(V1039=11,12,IF(V1039=12,1,V1039+1))</f>
      </c>
      <c r="W1040" s="331">
        <f>+W1039+IF(V1039=12,1,0)</f>
      </c>
      <c r="X1040" s="555">
        <f>+DATE(W1040,V1040,1)</f>
        <v>25569.041666666668</v>
      </c>
      <c r="Y1040" s="333">
        <f>+_xlfn.IFNA(AN1040+AS1040+AX1040,0)</f>
      </c>
      <c r="Z1040" s="333">
        <f>+_xlfn.IFNA(AO1040+AT1040+AY1040,0)</f>
      </c>
      <c r="AA1040" s="333">
        <f>Y1040*(1+$O$5)^(($B$7-X1040)/365.25)</f>
      </c>
      <c r="AB1040" s="333">
        <f>Z1040*(1+$O$5)^(($B$7-X1040)/365.25)</f>
      </c>
      <c r="AC1040" s="1"/>
      <c r="AD1040" s="1"/>
      <c r="AE1040" s="1"/>
      <c r="AF1040" s="111">
        <f>+MONTH(E1040)&amp;YEAR(E1040)</f>
      </c>
      <c r="AG1040" s="217">
        <f>+I1040</f>
      </c>
      <c r="AH1040" s="217">
        <f>+J1040</f>
      </c>
      <c r="AI1040" s="217">
        <f>+H1040</f>
      </c>
      <c r="AJ1040" s="111">
        <f>+V1040&amp;W1040</f>
      </c>
      <c r="AK1040" s="217">
        <f>+_xlfn.IFNA(VLOOKUP(AJ1040,$AF$7:$AG$1066,2,0),0)</f>
      </c>
      <c r="AL1040" s="217">
        <f>+IF(W1040&gt;W1039,AK1040,AL1039+AK1040)</f>
      </c>
      <c r="AM1040" s="217">
        <f>IF(W1040&gt;W1039,IF(AL1040&gt;=$AZ$8,$AZ$8,AL1040),IF(OR(AM1039=$AZ$8,AM1039=0),0,IF(AL1040&gt;=$AZ$8,$AZ$8,AL1040)))</f>
      </c>
      <c r="AN1040" s="748">
        <f>+IF(OR(AM1040&gt;AZ1039,AM1040=0),0,IF(AM1040=AL1040,AK1040,$AZ$7-AL1039))</f>
      </c>
      <c r="AO1040" s="748">
        <f>+AK1040-AN1040</f>
      </c>
      <c r="AP1040" s="217">
        <f>+_xlfn.IFNA(VLOOKUP(AJ1040,$AF$7:$AI$1066,3,0),0)</f>
      </c>
      <c r="AQ1040" s="217">
        <f>+IF(W1040&gt;W1039,AP1040,AQ1039+AP1040)</f>
      </c>
      <c r="AR1040" s="217">
        <f>+MAX($AM$2-SUMIF($W$7:$W$1066,W1040,$AN$7:$AN$1066),0)</f>
      </c>
      <c r="AS1040" s="748">
        <f>+MAX(IF(AQ1040&gt;AR1040,AR1040-AQ1039,AP1040),0)</f>
      </c>
      <c r="AT1040" s="748">
        <f>+AP1040-AS1040</f>
      </c>
      <c r="AU1040" s="217">
        <f>+_xlfn.IFNA(VLOOKUP(AJ1040,$AF$7:$AI$1066,4,0),0)</f>
      </c>
      <c r="AV1040" s="217">
        <f>+IF(W1040&gt;W1039,AU1040,AV1039+AU1040)</f>
      </c>
      <c r="AW1040" s="217">
        <f>+MAX($AM$2-SUMIF($W$7:$W$1066,W1040,$AN$7:$AN$1066)-SUMIF($W$7:$W$1066,W1040,$AS$7:$AS$1066),0)</f>
      </c>
      <c r="AX1040" s="748">
        <f>+MAX(IF(AV1040&gt;AW1040,AW1040-AV1039,AU1040),0)</f>
      </c>
      <c r="AY1040" s="748">
        <f>+AU1040-AX1040</f>
      </c>
      <c r="AZ1040" s="331">
        <f>+$AM$1+IF($AP$1&gt;$AP$2,$AM$3/2)</f>
      </c>
    </row>
    <row x14ac:dyDescent="0.25" r="1041" customHeight="1" ht="18.75">
      <c r="A1041" s="1"/>
      <c r="B1041" s="7"/>
      <c r="C1041" s="170"/>
      <c r="D1041" s="331">
        <v>1034</v>
      </c>
      <c r="E1041" s="544">
        <f>+DATE(YEAR(E1040),MONTH(E1040)-1,DAY(E1040))</f>
        <v>25569.041666666668</v>
      </c>
      <c r="F1041" s="333">
        <f>IF(DATE(YEAR($B$6),MONTH($B$6)+1,DAY(1))=E1041,1,IF(MONTH(E1041)=1,F1042*(1+$F$5),F1042))</f>
      </c>
      <c r="G1041" s="333">
        <f>IF('Simulador - 1º Pilar'!$E$99="Sí",IF('Aportaciones PPE'!$B$13&lt;'Aportaciones PPE'!E1041,0,F1041*$B$8/12),F1041*$B$8/12)</f>
      </c>
      <c r="H1041" s="333">
        <f>$H$5*G1041</f>
      </c>
      <c r="I1041" s="333">
        <f>$I$5*G1041</f>
      </c>
      <c r="J1041" s="333">
        <f>+I1041</f>
      </c>
      <c r="K1041" s="333">
        <f>(1+$O$5)^(D1041/12)*(H1041+IF(AND(F1041=1,F1042=0),$S$4,0))</f>
      </c>
      <c r="L1041" s="333">
        <f>(1+$O$5)^(D1041/12)*(I1041+IF(AND(F1041=1,F1042=0),0))</f>
      </c>
      <c r="M1041" s="333">
        <f>+L1041</f>
      </c>
      <c r="N1041" s="333">
        <f>L1041+K1041+M1041</f>
      </c>
      <c r="O1041" s="170"/>
      <c r="P1041" s="7"/>
      <c r="Q1041" s="1"/>
      <c r="R1041" s="331">
        <f>D1041</f>
      </c>
      <c r="S1041" s="169"/>
      <c r="T1041" s="1"/>
      <c r="U1041" s="217"/>
      <c r="V1041" s="331">
        <f>+IF(V1040=11,12,IF(V1040=12,1,V1040+1))</f>
      </c>
      <c r="W1041" s="331">
        <f>+W1040+IF(V1040=12,1,0)</f>
      </c>
      <c r="X1041" s="555">
        <f>+DATE(W1041,V1041,1)</f>
        <v>25569.041666666668</v>
      </c>
      <c r="Y1041" s="333">
        <f>+_xlfn.IFNA(AN1041+AS1041+AX1041,0)</f>
      </c>
      <c r="Z1041" s="333">
        <f>+_xlfn.IFNA(AO1041+AT1041+AY1041,0)</f>
      </c>
      <c r="AA1041" s="333">
        <f>Y1041*(1+$O$5)^(($B$7-X1041)/365.25)</f>
      </c>
      <c r="AB1041" s="333">
        <f>Z1041*(1+$O$5)^(($B$7-X1041)/365.25)</f>
      </c>
      <c r="AC1041" s="1"/>
      <c r="AD1041" s="1"/>
      <c r="AE1041" s="1"/>
      <c r="AF1041" s="111">
        <f>+MONTH(E1041)&amp;YEAR(E1041)</f>
      </c>
      <c r="AG1041" s="217">
        <f>+I1041</f>
      </c>
      <c r="AH1041" s="217">
        <f>+J1041</f>
      </c>
      <c r="AI1041" s="217">
        <f>+H1041</f>
      </c>
      <c r="AJ1041" s="111">
        <f>+V1041&amp;W1041</f>
      </c>
      <c r="AK1041" s="217">
        <f>+_xlfn.IFNA(VLOOKUP(AJ1041,$AF$7:$AG$1066,2,0),0)</f>
      </c>
      <c r="AL1041" s="217">
        <f>+IF(W1041&gt;W1040,AK1041,AL1040+AK1041)</f>
      </c>
      <c r="AM1041" s="217">
        <f>IF(W1041&gt;W1040,IF(AL1041&gt;=$AZ$8,$AZ$8,AL1041),IF(OR(AM1040=$AZ$8,AM1040=0),0,IF(AL1041&gt;=$AZ$8,$AZ$8,AL1041)))</f>
      </c>
      <c r="AN1041" s="748">
        <f>+IF(OR(AM1041&gt;AZ1040,AM1041=0),0,IF(AM1041=AL1041,AK1041,$AZ$7-AL1040))</f>
      </c>
      <c r="AO1041" s="748">
        <f>+AK1041-AN1041</f>
      </c>
      <c r="AP1041" s="217">
        <f>+_xlfn.IFNA(VLOOKUP(AJ1041,$AF$7:$AI$1066,3,0),0)</f>
      </c>
      <c r="AQ1041" s="217">
        <f>+IF(W1041&gt;W1040,AP1041,AQ1040+AP1041)</f>
      </c>
      <c r="AR1041" s="217">
        <f>+MAX($AM$2-SUMIF($W$7:$W$1066,W1041,$AN$7:$AN$1066),0)</f>
      </c>
      <c r="AS1041" s="748">
        <f>+MAX(IF(AQ1041&gt;AR1041,AR1041-AQ1040,AP1041),0)</f>
      </c>
      <c r="AT1041" s="748">
        <f>+AP1041-AS1041</f>
      </c>
      <c r="AU1041" s="217">
        <f>+_xlfn.IFNA(VLOOKUP(AJ1041,$AF$7:$AI$1066,4,0),0)</f>
      </c>
      <c r="AV1041" s="217">
        <f>+IF(W1041&gt;W1040,AU1041,AV1040+AU1041)</f>
      </c>
      <c r="AW1041" s="217">
        <f>+MAX($AM$2-SUMIF($W$7:$W$1066,W1041,$AN$7:$AN$1066)-SUMIF($W$7:$W$1066,W1041,$AS$7:$AS$1066),0)</f>
      </c>
      <c r="AX1041" s="748">
        <f>+MAX(IF(AV1041&gt;AW1041,AW1041-AV1040,AU1041),0)</f>
      </c>
      <c r="AY1041" s="748">
        <f>+AU1041-AX1041</f>
      </c>
      <c r="AZ1041" s="331">
        <f>+$AM$1+IF($AP$1&gt;$AP$2,$AM$3/2)</f>
      </c>
    </row>
    <row x14ac:dyDescent="0.25" r="1042" customHeight="1" ht="18.75">
      <c r="A1042" s="1"/>
      <c r="B1042" s="7"/>
      <c r="C1042" s="170"/>
      <c r="D1042" s="331">
        <v>1035</v>
      </c>
      <c r="E1042" s="544">
        <f>+DATE(YEAR(E1041),MONTH(E1041)-1,DAY(E1041))</f>
        <v>25569.041666666668</v>
      </c>
      <c r="F1042" s="333">
        <f>IF(DATE(YEAR($B$6),MONTH($B$6)+1,DAY(1))=E1042,1,IF(MONTH(E1042)=1,F1043*(1+$F$5),F1043))</f>
      </c>
      <c r="G1042" s="333">
        <f>IF('Simulador - 1º Pilar'!$E$99="Sí",IF('Aportaciones PPE'!$B$13&lt;'Aportaciones PPE'!E1042,0,F1042*$B$8/12),F1042*$B$8/12)</f>
      </c>
      <c r="H1042" s="333">
        <f>$H$5*G1042</f>
      </c>
      <c r="I1042" s="333">
        <f>$I$5*G1042</f>
      </c>
      <c r="J1042" s="333">
        <f>+I1042</f>
      </c>
      <c r="K1042" s="333">
        <f>(1+$O$5)^(D1042/12)*(H1042+IF(AND(F1042=1,F1043=0),$S$4,0))</f>
      </c>
      <c r="L1042" s="333">
        <f>(1+$O$5)^(D1042/12)*(I1042+IF(AND(F1042=1,F1043=0),0))</f>
      </c>
      <c r="M1042" s="333">
        <f>+L1042</f>
      </c>
      <c r="N1042" s="333">
        <f>L1042+K1042+M1042</f>
      </c>
      <c r="O1042" s="170"/>
      <c r="P1042" s="7"/>
      <c r="Q1042" s="1"/>
      <c r="R1042" s="331">
        <f>D1042</f>
      </c>
      <c r="S1042" s="169"/>
      <c r="T1042" s="1"/>
      <c r="U1042" s="217"/>
      <c r="V1042" s="331">
        <f>+IF(V1041=11,12,IF(V1041=12,1,V1041+1))</f>
      </c>
      <c r="W1042" s="331">
        <f>+W1041+IF(V1041=12,1,0)</f>
      </c>
      <c r="X1042" s="555">
        <f>+DATE(W1042,V1042,1)</f>
        <v>25569.041666666668</v>
      </c>
      <c r="Y1042" s="333">
        <f>+_xlfn.IFNA(AN1042+AS1042+AX1042,0)</f>
      </c>
      <c r="Z1042" s="333">
        <f>+_xlfn.IFNA(AO1042+AT1042+AY1042,0)</f>
      </c>
      <c r="AA1042" s="333">
        <f>Y1042*(1+$O$5)^(($B$7-X1042)/365.25)</f>
      </c>
      <c r="AB1042" s="333">
        <f>Z1042*(1+$O$5)^(($B$7-X1042)/365.25)</f>
      </c>
      <c r="AC1042" s="1"/>
      <c r="AD1042" s="1"/>
      <c r="AE1042" s="1"/>
      <c r="AF1042" s="111">
        <f>+MONTH(E1042)&amp;YEAR(E1042)</f>
      </c>
      <c r="AG1042" s="217">
        <f>+I1042</f>
      </c>
      <c r="AH1042" s="217">
        <f>+J1042</f>
      </c>
      <c r="AI1042" s="217">
        <f>+H1042</f>
      </c>
      <c r="AJ1042" s="111">
        <f>+V1042&amp;W1042</f>
      </c>
      <c r="AK1042" s="217">
        <f>+_xlfn.IFNA(VLOOKUP(AJ1042,$AF$7:$AG$1066,2,0),0)</f>
      </c>
      <c r="AL1042" s="217">
        <f>+IF(W1042&gt;W1041,AK1042,AL1041+AK1042)</f>
      </c>
      <c r="AM1042" s="217">
        <f>IF(W1042&gt;W1041,IF(AL1042&gt;=$AZ$8,$AZ$8,AL1042),IF(OR(AM1041=$AZ$8,AM1041=0),0,IF(AL1042&gt;=$AZ$8,$AZ$8,AL1042)))</f>
      </c>
      <c r="AN1042" s="748">
        <f>+IF(OR(AM1042&gt;AZ1041,AM1042=0),0,IF(AM1042=AL1042,AK1042,$AZ$7-AL1041))</f>
      </c>
      <c r="AO1042" s="748">
        <f>+AK1042-AN1042</f>
      </c>
      <c r="AP1042" s="217">
        <f>+_xlfn.IFNA(VLOOKUP(AJ1042,$AF$7:$AI$1066,3,0),0)</f>
      </c>
      <c r="AQ1042" s="217">
        <f>+IF(W1042&gt;W1041,AP1042,AQ1041+AP1042)</f>
      </c>
      <c r="AR1042" s="217">
        <f>+MAX($AM$2-SUMIF($W$7:$W$1066,W1042,$AN$7:$AN$1066),0)</f>
      </c>
      <c r="AS1042" s="748">
        <f>+MAX(IF(AQ1042&gt;AR1042,AR1042-AQ1041,AP1042),0)</f>
      </c>
      <c r="AT1042" s="748">
        <f>+AP1042-AS1042</f>
      </c>
      <c r="AU1042" s="217">
        <f>+_xlfn.IFNA(VLOOKUP(AJ1042,$AF$7:$AI$1066,4,0),0)</f>
      </c>
      <c r="AV1042" s="217">
        <f>+IF(W1042&gt;W1041,AU1042,AV1041+AU1042)</f>
      </c>
      <c r="AW1042" s="217">
        <f>+MAX($AM$2-SUMIF($W$7:$W$1066,W1042,$AN$7:$AN$1066)-SUMIF($W$7:$W$1066,W1042,$AS$7:$AS$1066),0)</f>
      </c>
      <c r="AX1042" s="748">
        <f>+MAX(IF(AV1042&gt;AW1042,AW1042-AV1041,AU1042),0)</f>
      </c>
      <c r="AY1042" s="748">
        <f>+AU1042-AX1042</f>
      </c>
      <c r="AZ1042" s="331">
        <f>+$AM$1+IF($AP$1&gt;$AP$2,$AM$3/2)</f>
      </c>
    </row>
    <row x14ac:dyDescent="0.25" r="1043" customHeight="1" ht="18.75">
      <c r="A1043" s="1"/>
      <c r="B1043" s="7"/>
      <c r="C1043" s="170"/>
      <c r="D1043" s="331">
        <v>1036</v>
      </c>
      <c r="E1043" s="544">
        <f>+DATE(YEAR(E1042),MONTH(E1042)-1,DAY(E1042))</f>
        <v>25569.041666666668</v>
      </c>
      <c r="F1043" s="333">
        <f>IF(DATE(YEAR($B$6),MONTH($B$6)+1,DAY(1))=E1043,1,IF(MONTH(E1043)=1,F1044*(1+$F$5),F1044))</f>
      </c>
      <c r="G1043" s="333">
        <f>IF('Simulador - 1º Pilar'!$E$99="Sí",IF('Aportaciones PPE'!$B$13&lt;'Aportaciones PPE'!E1043,0,F1043*$B$8/12),F1043*$B$8/12)</f>
      </c>
      <c r="H1043" s="333">
        <f>$H$5*G1043</f>
      </c>
      <c r="I1043" s="333">
        <f>$I$5*G1043</f>
      </c>
      <c r="J1043" s="333">
        <f>+I1043</f>
      </c>
      <c r="K1043" s="333">
        <f>(1+$O$5)^(D1043/12)*(H1043+IF(AND(F1043=1,F1044=0),$S$4,0))</f>
      </c>
      <c r="L1043" s="333">
        <f>(1+$O$5)^(D1043/12)*(I1043+IF(AND(F1043=1,F1044=0),0))</f>
      </c>
      <c r="M1043" s="333">
        <f>+L1043</f>
      </c>
      <c r="N1043" s="333">
        <f>L1043+K1043+M1043</f>
      </c>
      <c r="O1043" s="170"/>
      <c r="P1043" s="7"/>
      <c r="Q1043" s="1"/>
      <c r="R1043" s="331">
        <f>D1043</f>
      </c>
      <c r="S1043" s="169"/>
      <c r="T1043" s="1"/>
      <c r="U1043" s="217"/>
      <c r="V1043" s="331">
        <f>+IF(V1042=11,12,IF(V1042=12,1,V1042+1))</f>
      </c>
      <c r="W1043" s="331">
        <f>+W1042+IF(V1042=12,1,0)</f>
      </c>
      <c r="X1043" s="555">
        <f>+DATE(W1043,V1043,1)</f>
        <v>25569.041666666668</v>
      </c>
      <c r="Y1043" s="333">
        <f>+_xlfn.IFNA(AN1043+AS1043+AX1043,0)</f>
      </c>
      <c r="Z1043" s="333">
        <f>+_xlfn.IFNA(AO1043+AT1043+AY1043,0)</f>
      </c>
      <c r="AA1043" s="333">
        <f>Y1043*(1+$O$5)^(($B$7-X1043)/365.25)</f>
      </c>
      <c r="AB1043" s="333">
        <f>Z1043*(1+$O$5)^(($B$7-X1043)/365.25)</f>
      </c>
      <c r="AC1043" s="1"/>
      <c r="AD1043" s="1"/>
      <c r="AE1043" s="1"/>
      <c r="AF1043" s="111">
        <f>+MONTH(E1043)&amp;YEAR(E1043)</f>
      </c>
      <c r="AG1043" s="217">
        <f>+I1043</f>
      </c>
      <c r="AH1043" s="217">
        <f>+J1043</f>
      </c>
      <c r="AI1043" s="217">
        <f>+H1043</f>
      </c>
      <c r="AJ1043" s="111">
        <f>+V1043&amp;W1043</f>
      </c>
      <c r="AK1043" s="217">
        <f>+_xlfn.IFNA(VLOOKUP(AJ1043,$AF$7:$AG$1066,2,0),0)</f>
      </c>
      <c r="AL1043" s="217">
        <f>+IF(W1043&gt;W1042,AK1043,AL1042+AK1043)</f>
      </c>
      <c r="AM1043" s="217">
        <f>IF(W1043&gt;W1042,IF(AL1043&gt;=$AZ$8,$AZ$8,AL1043),IF(OR(AM1042=$AZ$8,AM1042=0),0,IF(AL1043&gt;=$AZ$8,$AZ$8,AL1043)))</f>
      </c>
      <c r="AN1043" s="748">
        <f>+IF(OR(AM1043&gt;AZ1042,AM1043=0),0,IF(AM1043=AL1043,AK1043,$AZ$7-AL1042))</f>
      </c>
      <c r="AO1043" s="748">
        <f>+AK1043-AN1043</f>
      </c>
      <c r="AP1043" s="217">
        <f>+_xlfn.IFNA(VLOOKUP(AJ1043,$AF$7:$AI$1066,3,0),0)</f>
      </c>
      <c r="AQ1043" s="217">
        <f>+IF(W1043&gt;W1042,AP1043,AQ1042+AP1043)</f>
      </c>
      <c r="AR1043" s="217">
        <f>+MAX($AM$2-SUMIF($W$7:$W$1066,W1043,$AN$7:$AN$1066),0)</f>
      </c>
      <c r="AS1043" s="748">
        <f>+MAX(IF(AQ1043&gt;AR1043,AR1043-AQ1042,AP1043),0)</f>
      </c>
      <c r="AT1043" s="748">
        <f>+AP1043-AS1043</f>
      </c>
      <c r="AU1043" s="217">
        <f>+_xlfn.IFNA(VLOOKUP(AJ1043,$AF$7:$AI$1066,4,0),0)</f>
      </c>
      <c r="AV1043" s="217">
        <f>+IF(W1043&gt;W1042,AU1043,AV1042+AU1043)</f>
      </c>
      <c r="AW1043" s="217">
        <f>+MAX($AM$2-SUMIF($W$7:$W$1066,W1043,$AN$7:$AN$1066)-SUMIF($W$7:$W$1066,W1043,$AS$7:$AS$1066),0)</f>
      </c>
      <c r="AX1043" s="748">
        <f>+MAX(IF(AV1043&gt;AW1043,AW1043-AV1042,AU1043),0)</f>
      </c>
      <c r="AY1043" s="748">
        <f>+AU1043-AX1043</f>
      </c>
      <c r="AZ1043" s="331">
        <f>+$AM$1+IF($AP$1&gt;$AP$2,$AM$3/2)</f>
      </c>
    </row>
    <row x14ac:dyDescent="0.25" r="1044" customHeight="1" ht="18.75">
      <c r="A1044" s="1"/>
      <c r="B1044" s="7"/>
      <c r="C1044" s="170"/>
      <c r="D1044" s="331">
        <v>1037</v>
      </c>
      <c r="E1044" s="544">
        <f>+DATE(YEAR(E1043),MONTH(E1043)-1,DAY(E1043))</f>
        <v>25569.041666666668</v>
      </c>
      <c r="F1044" s="333">
        <f>IF(DATE(YEAR($B$6),MONTH($B$6)+1,DAY(1))=E1044,1,IF(MONTH(E1044)=1,F1045*(1+$F$5),F1045))</f>
      </c>
      <c r="G1044" s="333">
        <f>IF('Simulador - 1º Pilar'!$E$99="Sí",IF('Aportaciones PPE'!$B$13&lt;'Aportaciones PPE'!E1044,0,F1044*$B$8/12),F1044*$B$8/12)</f>
      </c>
      <c r="H1044" s="333">
        <f>$H$5*G1044</f>
      </c>
      <c r="I1044" s="333">
        <f>$I$5*G1044</f>
      </c>
      <c r="J1044" s="333">
        <f>+I1044</f>
      </c>
      <c r="K1044" s="333">
        <f>(1+$O$5)^(D1044/12)*(H1044+IF(AND(F1044=1,F1045=0),$S$4,0))</f>
      </c>
      <c r="L1044" s="333">
        <f>(1+$O$5)^(D1044/12)*(I1044+IF(AND(F1044=1,F1045=0),0))</f>
      </c>
      <c r="M1044" s="333">
        <f>+L1044</f>
      </c>
      <c r="N1044" s="333">
        <f>L1044+K1044+M1044</f>
      </c>
      <c r="O1044" s="170"/>
      <c r="P1044" s="7"/>
      <c r="Q1044" s="1"/>
      <c r="R1044" s="331">
        <f>D1044</f>
      </c>
      <c r="S1044" s="169"/>
      <c r="T1044" s="1"/>
      <c r="U1044" s="217"/>
      <c r="V1044" s="331">
        <f>+IF(V1043=11,12,IF(V1043=12,1,V1043+1))</f>
      </c>
      <c r="W1044" s="331">
        <f>+W1043+IF(V1043=12,1,0)</f>
      </c>
      <c r="X1044" s="555">
        <f>+DATE(W1044,V1044,1)</f>
        <v>25569.041666666668</v>
      </c>
      <c r="Y1044" s="333">
        <f>+_xlfn.IFNA(AN1044+AS1044+AX1044,0)</f>
      </c>
      <c r="Z1044" s="333">
        <f>+_xlfn.IFNA(AO1044+AT1044+AY1044,0)</f>
      </c>
      <c r="AA1044" s="333">
        <f>Y1044*(1+$O$5)^(($B$7-X1044)/365.25)</f>
      </c>
      <c r="AB1044" s="333">
        <f>Z1044*(1+$O$5)^(($B$7-X1044)/365.25)</f>
      </c>
      <c r="AC1044" s="1"/>
      <c r="AD1044" s="1"/>
      <c r="AE1044" s="1"/>
      <c r="AF1044" s="111">
        <f>+MONTH(E1044)&amp;YEAR(E1044)</f>
      </c>
      <c r="AG1044" s="217">
        <f>+I1044</f>
      </c>
      <c r="AH1044" s="217">
        <f>+J1044</f>
      </c>
      <c r="AI1044" s="217">
        <f>+H1044</f>
      </c>
      <c r="AJ1044" s="111">
        <f>+V1044&amp;W1044</f>
      </c>
      <c r="AK1044" s="217">
        <f>+_xlfn.IFNA(VLOOKUP(AJ1044,$AF$7:$AG$1066,2,0),0)</f>
      </c>
      <c r="AL1044" s="217">
        <f>+IF(W1044&gt;W1043,AK1044,AL1043+AK1044)</f>
      </c>
      <c r="AM1044" s="217">
        <f>IF(W1044&gt;W1043,IF(AL1044&gt;=$AZ$8,$AZ$8,AL1044),IF(OR(AM1043=$AZ$8,AM1043=0),0,IF(AL1044&gt;=$AZ$8,$AZ$8,AL1044)))</f>
      </c>
      <c r="AN1044" s="748">
        <f>+IF(OR(AM1044&gt;AZ1043,AM1044=0),0,IF(AM1044=AL1044,AK1044,$AZ$7-AL1043))</f>
      </c>
      <c r="AO1044" s="748">
        <f>+AK1044-AN1044</f>
      </c>
      <c r="AP1044" s="217">
        <f>+_xlfn.IFNA(VLOOKUP(AJ1044,$AF$7:$AI$1066,3,0),0)</f>
      </c>
      <c r="AQ1044" s="217">
        <f>+IF(W1044&gt;W1043,AP1044,AQ1043+AP1044)</f>
      </c>
      <c r="AR1044" s="217">
        <f>+MAX($AM$2-SUMIF($W$7:$W$1066,W1044,$AN$7:$AN$1066),0)</f>
      </c>
      <c r="AS1044" s="748">
        <f>+MAX(IF(AQ1044&gt;AR1044,AR1044-AQ1043,AP1044),0)</f>
      </c>
      <c r="AT1044" s="748">
        <f>+AP1044-AS1044</f>
      </c>
      <c r="AU1044" s="217">
        <f>+_xlfn.IFNA(VLOOKUP(AJ1044,$AF$7:$AI$1066,4,0),0)</f>
      </c>
      <c r="AV1044" s="217">
        <f>+IF(W1044&gt;W1043,AU1044,AV1043+AU1044)</f>
      </c>
      <c r="AW1044" s="217">
        <f>+MAX($AM$2-SUMIF($W$7:$W$1066,W1044,$AN$7:$AN$1066)-SUMIF($W$7:$W$1066,W1044,$AS$7:$AS$1066),0)</f>
      </c>
      <c r="AX1044" s="748">
        <f>+MAX(IF(AV1044&gt;AW1044,AW1044-AV1043,AU1044),0)</f>
      </c>
      <c r="AY1044" s="748">
        <f>+AU1044-AX1044</f>
      </c>
      <c r="AZ1044" s="331">
        <f>+$AM$1+IF($AP$1&gt;$AP$2,$AM$3/2)</f>
      </c>
    </row>
    <row x14ac:dyDescent="0.25" r="1045" customHeight="1" ht="18.75">
      <c r="A1045" s="1"/>
      <c r="B1045" s="7"/>
      <c r="C1045" s="170"/>
      <c r="D1045" s="331">
        <v>1038</v>
      </c>
      <c r="E1045" s="544">
        <f>+DATE(YEAR(E1044),MONTH(E1044)-1,DAY(E1044))</f>
        <v>25569.041666666668</v>
      </c>
      <c r="F1045" s="333">
        <f>IF(DATE(YEAR($B$6),MONTH($B$6)+1,DAY(1))=E1045,1,IF(MONTH(E1045)=1,F1046*(1+$F$5),F1046))</f>
      </c>
      <c r="G1045" s="333">
        <f>IF('Simulador - 1º Pilar'!$E$99="Sí",IF('Aportaciones PPE'!$B$13&lt;'Aportaciones PPE'!E1045,0,F1045*$B$8/12),F1045*$B$8/12)</f>
      </c>
      <c r="H1045" s="333">
        <f>$H$5*G1045</f>
      </c>
      <c r="I1045" s="333">
        <f>$I$5*G1045</f>
      </c>
      <c r="J1045" s="333">
        <f>+I1045</f>
      </c>
      <c r="K1045" s="333">
        <f>(1+$O$5)^(D1045/12)*(H1045+IF(AND(F1045=1,F1046=0),$S$4,0))</f>
      </c>
      <c r="L1045" s="333">
        <f>(1+$O$5)^(D1045/12)*(I1045+IF(AND(F1045=1,F1046=0),0))</f>
      </c>
      <c r="M1045" s="333">
        <f>+L1045</f>
      </c>
      <c r="N1045" s="333">
        <f>L1045+K1045+M1045</f>
      </c>
      <c r="O1045" s="170"/>
      <c r="P1045" s="7"/>
      <c r="Q1045" s="1"/>
      <c r="R1045" s="331">
        <f>D1045</f>
      </c>
      <c r="S1045" s="169"/>
      <c r="T1045" s="1"/>
      <c r="U1045" s="217"/>
      <c r="V1045" s="331">
        <f>+IF(V1044=11,12,IF(V1044=12,1,V1044+1))</f>
      </c>
      <c r="W1045" s="331">
        <f>+W1044+IF(V1044=12,1,0)</f>
      </c>
      <c r="X1045" s="555">
        <f>+DATE(W1045,V1045,1)</f>
        <v>25569.041666666668</v>
      </c>
      <c r="Y1045" s="333">
        <f>+_xlfn.IFNA(AN1045+AS1045+AX1045,0)</f>
      </c>
      <c r="Z1045" s="333">
        <f>+_xlfn.IFNA(AO1045+AT1045+AY1045,0)</f>
      </c>
      <c r="AA1045" s="333">
        <f>Y1045*(1+$O$5)^(($B$7-X1045)/365.25)</f>
      </c>
      <c r="AB1045" s="333">
        <f>Z1045*(1+$O$5)^(($B$7-X1045)/365.25)</f>
      </c>
      <c r="AC1045" s="1"/>
      <c r="AD1045" s="1"/>
      <c r="AE1045" s="1"/>
      <c r="AF1045" s="111">
        <f>+MONTH(E1045)&amp;YEAR(E1045)</f>
      </c>
      <c r="AG1045" s="217">
        <f>+I1045</f>
      </c>
      <c r="AH1045" s="217">
        <f>+J1045</f>
      </c>
      <c r="AI1045" s="217">
        <f>+H1045</f>
      </c>
      <c r="AJ1045" s="111">
        <f>+V1045&amp;W1045</f>
      </c>
      <c r="AK1045" s="217">
        <f>+_xlfn.IFNA(VLOOKUP(AJ1045,$AF$7:$AG$1066,2,0),0)</f>
      </c>
      <c r="AL1045" s="217">
        <f>+IF(W1045&gt;W1044,AK1045,AL1044+AK1045)</f>
      </c>
      <c r="AM1045" s="217">
        <f>IF(W1045&gt;W1044,IF(AL1045&gt;=$AZ$8,$AZ$8,AL1045),IF(OR(AM1044=$AZ$8,AM1044=0),0,IF(AL1045&gt;=$AZ$8,$AZ$8,AL1045)))</f>
      </c>
      <c r="AN1045" s="748">
        <f>+IF(OR(AM1045&gt;AZ1044,AM1045=0),0,IF(AM1045=AL1045,AK1045,$AZ$7-AL1044))</f>
      </c>
      <c r="AO1045" s="748">
        <f>+AK1045-AN1045</f>
      </c>
      <c r="AP1045" s="217">
        <f>+_xlfn.IFNA(VLOOKUP(AJ1045,$AF$7:$AI$1066,3,0),0)</f>
      </c>
      <c r="AQ1045" s="217">
        <f>+IF(W1045&gt;W1044,AP1045,AQ1044+AP1045)</f>
      </c>
      <c r="AR1045" s="217">
        <f>+MAX($AM$2-SUMIF($W$7:$W$1066,W1045,$AN$7:$AN$1066),0)</f>
      </c>
      <c r="AS1045" s="748">
        <f>+MAX(IF(AQ1045&gt;AR1045,AR1045-AQ1044,AP1045),0)</f>
      </c>
      <c r="AT1045" s="748">
        <f>+AP1045-AS1045</f>
      </c>
      <c r="AU1045" s="217">
        <f>+_xlfn.IFNA(VLOOKUP(AJ1045,$AF$7:$AI$1066,4,0),0)</f>
      </c>
      <c r="AV1045" s="217">
        <f>+IF(W1045&gt;W1044,AU1045,AV1044+AU1045)</f>
      </c>
      <c r="AW1045" s="217">
        <f>+MAX($AM$2-SUMIF($W$7:$W$1066,W1045,$AN$7:$AN$1066)-SUMIF($W$7:$W$1066,W1045,$AS$7:$AS$1066),0)</f>
      </c>
      <c r="AX1045" s="748">
        <f>+MAX(IF(AV1045&gt;AW1045,AW1045-AV1044,AU1045),0)</f>
      </c>
      <c r="AY1045" s="748">
        <f>+AU1045-AX1045</f>
      </c>
      <c r="AZ1045" s="331">
        <f>+$AM$1+IF($AP$1&gt;$AP$2,$AM$3/2)</f>
      </c>
    </row>
    <row x14ac:dyDescent="0.25" r="1046" customHeight="1" ht="18.75">
      <c r="A1046" s="1"/>
      <c r="B1046" s="7"/>
      <c r="C1046" s="170"/>
      <c r="D1046" s="331">
        <v>1039</v>
      </c>
      <c r="E1046" s="544">
        <f>+DATE(YEAR(E1045),MONTH(E1045)-1,DAY(E1045))</f>
        <v>25569.041666666668</v>
      </c>
      <c r="F1046" s="333">
        <f>IF(DATE(YEAR($B$6),MONTH($B$6)+1,DAY(1))=E1046,1,IF(MONTH(E1046)=1,F1047*(1+$F$5),F1047))</f>
      </c>
      <c r="G1046" s="333">
        <f>IF('Simulador - 1º Pilar'!$E$99="Sí",IF('Aportaciones PPE'!$B$13&lt;'Aportaciones PPE'!E1046,0,F1046*$B$8/12),F1046*$B$8/12)</f>
      </c>
      <c r="H1046" s="333">
        <f>$H$5*G1046</f>
      </c>
      <c r="I1046" s="333">
        <f>$I$5*G1046</f>
      </c>
      <c r="J1046" s="333">
        <f>+I1046</f>
      </c>
      <c r="K1046" s="333">
        <f>(1+$O$5)^(D1046/12)*(H1046+IF(AND(F1046=1,F1047=0),$S$4,0))</f>
      </c>
      <c r="L1046" s="333">
        <f>(1+$O$5)^(D1046/12)*(I1046+IF(AND(F1046=1,F1047=0),0))</f>
      </c>
      <c r="M1046" s="333">
        <f>+L1046</f>
      </c>
      <c r="N1046" s="333">
        <f>L1046+K1046+M1046</f>
      </c>
      <c r="O1046" s="170"/>
      <c r="P1046" s="7"/>
      <c r="Q1046" s="1"/>
      <c r="R1046" s="331">
        <f>D1046</f>
      </c>
      <c r="S1046" s="169"/>
      <c r="T1046" s="1"/>
      <c r="U1046" s="217"/>
      <c r="V1046" s="331">
        <f>+IF(V1045=11,12,IF(V1045=12,1,V1045+1))</f>
      </c>
      <c r="W1046" s="331">
        <f>+W1045+IF(V1045=12,1,0)</f>
      </c>
      <c r="X1046" s="555">
        <f>+DATE(W1046,V1046,1)</f>
        <v>25569.041666666668</v>
      </c>
      <c r="Y1046" s="333">
        <f>+_xlfn.IFNA(AN1046+AS1046+AX1046,0)</f>
      </c>
      <c r="Z1046" s="333">
        <f>+_xlfn.IFNA(AO1046+AT1046+AY1046,0)</f>
      </c>
      <c r="AA1046" s="333">
        <f>Y1046*(1+$O$5)^(($B$7-X1046)/365.25)</f>
      </c>
      <c r="AB1046" s="333">
        <f>Z1046*(1+$O$5)^(($B$7-X1046)/365.25)</f>
      </c>
      <c r="AC1046" s="1"/>
      <c r="AD1046" s="1"/>
      <c r="AE1046" s="1"/>
      <c r="AF1046" s="111">
        <f>+MONTH(E1046)&amp;YEAR(E1046)</f>
      </c>
      <c r="AG1046" s="217">
        <f>+I1046</f>
      </c>
      <c r="AH1046" s="217">
        <f>+J1046</f>
      </c>
      <c r="AI1046" s="217">
        <f>+H1046</f>
      </c>
      <c r="AJ1046" s="111">
        <f>+V1046&amp;W1046</f>
      </c>
      <c r="AK1046" s="217">
        <f>+_xlfn.IFNA(VLOOKUP(AJ1046,$AF$7:$AG$1066,2,0),0)</f>
      </c>
      <c r="AL1046" s="217">
        <f>+IF(W1046&gt;W1045,AK1046,AL1045+AK1046)</f>
      </c>
      <c r="AM1046" s="217">
        <f>IF(W1046&gt;W1045,IF(AL1046&gt;=$AZ$8,$AZ$8,AL1046),IF(OR(AM1045=$AZ$8,AM1045=0),0,IF(AL1046&gt;=$AZ$8,$AZ$8,AL1046)))</f>
      </c>
      <c r="AN1046" s="748">
        <f>+IF(OR(AM1046&gt;AZ1045,AM1046=0),0,IF(AM1046=AL1046,AK1046,$AZ$7-AL1045))</f>
      </c>
      <c r="AO1046" s="748">
        <f>+AK1046-AN1046</f>
      </c>
      <c r="AP1046" s="217">
        <f>+_xlfn.IFNA(VLOOKUP(AJ1046,$AF$7:$AI$1066,3,0),0)</f>
      </c>
      <c r="AQ1046" s="217">
        <f>+IF(W1046&gt;W1045,AP1046,AQ1045+AP1046)</f>
      </c>
      <c r="AR1046" s="217">
        <f>+MAX($AM$2-SUMIF($W$7:$W$1066,W1046,$AN$7:$AN$1066),0)</f>
      </c>
      <c r="AS1046" s="748">
        <f>+MAX(IF(AQ1046&gt;AR1046,AR1046-AQ1045,AP1046),0)</f>
      </c>
      <c r="AT1046" s="748">
        <f>+AP1046-AS1046</f>
      </c>
      <c r="AU1046" s="217">
        <f>+_xlfn.IFNA(VLOOKUP(AJ1046,$AF$7:$AI$1066,4,0),0)</f>
      </c>
      <c r="AV1046" s="217">
        <f>+IF(W1046&gt;W1045,AU1046,AV1045+AU1046)</f>
      </c>
      <c r="AW1046" s="217">
        <f>+MAX($AM$2-SUMIF($W$7:$W$1066,W1046,$AN$7:$AN$1066)-SUMIF($W$7:$W$1066,W1046,$AS$7:$AS$1066),0)</f>
      </c>
      <c r="AX1046" s="748">
        <f>+MAX(IF(AV1046&gt;AW1046,AW1046-AV1045,AU1046),0)</f>
      </c>
      <c r="AY1046" s="748">
        <f>+AU1046-AX1046</f>
      </c>
      <c r="AZ1046" s="331">
        <f>+$AM$1+IF($AP$1&gt;$AP$2,$AM$3/2)</f>
      </c>
    </row>
    <row x14ac:dyDescent="0.25" r="1047" customHeight="1" ht="18.75">
      <c r="A1047" s="1"/>
      <c r="B1047" s="7"/>
      <c r="C1047" s="170"/>
      <c r="D1047" s="331">
        <v>1040</v>
      </c>
      <c r="E1047" s="544">
        <f>+DATE(YEAR(E1046),MONTH(E1046)-1,DAY(E1046))</f>
        <v>25569.041666666668</v>
      </c>
      <c r="F1047" s="333">
        <f>IF(DATE(YEAR($B$6),MONTH($B$6)+1,DAY(1))=E1047,1,IF(MONTH(E1047)=1,F1048*(1+$F$5),F1048))</f>
      </c>
      <c r="G1047" s="333">
        <f>IF('Simulador - 1º Pilar'!$E$99="Sí",IF('Aportaciones PPE'!$B$13&lt;'Aportaciones PPE'!E1047,0,F1047*$B$8/12),F1047*$B$8/12)</f>
      </c>
      <c r="H1047" s="333">
        <f>$H$5*G1047</f>
      </c>
      <c r="I1047" s="333">
        <f>$I$5*G1047</f>
      </c>
      <c r="J1047" s="333">
        <f>+I1047</f>
      </c>
      <c r="K1047" s="333">
        <f>(1+$O$5)^(D1047/12)*(H1047+IF(AND(F1047=1,F1048=0),$S$4,0))</f>
      </c>
      <c r="L1047" s="333">
        <f>(1+$O$5)^(D1047/12)*(I1047+IF(AND(F1047=1,F1048=0),0))</f>
      </c>
      <c r="M1047" s="333">
        <f>+L1047</f>
      </c>
      <c r="N1047" s="333">
        <f>L1047+K1047+M1047</f>
      </c>
      <c r="O1047" s="170"/>
      <c r="P1047" s="7"/>
      <c r="Q1047" s="1"/>
      <c r="R1047" s="331">
        <f>D1047</f>
      </c>
      <c r="S1047" s="169"/>
      <c r="T1047" s="1"/>
      <c r="U1047" s="217"/>
      <c r="V1047" s="331">
        <f>+IF(V1046=11,12,IF(V1046=12,1,V1046+1))</f>
      </c>
      <c r="W1047" s="331">
        <f>+W1046+IF(V1046=12,1,0)</f>
      </c>
      <c r="X1047" s="555">
        <f>+DATE(W1047,V1047,1)</f>
        <v>25569.041666666668</v>
      </c>
      <c r="Y1047" s="333">
        <f>+_xlfn.IFNA(AN1047+AS1047+AX1047,0)</f>
      </c>
      <c r="Z1047" s="333">
        <f>+_xlfn.IFNA(AO1047+AT1047+AY1047,0)</f>
      </c>
      <c r="AA1047" s="333">
        <f>Y1047*(1+$O$5)^(($B$7-X1047)/365.25)</f>
      </c>
      <c r="AB1047" s="333">
        <f>Z1047*(1+$O$5)^(($B$7-X1047)/365.25)</f>
      </c>
      <c r="AC1047" s="1"/>
      <c r="AD1047" s="1"/>
      <c r="AE1047" s="1"/>
      <c r="AF1047" s="111">
        <f>+MONTH(E1047)&amp;YEAR(E1047)</f>
      </c>
      <c r="AG1047" s="217">
        <f>+I1047</f>
      </c>
      <c r="AH1047" s="217">
        <f>+J1047</f>
      </c>
      <c r="AI1047" s="217">
        <f>+H1047</f>
      </c>
      <c r="AJ1047" s="111">
        <f>+V1047&amp;W1047</f>
      </c>
      <c r="AK1047" s="217">
        <f>+_xlfn.IFNA(VLOOKUP(AJ1047,$AF$7:$AG$1066,2,0),0)</f>
      </c>
      <c r="AL1047" s="217">
        <f>+IF(W1047&gt;W1046,AK1047,AL1046+AK1047)</f>
      </c>
      <c r="AM1047" s="217">
        <f>IF(W1047&gt;W1046,IF(AL1047&gt;=$AZ$8,$AZ$8,AL1047),IF(OR(AM1046=$AZ$8,AM1046=0),0,IF(AL1047&gt;=$AZ$8,$AZ$8,AL1047)))</f>
      </c>
      <c r="AN1047" s="748">
        <f>+IF(OR(AM1047&gt;AZ1046,AM1047=0),0,IF(AM1047=AL1047,AK1047,$AZ$7-AL1046))</f>
      </c>
      <c r="AO1047" s="748">
        <f>+AK1047-AN1047</f>
      </c>
      <c r="AP1047" s="217">
        <f>+_xlfn.IFNA(VLOOKUP(AJ1047,$AF$7:$AI$1066,3,0),0)</f>
      </c>
      <c r="AQ1047" s="217">
        <f>+IF(W1047&gt;W1046,AP1047,AQ1046+AP1047)</f>
      </c>
      <c r="AR1047" s="217">
        <f>+MAX($AM$2-SUMIF($W$7:$W$1066,W1047,$AN$7:$AN$1066),0)</f>
      </c>
      <c r="AS1047" s="748">
        <f>+MAX(IF(AQ1047&gt;AR1047,AR1047-AQ1046,AP1047),0)</f>
      </c>
      <c r="AT1047" s="748">
        <f>+AP1047-AS1047</f>
      </c>
      <c r="AU1047" s="217">
        <f>+_xlfn.IFNA(VLOOKUP(AJ1047,$AF$7:$AI$1066,4,0),0)</f>
      </c>
      <c r="AV1047" s="217">
        <f>+IF(W1047&gt;W1046,AU1047,AV1046+AU1047)</f>
      </c>
      <c r="AW1047" s="217">
        <f>+MAX($AM$2-SUMIF($W$7:$W$1066,W1047,$AN$7:$AN$1066)-SUMIF($W$7:$W$1066,W1047,$AS$7:$AS$1066),0)</f>
      </c>
      <c r="AX1047" s="748">
        <f>+MAX(IF(AV1047&gt;AW1047,AW1047-AV1046,AU1047),0)</f>
      </c>
      <c r="AY1047" s="748">
        <f>+AU1047-AX1047</f>
      </c>
      <c r="AZ1047" s="331">
        <f>+$AM$1+IF($AP$1&gt;$AP$2,$AM$3/2)</f>
      </c>
    </row>
    <row x14ac:dyDescent="0.25" r="1048" customHeight="1" ht="18.75">
      <c r="A1048" s="1"/>
      <c r="B1048" s="7"/>
      <c r="C1048" s="170"/>
      <c r="D1048" s="331">
        <v>1041</v>
      </c>
      <c r="E1048" s="544">
        <f>+DATE(YEAR(E1047),MONTH(E1047)-1,DAY(E1047))</f>
        <v>25569.041666666668</v>
      </c>
      <c r="F1048" s="333">
        <f>IF(DATE(YEAR($B$6),MONTH($B$6)+1,DAY(1))=E1048,1,IF(MONTH(E1048)=1,F1049*(1+$F$5),F1049))</f>
      </c>
      <c r="G1048" s="333">
        <f>IF('Simulador - 1º Pilar'!$E$99="Sí",IF('Aportaciones PPE'!$B$13&lt;'Aportaciones PPE'!E1048,0,F1048*$B$8/12),F1048*$B$8/12)</f>
      </c>
      <c r="H1048" s="333">
        <f>$H$5*G1048</f>
      </c>
      <c r="I1048" s="333">
        <f>$I$5*G1048</f>
      </c>
      <c r="J1048" s="333">
        <f>+I1048</f>
      </c>
      <c r="K1048" s="333">
        <f>(1+$O$5)^(D1048/12)*(H1048+IF(AND(F1048=1,F1049=0),$S$4,0))</f>
      </c>
      <c r="L1048" s="333">
        <f>(1+$O$5)^(D1048/12)*(I1048+IF(AND(F1048=1,F1049=0),0))</f>
      </c>
      <c r="M1048" s="333">
        <f>+L1048</f>
      </c>
      <c r="N1048" s="333">
        <f>L1048+K1048+M1048</f>
      </c>
      <c r="O1048" s="170"/>
      <c r="P1048" s="7"/>
      <c r="Q1048" s="1"/>
      <c r="R1048" s="331">
        <f>D1048</f>
      </c>
      <c r="S1048" s="169"/>
      <c r="T1048" s="1"/>
      <c r="U1048" s="217"/>
      <c r="V1048" s="331">
        <f>+IF(V1047=11,12,IF(V1047=12,1,V1047+1))</f>
      </c>
      <c r="W1048" s="331">
        <f>+W1047+IF(V1047=12,1,0)</f>
      </c>
      <c r="X1048" s="555">
        <f>+DATE(W1048,V1048,1)</f>
        <v>25569.041666666668</v>
      </c>
      <c r="Y1048" s="333">
        <f>+_xlfn.IFNA(AN1048+AS1048+AX1048,0)</f>
      </c>
      <c r="Z1048" s="333">
        <f>+_xlfn.IFNA(AO1048+AT1048+AY1048,0)</f>
      </c>
      <c r="AA1048" s="333">
        <f>Y1048*(1+$O$5)^(($B$7-X1048)/365.25)</f>
      </c>
      <c r="AB1048" s="333">
        <f>Z1048*(1+$O$5)^(($B$7-X1048)/365.25)</f>
      </c>
      <c r="AC1048" s="1"/>
      <c r="AD1048" s="1"/>
      <c r="AE1048" s="1"/>
      <c r="AF1048" s="111">
        <f>+MONTH(E1048)&amp;YEAR(E1048)</f>
      </c>
      <c r="AG1048" s="217">
        <f>+I1048</f>
      </c>
      <c r="AH1048" s="217">
        <f>+J1048</f>
      </c>
      <c r="AI1048" s="217">
        <f>+H1048</f>
      </c>
      <c r="AJ1048" s="111">
        <f>+V1048&amp;W1048</f>
      </c>
      <c r="AK1048" s="217">
        <f>+_xlfn.IFNA(VLOOKUP(AJ1048,$AF$7:$AG$1066,2,0),0)</f>
      </c>
      <c r="AL1048" s="217">
        <f>+IF(W1048&gt;W1047,AK1048,AL1047+AK1048)</f>
      </c>
      <c r="AM1048" s="217">
        <f>IF(W1048&gt;W1047,IF(AL1048&gt;=$AZ$8,$AZ$8,AL1048),IF(OR(AM1047=$AZ$8,AM1047=0),0,IF(AL1048&gt;=$AZ$8,$AZ$8,AL1048)))</f>
      </c>
      <c r="AN1048" s="748">
        <f>+IF(OR(AM1048&gt;AZ1047,AM1048=0),0,IF(AM1048=AL1048,AK1048,$AZ$7-AL1047))</f>
      </c>
      <c r="AO1048" s="748">
        <f>+AK1048-AN1048</f>
      </c>
      <c r="AP1048" s="217">
        <f>+_xlfn.IFNA(VLOOKUP(AJ1048,$AF$7:$AI$1066,3,0),0)</f>
      </c>
      <c r="AQ1048" s="217">
        <f>+IF(W1048&gt;W1047,AP1048,AQ1047+AP1048)</f>
      </c>
      <c r="AR1048" s="217">
        <f>+MAX($AM$2-SUMIF($W$7:$W$1066,W1048,$AN$7:$AN$1066),0)</f>
      </c>
      <c r="AS1048" s="748">
        <f>+MAX(IF(AQ1048&gt;AR1048,AR1048-AQ1047,AP1048),0)</f>
      </c>
      <c r="AT1048" s="748">
        <f>+AP1048-AS1048</f>
      </c>
      <c r="AU1048" s="217">
        <f>+_xlfn.IFNA(VLOOKUP(AJ1048,$AF$7:$AI$1066,4,0),0)</f>
      </c>
      <c r="AV1048" s="217">
        <f>+IF(W1048&gt;W1047,AU1048,AV1047+AU1048)</f>
      </c>
      <c r="AW1048" s="217">
        <f>+MAX($AM$2-SUMIF($W$7:$W$1066,W1048,$AN$7:$AN$1066)-SUMIF($W$7:$W$1066,W1048,$AS$7:$AS$1066),0)</f>
      </c>
      <c r="AX1048" s="748">
        <f>+MAX(IF(AV1048&gt;AW1048,AW1048-AV1047,AU1048),0)</f>
      </c>
      <c r="AY1048" s="748">
        <f>+AU1048-AX1048</f>
      </c>
      <c r="AZ1048" s="331">
        <f>+$AM$1+IF($AP$1&gt;$AP$2,$AM$3/2)</f>
      </c>
    </row>
    <row x14ac:dyDescent="0.25" r="1049" customHeight="1" ht="18.75">
      <c r="A1049" s="1"/>
      <c r="B1049" s="7"/>
      <c r="C1049" s="170"/>
      <c r="D1049" s="331">
        <v>1042</v>
      </c>
      <c r="E1049" s="544">
        <f>+DATE(YEAR(E1048),MONTH(E1048)-1,DAY(E1048))</f>
        <v>25569.041666666668</v>
      </c>
      <c r="F1049" s="333">
        <f>IF(DATE(YEAR($B$6),MONTH($B$6)+1,DAY(1))=E1049,1,IF(MONTH(E1049)=1,F1050*(1+$F$5),F1050))</f>
      </c>
      <c r="G1049" s="333">
        <f>IF('Simulador - 1º Pilar'!$E$99="Sí",IF('Aportaciones PPE'!$B$13&lt;'Aportaciones PPE'!E1049,0,F1049*$B$8/12),F1049*$B$8/12)</f>
      </c>
      <c r="H1049" s="333">
        <f>$H$5*G1049</f>
      </c>
      <c r="I1049" s="333">
        <f>$I$5*G1049</f>
      </c>
      <c r="J1049" s="333">
        <f>+I1049</f>
      </c>
      <c r="K1049" s="333">
        <f>(1+$O$5)^(D1049/12)*(H1049+IF(AND(F1049=1,F1050=0),$S$4,0))</f>
      </c>
      <c r="L1049" s="333">
        <f>(1+$O$5)^(D1049/12)*(I1049+IF(AND(F1049=1,F1050=0),0))</f>
      </c>
      <c r="M1049" s="333">
        <f>+L1049</f>
      </c>
      <c r="N1049" s="333">
        <f>L1049+K1049+M1049</f>
      </c>
      <c r="O1049" s="170"/>
      <c r="P1049" s="7"/>
      <c r="Q1049" s="1"/>
      <c r="R1049" s="331">
        <f>D1049</f>
      </c>
      <c r="S1049" s="169"/>
      <c r="T1049" s="1"/>
      <c r="U1049" s="217"/>
      <c r="V1049" s="331">
        <f>+IF(V1048=11,12,IF(V1048=12,1,V1048+1))</f>
      </c>
      <c r="W1049" s="331">
        <f>+W1048+IF(V1048=12,1,0)</f>
      </c>
      <c r="X1049" s="555">
        <f>+DATE(W1049,V1049,1)</f>
        <v>25569.041666666668</v>
      </c>
      <c r="Y1049" s="333">
        <f>+_xlfn.IFNA(AN1049+AS1049+AX1049,0)</f>
      </c>
      <c r="Z1049" s="333">
        <f>+_xlfn.IFNA(AO1049+AT1049+AY1049,0)</f>
      </c>
      <c r="AA1049" s="333">
        <f>Y1049*(1+$O$5)^(($B$7-X1049)/365.25)</f>
      </c>
      <c r="AB1049" s="333">
        <f>Z1049*(1+$O$5)^(($B$7-X1049)/365.25)</f>
      </c>
      <c r="AC1049" s="1"/>
      <c r="AD1049" s="1"/>
      <c r="AE1049" s="1"/>
      <c r="AF1049" s="111">
        <f>+MONTH(E1049)&amp;YEAR(E1049)</f>
      </c>
      <c r="AG1049" s="217">
        <f>+I1049</f>
      </c>
      <c r="AH1049" s="217">
        <f>+J1049</f>
      </c>
      <c r="AI1049" s="217">
        <f>+H1049</f>
      </c>
      <c r="AJ1049" s="111">
        <f>+V1049&amp;W1049</f>
      </c>
      <c r="AK1049" s="217">
        <f>+_xlfn.IFNA(VLOOKUP(AJ1049,$AF$7:$AG$1066,2,0),0)</f>
      </c>
      <c r="AL1049" s="217">
        <f>+IF(W1049&gt;W1048,AK1049,AL1048+AK1049)</f>
      </c>
      <c r="AM1049" s="217">
        <f>IF(W1049&gt;W1048,IF(AL1049&gt;=$AZ$8,$AZ$8,AL1049),IF(OR(AM1048=$AZ$8,AM1048=0),0,IF(AL1049&gt;=$AZ$8,$AZ$8,AL1049)))</f>
      </c>
      <c r="AN1049" s="748">
        <f>+IF(OR(AM1049&gt;AZ1048,AM1049=0),0,IF(AM1049=AL1049,AK1049,$AZ$7-AL1048))</f>
      </c>
      <c r="AO1049" s="748">
        <f>+AK1049-AN1049</f>
      </c>
      <c r="AP1049" s="217">
        <f>+_xlfn.IFNA(VLOOKUP(AJ1049,$AF$7:$AI$1066,3,0),0)</f>
      </c>
      <c r="AQ1049" s="217">
        <f>+IF(W1049&gt;W1048,AP1049,AQ1048+AP1049)</f>
      </c>
      <c r="AR1049" s="217">
        <f>+MAX($AM$2-SUMIF($W$7:$W$1066,W1049,$AN$7:$AN$1066),0)</f>
      </c>
      <c r="AS1049" s="748">
        <f>+MAX(IF(AQ1049&gt;AR1049,AR1049-AQ1048,AP1049),0)</f>
      </c>
      <c r="AT1049" s="748">
        <f>+AP1049-AS1049</f>
      </c>
      <c r="AU1049" s="217">
        <f>+_xlfn.IFNA(VLOOKUP(AJ1049,$AF$7:$AI$1066,4,0),0)</f>
      </c>
      <c r="AV1049" s="217">
        <f>+IF(W1049&gt;W1048,AU1049,AV1048+AU1049)</f>
      </c>
      <c r="AW1049" s="217">
        <f>+MAX($AM$2-SUMIF($W$7:$W$1066,W1049,$AN$7:$AN$1066)-SUMIF($W$7:$W$1066,W1049,$AS$7:$AS$1066),0)</f>
      </c>
      <c r="AX1049" s="748">
        <f>+MAX(IF(AV1049&gt;AW1049,AW1049-AV1048,AU1049),0)</f>
      </c>
      <c r="AY1049" s="748">
        <f>+AU1049-AX1049</f>
      </c>
      <c r="AZ1049" s="331">
        <f>+$AM$1+IF($AP$1&gt;$AP$2,$AM$3/2)</f>
      </c>
    </row>
    <row x14ac:dyDescent="0.25" r="1050" customHeight="1" ht="18.75">
      <c r="A1050" s="1"/>
      <c r="B1050" s="7"/>
      <c r="C1050" s="170"/>
      <c r="D1050" s="331">
        <v>1043</v>
      </c>
      <c r="E1050" s="544">
        <f>+DATE(YEAR(E1049),MONTH(E1049)-1,DAY(E1049))</f>
        <v>25569.041666666668</v>
      </c>
      <c r="F1050" s="333">
        <f>IF(DATE(YEAR($B$6),MONTH($B$6)+1,DAY(1))=E1050,1,IF(MONTH(E1050)=1,F1051*(1+$F$5),F1051))</f>
      </c>
      <c r="G1050" s="333">
        <f>IF('Simulador - 1º Pilar'!$E$99="Sí",IF('Aportaciones PPE'!$B$13&lt;'Aportaciones PPE'!E1050,0,F1050*$B$8/12),F1050*$B$8/12)</f>
      </c>
      <c r="H1050" s="333">
        <f>$H$5*G1050</f>
      </c>
      <c r="I1050" s="333">
        <f>$I$5*G1050</f>
      </c>
      <c r="J1050" s="333">
        <f>+I1050</f>
      </c>
      <c r="K1050" s="333">
        <f>(1+$O$5)^(D1050/12)*(H1050+IF(AND(F1050=1,F1051=0),$S$4,0))</f>
      </c>
      <c r="L1050" s="333">
        <f>(1+$O$5)^(D1050/12)*(I1050+IF(AND(F1050=1,F1051=0),0))</f>
      </c>
      <c r="M1050" s="333">
        <f>+L1050</f>
      </c>
      <c r="N1050" s="333">
        <f>L1050+K1050+M1050</f>
      </c>
      <c r="O1050" s="170"/>
      <c r="P1050" s="7"/>
      <c r="Q1050" s="1"/>
      <c r="R1050" s="331">
        <f>D1050</f>
      </c>
      <c r="S1050" s="169"/>
      <c r="T1050" s="1"/>
      <c r="U1050" s="217"/>
      <c r="V1050" s="331">
        <f>+IF(V1049=11,12,IF(V1049=12,1,V1049+1))</f>
      </c>
      <c r="W1050" s="331">
        <f>+W1049+IF(V1049=12,1,0)</f>
      </c>
      <c r="X1050" s="555">
        <f>+DATE(W1050,V1050,1)</f>
        <v>25569.041666666668</v>
      </c>
      <c r="Y1050" s="333">
        <f>+_xlfn.IFNA(AN1050+AS1050+AX1050,0)</f>
      </c>
      <c r="Z1050" s="333">
        <f>+_xlfn.IFNA(AO1050+AT1050+AY1050,0)</f>
      </c>
      <c r="AA1050" s="333">
        <f>Y1050*(1+$O$5)^(($B$7-X1050)/365.25)</f>
      </c>
      <c r="AB1050" s="333">
        <f>Z1050*(1+$O$5)^(($B$7-X1050)/365.25)</f>
      </c>
      <c r="AC1050" s="1"/>
      <c r="AD1050" s="1"/>
      <c r="AE1050" s="1"/>
      <c r="AF1050" s="111">
        <f>+MONTH(E1050)&amp;YEAR(E1050)</f>
      </c>
      <c r="AG1050" s="217">
        <f>+I1050</f>
      </c>
      <c r="AH1050" s="217">
        <f>+J1050</f>
      </c>
      <c r="AI1050" s="217">
        <f>+H1050</f>
      </c>
      <c r="AJ1050" s="111">
        <f>+V1050&amp;W1050</f>
      </c>
      <c r="AK1050" s="217">
        <f>+_xlfn.IFNA(VLOOKUP(AJ1050,$AF$7:$AG$1066,2,0),0)</f>
      </c>
      <c r="AL1050" s="217">
        <f>+IF(W1050&gt;W1049,AK1050,AL1049+AK1050)</f>
      </c>
      <c r="AM1050" s="217">
        <f>IF(W1050&gt;W1049,IF(AL1050&gt;=$AZ$8,$AZ$8,AL1050),IF(OR(AM1049=$AZ$8,AM1049=0),0,IF(AL1050&gt;=$AZ$8,$AZ$8,AL1050)))</f>
      </c>
      <c r="AN1050" s="748">
        <f>+IF(OR(AM1050&gt;AZ1049,AM1050=0),0,IF(AM1050=AL1050,AK1050,$AZ$7-AL1049))</f>
      </c>
      <c r="AO1050" s="748">
        <f>+AK1050-AN1050</f>
      </c>
      <c r="AP1050" s="217">
        <f>+_xlfn.IFNA(VLOOKUP(AJ1050,$AF$7:$AI$1066,3,0),0)</f>
      </c>
      <c r="AQ1050" s="217">
        <f>+IF(W1050&gt;W1049,AP1050,AQ1049+AP1050)</f>
      </c>
      <c r="AR1050" s="217">
        <f>+MAX($AM$2-SUMIF($W$7:$W$1066,W1050,$AN$7:$AN$1066),0)</f>
      </c>
      <c r="AS1050" s="748">
        <f>+MAX(IF(AQ1050&gt;AR1050,AR1050-AQ1049,AP1050),0)</f>
      </c>
      <c r="AT1050" s="748">
        <f>+AP1050-AS1050</f>
      </c>
      <c r="AU1050" s="217">
        <f>+_xlfn.IFNA(VLOOKUP(AJ1050,$AF$7:$AI$1066,4,0),0)</f>
      </c>
      <c r="AV1050" s="217">
        <f>+IF(W1050&gt;W1049,AU1050,AV1049+AU1050)</f>
      </c>
      <c r="AW1050" s="217">
        <f>+MAX($AM$2-SUMIF($W$7:$W$1066,W1050,$AN$7:$AN$1066)-SUMIF($W$7:$W$1066,W1050,$AS$7:$AS$1066),0)</f>
      </c>
      <c r="AX1050" s="748">
        <f>+MAX(IF(AV1050&gt;AW1050,AW1050-AV1049,AU1050),0)</f>
      </c>
      <c r="AY1050" s="748">
        <f>+AU1050-AX1050</f>
      </c>
      <c r="AZ1050" s="331">
        <f>+$AM$1+IF($AP$1&gt;$AP$2,$AM$3/2)</f>
      </c>
    </row>
    <row x14ac:dyDescent="0.25" r="1051" customHeight="1" ht="18.75">
      <c r="A1051" s="1"/>
      <c r="B1051" s="7"/>
      <c r="C1051" s="170"/>
      <c r="D1051" s="331">
        <v>1044</v>
      </c>
      <c r="E1051" s="544">
        <f>+DATE(YEAR(E1050),MONTH(E1050)-1,DAY(E1050))</f>
        <v>25569.041666666668</v>
      </c>
      <c r="F1051" s="333">
        <f>IF(DATE(YEAR($B$6),MONTH($B$6)+1,DAY(1))=E1051,1,IF(MONTH(E1051)=1,F1052*(1+$F$5),F1052))</f>
      </c>
      <c r="G1051" s="333">
        <f>IF('Simulador - 1º Pilar'!$E$99="Sí",IF('Aportaciones PPE'!$B$13&lt;'Aportaciones PPE'!E1051,0,F1051*$B$8/12),F1051*$B$8/12)</f>
      </c>
      <c r="H1051" s="333">
        <f>$H$5*G1051</f>
      </c>
      <c r="I1051" s="333">
        <f>$I$5*G1051</f>
      </c>
      <c r="J1051" s="333">
        <f>+I1051</f>
      </c>
      <c r="K1051" s="333">
        <f>(1+$O$5)^(D1051/12)*(H1051+IF(AND(F1051=1,F1052=0),$S$4,0))</f>
      </c>
      <c r="L1051" s="333">
        <f>(1+$O$5)^(D1051/12)*(I1051+IF(AND(F1051=1,F1052=0),0))</f>
      </c>
      <c r="M1051" s="333">
        <f>+L1051</f>
      </c>
      <c r="N1051" s="333">
        <f>L1051+K1051+M1051</f>
      </c>
      <c r="O1051" s="170"/>
      <c r="P1051" s="7"/>
      <c r="Q1051" s="1"/>
      <c r="R1051" s="331">
        <f>D1051</f>
      </c>
      <c r="S1051" s="169"/>
      <c r="T1051" s="1"/>
      <c r="U1051" s="217"/>
      <c r="V1051" s="331">
        <f>+IF(V1050=11,12,IF(V1050=12,1,V1050+1))</f>
      </c>
      <c r="W1051" s="331">
        <f>+W1050+IF(V1050=12,1,0)</f>
      </c>
      <c r="X1051" s="555">
        <f>+DATE(W1051,V1051,1)</f>
        <v>25569.041666666668</v>
      </c>
      <c r="Y1051" s="333">
        <f>+_xlfn.IFNA(AN1051+AS1051+AX1051,0)</f>
      </c>
      <c r="Z1051" s="333">
        <f>+_xlfn.IFNA(AO1051+AT1051+AY1051,0)</f>
      </c>
      <c r="AA1051" s="333">
        <f>Y1051*(1+$O$5)^(($B$7-X1051)/365.25)</f>
      </c>
      <c r="AB1051" s="333">
        <f>Z1051*(1+$O$5)^(($B$7-X1051)/365.25)</f>
      </c>
      <c r="AC1051" s="1"/>
      <c r="AD1051" s="1"/>
      <c r="AE1051" s="1"/>
      <c r="AF1051" s="111">
        <f>+MONTH(E1051)&amp;YEAR(E1051)</f>
      </c>
      <c r="AG1051" s="217">
        <f>+I1051</f>
      </c>
      <c r="AH1051" s="217">
        <f>+J1051</f>
      </c>
      <c r="AI1051" s="217">
        <f>+H1051</f>
      </c>
      <c r="AJ1051" s="111">
        <f>+V1051&amp;W1051</f>
      </c>
      <c r="AK1051" s="217">
        <f>+_xlfn.IFNA(VLOOKUP(AJ1051,$AF$7:$AG$1066,2,0),0)</f>
      </c>
      <c r="AL1051" s="217">
        <f>+IF(W1051&gt;W1050,AK1051,AL1050+AK1051)</f>
      </c>
      <c r="AM1051" s="217">
        <f>IF(W1051&gt;W1050,IF(AL1051&gt;=$AZ$8,$AZ$8,AL1051),IF(OR(AM1050=$AZ$8,AM1050=0),0,IF(AL1051&gt;=$AZ$8,$AZ$8,AL1051)))</f>
      </c>
      <c r="AN1051" s="748">
        <f>+IF(OR(AM1051&gt;AZ1050,AM1051=0),0,IF(AM1051=AL1051,AK1051,$AZ$7-AL1050))</f>
      </c>
      <c r="AO1051" s="748">
        <f>+AK1051-AN1051</f>
      </c>
      <c r="AP1051" s="217">
        <f>+_xlfn.IFNA(VLOOKUP(AJ1051,$AF$7:$AI$1066,3,0),0)</f>
      </c>
      <c r="AQ1051" s="217">
        <f>+IF(W1051&gt;W1050,AP1051,AQ1050+AP1051)</f>
      </c>
      <c r="AR1051" s="217">
        <f>+MAX($AM$2-SUMIF($W$7:$W$1066,W1051,$AN$7:$AN$1066),0)</f>
      </c>
      <c r="AS1051" s="748">
        <f>+MAX(IF(AQ1051&gt;AR1051,AR1051-AQ1050,AP1051),0)</f>
      </c>
      <c r="AT1051" s="748">
        <f>+AP1051-AS1051</f>
      </c>
      <c r="AU1051" s="217">
        <f>+_xlfn.IFNA(VLOOKUP(AJ1051,$AF$7:$AI$1066,4,0),0)</f>
      </c>
      <c r="AV1051" s="217">
        <f>+IF(W1051&gt;W1050,AU1051,AV1050+AU1051)</f>
      </c>
      <c r="AW1051" s="217">
        <f>+MAX($AM$2-SUMIF($W$7:$W$1066,W1051,$AN$7:$AN$1066)-SUMIF($W$7:$W$1066,W1051,$AS$7:$AS$1066),0)</f>
      </c>
      <c r="AX1051" s="748">
        <f>+MAX(IF(AV1051&gt;AW1051,AW1051-AV1050,AU1051),0)</f>
      </c>
      <c r="AY1051" s="748">
        <f>+AU1051-AX1051</f>
      </c>
      <c r="AZ1051" s="331">
        <f>+$AM$1+IF($AP$1&gt;$AP$2,$AM$3/2)</f>
      </c>
    </row>
    <row x14ac:dyDescent="0.25" r="1052" customHeight="1" ht="18.75">
      <c r="A1052" s="1"/>
      <c r="B1052" s="7"/>
      <c r="C1052" s="170"/>
      <c r="D1052" s="331">
        <v>1045</v>
      </c>
      <c r="E1052" s="544">
        <f>+DATE(YEAR(E1051),MONTH(E1051)-1,DAY(E1051))</f>
        <v>25569.041666666668</v>
      </c>
      <c r="F1052" s="333">
        <f>IF(DATE(YEAR($B$6),MONTH($B$6)+1,DAY(1))=E1052,1,IF(MONTH(E1052)=1,F1053*(1+$F$5),F1053))</f>
      </c>
      <c r="G1052" s="333">
        <f>IF('Simulador - 1º Pilar'!$E$99="Sí",IF('Aportaciones PPE'!$B$13&lt;'Aportaciones PPE'!E1052,0,F1052*$B$8/12),F1052*$B$8/12)</f>
      </c>
      <c r="H1052" s="333">
        <f>$H$5*G1052</f>
      </c>
      <c r="I1052" s="333">
        <f>$I$5*G1052</f>
      </c>
      <c r="J1052" s="333">
        <f>+I1052</f>
      </c>
      <c r="K1052" s="333">
        <f>(1+$O$5)^(D1052/12)*(H1052+IF(AND(F1052=1,F1053=0),$S$4,0))</f>
      </c>
      <c r="L1052" s="333">
        <f>(1+$O$5)^(D1052/12)*(I1052+IF(AND(F1052=1,F1053=0),0))</f>
      </c>
      <c r="M1052" s="333">
        <f>+L1052</f>
      </c>
      <c r="N1052" s="333">
        <f>L1052+K1052+M1052</f>
      </c>
      <c r="O1052" s="170"/>
      <c r="P1052" s="7"/>
      <c r="Q1052" s="1"/>
      <c r="R1052" s="331">
        <f>D1052</f>
      </c>
      <c r="S1052" s="169"/>
      <c r="T1052" s="1"/>
      <c r="U1052" s="217"/>
      <c r="V1052" s="331">
        <f>+IF(V1051=11,12,IF(V1051=12,1,V1051+1))</f>
      </c>
      <c r="W1052" s="331">
        <f>+W1051+IF(V1051=12,1,0)</f>
      </c>
      <c r="X1052" s="555">
        <f>+DATE(W1052,V1052,1)</f>
        <v>25569.041666666668</v>
      </c>
      <c r="Y1052" s="333">
        <f>+_xlfn.IFNA(AN1052+AS1052+AX1052,0)</f>
      </c>
      <c r="Z1052" s="333">
        <f>+_xlfn.IFNA(AO1052+AT1052+AY1052,0)</f>
      </c>
      <c r="AA1052" s="333">
        <f>Y1052*(1+$O$5)^(($B$7-X1052)/365.25)</f>
      </c>
      <c r="AB1052" s="333">
        <f>Z1052*(1+$O$5)^(($B$7-X1052)/365.25)</f>
      </c>
      <c r="AC1052" s="1"/>
      <c r="AD1052" s="1"/>
      <c r="AE1052" s="1"/>
      <c r="AF1052" s="111">
        <f>+MONTH(E1052)&amp;YEAR(E1052)</f>
      </c>
      <c r="AG1052" s="217">
        <f>+I1052</f>
      </c>
      <c r="AH1052" s="217">
        <f>+J1052</f>
      </c>
      <c r="AI1052" s="217">
        <f>+H1052</f>
      </c>
      <c r="AJ1052" s="111">
        <f>+V1052&amp;W1052</f>
      </c>
      <c r="AK1052" s="217">
        <f>+_xlfn.IFNA(VLOOKUP(AJ1052,$AF$7:$AG$1066,2,0),0)</f>
      </c>
      <c r="AL1052" s="217">
        <f>+IF(W1052&gt;W1051,AK1052,AL1051+AK1052)</f>
      </c>
      <c r="AM1052" s="217">
        <f>IF(W1052&gt;W1051,IF(AL1052&gt;=$AZ$8,$AZ$8,AL1052),IF(OR(AM1051=$AZ$8,AM1051=0),0,IF(AL1052&gt;=$AZ$8,$AZ$8,AL1052)))</f>
      </c>
      <c r="AN1052" s="748">
        <f>+IF(OR(AM1052&gt;AZ1051,AM1052=0),0,IF(AM1052=AL1052,AK1052,$AZ$7-AL1051))</f>
      </c>
      <c r="AO1052" s="748">
        <f>+AK1052-AN1052</f>
      </c>
      <c r="AP1052" s="217">
        <f>+_xlfn.IFNA(VLOOKUP(AJ1052,$AF$7:$AI$1066,3,0),0)</f>
      </c>
      <c r="AQ1052" s="217">
        <f>+IF(W1052&gt;W1051,AP1052,AQ1051+AP1052)</f>
      </c>
      <c r="AR1052" s="217">
        <f>+MAX($AM$2-SUMIF($W$7:$W$1066,W1052,$AN$7:$AN$1066),0)</f>
      </c>
      <c r="AS1052" s="748">
        <f>+MAX(IF(AQ1052&gt;AR1052,AR1052-AQ1051,AP1052),0)</f>
      </c>
      <c r="AT1052" s="748">
        <f>+AP1052-AS1052</f>
      </c>
      <c r="AU1052" s="217">
        <f>+_xlfn.IFNA(VLOOKUP(AJ1052,$AF$7:$AI$1066,4,0),0)</f>
      </c>
      <c r="AV1052" s="217">
        <f>+IF(W1052&gt;W1051,AU1052,AV1051+AU1052)</f>
      </c>
      <c r="AW1052" s="217">
        <f>+MAX($AM$2-SUMIF($W$7:$W$1066,W1052,$AN$7:$AN$1066)-SUMIF($W$7:$W$1066,W1052,$AS$7:$AS$1066),0)</f>
      </c>
      <c r="AX1052" s="748">
        <f>+MAX(IF(AV1052&gt;AW1052,AW1052-AV1051,AU1052),0)</f>
      </c>
      <c r="AY1052" s="748">
        <f>+AU1052-AX1052</f>
      </c>
      <c r="AZ1052" s="331">
        <f>+$AM$1+IF($AP$1&gt;$AP$2,$AM$3/2)</f>
      </c>
    </row>
    <row x14ac:dyDescent="0.25" r="1053" customHeight="1" ht="18.75">
      <c r="A1053" s="1"/>
      <c r="B1053" s="7"/>
      <c r="C1053" s="170"/>
      <c r="D1053" s="331">
        <v>1046</v>
      </c>
      <c r="E1053" s="544">
        <f>+DATE(YEAR(E1052),MONTH(E1052)-1,DAY(E1052))</f>
        <v>25569.041666666668</v>
      </c>
      <c r="F1053" s="333">
        <f>IF(DATE(YEAR($B$6),MONTH($B$6)+1,DAY(1))=E1053,1,IF(MONTH(E1053)=1,F1054*(1+$F$5),F1054))</f>
      </c>
      <c r="G1053" s="333">
        <f>IF('Simulador - 1º Pilar'!$E$99="Sí",IF('Aportaciones PPE'!$B$13&lt;'Aportaciones PPE'!E1053,0,F1053*$B$8/12),F1053*$B$8/12)</f>
      </c>
      <c r="H1053" s="333">
        <f>$H$5*G1053</f>
      </c>
      <c r="I1053" s="333">
        <f>$I$5*G1053</f>
      </c>
      <c r="J1053" s="333">
        <f>+I1053</f>
      </c>
      <c r="K1053" s="333">
        <f>(1+$O$5)^(D1053/12)*(H1053+IF(AND(F1053=1,F1054=0),$S$4,0))</f>
      </c>
      <c r="L1053" s="333">
        <f>(1+$O$5)^(D1053/12)*(I1053+IF(AND(F1053=1,F1054=0),0))</f>
      </c>
      <c r="M1053" s="333">
        <f>+L1053</f>
      </c>
      <c r="N1053" s="333">
        <f>L1053+K1053+M1053</f>
      </c>
      <c r="O1053" s="170"/>
      <c r="P1053" s="7"/>
      <c r="Q1053" s="1"/>
      <c r="R1053" s="331">
        <f>D1053</f>
      </c>
      <c r="S1053" s="169"/>
      <c r="T1053" s="1"/>
      <c r="U1053" s="217"/>
      <c r="V1053" s="331">
        <f>+IF(V1052=11,12,IF(V1052=12,1,V1052+1))</f>
      </c>
      <c r="W1053" s="331">
        <f>+W1052+IF(V1052=12,1,0)</f>
      </c>
      <c r="X1053" s="555">
        <f>+DATE(W1053,V1053,1)</f>
        <v>25569.041666666668</v>
      </c>
      <c r="Y1053" s="333">
        <f>+_xlfn.IFNA(AN1053+AS1053+AX1053,0)</f>
      </c>
      <c r="Z1053" s="333">
        <f>+_xlfn.IFNA(AO1053+AT1053+AY1053,0)</f>
      </c>
      <c r="AA1053" s="333">
        <f>Y1053*(1+$O$5)^(($B$7-X1053)/365.25)</f>
      </c>
      <c r="AB1053" s="333">
        <f>Z1053*(1+$O$5)^(($B$7-X1053)/365.25)</f>
      </c>
      <c r="AC1053" s="1"/>
      <c r="AD1053" s="1"/>
      <c r="AE1053" s="1"/>
      <c r="AF1053" s="111">
        <f>+MONTH(E1053)&amp;YEAR(E1053)</f>
      </c>
      <c r="AG1053" s="217">
        <f>+I1053</f>
      </c>
      <c r="AH1053" s="217">
        <f>+J1053</f>
      </c>
      <c r="AI1053" s="217">
        <f>+H1053</f>
      </c>
      <c r="AJ1053" s="111">
        <f>+V1053&amp;W1053</f>
      </c>
      <c r="AK1053" s="217">
        <f>+_xlfn.IFNA(VLOOKUP(AJ1053,$AF$7:$AG$1066,2,0),0)</f>
      </c>
      <c r="AL1053" s="217">
        <f>+IF(W1053&gt;W1052,AK1053,AL1052+AK1053)</f>
      </c>
      <c r="AM1053" s="217">
        <f>IF(W1053&gt;W1052,IF(AL1053&gt;=$AZ$8,$AZ$8,AL1053),IF(OR(AM1052=$AZ$8,AM1052=0),0,IF(AL1053&gt;=$AZ$8,$AZ$8,AL1053)))</f>
      </c>
      <c r="AN1053" s="748">
        <f>+IF(OR(AM1053&gt;AZ1052,AM1053=0),0,IF(AM1053=AL1053,AK1053,$AZ$7-AL1052))</f>
      </c>
      <c r="AO1053" s="748">
        <f>+AK1053-AN1053</f>
      </c>
      <c r="AP1053" s="217">
        <f>+_xlfn.IFNA(VLOOKUP(AJ1053,$AF$7:$AI$1066,3,0),0)</f>
      </c>
      <c r="AQ1053" s="217">
        <f>+IF(W1053&gt;W1052,AP1053,AQ1052+AP1053)</f>
      </c>
      <c r="AR1053" s="217">
        <f>+MAX($AM$2-SUMIF($W$7:$W$1066,W1053,$AN$7:$AN$1066),0)</f>
      </c>
      <c r="AS1053" s="748">
        <f>+MAX(IF(AQ1053&gt;AR1053,AR1053-AQ1052,AP1053),0)</f>
      </c>
      <c r="AT1053" s="748">
        <f>+AP1053-AS1053</f>
      </c>
      <c r="AU1053" s="217">
        <f>+_xlfn.IFNA(VLOOKUP(AJ1053,$AF$7:$AI$1066,4,0),0)</f>
      </c>
      <c r="AV1053" s="217">
        <f>+IF(W1053&gt;W1052,AU1053,AV1052+AU1053)</f>
      </c>
      <c r="AW1053" s="217">
        <f>+MAX($AM$2-SUMIF($W$7:$W$1066,W1053,$AN$7:$AN$1066)-SUMIF($W$7:$W$1066,W1053,$AS$7:$AS$1066),0)</f>
      </c>
      <c r="AX1053" s="748">
        <f>+MAX(IF(AV1053&gt;AW1053,AW1053-AV1052,AU1053),0)</f>
      </c>
      <c r="AY1053" s="748">
        <f>+AU1053-AX1053</f>
      </c>
      <c r="AZ1053" s="331">
        <f>+$AM$1+IF($AP$1&gt;$AP$2,$AM$3/2)</f>
      </c>
    </row>
    <row x14ac:dyDescent="0.25" r="1054" customHeight="1" ht="18.75">
      <c r="A1054" s="1"/>
      <c r="B1054" s="7"/>
      <c r="C1054" s="170"/>
      <c r="D1054" s="331">
        <v>1047</v>
      </c>
      <c r="E1054" s="544">
        <f>+DATE(YEAR(E1053),MONTH(E1053)-1,DAY(E1053))</f>
        <v>25569.041666666668</v>
      </c>
      <c r="F1054" s="333">
        <f>IF(DATE(YEAR($B$6),MONTH($B$6)+1,DAY(1))=E1054,1,IF(MONTH(E1054)=1,F1055*(1+$F$5),F1055))</f>
      </c>
      <c r="G1054" s="333">
        <f>IF('Simulador - 1º Pilar'!$E$99="Sí",IF('Aportaciones PPE'!$B$13&lt;'Aportaciones PPE'!E1054,0,F1054*$B$8/12),F1054*$B$8/12)</f>
      </c>
      <c r="H1054" s="333">
        <f>$H$5*G1054</f>
      </c>
      <c r="I1054" s="333">
        <f>$I$5*G1054</f>
      </c>
      <c r="J1054" s="333">
        <f>+I1054</f>
      </c>
      <c r="K1054" s="333">
        <f>(1+$O$5)^(D1054/12)*(H1054+IF(AND(F1054=1,F1055=0),$S$4,0))</f>
      </c>
      <c r="L1054" s="333">
        <f>(1+$O$5)^(D1054/12)*(I1054+IF(AND(F1054=1,F1055=0),0))</f>
      </c>
      <c r="M1054" s="333">
        <f>+L1054</f>
      </c>
      <c r="N1054" s="333">
        <f>L1054+K1054+M1054</f>
      </c>
      <c r="O1054" s="170"/>
      <c r="P1054" s="7"/>
      <c r="Q1054" s="1"/>
      <c r="R1054" s="331">
        <f>D1054</f>
      </c>
      <c r="S1054" s="169"/>
      <c r="T1054" s="1"/>
      <c r="U1054" s="217"/>
      <c r="V1054" s="331">
        <f>+IF(V1053=11,12,IF(V1053=12,1,V1053+1))</f>
      </c>
      <c r="W1054" s="331">
        <f>+W1053+IF(V1053=12,1,0)</f>
      </c>
      <c r="X1054" s="555">
        <f>+DATE(W1054,V1054,1)</f>
        <v>25569.041666666668</v>
      </c>
      <c r="Y1054" s="333">
        <f>+_xlfn.IFNA(AN1054+AS1054+AX1054,0)</f>
      </c>
      <c r="Z1054" s="333">
        <f>+_xlfn.IFNA(AO1054+AT1054+AY1054,0)</f>
      </c>
      <c r="AA1054" s="333">
        <f>Y1054*(1+$O$5)^(($B$7-X1054)/365.25)</f>
      </c>
      <c r="AB1054" s="333">
        <f>Z1054*(1+$O$5)^(($B$7-X1054)/365.25)</f>
      </c>
      <c r="AC1054" s="1"/>
      <c r="AD1054" s="1"/>
      <c r="AE1054" s="1"/>
      <c r="AF1054" s="111">
        <f>+MONTH(E1054)&amp;YEAR(E1054)</f>
      </c>
      <c r="AG1054" s="217">
        <f>+I1054</f>
      </c>
      <c r="AH1054" s="217">
        <f>+J1054</f>
      </c>
      <c r="AI1054" s="217">
        <f>+H1054</f>
      </c>
      <c r="AJ1054" s="111">
        <f>+V1054&amp;W1054</f>
      </c>
      <c r="AK1054" s="217">
        <f>+_xlfn.IFNA(VLOOKUP(AJ1054,$AF$7:$AG$1066,2,0),0)</f>
      </c>
      <c r="AL1054" s="217">
        <f>+IF(W1054&gt;W1053,AK1054,AL1053+AK1054)</f>
      </c>
      <c r="AM1054" s="217">
        <f>IF(W1054&gt;W1053,IF(AL1054&gt;=$AZ$8,$AZ$8,AL1054),IF(OR(AM1053=$AZ$8,AM1053=0),0,IF(AL1054&gt;=$AZ$8,$AZ$8,AL1054)))</f>
      </c>
      <c r="AN1054" s="748">
        <f>+IF(OR(AM1054&gt;AZ1053,AM1054=0),0,IF(AM1054=AL1054,AK1054,$AZ$7-AL1053))</f>
      </c>
      <c r="AO1054" s="748">
        <f>+AK1054-AN1054</f>
      </c>
      <c r="AP1054" s="217">
        <f>+_xlfn.IFNA(VLOOKUP(AJ1054,$AF$7:$AI$1066,3,0),0)</f>
      </c>
      <c r="AQ1054" s="217">
        <f>+IF(W1054&gt;W1053,AP1054,AQ1053+AP1054)</f>
      </c>
      <c r="AR1054" s="217">
        <f>+MAX($AM$2-SUMIF($W$7:$W$1066,W1054,$AN$7:$AN$1066),0)</f>
      </c>
      <c r="AS1054" s="748">
        <f>+MAX(IF(AQ1054&gt;AR1054,AR1054-AQ1053,AP1054),0)</f>
      </c>
      <c r="AT1054" s="748">
        <f>+AP1054-AS1054</f>
      </c>
      <c r="AU1054" s="217">
        <f>+_xlfn.IFNA(VLOOKUP(AJ1054,$AF$7:$AI$1066,4,0),0)</f>
      </c>
      <c r="AV1054" s="217">
        <f>+IF(W1054&gt;W1053,AU1054,AV1053+AU1054)</f>
      </c>
      <c r="AW1054" s="217">
        <f>+MAX($AM$2-SUMIF($W$7:$W$1066,W1054,$AN$7:$AN$1066)-SUMIF($W$7:$W$1066,W1054,$AS$7:$AS$1066),0)</f>
      </c>
      <c r="AX1054" s="748">
        <f>+MAX(IF(AV1054&gt;AW1054,AW1054-AV1053,AU1054),0)</f>
      </c>
      <c r="AY1054" s="748">
        <f>+AU1054-AX1054</f>
      </c>
      <c r="AZ1054" s="331">
        <f>+$AM$1+IF($AP$1&gt;$AP$2,$AM$3/2)</f>
      </c>
    </row>
    <row x14ac:dyDescent="0.25" r="1055" customHeight="1" ht="18.75">
      <c r="A1055" s="1"/>
      <c r="B1055" s="7"/>
      <c r="C1055" s="170"/>
      <c r="D1055" s="331">
        <v>1048</v>
      </c>
      <c r="E1055" s="544">
        <f>+DATE(YEAR(E1054),MONTH(E1054)-1,DAY(E1054))</f>
        <v>25569.041666666668</v>
      </c>
      <c r="F1055" s="333">
        <f>IF(DATE(YEAR($B$6),MONTH($B$6)+1,DAY(1))=E1055,1,IF(MONTH(E1055)=1,F1056*(1+$F$5),F1056))</f>
      </c>
      <c r="G1055" s="333">
        <f>IF('Simulador - 1º Pilar'!$E$99="Sí",IF('Aportaciones PPE'!$B$13&lt;'Aportaciones PPE'!E1055,0,F1055*$B$8/12),F1055*$B$8/12)</f>
      </c>
      <c r="H1055" s="333">
        <f>$H$5*G1055</f>
      </c>
      <c r="I1055" s="333">
        <f>$I$5*G1055</f>
      </c>
      <c r="J1055" s="333">
        <f>+I1055</f>
      </c>
      <c r="K1055" s="333">
        <f>(1+$O$5)^(D1055/12)*(H1055+IF(AND(F1055=1,F1056=0),$S$4,0))</f>
      </c>
      <c r="L1055" s="333">
        <f>(1+$O$5)^(D1055/12)*(I1055+IF(AND(F1055=1,F1056=0),0))</f>
      </c>
      <c r="M1055" s="333">
        <f>+L1055</f>
      </c>
      <c r="N1055" s="333">
        <f>L1055+K1055+M1055</f>
      </c>
      <c r="O1055" s="170"/>
      <c r="P1055" s="7"/>
      <c r="Q1055" s="1"/>
      <c r="R1055" s="331">
        <f>D1055</f>
      </c>
      <c r="S1055" s="169"/>
      <c r="T1055" s="1"/>
      <c r="U1055" s="217"/>
      <c r="V1055" s="331">
        <f>+IF(V1054=11,12,IF(V1054=12,1,V1054+1))</f>
      </c>
      <c r="W1055" s="331">
        <f>+W1054+IF(V1054=12,1,0)</f>
      </c>
      <c r="X1055" s="555">
        <f>+DATE(W1055,V1055,1)</f>
        <v>25569.041666666668</v>
      </c>
      <c r="Y1055" s="333">
        <f>+_xlfn.IFNA(AN1055+AS1055+AX1055,0)</f>
      </c>
      <c r="Z1055" s="333">
        <f>+_xlfn.IFNA(AO1055+AT1055+AY1055,0)</f>
      </c>
      <c r="AA1055" s="333">
        <f>Y1055*(1+$O$5)^(($B$7-X1055)/365.25)</f>
      </c>
      <c r="AB1055" s="333">
        <f>Z1055*(1+$O$5)^(($B$7-X1055)/365.25)</f>
      </c>
      <c r="AC1055" s="1"/>
      <c r="AD1055" s="1"/>
      <c r="AE1055" s="1"/>
      <c r="AF1055" s="111">
        <f>+MONTH(E1055)&amp;YEAR(E1055)</f>
      </c>
      <c r="AG1055" s="217">
        <f>+I1055</f>
      </c>
      <c r="AH1055" s="217">
        <f>+J1055</f>
      </c>
      <c r="AI1055" s="217">
        <f>+H1055</f>
      </c>
      <c r="AJ1055" s="111">
        <f>+V1055&amp;W1055</f>
      </c>
      <c r="AK1055" s="217">
        <f>+_xlfn.IFNA(VLOOKUP(AJ1055,$AF$7:$AG$1066,2,0),0)</f>
      </c>
      <c r="AL1055" s="217">
        <f>+IF(W1055&gt;W1054,AK1055,AL1054+AK1055)</f>
      </c>
      <c r="AM1055" s="217">
        <f>IF(W1055&gt;W1054,IF(AL1055&gt;=$AZ$8,$AZ$8,AL1055),IF(OR(AM1054=$AZ$8,AM1054=0),0,IF(AL1055&gt;=$AZ$8,$AZ$8,AL1055)))</f>
      </c>
      <c r="AN1055" s="748">
        <f>+IF(OR(AM1055&gt;AZ1054,AM1055=0),0,IF(AM1055=AL1055,AK1055,$AZ$7-AL1054))</f>
      </c>
      <c r="AO1055" s="748">
        <f>+AK1055-AN1055</f>
      </c>
      <c r="AP1055" s="217">
        <f>+_xlfn.IFNA(VLOOKUP(AJ1055,$AF$7:$AI$1066,3,0),0)</f>
      </c>
      <c r="AQ1055" s="217">
        <f>+IF(W1055&gt;W1054,AP1055,AQ1054+AP1055)</f>
      </c>
      <c r="AR1055" s="217">
        <f>+MAX($AM$2-SUMIF($W$7:$W$1066,W1055,$AN$7:$AN$1066),0)</f>
      </c>
      <c r="AS1055" s="748">
        <f>+MAX(IF(AQ1055&gt;AR1055,AR1055-AQ1054,AP1055),0)</f>
      </c>
      <c r="AT1055" s="748">
        <f>+AP1055-AS1055</f>
      </c>
      <c r="AU1055" s="217">
        <f>+_xlfn.IFNA(VLOOKUP(AJ1055,$AF$7:$AI$1066,4,0),0)</f>
      </c>
      <c r="AV1055" s="217">
        <f>+IF(W1055&gt;W1054,AU1055,AV1054+AU1055)</f>
      </c>
      <c r="AW1055" s="217">
        <f>+MAX($AM$2-SUMIF($W$7:$W$1066,W1055,$AN$7:$AN$1066)-SUMIF($W$7:$W$1066,W1055,$AS$7:$AS$1066),0)</f>
      </c>
      <c r="AX1055" s="748">
        <f>+MAX(IF(AV1055&gt;AW1055,AW1055-AV1054,AU1055),0)</f>
      </c>
      <c r="AY1055" s="748">
        <f>+AU1055-AX1055</f>
      </c>
      <c r="AZ1055" s="331">
        <f>+$AM$1+IF($AP$1&gt;$AP$2,$AM$3/2)</f>
      </c>
    </row>
    <row x14ac:dyDescent="0.25" r="1056" customHeight="1" ht="18.75">
      <c r="A1056" s="1"/>
      <c r="B1056" s="7"/>
      <c r="C1056" s="170"/>
      <c r="D1056" s="331">
        <v>1049</v>
      </c>
      <c r="E1056" s="544">
        <f>+DATE(YEAR(E1055),MONTH(E1055)-1,DAY(E1055))</f>
        <v>25569.041666666668</v>
      </c>
      <c r="F1056" s="333">
        <f>IF(DATE(YEAR($B$6),MONTH($B$6)+1,DAY(1))=E1056,1,IF(MONTH(E1056)=1,F1057*(1+$F$5),F1057))</f>
      </c>
      <c r="G1056" s="333">
        <f>IF('Simulador - 1º Pilar'!$E$99="Sí",IF('Aportaciones PPE'!$B$13&lt;'Aportaciones PPE'!E1056,0,F1056*$B$8/12),F1056*$B$8/12)</f>
      </c>
      <c r="H1056" s="333">
        <f>$H$5*G1056</f>
      </c>
      <c r="I1056" s="333">
        <f>$I$5*G1056</f>
      </c>
      <c r="J1056" s="333">
        <f>+I1056</f>
      </c>
      <c r="K1056" s="333">
        <f>(1+$O$5)^(D1056/12)*(H1056+IF(AND(F1056=1,F1057=0),$S$4,0))</f>
      </c>
      <c r="L1056" s="333">
        <f>(1+$O$5)^(D1056/12)*(I1056+IF(AND(F1056=1,F1057=0),0))</f>
      </c>
      <c r="M1056" s="333">
        <f>+L1056</f>
      </c>
      <c r="N1056" s="333">
        <f>L1056+K1056+M1056</f>
      </c>
      <c r="O1056" s="170"/>
      <c r="P1056" s="7"/>
      <c r="Q1056" s="1"/>
      <c r="R1056" s="331">
        <f>D1056</f>
      </c>
      <c r="S1056" s="169"/>
      <c r="T1056" s="1"/>
      <c r="U1056" s="217"/>
      <c r="V1056" s="331">
        <f>+IF(V1055=11,12,IF(V1055=12,1,V1055+1))</f>
      </c>
      <c r="W1056" s="331">
        <f>+W1055+IF(V1055=12,1,0)</f>
      </c>
      <c r="X1056" s="555">
        <f>+DATE(W1056,V1056,1)</f>
        <v>25569.041666666668</v>
      </c>
      <c r="Y1056" s="333">
        <f>+_xlfn.IFNA(AN1056+AS1056+AX1056,0)</f>
      </c>
      <c r="Z1056" s="333">
        <f>+_xlfn.IFNA(AO1056+AT1056+AY1056,0)</f>
      </c>
      <c r="AA1056" s="333">
        <f>Y1056*(1+$O$5)^(($B$7-X1056)/365.25)</f>
      </c>
      <c r="AB1056" s="333">
        <f>Z1056*(1+$O$5)^(($B$7-X1056)/365.25)</f>
      </c>
      <c r="AC1056" s="1"/>
      <c r="AD1056" s="1"/>
      <c r="AE1056" s="1"/>
      <c r="AF1056" s="111">
        <f>+MONTH(E1056)&amp;YEAR(E1056)</f>
      </c>
      <c r="AG1056" s="217">
        <f>+I1056</f>
      </c>
      <c r="AH1056" s="217">
        <f>+J1056</f>
      </c>
      <c r="AI1056" s="217">
        <f>+H1056</f>
      </c>
      <c r="AJ1056" s="111">
        <f>+V1056&amp;W1056</f>
      </c>
      <c r="AK1056" s="217">
        <f>+_xlfn.IFNA(VLOOKUP(AJ1056,$AF$7:$AG$1066,2,0),0)</f>
      </c>
      <c r="AL1056" s="217">
        <f>+IF(W1056&gt;W1055,AK1056,AL1055+AK1056)</f>
      </c>
      <c r="AM1056" s="217">
        <f>IF(W1056&gt;W1055,IF(AL1056&gt;=$AZ$8,$AZ$8,AL1056),IF(OR(AM1055=$AZ$8,AM1055=0),0,IF(AL1056&gt;=$AZ$8,$AZ$8,AL1056)))</f>
      </c>
      <c r="AN1056" s="748">
        <f>+IF(OR(AM1056&gt;AZ1055,AM1056=0),0,IF(AM1056=AL1056,AK1056,$AZ$7-AL1055))</f>
      </c>
      <c r="AO1056" s="748">
        <f>+AK1056-AN1056</f>
      </c>
      <c r="AP1056" s="217">
        <f>+_xlfn.IFNA(VLOOKUP(AJ1056,$AF$7:$AI$1066,3,0),0)</f>
      </c>
      <c r="AQ1056" s="217">
        <f>+IF(W1056&gt;W1055,AP1056,AQ1055+AP1056)</f>
      </c>
      <c r="AR1056" s="217">
        <f>+MAX($AM$2-SUMIF($W$7:$W$1066,W1056,$AN$7:$AN$1066),0)</f>
      </c>
      <c r="AS1056" s="748">
        <f>+MAX(IF(AQ1056&gt;AR1056,AR1056-AQ1055,AP1056),0)</f>
      </c>
      <c r="AT1056" s="748">
        <f>+AP1056-AS1056</f>
      </c>
      <c r="AU1056" s="217">
        <f>+_xlfn.IFNA(VLOOKUP(AJ1056,$AF$7:$AI$1066,4,0),0)</f>
      </c>
      <c r="AV1056" s="217">
        <f>+IF(W1056&gt;W1055,AU1056,AV1055+AU1056)</f>
      </c>
      <c r="AW1056" s="217">
        <f>+MAX($AM$2-SUMIF($W$7:$W$1066,W1056,$AN$7:$AN$1066)-SUMIF($W$7:$W$1066,W1056,$AS$7:$AS$1066),0)</f>
      </c>
      <c r="AX1056" s="748">
        <f>+MAX(IF(AV1056&gt;AW1056,AW1056-AV1055,AU1056),0)</f>
      </c>
      <c r="AY1056" s="748">
        <f>+AU1056-AX1056</f>
      </c>
      <c r="AZ1056" s="331">
        <f>+$AM$1+IF($AP$1&gt;$AP$2,$AM$3/2)</f>
      </c>
    </row>
    <row x14ac:dyDescent="0.25" r="1057" customHeight="1" ht="18.75">
      <c r="A1057" s="1"/>
      <c r="B1057" s="7"/>
      <c r="C1057" s="170"/>
      <c r="D1057" s="331">
        <v>1050</v>
      </c>
      <c r="E1057" s="544">
        <f>+DATE(YEAR(E1056),MONTH(E1056)-1,DAY(E1056))</f>
        <v>25569.041666666668</v>
      </c>
      <c r="F1057" s="333">
        <f>IF(DATE(YEAR($B$6),MONTH($B$6)+1,DAY(1))=E1057,1,IF(MONTH(E1057)=1,F1058*(1+$F$5),F1058))</f>
      </c>
      <c r="G1057" s="333">
        <f>IF('Simulador - 1º Pilar'!$E$99="Sí",IF('Aportaciones PPE'!$B$13&lt;'Aportaciones PPE'!E1057,0,F1057*$B$8/12),F1057*$B$8/12)</f>
      </c>
      <c r="H1057" s="333">
        <f>$H$5*G1057</f>
      </c>
      <c r="I1057" s="333">
        <f>$I$5*G1057</f>
      </c>
      <c r="J1057" s="333">
        <f>+I1057</f>
      </c>
      <c r="K1057" s="333">
        <f>(1+$O$5)^(D1057/12)*(H1057+IF(AND(F1057=1,F1058=0),$S$4,0))</f>
      </c>
      <c r="L1057" s="333">
        <f>(1+$O$5)^(D1057/12)*(I1057+IF(AND(F1057=1,F1058=0),0))</f>
      </c>
      <c r="M1057" s="333">
        <f>+L1057</f>
      </c>
      <c r="N1057" s="333">
        <f>L1057+K1057+M1057</f>
      </c>
      <c r="O1057" s="170"/>
      <c r="P1057" s="7"/>
      <c r="Q1057" s="1"/>
      <c r="R1057" s="331">
        <f>D1057</f>
      </c>
      <c r="S1057" s="169"/>
      <c r="T1057" s="1"/>
      <c r="U1057" s="217"/>
      <c r="V1057" s="331">
        <f>+IF(V1056=11,12,IF(V1056=12,1,V1056+1))</f>
      </c>
      <c r="W1057" s="331">
        <f>+W1056+IF(V1056=12,1,0)</f>
      </c>
      <c r="X1057" s="555">
        <f>+DATE(W1057,V1057,1)</f>
        <v>25569.041666666668</v>
      </c>
      <c r="Y1057" s="333">
        <f>+_xlfn.IFNA(AN1057+AS1057+AX1057,0)</f>
      </c>
      <c r="Z1057" s="333">
        <f>+_xlfn.IFNA(AO1057+AT1057+AY1057,0)</f>
      </c>
      <c r="AA1057" s="333">
        <f>Y1057*(1+$O$5)^(($B$7-X1057)/365.25)</f>
      </c>
      <c r="AB1057" s="333">
        <f>Z1057*(1+$O$5)^(($B$7-X1057)/365.25)</f>
      </c>
      <c r="AC1057" s="1"/>
      <c r="AD1057" s="1"/>
      <c r="AE1057" s="1"/>
      <c r="AF1057" s="111">
        <f>+MONTH(E1057)&amp;YEAR(E1057)</f>
      </c>
      <c r="AG1057" s="217">
        <f>+I1057</f>
      </c>
      <c r="AH1057" s="217">
        <f>+J1057</f>
      </c>
      <c r="AI1057" s="217">
        <f>+H1057</f>
      </c>
      <c r="AJ1057" s="111">
        <f>+V1057&amp;W1057</f>
      </c>
      <c r="AK1057" s="217">
        <f>+_xlfn.IFNA(VLOOKUP(AJ1057,$AF$7:$AG$1066,2,0),0)</f>
      </c>
      <c r="AL1057" s="217">
        <f>+IF(W1057&gt;W1056,AK1057,AL1056+AK1057)</f>
      </c>
      <c r="AM1057" s="217">
        <f>IF(W1057&gt;W1056,IF(AL1057&gt;=$AZ$8,$AZ$8,AL1057),IF(OR(AM1056=$AZ$8,AM1056=0),0,IF(AL1057&gt;=$AZ$8,$AZ$8,AL1057)))</f>
      </c>
      <c r="AN1057" s="748">
        <f>+IF(OR(AM1057&gt;AZ1056,AM1057=0),0,IF(AM1057=AL1057,AK1057,$AZ$7-AL1056))</f>
      </c>
      <c r="AO1057" s="748">
        <f>+AK1057-AN1057</f>
      </c>
      <c r="AP1057" s="217">
        <f>+_xlfn.IFNA(VLOOKUP(AJ1057,$AF$7:$AI$1066,3,0),0)</f>
      </c>
      <c r="AQ1057" s="217">
        <f>+IF(W1057&gt;W1056,AP1057,AQ1056+AP1057)</f>
      </c>
      <c r="AR1057" s="217">
        <f>+MAX($AM$2-SUMIF($W$7:$W$1066,W1057,$AN$7:$AN$1066),0)</f>
      </c>
      <c r="AS1057" s="748">
        <f>+MAX(IF(AQ1057&gt;AR1057,AR1057-AQ1056,AP1057),0)</f>
      </c>
      <c r="AT1057" s="748">
        <f>+AP1057-AS1057</f>
      </c>
      <c r="AU1057" s="217">
        <f>+_xlfn.IFNA(VLOOKUP(AJ1057,$AF$7:$AI$1066,4,0),0)</f>
      </c>
      <c r="AV1057" s="217">
        <f>+IF(W1057&gt;W1056,AU1057,AV1056+AU1057)</f>
      </c>
      <c r="AW1057" s="217">
        <f>+MAX($AM$2-SUMIF($W$7:$W$1066,W1057,$AN$7:$AN$1066)-SUMIF($W$7:$W$1066,W1057,$AS$7:$AS$1066),0)</f>
      </c>
      <c r="AX1057" s="748">
        <f>+MAX(IF(AV1057&gt;AW1057,AW1057-AV1056,AU1057),0)</f>
      </c>
      <c r="AY1057" s="748">
        <f>+AU1057-AX1057</f>
      </c>
      <c r="AZ1057" s="331">
        <f>+$AM$1+IF($AP$1&gt;$AP$2,$AM$3/2)</f>
      </c>
    </row>
    <row x14ac:dyDescent="0.25" r="1058" customHeight="1" ht="18.75">
      <c r="A1058" s="1"/>
      <c r="B1058" s="7"/>
      <c r="C1058" s="170"/>
      <c r="D1058" s="331">
        <v>1051</v>
      </c>
      <c r="E1058" s="544">
        <f>+DATE(YEAR(E1057),MONTH(E1057)-1,DAY(E1057))</f>
        <v>25569.041666666668</v>
      </c>
      <c r="F1058" s="333">
        <f>IF(DATE(YEAR($B$6),MONTH($B$6)+1,DAY(1))=E1058,1,IF(MONTH(E1058)=1,F1059*(1+$F$5),F1059))</f>
      </c>
      <c r="G1058" s="333">
        <f>IF('Simulador - 1º Pilar'!$E$99="Sí",IF('Aportaciones PPE'!$B$13&lt;'Aportaciones PPE'!E1058,0,F1058*$B$8/12),F1058*$B$8/12)</f>
      </c>
      <c r="H1058" s="333">
        <f>$H$5*G1058</f>
      </c>
      <c r="I1058" s="333">
        <f>$I$5*G1058</f>
      </c>
      <c r="J1058" s="333">
        <f>+I1058</f>
      </c>
      <c r="K1058" s="333">
        <f>(1+$O$5)^(D1058/12)*(H1058+IF(AND(F1058=1,F1059=0),$S$4,0))</f>
      </c>
      <c r="L1058" s="333">
        <f>(1+$O$5)^(D1058/12)*(I1058+IF(AND(F1058=1,F1059=0),0))</f>
      </c>
      <c r="M1058" s="333">
        <f>+L1058</f>
      </c>
      <c r="N1058" s="333">
        <f>L1058+K1058+M1058</f>
      </c>
      <c r="O1058" s="170"/>
      <c r="P1058" s="7"/>
      <c r="Q1058" s="1"/>
      <c r="R1058" s="331">
        <f>D1058</f>
      </c>
      <c r="S1058" s="169"/>
      <c r="T1058" s="1"/>
      <c r="U1058" s="217"/>
      <c r="V1058" s="331">
        <f>+IF(V1057=11,12,IF(V1057=12,1,V1057+1))</f>
      </c>
      <c r="W1058" s="331">
        <f>+W1057+IF(V1057=12,1,0)</f>
      </c>
      <c r="X1058" s="555">
        <f>+DATE(W1058,V1058,1)</f>
        <v>25569.041666666668</v>
      </c>
      <c r="Y1058" s="333">
        <f>+_xlfn.IFNA(AN1058+AS1058+AX1058,0)</f>
      </c>
      <c r="Z1058" s="333">
        <f>+_xlfn.IFNA(AO1058+AT1058+AY1058,0)</f>
      </c>
      <c r="AA1058" s="333">
        <f>Y1058*(1+$O$5)^(($B$7-X1058)/365.25)</f>
      </c>
      <c r="AB1058" s="333">
        <f>Z1058*(1+$O$5)^(($B$7-X1058)/365.25)</f>
      </c>
      <c r="AC1058" s="1"/>
      <c r="AD1058" s="1"/>
      <c r="AE1058" s="1"/>
      <c r="AF1058" s="111">
        <f>+MONTH(E1058)&amp;YEAR(E1058)</f>
      </c>
      <c r="AG1058" s="217">
        <f>+I1058</f>
      </c>
      <c r="AH1058" s="217">
        <f>+J1058</f>
      </c>
      <c r="AI1058" s="217">
        <f>+H1058</f>
      </c>
      <c r="AJ1058" s="111">
        <f>+V1058&amp;W1058</f>
      </c>
      <c r="AK1058" s="217">
        <f>+_xlfn.IFNA(VLOOKUP(AJ1058,$AF$7:$AG$1066,2,0),0)</f>
      </c>
      <c r="AL1058" s="217">
        <f>+IF(W1058&gt;W1057,AK1058,AL1057+AK1058)</f>
      </c>
      <c r="AM1058" s="217">
        <f>IF(W1058&gt;W1057,IF(AL1058&gt;=$AZ$8,$AZ$8,AL1058),IF(OR(AM1057=$AZ$8,AM1057=0),0,IF(AL1058&gt;=$AZ$8,$AZ$8,AL1058)))</f>
      </c>
      <c r="AN1058" s="748">
        <f>+IF(OR(AM1058&gt;AZ1057,AM1058=0),0,IF(AM1058=AL1058,AK1058,$AZ$7-AL1057))</f>
      </c>
      <c r="AO1058" s="748">
        <f>+AK1058-AN1058</f>
      </c>
      <c r="AP1058" s="217">
        <f>+_xlfn.IFNA(VLOOKUP(AJ1058,$AF$7:$AI$1066,3,0),0)</f>
      </c>
      <c r="AQ1058" s="217">
        <f>+IF(W1058&gt;W1057,AP1058,AQ1057+AP1058)</f>
      </c>
      <c r="AR1058" s="217">
        <f>+MAX($AM$2-SUMIF($W$7:$W$1066,W1058,$AN$7:$AN$1066),0)</f>
      </c>
      <c r="AS1058" s="748">
        <f>+MAX(IF(AQ1058&gt;AR1058,AR1058-AQ1057,AP1058),0)</f>
      </c>
      <c r="AT1058" s="748">
        <f>+AP1058-AS1058</f>
      </c>
      <c r="AU1058" s="217">
        <f>+_xlfn.IFNA(VLOOKUP(AJ1058,$AF$7:$AI$1066,4,0),0)</f>
      </c>
      <c r="AV1058" s="217">
        <f>+IF(W1058&gt;W1057,AU1058,AV1057+AU1058)</f>
      </c>
      <c r="AW1058" s="217">
        <f>+MAX($AM$2-SUMIF($W$7:$W$1066,W1058,$AN$7:$AN$1066)-SUMIF($W$7:$W$1066,W1058,$AS$7:$AS$1066),0)</f>
      </c>
      <c r="AX1058" s="748">
        <f>+MAX(IF(AV1058&gt;AW1058,AW1058-AV1057,AU1058),0)</f>
      </c>
      <c r="AY1058" s="748">
        <f>+AU1058-AX1058</f>
      </c>
      <c r="AZ1058" s="331">
        <f>+$AM$1+IF($AP$1&gt;$AP$2,$AM$3/2)</f>
      </c>
    </row>
    <row x14ac:dyDescent="0.25" r="1059" customHeight="1" ht="18.75">
      <c r="A1059" s="1"/>
      <c r="B1059" s="7"/>
      <c r="C1059" s="170"/>
      <c r="D1059" s="331">
        <v>1052</v>
      </c>
      <c r="E1059" s="544">
        <f>+DATE(YEAR(E1058),MONTH(E1058)-1,DAY(E1058))</f>
        <v>25569.041666666668</v>
      </c>
      <c r="F1059" s="333">
        <f>IF(DATE(YEAR($B$6),MONTH($B$6)+1,DAY(1))=E1059,1,IF(MONTH(E1059)=1,F1060*(1+$F$5),F1060))</f>
      </c>
      <c r="G1059" s="333">
        <f>IF('Simulador - 1º Pilar'!$E$99="Sí",IF('Aportaciones PPE'!$B$13&lt;'Aportaciones PPE'!E1059,0,F1059*$B$8/12),F1059*$B$8/12)</f>
      </c>
      <c r="H1059" s="333">
        <f>$H$5*G1059</f>
      </c>
      <c r="I1059" s="333">
        <f>$I$5*G1059</f>
      </c>
      <c r="J1059" s="333">
        <f>+I1059</f>
      </c>
      <c r="K1059" s="333">
        <f>(1+$O$5)^(D1059/12)*(H1059+IF(AND(F1059=1,F1060=0),$S$4,0))</f>
      </c>
      <c r="L1059" s="333">
        <f>(1+$O$5)^(D1059/12)*(I1059+IF(AND(F1059=1,F1060=0),0))</f>
      </c>
      <c r="M1059" s="333">
        <f>+L1059</f>
      </c>
      <c r="N1059" s="333">
        <f>L1059+K1059+M1059</f>
      </c>
      <c r="O1059" s="170"/>
      <c r="P1059" s="7"/>
      <c r="Q1059" s="1"/>
      <c r="R1059" s="331">
        <f>D1059</f>
      </c>
      <c r="S1059" s="169"/>
      <c r="T1059" s="1"/>
      <c r="U1059" s="217"/>
      <c r="V1059" s="331">
        <f>+IF(V1058=11,12,IF(V1058=12,1,V1058+1))</f>
      </c>
      <c r="W1059" s="331">
        <f>+W1058+IF(V1058=12,1,0)</f>
      </c>
      <c r="X1059" s="555">
        <f>+DATE(W1059,V1059,1)</f>
        <v>25569.041666666668</v>
      </c>
      <c r="Y1059" s="333">
        <f>+_xlfn.IFNA(AN1059+AS1059+AX1059,0)</f>
      </c>
      <c r="Z1059" s="333">
        <f>+_xlfn.IFNA(AO1059+AT1059+AY1059,0)</f>
      </c>
      <c r="AA1059" s="333">
        <f>Y1059*(1+$O$5)^(($B$7-X1059)/365.25)</f>
      </c>
      <c r="AB1059" s="333">
        <f>Z1059*(1+$O$5)^(($B$7-X1059)/365.25)</f>
      </c>
      <c r="AC1059" s="1"/>
      <c r="AD1059" s="1"/>
      <c r="AE1059" s="1"/>
      <c r="AF1059" s="111">
        <f>+MONTH(E1059)&amp;YEAR(E1059)</f>
      </c>
      <c r="AG1059" s="217">
        <f>+I1059</f>
      </c>
      <c r="AH1059" s="217">
        <f>+J1059</f>
      </c>
      <c r="AI1059" s="217">
        <f>+H1059</f>
      </c>
      <c r="AJ1059" s="111">
        <f>+V1059&amp;W1059</f>
      </c>
      <c r="AK1059" s="217">
        <f>+_xlfn.IFNA(VLOOKUP(AJ1059,$AF$7:$AG$1066,2,0),0)</f>
      </c>
      <c r="AL1059" s="217">
        <f>+IF(W1059&gt;W1058,AK1059,AL1058+AK1059)</f>
      </c>
      <c r="AM1059" s="217">
        <f>IF(W1059&gt;W1058,IF(AL1059&gt;=$AZ$8,$AZ$8,AL1059),IF(OR(AM1058=$AZ$8,AM1058=0),0,IF(AL1059&gt;=$AZ$8,$AZ$8,AL1059)))</f>
      </c>
      <c r="AN1059" s="748">
        <f>+IF(OR(AM1059&gt;AZ1058,AM1059=0),0,IF(AM1059=AL1059,AK1059,$AZ$7-AL1058))</f>
      </c>
      <c r="AO1059" s="748">
        <f>+AK1059-AN1059</f>
      </c>
      <c r="AP1059" s="217">
        <f>+_xlfn.IFNA(VLOOKUP(AJ1059,$AF$7:$AI$1066,3,0),0)</f>
      </c>
      <c r="AQ1059" s="217">
        <f>+IF(W1059&gt;W1058,AP1059,AQ1058+AP1059)</f>
      </c>
      <c r="AR1059" s="217">
        <f>+MAX($AM$2-SUMIF($W$7:$W$1066,W1059,$AN$7:$AN$1066),0)</f>
      </c>
      <c r="AS1059" s="748">
        <f>+MAX(IF(AQ1059&gt;AR1059,AR1059-AQ1058,AP1059),0)</f>
      </c>
      <c r="AT1059" s="748">
        <f>+AP1059-AS1059</f>
      </c>
      <c r="AU1059" s="217">
        <f>+_xlfn.IFNA(VLOOKUP(AJ1059,$AF$7:$AI$1066,4,0),0)</f>
      </c>
      <c r="AV1059" s="217">
        <f>+IF(W1059&gt;W1058,AU1059,AV1058+AU1059)</f>
      </c>
      <c r="AW1059" s="217">
        <f>+MAX($AM$2-SUMIF($W$7:$W$1066,W1059,$AN$7:$AN$1066)-SUMIF($W$7:$W$1066,W1059,$AS$7:$AS$1066),0)</f>
      </c>
      <c r="AX1059" s="748">
        <f>+MAX(IF(AV1059&gt;AW1059,AW1059-AV1058,AU1059),0)</f>
      </c>
      <c r="AY1059" s="748">
        <f>+AU1059-AX1059</f>
      </c>
      <c r="AZ1059" s="331">
        <f>+$AM$1+IF($AP$1&gt;$AP$2,$AM$3/2)</f>
      </c>
    </row>
    <row x14ac:dyDescent="0.25" r="1060" customHeight="1" ht="18.75">
      <c r="A1060" s="1"/>
      <c r="B1060" s="7"/>
      <c r="C1060" s="170"/>
      <c r="D1060" s="331">
        <v>1053</v>
      </c>
      <c r="E1060" s="544">
        <f>+DATE(YEAR(E1059),MONTH(E1059)-1,DAY(E1059))</f>
        <v>25569.041666666668</v>
      </c>
      <c r="F1060" s="333">
        <f>IF(DATE(YEAR($B$6),MONTH($B$6)+1,DAY(1))=E1060,1,IF(MONTH(E1060)=1,F1061*(1+$F$5),F1061))</f>
      </c>
      <c r="G1060" s="333">
        <f>IF('Simulador - 1º Pilar'!$E$99="Sí",IF('Aportaciones PPE'!$B$13&lt;'Aportaciones PPE'!E1060,0,F1060*$B$8/12),F1060*$B$8/12)</f>
      </c>
      <c r="H1060" s="333">
        <f>$H$5*G1060</f>
      </c>
      <c r="I1060" s="333">
        <f>$I$5*G1060</f>
      </c>
      <c r="J1060" s="333">
        <f>+I1060</f>
      </c>
      <c r="K1060" s="333">
        <f>(1+$O$5)^(D1060/12)*(H1060+IF(AND(F1060=1,F1061=0),$S$4,0))</f>
      </c>
      <c r="L1060" s="333">
        <f>(1+$O$5)^(D1060/12)*(I1060+IF(AND(F1060=1,F1061=0),0))</f>
      </c>
      <c r="M1060" s="333">
        <f>+L1060</f>
      </c>
      <c r="N1060" s="333">
        <f>L1060+K1060+M1060</f>
      </c>
      <c r="O1060" s="170"/>
      <c r="P1060" s="7"/>
      <c r="Q1060" s="1"/>
      <c r="R1060" s="331">
        <f>D1060</f>
      </c>
      <c r="S1060" s="169"/>
      <c r="T1060" s="1"/>
      <c r="U1060" s="217"/>
      <c r="V1060" s="331">
        <f>+IF(V1059=11,12,IF(V1059=12,1,V1059+1))</f>
      </c>
      <c r="W1060" s="331">
        <f>+W1059+IF(V1059=12,1,0)</f>
      </c>
      <c r="X1060" s="555">
        <f>+DATE(W1060,V1060,1)</f>
        <v>25569.041666666668</v>
      </c>
      <c r="Y1060" s="333">
        <f>+_xlfn.IFNA(AN1060+AS1060+AX1060,0)</f>
      </c>
      <c r="Z1060" s="333">
        <f>+_xlfn.IFNA(AO1060+AT1060+AY1060,0)</f>
      </c>
      <c r="AA1060" s="333">
        <f>Y1060*(1+$O$5)^(($B$7-X1060)/365.25)</f>
      </c>
      <c r="AB1060" s="333">
        <f>Z1060*(1+$O$5)^(($B$7-X1060)/365.25)</f>
      </c>
      <c r="AC1060" s="1"/>
      <c r="AD1060" s="1"/>
      <c r="AE1060" s="1"/>
      <c r="AF1060" s="111">
        <f>+MONTH(E1060)&amp;YEAR(E1060)</f>
      </c>
      <c r="AG1060" s="217">
        <f>+I1060</f>
      </c>
      <c r="AH1060" s="217">
        <f>+J1060</f>
      </c>
      <c r="AI1060" s="217">
        <f>+H1060</f>
      </c>
      <c r="AJ1060" s="111">
        <f>+V1060&amp;W1060</f>
      </c>
      <c r="AK1060" s="217">
        <f>+_xlfn.IFNA(VLOOKUP(AJ1060,$AF$7:$AG$1066,2,0),0)</f>
      </c>
      <c r="AL1060" s="217">
        <f>+IF(W1060&gt;W1059,AK1060,AL1059+AK1060)</f>
      </c>
      <c r="AM1060" s="217">
        <f>IF(W1060&gt;W1059,IF(AL1060&gt;=$AZ$8,$AZ$8,AL1060),IF(OR(AM1059=$AZ$8,AM1059=0),0,IF(AL1060&gt;=$AZ$8,$AZ$8,AL1060)))</f>
      </c>
      <c r="AN1060" s="748">
        <f>+IF(OR(AM1060&gt;AZ1059,AM1060=0),0,IF(AM1060=AL1060,AK1060,$AZ$7-AL1059))</f>
      </c>
      <c r="AO1060" s="748">
        <f>+AK1060-AN1060</f>
      </c>
      <c r="AP1060" s="217">
        <f>+_xlfn.IFNA(VLOOKUP(AJ1060,$AF$7:$AI$1066,3,0),0)</f>
      </c>
      <c r="AQ1060" s="217">
        <f>+IF(W1060&gt;W1059,AP1060,AQ1059+AP1060)</f>
      </c>
      <c r="AR1060" s="217">
        <f>+MAX($AM$2-SUMIF($W$7:$W$1066,W1060,$AN$7:$AN$1066),0)</f>
      </c>
      <c r="AS1060" s="748">
        <f>+MAX(IF(AQ1060&gt;AR1060,AR1060-AQ1059,AP1060),0)</f>
      </c>
      <c r="AT1060" s="748">
        <f>+AP1060-AS1060</f>
      </c>
      <c r="AU1060" s="217">
        <f>+_xlfn.IFNA(VLOOKUP(AJ1060,$AF$7:$AI$1066,4,0),0)</f>
      </c>
      <c r="AV1060" s="217">
        <f>+IF(W1060&gt;W1059,AU1060,AV1059+AU1060)</f>
      </c>
      <c r="AW1060" s="217">
        <f>+MAX($AM$2-SUMIF($W$7:$W$1066,W1060,$AN$7:$AN$1066)-SUMIF($W$7:$W$1066,W1060,$AS$7:$AS$1066),0)</f>
      </c>
      <c r="AX1060" s="748">
        <f>+MAX(IF(AV1060&gt;AW1060,AW1060-AV1059,AU1060),0)</f>
      </c>
      <c r="AY1060" s="748">
        <f>+AU1060-AX1060</f>
      </c>
      <c r="AZ1060" s="331">
        <f>+$AM$1+IF($AP$1&gt;$AP$2,$AM$3/2)</f>
      </c>
    </row>
    <row x14ac:dyDescent="0.25" r="1061" customHeight="1" ht="18.75">
      <c r="A1061" s="1"/>
      <c r="B1061" s="7"/>
      <c r="C1061" s="170"/>
      <c r="D1061" s="331">
        <v>1054</v>
      </c>
      <c r="E1061" s="544">
        <f>+DATE(YEAR(E1060),MONTH(E1060)-1,DAY(E1060))</f>
        <v>25569.041666666668</v>
      </c>
      <c r="F1061" s="333">
        <f>IF(DATE(YEAR($B$6),MONTH($B$6)+1,DAY(1))=E1061,1,IF(MONTH(E1061)=1,F1062*(1+$F$5),F1062))</f>
      </c>
      <c r="G1061" s="333">
        <f>IF('Simulador - 1º Pilar'!$E$99="Sí",IF('Aportaciones PPE'!$B$13&lt;'Aportaciones PPE'!E1061,0,F1061*$B$8/12),F1061*$B$8/12)</f>
      </c>
      <c r="H1061" s="333">
        <f>$H$5*G1061</f>
      </c>
      <c r="I1061" s="333">
        <f>$I$5*G1061</f>
      </c>
      <c r="J1061" s="333">
        <f>+I1061</f>
      </c>
      <c r="K1061" s="333">
        <f>(1+$O$5)^(D1061/12)*(H1061+IF(AND(F1061=1,F1062=0),$S$4,0))</f>
      </c>
      <c r="L1061" s="333">
        <f>(1+$O$5)^(D1061/12)*(I1061+IF(AND(F1061=1,F1062=0),0))</f>
      </c>
      <c r="M1061" s="333">
        <f>+L1061</f>
      </c>
      <c r="N1061" s="333">
        <f>L1061+K1061+M1061</f>
      </c>
      <c r="O1061" s="170"/>
      <c r="P1061" s="7"/>
      <c r="Q1061" s="1"/>
      <c r="R1061" s="331">
        <f>D1061</f>
      </c>
      <c r="S1061" s="169"/>
      <c r="T1061" s="1"/>
      <c r="U1061" s="217"/>
      <c r="V1061" s="331">
        <f>+IF(V1060=11,12,IF(V1060=12,1,V1060+1))</f>
      </c>
      <c r="W1061" s="331">
        <f>+W1060+IF(V1060=12,1,0)</f>
      </c>
      <c r="X1061" s="555">
        <f>+DATE(W1061,V1061,1)</f>
        <v>25569.041666666668</v>
      </c>
      <c r="Y1061" s="333">
        <f>+_xlfn.IFNA(AN1061+AS1061+AX1061,0)</f>
      </c>
      <c r="Z1061" s="333">
        <f>+_xlfn.IFNA(AO1061+AT1061+AY1061,0)</f>
      </c>
      <c r="AA1061" s="333">
        <f>Y1061*(1+$O$5)^(($B$7-X1061)/365.25)</f>
      </c>
      <c r="AB1061" s="333">
        <f>Z1061*(1+$O$5)^(($B$7-X1061)/365.25)</f>
      </c>
      <c r="AC1061" s="1"/>
      <c r="AD1061" s="1"/>
      <c r="AE1061" s="1"/>
      <c r="AF1061" s="111">
        <f>+MONTH(E1061)&amp;YEAR(E1061)</f>
      </c>
      <c r="AG1061" s="217">
        <f>+I1061</f>
      </c>
      <c r="AH1061" s="217">
        <f>+J1061</f>
      </c>
      <c r="AI1061" s="217">
        <f>+H1061</f>
      </c>
      <c r="AJ1061" s="111">
        <f>+V1061&amp;W1061</f>
      </c>
      <c r="AK1061" s="217">
        <f>+_xlfn.IFNA(VLOOKUP(AJ1061,$AF$7:$AG$1066,2,0),0)</f>
      </c>
      <c r="AL1061" s="217">
        <f>+IF(W1061&gt;W1060,AK1061,AL1060+AK1061)</f>
      </c>
      <c r="AM1061" s="217">
        <f>IF(W1061&gt;W1060,IF(AL1061&gt;=$AZ$8,$AZ$8,AL1061),IF(OR(AM1060=$AZ$8,AM1060=0),0,IF(AL1061&gt;=$AZ$8,$AZ$8,AL1061)))</f>
      </c>
      <c r="AN1061" s="748">
        <f>+IF(OR(AM1061&gt;AZ1060,AM1061=0),0,IF(AM1061=AL1061,AK1061,$AZ$7-AL1060))</f>
      </c>
      <c r="AO1061" s="748">
        <f>+AK1061-AN1061</f>
      </c>
      <c r="AP1061" s="217">
        <f>+_xlfn.IFNA(VLOOKUP(AJ1061,$AF$7:$AI$1066,3,0),0)</f>
      </c>
      <c r="AQ1061" s="217">
        <f>+IF(W1061&gt;W1060,AP1061,AQ1060+AP1061)</f>
      </c>
      <c r="AR1061" s="217">
        <f>+MAX($AM$2-SUMIF($W$7:$W$1066,W1061,$AN$7:$AN$1066),0)</f>
      </c>
      <c r="AS1061" s="748">
        <f>+MAX(IF(AQ1061&gt;AR1061,AR1061-AQ1060,AP1061),0)</f>
      </c>
      <c r="AT1061" s="748">
        <f>+AP1061-AS1061</f>
      </c>
      <c r="AU1061" s="217">
        <f>+_xlfn.IFNA(VLOOKUP(AJ1061,$AF$7:$AI$1066,4,0),0)</f>
      </c>
      <c r="AV1061" s="217">
        <f>+IF(W1061&gt;W1060,AU1061,AV1060+AU1061)</f>
      </c>
      <c r="AW1061" s="217">
        <f>+MAX($AM$2-SUMIF($W$7:$W$1066,W1061,$AN$7:$AN$1066)-SUMIF($W$7:$W$1066,W1061,$AS$7:$AS$1066),0)</f>
      </c>
      <c r="AX1061" s="748">
        <f>+MAX(IF(AV1061&gt;AW1061,AW1061-AV1060,AU1061),0)</f>
      </c>
      <c r="AY1061" s="748">
        <f>+AU1061-AX1061</f>
      </c>
      <c r="AZ1061" s="331">
        <f>+$AM$1+IF($AP$1&gt;$AP$2,$AM$3/2)</f>
      </c>
    </row>
    <row x14ac:dyDescent="0.25" r="1062" customHeight="1" ht="18.75">
      <c r="A1062" s="1"/>
      <c r="B1062" s="7"/>
      <c r="C1062" s="170"/>
      <c r="D1062" s="331">
        <v>1055</v>
      </c>
      <c r="E1062" s="544">
        <f>+DATE(YEAR(E1061),MONTH(E1061)-1,DAY(E1061))</f>
        <v>25569.041666666668</v>
      </c>
      <c r="F1062" s="333">
        <f>IF(DATE(YEAR($B$6),MONTH($B$6)+1,DAY(1))=E1062,1,IF(MONTH(E1062)=1,F1063*(1+$F$5),F1063))</f>
      </c>
      <c r="G1062" s="333">
        <f>IF('Simulador - 1º Pilar'!$E$99="Sí",IF('Aportaciones PPE'!$B$13&lt;'Aportaciones PPE'!E1062,0,F1062*$B$8/12),F1062*$B$8/12)</f>
      </c>
      <c r="H1062" s="333">
        <f>$H$5*G1062</f>
      </c>
      <c r="I1062" s="333">
        <f>$I$5*G1062</f>
      </c>
      <c r="J1062" s="333">
        <f>+I1062</f>
      </c>
      <c r="K1062" s="333">
        <f>(1+$O$5)^(D1062/12)*(H1062+IF(AND(F1062=1,F1063=0),$S$4,0))</f>
      </c>
      <c r="L1062" s="333">
        <f>(1+$O$5)^(D1062/12)*(I1062+IF(AND(F1062=1,F1063=0),0))</f>
      </c>
      <c r="M1062" s="333">
        <f>+L1062</f>
      </c>
      <c r="N1062" s="333">
        <f>L1062+K1062+M1062</f>
      </c>
      <c r="O1062" s="170"/>
      <c r="P1062" s="7"/>
      <c r="Q1062" s="1"/>
      <c r="R1062" s="331">
        <f>D1062</f>
      </c>
      <c r="S1062" s="169"/>
      <c r="T1062" s="1"/>
      <c r="U1062" s="217"/>
      <c r="V1062" s="331">
        <f>+IF(V1061=11,12,IF(V1061=12,1,V1061+1))</f>
      </c>
      <c r="W1062" s="331">
        <f>+W1061+IF(V1061=12,1,0)</f>
      </c>
      <c r="X1062" s="555">
        <f>+DATE(W1062,V1062,1)</f>
        <v>25569.041666666668</v>
      </c>
      <c r="Y1062" s="333">
        <f>+_xlfn.IFNA(AN1062+AS1062+AX1062,0)</f>
      </c>
      <c r="Z1062" s="333">
        <f>+_xlfn.IFNA(AO1062+AT1062+AY1062,0)</f>
      </c>
      <c r="AA1062" s="333">
        <f>Y1062*(1+$O$5)^(($B$7-X1062)/365.25)</f>
      </c>
      <c r="AB1062" s="333">
        <f>Z1062*(1+$O$5)^(($B$7-X1062)/365.25)</f>
      </c>
      <c r="AC1062" s="1"/>
      <c r="AD1062" s="1"/>
      <c r="AE1062" s="1"/>
      <c r="AF1062" s="111">
        <f>+MONTH(E1062)&amp;YEAR(E1062)</f>
      </c>
      <c r="AG1062" s="217">
        <f>+I1062</f>
      </c>
      <c r="AH1062" s="217">
        <f>+J1062</f>
      </c>
      <c r="AI1062" s="217">
        <f>+H1062</f>
      </c>
      <c r="AJ1062" s="111">
        <f>+V1062&amp;W1062</f>
      </c>
      <c r="AK1062" s="217">
        <f>+_xlfn.IFNA(VLOOKUP(AJ1062,$AF$7:$AG$1066,2,0),0)</f>
      </c>
      <c r="AL1062" s="217">
        <f>+IF(W1062&gt;W1061,AK1062,AL1061+AK1062)</f>
      </c>
      <c r="AM1062" s="217">
        <f>IF(W1062&gt;W1061,IF(AL1062&gt;=$AZ$8,$AZ$8,AL1062),IF(OR(AM1061=$AZ$8,AM1061=0),0,IF(AL1062&gt;=$AZ$8,$AZ$8,AL1062)))</f>
      </c>
      <c r="AN1062" s="748">
        <f>+IF(OR(AM1062&gt;AZ1061,AM1062=0),0,IF(AM1062=AL1062,AK1062,$AZ$7-AL1061))</f>
      </c>
      <c r="AO1062" s="748">
        <f>+AK1062-AN1062</f>
      </c>
      <c r="AP1062" s="217">
        <f>+_xlfn.IFNA(VLOOKUP(AJ1062,$AF$7:$AI$1066,3,0),0)</f>
      </c>
      <c r="AQ1062" s="217">
        <f>+IF(W1062&gt;W1061,AP1062,AQ1061+AP1062)</f>
      </c>
      <c r="AR1062" s="217">
        <f>+MAX($AM$2-SUMIF($W$7:$W$1066,W1062,$AN$7:$AN$1066),0)</f>
      </c>
      <c r="AS1062" s="748">
        <f>+MAX(IF(AQ1062&gt;AR1062,AR1062-AQ1061,AP1062),0)</f>
      </c>
      <c r="AT1062" s="748">
        <f>+AP1062-AS1062</f>
      </c>
      <c r="AU1062" s="217">
        <f>+_xlfn.IFNA(VLOOKUP(AJ1062,$AF$7:$AI$1066,4,0),0)</f>
      </c>
      <c r="AV1062" s="217">
        <f>+IF(W1062&gt;W1061,AU1062,AV1061+AU1062)</f>
      </c>
      <c r="AW1062" s="217">
        <f>+MAX($AM$2-SUMIF($W$7:$W$1066,W1062,$AN$7:$AN$1066)-SUMIF($W$7:$W$1066,W1062,$AS$7:$AS$1066),0)</f>
      </c>
      <c r="AX1062" s="748">
        <f>+MAX(IF(AV1062&gt;AW1062,AW1062-AV1061,AU1062),0)</f>
      </c>
      <c r="AY1062" s="748">
        <f>+AU1062-AX1062</f>
      </c>
      <c r="AZ1062" s="331">
        <f>+$AM$1+IF($AP$1&gt;$AP$2,$AM$3/2)</f>
      </c>
    </row>
    <row x14ac:dyDescent="0.25" r="1063" customHeight="1" ht="18.75">
      <c r="A1063" s="1"/>
      <c r="B1063" s="7"/>
      <c r="C1063" s="170"/>
      <c r="D1063" s="331">
        <v>1056</v>
      </c>
      <c r="E1063" s="544">
        <f>+DATE(YEAR(E1062),MONTH(E1062)-1,DAY(E1062))</f>
        <v>25569.041666666668</v>
      </c>
      <c r="F1063" s="333">
        <f>IF(DATE(YEAR($B$6),MONTH($B$6)+1,DAY(1))=E1063,1,IF(MONTH(E1063)=1,F1064*(1+$F$5),F1064))</f>
      </c>
      <c r="G1063" s="333">
        <f>IF('Simulador - 1º Pilar'!$E$99="Sí",IF('Aportaciones PPE'!$B$13&lt;'Aportaciones PPE'!E1063,0,F1063*$B$8/12),F1063*$B$8/12)</f>
      </c>
      <c r="H1063" s="333">
        <f>$H$5*G1063</f>
      </c>
      <c r="I1063" s="333">
        <f>$I$5*G1063</f>
      </c>
      <c r="J1063" s="333">
        <f>+I1063</f>
      </c>
      <c r="K1063" s="333">
        <f>(1+$O$5)^(D1063/12)*(H1063+IF(AND(F1063=1,F1064=0),$S$4,0))</f>
      </c>
      <c r="L1063" s="333">
        <f>(1+$O$5)^(D1063/12)*(I1063+IF(AND(F1063=1,F1064=0),0))</f>
      </c>
      <c r="M1063" s="333">
        <f>+L1063</f>
      </c>
      <c r="N1063" s="333">
        <f>L1063+K1063+M1063</f>
      </c>
      <c r="O1063" s="170"/>
      <c r="P1063" s="7"/>
      <c r="Q1063" s="1"/>
      <c r="R1063" s="331">
        <f>D1063</f>
      </c>
      <c r="S1063" s="169"/>
      <c r="T1063" s="1"/>
      <c r="U1063" s="217"/>
      <c r="V1063" s="331">
        <f>+IF(V1062=11,12,IF(V1062=12,1,V1062+1))</f>
      </c>
      <c r="W1063" s="331">
        <f>+W1062+IF(V1062=12,1,0)</f>
      </c>
      <c r="X1063" s="555">
        <f>+DATE(W1063,V1063,1)</f>
        <v>25569.041666666668</v>
      </c>
      <c r="Y1063" s="333">
        <f>+_xlfn.IFNA(AN1063+AS1063+AX1063,0)</f>
      </c>
      <c r="Z1063" s="333">
        <f>+_xlfn.IFNA(AO1063+AT1063+AY1063,0)</f>
      </c>
      <c r="AA1063" s="333">
        <f>Y1063*(1+$O$5)^(($B$7-X1063)/365.25)</f>
      </c>
      <c r="AB1063" s="333">
        <f>Z1063*(1+$O$5)^(($B$7-X1063)/365.25)</f>
      </c>
      <c r="AC1063" s="1"/>
      <c r="AD1063" s="1"/>
      <c r="AE1063" s="1"/>
      <c r="AF1063" s="111">
        <f>+MONTH(E1063)&amp;YEAR(E1063)</f>
      </c>
      <c r="AG1063" s="217">
        <f>+I1063</f>
      </c>
      <c r="AH1063" s="217">
        <f>+J1063</f>
      </c>
      <c r="AI1063" s="217">
        <f>+H1063</f>
      </c>
      <c r="AJ1063" s="111">
        <f>+V1063&amp;W1063</f>
      </c>
      <c r="AK1063" s="217">
        <f>+_xlfn.IFNA(VLOOKUP(AJ1063,$AF$7:$AG$1066,2,0),0)</f>
      </c>
      <c r="AL1063" s="217">
        <f>+IF(W1063&gt;W1062,AK1063,AL1062+AK1063)</f>
      </c>
      <c r="AM1063" s="217">
        <f>IF(W1063&gt;W1062,IF(AL1063&gt;=$AZ$8,$AZ$8,AL1063),IF(OR(AM1062=$AZ$8,AM1062=0),0,IF(AL1063&gt;=$AZ$8,$AZ$8,AL1063)))</f>
      </c>
      <c r="AN1063" s="748">
        <f>+IF(OR(AM1063&gt;AZ1062,AM1063=0),0,IF(AM1063=AL1063,AK1063,$AZ$7-AL1062))</f>
      </c>
      <c r="AO1063" s="748">
        <f>+AK1063-AN1063</f>
      </c>
      <c r="AP1063" s="217">
        <f>+_xlfn.IFNA(VLOOKUP(AJ1063,$AF$7:$AI$1066,3,0),0)</f>
      </c>
      <c r="AQ1063" s="217">
        <f>+IF(W1063&gt;W1062,AP1063,AQ1062+AP1063)</f>
      </c>
      <c r="AR1063" s="217">
        <f>+MAX($AM$2-SUMIF($W$7:$W$1066,W1063,$AN$7:$AN$1066),0)</f>
      </c>
      <c r="AS1063" s="748">
        <f>+MAX(IF(AQ1063&gt;AR1063,AR1063-AQ1062,AP1063),0)</f>
      </c>
      <c r="AT1063" s="748">
        <f>+AP1063-AS1063</f>
      </c>
      <c r="AU1063" s="217">
        <f>+_xlfn.IFNA(VLOOKUP(AJ1063,$AF$7:$AI$1066,4,0),0)</f>
      </c>
      <c r="AV1063" s="217">
        <f>+IF(W1063&gt;W1062,AU1063,AV1062+AU1063)</f>
      </c>
      <c r="AW1063" s="217">
        <f>+MAX($AM$2-SUMIF($W$7:$W$1066,W1063,$AN$7:$AN$1066)-SUMIF($W$7:$W$1066,W1063,$AS$7:$AS$1066),0)</f>
      </c>
      <c r="AX1063" s="748">
        <f>+MAX(IF(AV1063&gt;AW1063,AW1063-AV1062,AU1063),0)</f>
      </c>
      <c r="AY1063" s="748">
        <f>+AU1063-AX1063</f>
      </c>
      <c r="AZ1063" s="331">
        <f>+$AM$1+IF($AP$1&gt;$AP$2,$AM$3/2)</f>
      </c>
    </row>
    <row x14ac:dyDescent="0.25" r="1064" customHeight="1" ht="18.75">
      <c r="A1064" s="1"/>
      <c r="B1064" s="7"/>
      <c r="C1064" s="170"/>
      <c r="D1064" s="331">
        <v>1057</v>
      </c>
      <c r="E1064" s="544">
        <f>+DATE(YEAR(E1063),MONTH(E1063)-1,DAY(E1063))</f>
        <v>25569.041666666668</v>
      </c>
      <c r="F1064" s="333">
        <f>IF(DATE(YEAR($B$6),MONTH($B$6)+1,DAY(1))=E1064,1,IF(MONTH(E1064)=1,F1065*(1+$F$5),F1065))</f>
      </c>
      <c r="G1064" s="333">
        <f>IF('Simulador - 1º Pilar'!$E$99="Sí",IF('Aportaciones PPE'!$B$13&lt;'Aportaciones PPE'!E1064,0,F1064*$B$8/12),F1064*$B$8/12)</f>
      </c>
      <c r="H1064" s="333">
        <f>$H$5*G1064</f>
      </c>
      <c r="I1064" s="333">
        <f>$I$5*G1064</f>
      </c>
      <c r="J1064" s="333">
        <f>+I1064</f>
      </c>
      <c r="K1064" s="333">
        <f>(1+$O$5)^(D1064/12)*(H1064+IF(AND(F1064=1,F1065=0),$S$4,0))</f>
      </c>
      <c r="L1064" s="333">
        <f>(1+$O$5)^(D1064/12)*(I1064+IF(AND(F1064=1,F1065=0),0))</f>
      </c>
      <c r="M1064" s="333">
        <f>+L1064</f>
      </c>
      <c r="N1064" s="333">
        <f>L1064+K1064+M1064</f>
      </c>
      <c r="O1064" s="170"/>
      <c r="P1064" s="7"/>
      <c r="Q1064" s="1"/>
      <c r="R1064" s="331">
        <f>D1064</f>
      </c>
      <c r="S1064" s="169"/>
      <c r="T1064" s="1"/>
      <c r="U1064" s="217"/>
      <c r="V1064" s="331">
        <f>+IF(V1063=11,12,IF(V1063=12,1,V1063+1))</f>
      </c>
      <c r="W1064" s="331">
        <f>+W1063+IF(V1063=12,1,0)</f>
      </c>
      <c r="X1064" s="555">
        <f>+DATE(W1064,V1064,1)</f>
        <v>25569.041666666668</v>
      </c>
      <c r="Y1064" s="333">
        <f>+_xlfn.IFNA(AN1064+AS1064+AX1064,0)</f>
      </c>
      <c r="Z1064" s="333">
        <f>+_xlfn.IFNA(AO1064+AT1064+AY1064,0)</f>
      </c>
      <c r="AA1064" s="333">
        <f>Y1064*(1+$O$5)^(($B$7-X1064)/365.25)</f>
      </c>
      <c r="AB1064" s="333">
        <f>Z1064*(1+$O$5)^(($B$7-X1064)/365.25)</f>
      </c>
      <c r="AC1064" s="1"/>
      <c r="AD1064" s="1"/>
      <c r="AE1064" s="1"/>
      <c r="AF1064" s="111">
        <f>+MONTH(E1064)&amp;YEAR(E1064)</f>
      </c>
      <c r="AG1064" s="217">
        <f>+I1064</f>
      </c>
      <c r="AH1064" s="217">
        <f>+J1064</f>
      </c>
      <c r="AI1064" s="217">
        <f>+H1064</f>
      </c>
      <c r="AJ1064" s="111">
        <f>+V1064&amp;W1064</f>
      </c>
      <c r="AK1064" s="217">
        <f>+_xlfn.IFNA(VLOOKUP(AJ1064,$AF$7:$AG$1066,2,0),0)</f>
      </c>
      <c r="AL1064" s="217">
        <f>+IF(W1064&gt;W1063,AK1064,AL1063+AK1064)</f>
      </c>
      <c r="AM1064" s="217">
        <f>IF(W1064&gt;W1063,IF(AL1064&gt;=$AZ$8,$AZ$8,AL1064),IF(OR(AM1063=$AZ$8,AM1063=0),0,IF(AL1064&gt;=$AZ$8,$AZ$8,AL1064)))</f>
      </c>
      <c r="AN1064" s="748">
        <f>+IF(OR(AM1064&gt;AZ1063,AM1064=0),0,IF(AM1064=AL1064,AK1064,$AZ$7-AL1063))</f>
      </c>
      <c r="AO1064" s="748">
        <f>+AK1064-AN1064</f>
      </c>
      <c r="AP1064" s="217">
        <f>+_xlfn.IFNA(VLOOKUP(AJ1064,$AF$7:$AI$1066,3,0),0)</f>
      </c>
      <c r="AQ1064" s="217">
        <f>+IF(W1064&gt;W1063,AP1064,AQ1063+AP1064)</f>
      </c>
      <c r="AR1064" s="217">
        <f>+MAX($AM$2-SUMIF($W$7:$W$1066,W1064,$AN$7:$AN$1066),0)</f>
      </c>
      <c r="AS1064" s="748">
        <f>+MAX(IF(AQ1064&gt;AR1064,AR1064-AQ1063,AP1064),0)</f>
      </c>
      <c r="AT1064" s="748">
        <f>+AP1064-AS1064</f>
      </c>
      <c r="AU1064" s="217">
        <f>+_xlfn.IFNA(VLOOKUP(AJ1064,$AF$7:$AI$1066,4,0),0)</f>
      </c>
      <c r="AV1064" s="217">
        <f>+IF(W1064&gt;W1063,AU1064,AV1063+AU1064)</f>
      </c>
      <c r="AW1064" s="217">
        <f>+MAX($AM$2-SUMIF($W$7:$W$1066,W1064,$AN$7:$AN$1066)-SUMIF($W$7:$W$1066,W1064,$AS$7:$AS$1066),0)</f>
      </c>
      <c r="AX1064" s="748">
        <f>+MAX(IF(AV1064&gt;AW1064,AW1064-AV1063,AU1064),0)</f>
      </c>
      <c r="AY1064" s="748">
        <f>+AU1064-AX1064</f>
      </c>
      <c r="AZ1064" s="331">
        <f>+$AM$1+IF($AP$1&gt;$AP$2,$AM$3/2)</f>
      </c>
    </row>
    <row x14ac:dyDescent="0.25" r="1065" customHeight="1" ht="18.75">
      <c r="A1065" s="1"/>
      <c r="B1065" s="7"/>
      <c r="C1065" s="170"/>
      <c r="D1065" s="331">
        <v>1058</v>
      </c>
      <c r="E1065" s="544">
        <f>+DATE(YEAR(E1064),MONTH(E1064)-1,DAY(E1064))</f>
        <v>25569.041666666668</v>
      </c>
      <c r="F1065" s="333">
        <f>IF(DATE(YEAR($B$6),MONTH($B$6)+1,DAY(1))=E1065,1,IF(MONTH(E1065)=1,F1066*(1+$F$5),F1066))</f>
      </c>
      <c r="G1065" s="333">
        <f>IF('Simulador - 1º Pilar'!$E$99="Sí",IF('Aportaciones PPE'!$B$13&lt;'Aportaciones PPE'!E1065,0,F1065*$B$8/12),F1065*$B$8/12)</f>
      </c>
      <c r="H1065" s="333">
        <f>$H$5*G1065</f>
      </c>
      <c r="I1065" s="333">
        <f>$I$5*G1065</f>
      </c>
      <c r="J1065" s="333">
        <f>+I1065</f>
      </c>
      <c r="K1065" s="333">
        <f>(1+$O$5)^(D1065/12)*(H1065+IF(AND(F1065=1,F1066=0),$S$4,0))</f>
      </c>
      <c r="L1065" s="333">
        <f>(1+$O$5)^(D1065/12)*(I1065+IF(AND(F1065=1,F1066=0),0))</f>
      </c>
      <c r="M1065" s="333">
        <f>+L1065</f>
      </c>
      <c r="N1065" s="333">
        <f>L1065+K1065+M1065</f>
      </c>
      <c r="O1065" s="170"/>
      <c r="P1065" s="7"/>
      <c r="Q1065" s="1"/>
      <c r="R1065" s="331">
        <f>D1065</f>
      </c>
      <c r="S1065" s="169"/>
      <c r="T1065" s="1"/>
      <c r="U1065" s="217"/>
      <c r="V1065" s="331">
        <f>+IF(V1064=11,12,IF(V1064=12,1,V1064+1))</f>
      </c>
      <c r="W1065" s="331">
        <f>+W1064+IF(V1064=12,1,0)</f>
      </c>
      <c r="X1065" s="555">
        <f>+DATE(W1065,V1065,1)</f>
        <v>25569.041666666668</v>
      </c>
      <c r="Y1065" s="333">
        <f>+_xlfn.IFNA(AN1065+AS1065+AX1065,0)</f>
      </c>
      <c r="Z1065" s="333">
        <f>+_xlfn.IFNA(AO1065+AT1065+AY1065,0)</f>
      </c>
      <c r="AA1065" s="333">
        <f>Y1065*(1+$O$5)^(($B$7-X1065)/365.25)</f>
      </c>
      <c r="AB1065" s="333">
        <f>Z1065*(1+$O$5)^(($B$7-X1065)/365.25)</f>
      </c>
      <c r="AC1065" s="1"/>
      <c r="AD1065" s="1"/>
      <c r="AE1065" s="1"/>
      <c r="AF1065" s="111">
        <f>+MONTH(E1065)&amp;YEAR(E1065)</f>
      </c>
      <c r="AG1065" s="217">
        <f>+I1065</f>
      </c>
      <c r="AH1065" s="217">
        <f>+J1065</f>
      </c>
      <c r="AI1065" s="217">
        <f>+H1065</f>
      </c>
      <c r="AJ1065" s="111">
        <f>+V1065&amp;W1065</f>
      </c>
      <c r="AK1065" s="217">
        <f>+_xlfn.IFNA(VLOOKUP(AJ1065,$AF$7:$AG$1066,2,0),0)</f>
      </c>
      <c r="AL1065" s="217">
        <f>+IF(W1065&gt;W1064,AK1065,AL1064+AK1065)</f>
      </c>
      <c r="AM1065" s="217">
        <f>IF(W1065&gt;W1064,IF(AL1065&gt;=$AZ$8,$AZ$8,AL1065),IF(OR(AM1064=$AZ$8,AM1064=0),0,IF(AL1065&gt;=$AZ$8,$AZ$8,AL1065)))</f>
      </c>
      <c r="AN1065" s="748">
        <f>+IF(OR(AM1065&gt;AZ1064,AM1065=0),0,IF(AM1065=AL1065,AK1065,$AZ$7-AL1064))</f>
      </c>
      <c r="AO1065" s="748">
        <f>+AK1065-AN1065</f>
      </c>
      <c r="AP1065" s="217">
        <f>+_xlfn.IFNA(VLOOKUP(AJ1065,$AF$7:$AI$1066,3,0),0)</f>
      </c>
      <c r="AQ1065" s="217">
        <f>+IF(W1065&gt;W1064,AP1065,AQ1064+AP1065)</f>
      </c>
      <c r="AR1065" s="217">
        <f>+MAX($AM$2-SUMIF($W$7:$W$1066,W1065,$AN$7:$AN$1066),0)</f>
      </c>
      <c r="AS1065" s="748">
        <f>+MAX(IF(AQ1065&gt;AR1065,AR1065-AQ1064,AP1065),0)</f>
      </c>
      <c r="AT1065" s="748">
        <f>+AP1065-AS1065</f>
      </c>
      <c r="AU1065" s="217">
        <f>+_xlfn.IFNA(VLOOKUP(AJ1065,$AF$7:$AI$1066,4,0),0)</f>
      </c>
      <c r="AV1065" s="217">
        <f>+IF(W1065&gt;W1064,AU1065,AV1064+AU1065)</f>
      </c>
      <c r="AW1065" s="217">
        <f>+MAX($AM$2-SUMIF($W$7:$W$1066,W1065,$AN$7:$AN$1066)-SUMIF($W$7:$W$1066,W1065,$AS$7:$AS$1066),0)</f>
      </c>
      <c r="AX1065" s="748">
        <f>+MAX(IF(AV1065&gt;AW1065,AW1065-AV1064,AU1065),0)</f>
      </c>
      <c r="AY1065" s="748">
        <f>+AU1065-AX1065</f>
      </c>
      <c r="AZ1065" s="331">
        <f>+$AM$1+IF($AP$1&gt;$AP$2,$AM$3/2)</f>
      </c>
    </row>
    <row x14ac:dyDescent="0.25" r="1066" customHeight="1" ht="18.75">
      <c r="A1066" s="1"/>
      <c r="B1066" s="7"/>
      <c r="C1066" s="170"/>
      <c r="D1066" s="331">
        <v>1059</v>
      </c>
      <c r="E1066" s="544">
        <f>+DATE(YEAR(E1065),MONTH(E1065)-1,DAY(E1065))</f>
        <v>25569.041666666668</v>
      </c>
      <c r="F1066" s="333">
        <f>IF(DATE(YEAR($B$6),MONTH($B$6)+1,DAY(1))=E1066,1,IF(MONTH(E1066)=1,F1067*(1+$F$5),F1067))</f>
      </c>
      <c r="G1066" s="333">
        <f>IF('Simulador - 1º Pilar'!$E$99="Sí",IF('Aportaciones PPE'!$B$13&lt;'Aportaciones PPE'!E1066,0,F1066*$B$8/12),F1066*$B$8/12)</f>
      </c>
      <c r="H1066" s="333">
        <f>$H$5*G1066</f>
      </c>
      <c r="I1066" s="333">
        <f>$I$5*G1066</f>
      </c>
      <c r="J1066" s="333">
        <f>+I1066</f>
      </c>
      <c r="K1066" s="333">
        <f>(1+$O$5)^(D1066/12)*(H1066+IF(AND(F1066=1,F1067=0),$S$4,0))</f>
      </c>
      <c r="L1066" s="333">
        <f>(1+$O$5)^(D1066/12)*(I1066+IF(AND(F1066=1,F1067=0),0))</f>
      </c>
      <c r="M1066" s="333">
        <f>+L1066</f>
      </c>
      <c r="N1066" s="333">
        <f>L1066+K1066+M1066</f>
      </c>
      <c r="O1066" s="170"/>
      <c r="P1066" s="7"/>
      <c r="Q1066" s="1"/>
      <c r="R1066" s="331">
        <f>D1066</f>
      </c>
      <c r="S1066" s="169"/>
      <c r="T1066" s="1"/>
      <c r="U1066" s="217"/>
      <c r="V1066" s="331">
        <f>+IF(V1065=11,12,IF(V1065=12,1,V1065+1))</f>
      </c>
      <c r="W1066" s="331">
        <f>+W1065+IF(V1065=12,1,0)</f>
      </c>
      <c r="X1066" s="555">
        <f>+DATE(W1066,V1066,1)</f>
        <v>25569.041666666668</v>
      </c>
      <c r="Y1066" s="333">
        <f>+_xlfn.IFNA(AN1066+AS1066+AX1066,0)</f>
      </c>
      <c r="Z1066" s="333">
        <f>+_xlfn.IFNA(AO1066+AT1066+AY1066,0)</f>
      </c>
      <c r="AA1066" s="333">
        <f>Y1066*(1+$O$5)^(($B$7-X1066)/365.25)</f>
      </c>
      <c r="AB1066" s="333">
        <f>Z1066*(1+$O$5)^(($B$7-X1066)/365.25)</f>
      </c>
      <c r="AC1066" s="1"/>
      <c r="AD1066" s="1"/>
      <c r="AE1066" s="1"/>
      <c r="AF1066" s="111">
        <f>+MONTH(E1066)&amp;YEAR(E1066)</f>
      </c>
      <c r="AG1066" s="217">
        <f>+I1066</f>
      </c>
      <c r="AH1066" s="217">
        <f>+J1066</f>
      </c>
      <c r="AI1066" s="217">
        <f>+H1066</f>
      </c>
      <c r="AJ1066" s="111">
        <f>+V1066&amp;W1066</f>
      </c>
      <c r="AK1066" s="217">
        <f>+_xlfn.IFNA(VLOOKUP(AJ1066,$AF$7:$AG$1066,2,0),0)</f>
      </c>
      <c r="AL1066" s="217">
        <f>+IF(W1066&gt;W1065,AK1066,AL1065+AK1066)</f>
      </c>
      <c r="AM1066" s="217">
        <f>IF(W1066&gt;W1065,IF(AL1066&gt;=$AZ$8,$AZ$8,AL1066),IF(OR(AM1065=$AZ$8,AM1065=0),0,IF(AL1066&gt;=$AZ$8,$AZ$8,AL1066)))</f>
      </c>
      <c r="AN1066" s="748">
        <f>+IF(OR(AM1066&gt;AZ1065,AM1066=0),0,IF(AM1066=AL1066,AK1066,$AZ$7-AL1065))</f>
      </c>
      <c r="AO1066" s="748">
        <f>+AK1066-AN1066</f>
      </c>
      <c r="AP1066" s="217">
        <f>+_xlfn.IFNA(VLOOKUP(AJ1066,$AF$7:$AI$1066,3,0),0)</f>
      </c>
      <c r="AQ1066" s="217">
        <f>+IF(W1066&gt;W1065,AP1066,AQ1065+AP1066)</f>
      </c>
      <c r="AR1066" s="217">
        <f>+MAX($AM$2-SUMIF($W$7:$W$1066,W1066,$AN$7:$AN$1066),0)</f>
      </c>
      <c r="AS1066" s="748">
        <f>+MAX(IF(AQ1066&gt;AR1066,AR1066-AQ1065,AP1066),0)</f>
      </c>
      <c r="AT1066" s="748">
        <f>+AP1066-AS1066</f>
      </c>
      <c r="AU1066" s="217">
        <f>+_xlfn.IFNA(VLOOKUP(AJ1066,$AF$7:$AI$1066,4,0),0)</f>
      </c>
      <c r="AV1066" s="217">
        <f>+IF(W1066&gt;W1065,AU1066,AV1065+AU1066)</f>
      </c>
      <c r="AW1066" s="217">
        <f>+MAX($AM$2-SUMIF($W$7:$W$1066,W1066,$AN$7:$AN$1066)-SUMIF($W$7:$W$1066,W1066,$AS$7:$AS$1066),0)</f>
      </c>
      <c r="AX1066" s="748">
        <f>+MAX(IF(AV1066&gt;AW1066,AW1066-AV1065,AU1066),0)</f>
      </c>
      <c r="AY1066" s="748">
        <f>+AU1066-AX1066</f>
      </c>
      <c r="AZ1066" s="331">
        <f>+$AM$1+IF($AP$1&gt;$AP$2,$AM$3/2)</f>
      </c>
    </row>
  </sheetData>
  <mergeCells count="4">
    <mergeCell ref="I4:J4"/>
    <mergeCell ref="AK5:AO5"/>
    <mergeCell ref="AP5:AT5"/>
    <mergeCell ref="AU5:AY5"/>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Q1066"/>
  <sheetViews>
    <sheetView workbookViewId="0"/>
  </sheetViews>
  <sheetFormatPr defaultRowHeight="15" x14ac:dyDescent="0.25"/>
  <cols>
    <col min="1" max="1" style="163" width="21.290714285714284" customWidth="1" bestFit="1"/>
    <col min="2" max="2" style="167" width="13.576428571428572" customWidth="1" bestFit="1"/>
    <col min="3" max="3" style="164" width="13.576428571428572" customWidth="1" bestFit="1"/>
    <col min="4" max="4" style="352" width="13.576428571428572" customWidth="1" bestFit="1"/>
    <col min="5" max="5" style="167" width="14.290714285714287" customWidth="1" bestFit="1"/>
    <col min="6" max="6" style="353" width="17.719285714285714" customWidth="1" bestFit="1"/>
    <col min="7" max="7" style="353" width="13.576428571428572" customWidth="1" bestFit="1"/>
    <col min="8" max="8" style="353" width="13.576428571428572" customWidth="1" bestFit="1"/>
    <col min="9" max="9" style="166" width="13.576428571428572" customWidth="1" bestFit="1"/>
    <col min="10" max="10" style="353" width="19.005" customWidth="1" bestFit="1"/>
    <col min="11" max="11" style="353" width="19.290714285714284" customWidth="1" bestFit="1"/>
    <col min="12" max="12" style="353" width="17.576428571428572" customWidth="1" bestFit="1"/>
    <col min="13" max="13" style="164" width="13.576428571428572" customWidth="1" bestFit="1"/>
    <col min="14" max="14" style="167" width="13.576428571428572" customWidth="1" bestFit="1"/>
    <col min="15" max="15" style="163" width="13.576428571428572" customWidth="1" bestFit="1"/>
    <col min="16" max="16" style="352" width="15.719285714285713" customWidth="1" bestFit="1"/>
    <col min="17" max="17" style="165" width="13.576428571428572" customWidth="1" bestFit="1"/>
  </cols>
  <sheetData>
    <row x14ac:dyDescent="0.25" r="1" customHeight="1" ht="18.75">
      <c r="A1" s="1"/>
      <c r="B1" s="7"/>
      <c r="C1" s="170"/>
      <c r="D1" s="320"/>
      <c r="E1" s="7"/>
      <c r="F1" s="321"/>
      <c r="G1" s="321"/>
      <c r="H1" s="321"/>
      <c r="I1" s="168"/>
      <c r="J1" s="321"/>
      <c r="K1" s="321"/>
      <c r="L1" s="321"/>
      <c r="M1" s="170"/>
      <c r="N1" s="7"/>
      <c r="O1" s="1"/>
      <c r="P1" s="320"/>
      <c r="Q1" s="169"/>
    </row>
    <row x14ac:dyDescent="0.25" r="2" customHeight="1" ht="18.75">
      <c r="A2" s="1"/>
      <c r="B2" s="7"/>
      <c r="C2" s="170"/>
      <c r="D2" s="320"/>
      <c r="E2" s="7"/>
      <c r="F2" s="321"/>
      <c r="G2" s="321"/>
      <c r="H2" s="321"/>
      <c r="I2" s="168"/>
      <c r="J2" s="321"/>
      <c r="K2" s="321"/>
      <c r="L2" s="321"/>
      <c r="M2" s="170"/>
      <c r="N2" s="7"/>
      <c r="O2" s="1"/>
      <c r="P2" s="320"/>
      <c r="Q2" s="169"/>
    </row>
    <row x14ac:dyDescent="0.25" r="3" customHeight="1" ht="18.75">
      <c r="A3" s="714" t="s">
        <v>266</v>
      </c>
      <c r="B3" s="715"/>
      <c r="C3" s="170"/>
      <c r="D3" s="320"/>
      <c r="E3" s="7"/>
      <c r="F3" s="321"/>
      <c r="G3" s="321"/>
      <c r="H3" s="321">
        <f>H4&amp;"% del salario pensionable"</f>
      </c>
      <c r="I3" s="168"/>
      <c r="J3" s="321"/>
      <c r="K3" s="321"/>
      <c r="L3" s="217"/>
      <c r="M3" s="170"/>
      <c r="N3" s="7"/>
      <c r="O3" s="1"/>
      <c r="P3" s="320"/>
      <c r="Q3" s="169"/>
    </row>
    <row x14ac:dyDescent="0.25" r="4" customHeight="1" ht="18.75">
      <c r="A4" s="1"/>
      <c r="B4" s="7"/>
      <c r="C4" s="170"/>
      <c r="D4" s="320"/>
      <c r="E4" s="7"/>
      <c r="F4" s="546" t="s">
        <v>187</v>
      </c>
      <c r="G4" s="321"/>
      <c r="H4" s="331">
        <f>H5*100</f>
      </c>
      <c r="I4" s="168" t="s">
        <v>276</v>
      </c>
      <c r="J4" s="321"/>
      <c r="K4" s="321"/>
      <c r="L4" s="717" t="s">
        <v>188</v>
      </c>
      <c r="M4" s="546" t="s">
        <v>113</v>
      </c>
      <c r="N4" s="7"/>
      <c r="O4" s="1"/>
      <c r="P4" s="688" t="s">
        <v>189</v>
      </c>
      <c r="Q4" s="332">
        <f>VLOOKUP('Simulador - Datos personales'!E5,BBDD!$C$5:$GF$34,8,0)</f>
      </c>
    </row>
    <row x14ac:dyDescent="0.25" r="5" customHeight="1" ht="18.75">
      <c r="A5" s="1"/>
      <c r="B5" s="7"/>
      <c r="C5" s="170"/>
      <c r="D5" s="320"/>
      <c r="E5" s="7"/>
      <c r="F5" s="551">
        <f>Hipótesis!E7</f>
      </c>
      <c r="G5" s="321"/>
      <c r="H5" s="725">
        <f>VLOOKUP('Simulador - Datos personales'!E5,BBDD!$C$5:$GF$34,10,0)</f>
      </c>
      <c r="I5" s="330">
        <v>0</v>
      </c>
      <c r="J5" s="351"/>
      <c r="K5" s="351"/>
      <c r="L5" s="722">
        <f>IF('Simulador - 1º Pilar'!$E$99="Sí",SUM(L7:L1066)*(1+$M$5)^(C14/12),SUM(L7:L1066))</f>
      </c>
      <c r="M5" s="551">
        <f>Hipótesis!E15</f>
      </c>
      <c r="N5" s="7"/>
      <c r="O5" s="1"/>
      <c r="P5" s="320"/>
      <c r="Q5" s="169"/>
    </row>
    <row x14ac:dyDescent="0.25" r="6" customHeight="1" ht="18.75">
      <c r="A6" s="339" t="s">
        <v>191</v>
      </c>
      <c r="B6" s="723">
        <f>+'Aportaciones PPE'!B6</f>
        <v>25569.041666666668</v>
      </c>
      <c r="C6" s="170"/>
      <c r="D6" s="320"/>
      <c r="E6" s="558" t="s">
        <v>186</v>
      </c>
      <c r="F6" s="547" t="s">
        <v>192</v>
      </c>
      <c r="G6" s="547" t="s">
        <v>193</v>
      </c>
      <c r="H6" s="717" t="s">
        <v>120</v>
      </c>
      <c r="I6" s="726" t="s">
        <v>277</v>
      </c>
      <c r="J6" s="717" t="s">
        <v>271</v>
      </c>
      <c r="K6" s="717" t="s">
        <v>278</v>
      </c>
      <c r="L6" s="717" t="s">
        <v>118</v>
      </c>
      <c r="M6" s="547" t="s">
        <v>197</v>
      </c>
      <c r="N6" s="7"/>
      <c r="O6" s="1"/>
      <c r="P6" s="320"/>
      <c r="Q6" s="169"/>
    </row>
    <row x14ac:dyDescent="0.25" r="7" customHeight="1" ht="18.75">
      <c r="A7" s="339" t="s">
        <v>198</v>
      </c>
      <c r="B7" s="544">
        <f>DATE(YEAR('Simulador - 1º Pilar'!G20),MONTH('Simulador - 1º Pilar'!G20),DAY(1))</f>
        <v>25569.041666666668</v>
      </c>
      <c r="C7" s="170"/>
      <c r="D7" s="320"/>
      <c r="E7" s="544">
        <f>DATE(YEAR($B$7),MONTH($B$7)-1,DAY($B$7))</f>
        <v>25569.041666666668</v>
      </c>
      <c r="F7" s="333">
        <f>MAX(IF(DATE(YEAR($B$6),MONTH($B$6)+1,DAY(1))=E7,1,IF(MONTH(E7)=1,F8*(1+$F$5),F8)),1)</f>
      </c>
      <c r="G7" s="333">
        <f>IF('Simulador - 1º Pilar'!$E$99="Sí",IF('Aportaciones Poliza'!$B$13&lt;'Aportaciones Poliza'!E7,0,F7*$B$8/12),F7*$B$8/12)</f>
      </c>
      <c r="H7" s="333">
        <f>$H$5*G7</f>
      </c>
      <c r="I7" s="333"/>
      <c r="J7" s="333">
        <f>H7+IF(AND(F7=1,F8=0),$Q$4,0)</f>
      </c>
      <c r="K7" s="333">
        <f>I7</f>
      </c>
      <c r="L7" s="333">
        <f>K7+J7</f>
      </c>
      <c r="M7" s="561">
        <f>IF('Simulador - Datos personales'!G58="Si",0.06,0.04)</f>
      </c>
      <c r="N7" s="544">
        <v>2958282</v>
      </c>
      <c r="O7" s="1"/>
      <c r="P7" s="320"/>
      <c r="Q7" s="169"/>
    </row>
    <row x14ac:dyDescent="0.25" r="8" customHeight="1" ht="18.75">
      <c r="A8" s="339" t="s">
        <v>199</v>
      </c>
      <c r="B8" s="332">
        <f>'Simulador - Datos personales'!E15</f>
      </c>
      <c r="C8" s="333">
        <f>B8/12</f>
      </c>
      <c r="D8" s="331">
        <v>1</v>
      </c>
      <c r="E8" s="544">
        <f>+DATE(YEAR(E7),MONTH(E7)-1,DAY(E7))</f>
        <v>25569.041666666668</v>
      </c>
      <c r="F8" s="333">
        <f>IF(DATE(YEAR($B$6),MONTH($B$6)+1,DAY(1))=E8,1,IF(MONTH(E8)=1,F9*(1+$F$5),F9))</f>
      </c>
      <c r="G8" s="333">
        <f>IF('Simulador - 1º Pilar'!$E$99="Sí",IF('Aportaciones Poliza'!$B$13&lt;'Aportaciones Poliza'!E8,0,F8*$B$8/12),F8*$B$8/12)</f>
      </c>
      <c r="H8" s="333">
        <f>$H$5*G8</f>
      </c>
      <c r="I8" s="333"/>
      <c r="J8" s="333">
        <f>(1+$M$5)^(D8/12)*(H8+IF(AND(F8=1,F9=0),$Q$4,0))</f>
      </c>
      <c r="K8" s="333">
        <f>(1+$M$5)^(D8/12)*(I8)</f>
      </c>
      <c r="L8" s="333">
        <f>K8+J8</f>
      </c>
      <c r="M8" s="561">
        <v>0.02</v>
      </c>
      <c r="N8" s="544">
        <v>47300</v>
      </c>
      <c r="O8" s="1"/>
      <c r="P8" s="331">
        <f>D8</f>
      </c>
      <c r="Q8" s="169"/>
    </row>
    <row x14ac:dyDescent="0.25" r="9" customHeight="1" ht="18.75">
      <c r="A9" s="1"/>
      <c r="B9" s="7"/>
      <c r="C9" s="170"/>
      <c r="D9" s="331">
        <v>2</v>
      </c>
      <c r="E9" s="544">
        <f>+DATE(YEAR(E8),MONTH(E8)-1,DAY(E8))</f>
        <v>25569.041666666668</v>
      </c>
      <c r="F9" s="333">
        <f>IF(DATE(YEAR($B$6),MONTH($B$6)+1,DAY(1))=E9,1,IF(MONTH(E9)=1,F10*(1+$F$5),F10))</f>
      </c>
      <c r="G9" s="333">
        <f>IF('Simulador - 1º Pilar'!$E$99="Sí",IF('Aportaciones Poliza'!$B$13&lt;'Aportaciones Poliza'!E9,0,F9*$B$8/12),F9*$B$8/12)</f>
      </c>
      <c r="H9" s="333">
        <f>$H$5*G9</f>
      </c>
      <c r="I9" s="333"/>
      <c r="J9" s="333">
        <f>(1+$M$5)^(D9/12)*(H9+IF(AND(F9=1,F10=0),$Q$4,0))</f>
      </c>
      <c r="K9" s="333">
        <f>(1+$M$5)^(D9/12)*(I9)</f>
      </c>
      <c r="L9" s="333">
        <f>K9+J9</f>
      </c>
      <c r="M9" s="561">
        <v>0.03</v>
      </c>
      <c r="N9" s="7"/>
      <c r="O9" s="1"/>
      <c r="P9" s="331">
        <f>D9</f>
      </c>
      <c r="Q9" s="169"/>
    </row>
    <row x14ac:dyDescent="0.25" r="10" customHeight="1" ht="18.75">
      <c r="A10" s="339" t="s">
        <v>273</v>
      </c>
      <c r="B10" s="332">
        <f>'Simulador - Datos personales'!E13</f>
      </c>
      <c r="C10" s="170"/>
      <c r="D10" s="331">
        <v>3</v>
      </c>
      <c r="E10" s="544">
        <f>+DATE(YEAR(E9),MONTH(E9)-1,DAY(E9))</f>
        <v>25569.041666666668</v>
      </c>
      <c r="F10" s="333">
        <f>IF(DATE(YEAR($B$6),MONTH($B$6)+1,DAY(1))=E10,1,IF(MONTH(E10)=1,F11*(1+$F$5),F11))</f>
      </c>
      <c r="G10" s="333">
        <f>IF('Simulador - 1º Pilar'!$E$99="Sí",IF('Aportaciones Poliza'!$B$13&lt;'Aportaciones Poliza'!E10,0,F10*$B$8/12),F10*$B$8/12)</f>
      </c>
      <c r="H10" s="333">
        <f>$H$5*G10</f>
      </c>
      <c r="I10" s="333"/>
      <c r="J10" s="333">
        <f>(1+$M$5)^(D10/12)*(H10+IF(AND(F10=1,F11=0),$Q$4,0))</f>
      </c>
      <c r="K10" s="333">
        <f>(1+$M$5)^(D10/12)*(I10)</f>
      </c>
      <c r="L10" s="333">
        <f>K10+J10</f>
      </c>
      <c r="M10" s="170"/>
      <c r="N10" s="7"/>
      <c r="O10" s="1"/>
      <c r="P10" s="331">
        <f>D10</f>
      </c>
      <c r="Q10" s="169"/>
    </row>
    <row x14ac:dyDescent="0.25" r="11" customHeight="1" ht="18.75">
      <c r="A11" s="339" t="s">
        <v>274</v>
      </c>
      <c r="B11" s="333">
        <f>IF(F7=0,C11*B10/12,F7*B10/12)</f>
      </c>
      <c r="C11" s="333">
        <f>_xlfn.IFNA(VLOOKUP(B14,$E$7:$G$1066,2,0),1)</f>
      </c>
      <c r="D11" s="331">
        <v>4</v>
      </c>
      <c r="E11" s="544">
        <f>+DATE(YEAR(E10),MONTH(E10)-1,DAY(E10))</f>
        <v>25569.041666666668</v>
      </c>
      <c r="F11" s="333">
        <f>IF(DATE(YEAR($B$6),MONTH($B$6)+1,DAY(1))=E11,1,IF(MONTH(E11)=1,F12*(1+$F$5),F12))</f>
      </c>
      <c r="G11" s="333">
        <f>IF('Simulador - 1º Pilar'!$E$99="Sí",IF('Aportaciones Poliza'!$B$13&lt;'Aportaciones Poliza'!E11,0,F11*$B$8/12),F11*$B$8/12)</f>
      </c>
      <c r="H11" s="333">
        <f>$H$5*G11</f>
      </c>
      <c r="I11" s="333"/>
      <c r="J11" s="333">
        <f>(1+$M$5)^(D11/12)*(H11+IF(AND(F11=1,F12=0),$Q$4,0))</f>
      </c>
      <c r="K11" s="333">
        <f>(1+$M$5)^(D11/12)*(I11)</f>
      </c>
      <c r="L11" s="333">
        <f>K11+J11</f>
      </c>
      <c r="M11" s="170"/>
      <c r="N11" s="7"/>
      <c r="O11" s="1"/>
      <c r="P11" s="331">
        <f>D11</f>
      </c>
      <c r="Q11" s="169"/>
    </row>
    <row x14ac:dyDescent="0.25" r="12" customHeight="1" ht="18.75">
      <c r="A12" s="1"/>
      <c r="B12" s="7"/>
      <c r="C12" s="170"/>
      <c r="D12" s="331">
        <v>5</v>
      </c>
      <c r="E12" s="544">
        <f>+DATE(YEAR(E11),MONTH(E11)-1,DAY(E11))</f>
        <v>25569.041666666668</v>
      </c>
      <c r="F12" s="333">
        <f>IF(DATE(YEAR($B$6),MONTH($B$6)+1,DAY(1))=E12,1,IF(MONTH(E12)=1,F13*(1+$F$5),F13))</f>
      </c>
      <c r="G12" s="333">
        <f>IF('Simulador - 1º Pilar'!$E$99="Sí",IF('Aportaciones Poliza'!$B$13&lt;'Aportaciones Poliza'!E12,0,F12*$B$8/12),F12*$B$8/12)</f>
      </c>
      <c r="H12" s="333">
        <f>$H$5*G12</f>
      </c>
      <c r="I12" s="333"/>
      <c r="J12" s="333">
        <f>(1+$M$5)^(D12/12)*(H12+IF(AND(F12=1,F13=0),$Q$4,0))</f>
      </c>
      <c r="K12" s="333">
        <f>(1+$M$5)^(D12/12)*(I12)</f>
      </c>
      <c r="L12" s="333">
        <f>K12+J12</f>
      </c>
      <c r="M12" s="170"/>
      <c r="N12" s="7"/>
      <c r="O12" s="1"/>
      <c r="P12" s="331">
        <f>D12</f>
      </c>
      <c r="Q12" s="169"/>
    </row>
    <row x14ac:dyDescent="0.25" r="13" customHeight="1" ht="18.75">
      <c r="A13" s="339" t="s">
        <v>275</v>
      </c>
      <c r="B13" s="544">
        <f>'Simulador - 1º Pilar'!G16</f>
        <v>25569.041666666668</v>
      </c>
      <c r="C13" s="170"/>
      <c r="D13" s="331">
        <v>6</v>
      </c>
      <c r="E13" s="544">
        <f>+DATE(YEAR(E12),MONTH(E12)-1,DAY(E12))</f>
        <v>25569.041666666668</v>
      </c>
      <c r="F13" s="333">
        <f>IF(DATE(YEAR($B$6),MONTH($B$6)+1,DAY(1))=E13,1,IF(MONTH(E13)=1,F14*(1+$F$5),F14))</f>
      </c>
      <c r="G13" s="333">
        <f>IF('Simulador - 1º Pilar'!$E$99="Sí",IF('Aportaciones Poliza'!$B$13&lt;'Aportaciones Poliza'!E13,0,F13*$B$8/12),F13*$B$8/12)</f>
      </c>
      <c r="H13" s="333">
        <f>$H$5*G13</f>
      </c>
      <c r="I13" s="333"/>
      <c r="J13" s="333">
        <f>(1+$M$5)^(D13/12)*(H13+IF(AND(F13=1,F14=0),$Q$4,0))</f>
      </c>
      <c r="K13" s="333">
        <f>(1+$M$5)^(D13/12)*(I13)</f>
      </c>
      <c r="L13" s="333">
        <f>K13+J13</f>
      </c>
      <c r="M13" s="170"/>
      <c r="N13" s="7"/>
      <c r="O13" s="1"/>
      <c r="P13" s="331">
        <f>D13</f>
      </c>
      <c r="Q13" s="169"/>
    </row>
    <row x14ac:dyDescent="0.25" r="14" customHeight="1" ht="18.75">
      <c r="A14" s="1"/>
      <c r="B14" s="555">
        <f>DATE(YEAR(B13),MONTH(B13),DAY(1))</f>
        <v>25569.041666666668</v>
      </c>
      <c r="C14" s="170">
        <f>VLOOKUP(B14,E7:P1066,12,0)</f>
      </c>
      <c r="D14" s="331">
        <v>7</v>
      </c>
      <c r="E14" s="544">
        <f>+DATE(YEAR(E13),MONTH(E13)-1,DAY(E13))</f>
        <v>25569.041666666668</v>
      </c>
      <c r="F14" s="333">
        <f>IF(DATE(YEAR($B$6),MONTH($B$6)+1,DAY(1))=E14,1,IF(MONTH(E14)=1,F15*(1+$F$5),F15))</f>
      </c>
      <c r="G14" s="333">
        <f>IF('Simulador - 1º Pilar'!$E$99="Sí",IF('Aportaciones Poliza'!$B$13&lt;'Aportaciones Poliza'!E14,0,F14*$B$8/12),F14*$B$8/12)</f>
      </c>
      <c r="H14" s="333">
        <f>$H$5*G14</f>
      </c>
      <c r="I14" s="333"/>
      <c r="J14" s="333">
        <f>(1+$M$5)^(D14/12)*(H14+IF(AND(F14=1,F15=0),$Q$4,0))</f>
      </c>
      <c r="K14" s="333">
        <f>(1+$M$5)^(D14/12)*(I14)</f>
      </c>
      <c r="L14" s="333">
        <f>K14+J14</f>
      </c>
      <c r="M14" s="170"/>
      <c r="N14" s="7"/>
      <c r="O14" s="1"/>
      <c r="P14" s="331">
        <f>D14</f>
      </c>
      <c r="Q14" s="169"/>
    </row>
    <row x14ac:dyDescent="0.25" r="15" customHeight="1" ht="18.75">
      <c r="A15" s="1"/>
      <c r="B15" s="7"/>
      <c r="C15" s="170"/>
      <c r="D15" s="331">
        <v>8</v>
      </c>
      <c r="E15" s="544">
        <f>+DATE(YEAR(E14),MONTH(E14)-1,DAY(E14))</f>
        <v>25569.041666666668</v>
      </c>
      <c r="F15" s="333">
        <f>IF(DATE(YEAR($B$6),MONTH($B$6)+1,DAY(1))=E15,1,IF(MONTH(E15)=1,F16*(1+$F$5),F16))</f>
      </c>
      <c r="G15" s="333">
        <f>IF('Simulador - 1º Pilar'!$E$99="Sí",IF('Aportaciones Poliza'!$B$13&lt;'Aportaciones Poliza'!E15,0,F15*$B$8/12),F15*$B$8/12)</f>
      </c>
      <c r="H15" s="333">
        <f>$H$5*G15</f>
      </c>
      <c r="I15" s="333"/>
      <c r="J15" s="333">
        <f>(1+$M$5)^(D15/12)*(H15+IF(AND(F15=1,F16=0),$Q$4,0))</f>
      </c>
      <c r="K15" s="333">
        <f>(1+$M$5)^(D15/12)*(I15)</f>
      </c>
      <c r="L15" s="333">
        <f>K15+J15</f>
      </c>
      <c r="M15" s="170"/>
      <c r="N15" s="7"/>
      <c r="O15" s="1"/>
      <c r="P15" s="331">
        <f>D15</f>
      </c>
      <c r="Q15" s="169"/>
    </row>
    <row x14ac:dyDescent="0.25" r="16" customHeight="1" ht="18.75">
      <c r="A16" s="1"/>
      <c r="B16" s="7"/>
      <c r="C16" s="170"/>
      <c r="D16" s="331">
        <v>9</v>
      </c>
      <c r="E16" s="544">
        <f>+DATE(YEAR(E15),MONTH(E15)-1,DAY(E15))</f>
        <v>25569.041666666668</v>
      </c>
      <c r="F16" s="333">
        <f>IF(DATE(YEAR($B$6),MONTH($B$6)+1,DAY(1))=E16,1,IF(MONTH(E16)=1,F17*(1+$F$5),F17))</f>
      </c>
      <c r="G16" s="333">
        <f>IF('Simulador - 1º Pilar'!$E$99="Sí",IF('Aportaciones Poliza'!$B$13&lt;'Aportaciones Poliza'!E16,0,F16*$B$8/12),F16*$B$8/12)</f>
      </c>
      <c r="H16" s="333">
        <f>$H$5*G16</f>
      </c>
      <c r="I16" s="333"/>
      <c r="J16" s="333">
        <f>(1+$M$5)^(D16/12)*(H16+IF(AND(F16=1,F17=0),$Q$4,0))</f>
      </c>
      <c r="K16" s="333">
        <f>(1+$M$5)^(D16/12)*(I16)</f>
      </c>
      <c r="L16" s="333">
        <f>K16+J16</f>
      </c>
      <c r="M16" s="170"/>
      <c r="N16" s="7"/>
      <c r="O16" s="1"/>
      <c r="P16" s="331">
        <f>D16</f>
      </c>
      <c r="Q16" s="169"/>
    </row>
    <row x14ac:dyDescent="0.25" r="17" customHeight="1" ht="18.75">
      <c r="A17" s="1"/>
      <c r="B17" s="7"/>
      <c r="C17" s="170"/>
      <c r="D17" s="331">
        <v>10</v>
      </c>
      <c r="E17" s="544">
        <f>+DATE(YEAR(E16),MONTH(E16)-1,DAY(E16))</f>
        <v>25569.041666666668</v>
      </c>
      <c r="F17" s="333">
        <f>IF(DATE(YEAR($B$6),MONTH($B$6)+1,DAY(1))=E17,1,IF(MONTH(E17)=1,F18*(1+$F$5),F18))</f>
      </c>
      <c r="G17" s="333">
        <f>IF('Simulador - 1º Pilar'!$E$99="Sí",IF('Aportaciones Poliza'!$B$13&lt;'Aportaciones Poliza'!E17,0,F17*$B$8/12),F17*$B$8/12)</f>
      </c>
      <c r="H17" s="333">
        <f>$H$5*G17</f>
      </c>
      <c r="I17" s="333"/>
      <c r="J17" s="333">
        <f>(1+$M$5)^(D17/12)*(H17+IF(AND(F17=1,F18=0),$Q$4,0))</f>
      </c>
      <c r="K17" s="333">
        <f>(1+$M$5)^(D17/12)*(I17)</f>
      </c>
      <c r="L17" s="333">
        <f>K17+J17</f>
      </c>
      <c r="M17" s="170"/>
      <c r="N17" s="7"/>
      <c r="O17" s="1"/>
      <c r="P17" s="331">
        <f>D17</f>
      </c>
      <c r="Q17" s="169"/>
    </row>
    <row x14ac:dyDescent="0.25" r="18" customHeight="1" ht="18.75">
      <c r="A18" s="1"/>
      <c r="B18" s="7"/>
      <c r="C18" s="170"/>
      <c r="D18" s="331">
        <v>11</v>
      </c>
      <c r="E18" s="544">
        <f>+DATE(YEAR(E17),MONTH(E17)-1,DAY(E17))</f>
        <v>25569.041666666668</v>
      </c>
      <c r="F18" s="333">
        <f>IF(DATE(YEAR($B$6),MONTH($B$6)+1,DAY(1))=E18,1,IF(MONTH(E18)=1,F19*(1+$F$5),F19))</f>
      </c>
      <c r="G18" s="333">
        <f>IF('Simulador - 1º Pilar'!$E$99="Sí",IF('Aportaciones Poliza'!$B$13&lt;'Aportaciones Poliza'!E18,0,F18*$B$8/12),F18*$B$8/12)</f>
      </c>
      <c r="H18" s="333">
        <f>$H$5*G18</f>
      </c>
      <c r="I18" s="333"/>
      <c r="J18" s="333">
        <f>(1+$M$5)^(D18/12)*(H18+IF(AND(F18=1,F19=0),$Q$4,0))</f>
      </c>
      <c r="K18" s="333">
        <f>(1+$M$5)^(D18/12)*(I18)</f>
      </c>
      <c r="L18" s="333">
        <f>K18+J18</f>
      </c>
      <c r="M18" s="170"/>
      <c r="N18" s="7"/>
      <c r="O18" s="1"/>
      <c r="P18" s="331">
        <f>D18</f>
      </c>
      <c r="Q18" s="169"/>
    </row>
    <row x14ac:dyDescent="0.25" r="19" customHeight="1" ht="18.75">
      <c r="A19" s="1"/>
      <c r="B19" s="7"/>
      <c r="C19" s="170"/>
      <c r="D19" s="331">
        <v>12</v>
      </c>
      <c r="E19" s="544">
        <f>+DATE(YEAR(E18),MONTH(E18)-1,DAY(E18))</f>
        <v>25569.041666666668</v>
      </c>
      <c r="F19" s="333">
        <f>IF(DATE(YEAR($B$6),MONTH($B$6)+1,DAY(1))=E19,1,IF(MONTH(E19)=1,F20*(1+$F$5),F20))</f>
      </c>
      <c r="G19" s="333">
        <f>IF('Simulador - 1º Pilar'!$E$99="Sí",IF('Aportaciones Poliza'!$B$13&lt;'Aportaciones Poliza'!E19,0,F19*$B$8/12),F19*$B$8/12)</f>
      </c>
      <c r="H19" s="333">
        <f>$H$5*G19</f>
      </c>
      <c r="I19" s="333"/>
      <c r="J19" s="333">
        <f>(1+$M$5)^(D19/12)*(H19+IF(AND(F19=1,F20=0),$Q$4,0))</f>
      </c>
      <c r="K19" s="333">
        <f>(1+$M$5)^(D19/12)*(I19)</f>
      </c>
      <c r="L19" s="333">
        <f>K19+J19</f>
      </c>
      <c r="M19" s="217"/>
      <c r="N19" s="7"/>
      <c r="O19" s="1"/>
      <c r="P19" s="331">
        <f>D19</f>
      </c>
      <c r="Q19" s="169"/>
    </row>
    <row x14ac:dyDescent="0.25" r="20" customHeight="1" ht="18.75">
      <c r="A20" s="1"/>
      <c r="B20" s="7"/>
      <c r="C20" s="170"/>
      <c r="D20" s="331">
        <v>13</v>
      </c>
      <c r="E20" s="544">
        <f>+DATE(YEAR(E19),MONTH(E19)-1,DAY(E19))</f>
        <v>25569.041666666668</v>
      </c>
      <c r="F20" s="333">
        <f>IF(DATE(YEAR($B$6),MONTH($B$6)+1,DAY(1))=E20,1,IF(MONTH(E20)=1,F21*(1+$F$5),F21))</f>
      </c>
      <c r="G20" s="333">
        <f>IF('Simulador - 1º Pilar'!$E$99="Sí",IF('Aportaciones Poliza'!$B$13&lt;'Aportaciones Poliza'!E20,0,F20*$B$8/12),F20*$B$8/12)</f>
      </c>
      <c r="H20" s="333">
        <f>$H$5*G20</f>
      </c>
      <c r="I20" s="333"/>
      <c r="J20" s="333">
        <f>(1+$M$5)^(D20/12)*(H20+IF(AND(F20=1,F21=0),$Q$4,0))</f>
      </c>
      <c r="K20" s="333">
        <f>(1+$M$5)^(D20/12)*(I20)</f>
      </c>
      <c r="L20" s="333">
        <f>K20+J20</f>
      </c>
      <c r="M20" s="170"/>
      <c r="N20" s="7"/>
      <c r="O20" s="1"/>
      <c r="P20" s="331">
        <f>D20</f>
      </c>
      <c r="Q20" s="169"/>
    </row>
    <row x14ac:dyDescent="0.25" r="21" customHeight="1" ht="18.75">
      <c r="A21" s="1"/>
      <c r="B21" s="7"/>
      <c r="C21" s="170"/>
      <c r="D21" s="331">
        <v>14</v>
      </c>
      <c r="E21" s="544">
        <f>+DATE(YEAR(E20),MONTH(E20)-1,DAY(E20))</f>
        <v>25569.041666666668</v>
      </c>
      <c r="F21" s="333">
        <f>IF(DATE(YEAR($B$6),MONTH($B$6)+1,DAY(1))=E21,1,IF(MONTH(E21)=1,F22*(1+$F$5),F22))</f>
      </c>
      <c r="G21" s="333">
        <f>IF('Simulador - 1º Pilar'!$E$99="Sí",IF('Aportaciones Poliza'!$B$13&lt;'Aportaciones Poliza'!E21,0,F21*$B$8/12),F21*$B$8/12)</f>
      </c>
      <c r="H21" s="333">
        <f>$H$5*G21</f>
      </c>
      <c r="I21" s="333"/>
      <c r="J21" s="333">
        <f>(1+$M$5)^(D21/12)*(H21+IF(AND(F21=1,F22=0),$Q$4,0))</f>
      </c>
      <c r="K21" s="333">
        <f>(1+$M$5)^(D21/12)*(I21)</f>
      </c>
      <c r="L21" s="333">
        <f>K21+J21</f>
      </c>
      <c r="M21" s="170"/>
      <c r="N21" s="7"/>
      <c r="O21" s="1"/>
      <c r="P21" s="331">
        <f>D21</f>
      </c>
      <c r="Q21" s="169"/>
    </row>
    <row x14ac:dyDescent="0.25" r="22" customHeight="1" ht="18.75">
      <c r="A22" s="1"/>
      <c r="B22" s="7"/>
      <c r="C22" s="170"/>
      <c r="D22" s="331">
        <v>15</v>
      </c>
      <c r="E22" s="544">
        <f>+DATE(YEAR(E21),MONTH(E21)-1,DAY(E21))</f>
        <v>25569.041666666668</v>
      </c>
      <c r="F22" s="333">
        <f>IF(DATE(YEAR($B$6),MONTH($B$6)+1,DAY(1))=E22,1,IF(MONTH(E22)=1,F23*(1+$F$5),F23))</f>
      </c>
      <c r="G22" s="333">
        <f>IF('Simulador - 1º Pilar'!$E$99="Sí",IF('Aportaciones Poliza'!$B$13&lt;'Aportaciones Poliza'!E22,0,F22*$B$8/12),F22*$B$8/12)</f>
      </c>
      <c r="H22" s="333">
        <f>$H$5*G22</f>
      </c>
      <c r="I22" s="333"/>
      <c r="J22" s="333">
        <f>(1+$M$5)^(D22/12)*(H22+IF(AND(F22=1,F23=0),$Q$4,0))</f>
      </c>
      <c r="K22" s="333">
        <f>(1+$M$5)^(D22/12)*(I22)</f>
      </c>
      <c r="L22" s="333">
        <f>K22+J22</f>
      </c>
      <c r="M22" s="170"/>
      <c r="N22" s="7"/>
      <c r="O22" s="1"/>
      <c r="P22" s="331">
        <f>D22</f>
      </c>
      <c r="Q22" s="169"/>
    </row>
    <row x14ac:dyDescent="0.25" r="23" customHeight="1" ht="18.75">
      <c r="A23" s="1"/>
      <c r="B23" s="7"/>
      <c r="C23" s="170"/>
      <c r="D23" s="331">
        <v>16</v>
      </c>
      <c r="E23" s="544">
        <f>+DATE(YEAR(E22),MONTH(E22)-1,DAY(E22))</f>
        <v>25569.041666666668</v>
      </c>
      <c r="F23" s="333">
        <f>IF(DATE(YEAR($B$6),MONTH($B$6)+1,DAY(1))=E23,1,IF(MONTH(E23)=1,F24*(1+$F$5),F24))</f>
      </c>
      <c r="G23" s="333">
        <f>IF('Simulador - 1º Pilar'!$E$99="Sí",IF('Aportaciones Poliza'!$B$13&lt;'Aportaciones Poliza'!E23,0,F23*$B$8/12),F23*$B$8/12)</f>
      </c>
      <c r="H23" s="333">
        <f>$H$5*G23</f>
      </c>
      <c r="I23" s="333"/>
      <c r="J23" s="333">
        <f>(1+$M$5)^(D23/12)*(H23+IF(AND(F23=1,F24=0),$Q$4,0))</f>
      </c>
      <c r="K23" s="333">
        <f>(1+$M$5)^(D23/12)*(I23)</f>
      </c>
      <c r="L23" s="333">
        <f>K23+J23</f>
      </c>
      <c r="M23" s="170"/>
      <c r="N23" s="7"/>
      <c r="O23" s="1"/>
      <c r="P23" s="331">
        <f>D23</f>
      </c>
      <c r="Q23" s="169"/>
    </row>
    <row x14ac:dyDescent="0.25" r="24" customHeight="1" ht="18.75">
      <c r="A24" s="1"/>
      <c r="B24" s="7"/>
      <c r="C24" s="170"/>
      <c r="D24" s="331">
        <v>17</v>
      </c>
      <c r="E24" s="544">
        <f>+DATE(YEAR(E23),MONTH(E23)-1,DAY(E23))</f>
        <v>25569.041666666668</v>
      </c>
      <c r="F24" s="333">
        <f>IF(DATE(YEAR($B$6),MONTH($B$6)+1,DAY(1))=E24,1,IF(MONTH(E24)=1,F25*(1+$F$5),F25))</f>
      </c>
      <c r="G24" s="333">
        <f>IF('Simulador - 1º Pilar'!$E$99="Sí",IF('Aportaciones Poliza'!$B$13&lt;'Aportaciones Poliza'!E24,0,F24*$B$8/12),F24*$B$8/12)</f>
      </c>
      <c r="H24" s="333">
        <f>$H$5*G24</f>
      </c>
      <c r="I24" s="333"/>
      <c r="J24" s="333">
        <f>(1+$M$5)^(D24/12)*(H24+IF(AND(F24=1,F25=0),$Q$4,0))</f>
      </c>
      <c r="K24" s="333">
        <f>(1+$M$5)^(D24/12)*(I24)</f>
      </c>
      <c r="L24" s="333">
        <f>K24+J24</f>
      </c>
      <c r="M24" s="170"/>
      <c r="N24" s="7"/>
      <c r="O24" s="1"/>
      <c r="P24" s="331">
        <f>D24</f>
      </c>
      <c r="Q24" s="169"/>
    </row>
    <row x14ac:dyDescent="0.25" r="25" customHeight="1" ht="18.75">
      <c r="A25" s="1"/>
      <c r="B25" s="7"/>
      <c r="C25" s="170"/>
      <c r="D25" s="331">
        <v>18</v>
      </c>
      <c r="E25" s="544">
        <f>+DATE(YEAR(E24),MONTH(E24)-1,DAY(E24))</f>
        <v>25569.041666666668</v>
      </c>
      <c r="F25" s="333">
        <f>IF(DATE(YEAR($B$6),MONTH($B$6)+1,DAY(1))=E25,1,IF(MONTH(E25)=1,F26*(1+$F$5),F26))</f>
      </c>
      <c r="G25" s="333">
        <f>IF('Simulador - 1º Pilar'!$E$99="Sí",IF('Aportaciones Poliza'!$B$13&lt;'Aportaciones Poliza'!E25,0,F25*$B$8/12),F25*$B$8/12)</f>
      </c>
      <c r="H25" s="333">
        <f>$H$5*G25</f>
      </c>
      <c r="I25" s="333"/>
      <c r="J25" s="333">
        <f>(1+$M$5)^(D25/12)*(H25+IF(AND(F25=1,F26=0),$Q$4,0))</f>
      </c>
      <c r="K25" s="333">
        <f>(1+$M$5)^(D25/12)*(I25)</f>
      </c>
      <c r="L25" s="333">
        <f>K25+J25</f>
      </c>
      <c r="M25" s="170"/>
      <c r="N25" s="7"/>
      <c r="O25" s="1"/>
      <c r="P25" s="331">
        <f>D25</f>
      </c>
      <c r="Q25" s="169"/>
    </row>
    <row x14ac:dyDescent="0.25" r="26" customHeight="1" ht="18.75">
      <c r="A26" s="1"/>
      <c r="B26" s="7"/>
      <c r="C26" s="170"/>
      <c r="D26" s="331">
        <v>19</v>
      </c>
      <c r="E26" s="544">
        <f>+DATE(YEAR(E25),MONTH(E25)-1,DAY(E25))</f>
        <v>25569.041666666668</v>
      </c>
      <c r="F26" s="333">
        <f>IF(DATE(YEAR($B$6),MONTH($B$6)+1,DAY(1))=E26,1,IF(MONTH(E26)=1,F27*(1+$F$5),F27))</f>
      </c>
      <c r="G26" s="333">
        <f>IF('Simulador - 1º Pilar'!$E$99="Sí",IF('Aportaciones Poliza'!$B$13&lt;'Aportaciones Poliza'!E26,0,F26*$B$8/12),F26*$B$8/12)</f>
      </c>
      <c r="H26" s="333">
        <f>$H$5*G26</f>
      </c>
      <c r="I26" s="333"/>
      <c r="J26" s="333">
        <f>(1+$M$5)^(D26/12)*(H26+IF(AND(F26=1,F27=0),$Q$4,0))</f>
      </c>
      <c r="K26" s="333">
        <f>(1+$M$5)^(D26/12)*(I26)</f>
      </c>
      <c r="L26" s="333">
        <f>K26+J26</f>
      </c>
      <c r="M26" s="170"/>
      <c r="N26" s="7"/>
      <c r="O26" s="1"/>
      <c r="P26" s="331">
        <f>D26</f>
      </c>
      <c r="Q26" s="169"/>
    </row>
    <row x14ac:dyDescent="0.25" r="27" customHeight="1" ht="18.75">
      <c r="A27" s="1"/>
      <c r="B27" s="7"/>
      <c r="C27" s="170"/>
      <c r="D27" s="331">
        <v>20</v>
      </c>
      <c r="E27" s="544">
        <f>+DATE(YEAR(E26),MONTH(E26)-1,DAY(E26))</f>
        <v>25569.041666666668</v>
      </c>
      <c r="F27" s="333">
        <f>IF(DATE(YEAR($B$6),MONTH($B$6)+1,DAY(1))=E27,1,IF(MONTH(E27)=1,F28*(1+$F$5),F28))</f>
      </c>
      <c r="G27" s="333">
        <f>IF('Simulador - 1º Pilar'!$E$99="Sí",IF('Aportaciones Poliza'!$B$13&lt;'Aportaciones Poliza'!E27,0,F27*$B$8/12),F27*$B$8/12)</f>
      </c>
      <c r="H27" s="333">
        <f>$H$5*G27</f>
      </c>
      <c r="I27" s="333"/>
      <c r="J27" s="333">
        <f>(1+$M$5)^(D27/12)*(H27+IF(AND(F27=1,F28=0),$Q$4,0))</f>
      </c>
      <c r="K27" s="333">
        <f>(1+$M$5)^(D27/12)*(I27)</f>
      </c>
      <c r="L27" s="333">
        <f>K27+J27</f>
      </c>
      <c r="M27" s="170"/>
      <c r="N27" s="7"/>
      <c r="O27" s="1"/>
      <c r="P27" s="331">
        <f>D27</f>
      </c>
      <c r="Q27" s="169"/>
    </row>
    <row x14ac:dyDescent="0.25" r="28" customHeight="1" ht="18.75">
      <c r="A28" s="1"/>
      <c r="B28" s="7"/>
      <c r="C28" s="170"/>
      <c r="D28" s="331">
        <v>21</v>
      </c>
      <c r="E28" s="544">
        <f>+DATE(YEAR(E27),MONTH(E27)-1,DAY(E27))</f>
        <v>25569.041666666668</v>
      </c>
      <c r="F28" s="333">
        <f>IF(DATE(YEAR($B$6),MONTH($B$6)+1,DAY(1))=E28,1,IF(MONTH(E28)=1,F29*(1+$F$5),F29))</f>
      </c>
      <c r="G28" s="333">
        <f>IF('Simulador - 1º Pilar'!$E$99="Sí",IF('Aportaciones Poliza'!$B$13&lt;'Aportaciones Poliza'!E28,0,F28*$B$8/12),F28*$B$8/12)</f>
      </c>
      <c r="H28" s="333">
        <f>$H$5*G28</f>
      </c>
      <c r="I28" s="333"/>
      <c r="J28" s="333">
        <f>(1+$M$5)^(D28/12)*(H28+IF(AND(F28=1,F29=0),$Q$4,0))</f>
      </c>
      <c r="K28" s="333">
        <f>(1+$M$5)^(D28/12)*(I28)</f>
      </c>
      <c r="L28" s="333">
        <f>K28+J28</f>
      </c>
      <c r="M28" s="170"/>
      <c r="N28" s="7"/>
      <c r="O28" s="1"/>
      <c r="P28" s="331">
        <f>D28</f>
      </c>
      <c r="Q28" s="169"/>
    </row>
    <row x14ac:dyDescent="0.25" r="29" customHeight="1" ht="18.75">
      <c r="A29" s="1"/>
      <c r="B29" s="7"/>
      <c r="C29" s="170"/>
      <c r="D29" s="331">
        <v>22</v>
      </c>
      <c r="E29" s="544">
        <f>+DATE(YEAR(E28),MONTH(E28)-1,DAY(E28))</f>
        <v>25569.041666666668</v>
      </c>
      <c r="F29" s="333">
        <f>IF(DATE(YEAR($B$6),MONTH($B$6)+1,DAY(1))=E29,1,IF(MONTH(E29)=1,F30*(1+$F$5),F30))</f>
      </c>
      <c r="G29" s="333">
        <f>IF('Simulador - 1º Pilar'!$E$99="Sí",IF('Aportaciones Poliza'!$B$13&lt;'Aportaciones Poliza'!E29,0,F29*$B$8/12),F29*$B$8/12)</f>
      </c>
      <c r="H29" s="333">
        <f>$H$5*G29</f>
      </c>
      <c r="I29" s="333"/>
      <c r="J29" s="333">
        <f>(1+$M$5)^(D29/12)*(H29+IF(AND(F29=1,F30=0),$Q$4,0))</f>
      </c>
      <c r="K29" s="333">
        <f>(1+$M$5)^(D29/12)*(I29)</f>
      </c>
      <c r="L29" s="333">
        <f>K29+J29</f>
      </c>
      <c r="M29" s="170"/>
      <c r="N29" s="7"/>
      <c r="O29" s="1"/>
      <c r="P29" s="331">
        <f>D29</f>
      </c>
      <c r="Q29" s="169"/>
    </row>
    <row x14ac:dyDescent="0.25" r="30" customHeight="1" ht="18.75">
      <c r="A30" s="1"/>
      <c r="B30" s="7"/>
      <c r="C30" s="170"/>
      <c r="D30" s="331">
        <v>23</v>
      </c>
      <c r="E30" s="544">
        <f>+DATE(YEAR(E29),MONTH(E29)-1,DAY(E29))</f>
        <v>25569.041666666668</v>
      </c>
      <c r="F30" s="333">
        <f>IF(DATE(YEAR($B$6),MONTH($B$6)+1,DAY(1))=E30,1,IF(MONTH(E30)=1,F31*(1+$F$5),F31))</f>
      </c>
      <c r="G30" s="333">
        <f>IF('Simulador - 1º Pilar'!$E$99="Sí",IF('Aportaciones Poliza'!$B$13&lt;'Aportaciones Poliza'!E30,0,F30*$B$8/12),F30*$B$8/12)</f>
      </c>
      <c r="H30" s="333">
        <f>$H$5*G30</f>
      </c>
      <c r="I30" s="333"/>
      <c r="J30" s="333">
        <f>(1+$M$5)^(D30/12)*(H30+IF(AND(F30=1,F31=0),$Q$4,0))</f>
      </c>
      <c r="K30" s="333">
        <f>(1+$M$5)^(D30/12)*(I30)</f>
      </c>
      <c r="L30" s="333">
        <f>K30+J30</f>
      </c>
      <c r="M30" s="170"/>
      <c r="N30" s="7"/>
      <c r="O30" s="1"/>
      <c r="P30" s="331">
        <f>D30</f>
      </c>
      <c r="Q30" s="169"/>
    </row>
    <row x14ac:dyDescent="0.25" r="31" customHeight="1" ht="18.75">
      <c r="A31" s="1"/>
      <c r="B31" s="7"/>
      <c r="C31" s="170"/>
      <c r="D31" s="331">
        <v>24</v>
      </c>
      <c r="E31" s="544">
        <f>+DATE(YEAR(E30),MONTH(E30)-1,DAY(E30))</f>
        <v>25569.041666666668</v>
      </c>
      <c r="F31" s="333">
        <f>IF(DATE(YEAR($B$6),MONTH($B$6)+1,DAY(1))=E31,1,IF(MONTH(E31)=1,F32*(1+$F$5),F32))</f>
      </c>
      <c r="G31" s="333">
        <f>IF('Simulador - 1º Pilar'!$E$99="Sí",IF('Aportaciones Poliza'!$B$13&lt;'Aportaciones Poliza'!E31,0,F31*$B$8/12),F31*$B$8/12)</f>
      </c>
      <c r="H31" s="333">
        <f>$H$5*G31</f>
      </c>
      <c r="I31" s="333"/>
      <c r="J31" s="333">
        <f>(1+$M$5)^(D31/12)*(H31+IF(AND(F31=1,F32=0),$Q$4,0))</f>
      </c>
      <c r="K31" s="333">
        <f>(1+$M$5)^(D31/12)*(I31)</f>
      </c>
      <c r="L31" s="333">
        <f>K31+J31</f>
      </c>
      <c r="M31" s="170"/>
      <c r="N31" s="7"/>
      <c r="O31" s="1"/>
      <c r="P31" s="331">
        <f>D31</f>
      </c>
      <c r="Q31" s="169"/>
    </row>
    <row x14ac:dyDescent="0.25" r="32" customHeight="1" ht="18.75">
      <c r="A32" s="1"/>
      <c r="B32" s="7"/>
      <c r="C32" s="170"/>
      <c r="D32" s="331">
        <v>25</v>
      </c>
      <c r="E32" s="544">
        <f>+DATE(YEAR(E31),MONTH(E31)-1,DAY(E31))</f>
        <v>25569.041666666668</v>
      </c>
      <c r="F32" s="333">
        <f>IF(DATE(YEAR($B$6),MONTH($B$6)+1,DAY(1))=E32,1,IF(MONTH(E32)=1,F33*(1+$F$5),F33))</f>
      </c>
      <c r="G32" s="333">
        <f>IF('Simulador - 1º Pilar'!$E$99="Sí",IF('Aportaciones Poliza'!$B$13&lt;'Aportaciones Poliza'!E32,0,F32*$B$8/12),F32*$B$8/12)</f>
      </c>
      <c r="H32" s="333">
        <f>$H$5*G32</f>
      </c>
      <c r="I32" s="333"/>
      <c r="J32" s="333">
        <f>(1+$M$5)^(D32/12)*(H32+IF(AND(F32=1,F33=0),$Q$4,0))</f>
      </c>
      <c r="K32" s="333">
        <f>(1+$M$5)^(D32/12)*(I32)</f>
      </c>
      <c r="L32" s="333">
        <f>K32+J32</f>
      </c>
      <c r="M32" s="170"/>
      <c r="N32" s="7"/>
      <c r="O32" s="1"/>
      <c r="P32" s="331">
        <f>D32</f>
      </c>
      <c r="Q32" s="169"/>
    </row>
    <row x14ac:dyDescent="0.25" r="33" customHeight="1" ht="18.75">
      <c r="A33" s="1"/>
      <c r="B33" s="7"/>
      <c r="C33" s="170"/>
      <c r="D33" s="331">
        <v>26</v>
      </c>
      <c r="E33" s="544">
        <f>+DATE(YEAR(E32),MONTH(E32)-1,DAY(E32))</f>
        <v>25569.041666666668</v>
      </c>
      <c r="F33" s="333">
        <f>IF(DATE(YEAR($B$6),MONTH($B$6)+1,DAY(1))=E33,1,IF(MONTH(E33)=1,F34*(1+$F$5),F34))</f>
      </c>
      <c r="G33" s="333">
        <f>IF('Simulador - 1º Pilar'!$E$99="Sí",IF('Aportaciones Poliza'!$B$13&lt;'Aportaciones Poliza'!E33,0,F33*$B$8/12),F33*$B$8/12)</f>
      </c>
      <c r="H33" s="333">
        <f>$H$5*G33</f>
      </c>
      <c r="I33" s="333"/>
      <c r="J33" s="333">
        <f>(1+$M$5)^(D33/12)*(H33+IF(AND(F33=1,F34=0),$Q$4,0))</f>
      </c>
      <c r="K33" s="333">
        <f>(1+$M$5)^(D33/12)*(I33)</f>
      </c>
      <c r="L33" s="333">
        <f>K33+J33</f>
      </c>
      <c r="M33" s="170"/>
      <c r="N33" s="7"/>
      <c r="O33" s="1"/>
      <c r="P33" s="331">
        <f>D33</f>
      </c>
      <c r="Q33" s="169"/>
    </row>
    <row x14ac:dyDescent="0.25" r="34" customHeight="1" ht="18.75">
      <c r="A34" s="1"/>
      <c r="B34" s="7"/>
      <c r="C34" s="170"/>
      <c r="D34" s="331">
        <v>27</v>
      </c>
      <c r="E34" s="544">
        <f>+DATE(YEAR(E33),MONTH(E33)-1,DAY(E33))</f>
        <v>25569.041666666668</v>
      </c>
      <c r="F34" s="333">
        <f>IF(DATE(YEAR($B$6),MONTH($B$6)+1,DAY(1))=E34,1,IF(MONTH(E34)=1,F35*(1+$F$5),F35))</f>
      </c>
      <c r="G34" s="333">
        <f>IF('Simulador - 1º Pilar'!$E$99="Sí",IF('Aportaciones Poliza'!$B$13&lt;'Aportaciones Poliza'!E34,0,F34*$B$8/12),F34*$B$8/12)</f>
      </c>
      <c r="H34" s="333">
        <f>$H$5*G34</f>
      </c>
      <c r="I34" s="333"/>
      <c r="J34" s="333">
        <f>(1+$M$5)^(D34/12)*(H34+IF(AND(F34=1,F35=0),$Q$4,0))</f>
      </c>
      <c r="K34" s="333">
        <f>(1+$M$5)^(D34/12)*(I34)</f>
      </c>
      <c r="L34" s="333">
        <f>K34+J34</f>
      </c>
      <c r="M34" s="170"/>
      <c r="N34" s="7"/>
      <c r="O34" s="1"/>
      <c r="P34" s="331">
        <f>D34</f>
      </c>
      <c r="Q34" s="169"/>
    </row>
    <row x14ac:dyDescent="0.25" r="35" customHeight="1" ht="18.75">
      <c r="A35" s="1"/>
      <c r="B35" s="7"/>
      <c r="C35" s="170"/>
      <c r="D35" s="331">
        <v>28</v>
      </c>
      <c r="E35" s="544">
        <f>+DATE(YEAR(E34),MONTH(E34)-1,DAY(E34))</f>
        <v>25569.041666666668</v>
      </c>
      <c r="F35" s="333">
        <f>IF(DATE(YEAR($B$6),MONTH($B$6)+1,DAY(1))=E35,1,IF(MONTH(E35)=1,F36*(1+$F$5),F36))</f>
      </c>
      <c r="G35" s="333">
        <f>IF('Simulador - 1º Pilar'!$E$99="Sí",IF('Aportaciones Poliza'!$B$13&lt;'Aportaciones Poliza'!E35,0,F35*$B$8/12),F35*$B$8/12)</f>
      </c>
      <c r="H35" s="333">
        <f>$H$5*G35</f>
      </c>
      <c r="I35" s="333"/>
      <c r="J35" s="333">
        <f>(1+$M$5)^(D35/12)*(H35+IF(AND(F35=1,F36=0),$Q$4,0))</f>
      </c>
      <c r="K35" s="333">
        <f>(1+$M$5)^(D35/12)*(I35)</f>
      </c>
      <c r="L35" s="333">
        <f>K35+J35</f>
      </c>
      <c r="M35" s="170"/>
      <c r="N35" s="7"/>
      <c r="O35" s="1"/>
      <c r="P35" s="331">
        <f>D35</f>
      </c>
      <c r="Q35" s="169"/>
    </row>
    <row x14ac:dyDescent="0.25" r="36" customHeight="1" ht="18.75">
      <c r="A36" s="1"/>
      <c r="B36" s="7"/>
      <c r="C36" s="170"/>
      <c r="D36" s="331">
        <v>29</v>
      </c>
      <c r="E36" s="544">
        <f>+DATE(YEAR(E35),MONTH(E35)-1,DAY(E35))</f>
        <v>25569.041666666668</v>
      </c>
      <c r="F36" s="333">
        <f>IF(DATE(YEAR($B$6),MONTH($B$6)+1,DAY(1))=E36,1,IF(MONTH(E36)=1,F37*(1+$F$5),F37))</f>
      </c>
      <c r="G36" s="333">
        <f>IF('Simulador - 1º Pilar'!$E$99="Sí",IF('Aportaciones Poliza'!$B$13&lt;'Aportaciones Poliza'!E36,0,F36*$B$8/12),F36*$B$8/12)</f>
      </c>
      <c r="H36" s="333">
        <f>$H$5*G36</f>
      </c>
      <c r="I36" s="333"/>
      <c r="J36" s="333">
        <f>(1+$M$5)^(D36/12)*(H36+IF(AND(F36=1,F37=0),$Q$4,0))</f>
      </c>
      <c r="K36" s="333">
        <f>(1+$M$5)^(D36/12)*(I36)</f>
      </c>
      <c r="L36" s="333">
        <f>K36+J36</f>
      </c>
      <c r="M36" s="170"/>
      <c r="N36" s="7"/>
      <c r="O36" s="1"/>
      <c r="P36" s="331">
        <f>D36</f>
      </c>
      <c r="Q36" s="169"/>
    </row>
    <row x14ac:dyDescent="0.25" r="37" customHeight="1" ht="18.75">
      <c r="A37" s="1"/>
      <c r="B37" s="7"/>
      <c r="C37" s="170"/>
      <c r="D37" s="331">
        <v>30</v>
      </c>
      <c r="E37" s="544">
        <f>+DATE(YEAR(E36),MONTH(E36)-1,DAY(E36))</f>
        <v>25569.041666666668</v>
      </c>
      <c r="F37" s="333">
        <f>IF(DATE(YEAR($B$6),MONTH($B$6)+1,DAY(1))=E37,1,IF(MONTH(E37)=1,F38*(1+$F$5),F38))</f>
      </c>
      <c r="G37" s="333">
        <f>IF('Simulador - 1º Pilar'!$E$99="Sí",IF('Aportaciones Poliza'!$B$13&lt;'Aportaciones Poliza'!E37,0,F37*$B$8/12),F37*$B$8/12)</f>
      </c>
      <c r="H37" s="333">
        <f>$H$5*G37</f>
      </c>
      <c r="I37" s="333"/>
      <c r="J37" s="333">
        <f>(1+$M$5)^(D37/12)*(H37+IF(AND(F37=1,F38=0),$Q$4,0))</f>
      </c>
      <c r="K37" s="333">
        <f>(1+$M$5)^(D37/12)*(I37)</f>
      </c>
      <c r="L37" s="333">
        <f>K37+J37</f>
      </c>
      <c r="M37" s="170"/>
      <c r="N37" s="7"/>
      <c r="O37" s="1"/>
      <c r="P37" s="331">
        <f>D37</f>
      </c>
      <c r="Q37" s="169"/>
    </row>
    <row x14ac:dyDescent="0.25" r="38" customHeight="1" ht="18.75">
      <c r="A38" s="1"/>
      <c r="B38" s="7"/>
      <c r="C38" s="170"/>
      <c r="D38" s="331">
        <v>31</v>
      </c>
      <c r="E38" s="544">
        <f>+DATE(YEAR(E37),MONTH(E37)-1,DAY(E37))</f>
        <v>25569.041666666668</v>
      </c>
      <c r="F38" s="333">
        <f>IF(DATE(YEAR($B$6),MONTH($B$6)+1,DAY(1))=E38,1,IF(MONTH(E38)=1,F39*(1+$F$5),F39))</f>
      </c>
      <c r="G38" s="333">
        <f>IF('Simulador - 1º Pilar'!$E$99="Sí",IF('Aportaciones Poliza'!$B$13&lt;'Aportaciones Poliza'!E38,0,F38*$B$8/12),F38*$B$8/12)</f>
      </c>
      <c r="H38" s="333">
        <f>$H$5*G38</f>
      </c>
      <c r="I38" s="333"/>
      <c r="J38" s="333">
        <f>(1+$M$5)^(D38/12)*(H38+IF(AND(F38=1,F39=0),$Q$4,0))</f>
      </c>
      <c r="K38" s="333">
        <f>(1+$M$5)^(D38/12)*(I38)</f>
      </c>
      <c r="L38" s="333">
        <f>K38+J38</f>
      </c>
      <c r="M38" s="170"/>
      <c r="N38" s="7"/>
      <c r="O38" s="1"/>
      <c r="P38" s="331">
        <f>D38</f>
      </c>
      <c r="Q38" s="169"/>
    </row>
    <row x14ac:dyDescent="0.25" r="39" customHeight="1" ht="18.75">
      <c r="A39" s="1"/>
      <c r="B39" s="7"/>
      <c r="C39" s="170"/>
      <c r="D39" s="331">
        <v>32</v>
      </c>
      <c r="E39" s="544">
        <f>+DATE(YEAR(E38),MONTH(E38)-1,DAY(E38))</f>
        <v>25569.041666666668</v>
      </c>
      <c r="F39" s="333">
        <f>IF(DATE(YEAR($B$6),MONTH($B$6)+1,DAY(1))=E39,1,IF(MONTH(E39)=1,F40*(1+$F$5),F40))</f>
      </c>
      <c r="G39" s="333">
        <f>IF('Simulador - 1º Pilar'!$E$99="Sí",IF('Aportaciones Poliza'!$B$13&lt;'Aportaciones Poliza'!E39,0,F39*$B$8/12),F39*$B$8/12)</f>
      </c>
      <c r="H39" s="333">
        <f>$H$5*G39</f>
      </c>
      <c r="I39" s="333"/>
      <c r="J39" s="333">
        <f>(1+$M$5)^(D39/12)*(H39+IF(AND(F39=1,F40=0),$Q$4,0))</f>
      </c>
      <c r="K39" s="333">
        <f>(1+$M$5)^(D39/12)*(I39)</f>
      </c>
      <c r="L39" s="333">
        <f>K39+J39</f>
      </c>
      <c r="M39" s="170"/>
      <c r="N39" s="7"/>
      <c r="O39" s="1"/>
      <c r="P39" s="331">
        <f>D39</f>
      </c>
      <c r="Q39" s="169"/>
    </row>
    <row x14ac:dyDescent="0.25" r="40" customHeight="1" ht="18.75">
      <c r="A40" s="1"/>
      <c r="B40" s="7"/>
      <c r="C40" s="170"/>
      <c r="D40" s="331">
        <v>33</v>
      </c>
      <c r="E40" s="544">
        <f>+DATE(YEAR(E39),MONTH(E39)-1,DAY(E39))</f>
        <v>25569.041666666668</v>
      </c>
      <c r="F40" s="333">
        <f>IF(DATE(YEAR($B$6),MONTH($B$6)+1,DAY(1))=E40,1,IF(MONTH(E40)=1,F41*(1+$F$5),F41))</f>
      </c>
      <c r="G40" s="333">
        <f>IF('Simulador - 1º Pilar'!$E$99="Sí",IF('Aportaciones Poliza'!$B$13&lt;'Aportaciones Poliza'!E40,0,F40*$B$8/12),F40*$B$8/12)</f>
      </c>
      <c r="H40" s="333">
        <f>$H$5*G40</f>
      </c>
      <c r="I40" s="333"/>
      <c r="J40" s="333">
        <f>(1+$M$5)^(D40/12)*(H40+IF(AND(F40=1,F41=0),$Q$4,0))</f>
      </c>
      <c r="K40" s="333">
        <f>(1+$M$5)^(D40/12)*(I40)</f>
      </c>
      <c r="L40" s="333">
        <f>K40+J40</f>
      </c>
      <c r="M40" s="170"/>
      <c r="N40" s="7"/>
      <c r="O40" s="1"/>
      <c r="P40" s="331">
        <f>D40</f>
      </c>
      <c r="Q40" s="169"/>
    </row>
    <row x14ac:dyDescent="0.25" r="41" customHeight="1" ht="18.75">
      <c r="A41" s="1"/>
      <c r="B41" s="7"/>
      <c r="C41" s="170"/>
      <c r="D41" s="331">
        <v>34</v>
      </c>
      <c r="E41" s="544">
        <f>+DATE(YEAR(E40),MONTH(E40)-1,DAY(E40))</f>
        <v>25569.041666666668</v>
      </c>
      <c r="F41" s="333">
        <f>IF(DATE(YEAR($B$6),MONTH($B$6)+1,DAY(1))=E41,1,IF(MONTH(E41)=1,F42*(1+$F$5),F42))</f>
      </c>
      <c r="G41" s="333">
        <f>IF('Simulador - 1º Pilar'!$E$99="Sí",IF('Aportaciones Poliza'!$B$13&lt;'Aportaciones Poliza'!E41,0,F41*$B$8/12),F41*$B$8/12)</f>
      </c>
      <c r="H41" s="333">
        <f>$H$5*G41</f>
      </c>
      <c r="I41" s="333"/>
      <c r="J41" s="333">
        <f>(1+$M$5)^(D41/12)*(H41+IF(AND(F41=1,F42=0),$Q$4,0))</f>
      </c>
      <c r="K41" s="333">
        <f>(1+$M$5)^(D41/12)*(I41)</f>
      </c>
      <c r="L41" s="333">
        <f>K41+J41</f>
      </c>
      <c r="M41" s="170"/>
      <c r="N41" s="7"/>
      <c r="O41" s="1"/>
      <c r="P41" s="331">
        <f>D41</f>
      </c>
      <c r="Q41" s="169"/>
    </row>
    <row x14ac:dyDescent="0.25" r="42" customHeight="1" ht="18.75">
      <c r="A42" s="1"/>
      <c r="B42" s="7"/>
      <c r="C42" s="170"/>
      <c r="D42" s="331">
        <v>35</v>
      </c>
      <c r="E42" s="544">
        <f>+DATE(YEAR(E41),MONTH(E41)-1,DAY(E41))</f>
        <v>25569.041666666668</v>
      </c>
      <c r="F42" s="333">
        <f>IF(DATE(YEAR($B$6),MONTH($B$6)+1,DAY(1))=E42,1,IF(MONTH(E42)=1,F43*(1+$F$5),F43))</f>
      </c>
      <c r="G42" s="333">
        <f>IF('Simulador - 1º Pilar'!$E$99="Sí",IF('Aportaciones Poliza'!$B$13&lt;'Aportaciones Poliza'!E42,0,F42*$B$8/12),F42*$B$8/12)</f>
      </c>
      <c r="H42" s="333">
        <f>$H$5*G42</f>
      </c>
      <c r="I42" s="333"/>
      <c r="J42" s="333">
        <f>(1+$M$5)^(D42/12)*(H42+IF(AND(F42=1,F43=0),$Q$4,0))</f>
      </c>
      <c r="K42" s="333">
        <f>(1+$M$5)^(D42/12)*(I42)</f>
      </c>
      <c r="L42" s="333">
        <f>K42+J42</f>
      </c>
      <c r="M42" s="170"/>
      <c r="N42" s="7"/>
      <c r="O42" s="1"/>
      <c r="P42" s="331">
        <f>D42</f>
      </c>
      <c r="Q42" s="169"/>
    </row>
    <row x14ac:dyDescent="0.25" r="43" customHeight="1" ht="18.75">
      <c r="A43" s="1"/>
      <c r="B43" s="7"/>
      <c r="C43" s="170"/>
      <c r="D43" s="331">
        <v>36</v>
      </c>
      <c r="E43" s="544">
        <f>+DATE(YEAR(E42),MONTH(E42)-1,DAY(E42))</f>
        <v>25569.041666666668</v>
      </c>
      <c r="F43" s="333">
        <f>IF(DATE(YEAR($B$6),MONTH($B$6)+1,DAY(1))=E43,1,IF(MONTH(E43)=1,F44*(1+$F$5),F44))</f>
      </c>
      <c r="G43" s="333">
        <f>IF('Simulador - 1º Pilar'!$E$99="Sí",IF('Aportaciones Poliza'!$B$13&lt;'Aportaciones Poliza'!E43,0,F43*$B$8/12),F43*$B$8/12)</f>
      </c>
      <c r="H43" s="333">
        <f>$H$5*G43</f>
      </c>
      <c r="I43" s="333"/>
      <c r="J43" s="333">
        <f>(1+$M$5)^(D43/12)*(H43+IF(AND(F43=1,F44=0),$Q$4,0))</f>
      </c>
      <c r="K43" s="333">
        <f>(1+$M$5)^(D43/12)*(I43)</f>
      </c>
      <c r="L43" s="333">
        <f>K43+J43</f>
      </c>
      <c r="M43" s="170"/>
      <c r="N43" s="7"/>
      <c r="O43" s="1"/>
      <c r="P43" s="331">
        <f>D43</f>
      </c>
      <c r="Q43" s="169"/>
    </row>
    <row x14ac:dyDescent="0.25" r="44" customHeight="1" ht="18.75">
      <c r="A44" s="1"/>
      <c r="B44" s="7"/>
      <c r="C44" s="170"/>
      <c r="D44" s="331">
        <v>37</v>
      </c>
      <c r="E44" s="544">
        <f>+DATE(YEAR(E43),MONTH(E43)-1,DAY(E43))</f>
        <v>25569.041666666668</v>
      </c>
      <c r="F44" s="333">
        <f>IF(DATE(YEAR($B$6),MONTH($B$6)+1,DAY(1))=E44,1,IF(MONTH(E44)=1,F45*(1+$F$5),F45))</f>
      </c>
      <c r="G44" s="333">
        <f>IF('Simulador - 1º Pilar'!$E$99="Sí",IF('Aportaciones Poliza'!$B$13&lt;'Aportaciones Poliza'!E44,0,F44*$B$8/12),F44*$B$8/12)</f>
      </c>
      <c r="H44" s="333">
        <f>$H$5*G44</f>
      </c>
      <c r="I44" s="333"/>
      <c r="J44" s="333">
        <f>(1+$M$5)^(D44/12)*(H44+IF(AND(F44=1,F45=0),$Q$4,0))</f>
      </c>
      <c r="K44" s="333">
        <f>(1+$M$5)^(D44/12)*(I44)</f>
      </c>
      <c r="L44" s="333">
        <f>K44+J44</f>
      </c>
      <c r="M44" s="170"/>
      <c r="N44" s="7"/>
      <c r="O44" s="1"/>
      <c r="P44" s="331">
        <f>D44</f>
      </c>
      <c r="Q44" s="169"/>
    </row>
    <row x14ac:dyDescent="0.25" r="45" customHeight="1" ht="18.75">
      <c r="A45" s="1"/>
      <c r="B45" s="7"/>
      <c r="C45" s="170"/>
      <c r="D45" s="331">
        <v>38</v>
      </c>
      <c r="E45" s="544">
        <f>+DATE(YEAR(E44),MONTH(E44)-1,DAY(E44))</f>
        <v>25569.041666666668</v>
      </c>
      <c r="F45" s="333">
        <f>IF(DATE(YEAR($B$6),MONTH($B$6)+1,DAY(1))=E45,1,IF(MONTH(E45)=1,F46*(1+$F$5),F46))</f>
      </c>
      <c r="G45" s="333">
        <f>IF('Simulador - 1º Pilar'!$E$99="Sí",IF('Aportaciones Poliza'!$B$13&lt;'Aportaciones Poliza'!E45,0,F45*$B$8/12),F45*$B$8/12)</f>
      </c>
      <c r="H45" s="333">
        <f>$H$5*G45</f>
      </c>
      <c r="I45" s="333"/>
      <c r="J45" s="333">
        <f>(1+$M$5)^(D45/12)*(H45+IF(AND(F45=1,F46=0),$Q$4,0))</f>
      </c>
      <c r="K45" s="333">
        <f>(1+$M$5)^(D45/12)*(I45)</f>
      </c>
      <c r="L45" s="333">
        <f>K45+J45</f>
      </c>
      <c r="M45" s="170"/>
      <c r="N45" s="7"/>
      <c r="O45" s="1"/>
      <c r="P45" s="331">
        <f>D45</f>
      </c>
      <c r="Q45" s="169"/>
    </row>
    <row x14ac:dyDescent="0.25" r="46" customHeight="1" ht="18.75">
      <c r="A46" s="1"/>
      <c r="B46" s="7"/>
      <c r="C46" s="170"/>
      <c r="D46" s="331">
        <v>39</v>
      </c>
      <c r="E46" s="544">
        <f>+DATE(YEAR(E45),MONTH(E45)-1,DAY(E45))</f>
        <v>25569.041666666668</v>
      </c>
      <c r="F46" s="333">
        <f>IF(DATE(YEAR($B$6),MONTH($B$6)+1,DAY(1))=E46,1,IF(MONTH(E46)=1,F47*(1+$F$5),F47))</f>
      </c>
      <c r="G46" s="333">
        <f>IF('Simulador - 1º Pilar'!$E$99="Sí",IF('Aportaciones Poliza'!$B$13&lt;'Aportaciones Poliza'!E46,0,F46*$B$8/12),F46*$B$8/12)</f>
      </c>
      <c r="H46" s="333">
        <f>$H$5*G46</f>
      </c>
      <c r="I46" s="333"/>
      <c r="J46" s="333">
        <f>(1+$M$5)^(D46/12)*(H46+IF(AND(F46=1,F47=0),$Q$4,0))</f>
      </c>
      <c r="K46" s="333">
        <f>(1+$M$5)^(D46/12)*(I46)</f>
      </c>
      <c r="L46" s="333">
        <f>K46+J46</f>
      </c>
      <c r="M46" s="170"/>
      <c r="N46" s="7"/>
      <c r="O46" s="1"/>
      <c r="P46" s="331">
        <f>D46</f>
      </c>
      <c r="Q46" s="169"/>
    </row>
    <row x14ac:dyDescent="0.25" r="47" customHeight="1" ht="18.75">
      <c r="A47" s="1"/>
      <c r="B47" s="7"/>
      <c r="C47" s="170"/>
      <c r="D47" s="331">
        <v>40</v>
      </c>
      <c r="E47" s="544">
        <f>+DATE(YEAR(E46),MONTH(E46)-1,DAY(E46))</f>
        <v>25569.041666666668</v>
      </c>
      <c r="F47" s="333">
        <f>IF(DATE(YEAR($B$6),MONTH($B$6)+1,DAY(1))=E47,1,IF(MONTH(E47)=1,F48*(1+$F$5),F48))</f>
      </c>
      <c r="G47" s="333">
        <f>IF('Simulador - 1º Pilar'!$E$99="Sí",IF('Aportaciones Poliza'!$B$13&lt;'Aportaciones Poliza'!E47,0,F47*$B$8/12),F47*$B$8/12)</f>
      </c>
      <c r="H47" s="333">
        <f>$H$5*G47</f>
      </c>
      <c r="I47" s="333"/>
      <c r="J47" s="333">
        <f>(1+$M$5)^(D47/12)*(H47+IF(AND(F47=1,F48=0),$Q$4,0))</f>
      </c>
      <c r="K47" s="333">
        <f>(1+$M$5)^(D47/12)*(I47)</f>
      </c>
      <c r="L47" s="333">
        <f>K47+J47</f>
      </c>
      <c r="M47" s="170"/>
      <c r="N47" s="7"/>
      <c r="O47" s="1"/>
      <c r="P47" s="331">
        <f>D47</f>
      </c>
      <c r="Q47" s="169"/>
    </row>
    <row x14ac:dyDescent="0.25" r="48" customHeight="1" ht="18.75">
      <c r="A48" s="1"/>
      <c r="B48" s="7"/>
      <c r="C48" s="170"/>
      <c r="D48" s="331">
        <v>41</v>
      </c>
      <c r="E48" s="544">
        <f>+DATE(YEAR(E47),MONTH(E47)-1,DAY(E47))</f>
        <v>25569.041666666668</v>
      </c>
      <c r="F48" s="333">
        <f>IF(DATE(YEAR($B$6),MONTH($B$6)+1,DAY(1))=E48,1,IF(MONTH(E48)=1,F49*(1+$F$5),F49))</f>
      </c>
      <c r="G48" s="333">
        <f>IF('Simulador - 1º Pilar'!$E$99="Sí",IF('Aportaciones Poliza'!$B$13&lt;'Aportaciones Poliza'!E48,0,F48*$B$8/12),F48*$B$8/12)</f>
      </c>
      <c r="H48" s="333">
        <f>$H$5*G48</f>
      </c>
      <c r="I48" s="333"/>
      <c r="J48" s="333">
        <f>(1+$M$5)^(D48/12)*(H48+IF(AND(F48=1,F49=0),$Q$4,0))</f>
      </c>
      <c r="K48" s="333">
        <f>(1+$M$5)^(D48/12)*(I48)</f>
      </c>
      <c r="L48" s="333">
        <f>K48+J48</f>
      </c>
      <c r="M48" s="170"/>
      <c r="N48" s="7"/>
      <c r="O48" s="1"/>
      <c r="P48" s="331">
        <f>D48</f>
      </c>
      <c r="Q48" s="169"/>
    </row>
    <row x14ac:dyDescent="0.25" r="49" customHeight="1" ht="18.75">
      <c r="A49" s="1"/>
      <c r="B49" s="7"/>
      <c r="C49" s="170"/>
      <c r="D49" s="331">
        <v>42</v>
      </c>
      <c r="E49" s="544">
        <f>+DATE(YEAR(E48),MONTH(E48)-1,DAY(E48))</f>
        <v>25569.041666666668</v>
      </c>
      <c r="F49" s="333">
        <f>IF(DATE(YEAR($B$6),MONTH($B$6)+1,DAY(1))=E49,1,IF(MONTH(E49)=1,F50*(1+$F$5),F50))</f>
      </c>
      <c r="G49" s="333">
        <f>IF('Simulador - 1º Pilar'!$E$99="Sí",IF('Aportaciones Poliza'!$B$13&lt;'Aportaciones Poliza'!E49,0,F49*$B$8/12),F49*$B$8/12)</f>
      </c>
      <c r="H49" s="333">
        <f>$H$5*G49</f>
      </c>
      <c r="I49" s="333"/>
      <c r="J49" s="333">
        <f>(1+$M$5)^(D49/12)*(H49+IF(AND(F49=1,F50=0),$Q$4,0))</f>
      </c>
      <c r="K49" s="333">
        <f>(1+$M$5)^(D49/12)*(I49)</f>
      </c>
      <c r="L49" s="333">
        <f>K49+J49</f>
      </c>
      <c r="M49" s="170"/>
      <c r="N49" s="7"/>
      <c r="O49" s="1"/>
      <c r="P49" s="331">
        <f>D49</f>
      </c>
      <c r="Q49" s="169"/>
    </row>
    <row x14ac:dyDescent="0.25" r="50" customHeight="1" ht="18.75">
      <c r="A50" s="1"/>
      <c r="B50" s="7"/>
      <c r="C50" s="170"/>
      <c r="D50" s="331">
        <v>43</v>
      </c>
      <c r="E50" s="544">
        <f>+DATE(YEAR(E49),MONTH(E49)-1,DAY(E49))</f>
        <v>25569.041666666668</v>
      </c>
      <c r="F50" s="333">
        <f>IF(DATE(YEAR($B$6),MONTH($B$6)+1,DAY(1))=E50,1,IF(MONTH(E50)=1,F51*(1+$F$5),F51))</f>
      </c>
      <c r="G50" s="333">
        <f>IF('Simulador - 1º Pilar'!$E$99="Sí",IF('Aportaciones Poliza'!$B$13&lt;'Aportaciones Poliza'!E50,0,F50*$B$8/12),F50*$B$8/12)</f>
      </c>
      <c r="H50" s="333">
        <f>$H$5*G50</f>
      </c>
      <c r="I50" s="333"/>
      <c r="J50" s="333">
        <f>(1+$M$5)^(D50/12)*(H50+IF(AND(F50=1,F51=0),$Q$4,0))</f>
      </c>
      <c r="K50" s="333">
        <f>(1+$M$5)^(D50/12)*(I50)</f>
      </c>
      <c r="L50" s="333">
        <f>K50+J50</f>
      </c>
      <c r="M50" s="170"/>
      <c r="N50" s="7"/>
      <c r="O50" s="1"/>
      <c r="P50" s="331">
        <f>D50</f>
      </c>
      <c r="Q50" s="169"/>
    </row>
    <row x14ac:dyDescent="0.25" r="51" customHeight="1" ht="18.75">
      <c r="A51" s="1"/>
      <c r="B51" s="7"/>
      <c r="C51" s="170"/>
      <c r="D51" s="331">
        <v>44</v>
      </c>
      <c r="E51" s="544">
        <f>+DATE(YEAR(E50),MONTH(E50)-1,DAY(E50))</f>
        <v>25569.041666666668</v>
      </c>
      <c r="F51" s="333">
        <f>IF(DATE(YEAR($B$6),MONTH($B$6)+1,DAY(1))=E51,1,IF(MONTH(E51)=1,F52*(1+$F$5),F52))</f>
      </c>
      <c r="G51" s="333">
        <f>IF('Simulador - 1º Pilar'!$E$99="Sí",IF('Aportaciones Poliza'!$B$13&lt;'Aportaciones Poliza'!E51,0,F51*$B$8/12),F51*$B$8/12)</f>
      </c>
      <c r="H51" s="333">
        <f>$H$5*G51</f>
      </c>
      <c r="I51" s="333"/>
      <c r="J51" s="333">
        <f>(1+$M$5)^(D51/12)*(H51+IF(AND(F51=1,F52=0),$Q$4,0))</f>
      </c>
      <c r="K51" s="333">
        <f>(1+$M$5)^(D51/12)*(I51)</f>
      </c>
      <c r="L51" s="333">
        <f>K51+J51</f>
      </c>
      <c r="M51" s="170"/>
      <c r="N51" s="7"/>
      <c r="O51" s="1"/>
      <c r="P51" s="331">
        <f>D51</f>
      </c>
      <c r="Q51" s="169"/>
    </row>
    <row x14ac:dyDescent="0.25" r="52" customHeight="1" ht="18.75">
      <c r="A52" s="1"/>
      <c r="B52" s="7"/>
      <c r="C52" s="170"/>
      <c r="D52" s="331">
        <v>45</v>
      </c>
      <c r="E52" s="544">
        <f>+DATE(YEAR(E51),MONTH(E51)-1,DAY(E51))</f>
        <v>25569.041666666668</v>
      </c>
      <c r="F52" s="333">
        <f>IF(DATE(YEAR($B$6),MONTH($B$6)+1,DAY(1))=E52,1,IF(MONTH(E52)=1,F53*(1+$F$5),F53))</f>
      </c>
      <c r="G52" s="333">
        <f>IF('Simulador - 1º Pilar'!$E$99="Sí",IF('Aportaciones Poliza'!$B$13&lt;'Aportaciones Poliza'!E52,0,F52*$B$8/12),F52*$B$8/12)</f>
      </c>
      <c r="H52" s="333">
        <f>$H$5*G52</f>
      </c>
      <c r="I52" s="333"/>
      <c r="J52" s="333">
        <f>(1+$M$5)^(D52/12)*(H52+IF(AND(F52=1,F53=0),$Q$4,0))</f>
      </c>
      <c r="K52" s="333">
        <f>(1+$M$5)^(D52/12)*(I52)</f>
      </c>
      <c r="L52" s="333">
        <f>K52+J52</f>
      </c>
      <c r="M52" s="170"/>
      <c r="N52" s="7"/>
      <c r="O52" s="1"/>
      <c r="P52" s="331">
        <f>D52</f>
      </c>
      <c r="Q52" s="169"/>
    </row>
    <row x14ac:dyDescent="0.25" r="53" customHeight="1" ht="18.75">
      <c r="A53" s="1"/>
      <c r="B53" s="7"/>
      <c r="C53" s="170"/>
      <c r="D53" s="331">
        <v>46</v>
      </c>
      <c r="E53" s="544">
        <f>+DATE(YEAR(E52),MONTH(E52)-1,DAY(E52))</f>
        <v>25569.041666666668</v>
      </c>
      <c r="F53" s="333">
        <f>IF(DATE(YEAR($B$6),MONTH($B$6)+1,DAY(1))=E53,1,IF(MONTH(E53)=1,F54*(1+$F$5),F54))</f>
      </c>
      <c r="G53" s="333">
        <f>IF('Simulador - 1º Pilar'!$E$99="Sí",IF('Aportaciones Poliza'!$B$13&lt;'Aportaciones Poliza'!E53,0,F53*$B$8/12),F53*$B$8/12)</f>
      </c>
      <c r="H53" s="333">
        <f>$H$5*G53</f>
      </c>
      <c r="I53" s="333"/>
      <c r="J53" s="333">
        <f>(1+$M$5)^(D53/12)*(H53+IF(AND(F53=1,F54=0),$Q$4,0))</f>
      </c>
      <c r="K53" s="333">
        <f>(1+$M$5)^(D53/12)*(I53)</f>
      </c>
      <c r="L53" s="333">
        <f>K53+J53</f>
      </c>
      <c r="M53" s="170"/>
      <c r="N53" s="7"/>
      <c r="O53" s="1"/>
      <c r="P53" s="331">
        <f>D53</f>
      </c>
      <c r="Q53" s="169"/>
    </row>
    <row x14ac:dyDescent="0.25" r="54" customHeight="1" ht="18.75">
      <c r="A54" s="1"/>
      <c r="B54" s="7"/>
      <c r="C54" s="170"/>
      <c r="D54" s="331">
        <v>47</v>
      </c>
      <c r="E54" s="544">
        <f>+DATE(YEAR(E53),MONTH(E53)-1,DAY(E53))</f>
        <v>25569.041666666668</v>
      </c>
      <c r="F54" s="333">
        <f>IF(DATE(YEAR($B$6),MONTH($B$6)+1,DAY(1))=E54,1,IF(MONTH(E54)=1,F55*(1+$F$5),F55))</f>
      </c>
      <c r="G54" s="333">
        <f>IF('Simulador - 1º Pilar'!$E$99="Sí",IF('Aportaciones Poliza'!$B$13&lt;'Aportaciones Poliza'!E54,0,F54*$B$8/12),F54*$B$8/12)</f>
      </c>
      <c r="H54" s="333">
        <f>$H$5*G54</f>
      </c>
      <c r="I54" s="333"/>
      <c r="J54" s="333">
        <f>(1+$M$5)^(D54/12)*(H54+IF(AND(F54=1,F55=0),$Q$4,0))</f>
      </c>
      <c r="K54" s="333">
        <f>(1+$M$5)^(D54/12)*(I54)</f>
      </c>
      <c r="L54" s="333">
        <f>K54+J54</f>
      </c>
      <c r="M54" s="170"/>
      <c r="N54" s="7"/>
      <c r="O54" s="1"/>
      <c r="P54" s="331">
        <f>D54</f>
      </c>
      <c r="Q54" s="169"/>
    </row>
    <row x14ac:dyDescent="0.25" r="55" customHeight="1" ht="18.75">
      <c r="A55" s="1"/>
      <c r="B55" s="7"/>
      <c r="C55" s="170"/>
      <c r="D55" s="331">
        <v>48</v>
      </c>
      <c r="E55" s="544">
        <f>+DATE(YEAR(E54),MONTH(E54)-1,DAY(E54))</f>
        <v>25569.041666666668</v>
      </c>
      <c r="F55" s="333">
        <f>IF(DATE(YEAR($B$6),MONTH($B$6)+1,DAY(1))=E55,1,IF(MONTH(E55)=1,F56*(1+$F$5),F56))</f>
      </c>
      <c r="G55" s="333">
        <f>IF('Simulador - 1º Pilar'!$E$99="Sí",IF('Aportaciones Poliza'!$B$13&lt;'Aportaciones Poliza'!E55,0,F55*$B$8/12),F55*$B$8/12)</f>
      </c>
      <c r="H55" s="333">
        <f>$H$5*G55</f>
      </c>
      <c r="I55" s="333"/>
      <c r="J55" s="333">
        <f>(1+$M$5)^(D55/12)*(H55+IF(AND(F55=1,F56=0),$Q$4,0))</f>
      </c>
      <c r="K55" s="333">
        <f>(1+$M$5)^(D55/12)*(I55)</f>
      </c>
      <c r="L55" s="333">
        <f>K55+J55</f>
      </c>
      <c r="M55" s="170"/>
      <c r="N55" s="7"/>
      <c r="O55" s="1"/>
      <c r="P55" s="331">
        <f>D55</f>
      </c>
      <c r="Q55" s="169"/>
    </row>
    <row x14ac:dyDescent="0.25" r="56" customHeight="1" ht="18.75">
      <c r="A56" s="1"/>
      <c r="B56" s="7"/>
      <c r="C56" s="170"/>
      <c r="D56" s="331">
        <v>49</v>
      </c>
      <c r="E56" s="544">
        <f>+DATE(YEAR(E55),MONTH(E55)-1,DAY(E55))</f>
        <v>25569.041666666668</v>
      </c>
      <c r="F56" s="333">
        <f>IF(DATE(YEAR($B$6),MONTH($B$6)+1,DAY(1))=E56,1,IF(MONTH(E56)=1,F57*(1+$F$5),F57))</f>
      </c>
      <c r="G56" s="333">
        <f>IF('Simulador - 1º Pilar'!$E$99="Sí",IF('Aportaciones Poliza'!$B$13&lt;'Aportaciones Poliza'!E56,0,F56*$B$8/12),F56*$B$8/12)</f>
      </c>
      <c r="H56" s="333">
        <f>$H$5*G56</f>
      </c>
      <c r="I56" s="333"/>
      <c r="J56" s="333">
        <f>(1+$M$5)^(D56/12)*(H56+IF(AND(F56=1,F57=0),$Q$4,0))</f>
      </c>
      <c r="K56" s="333">
        <f>(1+$M$5)^(D56/12)*(I56)</f>
      </c>
      <c r="L56" s="333">
        <f>K56+J56</f>
      </c>
      <c r="M56" s="170"/>
      <c r="N56" s="7"/>
      <c r="O56" s="1"/>
      <c r="P56" s="331">
        <f>D56</f>
      </c>
      <c r="Q56" s="169"/>
    </row>
    <row x14ac:dyDescent="0.25" r="57" customHeight="1" ht="18.75">
      <c r="A57" s="1"/>
      <c r="B57" s="7"/>
      <c r="C57" s="170"/>
      <c r="D57" s="331">
        <v>50</v>
      </c>
      <c r="E57" s="544">
        <f>+DATE(YEAR(E56),MONTH(E56)-1,DAY(E56))</f>
        <v>25569.041666666668</v>
      </c>
      <c r="F57" s="333">
        <f>IF(DATE(YEAR($B$6),MONTH($B$6)+1,DAY(1))=E57,1,IF(MONTH(E57)=1,F58*(1+$F$5),F58))</f>
      </c>
      <c r="G57" s="333">
        <f>IF('Simulador - 1º Pilar'!$E$99="Sí",IF('Aportaciones Poliza'!$B$13&lt;'Aportaciones Poliza'!E57,0,F57*$B$8/12),F57*$B$8/12)</f>
      </c>
      <c r="H57" s="333">
        <f>$H$5*G57</f>
      </c>
      <c r="I57" s="333"/>
      <c r="J57" s="333">
        <f>(1+$M$5)^(D57/12)*(H57+IF(AND(F57=1,F58=0),$Q$4,0))</f>
      </c>
      <c r="K57" s="333">
        <f>(1+$M$5)^(D57/12)*(I57)</f>
      </c>
      <c r="L57" s="333">
        <f>K57+J57</f>
      </c>
      <c r="M57" s="170"/>
      <c r="N57" s="7"/>
      <c r="O57" s="1"/>
      <c r="P57" s="331">
        <f>D57</f>
      </c>
      <c r="Q57" s="169"/>
    </row>
    <row x14ac:dyDescent="0.25" r="58" customHeight="1" ht="18.75">
      <c r="A58" s="1"/>
      <c r="B58" s="7"/>
      <c r="C58" s="170"/>
      <c r="D58" s="331">
        <v>51</v>
      </c>
      <c r="E58" s="544">
        <f>+DATE(YEAR(E57),MONTH(E57)-1,DAY(E57))</f>
        <v>25569.041666666668</v>
      </c>
      <c r="F58" s="333">
        <f>IF(DATE(YEAR($B$6),MONTH($B$6)+1,DAY(1))=E58,1,IF(MONTH(E58)=1,F59*(1+$F$5),F59))</f>
      </c>
      <c r="G58" s="333">
        <f>IF('Simulador - 1º Pilar'!$E$99="Sí",IF('Aportaciones Poliza'!$B$13&lt;'Aportaciones Poliza'!E58,0,F58*$B$8/12),F58*$B$8/12)</f>
      </c>
      <c r="H58" s="333">
        <f>$H$5*G58</f>
      </c>
      <c r="I58" s="333"/>
      <c r="J58" s="333">
        <f>(1+$M$5)^(D58/12)*(H58+IF(AND(F58=1,F59=0),$Q$4,0))</f>
      </c>
      <c r="K58" s="333">
        <f>(1+$M$5)^(D58/12)*(I58)</f>
      </c>
      <c r="L58" s="333">
        <f>K58+J58</f>
      </c>
      <c r="M58" s="170"/>
      <c r="N58" s="7"/>
      <c r="O58" s="1"/>
      <c r="P58" s="331">
        <f>D58</f>
      </c>
      <c r="Q58" s="169"/>
    </row>
    <row x14ac:dyDescent="0.25" r="59" customHeight="1" ht="18.75">
      <c r="A59" s="1"/>
      <c r="B59" s="7"/>
      <c r="C59" s="170"/>
      <c r="D59" s="331">
        <v>52</v>
      </c>
      <c r="E59" s="544">
        <f>+DATE(YEAR(E58),MONTH(E58)-1,DAY(E58))</f>
        <v>25569.041666666668</v>
      </c>
      <c r="F59" s="333">
        <f>IF(DATE(YEAR($B$6),MONTH($B$6)+1,DAY(1))=E59,1,IF(MONTH(E59)=1,F60*(1+$F$5),F60))</f>
      </c>
      <c r="G59" s="333">
        <f>IF('Simulador - 1º Pilar'!$E$99="Sí",IF('Aportaciones Poliza'!$B$13&lt;'Aportaciones Poliza'!E59,0,F59*$B$8/12),F59*$B$8/12)</f>
      </c>
      <c r="H59" s="333">
        <f>$H$5*G59</f>
      </c>
      <c r="I59" s="333"/>
      <c r="J59" s="333">
        <f>(1+$M$5)^(D59/12)*(H59+IF(AND(F59=1,F60=0),$Q$4,0))</f>
      </c>
      <c r="K59" s="333">
        <f>(1+$M$5)^(D59/12)*(I59)</f>
      </c>
      <c r="L59" s="333">
        <f>K59+J59</f>
      </c>
      <c r="M59" s="170"/>
      <c r="N59" s="7"/>
      <c r="O59" s="1"/>
      <c r="P59" s="331">
        <f>D59</f>
      </c>
      <c r="Q59" s="169"/>
    </row>
    <row x14ac:dyDescent="0.25" r="60" customHeight="1" ht="18.75">
      <c r="A60" s="1"/>
      <c r="B60" s="7"/>
      <c r="C60" s="170"/>
      <c r="D60" s="331">
        <v>53</v>
      </c>
      <c r="E60" s="544">
        <f>+DATE(YEAR(E59),MONTH(E59)-1,DAY(E59))</f>
        <v>25569.041666666668</v>
      </c>
      <c r="F60" s="333">
        <f>IF(DATE(YEAR($B$6),MONTH($B$6)+1,DAY(1))=E60,1,IF(MONTH(E60)=1,F61*(1+$F$5),F61))</f>
      </c>
      <c r="G60" s="333">
        <f>IF('Simulador - 1º Pilar'!$E$99="Sí",IF('Aportaciones Poliza'!$B$13&lt;'Aportaciones Poliza'!E60,0,F60*$B$8/12),F60*$B$8/12)</f>
      </c>
      <c r="H60" s="333">
        <f>$H$5*G60</f>
      </c>
      <c r="I60" s="333"/>
      <c r="J60" s="333">
        <f>(1+$M$5)^(D60/12)*(H60+IF(AND(F60=1,F61=0),$Q$4,0))</f>
      </c>
      <c r="K60" s="333">
        <f>(1+$M$5)^(D60/12)*(I60)</f>
      </c>
      <c r="L60" s="333">
        <f>K60+J60</f>
      </c>
      <c r="M60" s="170"/>
      <c r="N60" s="7"/>
      <c r="O60" s="1"/>
      <c r="P60" s="331">
        <f>D60</f>
      </c>
      <c r="Q60" s="169"/>
    </row>
    <row x14ac:dyDescent="0.25" r="61" customHeight="1" ht="18.75">
      <c r="A61" s="1"/>
      <c r="B61" s="7"/>
      <c r="C61" s="170"/>
      <c r="D61" s="331">
        <v>54</v>
      </c>
      <c r="E61" s="544">
        <f>+DATE(YEAR(E60),MONTH(E60)-1,DAY(E60))</f>
        <v>25569.041666666668</v>
      </c>
      <c r="F61" s="333">
        <f>IF(DATE(YEAR($B$6),MONTH($B$6)+1,DAY(1))=E61,1,IF(MONTH(E61)=1,F62*(1+$F$5),F62))</f>
      </c>
      <c r="G61" s="333">
        <f>IF('Simulador - 1º Pilar'!$E$99="Sí",IF('Aportaciones Poliza'!$B$13&lt;'Aportaciones Poliza'!E61,0,F61*$B$8/12),F61*$B$8/12)</f>
      </c>
      <c r="H61" s="333">
        <f>$H$5*G61</f>
      </c>
      <c r="I61" s="333"/>
      <c r="J61" s="333">
        <f>(1+$M$5)^(D61/12)*(H61+IF(AND(F61=1,F62=0),$Q$4,0))</f>
      </c>
      <c r="K61" s="333">
        <f>(1+$M$5)^(D61/12)*(I61)</f>
      </c>
      <c r="L61" s="333">
        <f>K61+J61</f>
      </c>
      <c r="M61" s="170"/>
      <c r="N61" s="7"/>
      <c r="O61" s="1"/>
      <c r="P61" s="331">
        <f>D61</f>
      </c>
      <c r="Q61" s="169"/>
    </row>
    <row x14ac:dyDescent="0.25" r="62" customHeight="1" ht="18.75">
      <c r="A62" s="1"/>
      <c r="B62" s="7"/>
      <c r="C62" s="170"/>
      <c r="D62" s="331">
        <v>55</v>
      </c>
      <c r="E62" s="544">
        <f>+DATE(YEAR(E61),MONTH(E61)-1,DAY(E61))</f>
        <v>25569.041666666668</v>
      </c>
      <c r="F62" s="333">
        <f>IF(DATE(YEAR($B$6),MONTH($B$6)+1,DAY(1))=E62,1,IF(MONTH(E62)=1,F63*(1+$F$5),F63))</f>
      </c>
      <c r="G62" s="333">
        <f>IF('Simulador - 1º Pilar'!$E$99="Sí",IF('Aportaciones Poliza'!$B$13&lt;'Aportaciones Poliza'!E62,0,F62*$B$8/12),F62*$B$8/12)</f>
      </c>
      <c r="H62" s="333">
        <f>$H$5*G62</f>
      </c>
      <c r="I62" s="333"/>
      <c r="J62" s="333">
        <f>(1+$M$5)^(D62/12)*(H62+IF(AND(F62=1,F63=0),$Q$4,0))</f>
      </c>
      <c r="K62" s="333">
        <f>(1+$M$5)^(D62/12)*(I62)</f>
      </c>
      <c r="L62" s="333">
        <f>K62+J62</f>
      </c>
      <c r="M62" s="170"/>
      <c r="N62" s="7"/>
      <c r="O62" s="1"/>
      <c r="P62" s="331">
        <f>D62</f>
      </c>
      <c r="Q62" s="169"/>
    </row>
    <row x14ac:dyDescent="0.25" r="63" customHeight="1" ht="18.75">
      <c r="A63" s="1"/>
      <c r="B63" s="7"/>
      <c r="C63" s="170"/>
      <c r="D63" s="331">
        <v>56</v>
      </c>
      <c r="E63" s="544">
        <f>+DATE(YEAR(E62),MONTH(E62)-1,DAY(E62))</f>
        <v>25569.041666666668</v>
      </c>
      <c r="F63" s="333">
        <f>IF(DATE(YEAR($B$6),MONTH($B$6)+1,DAY(1))=E63,1,IF(MONTH(E63)=1,F64*(1+$F$5),F64))</f>
      </c>
      <c r="G63" s="333">
        <f>IF('Simulador - 1º Pilar'!$E$99="Sí",IF('Aportaciones Poliza'!$B$13&lt;'Aportaciones Poliza'!E63,0,F63*$B$8/12),F63*$B$8/12)</f>
      </c>
      <c r="H63" s="333">
        <f>$H$5*G63</f>
      </c>
      <c r="I63" s="333"/>
      <c r="J63" s="333">
        <f>(1+$M$5)^(D63/12)*(H63+IF(AND(F63=1,F64=0),$Q$4,0))</f>
      </c>
      <c r="K63" s="333">
        <f>(1+$M$5)^(D63/12)*(I63)</f>
      </c>
      <c r="L63" s="333">
        <f>K63+J63</f>
      </c>
      <c r="M63" s="170"/>
      <c r="N63" s="7"/>
      <c r="O63" s="1"/>
      <c r="P63" s="331">
        <f>D63</f>
      </c>
      <c r="Q63" s="169"/>
    </row>
    <row x14ac:dyDescent="0.25" r="64" customHeight="1" ht="18.75">
      <c r="A64" s="1"/>
      <c r="B64" s="7"/>
      <c r="C64" s="170"/>
      <c r="D64" s="331">
        <v>57</v>
      </c>
      <c r="E64" s="544">
        <f>+DATE(YEAR(E63),MONTH(E63)-1,DAY(E63))</f>
        <v>25569.041666666668</v>
      </c>
      <c r="F64" s="333">
        <f>IF(DATE(YEAR($B$6),MONTH($B$6)+1,DAY(1))=E64,1,IF(MONTH(E64)=1,F65*(1+$F$5),F65))</f>
      </c>
      <c r="G64" s="333">
        <f>IF('Simulador - 1º Pilar'!$E$99="Sí",IF('Aportaciones Poliza'!$B$13&lt;'Aportaciones Poliza'!E64,0,F64*$B$8/12),F64*$B$8/12)</f>
      </c>
      <c r="H64" s="333">
        <f>$H$5*G64</f>
      </c>
      <c r="I64" s="333"/>
      <c r="J64" s="333">
        <f>(1+$M$5)^(D64/12)*(H64+IF(AND(F64=1,F65=0),$Q$4,0))</f>
      </c>
      <c r="K64" s="333">
        <f>(1+$M$5)^(D64/12)*(I64)</f>
      </c>
      <c r="L64" s="333">
        <f>K64+J64</f>
      </c>
      <c r="M64" s="170"/>
      <c r="N64" s="7"/>
      <c r="O64" s="1"/>
      <c r="P64" s="331">
        <f>D64</f>
      </c>
      <c r="Q64" s="169"/>
    </row>
    <row x14ac:dyDescent="0.25" r="65" customHeight="1" ht="18.75">
      <c r="A65" s="1"/>
      <c r="B65" s="7"/>
      <c r="C65" s="170"/>
      <c r="D65" s="331">
        <v>58</v>
      </c>
      <c r="E65" s="544">
        <f>+DATE(YEAR(E64),MONTH(E64)-1,DAY(E64))</f>
        <v>25569.041666666668</v>
      </c>
      <c r="F65" s="333">
        <f>IF(DATE(YEAR($B$6),MONTH($B$6)+1,DAY(1))=E65,1,IF(MONTH(E65)=1,F66*(1+$F$5),F66))</f>
      </c>
      <c r="G65" s="333">
        <f>IF('Simulador - 1º Pilar'!$E$99="Sí",IF('Aportaciones Poliza'!$B$13&lt;'Aportaciones Poliza'!E65,0,F65*$B$8/12),F65*$B$8/12)</f>
      </c>
      <c r="H65" s="333">
        <f>$H$5*G65</f>
      </c>
      <c r="I65" s="333"/>
      <c r="J65" s="333">
        <f>(1+$M$5)^(D65/12)*(H65+IF(AND(F65=1,F66=0),$Q$4,0))</f>
      </c>
      <c r="K65" s="333">
        <f>(1+$M$5)^(D65/12)*(I65)</f>
      </c>
      <c r="L65" s="333">
        <f>K65+J65</f>
      </c>
      <c r="M65" s="170"/>
      <c r="N65" s="7"/>
      <c r="O65" s="1"/>
      <c r="P65" s="331">
        <f>D65</f>
      </c>
      <c r="Q65" s="169"/>
    </row>
    <row x14ac:dyDescent="0.25" r="66" customHeight="1" ht="18.75">
      <c r="A66" s="1"/>
      <c r="B66" s="7"/>
      <c r="C66" s="170"/>
      <c r="D66" s="331">
        <v>59</v>
      </c>
      <c r="E66" s="544">
        <f>+DATE(YEAR(E65),MONTH(E65)-1,DAY(E65))</f>
        <v>25569.041666666668</v>
      </c>
      <c r="F66" s="333">
        <f>IF(DATE(YEAR($B$6),MONTH($B$6)+1,DAY(1))=E66,1,IF(MONTH(E66)=1,F67*(1+$F$5),F67))</f>
      </c>
      <c r="G66" s="333">
        <f>IF('Simulador - 1º Pilar'!$E$99="Sí",IF('Aportaciones Poliza'!$B$13&lt;'Aportaciones Poliza'!E66,0,F66*$B$8/12),F66*$B$8/12)</f>
      </c>
      <c r="H66" s="333">
        <f>$H$5*G66</f>
      </c>
      <c r="I66" s="333"/>
      <c r="J66" s="333">
        <f>(1+$M$5)^(D66/12)*(H66+IF(AND(F66=1,F67=0),$Q$4,0))</f>
      </c>
      <c r="K66" s="333">
        <f>(1+$M$5)^(D66/12)*(I66)</f>
      </c>
      <c r="L66" s="333">
        <f>K66+J66</f>
      </c>
      <c r="M66" s="170"/>
      <c r="N66" s="7"/>
      <c r="O66" s="1"/>
      <c r="P66" s="331">
        <f>D66</f>
      </c>
      <c r="Q66" s="169"/>
    </row>
    <row x14ac:dyDescent="0.25" r="67" customHeight="1" ht="18.75">
      <c r="A67" s="1"/>
      <c r="B67" s="7"/>
      <c r="C67" s="170"/>
      <c r="D67" s="331">
        <v>60</v>
      </c>
      <c r="E67" s="544">
        <f>+DATE(YEAR(E66),MONTH(E66)-1,DAY(E66))</f>
        <v>25569.041666666668</v>
      </c>
      <c r="F67" s="333">
        <f>IF(DATE(YEAR($B$6),MONTH($B$6)+1,DAY(1))=E67,1,IF(MONTH(E67)=1,F68*(1+$F$5),F68))</f>
      </c>
      <c r="G67" s="333">
        <f>IF('Simulador - 1º Pilar'!$E$99="Sí",IF('Aportaciones Poliza'!$B$13&lt;'Aportaciones Poliza'!E67,0,F67*$B$8/12),F67*$B$8/12)</f>
      </c>
      <c r="H67" s="333">
        <f>$H$5*G67</f>
      </c>
      <c r="I67" s="333"/>
      <c r="J67" s="333">
        <f>(1+$M$5)^(D67/12)*(H67+IF(AND(F67=1,F68=0),$Q$4,0))</f>
      </c>
      <c r="K67" s="333">
        <f>(1+$M$5)^(D67/12)*(I67)</f>
      </c>
      <c r="L67" s="333">
        <f>K67+J67</f>
      </c>
      <c r="M67" s="170"/>
      <c r="N67" s="7"/>
      <c r="O67" s="1"/>
      <c r="P67" s="331">
        <f>D67</f>
      </c>
      <c r="Q67" s="169"/>
    </row>
    <row x14ac:dyDescent="0.25" r="68" customHeight="1" ht="18.75">
      <c r="A68" s="1"/>
      <c r="B68" s="7"/>
      <c r="C68" s="170"/>
      <c r="D68" s="331">
        <v>61</v>
      </c>
      <c r="E68" s="544">
        <f>+DATE(YEAR(E67),MONTH(E67)-1,DAY(E67))</f>
        <v>25569.041666666668</v>
      </c>
      <c r="F68" s="333">
        <f>IF(DATE(YEAR($B$6),MONTH($B$6)+1,DAY(1))=E68,1,IF(MONTH(E68)=1,F69*(1+$F$5),F69))</f>
      </c>
      <c r="G68" s="333">
        <f>IF('Simulador - 1º Pilar'!$E$99="Sí",IF('Aportaciones Poliza'!$B$13&lt;'Aportaciones Poliza'!E68,0,F68*$B$8/12),F68*$B$8/12)</f>
      </c>
      <c r="H68" s="333">
        <f>$H$5*G68</f>
      </c>
      <c r="I68" s="333"/>
      <c r="J68" s="333">
        <f>(1+$M$5)^(D68/12)*(H68+IF(AND(F68=1,F69=0),$Q$4,0))</f>
      </c>
      <c r="K68" s="333">
        <f>(1+$M$5)^(D68/12)*(I68)</f>
      </c>
      <c r="L68" s="333">
        <f>K68+J68</f>
      </c>
      <c r="M68" s="170"/>
      <c r="N68" s="7"/>
      <c r="O68" s="1"/>
      <c r="P68" s="331">
        <f>D68</f>
      </c>
      <c r="Q68" s="169"/>
    </row>
    <row x14ac:dyDescent="0.25" r="69" customHeight="1" ht="18.75">
      <c r="A69" s="1"/>
      <c r="B69" s="7"/>
      <c r="C69" s="170"/>
      <c r="D69" s="331">
        <v>62</v>
      </c>
      <c r="E69" s="544">
        <f>+DATE(YEAR(E68),MONTH(E68)-1,DAY(E68))</f>
        <v>25569.041666666668</v>
      </c>
      <c r="F69" s="333">
        <f>IF(DATE(YEAR($B$6),MONTH($B$6)+1,DAY(1))=E69,1,IF(MONTH(E69)=1,F70*(1+$F$5),F70))</f>
      </c>
      <c r="G69" s="333">
        <f>IF('Simulador - 1º Pilar'!$E$99="Sí",IF('Aportaciones Poliza'!$B$13&lt;'Aportaciones Poliza'!E69,0,F69*$B$8/12),F69*$B$8/12)</f>
      </c>
      <c r="H69" s="333">
        <f>$H$5*G69</f>
      </c>
      <c r="I69" s="333"/>
      <c r="J69" s="333">
        <f>(1+$M$5)^(D69/12)*(H69+IF(AND(F69=1,F70=0),$Q$4,0))</f>
      </c>
      <c r="K69" s="333">
        <f>(1+$M$5)^(D69/12)*(I69)</f>
      </c>
      <c r="L69" s="333">
        <f>K69+J69</f>
      </c>
      <c r="M69" s="170"/>
      <c r="N69" s="7"/>
      <c r="O69" s="1"/>
      <c r="P69" s="331">
        <f>D69</f>
      </c>
      <c r="Q69" s="169"/>
    </row>
    <row x14ac:dyDescent="0.25" r="70" customHeight="1" ht="18.75">
      <c r="A70" s="1"/>
      <c r="B70" s="7"/>
      <c r="C70" s="170"/>
      <c r="D70" s="331">
        <v>63</v>
      </c>
      <c r="E70" s="544">
        <f>+DATE(YEAR(E69),MONTH(E69)-1,DAY(E69))</f>
        <v>25569.041666666668</v>
      </c>
      <c r="F70" s="333">
        <f>IF(DATE(YEAR($B$6),MONTH($B$6)+1,DAY(1))=E70,1,IF(MONTH(E70)=1,F71*(1+$F$5),F71))</f>
      </c>
      <c r="G70" s="333">
        <f>IF('Simulador - 1º Pilar'!$E$99="Sí",IF('Aportaciones Poliza'!$B$13&lt;'Aportaciones Poliza'!E70,0,F70*$B$8/12),F70*$B$8/12)</f>
      </c>
      <c r="H70" s="333">
        <f>$H$5*G70</f>
      </c>
      <c r="I70" s="333"/>
      <c r="J70" s="333">
        <f>(1+$M$5)^(D70/12)*(H70+IF(AND(F70=1,F71=0),$Q$4,0))</f>
      </c>
      <c r="K70" s="333">
        <f>(1+$M$5)^(D70/12)*(I70)</f>
      </c>
      <c r="L70" s="333">
        <f>K70+J70</f>
      </c>
      <c r="M70" s="170"/>
      <c r="N70" s="7"/>
      <c r="O70" s="1"/>
      <c r="P70" s="331">
        <f>D70</f>
      </c>
      <c r="Q70" s="169"/>
    </row>
    <row x14ac:dyDescent="0.25" r="71" customHeight="1" ht="18.75">
      <c r="A71" s="1"/>
      <c r="B71" s="7"/>
      <c r="C71" s="170"/>
      <c r="D71" s="331">
        <v>64</v>
      </c>
      <c r="E71" s="544">
        <f>+DATE(YEAR(E70),MONTH(E70)-1,DAY(E70))</f>
        <v>25569.041666666668</v>
      </c>
      <c r="F71" s="333">
        <f>IF(DATE(YEAR($B$6),MONTH($B$6)+1,DAY(1))=E71,1,IF(MONTH(E71)=1,F72*(1+$F$5),F72))</f>
      </c>
      <c r="G71" s="333">
        <f>IF('Simulador - 1º Pilar'!$E$99="Sí",IF('Aportaciones Poliza'!$B$13&lt;'Aportaciones Poliza'!E71,0,F71*$B$8/12),F71*$B$8/12)</f>
      </c>
      <c r="H71" s="333">
        <f>$H$5*G71</f>
      </c>
      <c r="I71" s="333"/>
      <c r="J71" s="333">
        <f>(1+$M$5)^(D71/12)*(H71+IF(AND(F71=1,F72=0),$Q$4,0))</f>
      </c>
      <c r="K71" s="333">
        <f>(1+$M$5)^(D71/12)*(I71)</f>
      </c>
      <c r="L71" s="333">
        <f>K71+J71</f>
      </c>
      <c r="M71" s="170"/>
      <c r="N71" s="7"/>
      <c r="O71" s="1"/>
      <c r="P71" s="331">
        <f>D71</f>
      </c>
      <c r="Q71" s="169"/>
    </row>
    <row x14ac:dyDescent="0.25" r="72" customHeight="1" ht="18.75">
      <c r="A72" s="1"/>
      <c r="B72" s="7"/>
      <c r="C72" s="170"/>
      <c r="D72" s="331">
        <v>65</v>
      </c>
      <c r="E72" s="544">
        <f>+DATE(YEAR(E71),MONTH(E71)-1,DAY(E71))</f>
        <v>25569.041666666668</v>
      </c>
      <c r="F72" s="333">
        <f>IF(DATE(YEAR($B$6),MONTH($B$6)+1,DAY(1))=E72,1,IF(MONTH(E72)=1,F73*(1+$F$5),F73))</f>
      </c>
      <c r="G72" s="333">
        <f>IF('Simulador - 1º Pilar'!$E$99="Sí",IF('Aportaciones Poliza'!$B$13&lt;'Aportaciones Poliza'!E72,0,F72*$B$8/12),F72*$B$8/12)</f>
      </c>
      <c r="H72" s="333">
        <f>$H$5*G72</f>
      </c>
      <c r="I72" s="333"/>
      <c r="J72" s="333">
        <f>(1+$M$5)^(D72/12)*(H72+IF(AND(F72=1,F73=0),$Q$4,0))</f>
      </c>
      <c r="K72" s="333">
        <f>(1+$M$5)^(D72/12)*(I72)</f>
      </c>
      <c r="L72" s="333">
        <f>K72+J72</f>
      </c>
      <c r="M72" s="170"/>
      <c r="N72" s="7"/>
      <c r="O72" s="1"/>
      <c r="P72" s="331">
        <f>D72</f>
      </c>
      <c r="Q72" s="169"/>
    </row>
    <row x14ac:dyDescent="0.25" r="73" customHeight="1" ht="18.75">
      <c r="A73" s="1"/>
      <c r="B73" s="7"/>
      <c r="C73" s="170"/>
      <c r="D73" s="331">
        <v>66</v>
      </c>
      <c r="E73" s="544">
        <f>+DATE(YEAR(E72),MONTH(E72)-1,DAY(E72))</f>
        <v>25569.041666666668</v>
      </c>
      <c r="F73" s="333">
        <f>IF(DATE(YEAR($B$6),MONTH($B$6)+1,DAY(1))=E73,1,IF(MONTH(E73)=1,F74*(1+$F$5),F74))</f>
      </c>
      <c r="G73" s="333">
        <f>IF('Simulador - 1º Pilar'!$E$99="Sí",IF('Aportaciones Poliza'!$B$13&lt;'Aportaciones Poliza'!E73,0,F73*$B$8/12),F73*$B$8/12)</f>
      </c>
      <c r="H73" s="333">
        <f>$H$5*G73</f>
      </c>
      <c r="I73" s="333"/>
      <c r="J73" s="333">
        <f>(1+$M$5)^(D73/12)*(H73+IF(AND(F73=1,F74=0),$Q$4,0))</f>
      </c>
      <c r="K73" s="333">
        <f>(1+$M$5)^(D73/12)*(I73)</f>
      </c>
      <c r="L73" s="333">
        <f>K73+J73</f>
      </c>
      <c r="M73" s="170"/>
      <c r="N73" s="7"/>
      <c r="O73" s="1"/>
      <c r="P73" s="331">
        <f>D73</f>
      </c>
      <c r="Q73" s="169"/>
    </row>
    <row x14ac:dyDescent="0.25" r="74" customHeight="1" ht="18.75">
      <c r="A74" s="1"/>
      <c r="B74" s="7"/>
      <c r="C74" s="170"/>
      <c r="D74" s="331">
        <v>67</v>
      </c>
      <c r="E74" s="544">
        <f>+DATE(YEAR(E73),MONTH(E73)-1,DAY(E73))</f>
        <v>25569.041666666668</v>
      </c>
      <c r="F74" s="333">
        <f>IF(DATE(YEAR($B$6),MONTH($B$6)+1,DAY(1))=E74,1,IF(MONTH(E74)=1,F75*(1+$F$5),F75))</f>
      </c>
      <c r="G74" s="333">
        <f>IF('Simulador - 1º Pilar'!$E$99="Sí",IF('Aportaciones Poliza'!$B$13&lt;'Aportaciones Poliza'!E74,0,F74*$B$8/12),F74*$B$8/12)</f>
      </c>
      <c r="H74" s="333">
        <f>$H$5*G74</f>
      </c>
      <c r="I74" s="333"/>
      <c r="J74" s="333">
        <f>(1+$M$5)^(D74/12)*(H74+IF(AND(F74=1,F75=0),$Q$4,0))</f>
      </c>
      <c r="K74" s="333">
        <f>(1+$M$5)^(D74/12)*(I74)</f>
      </c>
      <c r="L74" s="333">
        <f>K74+J74</f>
      </c>
      <c r="M74" s="170"/>
      <c r="N74" s="7"/>
      <c r="O74" s="1"/>
      <c r="P74" s="331">
        <f>D74</f>
      </c>
      <c r="Q74" s="169"/>
    </row>
    <row x14ac:dyDescent="0.25" r="75" customHeight="1" ht="18.75">
      <c r="A75" s="1"/>
      <c r="B75" s="7"/>
      <c r="C75" s="170"/>
      <c r="D75" s="331">
        <v>68</v>
      </c>
      <c r="E75" s="544">
        <f>+DATE(YEAR(E74),MONTH(E74)-1,DAY(E74))</f>
        <v>25569.041666666668</v>
      </c>
      <c r="F75" s="333">
        <f>IF(DATE(YEAR($B$6),MONTH($B$6)+1,DAY(1))=E75,1,IF(MONTH(E75)=1,F76*(1+$F$5),F76))</f>
      </c>
      <c r="G75" s="333">
        <f>IF('Simulador - 1º Pilar'!$E$99="Sí",IF('Aportaciones Poliza'!$B$13&lt;'Aportaciones Poliza'!E75,0,F75*$B$8/12),F75*$B$8/12)</f>
      </c>
      <c r="H75" s="333">
        <f>$H$5*G75</f>
      </c>
      <c r="I75" s="333"/>
      <c r="J75" s="333">
        <f>(1+$M$5)^(D75/12)*(H75+IF(AND(F75=1,F76=0),$Q$4,0))</f>
      </c>
      <c r="K75" s="333">
        <f>(1+$M$5)^(D75/12)*(I75)</f>
      </c>
      <c r="L75" s="333">
        <f>K75+J75</f>
      </c>
      <c r="M75" s="170"/>
      <c r="N75" s="7"/>
      <c r="O75" s="1"/>
      <c r="P75" s="331">
        <f>D75</f>
      </c>
      <c r="Q75" s="169"/>
    </row>
    <row x14ac:dyDescent="0.25" r="76" customHeight="1" ht="18.75">
      <c r="A76" s="1"/>
      <c r="B76" s="7"/>
      <c r="C76" s="170"/>
      <c r="D76" s="331">
        <v>69</v>
      </c>
      <c r="E76" s="544">
        <f>+DATE(YEAR(E75),MONTH(E75)-1,DAY(E75))</f>
        <v>25569.041666666668</v>
      </c>
      <c r="F76" s="333">
        <f>IF(DATE(YEAR($B$6),MONTH($B$6)+1,DAY(1))=E76,1,IF(MONTH(E76)=1,F77*(1+$F$5),F77))</f>
      </c>
      <c r="G76" s="333">
        <f>IF('Simulador - 1º Pilar'!$E$99="Sí",IF('Aportaciones Poliza'!$B$13&lt;'Aportaciones Poliza'!E76,0,F76*$B$8/12),F76*$B$8/12)</f>
      </c>
      <c r="H76" s="333">
        <f>$H$5*G76</f>
      </c>
      <c r="I76" s="333"/>
      <c r="J76" s="333">
        <f>(1+$M$5)^(D76/12)*(H76+IF(AND(F76=1,F77=0),$Q$4,0))</f>
      </c>
      <c r="K76" s="333">
        <f>(1+$M$5)^(D76/12)*(I76)</f>
      </c>
      <c r="L76" s="333">
        <f>K76+J76</f>
      </c>
      <c r="M76" s="170"/>
      <c r="N76" s="7"/>
      <c r="O76" s="1"/>
      <c r="P76" s="331">
        <f>D76</f>
      </c>
      <c r="Q76" s="169"/>
    </row>
    <row x14ac:dyDescent="0.25" r="77" customHeight="1" ht="18.75">
      <c r="A77" s="1"/>
      <c r="B77" s="7"/>
      <c r="C77" s="170"/>
      <c r="D77" s="331">
        <v>70</v>
      </c>
      <c r="E77" s="544">
        <f>+DATE(YEAR(E76),MONTH(E76)-1,DAY(E76))</f>
        <v>25569.041666666668</v>
      </c>
      <c r="F77" s="333">
        <f>IF(DATE(YEAR($B$6),MONTH($B$6)+1,DAY(1))=E77,1,IF(MONTH(E77)=1,F78*(1+$F$5),F78))</f>
      </c>
      <c r="G77" s="333">
        <f>IF('Simulador - 1º Pilar'!$E$99="Sí",IF('Aportaciones Poliza'!$B$13&lt;'Aportaciones Poliza'!E77,0,F77*$B$8/12),F77*$B$8/12)</f>
      </c>
      <c r="H77" s="333">
        <f>$H$5*G77</f>
      </c>
      <c r="I77" s="333"/>
      <c r="J77" s="333">
        <f>(1+$M$5)^(D77/12)*(H77+IF(AND(F77=1,F78=0),$Q$4,0))</f>
      </c>
      <c r="K77" s="333">
        <f>(1+$M$5)^(D77/12)*(I77)</f>
      </c>
      <c r="L77" s="333">
        <f>K77+J77</f>
      </c>
      <c r="M77" s="170"/>
      <c r="N77" s="7"/>
      <c r="O77" s="1"/>
      <c r="P77" s="331">
        <f>D77</f>
      </c>
      <c r="Q77" s="169"/>
    </row>
    <row x14ac:dyDescent="0.25" r="78" customHeight="1" ht="18.75">
      <c r="A78" s="1"/>
      <c r="B78" s="7"/>
      <c r="C78" s="170"/>
      <c r="D78" s="331">
        <v>71</v>
      </c>
      <c r="E78" s="544">
        <f>+DATE(YEAR(E77),MONTH(E77)-1,DAY(E77))</f>
        <v>25569.041666666668</v>
      </c>
      <c r="F78" s="333">
        <f>IF(DATE(YEAR($B$6),MONTH($B$6)+1,DAY(1))=E78,1,IF(MONTH(E78)=1,F79*(1+$F$5),F79))</f>
      </c>
      <c r="G78" s="333">
        <f>IF('Simulador - 1º Pilar'!$E$99="Sí",IF('Aportaciones Poliza'!$B$13&lt;'Aportaciones Poliza'!E78,0,F78*$B$8/12),F78*$B$8/12)</f>
      </c>
      <c r="H78" s="333">
        <f>$H$5*G78</f>
      </c>
      <c r="I78" s="333"/>
      <c r="J78" s="333">
        <f>(1+$M$5)^(D78/12)*(H78+IF(AND(F78=1,F79=0),$Q$4,0))</f>
      </c>
      <c r="K78" s="333">
        <f>(1+$M$5)^(D78/12)*(I78)</f>
      </c>
      <c r="L78" s="333">
        <f>K78+J78</f>
      </c>
      <c r="M78" s="170"/>
      <c r="N78" s="7"/>
      <c r="O78" s="1"/>
      <c r="P78" s="331">
        <f>D78</f>
      </c>
      <c r="Q78" s="169"/>
    </row>
    <row x14ac:dyDescent="0.25" r="79" customHeight="1" ht="18.75">
      <c r="A79" s="1"/>
      <c r="B79" s="7"/>
      <c r="C79" s="170"/>
      <c r="D79" s="331">
        <v>72</v>
      </c>
      <c r="E79" s="544">
        <f>+DATE(YEAR(E78),MONTH(E78)-1,DAY(E78))</f>
        <v>25569.041666666668</v>
      </c>
      <c r="F79" s="333">
        <f>IF(DATE(YEAR($B$6),MONTH($B$6)+1,DAY(1))=E79,1,IF(MONTH(E79)=1,F80*(1+$F$5),F80))</f>
      </c>
      <c r="G79" s="333">
        <f>IF('Simulador - 1º Pilar'!$E$99="Sí",IF('Aportaciones Poliza'!$B$13&lt;'Aportaciones Poliza'!E79,0,F79*$B$8/12),F79*$B$8/12)</f>
      </c>
      <c r="H79" s="333">
        <f>$H$5*G79</f>
      </c>
      <c r="I79" s="333"/>
      <c r="J79" s="333">
        <f>(1+$M$5)^(D79/12)*(H79+IF(AND(F79=1,F80=0),$Q$4,0))</f>
      </c>
      <c r="K79" s="333">
        <f>(1+$M$5)^(D79/12)*(I79)</f>
      </c>
      <c r="L79" s="333">
        <f>K79+J79</f>
      </c>
      <c r="M79" s="170"/>
      <c r="N79" s="7"/>
      <c r="O79" s="1"/>
      <c r="P79" s="331">
        <f>D79</f>
      </c>
      <c r="Q79" s="169"/>
    </row>
    <row x14ac:dyDescent="0.25" r="80" customHeight="1" ht="18.75">
      <c r="A80" s="1"/>
      <c r="B80" s="7"/>
      <c r="C80" s="170"/>
      <c r="D80" s="331">
        <v>73</v>
      </c>
      <c r="E80" s="544">
        <f>+DATE(YEAR(E79),MONTH(E79)-1,DAY(E79))</f>
        <v>25569.041666666668</v>
      </c>
      <c r="F80" s="333">
        <f>IF(DATE(YEAR($B$6),MONTH($B$6)+1,DAY(1))=E80,1,IF(MONTH(E80)=1,F81*(1+$F$5),F81))</f>
      </c>
      <c r="G80" s="333">
        <f>IF('Simulador - 1º Pilar'!$E$99="Sí",IF('Aportaciones Poliza'!$B$13&lt;'Aportaciones Poliza'!E80,0,F80*$B$8/12),F80*$B$8/12)</f>
      </c>
      <c r="H80" s="333">
        <f>$H$5*G80</f>
      </c>
      <c r="I80" s="333"/>
      <c r="J80" s="333">
        <f>(1+$M$5)^(D80/12)*(H80+IF(AND(F80=1,F81=0),$Q$4,0))</f>
      </c>
      <c r="K80" s="333">
        <f>(1+$M$5)^(D80/12)*(I80)</f>
      </c>
      <c r="L80" s="333">
        <f>K80+J80</f>
      </c>
      <c r="M80" s="170"/>
      <c r="N80" s="7"/>
      <c r="O80" s="1"/>
      <c r="P80" s="331">
        <f>D80</f>
      </c>
      <c r="Q80" s="169"/>
    </row>
    <row x14ac:dyDescent="0.25" r="81" customHeight="1" ht="18.75">
      <c r="A81" s="1"/>
      <c r="B81" s="7"/>
      <c r="C81" s="170"/>
      <c r="D81" s="331">
        <v>74</v>
      </c>
      <c r="E81" s="544">
        <f>+DATE(YEAR(E80),MONTH(E80)-1,DAY(E80))</f>
        <v>25569.041666666668</v>
      </c>
      <c r="F81" s="333">
        <f>IF(DATE(YEAR($B$6),MONTH($B$6)+1,DAY(1))=E81,1,IF(MONTH(E81)=1,F82*(1+$F$5),F82))</f>
      </c>
      <c r="G81" s="333">
        <f>IF('Simulador - 1º Pilar'!$E$99="Sí",IF('Aportaciones Poliza'!$B$13&lt;'Aportaciones Poliza'!E81,0,F81*$B$8/12),F81*$B$8/12)</f>
      </c>
      <c r="H81" s="333">
        <f>$H$5*G81</f>
      </c>
      <c r="I81" s="333"/>
      <c r="J81" s="333">
        <f>(1+$M$5)^(D81/12)*(H81+IF(AND(F81=1,F82=0),$Q$4,0))</f>
      </c>
      <c r="K81" s="333">
        <f>(1+$M$5)^(D81/12)*(I81)</f>
      </c>
      <c r="L81" s="333">
        <f>K81+J81</f>
      </c>
      <c r="M81" s="170"/>
      <c r="N81" s="7"/>
      <c r="O81" s="1"/>
      <c r="P81" s="331">
        <f>D81</f>
      </c>
      <c r="Q81" s="169"/>
    </row>
    <row x14ac:dyDescent="0.25" r="82" customHeight="1" ht="18.75">
      <c r="A82" s="1"/>
      <c r="B82" s="7"/>
      <c r="C82" s="170"/>
      <c r="D82" s="331">
        <v>75</v>
      </c>
      <c r="E82" s="544">
        <f>+DATE(YEAR(E81),MONTH(E81)-1,DAY(E81))</f>
        <v>25569.041666666668</v>
      </c>
      <c r="F82" s="333">
        <f>IF(DATE(YEAR($B$6),MONTH($B$6)+1,DAY(1))=E82,1,IF(MONTH(E82)=1,F83*(1+$F$5),F83))</f>
      </c>
      <c r="G82" s="333">
        <f>IF('Simulador - 1º Pilar'!$E$99="Sí",IF('Aportaciones Poliza'!$B$13&lt;'Aportaciones Poliza'!E82,0,F82*$B$8/12),F82*$B$8/12)</f>
      </c>
      <c r="H82" s="333">
        <f>$H$5*G82</f>
      </c>
      <c r="I82" s="333"/>
      <c r="J82" s="333">
        <f>(1+$M$5)^(D82/12)*(H82+IF(AND(F82=1,F83=0),$Q$4,0))</f>
      </c>
      <c r="K82" s="333">
        <f>(1+$M$5)^(D82/12)*(I82)</f>
      </c>
      <c r="L82" s="333">
        <f>K82+J82</f>
      </c>
      <c r="M82" s="170"/>
      <c r="N82" s="7"/>
      <c r="O82" s="1"/>
      <c r="P82" s="331">
        <f>D82</f>
      </c>
      <c r="Q82" s="169"/>
    </row>
    <row x14ac:dyDescent="0.25" r="83" customHeight="1" ht="18.75">
      <c r="A83" s="1"/>
      <c r="B83" s="7"/>
      <c r="C83" s="170"/>
      <c r="D83" s="331">
        <v>76</v>
      </c>
      <c r="E83" s="544">
        <f>+DATE(YEAR(E82),MONTH(E82)-1,DAY(E82))</f>
        <v>25569.041666666668</v>
      </c>
      <c r="F83" s="333">
        <f>IF(DATE(YEAR($B$6),MONTH($B$6)+1,DAY(1))=E83,1,IF(MONTH(E83)=1,F84*(1+$F$5),F84))</f>
      </c>
      <c r="G83" s="333">
        <f>IF('Simulador - 1º Pilar'!$E$99="Sí",IF('Aportaciones Poliza'!$B$13&lt;'Aportaciones Poliza'!E83,0,F83*$B$8/12),F83*$B$8/12)</f>
      </c>
      <c r="H83" s="333">
        <f>$H$5*G83</f>
      </c>
      <c r="I83" s="333"/>
      <c r="J83" s="333">
        <f>(1+$M$5)^(D83/12)*(H83+IF(AND(F83=1,F84=0),$Q$4,0))</f>
      </c>
      <c r="K83" s="333">
        <f>(1+$M$5)^(D83/12)*(I83)</f>
      </c>
      <c r="L83" s="333">
        <f>K83+J83</f>
      </c>
      <c r="M83" s="170"/>
      <c r="N83" s="7"/>
      <c r="O83" s="1"/>
      <c r="P83" s="331">
        <f>D83</f>
      </c>
      <c r="Q83" s="169"/>
    </row>
    <row x14ac:dyDescent="0.25" r="84" customHeight="1" ht="18.75">
      <c r="A84" s="1"/>
      <c r="B84" s="7"/>
      <c r="C84" s="170"/>
      <c r="D84" s="331">
        <v>77</v>
      </c>
      <c r="E84" s="544">
        <f>+DATE(YEAR(E83),MONTH(E83)-1,DAY(E83))</f>
        <v>25569.041666666668</v>
      </c>
      <c r="F84" s="333">
        <f>IF(DATE(YEAR($B$6),MONTH($B$6)+1,DAY(1))=E84,1,IF(MONTH(E84)=1,F85*(1+$F$5),F85))</f>
      </c>
      <c r="G84" s="333">
        <f>IF('Simulador - 1º Pilar'!$E$99="Sí",IF('Aportaciones Poliza'!$B$13&lt;'Aportaciones Poliza'!E84,0,F84*$B$8/12),F84*$B$8/12)</f>
      </c>
      <c r="H84" s="333">
        <f>$H$5*G84</f>
      </c>
      <c r="I84" s="333"/>
      <c r="J84" s="333">
        <f>(1+$M$5)^(D84/12)*(H84+IF(AND(F84=1,F85=0),$Q$4,0))</f>
      </c>
      <c r="K84" s="333">
        <f>(1+$M$5)^(D84/12)*(I84)</f>
      </c>
      <c r="L84" s="333">
        <f>K84+J84</f>
      </c>
      <c r="M84" s="170"/>
      <c r="N84" s="7"/>
      <c r="O84" s="1"/>
      <c r="P84" s="331">
        <f>D84</f>
      </c>
      <c r="Q84" s="169"/>
    </row>
    <row x14ac:dyDescent="0.25" r="85" customHeight="1" ht="18.75">
      <c r="A85" s="1"/>
      <c r="B85" s="7"/>
      <c r="C85" s="170"/>
      <c r="D85" s="331">
        <v>78</v>
      </c>
      <c r="E85" s="544">
        <f>+DATE(YEAR(E84),MONTH(E84)-1,DAY(E84))</f>
        <v>25569.041666666668</v>
      </c>
      <c r="F85" s="333">
        <f>IF(DATE(YEAR($B$6),MONTH($B$6)+1,DAY(1))=E85,1,IF(MONTH(E85)=1,F86*(1+$F$5),F86))</f>
      </c>
      <c r="G85" s="333">
        <f>IF('Simulador - 1º Pilar'!$E$99="Sí",IF('Aportaciones Poliza'!$B$13&lt;'Aportaciones Poliza'!E85,0,F85*$B$8/12),F85*$B$8/12)</f>
      </c>
      <c r="H85" s="333">
        <f>$H$5*G85</f>
      </c>
      <c r="I85" s="333"/>
      <c r="J85" s="333">
        <f>(1+$M$5)^(D85/12)*(H85+IF(AND(F85=1,F86=0),$Q$4,0))</f>
      </c>
      <c r="K85" s="333">
        <f>(1+$M$5)^(D85/12)*(I85)</f>
      </c>
      <c r="L85" s="333">
        <f>K85+J85</f>
      </c>
      <c r="M85" s="170"/>
      <c r="N85" s="7"/>
      <c r="O85" s="1"/>
      <c r="P85" s="331">
        <f>D85</f>
      </c>
      <c r="Q85" s="169"/>
    </row>
    <row x14ac:dyDescent="0.25" r="86" customHeight="1" ht="18.75">
      <c r="A86" s="1"/>
      <c r="B86" s="7"/>
      <c r="C86" s="170"/>
      <c r="D86" s="331">
        <v>79</v>
      </c>
      <c r="E86" s="544">
        <f>+DATE(YEAR(E85),MONTH(E85)-1,DAY(E85))</f>
        <v>25569.041666666668</v>
      </c>
      <c r="F86" s="333">
        <f>IF(DATE(YEAR($B$6),MONTH($B$6)+1,DAY(1))=E86,1,IF(MONTH(E86)=1,F87*(1+$F$5),F87))</f>
      </c>
      <c r="G86" s="333">
        <f>IF('Simulador - 1º Pilar'!$E$99="Sí",IF('Aportaciones Poliza'!$B$13&lt;'Aportaciones Poliza'!E86,0,F86*$B$8/12),F86*$B$8/12)</f>
      </c>
      <c r="H86" s="333">
        <f>$H$5*G86</f>
      </c>
      <c r="I86" s="333"/>
      <c r="J86" s="333">
        <f>(1+$M$5)^(D86/12)*(H86+IF(AND(F86=1,F87=0),$Q$4,0))</f>
      </c>
      <c r="K86" s="333">
        <f>(1+$M$5)^(D86/12)*(I86)</f>
      </c>
      <c r="L86" s="333">
        <f>K86+J86</f>
      </c>
      <c r="M86" s="170"/>
      <c r="N86" s="7"/>
      <c r="O86" s="1"/>
      <c r="P86" s="331">
        <f>D86</f>
      </c>
      <c r="Q86" s="169"/>
    </row>
    <row x14ac:dyDescent="0.25" r="87" customHeight="1" ht="18.75">
      <c r="A87" s="1"/>
      <c r="B87" s="7"/>
      <c r="C87" s="170"/>
      <c r="D87" s="331">
        <v>80</v>
      </c>
      <c r="E87" s="544">
        <f>+DATE(YEAR(E86),MONTH(E86)-1,DAY(E86))</f>
        <v>25569.041666666668</v>
      </c>
      <c r="F87" s="333">
        <f>IF(DATE(YEAR($B$6),MONTH($B$6)+1,DAY(1))=E87,1,IF(MONTH(E87)=1,F88*(1+$F$5),F88))</f>
      </c>
      <c r="G87" s="333">
        <f>IF('Simulador - 1º Pilar'!$E$99="Sí",IF('Aportaciones Poliza'!$B$13&lt;'Aportaciones Poliza'!E87,0,F87*$B$8/12),F87*$B$8/12)</f>
      </c>
      <c r="H87" s="333">
        <f>$H$5*G87</f>
      </c>
      <c r="I87" s="333"/>
      <c r="J87" s="333">
        <f>(1+$M$5)^(D87/12)*(H87+IF(AND(F87=1,F88=0),$Q$4,0))</f>
      </c>
      <c r="K87" s="333">
        <f>(1+$M$5)^(D87/12)*(I87)</f>
      </c>
      <c r="L87" s="333">
        <f>K87+J87</f>
      </c>
      <c r="M87" s="170"/>
      <c r="N87" s="7"/>
      <c r="O87" s="1"/>
      <c r="P87" s="331">
        <f>D87</f>
      </c>
      <c r="Q87" s="169"/>
    </row>
    <row x14ac:dyDescent="0.25" r="88" customHeight="1" ht="18.75">
      <c r="A88" s="1"/>
      <c r="B88" s="7"/>
      <c r="C88" s="170"/>
      <c r="D88" s="331">
        <v>81</v>
      </c>
      <c r="E88" s="544">
        <f>+DATE(YEAR(E87),MONTH(E87)-1,DAY(E87))</f>
        <v>25569.041666666668</v>
      </c>
      <c r="F88" s="333">
        <f>IF(DATE(YEAR($B$6),MONTH($B$6)+1,DAY(1))=E88,1,IF(MONTH(E88)=1,F89*(1+$F$5),F89))</f>
      </c>
      <c r="G88" s="333">
        <f>IF('Simulador - 1º Pilar'!$E$99="Sí",IF('Aportaciones Poliza'!$B$13&lt;'Aportaciones Poliza'!E88,0,F88*$B$8/12),F88*$B$8/12)</f>
      </c>
      <c r="H88" s="333">
        <f>$H$5*G88</f>
      </c>
      <c r="I88" s="333"/>
      <c r="J88" s="333">
        <f>(1+$M$5)^(D88/12)*(H88+IF(AND(F88=1,F89=0),$Q$4,0))</f>
      </c>
      <c r="K88" s="333">
        <f>(1+$M$5)^(D88/12)*(I88)</f>
      </c>
      <c r="L88" s="333">
        <f>K88+J88</f>
      </c>
      <c r="M88" s="170"/>
      <c r="N88" s="7"/>
      <c r="O88" s="1"/>
      <c r="P88" s="331">
        <f>D88</f>
      </c>
      <c r="Q88" s="169"/>
    </row>
    <row x14ac:dyDescent="0.25" r="89" customHeight="1" ht="18.75">
      <c r="A89" s="1"/>
      <c r="B89" s="7"/>
      <c r="C89" s="170"/>
      <c r="D89" s="331">
        <v>82</v>
      </c>
      <c r="E89" s="544">
        <f>+DATE(YEAR(E88),MONTH(E88)-1,DAY(E88))</f>
        <v>25569.041666666668</v>
      </c>
      <c r="F89" s="333">
        <f>IF(DATE(YEAR($B$6),MONTH($B$6)+1,DAY(1))=E89,1,IF(MONTH(E89)=1,F90*(1+$F$5),F90))</f>
      </c>
      <c r="G89" s="333">
        <f>IF('Simulador - 1º Pilar'!$E$99="Sí",IF('Aportaciones Poliza'!$B$13&lt;'Aportaciones Poliza'!E89,0,F89*$B$8/12),F89*$B$8/12)</f>
      </c>
      <c r="H89" s="333">
        <f>$H$5*G89</f>
      </c>
      <c r="I89" s="333"/>
      <c r="J89" s="333">
        <f>(1+$M$5)^(D89/12)*(H89+IF(AND(F89=1,F90=0),$Q$4,0))</f>
      </c>
      <c r="K89" s="333">
        <f>(1+$M$5)^(D89/12)*(I89)</f>
      </c>
      <c r="L89" s="333">
        <f>K89+J89</f>
      </c>
      <c r="M89" s="170"/>
      <c r="N89" s="7"/>
      <c r="O89" s="1"/>
      <c r="P89" s="331">
        <f>D89</f>
      </c>
      <c r="Q89" s="169"/>
    </row>
    <row x14ac:dyDescent="0.25" r="90" customHeight="1" ht="18.75">
      <c r="A90" s="1"/>
      <c r="B90" s="7"/>
      <c r="C90" s="170"/>
      <c r="D90" s="331">
        <v>83</v>
      </c>
      <c r="E90" s="544">
        <f>+DATE(YEAR(E89),MONTH(E89)-1,DAY(E89))</f>
        <v>25569.041666666668</v>
      </c>
      <c r="F90" s="333">
        <f>IF(DATE(YEAR($B$6),MONTH($B$6)+1,DAY(1))=E90,1,IF(MONTH(E90)=1,F91*(1+$F$5),F91))</f>
      </c>
      <c r="G90" s="333">
        <f>IF('Simulador - 1º Pilar'!$E$99="Sí",IF('Aportaciones Poliza'!$B$13&lt;'Aportaciones Poliza'!E90,0,F90*$B$8/12),F90*$B$8/12)</f>
      </c>
      <c r="H90" s="333">
        <f>$H$5*G90</f>
      </c>
      <c r="I90" s="333"/>
      <c r="J90" s="333">
        <f>(1+$M$5)^(D90/12)*(H90+IF(AND(F90=1,F91=0),$Q$4,0))</f>
      </c>
      <c r="K90" s="333">
        <f>(1+$M$5)^(D90/12)*(I90)</f>
      </c>
      <c r="L90" s="333">
        <f>K90+J90</f>
      </c>
      <c r="M90" s="170"/>
      <c r="N90" s="7"/>
      <c r="O90" s="1"/>
      <c r="P90" s="331">
        <f>D90</f>
      </c>
      <c r="Q90" s="169"/>
    </row>
    <row x14ac:dyDescent="0.25" r="91" customHeight="1" ht="18.75">
      <c r="A91" s="1"/>
      <c r="B91" s="7"/>
      <c r="C91" s="170"/>
      <c r="D91" s="331">
        <v>84</v>
      </c>
      <c r="E91" s="544">
        <f>+DATE(YEAR(E90),MONTH(E90)-1,DAY(E90))</f>
        <v>25569.041666666668</v>
      </c>
      <c r="F91" s="333">
        <f>IF(DATE(YEAR($B$6),MONTH($B$6)+1,DAY(1))=E91,1,IF(MONTH(E91)=1,F92*(1+$F$5),F92))</f>
      </c>
      <c r="G91" s="333">
        <f>IF('Simulador - 1º Pilar'!$E$99="Sí",IF('Aportaciones Poliza'!$B$13&lt;'Aportaciones Poliza'!E91,0,F91*$B$8/12),F91*$B$8/12)</f>
      </c>
      <c r="H91" s="333">
        <f>$H$5*G91</f>
      </c>
      <c r="I91" s="333"/>
      <c r="J91" s="333">
        <f>(1+$M$5)^(D91/12)*(H91+IF(AND(F91=1,F92=0),$Q$4,0))</f>
      </c>
      <c r="K91" s="333">
        <f>(1+$M$5)^(D91/12)*(I91)</f>
      </c>
      <c r="L91" s="333">
        <f>K91+J91</f>
      </c>
      <c r="M91" s="170"/>
      <c r="N91" s="7"/>
      <c r="O91" s="1"/>
      <c r="P91" s="331">
        <f>D91</f>
      </c>
      <c r="Q91" s="169"/>
    </row>
    <row x14ac:dyDescent="0.25" r="92" customHeight="1" ht="18.75">
      <c r="A92" s="1"/>
      <c r="B92" s="7"/>
      <c r="C92" s="170"/>
      <c r="D92" s="331">
        <v>85</v>
      </c>
      <c r="E92" s="544">
        <f>+DATE(YEAR(E91),MONTH(E91)-1,DAY(E91))</f>
        <v>25569.041666666668</v>
      </c>
      <c r="F92" s="333">
        <f>IF(DATE(YEAR($B$6),MONTH($B$6)+1,DAY(1))=E92,1,IF(MONTH(E92)=1,F93*(1+$F$5),F93))</f>
      </c>
      <c r="G92" s="333">
        <f>IF('Simulador - 1º Pilar'!$E$99="Sí",IF('Aportaciones Poliza'!$B$13&lt;'Aportaciones Poliza'!E92,0,F92*$B$8/12),F92*$B$8/12)</f>
      </c>
      <c r="H92" s="333">
        <f>$H$5*G92</f>
      </c>
      <c r="I92" s="333"/>
      <c r="J92" s="333">
        <f>(1+$M$5)^(D92/12)*(H92+IF(AND(F92=1,F93=0),$Q$4,0))</f>
      </c>
      <c r="K92" s="333">
        <f>(1+$M$5)^(D92/12)*(I92)</f>
      </c>
      <c r="L92" s="333">
        <f>K92+J92</f>
      </c>
      <c r="M92" s="170"/>
      <c r="N92" s="7"/>
      <c r="O92" s="1"/>
      <c r="P92" s="331">
        <f>D92</f>
      </c>
      <c r="Q92" s="169"/>
    </row>
    <row x14ac:dyDescent="0.25" r="93" customHeight="1" ht="18.75">
      <c r="A93" s="1"/>
      <c r="B93" s="7"/>
      <c r="C93" s="170"/>
      <c r="D93" s="331">
        <v>86</v>
      </c>
      <c r="E93" s="544">
        <f>+DATE(YEAR(E92),MONTH(E92)-1,DAY(E92))</f>
        <v>25569.041666666668</v>
      </c>
      <c r="F93" s="333">
        <f>IF(DATE(YEAR($B$6),MONTH($B$6)+1,DAY(1))=E93,1,IF(MONTH(E93)=1,F94*(1+$F$5),F94))</f>
      </c>
      <c r="G93" s="333">
        <f>IF('Simulador - 1º Pilar'!$E$99="Sí",IF('Aportaciones Poliza'!$B$13&lt;'Aportaciones Poliza'!E93,0,F93*$B$8/12),F93*$B$8/12)</f>
      </c>
      <c r="H93" s="333">
        <f>$H$5*G93</f>
      </c>
      <c r="I93" s="333"/>
      <c r="J93" s="333">
        <f>(1+$M$5)^(D93/12)*(H93+IF(AND(F93=1,F94=0),$Q$4,0))</f>
      </c>
      <c r="K93" s="333">
        <f>(1+$M$5)^(D93/12)*(I93)</f>
      </c>
      <c r="L93" s="333">
        <f>K93+J93</f>
      </c>
      <c r="M93" s="170"/>
      <c r="N93" s="7"/>
      <c r="O93" s="1"/>
      <c r="P93" s="331">
        <f>D93</f>
      </c>
      <c r="Q93" s="169"/>
    </row>
    <row x14ac:dyDescent="0.25" r="94" customHeight="1" ht="18.75">
      <c r="A94" s="1"/>
      <c r="B94" s="7"/>
      <c r="C94" s="170"/>
      <c r="D94" s="331">
        <v>87</v>
      </c>
      <c r="E94" s="544">
        <f>+DATE(YEAR(E93),MONTH(E93)-1,DAY(E93))</f>
        <v>25569.041666666668</v>
      </c>
      <c r="F94" s="333">
        <f>IF(DATE(YEAR($B$6),MONTH($B$6)+1,DAY(1))=E94,1,IF(MONTH(E94)=1,F95*(1+$F$5),F95))</f>
      </c>
      <c r="G94" s="333">
        <f>IF('Simulador - 1º Pilar'!$E$99="Sí",IF('Aportaciones Poliza'!$B$13&lt;'Aportaciones Poliza'!E94,0,F94*$B$8/12),F94*$B$8/12)</f>
      </c>
      <c r="H94" s="333">
        <f>$H$5*G94</f>
      </c>
      <c r="I94" s="333"/>
      <c r="J94" s="333">
        <f>(1+$M$5)^(D94/12)*(H94+IF(AND(F94=1,F95=0),$Q$4,0))</f>
      </c>
      <c r="K94" s="333">
        <f>(1+$M$5)^(D94/12)*(I94)</f>
      </c>
      <c r="L94" s="333">
        <f>K94+J94</f>
      </c>
      <c r="M94" s="170"/>
      <c r="N94" s="7"/>
      <c r="O94" s="1"/>
      <c r="P94" s="331">
        <f>D94</f>
      </c>
      <c r="Q94" s="169"/>
    </row>
    <row x14ac:dyDescent="0.25" r="95" customHeight="1" ht="18.75">
      <c r="A95" s="1"/>
      <c r="B95" s="7"/>
      <c r="C95" s="170"/>
      <c r="D95" s="331">
        <v>88</v>
      </c>
      <c r="E95" s="544">
        <f>+DATE(YEAR(E94),MONTH(E94)-1,DAY(E94))</f>
        <v>25569.041666666668</v>
      </c>
      <c r="F95" s="333">
        <f>IF(DATE(YEAR($B$6),MONTH($B$6)+1,DAY(1))=E95,1,IF(MONTH(E95)=1,F96*(1+$F$5),F96))</f>
      </c>
      <c r="G95" s="333">
        <f>IF('Simulador - 1º Pilar'!$E$99="Sí",IF('Aportaciones Poliza'!$B$13&lt;'Aportaciones Poliza'!E95,0,F95*$B$8/12),F95*$B$8/12)</f>
      </c>
      <c r="H95" s="333">
        <f>$H$5*G95</f>
      </c>
      <c r="I95" s="333"/>
      <c r="J95" s="333">
        <f>(1+$M$5)^(D95/12)*(H95+IF(AND(F95=1,F96=0),$Q$4,0))</f>
      </c>
      <c r="K95" s="333">
        <f>(1+$M$5)^(D95/12)*(I95)</f>
      </c>
      <c r="L95" s="333">
        <f>K95+J95</f>
      </c>
      <c r="M95" s="170"/>
      <c r="N95" s="7"/>
      <c r="O95" s="1"/>
      <c r="P95" s="331">
        <f>D95</f>
      </c>
      <c r="Q95" s="169"/>
    </row>
    <row x14ac:dyDescent="0.25" r="96" customHeight="1" ht="18.75">
      <c r="A96" s="1"/>
      <c r="B96" s="7"/>
      <c r="C96" s="170"/>
      <c r="D96" s="331">
        <v>89</v>
      </c>
      <c r="E96" s="544">
        <f>+DATE(YEAR(E95),MONTH(E95)-1,DAY(E95))</f>
        <v>25569.041666666668</v>
      </c>
      <c r="F96" s="333">
        <f>IF(DATE(YEAR($B$6),MONTH($B$6)+1,DAY(1))=E96,1,IF(MONTH(E96)=1,F97*(1+$F$5),F97))</f>
      </c>
      <c r="G96" s="333">
        <f>IF('Simulador - 1º Pilar'!$E$99="Sí",IF('Aportaciones Poliza'!$B$13&lt;'Aportaciones Poliza'!E96,0,F96*$B$8/12),F96*$B$8/12)</f>
      </c>
      <c r="H96" s="333">
        <f>$H$5*G96</f>
      </c>
      <c r="I96" s="333"/>
      <c r="J96" s="333">
        <f>(1+$M$5)^(D96/12)*(H96+IF(AND(F96=1,F97=0),$Q$4,0))</f>
      </c>
      <c r="K96" s="333">
        <f>(1+$M$5)^(D96/12)*(I96)</f>
      </c>
      <c r="L96" s="333">
        <f>K96+J96</f>
      </c>
      <c r="M96" s="170"/>
      <c r="N96" s="7"/>
      <c r="O96" s="1"/>
      <c r="P96" s="331">
        <f>D96</f>
      </c>
      <c r="Q96" s="169"/>
    </row>
    <row x14ac:dyDescent="0.25" r="97" customHeight="1" ht="18.75">
      <c r="A97" s="1"/>
      <c r="B97" s="7"/>
      <c r="C97" s="170"/>
      <c r="D97" s="331">
        <v>90</v>
      </c>
      <c r="E97" s="544">
        <f>+DATE(YEAR(E96),MONTH(E96)-1,DAY(E96))</f>
        <v>25569.041666666668</v>
      </c>
      <c r="F97" s="333">
        <f>IF(DATE(YEAR($B$6),MONTH($B$6)+1,DAY(1))=E97,1,IF(MONTH(E97)=1,F98*(1+$F$5),F98))</f>
      </c>
      <c r="G97" s="333">
        <f>IF('Simulador - 1º Pilar'!$E$99="Sí",IF('Aportaciones Poliza'!$B$13&lt;'Aportaciones Poliza'!E97,0,F97*$B$8/12),F97*$B$8/12)</f>
      </c>
      <c r="H97" s="333">
        <f>$H$5*G97</f>
      </c>
      <c r="I97" s="333"/>
      <c r="J97" s="333">
        <f>(1+$M$5)^(D97/12)*(H97+IF(AND(F97=1,F98=0),$Q$4,0))</f>
      </c>
      <c r="K97" s="333">
        <f>(1+$M$5)^(D97/12)*(I97)</f>
      </c>
      <c r="L97" s="333">
        <f>K97+J97</f>
      </c>
      <c r="M97" s="170"/>
      <c r="N97" s="7"/>
      <c r="O97" s="1"/>
      <c r="P97" s="331">
        <f>D97</f>
      </c>
      <c r="Q97" s="169"/>
    </row>
    <row x14ac:dyDescent="0.25" r="98" customHeight="1" ht="18.75">
      <c r="A98" s="1"/>
      <c r="B98" s="7"/>
      <c r="C98" s="170"/>
      <c r="D98" s="331">
        <v>91</v>
      </c>
      <c r="E98" s="544">
        <f>+DATE(YEAR(E97),MONTH(E97)-1,DAY(E97))</f>
        <v>25569.041666666668</v>
      </c>
      <c r="F98" s="333">
        <f>IF(DATE(YEAR($B$6),MONTH($B$6)+1,DAY(1))=E98,1,IF(MONTH(E98)=1,F99*(1+$F$5),F99))</f>
      </c>
      <c r="G98" s="333">
        <f>IF('Simulador - 1º Pilar'!$E$99="Sí",IF('Aportaciones Poliza'!$B$13&lt;'Aportaciones Poliza'!E98,0,F98*$B$8/12),F98*$B$8/12)</f>
      </c>
      <c r="H98" s="333">
        <f>$H$5*G98</f>
      </c>
      <c r="I98" s="333"/>
      <c r="J98" s="333">
        <f>(1+$M$5)^(D98/12)*(H98+IF(AND(F98=1,F99=0),$Q$4,0))</f>
      </c>
      <c r="K98" s="333">
        <f>(1+$M$5)^(D98/12)*(I98)</f>
      </c>
      <c r="L98" s="333">
        <f>K98+J98</f>
      </c>
      <c r="M98" s="170"/>
      <c r="N98" s="7"/>
      <c r="O98" s="1"/>
      <c r="P98" s="331">
        <f>D98</f>
      </c>
      <c r="Q98" s="169"/>
    </row>
    <row x14ac:dyDescent="0.25" r="99" customHeight="1" ht="18.75">
      <c r="A99" s="1"/>
      <c r="B99" s="7"/>
      <c r="C99" s="170"/>
      <c r="D99" s="331">
        <v>92</v>
      </c>
      <c r="E99" s="544">
        <f>+DATE(YEAR(E98),MONTH(E98)-1,DAY(E98))</f>
        <v>25569.041666666668</v>
      </c>
      <c r="F99" s="333">
        <f>IF(DATE(YEAR($B$6),MONTH($B$6)+1,DAY(1))=E99,1,IF(MONTH(E99)=1,F100*(1+$F$5),F100))</f>
      </c>
      <c r="G99" s="333">
        <f>IF('Simulador - 1º Pilar'!$E$99="Sí",IF('Aportaciones Poliza'!$B$13&lt;'Aportaciones Poliza'!E99,0,F99*$B$8/12),F99*$B$8/12)</f>
      </c>
      <c r="H99" s="333">
        <f>$H$5*G99</f>
      </c>
      <c r="I99" s="333"/>
      <c r="J99" s="333">
        <f>(1+$M$5)^(D99/12)*(H99+IF(AND(F99=1,F100=0),$Q$4,0))</f>
      </c>
      <c r="K99" s="333">
        <f>(1+$M$5)^(D99/12)*(I99)</f>
      </c>
      <c r="L99" s="333">
        <f>K99+J99</f>
      </c>
      <c r="M99" s="170"/>
      <c r="N99" s="7"/>
      <c r="O99" s="1"/>
      <c r="P99" s="331">
        <f>D99</f>
      </c>
      <c r="Q99" s="169"/>
    </row>
    <row x14ac:dyDescent="0.25" r="100" customHeight="1" ht="18.75">
      <c r="A100" s="1"/>
      <c r="B100" s="7"/>
      <c r="C100" s="170"/>
      <c r="D100" s="331">
        <v>93</v>
      </c>
      <c r="E100" s="544">
        <f>+DATE(YEAR(E99),MONTH(E99)-1,DAY(E99))</f>
        <v>25569.041666666668</v>
      </c>
      <c r="F100" s="333">
        <f>IF(DATE(YEAR($B$6),MONTH($B$6)+1,DAY(1))=E100,1,IF(MONTH(E100)=1,F101*(1+$F$5),F101))</f>
      </c>
      <c r="G100" s="333">
        <f>IF('Simulador - 1º Pilar'!$E$99="Sí",IF('Aportaciones Poliza'!$B$13&lt;'Aportaciones Poliza'!E100,0,F100*$B$8/12),F100*$B$8/12)</f>
      </c>
      <c r="H100" s="333">
        <f>$H$5*G100</f>
      </c>
      <c r="I100" s="333"/>
      <c r="J100" s="333">
        <f>(1+$M$5)^(D100/12)*(H100+IF(AND(F100=1,F101=0),$Q$4,0))</f>
      </c>
      <c r="K100" s="333">
        <f>(1+$M$5)^(D100/12)*(I100)</f>
      </c>
      <c r="L100" s="333">
        <f>K100+J100</f>
      </c>
      <c r="M100" s="170"/>
      <c r="N100" s="7"/>
      <c r="O100" s="1"/>
      <c r="P100" s="331">
        <f>D100</f>
      </c>
      <c r="Q100" s="169"/>
    </row>
    <row x14ac:dyDescent="0.25" r="101" customHeight="1" ht="18.75">
      <c r="A101" s="1"/>
      <c r="B101" s="7"/>
      <c r="C101" s="170"/>
      <c r="D101" s="331">
        <v>94</v>
      </c>
      <c r="E101" s="544">
        <f>+DATE(YEAR(E100),MONTH(E100)-1,DAY(E100))</f>
        <v>25569.041666666668</v>
      </c>
      <c r="F101" s="333">
        <f>IF(DATE(YEAR($B$6),MONTH($B$6)+1,DAY(1))=E101,1,IF(MONTH(E101)=1,F102*(1+$F$5),F102))</f>
      </c>
      <c r="G101" s="333">
        <f>IF('Simulador - 1º Pilar'!$E$99="Sí",IF('Aportaciones Poliza'!$B$13&lt;'Aportaciones Poliza'!E101,0,F101*$B$8/12),F101*$B$8/12)</f>
      </c>
      <c r="H101" s="333">
        <f>$H$5*G101</f>
      </c>
      <c r="I101" s="333"/>
      <c r="J101" s="333">
        <f>(1+$M$5)^(D101/12)*(H101+IF(AND(F101=1,F102=0),$Q$4,0))</f>
      </c>
      <c r="K101" s="333">
        <f>(1+$M$5)^(D101/12)*(I101)</f>
      </c>
      <c r="L101" s="333">
        <f>K101+J101</f>
      </c>
      <c r="M101" s="170"/>
      <c r="N101" s="7"/>
      <c r="O101" s="1"/>
      <c r="P101" s="331">
        <f>D101</f>
      </c>
      <c r="Q101" s="169"/>
    </row>
    <row x14ac:dyDescent="0.25" r="102" customHeight="1" ht="18.75">
      <c r="A102" s="1"/>
      <c r="B102" s="7"/>
      <c r="C102" s="170"/>
      <c r="D102" s="331">
        <v>95</v>
      </c>
      <c r="E102" s="544">
        <f>+DATE(YEAR(E101),MONTH(E101)-1,DAY(E101))</f>
        <v>25569.041666666668</v>
      </c>
      <c r="F102" s="333">
        <f>IF(DATE(YEAR($B$6),MONTH($B$6)+1,DAY(1))=E102,1,IF(MONTH(E102)=1,F103*(1+$F$5),F103))</f>
      </c>
      <c r="G102" s="333">
        <f>IF('Simulador - 1º Pilar'!$E$99="Sí",IF('Aportaciones Poliza'!$B$13&lt;'Aportaciones Poliza'!E102,0,F102*$B$8/12),F102*$B$8/12)</f>
      </c>
      <c r="H102" s="333">
        <f>$H$5*G102</f>
      </c>
      <c r="I102" s="333"/>
      <c r="J102" s="333">
        <f>(1+$M$5)^(D102/12)*(H102+IF(AND(F102=1,F103=0),$Q$4,0))</f>
      </c>
      <c r="K102" s="333">
        <f>(1+$M$5)^(D102/12)*(I102)</f>
      </c>
      <c r="L102" s="333">
        <f>K102+J102</f>
      </c>
      <c r="M102" s="170"/>
      <c r="N102" s="7"/>
      <c r="O102" s="1"/>
      <c r="P102" s="331">
        <f>D102</f>
      </c>
      <c r="Q102" s="169"/>
    </row>
    <row x14ac:dyDescent="0.25" r="103" customHeight="1" ht="18.75">
      <c r="A103" s="1"/>
      <c r="B103" s="7"/>
      <c r="C103" s="170"/>
      <c r="D103" s="331">
        <v>96</v>
      </c>
      <c r="E103" s="544">
        <f>+DATE(YEAR(E102),MONTH(E102)-1,DAY(E102))</f>
        <v>25569.041666666668</v>
      </c>
      <c r="F103" s="333">
        <f>IF(DATE(YEAR($B$6),MONTH($B$6)+1,DAY(1))=E103,1,IF(MONTH(E103)=1,F104*(1+$F$5),F104))</f>
      </c>
      <c r="G103" s="333">
        <f>IF('Simulador - 1º Pilar'!$E$99="Sí",IF('Aportaciones Poliza'!$B$13&lt;'Aportaciones Poliza'!E103,0,F103*$B$8/12),F103*$B$8/12)</f>
      </c>
      <c r="H103" s="333">
        <f>$H$5*G103</f>
      </c>
      <c r="I103" s="333"/>
      <c r="J103" s="333">
        <f>(1+$M$5)^(D103/12)*(H103+IF(AND(F103=1,F104=0),$Q$4,0))</f>
      </c>
      <c r="K103" s="333">
        <f>(1+$M$5)^(D103/12)*(I103)</f>
      </c>
      <c r="L103" s="333">
        <f>K103+J103</f>
      </c>
      <c r="M103" s="170"/>
      <c r="N103" s="7"/>
      <c r="O103" s="1"/>
      <c r="P103" s="331">
        <f>D103</f>
      </c>
      <c r="Q103" s="169"/>
    </row>
    <row x14ac:dyDescent="0.25" r="104" customHeight="1" ht="18.75">
      <c r="A104" s="1"/>
      <c r="B104" s="7"/>
      <c r="C104" s="170"/>
      <c r="D104" s="331">
        <v>97</v>
      </c>
      <c r="E104" s="544">
        <f>+DATE(YEAR(E103),MONTH(E103)-1,DAY(E103))</f>
        <v>25569.041666666668</v>
      </c>
      <c r="F104" s="333">
        <f>IF(DATE(YEAR($B$6),MONTH($B$6)+1,DAY(1))=E104,1,IF(MONTH(E104)=1,F105*(1+$F$5),F105))</f>
      </c>
      <c r="G104" s="333">
        <f>IF('Simulador - 1º Pilar'!$E$99="Sí",IF('Aportaciones Poliza'!$B$13&lt;'Aportaciones Poliza'!E104,0,F104*$B$8/12),F104*$B$8/12)</f>
      </c>
      <c r="H104" s="333">
        <f>$H$5*G104</f>
      </c>
      <c r="I104" s="333"/>
      <c r="J104" s="333">
        <f>(1+$M$5)^(D104/12)*(H104+IF(AND(F104=1,F105=0),$Q$4,0))</f>
      </c>
      <c r="K104" s="333">
        <f>(1+$M$5)^(D104/12)*(I104)</f>
      </c>
      <c r="L104" s="333">
        <f>K104+J104</f>
      </c>
      <c r="M104" s="170"/>
      <c r="N104" s="7"/>
      <c r="O104" s="1"/>
      <c r="P104" s="331">
        <f>D104</f>
      </c>
      <c r="Q104" s="169"/>
    </row>
    <row x14ac:dyDescent="0.25" r="105" customHeight="1" ht="18.75">
      <c r="A105" s="1"/>
      <c r="B105" s="7"/>
      <c r="C105" s="170"/>
      <c r="D105" s="331">
        <v>98</v>
      </c>
      <c r="E105" s="544">
        <f>+DATE(YEAR(E104),MONTH(E104)-1,DAY(E104))</f>
        <v>25569.041666666668</v>
      </c>
      <c r="F105" s="333">
        <f>IF(DATE(YEAR($B$6),MONTH($B$6)+1,DAY(1))=E105,1,IF(MONTH(E105)=1,F106*(1+$F$5),F106))</f>
      </c>
      <c r="G105" s="333">
        <f>IF('Simulador - 1º Pilar'!$E$99="Sí",IF('Aportaciones Poliza'!$B$13&lt;'Aportaciones Poliza'!E105,0,F105*$B$8/12),F105*$B$8/12)</f>
      </c>
      <c r="H105" s="333">
        <f>$H$5*G105</f>
      </c>
      <c r="I105" s="333"/>
      <c r="J105" s="333">
        <f>(1+$M$5)^(D105/12)*(H105+IF(AND(F105=1,F106=0),$Q$4,0))</f>
      </c>
      <c r="K105" s="333">
        <f>(1+$M$5)^(D105/12)*(I105)</f>
      </c>
      <c r="L105" s="333">
        <f>K105+J105</f>
      </c>
      <c r="M105" s="170"/>
      <c r="N105" s="7"/>
      <c r="O105" s="1"/>
      <c r="P105" s="331">
        <f>D105</f>
      </c>
      <c r="Q105" s="169"/>
    </row>
    <row x14ac:dyDescent="0.25" r="106" customHeight="1" ht="18.75">
      <c r="A106" s="1"/>
      <c r="B106" s="7"/>
      <c r="C106" s="170"/>
      <c r="D106" s="331">
        <v>99</v>
      </c>
      <c r="E106" s="544">
        <f>+DATE(YEAR(E105),MONTH(E105)-1,DAY(E105))</f>
        <v>25569.041666666668</v>
      </c>
      <c r="F106" s="333">
        <f>IF(DATE(YEAR($B$6),MONTH($B$6)+1,DAY(1))=E106,1,IF(MONTH(E106)=1,F107*(1+$F$5),F107))</f>
      </c>
      <c r="G106" s="333">
        <f>IF('Simulador - 1º Pilar'!$E$99="Sí",IF('Aportaciones Poliza'!$B$13&lt;'Aportaciones Poliza'!E106,0,F106*$B$8/12),F106*$B$8/12)</f>
      </c>
      <c r="H106" s="333">
        <f>$H$5*G106</f>
      </c>
      <c r="I106" s="333"/>
      <c r="J106" s="333">
        <f>(1+$M$5)^(D106/12)*(H106+IF(AND(F106=1,F107=0),$Q$4,0))</f>
      </c>
      <c r="K106" s="333">
        <f>(1+$M$5)^(D106/12)*(I106)</f>
      </c>
      <c r="L106" s="333">
        <f>K106+J106</f>
      </c>
      <c r="M106" s="170"/>
      <c r="N106" s="7"/>
      <c r="O106" s="1"/>
      <c r="P106" s="331">
        <f>D106</f>
      </c>
      <c r="Q106" s="169"/>
    </row>
    <row x14ac:dyDescent="0.25" r="107" customHeight="1" ht="18.75">
      <c r="A107" s="1"/>
      <c r="B107" s="7"/>
      <c r="C107" s="170"/>
      <c r="D107" s="331">
        <v>100</v>
      </c>
      <c r="E107" s="544">
        <f>+DATE(YEAR(E106),MONTH(E106)-1,DAY(E106))</f>
        <v>25569.041666666668</v>
      </c>
      <c r="F107" s="333">
        <f>IF(DATE(YEAR($B$6),MONTH($B$6)+1,DAY(1))=E107,1,IF(MONTH(E107)=1,F108*(1+$F$5),F108))</f>
      </c>
      <c r="G107" s="333">
        <f>IF('Simulador - 1º Pilar'!$E$99="Sí",IF('Aportaciones Poliza'!$B$13&lt;'Aportaciones Poliza'!E107,0,F107*$B$8/12),F107*$B$8/12)</f>
      </c>
      <c r="H107" s="333">
        <f>$H$5*G107</f>
      </c>
      <c r="I107" s="333"/>
      <c r="J107" s="333">
        <f>(1+$M$5)^(D107/12)*(H107+IF(AND(F107=1,F108=0),$Q$4,0))</f>
      </c>
      <c r="K107" s="333">
        <f>(1+$M$5)^(D107/12)*(I107)</f>
      </c>
      <c r="L107" s="333">
        <f>K107+J107</f>
      </c>
      <c r="M107" s="170"/>
      <c r="N107" s="7"/>
      <c r="O107" s="1"/>
      <c r="P107" s="331">
        <f>D107</f>
      </c>
      <c r="Q107" s="169"/>
    </row>
    <row x14ac:dyDescent="0.25" r="108" customHeight="1" ht="18.75">
      <c r="A108" s="1"/>
      <c r="B108" s="7"/>
      <c r="C108" s="170"/>
      <c r="D108" s="331">
        <v>101</v>
      </c>
      <c r="E108" s="544">
        <f>+DATE(YEAR(E107),MONTH(E107)-1,DAY(E107))</f>
        <v>25569.041666666668</v>
      </c>
      <c r="F108" s="333">
        <f>IF(DATE(YEAR($B$6),MONTH($B$6)+1,DAY(1))=E108,1,IF(MONTH(E108)=1,F109*(1+$F$5),F109))</f>
      </c>
      <c r="G108" s="333">
        <f>IF('Simulador - 1º Pilar'!$E$99="Sí",IF('Aportaciones Poliza'!$B$13&lt;'Aportaciones Poliza'!E108,0,F108*$B$8/12),F108*$B$8/12)</f>
      </c>
      <c r="H108" s="333">
        <f>$H$5*G108</f>
      </c>
      <c r="I108" s="333"/>
      <c r="J108" s="333">
        <f>(1+$M$5)^(D108/12)*(H108+IF(AND(F108=1,F109=0),$Q$4,0))</f>
      </c>
      <c r="K108" s="333">
        <f>(1+$M$5)^(D108/12)*(I108)</f>
      </c>
      <c r="L108" s="333">
        <f>K108+J108</f>
      </c>
      <c r="M108" s="170"/>
      <c r="N108" s="7"/>
      <c r="O108" s="1"/>
      <c r="P108" s="331">
        <f>D108</f>
      </c>
      <c r="Q108" s="169"/>
    </row>
    <row x14ac:dyDescent="0.25" r="109" customHeight="1" ht="18.75">
      <c r="A109" s="1"/>
      <c r="B109" s="7"/>
      <c r="C109" s="170"/>
      <c r="D109" s="331">
        <v>102</v>
      </c>
      <c r="E109" s="544">
        <f>+DATE(YEAR(E108),MONTH(E108)-1,DAY(E108))</f>
        <v>25569.041666666668</v>
      </c>
      <c r="F109" s="333">
        <f>IF(DATE(YEAR($B$6),MONTH($B$6)+1,DAY(1))=E109,1,IF(MONTH(E109)=1,F110*(1+$F$5),F110))</f>
      </c>
      <c r="G109" s="333">
        <f>IF('Simulador - 1º Pilar'!$E$99="Sí",IF('Aportaciones Poliza'!$B$13&lt;'Aportaciones Poliza'!E109,0,F109*$B$8/12),F109*$B$8/12)</f>
      </c>
      <c r="H109" s="333">
        <f>$H$5*G109</f>
      </c>
      <c r="I109" s="333"/>
      <c r="J109" s="333">
        <f>(1+$M$5)^(D109/12)*(H109+IF(AND(F109=1,F110=0),$Q$4,0))</f>
      </c>
      <c r="K109" s="333">
        <f>(1+$M$5)^(D109/12)*(I109)</f>
      </c>
      <c r="L109" s="333">
        <f>K109+J109</f>
      </c>
      <c r="M109" s="170"/>
      <c r="N109" s="7"/>
      <c r="O109" s="1"/>
      <c r="P109" s="331">
        <f>D109</f>
      </c>
      <c r="Q109" s="169"/>
    </row>
    <row x14ac:dyDescent="0.25" r="110" customHeight="1" ht="18.75">
      <c r="A110" s="1"/>
      <c r="B110" s="7"/>
      <c r="C110" s="170"/>
      <c r="D110" s="331">
        <v>103</v>
      </c>
      <c r="E110" s="544">
        <f>+DATE(YEAR(E109),MONTH(E109)-1,DAY(E109))</f>
        <v>25569.041666666668</v>
      </c>
      <c r="F110" s="333">
        <f>IF(DATE(YEAR($B$6),MONTH($B$6)+1,DAY(1))=E110,1,IF(MONTH(E110)=1,F111*(1+$F$5),F111))</f>
      </c>
      <c r="G110" s="333">
        <f>IF('Simulador - 1º Pilar'!$E$99="Sí",IF('Aportaciones Poliza'!$B$13&lt;'Aportaciones Poliza'!E110,0,F110*$B$8/12),F110*$B$8/12)</f>
      </c>
      <c r="H110" s="333">
        <f>$H$5*G110</f>
      </c>
      <c r="I110" s="333"/>
      <c r="J110" s="333">
        <f>(1+$M$5)^(D110/12)*(H110+IF(AND(F110=1,F111=0),$Q$4,0))</f>
      </c>
      <c r="K110" s="333">
        <f>(1+$M$5)^(D110/12)*(I110)</f>
      </c>
      <c r="L110" s="333">
        <f>K110+J110</f>
      </c>
      <c r="M110" s="170"/>
      <c r="N110" s="7"/>
      <c r="O110" s="1"/>
      <c r="P110" s="331">
        <f>D110</f>
      </c>
      <c r="Q110" s="169"/>
    </row>
    <row x14ac:dyDescent="0.25" r="111" customHeight="1" ht="18.75">
      <c r="A111" s="1"/>
      <c r="B111" s="7"/>
      <c r="C111" s="170"/>
      <c r="D111" s="331">
        <v>104</v>
      </c>
      <c r="E111" s="544">
        <f>+DATE(YEAR(E110),MONTH(E110)-1,DAY(E110))</f>
        <v>25569.041666666668</v>
      </c>
      <c r="F111" s="333">
        <f>IF(DATE(YEAR($B$6),MONTH($B$6)+1,DAY(1))=E111,1,IF(MONTH(E111)=1,F112*(1+$F$5),F112))</f>
      </c>
      <c r="G111" s="333">
        <f>IF('Simulador - 1º Pilar'!$E$99="Sí",IF('Aportaciones Poliza'!$B$13&lt;'Aportaciones Poliza'!E111,0,F111*$B$8/12),F111*$B$8/12)</f>
      </c>
      <c r="H111" s="333">
        <f>$H$5*G111</f>
      </c>
      <c r="I111" s="333"/>
      <c r="J111" s="333">
        <f>(1+$M$5)^(D111/12)*(H111+IF(AND(F111=1,F112=0),$Q$4,0))</f>
      </c>
      <c r="K111" s="333">
        <f>(1+$M$5)^(D111/12)*(I111)</f>
      </c>
      <c r="L111" s="333">
        <f>K111+J111</f>
      </c>
      <c r="M111" s="170"/>
      <c r="N111" s="7"/>
      <c r="O111" s="1"/>
      <c r="P111" s="331">
        <f>D111</f>
      </c>
      <c r="Q111" s="169"/>
    </row>
    <row x14ac:dyDescent="0.25" r="112" customHeight="1" ht="18.75">
      <c r="A112" s="1"/>
      <c r="B112" s="7"/>
      <c r="C112" s="170"/>
      <c r="D112" s="331">
        <v>105</v>
      </c>
      <c r="E112" s="544">
        <f>+DATE(YEAR(E111),MONTH(E111)-1,DAY(E111))</f>
        <v>25569.041666666668</v>
      </c>
      <c r="F112" s="333">
        <f>IF(DATE(YEAR($B$6),MONTH($B$6)+1,DAY(1))=E112,1,IF(MONTH(E112)=1,F113*(1+$F$5),F113))</f>
      </c>
      <c r="G112" s="333">
        <f>IF('Simulador - 1º Pilar'!$E$99="Sí",IF('Aportaciones Poliza'!$B$13&lt;'Aportaciones Poliza'!E112,0,F112*$B$8/12),F112*$B$8/12)</f>
      </c>
      <c r="H112" s="333">
        <f>$H$5*G112</f>
      </c>
      <c r="I112" s="333"/>
      <c r="J112" s="333">
        <f>(1+$M$5)^(D112/12)*(H112+IF(AND(F112=1,F113=0),$Q$4,0))</f>
      </c>
      <c r="K112" s="333">
        <f>(1+$M$5)^(D112/12)*(I112)</f>
      </c>
      <c r="L112" s="333">
        <f>K112+J112</f>
      </c>
      <c r="M112" s="170"/>
      <c r="N112" s="7"/>
      <c r="O112" s="1"/>
      <c r="P112" s="331">
        <f>D112</f>
      </c>
      <c r="Q112" s="169"/>
    </row>
    <row x14ac:dyDescent="0.25" r="113" customHeight="1" ht="18.75">
      <c r="A113" s="1"/>
      <c r="B113" s="7"/>
      <c r="C113" s="170"/>
      <c r="D113" s="331">
        <v>106</v>
      </c>
      <c r="E113" s="544">
        <f>+DATE(YEAR(E112),MONTH(E112)-1,DAY(E112))</f>
        <v>25569.041666666668</v>
      </c>
      <c r="F113" s="333">
        <f>IF(DATE(YEAR($B$6),MONTH($B$6)+1,DAY(1))=E113,1,IF(MONTH(E113)=1,F114*(1+$F$5),F114))</f>
      </c>
      <c r="G113" s="333">
        <f>IF('Simulador - 1º Pilar'!$E$99="Sí",IF('Aportaciones Poliza'!$B$13&lt;'Aportaciones Poliza'!E113,0,F113*$B$8/12),F113*$B$8/12)</f>
      </c>
      <c r="H113" s="333">
        <f>$H$5*G113</f>
      </c>
      <c r="I113" s="333"/>
      <c r="J113" s="333">
        <f>(1+$M$5)^(D113/12)*(H113+IF(AND(F113=1,F114=0),$Q$4,0))</f>
      </c>
      <c r="K113" s="333">
        <f>(1+$M$5)^(D113/12)*(I113)</f>
      </c>
      <c r="L113" s="333">
        <f>K113+J113</f>
      </c>
      <c r="M113" s="170"/>
      <c r="N113" s="7"/>
      <c r="O113" s="1"/>
      <c r="P113" s="331">
        <f>D113</f>
      </c>
      <c r="Q113" s="169"/>
    </row>
    <row x14ac:dyDescent="0.25" r="114" customHeight="1" ht="18.75">
      <c r="A114" s="1"/>
      <c r="B114" s="7"/>
      <c r="C114" s="170"/>
      <c r="D114" s="331">
        <v>107</v>
      </c>
      <c r="E114" s="544">
        <f>+DATE(YEAR(E113),MONTH(E113)-1,DAY(E113))</f>
        <v>25569.041666666668</v>
      </c>
      <c r="F114" s="333">
        <f>IF(DATE(YEAR($B$6),MONTH($B$6)+1,DAY(1))=E114,1,IF(MONTH(E114)=1,F115*(1+$F$5),F115))</f>
      </c>
      <c r="G114" s="333">
        <f>IF('Simulador - 1º Pilar'!$E$99="Sí",IF('Aportaciones Poliza'!$B$13&lt;'Aportaciones Poliza'!E114,0,F114*$B$8/12),F114*$B$8/12)</f>
      </c>
      <c r="H114" s="333">
        <f>$H$5*G114</f>
      </c>
      <c r="I114" s="333"/>
      <c r="J114" s="333">
        <f>(1+$M$5)^(D114/12)*(H114+IF(AND(F114=1,F115=0),$Q$4,0))</f>
      </c>
      <c r="K114" s="333">
        <f>(1+$M$5)^(D114/12)*(I114)</f>
      </c>
      <c r="L114" s="333">
        <f>K114+J114</f>
      </c>
      <c r="M114" s="170"/>
      <c r="N114" s="7"/>
      <c r="O114" s="1"/>
      <c r="P114" s="331">
        <f>D114</f>
      </c>
      <c r="Q114" s="169"/>
    </row>
    <row x14ac:dyDescent="0.25" r="115" customHeight="1" ht="18.75">
      <c r="A115" s="1"/>
      <c r="B115" s="7"/>
      <c r="C115" s="170"/>
      <c r="D115" s="331">
        <v>108</v>
      </c>
      <c r="E115" s="544">
        <f>+DATE(YEAR(E114),MONTH(E114)-1,DAY(E114))</f>
        <v>25569.041666666668</v>
      </c>
      <c r="F115" s="333">
        <f>IF(DATE(YEAR($B$6),MONTH($B$6)+1,DAY(1))=E115,1,IF(MONTH(E115)=1,F116*(1+$F$5),F116))</f>
      </c>
      <c r="G115" s="333">
        <f>IF('Simulador - 1º Pilar'!$E$99="Sí",IF('Aportaciones Poliza'!$B$13&lt;'Aportaciones Poliza'!E115,0,F115*$B$8/12),F115*$B$8/12)</f>
      </c>
      <c r="H115" s="333">
        <f>$H$5*G115</f>
      </c>
      <c r="I115" s="333"/>
      <c r="J115" s="333">
        <f>(1+$M$5)^(D115/12)*(H115+IF(AND(F115=1,F116=0),$Q$4,0))</f>
      </c>
      <c r="K115" s="333">
        <f>(1+$M$5)^(D115/12)*(I115)</f>
      </c>
      <c r="L115" s="333">
        <f>K115+J115</f>
      </c>
      <c r="M115" s="170"/>
      <c r="N115" s="7"/>
      <c r="O115" s="1"/>
      <c r="P115" s="331">
        <f>D115</f>
      </c>
      <c r="Q115" s="169"/>
    </row>
    <row x14ac:dyDescent="0.25" r="116" customHeight="1" ht="18.75">
      <c r="A116" s="1"/>
      <c r="B116" s="7"/>
      <c r="C116" s="170"/>
      <c r="D116" s="331">
        <v>109</v>
      </c>
      <c r="E116" s="544">
        <f>+DATE(YEAR(E115),MONTH(E115)-1,DAY(E115))</f>
        <v>25569.041666666668</v>
      </c>
      <c r="F116" s="333">
        <f>IF(DATE(YEAR($B$6),MONTH($B$6)+1,DAY(1))=E116,1,IF(MONTH(E116)=1,F117*(1+$F$5),F117))</f>
      </c>
      <c r="G116" s="333">
        <f>IF('Simulador - 1º Pilar'!$E$99="Sí",IF('Aportaciones Poliza'!$B$13&lt;'Aportaciones Poliza'!E116,0,F116*$B$8/12),F116*$B$8/12)</f>
      </c>
      <c r="H116" s="333">
        <f>$H$5*G116</f>
      </c>
      <c r="I116" s="333"/>
      <c r="J116" s="333">
        <f>(1+$M$5)^(D116/12)*(H116+IF(AND(F116=1,F117=0),$Q$4,0))</f>
      </c>
      <c r="K116" s="333">
        <f>(1+$M$5)^(D116/12)*(I116)</f>
      </c>
      <c r="L116" s="333">
        <f>K116+J116</f>
      </c>
      <c r="M116" s="170"/>
      <c r="N116" s="7"/>
      <c r="O116" s="1"/>
      <c r="P116" s="331">
        <f>D116</f>
      </c>
      <c r="Q116" s="169"/>
    </row>
    <row x14ac:dyDescent="0.25" r="117" customHeight="1" ht="18.75">
      <c r="A117" s="1"/>
      <c r="B117" s="7"/>
      <c r="C117" s="170"/>
      <c r="D117" s="331">
        <v>110</v>
      </c>
      <c r="E117" s="544">
        <f>+DATE(YEAR(E116),MONTH(E116)-1,DAY(E116))</f>
        <v>25569.041666666668</v>
      </c>
      <c r="F117" s="333">
        <f>IF(DATE(YEAR($B$6),MONTH($B$6)+1,DAY(1))=E117,1,IF(MONTH(E117)=1,F118*(1+$F$5),F118))</f>
      </c>
      <c r="G117" s="333">
        <f>IF('Simulador - 1º Pilar'!$E$99="Sí",IF('Aportaciones Poliza'!$B$13&lt;'Aportaciones Poliza'!E117,0,F117*$B$8/12),F117*$B$8/12)</f>
      </c>
      <c r="H117" s="333">
        <f>$H$5*G117</f>
      </c>
      <c r="I117" s="333"/>
      <c r="J117" s="333">
        <f>(1+$M$5)^(D117/12)*(H117+IF(AND(F117=1,F118=0),$Q$4,0))</f>
      </c>
      <c r="K117" s="333">
        <f>(1+$M$5)^(D117/12)*(I117)</f>
      </c>
      <c r="L117" s="333">
        <f>K117+J117</f>
      </c>
      <c r="M117" s="170"/>
      <c r="N117" s="7"/>
      <c r="O117" s="1"/>
      <c r="P117" s="331">
        <f>D117</f>
      </c>
      <c r="Q117" s="169"/>
    </row>
    <row x14ac:dyDescent="0.25" r="118" customHeight="1" ht="18.75">
      <c r="A118" s="1"/>
      <c r="B118" s="7"/>
      <c r="C118" s="170"/>
      <c r="D118" s="331">
        <v>111</v>
      </c>
      <c r="E118" s="544">
        <f>+DATE(YEAR(E117),MONTH(E117)-1,DAY(E117))</f>
        <v>25569.041666666668</v>
      </c>
      <c r="F118" s="333">
        <f>IF(DATE(YEAR($B$6),MONTH($B$6)+1,DAY(1))=E118,1,IF(MONTH(E118)=1,F119*(1+$F$5),F119))</f>
      </c>
      <c r="G118" s="333">
        <f>IF('Simulador - 1º Pilar'!$E$99="Sí",IF('Aportaciones Poliza'!$B$13&lt;'Aportaciones Poliza'!E118,0,F118*$B$8/12),F118*$B$8/12)</f>
      </c>
      <c r="H118" s="333">
        <f>$H$5*G118</f>
      </c>
      <c r="I118" s="333"/>
      <c r="J118" s="333">
        <f>(1+$M$5)^(D118/12)*(H118+IF(AND(F118=1,F119=0),$Q$4,0))</f>
      </c>
      <c r="K118" s="333">
        <f>(1+$M$5)^(D118/12)*(I118)</f>
      </c>
      <c r="L118" s="333">
        <f>K118+J118</f>
      </c>
      <c r="M118" s="170"/>
      <c r="N118" s="7"/>
      <c r="O118" s="1"/>
      <c r="P118" s="331">
        <f>D118</f>
      </c>
      <c r="Q118" s="169"/>
    </row>
    <row x14ac:dyDescent="0.25" r="119" customHeight="1" ht="18.75">
      <c r="A119" s="1"/>
      <c r="B119" s="7"/>
      <c r="C119" s="170"/>
      <c r="D119" s="331">
        <v>112</v>
      </c>
      <c r="E119" s="544">
        <f>+DATE(YEAR(E118),MONTH(E118)-1,DAY(E118))</f>
        <v>25569.041666666668</v>
      </c>
      <c r="F119" s="333">
        <f>IF(DATE(YEAR($B$6),MONTH($B$6)+1,DAY(1))=E119,1,IF(MONTH(E119)=1,F120*(1+$F$5),F120))</f>
      </c>
      <c r="G119" s="333">
        <f>IF('Simulador - 1º Pilar'!$E$99="Sí",IF('Aportaciones Poliza'!$B$13&lt;'Aportaciones Poliza'!E119,0,F119*$B$8/12),F119*$B$8/12)</f>
      </c>
      <c r="H119" s="333">
        <f>$H$5*G119</f>
      </c>
      <c r="I119" s="333"/>
      <c r="J119" s="333">
        <f>(1+$M$5)^(D119/12)*(H119+IF(AND(F119=1,F120=0),$Q$4,0))</f>
      </c>
      <c r="K119" s="333">
        <f>(1+$M$5)^(D119/12)*(I119)</f>
      </c>
      <c r="L119" s="333">
        <f>K119+J119</f>
      </c>
      <c r="M119" s="170"/>
      <c r="N119" s="7"/>
      <c r="O119" s="1"/>
      <c r="P119" s="331">
        <f>D119</f>
      </c>
      <c r="Q119" s="169"/>
    </row>
    <row x14ac:dyDescent="0.25" r="120" customHeight="1" ht="18.75">
      <c r="A120" s="1"/>
      <c r="B120" s="7"/>
      <c r="C120" s="170"/>
      <c r="D120" s="331">
        <v>113</v>
      </c>
      <c r="E120" s="544">
        <f>+DATE(YEAR(E119),MONTH(E119)-1,DAY(E119))</f>
        <v>25569.041666666668</v>
      </c>
      <c r="F120" s="333">
        <f>IF(DATE(YEAR($B$6),MONTH($B$6)+1,DAY(1))=E120,1,IF(MONTH(E120)=1,F121*(1+$F$5),F121))</f>
      </c>
      <c r="G120" s="333">
        <f>IF('Simulador - 1º Pilar'!$E$99="Sí",IF('Aportaciones Poliza'!$B$13&lt;'Aportaciones Poliza'!E120,0,F120*$B$8/12),F120*$B$8/12)</f>
      </c>
      <c r="H120" s="333">
        <f>$H$5*G120</f>
      </c>
      <c r="I120" s="333"/>
      <c r="J120" s="333">
        <f>(1+$M$5)^(D120/12)*(H120+IF(AND(F120=1,F121=0),$Q$4,0))</f>
      </c>
      <c r="K120" s="333">
        <f>(1+$M$5)^(D120/12)*(I120)</f>
      </c>
      <c r="L120" s="333">
        <f>K120+J120</f>
      </c>
      <c r="M120" s="170"/>
      <c r="N120" s="7"/>
      <c r="O120" s="1"/>
      <c r="P120" s="331">
        <f>D120</f>
      </c>
      <c r="Q120" s="169"/>
    </row>
    <row x14ac:dyDescent="0.25" r="121" customHeight="1" ht="18.75">
      <c r="A121" s="1"/>
      <c r="B121" s="7"/>
      <c r="C121" s="170"/>
      <c r="D121" s="331">
        <v>114</v>
      </c>
      <c r="E121" s="544">
        <f>+DATE(YEAR(E120),MONTH(E120)-1,DAY(E120))</f>
        <v>25569.041666666668</v>
      </c>
      <c r="F121" s="333">
        <f>IF(DATE(YEAR($B$6),MONTH($B$6)+1,DAY(1))=E121,1,IF(MONTH(E121)=1,F122*(1+$F$5),F122))</f>
      </c>
      <c r="G121" s="333">
        <f>IF('Simulador - 1º Pilar'!$E$99="Sí",IF('Aportaciones Poliza'!$B$13&lt;'Aportaciones Poliza'!E121,0,F121*$B$8/12),F121*$B$8/12)</f>
      </c>
      <c r="H121" s="333">
        <f>$H$5*G121</f>
      </c>
      <c r="I121" s="333"/>
      <c r="J121" s="333">
        <f>(1+$M$5)^(D121/12)*(H121+IF(AND(F121=1,F122=0),$Q$4,0))</f>
      </c>
      <c r="K121" s="333">
        <f>(1+$M$5)^(D121/12)*(I121)</f>
      </c>
      <c r="L121" s="333">
        <f>K121+J121</f>
      </c>
      <c r="M121" s="170"/>
      <c r="N121" s="7"/>
      <c r="O121" s="1"/>
      <c r="P121" s="331">
        <f>D121</f>
      </c>
      <c r="Q121" s="169"/>
    </row>
    <row x14ac:dyDescent="0.25" r="122" customHeight="1" ht="18.75">
      <c r="A122" s="1"/>
      <c r="B122" s="7"/>
      <c r="C122" s="170"/>
      <c r="D122" s="331">
        <v>115</v>
      </c>
      <c r="E122" s="544">
        <f>+DATE(YEAR(E121),MONTH(E121)-1,DAY(E121))</f>
        <v>25569.041666666668</v>
      </c>
      <c r="F122" s="333">
        <f>IF(DATE(YEAR($B$6),MONTH($B$6)+1,DAY(1))=E122,1,IF(MONTH(E122)=1,F123*(1+$F$5),F123))</f>
      </c>
      <c r="G122" s="333">
        <f>IF('Simulador - 1º Pilar'!$E$99="Sí",IF('Aportaciones Poliza'!$B$13&lt;'Aportaciones Poliza'!E122,0,F122*$B$8/12),F122*$B$8/12)</f>
      </c>
      <c r="H122" s="333">
        <f>$H$5*G122</f>
      </c>
      <c r="I122" s="333"/>
      <c r="J122" s="333">
        <f>(1+$M$5)^(D122/12)*(H122+IF(AND(F122=1,F123=0),$Q$4,0))</f>
      </c>
      <c r="K122" s="333">
        <f>(1+$M$5)^(D122/12)*(I122)</f>
      </c>
      <c r="L122" s="333">
        <f>K122+J122</f>
      </c>
      <c r="M122" s="170"/>
      <c r="N122" s="7"/>
      <c r="O122" s="1"/>
      <c r="P122" s="331">
        <f>D122</f>
      </c>
      <c r="Q122" s="169"/>
    </row>
    <row x14ac:dyDescent="0.25" r="123" customHeight="1" ht="18.75">
      <c r="A123" s="1"/>
      <c r="B123" s="7"/>
      <c r="C123" s="170"/>
      <c r="D123" s="331">
        <v>116</v>
      </c>
      <c r="E123" s="544">
        <f>+DATE(YEAR(E122),MONTH(E122)-1,DAY(E122))</f>
        <v>25569.041666666668</v>
      </c>
      <c r="F123" s="333">
        <f>IF(DATE(YEAR($B$6),MONTH($B$6)+1,DAY(1))=E123,1,IF(MONTH(E123)=1,F124*(1+$F$5),F124))</f>
      </c>
      <c r="G123" s="333">
        <f>IF('Simulador - 1º Pilar'!$E$99="Sí",IF('Aportaciones Poliza'!$B$13&lt;'Aportaciones Poliza'!E123,0,F123*$B$8/12),F123*$B$8/12)</f>
      </c>
      <c r="H123" s="333">
        <f>$H$5*G123</f>
      </c>
      <c r="I123" s="333"/>
      <c r="J123" s="333">
        <f>(1+$M$5)^(D123/12)*(H123+IF(AND(F123=1,F124=0),$Q$4,0))</f>
      </c>
      <c r="K123" s="333">
        <f>(1+$M$5)^(D123/12)*(I123)</f>
      </c>
      <c r="L123" s="333">
        <f>K123+J123</f>
      </c>
      <c r="M123" s="170"/>
      <c r="N123" s="7"/>
      <c r="O123" s="1"/>
      <c r="P123" s="331">
        <f>D123</f>
      </c>
      <c r="Q123" s="169"/>
    </row>
    <row x14ac:dyDescent="0.25" r="124" customHeight="1" ht="18.75">
      <c r="A124" s="1"/>
      <c r="B124" s="7"/>
      <c r="C124" s="170"/>
      <c r="D124" s="331">
        <v>117</v>
      </c>
      <c r="E124" s="544">
        <f>+DATE(YEAR(E123),MONTH(E123)-1,DAY(E123))</f>
        <v>25569.041666666668</v>
      </c>
      <c r="F124" s="333">
        <f>IF(DATE(YEAR($B$6),MONTH($B$6)+1,DAY(1))=E124,1,IF(MONTH(E124)=1,F125*(1+$F$5),F125))</f>
      </c>
      <c r="G124" s="333">
        <f>IF('Simulador - 1º Pilar'!$E$99="Sí",IF('Aportaciones Poliza'!$B$13&lt;'Aportaciones Poliza'!E124,0,F124*$B$8/12),F124*$B$8/12)</f>
      </c>
      <c r="H124" s="333">
        <f>$H$5*G124</f>
      </c>
      <c r="I124" s="333"/>
      <c r="J124" s="333">
        <f>(1+$M$5)^(D124/12)*(H124+IF(AND(F124=1,F125=0),$Q$4,0))</f>
      </c>
      <c r="K124" s="333">
        <f>(1+$M$5)^(D124/12)*(I124)</f>
      </c>
      <c r="L124" s="333">
        <f>K124+J124</f>
      </c>
      <c r="M124" s="170"/>
      <c r="N124" s="7"/>
      <c r="O124" s="1"/>
      <c r="P124" s="331">
        <f>D124</f>
      </c>
      <c r="Q124" s="169"/>
    </row>
    <row x14ac:dyDescent="0.25" r="125" customHeight="1" ht="18.75">
      <c r="A125" s="1"/>
      <c r="B125" s="7"/>
      <c r="C125" s="170"/>
      <c r="D125" s="331">
        <v>118</v>
      </c>
      <c r="E125" s="544">
        <f>+DATE(YEAR(E124),MONTH(E124)-1,DAY(E124))</f>
        <v>25569.041666666668</v>
      </c>
      <c r="F125" s="333">
        <f>IF(DATE(YEAR($B$6),MONTH($B$6)+1,DAY(1))=E125,1,IF(MONTH(E125)=1,F126*(1+$F$5),F126))</f>
      </c>
      <c r="G125" s="333">
        <f>IF('Simulador - 1º Pilar'!$E$99="Sí",IF('Aportaciones Poliza'!$B$13&lt;'Aportaciones Poliza'!E125,0,F125*$B$8/12),F125*$B$8/12)</f>
      </c>
      <c r="H125" s="333">
        <f>$H$5*G125</f>
      </c>
      <c r="I125" s="333"/>
      <c r="J125" s="333">
        <f>(1+$M$5)^(D125/12)*(H125+IF(AND(F125=1,F126=0),$Q$4,0))</f>
      </c>
      <c r="K125" s="333">
        <f>(1+$M$5)^(D125/12)*(I125)</f>
      </c>
      <c r="L125" s="333">
        <f>K125+J125</f>
      </c>
      <c r="M125" s="170"/>
      <c r="N125" s="7"/>
      <c r="O125" s="1"/>
      <c r="P125" s="331">
        <f>D125</f>
      </c>
      <c r="Q125" s="169"/>
    </row>
    <row x14ac:dyDescent="0.25" r="126" customHeight="1" ht="18.75">
      <c r="A126" s="1"/>
      <c r="B126" s="7"/>
      <c r="C126" s="170"/>
      <c r="D126" s="331">
        <v>119</v>
      </c>
      <c r="E126" s="544">
        <f>+DATE(YEAR(E125),MONTH(E125)-1,DAY(E125))</f>
        <v>25569.041666666668</v>
      </c>
      <c r="F126" s="333">
        <f>IF(DATE(YEAR($B$6),MONTH($B$6)+1,DAY(1))=E126,1,IF(MONTH(E126)=1,F127*(1+$F$5),F127))</f>
      </c>
      <c r="G126" s="333">
        <f>IF('Simulador - 1º Pilar'!$E$99="Sí",IF('Aportaciones Poliza'!$B$13&lt;'Aportaciones Poliza'!E126,0,F126*$B$8/12),F126*$B$8/12)</f>
      </c>
      <c r="H126" s="333">
        <f>$H$5*G126</f>
      </c>
      <c r="I126" s="333"/>
      <c r="J126" s="333">
        <f>(1+$M$5)^(D126/12)*(H126+IF(AND(F126=1,F127=0),$Q$4,0))</f>
      </c>
      <c r="K126" s="333">
        <f>(1+$M$5)^(D126/12)*(I126)</f>
      </c>
      <c r="L126" s="333">
        <f>K126+J126</f>
      </c>
      <c r="M126" s="170"/>
      <c r="N126" s="7"/>
      <c r="O126" s="1"/>
      <c r="P126" s="331">
        <f>D126</f>
      </c>
      <c r="Q126" s="169"/>
    </row>
    <row x14ac:dyDescent="0.25" r="127" customHeight="1" ht="18.75">
      <c r="A127" s="1"/>
      <c r="B127" s="7"/>
      <c r="C127" s="170"/>
      <c r="D127" s="331">
        <v>120</v>
      </c>
      <c r="E127" s="544">
        <f>+DATE(YEAR(E126),MONTH(E126)-1,DAY(E126))</f>
        <v>25569.041666666668</v>
      </c>
      <c r="F127" s="333">
        <f>IF(DATE(YEAR($B$6),MONTH($B$6)+1,DAY(1))=E127,1,IF(MONTH(E127)=1,F128*(1+$F$5),F128))</f>
      </c>
      <c r="G127" s="333">
        <f>IF('Simulador - 1º Pilar'!$E$99="Sí",IF('Aportaciones Poliza'!$B$13&lt;'Aportaciones Poliza'!E127,0,F127*$B$8/12),F127*$B$8/12)</f>
      </c>
      <c r="H127" s="333">
        <f>$H$5*G127</f>
      </c>
      <c r="I127" s="333"/>
      <c r="J127" s="333">
        <f>(1+$M$5)^(D127/12)*(H127+IF(AND(F127=1,F128=0),$Q$4,0))</f>
      </c>
      <c r="K127" s="333">
        <f>(1+$M$5)^(D127/12)*(I127)</f>
      </c>
      <c r="L127" s="333">
        <f>K127+J127</f>
      </c>
      <c r="M127" s="170"/>
      <c r="N127" s="7"/>
      <c r="O127" s="1"/>
      <c r="P127" s="331">
        <f>D127</f>
      </c>
      <c r="Q127" s="169"/>
    </row>
    <row x14ac:dyDescent="0.25" r="128" customHeight="1" ht="18.75">
      <c r="A128" s="1"/>
      <c r="B128" s="7"/>
      <c r="C128" s="170"/>
      <c r="D128" s="331">
        <v>121</v>
      </c>
      <c r="E128" s="544">
        <f>+DATE(YEAR(E127),MONTH(E127)-1,DAY(E127))</f>
        <v>25569.041666666668</v>
      </c>
      <c r="F128" s="333">
        <f>IF(DATE(YEAR($B$6),MONTH($B$6)+1,DAY(1))=E128,1,IF(MONTH(E128)=1,F129*(1+$F$5),F129))</f>
      </c>
      <c r="G128" s="333">
        <f>IF('Simulador - 1º Pilar'!$E$99="Sí",IF('Aportaciones Poliza'!$B$13&lt;'Aportaciones Poliza'!E128,0,F128*$B$8/12),F128*$B$8/12)</f>
      </c>
      <c r="H128" s="333">
        <f>$H$5*G128</f>
      </c>
      <c r="I128" s="333"/>
      <c r="J128" s="333">
        <f>(1+$M$5)^(D128/12)*(H128+IF(AND(F128=1,F129=0),$Q$4,0))</f>
      </c>
      <c r="K128" s="333">
        <f>(1+$M$5)^(D128/12)*(I128)</f>
      </c>
      <c r="L128" s="333">
        <f>K128+J128</f>
      </c>
      <c r="M128" s="170"/>
      <c r="N128" s="7"/>
      <c r="O128" s="1"/>
      <c r="P128" s="331">
        <f>D128</f>
      </c>
      <c r="Q128" s="169"/>
    </row>
    <row x14ac:dyDescent="0.25" r="129" customHeight="1" ht="18.75">
      <c r="A129" s="1"/>
      <c r="B129" s="7"/>
      <c r="C129" s="170"/>
      <c r="D129" s="331">
        <v>122</v>
      </c>
      <c r="E129" s="544">
        <f>+DATE(YEAR(E128),MONTH(E128)-1,DAY(E128))</f>
        <v>25569.041666666668</v>
      </c>
      <c r="F129" s="333">
        <f>IF(DATE(YEAR($B$6),MONTH($B$6)+1,DAY(1))=E129,1,IF(MONTH(E129)=1,F130*(1+$F$5),F130))</f>
      </c>
      <c r="G129" s="333">
        <f>IF('Simulador - 1º Pilar'!$E$99="Sí",IF('Aportaciones Poliza'!$B$13&lt;'Aportaciones Poliza'!E129,0,F129*$B$8/12),F129*$B$8/12)</f>
      </c>
      <c r="H129" s="333">
        <f>$H$5*G129</f>
      </c>
      <c r="I129" s="333"/>
      <c r="J129" s="333">
        <f>(1+$M$5)^(D129/12)*(H129+IF(AND(F129=1,F130=0),$Q$4,0))</f>
      </c>
      <c r="K129" s="333">
        <f>(1+$M$5)^(D129/12)*(I129)</f>
      </c>
      <c r="L129" s="333">
        <f>K129+J129</f>
      </c>
      <c r="M129" s="170"/>
      <c r="N129" s="7"/>
      <c r="O129" s="1"/>
      <c r="P129" s="331">
        <f>D129</f>
      </c>
      <c r="Q129" s="169"/>
    </row>
    <row x14ac:dyDescent="0.25" r="130" customHeight="1" ht="18.75">
      <c r="A130" s="1"/>
      <c r="B130" s="7"/>
      <c r="C130" s="170"/>
      <c r="D130" s="331">
        <v>123</v>
      </c>
      <c r="E130" s="544">
        <f>+DATE(YEAR(E129),MONTH(E129)-1,DAY(E129))</f>
        <v>25569.041666666668</v>
      </c>
      <c r="F130" s="333">
        <f>IF(DATE(YEAR($B$6),MONTH($B$6)+1,DAY(1))=E130,1,IF(MONTH(E130)=1,F131*(1+$F$5),F131))</f>
      </c>
      <c r="G130" s="333">
        <f>IF('Simulador - 1º Pilar'!$E$99="Sí",IF('Aportaciones Poliza'!$B$13&lt;'Aportaciones Poliza'!E130,0,F130*$B$8/12),F130*$B$8/12)</f>
      </c>
      <c r="H130" s="333">
        <f>$H$5*G130</f>
      </c>
      <c r="I130" s="333"/>
      <c r="J130" s="333">
        <f>(1+$M$5)^(D130/12)*(H130+IF(AND(F130=1,F131=0),$Q$4,0))</f>
      </c>
      <c r="K130" s="333">
        <f>(1+$M$5)^(D130/12)*(I130)</f>
      </c>
      <c r="L130" s="333">
        <f>K130+J130</f>
      </c>
      <c r="M130" s="170"/>
      <c r="N130" s="7"/>
      <c r="O130" s="1"/>
      <c r="P130" s="331">
        <f>D130</f>
      </c>
      <c r="Q130" s="169"/>
    </row>
    <row x14ac:dyDescent="0.25" r="131" customHeight="1" ht="18.75">
      <c r="A131" s="1"/>
      <c r="B131" s="7"/>
      <c r="C131" s="170"/>
      <c r="D131" s="331">
        <v>124</v>
      </c>
      <c r="E131" s="544">
        <f>+DATE(YEAR(E130),MONTH(E130)-1,DAY(E130))</f>
        <v>25569.041666666668</v>
      </c>
      <c r="F131" s="333">
        <f>IF(DATE(YEAR($B$6),MONTH($B$6)+1,DAY(1))=E131,1,IF(MONTH(E131)=1,F132*(1+$F$5),F132))</f>
      </c>
      <c r="G131" s="333">
        <f>IF('Simulador - 1º Pilar'!$E$99="Sí",IF('Aportaciones Poliza'!$B$13&lt;'Aportaciones Poliza'!E131,0,F131*$B$8/12),F131*$B$8/12)</f>
      </c>
      <c r="H131" s="333">
        <f>$H$5*G131</f>
      </c>
      <c r="I131" s="333"/>
      <c r="J131" s="333">
        <f>(1+$M$5)^(D131/12)*(H131+IF(AND(F131=1,F132=0),$Q$4,0))</f>
      </c>
      <c r="K131" s="333">
        <f>(1+$M$5)^(D131/12)*(I131)</f>
      </c>
      <c r="L131" s="333">
        <f>K131+J131</f>
      </c>
      <c r="M131" s="170"/>
      <c r="N131" s="7"/>
      <c r="O131" s="1"/>
      <c r="P131" s="331">
        <f>D131</f>
      </c>
      <c r="Q131" s="169"/>
    </row>
    <row x14ac:dyDescent="0.25" r="132" customHeight="1" ht="18.75">
      <c r="A132" s="1"/>
      <c r="B132" s="7"/>
      <c r="C132" s="170"/>
      <c r="D132" s="331">
        <v>125</v>
      </c>
      <c r="E132" s="544">
        <f>+DATE(YEAR(E131),MONTH(E131)-1,DAY(E131))</f>
        <v>25569.041666666668</v>
      </c>
      <c r="F132" s="333">
        <f>IF(DATE(YEAR($B$6),MONTH($B$6)+1,DAY(1))=E132,1,IF(MONTH(E132)=1,F133*(1+$F$5),F133))</f>
      </c>
      <c r="G132" s="333">
        <f>IF('Simulador - 1º Pilar'!$E$99="Sí",IF('Aportaciones Poliza'!$B$13&lt;'Aportaciones Poliza'!E132,0,F132*$B$8/12),F132*$B$8/12)</f>
      </c>
      <c r="H132" s="333">
        <f>$H$5*G132</f>
      </c>
      <c r="I132" s="333"/>
      <c r="J132" s="333">
        <f>(1+$M$5)^(D132/12)*(H132+IF(AND(F132=1,F133=0),$Q$4,0))</f>
      </c>
      <c r="K132" s="333">
        <f>(1+$M$5)^(D132/12)*(I132)</f>
      </c>
      <c r="L132" s="333">
        <f>K132+J132</f>
      </c>
      <c r="M132" s="170"/>
      <c r="N132" s="7"/>
      <c r="O132" s="1"/>
      <c r="P132" s="331">
        <f>D132</f>
      </c>
      <c r="Q132" s="169"/>
    </row>
    <row x14ac:dyDescent="0.25" r="133" customHeight="1" ht="18.75">
      <c r="A133" s="1"/>
      <c r="B133" s="7"/>
      <c r="C133" s="170"/>
      <c r="D133" s="331">
        <v>126</v>
      </c>
      <c r="E133" s="544">
        <f>+DATE(YEAR(E132),MONTH(E132)-1,DAY(E132))</f>
        <v>25569.041666666668</v>
      </c>
      <c r="F133" s="333">
        <f>IF(DATE(YEAR($B$6),MONTH($B$6)+1,DAY(1))=E133,1,IF(MONTH(E133)=1,F134*(1+$F$5),F134))</f>
      </c>
      <c r="G133" s="333">
        <f>IF('Simulador - 1º Pilar'!$E$99="Sí",IF('Aportaciones Poliza'!$B$13&lt;'Aportaciones Poliza'!E133,0,F133*$B$8/12),F133*$B$8/12)</f>
      </c>
      <c r="H133" s="333">
        <f>$H$5*G133</f>
      </c>
      <c r="I133" s="333"/>
      <c r="J133" s="333">
        <f>(1+$M$5)^(D133/12)*(H133+IF(AND(F133=1,F134=0),$Q$4,0))</f>
      </c>
      <c r="K133" s="333">
        <f>(1+$M$5)^(D133/12)*(I133)</f>
      </c>
      <c r="L133" s="333">
        <f>K133+J133</f>
      </c>
      <c r="M133" s="170"/>
      <c r="N133" s="7"/>
      <c r="O133" s="1"/>
      <c r="P133" s="331">
        <f>D133</f>
      </c>
      <c r="Q133" s="169"/>
    </row>
    <row x14ac:dyDescent="0.25" r="134" customHeight="1" ht="18.75">
      <c r="A134" s="1"/>
      <c r="B134" s="7"/>
      <c r="C134" s="170"/>
      <c r="D134" s="331">
        <v>127</v>
      </c>
      <c r="E134" s="544">
        <f>+DATE(YEAR(E133),MONTH(E133)-1,DAY(E133))</f>
        <v>25569.041666666668</v>
      </c>
      <c r="F134" s="333">
        <f>IF(DATE(YEAR($B$6),MONTH($B$6)+1,DAY(1))=E134,1,IF(MONTH(E134)=1,F135*(1+$F$5),F135))</f>
      </c>
      <c r="G134" s="333">
        <f>IF('Simulador - 1º Pilar'!$E$99="Sí",IF('Aportaciones Poliza'!$B$13&lt;'Aportaciones Poliza'!E134,0,F134*$B$8/12),F134*$B$8/12)</f>
      </c>
      <c r="H134" s="333">
        <f>$H$5*G134</f>
      </c>
      <c r="I134" s="333"/>
      <c r="J134" s="333">
        <f>(1+$M$5)^(D134/12)*(H134+IF(AND(F134=1,F135=0),$Q$4,0))</f>
      </c>
      <c r="K134" s="333">
        <f>(1+$M$5)^(D134/12)*(I134)</f>
      </c>
      <c r="L134" s="333">
        <f>K134+J134</f>
      </c>
      <c r="M134" s="170"/>
      <c r="N134" s="7"/>
      <c r="O134" s="1"/>
      <c r="P134" s="331">
        <f>D134</f>
      </c>
      <c r="Q134" s="169"/>
    </row>
    <row x14ac:dyDescent="0.25" r="135" customHeight="1" ht="18.75">
      <c r="A135" s="1"/>
      <c r="B135" s="7"/>
      <c r="C135" s="170"/>
      <c r="D135" s="331">
        <v>128</v>
      </c>
      <c r="E135" s="544">
        <f>+DATE(YEAR(E134),MONTH(E134)-1,DAY(E134))</f>
        <v>25569.041666666668</v>
      </c>
      <c r="F135" s="333">
        <f>IF(DATE(YEAR($B$6),MONTH($B$6)+1,DAY(1))=E135,1,IF(MONTH(E135)=1,F136*(1+$F$5),F136))</f>
      </c>
      <c r="G135" s="333">
        <f>IF('Simulador - 1º Pilar'!$E$99="Sí",IF('Aportaciones Poliza'!$B$13&lt;'Aportaciones Poliza'!E135,0,F135*$B$8/12),F135*$B$8/12)</f>
      </c>
      <c r="H135" s="333">
        <f>$H$5*G135</f>
      </c>
      <c r="I135" s="333"/>
      <c r="J135" s="333">
        <f>(1+$M$5)^(D135/12)*(H135+IF(AND(F135=1,F136=0),$Q$4,0))</f>
      </c>
      <c r="K135" s="333">
        <f>(1+$M$5)^(D135/12)*(I135)</f>
      </c>
      <c r="L135" s="333">
        <f>K135+J135</f>
      </c>
      <c r="M135" s="170"/>
      <c r="N135" s="7"/>
      <c r="O135" s="1"/>
      <c r="P135" s="331">
        <f>D135</f>
      </c>
      <c r="Q135" s="169"/>
    </row>
    <row x14ac:dyDescent="0.25" r="136" customHeight="1" ht="18.75">
      <c r="A136" s="1"/>
      <c r="B136" s="7"/>
      <c r="C136" s="170"/>
      <c r="D136" s="331">
        <v>129</v>
      </c>
      <c r="E136" s="544">
        <f>+DATE(YEAR(E135),MONTH(E135)-1,DAY(E135))</f>
        <v>25569.041666666668</v>
      </c>
      <c r="F136" s="333">
        <f>IF(DATE(YEAR($B$6),MONTH($B$6)+1,DAY(1))=E136,1,IF(MONTH(E136)=1,F137*(1+$F$5),F137))</f>
      </c>
      <c r="G136" s="333">
        <f>IF('Simulador - 1º Pilar'!$E$99="Sí",IF('Aportaciones Poliza'!$B$13&lt;'Aportaciones Poliza'!E136,0,F136*$B$8/12),F136*$B$8/12)</f>
      </c>
      <c r="H136" s="333">
        <f>$H$5*G136</f>
      </c>
      <c r="I136" s="333"/>
      <c r="J136" s="333">
        <f>(1+$M$5)^(D136/12)*(H136+IF(AND(F136=1,F137=0),$Q$4,0))</f>
      </c>
      <c r="K136" s="333">
        <f>(1+$M$5)^(D136/12)*(I136)</f>
      </c>
      <c r="L136" s="333">
        <f>K136+J136</f>
      </c>
      <c r="M136" s="170"/>
      <c r="N136" s="7"/>
      <c r="O136" s="1"/>
      <c r="P136" s="331">
        <f>D136</f>
      </c>
      <c r="Q136" s="169"/>
    </row>
    <row x14ac:dyDescent="0.25" r="137" customHeight="1" ht="18.75">
      <c r="A137" s="1"/>
      <c r="B137" s="7"/>
      <c r="C137" s="170"/>
      <c r="D137" s="331">
        <v>130</v>
      </c>
      <c r="E137" s="544">
        <f>+DATE(YEAR(E136),MONTH(E136)-1,DAY(E136))</f>
        <v>25569.041666666668</v>
      </c>
      <c r="F137" s="333">
        <f>IF(DATE(YEAR($B$6),MONTH($B$6)+1,DAY(1))=E137,1,IF(MONTH(E137)=1,F138*(1+$F$5),F138))</f>
      </c>
      <c r="G137" s="333">
        <f>IF('Simulador - 1º Pilar'!$E$99="Sí",IF('Aportaciones Poliza'!$B$13&lt;'Aportaciones Poliza'!E137,0,F137*$B$8/12),F137*$B$8/12)</f>
      </c>
      <c r="H137" s="333">
        <f>$H$5*G137</f>
      </c>
      <c r="I137" s="333"/>
      <c r="J137" s="333">
        <f>(1+$M$5)^(D137/12)*(H137+IF(AND(F137=1,F138=0),$Q$4,0))</f>
      </c>
      <c r="K137" s="333">
        <f>(1+$M$5)^(D137/12)*(I137)</f>
      </c>
      <c r="L137" s="333">
        <f>K137+J137</f>
      </c>
      <c r="M137" s="170"/>
      <c r="N137" s="7"/>
      <c r="O137" s="1"/>
      <c r="P137" s="331">
        <f>D137</f>
      </c>
      <c r="Q137" s="169"/>
    </row>
    <row x14ac:dyDescent="0.25" r="138" customHeight="1" ht="18.75">
      <c r="A138" s="1"/>
      <c r="B138" s="7"/>
      <c r="C138" s="170"/>
      <c r="D138" s="331">
        <v>131</v>
      </c>
      <c r="E138" s="544">
        <f>+DATE(YEAR(E137),MONTH(E137)-1,DAY(E137))</f>
        <v>25569.041666666668</v>
      </c>
      <c r="F138" s="333">
        <f>IF(DATE(YEAR($B$6),MONTH($B$6)+1,DAY(1))=E138,1,IF(MONTH(E138)=1,F139*(1+$F$5),F139))</f>
      </c>
      <c r="G138" s="333">
        <f>IF('Simulador - 1º Pilar'!$E$99="Sí",IF('Aportaciones Poliza'!$B$13&lt;'Aportaciones Poliza'!E138,0,F138*$B$8/12),F138*$B$8/12)</f>
      </c>
      <c r="H138" s="333">
        <f>$H$5*G138</f>
      </c>
      <c r="I138" s="333"/>
      <c r="J138" s="333">
        <f>(1+$M$5)^(D138/12)*(H138+IF(AND(F138=1,F139=0),$Q$4,0))</f>
      </c>
      <c r="K138" s="333">
        <f>(1+$M$5)^(D138/12)*(I138)</f>
      </c>
      <c r="L138" s="333">
        <f>K138+J138</f>
      </c>
      <c r="M138" s="170"/>
      <c r="N138" s="7"/>
      <c r="O138" s="1"/>
      <c r="P138" s="331">
        <f>D138</f>
      </c>
      <c r="Q138" s="169"/>
    </row>
    <row x14ac:dyDescent="0.25" r="139" customHeight="1" ht="18.75">
      <c r="A139" s="1"/>
      <c r="B139" s="7"/>
      <c r="C139" s="170"/>
      <c r="D139" s="331">
        <v>132</v>
      </c>
      <c r="E139" s="544">
        <f>+DATE(YEAR(E138),MONTH(E138)-1,DAY(E138))</f>
        <v>25569.041666666668</v>
      </c>
      <c r="F139" s="333">
        <f>IF(DATE(YEAR($B$6),MONTH($B$6)+1,DAY(1))=E139,1,IF(MONTH(E139)=1,F140*(1+$F$5),F140))</f>
      </c>
      <c r="G139" s="333">
        <f>IF('Simulador - 1º Pilar'!$E$99="Sí",IF('Aportaciones Poliza'!$B$13&lt;'Aportaciones Poliza'!E139,0,F139*$B$8/12),F139*$B$8/12)</f>
      </c>
      <c r="H139" s="333">
        <f>$H$5*G139</f>
      </c>
      <c r="I139" s="333"/>
      <c r="J139" s="333">
        <f>(1+$M$5)^(D139/12)*(H139+IF(AND(F139=1,F140=0),$Q$4,0))</f>
      </c>
      <c r="K139" s="333">
        <f>(1+$M$5)^(D139/12)*(I139)</f>
      </c>
      <c r="L139" s="333">
        <f>K139+J139</f>
      </c>
      <c r="M139" s="170"/>
      <c r="N139" s="7"/>
      <c r="O139" s="1"/>
      <c r="P139" s="331">
        <f>D139</f>
      </c>
      <c r="Q139" s="169"/>
    </row>
    <row x14ac:dyDescent="0.25" r="140" customHeight="1" ht="18.75">
      <c r="A140" s="1"/>
      <c r="B140" s="7"/>
      <c r="C140" s="170"/>
      <c r="D140" s="331">
        <v>133</v>
      </c>
      <c r="E140" s="544">
        <f>+DATE(YEAR(E139),MONTH(E139)-1,DAY(E139))</f>
        <v>25569.041666666668</v>
      </c>
      <c r="F140" s="333">
        <f>IF(DATE(YEAR($B$6),MONTH($B$6)+1,DAY(1))=E140,1,IF(MONTH(E140)=1,F141*(1+$F$5),F141))</f>
      </c>
      <c r="G140" s="333">
        <f>IF('Simulador - 1º Pilar'!$E$99="Sí",IF('Aportaciones Poliza'!$B$13&lt;'Aportaciones Poliza'!E140,0,F140*$B$8/12),F140*$B$8/12)</f>
      </c>
      <c r="H140" s="333">
        <f>$H$5*G140</f>
      </c>
      <c r="I140" s="333"/>
      <c r="J140" s="333">
        <f>(1+$M$5)^(D140/12)*(H140+IF(AND(F140=1,F141=0),$Q$4,0))</f>
      </c>
      <c r="K140" s="333">
        <f>(1+$M$5)^(D140/12)*(I140)</f>
      </c>
      <c r="L140" s="333">
        <f>K140+J140</f>
      </c>
      <c r="M140" s="170"/>
      <c r="N140" s="7"/>
      <c r="O140" s="1"/>
      <c r="P140" s="331">
        <f>D140</f>
      </c>
      <c r="Q140" s="169"/>
    </row>
    <row x14ac:dyDescent="0.25" r="141" customHeight="1" ht="18.75">
      <c r="A141" s="1"/>
      <c r="B141" s="7"/>
      <c r="C141" s="170"/>
      <c r="D141" s="331">
        <v>134</v>
      </c>
      <c r="E141" s="544">
        <f>+DATE(YEAR(E140),MONTH(E140)-1,DAY(E140))</f>
        <v>25569.041666666668</v>
      </c>
      <c r="F141" s="333">
        <f>IF(DATE(YEAR($B$6),MONTH($B$6)+1,DAY(1))=E141,1,IF(MONTH(E141)=1,F142*(1+$F$5),F142))</f>
      </c>
      <c r="G141" s="333">
        <f>IF('Simulador - 1º Pilar'!$E$99="Sí",IF('Aportaciones Poliza'!$B$13&lt;'Aportaciones Poliza'!E141,0,F141*$B$8/12),F141*$B$8/12)</f>
      </c>
      <c r="H141" s="333">
        <f>$H$5*G141</f>
      </c>
      <c r="I141" s="333"/>
      <c r="J141" s="333">
        <f>(1+$M$5)^(D141/12)*(H141+IF(AND(F141=1,F142=0),$Q$4,0))</f>
      </c>
      <c r="K141" s="333">
        <f>(1+$M$5)^(D141/12)*(I141)</f>
      </c>
      <c r="L141" s="333">
        <f>K141+J141</f>
      </c>
      <c r="M141" s="170"/>
      <c r="N141" s="7"/>
      <c r="O141" s="1"/>
      <c r="P141" s="331">
        <f>D141</f>
      </c>
      <c r="Q141" s="169"/>
    </row>
    <row x14ac:dyDescent="0.25" r="142" customHeight="1" ht="18.75">
      <c r="A142" s="1"/>
      <c r="B142" s="7"/>
      <c r="C142" s="170"/>
      <c r="D142" s="331">
        <v>135</v>
      </c>
      <c r="E142" s="544">
        <f>+DATE(YEAR(E141),MONTH(E141)-1,DAY(E141))</f>
        <v>25569.041666666668</v>
      </c>
      <c r="F142" s="333">
        <f>IF(DATE(YEAR($B$6),MONTH($B$6)+1,DAY(1))=E142,1,IF(MONTH(E142)=1,F143*(1+$F$5),F143))</f>
      </c>
      <c r="G142" s="333">
        <f>IF('Simulador - 1º Pilar'!$E$99="Sí",IF('Aportaciones Poliza'!$B$13&lt;'Aportaciones Poliza'!E142,0,F142*$B$8/12),F142*$B$8/12)</f>
      </c>
      <c r="H142" s="333">
        <f>$H$5*G142</f>
      </c>
      <c r="I142" s="333"/>
      <c r="J142" s="333">
        <f>(1+$M$5)^(D142/12)*(H142+IF(AND(F142=1,F143=0),$Q$4,0))</f>
      </c>
      <c r="K142" s="333">
        <f>(1+$M$5)^(D142/12)*(I142)</f>
      </c>
      <c r="L142" s="333">
        <f>K142+J142</f>
      </c>
      <c r="M142" s="170"/>
      <c r="N142" s="7"/>
      <c r="O142" s="1"/>
      <c r="P142" s="331">
        <f>D142</f>
      </c>
      <c r="Q142" s="169"/>
    </row>
    <row x14ac:dyDescent="0.25" r="143" customHeight="1" ht="18.75">
      <c r="A143" s="1"/>
      <c r="B143" s="7"/>
      <c r="C143" s="170"/>
      <c r="D143" s="331">
        <v>136</v>
      </c>
      <c r="E143" s="544">
        <f>+DATE(YEAR(E142),MONTH(E142)-1,DAY(E142))</f>
        <v>25569.041666666668</v>
      </c>
      <c r="F143" s="333">
        <f>IF(DATE(YEAR($B$6),MONTH($B$6)+1,DAY(1))=E143,1,IF(MONTH(E143)=1,F144*(1+$F$5),F144))</f>
      </c>
      <c r="G143" s="333">
        <f>IF('Simulador - 1º Pilar'!$E$99="Sí",IF('Aportaciones Poliza'!$B$13&lt;'Aportaciones Poliza'!E143,0,F143*$B$8/12),F143*$B$8/12)</f>
      </c>
      <c r="H143" s="333">
        <f>$H$5*G143</f>
      </c>
      <c r="I143" s="333"/>
      <c r="J143" s="333">
        <f>(1+$M$5)^(D143/12)*(H143+IF(AND(F143=1,F144=0),$Q$4,0))</f>
      </c>
      <c r="K143" s="333">
        <f>(1+$M$5)^(D143/12)*(I143)</f>
      </c>
      <c r="L143" s="333">
        <f>K143+J143</f>
      </c>
      <c r="M143" s="170"/>
      <c r="N143" s="7"/>
      <c r="O143" s="1"/>
      <c r="P143" s="331">
        <f>D143</f>
      </c>
      <c r="Q143" s="169"/>
    </row>
    <row x14ac:dyDescent="0.25" r="144" customHeight="1" ht="18.75">
      <c r="A144" s="1"/>
      <c r="B144" s="7"/>
      <c r="C144" s="170"/>
      <c r="D144" s="331">
        <v>137</v>
      </c>
      <c r="E144" s="544">
        <f>+DATE(YEAR(E143),MONTH(E143)-1,DAY(E143))</f>
        <v>25569.041666666668</v>
      </c>
      <c r="F144" s="333">
        <f>IF(DATE(YEAR($B$6),MONTH($B$6)+1,DAY(1))=E144,1,IF(MONTH(E144)=1,F145*(1+$F$5),F145))</f>
      </c>
      <c r="G144" s="333">
        <f>IF('Simulador - 1º Pilar'!$E$99="Sí",IF('Aportaciones Poliza'!$B$13&lt;'Aportaciones Poliza'!E144,0,F144*$B$8/12),F144*$B$8/12)</f>
      </c>
      <c r="H144" s="333">
        <f>$H$5*G144</f>
      </c>
      <c r="I144" s="333"/>
      <c r="J144" s="333">
        <f>(1+$M$5)^(D144/12)*(H144+IF(AND(F144=1,F145=0),$Q$4,0))</f>
      </c>
      <c r="K144" s="333">
        <f>(1+$M$5)^(D144/12)*(I144)</f>
      </c>
      <c r="L144" s="333">
        <f>K144+J144</f>
      </c>
      <c r="M144" s="170"/>
      <c r="N144" s="7"/>
      <c r="O144" s="1"/>
      <c r="P144" s="331">
        <f>D144</f>
      </c>
      <c r="Q144" s="169"/>
    </row>
    <row x14ac:dyDescent="0.25" r="145" customHeight="1" ht="18.75">
      <c r="A145" s="1"/>
      <c r="B145" s="7"/>
      <c r="C145" s="170"/>
      <c r="D145" s="331">
        <v>138</v>
      </c>
      <c r="E145" s="544">
        <f>+DATE(YEAR(E144),MONTH(E144)-1,DAY(E144))</f>
        <v>25569.041666666668</v>
      </c>
      <c r="F145" s="333">
        <f>IF(DATE(YEAR($B$6),MONTH($B$6)+1,DAY(1))=E145,1,IF(MONTH(E145)=1,F146*(1+$F$5),F146))</f>
      </c>
      <c r="G145" s="333">
        <f>IF('Simulador - 1º Pilar'!$E$99="Sí",IF('Aportaciones Poliza'!$B$13&lt;'Aportaciones Poliza'!E145,0,F145*$B$8/12),F145*$B$8/12)</f>
      </c>
      <c r="H145" s="333">
        <f>$H$5*G145</f>
      </c>
      <c r="I145" s="333"/>
      <c r="J145" s="333">
        <f>(1+$M$5)^(D145/12)*(H145+IF(AND(F145=1,F146=0),$Q$4,0))</f>
      </c>
      <c r="K145" s="333">
        <f>(1+$M$5)^(D145/12)*(I145)</f>
      </c>
      <c r="L145" s="333">
        <f>K145+J145</f>
      </c>
      <c r="M145" s="170"/>
      <c r="N145" s="7"/>
      <c r="O145" s="1"/>
      <c r="P145" s="331">
        <f>D145</f>
      </c>
      <c r="Q145" s="169"/>
    </row>
    <row x14ac:dyDescent="0.25" r="146" customHeight="1" ht="18.75">
      <c r="A146" s="1"/>
      <c r="B146" s="7"/>
      <c r="C146" s="170"/>
      <c r="D146" s="331">
        <v>139</v>
      </c>
      <c r="E146" s="544">
        <f>+DATE(YEAR(E145),MONTH(E145)-1,DAY(E145))</f>
        <v>25569.041666666668</v>
      </c>
      <c r="F146" s="333">
        <f>IF(DATE(YEAR($B$6),MONTH($B$6)+1,DAY(1))=E146,1,IF(MONTH(E146)=1,F147*(1+$F$5),F147))</f>
      </c>
      <c r="G146" s="333">
        <f>IF('Simulador - 1º Pilar'!$E$99="Sí",IF('Aportaciones Poliza'!$B$13&lt;'Aportaciones Poliza'!E146,0,F146*$B$8/12),F146*$B$8/12)</f>
      </c>
      <c r="H146" s="333">
        <f>$H$5*G146</f>
      </c>
      <c r="I146" s="333"/>
      <c r="J146" s="333">
        <f>(1+$M$5)^(D146/12)*(H146+IF(AND(F146=1,F147=0),$Q$4,0))</f>
      </c>
      <c r="K146" s="333">
        <f>(1+$M$5)^(D146/12)*(I146)</f>
      </c>
      <c r="L146" s="333">
        <f>K146+J146</f>
      </c>
      <c r="M146" s="170"/>
      <c r="N146" s="7"/>
      <c r="O146" s="1"/>
      <c r="P146" s="331">
        <f>D146</f>
      </c>
      <c r="Q146" s="169"/>
    </row>
    <row x14ac:dyDescent="0.25" r="147" customHeight="1" ht="18.75">
      <c r="A147" s="1"/>
      <c r="B147" s="7"/>
      <c r="C147" s="170"/>
      <c r="D147" s="331">
        <v>140</v>
      </c>
      <c r="E147" s="544">
        <f>+DATE(YEAR(E146),MONTH(E146)-1,DAY(E146))</f>
        <v>25569.041666666668</v>
      </c>
      <c r="F147" s="333">
        <f>IF(DATE(YEAR($B$6),MONTH($B$6)+1,DAY(1))=E147,1,IF(MONTH(E147)=1,F148*(1+$F$5),F148))</f>
      </c>
      <c r="G147" s="333">
        <f>IF('Simulador - 1º Pilar'!$E$99="Sí",IF('Aportaciones Poliza'!$B$13&lt;'Aportaciones Poliza'!E147,0,F147*$B$8/12),F147*$B$8/12)</f>
      </c>
      <c r="H147" s="333">
        <f>$H$5*G147</f>
      </c>
      <c r="I147" s="333"/>
      <c r="J147" s="333">
        <f>(1+$M$5)^(D147/12)*(H147+IF(AND(F147=1,F148=0),$Q$4,0))</f>
      </c>
      <c r="K147" s="333">
        <f>(1+$M$5)^(D147/12)*(I147)</f>
      </c>
      <c r="L147" s="333">
        <f>K147+J147</f>
      </c>
      <c r="M147" s="170"/>
      <c r="N147" s="7"/>
      <c r="O147" s="1"/>
      <c r="P147" s="331">
        <f>D147</f>
      </c>
      <c r="Q147" s="169"/>
    </row>
    <row x14ac:dyDescent="0.25" r="148" customHeight="1" ht="18.75">
      <c r="A148" s="1"/>
      <c r="B148" s="7"/>
      <c r="C148" s="170"/>
      <c r="D148" s="331">
        <v>141</v>
      </c>
      <c r="E148" s="544">
        <f>+DATE(YEAR(E147),MONTH(E147)-1,DAY(E147))</f>
        <v>25569.041666666668</v>
      </c>
      <c r="F148" s="333">
        <f>IF(DATE(YEAR($B$6),MONTH($B$6)+1,DAY(1))=E148,1,IF(MONTH(E148)=1,F149*(1+$F$5),F149))</f>
      </c>
      <c r="G148" s="333">
        <f>IF('Simulador - 1º Pilar'!$E$99="Sí",IF('Aportaciones Poliza'!$B$13&lt;'Aportaciones Poliza'!E148,0,F148*$B$8/12),F148*$B$8/12)</f>
      </c>
      <c r="H148" s="333">
        <f>$H$5*G148</f>
      </c>
      <c r="I148" s="333"/>
      <c r="J148" s="333">
        <f>(1+$M$5)^(D148/12)*(H148+IF(AND(F148=1,F149=0),$Q$4,0))</f>
      </c>
      <c r="K148" s="333">
        <f>(1+$M$5)^(D148/12)*(I148)</f>
      </c>
      <c r="L148" s="333">
        <f>K148+J148</f>
      </c>
      <c r="M148" s="170"/>
      <c r="N148" s="7"/>
      <c r="O148" s="1"/>
      <c r="P148" s="331">
        <f>D148</f>
      </c>
      <c r="Q148" s="169"/>
    </row>
    <row x14ac:dyDescent="0.25" r="149" customHeight="1" ht="18.75">
      <c r="A149" s="1"/>
      <c r="B149" s="7"/>
      <c r="C149" s="170"/>
      <c r="D149" s="331">
        <v>142</v>
      </c>
      <c r="E149" s="544">
        <f>+DATE(YEAR(E148),MONTH(E148)-1,DAY(E148))</f>
        <v>25569.041666666668</v>
      </c>
      <c r="F149" s="333">
        <f>IF(DATE(YEAR($B$6),MONTH($B$6)+1,DAY(1))=E149,1,IF(MONTH(E149)=1,F150*(1+$F$5),F150))</f>
      </c>
      <c r="G149" s="333">
        <f>IF('Simulador - 1º Pilar'!$E$99="Sí",IF('Aportaciones Poliza'!$B$13&lt;'Aportaciones Poliza'!E149,0,F149*$B$8/12),F149*$B$8/12)</f>
      </c>
      <c r="H149" s="333">
        <f>$H$5*G149</f>
      </c>
      <c r="I149" s="333"/>
      <c r="J149" s="333">
        <f>(1+$M$5)^(D149/12)*(H149+IF(AND(F149=1,F150=0),$Q$4,0))</f>
      </c>
      <c r="K149" s="333">
        <f>(1+$M$5)^(D149/12)*(I149)</f>
      </c>
      <c r="L149" s="333">
        <f>K149+J149</f>
      </c>
      <c r="M149" s="170"/>
      <c r="N149" s="7"/>
      <c r="O149" s="1"/>
      <c r="P149" s="331">
        <f>D149</f>
      </c>
      <c r="Q149" s="169"/>
    </row>
    <row x14ac:dyDescent="0.25" r="150" customHeight="1" ht="18.75">
      <c r="A150" s="1"/>
      <c r="B150" s="7"/>
      <c r="C150" s="170"/>
      <c r="D150" s="331">
        <v>143</v>
      </c>
      <c r="E150" s="544">
        <f>+DATE(YEAR(E149),MONTH(E149)-1,DAY(E149))</f>
        <v>25569.041666666668</v>
      </c>
      <c r="F150" s="333">
        <f>IF(DATE(YEAR($B$6),MONTH($B$6)+1,DAY(1))=E150,1,IF(MONTH(E150)=1,F151*(1+$F$5),F151))</f>
      </c>
      <c r="G150" s="333">
        <f>IF('Simulador - 1º Pilar'!$E$99="Sí",IF('Aportaciones Poliza'!$B$13&lt;'Aportaciones Poliza'!E150,0,F150*$B$8/12),F150*$B$8/12)</f>
      </c>
      <c r="H150" s="333">
        <f>$H$5*G150</f>
      </c>
      <c r="I150" s="333"/>
      <c r="J150" s="333">
        <f>(1+$M$5)^(D150/12)*(H150+IF(AND(F150=1,F151=0),$Q$4,0))</f>
      </c>
      <c r="K150" s="333">
        <f>(1+$M$5)^(D150/12)*(I150)</f>
      </c>
      <c r="L150" s="333">
        <f>K150+J150</f>
      </c>
      <c r="M150" s="170"/>
      <c r="N150" s="7"/>
      <c r="O150" s="1"/>
      <c r="P150" s="331">
        <f>D150</f>
      </c>
      <c r="Q150" s="169"/>
    </row>
    <row x14ac:dyDescent="0.25" r="151" customHeight="1" ht="18.75">
      <c r="A151" s="1"/>
      <c r="B151" s="7"/>
      <c r="C151" s="170"/>
      <c r="D151" s="331">
        <v>144</v>
      </c>
      <c r="E151" s="544">
        <f>+DATE(YEAR(E150),MONTH(E150)-1,DAY(E150))</f>
        <v>25569.041666666668</v>
      </c>
      <c r="F151" s="333">
        <f>IF(DATE(YEAR($B$6),MONTH($B$6)+1,DAY(1))=E151,1,IF(MONTH(E151)=1,F152*(1+$F$5),F152))</f>
      </c>
      <c r="G151" s="333">
        <f>IF('Simulador - 1º Pilar'!$E$99="Sí",IF('Aportaciones Poliza'!$B$13&lt;'Aportaciones Poliza'!E151,0,F151*$B$8/12),F151*$B$8/12)</f>
      </c>
      <c r="H151" s="333">
        <f>$H$5*G151</f>
      </c>
      <c r="I151" s="333"/>
      <c r="J151" s="333">
        <f>(1+$M$5)^(D151/12)*(H151+IF(AND(F151=1,F152=0),$Q$4,0))</f>
      </c>
      <c r="K151" s="333">
        <f>(1+$M$5)^(D151/12)*(I151)</f>
      </c>
      <c r="L151" s="333">
        <f>K151+J151</f>
      </c>
      <c r="M151" s="170"/>
      <c r="N151" s="7"/>
      <c r="O151" s="1"/>
      <c r="P151" s="331">
        <f>D151</f>
      </c>
      <c r="Q151" s="169"/>
    </row>
    <row x14ac:dyDescent="0.25" r="152" customHeight="1" ht="18.75">
      <c r="A152" s="1"/>
      <c r="B152" s="7"/>
      <c r="C152" s="170"/>
      <c r="D152" s="331">
        <v>145</v>
      </c>
      <c r="E152" s="544">
        <f>+DATE(YEAR(E151),MONTH(E151)-1,DAY(E151))</f>
        <v>25569.041666666668</v>
      </c>
      <c r="F152" s="333">
        <f>IF(DATE(YEAR($B$6),MONTH($B$6)+1,DAY(1))=E152,1,IF(MONTH(E152)=1,F153*(1+$F$5),F153))</f>
      </c>
      <c r="G152" s="333">
        <f>IF('Simulador - 1º Pilar'!$E$99="Sí",IF('Aportaciones Poliza'!$B$13&lt;'Aportaciones Poliza'!E152,0,F152*$B$8/12),F152*$B$8/12)</f>
      </c>
      <c r="H152" s="333">
        <f>$H$5*G152</f>
      </c>
      <c r="I152" s="333"/>
      <c r="J152" s="333">
        <f>(1+$M$5)^(D152/12)*(H152+IF(AND(F152=1,F153=0),$Q$4,0))</f>
      </c>
      <c r="K152" s="333">
        <f>(1+$M$5)^(D152/12)*(I152)</f>
      </c>
      <c r="L152" s="333">
        <f>K152+J152</f>
      </c>
      <c r="M152" s="170"/>
      <c r="N152" s="7"/>
      <c r="O152" s="1"/>
      <c r="P152" s="331">
        <f>D152</f>
      </c>
      <c r="Q152" s="169"/>
    </row>
    <row x14ac:dyDescent="0.25" r="153" customHeight="1" ht="18.75">
      <c r="A153" s="1"/>
      <c r="B153" s="7"/>
      <c r="C153" s="170"/>
      <c r="D153" s="331">
        <v>146</v>
      </c>
      <c r="E153" s="544">
        <f>+DATE(YEAR(E152),MONTH(E152)-1,DAY(E152))</f>
        <v>25569.041666666668</v>
      </c>
      <c r="F153" s="333">
        <f>IF(DATE(YEAR($B$6),MONTH($B$6)+1,DAY(1))=E153,1,IF(MONTH(E153)=1,F154*(1+$F$5),F154))</f>
      </c>
      <c r="G153" s="333">
        <f>IF('Simulador - 1º Pilar'!$E$99="Sí",IF('Aportaciones Poliza'!$B$13&lt;'Aportaciones Poliza'!E153,0,F153*$B$8/12),F153*$B$8/12)</f>
      </c>
      <c r="H153" s="333">
        <f>$H$5*G153</f>
      </c>
      <c r="I153" s="333"/>
      <c r="J153" s="333">
        <f>(1+$M$5)^(D153/12)*(H153+IF(AND(F153=1,F154=0),$Q$4,0))</f>
      </c>
      <c r="K153" s="333">
        <f>(1+$M$5)^(D153/12)*(I153)</f>
      </c>
      <c r="L153" s="333">
        <f>K153+J153</f>
      </c>
      <c r="M153" s="170"/>
      <c r="N153" s="7"/>
      <c r="O153" s="1"/>
      <c r="P153" s="331">
        <f>D153</f>
      </c>
      <c r="Q153" s="169"/>
    </row>
    <row x14ac:dyDescent="0.25" r="154" customHeight="1" ht="18.75">
      <c r="A154" s="1"/>
      <c r="B154" s="7"/>
      <c r="C154" s="170"/>
      <c r="D154" s="331">
        <v>147</v>
      </c>
      <c r="E154" s="544">
        <f>+DATE(YEAR(E153),MONTH(E153)-1,DAY(E153))</f>
        <v>25569.041666666668</v>
      </c>
      <c r="F154" s="333">
        <f>IF(DATE(YEAR($B$6),MONTH($B$6)+1,DAY(1))=E154,1,IF(MONTH(E154)=1,F155*(1+$F$5),F155))</f>
      </c>
      <c r="G154" s="333">
        <f>IF('Simulador - 1º Pilar'!$E$99="Sí",IF('Aportaciones Poliza'!$B$13&lt;'Aportaciones Poliza'!E154,0,F154*$B$8/12),F154*$B$8/12)</f>
      </c>
      <c r="H154" s="333">
        <f>$H$5*G154</f>
      </c>
      <c r="I154" s="333"/>
      <c r="J154" s="333">
        <f>(1+$M$5)^(D154/12)*(H154+IF(AND(F154=1,F155=0),$Q$4,0))</f>
      </c>
      <c r="K154" s="333">
        <f>(1+$M$5)^(D154/12)*(I154)</f>
      </c>
      <c r="L154" s="333">
        <f>K154+J154</f>
      </c>
      <c r="M154" s="170"/>
      <c r="N154" s="7"/>
      <c r="O154" s="1"/>
      <c r="P154" s="331">
        <f>D154</f>
      </c>
      <c r="Q154" s="169"/>
    </row>
    <row x14ac:dyDescent="0.25" r="155" customHeight="1" ht="18.75">
      <c r="A155" s="1"/>
      <c r="B155" s="7"/>
      <c r="C155" s="170"/>
      <c r="D155" s="331">
        <v>148</v>
      </c>
      <c r="E155" s="544">
        <f>+DATE(YEAR(E154),MONTH(E154)-1,DAY(E154))</f>
        <v>25569.041666666668</v>
      </c>
      <c r="F155" s="333">
        <f>IF(DATE(YEAR($B$6),MONTH($B$6)+1,DAY(1))=E155,1,IF(MONTH(E155)=1,F156*(1+$F$5),F156))</f>
      </c>
      <c r="G155" s="333">
        <f>IF('Simulador - 1º Pilar'!$E$99="Sí",IF('Aportaciones Poliza'!$B$13&lt;'Aportaciones Poliza'!E155,0,F155*$B$8/12),F155*$B$8/12)</f>
      </c>
      <c r="H155" s="333">
        <f>$H$5*G155</f>
      </c>
      <c r="I155" s="333"/>
      <c r="J155" s="333">
        <f>(1+$M$5)^(D155/12)*(H155+IF(AND(F155=1,F156=0),$Q$4,0))</f>
      </c>
      <c r="K155" s="333">
        <f>(1+$M$5)^(D155/12)*(I155)</f>
      </c>
      <c r="L155" s="333">
        <f>K155+J155</f>
      </c>
      <c r="M155" s="170"/>
      <c r="N155" s="7"/>
      <c r="O155" s="1"/>
      <c r="P155" s="331">
        <f>D155</f>
      </c>
      <c r="Q155" s="169"/>
    </row>
    <row x14ac:dyDescent="0.25" r="156" customHeight="1" ht="18.75">
      <c r="A156" s="1"/>
      <c r="B156" s="7"/>
      <c r="C156" s="170"/>
      <c r="D156" s="331">
        <v>149</v>
      </c>
      <c r="E156" s="544">
        <f>+DATE(YEAR(E155),MONTH(E155)-1,DAY(E155))</f>
        <v>25569.041666666668</v>
      </c>
      <c r="F156" s="333">
        <f>IF(DATE(YEAR($B$6),MONTH($B$6)+1,DAY(1))=E156,1,IF(MONTH(E156)=1,F157*(1+$F$5),F157))</f>
      </c>
      <c r="G156" s="333">
        <f>IF('Simulador - 1º Pilar'!$E$99="Sí",IF('Aportaciones Poliza'!$B$13&lt;'Aportaciones Poliza'!E156,0,F156*$B$8/12),F156*$B$8/12)</f>
      </c>
      <c r="H156" s="333">
        <f>$H$5*G156</f>
      </c>
      <c r="I156" s="333"/>
      <c r="J156" s="333">
        <f>(1+$M$5)^(D156/12)*(H156+IF(AND(F156=1,F157=0),$Q$4,0))</f>
      </c>
      <c r="K156" s="333">
        <f>(1+$M$5)^(D156/12)*(I156)</f>
      </c>
      <c r="L156" s="333">
        <f>K156+J156</f>
      </c>
      <c r="M156" s="170"/>
      <c r="N156" s="7"/>
      <c r="O156" s="1"/>
      <c r="P156" s="331">
        <f>D156</f>
      </c>
      <c r="Q156" s="169"/>
    </row>
    <row x14ac:dyDescent="0.25" r="157" customHeight="1" ht="18.75">
      <c r="A157" s="1"/>
      <c r="B157" s="7"/>
      <c r="C157" s="170"/>
      <c r="D157" s="331">
        <v>150</v>
      </c>
      <c r="E157" s="544">
        <f>+DATE(YEAR(E156),MONTH(E156)-1,DAY(E156))</f>
        <v>25569.041666666668</v>
      </c>
      <c r="F157" s="333">
        <f>IF(DATE(YEAR($B$6),MONTH($B$6)+1,DAY(1))=E157,1,IF(MONTH(E157)=1,F158*(1+$F$5),F158))</f>
      </c>
      <c r="G157" s="333">
        <f>IF('Simulador - 1º Pilar'!$E$99="Sí",IF('Aportaciones Poliza'!$B$13&lt;'Aportaciones Poliza'!E157,0,F157*$B$8/12),F157*$B$8/12)</f>
      </c>
      <c r="H157" s="333">
        <f>$H$5*G157</f>
      </c>
      <c r="I157" s="333"/>
      <c r="J157" s="333">
        <f>(1+$M$5)^(D157/12)*(H157+IF(AND(F157=1,F158=0),$Q$4,0))</f>
      </c>
      <c r="K157" s="333">
        <f>(1+$M$5)^(D157/12)*(I157)</f>
      </c>
      <c r="L157" s="333">
        <f>K157+J157</f>
      </c>
      <c r="M157" s="170"/>
      <c r="N157" s="7"/>
      <c r="O157" s="1"/>
      <c r="P157" s="331">
        <f>D157</f>
      </c>
      <c r="Q157" s="169"/>
    </row>
    <row x14ac:dyDescent="0.25" r="158" customHeight="1" ht="18.75">
      <c r="A158" s="1"/>
      <c r="B158" s="7"/>
      <c r="C158" s="170"/>
      <c r="D158" s="331">
        <v>151</v>
      </c>
      <c r="E158" s="544">
        <f>+DATE(YEAR(E157),MONTH(E157)-1,DAY(E157))</f>
        <v>25569.041666666668</v>
      </c>
      <c r="F158" s="333">
        <f>IF(DATE(YEAR($B$6),MONTH($B$6)+1,DAY(1))=E158,1,IF(MONTH(E158)=1,F159*(1+$F$5),F159))</f>
      </c>
      <c r="G158" s="333">
        <f>IF('Simulador - 1º Pilar'!$E$99="Sí",IF('Aportaciones Poliza'!$B$13&lt;'Aportaciones Poliza'!E158,0,F158*$B$8/12),F158*$B$8/12)</f>
      </c>
      <c r="H158" s="333">
        <f>$H$5*G158</f>
      </c>
      <c r="I158" s="333"/>
      <c r="J158" s="333">
        <f>(1+$M$5)^(D158/12)*(H158+IF(AND(F158=1,F159=0),$Q$4,0))</f>
      </c>
      <c r="K158" s="333">
        <f>(1+$M$5)^(D158/12)*(I158)</f>
      </c>
      <c r="L158" s="333">
        <f>K158+J158</f>
      </c>
      <c r="M158" s="170"/>
      <c r="N158" s="7"/>
      <c r="O158" s="1"/>
      <c r="P158" s="331">
        <f>D158</f>
      </c>
      <c r="Q158" s="169"/>
    </row>
    <row x14ac:dyDescent="0.25" r="159" customHeight="1" ht="18.75">
      <c r="A159" s="1"/>
      <c r="B159" s="7"/>
      <c r="C159" s="170"/>
      <c r="D159" s="331">
        <v>152</v>
      </c>
      <c r="E159" s="544">
        <f>+DATE(YEAR(E158),MONTH(E158)-1,DAY(E158))</f>
        <v>25569.041666666668</v>
      </c>
      <c r="F159" s="333">
        <f>IF(DATE(YEAR($B$6),MONTH($B$6)+1,DAY(1))=E159,1,IF(MONTH(E159)=1,F160*(1+$F$5),F160))</f>
      </c>
      <c r="G159" s="333">
        <f>IF('Simulador - 1º Pilar'!$E$99="Sí",IF('Aportaciones Poliza'!$B$13&lt;'Aportaciones Poliza'!E159,0,F159*$B$8/12),F159*$B$8/12)</f>
      </c>
      <c r="H159" s="333">
        <f>$H$5*G159</f>
      </c>
      <c r="I159" s="333"/>
      <c r="J159" s="333">
        <f>(1+$M$5)^(D159/12)*(H159+IF(AND(F159=1,F160=0),$Q$4,0))</f>
      </c>
      <c r="K159" s="333">
        <f>(1+$M$5)^(D159/12)*(I159)</f>
      </c>
      <c r="L159" s="333">
        <f>K159+J159</f>
      </c>
      <c r="M159" s="170"/>
      <c r="N159" s="7"/>
      <c r="O159" s="1"/>
      <c r="P159" s="331">
        <f>D159</f>
      </c>
      <c r="Q159" s="169"/>
    </row>
    <row x14ac:dyDescent="0.25" r="160" customHeight="1" ht="18.75">
      <c r="A160" s="1"/>
      <c r="B160" s="7"/>
      <c r="C160" s="170"/>
      <c r="D160" s="331">
        <v>153</v>
      </c>
      <c r="E160" s="544">
        <f>+DATE(YEAR(E159),MONTH(E159)-1,DAY(E159))</f>
        <v>25569.041666666668</v>
      </c>
      <c r="F160" s="333">
        <f>IF(DATE(YEAR($B$6),MONTH($B$6)+1,DAY(1))=E160,1,IF(MONTH(E160)=1,F161*(1+$F$5),F161))</f>
      </c>
      <c r="G160" s="333">
        <f>IF('Simulador - 1º Pilar'!$E$99="Sí",IF('Aportaciones Poliza'!$B$13&lt;'Aportaciones Poliza'!E160,0,F160*$B$8/12),F160*$B$8/12)</f>
      </c>
      <c r="H160" s="333">
        <f>$H$5*G160</f>
      </c>
      <c r="I160" s="333"/>
      <c r="J160" s="333">
        <f>(1+$M$5)^(D160/12)*(H160+IF(AND(F160=1,F161=0),$Q$4,0))</f>
      </c>
      <c r="K160" s="333">
        <f>(1+$M$5)^(D160/12)*(I160)</f>
      </c>
      <c r="L160" s="333">
        <f>K160+J160</f>
      </c>
      <c r="M160" s="170"/>
      <c r="N160" s="7"/>
      <c r="O160" s="1"/>
      <c r="P160" s="331">
        <f>D160</f>
      </c>
      <c r="Q160" s="169"/>
    </row>
    <row x14ac:dyDescent="0.25" r="161" customHeight="1" ht="18.75">
      <c r="A161" s="1"/>
      <c r="B161" s="7"/>
      <c r="C161" s="170"/>
      <c r="D161" s="331">
        <v>154</v>
      </c>
      <c r="E161" s="544">
        <f>+DATE(YEAR(E160),MONTH(E160)-1,DAY(E160))</f>
        <v>25569.041666666668</v>
      </c>
      <c r="F161" s="333">
        <f>IF(DATE(YEAR($B$6),MONTH($B$6)+1,DAY(1))=E161,1,IF(MONTH(E161)=1,F162*(1+$F$5),F162))</f>
      </c>
      <c r="G161" s="333">
        <f>IF('Simulador - 1º Pilar'!$E$99="Sí",IF('Aportaciones Poliza'!$B$13&lt;'Aportaciones Poliza'!E161,0,F161*$B$8/12),F161*$B$8/12)</f>
      </c>
      <c r="H161" s="333">
        <f>$H$5*G161</f>
      </c>
      <c r="I161" s="333"/>
      <c r="J161" s="333">
        <f>(1+$M$5)^(D161/12)*(H161+IF(AND(F161=1,F162=0),$Q$4,0))</f>
      </c>
      <c r="K161" s="333">
        <f>(1+$M$5)^(D161/12)*(I161)</f>
      </c>
      <c r="L161" s="333">
        <f>K161+J161</f>
      </c>
      <c r="M161" s="170"/>
      <c r="N161" s="7"/>
      <c r="O161" s="1"/>
      <c r="P161" s="331">
        <f>D161</f>
      </c>
      <c r="Q161" s="169"/>
    </row>
    <row x14ac:dyDescent="0.25" r="162" customHeight="1" ht="18.75">
      <c r="A162" s="1"/>
      <c r="B162" s="7"/>
      <c r="C162" s="170"/>
      <c r="D162" s="331">
        <v>155</v>
      </c>
      <c r="E162" s="544">
        <f>+DATE(YEAR(E161),MONTH(E161)-1,DAY(E161))</f>
        <v>25569.041666666668</v>
      </c>
      <c r="F162" s="333">
        <f>IF(DATE(YEAR($B$6),MONTH($B$6)+1,DAY(1))=E162,1,IF(MONTH(E162)=1,F163*(1+$F$5),F163))</f>
      </c>
      <c r="G162" s="333">
        <f>IF('Simulador - 1º Pilar'!$E$99="Sí",IF('Aportaciones Poliza'!$B$13&lt;'Aportaciones Poliza'!E162,0,F162*$B$8/12),F162*$B$8/12)</f>
      </c>
      <c r="H162" s="333">
        <f>$H$5*G162</f>
      </c>
      <c r="I162" s="333"/>
      <c r="J162" s="333">
        <f>(1+$M$5)^(D162/12)*(H162+IF(AND(F162=1,F163=0),$Q$4,0))</f>
      </c>
      <c r="K162" s="333">
        <f>(1+$M$5)^(D162/12)*(I162)</f>
      </c>
      <c r="L162" s="333">
        <f>K162+J162</f>
      </c>
      <c r="M162" s="170"/>
      <c r="N162" s="7"/>
      <c r="O162" s="1"/>
      <c r="P162" s="331">
        <f>D162</f>
      </c>
      <c r="Q162" s="169"/>
    </row>
    <row x14ac:dyDescent="0.25" r="163" customHeight="1" ht="18.75">
      <c r="A163" s="1"/>
      <c r="B163" s="7"/>
      <c r="C163" s="170"/>
      <c r="D163" s="331">
        <v>156</v>
      </c>
      <c r="E163" s="544">
        <f>+DATE(YEAR(E162),MONTH(E162)-1,DAY(E162))</f>
        <v>25569.041666666668</v>
      </c>
      <c r="F163" s="333">
        <f>IF(DATE(YEAR($B$6),MONTH($B$6)+1,DAY(1))=E163,1,IF(MONTH(E163)=1,F164*(1+$F$5),F164))</f>
      </c>
      <c r="G163" s="333">
        <f>IF('Simulador - 1º Pilar'!$E$99="Sí",IF('Aportaciones Poliza'!$B$13&lt;'Aportaciones Poliza'!E163,0,F163*$B$8/12),F163*$B$8/12)</f>
      </c>
      <c r="H163" s="333">
        <f>$H$5*G163</f>
      </c>
      <c r="I163" s="333"/>
      <c r="J163" s="333">
        <f>(1+$M$5)^(D163/12)*(H163+IF(AND(F163=1,F164=0),$Q$4,0))</f>
      </c>
      <c r="K163" s="333">
        <f>(1+$M$5)^(D163/12)*(I163)</f>
      </c>
      <c r="L163" s="333">
        <f>K163+J163</f>
      </c>
      <c r="M163" s="170"/>
      <c r="N163" s="7"/>
      <c r="O163" s="1"/>
      <c r="P163" s="331">
        <f>D163</f>
      </c>
      <c r="Q163" s="169"/>
    </row>
    <row x14ac:dyDescent="0.25" r="164" customHeight="1" ht="18.75">
      <c r="A164" s="1"/>
      <c r="B164" s="7"/>
      <c r="C164" s="170"/>
      <c r="D164" s="331">
        <v>157</v>
      </c>
      <c r="E164" s="544">
        <f>+DATE(YEAR(E163),MONTH(E163)-1,DAY(E163))</f>
        <v>25569.041666666668</v>
      </c>
      <c r="F164" s="333">
        <f>IF(DATE(YEAR($B$6),MONTH($B$6)+1,DAY(1))=E164,1,IF(MONTH(E164)=1,F165*(1+$F$5),F165))</f>
      </c>
      <c r="G164" s="333">
        <f>IF('Simulador - 1º Pilar'!$E$99="Sí",IF('Aportaciones Poliza'!$B$13&lt;'Aportaciones Poliza'!E164,0,F164*$B$8/12),F164*$B$8/12)</f>
      </c>
      <c r="H164" s="333">
        <f>$H$5*G164</f>
      </c>
      <c r="I164" s="333"/>
      <c r="J164" s="333">
        <f>(1+$M$5)^(D164/12)*(H164+IF(AND(F164=1,F165=0),$Q$4,0))</f>
      </c>
      <c r="K164" s="333">
        <f>(1+$M$5)^(D164/12)*(I164)</f>
      </c>
      <c r="L164" s="333">
        <f>K164+J164</f>
      </c>
      <c r="M164" s="170"/>
      <c r="N164" s="7"/>
      <c r="O164" s="1"/>
      <c r="P164" s="331">
        <f>D164</f>
      </c>
      <c r="Q164" s="169"/>
    </row>
    <row x14ac:dyDescent="0.25" r="165" customHeight="1" ht="18.75">
      <c r="A165" s="1"/>
      <c r="B165" s="7"/>
      <c r="C165" s="170"/>
      <c r="D165" s="331">
        <v>158</v>
      </c>
      <c r="E165" s="544">
        <f>+DATE(YEAR(E164),MONTH(E164)-1,DAY(E164))</f>
        <v>25569.041666666668</v>
      </c>
      <c r="F165" s="333">
        <f>IF(DATE(YEAR($B$6),MONTH($B$6)+1,DAY(1))=E165,1,IF(MONTH(E165)=1,F166*(1+$F$5),F166))</f>
      </c>
      <c r="G165" s="333">
        <f>IF('Simulador - 1º Pilar'!$E$99="Sí",IF('Aportaciones Poliza'!$B$13&lt;'Aportaciones Poliza'!E165,0,F165*$B$8/12),F165*$B$8/12)</f>
      </c>
      <c r="H165" s="333">
        <f>$H$5*G165</f>
      </c>
      <c r="I165" s="333"/>
      <c r="J165" s="333">
        <f>(1+$M$5)^(D165/12)*(H165+IF(AND(F165=1,F166=0),$Q$4,0))</f>
      </c>
      <c r="K165" s="333">
        <f>(1+$M$5)^(D165/12)*(I165)</f>
      </c>
      <c r="L165" s="333">
        <f>K165+J165</f>
      </c>
      <c r="M165" s="170"/>
      <c r="N165" s="7"/>
      <c r="O165" s="1"/>
      <c r="P165" s="331">
        <f>D165</f>
      </c>
      <c r="Q165" s="169"/>
    </row>
    <row x14ac:dyDescent="0.25" r="166" customHeight="1" ht="18.75">
      <c r="A166" s="1"/>
      <c r="B166" s="7"/>
      <c r="C166" s="170"/>
      <c r="D166" s="331">
        <v>159</v>
      </c>
      <c r="E166" s="544">
        <f>+DATE(YEAR(E165),MONTH(E165)-1,DAY(E165))</f>
        <v>25569.041666666668</v>
      </c>
      <c r="F166" s="333">
        <f>IF(DATE(YEAR($B$6),MONTH($B$6)+1,DAY(1))=E166,1,IF(MONTH(E166)=1,F167*(1+$F$5),F167))</f>
      </c>
      <c r="G166" s="333">
        <f>IF('Simulador - 1º Pilar'!$E$99="Sí",IF('Aportaciones Poliza'!$B$13&lt;'Aportaciones Poliza'!E166,0,F166*$B$8/12),F166*$B$8/12)</f>
      </c>
      <c r="H166" s="333">
        <f>$H$5*G166</f>
      </c>
      <c r="I166" s="333"/>
      <c r="J166" s="333">
        <f>(1+$M$5)^(D166/12)*(H166+IF(AND(F166=1,F167=0),$Q$4,0))</f>
      </c>
      <c r="K166" s="333">
        <f>(1+$M$5)^(D166/12)*(I166)</f>
      </c>
      <c r="L166" s="333">
        <f>K166+J166</f>
      </c>
      <c r="M166" s="170"/>
      <c r="N166" s="7"/>
      <c r="O166" s="1"/>
      <c r="P166" s="331">
        <f>D166</f>
      </c>
      <c r="Q166" s="169"/>
    </row>
    <row x14ac:dyDescent="0.25" r="167" customHeight="1" ht="18.75">
      <c r="A167" s="1"/>
      <c r="B167" s="7"/>
      <c r="C167" s="170"/>
      <c r="D167" s="331">
        <v>160</v>
      </c>
      <c r="E167" s="544">
        <f>+DATE(YEAR(E166),MONTH(E166)-1,DAY(E166))</f>
        <v>25569.041666666668</v>
      </c>
      <c r="F167" s="333">
        <f>IF(DATE(YEAR($B$6),MONTH($B$6)+1,DAY(1))=E167,1,IF(MONTH(E167)=1,F168*(1+$F$5),F168))</f>
      </c>
      <c r="G167" s="333">
        <f>IF('Simulador - 1º Pilar'!$E$99="Sí",IF('Aportaciones Poliza'!$B$13&lt;'Aportaciones Poliza'!E167,0,F167*$B$8/12),F167*$B$8/12)</f>
      </c>
      <c r="H167" s="333">
        <f>$H$5*G167</f>
      </c>
      <c r="I167" s="333"/>
      <c r="J167" s="333">
        <f>(1+$M$5)^(D167/12)*(H167+IF(AND(F167=1,F168=0),$Q$4,0))</f>
      </c>
      <c r="K167" s="333">
        <f>(1+$M$5)^(D167/12)*(I167)</f>
      </c>
      <c r="L167" s="333">
        <f>K167+J167</f>
      </c>
      <c r="M167" s="170"/>
      <c r="N167" s="7"/>
      <c r="O167" s="1"/>
      <c r="P167" s="331">
        <f>D167</f>
      </c>
      <c r="Q167" s="169"/>
    </row>
    <row x14ac:dyDescent="0.25" r="168" customHeight="1" ht="18.75">
      <c r="A168" s="1"/>
      <c r="B168" s="7"/>
      <c r="C168" s="170"/>
      <c r="D168" s="331">
        <v>161</v>
      </c>
      <c r="E168" s="544">
        <f>+DATE(YEAR(E167),MONTH(E167)-1,DAY(E167))</f>
        <v>25569.041666666668</v>
      </c>
      <c r="F168" s="333">
        <f>IF(DATE(YEAR($B$6),MONTH($B$6)+1,DAY(1))=E168,1,IF(MONTH(E168)=1,F169*(1+$F$5),F169))</f>
      </c>
      <c r="G168" s="333">
        <f>IF('Simulador - 1º Pilar'!$E$99="Sí",IF('Aportaciones Poliza'!$B$13&lt;'Aportaciones Poliza'!E168,0,F168*$B$8/12),F168*$B$8/12)</f>
      </c>
      <c r="H168" s="333">
        <f>$H$5*G168</f>
      </c>
      <c r="I168" s="333"/>
      <c r="J168" s="333">
        <f>(1+$M$5)^(D168/12)*(H168+IF(AND(F168=1,F169=0),$Q$4,0))</f>
      </c>
      <c r="K168" s="333">
        <f>(1+$M$5)^(D168/12)*(I168)</f>
      </c>
      <c r="L168" s="333">
        <f>K168+J168</f>
      </c>
      <c r="M168" s="170"/>
      <c r="N168" s="7"/>
      <c r="O168" s="1"/>
      <c r="P168" s="331">
        <f>D168</f>
      </c>
      <c r="Q168" s="169"/>
    </row>
    <row x14ac:dyDescent="0.25" r="169" customHeight="1" ht="18.75">
      <c r="A169" s="1"/>
      <c r="B169" s="7"/>
      <c r="C169" s="170"/>
      <c r="D169" s="331">
        <v>162</v>
      </c>
      <c r="E169" s="544">
        <f>+DATE(YEAR(E168),MONTH(E168)-1,DAY(E168))</f>
        <v>25569.041666666668</v>
      </c>
      <c r="F169" s="333">
        <f>IF(DATE(YEAR($B$6),MONTH($B$6)+1,DAY(1))=E169,1,IF(MONTH(E169)=1,F170*(1+$F$5),F170))</f>
      </c>
      <c r="G169" s="333">
        <f>IF('Simulador - 1º Pilar'!$E$99="Sí",IF('Aportaciones Poliza'!$B$13&lt;'Aportaciones Poliza'!E169,0,F169*$B$8/12),F169*$B$8/12)</f>
      </c>
      <c r="H169" s="333">
        <f>$H$5*G169</f>
      </c>
      <c r="I169" s="333"/>
      <c r="J169" s="333">
        <f>(1+$M$5)^(D169/12)*(H169+IF(AND(F169=1,F170=0),$Q$4,0))</f>
      </c>
      <c r="K169" s="333">
        <f>(1+$M$5)^(D169/12)*(I169)</f>
      </c>
      <c r="L169" s="333">
        <f>K169+J169</f>
      </c>
      <c r="M169" s="170"/>
      <c r="N169" s="7"/>
      <c r="O169" s="1"/>
      <c r="P169" s="331">
        <f>D169</f>
      </c>
      <c r="Q169" s="169"/>
    </row>
    <row x14ac:dyDescent="0.25" r="170" customHeight="1" ht="18.75">
      <c r="A170" s="1"/>
      <c r="B170" s="7"/>
      <c r="C170" s="170"/>
      <c r="D170" s="331">
        <v>163</v>
      </c>
      <c r="E170" s="544">
        <f>+DATE(YEAR(E169),MONTH(E169)-1,DAY(E169))</f>
        <v>25569.041666666668</v>
      </c>
      <c r="F170" s="333">
        <f>IF(DATE(YEAR($B$6),MONTH($B$6)+1,DAY(1))=E170,1,IF(MONTH(E170)=1,F171*(1+$F$5),F171))</f>
      </c>
      <c r="G170" s="333">
        <f>IF('Simulador - 1º Pilar'!$E$99="Sí",IF('Aportaciones Poliza'!$B$13&lt;'Aportaciones Poliza'!E170,0,F170*$B$8/12),F170*$B$8/12)</f>
      </c>
      <c r="H170" s="333">
        <f>$H$5*G170</f>
      </c>
      <c r="I170" s="333"/>
      <c r="J170" s="333">
        <f>(1+$M$5)^(D170/12)*(H170+IF(AND(F170=1,F171=0),$Q$4,0))</f>
      </c>
      <c r="K170" s="333">
        <f>(1+$M$5)^(D170/12)*(I170)</f>
      </c>
      <c r="L170" s="333">
        <f>K170+J170</f>
      </c>
      <c r="M170" s="170"/>
      <c r="N170" s="7"/>
      <c r="O170" s="1"/>
      <c r="P170" s="331">
        <f>D170</f>
      </c>
      <c r="Q170" s="169"/>
    </row>
    <row x14ac:dyDescent="0.25" r="171" customHeight="1" ht="18.75">
      <c r="A171" s="1"/>
      <c r="B171" s="7"/>
      <c r="C171" s="170"/>
      <c r="D171" s="331">
        <v>164</v>
      </c>
      <c r="E171" s="544">
        <f>+DATE(YEAR(E170),MONTH(E170)-1,DAY(E170))</f>
        <v>25569.041666666668</v>
      </c>
      <c r="F171" s="333">
        <f>IF(DATE(YEAR($B$6),MONTH($B$6)+1,DAY(1))=E171,1,IF(MONTH(E171)=1,F172*(1+$F$5),F172))</f>
      </c>
      <c r="G171" s="333">
        <f>IF('Simulador - 1º Pilar'!$E$99="Sí",IF('Aportaciones Poliza'!$B$13&lt;'Aportaciones Poliza'!E171,0,F171*$B$8/12),F171*$B$8/12)</f>
      </c>
      <c r="H171" s="333">
        <f>$H$5*G171</f>
      </c>
      <c r="I171" s="333"/>
      <c r="J171" s="333">
        <f>(1+$M$5)^(D171/12)*(H171+IF(AND(F171=1,F172=0),$Q$4,0))</f>
      </c>
      <c r="K171" s="333">
        <f>(1+$M$5)^(D171/12)*(I171)</f>
      </c>
      <c r="L171" s="333">
        <f>K171+J171</f>
      </c>
      <c r="M171" s="170"/>
      <c r="N171" s="7"/>
      <c r="O171" s="1"/>
      <c r="P171" s="331">
        <f>D171</f>
      </c>
      <c r="Q171" s="169"/>
    </row>
    <row x14ac:dyDescent="0.25" r="172" customHeight="1" ht="18.75">
      <c r="A172" s="1"/>
      <c r="B172" s="7"/>
      <c r="C172" s="170"/>
      <c r="D172" s="331">
        <v>165</v>
      </c>
      <c r="E172" s="544">
        <f>+DATE(YEAR(E171),MONTH(E171)-1,DAY(E171))</f>
        <v>25569.041666666668</v>
      </c>
      <c r="F172" s="333">
        <f>IF(DATE(YEAR($B$6),MONTH($B$6)+1,DAY(1))=E172,1,IF(MONTH(E172)=1,F173*(1+$F$5),F173))</f>
      </c>
      <c r="G172" s="333">
        <f>IF('Simulador - 1º Pilar'!$E$99="Sí",IF('Aportaciones Poliza'!$B$13&lt;'Aportaciones Poliza'!E172,0,F172*$B$8/12),F172*$B$8/12)</f>
      </c>
      <c r="H172" s="333">
        <f>$H$5*G172</f>
      </c>
      <c r="I172" s="333"/>
      <c r="J172" s="333">
        <f>(1+$M$5)^(D172/12)*(H172+IF(AND(F172=1,F173=0),$Q$4,0))</f>
      </c>
      <c r="K172" s="333">
        <f>(1+$M$5)^(D172/12)*(I172)</f>
      </c>
      <c r="L172" s="333">
        <f>K172+J172</f>
      </c>
      <c r="M172" s="170"/>
      <c r="N172" s="7"/>
      <c r="O172" s="1"/>
      <c r="P172" s="331">
        <f>D172</f>
      </c>
      <c r="Q172" s="169"/>
    </row>
    <row x14ac:dyDescent="0.25" r="173" customHeight="1" ht="18.75">
      <c r="A173" s="1"/>
      <c r="B173" s="7"/>
      <c r="C173" s="170"/>
      <c r="D173" s="331">
        <v>166</v>
      </c>
      <c r="E173" s="544">
        <f>+DATE(YEAR(E172),MONTH(E172)-1,DAY(E172))</f>
        <v>25569.041666666668</v>
      </c>
      <c r="F173" s="333">
        <f>IF(DATE(YEAR($B$6),MONTH($B$6)+1,DAY(1))=E173,1,IF(MONTH(E173)=1,F174*(1+$F$5),F174))</f>
      </c>
      <c r="G173" s="333">
        <f>IF('Simulador - 1º Pilar'!$E$99="Sí",IF('Aportaciones Poliza'!$B$13&lt;'Aportaciones Poliza'!E173,0,F173*$B$8/12),F173*$B$8/12)</f>
      </c>
      <c r="H173" s="333">
        <f>$H$5*G173</f>
      </c>
      <c r="I173" s="333"/>
      <c r="J173" s="333">
        <f>(1+$M$5)^(D173/12)*(H173+IF(AND(F173=1,F174=0),$Q$4,0))</f>
      </c>
      <c r="K173" s="333">
        <f>(1+$M$5)^(D173/12)*(I173)</f>
      </c>
      <c r="L173" s="333">
        <f>K173+J173</f>
      </c>
      <c r="M173" s="170"/>
      <c r="N173" s="7"/>
      <c r="O173" s="1"/>
      <c r="P173" s="331">
        <f>D173</f>
      </c>
      <c r="Q173" s="169"/>
    </row>
    <row x14ac:dyDescent="0.25" r="174" customHeight="1" ht="18.75">
      <c r="A174" s="1"/>
      <c r="B174" s="7"/>
      <c r="C174" s="170"/>
      <c r="D174" s="331">
        <v>167</v>
      </c>
      <c r="E174" s="544">
        <f>+DATE(YEAR(E173),MONTH(E173)-1,DAY(E173))</f>
        <v>25569.041666666668</v>
      </c>
      <c r="F174" s="333">
        <f>IF(DATE(YEAR($B$6),MONTH($B$6)+1,DAY(1))=E174,1,IF(MONTH(E174)=1,F175*(1+$F$5),F175))</f>
      </c>
      <c r="G174" s="333">
        <f>IF('Simulador - 1º Pilar'!$E$99="Sí",IF('Aportaciones Poliza'!$B$13&lt;'Aportaciones Poliza'!E174,0,F174*$B$8/12),F174*$B$8/12)</f>
      </c>
      <c r="H174" s="333">
        <f>$H$5*G174</f>
      </c>
      <c r="I174" s="333"/>
      <c r="J174" s="333">
        <f>(1+$M$5)^(D174/12)*(H174+IF(AND(F174=1,F175=0),$Q$4,0))</f>
      </c>
      <c r="K174" s="333">
        <f>(1+$M$5)^(D174/12)*(I174)</f>
      </c>
      <c r="L174" s="333">
        <f>K174+J174</f>
      </c>
      <c r="M174" s="170"/>
      <c r="N174" s="7"/>
      <c r="O174" s="1"/>
      <c r="P174" s="331">
        <f>D174</f>
      </c>
      <c r="Q174" s="169"/>
    </row>
    <row x14ac:dyDescent="0.25" r="175" customHeight="1" ht="18.75">
      <c r="A175" s="1"/>
      <c r="B175" s="7"/>
      <c r="C175" s="170"/>
      <c r="D175" s="331">
        <v>168</v>
      </c>
      <c r="E175" s="544">
        <f>+DATE(YEAR(E174),MONTH(E174)-1,DAY(E174))</f>
        <v>25569.041666666668</v>
      </c>
      <c r="F175" s="333">
        <f>IF(DATE(YEAR($B$6),MONTH($B$6)+1,DAY(1))=E175,1,IF(MONTH(E175)=1,F176*(1+$F$5),F176))</f>
      </c>
      <c r="G175" s="333">
        <f>IF('Simulador - 1º Pilar'!$E$99="Sí",IF('Aportaciones Poliza'!$B$13&lt;'Aportaciones Poliza'!E175,0,F175*$B$8/12),F175*$B$8/12)</f>
      </c>
      <c r="H175" s="333">
        <f>$H$5*G175</f>
      </c>
      <c r="I175" s="333"/>
      <c r="J175" s="333">
        <f>(1+$M$5)^(D175/12)*(H175+IF(AND(F175=1,F176=0),$Q$4,0))</f>
      </c>
      <c r="K175" s="333">
        <f>(1+$M$5)^(D175/12)*(I175)</f>
      </c>
      <c r="L175" s="333">
        <f>K175+J175</f>
      </c>
      <c r="M175" s="170"/>
      <c r="N175" s="7"/>
      <c r="O175" s="1"/>
      <c r="P175" s="331">
        <f>D175</f>
      </c>
      <c r="Q175" s="169"/>
    </row>
    <row x14ac:dyDescent="0.25" r="176" customHeight="1" ht="18.75">
      <c r="A176" s="1"/>
      <c r="B176" s="7"/>
      <c r="C176" s="170"/>
      <c r="D176" s="331">
        <v>169</v>
      </c>
      <c r="E176" s="544">
        <f>+DATE(YEAR(E175),MONTH(E175)-1,DAY(E175))</f>
        <v>25569.041666666668</v>
      </c>
      <c r="F176" s="333">
        <f>IF(DATE(YEAR($B$6),MONTH($B$6)+1,DAY(1))=E176,1,IF(MONTH(E176)=1,F177*(1+$F$5),F177))</f>
      </c>
      <c r="G176" s="333">
        <f>IF('Simulador - 1º Pilar'!$E$99="Sí",IF('Aportaciones Poliza'!$B$13&lt;'Aportaciones Poliza'!E176,0,F176*$B$8/12),F176*$B$8/12)</f>
      </c>
      <c r="H176" s="333">
        <f>$H$5*G176</f>
      </c>
      <c r="I176" s="333"/>
      <c r="J176" s="333">
        <f>(1+$M$5)^(D176/12)*(H176+IF(AND(F176=1,F177=0),$Q$4,0))</f>
      </c>
      <c r="K176" s="333">
        <f>(1+$M$5)^(D176/12)*(I176)</f>
      </c>
      <c r="L176" s="333">
        <f>K176+J176</f>
      </c>
      <c r="M176" s="170"/>
      <c r="N176" s="7"/>
      <c r="O176" s="1"/>
      <c r="P176" s="331">
        <f>D176</f>
      </c>
      <c r="Q176" s="169"/>
    </row>
    <row x14ac:dyDescent="0.25" r="177" customHeight="1" ht="18.75">
      <c r="A177" s="1"/>
      <c r="B177" s="7"/>
      <c r="C177" s="170"/>
      <c r="D177" s="331">
        <v>170</v>
      </c>
      <c r="E177" s="544">
        <f>+DATE(YEAR(E176),MONTH(E176)-1,DAY(E176))</f>
        <v>25569.041666666668</v>
      </c>
      <c r="F177" s="333">
        <f>IF(DATE(YEAR($B$6),MONTH($B$6)+1,DAY(1))=E177,1,IF(MONTH(E177)=1,F178*(1+$F$5),F178))</f>
      </c>
      <c r="G177" s="333">
        <f>IF('Simulador - 1º Pilar'!$E$99="Sí",IF('Aportaciones Poliza'!$B$13&lt;'Aportaciones Poliza'!E177,0,F177*$B$8/12),F177*$B$8/12)</f>
      </c>
      <c r="H177" s="333">
        <f>$H$5*G177</f>
      </c>
      <c r="I177" s="333"/>
      <c r="J177" s="333">
        <f>(1+$M$5)^(D177/12)*(H177+IF(AND(F177=1,F178=0),$Q$4,0))</f>
      </c>
      <c r="K177" s="333">
        <f>(1+$M$5)^(D177/12)*(I177)</f>
      </c>
      <c r="L177" s="333">
        <f>K177+J177</f>
      </c>
      <c r="M177" s="170"/>
      <c r="N177" s="7"/>
      <c r="O177" s="1"/>
      <c r="P177" s="331">
        <f>D177</f>
      </c>
      <c r="Q177" s="169"/>
    </row>
    <row x14ac:dyDescent="0.25" r="178" customHeight="1" ht="18.75">
      <c r="A178" s="1"/>
      <c r="B178" s="7"/>
      <c r="C178" s="170"/>
      <c r="D178" s="331">
        <v>171</v>
      </c>
      <c r="E178" s="544">
        <f>+DATE(YEAR(E177),MONTH(E177)-1,DAY(E177))</f>
        <v>25569.041666666668</v>
      </c>
      <c r="F178" s="333">
        <f>IF(DATE(YEAR($B$6),MONTH($B$6)+1,DAY(1))=E178,1,IF(MONTH(E178)=1,F179*(1+$F$5),F179))</f>
      </c>
      <c r="G178" s="333">
        <f>IF('Simulador - 1º Pilar'!$E$99="Sí",IF('Aportaciones Poliza'!$B$13&lt;'Aportaciones Poliza'!E178,0,F178*$B$8/12),F178*$B$8/12)</f>
      </c>
      <c r="H178" s="333">
        <f>$H$5*G178</f>
      </c>
      <c r="I178" s="333"/>
      <c r="J178" s="333">
        <f>(1+$M$5)^(D178/12)*(H178+IF(AND(F178=1,F179=0),$Q$4,0))</f>
      </c>
      <c r="K178" s="333">
        <f>(1+$M$5)^(D178/12)*(I178)</f>
      </c>
      <c r="L178" s="333">
        <f>K178+J178</f>
      </c>
      <c r="M178" s="170"/>
      <c r="N178" s="7"/>
      <c r="O178" s="1"/>
      <c r="P178" s="331">
        <f>D178</f>
      </c>
      <c r="Q178" s="169"/>
    </row>
    <row x14ac:dyDescent="0.25" r="179" customHeight="1" ht="18.75">
      <c r="A179" s="1"/>
      <c r="B179" s="7"/>
      <c r="C179" s="170"/>
      <c r="D179" s="331">
        <v>172</v>
      </c>
      <c r="E179" s="544">
        <f>+DATE(YEAR(E178),MONTH(E178)-1,DAY(E178))</f>
        <v>25569.041666666668</v>
      </c>
      <c r="F179" s="333">
        <f>IF(DATE(YEAR($B$6),MONTH($B$6)+1,DAY(1))=E179,1,IF(MONTH(E179)=1,F180*(1+$F$5),F180))</f>
      </c>
      <c r="G179" s="333">
        <f>IF('Simulador - 1º Pilar'!$E$99="Sí",IF('Aportaciones Poliza'!$B$13&lt;'Aportaciones Poliza'!E179,0,F179*$B$8/12),F179*$B$8/12)</f>
      </c>
      <c r="H179" s="333">
        <f>$H$5*G179</f>
      </c>
      <c r="I179" s="333"/>
      <c r="J179" s="333">
        <f>(1+$M$5)^(D179/12)*(H179+IF(AND(F179=1,F180=0),$Q$4,0))</f>
      </c>
      <c r="K179" s="333">
        <f>(1+$M$5)^(D179/12)*(I179)</f>
      </c>
      <c r="L179" s="333">
        <f>K179+J179</f>
      </c>
      <c r="M179" s="170"/>
      <c r="N179" s="7"/>
      <c r="O179" s="1"/>
      <c r="P179" s="331">
        <f>D179</f>
      </c>
      <c r="Q179" s="169"/>
    </row>
    <row x14ac:dyDescent="0.25" r="180" customHeight="1" ht="18.75">
      <c r="A180" s="1"/>
      <c r="B180" s="7"/>
      <c r="C180" s="170"/>
      <c r="D180" s="331">
        <v>173</v>
      </c>
      <c r="E180" s="544">
        <f>+DATE(YEAR(E179),MONTH(E179)-1,DAY(E179))</f>
        <v>25569.041666666668</v>
      </c>
      <c r="F180" s="333">
        <f>IF(DATE(YEAR($B$6),MONTH($B$6)+1,DAY(1))=E180,1,IF(MONTH(E180)=1,F181*(1+$F$5),F181))</f>
      </c>
      <c r="G180" s="333">
        <f>IF('Simulador - 1º Pilar'!$E$99="Sí",IF('Aportaciones Poliza'!$B$13&lt;'Aportaciones Poliza'!E180,0,F180*$B$8/12),F180*$B$8/12)</f>
      </c>
      <c r="H180" s="333">
        <f>$H$5*G180</f>
      </c>
      <c r="I180" s="333"/>
      <c r="J180" s="333">
        <f>(1+$M$5)^(D180/12)*(H180+IF(AND(F180=1,F181=0),$Q$4,0))</f>
      </c>
      <c r="K180" s="333">
        <f>(1+$M$5)^(D180/12)*(I180)</f>
      </c>
      <c r="L180" s="333">
        <f>K180+J180</f>
      </c>
      <c r="M180" s="170"/>
      <c r="N180" s="7"/>
      <c r="O180" s="1"/>
      <c r="P180" s="331">
        <f>D180</f>
      </c>
      <c r="Q180" s="169"/>
    </row>
    <row x14ac:dyDescent="0.25" r="181" customHeight="1" ht="18.75">
      <c r="A181" s="1"/>
      <c r="B181" s="7"/>
      <c r="C181" s="170"/>
      <c r="D181" s="331">
        <v>174</v>
      </c>
      <c r="E181" s="544">
        <f>+DATE(YEAR(E180),MONTH(E180)-1,DAY(E180))</f>
        <v>25569.041666666668</v>
      </c>
      <c r="F181" s="333">
        <f>IF(DATE(YEAR($B$6),MONTH($B$6)+1,DAY(1))=E181,1,IF(MONTH(E181)=1,F182*(1+$F$5),F182))</f>
      </c>
      <c r="G181" s="333">
        <f>IF('Simulador - 1º Pilar'!$E$99="Sí",IF('Aportaciones Poliza'!$B$13&lt;'Aportaciones Poliza'!E181,0,F181*$B$8/12),F181*$B$8/12)</f>
      </c>
      <c r="H181" s="333">
        <f>$H$5*G181</f>
      </c>
      <c r="I181" s="333"/>
      <c r="J181" s="333">
        <f>(1+$M$5)^(D181/12)*(H181+IF(AND(F181=1,F182=0),$Q$4,0))</f>
      </c>
      <c r="K181" s="333">
        <f>(1+$M$5)^(D181/12)*(I181)</f>
      </c>
      <c r="L181" s="333">
        <f>K181+J181</f>
      </c>
      <c r="M181" s="170"/>
      <c r="N181" s="7"/>
      <c r="O181" s="1"/>
      <c r="P181" s="331">
        <f>D181</f>
      </c>
      <c r="Q181" s="169"/>
    </row>
    <row x14ac:dyDescent="0.25" r="182" customHeight="1" ht="18.75">
      <c r="A182" s="1"/>
      <c r="B182" s="7"/>
      <c r="C182" s="170"/>
      <c r="D182" s="331">
        <v>175</v>
      </c>
      <c r="E182" s="544">
        <f>+DATE(YEAR(E181),MONTH(E181)-1,DAY(E181))</f>
        <v>25569.041666666668</v>
      </c>
      <c r="F182" s="333">
        <f>IF(DATE(YEAR($B$6),MONTH($B$6)+1,DAY(1))=E182,1,IF(MONTH(E182)=1,F183*(1+$F$5),F183))</f>
      </c>
      <c r="G182" s="333">
        <f>IF('Simulador - 1º Pilar'!$E$99="Sí",IF('Aportaciones Poliza'!$B$13&lt;'Aportaciones Poliza'!E182,0,F182*$B$8/12),F182*$B$8/12)</f>
      </c>
      <c r="H182" s="333">
        <f>$H$5*G182</f>
      </c>
      <c r="I182" s="333"/>
      <c r="J182" s="333">
        <f>(1+$M$5)^(D182/12)*(H182+IF(AND(F182=1,F183=0),$Q$4,0))</f>
      </c>
      <c r="K182" s="333">
        <f>(1+$M$5)^(D182/12)*(I182)</f>
      </c>
      <c r="L182" s="333">
        <f>K182+J182</f>
      </c>
      <c r="M182" s="170"/>
      <c r="N182" s="7"/>
      <c r="O182" s="1"/>
      <c r="P182" s="331">
        <f>D182</f>
      </c>
      <c r="Q182" s="169"/>
    </row>
    <row x14ac:dyDescent="0.25" r="183" customHeight="1" ht="18.75">
      <c r="A183" s="1"/>
      <c r="B183" s="7"/>
      <c r="C183" s="170"/>
      <c r="D183" s="331">
        <v>176</v>
      </c>
      <c r="E183" s="544">
        <f>+DATE(YEAR(E182),MONTH(E182)-1,DAY(E182))</f>
        <v>25569.041666666668</v>
      </c>
      <c r="F183" s="333">
        <f>IF(DATE(YEAR($B$6),MONTH($B$6)+1,DAY(1))=E183,1,IF(MONTH(E183)=1,F184*(1+$F$5),F184))</f>
      </c>
      <c r="G183" s="333">
        <f>IF('Simulador - 1º Pilar'!$E$99="Sí",IF('Aportaciones Poliza'!$B$13&lt;'Aportaciones Poliza'!E183,0,F183*$B$8/12),F183*$B$8/12)</f>
      </c>
      <c r="H183" s="333">
        <f>$H$5*G183</f>
      </c>
      <c r="I183" s="333"/>
      <c r="J183" s="333">
        <f>(1+$M$5)^(D183/12)*(H183+IF(AND(F183=1,F184=0),$Q$4,0))</f>
      </c>
      <c r="K183" s="333">
        <f>(1+$M$5)^(D183/12)*(I183)</f>
      </c>
      <c r="L183" s="333">
        <f>K183+J183</f>
      </c>
      <c r="M183" s="170"/>
      <c r="N183" s="7"/>
      <c r="O183" s="1"/>
      <c r="P183" s="331">
        <f>D183</f>
      </c>
      <c r="Q183" s="169"/>
    </row>
    <row x14ac:dyDescent="0.25" r="184" customHeight="1" ht="18.75">
      <c r="A184" s="1"/>
      <c r="B184" s="7"/>
      <c r="C184" s="170"/>
      <c r="D184" s="331">
        <v>177</v>
      </c>
      <c r="E184" s="544">
        <f>+DATE(YEAR(E183),MONTH(E183)-1,DAY(E183))</f>
        <v>25569.041666666668</v>
      </c>
      <c r="F184" s="333">
        <f>IF(DATE(YEAR($B$6),MONTH($B$6)+1,DAY(1))=E184,1,IF(MONTH(E184)=1,F185*(1+$F$5),F185))</f>
      </c>
      <c r="G184" s="333">
        <f>IF('Simulador - 1º Pilar'!$E$99="Sí",IF('Aportaciones Poliza'!$B$13&lt;'Aportaciones Poliza'!E184,0,F184*$B$8/12),F184*$B$8/12)</f>
      </c>
      <c r="H184" s="333">
        <f>$H$5*G184</f>
      </c>
      <c r="I184" s="333"/>
      <c r="J184" s="333">
        <f>(1+$M$5)^(D184/12)*(H184+IF(AND(F184=1,F185=0),$Q$4,0))</f>
      </c>
      <c r="K184" s="333">
        <f>(1+$M$5)^(D184/12)*(I184)</f>
      </c>
      <c r="L184" s="333">
        <f>K184+J184</f>
      </c>
      <c r="M184" s="170"/>
      <c r="N184" s="7"/>
      <c r="O184" s="1"/>
      <c r="P184" s="331">
        <f>D184</f>
      </c>
      <c r="Q184" s="169"/>
    </row>
    <row x14ac:dyDescent="0.25" r="185" customHeight="1" ht="18.75">
      <c r="A185" s="1"/>
      <c r="B185" s="7"/>
      <c r="C185" s="170"/>
      <c r="D185" s="331">
        <v>178</v>
      </c>
      <c r="E185" s="544">
        <f>+DATE(YEAR(E184),MONTH(E184)-1,DAY(E184))</f>
        <v>25569.041666666668</v>
      </c>
      <c r="F185" s="333">
        <f>IF(DATE(YEAR($B$6),MONTH($B$6)+1,DAY(1))=E185,1,IF(MONTH(E185)=1,F186*(1+$F$5),F186))</f>
      </c>
      <c r="G185" s="333">
        <f>IF('Simulador - 1º Pilar'!$E$99="Sí",IF('Aportaciones Poliza'!$B$13&lt;'Aportaciones Poliza'!E185,0,F185*$B$8/12),F185*$B$8/12)</f>
      </c>
      <c r="H185" s="333">
        <f>$H$5*G185</f>
      </c>
      <c r="I185" s="333"/>
      <c r="J185" s="333">
        <f>(1+$M$5)^(D185/12)*(H185+IF(AND(F185=1,F186=0),$Q$4,0))</f>
      </c>
      <c r="K185" s="333">
        <f>(1+$M$5)^(D185/12)*(I185)</f>
      </c>
      <c r="L185" s="333">
        <f>K185+J185</f>
      </c>
      <c r="M185" s="170"/>
      <c r="N185" s="7"/>
      <c r="O185" s="1"/>
      <c r="P185" s="331">
        <f>D185</f>
      </c>
      <c r="Q185" s="169"/>
    </row>
    <row x14ac:dyDescent="0.25" r="186" customHeight="1" ht="18.75">
      <c r="A186" s="1"/>
      <c r="B186" s="7"/>
      <c r="C186" s="170"/>
      <c r="D186" s="331">
        <v>179</v>
      </c>
      <c r="E186" s="544">
        <f>+DATE(YEAR(E185),MONTH(E185)-1,DAY(E185))</f>
        <v>25569.041666666668</v>
      </c>
      <c r="F186" s="333">
        <f>IF(DATE(YEAR($B$6),MONTH($B$6)+1,DAY(1))=E186,1,IF(MONTH(E186)=1,F187*(1+$F$5),F187))</f>
      </c>
      <c r="G186" s="333">
        <f>IF('Simulador - 1º Pilar'!$E$99="Sí",IF('Aportaciones Poliza'!$B$13&lt;'Aportaciones Poliza'!E186,0,F186*$B$8/12),F186*$B$8/12)</f>
      </c>
      <c r="H186" s="333">
        <f>$H$5*G186</f>
      </c>
      <c r="I186" s="333"/>
      <c r="J186" s="333">
        <f>(1+$M$5)^(D186/12)*(H186+IF(AND(F186=1,F187=0),$Q$4,0))</f>
      </c>
      <c r="K186" s="333">
        <f>(1+$M$5)^(D186/12)*(I186)</f>
      </c>
      <c r="L186" s="333">
        <f>K186+J186</f>
      </c>
      <c r="M186" s="170"/>
      <c r="N186" s="7"/>
      <c r="O186" s="1"/>
      <c r="P186" s="331">
        <f>D186</f>
      </c>
      <c r="Q186" s="169"/>
    </row>
    <row x14ac:dyDescent="0.25" r="187" customHeight="1" ht="18.75">
      <c r="A187" s="1"/>
      <c r="B187" s="7"/>
      <c r="C187" s="170"/>
      <c r="D187" s="331">
        <v>180</v>
      </c>
      <c r="E187" s="544">
        <f>+DATE(YEAR(E186),MONTH(E186)-1,DAY(E186))</f>
        <v>25569.041666666668</v>
      </c>
      <c r="F187" s="333">
        <f>IF(DATE(YEAR($B$6),MONTH($B$6)+1,DAY(1))=E187,1,IF(MONTH(E187)=1,F188*(1+$F$5),F188))</f>
      </c>
      <c r="G187" s="333">
        <f>IF('Simulador - 1º Pilar'!$E$99="Sí",IF('Aportaciones Poliza'!$B$13&lt;'Aportaciones Poliza'!E187,0,F187*$B$8/12),F187*$B$8/12)</f>
      </c>
      <c r="H187" s="333">
        <f>$H$5*G187</f>
      </c>
      <c r="I187" s="333"/>
      <c r="J187" s="333">
        <f>(1+$M$5)^(D187/12)*(H187+IF(AND(F187=1,F188=0),$Q$4,0))</f>
      </c>
      <c r="K187" s="333">
        <f>(1+$M$5)^(D187/12)*(I187)</f>
      </c>
      <c r="L187" s="333">
        <f>K187+J187</f>
      </c>
      <c r="M187" s="170"/>
      <c r="N187" s="7"/>
      <c r="O187" s="1"/>
      <c r="P187" s="331">
        <f>D187</f>
      </c>
      <c r="Q187" s="169"/>
    </row>
    <row x14ac:dyDescent="0.25" r="188" customHeight="1" ht="18.75">
      <c r="A188" s="1"/>
      <c r="B188" s="7"/>
      <c r="C188" s="170"/>
      <c r="D188" s="331">
        <v>181</v>
      </c>
      <c r="E188" s="544">
        <f>+DATE(YEAR(E187),MONTH(E187)-1,DAY(E187))</f>
        <v>25569.041666666668</v>
      </c>
      <c r="F188" s="333">
        <f>IF(DATE(YEAR($B$6),MONTH($B$6)+1,DAY(1))=E188,1,IF(MONTH(E188)=1,F189*(1+$F$5),F189))</f>
      </c>
      <c r="G188" s="333">
        <f>IF('Simulador - 1º Pilar'!$E$99="Sí",IF('Aportaciones Poliza'!$B$13&lt;'Aportaciones Poliza'!E188,0,F188*$B$8/12),F188*$B$8/12)</f>
      </c>
      <c r="H188" s="333">
        <f>$H$5*G188</f>
      </c>
      <c r="I188" s="333"/>
      <c r="J188" s="333">
        <f>(1+$M$5)^(D188/12)*(H188+IF(AND(F188=1,F189=0),$Q$4,0))</f>
      </c>
      <c r="K188" s="333">
        <f>(1+$M$5)^(D188/12)*(I188)</f>
      </c>
      <c r="L188" s="333">
        <f>K188+J188</f>
      </c>
      <c r="M188" s="170"/>
      <c r="N188" s="7"/>
      <c r="O188" s="1"/>
      <c r="P188" s="331">
        <f>D188</f>
      </c>
      <c r="Q188" s="169"/>
    </row>
    <row x14ac:dyDescent="0.25" r="189" customHeight="1" ht="18.75">
      <c r="A189" s="1"/>
      <c r="B189" s="7"/>
      <c r="C189" s="170"/>
      <c r="D189" s="331">
        <v>182</v>
      </c>
      <c r="E189" s="544">
        <f>+DATE(YEAR(E188),MONTH(E188)-1,DAY(E188))</f>
        <v>25569.041666666668</v>
      </c>
      <c r="F189" s="333">
        <f>IF(DATE(YEAR($B$6),MONTH($B$6)+1,DAY(1))=E189,1,IF(MONTH(E189)=1,F190*(1+$F$5),F190))</f>
      </c>
      <c r="G189" s="333">
        <f>IF('Simulador - 1º Pilar'!$E$99="Sí",IF('Aportaciones Poliza'!$B$13&lt;'Aportaciones Poliza'!E189,0,F189*$B$8/12),F189*$B$8/12)</f>
      </c>
      <c r="H189" s="333">
        <f>$H$5*G189</f>
      </c>
      <c r="I189" s="333"/>
      <c r="J189" s="333">
        <f>(1+$M$5)^(D189/12)*(H189+IF(AND(F189=1,F190=0),$Q$4,0))</f>
      </c>
      <c r="K189" s="333">
        <f>(1+$M$5)^(D189/12)*(I189)</f>
      </c>
      <c r="L189" s="333">
        <f>K189+J189</f>
      </c>
      <c r="M189" s="170"/>
      <c r="N189" s="7"/>
      <c r="O189" s="1"/>
      <c r="P189" s="331">
        <f>D189</f>
      </c>
      <c r="Q189" s="169"/>
    </row>
    <row x14ac:dyDescent="0.25" r="190" customHeight="1" ht="18.75">
      <c r="A190" s="1"/>
      <c r="B190" s="7"/>
      <c r="C190" s="170"/>
      <c r="D190" s="331">
        <v>183</v>
      </c>
      <c r="E190" s="544">
        <f>+DATE(YEAR(E189),MONTH(E189)-1,DAY(E189))</f>
        <v>25569.041666666668</v>
      </c>
      <c r="F190" s="333">
        <f>IF(DATE(YEAR($B$6),MONTH($B$6)+1,DAY(1))=E190,1,IF(MONTH(E190)=1,F191*(1+$F$5),F191))</f>
      </c>
      <c r="G190" s="333">
        <f>IF('Simulador - 1º Pilar'!$E$99="Sí",IF('Aportaciones Poliza'!$B$13&lt;'Aportaciones Poliza'!E190,0,F190*$B$8/12),F190*$B$8/12)</f>
      </c>
      <c r="H190" s="333">
        <f>$H$5*G190</f>
      </c>
      <c r="I190" s="333"/>
      <c r="J190" s="333">
        <f>(1+$M$5)^(D190/12)*(H190+IF(AND(F190=1,F191=0),$Q$4,0))</f>
      </c>
      <c r="K190" s="333">
        <f>(1+$M$5)^(D190/12)*(I190)</f>
      </c>
      <c r="L190" s="333">
        <f>K190+J190</f>
      </c>
      <c r="M190" s="170"/>
      <c r="N190" s="7"/>
      <c r="O190" s="1"/>
      <c r="P190" s="331">
        <f>D190</f>
      </c>
      <c r="Q190" s="169"/>
    </row>
    <row x14ac:dyDescent="0.25" r="191" customHeight="1" ht="18.75">
      <c r="A191" s="1"/>
      <c r="B191" s="7"/>
      <c r="C191" s="170"/>
      <c r="D191" s="331">
        <v>184</v>
      </c>
      <c r="E191" s="544">
        <f>+DATE(YEAR(E190),MONTH(E190)-1,DAY(E190))</f>
        <v>25569.041666666668</v>
      </c>
      <c r="F191" s="333">
        <f>IF(DATE(YEAR($B$6),MONTH($B$6)+1,DAY(1))=E191,1,IF(MONTH(E191)=1,F192*(1+$F$5),F192))</f>
      </c>
      <c r="G191" s="333">
        <f>IF('Simulador - 1º Pilar'!$E$99="Sí",IF('Aportaciones Poliza'!$B$13&lt;'Aportaciones Poliza'!E191,0,F191*$B$8/12),F191*$B$8/12)</f>
      </c>
      <c r="H191" s="333">
        <f>$H$5*G191</f>
      </c>
      <c r="I191" s="333"/>
      <c r="J191" s="333">
        <f>(1+$M$5)^(D191/12)*(H191+IF(AND(F191=1,F192=0),$Q$4,0))</f>
      </c>
      <c r="K191" s="333">
        <f>(1+$M$5)^(D191/12)*(I191)</f>
      </c>
      <c r="L191" s="333">
        <f>K191+J191</f>
      </c>
      <c r="M191" s="170"/>
      <c r="N191" s="7"/>
      <c r="O191" s="1"/>
      <c r="P191" s="331">
        <f>D191</f>
      </c>
      <c r="Q191" s="169"/>
    </row>
    <row x14ac:dyDescent="0.25" r="192" customHeight="1" ht="18.75">
      <c r="A192" s="1"/>
      <c r="B192" s="7"/>
      <c r="C192" s="170"/>
      <c r="D192" s="331">
        <v>185</v>
      </c>
      <c r="E192" s="544">
        <f>+DATE(YEAR(E191),MONTH(E191)-1,DAY(E191))</f>
        <v>25569.041666666668</v>
      </c>
      <c r="F192" s="333">
        <f>IF(DATE(YEAR($B$6),MONTH($B$6)+1,DAY(1))=E192,1,IF(MONTH(E192)=1,F193*(1+$F$5),F193))</f>
      </c>
      <c r="G192" s="333">
        <f>IF('Simulador - 1º Pilar'!$E$99="Sí",IF('Aportaciones Poliza'!$B$13&lt;'Aportaciones Poliza'!E192,0,F192*$B$8/12),F192*$B$8/12)</f>
      </c>
      <c r="H192" s="333">
        <f>$H$5*G192</f>
      </c>
      <c r="I192" s="333"/>
      <c r="J192" s="333">
        <f>(1+$M$5)^(D192/12)*(H192+IF(AND(F192=1,F193=0),$Q$4,0))</f>
      </c>
      <c r="K192" s="333">
        <f>(1+$M$5)^(D192/12)*(I192)</f>
      </c>
      <c r="L192" s="333">
        <f>K192+J192</f>
      </c>
      <c r="M192" s="170"/>
      <c r="N192" s="7"/>
      <c r="O192" s="1"/>
      <c r="P192" s="331">
        <f>D192</f>
      </c>
      <c r="Q192" s="169"/>
    </row>
    <row x14ac:dyDescent="0.25" r="193" customHeight="1" ht="18.75">
      <c r="A193" s="1"/>
      <c r="B193" s="7"/>
      <c r="C193" s="170"/>
      <c r="D193" s="331">
        <v>186</v>
      </c>
      <c r="E193" s="544">
        <f>+DATE(YEAR(E192),MONTH(E192)-1,DAY(E192))</f>
        <v>25569.041666666668</v>
      </c>
      <c r="F193" s="333">
        <f>IF(DATE(YEAR($B$6),MONTH($B$6)+1,DAY(1))=E193,1,IF(MONTH(E193)=1,F194*(1+$F$5),F194))</f>
      </c>
      <c r="G193" s="333">
        <f>IF('Simulador - 1º Pilar'!$E$99="Sí",IF('Aportaciones Poliza'!$B$13&lt;'Aportaciones Poliza'!E193,0,F193*$B$8/12),F193*$B$8/12)</f>
      </c>
      <c r="H193" s="333">
        <f>$H$5*G193</f>
      </c>
      <c r="I193" s="333"/>
      <c r="J193" s="333">
        <f>(1+$M$5)^(D193/12)*(H193+IF(AND(F193=1,F194=0),$Q$4,0))</f>
      </c>
      <c r="K193" s="333">
        <f>(1+$M$5)^(D193/12)*(I193)</f>
      </c>
      <c r="L193" s="333">
        <f>K193+J193</f>
      </c>
      <c r="M193" s="170"/>
      <c r="N193" s="7"/>
      <c r="O193" s="1"/>
      <c r="P193" s="331">
        <f>D193</f>
      </c>
      <c r="Q193" s="169"/>
    </row>
    <row x14ac:dyDescent="0.25" r="194" customHeight="1" ht="18.75">
      <c r="A194" s="1"/>
      <c r="B194" s="7"/>
      <c r="C194" s="170"/>
      <c r="D194" s="331">
        <v>187</v>
      </c>
      <c r="E194" s="544">
        <f>+DATE(YEAR(E193),MONTH(E193)-1,DAY(E193))</f>
        <v>25569.041666666668</v>
      </c>
      <c r="F194" s="333">
        <f>IF(DATE(YEAR($B$6),MONTH($B$6)+1,DAY(1))=E194,1,IF(MONTH(E194)=1,F195*(1+$F$5),F195))</f>
      </c>
      <c r="G194" s="333">
        <f>IF('Simulador - 1º Pilar'!$E$99="Sí",IF('Aportaciones Poliza'!$B$13&lt;'Aportaciones Poliza'!E194,0,F194*$B$8/12),F194*$B$8/12)</f>
      </c>
      <c r="H194" s="333">
        <f>$H$5*G194</f>
      </c>
      <c r="I194" s="333"/>
      <c r="J194" s="333">
        <f>(1+$M$5)^(D194/12)*(H194+IF(AND(F194=1,F195=0),$Q$4,0))</f>
      </c>
      <c r="K194" s="333">
        <f>(1+$M$5)^(D194/12)*(I194)</f>
      </c>
      <c r="L194" s="333">
        <f>K194+J194</f>
      </c>
      <c r="M194" s="170"/>
      <c r="N194" s="7"/>
      <c r="O194" s="1"/>
      <c r="P194" s="331">
        <f>D194</f>
      </c>
      <c r="Q194" s="169"/>
    </row>
    <row x14ac:dyDescent="0.25" r="195" customHeight="1" ht="18.75">
      <c r="A195" s="1"/>
      <c r="B195" s="7"/>
      <c r="C195" s="170"/>
      <c r="D195" s="331">
        <v>188</v>
      </c>
      <c r="E195" s="544">
        <f>+DATE(YEAR(E194),MONTH(E194)-1,DAY(E194))</f>
        <v>25569.041666666668</v>
      </c>
      <c r="F195" s="333">
        <f>IF(DATE(YEAR($B$6),MONTH($B$6)+1,DAY(1))=E195,1,IF(MONTH(E195)=1,F196*(1+$F$5),F196))</f>
      </c>
      <c r="G195" s="333">
        <f>IF('Simulador - 1º Pilar'!$E$99="Sí",IF('Aportaciones Poliza'!$B$13&lt;'Aportaciones Poliza'!E195,0,F195*$B$8/12),F195*$B$8/12)</f>
      </c>
      <c r="H195" s="333">
        <f>$H$5*G195</f>
      </c>
      <c r="I195" s="333"/>
      <c r="J195" s="333">
        <f>(1+$M$5)^(D195/12)*(H195+IF(AND(F195=1,F196=0),$Q$4,0))</f>
      </c>
      <c r="K195" s="333">
        <f>(1+$M$5)^(D195/12)*(I195)</f>
      </c>
      <c r="L195" s="333">
        <f>K195+J195</f>
      </c>
      <c r="M195" s="170"/>
      <c r="N195" s="7"/>
      <c r="O195" s="1"/>
      <c r="P195" s="331">
        <f>D195</f>
      </c>
      <c r="Q195" s="169"/>
    </row>
    <row x14ac:dyDescent="0.25" r="196" customHeight="1" ht="18.75">
      <c r="A196" s="1"/>
      <c r="B196" s="7"/>
      <c r="C196" s="170"/>
      <c r="D196" s="331">
        <v>189</v>
      </c>
      <c r="E196" s="544">
        <f>+DATE(YEAR(E195),MONTH(E195)-1,DAY(E195))</f>
        <v>25569.041666666668</v>
      </c>
      <c r="F196" s="333">
        <f>IF(DATE(YEAR($B$6),MONTH($B$6)+1,DAY(1))=E196,1,IF(MONTH(E196)=1,F197*(1+$F$5),F197))</f>
      </c>
      <c r="G196" s="333">
        <f>IF('Simulador - 1º Pilar'!$E$99="Sí",IF('Aportaciones Poliza'!$B$13&lt;'Aportaciones Poliza'!E196,0,F196*$B$8/12),F196*$B$8/12)</f>
      </c>
      <c r="H196" s="333">
        <f>$H$5*G196</f>
      </c>
      <c r="I196" s="333"/>
      <c r="J196" s="333">
        <f>(1+$M$5)^(D196/12)*(H196+IF(AND(F196=1,F197=0),$Q$4,0))</f>
      </c>
      <c r="K196" s="333">
        <f>(1+$M$5)^(D196/12)*(I196)</f>
      </c>
      <c r="L196" s="333">
        <f>K196+J196</f>
      </c>
      <c r="M196" s="170"/>
      <c r="N196" s="7"/>
      <c r="O196" s="1"/>
      <c r="P196" s="331">
        <f>D196</f>
      </c>
      <c r="Q196" s="169"/>
    </row>
    <row x14ac:dyDescent="0.25" r="197" customHeight="1" ht="18.75">
      <c r="A197" s="1"/>
      <c r="B197" s="7"/>
      <c r="C197" s="170"/>
      <c r="D197" s="331">
        <v>190</v>
      </c>
      <c r="E197" s="544">
        <f>+DATE(YEAR(E196),MONTH(E196)-1,DAY(E196))</f>
        <v>25569.041666666668</v>
      </c>
      <c r="F197" s="333">
        <f>IF(DATE(YEAR($B$6),MONTH($B$6)+1,DAY(1))=E197,1,IF(MONTH(E197)=1,F198*(1+$F$5),F198))</f>
      </c>
      <c r="G197" s="333">
        <f>IF('Simulador - 1º Pilar'!$E$99="Sí",IF('Aportaciones Poliza'!$B$13&lt;'Aportaciones Poliza'!E197,0,F197*$B$8/12),F197*$B$8/12)</f>
      </c>
      <c r="H197" s="333">
        <f>$H$5*G197</f>
      </c>
      <c r="I197" s="333"/>
      <c r="J197" s="333">
        <f>(1+$M$5)^(D197/12)*(H197+IF(AND(F197=1,F198=0),$Q$4,0))</f>
      </c>
      <c r="K197" s="333">
        <f>(1+$M$5)^(D197/12)*(I197)</f>
      </c>
      <c r="L197" s="333">
        <f>K197+J197</f>
      </c>
      <c r="M197" s="170"/>
      <c r="N197" s="7"/>
      <c r="O197" s="1"/>
      <c r="P197" s="331">
        <f>D197</f>
      </c>
      <c r="Q197" s="169"/>
    </row>
    <row x14ac:dyDescent="0.25" r="198" customHeight="1" ht="18.75">
      <c r="A198" s="1"/>
      <c r="B198" s="7"/>
      <c r="C198" s="170"/>
      <c r="D198" s="331">
        <v>191</v>
      </c>
      <c r="E198" s="544">
        <f>+DATE(YEAR(E197),MONTH(E197)-1,DAY(E197))</f>
        <v>25569.041666666668</v>
      </c>
      <c r="F198" s="333">
        <f>IF(DATE(YEAR($B$6),MONTH($B$6)+1,DAY(1))=E198,1,IF(MONTH(E198)=1,F199*(1+$F$5),F199))</f>
      </c>
      <c r="G198" s="333">
        <f>IF('Simulador - 1º Pilar'!$E$99="Sí",IF('Aportaciones Poliza'!$B$13&lt;'Aportaciones Poliza'!E198,0,F198*$B$8/12),F198*$B$8/12)</f>
      </c>
      <c r="H198" s="333">
        <f>$H$5*G198</f>
      </c>
      <c r="I198" s="333"/>
      <c r="J198" s="333">
        <f>(1+$M$5)^(D198/12)*(H198+IF(AND(F198=1,F199=0),$Q$4,0))</f>
      </c>
      <c r="K198" s="333">
        <f>(1+$M$5)^(D198/12)*(I198)</f>
      </c>
      <c r="L198" s="333">
        <f>K198+J198</f>
      </c>
      <c r="M198" s="170"/>
      <c r="N198" s="7"/>
      <c r="O198" s="1"/>
      <c r="P198" s="331">
        <f>D198</f>
      </c>
      <c r="Q198" s="169"/>
    </row>
    <row x14ac:dyDescent="0.25" r="199" customHeight="1" ht="18.75">
      <c r="A199" s="1"/>
      <c r="B199" s="7"/>
      <c r="C199" s="170"/>
      <c r="D199" s="331">
        <v>192</v>
      </c>
      <c r="E199" s="544">
        <f>+DATE(YEAR(E198),MONTH(E198)-1,DAY(E198))</f>
        <v>25569.041666666668</v>
      </c>
      <c r="F199" s="333">
        <f>IF(DATE(YEAR($B$6),MONTH($B$6)+1,DAY(1))=E199,1,IF(MONTH(E199)=1,F200*(1+$F$5),F200))</f>
      </c>
      <c r="G199" s="333">
        <f>IF('Simulador - 1º Pilar'!$E$99="Sí",IF('Aportaciones Poliza'!$B$13&lt;'Aportaciones Poliza'!E199,0,F199*$B$8/12),F199*$B$8/12)</f>
      </c>
      <c r="H199" s="333">
        <f>$H$5*G199</f>
      </c>
      <c r="I199" s="333"/>
      <c r="J199" s="333">
        <f>(1+$M$5)^(D199/12)*(H199+IF(AND(F199=1,F200=0),$Q$4,0))</f>
      </c>
      <c r="K199" s="333">
        <f>(1+$M$5)^(D199/12)*(I199)</f>
      </c>
      <c r="L199" s="333">
        <f>K199+J199</f>
      </c>
      <c r="M199" s="170"/>
      <c r="N199" s="7"/>
      <c r="O199" s="1"/>
      <c r="P199" s="331">
        <f>D199</f>
      </c>
      <c r="Q199" s="169"/>
    </row>
    <row x14ac:dyDescent="0.25" r="200" customHeight="1" ht="18.75">
      <c r="A200" s="1"/>
      <c r="B200" s="7"/>
      <c r="C200" s="170"/>
      <c r="D200" s="331">
        <v>193</v>
      </c>
      <c r="E200" s="544">
        <f>+DATE(YEAR(E199),MONTH(E199)-1,DAY(E199))</f>
        <v>25569.041666666668</v>
      </c>
      <c r="F200" s="333">
        <f>IF(DATE(YEAR($B$6),MONTH($B$6)+1,DAY(1))=E200,1,IF(MONTH(E200)=1,F201*(1+$F$5),F201))</f>
      </c>
      <c r="G200" s="333">
        <f>IF('Simulador - 1º Pilar'!$E$99="Sí",IF('Aportaciones Poliza'!$B$13&lt;'Aportaciones Poliza'!E200,0,F200*$B$8/12),F200*$B$8/12)</f>
      </c>
      <c r="H200" s="333">
        <f>$H$5*G200</f>
      </c>
      <c r="I200" s="333"/>
      <c r="J200" s="333">
        <f>(1+$M$5)^(D200/12)*(H200+IF(AND(F200=1,F201=0),$Q$4,0))</f>
      </c>
      <c r="K200" s="333">
        <f>(1+$M$5)^(D200/12)*(I200)</f>
      </c>
      <c r="L200" s="333">
        <f>K200+J200</f>
      </c>
      <c r="M200" s="170"/>
      <c r="N200" s="7"/>
      <c r="O200" s="1"/>
      <c r="P200" s="331">
        <f>D200</f>
      </c>
      <c r="Q200" s="169"/>
    </row>
    <row x14ac:dyDescent="0.25" r="201" customHeight="1" ht="18.75">
      <c r="A201" s="1"/>
      <c r="B201" s="7"/>
      <c r="C201" s="170"/>
      <c r="D201" s="331">
        <v>194</v>
      </c>
      <c r="E201" s="544">
        <f>+DATE(YEAR(E200),MONTH(E200)-1,DAY(E200))</f>
        <v>25569.041666666668</v>
      </c>
      <c r="F201" s="333">
        <f>IF(DATE(YEAR($B$6),MONTH($B$6)+1,DAY(1))=E201,1,IF(MONTH(E201)=1,F202*(1+$F$5),F202))</f>
      </c>
      <c r="G201" s="333">
        <f>IF('Simulador - 1º Pilar'!$E$99="Sí",IF('Aportaciones Poliza'!$B$13&lt;'Aportaciones Poliza'!E201,0,F201*$B$8/12),F201*$B$8/12)</f>
      </c>
      <c r="H201" s="333">
        <f>$H$5*G201</f>
      </c>
      <c r="I201" s="333"/>
      <c r="J201" s="333">
        <f>(1+$M$5)^(D201/12)*(H201+IF(AND(F201=1,F202=0),$Q$4,0))</f>
      </c>
      <c r="K201" s="333">
        <f>(1+$M$5)^(D201/12)*(I201)</f>
      </c>
      <c r="L201" s="333">
        <f>K201+J201</f>
      </c>
      <c r="M201" s="170"/>
      <c r="N201" s="7"/>
      <c r="O201" s="1"/>
      <c r="P201" s="331">
        <f>D201</f>
      </c>
      <c r="Q201" s="169"/>
    </row>
    <row x14ac:dyDescent="0.25" r="202" customHeight="1" ht="18.75">
      <c r="A202" s="1"/>
      <c r="B202" s="7"/>
      <c r="C202" s="170"/>
      <c r="D202" s="331">
        <v>195</v>
      </c>
      <c r="E202" s="544">
        <f>+DATE(YEAR(E201),MONTH(E201)-1,DAY(E201))</f>
        <v>25569.041666666668</v>
      </c>
      <c r="F202" s="333">
        <f>IF(DATE(YEAR($B$6),MONTH($B$6)+1,DAY(1))=E202,1,IF(MONTH(E202)=1,F203*(1+$F$5),F203))</f>
      </c>
      <c r="G202" s="333">
        <f>IF('Simulador - 1º Pilar'!$E$99="Sí",IF('Aportaciones Poliza'!$B$13&lt;'Aportaciones Poliza'!E202,0,F202*$B$8/12),F202*$B$8/12)</f>
      </c>
      <c r="H202" s="333">
        <f>$H$5*G202</f>
      </c>
      <c r="I202" s="333"/>
      <c r="J202" s="333">
        <f>(1+$M$5)^(D202/12)*(H202+IF(AND(F202=1,F203=0),$Q$4,0))</f>
      </c>
      <c r="K202" s="333">
        <f>(1+$M$5)^(D202/12)*(I202)</f>
      </c>
      <c r="L202" s="333">
        <f>K202+J202</f>
      </c>
      <c r="M202" s="170"/>
      <c r="N202" s="7"/>
      <c r="O202" s="1"/>
      <c r="P202" s="331">
        <f>D202</f>
      </c>
      <c r="Q202" s="169"/>
    </row>
    <row x14ac:dyDescent="0.25" r="203" customHeight="1" ht="18.75">
      <c r="A203" s="1"/>
      <c r="B203" s="7"/>
      <c r="C203" s="170"/>
      <c r="D203" s="331">
        <v>196</v>
      </c>
      <c r="E203" s="544">
        <f>+DATE(YEAR(E202),MONTH(E202)-1,DAY(E202))</f>
        <v>25569.041666666668</v>
      </c>
      <c r="F203" s="333">
        <f>IF(DATE(YEAR($B$6),MONTH($B$6)+1,DAY(1))=E203,1,IF(MONTH(E203)=1,F204*(1+$F$5),F204))</f>
      </c>
      <c r="G203" s="333">
        <f>IF('Simulador - 1º Pilar'!$E$99="Sí",IF('Aportaciones Poliza'!$B$13&lt;'Aportaciones Poliza'!E203,0,F203*$B$8/12),F203*$B$8/12)</f>
      </c>
      <c r="H203" s="333">
        <f>$H$5*G203</f>
      </c>
      <c r="I203" s="333"/>
      <c r="J203" s="333">
        <f>(1+$M$5)^(D203/12)*(H203+IF(AND(F203=1,F204=0),$Q$4,0))</f>
      </c>
      <c r="K203" s="333">
        <f>(1+$M$5)^(D203/12)*(I203)</f>
      </c>
      <c r="L203" s="333">
        <f>K203+J203</f>
      </c>
      <c r="M203" s="170"/>
      <c r="N203" s="7"/>
      <c r="O203" s="1"/>
      <c r="P203" s="331">
        <f>D203</f>
      </c>
      <c r="Q203" s="169"/>
    </row>
    <row x14ac:dyDescent="0.25" r="204" customHeight="1" ht="18.75">
      <c r="A204" s="1"/>
      <c r="B204" s="7"/>
      <c r="C204" s="170"/>
      <c r="D204" s="331">
        <v>197</v>
      </c>
      <c r="E204" s="544">
        <f>+DATE(YEAR(E203),MONTH(E203)-1,DAY(E203))</f>
        <v>25569.041666666668</v>
      </c>
      <c r="F204" s="333">
        <f>IF(DATE(YEAR($B$6),MONTH($B$6)+1,DAY(1))=E204,1,IF(MONTH(E204)=1,F205*(1+$F$5),F205))</f>
      </c>
      <c r="G204" s="333">
        <f>IF('Simulador - 1º Pilar'!$E$99="Sí",IF('Aportaciones Poliza'!$B$13&lt;'Aportaciones Poliza'!E204,0,F204*$B$8/12),F204*$B$8/12)</f>
      </c>
      <c r="H204" s="333">
        <f>$H$5*G204</f>
      </c>
      <c r="I204" s="333"/>
      <c r="J204" s="333">
        <f>(1+$M$5)^(D204/12)*(H204+IF(AND(F204=1,F205=0),$Q$4,0))</f>
      </c>
      <c r="K204" s="333">
        <f>(1+$M$5)^(D204/12)*(I204)</f>
      </c>
      <c r="L204" s="333">
        <f>K204+J204</f>
      </c>
      <c r="M204" s="170"/>
      <c r="N204" s="7"/>
      <c r="O204" s="1"/>
      <c r="P204" s="331">
        <f>D204</f>
      </c>
      <c r="Q204" s="169"/>
    </row>
    <row x14ac:dyDescent="0.25" r="205" customHeight="1" ht="18.75">
      <c r="A205" s="1"/>
      <c r="B205" s="7"/>
      <c r="C205" s="170"/>
      <c r="D205" s="331">
        <v>198</v>
      </c>
      <c r="E205" s="544">
        <f>+DATE(YEAR(E204),MONTH(E204)-1,DAY(E204))</f>
        <v>25569.041666666668</v>
      </c>
      <c r="F205" s="333">
        <f>IF(DATE(YEAR($B$6),MONTH($B$6)+1,DAY(1))=E205,1,IF(MONTH(E205)=1,F206*(1+$F$5),F206))</f>
      </c>
      <c r="G205" s="333">
        <f>IF('Simulador - 1º Pilar'!$E$99="Sí",IF('Aportaciones Poliza'!$B$13&lt;'Aportaciones Poliza'!E205,0,F205*$B$8/12),F205*$B$8/12)</f>
      </c>
      <c r="H205" s="333">
        <f>$H$5*G205</f>
      </c>
      <c r="I205" s="333"/>
      <c r="J205" s="333">
        <f>(1+$M$5)^(D205/12)*(H205+IF(AND(F205=1,F206=0),$Q$4,0))</f>
      </c>
      <c r="K205" s="333">
        <f>(1+$M$5)^(D205/12)*(I205)</f>
      </c>
      <c r="L205" s="333">
        <f>K205+J205</f>
      </c>
      <c r="M205" s="170"/>
      <c r="N205" s="7"/>
      <c r="O205" s="1"/>
      <c r="P205" s="331">
        <f>D205</f>
      </c>
      <c r="Q205" s="169"/>
    </row>
    <row x14ac:dyDescent="0.25" r="206" customHeight="1" ht="18.75">
      <c r="A206" s="1"/>
      <c r="B206" s="7"/>
      <c r="C206" s="170"/>
      <c r="D206" s="331">
        <v>199</v>
      </c>
      <c r="E206" s="544">
        <f>+DATE(YEAR(E205),MONTH(E205)-1,DAY(E205))</f>
        <v>25569.041666666668</v>
      </c>
      <c r="F206" s="333">
        <f>IF(DATE(YEAR($B$6),MONTH($B$6)+1,DAY(1))=E206,1,IF(MONTH(E206)=1,F207*(1+$F$5),F207))</f>
      </c>
      <c r="G206" s="333">
        <f>IF('Simulador - 1º Pilar'!$E$99="Sí",IF('Aportaciones Poliza'!$B$13&lt;'Aportaciones Poliza'!E206,0,F206*$B$8/12),F206*$B$8/12)</f>
      </c>
      <c r="H206" s="333">
        <f>$H$5*G206</f>
      </c>
      <c r="I206" s="333"/>
      <c r="J206" s="333">
        <f>(1+$M$5)^(D206/12)*(H206+IF(AND(F206=1,F207=0),$Q$4,0))</f>
      </c>
      <c r="K206" s="333">
        <f>(1+$M$5)^(D206/12)*(I206)</f>
      </c>
      <c r="L206" s="333">
        <f>K206+J206</f>
      </c>
      <c r="M206" s="170"/>
      <c r="N206" s="7"/>
      <c r="O206" s="1"/>
      <c r="P206" s="331">
        <f>D206</f>
      </c>
      <c r="Q206" s="169"/>
    </row>
    <row x14ac:dyDescent="0.25" r="207" customHeight="1" ht="18.75">
      <c r="A207" s="1"/>
      <c r="B207" s="7"/>
      <c r="C207" s="170"/>
      <c r="D207" s="331">
        <v>200</v>
      </c>
      <c r="E207" s="544">
        <f>+DATE(YEAR(E206),MONTH(E206)-1,DAY(E206))</f>
        <v>25569.041666666668</v>
      </c>
      <c r="F207" s="333">
        <f>IF(DATE(YEAR($B$6),MONTH($B$6)+1,DAY(1))=E207,1,IF(MONTH(E207)=1,F208*(1+$F$5),F208))</f>
      </c>
      <c r="G207" s="333">
        <f>IF('Simulador - 1º Pilar'!$E$99="Sí",IF('Aportaciones Poliza'!$B$13&lt;'Aportaciones Poliza'!E207,0,F207*$B$8/12),F207*$B$8/12)</f>
      </c>
      <c r="H207" s="333">
        <f>$H$5*G207</f>
      </c>
      <c r="I207" s="333"/>
      <c r="J207" s="333">
        <f>(1+$M$5)^(D207/12)*(H207+IF(AND(F207=1,F208=0),$Q$4,0))</f>
      </c>
      <c r="K207" s="333">
        <f>(1+$M$5)^(D207/12)*(I207)</f>
      </c>
      <c r="L207" s="333">
        <f>K207+J207</f>
      </c>
      <c r="M207" s="170"/>
      <c r="N207" s="7"/>
      <c r="O207" s="1"/>
      <c r="P207" s="331">
        <f>D207</f>
      </c>
      <c r="Q207" s="169"/>
    </row>
    <row x14ac:dyDescent="0.25" r="208" customHeight="1" ht="18.75">
      <c r="A208" s="1"/>
      <c r="B208" s="7"/>
      <c r="C208" s="170"/>
      <c r="D208" s="331">
        <v>201</v>
      </c>
      <c r="E208" s="544">
        <f>+DATE(YEAR(E207),MONTH(E207)-1,DAY(E207))</f>
        <v>25569.041666666668</v>
      </c>
      <c r="F208" s="333">
        <f>IF(DATE(YEAR($B$6),MONTH($B$6)+1,DAY(1))=E208,1,IF(MONTH(E208)=1,F209*(1+$F$5),F209))</f>
      </c>
      <c r="G208" s="333">
        <f>IF('Simulador - 1º Pilar'!$E$99="Sí",IF('Aportaciones Poliza'!$B$13&lt;'Aportaciones Poliza'!E208,0,F208*$B$8/12),F208*$B$8/12)</f>
      </c>
      <c r="H208" s="333">
        <f>$H$5*G208</f>
      </c>
      <c r="I208" s="333"/>
      <c r="J208" s="333">
        <f>(1+$M$5)^(D208/12)*(H208+IF(AND(F208=1,F209=0),$Q$4,0))</f>
      </c>
      <c r="K208" s="333">
        <f>(1+$M$5)^(D208/12)*(I208)</f>
      </c>
      <c r="L208" s="333">
        <f>K208+J208</f>
      </c>
      <c r="M208" s="170"/>
      <c r="N208" s="7"/>
      <c r="O208" s="1"/>
      <c r="P208" s="331">
        <f>D208</f>
      </c>
      <c r="Q208" s="169"/>
    </row>
    <row x14ac:dyDescent="0.25" r="209" customHeight="1" ht="18.75">
      <c r="A209" s="1"/>
      <c r="B209" s="7"/>
      <c r="C209" s="170"/>
      <c r="D209" s="331">
        <v>202</v>
      </c>
      <c r="E209" s="544">
        <f>+DATE(YEAR(E208),MONTH(E208)-1,DAY(E208))</f>
        <v>25569.041666666668</v>
      </c>
      <c r="F209" s="333">
        <f>IF(DATE(YEAR($B$6),MONTH($B$6)+1,DAY(1))=E209,1,IF(MONTH(E209)=1,F210*(1+$F$5),F210))</f>
      </c>
      <c r="G209" s="333">
        <f>IF('Simulador - 1º Pilar'!$E$99="Sí",IF('Aportaciones Poliza'!$B$13&lt;'Aportaciones Poliza'!E209,0,F209*$B$8/12),F209*$B$8/12)</f>
      </c>
      <c r="H209" s="333">
        <f>$H$5*G209</f>
      </c>
      <c r="I209" s="333"/>
      <c r="J209" s="333">
        <f>(1+$M$5)^(D209/12)*(H209+IF(AND(F209=1,F210=0),$Q$4,0))</f>
      </c>
      <c r="K209" s="333">
        <f>(1+$M$5)^(D209/12)*(I209)</f>
      </c>
      <c r="L209" s="333">
        <f>K209+J209</f>
      </c>
      <c r="M209" s="170"/>
      <c r="N209" s="7"/>
      <c r="O209" s="1"/>
      <c r="P209" s="331">
        <f>D209</f>
      </c>
      <c r="Q209" s="169"/>
    </row>
    <row x14ac:dyDescent="0.25" r="210" customHeight="1" ht="18.75">
      <c r="A210" s="1"/>
      <c r="B210" s="7"/>
      <c r="C210" s="170"/>
      <c r="D210" s="331">
        <v>203</v>
      </c>
      <c r="E210" s="544">
        <f>+DATE(YEAR(E209),MONTH(E209)-1,DAY(E209))</f>
        <v>25569.041666666668</v>
      </c>
      <c r="F210" s="333">
        <f>IF(DATE(YEAR($B$6),MONTH($B$6)+1,DAY(1))=E210,1,IF(MONTH(E210)=1,F211*(1+$F$5),F211))</f>
      </c>
      <c r="G210" s="333">
        <f>IF('Simulador - 1º Pilar'!$E$99="Sí",IF('Aportaciones Poliza'!$B$13&lt;'Aportaciones Poliza'!E210,0,F210*$B$8/12),F210*$B$8/12)</f>
      </c>
      <c r="H210" s="333">
        <f>$H$5*G210</f>
      </c>
      <c r="I210" s="333"/>
      <c r="J210" s="333">
        <f>(1+$M$5)^(D210/12)*(H210+IF(AND(F210=1,F211=0),$Q$4,0))</f>
      </c>
      <c r="K210" s="333">
        <f>(1+$M$5)^(D210/12)*(I210)</f>
      </c>
      <c r="L210" s="333">
        <f>K210+J210</f>
      </c>
      <c r="M210" s="170"/>
      <c r="N210" s="7"/>
      <c r="O210" s="1"/>
      <c r="P210" s="331">
        <f>D210</f>
      </c>
      <c r="Q210" s="169"/>
    </row>
    <row x14ac:dyDescent="0.25" r="211" customHeight="1" ht="18.75">
      <c r="A211" s="1"/>
      <c r="B211" s="7"/>
      <c r="C211" s="170"/>
      <c r="D211" s="331">
        <v>204</v>
      </c>
      <c r="E211" s="544">
        <f>+DATE(YEAR(E210),MONTH(E210)-1,DAY(E210))</f>
        <v>25569.041666666668</v>
      </c>
      <c r="F211" s="333">
        <f>IF(DATE(YEAR($B$6),MONTH($B$6)+1,DAY(1))=E211,1,IF(MONTH(E211)=1,F212*(1+$F$5),F212))</f>
      </c>
      <c r="G211" s="333">
        <f>IF('Simulador - 1º Pilar'!$E$99="Sí",IF('Aportaciones Poliza'!$B$13&lt;'Aportaciones Poliza'!E211,0,F211*$B$8/12),F211*$B$8/12)</f>
      </c>
      <c r="H211" s="333">
        <f>$H$5*G211</f>
      </c>
      <c r="I211" s="333"/>
      <c r="J211" s="333">
        <f>(1+$M$5)^(D211/12)*(H211+IF(AND(F211=1,F212=0),$Q$4,0))</f>
      </c>
      <c r="K211" s="333">
        <f>(1+$M$5)^(D211/12)*(I211)</f>
      </c>
      <c r="L211" s="333">
        <f>K211+J211</f>
      </c>
      <c r="M211" s="170"/>
      <c r="N211" s="7"/>
      <c r="O211" s="1"/>
      <c r="P211" s="331">
        <f>D211</f>
      </c>
      <c r="Q211" s="169"/>
    </row>
    <row x14ac:dyDescent="0.25" r="212" customHeight="1" ht="18.75">
      <c r="A212" s="1"/>
      <c r="B212" s="7"/>
      <c r="C212" s="170"/>
      <c r="D212" s="331">
        <v>205</v>
      </c>
      <c r="E212" s="544">
        <f>+DATE(YEAR(E211),MONTH(E211)-1,DAY(E211))</f>
        <v>25569.041666666668</v>
      </c>
      <c r="F212" s="333">
        <f>IF(DATE(YEAR($B$6),MONTH($B$6)+1,DAY(1))=E212,1,IF(MONTH(E212)=1,F213*(1+$F$5),F213))</f>
      </c>
      <c r="G212" s="333">
        <f>IF('Simulador - 1º Pilar'!$E$99="Sí",IF('Aportaciones Poliza'!$B$13&lt;'Aportaciones Poliza'!E212,0,F212*$B$8/12),F212*$B$8/12)</f>
      </c>
      <c r="H212" s="333">
        <f>$H$5*G212</f>
      </c>
      <c r="I212" s="333"/>
      <c r="J212" s="333">
        <f>(1+$M$5)^(D212/12)*(H212+IF(AND(F212=1,F213=0),$Q$4,0))</f>
      </c>
      <c r="K212" s="333">
        <f>(1+$M$5)^(D212/12)*(I212)</f>
      </c>
      <c r="L212" s="333">
        <f>K212+J212</f>
      </c>
      <c r="M212" s="170"/>
      <c r="N212" s="7"/>
      <c r="O212" s="1"/>
      <c r="P212" s="331">
        <f>D212</f>
      </c>
      <c r="Q212" s="169"/>
    </row>
    <row x14ac:dyDescent="0.25" r="213" customHeight="1" ht="18.75">
      <c r="A213" s="1"/>
      <c r="B213" s="7"/>
      <c r="C213" s="170"/>
      <c r="D213" s="331">
        <v>206</v>
      </c>
      <c r="E213" s="544">
        <f>+DATE(YEAR(E212),MONTH(E212)-1,DAY(E212))</f>
        <v>25569.041666666668</v>
      </c>
      <c r="F213" s="333">
        <f>IF(DATE(YEAR($B$6),MONTH($B$6)+1,DAY(1))=E213,1,IF(MONTH(E213)=1,F214*(1+$F$5),F214))</f>
      </c>
      <c r="G213" s="333">
        <f>IF('Simulador - 1º Pilar'!$E$99="Sí",IF('Aportaciones Poliza'!$B$13&lt;'Aportaciones Poliza'!E213,0,F213*$B$8/12),F213*$B$8/12)</f>
      </c>
      <c r="H213" s="333">
        <f>$H$5*G213</f>
      </c>
      <c r="I213" s="333"/>
      <c r="J213" s="333">
        <f>(1+$M$5)^(D213/12)*(H213+IF(AND(F213=1,F214=0),$Q$4,0))</f>
      </c>
      <c r="K213" s="333">
        <f>(1+$M$5)^(D213/12)*(I213)</f>
      </c>
      <c r="L213" s="333">
        <f>K213+J213</f>
      </c>
      <c r="M213" s="170"/>
      <c r="N213" s="7"/>
      <c r="O213" s="1"/>
      <c r="P213" s="331">
        <f>D213</f>
      </c>
      <c r="Q213" s="169"/>
    </row>
    <row x14ac:dyDescent="0.25" r="214" customHeight="1" ht="18.75">
      <c r="A214" s="1"/>
      <c r="B214" s="7"/>
      <c r="C214" s="170"/>
      <c r="D214" s="331">
        <v>207</v>
      </c>
      <c r="E214" s="544">
        <f>+DATE(YEAR(E213),MONTH(E213)-1,DAY(E213))</f>
        <v>25569.041666666668</v>
      </c>
      <c r="F214" s="333">
        <f>IF(DATE(YEAR($B$6),MONTH($B$6)+1,DAY(1))=E214,1,IF(MONTH(E214)=1,F215*(1+$F$5),F215))</f>
      </c>
      <c r="G214" s="333">
        <f>IF('Simulador - 1º Pilar'!$E$99="Sí",IF('Aportaciones Poliza'!$B$13&lt;'Aportaciones Poliza'!E214,0,F214*$B$8/12),F214*$B$8/12)</f>
      </c>
      <c r="H214" s="333">
        <f>$H$5*G214</f>
      </c>
      <c r="I214" s="333"/>
      <c r="J214" s="333">
        <f>(1+$M$5)^(D214/12)*(H214+IF(AND(F214=1,F215=0),$Q$4,0))</f>
      </c>
      <c r="K214" s="333">
        <f>(1+$M$5)^(D214/12)*(I214)</f>
      </c>
      <c r="L214" s="333">
        <f>K214+J214</f>
      </c>
      <c r="M214" s="170"/>
      <c r="N214" s="7"/>
      <c r="O214" s="1"/>
      <c r="P214" s="331">
        <f>D214</f>
      </c>
      <c r="Q214" s="169"/>
    </row>
    <row x14ac:dyDescent="0.25" r="215" customHeight="1" ht="18.75">
      <c r="A215" s="1"/>
      <c r="B215" s="7"/>
      <c r="C215" s="170"/>
      <c r="D215" s="331">
        <v>208</v>
      </c>
      <c r="E215" s="544">
        <f>+DATE(YEAR(E214),MONTH(E214)-1,DAY(E214))</f>
        <v>25569.041666666668</v>
      </c>
      <c r="F215" s="333">
        <f>IF(DATE(YEAR($B$6),MONTH($B$6)+1,DAY(1))=E215,1,IF(MONTH(E215)=1,F216*(1+$F$5),F216))</f>
      </c>
      <c r="G215" s="333">
        <f>IF('Simulador - 1º Pilar'!$E$99="Sí",IF('Aportaciones Poliza'!$B$13&lt;'Aportaciones Poliza'!E215,0,F215*$B$8/12),F215*$B$8/12)</f>
      </c>
      <c r="H215" s="333">
        <f>$H$5*G215</f>
      </c>
      <c r="I215" s="333"/>
      <c r="J215" s="333">
        <f>(1+$M$5)^(D215/12)*(H215+IF(AND(F215=1,F216=0),$Q$4,0))</f>
      </c>
      <c r="K215" s="333">
        <f>(1+$M$5)^(D215/12)*(I215)</f>
      </c>
      <c r="L215" s="333">
        <f>K215+J215</f>
      </c>
      <c r="M215" s="170"/>
      <c r="N215" s="7"/>
      <c r="O215" s="1"/>
      <c r="P215" s="331">
        <f>D215</f>
      </c>
      <c r="Q215" s="169"/>
    </row>
    <row x14ac:dyDescent="0.25" r="216" customHeight="1" ht="18.75">
      <c r="A216" s="1"/>
      <c r="B216" s="7"/>
      <c r="C216" s="170"/>
      <c r="D216" s="331">
        <v>209</v>
      </c>
      <c r="E216" s="544">
        <f>+DATE(YEAR(E215),MONTH(E215)-1,DAY(E215))</f>
        <v>25569.041666666668</v>
      </c>
      <c r="F216" s="333">
        <f>IF(DATE(YEAR($B$6),MONTH($B$6)+1,DAY(1))=E216,1,IF(MONTH(E216)=1,F217*(1+$F$5),F217))</f>
      </c>
      <c r="G216" s="333">
        <f>IF('Simulador - 1º Pilar'!$E$99="Sí",IF('Aportaciones Poliza'!$B$13&lt;'Aportaciones Poliza'!E216,0,F216*$B$8/12),F216*$B$8/12)</f>
      </c>
      <c r="H216" s="333">
        <f>$H$5*G216</f>
      </c>
      <c r="I216" s="333"/>
      <c r="J216" s="333">
        <f>(1+$M$5)^(D216/12)*(H216+IF(AND(F216=1,F217=0),$Q$4,0))</f>
      </c>
      <c r="K216" s="333">
        <f>(1+$M$5)^(D216/12)*(I216)</f>
      </c>
      <c r="L216" s="333">
        <f>K216+J216</f>
      </c>
      <c r="M216" s="170"/>
      <c r="N216" s="7"/>
      <c r="O216" s="1"/>
      <c r="P216" s="331">
        <f>D216</f>
      </c>
      <c r="Q216" s="169"/>
    </row>
    <row x14ac:dyDescent="0.25" r="217" customHeight="1" ht="18.75">
      <c r="A217" s="1"/>
      <c r="B217" s="7"/>
      <c r="C217" s="170"/>
      <c r="D217" s="331">
        <v>210</v>
      </c>
      <c r="E217" s="544">
        <f>+DATE(YEAR(E216),MONTH(E216)-1,DAY(E216))</f>
        <v>25569.041666666668</v>
      </c>
      <c r="F217" s="333">
        <f>IF(DATE(YEAR($B$6),MONTH($B$6)+1,DAY(1))=E217,1,IF(MONTH(E217)=1,F218*(1+$F$5),F218))</f>
      </c>
      <c r="G217" s="333">
        <f>IF('Simulador - 1º Pilar'!$E$99="Sí",IF('Aportaciones Poliza'!$B$13&lt;'Aportaciones Poliza'!E217,0,F217*$B$8/12),F217*$B$8/12)</f>
      </c>
      <c r="H217" s="333">
        <f>$H$5*G217</f>
      </c>
      <c r="I217" s="333"/>
      <c r="J217" s="333">
        <f>(1+$M$5)^(D217/12)*(H217+IF(AND(F217=1,F218=0),$Q$4,0))</f>
      </c>
      <c r="K217" s="333">
        <f>(1+$M$5)^(D217/12)*(I217)</f>
      </c>
      <c r="L217" s="333">
        <f>K217+J217</f>
      </c>
      <c r="M217" s="170"/>
      <c r="N217" s="7"/>
      <c r="O217" s="1"/>
      <c r="P217" s="331">
        <f>D217</f>
      </c>
      <c r="Q217" s="169"/>
    </row>
    <row x14ac:dyDescent="0.25" r="218" customHeight="1" ht="18.75">
      <c r="A218" s="1"/>
      <c r="B218" s="7"/>
      <c r="C218" s="170"/>
      <c r="D218" s="331">
        <v>211</v>
      </c>
      <c r="E218" s="544">
        <f>+DATE(YEAR(E217),MONTH(E217)-1,DAY(E217))</f>
        <v>25569.041666666668</v>
      </c>
      <c r="F218" s="333">
        <f>IF(DATE(YEAR($B$6),MONTH($B$6)+1,DAY(1))=E218,1,IF(MONTH(E218)=1,F219*(1+$F$5),F219))</f>
      </c>
      <c r="G218" s="333">
        <f>IF('Simulador - 1º Pilar'!$E$99="Sí",IF('Aportaciones Poliza'!$B$13&lt;'Aportaciones Poliza'!E218,0,F218*$B$8/12),F218*$B$8/12)</f>
      </c>
      <c r="H218" s="333">
        <f>$H$5*G218</f>
      </c>
      <c r="I218" s="333"/>
      <c r="J218" s="333">
        <f>(1+$M$5)^(D218/12)*(H218+IF(AND(F218=1,F219=0),$Q$4,0))</f>
      </c>
      <c r="K218" s="333">
        <f>(1+$M$5)^(D218/12)*(I218)</f>
      </c>
      <c r="L218" s="333">
        <f>K218+J218</f>
      </c>
      <c r="M218" s="170"/>
      <c r="N218" s="7"/>
      <c r="O218" s="1"/>
      <c r="P218" s="331">
        <f>D218</f>
      </c>
      <c r="Q218" s="169"/>
    </row>
    <row x14ac:dyDescent="0.25" r="219" customHeight="1" ht="18.75">
      <c r="A219" s="1"/>
      <c r="B219" s="7"/>
      <c r="C219" s="170"/>
      <c r="D219" s="331">
        <v>212</v>
      </c>
      <c r="E219" s="544">
        <f>+DATE(YEAR(E218),MONTH(E218)-1,DAY(E218))</f>
        <v>25569.041666666668</v>
      </c>
      <c r="F219" s="333">
        <f>IF(DATE(YEAR($B$6),MONTH($B$6)+1,DAY(1))=E219,1,IF(MONTH(E219)=1,F220*(1+$F$5),F220))</f>
      </c>
      <c r="G219" s="333">
        <f>IF('Simulador - 1º Pilar'!$E$99="Sí",IF('Aportaciones Poliza'!$B$13&lt;'Aportaciones Poliza'!E219,0,F219*$B$8/12),F219*$B$8/12)</f>
      </c>
      <c r="H219" s="333">
        <f>$H$5*G219</f>
      </c>
      <c r="I219" s="333"/>
      <c r="J219" s="333">
        <f>(1+$M$5)^(D219/12)*(H219+IF(AND(F219=1,F220=0),$Q$4,0))</f>
      </c>
      <c r="K219" s="333">
        <f>(1+$M$5)^(D219/12)*(I219)</f>
      </c>
      <c r="L219" s="333">
        <f>K219+J219</f>
      </c>
      <c r="M219" s="170"/>
      <c r="N219" s="7"/>
      <c r="O219" s="1"/>
      <c r="P219" s="331">
        <f>D219</f>
      </c>
      <c r="Q219" s="169"/>
    </row>
    <row x14ac:dyDescent="0.25" r="220" customHeight="1" ht="18.75">
      <c r="A220" s="1"/>
      <c r="B220" s="7"/>
      <c r="C220" s="170"/>
      <c r="D220" s="331">
        <v>213</v>
      </c>
      <c r="E220" s="544">
        <f>+DATE(YEAR(E219),MONTH(E219)-1,DAY(E219))</f>
        <v>25569.041666666668</v>
      </c>
      <c r="F220" s="333">
        <f>IF(DATE(YEAR($B$6),MONTH($B$6)+1,DAY(1))=E220,1,IF(MONTH(E220)=1,F221*(1+$F$5),F221))</f>
      </c>
      <c r="G220" s="333">
        <f>IF('Simulador - 1º Pilar'!$E$99="Sí",IF('Aportaciones Poliza'!$B$13&lt;'Aportaciones Poliza'!E220,0,F220*$B$8/12),F220*$B$8/12)</f>
      </c>
      <c r="H220" s="333">
        <f>$H$5*G220</f>
      </c>
      <c r="I220" s="333"/>
      <c r="J220" s="333">
        <f>(1+$M$5)^(D220/12)*(H220+IF(AND(F220=1,F221=0),$Q$4,0))</f>
      </c>
      <c r="K220" s="333">
        <f>(1+$M$5)^(D220/12)*(I220)</f>
      </c>
      <c r="L220" s="333">
        <f>K220+J220</f>
      </c>
      <c r="M220" s="170"/>
      <c r="N220" s="7"/>
      <c r="O220" s="1"/>
      <c r="P220" s="331">
        <f>D220</f>
      </c>
      <c r="Q220" s="169"/>
    </row>
    <row x14ac:dyDescent="0.25" r="221" customHeight="1" ht="18.75">
      <c r="A221" s="1"/>
      <c r="B221" s="7"/>
      <c r="C221" s="170"/>
      <c r="D221" s="331">
        <v>214</v>
      </c>
      <c r="E221" s="544">
        <f>+DATE(YEAR(E220),MONTH(E220)-1,DAY(E220))</f>
        <v>25569.041666666668</v>
      </c>
      <c r="F221" s="333">
        <f>IF(DATE(YEAR($B$6),MONTH($B$6)+1,DAY(1))=E221,1,IF(MONTH(E221)=1,F222*(1+$F$5),F222))</f>
      </c>
      <c r="G221" s="333">
        <f>IF('Simulador - 1º Pilar'!$E$99="Sí",IF('Aportaciones Poliza'!$B$13&lt;'Aportaciones Poliza'!E221,0,F221*$B$8/12),F221*$B$8/12)</f>
      </c>
      <c r="H221" s="333">
        <f>$H$5*G221</f>
      </c>
      <c r="I221" s="333"/>
      <c r="J221" s="333">
        <f>(1+$M$5)^(D221/12)*(H221+IF(AND(F221=1,F222=0),$Q$4,0))</f>
      </c>
      <c r="K221" s="333">
        <f>(1+$M$5)^(D221/12)*(I221)</f>
      </c>
      <c r="L221" s="333">
        <f>K221+J221</f>
      </c>
      <c r="M221" s="170"/>
      <c r="N221" s="7"/>
      <c r="O221" s="1"/>
      <c r="P221" s="331">
        <f>D221</f>
      </c>
      <c r="Q221" s="169"/>
    </row>
    <row x14ac:dyDescent="0.25" r="222" customHeight="1" ht="18.75">
      <c r="A222" s="1"/>
      <c r="B222" s="7"/>
      <c r="C222" s="170"/>
      <c r="D222" s="331">
        <v>215</v>
      </c>
      <c r="E222" s="544">
        <f>+DATE(YEAR(E221),MONTH(E221)-1,DAY(E221))</f>
        <v>25569.041666666668</v>
      </c>
      <c r="F222" s="333">
        <f>IF(DATE(YEAR($B$6),MONTH($B$6)+1,DAY(1))=E222,1,IF(MONTH(E222)=1,F223*(1+$F$5),F223))</f>
      </c>
      <c r="G222" s="333">
        <f>IF('Simulador - 1º Pilar'!$E$99="Sí",IF('Aportaciones Poliza'!$B$13&lt;'Aportaciones Poliza'!E222,0,F222*$B$8/12),F222*$B$8/12)</f>
      </c>
      <c r="H222" s="333">
        <f>$H$5*G222</f>
      </c>
      <c r="I222" s="333"/>
      <c r="J222" s="333">
        <f>(1+$M$5)^(D222/12)*(H222+IF(AND(F222=1,F223=0),$Q$4,0))</f>
      </c>
      <c r="K222" s="333">
        <f>(1+$M$5)^(D222/12)*(I222)</f>
      </c>
      <c r="L222" s="333">
        <f>K222+J222</f>
      </c>
      <c r="M222" s="170"/>
      <c r="N222" s="7"/>
      <c r="O222" s="1"/>
      <c r="P222" s="331">
        <f>D222</f>
      </c>
      <c r="Q222" s="169"/>
    </row>
    <row x14ac:dyDescent="0.25" r="223" customHeight="1" ht="18.75">
      <c r="A223" s="1"/>
      <c r="B223" s="7"/>
      <c r="C223" s="170"/>
      <c r="D223" s="331">
        <v>216</v>
      </c>
      <c r="E223" s="544">
        <f>+DATE(YEAR(E222),MONTH(E222)-1,DAY(E222))</f>
        <v>25569.041666666668</v>
      </c>
      <c r="F223" s="333">
        <f>IF(DATE(YEAR($B$6),MONTH($B$6)+1,DAY(1))=E223,1,IF(MONTH(E223)=1,F224*(1+$F$5),F224))</f>
      </c>
      <c r="G223" s="333">
        <f>IF('Simulador - 1º Pilar'!$E$99="Sí",IF('Aportaciones Poliza'!$B$13&lt;'Aportaciones Poliza'!E223,0,F223*$B$8/12),F223*$B$8/12)</f>
      </c>
      <c r="H223" s="333">
        <f>$H$5*G223</f>
      </c>
      <c r="I223" s="333"/>
      <c r="J223" s="333">
        <f>(1+$M$5)^(D223/12)*(H223+IF(AND(F223=1,F224=0),$Q$4,0))</f>
      </c>
      <c r="K223" s="333">
        <f>(1+$M$5)^(D223/12)*(I223)</f>
      </c>
      <c r="L223" s="333">
        <f>K223+J223</f>
      </c>
      <c r="M223" s="170"/>
      <c r="N223" s="7"/>
      <c r="O223" s="1"/>
      <c r="P223" s="331">
        <f>D223</f>
      </c>
      <c r="Q223" s="169"/>
    </row>
    <row x14ac:dyDescent="0.25" r="224" customHeight="1" ht="18.75">
      <c r="A224" s="1"/>
      <c r="B224" s="7"/>
      <c r="C224" s="170"/>
      <c r="D224" s="331">
        <v>217</v>
      </c>
      <c r="E224" s="544">
        <f>+DATE(YEAR(E223),MONTH(E223)-1,DAY(E223))</f>
        <v>25569.041666666668</v>
      </c>
      <c r="F224" s="333">
        <f>IF(DATE(YEAR($B$6),MONTH($B$6)+1,DAY(1))=E224,1,IF(MONTH(E224)=1,F225*(1+$F$5),F225))</f>
      </c>
      <c r="G224" s="333">
        <f>IF('Simulador - 1º Pilar'!$E$99="Sí",IF('Aportaciones Poliza'!$B$13&lt;'Aportaciones Poliza'!E224,0,F224*$B$8/12),F224*$B$8/12)</f>
      </c>
      <c r="H224" s="333">
        <f>$H$5*G224</f>
      </c>
      <c r="I224" s="333"/>
      <c r="J224" s="333">
        <f>(1+$M$5)^(D224/12)*(H224+IF(AND(F224=1,F225=0),$Q$4,0))</f>
      </c>
      <c r="K224" s="333">
        <f>(1+$M$5)^(D224/12)*(I224)</f>
      </c>
      <c r="L224" s="333">
        <f>K224+J224</f>
      </c>
      <c r="M224" s="170"/>
      <c r="N224" s="7"/>
      <c r="O224" s="1"/>
      <c r="P224" s="331">
        <f>D224</f>
      </c>
      <c r="Q224" s="169"/>
    </row>
    <row x14ac:dyDescent="0.25" r="225" customHeight="1" ht="18.75">
      <c r="A225" s="1"/>
      <c r="B225" s="7"/>
      <c r="C225" s="170"/>
      <c r="D225" s="331">
        <v>218</v>
      </c>
      <c r="E225" s="544">
        <f>+DATE(YEAR(E224),MONTH(E224)-1,DAY(E224))</f>
        <v>25569.041666666668</v>
      </c>
      <c r="F225" s="333">
        <f>IF(DATE(YEAR($B$6),MONTH($B$6)+1,DAY(1))=E225,1,IF(MONTH(E225)=1,F226*(1+$F$5),F226))</f>
      </c>
      <c r="G225" s="333">
        <f>IF('Simulador - 1º Pilar'!$E$99="Sí",IF('Aportaciones Poliza'!$B$13&lt;'Aportaciones Poliza'!E225,0,F225*$B$8/12),F225*$B$8/12)</f>
      </c>
      <c r="H225" s="333">
        <f>$H$5*G225</f>
      </c>
      <c r="I225" s="333"/>
      <c r="J225" s="333">
        <f>(1+$M$5)^(D225/12)*(H225+IF(AND(F225=1,F226=0),$Q$4,0))</f>
      </c>
      <c r="K225" s="333">
        <f>(1+$M$5)^(D225/12)*(I225)</f>
      </c>
      <c r="L225" s="333">
        <f>K225+J225</f>
      </c>
      <c r="M225" s="170"/>
      <c r="N225" s="7"/>
      <c r="O225" s="1"/>
      <c r="P225" s="331">
        <f>D225</f>
      </c>
      <c r="Q225" s="169"/>
    </row>
    <row x14ac:dyDescent="0.25" r="226" customHeight="1" ht="18.75">
      <c r="A226" s="1"/>
      <c r="B226" s="7"/>
      <c r="C226" s="170"/>
      <c r="D226" s="331">
        <v>219</v>
      </c>
      <c r="E226" s="544">
        <f>+DATE(YEAR(E225),MONTH(E225)-1,DAY(E225))</f>
        <v>25569.041666666668</v>
      </c>
      <c r="F226" s="333">
        <f>IF(DATE(YEAR($B$6),MONTH($B$6)+1,DAY(1))=E226,1,IF(MONTH(E226)=1,F227*(1+$F$5),F227))</f>
      </c>
      <c r="G226" s="333">
        <f>IF('Simulador - 1º Pilar'!$E$99="Sí",IF('Aportaciones Poliza'!$B$13&lt;'Aportaciones Poliza'!E226,0,F226*$B$8/12),F226*$B$8/12)</f>
      </c>
      <c r="H226" s="333">
        <f>$H$5*G226</f>
      </c>
      <c r="I226" s="333"/>
      <c r="J226" s="333">
        <f>(1+$M$5)^(D226/12)*(H226+IF(AND(F226=1,F227=0),$Q$4,0))</f>
      </c>
      <c r="K226" s="333">
        <f>(1+$M$5)^(D226/12)*(I226)</f>
      </c>
      <c r="L226" s="333">
        <f>K226+J226</f>
      </c>
      <c r="M226" s="170"/>
      <c r="N226" s="7"/>
      <c r="O226" s="1"/>
      <c r="P226" s="331">
        <f>D226</f>
      </c>
      <c r="Q226" s="169"/>
    </row>
    <row x14ac:dyDescent="0.25" r="227" customHeight="1" ht="18.75">
      <c r="A227" s="1"/>
      <c r="B227" s="7"/>
      <c r="C227" s="170"/>
      <c r="D227" s="331">
        <v>220</v>
      </c>
      <c r="E227" s="544">
        <f>+DATE(YEAR(E226),MONTH(E226)-1,DAY(E226))</f>
        <v>25569.041666666668</v>
      </c>
      <c r="F227" s="333">
        <f>IF(DATE(YEAR($B$6),MONTH($B$6)+1,DAY(1))=E227,1,IF(MONTH(E227)=1,F228*(1+$F$5),F228))</f>
      </c>
      <c r="G227" s="333">
        <f>IF('Simulador - 1º Pilar'!$E$99="Sí",IF('Aportaciones Poliza'!$B$13&lt;'Aportaciones Poliza'!E227,0,F227*$B$8/12),F227*$B$8/12)</f>
      </c>
      <c r="H227" s="333">
        <f>$H$5*G227</f>
      </c>
      <c r="I227" s="333"/>
      <c r="J227" s="333">
        <f>(1+$M$5)^(D227/12)*(H227+IF(AND(F227=1,F228=0),$Q$4,0))</f>
      </c>
      <c r="K227" s="333">
        <f>(1+$M$5)^(D227/12)*(I227)</f>
      </c>
      <c r="L227" s="333">
        <f>K227+J227</f>
      </c>
      <c r="M227" s="170"/>
      <c r="N227" s="7"/>
      <c r="O227" s="1"/>
      <c r="P227" s="331">
        <f>D227</f>
      </c>
      <c r="Q227" s="169"/>
    </row>
    <row x14ac:dyDescent="0.25" r="228" customHeight="1" ht="18.75">
      <c r="A228" s="1"/>
      <c r="B228" s="7"/>
      <c r="C228" s="170"/>
      <c r="D228" s="331">
        <v>221</v>
      </c>
      <c r="E228" s="544">
        <f>+DATE(YEAR(E227),MONTH(E227)-1,DAY(E227))</f>
        <v>25569.041666666668</v>
      </c>
      <c r="F228" s="333">
        <f>IF(DATE(YEAR($B$6),MONTH($B$6)+1,DAY(1))=E228,1,IF(MONTH(E228)=1,F229*(1+$F$5),F229))</f>
      </c>
      <c r="G228" s="333">
        <f>IF('Simulador - 1º Pilar'!$E$99="Sí",IF('Aportaciones Poliza'!$B$13&lt;'Aportaciones Poliza'!E228,0,F228*$B$8/12),F228*$B$8/12)</f>
      </c>
      <c r="H228" s="333">
        <f>$H$5*G228</f>
      </c>
      <c r="I228" s="333"/>
      <c r="J228" s="333">
        <f>(1+$M$5)^(D228/12)*(H228+IF(AND(F228=1,F229=0),$Q$4,0))</f>
      </c>
      <c r="K228" s="333">
        <f>(1+$M$5)^(D228/12)*(I228)</f>
      </c>
      <c r="L228" s="333">
        <f>K228+J228</f>
      </c>
      <c r="M228" s="170"/>
      <c r="N228" s="7"/>
      <c r="O228" s="1"/>
      <c r="P228" s="331">
        <f>D228</f>
      </c>
      <c r="Q228" s="169"/>
    </row>
    <row x14ac:dyDescent="0.25" r="229" customHeight="1" ht="18.75">
      <c r="A229" s="1"/>
      <c r="B229" s="7"/>
      <c r="C229" s="170"/>
      <c r="D229" s="331">
        <v>222</v>
      </c>
      <c r="E229" s="544">
        <f>+DATE(YEAR(E228),MONTH(E228)-1,DAY(E228))</f>
        <v>25569.041666666668</v>
      </c>
      <c r="F229" s="333">
        <f>IF(DATE(YEAR($B$6),MONTH($B$6)+1,DAY(1))=E229,1,IF(MONTH(E229)=1,F230*(1+$F$5),F230))</f>
      </c>
      <c r="G229" s="333">
        <f>IF('Simulador - 1º Pilar'!$E$99="Sí",IF('Aportaciones Poliza'!$B$13&lt;'Aportaciones Poliza'!E229,0,F229*$B$8/12),F229*$B$8/12)</f>
      </c>
      <c r="H229" s="333">
        <f>$H$5*G229</f>
      </c>
      <c r="I229" s="333"/>
      <c r="J229" s="333">
        <f>(1+$M$5)^(D229/12)*(H229+IF(AND(F229=1,F230=0),$Q$4,0))</f>
      </c>
      <c r="K229" s="333">
        <f>(1+$M$5)^(D229/12)*(I229)</f>
      </c>
      <c r="L229" s="333">
        <f>K229+J229</f>
      </c>
      <c r="M229" s="170"/>
      <c r="N229" s="7"/>
      <c r="O229" s="1"/>
      <c r="P229" s="331">
        <f>D229</f>
      </c>
      <c r="Q229" s="169"/>
    </row>
    <row x14ac:dyDescent="0.25" r="230" customHeight="1" ht="18.75">
      <c r="A230" s="1"/>
      <c r="B230" s="7"/>
      <c r="C230" s="170"/>
      <c r="D230" s="331">
        <v>223</v>
      </c>
      <c r="E230" s="544">
        <f>+DATE(YEAR(E229),MONTH(E229)-1,DAY(E229))</f>
        <v>25569.041666666668</v>
      </c>
      <c r="F230" s="333">
        <f>IF(DATE(YEAR($B$6),MONTH($B$6)+1,DAY(1))=E230,1,IF(MONTH(E230)=1,F231*(1+$F$5),F231))</f>
      </c>
      <c r="G230" s="333">
        <f>IF('Simulador - 1º Pilar'!$E$99="Sí",IF('Aportaciones Poliza'!$B$13&lt;'Aportaciones Poliza'!E230,0,F230*$B$8/12),F230*$B$8/12)</f>
      </c>
      <c r="H230" s="333">
        <f>$H$5*G230</f>
      </c>
      <c r="I230" s="333"/>
      <c r="J230" s="333">
        <f>(1+$M$5)^(D230/12)*(H230+IF(AND(F230=1,F231=0),$Q$4,0))</f>
      </c>
      <c r="K230" s="333">
        <f>(1+$M$5)^(D230/12)*(I230)</f>
      </c>
      <c r="L230" s="333">
        <f>K230+J230</f>
      </c>
      <c r="M230" s="170"/>
      <c r="N230" s="7"/>
      <c r="O230" s="1"/>
      <c r="P230" s="331">
        <f>D230</f>
      </c>
      <c r="Q230" s="169"/>
    </row>
    <row x14ac:dyDescent="0.25" r="231" customHeight="1" ht="18.75">
      <c r="A231" s="1"/>
      <c r="B231" s="7"/>
      <c r="C231" s="170"/>
      <c r="D231" s="331">
        <v>224</v>
      </c>
      <c r="E231" s="544">
        <f>+DATE(YEAR(E230),MONTH(E230)-1,DAY(E230))</f>
        <v>25569.041666666668</v>
      </c>
      <c r="F231" s="333">
        <f>IF(DATE(YEAR($B$6),MONTH($B$6)+1,DAY(1))=E231,1,IF(MONTH(E231)=1,F232*(1+$F$5),F232))</f>
      </c>
      <c r="G231" s="333">
        <f>IF('Simulador - 1º Pilar'!$E$99="Sí",IF('Aportaciones Poliza'!$B$13&lt;'Aportaciones Poliza'!E231,0,F231*$B$8/12),F231*$B$8/12)</f>
      </c>
      <c r="H231" s="333">
        <f>$H$5*G231</f>
      </c>
      <c r="I231" s="333"/>
      <c r="J231" s="333">
        <f>(1+$M$5)^(D231/12)*(H231+IF(AND(F231=1,F232=0),$Q$4,0))</f>
      </c>
      <c r="K231" s="333">
        <f>(1+$M$5)^(D231/12)*(I231)</f>
      </c>
      <c r="L231" s="333">
        <f>K231+J231</f>
      </c>
      <c r="M231" s="170"/>
      <c r="N231" s="7"/>
      <c r="O231" s="1"/>
      <c r="P231" s="331">
        <f>D231</f>
      </c>
      <c r="Q231" s="169"/>
    </row>
    <row x14ac:dyDescent="0.25" r="232" customHeight="1" ht="18.75">
      <c r="A232" s="1"/>
      <c r="B232" s="7"/>
      <c r="C232" s="170"/>
      <c r="D232" s="331">
        <v>225</v>
      </c>
      <c r="E232" s="544">
        <f>+DATE(YEAR(E231),MONTH(E231)-1,DAY(E231))</f>
        <v>25569.041666666668</v>
      </c>
      <c r="F232" s="333">
        <f>IF(DATE(YEAR($B$6),MONTH($B$6)+1,DAY(1))=E232,1,IF(MONTH(E232)=1,F233*(1+$F$5),F233))</f>
      </c>
      <c r="G232" s="333">
        <f>IF('Simulador - 1º Pilar'!$E$99="Sí",IF('Aportaciones Poliza'!$B$13&lt;'Aportaciones Poliza'!E232,0,F232*$B$8/12),F232*$B$8/12)</f>
      </c>
      <c r="H232" s="333">
        <f>$H$5*G232</f>
      </c>
      <c r="I232" s="333"/>
      <c r="J232" s="333">
        <f>(1+$M$5)^(D232/12)*(H232+IF(AND(F232=1,F233=0),$Q$4,0))</f>
      </c>
      <c r="K232" s="333">
        <f>(1+$M$5)^(D232/12)*(I232)</f>
      </c>
      <c r="L232" s="333">
        <f>K232+J232</f>
      </c>
      <c r="M232" s="170"/>
      <c r="N232" s="7"/>
      <c r="O232" s="1"/>
      <c r="P232" s="331">
        <f>D232</f>
      </c>
      <c r="Q232" s="169"/>
    </row>
    <row x14ac:dyDescent="0.25" r="233" customHeight="1" ht="18.75">
      <c r="A233" s="1"/>
      <c r="B233" s="7"/>
      <c r="C233" s="170"/>
      <c r="D233" s="331">
        <v>226</v>
      </c>
      <c r="E233" s="544">
        <f>+DATE(YEAR(E232),MONTH(E232)-1,DAY(E232))</f>
        <v>25569.041666666668</v>
      </c>
      <c r="F233" s="333">
        <f>IF(DATE(YEAR($B$6),MONTH($B$6)+1,DAY(1))=E233,1,IF(MONTH(E233)=1,F234*(1+$F$5),F234))</f>
      </c>
      <c r="G233" s="333">
        <f>IF('Simulador - 1º Pilar'!$E$99="Sí",IF('Aportaciones Poliza'!$B$13&lt;'Aportaciones Poliza'!E233,0,F233*$B$8/12),F233*$B$8/12)</f>
      </c>
      <c r="H233" s="333">
        <f>$H$5*G233</f>
      </c>
      <c r="I233" s="333"/>
      <c r="J233" s="333">
        <f>(1+$M$5)^(D233/12)*(H233+IF(AND(F233=1,F234=0),$Q$4,0))</f>
      </c>
      <c r="K233" s="333">
        <f>(1+$M$5)^(D233/12)*(I233)</f>
      </c>
      <c r="L233" s="333">
        <f>K233+J233</f>
      </c>
      <c r="M233" s="170"/>
      <c r="N233" s="7"/>
      <c r="O233" s="1"/>
      <c r="P233" s="331">
        <f>D233</f>
      </c>
      <c r="Q233" s="169"/>
    </row>
    <row x14ac:dyDescent="0.25" r="234" customHeight="1" ht="18.75">
      <c r="A234" s="1"/>
      <c r="B234" s="7"/>
      <c r="C234" s="170"/>
      <c r="D234" s="331">
        <v>227</v>
      </c>
      <c r="E234" s="544">
        <f>+DATE(YEAR(E233),MONTH(E233)-1,DAY(E233))</f>
        <v>25569.041666666668</v>
      </c>
      <c r="F234" s="333">
        <f>IF(DATE(YEAR($B$6),MONTH($B$6)+1,DAY(1))=E234,1,IF(MONTH(E234)=1,F235*(1+$F$5),F235))</f>
      </c>
      <c r="G234" s="333">
        <f>IF('Simulador - 1º Pilar'!$E$99="Sí",IF('Aportaciones Poliza'!$B$13&lt;'Aportaciones Poliza'!E234,0,F234*$B$8/12),F234*$B$8/12)</f>
      </c>
      <c r="H234" s="333">
        <f>$H$5*G234</f>
      </c>
      <c r="I234" s="333"/>
      <c r="J234" s="333">
        <f>(1+$M$5)^(D234/12)*(H234+IF(AND(F234=1,F235=0),$Q$4,0))</f>
      </c>
      <c r="K234" s="333">
        <f>(1+$M$5)^(D234/12)*(I234)</f>
      </c>
      <c r="L234" s="333">
        <f>K234+J234</f>
      </c>
      <c r="M234" s="170"/>
      <c r="N234" s="7"/>
      <c r="O234" s="1"/>
      <c r="P234" s="331">
        <f>D234</f>
      </c>
      <c r="Q234" s="169"/>
    </row>
    <row x14ac:dyDescent="0.25" r="235" customHeight="1" ht="18.75">
      <c r="A235" s="1"/>
      <c r="B235" s="7"/>
      <c r="C235" s="170"/>
      <c r="D235" s="331">
        <v>228</v>
      </c>
      <c r="E235" s="544">
        <f>+DATE(YEAR(E234),MONTH(E234)-1,DAY(E234))</f>
        <v>25569.041666666668</v>
      </c>
      <c r="F235" s="333">
        <f>IF(DATE(YEAR($B$6),MONTH($B$6)+1,DAY(1))=E235,1,IF(MONTH(E235)=1,F236*(1+$F$5),F236))</f>
      </c>
      <c r="G235" s="333">
        <f>IF('Simulador - 1º Pilar'!$E$99="Sí",IF('Aportaciones Poliza'!$B$13&lt;'Aportaciones Poliza'!E235,0,F235*$B$8/12),F235*$B$8/12)</f>
      </c>
      <c r="H235" s="333">
        <f>$H$5*G235</f>
      </c>
      <c r="I235" s="333"/>
      <c r="J235" s="333">
        <f>(1+$M$5)^(D235/12)*(H235+IF(AND(F235=1,F236=0),$Q$4,0))</f>
      </c>
      <c r="K235" s="333">
        <f>(1+$M$5)^(D235/12)*(I235)</f>
      </c>
      <c r="L235" s="333">
        <f>K235+J235</f>
      </c>
      <c r="M235" s="170"/>
      <c r="N235" s="7"/>
      <c r="O235" s="1"/>
      <c r="P235" s="331">
        <f>D235</f>
      </c>
      <c r="Q235" s="169"/>
    </row>
    <row x14ac:dyDescent="0.25" r="236" customHeight="1" ht="18.75">
      <c r="A236" s="1"/>
      <c r="B236" s="7"/>
      <c r="C236" s="170"/>
      <c r="D236" s="331">
        <v>229</v>
      </c>
      <c r="E236" s="544">
        <f>+DATE(YEAR(E235),MONTH(E235)-1,DAY(E235))</f>
        <v>25569.041666666668</v>
      </c>
      <c r="F236" s="333">
        <f>IF(DATE(YEAR($B$6),MONTH($B$6)+1,DAY(1))=E236,1,IF(MONTH(E236)=1,F237*(1+$F$5),F237))</f>
      </c>
      <c r="G236" s="333">
        <f>IF('Simulador - 1º Pilar'!$E$99="Sí",IF('Aportaciones Poliza'!$B$13&lt;'Aportaciones Poliza'!E236,0,F236*$B$8/12),F236*$B$8/12)</f>
      </c>
      <c r="H236" s="333">
        <f>$H$5*G236</f>
      </c>
      <c r="I236" s="333"/>
      <c r="J236" s="333">
        <f>(1+$M$5)^(D236/12)*(H236+IF(AND(F236=1,F237=0),$Q$4,0))</f>
      </c>
      <c r="K236" s="333">
        <f>(1+$M$5)^(D236/12)*(I236)</f>
      </c>
      <c r="L236" s="333">
        <f>K236+J236</f>
      </c>
      <c r="M236" s="170"/>
      <c r="N236" s="7"/>
      <c r="O236" s="1"/>
      <c r="P236" s="331">
        <f>D236</f>
      </c>
      <c r="Q236" s="169"/>
    </row>
    <row x14ac:dyDescent="0.25" r="237" customHeight="1" ht="18.75">
      <c r="A237" s="1"/>
      <c r="B237" s="7"/>
      <c r="C237" s="170"/>
      <c r="D237" s="331">
        <v>230</v>
      </c>
      <c r="E237" s="544">
        <f>+DATE(YEAR(E236),MONTH(E236)-1,DAY(E236))</f>
        <v>25569.041666666668</v>
      </c>
      <c r="F237" s="333">
        <f>IF(DATE(YEAR($B$6),MONTH($B$6)+1,DAY(1))=E237,1,IF(MONTH(E237)=1,F238*(1+$F$5),F238))</f>
      </c>
      <c r="G237" s="333">
        <f>IF('Simulador - 1º Pilar'!$E$99="Sí",IF('Aportaciones Poliza'!$B$13&lt;'Aportaciones Poliza'!E237,0,F237*$B$8/12),F237*$B$8/12)</f>
      </c>
      <c r="H237" s="333">
        <f>$H$5*G237</f>
      </c>
      <c r="I237" s="333"/>
      <c r="J237" s="333">
        <f>(1+$M$5)^(D237/12)*(H237+IF(AND(F237=1,F238=0),$Q$4,0))</f>
      </c>
      <c r="K237" s="333">
        <f>(1+$M$5)^(D237/12)*(I237)</f>
      </c>
      <c r="L237" s="333">
        <f>K237+J237</f>
      </c>
      <c r="M237" s="170"/>
      <c r="N237" s="7"/>
      <c r="O237" s="1"/>
      <c r="P237" s="331">
        <f>D237</f>
      </c>
      <c r="Q237" s="169"/>
    </row>
    <row x14ac:dyDescent="0.25" r="238" customHeight="1" ht="18.75">
      <c r="A238" s="1"/>
      <c r="B238" s="7"/>
      <c r="C238" s="170"/>
      <c r="D238" s="331">
        <v>231</v>
      </c>
      <c r="E238" s="544">
        <f>+DATE(YEAR(E237),MONTH(E237)-1,DAY(E237))</f>
        <v>25569.041666666668</v>
      </c>
      <c r="F238" s="333">
        <f>IF(DATE(YEAR($B$6),MONTH($B$6)+1,DAY(1))=E238,1,IF(MONTH(E238)=1,F239*(1+$F$5),F239))</f>
      </c>
      <c r="G238" s="333">
        <f>IF('Simulador - 1º Pilar'!$E$99="Sí",IF('Aportaciones Poliza'!$B$13&lt;'Aportaciones Poliza'!E238,0,F238*$B$8/12),F238*$B$8/12)</f>
      </c>
      <c r="H238" s="333">
        <f>$H$5*G238</f>
      </c>
      <c r="I238" s="333"/>
      <c r="J238" s="333">
        <f>(1+$M$5)^(D238/12)*(H238+IF(AND(F238=1,F239=0),$Q$4,0))</f>
      </c>
      <c r="K238" s="333">
        <f>(1+$M$5)^(D238/12)*(I238)</f>
      </c>
      <c r="L238" s="333">
        <f>K238+J238</f>
      </c>
      <c r="M238" s="170"/>
      <c r="N238" s="7"/>
      <c r="O238" s="1"/>
      <c r="P238" s="331">
        <f>D238</f>
      </c>
      <c r="Q238" s="169"/>
    </row>
    <row x14ac:dyDescent="0.25" r="239" customHeight="1" ht="18.75">
      <c r="A239" s="1"/>
      <c r="B239" s="7"/>
      <c r="C239" s="170"/>
      <c r="D239" s="331">
        <v>232</v>
      </c>
      <c r="E239" s="544">
        <f>+DATE(YEAR(E238),MONTH(E238)-1,DAY(E238))</f>
        <v>25569.041666666668</v>
      </c>
      <c r="F239" s="333">
        <f>IF(DATE(YEAR($B$6),MONTH($B$6)+1,DAY(1))=E239,1,IF(MONTH(E239)=1,F240*(1+$F$5),F240))</f>
      </c>
      <c r="G239" s="333">
        <f>IF('Simulador - 1º Pilar'!$E$99="Sí",IF('Aportaciones Poliza'!$B$13&lt;'Aportaciones Poliza'!E239,0,F239*$B$8/12),F239*$B$8/12)</f>
      </c>
      <c r="H239" s="333">
        <f>$H$5*G239</f>
      </c>
      <c r="I239" s="333"/>
      <c r="J239" s="333">
        <f>(1+$M$5)^(D239/12)*(H239+IF(AND(F239=1,F240=0),$Q$4,0))</f>
      </c>
      <c r="K239" s="333">
        <f>(1+$M$5)^(D239/12)*(I239)</f>
      </c>
      <c r="L239" s="333">
        <f>K239+J239</f>
      </c>
      <c r="M239" s="170"/>
      <c r="N239" s="7"/>
      <c r="O239" s="1"/>
      <c r="P239" s="331">
        <f>D239</f>
      </c>
      <c r="Q239" s="169"/>
    </row>
    <row x14ac:dyDescent="0.25" r="240" customHeight="1" ht="18.75">
      <c r="A240" s="1"/>
      <c r="B240" s="7"/>
      <c r="C240" s="170"/>
      <c r="D240" s="331">
        <v>233</v>
      </c>
      <c r="E240" s="544">
        <f>+DATE(YEAR(E239),MONTH(E239)-1,DAY(E239))</f>
        <v>25569.041666666668</v>
      </c>
      <c r="F240" s="333">
        <f>IF(DATE(YEAR($B$6),MONTH($B$6)+1,DAY(1))=E240,1,IF(MONTH(E240)=1,F241*(1+$F$5),F241))</f>
      </c>
      <c r="G240" s="333">
        <f>IF('Simulador - 1º Pilar'!$E$99="Sí",IF('Aportaciones Poliza'!$B$13&lt;'Aportaciones Poliza'!E240,0,F240*$B$8/12),F240*$B$8/12)</f>
      </c>
      <c r="H240" s="333">
        <f>$H$5*G240</f>
      </c>
      <c r="I240" s="333"/>
      <c r="J240" s="333">
        <f>(1+$M$5)^(D240/12)*(H240+IF(AND(F240=1,F241=0),$Q$4,0))</f>
      </c>
      <c r="K240" s="333">
        <f>(1+$M$5)^(D240/12)*(I240)</f>
      </c>
      <c r="L240" s="333">
        <f>K240+J240</f>
      </c>
      <c r="M240" s="170"/>
      <c r="N240" s="7"/>
      <c r="O240" s="1"/>
      <c r="P240" s="331">
        <f>D240</f>
      </c>
      <c r="Q240" s="169"/>
    </row>
    <row x14ac:dyDescent="0.25" r="241" customHeight="1" ht="18.75">
      <c r="A241" s="1"/>
      <c r="B241" s="7"/>
      <c r="C241" s="170"/>
      <c r="D241" s="331">
        <v>234</v>
      </c>
      <c r="E241" s="544">
        <f>+DATE(YEAR(E240),MONTH(E240)-1,DAY(E240))</f>
        <v>25569.041666666668</v>
      </c>
      <c r="F241" s="333">
        <f>IF(DATE(YEAR($B$6),MONTH($B$6)+1,DAY(1))=E241,1,IF(MONTH(E241)=1,F242*(1+$F$5),F242))</f>
      </c>
      <c r="G241" s="333">
        <f>IF('Simulador - 1º Pilar'!$E$99="Sí",IF('Aportaciones Poliza'!$B$13&lt;'Aportaciones Poliza'!E241,0,F241*$B$8/12),F241*$B$8/12)</f>
      </c>
      <c r="H241" s="333">
        <f>$H$5*G241</f>
      </c>
      <c r="I241" s="333"/>
      <c r="J241" s="333">
        <f>(1+$M$5)^(D241/12)*(H241+IF(AND(F241=1,F242=0),$Q$4,0))</f>
      </c>
      <c r="K241" s="333">
        <f>(1+$M$5)^(D241/12)*(I241)</f>
      </c>
      <c r="L241" s="333">
        <f>K241+J241</f>
      </c>
      <c r="M241" s="170"/>
      <c r="N241" s="7"/>
      <c r="O241" s="1"/>
      <c r="P241" s="331">
        <f>D241</f>
      </c>
      <c r="Q241" s="169"/>
    </row>
    <row x14ac:dyDescent="0.25" r="242" customHeight="1" ht="18.75">
      <c r="A242" s="1"/>
      <c r="B242" s="7"/>
      <c r="C242" s="170"/>
      <c r="D242" s="331">
        <v>235</v>
      </c>
      <c r="E242" s="544">
        <f>+DATE(YEAR(E241),MONTH(E241)-1,DAY(E241))</f>
        <v>25569.041666666668</v>
      </c>
      <c r="F242" s="333">
        <f>IF(DATE(YEAR($B$6),MONTH($B$6)+1,DAY(1))=E242,1,IF(MONTH(E242)=1,F243*(1+$F$5),F243))</f>
      </c>
      <c r="G242" s="333">
        <f>IF('Simulador - 1º Pilar'!$E$99="Sí",IF('Aportaciones Poliza'!$B$13&lt;'Aportaciones Poliza'!E242,0,F242*$B$8/12),F242*$B$8/12)</f>
      </c>
      <c r="H242" s="333">
        <f>$H$5*G242</f>
      </c>
      <c r="I242" s="333"/>
      <c r="J242" s="333">
        <f>(1+$M$5)^(D242/12)*(H242+IF(AND(F242=1,F243=0),$Q$4,0))</f>
      </c>
      <c r="K242" s="333">
        <f>(1+$M$5)^(D242/12)*(I242)</f>
      </c>
      <c r="L242" s="333">
        <f>K242+J242</f>
      </c>
      <c r="M242" s="170"/>
      <c r="N242" s="7"/>
      <c r="O242" s="1"/>
      <c r="P242" s="331">
        <f>D242</f>
      </c>
      <c r="Q242" s="169"/>
    </row>
    <row x14ac:dyDescent="0.25" r="243" customHeight="1" ht="18.75">
      <c r="A243" s="1"/>
      <c r="B243" s="7"/>
      <c r="C243" s="170"/>
      <c r="D243" s="331">
        <v>236</v>
      </c>
      <c r="E243" s="544">
        <f>+DATE(YEAR(E242),MONTH(E242)-1,DAY(E242))</f>
        <v>25569.041666666668</v>
      </c>
      <c r="F243" s="333">
        <f>IF(DATE(YEAR($B$6),MONTH($B$6)+1,DAY(1))=E243,1,IF(MONTH(E243)=1,F244*(1+$F$5),F244))</f>
      </c>
      <c r="G243" s="333">
        <f>IF('Simulador - 1º Pilar'!$E$99="Sí",IF('Aportaciones Poliza'!$B$13&lt;'Aportaciones Poliza'!E243,0,F243*$B$8/12),F243*$B$8/12)</f>
      </c>
      <c r="H243" s="333">
        <f>$H$5*G243</f>
      </c>
      <c r="I243" s="333"/>
      <c r="J243" s="333">
        <f>(1+$M$5)^(D243/12)*(H243+IF(AND(F243=1,F244=0),$Q$4,0))</f>
      </c>
      <c r="K243" s="333">
        <f>(1+$M$5)^(D243/12)*(I243)</f>
      </c>
      <c r="L243" s="333">
        <f>K243+J243</f>
      </c>
      <c r="M243" s="170"/>
      <c r="N243" s="7"/>
      <c r="O243" s="1"/>
      <c r="P243" s="331">
        <f>D243</f>
      </c>
      <c r="Q243" s="169"/>
    </row>
    <row x14ac:dyDescent="0.25" r="244" customHeight="1" ht="18.75">
      <c r="A244" s="1"/>
      <c r="B244" s="7"/>
      <c r="C244" s="170"/>
      <c r="D244" s="331">
        <v>237</v>
      </c>
      <c r="E244" s="544">
        <f>+DATE(YEAR(E243),MONTH(E243)-1,DAY(E243))</f>
        <v>25569.041666666668</v>
      </c>
      <c r="F244" s="333">
        <f>IF(DATE(YEAR($B$6),MONTH($B$6)+1,DAY(1))=E244,1,IF(MONTH(E244)=1,F245*(1+$F$5),F245))</f>
      </c>
      <c r="G244" s="333">
        <f>IF('Simulador - 1º Pilar'!$E$99="Sí",IF('Aportaciones Poliza'!$B$13&lt;'Aportaciones Poliza'!E244,0,F244*$B$8/12),F244*$B$8/12)</f>
      </c>
      <c r="H244" s="333">
        <f>$H$5*G244</f>
      </c>
      <c r="I244" s="333"/>
      <c r="J244" s="333">
        <f>(1+$M$5)^(D244/12)*(H244+IF(AND(F244=1,F245=0),$Q$4,0))</f>
      </c>
      <c r="K244" s="333">
        <f>(1+$M$5)^(D244/12)*(I244)</f>
      </c>
      <c r="L244" s="333">
        <f>K244+J244</f>
      </c>
      <c r="M244" s="170"/>
      <c r="N244" s="7"/>
      <c r="O244" s="1"/>
      <c r="P244" s="331">
        <f>D244</f>
      </c>
      <c r="Q244" s="169"/>
    </row>
    <row x14ac:dyDescent="0.25" r="245" customHeight="1" ht="18.75">
      <c r="A245" s="1"/>
      <c r="B245" s="7"/>
      <c r="C245" s="170"/>
      <c r="D245" s="331">
        <v>238</v>
      </c>
      <c r="E245" s="544">
        <f>+DATE(YEAR(E244),MONTH(E244)-1,DAY(E244))</f>
        <v>25569.041666666668</v>
      </c>
      <c r="F245" s="333">
        <f>IF(DATE(YEAR($B$6),MONTH($B$6)+1,DAY(1))=E245,1,IF(MONTH(E245)=1,F246*(1+$F$5),F246))</f>
      </c>
      <c r="G245" s="333">
        <f>IF('Simulador - 1º Pilar'!$E$99="Sí",IF('Aportaciones Poliza'!$B$13&lt;'Aportaciones Poliza'!E245,0,F245*$B$8/12),F245*$B$8/12)</f>
      </c>
      <c r="H245" s="333">
        <f>$H$5*G245</f>
      </c>
      <c r="I245" s="333"/>
      <c r="J245" s="333">
        <f>(1+$M$5)^(D245/12)*(H245+IF(AND(F245=1,F246=0),$Q$4,0))</f>
      </c>
      <c r="K245" s="333">
        <f>(1+$M$5)^(D245/12)*(I245)</f>
      </c>
      <c r="L245" s="333">
        <f>K245+J245</f>
      </c>
      <c r="M245" s="170"/>
      <c r="N245" s="7"/>
      <c r="O245" s="1"/>
      <c r="P245" s="331">
        <f>D245</f>
      </c>
      <c r="Q245" s="169"/>
    </row>
    <row x14ac:dyDescent="0.25" r="246" customHeight="1" ht="18.75">
      <c r="A246" s="1"/>
      <c r="B246" s="7"/>
      <c r="C246" s="170"/>
      <c r="D246" s="331">
        <v>239</v>
      </c>
      <c r="E246" s="544">
        <f>+DATE(YEAR(E245),MONTH(E245)-1,DAY(E245))</f>
        <v>25569.041666666668</v>
      </c>
      <c r="F246" s="333">
        <f>IF(DATE(YEAR($B$6),MONTH($B$6)+1,DAY(1))=E246,1,IF(MONTH(E246)=1,F247*(1+$F$5),F247))</f>
      </c>
      <c r="G246" s="333">
        <f>IF('Simulador - 1º Pilar'!$E$99="Sí",IF('Aportaciones Poliza'!$B$13&lt;'Aportaciones Poliza'!E246,0,F246*$B$8/12),F246*$B$8/12)</f>
      </c>
      <c r="H246" s="333">
        <f>$H$5*G246</f>
      </c>
      <c r="I246" s="333"/>
      <c r="J246" s="333">
        <f>(1+$M$5)^(D246/12)*(H246+IF(AND(F246=1,F247=0),$Q$4,0))</f>
      </c>
      <c r="K246" s="333">
        <f>(1+$M$5)^(D246/12)*(I246)</f>
      </c>
      <c r="L246" s="333">
        <f>K246+J246</f>
      </c>
      <c r="M246" s="170"/>
      <c r="N246" s="7"/>
      <c r="O246" s="1"/>
      <c r="P246" s="331">
        <f>D246</f>
      </c>
      <c r="Q246" s="169"/>
    </row>
    <row x14ac:dyDescent="0.25" r="247" customHeight="1" ht="18.75">
      <c r="A247" s="1"/>
      <c r="B247" s="7"/>
      <c r="C247" s="170"/>
      <c r="D247" s="331">
        <v>240</v>
      </c>
      <c r="E247" s="544">
        <f>+DATE(YEAR(E246),MONTH(E246)-1,DAY(E246))</f>
        <v>25569.041666666668</v>
      </c>
      <c r="F247" s="333">
        <f>IF(DATE(YEAR($B$6),MONTH($B$6)+1,DAY(1))=E247,1,IF(MONTH(E247)=1,F248*(1+$F$5),F248))</f>
      </c>
      <c r="G247" s="333">
        <f>IF('Simulador - 1º Pilar'!$E$99="Sí",IF('Aportaciones Poliza'!$B$13&lt;'Aportaciones Poliza'!E247,0,F247*$B$8/12),F247*$B$8/12)</f>
      </c>
      <c r="H247" s="333">
        <f>$H$5*G247</f>
      </c>
      <c r="I247" s="333"/>
      <c r="J247" s="333">
        <f>(1+$M$5)^(D247/12)*(H247+IF(AND(F247=1,F248=0),$Q$4,0))</f>
      </c>
      <c r="K247" s="333">
        <f>(1+$M$5)^(D247/12)*(I247)</f>
      </c>
      <c r="L247" s="333">
        <f>K247+J247</f>
      </c>
      <c r="M247" s="170"/>
      <c r="N247" s="7"/>
      <c r="O247" s="1"/>
      <c r="P247" s="331">
        <f>D247</f>
      </c>
      <c r="Q247" s="169"/>
    </row>
    <row x14ac:dyDescent="0.25" r="248" customHeight="1" ht="18.75">
      <c r="A248" s="1"/>
      <c r="B248" s="7"/>
      <c r="C248" s="170"/>
      <c r="D248" s="331">
        <v>241</v>
      </c>
      <c r="E248" s="544">
        <f>+DATE(YEAR(E247),MONTH(E247)-1,DAY(E247))</f>
        <v>25569.041666666668</v>
      </c>
      <c r="F248" s="333">
        <f>IF(DATE(YEAR($B$6),MONTH($B$6)+1,DAY(1))=E248,1,IF(MONTH(E248)=1,F249*(1+$F$5),F249))</f>
      </c>
      <c r="G248" s="333">
        <f>IF('Simulador - 1º Pilar'!$E$99="Sí",IF('Aportaciones Poliza'!$B$13&lt;'Aportaciones Poliza'!E248,0,F248*$B$8/12),F248*$B$8/12)</f>
      </c>
      <c r="H248" s="333">
        <f>$H$5*G248</f>
      </c>
      <c r="I248" s="333"/>
      <c r="J248" s="333">
        <f>(1+$M$5)^(D248/12)*(H248+IF(AND(F248=1,F249=0),$Q$4,0))</f>
      </c>
      <c r="K248" s="333">
        <f>(1+$M$5)^(D248/12)*(I248)</f>
      </c>
      <c r="L248" s="333">
        <f>K248+J248</f>
      </c>
      <c r="M248" s="170"/>
      <c r="N248" s="7"/>
      <c r="O248" s="1"/>
      <c r="P248" s="331">
        <f>D248</f>
      </c>
      <c r="Q248" s="169"/>
    </row>
    <row x14ac:dyDescent="0.25" r="249" customHeight="1" ht="18.75">
      <c r="A249" s="1"/>
      <c r="B249" s="7"/>
      <c r="C249" s="170"/>
      <c r="D249" s="331">
        <v>242</v>
      </c>
      <c r="E249" s="544">
        <f>+DATE(YEAR(E248),MONTH(E248)-1,DAY(E248))</f>
        <v>25569.041666666668</v>
      </c>
      <c r="F249" s="333">
        <f>IF(DATE(YEAR($B$6),MONTH($B$6)+1,DAY(1))=E249,1,IF(MONTH(E249)=1,F250*(1+$F$5),F250))</f>
      </c>
      <c r="G249" s="333">
        <f>IF('Simulador - 1º Pilar'!$E$99="Sí",IF('Aportaciones Poliza'!$B$13&lt;'Aportaciones Poliza'!E249,0,F249*$B$8/12),F249*$B$8/12)</f>
      </c>
      <c r="H249" s="333">
        <f>$H$5*G249</f>
      </c>
      <c r="I249" s="333"/>
      <c r="J249" s="333">
        <f>(1+$M$5)^(D249/12)*(H249+IF(AND(F249=1,F250=0),$Q$4,0))</f>
      </c>
      <c r="K249" s="333">
        <f>(1+$M$5)^(D249/12)*(I249)</f>
      </c>
      <c r="L249" s="333">
        <f>K249+J249</f>
      </c>
      <c r="M249" s="170"/>
      <c r="N249" s="7"/>
      <c r="O249" s="1"/>
      <c r="P249" s="331">
        <f>D249</f>
      </c>
      <c r="Q249" s="169"/>
    </row>
    <row x14ac:dyDescent="0.25" r="250" customHeight="1" ht="18.75">
      <c r="A250" s="1"/>
      <c r="B250" s="7"/>
      <c r="C250" s="170"/>
      <c r="D250" s="331">
        <v>243</v>
      </c>
      <c r="E250" s="544">
        <f>+DATE(YEAR(E249),MONTH(E249)-1,DAY(E249))</f>
        <v>25569.041666666668</v>
      </c>
      <c r="F250" s="333">
        <f>IF(DATE(YEAR($B$6),MONTH($B$6)+1,DAY(1))=E250,1,IF(MONTH(E250)=1,F251*(1+$F$5),F251))</f>
      </c>
      <c r="G250" s="333">
        <f>IF('Simulador - 1º Pilar'!$E$99="Sí",IF('Aportaciones Poliza'!$B$13&lt;'Aportaciones Poliza'!E250,0,F250*$B$8/12),F250*$B$8/12)</f>
      </c>
      <c r="H250" s="333">
        <f>$H$5*G250</f>
      </c>
      <c r="I250" s="333"/>
      <c r="J250" s="333">
        <f>(1+$M$5)^(D250/12)*(H250+IF(AND(F250=1,F251=0),$Q$4,0))</f>
      </c>
      <c r="K250" s="333">
        <f>(1+$M$5)^(D250/12)*(I250)</f>
      </c>
      <c r="L250" s="333">
        <f>K250+J250</f>
      </c>
      <c r="M250" s="170"/>
      <c r="N250" s="7"/>
      <c r="O250" s="1"/>
      <c r="P250" s="331">
        <f>D250</f>
      </c>
      <c r="Q250" s="169"/>
    </row>
    <row x14ac:dyDescent="0.25" r="251" customHeight="1" ht="18.75">
      <c r="A251" s="1"/>
      <c r="B251" s="7"/>
      <c r="C251" s="170"/>
      <c r="D251" s="331">
        <v>244</v>
      </c>
      <c r="E251" s="544">
        <f>+DATE(YEAR(E250),MONTH(E250)-1,DAY(E250))</f>
        <v>25569.041666666668</v>
      </c>
      <c r="F251" s="333">
        <f>IF(DATE(YEAR($B$6),MONTH($B$6)+1,DAY(1))=E251,1,IF(MONTH(E251)=1,F252*(1+$F$5),F252))</f>
      </c>
      <c r="G251" s="333">
        <f>IF('Simulador - 1º Pilar'!$E$99="Sí",IF('Aportaciones Poliza'!$B$13&lt;'Aportaciones Poliza'!E251,0,F251*$B$8/12),F251*$B$8/12)</f>
      </c>
      <c r="H251" s="333">
        <f>$H$5*G251</f>
      </c>
      <c r="I251" s="333"/>
      <c r="J251" s="333">
        <f>(1+$M$5)^(D251/12)*(H251+IF(AND(F251=1,F252=0),$Q$4,0))</f>
      </c>
      <c r="K251" s="333">
        <f>(1+$M$5)^(D251/12)*(I251)</f>
      </c>
      <c r="L251" s="333">
        <f>K251+J251</f>
      </c>
      <c r="M251" s="170"/>
      <c r="N251" s="7"/>
      <c r="O251" s="1"/>
      <c r="P251" s="331">
        <f>D251</f>
      </c>
      <c r="Q251" s="169"/>
    </row>
    <row x14ac:dyDescent="0.25" r="252" customHeight="1" ht="18.75">
      <c r="A252" s="1"/>
      <c r="B252" s="7"/>
      <c r="C252" s="170"/>
      <c r="D252" s="331">
        <v>245</v>
      </c>
      <c r="E252" s="544">
        <f>+DATE(YEAR(E251),MONTH(E251)-1,DAY(E251))</f>
        <v>25569.041666666668</v>
      </c>
      <c r="F252" s="333">
        <f>IF(DATE(YEAR($B$6),MONTH($B$6)+1,DAY(1))=E252,1,IF(MONTH(E252)=1,F253*(1+$F$5),F253))</f>
      </c>
      <c r="G252" s="333">
        <f>IF('Simulador - 1º Pilar'!$E$99="Sí",IF('Aportaciones Poliza'!$B$13&lt;'Aportaciones Poliza'!E252,0,F252*$B$8/12),F252*$B$8/12)</f>
      </c>
      <c r="H252" s="333">
        <f>$H$5*G252</f>
      </c>
      <c r="I252" s="333"/>
      <c r="J252" s="333">
        <f>(1+$M$5)^(D252/12)*(H252+IF(AND(F252=1,F253=0),$Q$4,0))</f>
      </c>
      <c r="K252" s="333">
        <f>(1+$M$5)^(D252/12)*(I252)</f>
      </c>
      <c r="L252" s="333">
        <f>K252+J252</f>
      </c>
      <c r="M252" s="170"/>
      <c r="N252" s="7"/>
      <c r="O252" s="1"/>
      <c r="P252" s="331">
        <f>D252</f>
      </c>
      <c r="Q252" s="169"/>
    </row>
    <row x14ac:dyDescent="0.25" r="253" customHeight="1" ht="18.75">
      <c r="A253" s="1"/>
      <c r="B253" s="7"/>
      <c r="C253" s="170"/>
      <c r="D253" s="331">
        <v>246</v>
      </c>
      <c r="E253" s="544">
        <f>+DATE(YEAR(E252),MONTH(E252)-1,DAY(E252))</f>
        <v>25569.041666666668</v>
      </c>
      <c r="F253" s="333">
        <f>IF(DATE(YEAR($B$6),MONTH($B$6)+1,DAY(1))=E253,1,IF(MONTH(E253)=1,F254*(1+$F$5),F254))</f>
      </c>
      <c r="G253" s="333">
        <f>IF('Simulador - 1º Pilar'!$E$99="Sí",IF('Aportaciones Poliza'!$B$13&lt;'Aportaciones Poliza'!E253,0,F253*$B$8/12),F253*$B$8/12)</f>
      </c>
      <c r="H253" s="333">
        <f>$H$5*G253</f>
      </c>
      <c r="I253" s="333"/>
      <c r="J253" s="333">
        <f>(1+$M$5)^(D253/12)*(H253+IF(AND(F253=1,F254=0),$Q$4,0))</f>
      </c>
      <c r="K253" s="333">
        <f>(1+$M$5)^(D253/12)*(I253)</f>
      </c>
      <c r="L253" s="333">
        <f>K253+J253</f>
      </c>
      <c r="M253" s="170"/>
      <c r="N253" s="7"/>
      <c r="O253" s="1"/>
      <c r="P253" s="331">
        <f>D253</f>
      </c>
      <c r="Q253" s="169"/>
    </row>
    <row x14ac:dyDescent="0.25" r="254" customHeight="1" ht="18.75">
      <c r="A254" s="1"/>
      <c r="B254" s="7"/>
      <c r="C254" s="170"/>
      <c r="D254" s="331">
        <v>247</v>
      </c>
      <c r="E254" s="544">
        <f>+DATE(YEAR(E253),MONTH(E253)-1,DAY(E253))</f>
        <v>25569.041666666668</v>
      </c>
      <c r="F254" s="333">
        <f>IF(DATE(YEAR($B$6),MONTH($B$6)+1,DAY(1))=E254,1,IF(MONTH(E254)=1,F255*(1+$F$5),F255))</f>
      </c>
      <c r="G254" s="333">
        <f>IF('Simulador - 1º Pilar'!$E$99="Sí",IF('Aportaciones Poliza'!$B$13&lt;'Aportaciones Poliza'!E254,0,F254*$B$8/12),F254*$B$8/12)</f>
      </c>
      <c r="H254" s="333">
        <f>$H$5*G254</f>
      </c>
      <c r="I254" s="333"/>
      <c r="J254" s="333">
        <f>(1+$M$5)^(D254/12)*(H254+IF(AND(F254=1,F255=0),$Q$4,0))</f>
      </c>
      <c r="K254" s="333">
        <f>(1+$M$5)^(D254/12)*(I254)</f>
      </c>
      <c r="L254" s="333">
        <f>K254+J254</f>
      </c>
      <c r="M254" s="170"/>
      <c r="N254" s="7"/>
      <c r="O254" s="1"/>
      <c r="P254" s="331">
        <f>D254</f>
      </c>
      <c r="Q254" s="169"/>
    </row>
    <row x14ac:dyDescent="0.25" r="255" customHeight="1" ht="18.75">
      <c r="A255" s="1"/>
      <c r="B255" s="7"/>
      <c r="C255" s="170"/>
      <c r="D255" s="331">
        <v>248</v>
      </c>
      <c r="E255" s="544">
        <f>+DATE(YEAR(E254),MONTH(E254)-1,DAY(E254))</f>
        <v>25569.041666666668</v>
      </c>
      <c r="F255" s="333">
        <f>IF(DATE(YEAR($B$6),MONTH($B$6)+1,DAY(1))=E255,1,IF(MONTH(E255)=1,F256*(1+$F$5),F256))</f>
      </c>
      <c r="G255" s="333">
        <f>IF('Simulador - 1º Pilar'!$E$99="Sí",IF('Aportaciones Poliza'!$B$13&lt;'Aportaciones Poliza'!E255,0,F255*$B$8/12),F255*$B$8/12)</f>
      </c>
      <c r="H255" s="333">
        <f>$H$5*G255</f>
      </c>
      <c r="I255" s="333"/>
      <c r="J255" s="333">
        <f>(1+$M$5)^(D255/12)*(H255+IF(AND(F255=1,F256=0),$Q$4,0))</f>
      </c>
      <c r="K255" s="333">
        <f>(1+$M$5)^(D255/12)*(I255)</f>
      </c>
      <c r="L255" s="333">
        <f>K255+J255</f>
      </c>
      <c r="M255" s="170"/>
      <c r="N255" s="7"/>
      <c r="O255" s="1"/>
      <c r="P255" s="331">
        <f>D255</f>
      </c>
      <c r="Q255" s="169"/>
    </row>
    <row x14ac:dyDescent="0.25" r="256" customHeight="1" ht="18.75">
      <c r="A256" s="1"/>
      <c r="B256" s="7"/>
      <c r="C256" s="170"/>
      <c r="D256" s="331">
        <v>249</v>
      </c>
      <c r="E256" s="544">
        <f>+DATE(YEAR(E255),MONTH(E255)-1,DAY(E255))</f>
        <v>25569.041666666668</v>
      </c>
      <c r="F256" s="333">
        <f>IF(DATE(YEAR($B$6),MONTH($B$6)+1,DAY(1))=E256,1,IF(MONTH(E256)=1,F257*(1+$F$5),F257))</f>
      </c>
      <c r="G256" s="333">
        <f>IF('Simulador - 1º Pilar'!$E$99="Sí",IF('Aportaciones Poliza'!$B$13&lt;'Aportaciones Poliza'!E256,0,F256*$B$8/12),F256*$B$8/12)</f>
      </c>
      <c r="H256" s="333">
        <f>$H$5*G256</f>
      </c>
      <c r="I256" s="333"/>
      <c r="J256" s="333">
        <f>(1+$M$5)^(D256/12)*(H256+IF(AND(F256=1,F257=0),$Q$4,0))</f>
      </c>
      <c r="K256" s="333">
        <f>(1+$M$5)^(D256/12)*(I256)</f>
      </c>
      <c r="L256" s="333">
        <f>K256+J256</f>
      </c>
      <c r="M256" s="170"/>
      <c r="N256" s="7"/>
      <c r="O256" s="1"/>
      <c r="P256" s="331">
        <f>D256</f>
      </c>
      <c r="Q256" s="169"/>
    </row>
    <row x14ac:dyDescent="0.25" r="257" customHeight="1" ht="18.75">
      <c r="A257" s="1"/>
      <c r="B257" s="7"/>
      <c r="C257" s="170"/>
      <c r="D257" s="331">
        <v>250</v>
      </c>
      <c r="E257" s="544">
        <f>+DATE(YEAR(E256),MONTH(E256)-1,DAY(E256))</f>
        <v>25569.041666666668</v>
      </c>
      <c r="F257" s="333">
        <f>IF(DATE(YEAR($B$6),MONTH($B$6)+1,DAY(1))=E257,1,IF(MONTH(E257)=1,F258*(1+$F$5),F258))</f>
      </c>
      <c r="G257" s="333">
        <f>IF('Simulador - 1º Pilar'!$E$99="Sí",IF('Aportaciones Poliza'!$B$13&lt;'Aportaciones Poliza'!E257,0,F257*$B$8/12),F257*$B$8/12)</f>
      </c>
      <c r="H257" s="333">
        <f>$H$5*G257</f>
      </c>
      <c r="I257" s="333"/>
      <c r="J257" s="333">
        <f>(1+$M$5)^(D257/12)*(H257+IF(AND(F257=1,F258=0),$Q$4,0))</f>
      </c>
      <c r="K257" s="333">
        <f>(1+$M$5)^(D257/12)*(I257)</f>
      </c>
      <c r="L257" s="333">
        <f>K257+J257</f>
      </c>
      <c r="M257" s="170"/>
      <c r="N257" s="7"/>
      <c r="O257" s="1"/>
      <c r="P257" s="331">
        <f>D257</f>
      </c>
      <c r="Q257" s="169"/>
    </row>
    <row x14ac:dyDescent="0.25" r="258" customHeight="1" ht="18.75">
      <c r="A258" s="1"/>
      <c r="B258" s="7"/>
      <c r="C258" s="170"/>
      <c r="D258" s="331">
        <v>251</v>
      </c>
      <c r="E258" s="544">
        <f>+DATE(YEAR(E257),MONTH(E257)-1,DAY(E257))</f>
        <v>25569.041666666668</v>
      </c>
      <c r="F258" s="333">
        <f>IF(DATE(YEAR($B$6),MONTH($B$6)+1,DAY(1))=E258,1,IF(MONTH(E258)=1,F259*(1+$F$5),F259))</f>
      </c>
      <c r="G258" s="333">
        <f>IF('Simulador - 1º Pilar'!$E$99="Sí",IF('Aportaciones Poliza'!$B$13&lt;'Aportaciones Poliza'!E258,0,F258*$B$8/12),F258*$B$8/12)</f>
      </c>
      <c r="H258" s="333">
        <f>$H$5*G258</f>
      </c>
      <c r="I258" s="333"/>
      <c r="J258" s="333">
        <f>(1+$M$5)^(D258/12)*(H258+IF(AND(F258=1,F259=0),$Q$4,0))</f>
      </c>
      <c r="K258" s="333">
        <f>(1+$M$5)^(D258/12)*(I258)</f>
      </c>
      <c r="L258" s="333">
        <f>K258+J258</f>
      </c>
      <c r="M258" s="170"/>
      <c r="N258" s="7"/>
      <c r="O258" s="1"/>
      <c r="P258" s="331">
        <f>D258</f>
      </c>
      <c r="Q258" s="169"/>
    </row>
    <row x14ac:dyDescent="0.25" r="259" customHeight="1" ht="18.75">
      <c r="A259" s="1"/>
      <c r="B259" s="7"/>
      <c r="C259" s="170"/>
      <c r="D259" s="331">
        <v>252</v>
      </c>
      <c r="E259" s="544">
        <f>+DATE(YEAR(E258),MONTH(E258)-1,DAY(E258))</f>
        <v>25569.041666666668</v>
      </c>
      <c r="F259" s="333">
        <f>IF(DATE(YEAR($B$6),MONTH($B$6)+1,DAY(1))=E259,1,IF(MONTH(E259)=1,F260*(1+$F$5),F260))</f>
      </c>
      <c r="G259" s="333">
        <f>IF('Simulador - 1º Pilar'!$E$99="Sí",IF('Aportaciones Poliza'!$B$13&lt;'Aportaciones Poliza'!E259,0,F259*$B$8/12),F259*$B$8/12)</f>
      </c>
      <c r="H259" s="333">
        <f>$H$5*G259</f>
      </c>
      <c r="I259" s="333"/>
      <c r="J259" s="333">
        <f>(1+$M$5)^(D259/12)*(H259+IF(AND(F259=1,F260=0),$Q$4,0))</f>
      </c>
      <c r="K259" s="333">
        <f>(1+$M$5)^(D259/12)*(I259)</f>
      </c>
      <c r="L259" s="333">
        <f>K259+J259</f>
      </c>
      <c r="M259" s="170"/>
      <c r="N259" s="7"/>
      <c r="O259" s="1"/>
      <c r="P259" s="331">
        <f>D259</f>
      </c>
      <c r="Q259" s="169"/>
    </row>
    <row x14ac:dyDescent="0.25" r="260" customHeight="1" ht="18.75">
      <c r="A260" s="1"/>
      <c r="B260" s="7"/>
      <c r="C260" s="170"/>
      <c r="D260" s="331">
        <v>253</v>
      </c>
      <c r="E260" s="544">
        <f>+DATE(YEAR(E259),MONTH(E259)-1,DAY(E259))</f>
        <v>25569.041666666668</v>
      </c>
      <c r="F260" s="333">
        <f>IF(DATE(YEAR($B$6),MONTH($B$6)+1,DAY(1))=E260,1,IF(MONTH(E260)=1,F261*(1+$F$5),F261))</f>
      </c>
      <c r="G260" s="333">
        <f>IF('Simulador - 1º Pilar'!$E$99="Sí",IF('Aportaciones Poliza'!$B$13&lt;'Aportaciones Poliza'!E260,0,F260*$B$8/12),F260*$B$8/12)</f>
      </c>
      <c r="H260" s="333">
        <f>$H$5*G260</f>
      </c>
      <c r="I260" s="333"/>
      <c r="J260" s="333">
        <f>(1+$M$5)^(D260/12)*(H260+IF(AND(F260=1,F261=0),$Q$4,0))</f>
      </c>
      <c r="K260" s="333">
        <f>(1+$M$5)^(D260/12)*(I260)</f>
      </c>
      <c r="L260" s="333">
        <f>K260+J260</f>
      </c>
      <c r="M260" s="170"/>
      <c r="N260" s="7"/>
      <c r="O260" s="1"/>
      <c r="P260" s="331">
        <f>D260</f>
      </c>
      <c r="Q260" s="169"/>
    </row>
    <row x14ac:dyDescent="0.25" r="261" customHeight="1" ht="18.75">
      <c r="A261" s="1"/>
      <c r="B261" s="7"/>
      <c r="C261" s="170"/>
      <c r="D261" s="331">
        <v>254</v>
      </c>
      <c r="E261" s="544">
        <f>+DATE(YEAR(E260),MONTH(E260)-1,DAY(E260))</f>
        <v>25569.041666666668</v>
      </c>
      <c r="F261" s="333">
        <f>IF(DATE(YEAR($B$6),MONTH($B$6)+1,DAY(1))=E261,1,IF(MONTH(E261)=1,F262*(1+$F$5),F262))</f>
      </c>
      <c r="G261" s="333">
        <f>IF('Simulador - 1º Pilar'!$E$99="Sí",IF('Aportaciones Poliza'!$B$13&lt;'Aportaciones Poliza'!E261,0,F261*$B$8/12),F261*$B$8/12)</f>
      </c>
      <c r="H261" s="333">
        <f>$H$5*G261</f>
      </c>
      <c r="I261" s="333"/>
      <c r="J261" s="333">
        <f>(1+$M$5)^(D261/12)*(H261+IF(AND(F261=1,F262=0),$Q$4,0))</f>
      </c>
      <c r="K261" s="333">
        <f>(1+$M$5)^(D261/12)*(I261)</f>
      </c>
      <c r="L261" s="333">
        <f>K261+J261</f>
      </c>
      <c r="M261" s="170"/>
      <c r="N261" s="7"/>
      <c r="O261" s="1"/>
      <c r="P261" s="331">
        <f>D261</f>
      </c>
      <c r="Q261" s="169"/>
    </row>
    <row x14ac:dyDescent="0.25" r="262" customHeight="1" ht="18.75">
      <c r="A262" s="1"/>
      <c r="B262" s="7"/>
      <c r="C262" s="170"/>
      <c r="D262" s="331">
        <v>255</v>
      </c>
      <c r="E262" s="544">
        <f>+DATE(YEAR(E261),MONTH(E261)-1,DAY(E261))</f>
        <v>25569.041666666668</v>
      </c>
      <c r="F262" s="333">
        <f>IF(DATE(YEAR($B$6),MONTH($B$6)+1,DAY(1))=E262,1,IF(MONTH(E262)=1,F263*(1+$F$5),F263))</f>
      </c>
      <c r="G262" s="333">
        <f>IF('Simulador - 1º Pilar'!$E$99="Sí",IF('Aportaciones Poliza'!$B$13&lt;'Aportaciones Poliza'!E262,0,F262*$B$8/12),F262*$B$8/12)</f>
      </c>
      <c r="H262" s="333">
        <f>$H$5*G262</f>
      </c>
      <c r="I262" s="333"/>
      <c r="J262" s="333">
        <f>(1+$M$5)^(D262/12)*(H262+IF(AND(F262=1,F263=0),$Q$4,0))</f>
      </c>
      <c r="K262" s="333">
        <f>(1+$M$5)^(D262/12)*(I262)</f>
      </c>
      <c r="L262" s="333">
        <f>K262+J262</f>
      </c>
      <c r="M262" s="170"/>
      <c r="N262" s="7"/>
      <c r="O262" s="1"/>
      <c r="P262" s="331">
        <f>D262</f>
      </c>
      <c r="Q262" s="169"/>
    </row>
    <row x14ac:dyDescent="0.25" r="263" customHeight="1" ht="18.75">
      <c r="A263" s="1"/>
      <c r="B263" s="7"/>
      <c r="C263" s="170"/>
      <c r="D263" s="331">
        <v>256</v>
      </c>
      <c r="E263" s="544">
        <f>+DATE(YEAR(E262),MONTH(E262)-1,DAY(E262))</f>
        <v>25569.041666666668</v>
      </c>
      <c r="F263" s="333">
        <f>IF(DATE(YEAR($B$6),MONTH($B$6)+1,DAY(1))=E263,1,IF(MONTH(E263)=1,F264*(1+$F$5),F264))</f>
      </c>
      <c r="G263" s="333">
        <f>IF('Simulador - 1º Pilar'!$E$99="Sí",IF('Aportaciones Poliza'!$B$13&lt;'Aportaciones Poliza'!E263,0,F263*$B$8/12),F263*$B$8/12)</f>
      </c>
      <c r="H263" s="333">
        <f>$H$5*G263</f>
      </c>
      <c r="I263" s="333"/>
      <c r="J263" s="333">
        <f>(1+$M$5)^(D263/12)*(H263+IF(AND(F263=1,F264=0),$Q$4,0))</f>
      </c>
      <c r="K263" s="333">
        <f>(1+$M$5)^(D263/12)*(I263)</f>
      </c>
      <c r="L263" s="333">
        <f>K263+J263</f>
      </c>
      <c r="M263" s="170"/>
      <c r="N263" s="7"/>
      <c r="O263" s="1"/>
      <c r="P263" s="331">
        <f>D263</f>
      </c>
      <c r="Q263" s="169"/>
    </row>
    <row x14ac:dyDescent="0.25" r="264" customHeight="1" ht="18.75">
      <c r="A264" s="1"/>
      <c r="B264" s="7"/>
      <c r="C264" s="170"/>
      <c r="D264" s="331">
        <v>257</v>
      </c>
      <c r="E264" s="544">
        <f>+DATE(YEAR(E263),MONTH(E263)-1,DAY(E263))</f>
        <v>25569.041666666668</v>
      </c>
      <c r="F264" s="333">
        <f>IF(DATE(YEAR($B$6),MONTH($B$6)+1,DAY(1))=E264,1,IF(MONTH(E264)=1,F265*(1+$F$5),F265))</f>
      </c>
      <c r="G264" s="333">
        <f>IF('Simulador - 1º Pilar'!$E$99="Sí",IF('Aportaciones Poliza'!$B$13&lt;'Aportaciones Poliza'!E264,0,F264*$B$8/12),F264*$B$8/12)</f>
      </c>
      <c r="H264" s="333">
        <f>$H$5*G264</f>
      </c>
      <c r="I264" s="333"/>
      <c r="J264" s="333">
        <f>(1+$M$5)^(D264/12)*(H264+IF(AND(F264=1,F265=0),$Q$4,0))</f>
      </c>
      <c r="K264" s="333">
        <f>(1+$M$5)^(D264/12)*(I264)</f>
      </c>
      <c r="L264" s="333">
        <f>K264+J264</f>
      </c>
      <c r="M264" s="170"/>
      <c r="N264" s="7"/>
      <c r="O264" s="1"/>
      <c r="P264" s="331">
        <f>D264</f>
      </c>
      <c r="Q264" s="169"/>
    </row>
    <row x14ac:dyDescent="0.25" r="265" customHeight="1" ht="18.75">
      <c r="A265" s="1"/>
      <c r="B265" s="7"/>
      <c r="C265" s="170"/>
      <c r="D265" s="331">
        <v>258</v>
      </c>
      <c r="E265" s="544">
        <f>+DATE(YEAR(E264),MONTH(E264)-1,DAY(E264))</f>
        <v>25569.041666666668</v>
      </c>
      <c r="F265" s="333">
        <f>IF(DATE(YEAR($B$6),MONTH($B$6)+1,DAY(1))=E265,1,IF(MONTH(E265)=1,F266*(1+$F$5),F266))</f>
      </c>
      <c r="G265" s="333">
        <f>IF('Simulador - 1º Pilar'!$E$99="Sí",IF('Aportaciones Poliza'!$B$13&lt;'Aportaciones Poliza'!E265,0,F265*$B$8/12),F265*$B$8/12)</f>
      </c>
      <c r="H265" s="333">
        <f>$H$5*G265</f>
      </c>
      <c r="I265" s="333"/>
      <c r="J265" s="333">
        <f>(1+$M$5)^(D265/12)*(H265+IF(AND(F265=1,F266=0),$Q$4,0))</f>
      </c>
      <c r="K265" s="333">
        <f>(1+$M$5)^(D265/12)*(I265)</f>
      </c>
      <c r="L265" s="333">
        <f>K265+J265</f>
      </c>
      <c r="M265" s="170"/>
      <c r="N265" s="7"/>
      <c r="O265" s="1"/>
      <c r="P265" s="331">
        <f>D265</f>
      </c>
      <c r="Q265" s="169"/>
    </row>
    <row x14ac:dyDescent="0.25" r="266" customHeight="1" ht="18.75">
      <c r="A266" s="1"/>
      <c r="B266" s="7"/>
      <c r="C266" s="170"/>
      <c r="D266" s="331">
        <v>259</v>
      </c>
      <c r="E266" s="544">
        <f>+DATE(YEAR(E265),MONTH(E265)-1,DAY(E265))</f>
        <v>25569.041666666668</v>
      </c>
      <c r="F266" s="333">
        <f>IF(DATE(YEAR($B$6),MONTH($B$6)+1,DAY(1))=E266,1,IF(MONTH(E266)=1,F267*(1+$F$5),F267))</f>
      </c>
      <c r="G266" s="333">
        <f>IF('Simulador - 1º Pilar'!$E$99="Sí",IF('Aportaciones Poliza'!$B$13&lt;'Aportaciones Poliza'!E266,0,F266*$B$8/12),F266*$B$8/12)</f>
      </c>
      <c r="H266" s="333">
        <f>$H$5*G266</f>
      </c>
      <c r="I266" s="333"/>
      <c r="J266" s="333">
        <f>(1+$M$5)^(D266/12)*(H266+IF(AND(F266=1,F267=0),$Q$4,0))</f>
      </c>
      <c r="K266" s="333">
        <f>(1+$M$5)^(D266/12)*(I266)</f>
      </c>
      <c r="L266" s="333">
        <f>K266+J266</f>
      </c>
      <c r="M266" s="170"/>
      <c r="N266" s="7"/>
      <c r="O266" s="1"/>
      <c r="P266" s="331">
        <f>D266</f>
      </c>
      <c r="Q266" s="169"/>
    </row>
    <row x14ac:dyDescent="0.25" r="267" customHeight="1" ht="18.75">
      <c r="A267" s="1"/>
      <c r="B267" s="7"/>
      <c r="C267" s="170"/>
      <c r="D267" s="331">
        <v>260</v>
      </c>
      <c r="E267" s="544">
        <f>+DATE(YEAR(E266),MONTH(E266)-1,DAY(E266))</f>
        <v>25569.041666666668</v>
      </c>
      <c r="F267" s="333">
        <f>IF(DATE(YEAR($B$6),MONTH($B$6)+1,DAY(1))=E267,1,IF(MONTH(E267)=1,F268*(1+$F$5),F268))</f>
      </c>
      <c r="G267" s="333">
        <f>IF('Simulador - 1º Pilar'!$E$99="Sí",IF('Aportaciones Poliza'!$B$13&lt;'Aportaciones Poliza'!E267,0,F267*$B$8/12),F267*$B$8/12)</f>
      </c>
      <c r="H267" s="333">
        <f>$H$5*G267</f>
      </c>
      <c r="I267" s="333"/>
      <c r="J267" s="333">
        <f>(1+$M$5)^(D267/12)*(H267+IF(AND(F267=1,F268=0),$Q$4,0))</f>
      </c>
      <c r="K267" s="333">
        <f>(1+$M$5)^(D267/12)*(I267)</f>
      </c>
      <c r="L267" s="333">
        <f>K267+J267</f>
      </c>
      <c r="M267" s="170"/>
      <c r="N267" s="7"/>
      <c r="O267" s="1"/>
      <c r="P267" s="331">
        <f>D267</f>
      </c>
      <c r="Q267" s="169"/>
    </row>
    <row x14ac:dyDescent="0.25" r="268" customHeight="1" ht="18.75">
      <c r="A268" s="1"/>
      <c r="B268" s="7"/>
      <c r="C268" s="170"/>
      <c r="D268" s="331">
        <v>261</v>
      </c>
      <c r="E268" s="544">
        <f>+DATE(YEAR(E267),MONTH(E267)-1,DAY(E267))</f>
        <v>25569.041666666668</v>
      </c>
      <c r="F268" s="333">
        <f>IF(DATE(YEAR($B$6),MONTH($B$6)+1,DAY(1))=E268,1,IF(MONTH(E268)=1,F269*(1+$F$5),F269))</f>
      </c>
      <c r="G268" s="333">
        <f>IF('Simulador - 1º Pilar'!$E$99="Sí",IF('Aportaciones Poliza'!$B$13&lt;'Aportaciones Poliza'!E268,0,F268*$B$8/12),F268*$B$8/12)</f>
      </c>
      <c r="H268" s="333">
        <f>$H$5*G268</f>
      </c>
      <c r="I268" s="333"/>
      <c r="J268" s="333">
        <f>(1+$M$5)^(D268/12)*(H268+IF(AND(F268=1,F269=0),$Q$4,0))</f>
      </c>
      <c r="K268" s="333">
        <f>(1+$M$5)^(D268/12)*(I268)</f>
      </c>
      <c r="L268" s="333">
        <f>K268+J268</f>
      </c>
      <c r="M268" s="170"/>
      <c r="N268" s="7"/>
      <c r="O268" s="1"/>
      <c r="P268" s="331">
        <f>D268</f>
      </c>
      <c r="Q268" s="169"/>
    </row>
    <row x14ac:dyDescent="0.25" r="269" customHeight="1" ht="18.75">
      <c r="A269" s="1"/>
      <c r="B269" s="7"/>
      <c r="C269" s="170"/>
      <c r="D269" s="331">
        <v>262</v>
      </c>
      <c r="E269" s="544">
        <f>+DATE(YEAR(E268),MONTH(E268)-1,DAY(E268))</f>
        <v>25569.041666666668</v>
      </c>
      <c r="F269" s="333">
        <f>IF(DATE(YEAR($B$6),MONTH($B$6)+1,DAY(1))=E269,1,IF(MONTH(E269)=1,F270*(1+$F$5),F270))</f>
      </c>
      <c r="G269" s="333">
        <f>IF('Simulador - 1º Pilar'!$E$99="Sí",IF('Aportaciones Poliza'!$B$13&lt;'Aportaciones Poliza'!E269,0,F269*$B$8/12),F269*$B$8/12)</f>
      </c>
      <c r="H269" s="333">
        <f>$H$5*G269</f>
      </c>
      <c r="I269" s="333"/>
      <c r="J269" s="333">
        <f>(1+$M$5)^(D269/12)*(H269+IF(AND(F269=1,F270=0),$Q$4,0))</f>
      </c>
      <c r="K269" s="333">
        <f>(1+$M$5)^(D269/12)*(I269)</f>
      </c>
      <c r="L269" s="333">
        <f>K269+J269</f>
      </c>
      <c r="M269" s="170"/>
      <c r="N269" s="7"/>
      <c r="O269" s="1"/>
      <c r="P269" s="331">
        <f>D269</f>
      </c>
      <c r="Q269" s="169"/>
    </row>
    <row x14ac:dyDescent="0.25" r="270" customHeight="1" ht="18.75">
      <c r="A270" s="1"/>
      <c r="B270" s="7"/>
      <c r="C270" s="170"/>
      <c r="D270" s="331">
        <v>263</v>
      </c>
      <c r="E270" s="544">
        <f>+DATE(YEAR(E269),MONTH(E269)-1,DAY(E269))</f>
        <v>25569.041666666668</v>
      </c>
      <c r="F270" s="333">
        <f>IF(DATE(YEAR($B$6),MONTH($B$6)+1,DAY(1))=E270,1,IF(MONTH(E270)=1,F271*(1+$F$5),F271))</f>
      </c>
      <c r="G270" s="333">
        <f>IF('Simulador - 1º Pilar'!$E$99="Sí",IF('Aportaciones Poliza'!$B$13&lt;'Aportaciones Poliza'!E270,0,F270*$B$8/12),F270*$B$8/12)</f>
      </c>
      <c r="H270" s="333">
        <f>$H$5*G270</f>
      </c>
      <c r="I270" s="333"/>
      <c r="J270" s="333">
        <f>(1+$M$5)^(D270/12)*(H270+IF(AND(F270=1,F271=0),$Q$4,0))</f>
      </c>
      <c r="K270" s="333">
        <f>(1+$M$5)^(D270/12)*(I270)</f>
      </c>
      <c r="L270" s="333">
        <f>K270+J270</f>
      </c>
      <c r="M270" s="170"/>
      <c r="N270" s="7"/>
      <c r="O270" s="1"/>
      <c r="P270" s="331">
        <f>D270</f>
      </c>
      <c r="Q270" s="169"/>
    </row>
    <row x14ac:dyDescent="0.25" r="271" customHeight="1" ht="18.75">
      <c r="A271" s="1"/>
      <c r="B271" s="7"/>
      <c r="C271" s="170"/>
      <c r="D271" s="331">
        <v>264</v>
      </c>
      <c r="E271" s="544">
        <f>+DATE(YEAR(E270),MONTH(E270)-1,DAY(E270))</f>
        <v>25569.041666666668</v>
      </c>
      <c r="F271" s="333">
        <f>IF(DATE(YEAR($B$6),MONTH($B$6)+1,DAY(1))=E271,1,IF(MONTH(E271)=1,F272*(1+$F$5),F272))</f>
      </c>
      <c r="G271" s="333">
        <f>IF('Simulador - 1º Pilar'!$E$99="Sí",IF('Aportaciones Poliza'!$B$13&lt;'Aportaciones Poliza'!E271,0,F271*$B$8/12),F271*$B$8/12)</f>
      </c>
      <c r="H271" s="333">
        <f>$H$5*G271</f>
      </c>
      <c r="I271" s="333"/>
      <c r="J271" s="333">
        <f>(1+$M$5)^(D271/12)*(H271+IF(AND(F271=1,F272=0),$Q$4,0))</f>
      </c>
      <c r="K271" s="333">
        <f>(1+$M$5)^(D271/12)*(I271)</f>
      </c>
      <c r="L271" s="333">
        <f>K271+J271</f>
      </c>
      <c r="M271" s="170"/>
      <c r="N271" s="7"/>
      <c r="O271" s="1"/>
      <c r="P271" s="331">
        <f>D271</f>
      </c>
      <c r="Q271" s="169"/>
    </row>
    <row x14ac:dyDescent="0.25" r="272" customHeight="1" ht="18.75">
      <c r="A272" s="1"/>
      <c r="B272" s="7"/>
      <c r="C272" s="170"/>
      <c r="D272" s="331">
        <v>265</v>
      </c>
      <c r="E272" s="544">
        <f>+DATE(YEAR(E271),MONTH(E271)-1,DAY(E271))</f>
        <v>25569.041666666668</v>
      </c>
      <c r="F272" s="333">
        <f>IF(DATE(YEAR($B$6),MONTH($B$6)+1,DAY(1))=E272,1,IF(MONTH(E272)=1,F273*(1+$F$5),F273))</f>
      </c>
      <c r="G272" s="333">
        <f>IF('Simulador - 1º Pilar'!$E$99="Sí",IF('Aportaciones Poliza'!$B$13&lt;'Aportaciones Poliza'!E272,0,F272*$B$8/12),F272*$B$8/12)</f>
      </c>
      <c r="H272" s="333">
        <f>$H$5*G272</f>
      </c>
      <c r="I272" s="333"/>
      <c r="J272" s="333">
        <f>(1+$M$5)^(D272/12)*(H272+IF(AND(F272=1,F273=0),$Q$4,0))</f>
      </c>
      <c r="K272" s="333">
        <f>(1+$M$5)^(D272/12)*(I272)</f>
      </c>
      <c r="L272" s="333">
        <f>K272+J272</f>
      </c>
      <c r="M272" s="170"/>
      <c r="N272" s="7"/>
      <c r="O272" s="1"/>
      <c r="P272" s="331">
        <f>D272</f>
      </c>
      <c r="Q272" s="169"/>
    </row>
    <row x14ac:dyDescent="0.25" r="273" customHeight="1" ht="18.75">
      <c r="A273" s="1"/>
      <c r="B273" s="7"/>
      <c r="C273" s="170"/>
      <c r="D273" s="331">
        <v>266</v>
      </c>
      <c r="E273" s="544">
        <f>+DATE(YEAR(E272),MONTH(E272)-1,DAY(E272))</f>
        <v>25569.041666666668</v>
      </c>
      <c r="F273" s="333">
        <f>IF(DATE(YEAR($B$6),MONTH($B$6)+1,DAY(1))=E273,1,IF(MONTH(E273)=1,F274*(1+$F$5),F274))</f>
      </c>
      <c r="G273" s="333">
        <f>IF('Simulador - 1º Pilar'!$E$99="Sí",IF('Aportaciones Poliza'!$B$13&lt;'Aportaciones Poliza'!E273,0,F273*$B$8/12),F273*$B$8/12)</f>
      </c>
      <c r="H273" s="333">
        <f>$H$5*G273</f>
      </c>
      <c r="I273" s="333"/>
      <c r="J273" s="333">
        <f>(1+$M$5)^(D273/12)*(H273+IF(AND(F273=1,F274=0),$Q$4,0))</f>
      </c>
      <c r="K273" s="333">
        <f>(1+$M$5)^(D273/12)*(I273)</f>
      </c>
      <c r="L273" s="333">
        <f>K273+J273</f>
      </c>
      <c r="M273" s="170"/>
      <c r="N273" s="7"/>
      <c r="O273" s="1"/>
      <c r="P273" s="331">
        <f>D273</f>
      </c>
      <c r="Q273" s="169"/>
    </row>
    <row x14ac:dyDescent="0.25" r="274" customHeight="1" ht="18.75">
      <c r="A274" s="1"/>
      <c r="B274" s="7"/>
      <c r="C274" s="170"/>
      <c r="D274" s="331">
        <v>267</v>
      </c>
      <c r="E274" s="544">
        <f>+DATE(YEAR(E273),MONTH(E273)-1,DAY(E273))</f>
        <v>25569.041666666668</v>
      </c>
      <c r="F274" s="333">
        <f>IF(DATE(YEAR($B$6),MONTH($B$6)+1,DAY(1))=E274,1,IF(MONTH(E274)=1,F275*(1+$F$5),F275))</f>
      </c>
      <c r="G274" s="333">
        <f>IF('Simulador - 1º Pilar'!$E$99="Sí",IF('Aportaciones Poliza'!$B$13&lt;'Aportaciones Poliza'!E274,0,F274*$B$8/12),F274*$B$8/12)</f>
      </c>
      <c r="H274" s="333">
        <f>$H$5*G274</f>
      </c>
      <c r="I274" s="333"/>
      <c r="J274" s="333">
        <f>(1+$M$5)^(D274/12)*(H274+IF(AND(F274=1,F275=0),$Q$4,0))</f>
      </c>
      <c r="K274" s="333">
        <f>(1+$M$5)^(D274/12)*(I274)</f>
      </c>
      <c r="L274" s="333">
        <f>K274+J274</f>
      </c>
      <c r="M274" s="170"/>
      <c r="N274" s="7"/>
      <c r="O274" s="1"/>
      <c r="P274" s="331">
        <f>D274</f>
      </c>
      <c r="Q274" s="169"/>
    </row>
    <row x14ac:dyDescent="0.25" r="275" customHeight="1" ht="18.75">
      <c r="A275" s="1"/>
      <c r="B275" s="7"/>
      <c r="C275" s="170"/>
      <c r="D275" s="331">
        <v>268</v>
      </c>
      <c r="E275" s="544">
        <f>+DATE(YEAR(E274),MONTH(E274)-1,DAY(E274))</f>
        <v>25569.041666666668</v>
      </c>
      <c r="F275" s="333">
        <f>IF(DATE(YEAR($B$6),MONTH($B$6)+1,DAY(1))=E275,1,IF(MONTH(E275)=1,F276*(1+$F$5),F276))</f>
      </c>
      <c r="G275" s="333">
        <f>IF('Simulador - 1º Pilar'!$E$99="Sí",IF('Aportaciones Poliza'!$B$13&lt;'Aportaciones Poliza'!E275,0,F275*$B$8/12),F275*$B$8/12)</f>
      </c>
      <c r="H275" s="333">
        <f>$H$5*G275</f>
      </c>
      <c r="I275" s="333"/>
      <c r="J275" s="333">
        <f>(1+$M$5)^(D275/12)*(H275+IF(AND(F275=1,F276=0),$Q$4,0))</f>
      </c>
      <c r="K275" s="333">
        <f>(1+$M$5)^(D275/12)*(I275)</f>
      </c>
      <c r="L275" s="333">
        <f>K275+J275</f>
      </c>
      <c r="M275" s="170"/>
      <c r="N275" s="7"/>
      <c r="O275" s="1"/>
      <c r="P275" s="331">
        <f>D275</f>
      </c>
      <c r="Q275" s="169"/>
    </row>
    <row x14ac:dyDescent="0.25" r="276" customHeight="1" ht="18.75">
      <c r="A276" s="1"/>
      <c r="B276" s="7"/>
      <c r="C276" s="170"/>
      <c r="D276" s="331">
        <v>269</v>
      </c>
      <c r="E276" s="544">
        <f>+DATE(YEAR(E275),MONTH(E275)-1,DAY(E275))</f>
        <v>25569.041666666668</v>
      </c>
      <c r="F276" s="333">
        <f>IF(DATE(YEAR($B$6),MONTH($B$6)+1,DAY(1))=E276,1,IF(MONTH(E276)=1,F277*(1+$F$5),F277))</f>
      </c>
      <c r="G276" s="333">
        <f>IF('Simulador - 1º Pilar'!$E$99="Sí",IF('Aportaciones Poliza'!$B$13&lt;'Aportaciones Poliza'!E276,0,F276*$B$8/12),F276*$B$8/12)</f>
      </c>
      <c r="H276" s="333">
        <f>$H$5*G276</f>
      </c>
      <c r="I276" s="333"/>
      <c r="J276" s="333">
        <f>(1+$M$5)^(D276/12)*(H276+IF(AND(F276=1,F277=0),$Q$4,0))</f>
      </c>
      <c r="K276" s="333">
        <f>(1+$M$5)^(D276/12)*(I276)</f>
      </c>
      <c r="L276" s="333">
        <f>K276+J276</f>
      </c>
      <c r="M276" s="170"/>
      <c r="N276" s="7"/>
      <c r="O276" s="1"/>
      <c r="P276" s="331">
        <f>D276</f>
      </c>
      <c r="Q276" s="169"/>
    </row>
    <row x14ac:dyDescent="0.25" r="277" customHeight="1" ht="18.75">
      <c r="A277" s="1"/>
      <c r="B277" s="7"/>
      <c r="C277" s="170"/>
      <c r="D277" s="331">
        <v>270</v>
      </c>
      <c r="E277" s="544">
        <f>+DATE(YEAR(E276),MONTH(E276)-1,DAY(E276))</f>
        <v>25569.041666666668</v>
      </c>
      <c r="F277" s="333">
        <f>IF(DATE(YEAR($B$6),MONTH($B$6)+1,DAY(1))=E277,1,IF(MONTH(E277)=1,F278*(1+$F$5),F278))</f>
      </c>
      <c r="G277" s="333">
        <f>IF('Simulador - 1º Pilar'!$E$99="Sí",IF('Aportaciones Poliza'!$B$13&lt;'Aportaciones Poliza'!E277,0,F277*$B$8/12),F277*$B$8/12)</f>
      </c>
      <c r="H277" s="333">
        <f>$H$5*G277</f>
      </c>
      <c r="I277" s="333"/>
      <c r="J277" s="333">
        <f>(1+$M$5)^(D277/12)*(H277+IF(AND(F277=1,F278=0),$Q$4,0))</f>
      </c>
      <c r="K277" s="333">
        <f>(1+$M$5)^(D277/12)*(I277)</f>
      </c>
      <c r="L277" s="333">
        <f>K277+J277</f>
      </c>
      <c r="M277" s="170"/>
      <c r="N277" s="7"/>
      <c r="O277" s="1"/>
      <c r="P277" s="331">
        <f>D277</f>
      </c>
      <c r="Q277" s="169"/>
    </row>
    <row x14ac:dyDescent="0.25" r="278" customHeight="1" ht="18.75">
      <c r="A278" s="1"/>
      <c r="B278" s="7"/>
      <c r="C278" s="170"/>
      <c r="D278" s="331">
        <v>271</v>
      </c>
      <c r="E278" s="544">
        <f>+DATE(YEAR(E277),MONTH(E277)-1,DAY(E277))</f>
        <v>25569.041666666668</v>
      </c>
      <c r="F278" s="333">
        <f>IF(DATE(YEAR($B$6),MONTH($B$6)+1,DAY(1))=E278,1,IF(MONTH(E278)=1,F279*(1+$F$5),F279))</f>
      </c>
      <c r="G278" s="333">
        <f>IF('Simulador - 1º Pilar'!$E$99="Sí",IF('Aportaciones Poliza'!$B$13&lt;'Aportaciones Poliza'!E278,0,F278*$B$8/12),F278*$B$8/12)</f>
      </c>
      <c r="H278" s="333">
        <f>$H$5*G278</f>
      </c>
      <c r="I278" s="333"/>
      <c r="J278" s="333">
        <f>(1+$M$5)^(D278/12)*(H278+IF(AND(F278=1,F279=0),$Q$4,0))</f>
      </c>
      <c r="K278" s="333">
        <f>(1+$M$5)^(D278/12)*(I278)</f>
      </c>
      <c r="L278" s="333">
        <f>K278+J278</f>
      </c>
      <c r="M278" s="170"/>
      <c r="N278" s="7"/>
      <c r="O278" s="1"/>
      <c r="P278" s="331">
        <f>D278</f>
      </c>
      <c r="Q278" s="169"/>
    </row>
    <row x14ac:dyDescent="0.25" r="279" customHeight="1" ht="18.75">
      <c r="A279" s="1"/>
      <c r="B279" s="7"/>
      <c r="C279" s="170"/>
      <c r="D279" s="331">
        <v>272</v>
      </c>
      <c r="E279" s="544">
        <f>+DATE(YEAR(E278),MONTH(E278)-1,DAY(E278))</f>
        <v>25569.041666666668</v>
      </c>
      <c r="F279" s="333">
        <f>IF(DATE(YEAR($B$6),MONTH($B$6)+1,DAY(1))=E279,1,IF(MONTH(E279)=1,F280*(1+$F$5),F280))</f>
      </c>
      <c r="G279" s="333">
        <f>IF('Simulador - 1º Pilar'!$E$99="Sí",IF('Aportaciones Poliza'!$B$13&lt;'Aportaciones Poliza'!E279,0,F279*$B$8/12),F279*$B$8/12)</f>
      </c>
      <c r="H279" s="333">
        <f>$H$5*G279</f>
      </c>
      <c r="I279" s="333"/>
      <c r="J279" s="333">
        <f>(1+$M$5)^(D279/12)*(H279+IF(AND(F279=1,F280=0),$Q$4,0))</f>
      </c>
      <c r="K279" s="333">
        <f>(1+$M$5)^(D279/12)*(I279)</f>
      </c>
      <c r="L279" s="333">
        <f>K279+J279</f>
      </c>
      <c r="M279" s="170"/>
      <c r="N279" s="7"/>
      <c r="O279" s="1"/>
      <c r="P279" s="331">
        <f>D279</f>
      </c>
      <c r="Q279" s="169"/>
    </row>
    <row x14ac:dyDescent="0.25" r="280" customHeight="1" ht="18.75">
      <c r="A280" s="1"/>
      <c r="B280" s="7"/>
      <c r="C280" s="170"/>
      <c r="D280" s="331">
        <v>273</v>
      </c>
      <c r="E280" s="544">
        <f>+DATE(YEAR(E279),MONTH(E279)-1,DAY(E279))</f>
        <v>25569.041666666668</v>
      </c>
      <c r="F280" s="333">
        <f>IF(DATE(YEAR($B$6),MONTH($B$6)+1,DAY(1))=E280,1,IF(MONTH(E280)=1,F281*(1+$F$5),F281))</f>
      </c>
      <c r="G280" s="333">
        <f>IF('Simulador - 1º Pilar'!$E$99="Sí",IF('Aportaciones Poliza'!$B$13&lt;'Aportaciones Poliza'!E280,0,F280*$B$8/12),F280*$B$8/12)</f>
      </c>
      <c r="H280" s="333">
        <f>$H$5*G280</f>
      </c>
      <c r="I280" s="333"/>
      <c r="J280" s="333">
        <f>(1+$M$5)^(D280/12)*(H280+IF(AND(F280=1,F281=0),$Q$4,0))</f>
      </c>
      <c r="K280" s="333">
        <f>(1+$M$5)^(D280/12)*(I280)</f>
      </c>
      <c r="L280" s="333">
        <f>K280+J280</f>
      </c>
      <c r="M280" s="170"/>
      <c r="N280" s="7"/>
      <c r="O280" s="1"/>
      <c r="P280" s="331">
        <f>D280</f>
      </c>
      <c r="Q280" s="169"/>
    </row>
    <row x14ac:dyDescent="0.25" r="281" customHeight="1" ht="18.75">
      <c r="A281" s="1"/>
      <c r="B281" s="7"/>
      <c r="C281" s="170"/>
      <c r="D281" s="331">
        <v>274</v>
      </c>
      <c r="E281" s="544">
        <f>+DATE(YEAR(E280),MONTH(E280)-1,DAY(E280))</f>
        <v>25569.041666666668</v>
      </c>
      <c r="F281" s="333">
        <f>IF(DATE(YEAR($B$6),MONTH($B$6)+1,DAY(1))=E281,1,IF(MONTH(E281)=1,F282*(1+$F$5),F282))</f>
      </c>
      <c r="G281" s="333">
        <f>IF('Simulador - 1º Pilar'!$E$99="Sí",IF('Aportaciones Poliza'!$B$13&lt;'Aportaciones Poliza'!E281,0,F281*$B$8/12),F281*$B$8/12)</f>
      </c>
      <c r="H281" s="333">
        <f>$H$5*G281</f>
      </c>
      <c r="I281" s="333"/>
      <c r="J281" s="333">
        <f>(1+$M$5)^(D281/12)*(H281+IF(AND(F281=1,F282=0),$Q$4,0))</f>
      </c>
      <c r="K281" s="333">
        <f>(1+$M$5)^(D281/12)*(I281)</f>
      </c>
      <c r="L281" s="333">
        <f>K281+J281</f>
      </c>
      <c r="M281" s="170"/>
      <c r="N281" s="7"/>
      <c r="O281" s="1"/>
      <c r="P281" s="331">
        <f>D281</f>
      </c>
      <c r="Q281" s="169"/>
    </row>
    <row x14ac:dyDescent="0.25" r="282" customHeight="1" ht="18.75">
      <c r="A282" s="1"/>
      <c r="B282" s="7"/>
      <c r="C282" s="170"/>
      <c r="D282" s="331">
        <v>275</v>
      </c>
      <c r="E282" s="544">
        <f>+DATE(YEAR(E281),MONTH(E281)-1,DAY(E281))</f>
        <v>25569.041666666668</v>
      </c>
      <c r="F282" s="333">
        <f>IF(DATE(YEAR($B$6),MONTH($B$6)+1,DAY(1))=E282,1,IF(MONTH(E282)=1,F283*(1+$F$5),F283))</f>
      </c>
      <c r="G282" s="333">
        <f>IF('Simulador - 1º Pilar'!$E$99="Sí",IF('Aportaciones Poliza'!$B$13&lt;'Aportaciones Poliza'!E282,0,F282*$B$8/12),F282*$B$8/12)</f>
      </c>
      <c r="H282" s="333">
        <f>$H$5*G282</f>
      </c>
      <c r="I282" s="333"/>
      <c r="J282" s="333">
        <f>(1+$M$5)^(D282/12)*(H282+IF(AND(F282=1,F283=0),$Q$4,0))</f>
      </c>
      <c r="K282" s="333">
        <f>(1+$M$5)^(D282/12)*(I282)</f>
      </c>
      <c r="L282" s="333">
        <f>K282+J282</f>
      </c>
      <c r="M282" s="170"/>
      <c r="N282" s="7"/>
      <c r="O282" s="1"/>
      <c r="P282" s="331">
        <f>D282</f>
      </c>
      <c r="Q282" s="169"/>
    </row>
    <row x14ac:dyDescent="0.25" r="283" customHeight="1" ht="18.75">
      <c r="A283" s="1"/>
      <c r="B283" s="7"/>
      <c r="C283" s="170"/>
      <c r="D283" s="331">
        <v>276</v>
      </c>
      <c r="E283" s="544">
        <f>+DATE(YEAR(E282),MONTH(E282)-1,DAY(E282))</f>
        <v>25569.041666666668</v>
      </c>
      <c r="F283" s="333">
        <f>IF(DATE(YEAR($B$6),MONTH($B$6)+1,DAY(1))=E283,1,IF(MONTH(E283)=1,F284*(1+$F$5),F284))</f>
      </c>
      <c r="G283" s="333">
        <f>IF('Simulador - 1º Pilar'!$E$99="Sí",IF('Aportaciones Poliza'!$B$13&lt;'Aportaciones Poliza'!E283,0,F283*$B$8/12),F283*$B$8/12)</f>
      </c>
      <c r="H283" s="333">
        <f>$H$5*G283</f>
      </c>
      <c r="I283" s="333"/>
      <c r="J283" s="333">
        <f>(1+$M$5)^(D283/12)*(H283+IF(AND(F283=1,F284=0),$Q$4,0))</f>
      </c>
      <c r="K283" s="333">
        <f>(1+$M$5)^(D283/12)*(I283)</f>
      </c>
      <c r="L283" s="333">
        <f>K283+J283</f>
      </c>
      <c r="M283" s="170"/>
      <c r="N283" s="7"/>
      <c r="O283" s="1"/>
      <c r="P283" s="331">
        <f>D283</f>
      </c>
      <c r="Q283" s="169"/>
    </row>
    <row x14ac:dyDescent="0.25" r="284" customHeight="1" ht="18.75">
      <c r="A284" s="1"/>
      <c r="B284" s="7"/>
      <c r="C284" s="170"/>
      <c r="D284" s="331">
        <v>277</v>
      </c>
      <c r="E284" s="544">
        <f>+DATE(YEAR(E283),MONTH(E283)-1,DAY(E283))</f>
        <v>25569.041666666668</v>
      </c>
      <c r="F284" s="333">
        <f>IF(DATE(YEAR($B$6),MONTH($B$6)+1,DAY(1))=E284,1,IF(MONTH(E284)=1,F285*(1+$F$5),F285))</f>
      </c>
      <c r="G284" s="333">
        <f>IF('Simulador - 1º Pilar'!$E$99="Sí",IF('Aportaciones Poliza'!$B$13&lt;'Aportaciones Poliza'!E284,0,F284*$B$8/12),F284*$B$8/12)</f>
      </c>
      <c r="H284" s="333">
        <f>$H$5*G284</f>
      </c>
      <c r="I284" s="333"/>
      <c r="J284" s="333">
        <f>(1+$M$5)^(D284/12)*(H284+IF(AND(F284=1,F285=0),$Q$4,0))</f>
      </c>
      <c r="K284" s="333">
        <f>(1+$M$5)^(D284/12)*(I284)</f>
      </c>
      <c r="L284" s="333">
        <f>K284+J284</f>
      </c>
      <c r="M284" s="170"/>
      <c r="N284" s="7"/>
      <c r="O284" s="1"/>
      <c r="P284" s="331">
        <f>D284</f>
      </c>
      <c r="Q284" s="169"/>
    </row>
    <row x14ac:dyDescent="0.25" r="285" customHeight="1" ht="18.75">
      <c r="A285" s="1"/>
      <c r="B285" s="7"/>
      <c r="C285" s="170"/>
      <c r="D285" s="331">
        <v>278</v>
      </c>
      <c r="E285" s="544">
        <f>+DATE(YEAR(E284),MONTH(E284)-1,DAY(E284))</f>
        <v>25569.041666666668</v>
      </c>
      <c r="F285" s="333">
        <f>IF(DATE(YEAR($B$6),MONTH($B$6)+1,DAY(1))=E285,1,IF(MONTH(E285)=1,F286*(1+$F$5),F286))</f>
      </c>
      <c r="G285" s="333">
        <f>IF('Simulador - 1º Pilar'!$E$99="Sí",IF('Aportaciones Poliza'!$B$13&lt;'Aportaciones Poliza'!E285,0,F285*$B$8/12),F285*$B$8/12)</f>
      </c>
      <c r="H285" s="333">
        <f>$H$5*G285</f>
      </c>
      <c r="I285" s="333"/>
      <c r="J285" s="333">
        <f>(1+$M$5)^(D285/12)*(H285+IF(AND(F285=1,F286=0),$Q$4,0))</f>
      </c>
      <c r="K285" s="333">
        <f>(1+$M$5)^(D285/12)*(I285)</f>
      </c>
      <c r="L285" s="333">
        <f>K285+J285</f>
      </c>
      <c r="M285" s="170"/>
      <c r="N285" s="7"/>
      <c r="O285" s="1"/>
      <c r="P285" s="331">
        <f>D285</f>
      </c>
      <c r="Q285" s="169"/>
    </row>
    <row x14ac:dyDescent="0.25" r="286" customHeight="1" ht="18.75">
      <c r="A286" s="1"/>
      <c r="B286" s="7"/>
      <c r="C286" s="170"/>
      <c r="D286" s="331">
        <v>279</v>
      </c>
      <c r="E286" s="544">
        <f>+DATE(YEAR(E285),MONTH(E285)-1,DAY(E285))</f>
        <v>25569.041666666668</v>
      </c>
      <c r="F286" s="333">
        <f>IF(DATE(YEAR($B$6),MONTH($B$6)+1,DAY(1))=E286,1,IF(MONTH(E286)=1,F287*(1+$F$5),F287))</f>
      </c>
      <c r="G286" s="333">
        <f>IF('Simulador - 1º Pilar'!$E$99="Sí",IF('Aportaciones Poliza'!$B$13&lt;'Aportaciones Poliza'!E286,0,F286*$B$8/12),F286*$B$8/12)</f>
      </c>
      <c r="H286" s="333">
        <f>$H$5*G286</f>
      </c>
      <c r="I286" s="333"/>
      <c r="J286" s="333">
        <f>(1+$M$5)^(D286/12)*(H286+IF(AND(F286=1,F287=0),$Q$4,0))</f>
      </c>
      <c r="K286" s="333">
        <f>(1+$M$5)^(D286/12)*(I286)</f>
      </c>
      <c r="L286" s="333">
        <f>K286+J286</f>
      </c>
      <c r="M286" s="170"/>
      <c r="N286" s="7"/>
      <c r="O286" s="1"/>
      <c r="P286" s="331">
        <f>D286</f>
      </c>
      <c r="Q286" s="169"/>
    </row>
    <row x14ac:dyDescent="0.25" r="287" customHeight="1" ht="18.75">
      <c r="A287" s="1"/>
      <c r="B287" s="7"/>
      <c r="C287" s="170"/>
      <c r="D287" s="331">
        <v>280</v>
      </c>
      <c r="E287" s="544">
        <f>+DATE(YEAR(E286),MONTH(E286)-1,DAY(E286))</f>
        <v>25569.041666666668</v>
      </c>
      <c r="F287" s="333">
        <f>IF(DATE(YEAR($B$6),MONTH($B$6)+1,DAY(1))=E287,1,IF(MONTH(E287)=1,F288*(1+$F$5),F288))</f>
      </c>
      <c r="G287" s="333">
        <f>IF('Simulador - 1º Pilar'!$E$99="Sí",IF('Aportaciones Poliza'!$B$13&lt;'Aportaciones Poliza'!E287,0,F287*$B$8/12),F287*$B$8/12)</f>
      </c>
      <c r="H287" s="333">
        <f>$H$5*G287</f>
      </c>
      <c r="I287" s="333"/>
      <c r="J287" s="333">
        <f>(1+$M$5)^(D287/12)*(H287+IF(AND(F287=1,F288=0),$Q$4,0))</f>
      </c>
      <c r="K287" s="333">
        <f>(1+$M$5)^(D287/12)*(I287)</f>
      </c>
      <c r="L287" s="333">
        <f>K287+J287</f>
      </c>
      <c r="M287" s="170"/>
      <c r="N287" s="7"/>
      <c r="O287" s="1"/>
      <c r="P287" s="331">
        <f>D287</f>
      </c>
      <c r="Q287" s="169"/>
    </row>
    <row x14ac:dyDescent="0.25" r="288" customHeight="1" ht="18.75">
      <c r="A288" s="1"/>
      <c r="B288" s="7"/>
      <c r="C288" s="170"/>
      <c r="D288" s="331">
        <v>281</v>
      </c>
      <c r="E288" s="544">
        <f>+DATE(YEAR(E287),MONTH(E287)-1,DAY(E287))</f>
        <v>25569.041666666668</v>
      </c>
      <c r="F288" s="333">
        <f>IF(DATE(YEAR($B$6),MONTH($B$6)+1,DAY(1))=E288,1,IF(MONTH(E288)=1,F289*(1+$F$5),F289))</f>
      </c>
      <c r="G288" s="333">
        <f>IF('Simulador - 1º Pilar'!$E$99="Sí",IF('Aportaciones Poliza'!$B$13&lt;'Aportaciones Poliza'!E288,0,F288*$B$8/12),F288*$B$8/12)</f>
      </c>
      <c r="H288" s="333">
        <f>$H$5*G288</f>
      </c>
      <c r="I288" s="333"/>
      <c r="J288" s="333">
        <f>(1+$M$5)^(D288/12)*(H288+IF(AND(F288=1,F289=0),$Q$4,0))</f>
      </c>
      <c r="K288" s="333">
        <f>(1+$M$5)^(D288/12)*(I288)</f>
      </c>
      <c r="L288" s="333">
        <f>K288+J288</f>
      </c>
      <c r="M288" s="170"/>
      <c r="N288" s="7"/>
      <c r="O288" s="1"/>
      <c r="P288" s="331">
        <f>D288</f>
      </c>
      <c r="Q288" s="169"/>
    </row>
    <row x14ac:dyDescent="0.25" r="289" customHeight="1" ht="18.75">
      <c r="A289" s="1"/>
      <c r="B289" s="7"/>
      <c r="C289" s="170"/>
      <c r="D289" s="331">
        <v>282</v>
      </c>
      <c r="E289" s="544">
        <f>+DATE(YEAR(E288),MONTH(E288)-1,DAY(E288))</f>
        <v>25569.041666666668</v>
      </c>
      <c r="F289" s="333">
        <f>IF(DATE(YEAR($B$6),MONTH($B$6)+1,DAY(1))=E289,1,IF(MONTH(E289)=1,F290*(1+$F$5),F290))</f>
      </c>
      <c r="G289" s="333">
        <f>IF('Simulador - 1º Pilar'!$E$99="Sí",IF('Aportaciones Poliza'!$B$13&lt;'Aportaciones Poliza'!E289,0,F289*$B$8/12),F289*$B$8/12)</f>
      </c>
      <c r="H289" s="333">
        <f>$H$5*G289</f>
      </c>
      <c r="I289" s="333"/>
      <c r="J289" s="333">
        <f>(1+$M$5)^(D289/12)*(H289+IF(AND(F289=1,F290=0),$Q$4,0))</f>
      </c>
      <c r="K289" s="333">
        <f>(1+$M$5)^(D289/12)*(I289)</f>
      </c>
      <c r="L289" s="333">
        <f>K289+J289</f>
      </c>
      <c r="M289" s="170"/>
      <c r="N289" s="7"/>
      <c r="O289" s="1"/>
      <c r="P289" s="331">
        <f>D289</f>
      </c>
      <c r="Q289" s="169"/>
    </row>
    <row x14ac:dyDescent="0.25" r="290" customHeight="1" ht="18.75">
      <c r="A290" s="1"/>
      <c r="B290" s="7"/>
      <c r="C290" s="170"/>
      <c r="D290" s="331">
        <v>283</v>
      </c>
      <c r="E290" s="544">
        <f>+DATE(YEAR(E289),MONTH(E289)-1,DAY(E289))</f>
        <v>25569.041666666668</v>
      </c>
      <c r="F290" s="333">
        <f>IF(DATE(YEAR($B$6),MONTH($B$6)+1,DAY(1))=E290,1,IF(MONTH(E290)=1,F291*(1+$F$5),F291))</f>
      </c>
      <c r="G290" s="333">
        <f>IF('Simulador - 1º Pilar'!$E$99="Sí",IF('Aportaciones Poliza'!$B$13&lt;'Aportaciones Poliza'!E290,0,F290*$B$8/12),F290*$B$8/12)</f>
      </c>
      <c r="H290" s="333">
        <f>$H$5*G290</f>
      </c>
      <c r="I290" s="333"/>
      <c r="J290" s="333">
        <f>(1+$M$5)^(D290/12)*(H290+IF(AND(F290=1,F291=0),$Q$4,0))</f>
      </c>
      <c r="K290" s="333">
        <f>(1+$M$5)^(D290/12)*(I290)</f>
      </c>
      <c r="L290" s="333">
        <f>K290+J290</f>
      </c>
      <c r="M290" s="170"/>
      <c r="N290" s="7"/>
      <c r="O290" s="1"/>
      <c r="P290" s="331">
        <f>D290</f>
      </c>
      <c r="Q290" s="169"/>
    </row>
    <row x14ac:dyDescent="0.25" r="291" customHeight="1" ht="18.75">
      <c r="A291" s="1"/>
      <c r="B291" s="7"/>
      <c r="C291" s="170"/>
      <c r="D291" s="331">
        <v>284</v>
      </c>
      <c r="E291" s="544">
        <f>+DATE(YEAR(E290),MONTH(E290)-1,DAY(E290))</f>
        <v>25569.041666666668</v>
      </c>
      <c r="F291" s="333">
        <f>IF(DATE(YEAR($B$6),MONTH($B$6)+1,DAY(1))=E291,1,IF(MONTH(E291)=1,F292*(1+$F$5),F292))</f>
      </c>
      <c r="G291" s="333">
        <f>IF('Simulador - 1º Pilar'!$E$99="Sí",IF('Aportaciones Poliza'!$B$13&lt;'Aportaciones Poliza'!E291,0,F291*$B$8/12),F291*$B$8/12)</f>
      </c>
      <c r="H291" s="333">
        <f>$H$5*G291</f>
      </c>
      <c r="I291" s="333"/>
      <c r="J291" s="333">
        <f>(1+$M$5)^(D291/12)*(H291+IF(AND(F291=1,F292=0),$Q$4,0))</f>
      </c>
      <c r="K291" s="333">
        <f>(1+$M$5)^(D291/12)*(I291)</f>
      </c>
      <c r="L291" s="333">
        <f>K291+J291</f>
      </c>
      <c r="M291" s="170"/>
      <c r="N291" s="7"/>
      <c r="O291" s="1"/>
      <c r="P291" s="331">
        <f>D291</f>
      </c>
      <c r="Q291" s="169"/>
    </row>
    <row x14ac:dyDescent="0.25" r="292" customHeight="1" ht="18.75">
      <c r="A292" s="1"/>
      <c r="B292" s="7"/>
      <c r="C292" s="170"/>
      <c r="D292" s="331">
        <v>285</v>
      </c>
      <c r="E292" s="544">
        <f>+DATE(YEAR(E291),MONTH(E291)-1,DAY(E291))</f>
        <v>25569.041666666668</v>
      </c>
      <c r="F292" s="333">
        <f>IF(DATE(YEAR($B$6),MONTH($B$6)+1,DAY(1))=E292,1,IF(MONTH(E292)=1,F293*(1+$F$5),F293))</f>
      </c>
      <c r="G292" s="333">
        <f>IF('Simulador - 1º Pilar'!$E$99="Sí",IF('Aportaciones Poliza'!$B$13&lt;'Aportaciones Poliza'!E292,0,F292*$B$8/12),F292*$B$8/12)</f>
      </c>
      <c r="H292" s="333">
        <f>$H$5*G292</f>
      </c>
      <c r="I292" s="333"/>
      <c r="J292" s="333">
        <f>(1+$M$5)^(D292/12)*(H292+IF(AND(F292=1,F293=0),$Q$4,0))</f>
      </c>
      <c r="K292" s="333">
        <f>(1+$M$5)^(D292/12)*(I292)</f>
      </c>
      <c r="L292" s="333">
        <f>K292+J292</f>
      </c>
      <c r="M292" s="170"/>
      <c r="N292" s="7"/>
      <c r="O292" s="1"/>
      <c r="P292" s="331">
        <f>D292</f>
      </c>
      <c r="Q292" s="169"/>
    </row>
    <row x14ac:dyDescent="0.25" r="293" customHeight="1" ht="18.75">
      <c r="A293" s="1"/>
      <c r="B293" s="7"/>
      <c r="C293" s="170"/>
      <c r="D293" s="331">
        <v>286</v>
      </c>
      <c r="E293" s="544">
        <f>+DATE(YEAR(E292),MONTH(E292)-1,DAY(E292))</f>
        <v>25569.041666666668</v>
      </c>
      <c r="F293" s="333">
        <f>IF(DATE(YEAR($B$6),MONTH($B$6)+1,DAY(1))=E293,1,IF(MONTH(E293)=1,F294*(1+$F$5),F294))</f>
      </c>
      <c r="G293" s="333">
        <f>IF('Simulador - 1º Pilar'!$E$99="Sí",IF('Aportaciones Poliza'!$B$13&lt;'Aportaciones Poliza'!E293,0,F293*$B$8/12),F293*$B$8/12)</f>
      </c>
      <c r="H293" s="333">
        <f>$H$5*G293</f>
      </c>
      <c r="I293" s="333"/>
      <c r="J293" s="333">
        <f>(1+$M$5)^(D293/12)*(H293+IF(AND(F293=1,F294=0),$Q$4,0))</f>
      </c>
      <c r="K293" s="333">
        <f>(1+$M$5)^(D293/12)*(I293)</f>
      </c>
      <c r="L293" s="333">
        <f>K293+J293</f>
      </c>
      <c r="M293" s="170"/>
      <c r="N293" s="7"/>
      <c r="O293" s="1"/>
      <c r="P293" s="331">
        <f>D293</f>
      </c>
      <c r="Q293" s="169"/>
    </row>
    <row x14ac:dyDescent="0.25" r="294" customHeight="1" ht="18.75">
      <c r="A294" s="1"/>
      <c r="B294" s="7"/>
      <c r="C294" s="170"/>
      <c r="D294" s="331">
        <v>287</v>
      </c>
      <c r="E294" s="544">
        <f>+DATE(YEAR(E293),MONTH(E293)-1,DAY(E293))</f>
        <v>25569.041666666668</v>
      </c>
      <c r="F294" s="333">
        <f>IF(DATE(YEAR($B$6),MONTH($B$6)+1,DAY(1))=E294,1,IF(MONTH(E294)=1,F295*(1+$F$5),F295))</f>
      </c>
      <c r="G294" s="333">
        <f>IF('Simulador - 1º Pilar'!$E$99="Sí",IF('Aportaciones Poliza'!$B$13&lt;'Aportaciones Poliza'!E294,0,F294*$B$8/12),F294*$B$8/12)</f>
      </c>
      <c r="H294" s="333">
        <f>$H$5*G294</f>
      </c>
      <c r="I294" s="333"/>
      <c r="J294" s="333">
        <f>(1+$M$5)^(D294/12)*(H294+IF(AND(F294=1,F295=0),$Q$4,0))</f>
      </c>
      <c r="K294" s="333">
        <f>(1+$M$5)^(D294/12)*(I294)</f>
      </c>
      <c r="L294" s="333">
        <f>K294+J294</f>
      </c>
      <c r="M294" s="170"/>
      <c r="N294" s="7"/>
      <c r="O294" s="1"/>
      <c r="P294" s="331">
        <f>D294</f>
      </c>
      <c r="Q294" s="169"/>
    </row>
    <row x14ac:dyDescent="0.25" r="295" customHeight="1" ht="18.75">
      <c r="A295" s="1"/>
      <c r="B295" s="7"/>
      <c r="C295" s="170"/>
      <c r="D295" s="331">
        <v>288</v>
      </c>
      <c r="E295" s="544">
        <f>+DATE(YEAR(E294),MONTH(E294)-1,DAY(E294))</f>
        <v>25569.041666666668</v>
      </c>
      <c r="F295" s="333">
        <f>IF(DATE(YEAR($B$6),MONTH($B$6)+1,DAY(1))=E295,1,IF(MONTH(E295)=1,F296*(1+$F$5),F296))</f>
      </c>
      <c r="G295" s="333">
        <f>IF('Simulador - 1º Pilar'!$E$99="Sí",IF('Aportaciones Poliza'!$B$13&lt;'Aportaciones Poliza'!E295,0,F295*$B$8/12),F295*$B$8/12)</f>
      </c>
      <c r="H295" s="333">
        <f>$H$5*G295</f>
      </c>
      <c r="I295" s="333"/>
      <c r="J295" s="333">
        <f>(1+$M$5)^(D295/12)*(H295+IF(AND(F295=1,F296=0),$Q$4,0))</f>
      </c>
      <c r="K295" s="333">
        <f>(1+$M$5)^(D295/12)*(I295)</f>
      </c>
      <c r="L295" s="333">
        <f>K295+J295</f>
      </c>
      <c r="M295" s="170"/>
      <c r="N295" s="7"/>
      <c r="O295" s="1"/>
      <c r="P295" s="331">
        <f>D295</f>
      </c>
      <c r="Q295" s="169"/>
    </row>
    <row x14ac:dyDescent="0.25" r="296" customHeight="1" ht="18.75">
      <c r="A296" s="1"/>
      <c r="B296" s="7"/>
      <c r="C296" s="170"/>
      <c r="D296" s="331">
        <v>289</v>
      </c>
      <c r="E296" s="544">
        <f>+DATE(YEAR(E295),MONTH(E295)-1,DAY(E295))</f>
        <v>25569.041666666668</v>
      </c>
      <c r="F296" s="333">
        <f>IF(DATE(YEAR($B$6),MONTH($B$6)+1,DAY(1))=E296,1,IF(MONTH(E296)=1,F297*(1+$F$5),F297))</f>
      </c>
      <c r="G296" s="333">
        <f>IF('Simulador - 1º Pilar'!$E$99="Sí",IF('Aportaciones Poliza'!$B$13&lt;'Aportaciones Poliza'!E296,0,F296*$B$8/12),F296*$B$8/12)</f>
      </c>
      <c r="H296" s="333">
        <f>$H$5*G296</f>
      </c>
      <c r="I296" s="333"/>
      <c r="J296" s="333">
        <f>(1+$M$5)^(D296/12)*(H296+IF(AND(F296=1,F297=0),$Q$4,0))</f>
      </c>
      <c r="K296" s="333">
        <f>(1+$M$5)^(D296/12)*(I296)</f>
      </c>
      <c r="L296" s="333">
        <f>K296+J296</f>
      </c>
      <c r="M296" s="170"/>
      <c r="N296" s="7"/>
      <c r="O296" s="1"/>
      <c r="P296" s="331">
        <f>D296</f>
      </c>
      <c r="Q296" s="169"/>
    </row>
    <row x14ac:dyDescent="0.25" r="297" customHeight="1" ht="18.75">
      <c r="A297" s="1"/>
      <c r="B297" s="7"/>
      <c r="C297" s="170"/>
      <c r="D297" s="331">
        <v>290</v>
      </c>
      <c r="E297" s="544">
        <f>+DATE(YEAR(E296),MONTH(E296)-1,DAY(E296))</f>
        <v>25569.041666666668</v>
      </c>
      <c r="F297" s="333">
        <f>IF(DATE(YEAR($B$6),MONTH($B$6)+1,DAY(1))=E297,1,IF(MONTH(E297)=1,F298*(1+$F$5),F298))</f>
      </c>
      <c r="G297" s="333">
        <f>IF('Simulador - 1º Pilar'!$E$99="Sí",IF('Aportaciones Poliza'!$B$13&lt;'Aportaciones Poliza'!E297,0,F297*$B$8/12),F297*$B$8/12)</f>
      </c>
      <c r="H297" s="333">
        <f>$H$5*G297</f>
      </c>
      <c r="I297" s="333"/>
      <c r="J297" s="333">
        <f>(1+$M$5)^(D297/12)*(H297+IF(AND(F297=1,F298=0),$Q$4,0))</f>
      </c>
      <c r="K297" s="333">
        <f>(1+$M$5)^(D297/12)*(I297)</f>
      </c>
      <c r="L297" s="333">
        <f>K297+J297</f>
      </c>
      <c r="M297" s="170"/>
      <c r="N297" s="7"/>
      <c r="O297" s="1"/>
      <c r="P297" s="331">
        <f>D297</f>
      </c>
      <c r="Q297" s="169"/>
    </row>
    <row x14ac:dyDescent="0.25" r="298" customHeight="1" ht="18.75">
      <c r="A298" s="1"/>
      <c r="B298" s="7"/>
      <c r="C298" s="170"/>
      <c r="D298" s="331">
        <v>291</v>
      </c>
      <c r="E298" s="544">
        <f>+DATE(YEAR(E297),MONTH(E297)-1,DAY(E297))</f>
        <v>25569.041666666668</v>
      </c>
      <c r="F298" s="333">
        <f>IF(DATE(YEAR($B$6),MONTH($B$6)+1,DAY(1))=E298,1,IF(MONTH(E298)=1,F299*(1+$F$5),F299))</f>
      </c>
      <c r="G298" s="333">
        <f>IF('Simulador - 1º Pilar'!$E$99="Sí",IF('Aportaciones Poliza'!$B$13&lt;'Aportaciones Poliza'!E298,0,F298*$B$8/12),F298*$B$8/12)</f>
      </c>
      <c r="H298" s="333">
        <f>$H$5*G298</f>
      </c>
      <c r="I298" s="333"/>
      <c r="J298" s="333">
        <f>(1+$M$5)^(D298/12)*(H298+IF(AND(F298=1,F299=0),$Q$4,0))</f>
      </c>
      <c r="K298" s="333">
        <f>(1+$M$5)^(D298/12)*(I298)</f>
      </c>
      <c r="L298" s="333">
        <f>K298+J298</f>
      </c>
      <c r="M298" s="170"/>
      <c r="N298" s="7"/>
      <c r="O298" s="1"/>
      <c r="P298" s="331">
        <f>D298</f>
      </c>
      <c r="Q298" s="169"/>
    </row>
    <row x14ac:dyDescent="0.25" r="299" customHeight="1" ht="18.75">
      <c r="A299" s="1"/>
      <c r="B299" s="7"/>
      <c r="C299" s="170"/>
      <c r="D299" s="331">
        <v>292</v>
      </c>
      <c r="E299" s="544">
        <f>+DATE(YEAR(E298),MONTH(E298)-1,DAY(E298))</f>
        <v>25569.041666666668</v>
      </c>
      <c r="F299" s="333">
        <f>IF(DATE(YEAR($B$6),MONTH($B$6)+1,DAY(1))=E299,1,IF(MONTH(E299)=1,F300*(1+$F$5),F300))</f>
      </c>
      <c r="G299" s="333">
        <f>IF('Simulador - 1º Pilar'!$E$99="Sí",IF('Aportaciones Poliza'!$B$13&lt;'Aportaciones Poliza'!E299,0,F299*$B$8/12),F299*$B$8/12)</f>
      </c>
      <c r="H299" s="333">
        <f>$H$5*G299</f>
      </c>
      <c r="I299" s="333"/>
      <c r="J299" s="333">
        <f>(1+$M$5)^(D299/12)*(H299+IF(AND(F299=1,F300=0),$Q$4,0))</f>
      </c>
      <c r="K299" s="333">
        <f>(1+$M$5)^(D299/12)*(I299)</f>
      </c>
      <c r="L299" s="333">
        <f>K299+J299</f>
      </c>
      <c r="M299" s="170"/>
      <c r="N299" s="7"/>
      <c r="O299" s="1"/>
      <c r="P299" s="331">
        <f>D299</f>
      </c>
      <c r="Q299" s="169"/>
    </row>
    <row x14ac:dyDescent="0.25" r="300" customHeight="1" ht="18.75">
      <c r="A300" s="1"/>
      <c r="B300" s="7"/>
      <c r="C300" s="170"/>
      <c r="D300" s="331">
        <v>293</v>
      </c>
      <c r="E300" s="544">
        <f>+DATE(YEAR(E299),MONTH(E299)-1,DAY(E299))</f>
        <v>25569.041666666668</v>
      </c>
      <c r="F300" s="333">
        <f>IF(DATE(YEAR($B$6),MONTH($B$6)+1,DAY(1))=E300,1,IF(MONTH(E300)=1,F301*(1+$F$5),F301))</f>
      </c>
      <c r="G300" s="333">
        <f>IF('Simulador - 1º Pilar'!$E$99="Sí",IF('Aportaciones Poliza'!$B$13&lt;'Aportaciones Poliza'!E300,0,F300*$B$8/12),F300*$B$8/12)</f>
      </c>
      <c r="H300" s="333">
        <f>$H$5*G300</f>
      </c>
      <c r="I300" s="333"/>
      <c r="J300" s="333">
        <f>(1+$M$5)^(D300/12)*(H300+IF(AND(F300=1,F301=0),$Q$4,0))</f>
      </c>
      <c r="K300" s="333">
        <f>(1+$M$5)^(D300/12)*(I300)</f>
      </c>
      <c r="L300" s="333">
        <f>K300+J300</f>
      </c>
      <c r="M300" s="170"/>
      <c r="N300" s="7"/>
      <c r="O300" s="1"/>
      <c r="P300" s="331">
        <f>D300</f>
      </c>
      <c r="Q300" s="169"/>
    </row>
    <row x14ac:dyDescent="0.25" r="301" customHeight="1" ht="18.75">
      <c r="A301" s="1"/>
      <c r="B301" s="7"/>
      <c r="C301" s="170"/>
      <c r="D301" s="331">
        <v>294</v>
      </c>
      <c r="E301" s="544">
        <f>+DATE(YEAR(E300),MONTH(E300)-1,DAY(E300))</f>
        <v>25569.041666666668</v>
      </c>
      <c r="F301" s="333">
        <f>IF(DATE(YEAR($B$6),MONTH($B$6)+1,DAY(1))=E301,1,IF(MONTH(E301)=1,F302*(1+$F$5),F302))</f>
      </c>
      <c r="G301" s="333">
        <f>IF('Simulador - 1º Pilar'!$E$99="Sí",IF('Aportaciones Poliza'!$B$13&lt;'Aportaciones Poliza'!E301,0,F301*$B$8/12),F301*$B$8/12)</f>
      </c>
      <c r="H301" s="333">
        <f>$H$5*G301</f>
      </c>
      <c r="I301" s="333"/>
      <c r="J301" s="333">
        <f>(1+$M$5)^(D301/12)*(H301+IF(AND(F301=1,F302=0),$Q$4,0))</f>
      </c>
      <c r="K301" s="333">
        <f>(1+$M$5)^(D301/12)*(I301)</f>
      </c>
      <c r="L301" s="333">
        <f>K301+J301</f>
      </c>
      <c r="M301" s="170"/>
      <c r="N301" s="7"/>
      <c r="O301" s="1"/>
      <c r="P301" s="331">
        <f>D301</f>
      </c>
      <c r="Q301" s="169"/>
    </row>
    <row x14ac:dyDescent="0.25" r="302" customHeight="1" ht="18.75">
      <c r="A302" s="1"/>
      <c r="B302" s="7"/>
      <c r="C302" s="170"/>
      <c r="D302" s="331">
        <v>295</v>
      </c>
      <c r="E302" s="544">
        <f>+DATE(YEAR(E301),MONTH(E301)-1,DAY(E301))</f>
        <v>25569.041666666668</v>
      </c>
      <c r="F302" s="333">
        <f>IF(DATE(YEAR($B$6),MONTH($B$6)+1,DAY(1))=E302,1,IF(MONTH(E302)=1,F303*(1+$F$5),F303))</f>
      </c>
      <c r="G302" s="333">
        <f>IF('Simulador - 1º Pilar'!$E$99="Sí",IF('Aportaciones Poliza'!$B$13&lt;'Aportaciones Poliza'!E302,0,F302*$B$8/12),F302*$B$8/12)</f>
      </c>
      <c r="H302" s="333">
        <f>$H$5*G302</f>
      </c>
      <c r="I302" s="333"/>
      <c r="J302" s="333">
        <f>(1+$M$5)^(D302/12)*(H302+IF(AND(F302=1,F303=0),$Q$4,0))</f>
      </c>
      <c r="K302" s="333">
        <f>(1+$M$5)^(D302/12)*(I302)</f>
      </c>
      <c r="L302" s="333">
        <f>K302+J302</f>
      </c>
      <c r="M302" s="170"/>
      <c r="N302" s="7"/>
      <c r="O302" s="1"/>
      <c r="P302" s="331">
        <f>D302</f>
      </c>
      <c r="Q302" s="169"/>
    </row>
    <row x14ac:dyDescent="0.25" r="303" customHeight="1" ht="18.75">
      <c r="A303" s="1"/>
      <c r="B303" s="7"/>
      <c r="C303" s="170"/>
      <c r="D303" s="331">
        <v>296</v>
      </c>
      <c r="E303" s="544">
        <f>+DATE(YEAR(E302),MONTH(E302)-1,DAY(E302))</f>
        <v>25569.041666666668</v>
      </c>
      <c r="F303" s="333">
        <f>IF(DATE(YEAR($B$6),MONTH($B$6)+1,DAY(1))=E303,1,IF(MONTH(E303)=1,F304*(1+$F$5),F304))</f>
      </c>
      <c r="G303" s="333">
        <f>IF('Simulador - 1º Pilar'!$E$99="Sí",IF('Aportaciones Poliza'!$B$13&lt;'Aportaciones Poliza'!E303,0,F303*$B$8/12),F303*$B$8/12)</f>
      </c>
      <c r="H303" s="333">
        <f>$H$5*G303</f>
      </c>
      <c r="I303" s="333"/>
      <c r="J303" s="333">
        <f>(1+$M$5)^(D303/12)*(H303+IF(AND(F303=1,F304=0),$Q$4,0))</f>
      </c>
      <c r="K303" s="333">
        <f>(1+$M$5)^(D303/12)*(I303)</f>
      </c>
      <c r="L303" s="333">
        <f>K303+J303</f>
      </c>
      <c r="M303" s="170"/>
      <c r="N303" s="7"/>
      <c r="O303" s="1"/>
      <c r="P303" s="331">
        <f>D303</f>
      </c>
      <c r="Q303" s="169"/>
    </row>
    <row x14ac:dyDescent="0.25" r="304" customHeight="1" ht="18.75">
      <c r="A304" s="1"/>
      <c r="B304" s="7"/>
      <c r="C304" s="170"/>
      <c r="D304" s="331">
        <v>297</v>
      </c>
      <c r="E304" s="544">
        <f>+DATE(YEAR(E303),MONTH(E303)-1,DAY(E303))</f>
        <v>25569.041666666668</v>
      </c>
      <c r="F304" s="333">
        <f>IF(DATE(YEAR($B$6),MONTH($B$6)+1,DAY(1))=E304,1,IF(MONTH(E304)=1,F305*(1+$F$5),F305))</f>
      </c>
      <c r="G304" s="333">
        <f>IF('Simulador - 1º Pilar'!$E$99="Sí",IF('Aportaciones Poliza'!$B$13&lt;'Aportaciones Poliza'!E304,0,F304*$B$8/12),F304*$B$8/12)</f>
      </c>
      <c r="H304" s="333">
        <f>$H$5*G304</f>
      </c>
      <c r="I304" s="333"/>
      <c r="J304" s="333">
        <f>(1+$M$5)^(D304/12)*(H304+IF(AND(F304=1,F305=0),$Q$4,0))</f>
      </c>
      <c r="K304" s="333">
        <f>(1+$M$5)^(D304/12)*(I304)</f>
      </c>
      <c r="L304" s="333">
        <f>K304+J304</f>
      </c>
      <c r="M304" s="170"/>
      <c r="N304" s="7"/>
      <c r="O304" s="1"/>
      <c r="P304" s="331">
        <f>D304</f>
      </c>
      <c r="Q304" s="169"/>
    </row>
    <row x14ac:dyDescent="0.25" r="305" customHeight="1" ht="18.75">
      <c r="A305" s="1"/>
      <c r="B305" s="7"/>
      <c r="C305" s="170"/>
      <c r="D305" s="331">
        <v>298</v>
      </c>
      <c r="E305" s="544">
        <f>+DATE(YEAR(E304),MONTH(E304)-1,DAY(E304))</f>
        <v>25569.041666666668</v>
      </c>
      <c r="F305" s="333">
        <f>IF(DATE(YEAR($B$6),MONTH($B$6)+1,DAY(1))=E305,1,IF(MONTH(E305)=1,F306*(1+$F$5),F306))</f>
      </c>
      <c r="G305" s="333">
        <f>IF('Simulador - 1º Pilar'!$E$99="Sí",IF('Aportaciones Poliza'!$B$13&lt;'Aportaciones Poliza'!E305,0,F305*$B$8/12),F305*$B$8/12)</f>
      </c>
      <c r="H305" s="333">
        <f>$H$5*G305</f>
      </c>
      <c r="I305" s="333"/>
      <c r="J305" s="333">
        <f>(1+$M$5)^(D305/12)*(H305+IF(AND(F305=1,F306=0),$Q$4,0))</f>
      </c>
      <c r="K305" s="333">
        <f>(1+$M$5)^(D305/12)*(I305)</f>
      </c>
      <c r="L305" s="333">
        <f>K305+J305</f>
      </c>
      <c r="M305" s="170"/>
      <c r="N305" s="7"/>
      <c r="O305" s="1"/>
      <c r="P305" s="331">
        <f>D305</f>
      </c>
      <c r="Q305" s="169"/>
    </row>
    <row x14ac:dyDescent="0.25" r="306" customHeight="1" ht="18.75">
      <c r="A306" s="1"/>
      <c r="B306" s="7"/>
      <c r="C306" s="170"/>
      <c r="D306" s="331">
        <v>299</v>
      </c>
      <c r="E306" s="544">
        <f>+DATE(YEAR(E305),MONTH(E305)-1,DAY(E305))</f>
        <v>25569.041666666668</v>
      </c>
      <c r="F306" s="333">
        <f>IF(DATE(YEAR($B$6),MONTH($B$6)+1,DAY(1))=E306,1,IF(MONTH(E306)=1,F307*(1+$F$5),F307))</f>
      </c>
      <c r="G306" s="333">
        <f>IF('Simulador - 1º Pilar'!$E$99="Sí",IF('Aportaciones Poliza'!$B$13&lt;'Aportaciones Poliza'!E306,0,F306*$B$8/12),F306*$B$8/12)</f>
      </c>
      <c r="H306" s="333">
        <f>$H$5*G306</f>
      </c>
      <c r="I306" s="333"/>
      <c r="J306" s="333">
        <f>(1+$M$5)^(D306/12)*(H306+IF(AND(F306=1,F307=0),$Q$4,0))</f>
      </c>
      <c r="K306" s="333">
        <f>(1+$M$5)^(D306/12)*(I306)</f>
      </c>
      <c r="L306" s="333">
        <f>K306+J306</f>
      </c>
      <c r="M306" s="170"/>
      <c r="N306" s="7"/>
      <c r="O306" s="1"/>
      <c r="P306" s="331">
        <f>D306</f>
      </c>
      <c r="Q306" s="169"/>
    </row>
    <row x14ac:dyDescent="0.25" r="307" customHeight="1" ht="18.75">
      <c r="A307" s="1"/>
      <c r="B307" s="7"/>
      <c r="C307" s="170"/>
      <c r="D307" s="331">
        <v>300</v>
      </c>
      <c r="E307" s="544">
        <f>+DATE(YEAR(E306),MONTH(E306)-1,DAY(E306))</f>
        <v>25569.041666666668</v>
      </c>
      <c r="F307" s="333">
        <f>IF(DATE(YEAR($B$6),MONTH($B$6)+1,DAY(1))=E307,1,IF(MONTH(E307)=1,F308*(1+$F$5),F308))</f>
      </c>
      <c r="G307" s="333">
        <f>IF('Simulador - 1º Pilar'!$E$99="Sí",IF('Aportaciones Poliza'!$B$13&lt;'Aportaciones Poliza'!E307,0,F307*$B$8/12),F307*$B$8/12)</f>
      </c>
      <c r="H307" s="333">
        <f>$H$5*G307</f>
      </c>
      <c r="I307" s="333"/>
      <c r="J307" s="333">
        <f>(1+$M$5)^(D307/12)*(H307+IF(AND(F307=1,F308=0),$Q$4,0))</f>
      </c>
      <c r="K307" s="333">
        <f>(1+$M$5)^(D307/12)*(I307)</f>
      </c>
      <c r="L307" s="333">
        <f>K307+J307</f>
      </c>
      <c r="M307" s="170"/>
      <c r="N307" s="7"/>
      <c r="O307" s="1"/>
      <c r="P307" s="331">
        <f>D307</f>
      </c>
      <c r="Q307" s="169"/>
    </row>
    <row x14ac:dyDescent="0.25" r="308" customHeight="1" ht="18.75">
      <c r="A308" s="1"/>
      <c r="B308" s="7"/>
      <c r="C308" s="170"/>
      <c r="D308" s="331">
        <v>301</v>
      </c>
      <c r="E308" s="544">
        <f>+DATE(YEAR(E307),MONTH(E307)-1,DAY(E307))</f>
        <v>25569.041666666668</v>
      </c>
      <c r="F308" s="333">
        <f>IF(DATE(YEAR($B$6),MONTH($B$6)+1,DAY(1))=E308,1,IF(MONTH(E308)=1,F309*(1+$F$5),F309))</f>
      </c>
      <c r="G308" s="333">
        <f>IF('Simulador - 1º Pilar'!$E$99="Sí",IF('Aportaciones Poliza'!$B$13&lt;'Aportaciones Poliza'!E308,0,F308*$B$8/12),F308*$B$8/12)</f>
      </c>
      <c r="H308" s="333">
        <f>$H$5*G308</f>
      </c>
      <c r="I308" s="333"/>
      <c r="J308" s="333">
        <f>(1+$M$5)^(D308/12)*(H308+IF(AND(F308=1,F309=0),$Q$4,0))</f>
      </c>
      <c r="K308" s="333">
        <f>(1+$M$5)^(D308/12)*(I308)</f>
      </c>
      <c r="L308" s="333">
        <f>K308+J308</f>
      </c>
      <c r="M308" s="170"/>
      <c r="N308" s="7"/>
      <c r="O308" s="1"/>
      <c r="P308" s="331">
        <f>D308</f>
      </c>
      <c r="Q308" s="169"/>
    </row>
    <row x14ac:dyDescent="0.25" r="309" customHeight="1" ht="18.75">
      <c r="A309" s="1"/>
      <c r="B309" s="7"/>
      <c r="C309" s="170"/>
      <c r="D309" s="331">
        <v>302</v>
      </c>
      <c r="E309" s="544">
        <f>+DATE(YEAR(E308),MONTH(E308)-1,DAY(E308))</f>
        <v>25569.041666666668</v>
      </c>
      <c r="F309" s="333">
        <f>IF(DATE(YEAR($B$6),MONTH($B$6)+1,DAY(1))=E309,1,IF(MONTH(E309)=1,F310*(1+$F$5),F310))</f>
      </c>
      <c r="G309" s="333">
        <f>IF('Simulador - 1º Pilar'!$E$99="Sí",IF('Aportaciones Poliza'!$B$13&lt;'Aportaciones Poliza'!E309,0,F309*$B$8/12),F309*$B$8/12)</f>
      </c>
      <c r="H309" s="333">
        <f>$H$5*G309</f>
      </c>
      <c r="I309" s="333"/>
      <c r="J309" s="333">
        <f>(1+$M$5)^(D309/12)*(H309+IF(AND(F309=1,F310=0),$Q$4,0))</f>
      </c>
      <c r="K309" s="333">
        <f>(1+$M$5)^(D309/12)*(I309)</f>
      </c>
      <c r="L309" s="333">
        <f>K309+J309</f>
      </c>
      <c r="M309" s="170"/>
      <c r="N309" s="7"/>
      <c r="O309" s="1"/>
      <c r="P309" s="331">
        <f>D309</f>
      </c>
      <c r="Q309" s="169"/>
    </row>
    <row x14ac:dyDescent="0.25" r="310" customHeight="1" ht="18.75">
      <c r="A310" s="1"/>
      <c r="B310" s="7"/>
      <c r="C310" s="170"/>
      <c r="D310" s="331">
        <v>303</v>
      </c>
      <c r="E310" s="544">
        <f>+DATE(YEAR(E309),MONTH(E309)-1,DAY(E309))</f>
        <v>25569.041666666668</v>
      </c>
      <c r="F310" s="333">
        <f>IF(DATE(YEAR($B$6),MONTH($B$6)+1,DAY(1))=E310,1,IF(MONTH(E310)=1,F311*(1+$F$5),F311))</f>
      </c>
      <c r="G310" s="333">
        <f>IF('Simulador - 1º Pilar'!$E$99="Sí",IF('Aportaciones Poliza'!$B$13&lt;'Aportaciones Poliza'!E310,0,F310*$B$8/12),F310*$B$8/12)</f>
      </c>
      <c r="H310" s="333">
        <f>$H$5*G310</f>
      </c>
      <c r="I310" s="333"/>
      <c r="J310" s="333">
        <f>(1+$M$5)^(D310/12)*(H310+IF(AND(F310=1,F311=0),$Q$4,0))</f>
      </c>
      <c r="K310" s="333">
        <f>(1+$M$5)^(D310/12)*(I310)</f>
      </c>
      <c r="L310" s="333">
        <f>K310+J310</f>
      </c>
      <c r="M310" s="170"/>
      <c r="N310" s="7"/>
      <c r="O310" s="1"/>
      <c r="P310" s="331">
        <f>D310</f>
      </c>
      <c r="Q310" s="169"/>
    </row>
    <row x14ac:dyDescent="0.25" r="311" customHeight="1" ht="18.75">
      <c r="A311" s="1"/>
      <c r="B311" s="7"/>
      <c r="C311" s="170"/>
      <c r="D311" s="331">
        <v>304</v>
      </c>
      <c r="E311" s="544">
        <f>+DATE(YEAR(E310),MONTH(E310)-1,DAY(E310))</f>
        <v>25569.041666666668</v>
      </c>
      <c r="F311" s="333">
        <f>IF(DATE(YEAR($B$6),MONTH($B$6)+1,DAY(1))=E311,1,IF(MONTH(E311)=1,F312*(1+$F$5),F312))</f>
      </c>
      <c r="G311" s="333">
        <f>IF('Simulador - 1º Pilar'!$E$99="Sí",IF('Aportaciones Poliza'!$B$13&lt;'Aportaciones Poliza'!E311,0,F311*$B$8/12),F311*$B$8/12)</f>
      </c>
      <c r="H311" s="333">
        <f>$H$5*G311</f>
      </c>
      <c r="I311" s="333"/>
      <c r="J311" s="333">
        <f>(1+$M$5)^(D311/12)*(H311+IF(AND(F311=1,F312=0),$Q$4,0))</f>
      </c>
      <c r="K311" s="333">
        <f>(1+$M$5)^(D311/12)*(I311)</f>
      </c>
      <c r="L311" s="333">
        <f>K311+J311</f>
      </c>
      <c r="M311" s="170"/>
      <c r="N311" s="7"/>
      <c r="O311" s="1"/>
      <c r="P311" s="331">
        <f>D311</f>
      </c>
      <c r="Q311" s="169"/>
    </row>
    <row x14ac:dyDescent="0.25" r="312" customHeight="1" ht="18.75">
      <c r="A312" s="1"/>
      <c r="B312" s="7"/>
      <c r="C312" s="170"/>
      <c r="D312" s="331">
        <v>305</v>
      </c>
      <c r="E312" s="544">
        <f>+DATE(YEAR(E311),MONTH(E311)-1,DAY(E311))</f>
        <v>25569.041666666668</v>
      </c>
      <c r="F312" s="333">
        <f>IF(DATE(YEAR($B$6),MONTH($B$6)+1,DAY(1))=E312,1,IF(MONTH(E312)=1,F313*(1+$F$5),F313))</f>
      </c>
      <c r="G312" s="333">
        <f>IF('Simulador - 1º Pilar'!$E$99="Sí",IF('Aportaciones Poliza'!$B$13&lt;'Aportaciones Poliza'!E312,0,F312*$B$8/12),F312*$B$8/12)</f>
      </c>
      <c r="H312" s="333">
        <f>$H$5*G312</f>
      </c>
      <c r="I312" s="333"/>
      <c r="J312" s="333">
        <f>(1+$M$5)^(D312/12)*(H312+IF(AND(F312=1,F313=0),$Q$4,0))</f>
      </c>
      <c r="K312" s="333">
        <f>(1+$M$5)^(D312/12)*(I312)</f>
      </c>
      <c r="L312" s="333">
        <f>K312+J312</f>
      </c>
      <c r="M312" s="170"/>
      <c r="N312" s="7"/>
      <c r="O312" s="1"/>
      <c r="P312" s="331">
        <f>D312</f>
      </c>
      <c r="Q312" s="169"/>
    </row>
    <row x14ac:dyDescent="0.25" r="313" customHeight="1" ht="18.75">
      <c r="A313" s="1"/>
      <c r="B313" s="7"/>
      <c r="C313" s="170"/>
      <c r="D313" s="331">
        <v>306</v>
      </c>
      <c r="E313" s="544">
        <f>+DATE(YEAR(E312),MONTH(E312)-1,DAY(E312))</f>
        <v>25569.041666666668</v>
      </c>
      <c r="F313" s="333">
        <f>IF(DATE(YEAR($B$6),MONTH($B$6)+1,DAY(1))=E313,1,IF(MONTH(E313)=1,F314*(1+$F$5),F314))</f>
      </c>
      <c r="G313" s="333">
        <f>IF('Simulador - 1º Pilar'!$E$99="Sí",IF('Aportaciones Poliza'!$B$13&lt;'Aportaciones Poliza'!E313,0,F313*$B$8/12),F313*$B$8/12)</f>
      </c>
      <c r="H313" s="333">
        <f>$H$5*G313</f>
      </c>
      <c r="I313" s="333"/>
      <c r="J313" s="333">
        <f>(1+$M$5)^(D313/12)*(H313+IF(AND(F313=1,F314=0),$Q$4,0))</f>
      </c>
      <c r="K313" s="333">
        <f>(1+$M$5)^(D313/12)*(I313)</f>
      </c>
      <c r="L313" s="333">
        <f>K313+J313</f>
      </c>
      <c r="M313" s="217"/>
      <c r="N313" s="7"/>
      <c r="O313" s="1"/>
      <c r="P313" s="331">
        <f>D313</f>
      </c>
      <c r="Q313" s="169"/>
    </row>
    <row x14ac:dyDescent="0.25" r="314" customHeight="1" ht="18.75">
      <c r="A314" s="1"/>
      <c r="B314" s="7"/>
      <c r="C314" s="170"/>
      <c r="D314" s="331">
        <v>307</v>
      </c>
      <c r="E314" s="544">
        <f>+DATE(YEAR(E313),MONTH(E313)-1,DAY(E313))</f>
        <v>25569.041666666668</v>
      </c>
      <c r="F314" s="333">
        <f>IF(DATE(YEAR($B$6),MONTH($B$6)+1,DAY(1))=E314,1,IF(MONTH(E314)=1,F315*(1+$F$5),F315))</f>
      </c>
      <c r="G314" s="333">
        <f>IF('Simulador - 1º Pilar'!$E$99="Sí",IF('Aportaciones Poliza'!$B$13&lt;'Aportaciones Poliza'!E314,0,F314*$B$8/12),F314*$B$8/12)</f>
      </c>
      <c r="H314" s="333">
        <f>$H$5*G314</f>
      </c>
      <c r="I314" s="333"/>
      <c r="J314" s="333">
        <f>(1+$M$5)^(D314/12)*(H314+IF(AND(F314=1,F315=0),$Q$4,0))</f>
      </c>
      <c r="K314" s="333">
        <f>(1+$M$5)^(D314/12)*(I314)</f>
      </c>
      <c r="L314" s="333">
        <f>K314+J314</f>
      </c>
      <c r="M314" s="170"/>
      <c r="N314" s="7"/>
      <c r="O314" s="1"/>
      <c r="P314" s="331">
        <f>D314</f>
      </c>
      <c r="Q314" s="169"/>
    </row>
    <row x14ac:dyDescent="0.25" r="315" customHeight="1" ht="18.75">
      <c r="A315" s="1"/>
      <c r="B315" s="7"/>
      <c r="C315" s="170"/>
      <c r="D315" s="331">
        <v>308</v>
      </c>
      <c r="E315" s="544">
        <f>+DATE(YEAR(E314),MONTH(E314)-1,DAY(E314))</f>
        <v>25569.041666666668</v>
      </c>
      <c r="F315" s="333">
        <f>IF(DATE(YEAR($B$6),MONTH($B$6)+1,DAY(1))=E315,1,IF(MONTH(E315)=1,F316*(1+$F$5),F316))</f>
      </c>
      <c r="G315" s="333">
        <f>IF('Simulador - 1º Pilar'!$E$99="Sí",IF('Aportaciones Poliza'!$B$13&lt;'Aportaciones Poliza'!E315,0,F315*$B$8/12),F315*$B$8/12)</f>
      </c>
      <c r="H315" s="333">
        <f>$H$5*G315</f>
      </c>
      <c r="I315" s="333"/>
      <c r="J315" s="333">
        <f>(1+$M$5)^(D315/12)*(H315+IF(AND(F315=1,F316=0),$Q$4,0))</f>
      </c>
      <c r="K315" s="333">
        <f>(1+$M$5)^(D315/12)*(I315)</f>
      </c>
      <c r="L315" s="333">
        <f>K315+J315</f>
      </c>
      <c r="M315" s="170"/>
      <c r="N315" s="7"/>
      <c r="O315" s="1"/>
      <c r="P315" s="331">
        <f>D315</f>
      </c>
      <c r="Q315" s="169"/>
    </row>
    <row x14ac:dyDescent="0.25" r="316" customHeight="1" ht="18.75">
      <c r="A316" s="1"/>
      <c r="B316" s="7"/>
      <c r="C316" s="170"/>
      <c r="D316" s="331">
        <v>309</v>
      </c>
      <c r="E316" s="544">
        <f>+DATE(YEAR(E315),MONTH(E315)-1,DAY(E315))</f>
        <v>25569.041666666668</v>
      </c>
      <c r="F316" s="333">
        <f>IF(DATE(YEAR($B$6),MONTH($B$6)+1,DAY(1))=E316,1,IF(MONTH(E316)=1,F317*(1+$F$5),F317))</f>
      </c>
      <c r="G316" s="333">
        <f>IF('Simulador - 1º Pilar'!$E$99="Sí",IF('Aportaciones Poliza'!$B$13&lt;'Aportaciones Poliza'!E316,0,F316*$B$8/12),F316*$B$8/12)</f>
      </c>
      <c r="H316" s="333">
        <f>$H$5*G316</f>
      </c>
      <c r="I316" s="333"/>
      <c r="J316" s="333">
        <f>(1+$M$5)^(D316/12)*(H316+IF(AND(F316=1,F317=0),$Q$4,0))</f>
      </c>
      <c r="K316" s="333">
        <f>(1+$M$5)^(D316/12)*(I316)</f>
      </c>
      <c r="L316" s="333">
        <f>K316+J316</f>
      </c>
      <c r="M316" s="170"/>
      <c r="N316" s="7"/>
      <c r="O316" s="1"/>
      <c r="P316" s="331">
        <f>D316</f>
      </c>
      <c r="Q316" s="169"/>
    </row>
    <row x14ac:dyDescent="0.25" r="317" customHeight="1" ht="18.75">
      <c r="A317" s="1"/>
      <c r="B317" s="7"/>
      <c r="C317" s="170"/>
      <c r="D317" s="331">
        <v>310</v>
      </c>
      <c r="E317" s="544">
        <f>+DATE(YEAR(E316),MONTH(E316)-1,DAY(E316))</f>
        <v>25569.041666666668</v>
      </c>
      <c r="F317" s="333">
        <f>IF(DATE(YEAR($B$6),MONTH($B$6)+1,DAY(1))=E317,1,IF(MONTH(E317)=1,F318*(1+$F$5),F318))</f>
      </c>
      <c r="G317" s="333">
        <f>IF('Simulador - 1º Pilar'!$E$99="Sí",IF('Aportaciones Poliza'!$B$13&lt;'Aportaciones Poliza'!E317,0,F317*$B$8/12),F317*$B$8/12)</f>
      </c>
      <c r="H317" s="333">
        <f>$H$5*G317</f>
      </c>
      <c r="I317" s="333"/>
      <c r="J317" s="333">
        <f>(1+$M$5)^(D317/12)*(H317+IF(AND(F317=1,F318=0),$Q$4,0))</f>
      </c>
      <c r="K317" s="333">
        <f>(1+$M$5)^(D317/12)*(I317)</f>
      </c>
      <c r="L317" s="333">
        <f>K317+J317</f>
      </c>
      <c r="M317" s="170"/>
      <c r="N317" s="7"/>
      <c r="O317" s="1"/>
      <c r="P317" s="331">
        <f>D317</f>
      </c>
      <c r="Q317" s="169"/>
    </row>
    <row x14ac:dyDescent="0.25" r="318" customHeight="1" ht="18.75">
      <c r="A318" s="1"/>
      <c r="B318" s="7"/>
      <c r="C318" s="170"/>
      <c r="D318" s="331">
        <v>311</v>
      </c>
      <c r="E318" s="544">
        <f>+DATE(YEAR(E317),MONTH(E317)-1,DAY(E317))</f>
        <v>25569.041666666668</v>
      </c>
      <c r="F318" s="333">
        <f>IF(DATE(YEAR($B$6),MONTH($B$6)+1,DAY(1))=E318,1,IF(MONTH(E318)=1,F319*(1+$F$5),F319))</f>
      </c>
      <c r="G318" s="333">
        <f>IF('Simulador - 1º Pilar'!$E$99="Sí",IF('Aportaciones Poliza'!$B$13&lt;'Aportaciones Poliza'!E318,0,F318*$B$8/12),F318*$B$8/12)</f>
      </c>
      <c r="H318" s="333">
        <f>$H$5*G318</f>
      </c>
      <c r="I318" s="333"/>
      <c r="J318" s="333">
        <f>(1+$M$5)^(D318/12)*(H318+IF(AND(F318=1,F319=0),$Q$4,0))</f>
      </c>
      <c r="K318" s="333">
        <f>(1+$M$5)^(D318/12)*(I318)</f>
      </c>
      <c r="L318" s="333">
        <f>K318+J318</f>
      </c>
      <c r="M318" s="170"/>
      <c r="N318" s="7"/>
      <c r="O318" s="1"/>
      <c r="P318" s="331">
        <f>D318</f>
      </c>
      <c r="Q318" s="169"/>
    </row>
    <row x14ac:dyDescent="0.25" r="319" customHeight="1" ht="18.75">
      <c r="A319" s="1"/>
      <c r="B319" s="7"/>
      <c r="C319" s="170"/>
      <c r="D319" s="331">
        <v>312</v>
      </c>
      <c r="E319" s="544">
        <f>+DATE(YEAR(E318),MONTH(E318)-1,DAY(E318))</f>
        <v>25569.041666666668</v>
      </c>
      <c r="F319" s="333">
        <f>IF(DATE(YEAR($B$6),MONTH($B$6)+1,DAY(1))=E319,1,IF(MONTH(E319)=1,F320*(1+$F$5),F320))</f>
      </c>
      <c r="G319" s="333">
        <f>IF('Simulador - 1º Pilar'!$E$99="Sí",IF('Aportaciones Poliza'!$B$13&lt;'Aportaciones Poliza'!E319,0,F319*$B$8/12),F319*$B$8/12)</f>
      </c>
      <c r="H319" s="333">
        <f>$H$5*G319</f>
      </c>
      <c r="I319" s="333"/>
      <c r="J319" s="333">
        <f>(1+$M$5)^(D319/12)*(H319+IF(AND(F319=1,F320=0),$Q$4,0))</f>
      </c>
      <c r="K319" s="333">
        <f>(1+$M$5)^(D319/12)*(I319)</f>
      </c>
      <c r="L319" s="333">
        <f>K319+J319</f>
      </c>
      <c r="M319" s="170"/>
      <c r="N319" s="7"/>
      <c r="O319" s="1"/>
      <c r="P319" s="331">
        <f>D319</f>
      </c>
      <c r="Q319" s="169"/>
    </row>
    <row x14ac:dyDescent="0.25" r="320" customHeight="1" ht="18.75">
      <c r="A320" s="1"/>
      <c r="B320" s="7"/>
      <c r="C320" s="170"/>
      <c r="D320" s="331">
        <v>313</v>
      </c>
      <c r="E320" s="544">
        <f>+DATE(YEAR(E319),MONTH(E319)-1,DAY(E319))</f>
        <v>25569.041666666668</v>
      </c>
      <c r="F320" s="333">
        <f>IF(DATE(YEAR($B$6),MONTH($B$6)+1,DAY(1))=E320,1,IF(MONTH(E320)=1,F321*(1+$F$5),F321))</f>
      </c>
      <c r="G320" s="333">
        <f>IF('Simulador - 1º Pilar'!$E$99="Sí",IF('Aportaciones Poliza'!$B$13&lt;'Aportaciones Poliza'!E320,0,F320*$B$8/12),F320*$B$8/12)</f>
      </c>
      <c r="H320" s="333">
        <f>$H$5*G320</f>
      </c>
      <c r="I320" s="333"/>
      <c r="J320" s="333">
        <f>(1+$M$5)^(D320/12)*(H320+IF(AND(F320=1,F321=0),$Q$4,0))</f>
      </c>
      <c r="K320" s="333">
        <f>(1+$M$5)^(D320/12)*(I320)</f>
      </c>
      <c r="L320" s="333">
        <f>K320+J320</f>
      </c>
      <c r="M320" s="170"/>
      <c r="N320" s="7"/>
      <c r="O320" s="1"/>
      <c r="P320" s="331">
        <f>D320</f>
      </c>
      <c r="Q320" s="169"/>
    </row>
    <row x14ac:dyDescent="0.25" r="321" customHeight="1" ht="18.75">
      <c r="A321" s="1"/>
      <c r="B321" s="7"/>
      <c r="C321" s="170"/>
      <c r="D321" s="331">
        <v>314</v>
      </c>
      <c r="E321" s="544">
        <f>+DATE(YEAR(E320),MONTH(E320)-1,DAY(E320))</f>
        <v>25569.041666666668</v>
      </c>
      <c r="F321" s="333">
        <f>IF(DATE(YEAR($B$6),MONTH($B$6)+1,DAY(1))=E321,1,IF(MONTH(E321)=1,F322*(1+$F$5),F322))</f>
      </c>
      <c r="G321" s="333">
        <f>IF('Simulador - 1º Pilar'!$E$99="Sí",IF('Aportaciones Poliza'!$B$13&lt;'Aportaciones Poliza'!E321,0,F321*$B$8/12),F321*$B$8/12)</f>
      </c>
      <c r="H321" s="333">
        <f>$H$5*G321</f>
      </c>
      <c r="I321" s="333"/>
      <c r="J321" s="333">
        <f>(1+$M$5)^(D321/12)*(H321+IF(AND(F321=1,F322=0),$Q$4,0))</f>
      </c>
      <c r="K321" s="333">
        <f>(1+$M$5)^(D321/12)*(I321)</f>
      </c>
      <c r="L321" s="333">
        <f>K321+J321</f>
      </c>
      <c r="M321" s="170"/>
      <c r="N321" s="7"/>
      <c r="O321" s="1"/>
      <c r="P321" s="331">
        <f>D321</f>
      </c>
      <c r="Q321" s="169"/>
    </row>
    <row x14ac:dyDescent="0.25" r="322" customHeight="1" ht="18.75">
      <c r="A322" s="1"/>
      <c r="B322" s="7"/>
      <c r="C322" s="170"/>
      <c r="D322" s="331">
        <v>315</v>
      </c>
      <c r="E322" s="544">
        <f>+DATE(YEAR(E321),MONTH(E321)-1,DAY(E321))</f>
        <v>25569.041666666668</v>
      </c>
      <c r="F322" s="333">
        <f>IF(DATE(YEAR($B$6),MONTH($B$6)+1,DAY(1))=E322,1,IF(MONTH(E322)=1,F323*(1+$F$5),F323))</f>
      </c>
      <c r="G322" s="333">
        <f>IF('Simulador - 1º Pilar'!$E$99="Sí",IF('Aportaciones Poliza'!$B$13&lt;'Aportaciones Poliza'!E322,0,F322*$B$8/12),F322*$B$8/12)</f>
      </c>
      <c r="H322" s="333">
        <f>$H$5*G322</f>
      </c>
      <c r="I322" s="333"/>
      <c r="J322" s="333">
        <f>(1+$M$5)^(D322/12)*(H322+IF(AND(F322=1,F323=0),$Q$4,0))</f>
      </c>
      <c r="K322" s="333">
        <f>(1+$M$5)^(D322/12)*(I322)</f>
      </c>
      <c r="L322" s="333">
        <f>K322+J322</f>
      </c>
      <c r="M322" s="170"/>
      <c r="N322" s="7"/>
      <c r="O322" s="1"/>
      <c r="P322" s="331">
        <f>D322</f>
      </c>
      <c r="Q322" s="169"/>
    </row>
    <row x14ac:dyDescent="0.25" r="323" customHeight="1" ht="18.75">
      <c r="A323" s="1"/>
      <c r="B323" s="7"/>
      <c r="C323" s="170"/>
      <c r="D323" s="331">
        <v>316</v>
      </c>
      <c r="E323" s="544">
        <f>+DATE(YEAR(E322),MONTH(E322)-1,DAY(E322))</f>
        <v>25569.041666666668</v>
      </c>
      <c r="F323" s="333">
        <f>IF(DATE(YEAR($B$6),MONTH($B$6)+1,DAY(1))=E323,1,IF(MONTH(E323)=1,F324*(1+$F$5),F324))</f>
      </c>
      <c r="G323" s="333">
        <f>IF('Simulador - 1º Pilar'!$E$99="Sí",IF('Aportaciones Poliza'!$B$13&lt;'Aportaciones Poliza'!E323,0,F323*$B$8/12),F323*$B$8/12)</f>
      </c>
      <c r="H323" s="333">
        <f>$H$5*G323</f>
      </c>
      <c r="I323" s="333"/>
      <c r="J323" s="333">
        <f>(1+$M$5)^(D323/12)*(H323+IF(AND(F323=1,F324=0),$Q$4,0))</f>
      </c>
      <c r="K323" s="333">
        <f>(1+$M$5)^(D323/12)*(I323)</f>
      </c>
      <c r="L323" s="333">
        <f>K323+J323</f>
      </c>
      <c r="M323" s="170"/>
      <c r="N323" s="7"/>
      <c r="O323" s="1"/>
      <c r="P323" s="331">
        <f>D323</f>
      </c>
      <c r="Q323" s="169"/>
    </row>
    <row x14ac:dyDescent="0.25" r="324" customHeight="1" ht="18.75">
      <c r="A324" s="1"/>
      <c r="B324" s="7"/>
      <c r="C324" s="170"/>
      <c r="D324" s="331">
        <v>317</v>
      </c>
      <c r="E324" s="544">
        <f>+DATE(YEAR(E323),MONTH(E323)-1,DAY(E323))</f>
        <v>25569.041666666668</v>
      </c>
      <c r="F324" s="333">
        <f>IF(DATE(YEAR($B$6),MONTH($B$6)+1,DAY(1))=E324,1,IF(MONTH(E324)=1,F325*(1+$F$5),F325))</f>
      </c>
      <c r="G324" s="333">
        <f>IF('Simulador - 1º Pilar'!$E$99="Sí",IF('Aportaciones Poliza'!$B$13&lt;'Aportaciones Poliza'!E324,0,F324*$B$8/12),F324*$B$8/12)</f>
      </c>
      <c r="H324" s="333">
        <f>$H$5*G324</f>
      </c>
      <c r="I324" s="333"/>
      <c r="J324" s="333">
        <f>(1+$M$5)^(D324/12)*(H324+IF(AND(F324=1,F325=0),$Q$4,0))</f>
      </c>
      <c r="K324" s="333">
        <f>(1+$M$5)^(D324/12)*(I324)</f>
      </c>
      <c r="L324" s="333">
        <f>K324+J324</f>
      </c>
      <c r="M324" s="170"/>
      <c r="N324" s="7"/>
      <c r="O324" s="1"/>
      <c r="P324" s="331">
        <f>D324</f>
      </c>
      <c r="Q324" s="169"/>
    </row>
    <row x14ac:dyDescent="0.25" r="325" customHeight="1" ht="18.75">
      <c r="A325" s="1"/>
      <c r="B325" s="7"/>
      <c r="C325" s="170"/>
      <c r="D325" s="331">
        <v>318</v>
      </c>
      <c r="E325" s="544">
        <f>+DATE(YEAR(E324),MONTH(E324)-1,DAY(E324))</f>
        <v>25569.041666666668</v>
      </c>
      <c r="F325" s="333">
        <f>IF(DATE(YEAR($B$6),MONTH($B$6)+1,DAY(1))=E325,1,IF(MONTH(E325)=1,F326*(1+$F$5),F326))</f>
      </c>
      <c r="G325" s="333">
        <f>IF('Simulador - 1º Pilar'!$E$99="Sí",IF('Aportaciones Poliza'!$B$13&lt;'Aportaciones Poliza'!E325,0,F325*$B$8/12),F325*$B$8/12)</f>
      </c>
      <c r="H325" s="333">
        <f>$H$5*G325</f>
      </c>
      <c r="I325" s="333"/>
      <c r="J325" s="333">
        <f>(1+$M$5)^(D325/12)*(H325+IF(AND(F325=1,F326=0),$Q$4,0))</f>
      </c>
      <c r="K325" s="333">
        <f>(1+$M$5)^(D325/12)*(I325)</f>
      </c>
      <c r="L325" s="333">
        <f>K325+J325</f>
      </c>
      <c r="M325" s="170"/>
      <c r="N325" s="7"/>
      <c r="O325" s="1"/>
      <c r="P325" s="331">
        <f>D325</f>
      </c>
      <c r="Q325" s="169"/>
    </row>
    <row x14ac:dyDescent="0.25" r="326" customHeight="1" ht="18.75">
      <c r="A326" s="1"/>
      <c r="B326" s="7"/>
      <c r="C326" s="170"/>
      <c r="D326" s="331">
        <v>319</v>
      </c>
      <c r="E326" s="544">
        <f>+DATE(YEAR(E325),MONTH(E325)-1,DAY(E325))</f>
        <v>25569.041666666668</v>
      </c>
      <c r="F326" s="333">
        <f>IF(DATE(YEAR($B$6),MONTH($B$6)+1,DAY(1))=E326,1,IF(MONTH(E326)=1,F327*(1+$F$5),F327))</f>
      </c>
      <c r="G326" s="333">
        <f>IF('Simulador - 1º Pilar'!$E$99="Sí",IF('Aportaciones Poliza'!$B$13&lt;'Aportaciones Poliza'!E326,0,F326*$B$8/12),F326*$B$8/12)</f>
      </c>
      <c r="H326" s="333">
        <f>$H$5*G326</f>
      </c>
      <c r="I326" s="333"/>
      <c r="J326" s="333">
        <f>(1+$M$5)^(D326/12)*(H326+IF(AND(F326=1,F327=0),$Q$4,0))</f>
      </c>
      <c r="K326" s="333">
        <f>(1+$M$5)^(D326/12)*(I326)</f>
      </c>
      <c r="L326" s="333">
        <f>K326+J326</f>
      </c>
      <c r="M326" s="170"/>
      <c r="N326" s="7"/>
      <c r="O326" s="1"/>
      <c r="P326" s="331">
        <f>D326</f>
      </c>
      <c r="Q326" s="169"/>
    </row>
    <row x14ac:dyDescent="0.25" r="327" customHeight="1" ht="18.75">
      <c r="A327" s="1"/>
      <c r="B327" s="7"/>
      <c r="C327" s="170"/>
      <c r="D327" s="331">
        <v>320</v>
      </c>
      <c r="E327" s="544">
        <f>+DATE(YEAR(E326),MONTH(E326)-1,DAY(E326))</f>
        <v>25569.041666666668</v>
      </c>
      <c r="F327" s="333">
        <f>IF(DATE(YEAR($B$6),MONTH($B$6)+1,DAY(1))=E327,1,IF(MONTH(E327)=1,F328*(1+$F$5),F328))</f>
      </c>
      <c r="G327" s="333">
        <f>IF('Simulador - 1º Pilar'!$E$99="Sí",IF('Aportaciones Poliza'!$B$13&lt;'Aportaciones Poliza'!E327,0,F327*$B$8/12),F327*$B$8/12)</f>
      </c>
      <c r="H327" s="333">
        <f>$H$5*G327</f>
      </c>
      <c r="I327" s="333"/>
      <c r="J327" s="333">
        <f>(1+$M$5)^(D327/12)*(H327+IF(AND(F327=1,F328=0),$Q$4,0))</f>
      </c>
      <c r="K327" s="333">
        <f>(1+$M$5)^(D327/12)*(I327)</f>
      </c>
      <c r="L327" s="333">
        <f>K327+J327</f>
      </c>
      <c r="M327" s="170"/>
      <c r="N327" s="7"/>
      <c r="O327" s="1"/>
      <c r="P327" s="331">
        <f>D327</f>
      </c>
      <c r="Q327" s="169"/>
    </row>
    <row x14ac:dyDescent="0.25" r="328" customHeight="1" ht="18.75">
      <c r="A328" s="1"/>
      <c r="B328" s="7"/>
      <c r="C328" s="170"/>
      <c r="D328" s="331">
        <v>321</v>
      </c>
      <c r="E328" s="544">
        <f>+DATE(YEAR(E327),MONTH(E327)-1,DAY(E327))</f>
        <v>25569.041666666668</v>
      </c>
      <c r="F328" s="333">
        <f>IF(DATE(YEAR($B$6),MONTH($B$6)+1,DAY(1))=E328,1,IF(MONTH(E328)=1,F329*(1+$F$5),F329))</f>
      </c>
      <c r="G328" s="333">
        <f>IF('Simulador - 1º Pilar'!$E$99="Sí",IF('Aportaciones Poliza'!$B$13&lt;'Aportaciones Poliza'!E328,0,F328*$B$8/12),F328*$B$8/12)</f>
      </c>
      <c r="H328" s="333">
        <f>$H$5*G328</f>
      </c>
      <c r="I328" s="333"/>
      <c r="J328" s="333">
        <f>(1+$M$5)^(D328/12)*(H328+IF(AND(F328=1,F329=0),$Q$4,0))</f>
      </c>
      <c r="K328" s="333">
        <f>(1+$M$5)^(D328/12)*(I328)</f>
      </c>
      <c r="L328" s="333">
        <f>K328+J328</f>
      </c>
      <c r="M328" s="170"/>
      <c r="N328" s="7"/>
      <c r="O328" s="1"/>
      <c r="P328" s="331">
        <f>D328</f>
      </c>
      <c r="Q328" s="169"/>
    </row>
    <row x14ac:dyDescent="0.25" r="329" customHeight="1" ht="18.75">
      <c r="A329" s="1"/>
      <c r="B329" s="7"/>
      <c r="C329" s="170"/>
      <c r="D329" s="331">
        <v>322</v>
      </c>
      <c r="E329" s="544">
        <f>+DATE(YEAR(E328),MONTH(E328)-1,DAY(E328))</f>
        <v>25569.041666666668</v>
      </c>
      <c r="F329" s="333">
        <f>IF(DATE(YEAR($B$6),MONTH($B$6)+1,DAY(1))=E329,1,IF(MONTH(E329)=1,F330*(1+$F$5),F330))</f>
      </c>
      <c r="G329" s="333">
        <f>IF('Simulador - 1º Pilar'!$E$99="Sí",IF('Aportaciones Poliza'!$B$13&lt;'Aportaciones Poliza'!E329,0,F329*$B$8/12),F329*$B$8/12)</f>
      </c>
      <c r="H329" s="333">
        <f>$H$5*G329</f>
      </c>
      <c r="I329" s="333"/>
      <c r="J329" s="333">
        <f>(1+$M$5)^(D329/12)*(H329+IF(AND(F329=1,F330=0),$Q$4,0))</f>
      </c>
      <c r="K329" s="333">
        <f>(1+$M$5)^(D329/12)*(I329)</f>
      </c>
      <c r="L329" s="333">
        <f>K329+J329</f>
      </c>
      <c r="M329" s="170"/>
      <c r="N329" s="7"/>
      <c r="O329" s="1"/>
      <c r="P329" s="331">
        <f>D329</f>
      </c>
      <c r="Q329" s="169"/>
    </row>
    <row x14ac:dyDescent="0.25" r="330" customHeight="1" ht="18.75">
      <c r="A330" s="1"/>
      <c r="B330" s="7"/>
      <c r="C330" s="170"/>
      <c r="D330" s="331">
        <v>323</v>
      </c>
      <c r="E330" s="544">
        <f>+DATE(YEAR(E329),MONTH(E329)-1,DAY(E329))</f>
        <v>25569.041666666668</v>
      </c>
      <c r="F330" s="333">
        <f>IF(DATE(YEAR($B$6),MONTH($B$6)+1,DAY(1))=E330,1,IF(MONTH(E330)=1,F331*(1+$F$5),F331))</f>
      </c>
      <c r="G330" s="333">
        <f>IF('Simulador - 1º Pilar'!$E$99="Sí",IF('Aportaciones Poliza'!$B$13&lt;'Aportaciones Poliza'!E330,0,F330*$B$8/12),F330*$B$8/12)</f>
      </c>
      <c r="H330" s="333">
        <f>$H$5*G330</f>
      </c>
      <c r="I330" s="333"/>
      <c r="J330" s="333">
        <f>(1+$M$5)^(D330/12)*(H330+IF(AND(F330=1,F331=0),$Q$4,0))</f>
      </c>
      <c r="K330" s="333">
        <f>(1+$M$5)^(D330/12)*(I330)</f>
      </c>
      <c r="L330" s="333">
        <f>K330+J330</f>
      </c>
      <c r="M330" s="170"/>
      <c r="N330" s="7"/>
      <c r="O330" s="1"/>
      <c r="P330" s="331">
        <f>D330</f>
      </c>
      <c r="Q330" s="169"/>
    </row>
    <row x14ac:dyDescent="0.25" r="331" customHeight="1" ht="18.75">
      <c r="A331" s="1"/>
      <c r="B331" s="7"/>
      <c r="C331" s="170"/>
      <c r="D331" s="331">
        <v>324</v>
      </c>
      <c r="E331" s="544">
        <f>+DATE(YEAR(E330),MONTH(E330)-1,DAY(E330))</f>
        <v>25569.041666666668</v>
      </c>
      <c r="F331" s="333">
        <f>IF(DATE(YEAR($B$6),MONTH($B$6)+1,DAY(1))=E331,1,IF(MONTH(E331)=1,F332*(1+$F$5),F332))</f>
      </c>
      <c r="G331" s="333">
        <f>IF('Simulador - 1º Pilar'!$E$99="Sí",IF('Aportaciones Poliza'!$B$13&lt;'Aportaciones Poliza'!E331,0,F331*$B$8/12),F331*$B$8/12)</f>
      </c>
      <c r="H331" s="333">
        <f>$H$5*G331</f>
      </c>
      <c r="I331" s="333"/>
      <c r="J331" s="333">
        <f>(1+$M$5)^(D331/12)*(H331+IF(AND(F331=1,F332=0),$Q$4,0))</f>
      </c>
      <c r="K331" s="333">
        <f>(1+$M$5)^(D331/12)*(I331)</f>
      </c>
      <c r="L331" s="333">
        <f>K331+J331</f>
      </c>
      <c r="M331" s="170"/>
      <c r="N331" s="7"/>
      <c r="O331" s="1"/>
      <c r="P331" s="331">
        <f>D331</f>
      </c>
      <c r="Q331" s="169"/>
    </row>
    <row x14ac:dyDescent="0.25" r="332" customHeight="1" ht="18.75">
      <c r="A332" s="1"/>
      <c r="B332" s="7"/>
      <c r="C332" s="170"/>
      <c r="D332" s="331">
        <v>325</v>
      </c>
      <c r="E332" s="544">
        <f>+DATE(YEAR(E331),MONTH(E331)-1,DAY(E331))</f>
        <v>25569.041666666668</v>
      </c>
      <c r="F332" s="333">
        <f>IF(DATE(YEAR($B$6),MONTH($B$6)+1,DAY(1))=E332,1,IF(MONTH(E332)=1,F333*(1+$F$5),F333))</f>
      </c>
      <c r="G332" s="333">
        <f>IF('Simulador - 1º Pilar'!$E$99="Sí",IF('Aportaciones Poliza'!$B$13&lt;'Aportaciones Poliza'!E332,0,F332*$B$8/12),F332*$B$8/12)</f>
      </c>
      <c r="H332" s="333">
        <f>$H$5*G332</f>
      </c>
      <c r="I332" s="333"/>
      <c r="J332" s="333">
        <f>(1+$M$5)^(D332/12)*(H332+IF(AND(F332=1,F333=0),$Q$4,0))</f>
      </c>
      <c r="K332" s="333">
        <f>(1+$M$5)^(D332/12)*(I332)</f>
      </c>
      <c r="L332" s="333">
        <f>K332+J332</f>
      </c>
      <c r="M332" s="170"/>
      <c r="N332" s="7"/>
      <c r="O332" s="1"/>
      <c r="P332" s="331">
        <f>D332</f>
      </c>
      <c r="Q332" s="169"/>
    </row>
    <row x14ac:dyDescent="0.25" r="333" customHeight="1" ht="18.75">
      <c r="A333" s="1"/>
      <c r="B333" s="7"/>
      <c r="C333" s="170"/>
      <c r="D333" s="331">
        <v>326</v>
      </c>
      <c r="E333" s="544">
        <f>+DATE(YEAR(E332),MONTH(E332)-1,DAY(E332))</f>
        <v>25569.041666666668</v>
      </c>
      <c r="F333" s="333">
        <f>IF(DATE(YEAR($B$6),MONTH($B$6)+1,DAY(1))=E333,1,IF(MONTH(E333)=1,F334*(1+$F$5),F334))</f>
      </c>
      <c r="G333" s="333">
        <f>IF('Simulador - 1º Pilar'!$E$99="Sí",IF('Aportaciones Poliza'!$B$13&lt;'Aportaciones Poliza'!E333,0,F333*$B$8/12),F333*$B$8/12)</f>
      </c>
      <c r="H333" s="333">
        <f>$H$5*G333</f>
      </c>
      <c r="I333" s="333"/>
      <c r="J333" s="333">
        <f>(1+$M$5)^(D333/12)*(H333+IF(AND(F333=1,F334=0),$Q$4,0))</f>
      </c>
      <c r="K333" s="333">
        <f>(1+$M$5)^(D333/12)*(I333)</f>
      </c>
      <c r="L333" s="333">
        <f>K333+J333</f>
      </c>
      <c r="M333" s="170"/>
      <c r="N333" s="7"/>
      <c r="O333" s="1"/>
      <c r="P333" s="331">
        <f>D333</f>
      </c>
      <c r="Q333" s="169"/>
    </row>
    <row x14ac:dyDescent="0.25" r="334" customHeight="1" ht="18.75">
      <c r="A334" s="1"/>
      <c r="B334" s="7"/>
      <c r="C334" s="170"/>
      <c r="D334" s="331">
        <v>327</v>
      </c>
      <c r="E334" s="544">
        <f>+DATE(YEAR(E333),MONTH(E333)-1,DAY(E333))</f>
        <v>25569.041666666668</v>
      </c>
      <c r="F334" s="333">
        <f>IF(DATE(YEAR($B$6),MONTH($B$6)+1,DAY(1))=E334,1,IF(MONTH(E334)=1,F335*(1+$F$5),F335))</f>
      </c>
      <c r="G334" s="333">
        <f>IF('Simulador - 1º Pilar'!$E$99="Sí",IF('Aportaciones Poliza'!$B$13&lt;'Aportaciones Poliza'!E334,0,F334*$B$8/12),F334*$B$8/12)</f>
      </c>
      <c r="H334" s="333">
        <f>$H$5*G334</f>
      </c>
      <c r="I334" s="333"/>
      <c r="J334" s="333">
        <f>(1+$M$5)^(D334/12)*(H334+IF(AND(F334=1,F335=0),$Q$4,0))</f>
      </c>
      <c r="K334" s="333">
        <f>(1+$M$5)^(D334/12)*(I334)</f>
      </c>
      <c r="L334" s="333">
        <f>K334+J334</f>
      </c>
      <c r="M334" s="170"/>
      <c r="N334" s="7"/>
      <c r="O334" s="1"/>
      <c r="P334" s="331">
        <f>D334</f>
      </c>
      <c r="Q334" s="169"/>
    </row>
    <row x14ac:dyDescent="0.25" r="335" customHeight="1" ht="18.75">
      <c r="A335" s="1"/>
      <c r="B335" s="7"/>
      <c r="C335" s="170"/>
      <c r="D335" s="331">
        <v>328</v>
      </c>
      <c r="E335" s="544">
        <f>+DATE(YEAR(E334),MONTH(E334)-1,DAY(E334))</f>
        <v>25569.041666666668</v>
      </c>
      <c r="F335" s="333">
        <f>IF(DATE(YEAR($B$6),MONTH($B$6)+1,DAY(1))=E335,1,IF(MONTH(E335)=1,F336*(1+$F$5),F336))</f>
      </c>
      <c r="G335" s="333">
        <f>IF('Simulador - 1º Pilar'!$E$99="Sí",IF('Aportaciones Poliza'!$B$13&lt;'Aportaciones Poliza'!E335,0,F335*$B$8/12),F335*$B$8/12)</f>
      </c>
      <c r="H335" s="333">
        <f>$H$5*G335</f>
      </c>
      <c r="I335" s="333"/>
      <c r="J335" s="333">
        <f>(1+$M$5)^(D335/12)*(H335+IF(AND(F335=1,F336=0),$Q$4,0))</f>
      </c>
      <c r="K335" s="333">
        <f>(1+$M$5)^(D335/12)*(I335)</f>
      </c>
      <c r="L335" s="333">
        <f>K335+J335</f>
      </c>
      <c r="M335" s="170"/>
      <c r="N335" s="7"/>
      <c r="O335" s="1"/>
      <c r="P335" s="331">
        <f>D335</f>
      </c>
      <c r="Q335" s="169"/>
    </row>
    <row x14ac:dyDescent="0.25" r="336" customHeight="1" ht="18.75">
      <c r="A336" s="1"/>
      <c r="B336" s="7"/>
      <c r="C336" s="170"/>
      <c r="D336" s="331">
        <v>329</v>
      </c>
      <c r="E336" s="544">
        <f>+DATE(YEAR(E335),MONTH(E335)-1,DAY(E335))</f>
        <v>25569.041666666668</v>
      </c>
      <c r="F336" s="333">
        <f>IF(DATE(YEAR($B$6),MONTH($B$6)+1,DAY(1))=E336,1,IF(MONTH(E336)=1,F337*(1+$F$5),F337))</f>
      </c>
      <c r="G336" s="333">
        <f>IF('Simulador - 1º Pilar'!$E$99="Sí",IF('Aportaciones Poliza'!$B$13&lt;'Aportaciones Poliza'!E336,0,F336*$B$8/12),F336*$B$8/12)</f>
      </c>
      <c r="H336" s="333">
        <f>$H$5*G336</f>
      </c>
      <c r="I336" s="333"/>
      <c r="J336" s="333">
        <f>(1+$M$5)^(D336/12)*(H336+IF(AND(F336=1,F337=0),$Q$4,0))</f>
      </c>
      <c r="K336" s="333">
        <f>(1+$M$5)^(D336/12)*(I336)</f>
      </c>
      <c r="L336" s="333">
        <f>K336+J336</f>
      </c>
      <c r="M336" s="170"/>
      <c r="N336" s="7"/>
      <c r="O336" s="1"/>
      <c r="P336" s="331">
        <f>D336</f>
      </c>
      <c r="Q336" s="169"/>
    </row>
    <row x14ac:dyDescent="0.25" r="337" customHeight="1" ht="18.75">
      <c r="A337" s="1"/>
      <c r="B337" s="7"/>
      <c r="C337" s="170"/>
      <c r="D337" s="331">
        <v>330</v>
      </c>
      <c r="E337" s="544">
        <f>+DATE(YEAR(E336),MONTH(E336)-1,DAY(E336))</f>
        <v>25569.041666666668</v>
      </c>
      <c r="F337" s="333">
        <f>IF(DATE(YEAR($B$6),MONTH($B$6)+1,DAY(1))=E337,1,IF(MONTH(E337)=1,F338*(1+$F$5),F338))</f>
      </c>
      <c r="G337" s="333">
        <f>IF('Simulador - 1º Pilar'!$E$99="Sí",IF('Aportaciones Poliza'!$B$13&lt;'Aportaciones Poliza'!E337,0,F337*$B$8/12),F337*$B$8/12)</f>
      </c>
      <c r="H337" s="333">
        <f>$H$5*G337</f>
      </c>
      <c r="I337" s="333"/>
      <c r="J337" s="333">
        <f>(1+$M$5)^(D337/12)*(H337+IF(AND(F337=1,F338=0),$Q$4,0))</f>
      </c>
      <c r="K337" s="333">
        <f>(1+$M$5)^(D337/12)*(I337)</f>
      </c>
      <c r="L337" s="333">
        <f>K337+J337</f>
      </c>
      <c r="M337" s="170"/>
      <c r="N337" s="7"/>
      <c r="O337" s="1"/>
      <c r="P337" s="331">
        <f>D337</f>
      </c>
      <c r="Q337" s="169"/>
    </row>
    <row x14ac:dyDescent="0.25" r="338" customHeight="1" ht="18.75">
      <c r="A338" s="1"/>
      <c r="B338" s="7"/>
      <c r="C338" s="170"/>
      <c r="D338" s="331">
        <v>331</v>
      </c>
      <c r="E338" s="544">
        <f>+DATE(YEAR(E337),MONTH(E337)-1,DAY(E337))</f>
        <v>25569.041666666668</v>
      </c>
      <c r="F338" s="333">
        <f>IF(DATE(YEAR($B$6),MONTH($B$6)+1,DAY(1))=E338,1,IF(MONTH(E338)=1,F339*(1+$F$5),F339))</f>
      </c>
      <c r="G338" s="333">
        <f>IF('Simulador - 1º Pilar'!$E$99="Sí",IF('Aportaciones Poliza'!$B$13&lt;'Aportaciones Poliza'!E338,0,F338*$B$8/12),F338*$B$8/12)</f>
      </c>
      <c r="H338" s="333">
        <f>$H$5*G338</f>
      </c>
      <c r="I338" s="333"/>
      <c r="J338" s="333">
        <f>(1+$M$5)^(D338/12)*(H338+IF(AND(F338=1,F339=0),$Q$4,0))</f>
      </c>
      <c r="K338" s="333">
        <f>(1+$M$5)^(D338/12)*(I338)</f>
      </c>
      <c r="L338" s="333">
        <f>K338+J338</f>
      </c>
      <c r="M338" s="170"/>
      <c r="N338" s="7"/>
      <c r="O338" s="1"/>
      <c r="P338" s="331">
        <f>D338</f>
      </c>
      <c r="Q338" s="169"/>
    </row>
    <row x14ac:dyDescent="0.25" r="339" customHeight="1" ht="18.75">
      <c r="A339" s="1"/>
      <c r="B339" s="7"/>
      <c r="C339" s="170"/>
      <c r="D339" s="331">
        <v>332</v>
      </c>
      <c r="E339" s="544">
        <f>+DATE(YEAR(E338),MONTH(E338)-1,DAY(E338))</f>
        <v>25569.041666666668</v>
      </c>
      <c r="F339" s="333">
        <f>IF(DATE(YEAR($B$6),MONTH($B$6)+1,DAY(1))=E339,1,IF(MONTH(E339)=1,F340*(1+$F$5),F340))</f>
      </c>
      <c r="G339" s="333">
        <f>IF('Simulador - 1º Pilar'!$E$99="Sí",IF('Aportaciones Poliza'!$B$13&lt;'Aportaciones Poliza'!E339,0,F339*$B$8/12),F339*$B$8/12)</f>
      </c>
      <c r="H339" s="333">
        <f>$H$5*G339</f>
      </c>
      <c r="I339" s="333"/>
      <c r="J339" s="333">
        <f>(1+$M$5)^(D339/12)*(H339+IF(AND(F339=1,F340=0),$Q$4,0))</f>
      </c>
      <c r="K339" s="333">
        <f>(1+$M$5)^(D339/12)*(I339)</f>
      </c>
      <c r="L339" s="333">
        <f>K339+J339</f>
      </c>
      <c r="M339" s="170"/>
      <c r="N339" s="7"/>
      <c r="O339" s="1"/>
      <c r="P339" s="331">
        <f>D339</f>
      </c>
      <c r="Q339" s="169"/>
    </row>
    <row x14ac:dyDescent="0.25" r="340" customHeight="1" ht="18.75">
      <c r="A340" s="1"/>
      <c r="B340" s="7"/>
      <c r="C340" s="170"/>
      <c r="D340" s="331">
        <v>333</v>
      </c>
      <c r="E340" s="544">
        <f>+DATE(YEAR(E339),MONTH(E339)-1,DAY(E339))</f>
        <v>25569.041666666668</v>
      </c>
      <c r="F340" s="333">
        <f>IF(DATE(YEAR($B$6),MONTH($B$6)+1,DAY(1))=E340,1,IF(MONTH(E340)=1,F341*(1+$F$5),F341))</f>
      </c>
      <c r="G340" s="333">
        <f>IF('Simulador - 1º Pilar'!$E$99="Sí",IF('Aportaciones Poliza'!$B$13&lt;'Aportaciones Poliza'!E340,0,F340*$B$8/12),F340*$B$8/12)</f>
      </c>
      <c r="H340" s="333">
        <f>$H$5*G340</f>
      </c>
      <c r="I340" s="333"/>
      <c r="J340" s="333">
        <f>(1+$M$5)^(D340/12)*(H340+IF(AND(F340=1,F341=0),$Q$4,0))</f>
      </c>
      <c r="K340" s="333">
        <f>(1+$M$5)^(D340/12)*(I340)</f>
      </c>
      <c r="L340" s="333">
        <f>K340+J340</f>
      </c>
      <c r="M340" s="170"/>
      <c r="N340" s="7"/>
      <c r="O340" s="1"/>
      <c r="P340" s="331">
        <f>D340</f>
      </c>
      <c r="Q340" s="169"/>
    </row>
    <row x14ac:dyDescent="0.25" r="341" customHeight="1" ht="18.75">
      <c r="A341" s="1"/>
      <c r="B341" s="7"/>
      <c r="C341" s="170"/>
      <c r="D341" s="331">
        <v>334</v>
      </c>
      <c r="E341" s="544">
        <f>+DATE(YEAR(E340),MONTH(E340)-1,DAY(E340))</f>
        <v>25569.041666666668</v>
      </c>
      <c r="F341" s="333">
        <f>IF(DATE(YEAR($B$6),MONTH($B$6)+1,DAY(1))=E341,1,IF(MONTH(E341)=1,F342*(1+$F$5),F342))</f>
      </c>
      <c r="G341" s="333">
        <f>IF('Simulador - 1º Pilar'!$E$99="Sí",IF('Aportaciones Poliza'!$B$13&lt;'Aportaciones Poliza'!E341,0,F341*$B$8/12),F341*$B$8/12)</f>
      </c>
      <c r="H341" s="333">
        <f>$H$5*G341</f>
      </c>
      <c r="I341" s="333"/>
      <c r="J341" s="333">
        <f>(1+$M$5)^(D341/12)*(H341+IF(AND(F341=1,F342=0),$Q$4,0))</f>
      </c>
      <c r="K341" s="333">
        <f>(1+$M$5)^(D341/12)*(I341)</f>
      </c>
      <c r="L341" s="333">
        <f>K341+J341</f>
      </c>
      <c r="M341" s="170"/>
      <c r="N341" s="7"/>
      <c r="O341" s="1"/>
      <c r="P341" s="331">
        <f>D341</f>
      </c>
      <c r="Q341" s="169"/>
    </row>
    <row x14ac:dyDescent="0.25" r="342" customHeight="1" ht="18.75">
      <c r="A342" s="1"/>
      <c r="B342" s="7"/>
      <c r="C342" s="170"/>
      <c r="D342" s="331">
        <v>335</v>
      </c>
      <c r="E342" s="544">
        <f>+DATE(YEAR(E341),MONTH(E341)-1,DAY(E341))</f>
        <v>25569.041666666668</v>
      </c>
      <c r="F342" s="333">
        <f>IF(DATE(YEAR($B$6),MONTH($B$6)+1,DAY(1))=E342,1,IF(MONTH(E342)=1,F343*(1+$F$5),F343))</f>
      </c>
      <c r="G342" s="333">
        <f>IF('Simulador - 1º Pilar'!$E$99="Sí",IF('Aportaciones Poliza'!$B$13&lt;'Aportaciones Poliza'!E342,0,F342*$B$8/12),F342*$B$8/12)</f>
      </c>
      <c r="H342" s="333">
        <f>$H$5*G342</f>
      </c>
      <c r="I342" s="333"/>
      <c r="J342" s="333">
        <f>(1+$M$5)^(D342/12)*(H342+IF(AND(F342=1,F343=0),$Q$4,0))</f>
      </c>
      <c r="K342" s="333">
        <f>(1+$M$5)^(D342/12)*(I342)</f>
      </c>
      <c r="L342" s="333">
        <f>K342+J342</f>
      </c>
      <c r="M342" s="170"/>
      <c r="N342" s="7"/>
      <c r="O342" s="1"/>
      <c r="P342" s="331">
        <f>D342</f>
      </c>
      <c r="Q342" s="169"/>
    </row>
    <row x14ac:dyDescent="0.25" r="343" customHeight="1" ht="18.75">
      <c r="A343" s="1"/>
      <c r="B343" s="7"/>
      <c r="C343" s="170"/>
      <c r="D343" s="331">
        <v>336</v>
      </c>
      <c r="E343" s="544">
        <f>+DATE(YEAR(E342),MONTH(E342)-1,DAY(E342))</f>
        <v>25569.041666666668</v>
      </c>
      <c r="F343" s="333">
        <f>IF(DATE(YEAR($B$6),MONTH($B$6)+1,DAY(1))=E343,1,IF(MONTH(E343)=1,F344*(1+$F$5),F344))</f>
      </c>
      <c r="G343" s="333">
        <f>IF('Simulador - 1º Pilar'!$E$99="Sí",IF('Aportaciones Poliza'!$B$13&lt;'Aportaciones Poliza'!E343,0,F343*$B$8/12),F343*$B$8/12)</f>
      </c>
      <c r="H343" s="333">
        <f>$H$5*G343</f>
      </c>
      <c r="I343" s="333"/>
      <c r="J343" s="333">
        <f>(1+$M$5)^(D343/12)*(H343+IF(AND(F343=1,F344=0),$Q$4,0))</f>
      </c>
      <c r="K343" s="333">
        <f>(1+$M$5)^(D343/12)*(I343)</f>
      </c>
      <c r="L343" s="333">
        <f>K343+J343</f>
      </c>
      <c r="M343" s="170"/>
      <c r="N343" s="7"/>
      <c r="O343" s="1"/>
      <c r="P343" s="331">
        <f>D343</f>
      </c>
      <c r="Q343" s="169"/>
    </row>
    <row x14ac:dyDescent="0.25" r="344" customHeight="1" ht="18.75">
      <c r="A344" s="1"/>
      <c r="B344" s="7"/>
      <c r="C344" s="170"/>
      <c r="D344" s="331">
        <v>337</v>
      </c>
      <c r="E344" s="544">
        <f>+DATE(YEAR(E343),MONTH(E343)-1,DAY(E343))</f>
        <v>25569.041666666668</v>
      </c>
      <c r="F344" s="333">
        <f>IF(DATE(YEAR($B$6),MONTH($B$6)+1,DAY(1))=E344,1,IF(MONTH(E344)=1,F345*(1+$F$5),F345))</f>
      </c>
      <c r="G344" s="333">
        <f>IF('Simulador - 1º Pilar'!$E$99="Sí",IF('Aportaciones Poliza'!$B$13&lt;'Aportaciones Poliza'!E344,0,F344*$B$8/12),F344*$B$8/12)</f>
      </c>
      <c r="H344" s="333">
        <f>$H$5*G344</f>
      </c>
      <c r="I344" s="333"/>
      <c r="J344" s="333">
        <f>(1+$M$5)^(D344/12)*(H344+IF(AND(F344=1,F345=0),$Q$4,0))</f>
      </c>
      <c r="K344" s="333">
        <f>(1+$M$5)^(D344/12)*(I344)</f>
      </c>
      <c r="L344" s="333">
        <f>K344+J344</f>
      </c>
      <c r="M344" s="170"/>
      <c r="N344" s="7"/>
      <c r="O344" s="1"/>
      <c r="P344" s="331">
        <f>D344</f>
      </c>
      <c r="Q344" s="169"/>
    </row>
    <row x14ac:dyDescent="0.25" r="345" customHeight="1" ht="18.75">
      <c r="A345" s="1"/>
      <c r="B345" s="7"/>
      <c r="C345" s="170"/>
      <c r="D345" s="331">
        <v>338</v>
      </c>
      <c r="E345" s="544">
        <f>+DATE(YEAR(E344),MONTH(E344)-1,DAY(E344))</f>
        <v>25569.041666666668</v>
      </c>
      <c r="F345" s="333">
        <f>IF(DATE(YEAR($B$6),MONTH($B$6)+1,DAY(1))=E345,1,IF(MONTH(E345)=1,F346*(1+$F$5),F346))</f>
      </c>
      <c r="G345" s="333">
        <f>IF('Simulador - 1º Pilar'!$E$99="Sí",IF('Aportaciones Poliza'!$B$13&lt;'Aportaciones Poliza'!E345,0,F345*$B$8/12),F345*$B$8/12)</f>
      </c>
      <c r="H345" s="333">
        <f>$H$5*G345</f>
      </c>
      <c r="I345" s="333"/>
      <c r="J345" s="333">
        <f>(1+$M$5)^(D345/12)*(H345+IF(AND(F345=1,F346=0),$Q$4,0))</f>
      </c>
      <c r="K345" s="333">
        <f>(1+$M$5)^(D345/12)*(I345)</f>
      </c>
      <c r="L345" s="333">
        <f>K345+J345</f>
      </c>
      <c r="M345" s="170"/>
      <c r="N345" s="7"/>
      <c r="O345" s="1"/>
      <c r="P345" s="331">
        <f>D345</f>
      </c>
      <c r="Q345" s="169"/>
    </row>
    <row x14ac:dyDescent="0.25" r="346" customHeight="1" ht="18.75">
      <c r="A346" s="1"/>
      <c r="B346" s="7"/>
      <c r="C346" s="170"/>
      <c r="D346" s="331">
        <v>339</v>
      </c>
      <c r="E346" s="544">
        <f>+DATE(YEAR(E345),MONTH(E345)-1,DAY(E345))</f>
        <v>25569.041666666668</v>
      </c>
      <c r="F346" s="333">
        <f>IF(DATE(YEAR($B$6),MONTH($B$6)+1,DAY(1))=E346,1,IF(MONTH(E346)=1,F347*(1+$F$5),F347))</f>
      </c>
      <c r="G346" s="333">
        <f>IF('Simulador - 1º Pilar'!$E$99="Sí",IF('Aportaciones Poliza'!$B$13&lt;'Aportaciones Poliza'!E346,0,F346*$B$8/12),F346*$B$8/12)</f>
      </c>
      <c r="H346" s="333">
        <f>$H$5*G346</f>
      </c>
      <c r="I346" s="333"/>
      <c r="J346" s="333">
        <f>(1+$M$5)^(D346/12)*(H346+IF(AND(F346=1,F347=0),$Q$4,0))</f>
      </c>
      <c r="K346" s="333">
        <f>(1+$M$5)^(D346/12)*(I346)</f>
      </c>
      <c r="L346" s="333">
        <f>K346+J346</f>
      </c>
      <c r="M346" s="170"/>
      <c r="N346" s="7"/>
      <c r="O346" s="1"/>
      <c r="P346" s="331">
        <f>D346</f>
      </c>
      <c r="Q346" s="169"/>
    </row>
    <row x14ac:dyDescent="0.25" r="347" customHeight="1" ht="18.75">
      <c r="A347" s="1"/>
      <c r="B347" s="7"/>
      <c r="C347" s="170"/>
      <c r="D347" s="331">
        <v>340</v>
      </c>
      <c r="E347" s="544">
        <f>+DATE(YEAR(E346),MONTH(E346)-1,DAY(E346))</f>
        <v>25569.041666666668</v>
      </c>
      <c r="F347" s="333">
        <f>IF(DATE(YEAR($B$6),MONTH($B$6)+1,DAY(1))=E347,1,IF(MONTH(E347)=1,F348*(1+$F$5),F348))</f>
      </c>
      <c r="G347" s="333">
        <f>IF('Simulador - 1º Pilar'!$E$99="Sí",IF('Aportaciones Poliza'!$B$13&lt;'Aportaciones Poliza'!E347,0,F347*$B$8/12),F347*$B$8/12)</f>
      </c>
      <c r="H347" s="333">
        <f>$H$5*G347</f>
      </c>
      <c r="I347" s="333"/>
      <c r="J347" s="333">
        <f>(1+$M$5)^(D347/12)*(H347+IF(AND(F347=1,F348=0),$Q$4,0))</f>
      </c>
      <c r="K347" s="333">
        <f>(1+$M$5)^(D347/12)*(I347)</f>
      </c>
      <c r="L347" s="333">
        <f>K347+J347</f>
      </c>
      <c r="M347" s="170"/>
      <c r="N347" s="7"/>
      <c r="O347" s="1"/>
      <c r="P347" s="331">
        <f>D347</f>
      </c>
      <c r="Q347" s="169"/>
    </row>
    <row x14ac:dyDescent="0.25" r="348" customHeight="1" ht="18.75">
      <c r="A348" s="1"/>
      <c r="B348" s="7"/>
      <c r="C348" s="170"/>
      <c r="D348" s="331">
        <v>341</v>
      </c>
      <c r="E348" s="544">
        <f>+DATE(YEAR(E347),MONTH(E347)-1,DAY(E347))</f>
        <v>25569.041666666668</v>
      </c>
      <c r="F348" s="333">
        <f>IF(DATE(YEAR($B$6),MONTH($B$6)+1,DAY(1))=E348,1,IF(MONTH(E348)=1,F349*(1+$F$5),F349))</f>
      </c>
      <c r="G348" s="333">
        <f>IF('Simulador - 1º Pilar'!$E$99="Sí",IF('Aportaciones Poliza'!$B$13&lt;'Aportaciones Poliza'!E348,0,F348*$B$8/12),F348*$B$8/12)</f>
      </c>
      <c r="H348" s="333">
        <f>$H$5*G348</f>
      </c>
      <c r="I348" s="333"/>
      <c r="J348" s="333">
        <f>(1+$M$5)^(D348/12)*(H348+IF(AND(F348=1,F349=0),$Q$4,0))</f>
      </c>
      <c r="K348" s="333">
        <f>(1+$M$5)^(D348/12)*(I348)</f>
      </c>
      <c r="L348" s="333">
        <f>K348+J348</f>
      </c>
      <c r="M348" s="170"/>
      <c r="N348" s="7"/>
      <c r="O348" s="1"/>
      <c r="P348" s="331">
        <f>D348</f>
      </c>
      <c r="Q348" s="169"/>
    </row>
    <row x14ac:dyDescent="0.25" r="349" customHeight="1" ht="18.75">
      <c r="A349" s="1"/>
      <c r="B349" s="7"/>
      <c r="C349" s="170"/>
      <c r="D349" s="331">
        <v>342</v>
      </c>
      <c r="E349" s="544">
        <f>+DATE(YEAR(E348),MONTH(E348)-1,DAY(E348))</f>
        <v>25569.041666666668</v>
      </c>
      <c r="F349" s="333">
        <f>IF(DATE(YEAR($B$6),MONTH($B$6)+1,DAY(1))=E349,1,IF(MONTH(E349)=1,F350*(1+$F$5),F350))</f>
      </c>
      <c r="G349" s="333">
        <f>IF('Simulador - 1º Pilar'!$E$99="Sí",IF('Aportaciones Poliza'!$B$13&lt;'Aportaciones Poliza'!E349,0,F349*$B$8/12),F349*$B$8/12)</f>
      </c>
      <c r="H349" s="333">
        <f>$H$5*G349</f>
      </c>
      <c r="I349" s="333"/>
      <c r="J349" s="333">
        <f>(1+$M$5)^(D349/12)*(H349+IF(AND(F349=1,F350=0),$Q$4,0))</f>
      </c>
      <c r="K349" s="333">
        <f>(1+$M$5)^(D349/12)*(I349)</f>
      </c>
      <c r="L349" s="333">
        <f>K349+J349</f>
      </c>
      <c r="M349" s="170"/>
      <c r="N349" s="7"/>
      <c r="O349" s="1"/>
      <c r="P349" s="331">
        <f>D349</f>
      </c>
      <c r="Q349" s="169"/>
    </row>
    <row x14ac:dyDescent="0.25" r="350" customHeight="1" ht="18.75">
      <c r="A350" s="1"/>
      <c r="B350" s="7"/>
      <c r="C350" s="170"/>
      <c r="D350" s="331">
        <v>343</v>
      </c>
      <c r="E350" s="544">
        <f>+DATE(YEAR(E349),MONTH(E349)-1,DAY(E349))</f>
        <v>25569.041666666668</v>
      </c>
      <c r="F350" s="333">
        <f>IF(DATE(YEAR($B$6),MONTH($B$6)+1,DAY(1))=E350,1,IF(MONTH(E350)=1,F351*(1+$F$5),F351))</f>
      </c>
      <c r="G350" s="333">
        <f>IF('Simulador - 1º Pilar'!$E$99="Sí",IF('Aportaciones Poliza'!$B$13&lt;'Aportaciones Poliza'!E350,0,F350*$B$8/12),F350*$B$8/12)</f>
      </c>
      <c r="H350" s="333">
        <f>$H$5*G350</f>
      </c>
      <c r="I350" s="333"/>
      <c r="J350" s="333">
        <f>(1+$M$5)^(D350/12)*(H350+IF(AND(F350=1,F351=0),$Q$4,0))</f>
      </c>
      <c r="K350" s="333">
        <f>(1+$M$5)^(D350/12)*(I350)</f>
      </c>
      <c r="L350" s="333">
        <f>K350+J350</f>
      </c>
      <c r="M350" s="170"/>
      <c r="N350" s="7"/>
      <c r="O350" s="1"/>
      <c r="P350" s="331">
        <f>D350</f>
      </c>
      <c r="Q350" s="169"/>
    </row>
    <row x14ac:dyDescent="0.25" r="351" customHeight="1" ht="18.75">
      <c r="A351" s="1"/>
      <c r="B351" s="7"/>
      <c r="C351" s="170"/>
      <c r="D351" s="331">
        <v>344</v>
      </c>
      <c r="E351" s="544">
        <f>+DATE(YEAR(E350),MONTH(E350)-1,DAY(E350))</f>
        <v>25569.041666666668</v>
      </c>
      <c r="F351" s="333">
        <f>IF(DATE(YEAR($B$6),MONTH($B$6)+1,DAY(1))=E351,1,IF(MONTH(E351)=1,F352*(1+$F$5),F352))</f>
      </c>
      <c r="G351" s="333">
        <f>IF('Simulador - 1º Pilar'!$E$99="Sí",IF('Aportaciones Poliza'!$B$13&lt;'Aportaciones Poliza'!E351,0,F351*$B$8/12),F351*$B$8/12)</f>
      </c>
      <c r="H351" s="333">
        <f>$H$5*G351</f>
      </c>
      <c r="I351" s="333"/>
      <c r="J351" s="333">
        <f>(1+$M$5)^(D351/12)*(H351+IF(AND(F351=1,F352=0),$Q$4,0))</f>
      </c>
      <c r="K351" s="333">
        <f>(1+$M$5)^(D351/12)*(I351)</f>
      </c>
      <c r="L351" s="333">
        <f>K351+J351</f>
      </c>
      <c r="M351" s="170"/>
      <c r="N351" s="7"/>
      <c r="O351" s="1"/>
      <c r="P351" s="331">
        <f>D351</f>
      </c>
      <c r="Q351" s="169"/>
    </row>
    <row x14ac:dyDescent="0.25" r="352" customHeight="1" ht="18.75">
      <c r="A352" s="1"/>
      <c r="B352" s="7"/>
      <c r="C352" s="170"/>
      <c r="D352" s="331">
        <v>345</v>
      </c>
      <c r="E352" s="544">
        <f>+DATE(YEAR(E351),MONTH(E351)-1,DAY(E351))</f>
        <v>25569.041666666668</v>
      </c>
      <c r="F352" s="333">
        <f>IF(DATE(YEAR($B$6),MONTH($B$6)+1,DAY(1))=E352,1,IF(MONTH(E352)=1,F353*(1+$F$5),F353))</f>
      </c>
      <c r="G352" s="333">
        <f>IF('Simulador - 1º Pilar'!$E$99="Sí",IF('Aportaciones Poliza'!$B$13&lt;'Aportaciones Poliza'!E352,0,F352*$B$8/12),F352*$B$8/12)</f>
      </c>
      <c r="H352" s="333">
        <f>$H$5*G352</f>
      </c>
      <c r="I352" s="333"/>
      <c r="J352" s="333">
        <f>(1+$M$5)^(D352/12)*(H352+IF(AND(F352=1,F353=0),$Q$4,0))</f>
      </c>
      <c r="K352" s="333">
        <f>(1+$M$5)^(D352/12)*(I352)</f>
      </c>
      <c r="L352" s="333">
        <f>K352+J352</f>
      </c>
      <c r="M352" s="170"/>
      <c r="N352" s="7"/>
      <c r="O352" s="1"/>
      <c r="P352" s="331">
        <f>D352</f>
      </c>
      <c r="Q352" s="169"/>
    </row>
    <row x14ac:dyDescent="0.25" r="353" customHeight="1" ht="18.75">
      <c r="A353" s="1"/>
      <c r="B353" s="7"/>
      <c r="C353" s="170"/>
      <c r="D353" s="331">
        <v>346</v>
      </c>
      <c r="E353" s="544">
        <f>+DATE(YEAR(E352),MONTH(E352)-1,DAY(E352))</f>
        <v>25569.041666666668</v>
      </c>
      <c r="F353" s="333">
        <f>IF(DATE(YEAR($B$6),MONTH($B$6)+1,DAY(1))=E353,1,IF(MONTH(E353)=1,F354*(1+$F$5),F354))</f>
      </c>
      <c r="G353" s="333">
        <f>IF('Simulador - 1º Pilar'!$E$99="Sí",IF('Aportaciones Poliza'!$B$13&lt;'Aportaciones Poliza'!E353,0,F353*$B$8/12),F353*$B$8/12)</f>
      </c>
      <c r="H353" s="333">
        <f>$H$5*G353</f>
      </c>
      <c r="I353" s="333"/>
      <c r="J353" s="333">
        <f>(1+$M$5)^(D353/12)*(H353+IF(AND(F353=1,F354=0),$Q$4,0))</f>
      </c>
      <c r="K353" s="333">
        <f>(1+$M$5)^(D353/12)*(I353)</f>
      </c>
      <c r="L353" s="333">
        <f>K353+J353</f>
      </c>
      <c r="M353" s="170"/>
      <c r="N353" s="7"/>
      <c r="O353" s="1"/>
      <c r="P353" s="331">
        <f>D353</f>
      </c>
      <c r="Q353" s="169"/>
    </row>
    <row x14ac:dyDescent="0.25" r="354" customHeight="1" ht="18.75">
      <c r="A354" s="1"/>
      <c r="B354" s="7"/>
      <c r="C354" s="170"/>
      <c r="D354" s="331">
        <v>347</v>
      </c>
      <c r="E354" s="544">
        <f>+DATE(YEAR(E353),MONTH(E353)-1,DAY(E353))</f>
        <v>25569.041666666668</v>
      </c>
      <c r="F354" s="333">
        <f>IF(DATE(YEAR($B$6),MONTH($B$6)+1,DAY(1))=E354,1,IF(MONTH(E354)=1,F355*(1+$F$5),F355))</f>
      </c>
      <c r="G354" s="333">
        <f>IF('Simulador - 1º Pilar'!$E$99="Sí",IF('Aportaciones Poliza'!$B$13&lt;'Aportaciones Poliza'!E354,0,F354*$B$8/12),F354*$B$8/12)</f>
      </c>
      <c r="H354" s="333">
        <f>$H$5*G354</f>
      </c>
      <c r="I354" s="333"/>
      <c r="J354" s="333">
        <f>(1+$M$5)^(D354/12)*(H354+IF(AND(F354=1,F355=0),$Q$4,0))</f>
      </c>
      <c r="K354" s="333">
        <f>(1+$M$5)^(D354/12)*(I354)</f>
      </c>
      <c r="L354" s="333">
        <f>K354+J354</f>
      </c>
      <c r="M354" s="170"/>
      <c r="N354" s="7"/>
      <c r="O354" s="1"/>
      <c r="P354" s="331">
        <f>D354</f>
      </c>
      <c r="Q354" s="169"/>
    </row>
    <row x14ac:dyDescent="0.25" r="355" customHeight="1" ht="18.75">
      <c r="A355" s="1"/>
      <c r="B355" s="7"/>
      <c r="C355" s="170"/>
      <c r="D355" s="331">
        <v>348</v>
      </c>
      <c r="E355" s="544">
        <f>+DATE(YEAR(E354),MONTH(E354)-1,DAY(E354))</f>
        <v>25569.041666666668</v>
      </c>
      <c r="F355" s="333">
        <f>IF(DATE(YEAR($B$6),MONTH($B$6)+1,DAY(1))=E355,1,IF(MONTH(E355)=1,F356*(1+$F$5),F356))</f>
      </c>
      <c r="G355" s="333">
        <f>IF('Simulador - 1º Pilar'!$E$99="Sí",IF('Aportaciones Poliza'!$B$13&lt;'Aportaciones Poliza'!E355,0,F355*$B$8/12),F355*$B$8/12)</f>
      </c>
      <c r="H355" s="333">
        <f>$H$5*G355</f>
      </c>
      <c r="I355" s="333"/>
      <c r="J355" s="333">
        <f>(1+$M$5)^(D355/12)*(H355+IF(AND(F355=1,F356=0),$Q$4,0))</f>
      </c>
      <c r="K355" s="333">
        <f>(1+$M$5)^(D355/12)*(I355)</f>
      </c>
      <c r="L355" s="333">
        <f>K355+J355</f>
      </c>
      <c r="M355" s="170"/>
      <c r="N355" s="7"/>
      <c r="O355" s="1"/>
      <c r="P355" s="331">
        <f>D355</f>
      </c>
      <c r="Q355" s="169"/>
    </row>
    <row x14ac:dyDescent="0.25" r="356" customHeight="1" ht="18.75">
      <c r="A356" s="1"/>
      <c r="B356" s="7"/>
      <c r="C356" s="170"/>
      <c r="D356" s="331">
        <v>349</v>
      </c>
      <c r="E356" s="544">
        <f>+DATE(YEAR(E355),MONTH(E355)-1,DAY(E355))</f>
        <v>25569.041666666668</v>
      </c>
      <c r="F356" s="333">
        <f>IF(DATE(YEAR($B$6),MONTH($B$6)+1,DAY(1))=E356,1,IF(MONTH(E356)=1,F357*(1+$F$5),F357))</f>
      </c>
      <c r="G356" s="333">
        <f>IF('Simulador - 1º Pilar'!$E$99="Sí",IF('Aportaciones Poliza'!$B$13&lt;'Aportaciones Poliza'!E356,0,F356*$B$8/12),F356*$B$8/12)</f>
      </c>
      <c r="H356" s="333">
        <f>$H$5*G356</f>
      </c>
      <c r="I356" s="333"/>
      <c r="J356" s="333">
        <f>(1+$M$5)^(D356/12)*(H356+IF(AND(F356=1,F357=0),$Q$4,0))</f>
      </c>
      <c r="K356" s="333">
        <f>(1+$M$5)^(D356/12)*(I356)</f>
      </c>
      <c r="L356" s="333">
        <f>K356+J356</f>
      </c>
      <c r="M356" s="170"/>
      <c r="N356" s="7"/>
      <c r="O356" s="1"/>
      <c r="P356" s="331">
        <f>D356</f>
      </c>
      <c r="Q356" s="169"/>
    </row>
    <row x14ac:dyDescent="0.25" r="357" customHeight="1" ht="18.75">
      <c r="A357" s="1"/>
      <c r="B357" s="7"/>
      <c r="C357" s="170"/>
      <c r="D357" s="331">
        <v>350</v>
      </c>
      <c r="E357" s="544">
        <f>+DATE(YEAR(E356),MONTH(E356)-1,DAY(E356))</f>
        <v>25569.041666666668</v>
      </c>
      <c r="F357" s="333">
        <f>IF(DATE(YEAR($B$6),MONTH($B$6)+1,DAY(1))=E357,1,IF(MONTH(E357)=1,F358*(1+$F$5),F358))</f>
      </c>
      <c r="G357" s="333">
        <f>IF('Simulador - 1º Pilar'!$E$99="Sí",IF('Aportaciones Poliza'!$B$13&lt;'Aportaciones Poliza'!E357,0,F357*$B$8/12),F357*$B$8/12)</f>
      </c>
      <c r="H357" s="333">
        <f>$H$5*G357</f>
      </c>
      <c r="I357" s="333"/>
      <c r="J357" s="333">
        <f>(1+$M$5)^(D357/12)*(H357+IF(AND(F357=1,F358=0),$Q$4,0))</f>
      </c>
      <c r="K357" s="333">
        <f>(1+$M$5)^(D357/12)*(I357)</f>
      </c>
      <c r="L357" s="333">
        <f>K357+J357</f>
      </c>
      <c r="M357" s="170"/>
      <c r="N357" s="7"/>
      <c r="O357" s="1"/>
      <c r="P357" s="331">
        <f>D357</f>
      </c>
      <c r="Q357" s="169"/>
    </row>
    <row x14ac:dyDescent="0.25" r="358" customHeight="1" ht="18.75">
      <c r="A358" s="1"/>
      <c r="B358" s="7"/>
      <c r="C358" s="170"/>
      <c r="D358" s="331">
        <v>351</v>
      </c>
      <c r="E358" s="544">
        <f>+DATE(YEAR(E357),MONTH(E357)-1,DAY(E357))</f>
        <v>25569.041666666668</v>
      </c>
      <c r="F358" s="333">
        <f>IF(DATE(YEAR($B$6),MONTH($B$6)+1,DAY(1))=E358,1,IF(MONTH(E358)=1,F359*(1+$F$5),F359))</f>
      </c>
      <c r="G358" s="333">
        <f>IF('Simulador - 1º Pilar'!$E$99="Sí",IF('Aportaciones Poliza'!$B$13&lt;'Aportaciones Poliza'!E358,0,F358*$B$8/12),F358*$B$8/12)</f>
      </c>
      <c r="H358" s="333">
        <f>$H$5*G358</f>
      </c>
      <c r="I358" s="333"/>
      <c r="J358" s="333">
        <f>(1+$M$5)^(D358/12)*(H358+IF(AND(F358=1,F359=0),$Q$4,0))</f>
      </c>
      <c r="K358" s="333">
        <f>(1+$M$5)^(D358/12)*(I358)</f>
      </c>
      <c r="L358" s="333">
        <f>K358+J358</f>
      </c>
      <c r="M358" s="170"/>
      <c r="N358" s="7"/>
      <c r="O358" s="1"/>
      <c r="P358" s="331">
        <f>D358</f>
      </c>
      <c r="Q358" s="169"/>
    </row>
    <row x14ac:dyDescent="0.25" r="359" customHeight="1" ht="18.75">
      <c r="A359" s="1"/>
      <c r="B359" s="7"/>
      <c r="C359" s="170"/>
      <c r="D359" s="331">
        <v>352</v>
      </c>
      <c r="E359" s="544">
        <f>+DATE(YEAR(E358),MONTH(E358)-1,DAY(E358))</f>
        <v>25569.041666666668</v>
      </c>
      <c r="F359" s="333">
        <f>IF(DATE(YEAR($B$6),MONTH($B$6)+1,DAY(1))=E359,1,IF(MONTH(E359)=1,F360*(1+$F$5),F360))</f>
      </c>
      <c r="G359" s="333">
        <f>IF('Simulador - 1º Pilar'!$E$99="Sí",IF('Aportaciones Poliza'!$B$13&lt;'Aportaciones Poliza'!E359,0,F359*$B$8/12),F359*$B$8/12)</f>
      </c>
      <c r="H359" s="333">
        <f>$H$5*G359</f>
      </c>
      <c r="I359" s="333"/>
      <c r="J359" s="333">
        <f>(1+$M$5)^(D359/12)*(H359+IF(AND(F359=1,F360=0),$Q$4,0))</f>
      </c>
      <c r="K359" s="333">
        <f>(1+$M$5)^(D359/12)*(I359)</f>
      </c>
      <c r="L359" s="333">
        <f>K359+J359</f>
      </c>
      <c r="M359" s="170"/>
      <c r="N359" s="7"/>
      <c r="O359" s="1"/>
      <c r="P359" s="331">
        <f>D359</f>
      </c>
      <c r="Q359" s="169"/>
    </row>
    <row x14ac:dyDescent="0.25" r="360" customHeight="1" ht="18.75">
      <c r="A360" s="1"/>
      <c r="B360" s="7"/>
      <c r="C360" s="170"/>
      <c r="D360" s="331">
        <v>353</v>
      </c>
      <c r="E360" s="544">
        <f>+DATE(YEAR(E359),MONTH(E359)-1,DAY(E359))</f>
        <v>25569.041666666668</v>
      </c>
      <c r="F360" s="333">
        <f>IF(DATE(YEAR($B$6),MONTH($B$6)+1,DAY(1))=E360,1,IF(MONTH(E360)=1,F361*(1+$F$5),F361))</f>
      </c>
      <c r="G360" s="333">
        <f>IF('Simulador - 1º Pilar'!$E$99="Sí",IF('Aportaciones Poliza'!$B$13&lt;'Aportaciones Poliza'!E360,0,F360*$B$8/12),F360*$B$8/12)</f>
      </c>
      <c r="H360" s="333">
        <f>$H$5*G360</f>
      </c>
      <c r="I360" s="333"/>
      <c r="J360" s="333">
        <f>(1+$M$5)^(D360/12)*(H360+IF(AND(F360=1,F361=0),$Q$4,0))</f>
      </c>
      <c r="K360" s="333">
        <f>(1+$M$5)^(D360/12)*(I360)</f>
      </c>
      <c r="L360" s="333">
        <f>K360+J360</f>
      </c>
      <c r="M360" s="170"/>
      <c r="N360" s="7"/>
      <c r="O360" s="1"/>
      <c r="P360" s="331">
        <f>D360</f>
      </c>
      <c r="Q360" s="169"/>
    </row>
    <row x14ac:dyDescent="0.25" r="361" customHeight="1" ht="18.75">
      <c r="A361" s="1"/>
      <c r="B361" s="7"/>
      <c r="C361" s="170"/>
      <c r="D361" s="331">
        <v>354</v>
      </c>
      <c r="E361" s="544">
        <f>+DATE(YEAR(E360),MONTH(E360)-1,DAY(E360))</f>
        <v>25569.041666666668</v>
      </c>
      <c r="F361" s="333">
        <f>IF(DATE(YEAR($B$6),MONTH($B$6)+1,DAY(1))=E361,1,IF(MONTH(E361)=1,F362*(1+$F$5),F362))</f>
      </c>
      <c r="G361" s="333">
        <f>IF('Simulador - 1º Pilar'!$E$99="Sí",IF('Aportaciones Poliza'!$B$13&lt;'Aportaciones Poliza'!E361,0,F361*$B$8/12),F361*$B$8/12)</f>
      </c>
      <c r="H361" s="333">
        <f>$H$5*G361</f>
      </c>
      <c r="I361" s="333"/>
      <c r="J361" s="333">
        <f>(1+$M$5)^(D361/12)*(H361+IF(AND(F361=1,F362=0),$Q$4,0))</f>
      </c>
      <c r="K361" s="333">
        <f>(1+$M$5)^(D361/12)*(I361)</f>
      </c>
      <c r="L361" s="333">
        <f>K361+J361</f>
      </c>
      <c r="M361" s="170"/>
      <c r="N361" s="7"/>
      <c r="O361" s="1"/>
      <c r="P361" s="331">
        <f>D361</f>
      </c>
      <c r="Q361" s="169"/>
    </row>
    <row x14ac:dyDescent="0.25" r="362" customHeight="1" ht="18.75">
      <c r="A362" s="1"/>
      <c r="B362" s="7"/>
      <c r="C362" s="170"/>
      <c r="D362" s="331">
        <v>355</v>
      </c>
      <c r="E362" s="544">
        <f>+DATE(YEAR(E361),MONTH(E361)-1,DAY(E361))</f>
        <v>25569.041666666668</v>
      </c>
      <c r="F362" s="333">
        <f>IF(DATE(YEAR($B$6),MONTH($B$6)+1,DAY(1))=E362,1,IF(MONTH(E362)=1,F363*(1+$F$5),F363))</f>
      </c>
      <c r="G362" s="333">
        <f>IF('Simulador - 1º Pilar'!$E$99="Sí",IF('Aportaciones Poliza'!$B$13&lt;'Aportaciones Poliza'!E362,0,F362*$B$8/12),F362*$B$8/12)</f>
      </c>
      <c r="H362" s="333">
        <f>$H$5*G362</f>
      </c>
      <c r="I362" s="333"/>
      <c r="J362" s="333">
        <f>(1+$M$5)^(D362/12)*(H362+IF(AND(F362=1,F363=0),$Q$4,0))</f>
      </c>
      <c r="K362" s="333">
        <f>(1+$M$5)^(D362/12)*(I362)</f>
      </c>
      <c r="L362" s="333">
        <f>K362+J362</f>
      </c>
      <c r="M362" s="170"/>
      <c r="N362" s="7"/>
      <c r="O362" s="1"/>
      <c r="P362" s="331">
        <f>D362</f>
      </c>
      <c r="Q362" s="169"/>
    </row>
    <row x14ac:dyDescent="0.25" r="363" customHeight="1" ht="18.75">
      <c r="A363" s="1"/>
      <c r="B363" s="7"/>
      <c r="C363" s="170"/>
      <c r="D363" s="331">
        <v>356</v>
      </c>
      <c r="E363" s="544">
        <f>+DATE(YEAR(E362),MONTH(E362)-1,DAY(E362))</f>
        <v>25569.041666666668</v>
      </c>
      <c r="F363" s="333">
        <f>IF(DATE(YEAR($B$6),MONTH($B$6)+1,DAY(1))=E363,1,IF(MONTH(E363)=1,F364*(1+$F$5),F364))</f>
      </c>
      <c r="G363" s="333">
        <f>IF('Simulador - 1º Pilar'!$E$99="Sí",IF('Aportaciones Poliza'!$B$13&lt;'Aportaciones Poliza'!E363,0,F363*$B$8/12),F363*$B$8/12)</f>
      </c>
      <c r="H363" s="333">
        <f>$H$5*G363</f>
      </c>
      <c r="I363" s="333"/>
      <c r="J363" s="333">
        <f>(1+$M$5)^(D363/12)*(H363+IF(AND(F363=1,F364=0),$Q$4,0))</f>
      </c>
      <c r="K363" s="333">
        <f>(1+$M$5)^(D363/12)*(I363)</f>
      </c>
      <c r="L363" s="333">
        <f>K363+J363</f>
      </c>
      <c r="M363" s="170"/>
      <c r="N363" s="7"/>
      <c r="O363" s="1"/>
      <c r="P363" s="331">
        <f>D363</f>
      </c>
      <c r="Q363" s="169"/>
    </row>
    <row x14ac:dyDescent="0.25" r="364" customHeight="1" ht="18.75">
      <c r="A364" s="1"/>
      <c r="B364" s="7"/>
      <c r="C364" s="170"/>
      <c r="D364" s="331">
        <v>357</v>
      </c>
      <c r="E364" s="544">
        <f>+DATE(YEAR(E363),MONTH(E363)-1,DAY(E363))</f>
        <v>25569.041666666668</v>
      </c>
      <c r="F364" s="333">
        <f>IF(DATE(YEAR($B$6),MONTH($B$6)+1,DAY(1))=E364,1,IF(MONTH(E364)=1,F365*(1+$F$5),F365))</f>
      </c>
      <c r="G364" s="333">
        <f>IF('Simulador - 1º Pilar'!$E$99="Sí",IF('Aportaciones Poliza'!$B$13&lt;'Aportaciones Poliza'!E364,0,F364*$B$8/12),F364*$B$8/12)</f>
      </c>
      <c r="H364" s="333">
        <f>$H$5*G364</f>
      </c>
      <c r="I364" s="333"/>
      <c r="J364" s="333">
        <f>(1+$M$5)^(D364/12)*(H364+IF(AND(F364=1,F365=0),$Q$4,0))</f>
      </c>
      <c r="K364" s="333">
        <f>(1+$M$5)^(D364/12)*(I364)</f>
      </c>
      <c r="L364" s="333">
        <f>K364+J364</f>
      </c>
      <c r="M364" s="170"/>
      <c r="N364" s="7"/>
      <c r="O364" s="1"/>
      <c r="P364" s="331">
        <f>D364</f>
      </c>
      <c r="Q364" s="169"/>
    </row>
    <row x14ac:dyDescent="0.25" r="365" customHeight="1" ht="18.75">
      <c r="A365" s="1"/>
      <c r="B365" s="7"/>
      <c r="C365" s="170"/>
      <c r="D365" s="331">
        <v>358</v>
      </c>
      <c r="E365" s="544">
        <f>+DATE(YEAR(E364),MONTH(E364)-1,DAY(E364))</f>
        <v>25569.041666666668</v>
      </c>
      <c r="F365" s="333">
        <f>IF(DATE(YEAR($B$6),MONTH($B$6)+1,DAY(1))=E365,1,IF(MONTH(E365)=1,F366*(1+$F$5),F366))</f>
      </c>
      <c r="G365" s="333">
        <f>IF('Simulador - 1º Pilar'!$E$99="Sí",IF('Aportaciones Poliza'!$B$13&lt;'Aportaciones Poliza'!E365,0,F365*$B$8/12),F365*$B$8/12)</f>
      </c>
      <c r="H365" s="333">
        <f>$H$5*G365</f>
      </c>
      <c r="I365" s="333"/>
      <c r="J365" s="333">
        <f>(1+$M$5)^(D365/12)*(H365+IF(AND(F365=1,F366=0),$Q$4,0))</f>
      </c>
      <c r="K365" s="333">
        <f>(1+$M$5)^(D365/12)*(I365)</f>
      </c>
      <c r="L365" s="333">
        <f>K365+J365</f>
      </c>
      <c r="M365" s="170"/>
      <c r="N365" s="7"/>
      <c r="O365" s="1"/>
      <c r="P365" s="331">
        <f>D365</f>
      </c>
      <c r="Q365" s="169"/>
    </row>
    <row x14ac:dyDescent="0.25" r="366" customHeight="1" ht="18.75">
      <c r="A366" s="1"/>
      <c r="B366" s="7"/>
      <c r="C366" s="170"/>
      <c r="D366" s="331">
        <v>359</v>
      </c>
      <c r="E366" s="544">
        <f>+DATE(YEAR(E365),MONTH(E365)-1,DAY(E365))</f>
        <v>25569.041666666668</v>
      </c>
      <c r="F366" s="333">
        <f>IF(DATE(YEAR($B$6),MONTH($B$6)+1,DAY(1))=E366,1,IF(MONTH(E366)=1,F367*(1+$F$5),F367))</f>
      </c>
      <c r="G366" s="333">
        <f>IF('Simulador - 1º Pilar'!$E$99="Sí",IF('Aportaciones Poliza'!$B$13&lt;'Aportaciones Poliza'!E366,0,F366*$B$8/12),F366*$B$8/12)</f>
      </c>
      <c r="H366" s="333">
        <f>$H$5*G366</f>
      </c>
      <c r="I366" s="333"/>
      <c r="J366" s="333">
        <f>(1+$M$5)^(D366/12)*(H366+IF(AND(F366=1,F367=0),$Q$4,0))</f>
      </c>
      <c r="K366" s="333">
        <f>(1+$M$5)^(D366/12)*(I366)</f>
      </c>
      <c r="L366" s="333">
        <f>K366+J366</f>
      </c>
      <c r="M366" s="170"/>
      <c r="N366" s="7"/>
      <c r="O366" s="1"/>
      <c r="P366" s="331">
        <f>D366</f>
      </c>
      <c r="Q366" s="169"/>
    </row>
    <row x14ac:dyDescent="0.25" r="367" customHeight="1" ht="18.75">
      <c r="A367" s="1"/>
      <c r="B367" s="7"/>
      <c r="C367" s="170"/>
      <c r="D367" s="331">
        <v>360</v>
      </c>
      <c r="E367" s="544">
        <f>+DATE(YEAR(E366),MONTH(E366)-1,DAY(E366))</f>
        <v>25569.041666666668</v>
      </c>
      <c r="F367" s="333">
        <f>IF(DATE(YEAR($B$6),MONTH($B$6)+1,DAY(1))=E367,1,IF(MONTH(E367)=1,F368*(1+$F$5),F368))</f>
      </c>
      <c r="G367" s="333">
        <f>IF('Simulador - 1º Pilar'!$E$99="Sí",IF('Aportaciones Poliza'!$B$13&lt;'Aportaciones Poliza'!E367,0,F367*$B$8/12),F367*$B$8/12)</f>
      </c>
      <c r="H367" s="333">
        <f>$H$5*G367</f>
      </c>
      <c r="I367" s="333"/>
      <c r="J367" s="333">
        <f>(1+$M$5)^(D367/12)*(H367+IF(AND(F367=1,F368=0),$Q$4,0))</f>
      </c>
      <c r="K367" s="333">
        <f>(1+$M$5)^(D367/12)*(I367)</f>
      </c>
      <c r="L367" s="333">
        <f>K367+J367</f>
      </c>
      <c r="M367" s="170"/>
      <c r="N367" s="7"/>
      <c r="O367" s="1"/>
      <c r="P367" s="331">
        <f>D367</f>
      </c>
      <c r="Q367" s="169"/>
    </row>
    <row x14ac:dyDescent="0.25" r="368" customHeight="1" ht="18.75">
      <c r="A368" s="1"/>
      <c r="B368" s="7"/>
      <c r="C368" s="170"/>
      <c r="D368" s="331">
        <v>361</v>
      </c>
      <c r="E368" s="544">
        <f>+DATE(YEAR(E367),MONTH(E367)-1,DAY(E367))</f>
        <v>25569.041666666668</v>
      </c>
      <c r="F368" s="333">
        <f>IF(DATE(YEAR($B$6),MONTH($B$6)+1,DAY(1))=E368,1,IF(MONTH(E368)=1,F369*(1+$F$5),F369))</f>
      </c>
      <c r="G368" s="333">
        <f>IF('Simulador - 1º Pilar'!$E$99="Sí",IF('Aportaciones Poliza'!$B$13&lt;'Aportaciones Poliza'!E368,0,F368*$B$8/12),F368*$B$8/12)</f>
      </c>
      <c r="H368" s="333">
        <f>$H$5*G368</f>
      </c>
      <c r="I368" s="333"/>
      <c r="J368" s="333">
        <f>(1+$M$5)^(D368/12)*(H368+IF(AND(F368=1,F369=0),$Q$4,0))</f>
      </c>
      <c r="K368" s="333">
        <f>(1+$M$5)^(D368/12)*(I368)</f>
      </c>
      <c r="L368" s="333">
        <f>K368+J368</f>
      </c>
      <c r="M368" s="170"/>
      <c r="N368" s="7"/>
      <c r="O368" s="1"/>
      <c r="P368" s="331">
        <f>D368</f>
      </c>
      <c r="Q368" s="169"/>
    </row>
    <row x14ac:dyDescent="0.25" r="369" customHeight="1" ht="18.75">
      <c r="A369" s="1"/>
      <c r="B369" s="7"/>
      <c r="C369" s="170"/>
      <c r="D369" s="331">
        <v>362</v>
      </c>
      <c r="E369" s="544">
        <f>+DATE(YEAR(E368),MONTH(E368)-1,DAY(E368))</f>
        <v>25569.041666666668</v>
      </c>
      <c r="F369" s="333">
        <f>IF(DATE(YEAR($B$6),MONTH($B$6)+1,DAY(1))=E369,1,IF(MONTH(E369)=1,F370*(1+$F$5),F370))</f>
      </c>
      <c r="G369" s="333">
        <f>IF('Simulador - 1º Pilar'!$E$99="Sí",IF('Aportaciones Poliza'!$B$13&lt;'Aportaciones Poliza'!E369,0,F369*$B$8/12),F369*$B$8/12)</f>
      </c>
      <c r="H369" s="333">
        <f>$H$5*G369</f>
      </c>
      <c r="I369" s="333"/>
      <c r="J369" s="333">
        <f>(1+$M$5)^(D369/12)*(H369+IF(AND(F369=1,F370=0),$Q$4,0))</f>
      </c>
      <c r="K369" s="333">
        <f>(1+$M$5)^(D369/12)*(I369)</f>
      </c>
      <c r="L369" s="333">
        <f>K369+J369</f>
      </c>
      <c r="M369" s="170"/>
      <c r="N369" s="7"/>
      <c r="O369" s="1"/>
      <c r="P369" s="331">
        <f>D369</f>
      </c>
      <c r="Q369" s="169"/>
    </row>
    <row x14ac:dyDescent="0.25" r="370" customHeight="1" ht="18.75">
      <c r="A370" s="1"/>
      <c r="B370" s="7"/>
      <c r="C370" s="170"/>
      <c r="D370" s="331">
        <v>363</v>
      </c>
      <c r="E370" s="544">
        <f>+DATE(YEAR(E369),MONTH(E369)-1,DAY(E369))</f>
        <v>25569.041666666668</v>
      </c>
      <c r="F370" s="333">
        <f>IF(DATE(YEAR($B$6),MONTH($B$6)+1,DAY(1))=E370,1,IF(MONTH(E370)=1,F371*(1+$F$5),F371))</f>
      </c>
      <c r="G370" s="333">
        <f>IF('Simulador - 1º Pilar'!$E$99="Sí",IF('Aportaciones Poliza'!$B$13&lt;'Aportaciones Poliza'!E370,0,F370*$B$8/12),F370*$B$8/12)</f>
      </c>
      <c r="H370" s="333">
        <f>$H$5*G370</f>
      </c>
      <c r="I370" s="333"/>
      <c r="J370" s="333">
        <f>(1+$M$5)^(D370/12)*(H370+IF(AND(F370=1,F371=0),$Q$4,0))</f>
      </c>
      <c r="K370" s="333">
        <f>(1+$M$5)^(D370/12)*(I370)</f>
      </c>
      <c r="L370" s="333">
        <f>K370+J370</f>
      </c>
      <c r="M370" s="170"/>
      <c r="N370" s="7"/>
      <c r="O370" s="1"/>
      <c r="P370" s="331">
        <f>D370</f>
      </c>
      <c r="Q370" s="169"/>
    </row>
    <row x14ac:dyDescent="0.25" r="371" customHeight="1" ht="18.75">
      <c r="A371" s="1"/>
      <c r="B371" s="7"/>
      <c r="C371" s="170"/>
      <c r="D371" s="331">
        <v>364</v>
      </c>
      <c r="E371" s="544">
        <f>+DATE(YEAR(E370),MONTH(E370)-1,DAY(E370))</f>
        <v>25569.041666666668</v>
      </c>
      <c r="F371" s="333">
        <f>IF(DATE(YEAR($B$6),MONTH($B$6)+1,DAY(1))=E371,1,IF(MONTH(E371)=1,F372*(1+$F$5),F372))</f>
      </c>
      <c r="G371" s="333">
        <f>IF('Simulador - 1º Pilar'!$E$99="Sí",IF('Aportaciones Poliza'!$B$13&lt;'Aportaciones Poliza'!E371,0,F371*$B$8/12),F371*$B$8/12)</f>
      </c>
      <c r="H371" s="333">
        <f>$H$5*G371</f>
      </c>
      <c r="I371" s="333"/>
      <c r="J371" s="333">
        <f>(1+$M$5)^(D371/12)*(H371+IF(AND(F371=1,F372=0),$Q$4,0))</f>
      </c>
      <c r="K371" s="333">
        <f>(1+$M$5)^(D371/12)*(I371)</f>
      </c>
      <c r="L371" s="333">
        <f>K371+J371</f>
      </c>
      <c r="M371" s="170"/>
      <c r="N371" s="7"/>
      <c r="O371" s="1"/>
      <c r="P371" s="331">
        <f>D371</f>
      </c>
      <c r="Q371" s="169"/>
    </row>
    <row x14ac:dyDescent="0.25" r="372" customHeight="1" ht="18.75">
      <c r="A372" s="1"/>
      <c r="B372" s="7"/>
      <c r="C372" s="170"/>
      <c r="D372" s="331">
        <v>365</v>
      </c>
      <c r="E372" s="544">
        <f>+DATE(YEAR(E371),MONTH(E371)-1,DAY(E371))</f>
        <v>25569.041666666668</v>
      </c>
      <c r="F372" s="333">
        <f>IF(DATE(YEAR($B$6),MONTH($B$6)+1,DAY(1))=E372,1,IF(MONTH(E372)=1,F373*(1+$F$5),F373))</f>
      </c>
      <c r="G372" s="333">
        <f>IF('Simulador - 1º Pilar'!$E$99="Sí",IF('Aportaciones Poliza'!$B$13&lt;'Aportaciones Poliza'!E372,0,F372*$B$8/12),F372*$B$8/12)</f>
      </c>
      <c r="H372" s="333">
        <f>$H$5*G372</f>
      </c>
      <c r="I372" s="333"/>
      <c r="J372" s="333">
        <f>(1+$M$5)^(D372/12)*(H372+IF(AND(F372=1,F373=0),$Q$4,0))</f>
      </c>
      <c r="K372" s="333">
        <f>(1+$M$5)^(D372/12)*(I372)</f>
      </c>
      <c r="L372" s="333">
        <f>K372+J372</f>
      </c>
      <c r="M372" s="170"/>
      <c r="N372" s="7"/>
      <c r="O372" s="1"/>
      <c r="P372" s="331">
        <f>D372</f>
      </c>
      <c r="Q372" s="169"/>
    </row>
    <row x14ac:dyDescent="0.25" r="373" customHeight="1" ht="18.75">
      <c r="A373" s="1"/>
      <c r="B373" s="7"/>
      <c r="C373" s="170"/>
      <c r="D373" s="331">
        <v>366</v>
      </c>
      <c r="E373" s="544">
        <f>+DATE(YEAR(E372),MONTH(E372)-1,DAY(E372))</f>
        <v>25569.041666666668</v>
      </c>
      <c r="F373" s="333">
        <f>IF(DATE(YEAR($B$6),MONTH($B$6)+1,DAY(1))=E373,1,IF(MONTH(E373)=1,F374*(1+$F$5),F374))</f>
      </c>
      <c r="G373" s="333">
        <f>IF('Simulador - 1º Pilar'!$E$99="Sí",IF('Aportaciones Poliza'!$B$13&lt;'Aportaciones Poliza'!E373,0,F373*$B$8/12),F373*$B$8/12)</f>
      </c>
      <c r="H373" s="333">
        <f>$H$5*G373</f>
      </c>
      <c r="I373" s="333"/>
      <c r="J373" s="333">
        <f>(1+$M$5)^(D373/12)*(H373+IF(AND(F373=1,F374=0),$Q$4,0))</f>
      </c>
      <c r="K373" s="333">
        <f>(1+$M$5)^(D373/12)*(I373)</f>
      </c>
      <c r="L373" s="333">
        <f>K373+J373</f>
      </c>
      <c r="M373" s="170"/>
      <c r="N373" s="7"/>
      <c r="O373" s="1"/>
      <c r="P373" s="331">
        <f>D373</f>
      </c>
      <c r="Q373" s="169"/>
    </row>
    <row x14ac:dyDescent="0.25" r="374" customHeight="1" ht="18.75">
      <c r="A374" s="1"/>
      <c r="B374" s="7"/>
      <c r="C374" s="170"/>
      <c r="D374" s="331">
        <v>367</v>
      </c>
      <c r="E374" s="544">
        <f>+DATE(YEAR(E373),MONTH(E373)-1,DAY(E373))</f>
        <v>25569.041666666668</v>
      </c>
      <c r="F374" s="333">
        <f>IF(DATE(YEAR($B$6),MONTH($B$6)+1,DAY(1))=E374,1,IF(MONTH(E374)=1,F375*(1+$F$5),F375))</f>
      </c>
      <c r="G374" s="333">
        <f>IF('Simulador - 1º Pilar'!$E$99="Sí",IF('Aportaciones Poliza'!$B$13&lt;'Aportaciones Poliza'!E374,0,F374*$B$8/12),F374*$B$8/12)</f>
      </c>
      <c r="H374" s="333">
        <f>$H$5*G374</f>
      </c>
      <c r="I374" s="333"/>
      <c r="J374" s="333">
        <f>(1+$M$5)^(D374/12)*(H374+IF(AND(F374=1,F375=0),$Q$4,0))</f>
      </c>
      <c r="K374" s="333">
        <f>(1+$M$5)^(D374/12)*(I374)</f>
      </c>
      <c r="L374" s="333">
        <f>K374+J374</f>
      </c>
      <c r="M374" s="170"/>
      <c r="N374" s="7"/>
      <c r="O374" s="1"/>
      <c r="P374" s="331">
        <f>D374</f>
      </c>
      <c r="Q374" s="169"/>
    </row>
    <row x14ac:dyDescent="0.25" r="375" customHeight="1" ht="18.75">
      <c r="A375" s="1"/>
      <c r="B375" s="7"/>
      <c r="C375" s="170"/>
      <c r="D375" s="331">
        <v>368</v>
      </c>
      <c r="E375" s="544">
        <f>+DATE(YEAR(E374),MONTH(E374)-1,DAY(E374))</f>
        <v>25569.041666666668</v>
      </c>
      <c r="F375" s="333">
        <f>IF(DATE(YEAR($B$6),MONTH($B$6)+1,DAY(1))=E375,1,IF(MONTH(E375)=1,F376*(1+$F$5),F376))</f>
      </c>
      <c r="G375" s="333">
        <f>IF('Simulador - 1º Pilar'!$E$99="Sí",IF('Aportaciones Poliza'!$B$13&lt;'Aportaciones Poliza'!E375,0,F375*$B$8/12),F375*$B$8/12)</f>
      </c>
      <c r="H375" s="333">
        <f>$H$5*G375</f>
      </c>
      <c r="I375" s="333"/>
      <c r="J375" s="333">
        <f>(1+$M$5)^(D375/12)*(H375+IF(AND(F375=1,F376=0),$Q$4,0))</f>
      </c>
      <c r="K375" s="333">
        <f>(1+$M$5)^(D375/12)*(I375)</f>
      </c>
      <c r="L375" s="333">
        <f>K375+J375</f>
      </c>
      <c r="M375" s="170"/>
      <c r="N375" s="7"/>
      <c r="O375" s="1"/>
      <c r="P375" s="331">
        <f>D375</f>
      </c>
      <c r="Q375" s="169"/>
    </row>
    <row x14ac:dyDescent="0.25" r="376" customHeight="1" ht="18.75">
      <c r="A376" s="1"/>
      <c r="B376" s="7"/>
      <c r="C376" s="170"/>
      <c r="D376" s="331">
        <v>369</v>
      </c>
      <c r="E376" s="544">
        <f>+DATE(YEAR(E375),MONTH(E375)-1,DAY(E375))</f>
        <v>25569.041666666668</v>
      </c>
      <c r="F376" s="333">
        <f>IF(DATE(YEAR($B$6),MONTH($B$6)+1,DAY(1))=E376,1,IF(MONTH(E376)=1,F377*(1+$F$5),F377))</f>
      </c>
      <c r="G376" s="333">
        <f>IF('Simulador - 1º Pilar'!$E$99="Sí",IF('Aportaciones Poliza'!$B$13&lt;'Aportaciones Poliza'!E376,0,F376*$B$8/12),F376*$B$8/12)</f>
      </c>
      <c r="H376" s="333">
        <f>$H$5*G376</f>
      </c>
      <c r="I376" s="333"/>
      <c r="J376" s="333">
        <f>(1+$M$5)^(D376/12)*(H376+IF(AND(F376=1,F377=0),$Q$4,0))</f>
      </c>
      <c r="K376" s="333">
        <f>(1+$M$5)^(D376/12)*(I376)</f>
      </c>
      <c r="L376" s="333">
        <f>K376+J376</f>
      </c>
      <c r="M376" s="170"/>
      <c r="N376" s="7"/>
      <c r="O376" s="1"/>
      <c r="P376" s="331">
        <f>D376</f>
      </c>
      <c r="Q376" s="169"/>
    </row>
    <row x14ac:dyDescent="0.25" r="377" customHeight="1" ht="18.75">
      <c r="A377" s="1"/>
      <c r="B377" s="7"/>
      <c r="C377" s="170"/>
      <c r="D377" s="331">
        <v>370</v>
      </c>
      <c r="E377" s="544">
        <f>+DATE(YEAR(E376),MONTH(E376)-1,DAY(E376))</f>
        <v>25569.041666666668</v>
      </c>
      <c r="F377" s="333">
        <f>IF(DATE(YEAR($B$6),MONTH($B$6)+1,DAY(1))=E377,1,IF(MONTH(E377)=1,F378*(1+$F$5),F378))</f>
      </c>
      <c r="G377" s="333">
        <f>IF('Simulador - 1º Pilar'!$E$99="Sí",IF('Aportaciones Poliza'!$B$13&lt;'Aportaciones Poliza'!E377,0,F377*$B$8/12),F377*$B$8/12)</f>
      </c>
      <c r="H377" s="333">
        <f>$H$5*G377</f>
      </c>
      <c r="I377" s="333"/>
      <c r="J377" s="333">
        <f>(1+$M$5)^(D377/12)*(H377+IF(AND(F377=1,F378=0),$Q$4,0))</f>
      </c>
      <c r="K377" s="333">
        <f>(1+$M$5)^(D377/12)*(I377)</f>
      </c>
      <c r="L377" s="333">
        <f>K377+J377</f>
      </c>
      <c r="M377" s="170"/>
      <c r="N377" s="7"/>
      <c r="O377" s="1"/>
      <c r="P377" s="331">
        <f>D377</f>
      </c>
      <c r="Q377" s="169"/>
    </row>
    <row x14ac:dyDescent="0.25" r="378" customHeight="1" ht="18.75">
      <c r="A378" s="1"/>
      <c r="B378" s="7"/>
      <c r="C378" s="170"/>
      <c r="D378" s="331">
        <v>371</v>
      </c>
      <c r="E378" s="544">
        <f>+DATE(YEAR(E377),MONTH(E377)-1,DAY(E377))</f>
        <v>25569.041666666668</v>
      </c>
      <c r="F378" s="333">
        <f>IF(DATE(YEAR($B$6),MONTH($B$6)+1,DAY(1))=E378,1,IF(MONTH(E378)=1,F379*(1+$F$5),F379))</f>
      </c>
      <c r="G378" s="333">
        <f>IF('Simulador - 1º Pilar'!$E$99="Sí",IF('Aportaciones Poliza'!$B$13&lt;'Aportaciones Poliza'!E378,0,F378*$B$8/12),F378*$B$8/12)</f>
      </c>
      <c r="H378" s="333">
        <f>$H$5*G378</f>
      </c>
      <c r="I378" s="333"/>
      <c r="J378" s="333">
        <f>(1+$M$5)^(D378/12)*(H378+IF(AND(F378=1,F379=0),$Q$4,0))</f>
      </c>
      <c r="K378" s="333">
        <f>(1+$M$5)^(D378/12)*(I378)</f>
      </c>
      <c r="L378" s="333">
        <f>K378+J378</f>
      </c>
      <c r="M378" s="170"/>
      <c r="N378" s="7"/>
      <c r="O378" s="1"/>
      <c r="P378" s="331">
        <f>D378</f>
      </c>
      <c r="Q378" s="169"/>
    </row>
    <row x14ac:dyDescent="0.25" r="379" customHeight="1" ht="18.75">
      <c r="A379" s="1"/>
      <c r="B379" s="7"/>
      <c r="C379" s="170"/>
      <c r="D379" s="331">
        <v>372</v>
      </c>
      <c r="E379" s="544">
        <f>+DATE(YEAR(E378),MONTH(E378)-1,DAY(E378))</f>
        <v>25569.041666666668</v>
      </c>
      <c r="F379" s="333">
        <f>IF(DATE(YEAR($B$6),MONTH($B$6)+1,DAY(1))=E379,1,IF(MONTH(E379)=1,F380*(1+$F$5),F380))</f>
      </c>
      <c r="G379" s="333">
        <f>IF('Simulador - 1º Pilar'!$E$99="Sí",IF('Aportaciones Poliza'!$B$13&lt;'Aportaciones Poliza'!E379,0,F379*$B$8/12),F379*$B$8/12)</f>
      </c>
      <c r="H379" s="333">
        <f>$H$5*G379</f>
      </c>
      <c r="I379" s="333"/>
      <c r="J379" s="333">
        <f>(1+$M$5)^(D379/12)*(H379+IF(AND(F379=1,F380=0),$Q$4,0))</f>
      </c>
      <c r="K379" s="333">
        <f>(1+$M$5)^(D379/12)*(I379)</f>
      </c>
      <c r="L379" s="333">
        <f>K379+J379</f>
      </c>
      <c r="M379" s="170"/>
      <c r="N379" s="7"/>
      <c r="O379" s="1"/>
      <c r="P379" s="331">
        <f>D379</f>
      </c>
      <c r="Q379" s="169"/>
    </row>
    <row x14ac:dyDescent="0.25" r="380" customHeight="1" ht="18.75">
      <c r="A380" s="1"/>
      <c r="B380" s="7"/>
      <c r="C380" s="170"/>
      <c r="D380" s="331">
        <v>373</v>
      </c>
      <c r="E380" s="544">
        <f>+DATE(YEAR(E379),MONTH(E379)-1,DAY(E379))</f>
        <v>25569.041666666668</v>
      </c>
      <c r="F380" s="333">
        <f>IF(DATE(YEAR($B$6),MONTH($B$6)+1,DAY(1))=E380,1,IF(MONTH(E380)=1,F381*(1+$F$5),F381))</f>
      </c>
      <c r="G380" s="333">
        <f>IF('Simulador - 1º Pilar'!$E$99="Sí",IF('Aportaciones Poliza'!$B$13&lt;'Aportaciones Poliza'!E380,0,F380*$B$8/12),F380*$B$8/12)</f>
      </c>
      <c r="H380" s="333">
        <f>$H$5*G380</f>
      </c>
      <c r="I380" s="333"/>
      <c r="J380" s="333">
        <f>(1+$M$5)^(D380/12)*(H380+IF(AND(F380=1,F381=0),$Q$4,0))</f>
      </c>
      <c r="K380" s="333">
        <f>(1+$M$5)^(D380/12)*(I380)</f>
      </c>
      <c r="L380" s="333">
        <f>K380+J380</f>
      </c>
      <c r="M380" s="170"/>
      <c r="N380" s="7"/>
      <c r="O380" s="1"/>
      <c r="P380" s="331">
        <f>D380</f>
      </c>
      <c r="Q380" s="169"/>
    </row>
    <row x14ac:dyDescent="0.25" r="381" customHeight="1" ht="18.75">
      <c r="A381" s="1"/>
      <c r="B381" s="7"/>
      <c r="C381" s="170"/>
      <c r="D381" s="331">
        <v>374</v>
      </c>
      <c r="E381" s="544">
        <f>+DATE(YEAR(E380),MONTH(E380)-1,DAY(E380))</f>
        <v>25569.041666666668</v>
      </c>
      <c r="F381" s="333">
        <f>IF(DATE(YEAR($B$6),MONTH($B$6)+1,DAY(1))=E381,1,IF(MONTH(E381)=1,F382*(1+$F$5),F382))</f>
      </c>
      <c r="G381" s="333">
        <f>IF('Simulador - 1º Pilar'!$E$99="Sí",IF('Aportaciones Poliza'!$B$13&lt;'Aportaciones Poliza'!E381,0,F381*$B$8/12),F381*$B$8/12)</f>
      </c>
      <c r="H381" s="333">
        <f>$H$5*G381</f>
      </c>
      <c r="I381" s="333"/>
      <c r="J381" s="333">
        <f>(1+$M$5)^(D381/12)*(H381+IF(AND(F381=1,F382=0),$Q$4,0))</f>
      </c>
      <c r="K381" s="333">
        <f>(1+$M$5)^(D381/12)*(I381)</f>
      </c>
      <c r="L381" s="333">
        <f>K381+J381</f>
      </c>
      <c r="M381" s="170"/>
      <c r="N381" s="7"/>
      <c r="O381" s="1"/>
      <c r="P381" s="331">
        <f>D381</f>
      </c>
      <c r="Q381" s="169"/>
    </row>
    <row x14ac:dyDescent="0.25" r="382" customHeight="1" ht="18.75">
      <c r="A382" s="1"/>
      <c r="B382" s="7"/>
      <c r="C382" s="170"/>
      <c r="D382" s="331">
        <v>375</v>
      </c>
      <c r="E382" s="544">
        <f>+DATE(YEAR(E381),MONTH(E381)-1,DAY(E381))</f>
        <v>25569.041666666668</v>
      </c>
      <c r="F382" s="333">
        <f>IF(DATE(YEAR($B$6),MONTH($B$6)+1,DAY(1))=E382,1,IF(MONTH(E382)=1,F383*(1+$F$5),F383))</f>
      </c>
      <c r="G382" s="333">
        <f>IF('Simulador - 1º Pilar'!$E$99="Sí",IF('Aportaciones Poliza'!$B$13&lt;'Aportaciones Poliza'!E382,0,F382*$B$8/12),F382*$B$8/12)</f>
      </c>
      <c r="H382" s="333">
        <f>$H$5*G382</f>
      </c>
      <c r="I382" s="333"/>
      <c r="J382" s="333">
        <f>(1+$M$5)^(D382/12)*(H382+IF(AND(F382=1,F383=0),$Q$4,0))</f>
      </c>
      <c r="K382" s="333">
        <f>(1+$M$5)^(D382/12)*(I382)</f>
      </c>
      <c r="L382" s="333">
        <f>K382+J382</f>
      </c>
      <c r="M382" s="170"/>
      <c r="N382" s="7"/>
      <c r="O382" s="1"/>
      <c r="P382" s="331">
        <f>D382</f>
      </c>
      <c r="Q382" s="169"/>
    </row>
    <row x14ac:dyDescent="0.25" r="383" customHeight="1" ht="18.75">
      <c r="A383" s="1"/>
      <c r="B383" s="7"/>
      <c r="C383" s="170"/>
      <c r="D383" s="331">
        <v>376</v>
      </c>
      <c r="E383" s="544">
        <f>+DATE(YEAR(E382),MONTH(E382)-1,DAY(E382))</f>
        <v>25569.041666666668</v>
      </c>
      <c r="F383" s="333">
        <f>IF(DATE(YEAR($B$6),MONTH($B$6)+1,DAY(1))=E383,1,IF(MONTH(E383)=1,F384*(1+$F$5),F384))</f>
      </c>
      <c r="G383" s="333">
        <f>IF('Simulador - 1º Pilar'!$E$99="Sí",IF('Aportaciones Poliza'!$B$13&lt;'Aportaciones Poliza'!E383,0,F383*$B$8/12),F383*$B$8/12)</f>
      </c>
      <c r="H383" s="333">
        <f>$H$5*G383</f>
      </c>
      <c r="I383" s="333"/>
      <c r="J383" s="333">
        <f>(1+$M$5)^(D383/12)*(H383+IF(AND(F383=1,F384=0),$Q$4,0))</f>
      </c>
      <c r="K383" s="333">
        <f>(1+$M$5)^(D383/12)*(I383)</f>
      </c>
      <c r="L383" s="333">
        <f>K383+J383</f>
      </c>
      <c r="M383" s="170"/>
      <c r="N383" s="7"/>
      <c r="O383" s="1"/>
      <c r="P383" s="331">
        <f>D383</f>
      </c>
      <c r="Q383" s="169"/>
    </row>
    <row x14ac:dyDescent="0.25" r="384" customHeight="1" ht="18.75">
      <c r="A384" s="1"/>
      <c r="B384" s="7"/>
      <c r="C384" s="170"/>
      <c r="D384" s="331">
        <v>377</v>
      </c>
      <c r="E384" s="544">
        <f>+DATE(YEAR(E383),MONTH(E383)-1,DAY(E383))</f>
        <v>25569.041666666668</v>
      </c>
      <c r="F384" s="333">
        <f>IF(DATE(YEAR($B$6),MONTH($B$6)+1,DAY(1))=E384,1,IF(MONTH(E384)=1,F385*(1+$F$5),F385))</f>
      </c>
      <c r="G384" s="333">
        <f>IF('Simulador - 1º Pilar'!$E$99="Sí",IF('Aportaciones Poliza'!$B$13&lt;'Aportaciones Poliza'!E384,0,F384*$B$8/12),F384*$B$8/12)</f>
      </c>
      <c r="H384" s="333">
        <f>$H$5*G384</f>
      </c>
      <c r="I384" s="333"/>
      <c r="J384" s="333">
        <f>(1+$M$5)^(D384/12)*(H384+IF(AND(F384=1,F385=0),$Q$4,0))</f>
      </c>
      <c r="K384" s="333">
        <f>(1+$M$5)^(D384/12)*(I384)</f>
      </c>
      <c r="L384" s="333">
        <f>K384+J384</f>
      </c>
      <c r="M384" s="170"/>
      <c r="N384" s="7"/>
      <c r="O384" s="1"/>
      <c r="P384" s="331">
        <f>D384</f>
      </c>
      <c r="Q384" s="169"/>
    </row>
    <row x14ac:dyDescent="0.25" r="385" customHeight="1" ht="18.75">
      <c r="A385" s="1"/>
      <c r="B385" s="7"/>
      <c r="C385" s="170"/>
      <c r="D385" s="331">
        <v>378</v>
      </c>
      <c r="E385" s="544">
        <f>+DATE(YEAR(E384),MONTH(E384)-1,DAY(E384))</f>
        <v>25569.041666666668</v>
      </c>
      <c r="F385" s="333">
        <f>IF(DATE(YEAR($B$6),MONTH($B$6)+1,DAY(1))=E385,1,IF(MONTH(E385)=1,F386*(1+$F$5),F386))</f>
      </c>
      <c r="G385" s="333">
        <f>IF('Simulador - 1º Pilar'!$E$99="Sí",IF('Aportaciones Poliza'!$B$13&lt;'Aportaciones Poliza'!E385,0,F385*$B$8/12),F385*$B$8/12)</f>
      </c>
      <c r="H385" s="333">
        <f>$H$5*G385</f>
      </c>
      <c r="I385" s="333"/>
      <c r="J385" s="333">
        <f>(1+$M$5)^(D385/12)*(H385+IF(AND(F385=1,F386=0),$Q$4,0))</f>
      </c>
      <c r="K385" s="333">
        <f>(1+$M$5)^(D385/12)*(I385)</f>
      </c>
      <c r="L385" s="333">
        <f>K385+J385</f>
      </c>
      <c r="M385" s="170"/>
      <c r="N385" s="7"/>
      <c r="O385" s="1"/>
      <c r="P385" s="331">
        <f>D385</f>
      </c>
      <c r="Q385" s="169"/>
    </row>
    <row x14ac:dyDescent="0.25" r="386" customHeight="1" ht="18.75">
      <c r="A386" s="1"/>
      <c r="B386" s="7"/>
      <c r="C386" s="170"/>
      <c r="D386" s="331">
        <v>379</v>
      </c>
      <c r="E386" s="544">
        <f>+DATE(YEAR(E385),MONTH(E385)-1,DAY(E385))</f>
        <v>25569.041666666668</v>
      </c>
      <c r="F386" s="333">
        <f>IF(DATE(YEAR($B$6),MONTH($B$6)+1,DAY(1))=E386,1,IF(MONTH(E386)=1,F387*(1+$F$5),F387))</f>
      </c>
      <c r="G386" s="333">
        <f>IF('Simulador - 1º Pilar'!$E$99="Sí",IF('Aportaciones Poliza'!$B$13&lt;'Aportaciones Poliza'!E386,0,F386*$B$8/12),F386*$B$8/12)</f>
      </c>
      <c r="H386" s="333">
        <f>$H$5*G386</f>
      </c>
      <c r="I386" s="333"/>
      <c r="J386" s="333">
        <f>(1+$M$5)^(D386/12)*(H386+IF(AND(F386=1,F387=0),$Q$4,0))</f>
      </c>
      <c r="K386" s="333">
        <f>(1+$M$5)^(D386/12)*(I386)</f>
      </c>
      <c r="L386" s="333">
        <f>K386+J386</f>
      </c>
      <c r="M386" s="170"/>
      <c r="N386" s="7"/>
      <c r="O386" s="1"/>
      <c r="P386" s="331">
        <f>D386</f>
      </c>
      <c r="Q386" s="169"/>
    </row>
    <row x14ac:dyDescent="0.25" r="387" customHeight="1" ht="18.75">
      <c r="A387" s="1"/>
      <c r="B387" s="7"/>
      <c r="C387" s="170"/>
      <c r="D387" s="331">
        <v>380</v>
      </c>
      <c r="E387" s="544">
        <f>+DATE(YEAR(E386),MONTH(E386)-1,DAY(E386))</f>
        <v>25569.041666666668</v>
      </c>
      <c r="F387" s="333">
        <f>IF(DATE(YEAR($B$6),MONTH($B$6)+1,DAY(1))=E387,1,IF(MONTH(E387)=1,F388*(1+$F$5),F388))</f>
      </c>
      <c r="G387" s="333">
        <f>IF('Simulador - 1º Pilar'!$E$99="Sí",IF('Aportaciones Poliza'!$B$13&lt;'Aportaciones Poliza'!E387,0,F387*$B$8/12),F387*$B$8/12)</f>
      </c>
      <c r="H387" s="333">
        <f>$H$5*G387</f>
      </c>
      <c r="I387" s="333"/>
      <c r="J387" s="333">
        <f>(1+$M$5)^(D387/12)*(H387+IF(AND(F387=1,F388=0),$Q$4,0))</f>
      </c>
      <c r="K387" s="333">
        <f>(1+$M$5)^(D387/12)*(I387)</f>
      </c>
      <c r="L387" s="333">
        <f>K387+J387</f>
      </c>
      <c r="M387" s="170"/>
      <c r="N387" s="7"/>
      <c r="O387" s="1"/>
      <c r="P387" s="331">
        <f>D387</f>
      </c>
      <c r="Q387" s="169"/>
    </row>
    <row x14ac:dyDescent="0.25" r="388" customHeight="1" ht="18.75">
      <c r="A388" s="1"/>
      <c r="B388" s="7"/>
      <c r="C388" s="170"/>
      <c r="D388" s="331">
        <v>381</v>
      </c>
      <c r="E388" s="544">
        <f>+DATE(YEAR(E387),MONTH(E387)-1,DAY(E387))</f>
        <v>25569.041666666668</v>
      </c>
      <c r="F388" s="333">
        <f>IF(DATE(YEAR($B$6),MONTH($B$6)+1,DAY(1))=E388,1,IF(MONTH(E388)=1,F389*(1+$F$5),F389))</f>
      </c>
      <c r="G388" s="333">
        <f>IF('Simulador - 1º Pilar'!$E$99="Sí",IF('Aportaciones Poliza'!$B$13&lt;'Aportaciones Poliza'!E388,0,F388*$B$8/12),F388*$B$8/12)</f>
      </c>
      <c r="H388" s="333">
        <f>$H$5*G388</f>
      </c>
      <c r="I388" s="333"/>
      <c r="J388" s="333">
        <f>(1+$M$5)^(D388/12)*(H388+IF(AND(F388=1,F389=0),$Q$4,0))</f>
      </c>
      <c r="K388" s="333">
        <f>(1+$M$5)^(D388/12)*(I388)</f>
      </c>
      <c r="L388" s="333">
        <f>K388+J388</f>
      </c>
      <c r="M388" s="170"/>
      <c r="N388" s="7"/>
      <c r="O388" s="1"/>
      <c r="P388" s="331">
        <f>D388</f>
      </c>
      <c r="Q388" s="169"/>
    </row>
    <row x14ac:dyDescent="0.25" r="389" customHeight="1" ht="18.75">
      <c r="A389" s="1"/>
      <c r="B389" s="7"/>
      <c r="C389" s="170"/>
      <c r="D389" s="331">
        <v>382</v>
      </c>
      <c r="E389" s="544">
        <f>+DATE(YEAR(E388),MONTH(E388)-1,DAY(E388))</f>
        <v>25569.041666666668</v>
      </c>
      <c r="F389" s="333">
        <f>IF(DATE(YEAR($B$6),MONTH($B$6)+1,DAY(1))=E389,1,IF(MONTH(E389)=1,F390*(1+$F$5),F390))</f>
      </c>
      <c r="G389" s="333">
        <f>IF('Simulador - 1º Pilar'!$E$99="Sí",IF('Aportaciones Poliza'!$B$13&lt;'Aportaciones Poliza'!E389,0,F389*$B$8/12),F389*$B$8/12)</f>
      </c>
      <c r="H389" s="333">
        <f>$H$5*G389</f>
      </c>
      <c r="I389" s="333"/>
      <c r="J389" s="333">
        <f>(1+$M$5)^(D389/12)*(H389+IF(AND(F389=1,F390=0),$Q$4,0))</f>
      </c>
      <c r="K389" s="333">
        <f>(1+$M$5)^(D389/12)*(I389)</f>
      </c>
      <c r="L389" s="333">
        <f>K389+J389</f>
      </c>
      <c r="M389" s="170"/>
      <c r="N389" s="7"/>
      <c r="O389" s="1"/>
      <c r="P389" s="331">
        <f>D389</f>
      </c>
      <c r="Q389" s="169"/>
    </row>
    <row x14ac:dyDescent="0.25" r="390" customHeight="1" ht="18.75">
      <c r="A390" s="1"/>
      <c r="B390" s="7"/>
      <c r="C390" s="170"/>
      <c r="D390" s="331">
        <v>383</v>
      </c>
      <c r="E390" s="544">
        <f>+DATE(YEAR(E389),MONTH(E389)-1,DAY(E389))</f>
        <v>25569.041666666668</v>
      </c>
      <c r="F390" s="333">
        <f>IF(DATE(YEAR($B$6),MONTH($B$6)+1,DAY(1))=E390,1,IF(MONTH(E390)=1,F391*(1+$F$5),F391))</f>
      </c>
      <c r="G390" s="333">
        <f>IF('Simulador - 1º Pilar'!$E$99="Sí",IF('Aportaciones Poliza'!$B$13&lt;'Aportaciones Poliza'!E390,0,F390*$B$8/12),F390*$B$8/12)</f>
      </c>
      <c r="H390" s="333">
        <f>$H$5*G390</f>
      </c>
      <c r="I390" s="333"/>
      <c r="J390" s="333">
        <f>(1+$M$5)^(D390/12)*(H390+IF(AND(F390=1,F391=0),$Q$4,0))</f>
      </c>
      <c r="K390" s="333">
        <f>(1+$M$5)^(D390/12)*(I390)</f>
      </c>
      <c r="L390" s="333">
        <f>K390+J390</f>
      </c>
      <c r="M390" s="170"/>
      <c r="N390" s="7"/>
      <c r="O390" s="1"/>
      <c r="P390" s="331">
        <f>D390</f>
      </c>
      <c r="Q390" s="169"/>
    </row>
    <row x14ac:dyDescent="0.25" r="391" customHeight="1" ht="18.75">
      <c r="A391" s="1"/>
      <c r="B391" s="7"/>
      <c r="C391" s="170"/>
      <c r="D391" s="331">
        <v>384</v>
      </c>
      <c r="E391" s="544">
        <f>+DATE(YEAR(E390),MONTH(E390)-1,DAY(E390))</f>
        <v>25569.041666666668</v>
      </c>
      <c r="F391" s="333">
        <f>IF(DATE(YEAR($B$6),MONTH($B$6)+1,DAY(1))=E391,1,IF(MONTH(E391)=1,F392*(1+$F$5),F392))</f>
      </c>
      <c r="G391" s="333">
        <f>IF('Simulador - 1º Pilar'!$E$99="Sí",IF('Aportaciones Poliza'!$B$13&lt;'Aportaciones Poliza'!E391,0,F391*$B$8/12),F391*$B$8/12)</f>
      </c>
      <c r="H391" s="333">
        <f>$H$5*G391</f>
      </c>
      <c r="I391" s="333"/>
      <c r="J391" s="333">
        <f>(1+$M$5)^(D391/12)*(H391+IF(AND(F391=1,F392=0),$Q$4,0))</f>
      </c>
      <c r="K391" s="333">
        <f>(1+$M$5)^(D391/12)*(I391)</f>
      </c>
      <c r="L391" s="333">
        <f>K391+J391</f>
      </c>
      <c r="M391" s="170"/>
      <c r="N391" s="7"/>
      <c r="O391" s="1"/>
      <c r="P391" s="331">
        <f>D391</f>
      </c>
      <c r="Q391" s="169"/>
    </row>
    <row x14ac:dyDescent="0.25" r="392" customHeight="1" ht="18.75">
      <c r="A392" s="1"/>
      <c r="B392" s="7"/>
      <c r="C392" s="170"/>
      <c r="D392" s="331">
        <v>385</v>
      </c>
      <c r="E392" s="544">
        <f>+DATE(YEAR(E391),MONTH(E391)-1,DAY(E391))</f>
        <v>25569.041666666668</v>
      </c>
      <c r="F392" s="333">
        <f>IF(DATE(YEAR($B$6),MONTH($B$6)+1,DAY(1))=E392,1,IF(MONTH(E392)=1,F393*(1+$F$5),F393))</f>
      </c>
      <c r="G392" s="333">
        <f>IF('Simulador - 1º Pilar'!$E$99="Sí",IF('Aportaciones Poliza'!$B$13&lt;'Aportaciones Poliza'!E392,0,F392*$B$8/12),F392*$B$8/12)</f>
      </c>
      <c r="H392" s="333">
        <f>$H$5*G392</f>
      </c>
      <c r="I392" s="333"/>
      <c r="J392" s="333">
        <f>(1+$M$5)^(D392/12)*(H392+IF(AND(F392=1,F393=0),$Q$4,0))</f>
      </c>
      <c r="K392" s="333">
        <f>(1+$M$5)^(D392/12)*(I392)</f>
      </c>
      <c r="L392" s="333">
        <f>K392+J392</f>
      </c>
      <c r="M392" s="170"/>
      <c r="N392" s="7"/>
      <c r="O392" s="1"/>
      <c r="P392" s="331">
        <f>D392</f>
      </c>
      <c r="Q392" s="169"/>
    </row>
    <row x14ac:dyDescent="0.25" r="393" customHeight="1" ht="18.75">
      <c r="A393" s="1"/>
      <c r="B393" s="7"/>
      <c r="C393" s="170"/>
      <c r="D393" s="331">
        <v>386</v>
      </c>
      <c r="E393" s="544">
        <f>+DATE(YEAR(E392),MONTH(E392)-1,DAY(E392))</f>
        <v>25569.041666666668</v>
      </c>
      <c r="F393" s="333">
        <f>IF(DATE(YEAR($B$6),MONTH($B$6)+1,DAY(1))=E393,1,IF(MONTH(E393)=1,F394*(1+$F$5),F394))</f>
      </c>
      <c r="G393" s="333">
        <f>IF('Simulador - 1º Pilar'!$E$99="Sí",IF('Aportaciones Poliza'!$B$13&lt;'Aportaciones Poliza'!E393,0,F393*$B$8/12),F393*$B$8/12)</f>
      </c>
      <c r="H393" s="333">
        <f>$H$5*G393</f>
      </c>
      <c r="I393" s="333"/>
      <c r="J393" s="333">
        <f>(1+$M$5)^(D393/12)*(H393+IF(AND(F393=1,F394=0),$Q$4,0))</f>
      </c>
      <c r="K393" s="333">
        <f>(1+$M$5)^(D393/12)*(I393)</f>
      </c>
      <c r="L393" s="333">
        <f>K393+J393</f>
      </c>
      <c r="M393" s="170"/>
      <c r="N393" s="7"/>
      <c r="O393" s="1"/>
      <c r="P393" s="331">
        <f>D393</f>
      </c>
      <c r="Q393" s="169"/>
    </row>
    <row x14ac:dyDescent="0.25" r="394" customHeight="1" ht="18.75">
      <c r="A394" s="1"/>
      <c r="B394" s="7"/>
      <c r="C394" s="170"/>
      <c r="D394" s="331">
        <v>387</v>
      </c>
      <c r="E394" s="544">
        <f>+DATE(YEAR(E393),MONTH(E393)-1,DAY(E393))</f>
        <v>25569.041666666668</v>
      </c>
      <c r="F394" s="333">
        <f>IF(DATE(YEAR($B$6),MONTH($B$6)+1,DAY(1))=E394,1,IF(MONTH(E394)=1,F395*(1+$F$5),F395))</f>
      </c>
      <c r="G394" s="333">
        <f>IF('Simulador - 1º Pilar'!$E$99="Sí",IF('Aportaciones Poliza'!$B$13&lt;'Aportaciones Poliza'!E394,0,F394*$B$8/12),F394*$B$8/12)</f>
      </c>
      <c r="H394" s="333">
        <f>$H$5*G394</f>
      </c>
      <c r="I394" s="333"/>
      <c r="J394" s="333">
        <f>(1+$M$5)^(D394/12)*(H394+IF(AND(F394=1,F395=0),$Q$4,0))</f>
      </c>
      <c r="K394" s="333">
        <f>(1+$M$5)^(D394/12)*(I394)</f>
      </c>
      <c r="L394" s="333">
        <f>K394+J394</f>
      </c>
      <c r="M394" s="170"/>
      <c r="N394" s="7"/>
      <c r="O394" s="1"/>
      <c r="P394" s="331">
        <f>D394</f>
      </c>
      <c r="Q394" s="169"/>
    </row>
    <row x14ac:dyDescent="0.25" r="395" customHeight="1" ht="18.75">
      <c r="A395" s="1"/>
      <c r="B395" s="7"/>
      <c r="C395" s="170"/>
      <c r="D395" s="331">
        <v>388</v>
      </c>
      <c r="E395" s="544">
        <f>+DATE(YEAR(E394),MONTH(E394)-1,DAY(E394))</f>
        <v>25569.041666666668</v>
      </c>
      <c r="F395" s="333">
        <f>IF(DATE(YEAR($B$6),MONTH($B$6)+1,DAY(1))=E395,1,IF(MONTH(E395)=1,F396*(1+$F$5),F396))</f>
      </c>
      <c r="G395" s="333">
        <f>IF('Simulador - 1º Pilar'!$E$99="Sí",IF('Aportaciones Poliza'!$B$13&lt;'Aportaciones Poliza'!E395,0,F395*$B$8/12),F395*$B$8/12)</f>
      </c>
      <c r="H395" s="333">
        <f>$H$5*G395</f>
      </c>
      <c r="I395" s="333"/>
      <c r="J395" s="333">
        <f>(1+$M$5)^(D395/12)*(H395+IF(AND(F395=1,F396=0),$Q$4,0))</f>
      </c>
      <c r="K395" s="333">
        <f>(1+$M$5)^(D395/12)*(I395)</f>
      </c>
      <c r="L395" s="333">
        <f>K395+J395</f>
      </c>
      <c r="M395" s="170"/>
      <c r="N395" s="7"/>
      <c r="O395" s="1"/>
      <c r="P395" s="331">
        <f>D395</f>
      </c>
      <c r="Q395" s="169"/>
    </row>
    <row x14ac:dyDescent="0.25" r="396" customHeight="1" ht="18.75">
      <c r="A396" s="1"/>
      <c r="B396" s="7"/>
      <c r="C396" s="170"/>
      <c r="D396" s="331">
        <v>389</v>
      </c>
      <c r="E396" s="544">
        <f>+DATE(YEAR(E395),MONTH(E395)-1,DAY(E395))</f>
        <v>25569.041666666668</v>
      </c>
      <c r="F396" s="333">
        <f>IF(DATE(YEAR($B$6),MONTH($B$6)+1,DAY(1))=E396,1,IF(MONTH(E396)=1,F397*(1+$F$5),F397))</f>
      </c>
      <c r="G396" s="333">
        <f>IF('Simulador - 1º Pilar'!$E$99="Sí",IF('Aportaciones Poliza'!$B$13&lt;'Aportaciones Poliza'!E396,0,F396*$B$8/12),F396*$B$8/12)</f>
      </c>
      <c r="H396" s="333">
        <f>$H$5*G396</f>
      </c>
      <c r="I396" s="333"/>
      <c r="J396" s="333">
        <f>(1+$M$5)^(D396/12)*(H396+IF(AND(F396=1,F397=0),$Q$4,0))</f>
      </c>
      <c r="K396" s="333">
        <f>(1+$M$5)^(D396/12)*(I396)</f>
      </c>
      <c r="L396" s="333">
        <f>K396+J396</f>
      </c>
      <c r="M396" s="170"/>
      <c r="N396" s="7"/>
      <c r="O396" s="1"/>
      <c r="P396" s="331">
        <f>D396</f>
      </c>
      <c r="Q396" s="169"/>
    </row>
    <row x14ac:dyDescent="0.25" r="397" customHeight="1" ht="18.75">
      <c r="A397" s="1"/>
      <c r="B397" s="7"/>
      <c r="C397" s="170"/>
      <c r="D397" s="331">
        <v>390</v>
      </c>
      <c r="E397" s="544">
        <f>+DATE(YEAR(E396),MONTH(E396)-1,DAY(E396))</f>
        <v>25569.041666666668</v>
      </c>
      <c r="F397" s="333">
        <f>IF(DATE(YEAR($B$6),MONTH($B$6)+1,DAY(1))=E397,1,IF(MONTH(E397)=1,F398*(1+$F$5),F398))</f>
      </c>
      <c r="G397" s="333">
        <f>IF('Simulador - 1º Pilar'!$E$99="Sí",IF('Aportaciones Poliza'!$B$13&lt;'Aportaciones Poliza'!E397,0,F397*$B$8/12),F397*$B$8/12)</f>
      </c>
      <c r="H397" s="333">
        <f>$H$5*G397</f>
      </c>
      <c r="I397" s="333"/>
      <c r="J397" s="333">
        <f>(1+$M$5)^(D397/12)*(H397+IF(AND(F397=1,F398=0),$Q$4,0))</f>
      </c>
      <c r="K397" s="333">
        <f>(1+$M$5)^(D397/12)*(I397)</f>
      </c>
      <c r="L397" s="333">
        <f>K397+J397</f>
      </c>
      <c r="M397" s="170"/>
      <c r="N397" s="7"/>
      <c r="O397" s="1"/>
      <c r="P397" s="331">
        <f>D397</f>
      </c>
      <c r="Q397" s="169"/>
    </row>
    <row x14ac:dyDescent="0.25" r="398" customHeight="1" ht="18.75">
      <c r="A398" s="1"/>
      <c r="B398" s="7"/>
      <c r="C398" s="170"/>
      <c r="D398" s="331">
        <v>391</v>
      </c>
      <c r="E398" s="544">
        <f>+DATE(YEAR(E397),MONTH(E397)-1,DAY(E397))</f>
        <v>25569.041666666668</v>
      </c>
      <c r="F398" s="333">
        <f>IF(DATE(YEAR($B$6),MONTH($B$6)+1,DAY(1))=E398,1,IF(MONTH(E398)=1,F399*(1+$F$5),F399))</f>
      </c>
      <c r="G398" s="333">
        <f>IF('Simulador - 1º Pilar'!$E$99="Sí",IF('Aportaciones Poliza'!$B$13&lt;'Aportaciones Poliza'!E398,0,F398*$B$8/12),F398*$B$8/12)</f>
      </c>
      <c r="H398" s="333">
        <f>$H$5*G398</f>
      </c>
      <c r="I398" s="333"/>
      <c r="J398" s="333">
        <f>(1+$M$5)^(D398/12)*(H398+IF(AND(F398=1,F399=0),$Q$4,0))</f>
      </c>
      <c r="K398" s="333">
        <f>(1+$M$5)^(D398/12)*(I398)</f>
      </c>
      <c r="L398" s="333">
        <f>K398+J398</f>
      </c>
      <c r="M398" s="170"/>
      <c r="N398" s="7"/>
      <c r="O398" s="1"/>
      <c r="P398" s="331">
        <f>D398</f>
      </c>
      <c r="Q398" s="169"/>
    </row>
    <row x14ac:dyDescent="0.25" r="399" customHeight="1" ht="18.75">
      <c r="A399" s="1"/>
      <c r="B399" s="7"/>
      <c r="C399" s="170"/>
      <c r="D399" s="331">
        <v>392</v>
      </c>
      <c r="E399" s="544">
        <f>+DATE(YEAR(E398),MONTH(E398)-1,DAY(E398))</f>
        <v>25569.041666666668</v>
      </c>
      <c r="F399" s="333">
        <f>IF(DATE(YEAR($B$6),MONTH($B$6)+1,DAY(1))=E399,1,IF(MONTH(E399)=1,F400*(1+$F$5),F400))</f>
      </c>
      <c r="G399" s="333">
        <f>IF('Simulador - 1º Pilar'!$E$99="Sí",IF('Aportaciones Poliza'!$B$13&lt;'Aportaciones Poliza'!E399,0,F399*$B$8/12),F399*$B$8/12)</f>
      </c>
      <c r="H399" s="333">
        <f>$H$5*G399</f>
      </c>
      <c r="I399" s="333"/>
      <c r="J399" s="333">
        <f>(1+$M$5)^(D399/12)*(H399+IF(AND(F399=1,F400=0),$Q$4,0))</f>
      </c>
      <c r="K399" s="333">
        <f>(1+$M$5)^(D399/12)*(I399)</f>
      </c>
      <c r="L399" s="333">
        <f>K399+J399</f>
      </c>
      <c r="M399" s="170"/>
      <c r="N399" s="7"/>
      <c r="O399" s="1"/>
      <c r="P399" s="331">
        <f>D399</f>
      </c>
      <c r="Q399" s="169"/>
    </row>
    <row x14ac:dyDescent="0.25" r="400" customHeight="1" ht="18.75">
      <c r="A400" s="1"/>
      <c r="B400" s="7"/>
      <c r="C400" s="170"/>
      <c r="D400" s="331">
        <v>393</v>
      </c>
      <c r="E400" s="544">
        <f>+DATE(YEAR(E399),MONTH(E399)-1,DAY(E399))</f>
        <v>25569.041666666668</v>
      </c>
      <c r="F400" s="333">
        <f>IF(DATE(YEAR($B$6),MONTH($B$6)+1,DAY(1))=E400,1,IF(MONTH(E400)=1,F401*(1+$F$5),F401))</f>
      </c>
      <c r="G400" s="333">
        <f>IF('Simulador - 1º Pilar'!$E$99="Sí",IF('Aportaciones Poliza'!$B$13&lt;'Aportaciones Poliza'!E400,0,F400*$B$8/12),F400*$B$8/12)</f>
      </c>
      <c r="H400" s="333">
        <f>$H$5*G400</f>
      </c>
      <c r="I400" s="333"/>
      <c r="J400" s="333">
        <f>(1+$M$5)^(D400/12)*(H400+IF(AND(F400=1,F401=0),$Q$4,0))</f>
      </c>
      <c r="K400" s="333">
        <f>(1+$M$5)^(D400/12)*(I400)</f>
      </c>
      <c r="L400" s="333">
        <f>K400+J400</f>
      </c>
      <c r="M400" s="170"/>
      <c r="N400" s="7"/>
      <c r="O400" s="1"/>
      <c r="P400" s="331">
        <f>D400</f>
      </c>
      <c r="Q400" s="169"/>
    </row>
    <row x14ac:dyDescent="0.25" r="401" customHeight="1" ht="18.75">
      <c r="A401" s="1"/>
      <c r="B401" s="7"/>
      <c r="C401" s="170"/>
      <c r="D401" s="331">
        <v>394</v>
      </c>
      <c r="E401" s="544">
        <f>+DATE(YEAR(E400),MONTH(E400)-1,DAY(E400))</f>
        <v>25569.041666666668</v>
      </c>
      <c r="F401" s="333">
        <f>IF(DATE(YEAR($B$6),MONTH($B$6)+1,DAY(1))=E401,1,IF(MONTH(E401)=1,F402*(1+$F$5),F402))</f>
      </c>
      <c r="G401" s="333">
        <f>IF('Simulador - 1º Pilar'!$E$99="Sí",IF('Aportaciones Poliza'!$B$13&lt;'Aportaciones Poliza'!E401,0,F401*$B$8/12),F401*$B$8/12)</f>
      </c>
      <c r="H401" s="333">
        <f>$H$5*G401</f>
      </c>
      <c r="I401" s="333"/>
      <c r="J401" s="333">
        <f>(1+$M$5)^(D401/12)*(H401+IF(AND(F401=1,F402=0),$Q$4,0))</f>
      </c>
      <c r="K401" s="333">
        <f>(1+$M$5)^(D401/12)*(I401)</f>
      </c>
      <c r="L401" s="333">
        <f>K401+J401</f>
      </c>
      <c r="M401" s="170"/>
      <c r="N401" s="7"/>
      <c r="O401" s="1"/>
      <c r="P401" s="331">
        <f>D401</f>
      </c>
      <c r="Q401" s="169"/>
    </row>
    <row x14ac:dyDescent="0.25" r="402" customHeight="1" ht="18.75">
      <c r="A402" s="1"/>
      <c r="B402" s="7"/>
      <c r="C402" s="170"/>
      <c r="D402" s="331">
        <v>395</v>
      </c>
      <c r="E402" s="544">
        <f>+DATE(YEAR(E401),MONTH(E401)-1,DAY(E401))</f>
        <v>25569.041666666668</v>
      </c>
      <c r="F402" s="333">
        <f>IF(DATE(YEAR($B$6),MONTH($B$6)+1,DAY(1))=E402,1,IF(MONTH(E402)=1,F403*(1+$F$5),F403))</f>
      </c>
      <c r="G402" s="333">
        <f>IF('Simulador - 1º Pilar'!$E$99="Sí",IF('Aportaciones Poliza'!$B$13&lt;'Aportaciones Poliza'!E402,0,F402*$B$8/12),F402*$B$8/12)</f>
      </c>
      <c r="H402" s="333">
        <f>$H$5*G402</f>
      </c>
      <c r="I402" s="333"/>
      <c r="J402" s="333">
        <f>(1+$M$5)^(D402/12)*(H402+IF(AND(F402=1,F403=0),$Q$4,0))</f>
      </c>
      <c r="K402" s="333">
        <f>(1+$M$5)^(D402/12)*(I402)</f>
      </c>
      <c r="L402" s="333">
        <f>K402+J402</f>
      </c>
      <c r="M402" s="170"/>
      <c r="N402" s="7"/>
      <c r="O402" s="1"/>
      <c r="P402" s="331">
        <f>D402</f>
      </c>
      <c r="Q402" s="169"/>
    </row>
    <row x14ac:dyDescent="0.25" r="403" customHeight="1" ht="18.75">
      <c r="A403" s="1"/>
      <c r="B403" s="7"/>
      <c r="C403" s="170"/>
      <c r="D403" s="331">
        <v>396</v>
      </c>
      <c r="E403" s="544">
        <f>+DATE(YEAR(E402),MONTH(E402)-1,DAY(E402))</f>
        <v>25569.041666666668</v>
      </c>
      <c r="F403" s="333">
        <f>IF(DATE(YEAR($B$6),MONTH($B$6)+1,DAY(1))=E403,1,IF(MONTH(E403)=1,F404*(1+$F$5),F404))</f>
      </c>
      <c r="G403" s="333">
        <f>IF('Simulador - 1º Pilar'!$E$99="Sí",IF('Aportaciones Poliza'!$B$13&lt;'Aportaciones Poliza'!E403,0,F403*$B$8/12),F403*$B$8/12)</f>
      </c>
      <c r="H403" s="333">
        <f>$H$5*G403</f>
      </c>
      <c r="I403" s="333"/>
      <c r="J403" s="333">
        <f>(1+$M$5)^(D403/12)*(H403+IF(AND(F403=1,F404=0),$Q$4,0))</f>
      </c>
      <c r="K403" s="333">
        <f>(1+$M$5)^(D403/12)*(I403)</f>
      </c>
      <c r="L403" s="333">
        <f>K403+J403</f>
      </c>
      <c r="M403" s="170"/>
      <c r="N403" s="7"/>
      <c r="O403" s="1"/>
      <c r="P403" s="331">
        <f>D403</f>
      </c>
      <c r="Q403" s="169"/>
    </row>
    <row x14ac:dyDescent="0.25" r="404" customHeight="1" ht="18.75">
      <c r="A404" s="1"/>
      <c r="B404" s="7"/>
      <c r="C404" s="170"/>
      <c r="D404" s="331">
        <v>397</v>
      </c>
      <c r="E404" s="544">
        <f>+DATE(YEAR(E403),MONTH(E403)-1,DAY(E403))</f>
        <v>25569.041666666668</v>
      </c>
      <c r="F404" s="333">
        <f>IF(DATE(YEAR($B$6),MONTH($B$6)+1,DAY(1))=E404,1,IF(MONTH(E404)=1,F405*(1+$F$5),F405))</f>
      </c>
      <c r="G404" s="333">
        <f>IF('Simulador - 1º Pilar'!$E$99="Sí",IF('Aportaciones Poliza'!$B$13&lt;'Aportaciones Poliza'!E404,0,F404*$B$8/12),F404*$B$8/12)</f>
      </c>
      <c r="H404" s="333">
        <f>$H$5*G404</f>
      </c>
      <c r="I404" s="333"/>
      <c r="J404" s="333">
        <f>(1+$M$5)^(D404/12)*(H404+IF(AND(F404=1,F405=0),$Q$4,0))</f>
      </c>
      <c r="K404" s="333">
        <f>(1+$M$5)^(D404/12)*(I404)</f>
      </c>
      <c r="L404" s="333">
        <f>K404+J404</f>
      </c>
      <c r="M404" s="170"/>
      <c r="N404" s="7"/>
      <c r="O404" s="1"/>
      <c r="P404" s="331">
        <f>D404</f>
      </c>
      <c r="Q404" s="169"/>
    </row>
    <row x14ac:dyDescent="0.25" r="405" customHeight="1" ht="18.75">
      <c r="A405" s="1"/>
      <c r="B405" s="7"/>
      <c r="C405" s="170"/>
      <c r="D405" s="331">
        <v>398</v>
      </c>
      <c r="E405" s="544">
        <f>+DATE(YEAR(E404),MONTH(E404)-1,DAY(E404))</f>
        <v>25569.041666666668</v>
      </c>
      <c r="F405" s="333">
        <f>IF(DATE(YEAR($B$6),MONTH($B$6)+1,DAY(1))=E405,1,IF(MONTH(E405)=1,F406*(1+$F$5),F406))</f>
      </c>
      <c r="G405" s="333">
        <f>IF('Simulador - 1º Pilar'!$E$99="Sí",IF('Aportaciones Poliza'!$B$13&lt;'Aportaciones Poliza'!E405,0,F405*$B$8/12),F405*$B$8/12)</f>
      </c>
      <c r="H405" s="333">
        <f>$H$5*G405</f>
      </c>
      <c r="I405" s="333"/>
      <c r="J405" s="333">
        <f>(1+$M$5)^(D405/12)*(H405+IF(AND(F405=1,F406=0),$Q$4,0))</f>
      </c>
      <c r="K405" s="333">
        <f>(1+$M$5)^(D405/12)*(I405)</f>
      </c>
      <c r="L405" s="333">
        <f>K405+J405</f>
      </c>
      <c r="M405" s="170"/>
      <c r="N405" s="7"/>
      <c r="O405" s="1"/>
      <c r="P405" s="331">
        <f>D405</f>
      </c>
      <c r="Q405" s="169"/>
    </row>
    <row x14ac:dyDescent="0.25" r="406" customHeight="1" ht="18.75">
      <c r="A406" s="1"/>
      <c r="B406" s="7"/>
      <c r="C406" s="170"/>
      <c r="D406" s="331">
        <v>399</v>
      </c>
      <c r="E406" s="544">
        <f>+DATE(YEAR(E405),MONTH(E405)-1,DAY(E405))</f>
        <v>25569.041666666668</v>
      </c>
      <c r="F406" s="333">
        <f>IF(DATE(YEAR($B$6),MONTH($B$6)+1,DAY(1))=E406,1,IF(MONTH(E406)=1,F407*(1+$F$5),F407))</f>
      </c>
      <c r="G406" s="333">
        <f>IF('Simulador - 1º Pilar'!$E$99="Sí",IF('Aportaciones Poliza'!$B$13&lt;'Aportaciones Poliza'!E406,0,F406*$B$8/12),F406*$B$8/12)</f>
      </c>
      <c r="H406" s="333">
        <f>$H$5*G406</f>
      </c>
      <c r="I406" s="333"/>
      <c r="J406" s="333">
        <f>(1+$M$5)^(D406/12)*(H406+IF(AND(F406=1,F407=0),$Q$4,0))</f>
      </c>
      <c r="K406" s="333">
        <f>(1+$M$5)^(D406/12)*(I406)</f>
      </c>
      <c r="L406" s="333">
        <f>K406+J406</f>
      </c>
      <c r="M406" s="170"/>
      <c r="N406" s="7"/>
      <c r="O406" s="1"/>
      <c r="P406" s="331">
        <f>D406</f>
      </c>
      <c r="Q406" s="169"/>
    </row>
    <row x14ac:dyDescent="0.25" r="407" customHeight="1" ht="18.75">
      <c r="A407" s="1"/>
      <c r="B407" s="7"/>
      <c r="C407" s="170"/>
      <c r="D407" s="331">
        <v>400</v>
      </c>
      <c r="E407" s="544">
        <f>+DATE(YEAR(E406),MONTH(E406)-1,DAY(E406))</f>
        <v>25569.041666666668</v>
      </c>
      <c r="F407" s="333">
        <f>IF(DATE(YEAR($B$6),MONTH($B$6)+1,DAY(1))=E407,1,IF(MONTH(E407)=1,F408*(1+$F$5),F408))</f>
      </c>
      <c r="G407" s="333">
        <f>IF('Simulador - 1º Pilar'!$E$99="Sí",IF('Aportaciones Poliza'!$B$13&lt;'Aportaciones Poliza'!E407,0,F407*$B$8/12),F407*$B$8/12)</f>
      </c>
      <c r="H407" s="333">
        <f>$H$5*G407</f>
      </c>
      <c r="I407" s="333"/>
      <c r="J407" s="333">
        <f>(1+$M$5)^(D407/12)*(H407+IF(AND(F407=1,F408=0),$Q$4,0))</f>
      </c>
      <c r="K407" s="333">
        <f>(1+$M$5)^(D407/12)*(I407)</f>
      </c>
      <c r="L407" s="333">
        <f>K407+J407</f>
      </c>
      <c r="M407" s="170"/>
      <c r="N407" s="7"/>
      <c r="O407" s="1"/>
      <c r="P407" s="331">
        <f>D407</f>
      </c>
      <c r="Q407" s="169"/>
    </row>
    <row x14ac:dyDescent="0.25" r="408" customHeight="1" ht="18.75">
      <c r="A408" s="1"/>
      <c r="B408" s="7"/>
      <c r="C408" s="170"/>
      <c r="D408" s="331">
        <v>401</v>
      </c>
      <c r="E408" s="544">
        <f>+DATE(YEAR(E407),MONTH(E407)-1,DAY(E407))</f>
        <v>25569.041666666668</v>
      </c>
      <c r="F408" s="333">
        <f>IF(DATE(YEAR($B$6),MONTH($B$6)+1,DAY(1))=E408,1,IF(MONTH(E408)=1,F409*(1+$F$5),F409))</f>
      </c>
      <c r="G408" s="333">
        <f>IF('Simulador - 1º Pilar'!$E$99="Sí",IF('Aportaciones Poliza'!$B$13&lt;'Aportaciones Poliza'!E408,0,F408*$B$8/12),F408*$B$8/12)</f>
      </c>
      <c r="H408" s="333">
        <f>$H$5*G408</f>
      </c>
      <c r="I408" s="333"/>
      <c r="J408" s="333">
        <f>(1+$M$5)^(D408/12)*(H408+IF(AND(F408=1,F409=0),$Q$4,0))</f>
      </c>
      <c r="K408" s="333">
        <f>(1+$M$5)^(D408/12)*(I408)</f>
      </c>
      <c r="L408" s="333">
        <f>K408+J408</f>
      </c>
      <c r="M408" s="170"/>
      <c r="N408" s="7"/>
      <c r="O408" s="1"/>
      <c r="P408" s="331">
        <f>D408</f>
      </c>
      <c r="Q408" s="169"/>
    </row>
    <row x14ac:dyDescent="0.25" r="409" customHeight="1" ht="18.75">
      <c r="A409" s="1"/>
      <c r="B409" s="7"/>
      <c r="C409" s="170"/>
      <c r="D409" s="331">
        <v>402</v>
      </c>
      <c r="E409" s="544">
        <f>+DATE(YEAR(E408),MONTH(E408)-1,DAY(E408))</f>
        <v>25569.041666666668</v>
      </c>
      <c r="F409" s="333">
        <f>IF(DATE(YEAR($B$6),MONTH($B$6)+1,DAY(1))=E409,1,IF(MONTH(E409)=1,F410*(1+$F$5),F410))</f>
      </c>
      <c r="G409" s="333">
        <f>IF('Simulador - 1º Pilar'!$E$99="Sí",IF('Aportaciones Poliza'!$B$13&lt;'Aportaciones Poliza'!E409,0,F409*$B$8/12),F409*$B$8/12)</f>
      </c>
      <c r="H409" s="333">
        <f>$H$5*G409</f>
      </c>
      <c r="I409" s="333"/>
      <c r="J409" s="333">
        <f>(1+$M$5)^(D409/12)*(H409+IF(AND(F409=1,F410=0),$Q$4,0))</f>
      </c>
      <c r="K409" s="333">
        <f>(1+$M$5)^(D409/12)*(I409)</f>
      </c>
      <c r="L409" s="333">
        <f>K409+J409</f>
      </c>
      <c r="M409" s="170"/>
      <c r="N409" s="7"/>
      <c r="O409" s="1"/>
      <c r="P409" s="331">
        <f>D409</f>
      </c>
      <c r="Q409" s="169"/>
    </row>
    <row x14ac:dyDescent="0.25" r="410" customHeight="1" ht="18.75">
      <c r="A410" s="1"/>
      <c r="B410" s="7"/>
      <c r="C410" s="170"/>
      <c r="D410" s="331">
        <v>403</v>
      </c>
      <c r="E410" s="544">
        <f>+DATE(YEAR(E409),MONTH(E409)-1,DAY(E409))</f>
        <v>25569.041666666668</v>
      </c>
      <c r="F410" s="333">
        <f>IF(DATE(YEAR($B$6),MONTH($B$6)+1,DAY(1))=E410,1,IF(MONTH(E410)=1,F411*(1+$F$5),F411))</f>
      </c>
      <c r="G410" s="333">
        <f>IF('Simulador - 1º Pilar'!$E$99="Sí",IF('Aportaciones Poliza'!$B$13&lt;'Aportaciones Poliza'!E410,0,F410*$B$8/12),F410*$B$8/12)</f>
      </c>
      <c r="H410" s="333">
        <f>$H$5*G410</f>
      </c>
      <c r="I410" s="333"/>
      <c r="J410" s="333">
        <f>(1+$M$5)^(D410/12)*(H410+IF(AND(F410=1,F411=0),$Q$4,0))</f>
      </c>
      <c r="K410" s="333">
        <f>(1+$M$5)^(D410/12)*(I410)</f>
      </c>
      <c r="L410" s="333">
        <f>K410+J410</f>
      </c>
      <c r="M410" s="170"/>
      <c r="N410" s="7"/>
      <c r="O410" s="1"/>
      <c r="P410" s="331">
        <f>D410</f>
      </c>
      <c r="Q410" s="169"/>
    </row>
    <row x14ac:dyDescent="0.25" r="411" customHeight="1" ht="18.75">
      <c r="A411" s="1"/>
      <c r="B411" s="7"/>
      <c r="C411" s="170"/>
      <c r="D411" s="331">
        <v>404</v>
      </c>
      <c r="E411" s="544">
        <f>+DATE(YEAR(E410),MONTH(E410)-1,DAY(E410))</f>
        <v>25569.041666666668</v>
      </c>
      <c r="F411" s="333">
        <f>IF(DATE(YEAR($B$6),MONTH($B$6)+1,DAY(1))=E411,1,IF(MONTH(E411)=1,F412*(1+$F$5),F412))</f>
      </c>
      <c r="G411" s="333">
        <f>IF('Simulador - 1º Pilar'!$E$99="Sí",IF('Aportaciones Poliza'!$B$13&lt;'Aportaciones Poliza'!E411,0,F411*$B$8/12),F411*$B$8/12)</f>
      </c>
      <c r="H411" s="333">
        <f>$H$5*G411</f>
      </c>
      <c r="I411" s="333"/>
      <c r="J411" s="333">
        <f>(1+$M$5)^(D411/12)*(H411+IF(AND(F411=1,F412=0),$Q$4,0))</f>
      </c>
      <c r="K411" s="333">
        <f>(1+$M$5)^(D411/12)*(I411)</f>
      </c>
      <c r="L411" s="333">
        <f>K411+J411</f>
      </c>
      <c r="M411" s="170"/>
      <c r="N411" s="7"/>
      <c r="O411" s="1"/>
      <c r="P411" s="331">
        <f>D411</f>
      </c>
      <c r="Q411" s="169"/>
    </row>
    <row x14ac:dyDescent="0.25" r="412" customHeight="1" ht="18.75">
      <c r="A412" s="1"/>
      <c r="B412" s="7"/>
      <c r="C412" s="170"/>
      <c r="D412" s="331">
        <v>405</v>
      </c>
      <c r="E412" s="544">
        <f>+DATE(YEAR(E411),MONTH(E411)-1,DAY(E411))</f>
        <v>25569.041666666668</v>
      </c>
      <c r="F412" s="333">
        <f>IF(DATE(YEAR($B$6),MONTH($B$6)+1,DAY(1))=E412,1,IF(MONTH(E412)=1,F413*(1+$F$5),F413))</f>
      </c>
      <c r="G412" s="333">
        <f>IF('Simulador - 1º Pilar'!$E$99="Sí",IF('Aportaciones Poliza'!$B$13&lt;'Aportaciones Poliza'!E412,0,F412*$B$8/12),F412*$B$8/12)</f>
      </c>
      <c r="H412" s="333">
        <f>$H$5*G412</f>
      </c>
      <c r="I412" s="333"/>
      <c r="J412" s="333">
        <f>(1+$M$5)^(D412/12)*(H412+IF(AND(F412=1,F413=0),$Q$4,0))</f>
      </c>
      <c r="K412" s="333">
        <f>(1+$M$5)^(D412/12)*(I412)</f>
      </c>
      <c r="L412" s="333">
        <f>K412+J412</f>
      </c>
      <c r="M412" s="170"/>
      <c r="N412" s="7"/>
      <c r="O412" s="1"/>
      <c r="P412" s="331">
        <f>D412</f>
      </c>
      <c r="Q412" s="169"/>
    </row>
    <row x14ac:dyDescent="0.25" r="413" customHeight="1" ht="18.75">
      <c r="A413" s="1"/>
      <c r="B413" s="7"/>
      <c r="C413" s="170"/>
      <c r="D413" s="331">
        <v>406</v>
      </c>
      <c r="E413" s="544">
        <f>+DATE(YEAR(E412),MONTH(E412)-1,DAY(E412))</f>
        <v>25569.041666666668</v>
      </c>
      <c r="F413" s="333">
        <f>IF(DATE(YEAR($B$6),MONTH($B$6)+1,DAY(1))=E413,1,IF(MONTH(E413)=1,F414*(1+$F$5),F414))</f>
      </c>
      <c r="G413" s="333">
        <f>IF('Simulador - 1º Pilar'!$E$99="Sí",IF('Aportaciones Poliza'!$B$13&lt;'Aportaciones Poliza'!E413,0,F413*$B$8/12),F413*$B$8/12)</f>
      </c>
      <c r="H413" s="333">
        <f>$H$5*G413</f>
      </c>
      <c r="I413" s="333"/>
      <c r="J413" s="333">
        <f>(1+$M$5)^(D413/12)*(H413+IF(AND(F413=1,F414=0),$Q$4,0))</f>
      </c>
      <c r="K413" s="333">
        <f>(1+$M$5)^(D413/12)*(I413)</f>
      </c>
      <c r="L413" s="333">
        <f>K413+J413</f>
      </c>
      <c r="M413" s="170"/>
      <c r="N413" s="7"/>
      <c r="O413" s="1"/>
      <c r="P413" s="331">
        <f>D413</f>
      </c>
      <c r="Q413" s="169"/>
    </row>
    <row x14ac:dyDescent="0.25" r="414" customHeight="1" ht="18.75">
      <c r="A414" s="1"/>
      <c r="B414" s="7"/>
      <c r="C414" s="170"/>
      <c r="D414" s="331">
        <v>407</v>
      </c>
      <c r="E414" s="544">
        <f>+DATE(YEAR(E413),MONTH(E413)-1,DAY(E413))</f>
        <v>25569.041666666668</v>
      </c>
      <c r="F414" s="333">
        <f>IF(DATE(YEAR($B$6),MONTH($B$6)+1,DAY(1))=E414,1,IF(MONTH(E414)=1,F415*(1+$F$5),F415))</f>
      </c>
      <c r="G414" s="333">
        <f>IF('Simulador - 1º Pilar'!$E$99="Sí",IF('Aportaciones Poliza'!$B$13&lt;'Aportaciones Poliza'!E414,0,F414*$B$8/12),F414*$B$8/12)</f>
      </c>
      <c r="H414" s="333">
        <f>$H$5*G414</f>
      </c>
      <c r="I414" s="333"/>
      <c r="J414" s="333">
        <f>(1+$M$5)^(D414/12)*(H414+IF(AND(F414=1,F415=0),$Q$4,0))</f>
      </c>
      <c r="K414" s="333">
        <f>(1+$M$5)^(D414/12)*(I414)</f>
      </c>
      <c r="L414" s="333">
        <f>K414+J414</f>
      </c>
      <c r="M414" s="170"/>
      <c r="N414" s="7"/>
      <c r="O414" s="1"/>
      <c r="P414" s="331">
        <f>D414</f>
      </c>
      <c r="Q414" s="169"/>
    </row>
    <row x14ac:dyDescent="0.25" r="415" customHeight="1" ht="18.75">
      <c r="A415" s="1"/>
      <c r="B415" s="7"/>
      <c r="C415" s="170"/>
      <c r="D415" s="331">
        <v>408</v>
      </c>
      <c r="E415" s="544">
        <f>+DATE(YEAR(E414),MONTH(E414)-1,DAY(E414))</f>
        <v>25569.041666666668</v>
      </c>
      <c r="F415" s="333">
        <f>IF(DATE(YEAR($B$6),MONTH($B$6)+1,DAY(1))=E415,1,IF(MONTH(E415)=1,F416*(1+$F$5),F416))</f>
      </c>
      <c r="G415" s="333">
        <f>IF('Simulador - 1º Pilar'!$E$99="Sí",IF('Aportaciones Poliza'!$B$13&lt;'Aportaciones Poliza'!E415,0,F415*$B$8/12),F415*$B$8/12)</f>
      </c>
      <c r="H415" s="333">
        <f>$H$5*G415</f>
      </c>
      <c r="I415" s="333"/>
      <c r="J415" s="333">
        <f>(1+$M$5)^(D415/12)*(H415+IF(AND(F415=1,F416=0),$Q$4,0))</f>
      </c>
      <c r="K415" s="333">
        <f>(1+$M$5)^(D415/12)*(I415)</f>
      </c>
      <c r="L415" s="333">
        <f>K415+J415</f>
      </c>
      <c r="M415" s="170"/>
      <c r="N415" s="7"/>
      <c r="O415" s="1"/>
      <c r="P415" s="331">
        <f>D415</f>
      </c>
      <c r="Q415" s="169"/>
    </row>
    <row x14ac:dyDescent="0.25" r="416" customHeight="1" ht="18.75">
      <c r="A416" s="1"/>
      <c r="B416" s="7"/>
      <c r="C416" s="170"/>
      <c r="D416" s="331">
        <v>409</v>
      </c>
      <c r="E416" s="544">
        <f>+DATE(YEAR(E415),MONTH(E415)-1,DAY(E415))</f>
        <v>25569.041666666668</v>
      </c>
      <c r="F416" s="333">
        <f>IF(DATE(YEAR($B$6),MONTH($B$6)+1,DAY(1))=E416,1,IF(MONTH(E416)=1,F417*(1+$F$5),F417))</f>
      </c>
      <c r="G416" s="333">
        <f>IF('Simulador - 1º Pilar'!$E$99="Sí",IF('Aportaciones Poliza'!$B$13&lt;'Aportaciones Poliza'!E416,0,F416*$B$8/12),F416*$B$8/12)</f>
      </c>
      <c r="H416" s="333">
        <f>$H$5*G416</f>
      </c>
      <c r="I416" s="333"/>
      <c r="J416" s="333">
        <f>(1+$M$5)^(D416/12)*(H416+IF(AND(F416=1,F417=0),$Q$4,0))</f>
      </c>
      <c r="K416" s="333">
        <f>(1+$M$5)^(D416/12)*(I416)</f>
      </c>
      <c r="L416" s="333">
        <f>K416+J416</f>
      </c>
      <c r="M416" s="170"/>
      <c r="N416" s="7"/>
      <c r="O416" s="1"/>
      <c r="P416" s="331">
        <f>D416</f>
      </c>
      <c r="Q416" s="169"/>
    </row>
    <row x14ac:dyDescent="0.25" r="417" customHeight="1" ht="18.75">
      <c r="A417" s="1"/>
      <c r="B417" s="7"/>
      <c r="C417" s="170"/>
      <c r="D417" s="331">
        <v>410</v>
      </c>
      <c r="E417" s="544">
        <f>+DATE(YEAR(E416),MONTH(E416)-1,DAY(E416))</f>
        <v>25569.041666666668</v>
      </c>
      <c r="F417" s="333">
        <f>IF(DATE(YEAR($B$6),MONTH($B$6)+1,DAY(1))=E417,1,IF(MONTH(E417)=1,F418*(1+$F$5),F418))</f>
      </c>
      <c r="G417" s="333">
        <f>IF('Simulador - 1º Pilar'!$E$99="Sí",IF('Aportaciones Poliza'!$B$13&lt;'Aportaciones Poliza'!E417,0,F417*$B$8/12),F417*$B$8/12)</f>
      </c>
      <c r="H417" s="333">
        <f>$H$5*G417</f>
      </c>
      <c r="I417" s="333"/>
      <c r="J417" s="333">
        <f>(1+$M$5)^(D417/12)*(H417+IF(AND(F417=1,F418=0),$Q$4,0))</f>
      </c>
      <c r="K417" s="333">
        <f>(1+$M$5)^(D417/12)*(I417)</f>
      </c>
      <c r="L417" s="333">
        <f>K417+J417</f>
      </c>
      <c r="M417" s="170"/>
      <c r="N417" s="7"/>
      <c r="O417" s="1"/>
      <c r="P417" s="331">
        <f>D417</f>
      </c>
      <c r="Q417" s="169"/>
    </row>
    <row x14ac:dyDescent="0.25" r="418" customHeight="1" ht="18.75">
      <c r="A418" s="1"/>
      <c r="B418" s="7"/>
      <c r="C418" s="170"/>
      <c r="D418" s="331">
        <v>411</v>
      </c>
      <c r="E418" s="544">
        <f>+DATE(YEAR(E417),MONTH(E417)-1,DAY(E417))</f>
        <v>25569.041666666668</v>
      </c>
      <c r="F418" s="333">
        <f>IF(DATE(YEAR($B$6),MONTH($B$6)+1,DAY(1))=E418,1,IF(MONTH(E418)=1,F419*(1+$F$5),F419))</f>
      </c>
      <c r="G418" s="333">
        <f>IF('Simulador - 1º Pilar'!$E$99="Sí",IF('Aportaciones Poliza'!$B$13&lt;'Aportaciones Poliza'!E418,0,F418*$B$8/12),F418*$B$8/12)</f>
      </c>
      <c r="H418" s="333">
        <f>$H$5*G418</f>
      </c>
      <c r="I418" s="333"/>
      <c r="J418" s="333">
        <f>(1+$M$5)^(D418/12)*(H418+IF(AND(F418=1,F419=0),$Q$4,0))</f>
      </c>
      <c r="K418" s="333">
        <f>(1+$M$5)^(D418/12)*(I418)</f>
      </c>
      <c r="L418" s="333">
        <f>K418+J418</f>
      </c>
      <c r="M418" s="170"/>
      <c r="N418" s="7"/>
      <c r="O418" s="1"/>
      <c r="P418" s="331">
        <f>D418</f>
      </c>
      <c r="Q418" s="169"/>
    </row>
    <row x14ac:dyDescent="0.25" r="419" customHeight="1" ht="18.75">
      <c r="A419" s="1"/>
      <c r="B419" s="7"/>
      <c r="C419" s="170"/>
      <c r="D419" s="331">
        <v>412</v>
      </c>
      <c r="E419" s="544">
        <f>+DATE(YEAR(E418),MONTH(E418)-1,DAY(E418))</f>
        <v>25569.041666666668</v>
      </c>
      <c r="F419" s="333">
        <f>IF(DATE(YEAR($B$6),MONTH($B$6)+1,DAY(1))=E419,1,IF(MONTH(E419)=1,F420*(1+$F$5),F420))</f>
      </c>
      <c r="G419" s="333">
        <f>IF('Simulador - 1º Pilar'!$E$99="Sí",IF('Aportaciones Poliza'!$B$13&lt;'Aportaciones Poliza'!E419,0,F419*$B$8/12),F419*$B$8/12)</f>
      </c>
      <c r="H419" s="333">
        <f>$H$5*G419</f>
      </c>
      <c r="I419" s="333"/>
      <c r="J419" s="333">
        <f>(1+$M$5)^(D419/12)*(H419+IF(AND(F419=1,F420=0),$Q$4,0))</f>
      </c>
      <c r="K419" s="333">
        <f>(1+$M$5)^(D419/12)*(I419)</f>
      </c>
      <c r="L419" s="333">
        <f>K419+J419</f>
      </c>
      <c r="M419" s="170"/>
      <c r="N419" s="7"/>
      <c r="O419" s="1"/>
      <c r="P419" s="331">
        <f>D419</f>
      </c>
      <c r="Q419" s="169"/>
    </row>
    <row x14ac:dyDescent="0.25" r="420" customHeight="1" ht="18.75">
      <c r="A420" s="1"/>
      <c r="B420" s="7"/>
      <c r="C420" s="170"/>
      <c r="D420" s="331">
        <v>413</v>
      </c>
      <c r="E420" s="544">
        <f>+DATE(YEAR(E419),MONTH(E419)-1,DAY(E419))</f>
        <v>25569.041666666668</v>
      </c>
      <c r="F420" s="333">
        <f>IF(DATE(YEAR($B$6),MONTH($B$6)+1,DAY(1))=E420,1,IF(MONTH(E420)=1,F421*(1+$F$5),F421))</f>
      </c>
      <c r="G420" s="333">
        <f>IF('Simulador - 1º Pilar'!$E$99="Sí",IF('Aportaciones Poliza'!$B$13&lt;'Aportaciones Poliza'!E420,0,F420*$B$8/12),F420*$B$8/12)</f>
      </c>
      <c r="H420" s="333">
        <f>$H$5*G420</f>
      </c>
      <c r="I420" s="333"/>
      <c r="J420" s="333">
        <f>(1+$M$5)^(D420/12)*(H420+IF(AND(F420=1,F421=0),$Q$4,0))</f>
      </c>
      <c r="K420" s="333">
        <f>(1+$M$5)^(D420/12)*(I420)</f>
      </c>
      <c r="L420" s="333">
        <f>K420+J420</f>
      </c>
      <c r="M420" s="170"/>
      <c r="N420" s="7"/>
      <c r="O420" s="1"/>
      <c r="P420" s="331">
        <f>D420</f>
      </c>
      <c r="Q420" s="169"/>
    </row>
    <row x14ac:dyDescent="0.25" r="421" customHeight="1" ht="18.75">
      <c r="A421" s="1"/>
      <c r="B421" s="7"/>
      <c r="C421" s="170"/>
      <c r="D421" s="331">
        <v>414</v>
      </c>
      <c r="E421" s="544">
        <f>+DATE(YEAR(E420),MONTH(E420)-1,DAY(E420))</f>
        <v>25569.041666666668</v>
      </c>
      <c r="F421" s="333">
        <f>IF(DATE(YEAR($B$6),MONTH($B$6)+1,DAY(1))=E421,1,IF(MONTH(E421)=1,F422*(1+$F$5),F422))</f>
      </c>
      <c r="G421" s="333">
        <f>IF('Simulador - 1º Pilar'!$E$99="Sí",IF('Aportaciones Poliza'!$B$13&lt;'Aportaciones Poliza'!E421,0,F421*$B$8/12),F421*$B$8/12)</f>
      </c>
      <c r="H421" s="333">
        <f>$H$5*G421</f>
      </c>
      <c r="I421" s="333"/>
      <c r="J421" s="333">
        <f>(1+$M$5)^(D421/12)*(H421+IF(AND(F421=1,F422=0),$Q$4,0))</f>
      </c>
      <c r="K421" s="333">
        <f>(1+$M$5)^(D421/12)*(I421)</f>
      </c>
      <c r="L421" s="333">
        <f>K421+J421</f>
      </c>
      <c r="M421" s="170"/>
      <c r="N421" s="7"/>
      <c r="O421" s="1"/>
      <c r="P421" s="331">
        <f>D421</f>
      </c>
      <c r="Q421" s="169"/>
    </row>
    <row x14ac:dyDescent="0.25" r="422" customHeight="1" ht="18.75">
      <c r="A422" s="1"/>
      <c r="B422" s="7"/>
      <c r="C422" s="170"/>
      <c r="D422" s="331">
        <v>415</v>
      </c>
      <c r="E422" s="544">
        <f>+DATE(YEAR(E421),MONTH(E421)-1,DAY(E421))</f>
        <v>25569.041666666668</v>
      </c>
      <c r="F422" s="333">
        <f>IF(DATE(YEAR($B$6),MONTH($B$6)+1,DAY(1))=E422,1,IF(MONTH(E422)=1,F423*(1+$F$5),F423))</f>
      </c>
      <c r="G422" s="333">
        <f>IF('Simulador - 1º Pilar'!$E$99="Sí",IF('Aportaciones Poliza'!$B$13&lt;'Aportaciones Poliza'!E422,0,F422*$B$8/12),F422*$B$8/12)</f>
      </c>
      <c r="H422" s="333">
        <f>$H$5*G422</f>
      </c>
      <c r="I422" s="333"/>
      <c r="J422" s="333">
        <f>(1+$M$5)^(D422/12)*(H422+IF(AND(F422=1,F423=0),$Q$4,0))</f>
      </c>
      <c r="K422" s="333">
        <f>(1+$M$5)^(D422/12)*(I422)</f>
      </c>
      <c r="L422" s="333">
        <f>K422+J422</f>
      </c>
      <c r="M422" s="170"/>
      <c r="N422" s="7"/>
      <c r="O422" s="1"/>
      <c r="P422" s="331">
        <f>D422</f>
      </c>
      <c r="Q422" s="169"/>
    </row>
    <row x14ac:dyDescent="0.25" r="423" customHeight="1" ht="18.75">
      <c r="A423" s="1"/>
      <c r="B423" s="7"/>
      <c r="C423" s="170"/>
      <c r="D423" s="331">
        <v>416</v>
      </c>
      <c r="E423" s="544">
        <f>+DATE(YEAR(E422),MONTH(E422)-1,DAY(E422))</f>
        <v>25569.041666666668</v>
      </c>
      <c r="F423" s="333">
        <f>IF(DATE(YEAR($B$6),MONTH($B$6)+1,DAY(1))=E423,1,IF(MONTH(E423)=1,F424*(1+$F$5),F424))</f>
      </c>
      <c r="G423" s="333">
        <f>IF('Simulador - 1º Pilar'!$E$99="Sí",IF('Aportaciones Poliza'!$B$13&lt;'Aportaciones Poliza'!E423,0,F423*$B$8/12),F423*$B$8/12)</f>
      </c>
      <c r="H423" s="333">
        <f>$H$5*G423</f>
      </c>
      <c r="I423" s="333"/>
      <c r="J423" s="333">
        <f>(1+$M$5)^(D423/12)*(H423+IF(AND(F423=1,F424=0),$Q$4,0))</f>
      </c>
      <c r="K423" s="333">
        <f>(1+$M$5)^(D423/12)*(I423)</f>
      </c>
      <c r="L423" s="333">
        <f>K423+J423</f>
      </c>
      <c r="M423" s="170"/>
      <c r="N423" s="7"/>
      <c r="O423" s="1"/>
      <c r="P423" s="331">
        <f>D423</f>
      </c>
      <c r="Q423" s="169"/>
    </row>
    <row x14ac:dyDescent="0.25" r="424" customHeight="1" ht="18.75">
      <c r="A424" s="1"/>
      <c r="B424" s="7"/>
      <c r="C424" s="170"/>
      <c r="D424" s="331">
        <v>417</v>
      </c>
      <c r="E424" s="544">
        <f>+DATE(YEAR(E423),MONTH(E423)-1,DAY(E423))</f>
        <v>25569.041666666668</v>
      </c>
      <c r="F424" s="333">
        <f>IF(DATE(YEAR($B$6),MONTH($B$6)+1,DAY(1))=E424,1,IF(MONTH(E424)=1,F425*(1+$F$5),F425))</f>
      </c>
      <c r="G424" s="333">
        <f>IF('Simulador - 1º Pilar'!$E$99="Sí",IF('Aportaciones Poliza'!$B$13&lt;'Aportaciones Poliza'!E424,0,F424*$B$8/12),F424*$B$8/12)</f>
      </c>
      <c r="H424" s="333">
        <f>$H$5*G424</f>
      </c>
      <c r="I424" s="333"/>
      <c r="J424" s="333">
        <f>(1+$M$5)^(D424/12)*(H424+IF(AND(F424=1,F425=0),$Q$4,0))</f>
      </c>
      <c r="K424" s="333">
        <f>(1+$M$5)^(D424/12)*(I424)</f>
      </c>
      <c r="L424" s="333">
        <f>K424+J424</f>
      </c>
      <c r="M424" s="170"/>
      <c r="N424" s="7"/>
      <c r="O424" s="1"/>
      <c r="P424" s="331">
        <f>D424</f>
      </c>
      <c r="Q424" s="169"/>
    </row>
    <row x14ac:dyDescent="0.25" r="425" customHeight="1" ht="18.75">
      <c r="A425" s="1"/>
      <c r="B425" s="7"/>
      <c r="C425" s="170"/>
      <c r="D425" s="331">
        <v>418</v>
      </c>
      <c r="E425" s="544">
        <f>+DATE(YEAR(E424),MONTH(E424)-1,DAY(E424))</f>
        <v>25569.041666666668</v>
      </c>
      <c r="F425" s="333">
        <f>IF(DATE(YEAR($B$6),MONTH($B$6)+1,DAY(1))=E425,1,IF(MONTH(E425)=1,F426*(1+$F$5),F426))</f>
      </c>
      <c r="G425" s="333">
        <f>IF('Simulador - 1º Pilar'!$E$99="Sí",IF('Aportaciones Poliza'!$B$13&lt;'Aportaciones Poliza'!E425,0,F425*$B$8/12),F425*$B$8/12)</f>
      </c>
      <c r="H425" s="333">
        <f>$H$5*G425</f>
      </c>
      <c r="I425" s="333"/>
      <c r="J425" s="333">
        <f>(1+$M$5)^(D425/12)*(H425+IF(AND(F425=1,F426=0),$Q$4,0))</f>
      </c>
      <c r="K425" s="333">
        <f>(1+$M$5)^(D425/12)*(I425)</f>
      </c>
      <c r="L425" s="333">
        <f>K425+J425</f>
      </c>
      <c r="M425" s="170"/>
      <c r="N425" s="7"/>
      <c r="O425" s="1"/>
      <c r="P425" s="331">
        <f>D425</f>
      </c>
      <c r="Q425" s="169"/>
    </row>
    <row x14ac:dyDescent="0.25" r="426" customHeight="1" ht="18.75">
      <c r="A426" s="1"/>
      <c r="B426" s="7"/>
      <c r="C426" s="170"/>
      <c r="D426" s="331">
        <v>419</v>
      </c>
      <c r="E426" s="544">
        <f>+DATE(YEAR(E425),MONTH(E425)-1,DAY(E425))</f>
        <v>25569.041666666668</v>
      </c>
      <c r="F426" s="333">
        <f>IF(DATE(YEAR($B$6),MONTH($B$6)+1,DAY(1))=E426,1,IF(MONTH(E426)=1,F427*(1+$F$5),F427))</f>
      </c>
      <c r="G426" s="333">
        <f>IF('Simulador - 1º Pilar'!$E$99="Sí",IF('Aportaciones Poliza'!$B$13&lt;'Aportaciones Poliza'!E426,0,F426*$B$8/12),F426*$B$8/12)</f>
      </c>
      <c r="H426" s="333">
        <f>$H$5*G426</f>
      </c>
      <c r="I426" s="333"/>
      <c r="J426" s="333">
        <f>(1+$M$5)^(D426/12)*(H426+IF(AND(F426=1,F427=0),$Q$4,0))</f>
      </c>
      <c r="K426" s="333">
        <f>(1+$M$5)^(D426/12)*(I426)</f>
      </c>
      <c r="L426" s="333">
        <f>K426+J426</f>
      </c>
      <c r="M426" s="170"/>
      <c r="N426" s="7"/>
      <c r="O426" s="1"/>
      <c r="P426" s="331">
        <f>D426</f>
      </c>
      <c r="Q426" s="169"/>
    </row>
    <row x14ac:dyDescent="0.25" r="427" customHeight="1" ht="18.75">
      <c r="A427" s="1"/>
      <c r="B427" s="7"/>
      <c r="C427" s="170"/>
      <c r="D427" s="331">
        <v>420</v>
      </c>
      <c r="E427" s="544">
        <f>+DATE(YEAR(E426),MONTH(E426)-1,DAY(E426))</f>
        <v>25569.041666666668</v>
      </c>
      <c r="F427" s="333">
        <f>IF(DATE(YEAR($B$6),MONTH($B$6)+1,DAY(1))=E427,1,IF(MONTH(E427)=1,F428*(1+$F$5),F428))</f>
      </c>
      <c r="G427" s="333">
        <f>IF('Simulador - 1º Pilar'!$E$99="Sí",IF('Aportaciones Poliza'!$B$13&lt;'Aportaciones Poliza'!E427,0,F427*$B$8/12),F427*$B$8/12)</f>
      </c>
      <c r="H427" s="333">
        <f>$H$5*G427</f>
      </c>
      <c r="I427" s="333"/>
      <c r="J427" s="333">
        <f>(1+$M$5)^(D427/12)*(H427+IF(AND(F427=1,F428=0),$Q$4,0))</f>
      </c>
      <c r="K427" s="333">
        <f>(1+$M$5)^(D427/12)*(I427)</f>
      </c>
      <c r="L427" s="333">
        <f>K427+J427</f>
      </c>
      <c r="M427" s="170"/>
      <c r="N427" s="7"/>
      <c r="O427" s="1"/>
      <c r="P427" s="331">
        <f>D427</f>
      </c>
      <c r="Q427" s="169"/>
    </row>
    <row x14ac:dyDescent="0.25" r="428" customHeight="1" ht="18.75">
      <c r="A428" s="1"/>
      <c r="B428" s="7"/>
      <c r="C428" s="170"/>
      <c r="D428" s="331">
        <v>421</v>
      </c>
      <c r="E428" s="544">
        <f>+DATE(YEAR(E427),MONTH(E427)-1,DAY(E427))</f>
        <v>25569.041666666668</v>
      </c>
      <c r="F428" s="333">
        <f>IF(DATE(YEAR($B$6),MONTH($B$6)+1,DAY(1))=E428,1,IF(MONTH(E428)=1,F429*(1+$F$5),F429))</f>
      </c>
      <c r="G428" s="333">
        <f>IF('Simulador - 1º Pilar'!$E$99="Sí",IF('Aportaciones Poliza'!$B$13&lt;'Aportaciones Poliza'!E428,0,F428*$B$8/12),F428*$B$8/12)</f>
      </c>
      <c r="H428" s="333">
        <f>$H$5*G428</f>
      </c>
      <c r="I428" s="333"/>
      <c r="J428" s="333">
        <f>(1+$M$5)^(D428/12)*(H428+IF(AND(F428=1,F429=0),$Q$4,0))</f>
      </c>
      <c r="K428" s="333">
        <f>(1+$M$5)^(D428/12)*(I428)</f>
      </c>
      <c r="L428" s="333">
        <f>K428+J428</f>
      </c>
      <c r="M428" s="170"/>
      <c r="N428" s="7"/>
      <c r="O428" s="1"/>
      <c r="P428" s="331">
        <f>D428</f>
      </c>
      <c r="Q428" s="169"/>
    </row>
    <row x14ac:dyDescent="0.25" r="429" customHeight="1" ht="18.75">
      <c r="A429" s="1"/>
      <c r="B429" s="7"/>
      <c r="C429" s="170"/>
      <c r="D429" s="331">
        <v>422</v>
      </c>
      <c r="E429" s="544">
        <f>+DATE(YEAR(E428),MONTH(E428)-1,DAY(E428))</f>
        <v>25569.041666666668</v>
      </c>
      <c r="F429" s="333">
        <f>IF(DATE(YEAR($B$6),MONTH($B$6)+1,DAY(1))=E429,1,IF(MONTH(E429)=1,F430*(1+$F$5),F430))</f>
      </c>
      <c r="G429" s="333">
        <f>IF('Simulador - 1º Pilar'!$E$99="Sí",IF('Aportaciones Poliza'!$B$13&lt;'Aportaciones Poliza'!E429,0,F429*$B$8/12),F429*$B$8/12)</f>
      </c>
      <c r="H429" s="333">
        <f>$H$5*G429</f>
      </c>
      <c r="I429" s="333"/>
      <c r="J429" s="333">
        <f>(1+$M$5)^(D429/12)*(H429+IF(AND(F429=1,F430=0),$Q$4,0))</f>
      </c>
      <c r="K429" s="333">
        <f>(1+$M$5)^(D429/12)*(I429)</f>
      </c>
      <c r="L429" s="333">
        <f>K429+J429</f>
      </c>
      <c r="M429" s="170"/>
      <c r="N429" s="7"/>
      <c r="O429" s="1"/>
      <c r="P429" s="331">
        <f>D429</f>
      </c>
      <c r="Q429" s="169"/>
    </row>
    <row x14ac:dyDescent="0.25" r="430" customHeight="1" ht="18.75">
      <c r="A430" s="1"/>
      <c r="B430" s="7"/>
      <c r="C430" s="170"/>
      <c r="D430" s="331">
        <v>423</v>
      </c>
      <c r="E430" s="544">
        <f>+DATE(YEAR(E429),MONTH(E429)-1,DAY(E429))</f>
        <v>25569.041666666668</v>
      </c>
      <c r="F430" s="333">
        <f>IF(DATE(YEAR($B$6),MONTH($B$6)+1,DAY(1))=E430,1,IF(MONTH(E430)=1,F431*(1+$F$5),F431))</f>
      </c>
      <c r="G430" s="333">
        <f>IF('Simulador - 1º Pilar'!$E$99="Sí",IF('Aportaciones Poliza'!$B$13&lt;'Aportaciones Poliza'!E430,0,F430*$B$8/12),F430*$B$8/12)</f>
      </c>
      <c r="H430" s="333">
        <f>$H$5*G430</f>
      </c>
      <c r="I430" s="333"/>
      <c r="J430" s="333">
        <f>(1+$M$5)^(D430/12)*(H430+IF(AND(F430=1,F431=0),$Q$4,0))</f>
      </c>
      <c r="K430" s="333">
        <f>(1+$M$5)^(D430/12)*(I430)</f>
      </c>
      <c r="L430" s="333">
        <f>K430+J430</f>
      </c>
      <c r="M430" s="170"/>
      <c r="N430" s="7"/>
      <c r="O430" s="1"/>
      <c r="P430" s="331">
        <f>D430</f>
      </c>
      <c r="Q430" s="169"/>
    </row>
    <row x14ac:dyDescent="0.25" r="431" customHeight="1" ht="18.75">
      <c r="A431" s="1"/>
      <c r="B431" s="7"/>
      <c r="C431" s="170"/>
      <c r="D431" s="331">
        <v>424</v>
      </c>
      <c r="E431" s="544">
        <f>+DATE(YEAR(E430),MONTH(E430)-1,DAY(E430))</f>
        <v>25569.041666666668</v>
      </c>
      <c r="F431" s="333">
        <f>IF(DATE(YEAR($B$6),MONTH($B$6)+1,DAY(1))=E431,1,IF(MONTH(E431)=1,F432*(1+$F$5),F432))</f>
      </c>
      <c r="G431" s="333">
        <f>IF('Simulador - 1º Pilar'!$E$99="Sí",IF('Aportaciones Poliza'!$B$13&lt;'Aportaciones Poliza'!E431,0,F431*$B$8/12),F431*$B$8/12)</f>
      </c>
      <c r="H431" s="333">
        <f>$H$5*G431</f>
      </c>
      <c r="I431" s="333"/>
      <c r="J431" s="333">
        <f>(1+$M$5)^(D431/12)*(H431+IF(AND(F431=1,F432=0),$Q$4,0))</f>
      </c>
      <c r="K431" s="333">
        <f>(1+$M$5)^(D431/12)*(I431)</f>
      </c>
      <c r="L431" s="333">
        <f>K431+J431</f>
      </c>
      <c r="M431" s="170"/>
      <c r="N431" s="7"/>
      <c r="O431" s="1"/>
      <c r="P431" s="331">
        <f>D431</f>
      </c>
      <c r="Q431" s="169"/>
    </row>
    <row x14ac:dyDescent="0.25" r="432" customHeight="1" ht="18.75">
      <c r="A432" s="1"/>
      <c r="B432" s="7"/>
      <c r="C432" s="170"/>
      <c r="D432" s="331">
        <v>425</v>
      </c>
      <c r="E432" s="544">
        <f>+DATE(YEAR(E431),MONTH(E431)-1,DAY(E431))</f>
        <v>25569.041666666668</v>
      </c>
      <c r="F432" s="333">
        <f>IF(DATE(YEAR($B$6),MONTH($B$6)+1,DAY(1))=E432,1,IF(MONTH(E432)=1,F433*(1+$F$5),F433))</f>
      </c>
      <c r="G432" s="333">
        <f>IF('Simulador - 1º Pilar'!$E$99="Sí",IF('Aportaciones Poliza'!$B$13&lt;'Aportaciones Poliza'!E432,0,F432*$B$8/12),F432*$B$8/12)</f>
      </c>
      <c r="H432" s="333">
        <f>$H$5*G432</f>
      </c>
      <c r="I432" s="333"/>
      <c r="J432" s="333">
        <f>(1+$M$5)^(D432/12)*(H432+IF(AND(F432=1,F433=0),$Q$4,0))</f>
      </c>
      <c r="K432" s="333">
        <f>(1+$M$5)^(D432/12)*(I432)</f>
      </c>
      <c r="L432" s="333">
        <f>K432+J432</f>
      </c>
      <c r="M432" s="170"/>
      <c r="N432" s="7"/>
      <c r="O432" s="1"/>
      <c r="P432" s="331">
        <f>D432</f>
      </c>
      <c r="Q432" s="169"/>
    </row>
    <row x14ac:dyDescent="0.25" r="433" customHeight="1" ht="18.75">
      <c r="A433" s="1"/>
      <c r="B433" s="7"/>
      <c r="C433" s="170"/>
      <c r="D433" s="331">
        <v>426</v>
      </c>
      <c r="E433" s="544">
        <f>+DATE(YEAR(E432),MONTH(E432)-1,DAY(E432))</f>
        <v>25569.041666666668</v>
      </c>
      <c r="F433" s="333">
        <f>IF(DATE(YEAR($B$6),MONTH($B$6)+1,DAY(1))=E433,1,IF(MONTH(E433)=1,F434*(1+$F$5),F434))</f>
      </c>
      <c r="G433" s="333">
        <f>IF('Simulador - 1º Pilar'!$E$99="Sí",IF('Aportaciones Poliza'!$B$13&lt;'Aportaciones Poliza'!E433,0,F433*$B$8/12),F433*$B$8/12)</f>
      </c>
      <c r="H433" s="333">
        <f>$H$5*G433</f>
      </c>
      <c r="I433" s="333"/>
      <c r="J433" s="333">
        <f>(1+$M$5)^(D433/12)*(H433+IF(AND(F433=1,F434=0),$Q$4,0))</f>
      </c>
      <c r="K433" s="333">
        <f>(1+$M$5)^(D433/12)*(I433)</f>
      </c>
      <c r="L433" s="333">
        <f>K433+J433</f>
      </c>
      <c r="M433" s="170"/>
      <c r="N433" s="7"/>
      <c r="O433" s="1"/>
      <c r="P433" s="331">
        <f>D433</f>
      </c>
      <c r="Q433" s="169"/>
    </row>
    <row x14ac:dyDescent="0.25" r="434" customHeight="1" ht="18.75">
      <c r="A434" s="1"/>
      <c r="B434" s="7"/>
      <c r="C434" s="170"/>
      <c r="D434" s="331">
        <v>427</v>
      </c>
      <c r="E434" s="544">
        <f>+DATE(YEAR(E433),MONTH(E433)-1,DAY(E433))</f>
        <v>25569.041666666668</v>
      </c>
      <c r="F434" s="333">
        <f>IF(DATE(YEAR($B$6),MONTH($B$6)+1,DAY(1))=E434,1,IF(MONTH(E434)=1,F435*(1+$F$5),F435))</f>
      </c>
      <c r="G434" s="333">
        <f>IF('Simulador - 1º Pilar'!$E$99="Sí",IF('Aportaciones Poliza'!$B$13&lt;'Aportaciones Poliza'!E434,0,F434*$B$8/12),F434*$B$8/12)</f>
      </c>
      <c r="H434" s="333">
        <f>$H$5*G434</f>
      </c>
      <c r="I434" s="333"/>
      <c r="J434" s="333">
        <f>(1+$M$5)^(D434/12)*(H434+IF(AND(F434=1,F435=0),$Q$4,0))</f>
      </c>
      <c r="K434" s="333">
        <f>(1+$M$5)^(D434/12)*(I434)</f>
      </c>
      <c r="L434" s="333">
        <f>K434+J434</f>
      </c>
      <c r="M434" s="170"/>
      <c r="N434" s="7"/>
      <c r="O434" s="1"/>
      <c r="P434" s="331">
        <f>D434</f>
      </c>
      <c r="Q434" s="169"/>
    </row>
    <row x14ac:dyDescent="0.25" r="435" customHeight="1" ht="18.75">
      <c r="A435" s="1"/>
      <c r="B435" s="7"/>
      <c r="C435" s="170"/>
      <c r="D435" s="331">
        <v>428</v>
      </c>
      <c r="E435" s="544">
        <f>+DATE(YEAR(E434),MONTH(E434)-1,DAY(E434))</f>
        <v>25569.041666666668</v>
      </c>
      <c r="F435" s="333">
        <f>IF(DATE(YEAR($B$6),MONTH($B$6)+1,DAY(1))=E435,1,IF(MONTH(E435)=1,F436*(1+$F$5),F436))</f>
      </c>
      <c r="G435" s="333">
        <f>IF('Simulador - 1º Pilar'!$E$99="Sí",IF('Aportaciones Poliza'!$B$13&lt;'Aportaciones Poliza'!E435,0,F435*$B$8/12),F435*$B$8/12)</f>
      </c>
      <c r="H435" s="333">
        <f>$H$5*G435</f>
      </c>
      <c r="I435" s="333"/>
      <c r="J435" s="333">
        <f>(1+$M$5)^(D435/12)*(H435+IF(AND(F435=1,F436=0),$Q$4,0))</f>
      </c>
      <c r="K435" s="333">
        <f>(1+$M$5)^(D435/12)*(I435)</f>
      </c>
      <c r="L435" s="333">
        <f>K435+J435</f>
      </c>
      <c r="M435" s="170"/>
      <c r="N435" s="7"/>
      <c r="O435" s="1"/>
      <c r="P435" s="331">
        <f>D435</f>
      </c>
      <c r="Q435" s="169"/>
    </row>
    <row x14ac:dyDescent="0.25" r="436" customHeight="1" ht="18.75">
      <c r="A436" s="1"/>
      <c r="B436" s="7"/>
      <c r="C436" s="170"/>
      <c r="D436" s="331">
        <v>429</v>
      </c>
      <c r="E436" s="544">
        <f>+DATE(YEAR(E435),MONTH(E435)-1,DAY(E435))</f>
        <v>25569.041666666668</v>
      </c>
      <c r="F436" s="333">
        <f>IF(DATE(YEAR($B$6),MONTH($B$6)+1,DAY(1))=E436,1,IF(MONTH(E436)=1,F437*(1+$F$5),F437))</f>
      </c>
      <c r="G436" s="333">
        <f>IF('Simulador - 1º Pilar'!$E$99="Sí",IF('Aportaciones Poliza'!$B$13&lt;'Aportaciones Poliza'!E436,0,F436*$B$8/12),F436*$B$8/12)</f>
      </c>
      <c r="H436" s="333">
        <f>$H$5*G436</f>
      </c>
      <c r="I436" s="333"/>
      <c r="J436" s="333">
        <f>(1+$M$5)^(D436/12)*(H436+IF(AND(F436=1,F437=0),$Q$4,0))</f>
      </c>
      <c r="K436" s="333">
        <f>(1+$M$5)^(D436/12)*(I436)</f>
      </c>
      <c r="L436" s="333">
        <f>K436+J436</f>
      </c>
      <c r="M436" s="170"/>
      <c r="N436" s="7"/>
      <c r="O436" s="1"/>
      <c r="P436" s="331">
        <f>D436</f>
      </c>
      <c r="Q436" s="169"/>
    </row>
    <row x14ac:dyDescent="0.25" r="437" customHeight="1" ht="18.75">
      <c r="A437" s="1"/>
      <c r="B437" s="7"/>
      <c r="C437" s="170"/>
      <c r="D437" s="331">
        <v>430</v>
      </c>
      <c r="E437" s="544">
        <f>+DATE(YEAR(E436),MONTH(E436)-1,DAY(E436))</f>
        <v>25569.041666666668</v>
      </c>
      <c r="F437" s="333">
        <f>IF(DATE(YEAR($B$6),MONTH($B$6)+1,DAY(1))=E437,1,IF(MONTH(E437)=1,F438*(1+$F$5),F438))</f>
      </c>
      <c r="G437" s="333">
        <f>IF('Simulador - 1º Pilar'!$E$99="Sí",IF('Aportaciones Poliza'!$B$13&lt;'Aportaciones Poliza'!E437,0,F437*$B$8/12),F437*$B$8/12)</f>
      </c>
      <c r="H437" s="333">
        <f>$H$5*G437</f>
      </c>
      <c r="I437" s="333"/>
      <c r="J437" s="333">
        <f>(1+$M$5)^(D437/12)*(H437+IF(AND(F437=1,F438=0),$Q$4,0))</f>
      </c>
      <c r="K437" s="333">
        <f>(1+$M$5)^(D437/12)*(I437)</f>
      </c>
      <c r="L437" s="333">
        <f>K437+J437</f>
      </c>
      <c r="M437" s="170"/>
      <c r="N437" s="7"/>
      <c r="O437" s="1"/>
      <c r="P437" s="331">
        <f>D437</f>
      </c>
      <c r="Q437" s="169"/>
    </row>
    <row x14ac:dyDescent="0.25" r="438" customHeight="1" ht="18.75">
      <c r="A438" s="1"/>
      <c r="B438" s="7"/>
      <c r="C438" s="170"/>
      <c r="D438" s="331">
        <v>431</v>
      </c>
      <c r="E438" s="544">
        <f>+DATE(YEAR(E437),MONTH(E437)-1,DAY(E437))</f>
        <v>25569.041666666668</v>
      </c>
      <c r="F438" s="333">
        <f>IF(DATE(YEAR($B$6),MONTH($B$6)+1,DAY(1))=E438,1,IF(MONTH(E438)=1,F439*(1+$F$5),F439))</f>
      </c>
      <c r="G438" s="333">
        <f>IF('Simulador - 1º Pilar'!$E$99="Sí",IF('Aportaciones Poliza'!$B$13&lt;'Aportaciones Poliza'!E438,0,F438*$B$8/12),F438*$B$8/12)</f>
      </c>
      <c r="H438" s="333">
        <f>$H$5*G438</f>
      </c>
      <c r="I438" s="333"/>
      <c r="J438" s="333">
        <f>(1+$M$5)^(D438/12)*(H438+IF(AND(F438=1,F439=0),$Q$4,0))</f>
      </c>
      <c r="K438" s="333">
        <f>(1+$M$5)^(D438/12)*(I438)</f>
      </c>
      <c r="L438" s="333">
        <f>K438+J438</f>
      </c>
      <c r="M438" s="170"/>
      <c r="N438" s="7"/>
      <c r="O438" s="1"/>
      <c r="P438" s="331">
        <f>D438</f>
      </c>
      <c r="Q438" s="169"/>
    </row>
    <row x14ac:dyDescent="0.25" r="439" customHeight="1" ht="18.75">
      <c r="A439" s="1"/>
      <c r="B439" s="7"/>
      <c r="C439" s="170"/>
      <c r="D439" s="331">
        <v>432</v>
      </c>
      <c r="E439" s="544">
        <f>+DATE(YEAR(E438),MONTH(E438)-1,DAY(E438))</f>
        <v>25569.041666666668</v>
      </c>
      <c r="F439" s="333">
        <f>IF(DATE(YEAR($B$6),MONTH($B$6)+1,DAY(1))=E439,1,IF(MONTH(E439)=1,F440*(1+$F$5),F440))</f>
      </c>
      <c r="G439" s="333">
        <f>IF('Simulador - 1º Pilar'!$E$99="Sí",IF('Aportaciones Poliza'!$B$13&lt;'Aportaciones Poliza'!E439,0,F439*$B$8/12),F439*$B$8/12)</f>
      </c>
      <c r="H439" s="333">
        <f>$H$5*G439</f>
      </c>
      <c r="I439" s="333"/>
      <c r="J439" s="333">
        <f>(1+$M$5)^(D439/12)*(H439+IF(AND(F439=1,F440=0),$Q$4,0))</f>
      </c>
      <c r="K439" s="333">
        <f>(1+$M$5)^(D439/12)*(I439)</f>
      </c>
      <c r="L439" s="333">
        <f>K439+J439</f>
      </c>
      <c r="M439" s="170"/>
      <c r="N439" s="7"/>
      <c r="O439" s="1"/>
      <c r="P439" s="331">
        <f>D439</f>
      </c>
      <c r="Q439" s="169"/>
    </row>
    <row x14ac:dyDescent="0.25" r="440" customHeight="1" ht="18.75">
      <c r="A440" s="1"/>
      <c r="B440" s="7"/>
      <c r="C440" s="170"/>
      <c r="D440" s="331">
        <v>433</v>
      </c>
      <c r="E440" s="544">
        <f>+DATE(YEAR(E439),MONTH(E439)-1,DAY(E439))</f>
        <v>25569.041666666668</v>
      </c>
      <c r="F440" s="333">
        <f>IF(DATE(YEAR($B$6),MONTH($B$6)+1,DAY(1))=E440,1,IF(MONTH(E440)=1,F441*(1+$F$5),F441))</f>
      </c>
      <c r="G440" s="333">
        <f>IF('Simulador - 1º Pilar'!$E$99="Sí",IF('Aportaciones Poliza'!$B$13&lt;'Aportaciones Poliza'!E440,0,F440*$B$8/12),F440*$B$8/12)</f>
      </c>
      <c r="H440" s="333">
        <f>$H$5*G440</f>
      </c>
      <c r="I440" s="333"/>
      <c r="J440" s="333">
        <f>(1+$M$5)^(D440/12)*(H440+IF(AND(F440=1,F441=0),$Q$4,0))</f>
      </c>
      <c r="K440" s="333">
        <f>(1+$M$5)^(D440/12)*(I440)</f>
      </c>
      <c r="L440" s="333">
        <f>K440+J440</f>
      </c>
      <c r="M440" s="170"/>
      <c r="N440" s="7"/>
      <c r="O440" s="1"/>
      <c r="P440" s="331">
        <f>D440</f>
      </c>
      <c r="Q440" s="169"/>
    </row>
    <row x14ac:dyDescent="0.25" r="441" customHeight="1" ht="18.75">
      <c r="A441" s="1"/>
      <c r="B441" s="7"/>
      <c r="C441" s="170"/>
      <c r="D441" s="331">
        <v>434</v>
      </c>
      <c r="E441" s="544">
        <f>+DATE(YEAR(E440),MONTH(E440)-1,DAY(E440))</f>
        <v>25569.041666666668</v>
      </c>
      <c r="F441" s="333">
        <f>IF(DATE(YEAR($B$6),MONTH($B$6)+1,DAY(1))=E441,1,IF(MONTH(E441)=1,F442*(1+$F$5),F442))</f>
      </c>
      <c r="G441" s="333">
        <f>IF('Simulador - 1º Pilar'!$E$99="Sí",IF('Aportaciones Poliza'!$B$13&lt;'Aportaciones Poliza'!E441,0,F441*$B$8/12),F441*$B$8/12)</f>
      </c>
      <c r="H441" s="333">
        <f>$H$5*G441</f>
      </c>
      <c r="I441" s="333"/>
      <c r="J441" s="333">
        <f>(1+$M$5)^(D441/12)*(H441+IF(AND(F441=1,F442=0),$Q$4,0))</f>
      </c>
      <c r="K441" s="333">
        <f>(1+$M$5)^(D441/12)*(I441)</f>
      </c>
      <c r="L441" s="333">
        <f>K441+J441</f>
      </c>
      <c r="M441" s="170"/>
      <c r="N441" s="7"/>
      <c r="O441" s="1"/>
      <c r="P441" s="331">
        <f>D441</f>
      </c>
      <c r="Q441" s="169"/>
    </row>
    <row x14ac:dyDescent="0.25" r="442" customHeight="1" ht="18.75">
      <c r="A442" s="1"/>
      <c r="B442" s="7"/>
      <c r="C442" s="170"/>
      <c r="D442" s="331">
        <v>435</v>
      </c>
      <c r="E442" s="544">
        <f>+DATE(YEAR(E441),MONTH(E441)-1,DAY(E441))</f>
        <v>25569.041666666668</v>
      </c>
      <c r="F442" s="333">
        <f>IF(DATE(YEAR($B$6),MONTH($B$6)+1,DAY(1))=E442,1,IF(MONTH(E442)=1,F443*(1+$F$5),F443))</f>
      </c>
      <c r="G442" s="333">
        <f>IF('Simulador - 1º Pilar'!$E$99="Sí",IF('Aportaciones Poliza'!$B$13&lt;'Aportaciones Poliza'!E442,0,F442*$B$8/12),F442*$B$8/12)</f>
      </c>
      <c r="H442" s="333">
        <f>$H$5*G442</f>
      </c>
      <c r="I442" s="333"/>
      <c r="J442" s="333">
        <f>(1+$M$5)^(D442/12)*(H442+IF(AND(F442=1,F443=0),$Q$4,0))</f>
      </c>
      <c r="K442" s="333">
        <f>(1+$M$5)^(D442/12)*(I442)</f>
      </c>
      <c r="L442" s="333">
        <f>K442+J442</f>
      </c>
      <c r="M442" s="170"/>
      <c r="N442" s="7"/>
      <c r="O442" s="1"/>
      <c r="P442" s="331">
        <f>D442</f>
      </c>
      <c r="Q442" s="169"/>
    </row>
    <row x14ac:dyDescent="0.25" r="443" customHeight="1" ht="18.75">
      <c r="A443" s="1"/>
      <c r="B443" s="7"/>
      <c r="C443" s="170"/>
      <c r="D443" s="331">
        <v>436</v>
      </c>
      <c r="E443" s="544">
        <f>+DATE(YEAR(E442),MONTH(E442)-1,DAY(E442))</f>
        <v>25569.041666666668</v>
      </c>
      <c r="F443" s="333">
        <f>IF(DATE(YEAR($B$6),MONTH($B$6)+1,DAY(1))=E443,1,IF(MONTH(E443)=1,F444*(1+$F$5),F444))</f>
      </c>
      <c r="G443" s="333">
        <f>IF('Simulador - 1º Pilar'!$E$99="Sí",IF('Aportaciones Poliza'!$B$13&lt;'Aportaciones Poliza'!E443,0,F443*$B$8/12),F443*$B$8/12)</f>
      </c>
      <c r="H443" s="333">
        <f>$H$5*G443</f>
      </c>
      <c r="I443" s="333"/>
      <c r="J443" s="333">
        <f>(1+$M$5)^(D443/12)*(H443+IF(AND(F443=1,F444=0),$Q$4,0))</f>
      </c>
      <c r="K443" s="333">
        <f>(1+$M$5)^(D443/12)*(I443)</f>
      </c>
      <c r="L443" s="333">
        <f>K443+J443</f>
      </c>
      <c r="M443" s="170"/>
      <c r="N443" s="7"/>
      <c r="O443" s="1"/>
      <c r="P443" s="331">
        <f>D443</f>
      </c>
      <c r="Q443" s="169"/>
    </row>
    <row x14ac:dyDescent="0.25" r="444" customHeight="1" ht="18.75">
      <c r="A444" s="1"/>
      <c r="B444" s="7"/>
      <c r="C444" s="170"/>
      <c r="D444" s="331">
        <v>437</v>
      </c>
      <c r="E444" s="544">
        <f>+DATE(YEAR(E443),MONTH(E443)-1,DAY(E443))</f>
        <v>25569.041666666668</v>
      </c>
      <c r="F444" s="333">
        <f>IF(DATE(YEAR($B$6),MONTH($B$6)+1,DAY(1))=E444,1,IF(MONTH(E444)=1,F445*(1+$F$5),F445))</f>
      </c>
      <c r="G444" s="333">
        <f>IF('Simulador - 1º Pilar'!$E$99="Sí",IF('Aportaciones Poliza'!$B$13&lt;'Aportaciones Poliza'!E444,0,F444*$B$8/12),F444*$B$8/12)</f>
      </c>
      <c r="H444" s="333">
        <f>$H$5*G444</f>
      </c>
      <c r="I444" s="333"/>
      <c r="J444" s="333">
        <f>(1+$M$5)^(D444/12)*(H444+IF(AND(F444=1,F445=0),$Q$4,0))</f>
      </c>
      <c r="K444" s="333">
        <f>(1+$M$5)^(D444/12)*(I444)</f>
      </c>
      <c r="L444" s="333">
        <f>K444+J444</f>
      </c>
      <c r="M444" s="170"/>
      <c r="N444" s="7"/>
      <c r="O444" s="1"/>
      <c r="P444" s="331">
        <f>D444</f>
      </c>
      <c r="Q444" s="169"/>
    </row>
    <row x14ac:dyDescent="0.25" r="445" customHeight="1" ht="18.75">
      <c r="A445" s="1"/>
      <c r="B445" s="7"/>
      <c r="C445" s="170"/>
      <c r="D445" s="331">
        <v>438</v>
      </c>
      <c r="E445" s="544">
        <f>+DATE(YEAR(E444),MONTH(E444)-1,DAY(E444))</f>
        <v>25569.041666666668</v>
      </c>
      <c r="F445" s="333">
        <f>IF(DATE(YEAR($B$6),MONTH($B$6)+1,DAY(1))=E445,1,IF(MONTH(E445)=1,F446*(1+$F$5),F446))</f>
      </c>
      <c r="G445" s="333">
        <f>IF('Simulador - 1º Pilar'!$E$99="Sí",IF('Aportaciones Poliza'!$B$13&lt;'Aportaciones Poliza'!E445,0,F445*$B$8/12),F445*$B$8/12)</f>
      </c>
      <c r="H445" s="333">
        <f>$H$5*G445</f>
      </c>
      <c r="I445" s="333"/>
      <c r="J445" s="333">
        <f>(1+$M$5)^(D445/12)*(H445+IF(AND(F445=1,F446=0),$Q$4,0))</f>
      </c>
      <c r="K445" s="333">
        <f>(1+$M$5)^(D445/12)*(I445)</f>
      </c>
      <c r="L445" s="333">
        <f>K445+J445</f>
      </c>
      <c r="M445" s="170"/>
      <c r="N445" s="7"/>
      <c r="O445" s="1"/>
      <c r="P445" s="331">
        <f>D445</f>
      </c>
      <c r="Q445" s="169"/>
    </row>
    <row x14ac:dyDescent="0.25" r="446" customHeight="1" ht="18.75">
      <c r="A446" s="1"/>
      <c r="B446" s="7"/>
      <c r="C446" s="170"/>
      <c r="D446" s="331">
        <v>439</v>
      </c>
      <c r="E446" s="544">
        <f>+DATE(YEAR(E445),MONTH(E445)-1,DAY(E445))</f>
        <v>25569.041666666668</v>
      </c>
      <c r="F446" s="333">
        <f>IF(DATE(YEAR($B$6),MONTH($B$6)+1,DAY(1))=E446,1,IF(MONTH(E446)=1,F447*(1+$F$5),F447))</f>
      </c>
      <c r="G446" s="333">
        <f>IF('Simulador - 1º Pilar'!$E$99="Sí",IF('Aportaciones Poliza'!$B$13&lt;'Aportaciones Poliza'!E446,0,F446*$B$8/12),F446*$B$8/12)</f>
      </c>
      <c r="H446" s="333">
        <f>$H$5*G446</f>
      </c>
      <c r="I446" s="333"/>
      <c r="J446" s="333">
        <f>(1+$M$5)^(D446/12)*(H446+IF(AND(F446=1,F447=0),$Q$4,0))</f>
      </c>
      <c r="K446" s="333">
        <f>(1+$M$5)^(D446/12)*(I446)</f>
      </c>
      <c r="L446" s="333">
        <f>K446+J446</f>
      </c>
      <c r="M446" s="170"/>
      <c r="N446" s="7"/>
      <c r="O446" s="1"/>
      <c r="P446" s="331">
        <f>D446</f>
      </c>
      <c r="Q446" s="169"/>
    </row>
    <row x14ac:dyDescent="0.25" r="447" customHeight="1" ht="18.75">
      <c r="A447" s="1"/>
      <c r="B447" s="7"/>
      <c r="C447" s="170"/>
      <c r="D447" s="331">
        <v>440</v>
      </c>
      <c r="E447" s="544">
        <f>+DATE(YEAR(E446),MONTH(E446)-1,DAY(E446))</f>
        <v>25569.041666666668</v>
      </c>
      <c r="F447" s="333">
        <f>IF(DATE(YEAR($B$6),MONTH($B$6)+1,DAY(1))=E447,1,IF(MONTH(E447)=1,F448*(1+$F$5),F448))</f>
      </c>
      <c r="G447" s="333">
        <f>IF('Simulador - 1º Pilar'!$E$99="Sí",IF('Aportaciones Poliza'!$B$13&lt;'Aportaciones Poliza'!E447,0,F447*$B$8/12),F447*$B$8/12)</f>
      </c>
      <c r="H447" s="333">
        <f>$H$5*G447</f>
      </c>
      <c r="I447" s="333"/>
      <c r="J447" s="333">
        <f>(1+$M$5)^(D447/12)*(H447+IF(AND(F447=1,F448=0),$Q$4,0))</f>
      </c>
      <c r="K447" s="333">
        <f>(1+$M$5)^(D447/12)*(I447)</f>
      </c>
      <c r="L447" s="333">
        <f>K447+J447</f>
      </c>
      <c r="M447" s="170"/>
      <c r="N447" s="7"/>
      <c r="O447" s="1"/>
      <c r="P447" s="331">
        <f>D447</f>
      </c>
      <c r="Q447" s="169"/>
    </row>
    <row x14ac:dyDescent="0.25" r="448" customHeight="1" ht="18.75">
      <c r="A448" s="1"/>
      <c r="B448" s="7"/>
      <c r="C448" s="170"/>
      <c r="D448" s="331">
        <v>441</v>
      </c>
      <c r="E448" s="544">
        <f>+DATE(YEAR(E447),MONTH(E447)-1,DAY(E447))</f>
        <v>25569.041666666668</v>
      </c>
      <c r="F448" s="333">
        <f>IF(DATE(YEAR($B$6),MONTH($B$6)+1,DAY(1))=E448,1,IF(MONTH(E448)=1,F449*(1+$F$5),F449))</f>
      </c>
      <c r="G448" s="333">
        <f>IF('Simulador - 1º Pilar'!$E$99="Sí",IF('Aportaciones Poliza'!$B$13&lt;'Aportaciones Poliza'!E448,0,F448*$B$8/12),F448*$B$8/12)</f>
      </c>
      <c r="H448" s="333">
        <f>$H$5*G448</f>
      </c>
      <c r="I448" s="333"/>
      <c r="J448" s="333">
        <f>(1+$M$5)^(D448/12)*(H448+IF(AND(F448=1,F449=0),$Q$4,0))</f>
      </c>
      <c r="K448" s="333">
        <f>(1+$M$5)^(D448/12)*(I448)</f>
      </c>
      <c r="L448" s="333">
        <f>K448+J448</f>
      </c>
      <c r="M448" s="170"/>
      <c r="N448" s="7"/>
      <c r="O448" s="1"/>
      <c r="P448" s="331">
        <f>D448</f>
      </c>
      <c r="Q448" s="169"/>
    </row>
    <row x14ac:dyDescent="0.25" r="449" customHeight="1" ht="18.75">
      <c r="A449" s="1"/>
      <c r="B449" s="7"/>
      <c r="C449" s="170"/>
      <c r="D449" s="331">
        <v>442</v>
      </c>
      <c r="E449" s="544">
        <f>+DATE(YEAR(E448),MONTH(E448)-1,DAY(E448))</f>
        <v>25569.041666666668</v>
      </c>
      <c r="F449" s="333">
        <f>IF(DATE(YEAR($B$6),MONTH($B$6)+1,DAY(1))=E449,1,IF(MONTH(E449)=1,F450*(1+$F$5),F450))</f>
      </c>
      <c r="G449" s="333">
        <f>IF('Simulador - 1º Pilar'!$E$99="Sí",IF('Aportaciones Poliza'!$B$13&lt;'Aportaciones Poliza'!E449,0,F449*$B$8/12),F449*$B$8/12)</f>
      </c>
      <c r="H449" s="333">
        <f>$H$5*G449</f>
      </c>
      <c r="I449" s="333"/>
      <c r="J449" s="333">
        <f>(1+$M$5)^(D449/12)*(H449+IF(AND(F449=1,F450=0),$Q$4,0))</f>
      </c>
      <c r="K449" s="333">
        <f>(1+$M$5)^(D449/12)*(I449)</f>
      </c>
      <c r="L449" s="333">
        <f>K449+J449</f>
      </c>
      <c r="M449" s="170"/>
      <c r="N449" s="7"/>
      <c r="O449" s="1"/>
      <c r="P449" s="331">
        <f>D449</f>
      </c>
      <c r="Q449" s="169"/>
    </row>
    <row x14ac:dyDescent="0.25" r="450" customHeight="1" ht="18.75">
      <c r="A450" s="1"/>
      <c r="B450" s="7"/>
      <c r="C450" s="170"/>
      <c r="D450" s="331">
        <v>443</v>
      </c>
      <c r="E450" s="544">
        <f>+DATE(YEAR(E449),MONTH(E449)-1,DAY(E449))</f>
        <v>25569.041666666668</v>
      </c>
      <c r="F450" s="333">
        <f>IF(DATE(YEAR($B$6),MONTH($B$6)+1,DAY(1))=E450,1,IF(MONTH(E450)=1,F451*(1+$F$5),F451))</f>
      </c>
      <c r="G450" s="333">
        <f>IF('Simulador - 1º Pilar'!$E$99="Sí",IF('Aportaciones Poliza'!$B$13&lt;'Aportaciones Poliza'!E450,0,F450*$B$8/12),F450*$B$8/12)</f>
      </c>
      <c r="H450" s="333">
        <f>$H$5*G450</f>
      </c>
      <c r="I450" s="333"/>
      <c r="J450" s="333">
        <f>(1+$M$5)^(D450/12)*(H450+IF(AND(F450=1,F451=0),$Q$4,0))</f>
      </c>
      <c r="K450" s="333">
        <f>(1+$M$5)^(D450/12)*(I450)</f>
      </c>
      <c r="L450" s="333">
        <f>K450+J450</f>
      </c>
      <c r="M450" s="170"/>
      <c r="N450" s="7"/>
      <c r="O450" s="1"/>
      <c r="P450" s="331">
        <f>D450</f>
      </c>
      <c r="Q450" s="169"/>
    </row>
    <row x14ac:dyDescent="0.25" r="451" customHeight="1" ht="18.75">
      <c r="A451" s="1"/>
      <c r="B451" s="7"/>
      <c r="C451" s="170"/>
      <c r="D451" s="331">
        <v>444</v>
      </c>
      <c r="E451" s="544">
        <f>+DATE(YEAR(E450),MONTH(E450)-1,DAY(E450))</f>
        <v>25569.041666666668</v>
      </c>
      <c r="F451" s="333">
        <f>IF(DATE(YEAR($B$6),MONTH($B$6)+1,DAY(1))=E451,1,IF(MONTH(E451)=1,F452*(1+$F$5),F452))</f>
      </c>
      <c r="G451" s="333">
        <f>IF('Simulador - 1º Pilar'!$E$99="Sí",IF('Aportaciones Poliza'!$B$13&lt;'Aportaciones Poliza'!E451,0,F451*$B$8/12),F451*$B$8/12)</f>
      </c>
      <c r="H451" s="333">
        <f>$H$5*G451</f>
      </c>
      <c r="I451" s="333"/>
      <c r="J451" s="333">
        <f>(1+$M$5)^(D451/12)*(H451+IF(AND(F451=1,F452=0),$Q$4,0))</f>
      </c>
      <c r="K451" s="333">
        <f>(1+$M$5)^(D451/12)*(I451)</f>
      </c>
      <c r="L451" s="333">
        <f>K451+J451</f>
      </c>
      <c r="M451" s="170"/>
      <c r="N451" s="7"/>
      <c r="O451" s="1"/>
      <c r="P451" s="331">
        <f>D451</f>
      </c>
      <c r="Q451" s="169"/>
    </row>
    <row x14ac:dyDescent="0.25" r="452" customHeight="1" ht="18.75">
      <c r="A452" s="1"/>
      <c r="B452" s="7"/>
      <c r="C452" s="170"/>
      <c r="D452" s="331">
        <v>445</v>
      </c>
      <c r="E452" s="544">
        <f>+DATE(YEAR(E451),MONTH(E451)-1,DAY(E451))</f>
        <v>25569.041666666668</v>
      </c>
      <c r="F452" s="333">
        <f>IF(DATE(YEAR($B$6),MONTH($B$6)+1,DAY(1))=E452,1,IF(MONTH(E452)=1,F453*(1+$F$5),F453))</f>
      </c>
      <c r="G452" s="333">
        <f>IF('Simulador - 1º Pilar'!$E$99="Sí",IF('Aportaciones Poliza'!$B$13&lt;'Aportaciones Poliza'!E452,0,F452*$B$8/12),F452*$B$8/12)</f>
      </c>
      <c r="H452" s="333">
        <f>$H$5*G452</f>
      </c>
      <c r="I452" s="333"/>
      <c r="J452" s="333">
        <f>(1+$M$5)^(D452/12)*(H452+IF(AND(F452=1,F453=0),$Q$4,0))</f>
      </c>
      <c r="K452" s="333">
        <f>(1+$M$5)^(D452/12)*(I452)</f>
      </c>
      <c r="L452" s="333">
        <f>K452+J452</f>
      </c>
      <c r="M452" s="170"/>
      <c r="N452" s="7"/>
      <c r="O452" s="1"/>
      <c r="P452" s="331">
        <f>D452</f>
      </c>
      <c r="Q452" s="169"/>
    </row>
    <row x14ac:dyDescent="0.25" r="453" customHeight="1" ht="18.75">
      <c r="A453" s="1"/>
      <c r="B453" s="7"/>
      <c r="C453" s="170"/>
      <c r="D453" s="331">
        <v>446</v>
      </c>
      <c r="E453" s="544">
        <f>+DATE(YEAR(E452),MONTH(E452)-1,DAY(E452))</f>
        <v>25569.041666666668</v>
      </c>
      <c r="F453" s="333">
        <f>IF(DATE(YEAR($B$6),MONTH($B$6)+1,DAY(1))=E453,1,IF(MONTH(E453)=1,F454*(1+$F$5),F454))</f>
      </c>
      <c r="G453" s="333">
        <f>IF('Simulador - 1º Pilar'!$E$99="Sí",IF('Aportaciones Poliza'!$B$13&lt;'Aportaciones Poliza'!E453,0,F453*$B$8/12),F453*$B$8/12)</f>
      </c>
      <c r="H453" s="333">
        <f>$H$5*G453</f>
      </c>
      <c r="I453" s="333"/>
      <c r="J453" s="333">
        <f>(1+$M$5)^(D453/12)*(H453+IF(AND(F453=1,F454=0),$Q$4,0))</f>
      </c>
      <c r="K453" s="333">
        <f>(1+$M$5)^(D453/12)*(I453)</f>
      </c>
      <c r="L453" s="333">
        <f>K453+J453</f>
      </c>
      <c r="M453" s="170"/>
      <c r="N453" s="7"/>
      <c r="O453" s="1"/>
      <c r="P453" s="331">
        <f>D453</f>
      </c>
      <c r="Q453" s="169"/>
    </row>
    <row x14ac:dyDescent="0.25" r="454" customHeight="1" ht="18.75">
      <c r="A454" s="1"/>
      <c r="B454" s="7"/>
      <c r="C454" s="170"/>
      <c r="D454" s="331">
        <v>447</v>
      </c>
      <c r="E454" s="544">
        <f>+DATE(YEAR(E453),MONTH(E453)-1,DAY(E453))</f>
        <v>25569.041666666668</v>
      </c>
      <c r="F454" s="333">
        <f>IF(DATE(YEAR($B$6),MONTH($B$6)+1,DAY(1))=E454,1,IF(MONTH(E454)=1,F455*(1+$F$5),F455))</f>
      </c>
      <c r="G454" s="333">
        <f>IF('Simulador - 1º Pilar'!$E$99="Sí",IF('Aportaciones Poliza'!$B$13&lt;'Aportaciones Poliza'!E454,0,F454*$B$8/12),F454*$B$8/12)</f>
      </c>
      <c r="H454" s="333">
        <f>$H$5*G454</f>
      </c>
      <c r="I454" s="333"/>
      <c r="J454" s="333">
        <f>(1+$M$5)^(D454/12)*(H454+IF(AND(F454=1,F455=0),$Q$4,0))</f>
      </c>
      <c r="K454" s="333">
        <f>(1+$M$5)^(D454/12)*(I454)</f>
      </c>
      <c r="L454" s="333">
        <f>K454+J454</f>
      </c>
      <c r="M454" s="170"/>
      <c r="N454" s="7"/>
      <c r="O454" s="1"/>
      <c r="P454" s="331">
        <f>D454</f>
      </c>
      <c r="Q454" s="169"/>
    </row>
    <row x14ac:dyDescent="0.25" r="455" customHeight="1" ht="18.75">
      <c r="A455" s="1"/>
      <c r="B455" s="7"/>
      <c r="C455" s="170"/>
      <c r="D455" s="331">
        <v>448</v>
      </c>
      <c r="E455" s="544">
        <f>+DATE(YEAR(E454),MONTH(E454)-1,DAY(E454))</f>
        <v>25569.041666666668</v>
      </c>
      <c r="F455" s="333">
        <f>IF(DATE(YEAR($B$6),MONTH($B$6)+1,DAY(1))=E455,1,IF(MONTH(E455)=1,F456*(1+$F$5),F456))</f>
      </c>
      <c r="G455" s="333">
        <f>IF('Simulador - 1º Pilar'!$E$99="Sí",IF('Aportaciones Poliza'!$B$13&lt;'Aportaciones Poliza'!E455,0,F455*$B$8/12),F455*$B$8/12)</f>
      </c>
      <c r="H455" s="333">
        <f>$H$5*G455</f>
      </c>
      <c r="I455" s="333"/>
      <c r="J455" s="333">
        <f>(1+$M$5)^(D455/12)*(H455+IF(AND(F455=1,F456=0),$Q$4,0))</f>
      </c>
      <c r="K455" s="333">
        <f>(1+$M$5)^(D455/12)*(I455)</f>
      </c>
      <c r="L455" s="333">
        <f>K455+J455</f>
      </c>
      <c r="M455" s="170"/>
      <c r="N455" s="7"/>
      <c r="O455" s="1"/>
      <c r="P455" s="331">
        <f>D455</f>
      </c>
      <c r="Q455" s="169"/>
    </row>
    <row x14ac:dyDescent="0.25" r="456" customHeight="1" ht="18.75">
      <c r="A456" s="1"/>
      <c r="B456" s="7"/>
      <c r="C456" s="170"/>
      <c r="D456" s="331">
        <v>449</v>
      </c>
      <c r="E456" s="544">
        <f>+DATE(YEAR(E455),MONTH(E455)-1,DAY(E455))</f>
        <v>25569.041666666668</v>
      </c>
      <c r="F456" s="333">
        <f>IF(DATE(YEAR($B$6),MONTH($B$6)+1,DAY(1))=E456,1,IF(MONTH(E456)=1,F457*(1+$F$5),F457))</f>
      </c>
      <c r="G456" s="333">
        <f>IF('Simulador - 1º Pilar'!$E$99="Sí",IF('Aportaciones Poliza'!$B$13&lt;'Aportaciones Poliza'!E456,0,F456*$B$8/12),F456*$B$8/12)</f>
      </c>
      <c r="H456" s="333">
        <f>$H$5*G456</f>
      </c>
      <c r="I456" s="333"/>
      <c r="J456" s="333">
        <f>(1+$M$5)^(D456/12)*(H456+IF(AND(F456=1,F457=0),$Q$4,0))</f>
      </c>
      <c r="K456" s="333">
        <f>(1+$M$5)^(D456/12)*(I456)</f>
      </c>
      <c r="L456" s="333">
        <f>K456+J456</f>
      </c>
      <c r="M456" s="170"/>
      <c r="N456" s="7"/>
      <c r="O456" s="1"/>
      <c r="P456" s="331">
        <f>D456</f>
      </c>
      <c r="Q456" s="169"/>
    </row>
    <row x14ac:dyDescent="0.25" r="457" customHeight="1" ht="18.75">
      <c r="A457" s="1"/>
      <c r="B457" s="7"/>
      <c r="C457" s="170"/>
      <c r="D457" s="331">
        <v>450</v>
      </c>
      <c r="E457" s="544">
        <f>+DATE(YEAR(E456),MONTH(E456)-1,DAY(E456))</f>
        <v>25569.041666666668</v>
      </c>
      <c r="F457" s="333">
        <f>IF(DATE(YEAR($B$6),MONTH($B$6)+1,DAY(1))=E457,1,IF(MONTH(E457)=1,F458*(1+$F$5),F458))</f>
      </c>
      <c r="G457" s="333">
        <f>IF('Simulador - 1º Pilar'!$E$99="Sí",IF('Aportaciones Poliza'!$B$13&lt;'Aportaciones Poliza'!E457,0,F457*$B$8/12),F457*$B$8/12)</f>
      </c>
      <c r="H457" s="333">
        <f>$H$5*G457</f>
      </c>
      <c r="I457" s="333"/>
      <c r="J457" s="333">
        <f>(1+$M$5)^(D457/12)*(H457+IF(AND(F457=1,F458=0),$Q$4,0))</f>
      </c>
      <c r="K457" s="333">
        <f>(1+$M$5)^(D457/12)*(I457)</f>
      </c>
      <c r="L457" s="333">
        <f>K457+J457</f>
      </c>
      <c r="M457" s="170"/>
      <c r="N457" s="7"/>
      <c r="O457" s="1"/>
      <c r="P457" s="331">
        <f>D457</f>
      </c>
      <c r="Q457" s="169"/>
    </row>
    <row x14ac:dyDescent="0.25" r="458" customHeight="1" ht="18.75">
      <c r="A458" s="1"/>
      <c r="B458" s="7"/>
      <c r="C458" s="170"/>
      <c r="D458" s="331">
        <v>451</v>
      </c>
      <c r="E458" s="544">
        <f>+DATE(YEAR(E457),MONTH(E457)-1,DAY(E457))</f>
        <v>25569.041666666668</v>
      </c>
      <c r="F458" s="333">
        <f>IF(DATE(YEAR($B$6),MONTH($B$6)+1,DAY(1))=E458,1,IF(MONTH(E458)=1,F459*(1+$F$5),F459))</f>
      </c>
      <c r="G458" s="333">
        <f>IF('Simulador - 1º Pilar'!$E$99="Sí",IF('Aportaciones Poliza'!$B$13&lt;'Aportaciones Poliza'!E458,0,F458*$B$8/12),F458*$B$8/12)</f>
      </c>
      <c r="H458" s="333">
        <f>$H$5*G458</f>
      </c>
      <c r="I458" s="333"/>
      <c r="J458" s="333">
        <f>(1+$M$5)^(D458/12)*(H458+IF(AND(F458=1,F459=0),$Q$4,0))</f>
      </c>
      <c r="K458" s="333">
        <f>(1+$M$5)^(D458/12)*(I458)</f>
      </c>
      <c r="L458" s="333">
        <f>K458+J458</f>
      </c>
      <c r="M458" s="170"/>
      <c r="N458" s="7"/>
      <c r="O458" s="1"/>
      <c r="P458" s="331">
        <f>D458</f>
      </c>
      <c r="Q458" s="169"/>
    </row>
    <row x14ac:dyDescent="0.25" r="459" customHeight="1" ht="18.75">
      <c r="A459" s="1"/>
      <c r="B459" s="7"/>
      <c r="C459" s="170"/>
      <c r="D459" s="331">
        <v>452</v>
      </c>
      <c r="E459" s="544">
        <f>+DATE(YEAR(E458),MONTH(E458)-1,DAY(E458))</f>
        <v>25569.041666666668</v>
      </c>
      <c r="F459" s="333">
        <f>IF(DATE(YEAR($B$6),MONTH($B$6)+1,DAY(1))=E459,1,IF(MONTH(E459)=1,F460*(1+$F$5),F460))</f>
      </c>
      <c r="G459" s="333">
        <f>IF('Simulador - 1º Pilar'!$E$99="Sí",IF('Aportaciones Poliza'!$B$13&lt;'Aportaciones Poliza'!E459,0,F459*$B$8/12),F459*$B$8/12)</f>
      </c>
      <c r="H459" s="333">
        <f>$H$5*G459</f>
      </c>
      <c r="I459" s="333"/>
      <c r="J459" s="333">
        <f>(1+$M$5)^(D459/12)*(H459+IF(AND(F459=1,F460=0),$Q$4,0))</f>
      </c>
      <c r="K459" s="333">
        <f>(1+$M$5)^(D459/12)*(I459)</f>
      </c>
      <c r="L459" s="333">
        <f>K459+J459</f>
      </c>
      <c r="M459" s="170"/>
      <c r="N459" s="7"/>
      <c r="O459" s="1"/>
      <c r="P459" s="331">
        <f>D459</f>
      </c>
      <c r="Q459" s="169"/>
    </row>
    <row x14ac:dyDescent="0.25" r="460" customHeight="1" ht="18.75">
      <c r="A460" s="1"/>
      <c r="B460" s="7"/>
      <c r="C460" s="170"/>
      <c r="D460" s="331">
        <v>453</v>
      </c>
      <c r="E460" s="544">
        <f>+DATE(YEAR(E459),MONTH(E459)-1,DAY(E459))</f>
        <v>25569.041666666668</v>
      </c>
      <c r="F460" s="333">
        <f>IF(DATE(YEAR($B$6),MONTH($B$6)+1,DAY(1))=E460,1,IF(MONTH(E460)=1,F461*(1+$F$5),F461))</f>
      </c>
      <c r="G460" s="333">
        <f>IF('Simulador - 1º Pilar'!$E$99="Sí",IF('Aportaciones Poliza'!$B$13&lt;'Aportaciones Poliza'!E460,0,F460*$B$8/12),F460*$B$8/12)</f>
      </c>
      <c r="H460" s="333">
        <f>$H$5*G460</f>
      </c>
      <c r="I460" s="333"/>
      <c r="J460" s="333">
        <f>(1+$M$5)^(D460/12)*(H460+IF(AND(F460=1,F461=0),$Q$4,0))</f>
      </c>
      <c r="K460" s="333">
        <f>(1+$M$5)^(D460/12)*(I460)</f>
      </c>
      <c r="L460" s="333">
        <f>K460+J460</f>
      </c>
      <c r="M460" s="170"/>
      <c r="N460" s="7"/>
      <c r="O460" s="1"/>
      <c r="P460" s="331">
        <f>D460</f>
      </c>
      <c r="Q460" s="169"/>
    </row>
    <row x14ac:dyDescent="0.25" r="461" customHeight="1" ht="18.75">
      <c r="A461" s="1"/>
      <c r="B461" s="7"/>
      <c r="C461" s="170"/>
      <c r="D461" s="331">
        <v>454</v>
      </c>
      <c r="E461" s="544">
        <f>+DATE(YEAR(E460),MONTH(E460)-1,DAY(E460))</f>
        <v>25569.041666666668</v>
      </c>
      <c r="F461" s="333">
        <f>IF(DATE(YEAR($B$6),MONTH($B$6)+1,DAY(1))=E461,1,IF(MONTH(E461)=1,F462*(1+$F$5),F462))</f>
      </c>
      <c r="G461" s="333">
        <f>IF('Simulador - 1º Pilar'!$E$99="Sí",IF('Aportaciones Poliza'!$B$13&lt;'Aportaciones Poliza'!E461,0,F461*$B$8/12),F461*$B$8/12)</f>
      </c>
      <c r="H461" s="333">
        <f>$H$5*G461</f>
      </c>
      <c r="I461" s="333"/>
      <c r="J461" s="333">
        <f>(1+$M$5)^(D461/12)*(H461+IF(AND(F461=1,F462=0),$Q$4,0))</f>
      </c>
      <c r="K461" s="333">
        <f>(1+$M$5)^(D461/12)*(I461)</f>
      </c>
      <c r="L461" s="333">
        <f>K461+J461</f>
      </c>
      <c r="M461" s="170"/>
      <c r="N461" s="7"/>
      <c r="O461" s="1"/>
      <c r="P461" s="331">
        <f>D461</f>
      </c>
      <c r="Q461" s="169"/>
    </row>
    <row x14ac:dyDescent="0.25" r="462" customHeight="1" ht="18.75">
      <c r="A462" s="1"/>
      <c r="B462" s="7"/>
      <c r="C462" s="170"/>
      <c r="D462" s="331">
        <v>455</v>
      </c>
      <c r="E462" s="544">
        <f>+DATE(YEAR(E461),MONTH(E461)-1,DAY(E461))</f>
        <v>25569.041666666668</v>
      </c>
      <c r="F462" s="333">
        <f>IF(DATE(YEAR($B$6),MONTH($B$6)+1,DAY(1))=E462,1,IF(MONTH(E462)=1,F463*(1+$F$5),F463))</f>
      </c>
      <c r="G462" s="333">
        <f>IF('Simulador - 1º Pilar'!$E$99="Sí",IF('Aportaciones Poliza'!$B$13&lt;'Aportaciones Poliza'!E462,0,F462*$B$8/12),F462*$B$8/12)</f>
      </c>
      <c r="H462" s="333">
        <f>$H$5*G462</f>
      </c>
      <c r="I462" s="333"/>
      <c r="J462" s="333">
        <f>(1+$M$5)^(D462/12)*(H462+IF(AND(F462=1,F463=0),$Q$4,0))</f>
      </c>
      <c r="K462" s="333">
        <f>(1+$M$5)^(D462/12)*(I462)</f>
      </c>
      <c r="L462" s="333">
        <f>K462+J462</f>
      </c>
      <c r="M462" s="170"/>
      <c r="N462" s="7"/>
      <c r="O462" s="1"/>
      <c r="P462" s="331">
        <f>D462</f>
      </c>
      <c r="Q462" s="169"/>
    </row>
    <row x14ac:dyDescent="0.25" r="463" customHeight="1" ht="18.75">
      <c r="A463" s="1"/>
      <c r="B463" s="7"/>
      <c r="C463" s="170"/>
      <c r="D463" s="331">
        <v>456</v>
      </c>
      <c r="E463" s="544">
        <f>+DATE(YEAR(E462),MONTH(E462)-1,DAY(E462))</f>
        <v>25569.041666666668</v>
      </c>
      <c r="F463" s="333">
        <f>IF(DATE(YEAR($B$6),MONTH($B$6)+1,DAY(1))=E463,1,IF(MONTH(E463)=1,F464*(1+$F$5),F464))</f>
      </c>
      <c r="G463" s="333">
        <f>IF('Simulador - 1º Pilar'!$E$99="Sí",IF('Aportaciones Poliza'!$B$13&lt;'Aportaciones Poliza'!E463,0,F463*$B$8/12),F463*$B$8/12)</f>
      </c>
      <c r="H463" s="333">
        <f>$H$5*G463</f>
      </c>
      <c r="I463" s="333"/>
      <c r="J463" s="333">
        <f>(1+$M$5)^(D463/12)*(H463+IF(AND(F463=1,F464=0),$Q$4,0))</f>
      </c>
      <c r="K463" s="333">
        <f>(1+$M$5)^(D463/12)*(I463)</f>
      </c>
      <c r="L463" s="333">
        <f>K463+J463</f>
      </c>
      <c r="M463" s="170"/>
      <c r="N463" s="7"/>
      <c r="O463" s="1"/>
      <c r="P463" s="331">
        <f>D463</f>
      </c>
      <c r="Q463" s="169"/>
    </row>
    <row x14ac:dyDescent="0.25" r="464" customHeight="1" ht="18.75">
      <c r="A464" s="1"/>
      <c r="B464" s="7"/>
      <c r="C464" s="170"/>
      <c r="D464" s="331">
        <v>457</v>
      </c>
      <c r="E464" s="544">
        <f>+DATE(YEAR(E463),MONTH(E463)-1,DAY(E463))</f>
        <v>25569.041666666668</v>
      </c>
      <c r="F464" s="333">
        <f>IF(DATE(YEAR($B$6),MONTH($B$6)+1,DAY(1))=E464,1,IF(MONTH(E464)=1,F465*(1+$F$5),F465))</f>
      </c>
      <c r="G464" s="333">
        <f>IF('Simulador - 1º Pilar'!$E$99="Sí",IF('Aportaciones Poliza'!$B$13&lt;'Aportaciones Poliza'!E464,0,F464*$B$8/12),F464*$B$8/12)</f>
      </c>
      <c r="H464" s="333">
        <f>$H$5*G464</f>
      </c>
      <c r="I464" s="333"/>
      <c r="J464" s="333">
        <f>(1+$M$5)^(D464/12)*(H464+IF(AND(F464=1,F465=0),$Q$4,0))</f>
      </c>
      <c r="K464" s="333">
        <f>(1+$M$5)^(D464/12)*(I464)</f>
      </c>
      <c r="L464" s="333">
        <f>K464+J464</f>
      </c>
      <c r="M464" s="170"/>
      <c r="N464" s="7"/>
      <c r="O464" s="1"/>
      <c r="P464" s="331">
        <f>D464</f>
      </c>
      <c r="Q464" s="169"/>
    </row>
    <row x14ac:dyDescent="0.25" r="465" customHeight="1" ht="18.75">
      <c r="A465" s="1"/>
      <c r="B465" s="7"/>
      <c r="C465" s="170"/>
      <c r="D465" s="331">
        <v>458</v>
      </c>
      <c r="E465" s="544">
        <f>+DATE(YEAR(E464),MONTH(E464)-1,DAY(E464))</f>
        <v>25569.041666666668</v>
      </c>
      <c r="F465" s="333">
        <f>IF(DATE(YEAR($B$6),MONTH($B$6)+1,DAY(1))=E465,1,IF(MONTH(E465)=1,F466*(1+$F$5),F466))</f>
      </c>
      <c r="G465" s="333">
        <f>IF('Simulador - 1º Pilar'!$E$99="Sí",IF('Aportaciones Poliza'!$B$13&lt;'Aportaciones Poliza'!E465,0,F465*$B$8/12),F465*$B$8/12)</f>
      </c>
      <c r="H465" s="333">
        <f>$H$5*G465</f>
      </c>
      <c r="I465" s="333"/>
      <c r="J465" s="333">
        <f>(1+$M$5)^(D465/12)*(H465+IF(AND(F465=1,F466=0),$Q$4,0))</f>
      </c>
      <c r="K465" s="333">
        <f>(1+$M$5)^(D465/12)*(I465)</f>
      </c>
      <c r="L465" s="333">
        <f>K465+J465</f>
      </c>
      <c r="M465" s="170"/>
      <c r="N465" s="7"/>
      <c r="O465" s="1"/>
      <c r="P465" s="331">
        <f>D465</f>
      </c>
      <c r="Q465" s="169"/>
    </row>
    <row x14ac:dyDescent="0.25" r="466" customHeight="1" ht="18.75">
      <c r="A466" s="1"/>
      <c r="B466" s="7"/>
      <c r="C466" s="170"/>
      <c r="D466" s="331">
        <v>459</v>
      </c>
      <c r="E466" s="544">
        <f>+DATE(YEAR(E465),MONTH(E465)-1,DAY(E465))</f>
        <v>25569.041666666668</v>
      </c>
      <c r="F466" s="333">
        <f>IF(DATE(YEAR($B$6),MONTH($B$6)+1,DAY(1))=E466,1,IF(MONTH(E466)=1,F467*(1+$F$5),F467))</f>
      </c>
      <c r="G466" s="333">
        <f>IF('Simulador - 1º Pilar'!$E$99="Sí",IF('Aportaciones Poliza'!$B$13&lt;'Aportaciones Poliza'!E466,0,F466*$B$8/12),F466*$B$8/12)</f>
      </c>
      <c r="H466" s="333">
        <f>$H$5*G466</f>
      </c>
      <c r="I466" s="333"/>
      <c r="J466" s="333">
        <f>(1+$M$5)^(D466/12)*(H466+IF(AND(F466=1,F467=0),$Q$4,0))</f>
      </c>
      <c r="K466" s="333">
        <f>(1+$M$5)^(D466/12)*(I466)</f>
      </c>
      <c r="L466" s="333">
        <f>K466+J466</f>
      </c>
      <c r="M466" s="170"/>
      <c r="N466" s="7"/>
      <c r="O466" s="1"/>
      <c r="P466" s="331">
        <f>D466</f>
      </c>
      <c r="Q466" s="169"/>
    </row>
    <row x14ac:dyDescent="0.25" r="467" customHeight="1" ht="18.75">
      <c r="A467" s="1"/>
      <c r="B467" s="7"/>
      <c r="C467" s="170"/>
      <c r="D467" s="331">
        <v>460</v>
      </c>
      <c r="E467" s="544">
        <f>+DATE(YEAR(E466),MONTH(E466)-1,DAY(E466))</f>
        <v>25569.041666666668</v>
      </c>
      <c r="F467" s="333">
        <f>IF(DATE(YEAR($B$6),MONTH($B$6)+1,DAY(1))=E467,1,IF(MONTH(E467)=1,F468*(1+$F$5),F468))</f>
      </c>
      <c r="G467" s="333">
        <f>IF('Simulador - 1º Pilar'!$E$99="Sí",IF('Aportaciones Poliza'!$B$13&lt;'Aportaciones Poliza'!E467,0,F467*$B$8/12),F467*$B$8/12)</f>
      </c>
      <c r="H467" s="333">
        <f>$H$5*G467</f>
      </c>
      <c r="I467" s="333"/>
      <c r="J467" s="333">
        <f>(1+$M$5)^(D467/12)*(H467+IF(AND(F467=1,F468=0),$Q$4,0))</f>
      </c>
      <c r="K467" s="333">
        <f>(1+$M$5)^(D467/12)*(I467)</f>
      </c>
      <c r="L467" s="333">
        <f>K467+J467</f>
      </c>
      <c r="M467" s="170"/>
      <c r="N467" s="7"/>
      <c r="O467" s="1"/>
      <c r="P467" s="331">
        <f>D467</f>
      </c>
      <c r="Q467" s="169"/>
    </row>
    <row x14ac:dyDescent="0.25" r="468" customHeight="1" ht="18.75">
      <c r="A468" s="1"/>
      <c r="B468" s="7"/>
      <c r="C468" s="170"/>
      <c r="D468" s="331">
        <v>461</v>
      </c>
      <c r="E468" s="544">
        <f>+DATE(YEAR(E467),MONTH(E467)-1,DAY(E467))</f>
        <v>25569.041666666668</v>
      </c>
      <c r="F468" s="333">
        <f>IF(DATE(YEAR($B$6),MONTH($B$6)+1,DAY(1))=E468,1,IF(MONTH(E468)=1,F469*(1+$F$5),F469))</f>
      </c>
      <c r="G468" s="333">
        <f>IF('Simulador - 1º Pilar'!$E$99="Sí",IF('Aportaciones Poliza'!$B$13&lt;'Aportaciones Poliza'!E468,0,F468*$B$8/12),F468*$B$8/12)</f>
      </c>
      <c r="H468" s="333">
        <f>$H$5*G468</f>
      </c>
      <c r="I468" s="333"/>
      <c r="J468" s="333">
        <f>(1+$M$5)^(D468/12)*(H468+IF(AND(F468=1,F469=0),$Q$4,0))</f>
      </c>
      <c r="K468" s="333">
        <f>(1+$M$5)^(D468/12)*(I468)</f>
      </c>
      <c r="L468" s="333">
        <f>K468+J468</f>
      </c>
      <c r="M468" s="170"/>
      <c r="N468" s="7"/>
      <c r="O468" s="1"/>
      <c r="P468" s="331">
        <f>D468</f>
      </c>
      <c r="Q468" s="169"/>
    </row>
    <row x14ac:dyDescent="0.25" r="469" customHeight="1" ht="18.75">
      <c r="A469" s="1"/>
      <c r="B469" s="7"/>
      <c r="C469" s="170"/>
      <c r="D469" s="331">
        <v>462</v>
      </c>
      <c r="E469" s="544">
        <f>+DATE(YEAR(E468),MONTH(E468)-1,DAY(E468))</f>
        <v>25569.041666666668</v>
      </c>
      <c r="F469" s="333">
        <f>IF(DATE(YEAR($B$6),MONTH($B$6)+1,DAY(1))=E469,1,IF(MONTH(E469)=1,F470*(1+$F$5),F470))</f>
      </c>
      <c r="G469" s="333">
        <f>IF('Simulador - 1º Pilar'!$E$99="Sí",IF('Aportaciones Poliza'!$B$13&lt;'Aportaciones Poliza'!E469,0,F469*$B$8/12),F469*$B$8/12)</f>
      </c>
      <c r="H469" s="333">
        <f>$H$5*G469</f>
      </c>
      <c r="I469" s="333"/>
      <c r="J469" s="333">
        <f>(1+$M$5)^(D469/12)*(H469+IF(AND(F469=1,F470=0),$Q$4,0))</f>
      </c>
      <c r="K469" s="333">
        <f>(1+$M$5)^(D469/12)*(I469)</f>
      </c>
      <c r="L469" s="333">
        <f>K469+J469</f>
      </c>
      <c r="M469" s="170"/>
      <c r="N469" s="7"/>
      <c r="O469" s="1"/>
      <c r="P469" s="331">
        <f>D469</f>
      </c>
      <c r="Q469" s="169"/>
    </row>
    <row x14ac:dyDescent="0.25" r="470" customHeight="1" ht="18.75">
      <c r="A470" s="1"/>
      <c r="B470" s="7"/>
      <c r="C470" s="170"/>
      <c r="D470" s="331">
        <v>463</v>
      </c>
      <c r="E470" s="544">
        <f>+DATE(YEAR(E469),MONTH(E469)-1,DAY(E469))</f>
        <v>25569.041666666668</v>
      </c>
      <c r="F470" s="333">
        <f>IF(DATE(YEAR($B$6),MONTH($B$6)+1,DAY(1))=E470,1,IF(MONTH(E470)=1,F471*(1+$F$5),F471))</f>
      </c>
      <c r="G470" s="333">
        <f>IF('Simulador - 1º Pilar'!$E$99="Sí",IF('Aportaciones Poliza'!$B$13&lt;'Aportaciones Poliza'!E470,0,F470*$B$8/12),F470*$B$8/12)</f>
      </c>
      <c r="H470" s="333">
        <f>$H$5*G470</f>
      </c>
      <c r="I470" s="333"/>
      <c r="J470" s="333">
        <f>(1+$M$5)^(D470/12)*(H470+IF(AND(F470=1,F471=0),$Q$4,0))</f>
      </c>
      <c r="K470" s="333">
        <f>(1+$M$5)^(D470/12)*(I470)</f>
      </c>
      <c r="L470" s="333">
        <f>K470+J470</f>
      </c>
      <c r="M470" s="170"/>
      <c r="N470" s="7"/>
      <c r="O470" s="1"/>
      <c r="P470" s="331">
        <f>D470</f>
      </c>
      <c r="Q470" s="169"/>
    </row>
    <row x14ac:dyDescent="0.25" r="471" customHeight="1" ht="18.75">
      <c r="A471" s="1"/>
      <c r="B471" s="7"/>
      <c r="C471" s="170"/>
      <c r="D471" s="331">
        <v>464</v>
      </c>
      <c r="E471" s="544">
        <f>+DATE(YEAR(E470),MONTH(E470)-1,DAY(E470))</f>
        <v>25569.041666666668</v>
      </c>
      <c r="F471" s="333">
        <f>IF(DATE(YEAR($B$6),MONTH($B$6)+1,DAY(1))=E471,1,IF(MONTH(E471)=1,F472*(1+$F$5),F472))</f>
      </c>
      <c r="G471" s="333">
        <f>IF('Simulador - 1º Pilar'!$E$99="Sí",IF('Aportaciones Poliza'!$B$13&lt;'Aportaciones Poliza'!E471,0,F471*$B$8/12),F471*$B$8/12)</f>
      </c>
      <c r="H471" s="333">
        <f>$H$5*G471</f>
      </c>
      <c r="I471" s="333"/>
      <c r="J471" s="333">
        <f>(1+$M$5)^(D471/12)*(H471+IF(AND(F471=1,F472=0),$Q$4,0))</f>
      </c>
      <c r="K471" s="333">
        <f>(1+$M$5)^(D471/12)*(I471)</f>
      </c>
      <c r="L471" s="333">
        <f>K471+J471</f>
      </c>
      <c r="M471" s="170"/>
      <c r="N471" s="7"/>
      <c r="O471" s="1"/>
      <c r="P471" s="331">
        <f>D471</f>
      </c>
      <c r="Q471" s="169"/>
    </row>
    <row x14ac:dyDescent="0.25" r="472" customHeight="1" ht="18.75">
      <c r="A472" s="1"/>
      <c r="B472" s="7"/>
      <c r="C472" s="170"/>
      <c r="D472" s="331">
        <v>465</v>
      </c>
      <c r="E472" s="544">
        <f>+DATE(YEAR(E471),MONTH(E471)-1,DAY(E471))</f>
        <v>25569.041666666668</v>
      </c>
      <c r="F472" s="333">
        <f>IF(DATE(YEAR($B$6),MONTH($B$6)+1,DAY(1))=E472,1,IF(MONTH(E472)=1,F473*(1+$F$5),F473))</f>
      </c>
      <c r="G472" s="333">
        <f>IF('Simulador - 1º Pilar'!$E$99="Sí",IF('Aportaciones Poliza'!$B$13&lt;'Aportaciones Poliza'!E472,0,F472*$B$8/12),F472*$B$8/12)</f>
      </c>
      <c r="H472" s="333">
        <f>$H$5*G472</f>
      </c>
      <c r="I472" s="333"/>
      <c r="J472" s="333">
        <f>(1+$M$5)^(D472/12)*(H472+IF(AND(F472=1,F473=0),$Q$4,0))</f>
      </c>
      <c r="K472" s="333">
        <f>(1+$M$5)^(D472/12)*(I472)</f>
      </c>
      <c r="L472" s="333">
        <f>K472+J472</f>
      </c>
      <c r="M472" s="170"/>
      <c r="N472" s="7"/>
      <c r="O472" s="1"/>
      <c r="P472" s="331">
        <f>D472</f>
      </c>
      <c r="Q472" s="169"/>
    </row>
    <row x14ac:dyDescent="0.25" r="473" customHeight="1" ht="18.75">
      <c r="A473" s="1"/>
      <c r="B473" s="7"/>
      <c r="C473" s="170"/>
      <c r="D473" s="331">
        <v>466</v>
      </c>
      <c r="E473" s="544">
        <f>+DATE(YEAR(E472),MONTH(E472)-1,DAY(E472))</f>
        <v>25569.041666666668</v>
      </c>
      <c r="F473" s="333">
        <f>IF(DATE(YEAR($B$6),MONTH($B$6)+1,DAY(1))=E473,1,IF(MONTH(E473)=1,F474*(1+$F$5),F474))</f>
      </c>
      <c r="G473" s="333">
        <f>IF('Simulador - 1º Pilar'!$E$99="Sí",IF('Aportaciones Poliza'!$B$13&lt;'Aportaciones Poliza'!E473,0,F473*$B$8/12),F473*$B$8/12)</f>
      </c>
      <c r="H473" s="333">
        <f>$H$5*G473</f>
      </c>
      <c r="I473" s="333"/>
      <c r="J473" s="333">
        <f>(1+$M$5)^(D473/12)*(H473+IF(AND(F473=1,F474=0),$Q$4,0))</f>
      </c>
      <c r="K473" s="333">
        <f>(1+$M$5)^(D473/12)*(I473)</f>
      </c>
      <c r="L473" s="333">
        <f>K473+J473</f>
      </c>
      <c r="M473" s="170"/>
      <c r="N473" s="7"/>
      <c r="O473" s="1"/>
      <c r="P473" s="331">
        <f>D473</f>
      </c>
      <c r="Q473" s="169"/>
    </row>
    <row x14ac:dyDescent="0.25" r="474" customHeight="1" ht="18.75">
      <c r="A474" s="1"/>
      <c r="B474" s="7"/>
      <c r="C474" s="170"/>
      <c r="D474" s="331">
        <v>467</v>
      </c>
      <c r="E474" s="544">
        <f>+DATE(YEAR(E473),MONTH(E473)-1,DAY(E473))</f>
        <v>25569.041666666668</v>
      </c>
      <c r="F474" s="333">
        <f>IF(DATE(YEAR($B$6),MONTH($B$6)+1,DAY(1))=E474,1,IF(MONTH(E474)=1,F475*(1+$F$5),F475))</f>
      </c>
      <c r="G474" s="333">
        <f>IF('Simulador - 1º Pilar'!$E$99="Sí",IF('Aportaciones Poliza'!$B$13&lt;'Aportaciones Poliza'!E474,0,F474*$B$8/12),F474*$B$8/12)</f>
      </c>
      <c r="H474" s="333">
        <f>$H$5*G474</f>
      </c>
      <c r="I474" s="333"/>
      <c r="J474" s="333">
        <f>(1+$M$5)^(D474/12)*(H474+IF(AND(F474=1,F475=0),$Q$4,0))</f>
      </c>
      <c r="K474" s="333">
        <f>(1+$M$5)^(D474/12)*(I474)</f>
      </c>
      <c r="L474" s="333">
        <f>K474+J474</f>
      </c>
      <c r="M474" s="170"/>
      <c r="N474" s="7"/>
      <c r="O474" s="1"/>
      <c r="P474" s="331">
        <f>D474</f>
      </c>
      <c r="Q474" s="169"/>
    </row>
    <row x14ac:dyDescent="0.25" r="475" customHeight="1" ht="18.75">
      <c r="A475" s="1"/>
      <c r="B475" s="7"/>
      <c r="C475" s="170"/>
      <c r="D475" s="331">
        <v>468</v>
      </c>
      <c r="E475" s="544">
        <f>+DATE(YEAR(E474),MONTH(E474)-1,DAY(E474))</f>
        <v>25569.041666666668</v>
      </c>
      <c r="F475" s="333">
        <f>IF(DATE(YEAR($B$6),MONTH($B$6)+1,DAY(1))=E475,1,IF(MONTH(E475)=1,F476*(1+$F$5),F476))</f>
      </c>
      <c r="G475" s="333">
        <f>IF('Simulador - 1º Pilar'!$E$99="Sí",IF('Aportaciones Poliza'!$B$13&lt;'Aportaciones Poliza'!E475,0,F475*$B$8/12),F475*$B$8/12)</f>
      </c>
      <c r="H475" s="333">
        <f>$H$5*G475</f>
      </c>
      <c r="I475" s="333"/>
      <c r="J475" s="333">
        <f>(1+$M$5)^(D475/12)*(H475+IF(AND(F475=1,F476=0),$Q$4,0))</f>
      </c>
      <c r="K475" s="333">
        <f>(1+$M$5)^(D475/12)*(I475)</f>
      </c>
      <c r="L475" s="333">
        <f>K475+J475</f>
      </c>
      <c r="M475" s="170"/>
      <c r="N475" s="7"/>
      <c r="O475" s="1"/>
      <c r="P475" s="331">
        <f>D475</f>
      </c>
      <c r="Q475" s="169"/>
    </row>
    <row x14ac:dyDescent="0.25" r="476" customHeight="1" ht="18.75">
      <c r="A476" s="1"/>
      <c r="B476" s="7"/>
      <c r="C476" s="170"/>
      <c r="D476" s="331">
        <v>469</v>
      </c>
      <c r="E476" s="544">
        <f>+DATE(YEAR(E475),MONTH(E475)-1,DAY(E475))</f>
        <v>25569.041666666668</v>
      </c>
      <c r="F476" s="333">
        <f>IF(DATE(YEAR($B$6),MONTH($B$6)+1,DAY(1))=E476,1,IF(MONTH(E476)=1,F477*(1+$F$5),F477))</f>
      </c>
      <c r="G476" s="333">
        <f>IF('Simulador - 1º Pilar'!$E$99="Sí",IF('Aportaciones Poliza'!$B$13&lt;'Aportaciones Poliza'!E476,0,F476*$B$8/12),F476*$B$8/12)</f>
      </c>
      <c r="H476" s="333">
        <f>$H$5*G476</f>
      </c>
      <c r="I476" s="333"/>
      <c r="J476" s="333">
        <f>(1+$M$5)^(D476/12)*(H476+IF(AND(F476=1,F477=0),$Q$4,0))</f>
      </c>
      <c r="K476" s="333">
        <f>(1+$M$5)^(D476/12)*(I476)</f>
      </c>
      <c r="L476" s="333">
        <f>K476+J476</f>
      </c>
      <c r="M476" s="170"/>
      <c r="N476" s="7"/>
      <c r="O476" s="1"/>
      <c r="P476" s="331">
        <f>D476</f>
      </c>
      <c r="Q476" s="169"/>
    </row>
    <row x14ac:dyDescent="0.25" r="477" customHeight="1" ht="18.75">
      <c r="A477" s="1"/>
      <c r="B477" s="7"/>
      <c r="C477" s="170"/>
      <c r="D477" s="331">
        <v>470</v>
      </c>
      <c r="E477" s="544">
        <f>+DATE(YEAR(E476),MONTH(E476)-1,DAY(E476))</f>
        <v>25569.041666666668</v>
      </c>
      <c r="F477" s="333">
        <f>IF(DATE(YEAR($B$6),MONTH($B$6)+1,DAY(1))=E477,1,IF(MONTH(E477)=1,F478*(1+$F$5),F478))</f>
      </c>
      <c r="G477" s="333">
        <f>IF('Simulador - 1º Pilar'!$E$99="Sí",IF('Aportaciones Poliza'!$B$13&lt;'Aportaciones Poliza'!E477,0,F477*$B$8/12),F477*$B$8/12)</f>
      </c>
      <c r="H477" s="333">
        <f>$H$5*G477</f>
      </c>
      <c r="I477" s="333"/>
      <c r="J477" s="333">
        <f>(1+$M$5)^(D477/12)*(H477+IF(AND(F477=1,F478=0),$Q$4,0))</f>
      </c>
      <c r="K477" s="333">
        <f>(1+$M$5)^(D477/12)*(I477)</f>
      </c>
      <c r="L477" s="333">
        <f>K477+J477</f>
      </c>
      <c r="M477" s="170"/>
      <c r="N477" s="7"/>
      <c r="O477" s="1"/>
      <c r="P477" s="331">
        <f>D477</f>
      </c>
      <c r="Q477" s="169"/>
    </row>
    <row x14ac:dyDescent="0.25" r="478" customHeight="1" ht="18.75">
      <c r="A478" s="1"/>
      <c r="B478" s="7"/>
      <c r="C478" s="170"/>
      <c r="D478" s="331">
        <v>471</v>
      </c>
      <c r="E478" s="544">
        <f>+DATE(YEAR(E477),MONTH(E477)-1,DAY(E477))</f>
        <v>25569.041666666668</v>
      </c>
      <c r="F478" s="333">
        <f>IF(DATE(YEAR($B$6),MONTH($B$6)+1,DAY(1))=E478,1,IF(MONTH(E478)=1,F479*(1+$F$5),F479))</f>
      </c>
      <c r="G478" s="333">
        <f>IF('Simulador - 1º Pilar'!$E$99="Sí",IF('Aportaciones Poliza'!$B$13&lt;'Aportaciones Poliza'!E478,0,F478*$B$8/12),F478*$B$8/12)</f>
      </c>
      <c r="H478" s="333">
        <f>$H$5*G478</f>
      </c>
      <c r="I478" s="333"/>
      <c r="J478" s="333">
        <f>(1+$M$5)^(D478/12)*(H478+IF(AND(F478=1,F479=0),$Q$4,0))</f>
      </c>
      <c r="K478" s="333">
        <f>(1+$M$5)^(D478/12)*(I478)</f>
      </c>
      <c r="L478" s="333">
        <f>K478+J478</f>
      </c>
      <c r="M478" s="170"/>
      <c r="N478" s="7"/>
      <c r="O478" s="1"/>
      <c r="P478" s="331">
        <f>D478</f>
      </c>
      <c r="Q478" s="169"/>
    </row>
    <row x14ac:dyDescent="0.25" r="479" customHeight="1" ht="18.75">
      <c r="A479" s="1"/>
      <c r="B479" s="7"/>
      <c r="C479" s="170"/>
      <c r="D479" s="331">
        <v>472</v>
      </c>
      <c r="E479" s="544">
        <f>+DATE(YEAR(E478),MONTH(E478)-1,DAY(E478))</f>
        <v>25569.041666666668</v>
      </c>
      <c r="F479" s="333">
        <f>IF(DATE(YEAR($B$6),MONTH($B$6)+1,DAY(1))=E479,1,IF(MONTH(E479)=1,F480*(1+$F$5),F480))</f>
      </c>
      <c r="G479" s="333">
        <f>IF('Simulador - 1º Pilar'!$E$99="Sí",IF('Aportaciones Poliza'!$B$13&lt;'Aportaciones Poliza'!E479,0,F479*$B$8/12),F479*$B$8/12)</f>
      </c>
      <c r="H479" s="333">
        <f>$H$5*G479</f>
      </c>
      <c r="I479" s="333"/>
      <c r="J479" s="333">
        <f>(1+$M$5)^(D479/12)*(H479+IF(AND(F479=1,F480=0),$Q$4,0))</f>
      </c>
      <c r="K479" s="333">
        <f>(1+$M$5)^(D479/12)*(I479)</f>
      </c>
      <c r="L479" s="333">
        <f>K479+J479</f>
      </c>
      <c r="M479" s="170"/>
      <c r="N479" s="7"/>
      <c r="O479" s="1"/>
      <c r="P479" s="331">
        <f>D479</f>
      </c>
      <c r="Q479" s="169"/>
    </row>
    <row x14ac:dyDescent="0.25" r="480" customHeight="1" ht="18.75">
      <c r="A480" s="1"/>
      <c r="B480" s="7"/>
      <c r="C480" s="170"/>
      <c r="D480" s="331">
        <v>473</v>
      </c>
      <c r="E480" s="544">
        <f>+DATE(YEAR(E479),MONTH(E479)-1,DAY(E479))</f>
        <v>25569.041666666668</v>
      </c>
      <c r="F480" s="333">
        <f>IF(DATE(YEAR($B$6),MONTH($B$6)+1,DAY(1))=E480,1,IF(MONTH(E480)=1,F481*(1+$F$5),F481))</f>
      </c>
      <c r="G480" s="333">
        <f>IF('Simulador - 1º Pilar'!$E$99="Sí",IF('Aportaciones Poliza'!$B$13&lt;'Aportaciones Poliza'!E480,0,F480*$B$8/12),F480*$B$8/12)</f>
      </c>
      <c r="H480" s="333">
        <f>$H$5*G480</f>
      </c>
      <c r="I480" s="333"/>
      <c r="J480" s="333">
        <f>(1+$M$5)^(D480/12)*(H480+IF(AND(F480=1,F481=0),$Q$4,0))</f>
      </c>
      <c r="K480" s="333">
        <f>(1+$M$5)^(D480/12)*(I480)</f>
      </c>
      <c r="L480" s="333">
        <f>K480+J480</f>
      </c>
      <c r="M480" s="170"/>
      <c r="N480" s="7"/>
      <c r="O480" s="1"/>
      <c r="P480" s="331">
        <f>D480</f>
      </c>
      <c r="Q480" s="169"/>
    </row>
    <row x14ac:dyDescent="0.25" r="481" customHeight="1" ht="18.75">
      <c r="A481" s="1"/>
      <c r="B481" s="7"/>
      <c r="C481" s="170"/>
      <c r="D481" s="331">
        <v>474</v>
      </c>
      <c r="E481" s="544">
        <f>+DATE(YEAR(E480),MONTH(E480)-1,DAY(E480))</f>
        <v>25569.041666666668</v>
      </c>
      <c r="F481" s="333">
        <f>IF(DATE(YEAR($B$6),MONTH($B$6)+1,DAY(1))=E481,1,IF(MONTH(E481)=1,F482*(1+$F$5),F482))</f>
      </c>
      <c r="G481" s="333">
        <f>IF('Simulador - 1º Pilar'!$E$99="Sí",IF('Aportaciones Poliza'!$B$13&lt;'Aportaciones Poliza'!E481,0,F481*$B$8/12),F481*$B$8/12)</f>
      </c>
      <c r="H481" s="333">
        <f>$H$5*G481</f>
      </c>
      <c r="I481" s="333"/>
      <c r="J481" s="333">
        <f>(1+$M$5)^(D481/12)*(H481+IF(AND(F481=1,F482=0),$Q$4,0))</f>
      </c>
      <c r="K481" s="333">
        <f>(1+$M$5)^(D481/12)*(I481)</f>
      </c>
      <c r="L481" s="333">
        <f>K481+J481</f>
      </c>
      <c r="M481" s="170"/>
      <c r="N481" s="7"/>
      <c r="O481" s="1"/>
      <c r="P481" s="331">
        <f>D481</f>
      </c>
      <c r="Q481" s="169"/>
    </row>
    <row x14ac:dyDescent="0.25" r="482" customHeight="1" ht="18.75">
      <c r="A482" s="1"/>
      <c r="B482" s="7"/>
      <c r="C482" s="170"/>
      <c r="D482" s="331">
        <v>475</v>
      </c>
      <c r="E482" s="544">
        <f>+DATE(YEAR(E481),MONTH(E481)-1,DAY(E481))</f>
        <v>25569.041666666668</v>
      </c>
      <c r="F482" s="333">
        <f>IF(DATE(YEAR($B$6),MONTH($B$6)+1,DAY(1))=E482,1,IF(MONTH(E482)=1,F483*(1+$F$5),F483))</f>
      </c>
      <c r="G482" s="333">
        <f>IF('Simulador - 1º Pilar'!$E$99="Sí",IF('Aportaciones Poliza'!$B$13&lt;'Aportaciones Poliza'!E482,0,F482*$B$8/12),F482*$B$8/12)</f>
      </c>
      <c r="H482" s="333">
        <f>$H$5*G482</f>
      </c>
      <c r="I482" s="333"/>
      <c r="J482" s="333">
        <f>(1+$M$5)^(D482/12)*(H482+IF(AND(F482=1,F483=0),$Q$4,0))</f>
      </c>
      <c r="K482" s="333">
        <f>(1+$M$5)^(D482/12)*(I482)</f>
      </c>
      <c r="L482" s="333">
        <f>K482+J482</f>
      </c>
      <c r="M482" s="170"/>
      <c r="N482" s="7"/>
      <c r="O482" s="1"/>
      <c r="P482" s="331">
        <f>D482</f>
      </c>
      <c r="Q482" s="169"/>
    </row>
    <row x14ac:dyDescent="0.25" r="483" customHeight="1" ht="18.75">
      <c r="A483" s="1"/>
      <c r="B483" s="7"/>
      <c r="C483" s="170"/>
      <c r="D483" s="331">
        <v>476</v>
      </c>
      <c r="E483" s="544">
        <f>+DATE(YEAR(E482),MONTH(E482)-1,DAY(E482))</f>
        <v>25569.041666666668</v>
      </c>
      <c r="F483" s="333">
        <f>IF(DATE(YEAR($B$6),MONTH($B$6)+1,DAY(1))=E483,1,IF(MONTH(E483)=1,F484*(1+$F$5),F484))</f>
      </c>
      <c r="G483" s="333">
        <f>IF('Simulador - 1º Pilar'!$E$99="Sí",IF('Aportaciones Poliza'!$B$13&lt;'Aportaciones Poliza'!E483,0,F483*$B$8/12),F483*$B$8/12)</f>
      </c>
      <c r="H483" s="333">
        <f>$H$5*G483</f>
      </c>
      <c r="I483" s="333"/>
      <c r="J483" s="333">
        <f>(1+$M$5)^(D483/12)*(H483+IF(AND(F483=1,F484=0),$Q$4,0))</f>
      </c>
      <c r="K483" s="333">
        <f>(1+$M$5)^(D483/12)*(I483)</f>
      </c>
      <c r="L483" s="333">
        <f>K483+J483</f>
      </c>
      <c r="M483" s="170"/>
      <c r="N483" s="7"/>
      <c r="O483" s="1"/>
      <c r="P483" s="331">
        <f>D483</f>
      </c>
      <c r="Q483" s="169"/>
    </row>
    <row x14ac:dyDescent="0.25" r="484" customHeight="1" ht="18.75">
      <c r="A484" s="1"/>
      <c r="B484" s="7"/>
      <c r="C484" s="170"/>
      <c r="D484" s="331">
        <v>477</v>
      </c>
      <c r="E484" s="544">
        <f>+DATE(YEAR(E483),MONTH(E483)-1,DAY(E483))</f>
        <v>25569.041666666668</v>
      </c>
      <c r="F484" s="333">
        <f>IF(DATE(YEAR($B$6),MONTH($B$6)+1,DAY(1))=E484,1,IF(MONTH(E484)=1,F485*(1+$F$5),F485))</f>
      </c>
      <c r="G484" s="333">
        <f>IF('Simulador - 1º Pilar'!$E$99="Sí",IF('Aportaciones Poliza'!$B$13&lt;'Aportaciones Poliza'!E484,0,F484*$B$8/12),F484*$B$8/12)</f>
      </c>
      <c r="H484" s="333">
        <f>$H$5*G484</f>
      </c>
      <c r="I484" s="333"/>
      <c r="J484" s="333">
        <f>(1+$M$5)^(D484/12)*(H484+IF(AND(F484=1,F485=0),$Q$4,0))</f>
      </c>
      <c r="K484" s="333">
        <f>(1+$M$5)^(D484/12)*(I484)</f>
      </c>
      <c r="L484" s="333">
        <f>K484+J484</f>
      </c>
      <c r="M484" s="170"/>
      <c r="N484" s="7"/>
      <c r="O484" s="1"/>
      <c r="P484" s="331">
        <f>D484</f>
      </c>
      <c r="Q484" s="169"/>
    </row>
    <row x14ac:dyDescent="0.25" r="485" customHeight="1" ht="18.75">
      <c r="A485" s="1"/>
      <c r="B485" s="7"/>
      <c r="C485" s="170"/>
      <c r="D485" s="331">
        <v>478</v>
      </c>
      <c r="E485" s="544">
        <f>+DATE(YEAR(E484),MONTH(E484)-1,DAY(E484))</f>
        <v>25569.041666666668</v>
      </c>
      <c r="F485" s="333">
        <f>IF(DATE(YEAR($B$6),MONTH($B$6)+1,DAY(1))=E485,1,IF(MONTH(E485)=1,F486*(1+$F$5),F486))</f>
      </c>
      <c r="G485" s="333">
        <f>IF('Simulador - 1º Pilar'!$E$99="Sí",IF('Aportaciones Poliza'!$B$13&lt;'Aportaciones Poliza'!E485,0,F485*$B$8/12),F485*$B$8/12)</f>
      </c>
      <c r="H485" s="333">
        <f>$H$5*G485</f>
      </c>
      <c r="I485" s="333"/>
      <c r="J485" s="333">
        <f>(1+$M$5)^(D485/12)*(H485+IF(AND(F485=1,F486=0),$Q$4,0))</f>
      </c>
      <c r="K485" s="333">
        <f>(1+$M$5)^(D485/12)*(I485)</f>
      </c>
      <c r="L485" s="333">
        <f>K485+J485</f>
      </c>
      <c r="M485" s="170"/>
      <c r="N485" s="7"/>
      <c r="O485" s="1"/>
      <c r="P485" s="331">
        <f>D485</f>
      </c>
      <c r="Q485" s="169"/>
    </row>
    <row x14ac:dyDescent="0.25" r="486" customHeight="1" ht="18.75">
      <c r="A486" s="1"/>
      <c r="B486" s="7"/>
      <c r="C486" s="170"/>
      <c r="D486" s="331">
        <v>479</v>
      </c>
      <c r="E486" s="544">
        <f>+DATE(YEAR(E485),MONTH(E485)-1,DAY(E485))</f>
        <v>25569.041666666668</v>
      </c>
      <c r="F486" s="333">
        <f>IF(DATE(YEAR($B$6),MONTH($B$6)+1,DAY(1))=E486,1,IF(MONTH(E486)=1,F487*(1+$F$5),F487))</f>
      </c>
      <c r="G486" s="333">
        <f>IF('Simulador - 1º Pilar'!$E$99="Sí",IF('Aportaciones Poliza'!$B$13&lt;'Aportaciones Poliza'!E486,0,F486*$B$8/12),F486*$B$8/12)</f>
      </c>
      <c r="H486" s="333">
        <f>$H$5*G486</f>
      </c>
      <c r="I486" s="333"/>
      <c r="J486" s="333">
        <f>(1+$M$5)^(D486/12)*(H486+IF(AND(F486=1,F487=0),$Q$4,0))</f>
      </c>
      <c r="K486" s="333">
        <f>(1+$M$5)^(D486/12)*(I486)</f>
      </c>
      <c r="L486" s="333">
        <f>K486+J486</f>
      </c>
      <c r="M486" s="170"/>
      <c r="N486" s="7"/>
      <c r="O486" s="1"/>
      <c r="P486" s="331">
        <f>D486</f>
      </c>
      <c r="Q486" s="169"/>
    </row>
    <row x14ac:dyDescent="0.25" r="487" customHeight="1" ht="18.75">
      <c r="A487" s="1"/>
      <c r="B487" s="7"/>
      <c r="C487" s="170"/>
      <c r="D487" s="331">
        <v>480</v>
      </c>
      <c r="E487" s="544">
        <f>+DATE(YEAR(E486),MONTH(E486)-1,DAY(E486))</f>
        <v>25569.041666666668</v>
      </c>
      <c r="F487" s="333">
        <f>IF(DATE(YEAR($B$6),MONTH($B$6)+1,DAY(1))=E487,1,IF(MONTH(E487)=1,F488*(1+$F$5),F488))</f>
      </c>
      <c r="G487" s="333">
        <f>IF('Simulador - 1º Pilar'!$E$99="Sí",IF('Aportaciones Poliza'!$B$13&lt;'Aportaciones Poliza'!E487,0,F487*$B$8/12),F487*$B$8/12)</f>
      </c>
      <c r="H487" s="333">
        <f>$H$5*G487</f>
      </c>
      <c r="I487" s="333"/>
      <c r="J487" s="333">
        <f>(1+$M$5)^(D487/12)*(H487+IF(AND(F487=1,F488=0),$Q$4,0))</f>
      </c>
      <c r="K487" s="333">
        <f>(1+$M$5)^(D487/12)*(I487)</f>
      </c>
      <c r="L487" s="333">
        <f>K487+J487</f>
      </c>
      <c r="M487" s="170"/>
      <c r="N487" s="7"/>
      <c r="O487" s="1"/>
      <c r="P487" s="331">
        <f>D487</f>
      </c>
      <c r="Q487" s="169"/>
    </row>
    <row x14ac:dyDescent="0.25" r="488" customHeight="1" ht="18.75">
      <c r="A488" s="1"/>
      <c r="B488" s="7"/>
      <c r="C488" s="170"/>
      <c r="D488" s="331">
        <v>481</v>
      </c>
      <c r="E488" s="544">
        <f>+DATE(YEAR(E487),MONTH(E487)-1,DAY(E487))</f>
        <v>25569.041666666668</v>
      </c>
      <c r="F488" s="333">
        <f>IF(DATE(YEAR($B$6),MONTH($B$6)+1,DAY(1))=E488,1,IF(MONTH(E488)=1,F489*(1+$F$5),F489))</f>
      </c>
      <c r="G488" s="333">
        <f>IF('Simulador - 1º Pilar'!$E$99="Sí",IF('Aportaciones Poliza'!$B$13&lt;'Aportaciones Poliza'!E488,0,F488*$B$8/12),F488*$B$8/12)</f>
      </c>
      <c r="H488" s="333">
        <f>$H$5*G488</f>
      </c>
      <c r="I488" s="333"/>
      <c r="J488" s="333">
        <f>(1+$M$5)^(D488/12)*(H488+IF(AND(F488=1,F489=0),$Q$4,0))</f>
      </c>
      <c r="K488" s="333">
        <f>(1+$M$5)^(D488/12)*(I488)</f>
      </c>
      <c r="L488" s="333">
        <f>K488+J488</f>
      </c>
      <c r="M488" s="170"/>
      <c r="N488" s="7"/>
      <c r="O488" s="1"/>
      <c r="P488" s="331">
        <f>D488</f>
      </c>
      <c r="Q488" s="169"/>
    </row>
    <row x14ac:dyDescent="0.25" r="489" customHeight="1" ht="18.75">
      <c r="A489" s="1"/>
      <c r="B489" s="7"/>
      <c r="C489" s="170"/>
      <c r="D489" s="331">
        <v>482</v>
      </c>
      <c r="E489" s="544">
        <f>+DATE(YEAR(E488),MONTH(E488)-1,DAY(E488))</f>
        <v>25569.041666666668</v>
      </c>
      <c r="F489" s="333">
        <f>IF(DATE(YEAR($B$6),MONTH($B$6)+1,DAY(1))=E489,1,IF(MONTH(E489)=1,F490*(1+$F$5),F490))</f>
      </c>
      <c r="G489" s="333">
        <f>IF('Simulador - 1º Pilar'!$E$99="Sí",IF('Aportaciones Poliza'!$B$13&lt;'Aportaciones Poliza'!E489,0,F489*$B$8/12),F489*$B$8/12)</f>
      </c>
      <c r="H489" s="333">
        <f>$H$5*G489</f>
      </c>
      <c r="I489" s="333"/>
      <c r="J489" s="333">
        <f>(1+$M$5)^(D489/12)*(H489+IF(AND(F489=1,F490=0),$Q$4,0))</f>
      </c>
      <c r="K489" s="333">
        <f>(1+$M$5)^(D489/12)*(I489)</f>
      </c>
      <c r="L489" s="333">
        <f>K489+J489</f>
      </c>
      <c r="M489" s="170"/>
      <c r="N489" s="7"/>
      <c r="O489" s="1"/>
      <c r="P489" s="331">
        <f>D489</f>
      </c>
      <c r="Q489" s="169"/>
    </row>
    <row x14ac:dyDescent="0.25" r="490" customHeight="1" ht="18.75">
      <c r="A490" s="1"/>
      <c r="B490" s="7"/>
      <c r="C490" s="170"/>
      <c r="D490" s="331">
        <v>483</v>
      </c>
      <c r="E490" s="544">
        <f>+DATE(YEAR(E489),MONTH(E489)-1,DAY(E489))</f>
        <v>25569.041666666668</v>
      </c>
      <c r="F490" s="333">
        <f>IF(DATE(YEAR($B$6),MONTH($B$6)+1,DAY(1))=E490,1,IF(MONTH(E490)=1,F491*(1+$F$5),F491))</f>
      </c>
      <c r="G490" s="333">
        <f>IF('Simulador - 1º Pilar'!$E$99="Sí",IF('Aportaciones Poliza'!$B$13&lt;'Aportaciones Poliza'!E490,0,F490*$B$8/12),F490*$B$8/12)</f>
      </c>
      <c r="H490" s="333">
        <f>$H$5*G490</f>
      </c>
      <c r="I490" s="333"/>
      <c r="J490" s="333">
        <f>(1+$M$5)^(D490/12)*(H490+IF(AND(F490=1,F491=0),$Q$4,0))</f>
      </c>
      <c r="K490" s="333">
        <f>(1+$M$5)^(D490/12)*(I490)</f>
      </c>
      <c r="L490" s="333">
        <f>K490+J490</f>
      </c>
      <c r="M490" s="170"/>
      <c r="N490" s="7"/>
      <c r="O490" s="1"/>
      <c r="P490" s="331">
        <f>D490</f>
      </c>
      <c r="Q490" s="169"/>
    </row>
    <row x14ac:dyDescent="0.25" r="491" customHeight="1" ht="18.75">
      <c r="A491" s="1"/>
      <c r="B491" s="7"/>
      <c r="C491" s="170"/>
      <c r="D491" s="331">
        <v>484</v>
      </c>
      <c r="E491" s="544">
        <f>+DATE(YEAR(E490),MONTH(E490)-1,DAY(E490))</f>
        <v>25569.041666666668</v>
      </c>
      <c r="F491" s="333">
        <f>IF(DATE(YEAR($B$6),MONTH($B$6)+1,DAY(1))=E491,1,IF(MONTH(E491)=1,F492*(1+$F$5),F492))</f>
      </c>
      <c r="G491" s="333">
        <f>IF('Simulador - 1º Pilar'!$E$99="Sí",IF('Aportaciones Poliza'!$B$13&lt;'Aportaciones Poliza'!E491,0,F491*$B$8/12),F491*$B$8/12)</f>
      </c>
      <c r="H491" s="333">
        <f>$H$5*G491</f>
      </c>
      <c r="I491" s="333"/>
      <c r="J491" s="333">
        <f>(1+$M$5)^(D491/12)*(H491+IF(AND(F491=1,F492=0),$Q$4,0))</f>
      </c>
      <c r="K491" s="333">
        <f>(1+$M$5)^(D491/12)*(I491)</f>
      </c>
      <c r="L491" s="333">
        <f>K491+J491</f>
      </c>
      <c r="M491" s="170"/>
      <c r="N491" s="7"/>
      <c r="O491" s="1"/>
      <c r="P491" s="331">
        <f>D491</f>
      </c>
      <c r="Q491" s="169"/>
    </row>
    <row x14ac:dyDescent="0.25" r="492" customHeight="1" ht="18.75">
      <c r="A492" s="1"/>
      <c r="B492" s="7"/>
      <c r="C492" s="170"/>
      <c r="D492" s="331">
        <v>485</v>
      </c>
      <c r="E492" s="544">
        <f>+DATE(YEAR(E491),MONTH(E491)-1,DAY(E491))</f>
        <v>25569.041666666668</v>
      </c>
      <c r="F492" s="333">
        <f>IF(DATE(YEAR($B$6),MONTH($B$6)+1,DAY(1))=E492,1,IF(MONTH(E492)=1,F493*(1+$F$5),F493))</f>
      </c>
      <c r="G492" s="333">
        <f>IF('Simulador - 1º Pilar'!$E$99="Sí",IF('Aportaciones Poliza'!$B$13&lt;'Aportaciones Poliza'!E492,0,F492*$B$8/12),F492*$B$8/12)</f>
      </c>
      <c r="H492" s="333">
        <f>$H$5*G492</f>
      </c>
      <c r="I492" s="333"/>
      <c r="J492" s="333">
        <f>(1+$M$5)^(D492/12)*(H492+IF(AND(F492=1,F493=0),$Q$4,0))</f>
      </c>
      <c r="K492" s="333">
        <f>(1+$M$5)^(D492/12)*(I492)</f>
      </c>
      <c r="L492" s="333">
        <f>K492+J492</f>
      </c>
      <c r="M492" s="170"/>
      <c r="N492" s="7"/>
      <c r="O492" s="1"/>
      <c r="P492" s="331">
        <f>D492</f>
      </c>
      <c r="Q492" s="169"/>
    </row>
    <row x14ac:dyDescent="0.25" r="493" customHeight="1" ht="18.75">
      <c r="A493" s="1"/>
      <c r="B493" s="7"/>
      <c r="C493" s="170"/>
      <c r="D493" s="331">
        <v>486</v>
      </c>
      <c r="E493" s="544">
        <f>+DATE(YEAR(E492),MONTH(E492)-1,DAY(E492))</f>
        <v>25569.041666666668</v>
      </c>
      <c r="F493" s="333">
        <f>IF(DATE(YEAR($B$6),MONTH($B$6)+1,DAY(1))=E493,1,IF(MONTH(E493)=1,F494*(1+$F$5),F494))</f>
      </c>
      <c r="G493" s="333">
        <f>IF('Simulador - 1º Pilar'!$E$99="Sí",IF('Aportaciones Poliza'!$B$13&lt;'Aportaciones Poliza'!E493,0,F493*$B$8/12),F493*$B$8/12)</f>
      </c>
      <c r="H493" s="333">
        <f>$H$5*G493</f>
      </c>
      <c r="I493" s="333"/>
      <c r="J493" s="333">
        <f>(1+$M$5)^(D493/12)*(H493+IF(AND(F493=1,F494=0),$Q$4,0))</f>
      </c>
      <c r="K493" s="333">
        <f>(1+$M$5)^(D493/12)*(I493)</f>
      </c>
      <c r="L493" s="333">
        <f>K493+J493</f>
      </c>
      <c r="M493" s="170"/>
      <c r="N493" s="7"/>
      <c r="O493" s="1"/>
      <c r="P493" s="331">
        <f>D493</f>
      </c>
      <c r="Q493" s="169"/>
    </row>
    <row x14ac:dyDescent="0.25" r="494" customHeight="1" ht="18.75">
      <c r="A494" s="1"/>
      <c r="B494" s="7"/>
      <c r="C494" s="170"/>
      <c r="D494" s="331">
        <v>487</v>
      </c>
      <c r="E494" s="544">
        <f>+DATE(YEAR(E493),MONTH(E493)-1,DAY(E493))</f>
        <v>25569.041666666668</v>
      </c>
      <c r="F494" s="333">
        <f>IF(DATE(YEAR($B$6),MONTH($B$6)+1,DAY(1))=E494,1,IF(MONTH(E494)=1,F495*(1+$F$5),F495))</f>
      </c>
      <c r="G494" s="333">
        <f>IF('Simulador - 1º Pilar'!$E$99="Sí",IF('Aportaciones Poliza'!$B$13&lt;'Aportaciones Poliza'!E494,0,F494*$B$8/12),F494*$B$8/12)</f>
      </c>
      <c r="H494" s="333">
        <f>$H$5*G494</f>
      </c>
      <c r="I494" s="333"/>
      <c r="J494" s="333">
        <f>(1+$M$5)^(D494/12)*(H494+IF(AND(F494=1,F495=0),$Q$4,0))</f>
      </c>
      <c r="K494" s="333">
        <f>(1+$M$5)^(D494/12)*(I494)</f>
      </c>
      <c r="L494" s="333">
        <f>K494+J494</f>
      </c>
      <c r="M494" s="170"/>
      <c r="N494" s="7"/>
      <c r="O494" s="1"/>
      <c r="P494" s="331">
        <f>D494</f>
      </c>
      <c r="Q494" s="169"/>
    </row>
    <row x14ac:dyDescent="0.25" r="495" customHeight="1" ht="18.75">
      <c r="A495" s="1"/>
      <c r="B495" s="7"/>
      <c r="C495" s="170"/>
      <c r="D495" s="331">
        <v>488</v>
      </c>
      <c r="E495" s="544">
        <f>+DATE(YEAR(E494),MONTH(E494)-1,DAY(E494))</f>
        <v>25569.041666666668</v>
      </c>
      <c r="F495" s="333">
        <f>IF(DATE(YEAR($B$6),MONTH($B$6)+1,DAY(1))=E495,1,IF(MONTH(E495)=1,F496*(1+$F$5),F496))</f>
      </c>
      <c r="G495" s="333">
        <f>IF('Simulador - 1º Pilar'!$E$99="Sí",IF('Aportaciones Poliza'!$B$13&lt;'Aportaciones Poliza'!E495,0,F495*$B$8/12),F495*$B$8/12)</f>
      </c>
      <c r="H495" s="333">
        <f>$H$5*G495</f>
      </c>
      <c r="I495" s="333"/>
      <c r="J495" s="333">
        <f>(1+$M$5)^(D495/12)*(H495+IF(AND(F495=1,F496=0),$Q$4,0))</f>
      </c>
      <c r="K495" s="333">
        <f>(1+$M$5)^(D495/12)*(I495)</f>
      </c>
      <c r="L495" s="333">
        <f>K495+J495</f>
      </c>
      <c r="M495" s="170"/>
      <c r="N495" s="7"/>
      <c r="O495" s="1"/>
      <c r="P495" s="331">
        <f>D495</f>
      </c>
      <c r="Q495" s="169"/>
    </row>
    <row x14ac:dyDescent="0.25" r="496" customHeight="1" ht="18.75">
      <c r="A496" s="1"/>
      <c r="B496" s="7"/>
      <c r="C496" s="170"/>
      <c r="D496" s="331">
        <v>489</v>
      </c>
      <c r="E496" s="544">
        <f>+DATE(YEAR(E495),MONTH(E495)-1,DAY(E495))</f>
        <v>25569.041666666668</v>
      </c>
      <c r="F496" s="333">
        <f>IF(DATE(YEAR($B$6),MONTH($B$6)+1,DAY(1))=E496,1,IF(MONTH(E496)=1,F497*(1+$F$5),F497))</f>
      </c>
      <c r="G496" s="333">
        <f>IF('Simulador - 1º Pilar'!$E$99="Sí",IF('Aportaciones Poliza'!$B$13&lt;'Aportaciones Poliza'!E496,0,F496*$B$8/12),F496*$B$8/12)</f>
      </c>
      <c r="H496" s="333">
        <f>$H$5*G496</f>
      </c>
      <c r="I496" s="333"/>
      <c r="J496" s="333">
        <f>(1+$M$5)^(D496/12)*(H496+IF(AND(F496=1,F497=0),$Q$4,0))</f>
      </c>
      <c r="K496" s="333">
        <f>(1+$M$5)^(D496/12)*(I496)</f>
      </c>
      <c r="L496" s="333">
        <f>K496+J496</f>
      </c>
      <c r="M496" s="170"/>
      <c r="N496" s="7"/>
      <c r="O496" s="1"/>
      <c r="P496" s="331">
        <f>D496</f>
      </c>
      <c r="Q496" s="169"/>
    </row>
    <row x14ac:dyDescent="0.25" r="497" customHeight="1" ht="18.75">
      <c r="A497" s="1"/>
      <c r="B497" s="7"/>
      <c r="C497" s="170"/>
      <c r="D497" s="331">
        <v>490</v>
      </c>
      <c r="E497" s="544">
        <f>+DATE(YEAR(E496),MONTH(E496)-1,DAY(E496))</f>
        <v>25569.041666666668</v>
      </c>
      <c r="F497" s="333">
        <f>IF(DATE(YEAR($B$6),MONTH($B$6)+1,DAY(1))=E497,1,IF(MONTH(E497)=1,F498*(1+$F$5),F498))</f>
      </c>
      <c r="G497" s="333">
        <f>IF('Simulador - 1º Pilar'!$E$99="Sí",IF('Aportaciones Poliza'!$B$13&lt;'Aportaciones Poliza'!E497,0,F497*$B$8/12),F497*$B$8/12)</f>
      </c>
      <c r="H497" s="333">
        <f>$H$5*G497</f>
      </c>
      <c r="I497" s="333"/>
      <c r="J497" s="333">
        <f>(1+$M$5)^(D497/12)*(H497+IF(AND(F497=1,F498=0),$Q$4,0))</f>
      </c>
      <c r="K497" s="333">
        <f>(1+$M$5)^(D497/12)*(I497)</f>
      </c>
      <c r="L497" s="333">
        <f>K497+J497</f>
      </c>
      <c r="M497" s="170"/>
      <c r="N497" s="7"/>
      <c r="O497" s="1"/>
      <c r="P497" s="331">
        <f>D497</f>
      </c>
      <c r="Q497" s="169"/>
    </row>
    <row x14ac:dyDescent="0.25" r="498" customHeight="1" ht="18.75">
      <c r="A498" s="1"/>
      <c r="B498" s="7"/>
      <c r="C498" s="170"/>
      <c r="D498" s="331">
        <v>491</v>
      </c>
      <c r="E498" s="544">
        <f>+DATE(YEAR(E497),MONTH(E497)-1,DAY(E497))</f>
        <v>25569.041666666668</v>
      </c>
      <c r="F498" s="333">
        <f>IF(DATE(YEAR($B$6),MONTH($B$6)+1,DAY(1))=E498,1,IF(MONTH(E498)=1,F499*(1+$F$5),F499))</f>
      </c>
      <c r="G498" s="333">
        <f>IF('Simulador - 1º Pilar'!$E$99="Sí",IF('Aportaciones Poliza'!$B$13&lt;'Aportaciones Poliza'!E498,0,F498*$B$8/12),F498*$B$8/12)</f>
      </c>
      <c r="H498" s="333">
        <f>$H$5*G498</f>
      </c>
      <c r="I498" s="333"/>
      <c r="J498" s="333">
        <f>(1+$M$5)^(D498/12)*(H498+IF(AND(F498=1,F499=0),$Q$4,0))</f>
      </c>
      <c r="K498" s="333">
        <f>(1+$M$5)^(D498/12)*(I498)</f>
      </c>
      <c r="L498" s="333">
        <f>K498+J498</f>
      </c>
      <c r="M498" s="170"/>
      <c r="N498" s="7"/>
      <c r="O498" s="1"/>
      <c r="P498" s="331">
        <f>D498</f>
      </c>
      <c r="Q498" s="169"/>
    </row>
    <row x14ac:dyDescent="0.25" r="499" customHeight="1" ht="18.75">
      <c r="A499" s="1"/>
      <c r="B499" s="7"/>
      <c r="C499" s="170"/>
      <c r="D499" s="331">
        <v>492</v>
      </c>
      <c r="E499" s="544">
        <f>+DATE(YEAR(E498),MONTH(E498)-1,DAY(E498))</f>
        <v>25569.041666666668</v>
      </c>
      <c r="F499" s="333">
        <f>IF(DATE(YEAR($B$6),MONTH($B$6)+1,DAY(1))=E499,1,IF(MONTH(E499)=1,F500*(1+$F$5),F500))</f>
      </c>
      <c r="G499" s="333">
        <f>IF('Simulador - 1º Pilar'!$E$99="Sí",IF('Aportaciones Poliza'!$B$13&lt;'Aportaciones Poliza'!E499,0,F499*$B$8/12),F499*$B$8/12)</f>
      </c>
      <c r="H499" s="333">
        <f>$H$5*G499</f>
      </c>
      <c r="I499" s="333"/>
      <c r="J499" s="333">
        <f>(1+$M$5)^(D499/12)*(H499+IF(AND(F499=1,F500=0),$Q$4,0))</f>
      </c>
      <c r="K499" s="333">
        <f>(1+$M$5)^(D499/12)*(I499)</f>
      </c>
      <c r="L499" s="333">
        <f>K499+J499</f>
      </c>
      <c r="M499" s="170"/>
      <c r="N499" s="7"/>
      <c r="O499" s="1"/>
      <c r="P499" s="331">
        <f>D499</f>
      </c>
      <c r="Q499" s="169"/>
    </row>
    <row x14ac:dyDescent="0.25" r="500" customHeight="1" ht="18.75">
      <c r="A500" s="1"/>
      <c r="B500" s="7"/>
      <c r="C500" s="170"/>
      <c r="D500" s="331">
        <v>493</v>
      </c>
      <c r="E500" s="544">
        <f>+DATE(YEAR(E499),MONTH(E499)-1,DAY(E499))</f>
        <v>25569.041666666668</v>
      </c>
      <c r="F500" s="333">
        <f>IF(DATE(YEAR($B$6),MONTH($B$6)+1,DAY(1))=E500,1,IF(MONTH(E500)=1,F501*(1+$F$5),F501))</f>
      </c>
      <c r="G500" s="333">
        <f>IF('Simulador - 1º Pilar'!$E$99="Sí",IF('Aportaciones Poliza'!$B$13&lt;'Aportaciones Poliza'!E500,0,F500*$B$8/12),F500*$B$8/12)</f>
      </c>
      <c r="H500" s="333">
        <f>$H$5*G500</f>
      </c>
      <c r="I500" s="333"/>
      <c r="J500" s="333">
        <f>(1+$M$5)^(D500/12)*(H500+IF(AND(F500=1,F501=0),$Q$4,0))</f>
      </c>
      <c r="K500" s="333">
        <f>(1+$M$5)^(D500/12)*(I500)</f>
      </c>
      <c r="L500" s="333">
        <f>K500+J500</f>
      </c>
      <c r="M500" s="170"/>
      <c r="N500" s="7"/>
      <c r="O500" s="1"/>
      <c r="P500" s="331">
        <f>D500</f>
      </c>
      <c r="Q500" s="169"/>
    </row>
    <row x14ac:dyDescent="0.25" r="501" customHeight="1" ht="18.75">
      <c r="A501" s="1"/>
      <c r="B501" s="7"/>
      <c r="C501" s="170"/>
      <c r="D501" s="331">
        <v>494</v>
      </c>
      <c r="E501" s="544">
        <f>+DATE(YEAR(E500),MONTH(E500)-1,DAY(E500))</f>
        <v>25569.041666666668</v>
      </c>
      <c r="F501" s="333">
        <f>IF(DATE(YEAR($B$6),MONTH($B$6)+1,DAY(1))=E501,1,IF(MONTH(E501)=1,F502*(1+$F$5),F502))</f>
      </c>
      <c r="G501" s="333">
        <f>IF('Simulador - 1º Pilar'!$E$99="Sí",IF('Aportaciones Poliza'!$B$13&lt;'Aportaciones Poliza'!E501,0,F501*$B$8/12),F501*$B$8/12)</f>
      </c>
      <c r="H501" s="333">
        <f>$H$5*G501</f>
      </c>
      <c r="I501" s="333"/>
      <c r="J501" s="333">
        <f>(1+$M$5)^(D501/12)*(H501+IF(AND(F501=1,F502=0),$Q$4,0))</f>
      </c>
      <c r="K501" s="333">
        <f>(1+$M$5)^(D501/12)*(I501)</f>
      </c>
      <c r="L501" s="333">
        <f>K501+J501</f>
      </c>
      <c r="M501" s="170"/>
      <c r="N501" s="7"/>
      <c r="O501" s="1"/>
      <c r="P501" s="331">
        <f>D501</f>
      </c>
      <c r="Q501" s="169"/>
    </row>
    <row x14ac:dyDescent="0.25" r="502" customHeight="1" ht="18.75">
      <c r="A502" s="1"/>
      <c r="B502" s="7"/>
      <c r="C502" s="170"/>
      <c r="D502" s="331">
        <v>495</v>
      </c>
      <c r="E502" s="544">
        <f>+DATE(YEAR(E501),MONTH(E501)-1,DAY(E501))</f>
        <v>25569.041666666668</v>
      </c>
      <c r="F502" s="333">
        <f>IF(DATE(YEAR($B$6),MONTH($B$6)+1,DAY(1))=E502,1,IF(MONTH(E502)=1,F503*(1+$F$5),F503))</f>
      </c>
      <c r="G502" s="333">
        <f>IF('Simulador - 1º Pilar'!$E$99="Sí",IF('Aportaciones Poliza'!$B$13&lt;'Aportaciones Poliza'!E502,0,F502*$B$8/12),F502*$B$8/12)</f>
      </c>
      <c r="H502" s="333">
        <f>$H$5*G502</f>
      </c>
      <c r="I502" s="333"/>
      <c r="J502" s="333">
        <f>(1+$M$5)^(D502/12)*(H502+IF(AND(F502=1,F503=0),$Q$4,0))</f>
      </c>
      <c r="K502" s="333">
        <f>(1+$M$5)^(D502/12)*(I502)</f>
      </c>
      <c r="L502" s="333">
        <f>K502+J502</f>
      </c>
      <c r="M502" s="170"/>
      <c r="N502" s="7"/>
      <c r="O502" s="1"/>
      <c r="P502" s="331">
        <f>D502</f>
      </c>
      <c r="Q502" s="169"/>
    </row>
    <row x14ac:dyDescent="0.25" r="503" customHeight="1" ht="18.75">
      <c r="A503" s="1"/>
      <c r="B503" s="7"/>
      <c r="C503" s="170"/>
      <c r="D503" s="331">
        <v>496</v>
      </c>
      <c r="E503" s="544">
        <f>+DATE(YEAR(E502),MONTH(E502)-1,DAY(E502))</f>
        <v>25569.041666666668</v>
      </c>
      <c r="F503" s="333">
        <f>IF(DATE(YEAR($B$6),MONTH($B$6)+1,DAY(1))=E503,1,IF(MONTH(E503)=1,F504*(1+$F$5),F504))</f>
      </c>
      <c r="G503" s="333">
        <f>IF('Simulador - 1º Pilar'!$E$99="Sí",IF('Aportaciones Poliza'!$B$13&lt;'Aportaciones Poliza'!E503,0,F503*$B$8/12),F503*$B$8/12)</f>
      </c>
      <c r="H503" s="333">
        <f>$H$5*G503</f>
      </c>
      <c r="I503" s="333"/>
      <c r="J503" s="333">
        <f>(1+$M$5)^(D503/12)*(H503+IF(AND(F503=1,F504=0),$Q$4,0))</f>
      </c>
      <c r="K503" s="333">
        <f>(1+$M$5)^(D503/12)*(I503)</f>
      </c>
      <c r="L503" s="333">
        <f>K503+J503</f>
      </c>
      <c r="M503" s="170"/>
      <c r="N503" s="7"/>
      <c r="O503" s="1"/>
      <c r="P503" s="331">
        <f>D503</f>
      </c>
      <c r="Q503" s="169"/>
    </row>
    <row x14ac:dyDescent="0.25" r="504" customHeight="1" ht="18.75">
      <c r="A504" s="1"/>
      <c r="B504" s="7"/>
      <c r="C504" s="170"/>
      <c r="D504" s="331">
        <v>497</v>
      </c>
      <c r="E504" s="544">
        <f>+DATE(YEAR(E503),MONTH(E503)-1,DAY(E503))</f>
        <v>25569.041666666668</v>
      </c>
      <c r="F504" s="333">
        <f>IF(DATE(YEAR($B$6),MONTH($B$6)+1,DAY(1))=E504,1,IF(MONTH(E504)=1,F505*(1+$F$5),F505))</f>
      </c>
      <c r="G504" s="333">
        <f>IF('Simulador - 1º Pilar'!$E$99="Sí",IF('Aportaciones Poliza'!$B$13&lt;'Aportaciones Poliza'!E504,0,F504*$B$8/12),F504*$B$8/12)</f>
      </c>
      <c r="H504" s="333">
        <f>$H$5*G504</f>
      </c>
      <c r="I504" s="333"/>
      <c r="J504" s="333">
        <f>(1+$M$5)^(D504/12)*(H504+IF(AND(F504=1,F505=0),$Q$4,0))</f>
      </c>
      <c r="K504" s="333">
        <f>(1+$M$5)^(D504/12)*(I504)</f>
      </c>
      <c r="L504" s="333">
        <f>K504+J504</f>
      </c>
      <c r="M504" s="170"/>
      <c r="N504" s="7"/>
      <c r="O504" s="1"/>
      <c r="P504" s="331">
        <f>D504</f>
      </c>
      <c r="Q504" s="169"/>
    </row>
    <row x14ac:dyDescent="0.25" r="505" customHeight="1" ht="18.75">
      <c r="A505" s="1"/>
      <c r="B505" s="7"/>
      <c r="C505" s="170"/>
      <c r="D505" s="331">
        <v>498</v>
      </c>
      <c r="E505" s="544">
        <f>+DATE(YEAR(E504),MONTH(E504)-1,DAY(E504))</f>
        <v>25569.041666666668</v>
      </c>
      <c r="F505" s="333">
        <f>IF(DATE(YEAR($B$6),MONTH($B$6)+1,DAY(1))=E505,1,IF(MONTH(E505)=1,F506*(1+$F$5),F506))</f>
      </c>
      <c r="G505" s="333">
        <f>IF('Simulador - 1º Pilar'!$E$99="Sí",IF('Aportaciones Poliza'!$B$13&lt;'Aportaciones Poliza'!E505,0,F505*$B$8/12),F505*$B$8/12)</f>
      </c>
      <c r="H505" s="333">
        <f>$H$5*G505</f>
      </c>
      <c r="I505" s="333"/>
      <c r="J505" s="333">
        <f>(1+$M$5)^(D505/12)*(H505+IF(AND(F505=1,F506=0),$Q$4,0))</f>
      </c>
      <c r="K505" s="333">
        <f>(1+$M$5)^(D505/12)*(I505)</f>
      </c>
      <c r="L505" s="333">
        <f>K505+J505</f>
      </c>
      <c r="M505" s="170"/>
      <c r="N505" s="7"/>
      <c r="O505" s="1"/>
      <c r="P505" s="331">
        <f>D505</f>
      </c>
      <c r="Q505" s="169"/>
    </row>
    <row x14ac:dyDescent="0.25" r="506" customHeight="1" ht="18.75">
      <c r="A506" s="1"/>
      <c r="B506" s="7"/>
      <c r="C506" s="170"/>
      <c r="D506" s="331">
        <v>499</v>
      </c>
      <c r="E506" s="544">
        <f>+DATE(YEAR(E505),MONTH(E505)-1,DAY(E505))</f>
        <v>25569.041666666668</v>
      </c>
      <c r="F506" s="333">
        <f>IF(DATE(YEAR($B$6),MONTH($B$6)+1,DAY(1))=E506,1,IF(MONTH(E506)=1,F507*(1+$F$5),F507))</f>
      </c>
      <c r="G506" s="333">
        <f>IF('Simulador - 1º Pilar'!$E$99="Sí",IF('Aportaciones Poliza'!$B$13&lt;'Aportaciones Poliza'!E506,0,F506*$B$8/12),F506*$B$8/12)</f>
      </c>
      <c r="H506" s="333">
        <f>$H$5*G506</f>
      </c>
      <c r="I506" s="333"/>
      <c r="J506" s="333">
        <f>(1+$M$5)^(D506/12)*(H506+IF(AND(F506=1,F507=0),$Q$4,0))</f>
      </c>
      <c r="K506" s="333">
        <f>(1+$M$5)^(D506/12)*(I506)</f>
      </c>
      <c r="L506" s="333">
        <f>K506+J506</f>
      </c>
      <c r="M506" s="170"/>
      <c r="N506" s="7"/>
      <c r="O506" s="1"/>
      <c r="P506" s="331">
        <f>D506</f>
      </c>
      <c r="Q506" s="169"/>
    </row>
    <row x14ac:dyDescent="0.25" r="507" customHeight="1" ht="18.75">
      <c r="A507" s="1"/>
      <c r="B507" s="7"/>
      <c r="C507" s="170"/>
      <c r="D507" s="331">
        <v>500</v>
      </c>
      <c r="E507" s="544">
        <f>+DATE(YEAR(E506),MONTH(E506)-1,DAY(E506))</f>
        <v>25569.041666666668</v>
      </c>
      <c r="F507" s="333">
        <f>IF(DATE(YEAR($B$6),MONTH($B$6)+1,DAY(1))=E507,1,IF(MONTH(E507)=1,F508*(1+$F$5),F508))</f>
      </c>
      <c r="G507" s="333">
        <f>IF('Simulador - 1º Pilar'!$E$99="Sí",IF('Aportaciones Poliza'!$B$13&lt;'Aportaciones Poliza'!E507,0,F507*$B$8/12),F507*$B$8/12)</f>
      </c>
      <c r="H507" s="333">
        <f>$H$5*G507</f>
      </c>
      <c r="I507" s="333"/>
      <c r="J507" s="333">
        <f>(1+$M$5)^(D507/12)*(H507+IF(AND(F507=1,F508=0),$Q$4,0))</f>
      </c>
      <c r="K507" s="333">
        <f>(1+$M$5)^(D507/12)*(I507)</f>
      </c>
      <c r="L507" s="333">
        <f>K507+J507</f>
      </c>
      <c r="M507" s="170"/>
      <c r="N507" s="7"/>
      <c r="O507" s="1"/>
      <c r="P507" s="331">
        <f>D507</f>
      </c>
      <c r="Q507" s="169"/>
    </row>
    <row x14ac:dyDescent="0.25" r="508" customHeight="1" ht="18.75">
      <c r="A508" s="1"/>
      <c r="B508" s="7"/>
      <c r="C508" s="170"/>
      <c r="D508" s="331">
        <v>501</v>
      </c>
      <c r="E508" s="544">
        <f>+DATE(YEAR(E507),MONTH(E507)-1,DAY(E507))</f>
        <v>25569.041666666668</v>
      </c>
      <c r="F508" s="333">
        <f>IF(DATE(YEAR($B$6),MONTH($B$6)+1,DAY(1))=E508,1,IF(MONTH(E508)=1,F509*(1+$F$5),F509))</f>
      </c>
      <c r="G508" s="333">
        <f>IF('Simulador - 1º Pilar'!$E$99="Sí",IF('Aportaciones Poliza'!$B$13&lt;'Aportaciones Poliza'!E508,0,F508*$B$8/12),F508*$B$8/12)</f>
      </c>
      <c r="H508" s="333">
        <f>$H$5*G508</f>
      </c>
      <c r="I508" s="333"/>
      <c r="J508" s="333">
        <f>(1+$M$5)^(D508/12)*(H508+IF(AND(F508=1,F509=0),$Q$4,0))</f>
      </c>
      <c r="K508" s="333">
        <f>(1+$M$5)^(D508/12)*(I508)</f>
      </c>
      <c r="L508" s="333">
        <f>K508+J508</f>
      </c>
      <c r="M508" s="170"/>
      <c r="N508" s="7"/>
      <c r="O508" s="1"/>
      <c r="P508" s="331">
        <f>D508</f>
      </c>
      <c r="Q508" s="169"/>
    </row>
    <row x14ac:dyDescent="0.25" r="509" customHeight="1" ht="18.75">
      <c r="A509" s="1"/>
      <c r="B509" s="7"/>
      <c r="C509" s="170"/>
      <c r="D509" s="331">
        <v>502</v>
      </c>
      <c r="E509" s="544">
        <f>+DATE(YEAR(E508),MONTH(E508)-1,DAY(E508))</f>
        <v>25569.041666666668</v>
      </c>
      <c r="F509" s="333">
        <f>IF(DATE(YEAR($B$6),MONTH($B$6)+1,DAY(1))=E509,1,IF(MONTH(E509)=1,F510*(1+$F$5),F510))</f>
      </c>
      <c r="G509" s="333">
        <f>IF('Simulador - 1º Pilar'!$E$99="Sí",IF('Aportaciones Poliza'!$B$13&lt;'Aportaciones Poliza'!E509,0,F509*$B$8/12),F509*$B$8/12)</f>
      </c>
      <c r="H509" s="333">
        <f>$H$5*G509</f>
      </c>
      <c r="I509" s="333"/>
      <c r="J509" s="333">
        <f>(1+$M$5)^(D509/12)*(H509+IF(AND(F509=1,F510=0),$Q$4,0))</f>
      </c>
      <c r="K509" s="333">
        <f>(1+$M$5)^(D509/12)*(I509)</f>
      </c>
      <c r="L509" s="333">
        <f>K509+J509</f>
      </c>
      <c r="M509" s="170"/>
      <c r="N509" s="7"/>
      <c r="O509" s="1"/>
      <c r="P509" s="331">
        <f>D509</f>
      </c>
      <c r="Q509" s="169"/>
    </row>
    <row x14ac:dyDescent="0.25" r="510" customHeight="1" ht="18.75">
      <c r="A510" s="1"/>
      <c r="B510" s="7"/>
      <c r="C510" s="170"/>
      <c r="D510" s="331">
        <v>503</v>
      </c>
      <c r="E510" s="544">
        <f>+DATE(YEAR(E509),MONTH(E509)-1,DAY(E509))</f>
        <v>25569.041666666668</v>
      </c>
      <c r="F510" s="333">
        <f>IF(DATE(YEAR($B$6),MONTH($B$6)+1,DAY(1))=E510,1,IF(MONTH(E510)=1,F511*(1+$F$5),F511))</f>
      </c>
      <c r="G510" s="333">
        <f>IF('Simulador - 1º Pilar'!$E$99="Sí",IF('Aportaciones Poliza'!$B$13&lt;'Aportaciones Poliza'!E510,0,F510*$B$8/12),F510*$B$8/12)</f>
      </c>
      <c r="H510" s="333">
        <f>$H$5*G510</f>
      </c>
      <c r="I510" s="333"/>
      <c r="J510" s="333">
        <f>(1+$M$5)^(D510/12)*(H510+IF(AND(F510=1,F511=0),$Q$4,0))</f>
      </c>
      <c r="K510" s="333">
        <f>(1+$M$5)^(D510/12)*(I510)</f>
      </c>
      <c r="L510" s="333">
        <f>K510+J510</f>
      </c>
      <c r="M510" s="170"/>
      <c r="N510" s="7"/>
      <c r="O510" s="1"/>
      <c r="P510" s="331">
        <f>D510</f>
      </c>
      <c r="Q510" s="169"/>
    </row>
    <row x14ac:dyDescent="0.25" r="511" customHeight="1" ht="18.75">
      <c r="A511" s="1"/>
      <c r="B511" s="7"/>
      <c r="C511" s="170"/>
      <c r="D511" s="331">
        <v>504</v>
      </c>
      <c r="E511" s="544">
        <f>+DATE(YEAR(E510),MONTH(E510)-1,DAY(E510))</f>
        <v>25569.041666666668</v>
      </c>
      <c r="F511" s="333">
        <f>IF(DATE(YEAR($B$6),MONTH($B$6)+1,DAY(1))=E511,1,IF(MONTH(E511)=1,F512*(1+$F$5),F512))</f>
      </c>
      <c r="G511" s="333">
        <f>IF('Simulador - 1º Pilar'!$E$99="Sí",IF('Aportaciones Poliza'!$B$13&lt;'Aportaciones Poliza'!E511,0,F511*$B$8/12),F511*$B$8/12)</f>
      </c>
      <c r="H511" s="333">
        <f>$H$5*G511</f>
      </c>
      <c r="I511" s="333"/>
      <c r="J511" s="333">
        <f>(1+$M$5)^(D511/12)*(H511+IF(AND(F511=1,F512=0),$Q$4,0))</f>
      </c>
      <c r="K511" s="333">
        <f>(1+$M$5)^(D511/12)*(I511)</f>
      </c>
      <c r="L511" s="333">
        <f>K511+J511</f>
      </c>
      <c r="M511" s="170"/>
      <c r="N511" s="7"/>
      <c r="O511" s="1"/>
      <c r="P511" s="331">
        <f>D511</f>
      </c>
      <c r="Q511" s="169"/>
    </row>
    <row x14ac:dyDescent="0.25" r="512" customHeight="1" ht="18.75">
      <c r="A512" s="1"/>
      <c r="B512" s="7"/>
      <c r="C512" s="170"/>
      <c r="D512" s="331">
        <v>505</v>
      </c>
      <c r="E512" s="544">
        <f>+DATE(YEAR(E511),MONTH(E511)-1,DAY(E511))</f>
        <v>25569.041666666668</v>
      </c>
      <c r="F512" s="333">
        <f>IF(DATE(YEAR($B$6),MONTH($B$6)+1,DAY(1))=E512,1,IF(MONTH(E512)=1,F513*(1+$F$5),F513))</f>
      </c>
      <c r="G512" s="333">
        <f>IF('Simulador - 1º Pilar'!$E$99="Sí",IF('Aportaciones Poliza'!$B$13&lt;'Aportaciones Poliza'!E512,0,F512*$B$8/12),F512*$B$8/12)</f>
      </c>
      <c r="H512" s="333">
        <f>$H$5*G512</f>
      </c>
      <c r="I512" s="333"/>
      <c r="J512" s="333">
        <f>(1+$M$5)^(D512/12)*(H512+IF(AND(F512=1,F513=0),$Q$4,0))</f>
      </c>
      <c r="K512" s="333">
        <f>(1+$M$5)^(D512/12)*(I512)</f>
      </c>
      <c r="L512" s="333">
        <f>K512+J512</f>
      </c>
      <c r="M512" s="170"/>
      <c r="N512" s="7"/>
      <c r="O512" s="1"/>
      <c r="P512" s="331">
        <f>D512</f>
      </c>
      <c r="Q512" s="169"/>
    </row>
    <row x14ac:dyDescent="0.25" r="513" customHeight="1" ht="18.75">
      <c r="A513" s="1"/>
      <c r="B513" s="7"/>
      <c r="C513" s="170"/>
      <c r="D513" s="331">
        <v>506</v>
      </c>
      <c r="E513" s="544">
        <f>+DATE(YEAR(E512),MONTH(E512)-1,DAY(E512))</f>
        <v>25569.041666666668</v>
      </c>
      <c r="F513" s="333">
        <f>IF(DATE(YEAR($B$6),MONTH($B$6)+1,DAY(1))=E513,1,IF(MONTH(E513)=1,F514*(1+$F$5),F514))</f>
      </c>
      <c r="G513" s="333">
        <f>IF('Simulador - 1º Pilar'!$E$99="Sí",IF('Aportaciones Poliza'!$B$13&lt;'Aportaciones Poliza'!E513,0,F513*$B$8/12),F513*$B$8/12)</f>
      </c>
      <c r="H513" s="333">
        <f>$H$5*G513</f>
      </c>
      <c r="I513" s="333"/>
      <c r="J513" s="333">
        <f>(1+$M$5)^(D513/12)*(H513+IF(AND(F513=1,F514=0),$Q$4,0))</f>
      </c>
      <c r="K513" s="333">
        <f>(1+$M$5)^(D513/12)*(I513)</f>
      </c>
      <c r="L513" s="333">
        <f>K513+J513</f>
      </c>
      <c r="M513" s="170"/>
      <c r="N513" s="7"/>
      <c r="O513" s="1"/>
      <c r="P513" s="331">
        <f>D513</f>
      </c>
      <c r="Q513" s="169"/>
    </row>
    <row x14ac:dyDescent="0.25" r="514" customHeight="1" ht="18.75">
      <c r="A514" s="1"/>
      <c r="B514" s="7"/>
      <c r="C514" s="170"/>
      <c r="D514" s="331">
        <v>507</v>
      </c>
      <c r="E514" s="544">
        <f>+DATE(YEAR(E513),MONTH(E513)-1,DAY(E513))</f>
        <v>25569.041666666668</v>
      </c>
      <c r="F514" s="333">
        <f>IF(DATE(YEAR($B$6),MONTH($B$6)+1,DAY(1))=E514,1,IF(MONTH(E514)=1,F515*(1+$F$5),F515))</f>
      </c>
      <c r="G514" s="333">
        <f>IF('Simulador - 1º Pilar'!$E$99="Sí",IF('Aportaciones Poliza'!$B$13&lt;'Aportaciones Poliza'!E514,0,F514*$B$8/12),F514*$B$8/12)</f>
      </c>
      <c r="H514" s="333">
        <f>$H$5*G514</f>
      </c>
      <c r="I514" s="333"/>
      <c r="J514" s="333">
        <f>(1+$M$5)^(D514/12)*(H514+IF(AND(F514=1,F515=0),$Q$4,0))</f>
      </c>
      <c r="K514" s="333">
        <f>(1+$M$5)^(D514/12)*(I514)</f>
      </c>
      <c r="L514" s="333">
        <f>K514+J514</f>
      </c>
      <c r="M514" s="170"/>
      <c r="N514" s="7"/>
      <c r="O514" s="1"/>
      <c r="P514" s="331">
        <f>D514</f>
      </c>
      <c r="Q514" s="169"/>
    </row>
    <row x14ac:dyDescent="0.25" r="515" customHeight="1" ht="18.75">
      <c r="A515" s="1"/>
      <c r="B515" s="7"/>
      <c r="C515" s="170"/>
      <c r="D515" s="331">
        <v>508</v>
      </c>
      <c r="E515" s="544">
        <f>+DATE(YEAR(E514),MONTH(E514)-1,DAY(E514))</f>
        <v>25569.041666666668</v>
      </c>
      <c r="F515" s="333">
        <f>IF(DATE(YEAR($B$6),MONTH($B$6)+1,DAY(1))=E515,1,IF(MONTH(E515)=1,F516*(1+$F$5),F516))</f>
      </c>
      <c r="G515" s="333">
        <f>IF('Simulador - 1º Pilar'!$E$99="Sí",IF('Aportaciones Poliza'!$B$13&lt;'Aportaciones Poliza'!E515,0,F515*$B$8/12),F515*$B$8/12)</f>
      </c>
      <c r="H515" s="333">
        <f>$H$5*G515</f>
      </c>
      <c r="I515" s="333"/>
      <c r="J515" s="333">
        <f>(1+$M$5)^(D515/12)*(H515+IF(AND(F515=1,F516=0),$Q$4,0))</f>
      </c>
      <c r="K515" s="333">
        <f>(1+$M$5)^(D515/12)*(I515)</f>
      </c>
      <c r="L515" s="333">
        <f>K515+J515</f>
      </c>
      <c r="M515" s="170"/>
      <c r="N515" s="7"/>
      <c r="O515" s="1"/>
      <c r="P515" s="331">
        <f>D515</f>
      </c>
      <c r="Q515" s="169"/>
    </row>
    <row x14ac:dyDescent="0.25" r="516" customHeight="1" ht="18.75">
      <c r="A516" s="1"/>
      <c r="B516" s="7"/>
      <c r="C516" s="170"/>
      <c r="D516" s="331">
        <v>509</v>
      </c>
      <c r="E516" s="544">
        <f>+DATE(YEAR(E515),MONTH(E515)-1,DAY(E515))</f>
        <v>25569.041666666668</v>
      </c>
      <c r="F516" s="333">
        <f>IF(DATE(YEAR($B$6),MONTH($B$6)+1,DAY(1))=E516,1,IF(MONTH(E516)=1,F517*(1+$F$5),F517))</f>
      </c>
      <c r="G516" s="333">
        <f>IF('Simulador - 1º Pilar'!$E$99="Sí",IF('Aportaciones Poliza'!$B$13&lt;'Aportaciones Poliza'!E516,0,F516*$B$8/12),F516*$B$8/12)</f>
      </c>
      <c r="H516" s="333">
        <f>$H$5*G516</f>
      </c>
      <c r="I516" s="333"/>
      <c r="J516" s="333">
        <f>(1+$M$5)^(D516/12)*(H516+IF(AND(F516=1,F517=0),$Q$4,0))</f>
      </c>
      <c r="K516" s="333">
        <f>(1+$M$5)^(D516/12)*(I516)</f>
      </c>
      <c r="L516" s="333">
        <f>K516+J516</f>
      </c>
      <c r="M516" s="170"/>
      <c r="N516" s="7"/>
      <c r="O516" s="1"/>
      <c r="P516" s="331">
        <f>D516</f>
      </c>
      <c r="Q516" s="169"/>
    </row>
    <row x14ac:dyDescent="0.25" r="517" customHeight="1" ht="18.75">
      <c r="A517" s="1"/>
      <c r="B517" s="7"/>
      <c r="C517" s="170"/>
      <c r="D517" s="331">
        <v>510</v>
      </c>
      <c r="E517" s="544">
        <f>+DATE(YEAR(E516),MONTH(E516)-1,DAY(E516))</f>
        <v>25569.041666666668</v>
      </c>
      <c r="F517" s="333">
        <f>IF(DATE(YEAR($B$6),MONTH($B$6)+1,DAY(1))=E517,1,IF(MONTH(E517)=1,F518*(1+$F$5),F518))</f>
      </c>
      <c r="G517" s="333">
        <f>IF('Simulador - 1º Pilar'!$E$99="Sí",IF('Aportaciones Poliza'!$B$13&lt;'Aportaciones Poliza'!E517,0,F517*$B$8/12),F517*$B$8/12)</f>
      </c>
      <c r="H517" s="333">
        <f>$H$5*G517</f>
      </c>
      <c r="I517" s="333"/>
      <c r="J517" s="333">
        <f>(1+$M$5)^(D517/12)*(H517+IF(AND(F517=1,F518=0),$Q$4,0))</f>
      </c>
      <c r="K517" s="333">
        <f>(1+$M$5)^(D517/12)*(I517)</f>
      </c>
      <c r="L517" s="333">
        <f>K517+J517</f>
      </c>
      <c r="M517" s="170"/>
      <c r="N517" s="7"/>
      <c r="O517" s="1"/>
      <c r="P517" s="331">
        <f>D517</f>
      </c>
      <c r="Q517" s="169"/>
    </row>
    <row x14ac:dyDescent="0.25" r="518" customHeight="1" ht="18.75">
      <c r="A518" s="1"/>
      <c r="B518" s="7"/>
      <c r="C518" s="170"/>
      <c r="D518" s="331">
        <v>511</v>
      </c>
      <c r="E518" s="544">
        <f>+DATE(YEAR(E517),MONTH(E517)-1,DAY(E517))</f>
        <v>25569.041666666668</v>
      </c>
      <c r="F518" s="333">
        <f>IF(DATE(YEAR($B$6),MONTH($B$6)+1,DAY(1))=E518,1,IF(MONTH(E518)=1,F519*(1+$F$5),F519))</f>
      </c>
      <c r="G518" s="333">
        <f>IF('Simulador - 1º Pilar'!$E$99="Sí",IF('Aportaciones Poliza'!$B$13&lt;'Aportaciones Poliza'!E518,0,F518*$B$8/12),F518*$B$8/12)</f>
      </c>
      <c r="H518" s="333">
        <f>$H$5*G518</f>
      </c>
      <c r="I518" s="333"/>
      <c r="J518" s="333">
        <f>(1+$M$5)^(D518/12)*(H518+IF(AND(F518=1,F519=0),$Q$4,0))</f>
      </c>
      <c r="K518" s="333">
        <f>(1+$M$5)^(D518/12)*(I518)</f>
      </c>
      <c r="L518" s="333">
        <f>K518+J518</f>
      </c>
      <c r="M518" s="170"/>
      <c r="N518" s="7"/>
      <c r="O518" s="1"/>
      <c r="P518" s="331">
        <f>D518</f>
      </c>
      <c r="Q518" s="169"/>
    </row>
    <row x14ac:dyDescent="0.25" r="519" customHeight="1" ht="18.75">
      <c r="A519" s="1"/>
      <c r="B519" s="7"/>
      <c r="C519" s="170"/>
      <c r="D519" s="331">
        <v>512</v>
      </c>
      <c r="E519" s="544">
        <f>+DATE(YEAR(E518),MONTH(E518)-1,DAY(E518))</f>
        <v>25569.041666666668</v>
      </c>
      <c r="F519" s="333">
        <f>IF(DATE(YEAR($B$6),MONTH($B$6)+1,DAY(1))=E519,1,IF(MONTH(E519)=1,F520*(1+$F$5),F520))</f>
      </c>
      <c r="G519" s="333">
        <f>IF('Simulador - 1º Pilar'!$E$99="Sí",IF('Aportaciones Poliza'!$B$13&lt;'Aportaciones Poliza'!E519,0,F519*$B$8/12),F519*$B$8/12)</f>
      </c>
      <c r="H519" s="333">
        <f>$H$5*G519</f>
      </c>
      <c r="I519" s="333"/>
      <c r="J519" s="333">
        <f>(1+$M$5)^(D519/12)*(H519+IF(AND(F519=1,F520=0),$Q$4,0))</f>
      </c>
      <c r="K519" s="333">
        <f>(1+$M$5)^(D519/12)*(I519)</f>
      </c>
      <c r="L519" s="333">
        <f>K519+J519</f>
      </c>
      <c r="M519" s="170"/>
      <c r="N519" s="7"/>
      <c r="O519" s="1"/>
      <c r="P519" s="331">
        <f>D519</f>
      </c>
      <c r="Q519" s="169"/>
    </row>
    <row x14ac:dyDescent="0.25" r="520" customHeight="1" ht="18.75">
      <c r="A520" s="1"/>
      <c r="B520" s="7"/>
      <c r="C520" s="170"/>
      <c r="D520" s="331">
        <v>513</v>
      </c>
      <c r="E520" s="544">
        <f>+DATE(YEAR(E519),MONTH(E519)-1,DAY(E519))</f>
        <v>25569.041666666668</v>
      </c>
      <c r="F520" s="333">
        <f>IF(DATE(YEAR($B$6),MONTH($B$6)+1,DAY(1))=E520,1,IF(MONTH(E520)=1,F521*(1+$F$5),F521))</f>
      </c>
      <c r="G520" s="333">
        <f>IF('Simulador - 1º Pilar'!$E$99="Sí",IF('Aportaciones Poliza'!$B$13&lt;'Aportaciones Poliza'!E520,0,F520*$B$8/12),F520*$B$8/12)</f>
      </c>
      <c r="H520" s="333">
        <f>$H$5*G520</f>
      </c>
      <c r="I520" s="333"/>
      <c r="J520" s="333">
        <f>(1+$M$5)^(D520/12)*(H520+IF(AND(F520=1,F521=0),$Q$4,0))</f>
      </c>
      <c r="K520" s="333">
        <f>(1+$M$5)^(D520/12)*(I520)</f>
      </c>
      <c r="L520" s="333">
        <f>K520+J520</f>
      </c>
      <c r="M520" s="170"/>
      <c r="N520" s="7"/>
      <c r="O520" s="1"/>
      <c r="P520" s="331">
        <f>D520</f>
      </c>
      <c r="Q520" s="169"/>
    </row>
    <row x14ac:dyDescent="0.25" r="521" customHeight="1" ht="18.75">
      <c r="A521" s="1"/>
      <c r="B521" s="7"/>
      <c r="C521" s="170"/>
      <c r="D521" s="331">
        <v>514</v>
      </c>
      <c r="E521" s="544">
        <f>+DATE(YEAR(E520),MONTH(E520)-1,DAY(E520))</f>
        <v>25569.041666666668</v>
      </c>
      <c r="F521" s="333">
        <f>IF(DATE(YEAR($B$6),MONTH($B$6)+1,DAY(1))=E521,1,IF(MONTH(E521)=1,F522*(1+$F$5),F522))</f>
      </c>
      <c r="G521" s="333">
        <f>IF('Simulador - 1º Pilar'!$E$99="Sí",IF('Aportaciones Poliza'!$B$13&lt;'Aportaciones Poliza'!E521,0,F521*$B$8/12),F521*$B$8/12)</f>
      </c>
      <c r="H521" s="333">
        <f>$H$5*G521</f>
      </c>
      <c r="I521" s="333"/>
      <c r="J521" s="333">
        <f>(1+$M$5)^(D521/12)*(H521+IF(AND(F521=1,F522=0),$Q$4,0))</f>
      </c>
      <c r="K521" s="333">
        <f>(1+$M$5)^(D521/12)*(I521)</f>
      </c>
      <c r="L521" s="333">
        <f>K521+J521</f>
      </c>
      <c r="M521" s="170"/>
      <c r="N521" s="7"/>
      <c r="O521" s="1"/>
      <c r="P521" s="331">
        <f>D521</f>
      </c>
      <c r="Q521" s="169"/>
    </row>
    <row x14ac:dyDescent="0.25" r="522" customHeight="1" ht="18.75">
      <c r="A522" s="1"/>
      <c r="B522" s="7"/>
      <c r="C522" s="170"/>
      <c r="D522" s="331">
        <v>515</v>
      </c>
      <c r="E522" s="544">
        <f>+DATE(YEAR(E521),MONTH(E521)-1,DAY(E521))</f>
        <v>25569.041666666668</v>
      </c>
      <c r="F522" s="333">
        <f>IF(DATE(YEAR($B$6),MONTH($B$6)+1,DAY(1))=E522,1,IF(MONTH(E522)=1,F523*(1+$F$5),F523))</f>
      </c>
      <c r="G522" s="333">
        <f>IF('Simulador - 1º Pilar'!$E$99="Sí",IF('Aportaciones Poliza'!$B$13&lt;'Aportaciones Poliza'!E522,0,F522*$B$8/12),F522*$B$8/12)</f>
      </c>
      <c r="H522" s="333">
        <f>$H$5*G522</f>
      </c>
      <c r="I522" s="333"/>
      <c r="J522" s="333">
        <f>(1+$M$5)^(D522/12)*(H522+IF(AND(F522=1,F523=0),$Q$4,0))</f>
      </c>
      <c r="K522" s="333">
        <f>(1+$M$5)^(D522/12)*(I522)</f>
      </c>
      <c r="L522" s="333">
        <f>K522+J522</f>
      </c>
      <c r="M522" s="170"/>
      <c r="N522" s="7"/>
      <c r="O522" s="1"/>
      <c r="P522" s="331">
        <f>D522</f>
      </c>
      <c r="Q522" s="169"/>
    </row>
    <row x14ac:dyDescent="0.25" r="523" customHeight="1" ht="18.75">
      <c r="A523" s="1"/>
      <c r="B523" s="7"/>
      <c r="C523" s="170"/>
      <c r="D523" s="331">
        <v>516</v>
      </c>
      <c r="E523" s="544">
        <f>+DATE(YEAR(E522),MONTH(E522)-1,DAY(E522))</f>
        <v>25569.041666666668</v>
      </c>
      <c r="F523" s="333">
        <f>IF(DATE(YEAR($B$6),MONTH($B$6)+1,DAY(1))=E523,1,IF(MONTH(E523)=1,F524*(1+$F$5),F524))</f>
      </c>
      <c r="G523" s="333">
        <f>IF('Simulador - 1º Pilar'!$E$99="Sí",IF('Aportaciones Poliza'!$B$13&lt;'Aportaciones Poliza'!E523,0,F523*$B$8/12),F523*$B$8/12)</f>
      </c>
      <c r="H523" s="333">
        <f>$H$5*G523</f>
      </c>
      <c r="I523" s="333"/>
      <c r="J523" s="333">
        <f>(1+$M$5)^(D523/12)*(H523+IF(AND(F523=1,F524=0),$Q$4,0))</f>
      </c>
      <c r="K523" s="333">
        <f>(1+$M$5)^(D523/12)*(I523)</f>
      </c>
      <c r="L523" s="333">
        <f>K523+J523</f>
      </c>
      <c r="M523" s="170"/>
      <c r="N523" s="7"/>
      <c r="O523" s="1"/>
      <c r="P523" s="331">
        <f>D523</f>
      </c>
      <c r="Q523" s="169"/>
    </row>
    <row x14ac:dyDescent="0.25" r="524" customHeight="1" ht="18.75">
      <c r="A524" s="1"/>
      <c r="B524" s="7"/>
      <c r="C524" s="170"/>
      <c r="D524" s="331">
        <v>517</v>
      </c>
      <c r="E524" s="544">
        <f>+DATE(YEAR(E523),MONTH(E523)-1,DAY(E523))</f>
        <v>25569.041666666668</v>
      </c>
      <c r="F524" s="333">
        <f>IF(DATE(YEAR($B$6),MONTH($B$6)+1,DAY(1))=E524,1,IF(MONTH(E524)=1,F525*(1+$F$5),F525))</f>
      </c>
      <c r="G524" s="333">
        <f>IF('Simulador - 1º Pilar'!$E$99="Sí",IF('Aportaciones Poliza'!$B$13&lt;'Aportaciones Poliza'!E524,0,F524*$B$8/12),F524*$B$8/12)</f>
      </c>
      <c r="H524" s="333">
        <f>$H$5*G524</f>
      </c>
      <c r="I524" s="333"/>
      <c r="J524" s="333">
        <f>(1+$M$5)^(D524/12)*(H524+IF(AND(F524=1,F525=0),$Q$4,0))</f>
      </c>
      <c r="K524" s="333">
        <f>(1+$M$5)^(D524/12)*(I524)</f>
      </c>
      <c r="L524" s="333">
        <f>K524+J524</f>
      </c>
      <c r="M524" s="170"/>
      <c r="N524" s="7"/>
      <c r="O524" s="1"/>
      <c r="P524" s="331">
        <f>D524</f>
      </c>
      <c r="Q524" s="169"/>
    </row>
    <row x14ac:dyDescent="0.25" r="525" customHeight="1" ht="18.75">
      <c r="A525" s="1"/>
      <c r="B525" s="7"/>
      <c r="C525" s="170"/>
      <c r="D525" s="331">
        <v>518</v>
      </c>
      <c r="E525" s="544">
        <f>+DATE(YEAR(E524),MONTH(E524)-1,DAY(E524))</f>
        <v>25569.041666666668</v>
      </c>
      <c r="F525" s="333">
        <f>IF(DATE(YEAR($B$6),MONTH($B$6)+1,DAY(1))=E525,1,IF(MONTH(E525)=1,F526*(1+$F$5),F526))</f>
      </c>
      <c r="G525" s="333">
        <f>IF('Simulador - 1º Pilar'!$E$99="Sí",IF('Aportaciones Poliza'!$B$13&lt;'Aportaciones Poliza'!E525,0,F525*$B$8/12),F525*$B$8/12)</f>
      </c>
      <c r="H525" s="333">
        <f>$H$5*G525</f>
      </c>
      <c r="I525" s="333"/>
      <c r="J525" s="333">
        <f>(1+$M$5)^(D525/12)*(H525+IF(AND(F525=1,F526=0),$Q$4,0))</f>
      </c>
      <c r="K525" s="333">
        <f>(1+$M$5)^(D525/12)*(I525)</f>
      </c>
      <c r="L525" s="333">
        <f>K525+J525</f>
      </c>
      <c r="M525" s="170"/>
      <c r="N525" s="7"/>
      <c r="O525" s="1"/>
      <c r="P525" s="331">
        <f>D525</f>
      </c>
      <c r="Q525" s="169"/>
    </row>
    <row x14ac:dyDescent="0.25" r="526" customHeight="1" ht="18.75">
      <c r="A526" s="1"/>
      <c r="B526" s="7"/>
      <c r="C526" s="170"/>
      <c r="D526" s="331">
        <v>519</v>
      </c>
      <c r="E526" s="544">
        <f>+DATE(YEAR(E525),MONTH(E525)-1,DAY(E525))</f>
        <v>25569.041666666668</v>
      </c>
      <c r="F526" s="333">
        <f>IF(DATE(YEAR($B$6),MONTH($B$6)+1,DAY(1))=E526,1,IF(MONTH(E526)=1,F527*(1+$F$5),F527))</f>
      </c>
      <c r="G526" s="333">
        <f>IF('Simulador - 1º Pilar'!$E$99="Sí",IF('Aportaciones Poliza'!$B$13&lt;'Aportaciones Poliza'!E526,0,F526*$B$8/12),F526*$B$8/12)</f>
      </c>
      <c r="H526" s="333">
        <f>$H$5*G526</f>
      </c>
      <c r="I526" s="333"/>
      <c r="J526" s="333">
        <f>(1+$M$5)^(D526/12)*(H526+IF(AND(F526=1,F527=0),$Q$4,0))</f>
      </c>
      <c r="K526" s="333">
        <f>(1+$M$5)^(D526/12)*(I526)</f>
      </c>
      <c r="L526" s="333">
        <f>K526+J526</f>
      </c>
      <c r="M526" s="170"/>
      <c r="N526" s="7"/>
      <c r="O526" s="1"/>
      <c r="P526" s="331">
        <f>D526</f>
      </c>
      <c r="Q526" s="169"/>
    </row>
    <row x14ac:dyDescent="0.25" r="527" customHeight="1" ht="18.75">
      <c r="A527" s="1"/>
      <c r="B527" s="7"/>
      <c r="C527" s="170"/>
      <c r="D527" s="331">
        <v>520</v>
      </c>
      <c r="E527" s="544">
        <f>+DATE(YEAR(E526),MONTH(E526)-1,DAY(E526))</f>
        <v>25569.041666666668</v>
      </c>
      <c r="F527" s="333">
        <f>IF(DATE(YEAR($B$6),MONTH($B$6)+1,DAY(1))=E527,1,IF(MONTH(E527)=1,F528*(1+$F$5),F528))</f>
      </c>
      <c r="G527" s="333">
        <f>IF('Simulador - 1º Pilar'!$E$99="Sí",IF('Aportaciones Poliza'!$B$13&lt;'Aportaciones Poliza'!E527,0,F527*$B$8/12),F527*$B$8/12)</f>
      </c>
      <c r="H527" s="333">
        <f>$H$5*G527</f>
      </c>
      <c r="I527" s="333"/>
      <c r="J527" s="333">
        <f>(1+$M$5)^(D527/12)*(H527+IF(AND(F527=1,F528=0),$Q$4,0))</f>
      </c>
      <c r="K527" s="333">
        <f>(1+$M$5)^(D527/12)*(I527)</f>
      </c>
      <c r="L527" s="333">
        <f>K527+J527</f>
      </c>
      <c r="M527" s="170"/>
      <c r="N527" s="7"/>
      <c r="O527" s="1"/>
      <c r="P527" s="331">
        <f>D527</f>
      </c>
      <c r="Q527" s="169"/>
    </row>
    <row x14ac:dyDescent="0.25" r="528" customHeight="1" ht="18.75">
      <c r="A528" s="1"/>
      <c r="B528" s="7"/>
      <c r="C528" s="170"/>
      <c r="D528" s="331">
        <v>521</v>
      </c>
      <c r="E528" s="544">
        <f>+DATE(YEAR(E527),MONTH(E527)-1,DAY(E527))</f>
        <v>25569.041666666668</v>
      </c>
      <c r="F528" s="333">
        <f>IF(DATE(YEAR($B$6),MONTH($B$6)+1,DAY(1))=E528,1,IF(MONTH(E528)=1,F529*(1+$F$5),F529))</f>
      </c>
      <c r="G528" s="333">
        <f>IF('Simulador - 1º Pilar'!$E$99="Sí",IF('Aportaciones Poliza'!$B$13&lt;'Aportaciones Poliza'!E528,0,F528*$B$8/12),F528*$B$8/12)</f>
      </c>
      <c r="H528" s="333">
        <f>$H$5*G528</f>
      </c>
      <c r="I528" s="333"/>
      <c r="J528" s="333">
        <f>(1+$M$5)^(D528/12)*(H528+IF(AND(F528=1,F529=0),$Q$4,0))</f>
      </c>
      <c r="K528" s="333">
        <f>(1+$M$5)^(D528/12)*(I528)</f>
      </c>
      <c r="L528" s="333">
        <f>K528+J528</f>
      </c>
      <c r="M528" s="170"/>
      <c r="N528" s="7"/>
      <c r="O528" s="1"/>
      <c r="P528" s="331">
        <f>D528</f>
      </c>
      <c r="Q528" s="169"/>
    </row>
    <row x14ac:dyDescent="0.25" r="529" customHeight="1" ht="18.75">
      <c r="A529" s="1"/>
      <c r="B529" s="7"/>
      <c r="C529" s="170"/>
      <c r="D529" s="331">
        <v>522</v>
      </c>
      <c r="E529" s="544">
        <f>+DATE(YEAR(E528),MONTH(E528)-1,DAY(E528))</f>
        <v>25569.041666666668</v>
      </c>
      <c r="F529" s="333">
        <f>IF(DATE(YEAR($B$6),MONTH($B$6)+1,DAY(1))=E529,1,IF(MONTH(E529)=1,F530*(1+$F$5),F530))</f>
      </c>
      <c r="G529" s="333">
        <f>IF('Simulador - 1º Pilar'!$E$99="Sí",IF('Aportaciones Poliza'!$B$13&lt;'Aportaciones Poliza'!E529,0,F529*$B$8/12),F529*$B$8/12)</f>
      </c>
      <c r="H529" s="333">
        <f>$H$5*G529</f>
      </c>
      <c r="I529" s="333"/>
      <c r="J529" s="333">
        <f>(1+$M$5)^(D529/12)*(H529+IF(AND(F529=1,F530=0),$Q$4,0))</f>
      </c>
      <c r="K529" s="333">
        <f>(1+$M$5)^(D529/12)*(I529)</f>
      </c>
      <c r="L529" s="333">
        <f>K529+J529</f>
      </c>
      <c r="M529" s="170"/>
      <c r="N529" s="7"/>
      <c r="O529" s="1"/>
      <c r="P529" s="331">
        <f>D529</f>
      </c>
      <c r="Q529" s="169"/>
    </row>
    <row x14ac:dyDescent="0.25" r="530" customHeight="1" ht="18.75">
      <c r="A530" s="1"/>
      <c r="B530" s="7"/>
      <c r="C530" s="170"/>
      <c r="D530" s="331">
        <v>523</v>
      </c>
      <c r="E530" s="544">
        <f>+DATE(YEAR(E529),MONTH(E529)-1,DAY(E529))</f>
        <v>25569.041666666668</v>
      </c>
      <c r="F530" s="333">
        <f>IF(DATE(YEAR($B$6),MONTH($B$6)+1,DAY(1))=E530,1,IF(MONTH(E530)=1,F531*(1+$F$5),F531))</f>
      </c>
      <c r="G530" s="333">
        <f>IF('Simulador - 1º Pilar'!$E$99="Sí",IF('Aportaciones Poliza'!$B$13&lt;'Aportaciones Poliza'!E530,0,F530*$B$8/12),F530*$B$8/12)</f>
      </c>
      <c r="H530" s="333">
        <f>$H$5*G530</f>
      </c>
      <c r="I530" s="333"/>
      <c r="J530" s="333">
        <f>(1+$M$5)^(D530/12)*(H530+IF(AND(F530=1,F531=0),$Q$4,0))</f>
      </c>
      <c r="K530" s="333">
        <f>(1+$M$5)^(D530/12)*(I530)</f>
      </c>
      <c r="L530" s="333">
        <f>K530+J530</f>
      </c>
      <c r="M530" s="170"/>
      <c r="N530" s="7"/>
      <c r="O530" s="1"/>
      <c r="P530" s="331">
        <f>D530</f>
      </c>
      <c r="Q530" s="169"/>
    </row>
    <row x14ac:dyDescent="0.25" r="531" customHeight="1" ht="18.75">
      <c r="A531" s="1"/>
      <c r="B531" s="7"/>
      <c r="C531" s="170"/>
      <c r="D531" s="331">
        <v>524</v>
      </c>
      <c r="E531" s="544">
        <f>+DATE(YEAR(E530),MONTH(E530)-1,DAY(E530))</f>
        <v>25569.041666666668</v>
      </c>
      <c r="F531" s="333">
        <f>IF(DATE(YEAR($B$6),MONTH($B$6)+1,DAY(1))=E531,1,IF(MONTH(E531)=1,F532*(1+$F$5),F532))</f>
      </c>
      <c r="G531" s="333">
        <f>IF('Simulador - 1º Pilar'!$E$99="Sí",IF('Aportaciones Poliza'!$B$13&lt;'Aportaciones Poliza'!E531,0,F531*$B$8/12),F531*$B$8/12)</f>
      </c>
      <c r="H531" s="333">
        <f>$H$5*G531</f>
      </c>
      <c r="I531" s="333"/>
      <c r="J531" s="333">
        <f>(1+$M$5)^(D531/12)*(H531+IF(AND(F531=1,F532=0),$Q$4,0))</f>
      </c>
      <c r="K531" s="333">
        <f>(1+$M$5)^(D531/12)*(I531)</f>
      </c>
      <c r="L531" s="333">
        <f>K531+J531</f>
      </c>
      <c r="M531" s="170"/>
      <c r="N531" s="7"/>
      <c r="O531" s="1"/>
      <c r="P531" s="331">
        <f>D531</f>
      </c>
      <c r="Q531" s="169"/>
    </row>
    <row x14ac:dyDescent="0.25" r="532" customHeight="1" ht="18.75">
      <c r="A532" s="1"/>
      <c r="B532" s="7"/>
      <c r="C532" s="170"/>
      <c r="D532" s="331">
        <v>525</v>
      </c>
      <c r="E532" s="544">
        <f>+DATE(YEAR(E531),MONTH(E531)-1,DAY(E531))</f>
        <v>25569.041666666668</v>
      </c>
      <c r="F532" s="333">
        <f>IF(DATE(YEAR($B$6),MONTH($B$6)+1,DAY(1))=E532,1,IF(MONTH(E532)=1,F533*(1+$F$5),F533))</f>
      </c>
      <c r="G532" s="333">
        <f>IF('Simulador - 1º Pilar'!$E$99="Sí",IF('Aportaciones Poliza'!$B$13&lt;'Aportaciones Poliza'!E532,0,F532*$B$8/12),F532*$B$8/12)</f>
      </c>
      <c r="H532" s="333">
        <f>$H$5*G532</f>
      </c>
      <c r="I532" s="333"/>
      <c r="J532" s="333">
        <f>(1+$M$5)^(D532/12)*(H532+IF(AND(F532=1,F533=0),$Q$4,0))</f>
      </c>
      <c r="K532" s="333">
        <f>(1+$M$5)^(D532/12)*(I532)</f>
      </c>
      <c r="L532" s="333">
        <f>K532+J532</f>
      </c>
      <c r="M532" s="170"/>
      <c r="N532" s="7"/>
      <c r="O532" s="1"/>
      <c r="P532" s="331">
        <f>D532</f>
      </c>
      <c r="Q532" s="169"/>
    </row>
    <row x14ac:dyDescent="0.25" r="533" customHeight="1" ht="18.75">
      <c r="A533" s="1"/>
      <c r="B533" s="7"/>
      <c r="C533" s="170"/>
      <c r="D533" s="331">
        <v>526</v>
      </c>
      <c r="E533" s="544">
        <f>+DATE(YEAR(E532),MONTH(E532)-1,DAY(E532))</f>
        <v>25569.041666666668</v>
      </c>
      <c r="F533" s="333">
        <f>IF(DATE(YEAR($B$6),MONTH($B$6)+1,DAY(1))=E533,1,IF(MONTH(E533)=1,F534*(1+$F$5),F534))</f>
      </c>
      <c r="G533" s="333">
        <f>IF('Simulador - 1º Pilar'!$E$99="Sí",IF('Aportaciones Poliza'!$B$13&lt;'Aportaciones Poliza'!E533,0,F533*$B$8/12),F533*$B$8/12)</f>
      </c>
      <c r="H533" s="333">
        <f>$H$5*G533</f>
      </c>
      <c r="I533" s="333"/>
      <c r="J533" s="333">
        <f>(1+$M$5)^(D533/12)*(H533+IF(AND(F533=1,F534=0),$Q$4,0))</f>
      </c>
      <c r="K533" s="333">
        <f>(1+$M$5)^(D533/12)*(I533)</f>
      </c>
      <c r="L533" s="333">
        <f>K533+J533</f>
      </c>
      <c r="M533" s="170"/>
      <c r="N533" s="7"/>
      <c r="O533" s="1"/>
      <c r="P533" s="331">
        <f>D533</f>
      </c>
      <c r="Q533" s="169"/>
    </row>
    <row x14ac:dyDescent="0.25" r="534" customHeight="1" ht="18.75">
      <c r="A534" s="1"/>
      <c r="B534" s="7"/>
      <c r="C534" s="170"/>
      <c r="D534" s="331">
        <v>527</v>
      </c>
      <c r="E534" s="544">
        <f>+DATE(YEAR(E533),MONTH(E533)-1,DAY(E533))</f>
        <v>25569.041666666668</v>
      </c>
      <c r="F534" s="333">
        <f>IF(DATE(YEAR($B$6),MONTH($B$6)+1,DAY(1))=E534,1,IF(MONTH(E534)=1,F535*(1+$F$5),F535))</f>
      </c>
      <c r="G534" s="333">
        <f>IF('Simulador - 1º Pilar'!$E$99="Sí",IF('Aportaciones Poliza'!$B$13&lt;'Aportaciones Poliza'!E534,0,F534*$B$8/12),F534*$B$8/12)</f>
      </c>
      <c r="H534" s="333">
        <f>$H$5*G534</f>
      </c>
      <c r="I534" s="333"/>
      <c r="J534" s="333">
        <f>(1+$M$5)^(D534/12)*(H534+IF(AND(F534=1,F535=0),$Q$4,0))</f>
      </c>
      <c r="K534" s="333">
        <f>(1+$M$5)^(D534/12)*(I534)</f>
      </c>
      <c r="L534" s="333">
        <f>K534+J534</f>
      </c>
      <c r="M534" s="170"/>
      <c r="N534" s="7"/>
      <c r="O534" s="1"/>
      <c r="P534" s="331">
        <f>D534</f>
      </c>
      <c r="Q534" s="169"/>
    </row>
    <row x14ac:dyDescent="0.25" r="535" customHeight="1" ht="18.75">
      <c r="A535" s="1"/>
      <c r="B535" s="7"/>
      <c r="C535" s="170"/>
      <c r="D535" s="331">
        <v>528</v>
      </c>
      <c r="E535" s="544">
        <f>+DATE(YEAR(E534),MONTH(E534)-1,DAY(E534))</f>
        <v>25569.041666666668</v>
      </c>
      <c r="F535" s="333">
        <f>IF(DATE(YEAR($B$6),MONTH($B$6)+1,DAY(1))=E535,1,IF(MONTH(E535)=1,F536*(1+$F$5),F536))</f>
      </c>
      <c r="G535" s="333">
        <f>IF('Simulador - 1º Pilar'!$E$99="Sí",IF('Aportaciones Poliza'!$B$13&lt;'Aportaciones Poliza'!E535,0,F535*$B$8/12),F535*$B$8/12)</f>
      </c>
      <c r="H535" s="333">
        <f>$H$5*G535</f>
      </c>
      <c r="I535" s="333"/>
      <c r="J535" s="333">
        <f>(1+$M$5)^(D535/12)*(H535+IF(AND(F535=1,F536=0),$Q$4,0))</f>
      </c>
      <c r="K535" s="333">
        <f>(1+$M$5)^(D535/12)*(I535)</f>
      </c>
      <c r="L535" s="333">
        <f>K535+J535</f>
      </c>
      <c r="M535" s="170"/>
      <c r="N535" s="7"/>
      <c r="O535" s="1"/>
      <c r="P535" s="331">
        <f>D535</f>
      </c>
      <c r="Q535" s="169"/>
    </row>
    <row x14ac:dyDescent="0.25" r="536" customHeight="1" ht="18.75">
      <c r="A536" s="1"/>
      <c r="B536" s="7"/>
      <c r="C536" s="170"/>
      <c r="D536" s="331">
        <v>529</v>
      </c>
      <c r="E536" s="544">
        <f>+DATE(YEAR(E535),MONTH(E535)-1,DAY(E535))</f>
        <v>25569.041666666668</v>
      </c>
      <c r="F536" s="333">
        <f>IF(DATE(YEAR($B$6),MONTH($B$6)+1,DAY(1))=E536,1,IF(MONTH(E536)=1,F537*(1+$F$5),F537))</f>
      </c>
      <c r="G536" s="333">
        <f>IF('Simulador - 1º Pilar'!$E$99="Sí",IF('Aportaciones Poliza'!$B$13&lt;'Aportaciones Poliza'!E536,0,F536*$B$8/12),F536*$B$8/12)</f>
      </c>
      <c r="H536" s="333">
        <f>$H$5*G536</f>
      </c>
      <c r="I536" s="333"/>
      <c r="J536" s="333">
        <f>(1+$M$5)^(D536/12)*(H536+IF(AND(F536=1,F537=0),$Q$4,0))</f>
      </c>
      <c r="K536" s="333">
        <f>(1+$M$5)^(D536/12)*(I536)</f>
      </c>
      <c r="L536" s="333">
        <f>K536+J536</f>
      </c>
      <c r="M536" s="170"/>
      <c r="N536" s="7"/>
      <c r="O536" s="1"/>
      <c r="P536" s="331">
        <f>D536</f>
      </c>
      <c r="Q536" s="169"/>
    </row>
    <row x14ac:dyDescent="0.25" r="537" customHeight="1" ht="18.75">
      <c r="A537" s="1"/>
      <c r="B537" s="7"/>
      <c r="C537" s="170"/>
      <c r="D537" s="331">
        <v>530</v>
      </c>
      <c r="E537" s="544">
        <f>+DATE(YEAR(E536),MONTH(E536)-1,DAY(E536))</f>
        <v>25569.041666666668</v>
      </c>
      <c r="F537" s="333">
        <f>IF(DATE(YEAR($B$6),MONTH($B$6)+1,DAY(1))=E537,1,IF(MONTH(E537)=1,F538*(1+$F$5),F538))</f>
      </c>
      <c r="G537" s="333">
        <f>IF('Simulador - 1º Pilar'!$E$99="Sí",IF('Aportaciones Poliza'!$B$13&lt;'Aportaciones Poliza'!E537,0,F537*$B$8/12),F537*$B$8/12)</f>
      </c>
      <c r="H537" s="333">
        <f>$H$5*G537</f>
      </c>
      <c r="I537" s="333"/>
      <c r="J537" s="333">
        <f>(1+$M$5)^(D537/12)*(H537+IF(AND(F537=1,F538=0),$Q$4,0))</f>
      </c>
      <c r="K537" s="333">
        <f>(1+$M$5)^(D537/12)*(I537)</f>
      </c>
      <c r="L537" s="333">
        <f>K537+J537</f>
      </c>
      <c r="M537" s="170"/>
      <c r="N537" s="7"/>
      <c r="O537" s="1"/>
      <c r="P537" s="331">
        <f>D537</f>
      </c>
      <c r="Q537" s="169"/>
    </row>
    <row x14ac:dyDescent="0.25" r="538" customHeight="1" ht="18.75">
      <c r="A538" s="1"/>
      <c r="B538" s="7"/>
      <c r="C538" s="170"/>
      <c r="D538" s="331">
        <v>531</v>
      </c>
      <c r="E538" s="544">
        <f>+DATE(YEAR(E537),MONTH(E537)-1,DAY(E537))</f>
        <v>25569.041666666668</v>
      </c>
      <c r="F538" s="333">
        <f>IF(DATE(YEAR($B$6),MONTH($B$6)+1,DAY(1))=E538,1,IF(MONTH(E538)=1,F539*(1+$F$5),F539))</f>
      </c>
      <c r="G538" s="333">
        <f>IF('Simulador - 1º Pilar'!$E$99="Sí",IF('Aportaciones Poliza'!$B$13&lt;'Aportaciones Poliza'!E538,0,F538*$B$8/12),F538*$B$8/12)</f>
      </c>
      <c r="H538" s="333">
        <f>$H$5*G538</f>
      </c>
      <c r="I538" s="333"/>
      <c r="J538" s="333">
        <f>(1+$M$5)^(D538/12)*(H538+IF(AND(F538=1,F539=0),$Q$4,0))</f>
      </c>
      <c r="K538" s="333">
        <f>(1+$M$5)^(D538/12)*(I538)</f>
      </c>
      <c r="L538" s="333">
        <f>K538+J538</f>
      </c>
      <c r="M538" s="170"/>
      <c r="N538" s="7"/>
      <c r="O538" s="1"/>
      <c r="P538" s="331">
        <f>D538</f>
      </c>
      <c r="Q538" s="169"/>
    </row>
    <row x14ac:dyDescent="0.25" r="539" customHeight="1" ht="18.75">
      <c r="A539" s="1"/>
      <c r="B539" s="7"/>
      <c r="C539" s="170"/>
      <c r="D539" s="331">
        <v>532</v>
      </c>
      <c r="E539" s="544">
        <f>+DATE(YEAR(E538),MONTH(E538)-1,DAY(E538))</f>
        <v>25569.041666666668</v>
      </c>
      <c r="F539" s="333">
        <f>IF(DATE(YEAR($B$6),MONTH($B$6)+1,DAY(1))=E539,1,IF(MONTH(E539)=1,F540*(1+$F$5),F540))</f>
      </c>
      <c r="G539" s="333">
        <f>IF('Simulador - 1º Pilar'!$E$99="Sí",IF('Aportaciones Poliza'!$B$13&lt;'Aportaciones Poliza'!E539,0,F539*$B$8/12),F539*$B$8/12)</f>
      </c>
      <c r="H539" s="333">
        <f>$H$5*G539</f>
      </c>
      <c r="I539" s="333"/>
      <c r="J539" s="333">
        <f>(1+$M$5)^(D539/12)*(H539+IF(AND(F539=1,F540=0),$Q$4,0))</f>
      </c>
      <c r="K539" s="333">
        <f>(1+$M$5)^(D539/12)*(I539)</f>
      </c>
      <c r="L539" s="333">
        <f>K539+J539</f>
      </c>
      <c r="M539" s="170"/>
      <c r="N539" s="7"/>
      <c r="O539" s="1"/>
      <c r="P539" s="331">
        <f>D539</f>
      </c>
      <c r="Q539" s="169"/>
    </row>
    <row x14ac:dyDescent="0.25" r="540" customHeight="1" ht="18.75">
      <c r="A540" s="1"/>
      <c r="B540" s="7"/>
      <c r="C540" s="170"/>
      <c r="D540" s="331">
        <v>533</v>
      </c>
      <c r="E540" s="544">
        <f>+DATE(YEAR(E539),MONTH(E539)-1,DAY(E539))</f>
        <v>25569.041666666668</v>
      </c>
      <c r="F540" s="333">
        <f>IF(DATE(YEAR($B$6),MONTH($B$6)+1,DAY(1))=E540,1,IF(MONTH(E540)=1,F541*(1+$F$5),F541))</f>
      </c>
      <c r="G540" s="333">
        <f>IF('Simulador - 1º Pilar'!$E$99="Sí",IF('Aportaciones Poliza'!$B$13&lt;'Aportaciones Poliza'!E540,0,F540*$B$8/12),F540*$B$8/12)</f>
      </c>
      <c r="H540" s="333">
        <f>$H$5*G540</f>
      </c>
      <c r="I540" s="333"/>
      <c r="J540" s="333">
        <f>(1+$M$5)^(D540/12)*(H540+IF(AND(F540=1,F541=0),$Q$4,0))</f>
      </c>
      <c r="K540" s="333">
        <f>(1+$M$5)^(D540/12)*(I540)</f>
      </c>
      <c r="L540" s="333">
        <f>K540+J540</f>
      </c>
      <c r="M540" s="170"/>
      <c r="N540" s="7"/>
      <c r="O540" s="1"/>
      <c r="P540" s="331">
        <f>D540</f>
      </c>
      <c r="Q540" s="169"/>
    </row>
    <row x14ac:dyDescent="0.25" r="541" customHeight="1" ht="18.75">
      <c r="A541" s="1"/>
      <c r="B541" s="7"/>
      <c r="C541" s="170"/>
      <c r="D541" s="331">
        <v>534</v>
      </c>
      <c r="E541" s="544">
        <f>+DATE(YEAR(E540),MONTH(E540)-1,DAY(E540))</f>
        <v>25569.041666666668</v>
      </c>
      <c r="F541" s="333">
        <f>IF(DATE(YEAR($B$6),MONTH($B$6)+1,DAY(1))=E541,1,IF(MONTH(E541)=1,F542*(1+$F$5),F542))</f>
      </c>
      <c r="G541" s="333">
        <f>IF('Simulador - 1º Pilar'!$E$99="Sí",IF('Aportaciones Poliza'!$B$13&lt;'Aportaciones Poliza'!E541,0,F541*$B$8/12),F541*$B$8/12)</f>
      </c>
      <c r="H541" s="333">
        <f>$H$5*G541</f>
      </c>
      <c r="I541" s="333"/>
      <c r="J541" s="333">
        <f>(1+$M$5)^(D541/12)*(H541+IF(AND(F541=1,F542=0),$Q$4,0))</f>
      </c>
      <c r="K541" s="333">
        <f>(1+$M$5)^(D541/12)*(I541)</f>
      </c>
      <c r="L541" s="333">
        <f>K541+J541</f>
      </c>
      <c r="M541" s="170"/>
      <c r="N541" s="7"/>
      <c r="O541" s="1"/>
      <c r="P541" s="331">
        <f>D541</f>
      </c>
      <c r="Q541" s="169"/>
    </row>
    <row x14ac:dyDescent="0.25" r="542" customHeight="1" ht="18.75">
      <c r="A542" s="1"/>
      <c r="B542" s="7"/>
      <c r="C542" s="170"/>
      <c r="D542" s="331">
        <v>535</v>
      </c>
      <c r="E542" s="544">
        <f>+DATE(YEAR(E541),MONTH(E541)-1,DAY(E541))</f>
        <v>25569.041666666668</v>
      </c>
      <c r="F542" s="333">
        <f>IF(DATE(YEAR($B$6),MONTH($B$6)+1,DAY(1))=E542,1,IF(MONTH(E542)=1,F543*(1+$F$5),F543))</f>
      </c>
      <c r="G542" s="333">
        <f>IF('Simulador - 1º Pilar'!$E$99="Sí",IF('Aportaciones Poliza'!$B$13&lt;'Aportaciones Poliza'!E542,0,F542*$B$8/12),F542*$B$8/12)</f>
      </c>
      <c r="H542" s="333">
        <f>$H$5*G542</f>
      </c>
      <c r="I542" s="333"/>
      <c r="J542" s="333">
        <f>(1+$M$5)^(D542/12)*(H542+IF(AND(F542=1,F543=0),$Q$4,0))</f>
      </c>
      <c r="K542" s="333">
        <f>(1+$M$5)^(D542/12)*(I542)</f>
      </c>
      <c r="L542" s="333">
        <f>K542+J542</f>
      </c>
      <c r="M542" s="170"/>
      <c r="N542" s="7"/>
      <c r="O542" s="1"/>
      <c r="P542" s="331">
        <f>D542</f>
      </c>
      <c r="Q542" s="169"/>
    </row>
    <row x14ac:dyDescent="0.25" r="543" customHeight="1" ht="18.75">
      <c r="A543" s="1"/>
      <c r="B543" s="7"/>
      <c r="C543" s="170"/>
      <c r="D543" s="331">
        <v>536</v>
      </c>
      <c r="E543" s="544">
        <f>+DATE(YEAR(E542),MONTH(E542)-1,DAY(E542))</f>
        <v>25569.041666666668</v>
      </c>
      <c r="F543" s="333">
        <f>IF(DATE(YEAR($B$6),MONTH($B$6)+1,DAY(1))=E543,1,IF(MONTH(E543)=1,F544*(1+$F$5),F544))</f>
      </c>
      <c r="G543" s="333">
        <f>IF('Simulador - 1º Pilar'!$E$99="Sí",IF('Aportaciones Poliza'!$B$13&lt;'Aportaciones Poliza'!E543,0,F543*$B$8/12),F543*$B$8/12)</f>
      </c>
      <c r="H543" s="333">
        <f>$H$5*G543</f>
      </c>
      <c r="I543" s="333"/>
      <c r="J543" s="333">
        <f>(1+$M$5)^(D543/12)*(H543+IF(AND(F543=1,F544=0),$Q$4,0))</f>
      </c>
      <c r="K543" s="333">
        <f>(1+$M$5)^(D543/12)*(I543)</f>
      </c>
      <c r="L543" s="333">
        <f>K543+J543</f>
      </c>
      <c r="M543" s="170"/>
      <c r="N543" s="7"/>
      <c r="O543" s="1"/>
      <c r="P543" s="331">
        <f>D543</f>
      </c>
      <c r="Q543" s="169"/>
    </row>
    <row x14ac:dyDescent="0.25" r="544" customHeight="1" ht="18.75">
      <c r="A544" s="1"/>
      <c r="B544" s="7"/>
      <c r="C544" s="170"/>
      <c r="D544" s="331">
        <v>537</v>
      </c>
      <c r="E544" s="544">
        <f>+DATE(YEAR(E543),MONTH(E543)-1,DAY(E543))</f>
        <v>25569.041666666668</v>
      </c>
      <c r="F544" s="333">
        <f>IF(DATE(YEAR($B$6),MONTH($B$6)+1,DAY(1))=E544,1,IF(MONTH(E544)=1,F545*(1+$F$5),F545))</f>
      </c>
      <c r="G544" s="333">
        <f>IF('Simulador - 1º Pilar'!$E$99="Sí",IF('Aportaciones Poliza'!$B$13&lt;'Aportaciones Poliza'!E544,0,F544*$B$8/12),F544*$B$8/12)</f>
      </c>
      <c r="H544" s="333">
        <f>$H$5*G544</f>
      </c>
      <c r="I544" s="333"/>
      <c r="J544" s="333">
        <f>(1+$M$5)^(D544/12)*(H544+IF(AND(F544=1,F545=0),$Q$4,0))</f>
      </c>
      <c r="K544" s="333">
        <f>(1+$M$5)^(D544/12)*(I544)</f>
      </c>
      <c r="L544" s="333">
        <f>K544+J544</f>
      </c>
      <c r="M544" s="170"/>
      <c r="N544" s="7"/>
      <c r="O544" s="1"/>
      <c r="P544" s="331">
        <f>D544</f>
      </c>
      <c r="Q544" s="169"/>
    </row>
    <row x14ac:dyDescent="0.25" r="545" customHeight="1" ht="18.75">
      <c r="A545" s="1"/>
      <c r="B545" s="7"/>
      <c r="C545" s="170"/>
      <c r="D545" s="331">
        <v>538</v>
      </c>
      <c r="E545" s="544">
        <f>+DATE(YEAR(E544),MONTH(E544)-1,DAY(E544))</f>
        <v>25569.041666666668</v>
      </c>
      <c r="F545" s="333">
        <f>IF(DATE(YEAR($B$6),MONTH($B$6)+1,DAY(1))=E545,1,IF(MONTH(E545)=1,F546*(1+$F$5),F546))</f>
      </c>
      <c r="G545" s="333">
        <f>IF('Simulador - 1º Pilar'!$E$99="Sí",IF('Aportaciones Poliza'!$B$13&lt;'Aportaciones Poliza'!E545,0,F545*$B$8/12),F545*$B$8/12)</f>
      </c>
      <c r="H545" s="333">
        <f>$H$5*G545</f>
      </c>
      <c r="I545" s="333"/>
      <c r="J545" s="333">
        <f>(1+$M$5)^(D545/12)*(H545+IF(AND(F545=1,F546=0),$Q$4,0))</f>
      </c>
      <c r="K545" s="333">
        <f>(1+$M$5)^(D545/12)*(I545)</f>
      </c>
      <c r="L545" s="333">
        <f>K545+J545</f>
      </c>
      <c r="M545" s="170"/>
      <c r="N545" s="7"/>
      <c r="O545" s="1"/>
      <c r="P545" s="331">
        <f>D545</f>
      </c>
      <c r="Q545" s="169"/>
    </row>
    <row x14ac:dyDescent="0.25" r="546" customHeight="1" ht="18.75">
      <c r="A546" s="1"/>
      <c r="B546" s="7"/>
      <c r="C546" s="170"/>
      <c r="D546" s="331">
        <v>539</v>
      </c>
      <c r="E546" s="544">
        <f>+DATE(YEAR(E545),MONTH(E545)-1,DAY(E545))</f>
        <v>25569.041666666668</v>
      </c>
      <c r="F546" s="333">
        <f>IF(DATE(YEAR($B$6),MONTH($B$6)+1,DAY(1))=E546,1,IF(MONTH(E546)=1,F547*(1+$F$5),F547))</f>
      </c>
      <c r="G546" s="333">
        <f>IF('Simulador - 1º Pilar'!$E$99="Sí",IF('Aportaciones Poliza'!$B$13&lt;'Aportaciones Poliza'!E546,0,F546*$B$8/12),F546*$B$8/12)</f>
      </c>
      <c r="H546" s="333">
        <f>$H$5*G546</f>
      </c>
      <c r="I546" s="333"/>
      <c r="J546" s="333">
        <f>(1+$M$5)^(D546/12)*(H546+IF(AND(F546=1,F547=0),$Q$4,0))</f>
      </c>
      <c r="K546" s="333">
        <f>(1+$M$5)^(D546/12)*(I546)</f>
      </c>
      <c r="L546" s="333">
        <f>K546+J546</f>
      </c>
      <c r="M546" s="170"/>
      <c r="N546" s="7"/>
      <c r="O546" s="1"/>
      <c r="P546" s="331">
        <f>D546</f>
      </c>
      <c r="Q546" s="169"/>
    </row>
    <row x14ac:dyDescent="0.25" r="547" customHeight="1" ht="18.75">
      <c r="A547" s="1"/>
      <c r="B547" s="7"/>
      <c r="C547" s="170"/>
      <c r="D547" s="331">
        <v>540</v>
      </c>
      <c r="E547" s="544">
        <f>+DATE(YEAR(E546),MONTH(E546)-1,DAY(E546))</f>
        <v>25569.041666666668</v>
      </c>
      <c r="F547" s="333">
        <f>IF(DATE(YEAR($B$6),MONTH($B$6)+1,DAY(1))=E547,1,IF(MONTH(E547)=1,F548*(1+$F$5),F548))</f>
      </c>
      <c r="G547" s="333">
        <f>IF('Simulador - 1º Pilar'!$E$99="Sí",IF('Aportaciones Poliza'!$B$13&lt;'Aportaciones Poliza'!E547,0,F547*$B$8/12),F547*$B$8/12)</f>
      </c>
      <c r="H547" s="333">
        <f>$H$5*G547</f>
      </c>
      <c r="I547" s="333"/>
      <c r="J547" s="333">
        <f>(1+$M$5)^(D547/12)*(H547+IF(AND(F547=1,F548=0),$Q$4,0))</f>
      </c>
      <c r="K547" s="333">
        <f>(1+$M$5)^(D547/12)*(I547)</f>
      </c>
      <c r="L547" s="333">
        <f>K547+J547</f>
      </c>
      <c r="M547" s="170"/>
      <c r="N547" s="7"/>
      <c r="O547" s="1"/>
      <c r="P547" s="331">
        <f>D547</f>
      </c>
      <c r="Q547" s="169"/>
    </row>
    <row x14ac:dyDescent="0.25" r="548" customHeight="1" ht="18.75">
      <c r="A548" s="1"/>
      <c r="B548" s="7"/>
      <c r="C548" s="170"/>
      <c r="D548" s="331">
        <v>541</v>
      </c>
      <c r="E548" s="544">
        <f>+DATE(YEAR(E547),MONTH(E547)-1,DAY(E547))</f>
        <v>25569.041666666668</v>
      </c>
      <c r="F548" s="333">
        <f>IF(DATE(YEAR($B$6),MONTH($B$6)+1,DAY(1))=E548,1,IF(MONTH(E548)=1,F549*(1+$F$5),F549))</f>
      </c>
      <c r="G548" s="333">
        <f>IF('Simulador - 1º Pilar'!$E$99="Sí",IF('Aportaciones Poliza'!$B$13&lt;'Aportaciones Poliza'!E548,0,F548*$B$8/12),F548*$B$8/12)</f>
      </c>
      <c r="H548" s="333">
        <f>$H$5*G548</f>
      </c>
      <c r="I548" s="333"/>
      <c r="J548" s="333">
        <f>(1+$M$5)^(D548/12)*(H548+IF(AND(F548=1,F549=0),$Q$4,0))</f>
      </c>
      <c r="K548" s="333">
        <f>(1+$M$5)^(D548/12)*(I548)</f>
      </c>
      <c r="L548" s="333">
        <f>K548+J548</f>
      </c>
      <c r="M548" s="170"/>
      <c r="N548" s="7"/>
      <c r="O548" s="1"/>
      <c r="P548" s="331">
        <f>D548</f>
      </c>
      <c r="Q548" s="169"/>
    </row>
    <row x14ac:dyDescent="0.25" r="549" customHeight="1" ht="18.75">
      <c r="A549" s="1"/>
      <c r="B549" s="7"/>
      <c r="C549" s="170"/>
      <c r="D549" s="331">
        <v>542</v>
      </c>
      <c r="E549" s="544">
        <f>+DATE(YEAR(E548),MONTH(E548)-1,DAY(E548))</f>
        <v>25569.041666666668</v>
      </c>
      <c r="F549" s="333">
        <f>IF(DATE(YEAR($B$6),MONTH($B$6)+1,DAY(1))=E549,1,IF(MONTH(E549)=1,F550*(1+$F$5),F550))</f>
      </c>
      <c r="G549" s="333">
        <f>IF('Simulador - 1º Pilar'!$E$99="Sí",IF('Aportaciones Poliza'!$B$13&lt;'Aportaciones Poliza'!E549,0,F549*$B$8/12),F549*$B$8/12)</f>
      </c>
      <c r="H549" s="333">
        <f>$H$5*G549</f>
      </c>
      <c r="I549" s="333"/>
      <c r="J549" s="333">
        <f>(1+$M$5)^(D549/12)*(H549+IF(AND(F549=1,F550=0),$Q$4,0))</f>
      </c>
      <c r="K549" s="333">
        <f>(1+$M$5)^(D549/12)*(I549)</f>
      </c>
      <c r="L549" s="333">
        <f>K549+J549</f>
      </c>
      <c r="M549" s="170"/>
      <c r="N549" s="7"/>
      <c r="O549" s="1"/>
      <c r="P549" s="331">
        <f>D549</f>
      </c>
      <c r="Q549" s="169"/>
    </row>
    <row x14ac:dyDescent="0.25" r="550" customHeight="1" ht="18.75">
      <c r="A550" s="1"/>
      <c r="B550" s="7"/>
      <c r="C550" s="170"/>
      <c r="D550" s="331">
        <v>543</v>
      </c>
      <c r="E550" s="544">
        <f>+DATE(YEAR(E549),MONTH(E549)-1,DAY(E549))</f>
        <v>25569.041666666668</v>
      </c>
      <c r="F550" s="333">
        <f>IF(DATE(YEAR($B$6),MONTH($B$6)+1,DAY(1))=E550,1,IF(MONTH(E550)=1,F551*(1+$F$5),F551))</f>
      </c>
      <c r="G550" s="333">
        <f>IF('Simulador - 1º Pilar'!$E$99="Sí",IF('Aportaciones Poliza'!$B$13&lt;'Aportaciones Poliza'!E550,0,F550*$B$8/12),F550*$B$8/12)</f>
      </c>
      <c r="H550" s="333">
        <f>$H$5*G550</f>
      </c>
      <c r="I550" s="333"/>
      <c r="J550" s="333">
        <f>(1+$M$5)^(D550/12)*(H550+IF(AND(F550=1,F551=0),$Q$4,0))</f>
      </c>
      <c r="K550" s="333">
        <f>(1+$M$5)^(D550/12)*(I550)</f>
      </c>
      <c r="L550" s="333">
        <f>K550+J550</f>
      </c>
      <c r="M550" s="170"/>
      <c r="N550" s="7"/>
      <c r="O550" s="1"/>
      <c r="P550" s="331">
        <f>D550</f>
      </c>
      <c r="Q550" s="169"/>
    </row>
    <row x14ac:dyDescent="0.25" r="551" customHeight="1" ht="18.75">
      <c r="A551" s="1"/>
      <c r="B551" s="7"/>
      <c r="C551" s="170"/>
      <c r="D551" s="331">
        <v>544</v>
      </c>
      <c r="E551" s="544">
        <f>+DATE(YEAR(E550),MONTH(E550)-1,DAY(E550))</f>
        <v>25569.041666666668</v>
      </c>
      <c r="F551" s="333">
        <f>IF(DATE(YEAR($B$6),MONTH($B$6)+1,DAY(1))=E551,1,IF(MONTH(E551)=1,F552*(1+$F$5),F552))</f>
      </c>
      <c r="G551" s="333">
        <f>IF('Simulador - 1º Pilar'!$E$99="Sí",IF('Aportaciones Poliza'!$B$13&lt;'Aportaciones Poliza'!E551,0,F551*$B$8/12),F551*$B$8/12)</f>
      </c>
      <c r="H551" s="333">
        <f>$H$5*G551</f>
      </c>
      <c r="I551" s="333"/>
      <c r="J551" s="333">
        <f>(1+$M$5)^(D551/12)*(H551+IF(AND(F551=1,F552=0),$Q$4,0))</f>
      </c>
      <c r="K551" s="333">
        <f>(1+$M$5)^(D551/12)*(I551)</f>
      </c>
      <c r="L551" s="333">
        <f>K551+J551</f>
      </c>
      <c r="M551" s="170"/>
      <c r="N551" s="7"/>
      <c r="O551" s="1"/>
      <c r="P551" s="331">
        <f>D551</f>
      </c>
      <c r="Q551" s="169"/>
    </row>
    <row x14ac:dyDescent="0.25" r="552" customHeight="1" ht="18.75">
      <c r="A552" s="1"/>
      <c r="B552" s="7"/>
      <c r="C552" s="170"/>
      <c r="D552" s="331">
        <v>545</v>
      </c>
      <c r="E552" s="544">
        <f>+DATE(YEAR(E551),MONTH(E551)-1,DAY(E551))</f>
        <v>25569.041666666668</v>
      </c>
      <c r="F552" s="333">
        <f>IF(DATE(YEAR($B$6),MONTH($B$6)+1,DAY(1))=E552,1,IF(MONTH(E552)=1,F553*(1+$F$5),F553))</f>
      </c>
      <c r="G552" s="333">
        <f>IF('Simulador - 1º Pilar'!$E$99="Sí",IF('Aportaciones Poliza'!$B$13&lt;'Aportaciones Poliza'!E552,0,F552*$B$8/12),F552*$B$8/12)</f>
      </c>
      <c r="H552" s="333">
        <f>$H$5*G552</f>
      </c>
      <c r="I552" s="333"/>
      <c r="J552" s="333">
        <f>(1+$M$5)^(D552/12)*(H552+IF(AND(F552=1,F553=0),$Q$4,0))</f>
      </c>
      <c r="K552" s="333">
        <f>(1+$M$5)^(D552/12)*(I552)</f>
      </c>
      <c r="L552" s="333">
        <f>K552+J552</f>
      </c>
      <c r="M552" s="170"/>
      <c r="N552" s="7"/>
      <c r="O552" s="1"/>
      <c r="P552" s="331">
        <f>D552</f>
      </c>
      <c r="Q552" s="169"/>
    </row>
    <row x14ac:dyDescent="0.25" r="553" customHeight="1" ht="18.75">
      <c r="A553" s="1"/>
      <c r="B553" s="7"/>
      <c r="C553" s="170"/>
      <c r="D553" s="331">
        <v>546</v>
      </c>
      <c r="E553" s="544">
        <f>+DATE(YEAR(E552),MONTH(E552)-1,DAY(E552))</f>
        <v>25569.041666666668</v>
      </c>
      <c r="F553" s="333">
        <f>IF(DATE(YEAR($B$6),MONTH($B$6)+1,DAY(1))=E553,1,IF(MONTH(E553)=1,F554*(1+$F$5),F554))</f>
      </c>
      <c r="G553" s="333">
        <f>IF('Simulador - 1º Pilar'!$E$99="Sí",IF('Aportaciones Poliza'!$B$13&lt;'Aportaciones Poliza'!E553,0,F553*$B$8/12),F553*$B$8/12)</f>
      </c>
      <c r="H553" s="333">
        <f>$H$5*G553</f>
      </c>
      <c r="I553" s="333"/>
      <c r="J553" s="333">
        <f>(1+$M$5)^(D553/12)*(H553+IF(AND(F553=1,F554=0),$Q$4,0))</f>
      </c>
      <c r="K553" s="333">
        <f>(1+$M$5)^(D553/12)*(I553)</f>
      </c>
      <c r="L553" s="333">
        <f>K553+J553</f>
      </c>
      <c r="M553" s="170"/>
      <c r="N553" s="7"/>
      <c r="O553" s="1"/>
      <c r="P553" s="331">
        <f>D553</f>
      </c>
      <c r="Q553" s="169"/>
    </row>
    <row x14ac:dyDescent="0.25" r="554" customHeight="1" ht="18.75">
      <c r="A554" s="1"/>
      <c r="B554" s="7"/>
      <c r="C554" s="170"/>
      <c r="D554" s="331">
        <v>547</v>
      </c>
      <c r="E554" s="544">
        <f>+DATE(YEAR(E553),MONTH(E553)-1,DAY(E553))</f>
        <v>25569.041666666668</v>
      </c>
      <c r="F554" s="333">
        <f>IF(DATE(YEAR($B$6),MONTH($B$6)+1,DAY(1))=E554,1,IF(MONTH(E554)=1,F555*(1+$F$5),F555))</f>
      </c>
      <c r="G554" s="333">
        <f>IF('Simulador - 1º Pilar'!$E$99="Sí",IF('Aportaciones Poliza'!$B$13&lt;'Aportaciones Poliza'!E554,0,F554*$B$8/12),F554*$B$8/12)</f>
      </c>
      <c r="H554" s="333">
        <f>$H$5*G554</f>
      </c>
      <c r="I554" s="333"/>
      <c r="J554" s="333">
        <f>(1+$M$5)^(D554/12)*(H554+IF(AND(F554=1,F555=0),$Q$4,0))</f>
      </c>
      <c r="K554" s="333">
        <f>(1+$M$5)^(D554/12)*(I554)</f>
      </c>
      <c r="L554" s="333">
        <f>K554+J554</f>
      </c>
      <c r="M554" s="170"/>
      <c r="N554" s="7"/>
      <c r="O554" s="1"/>
      <c r="P554" s="331">
        <f>D554</f>
      </c>
      <c r="Q554" s="169"/>
    </row>
    <row x14ac:dyDescent="0.25" r="555" customHeight="1" ht="18.75">
      <c r="A555" s="1"/>
      <c r="B555" s="7"/>
      <c r="C555" s="170"/>
      <c r="D555" s="331">
        <v>548</v>
      </c>
      <c r="E555" s="544">
        <f>+DATE(YEAR(E554),MONTH(E554)-1,DAY(E554))</f>
        <v>25569.041666666668</v>
      </c>
      <c r="F555" s="333">
        <f>IF(DATE(YEAR($B$6),MONTH($B$6)+1,DAY(1))=E555,1,IF(MONTH(E555)=1,F556*(1+$F$5),F556))</f>
      </c>
      <c r="G555" s="333">
        <f>IF('Simulador - 1º Pilar'!$E$99="Sí",IF('Aportaciones Poliza'!$B$13&lt;'Aportaciones Poliza'!E555,0,F555*$B$8/12),F555*$B$8/12)</f>
      </c>
      <c r="H555" s="333">
        <f>$H$5*G555</f>
      </c>
      <c r="I555" s="333"/>
      <c r="J555" s="333">
        <f>(1+$M$5)^(D555/12)*(H555+IF(AND(F555=1,F556=0),$Q$4,0))</f>
      </c>
      <c r="K555" s="333">
        <f>(1+$M$5)^(D555/12)*(I555)</f>
      </c>
      <c r="L555" s="333">
        <f>K555+J555</f>
      </c>
      <c r="M555" s="170"/>
      <c r="N555" s="7"/>
      <c r="O555" s="1"/>
      <c r="P555" s="331">
        <f>D555</f>
      </c>
      <c r="Q555" s="169"/>
    </row>
    <row x14ac:dyDescent="0.25" r="556" customHeight="1" ht="18.75">
      <c r="A556" s="1"/>
      <c r="B556" s="7"/>
      <c r="C556" s="170"/>
      <c r="D556" s="331">
        <v>549</v>
      </c>
      <c r="E556" s="544">
        <f>+DATE(YEAR(E555),MONTH(E555)-1,DAY(E555))</f>
        <v>25569.041666666668</v>
      </c>
      <c r="F556" s="333">
        <f>IF(DATE(YEAR($B$6),MONTH($B$6)+1,DAY(1))=E556,1,IF(MONTH(E556)=1,F557*(1+$F$5),F557))</f>
      </c>
      <c r="G556" s="333">
        <f>IF('Simulador - 1º Pilar'!$E$99="Sí",IF('Aportaciones Poliza'!$B$13&lt;'Aportaciones Poliza'!E556,0,F556*$B$8/12),F556*$B$8/12)</f>
      </c>
      <c r="H556" s="333">
        <f>$H$5*G556</f>
      </c>
      <c r="I556" s="333"/>
      <c r="J556" s="333">
        <f>(1+$M$5)^(D556/12)*(H556+IF(AND(F556=1,F557=0),$Q$4,0))</f>
      </c>
      <c r="K556" s="333">
        <f>(1+$M$5)^(D556/12)*(I556)</f>
      </c>
      <c r="L556" s="333">
        <f>K556+J556</f>
      </c>
      <c r="M556" s="170"/>
      <c r="N556" s="7"/>
      <c r="O556" s="1"/>
      <c r="P556" s="331">
        <f>D556</f>
      </c>
      <c r="Q556" s="169"/>
    </row>
    <row x14ac:dyDescent="0.25" r="557" customHeight="1" ht="18.75">
      <c r="A557" s="1"/>
      <c r="B557" s="7"/>
      <c r="C557" s="170"/>
      <c r="D557" s="331">
        <v>550</v>
      </c>
      <c r="E557" s="544">
        <f>+DATE(YEAR(E556),MONTH(E556)-1,DAY(E556))</f>
        <v>25569.041666666668</v>
      </c>
      <c r="F557" s="333">
        <f>IF(DATE(YEAR($B$6),MONTH($B$6)+1,DAY(1))=E557,1,IF(MONTH(E557)=1,F558*(1+$F$5),F558))</f>
      </c>
      <c r="G557" s="333">
        <f>IF('Simulador - 1º Pilar'!$E$99="Sí",IF('Aportaciones Poliza'!$B$13&lt;'Aportaciones Poliza'!E557,0,F557*$B$8/12),F557*$B$8/12)</f>
      </c>
      <c r="H557" s="333">
        <f>$H$5*G557</f>
      </c>
      <c r="I557" s="333"/>
      <c r="J557" s="333">
        <f>(1+$M$5)^(D557/12)*(H557+IF(AND(F557=1,F558=0),$Q$4,0))</f>
      </c>
      <c r="K557" s="333">
        <f>(1+$M$5)^(D557/12)*(I557)</f>
      </c>
      <c r="L557" s="333">
        <f>K557+J557</f>
      </c>
      <c r="M557" s="170"/>
      <c r="N557" s="7"/>
      <c r="O557" s="1"/>
      <c r="P557" s="331">
        <f>D557</f>
      </c>
      <c r="Q557" s="169"/>
    </row>
    <row x14ac:dyDescent="0.25" r="558" customHeight="1" ht="18.75">
      <c r="A558" s="1"/>
      <c r="B558" s="7"/>
      <c r="C558" s="170"/>
      <c r="D558" s="331">
        <v>551</v>
      </c>
      <c r="E558" s="544">
        <f>+DATE(YEAR(E557),MONTH(E557)-1,DAY(E557))</f>
        <v>25569.041666666668</v>
      </c>
      <c r="F558" s="333">
        <f>IF(DATE(YEAR($B$6),MONTH($B$6)+1,DAY(1))=E558,1,IF(MONTH(E558)=1,F559*(1+$F$5),F559))</f>
      </c>
      <c r="G558" s="333">
        <f>IF('Simulador - 1º Pilar'!$E$99="Sí",IF('Aportaciones Poliza'!$B$13&lt;'Aportaciones Poliza'!E558,0,F558*$B$8/12),F558*$B$8/12)</f>
      </c>
      <c r="H558" s="333">
        <f>$H$5*G558</f>
      </c>
      <c r="I558" s="333"/>
      <c r="J558" s="333">
        <f>(1+$M$5)^(D558/12)*(H558+IF(AND(F558=1,F559=0),$Q$4,0))</f>
      </c>
      <c r="K558" s="333">
        <f>(1+$M$5)^(D558/12)*(I558)</f>
      </c>
      <c r="L558" s="333">
        <f>K558+J558</f>
      </c>
      <c r="M558" s="170"/>
      <c r="N558" s="7"/>
      <c r="O558" s="1"/>
      <c r="P558" s="331">
        <f>D558</f>
      </c>
      <c r="Q558" s="169"/>
    </row>
    <row x14ac:dyDescent="0.25" r="559" customHeight="1" ht="18.75">
      <c r="A559" s="1"/>
      <c r="B559" s="7"/>
      <c r="C559" s="170"/>
      <c r="D559" s="331">
        <v>552</v>
      </c>
      <c r="E559" s="544">
        <f>+DATE(YEAR(E558),MONTH(E558)-1,DAY(E558))</f>
        <v>25569.041666666668</v>
      </c>
      <c r="F559" s="333">
        <f>IF(DATE(YEAR($B$6),MONTH($B$6)+1,DAY(1))=E559,1,IF(MONTH(E559)=1,F560*(1+$F$5),F560))</f>
      </c>
      <c r="G559" s="333">
        <f>IF('Simulador - 1º Pilar'!$E$99="Sí",IF('Aportaciones Poliza'!$B$13&lt;'Aportaciones Poliza'!E559,0,F559*$B$8/12),F559*$B$8/12)</f>
      </c>
      <c r="H559" s="333">
        <f>$H$5*G559</f>
      </c>
      <c r="I559" s="333"/>
      <c r="J559" s="333">
        <f>(1+$M$5)^(D559/12)*(H559+IF(AND(F559=1,F560=0),$Q$4,0))</f>
      </c>
      <c r="K559" s="333">
        <f>(1+$M$5)^(D559/12)*(I559)</f>
      </c>
      <c r="L559" s="333">
        <f>K559+J559</f>
      </c>
      <c r="M559" s="170"/>
      <c r="N559" s="7"/>
      <c r="O559" s="1"/>
      <c r="P559" s="331">
        <f>D559</f>
      </c>
      <c r="Q559" s="169"/>
    </row>
    <row x14ac:dyDescent="0.25" r="560" customHeight="1" ht="18.75">
      <c r="A560" s="1"/>
      <c r="B560" s="7"/>
      <c r="C560" s="170"/>
      <c r="D560" s="331">
        <v>553</v>
      </c>
      <c r="E560" s="544">
        <f>+DATE(YEAR(E559),MONTH(E559)-1,DAY(E559))</f>
        <v>25569.041666666668</v>
      </c>
      <c r="F560" s="333">
        <f>IF(DATE(YEAR($B$6),MONTH($B$6)+1,DAY(1))=E560,1,IF(MONTH(E560)=1,F561*(1+$F$5),F561))</f>
      </c>
      <c r="G560" s="333">
        <f>IF('Simulador - 1º Pilar'!$E$99="Sí",IF('Aportaciones Poliza'!$B$13&lt;'Aportaciones Poliza'!E560,0,F560*$B$8/12),F560*$B$8/12)</f>
      </c>
      <c r="H560" s="333">
        <f>$H$5*G560</f>
      </c>
      <c r="I560" s="333"/>
      <c r="J560" s="333">
        <f>(1+$M$5)^(D560/12)*(H560+IF(AND(F560=1,F561=0),$Q$4,0))</f>
      </c>
      <c r="K560" s="333">
        <f>(1+$M$5)^(D560/12)*(I560)</f>
      </c>
      <c r="L560" s="333">
        <f>K560+J560</f>
      </c>
      <c r="M560" s="170"/>
      <c r="N560" s="7"/>
      <c r="O560" s="1"/>
      <c r="P560" s="331">
        <f>D560</f>
      </c>
      <c r="Q560" s="169"/>
    </row>
    <row x14ac:dyDescent="0.25" r="561" customHeight="1" ht="18.75">
      <c r="A561" s="1"/>
      <c r="B561" s="7"/>
      <c r="C561" s="170"/>
      <c r="D561" s="331">
        <v>554</v>
      </c>
      <c r="E561" s="544">
        <f>+DATE(YEAR(E560),MONTH(E560)-1,DAY(E560))</f>
        <v>25569.041666666668</v>
      </c>
      <c r="F561" s="333">
        <f>IF(DATE(YEAR($B$6),MONTH($B$6)+1,DAY(1))=E561,1,IF(MONTH(E561)=1,F562*(1+$F$5),F562))</f>
      </c>
      <c r="G561" s="333">
        <f>IF('Simulador - 1º Pilar'!$E$99="Sí",IF('Aportaciones Poliza'!$B$13&lt;'Aportaciones Poliza'!E561,0,F561*$B$8/12),F561*$B$8/12)</f>
      </c>
      <c r="H561" s="333">
        <f>$H$5*G561</f>
      </c>
      <c r="I561" s="333"/>
      <c r="J561" s="333">
        <f>(1+$M$5)^(D561/12)*(H561+IF(AND(F561=1,F562=0),$Q$4,0))</f>
      </c>
      <c r="K561" s="333">
        <f>(1+$M$5)^(D561/12)*(I561)</f>
      </c>
      <c r="L561" s="333">
        <f>K561+J561</f>
      </c>
      <c r="M561" s="170"/>
      <c r="N561" s="7"/>
      <c r="O561" s="1"/>
      <c r="P561" s="331">
        <f>D561</f>
      </c>
      <c r="Q561" s="169"/>
    </row>
    <row x14ac:dyDescent="0.25" r="562" customHeight="1" ht="18.75">
      <c r="A562" s="1"/>
      <c r="B562" s="7"/>
      <c r="C562" s="170"/>
      <c r="D562" s="331">
        <v>555</v>
      </c>
      <c r="E562" s="544">
        <f>+DATE(YEAR(E561),MONTH(E561)-1,DAY(E561))</f>
        <v>25569.041666666668</v>
      </c>
      <c r="F562" s="333">
        <f>IF(DATE(YEAR($B$6),MONTH($B$6)+1,DAY(1))=E562,1,IF(MONTH(E562)=1,F563*(1+$F$5),F563))</f>
      </c>
      <c r="G562" s="333">
        <f>IF('Simulador - 1º Pilar'!$E$99="Sí",IF('Aportaciones Poliza'!$B$13&lt;'Aportaciones Poliza'!E562,0,F562*$B$8/12),F562*$B$8/12)</f>
      </c>
      <c r="H562" s="333">
        <f>$H$5*G562</f>
      </c>
      <c r="I562" s="333"/>
      <c r="J562" s="333">
        <f>(1+$M$5)^(D562/12)*(H562+IF(AND(F562=1,F563=0),$Q$4,0))</f>
      </c>
      <c r="K562" s="333">
        <f>(1+$M$5)^(D562/12)*(I562)</f>
      </c>
      <c r="L562" s="333">
        <f>K562+J562</f>
      </c>
      <c r="M562" s="170"/>
      <c r="N562" s="7"/>
      <c r="O562" s="1"/>
      <c r="P562" s="331">
        <f>D562</f>
      </c>
      <c r="Q562" s="169"/>
    </row>
    <row x14ac:dyDescent="0.25" r="563" customHeight="1" ht="18.75">
      <c r="A563" s="1"/>
      <c r="B563" s="7"/>
      <c r="C563" s="170"/>
      <c r="D563" s="331">
        <v>556</v>
      </c>
      <c r="E563" s="544">
        <f>+DATE(YEAR(E562),MONTH(E562)-1,DAY(E562))</f>
        <v>25569.041666666668</v>
      </c>
      <c r="F563" s="333">
        <f>IF(DATE(YEAR($B$6),MONTH($B$6)+1,DAY(1))=E563,1,IF(MONTH(E563)=1,F564*(1+$F$5),F564))</f>
      </c>
      <c r="G563" s="333">
        <f>IF('Simulador - 1º Pilar'!$E$99="Sí",IF('Aportaciones Poliza'!$B$13&lt;'Aportaciones Poliza'!E563,0,F563*$B$8/12),F563*$B$8/12)</f>
      </c>
      <c r="H563" s="333">
        <f>$H$5*G563</f>
      </c>
      <c r="I563" s="333"/>
      <c r="J563" s="333">
        <f>(1+$M$5)^(D563/12)*(H563+IF(AND(F563=1,F564=0),$Q$4,0))</f>
      </c>
      <c r="K563" s="333">
        <f>(1+$M$5)^(D563/12)*(I563)</f>
      </c>
      <c r="L563" s="333">
        <f>K563+J563</f>
      </c>
      <c r="M563" s="170"/>
      <c r="N563" s="7"/>
      <c r="O563" s="1"/>
      <c r="P563" s="331">
        <f>D563</f>
      </c>
      <c r="Q563" s="169"/>
    </row>
    <row x14ac:dyDescent="0.25" r="564" customHeight="1" ht="18.75">
      <c r="A564" s="1"/>
      <c r="B564" s="7"/>
      <c r="C564" s="170"/>
      <c r="D564" s="331">
        <v>557</v>
      </c>
      <c r="E564" s="544">
        <f>+DATE(YEAR(E563),MONTH(E563)-1,DAY(E563))</f>
        <v>25569.041666666668</v>
      </c>
      <c r="F564" s="333">
        <f>IF(DATE(YEAR($B$6),MONTH($B$6)+1,DAY(1))=E564,1,IF(MONTH(E564)=1,F565*(1+$F$5),F565))</f>
      </c>
      <c r="G564" s="333">
        <f>IF('Simulador - 1º Pilar'!$E$99="Sí",IF('Aportaciones Poliza'!$B$13&lt;'Aportaciones Poliza'!E564,0,F564*$B$8/12),F564*$B$8/12)</f>
      </c>
      <c r="H564" s="333">
        <f>$H$5*G564</f>
      </c>
      <c r="I564" s="333"/>
      <c r="J564" s="333">
        <f>(1+$M$5)^(D564/12)*(H564+IF(AND(F564=1,F565=0),$Q$4,0))</f>
      </c>
      <c r="K564" s="333">
        <f>(1+$M$5)^(D564/12)*(I564)</f>
      </c>
      <c r="L564" s="333">
        <f>K564+J564</f>
      </c>
      <c r="M564" s="170"/>
      <c r="N564" s="7"/>
      <c r="O564" s="1"/>
      <c r="P564" s="331">
        <f>D564</f>
      </c>
      <c r="Q564" s="169"/>
    </row>
    <row x14ac:dyDescent="0.25" r="565" customHeight="1" ht="18.75">
      <c r="A565" s="1"/>
      <c r="B565" s="7"/>
      <c r="C565" s="170"/>
      <c r="D565" s="331">
        <v>558</v>
      </c>
      <c r="E565" s="544">
        <f>+DATE(YEAR(E564),MONTH(E564)-1,DAY(E564))</f>
        <v>25569.041666666668</v>
      </c>
      <c r="F565" s="333">
        <f>IF(DATE(YEAR($B$6),MONTH($B$6)+1,DAY(1))=E565,1,IF(MONTH(E565)=1,F566*(1+$F$5),F566))</f>
      </c>
      <c r="G565" s="333">
        <f>IF('Simulador - 1º Pilar'!$E$99="Sí",IF('Aportaciones Poliza'!$B$13&lt;'Aportaciones Poliza'!E565,0,F565*$B$8/12),F565*$B$8/12)</f>
      </c>
      <c r="H565" s="333">
        <f>$H$5*G565</f>
      </c>
      <c r="I565" s="333"/>
      <c r="J565" s="333">
        <f>(1+$M$5)^(D565/12)*(H565+IF(AND(F565=1,F566=0),$Q$4,0))</f>
      </c>
      <c r="K565" s="333">
        <f>(1+$M$5)^(D565/12)*(I565)</f>
      </c>
      <c r="L565" s="333">
        <f>K565+J565</f>
      </c>
      <c r="M565" s="170"/>
      <c r="N565" s="7"/>
      <c r="O565" s="1"/>
      <c r="P565" s="331">
        <f>D565</f>
      </c>
      <c r="Q565" s="169"/>
    </row>
    <row x14ac:dyDescent="0.25" r="566" customHeight="1" ht="18.75">
      <c r="A566" s="1"/>
      <c r="B566" s="7"/>
      <c r="C566" s="170"/>
      <c r="D566" s="331">
        <v>559</v>
      </c>
      <c r="E566" s="544">
        <f>+DATE(YEAR(E565),MONTH(E565)-1,DAY(E565))</f>
        <v>25569.041666666668</v>
      </c>
      <c r="F566" s="333">
        <f>IF(DATE(YEAR($B$6),MONTH($B$6)+1,DAY(1))=E566,1,IF(MONTH(E566)=1,F567*(1+$F$5),F567))</f>
      </c>
      <c r="G566" s="333">
        <f>IF('Simulador - 1º Pilar'!$E$99="Sí",IF('Aportaciones Poliza'!$B$13&lt;'Aportaciones Poliza'!E566,0,F566*$B$8/12),F566*$B$8/12)</f>
      </c>
      <c r="H566" s="333">
        <f>$H$5*G566</f>
      </c>
      <c r="I566" s="333"/>
      <c r="J566" s="333">
        <f>(1+$M$5)^(D566/12)*(H566+IF(AND(F566=1,F567=0),$Q$4,0))</f>
      </c>
      <c r="K566" s="333">
        <f>(1+$M$5)^(D566/12)*(I566)</f>
      </c>
      <c r="L566" s="333">
        <f>K566+J566</f>
      </c>
      <c r="M566" s="170"/>
      <c r="N566" s="7"/>
      <c r="O566" s="1"/>
      <c r="P566" s="331">
        <f>D566</f>
      </c>
      <c r="Q566" s="169"/>
    </row>
    <row x14ac:dyDescent="0.25" r="567" customHeight="1" ht="18.75">
      <c r="A567" s="1"/>
      <c r="B567" s="7"/>
      <c r="C567" s="170"/>
      <c r="D567" s="331">
        <v>560</v>
      </c>
      <c r="E567" s="544">
        <f>+DATE(YEAR(E566),MONTH(E566)-1,DAY(E566))</f>
        <v>25569.041666666668</v>
      </c>
      <c r="F567" s="333">
        <f>IF(DATE(YEAR($B$6),MONTH($B$6)+1,DAY(1))=E567,1,IF(MONTH(E567)=1,F568*(1+$F$5),F568))</f>
      </c>
      <c r="G567" s="333">
        <f>IF('Simulador - 1º Pilar'!$E$99="Sí",IF('Aportaciones Poliza'!$B$13&lt;'Aportaciones Poliza'!E567,0,F567*$B$8/12),F567*$B$8/12)</f>
      </c>
      <c r="H567" s="333">
        <f>$H$5*G567</f>
      </c>
      <c r="I567" s="333"/>
      <c r="J567" s="333">
        <f>(1+$M$5)^(D567/12)*(H567+IF(AND(F567=1,F568=0),$Q$4,0))</f>
      </c>
      <c r="K567" s="333">
        <f>(1+$M$5)^(D567/12)*(I567)</f>
      </c>
      <c r="L567" s="333">
        <f>K567+J567</f>
      </c>
      <c r="M567" s="170"/>
      <c r="N567" s="7"/>
      <c r="O567" s="1"/>
      <c r="P567" s="331">
        <f>D567</f>
      </c>
      <c r="Q567" s="169"/>
    </row>
    <row x14ac:dyDescent="0.25" r="568" customHeight="1" ht="18.75">
      <c r="A568" s="1"/>
      <c r="B568" s="7"/>
      <c r="C568" s="170"/>
      <c r="D568" s="331">
        <v>561</v>
      </c>
      <c r="E568" s="544">
        <f>+DATE(YEAR(E567),MONTH(E567)-1,DAY(E567))</f>
        <v>25569.041666666668</v>
      </c>
      <c r="F568" s="333">
        <f>IF(DATE(YEAR($B$6),MONTH($B$6)+1,DAY(1))=E568,1,IF(MONTH(E568)=1,F569*(1+$F$5),F569))</f>
      </c>
      <c r="G568" s="333">
        <f>IF('Simulador - 1º Pilar'!$E$99="Sí",IF('Aportaciones Poliza'!$B$13&lt;'Aportaciones Poliza'!E568,0,F568*$B$8/12),F568*$B$8/12)</f>
      </c>
      <c r="H568" s="333">
        <f>$H$5*G568</f>
      </c>
      <c r="I568" s="333"/>
      <c r="J568" s="333">
        <f>(1+$M$5)^(D568/12)*(H568+IF(AND(F568=1,F569=0),$Q$4,0))</f>
      </c>
      <c r="K568" s="333">
        <f>(1+$M$5)^(D568/12)*(I568)</f>
      </c>
      <c r="L568" s="333">
        <f>K568+J568</f>
      </c>
      <c r="M568" s="170"/>
      <c r="N568" s="7"/>
      <c r="O568" s="1"/>
      <c r="P568" s="331">
        <f>D568</f>
      </c>
      <c r="Q568" s="169"/>
    </row>
    <row x14ac:dyDescent="0.25" r="569" customHeight="1" ht="18.75">
      <c r="A569" s="1"/>
      <c r="B569" s="7"/>
      <c r="C569" s="170"/>
      <c r="D569" s="331">
        <v>562</v>
      </c>
      <c r="E569" s="544">
        <f>+DATE(YEAR(E568),MONTH(E568)-1,DAY(E568))</f>
        <v>25569.041666666668</v>
      </c>
      <c r="F569" s="333">
        <f>IF(DATE(YEAR($B$6),MONTH($B$6)+1,DAY(1))=E569,1,IF(MONTH(E569)=1,F570*(1+$F$5),F570))</f>
      </c>
      <c r="G569" s="333">
        <f>IF('Simulador - 1º Pilar'!$E$99="Sí",IF('Aportaciones Poliza'!$B$13&lt;'Aportaciones Poliza'!E569,0,F569*$B$8/12),F569*$B$8/12)</f>
      </c>
      <c r="H569" s="333">
        <f>$H$5*G569</f>
      </c>
      <c r="I569" s="333"/>
      <c r="J569" s="333">
        <f>(1+$M$5)^(D569/12)*(H569+IF(AND(F569=1,F570=0),$Q$4,0))</f>
      </c>
      <c r="K569" s="333">
        <f>(1+$M$5)^(D569/12)*(I569)</f>
      </c>
      <c r="L569" s="333">
        <f>K569+J569</f>
      </c>
      <c r="M569" s="170"/>
      <c r="N569" s="7"/>
      <c r="O569" s="1"/>
      <c r="P569" s="331">
        <f>D569</f>
      </c>
      <c r="Q569" s="169"/>
    </row>
    <row x14ac:dyDescent="0.25" r="570" customHeight="1" ht="18.75">
      <c r="A570" s="1"/>
      <c r="B570" s="7"/>
      <c r="C570" s="170"/>
      <c r="D570" s="331">
        <v>563</v>
      </c>
      <c r="E570" s="544">
        <f>+DATE(YEAR(E569),MONTH(E569)-1,DAY(E569))</f>
        <v>25569.041666666668</v>
      </c>
      <c r="F570" s="333">
        <f>IF(DATE(YEAR($B$6),MONTH($B$6)+1,DAY(1))=E570,1,IF(MONTH(E570)=1,F571*(1+$F$5),F571))</f>
      </c>
      <c r="G570" s="333">
        <f>IF('Simulador - 1º Pilar'!$E$99="Sí",IF('Aportaciones Poliza'!$B$13&lt;'Aportaciones Poliza'!E570,0,F570*$B$8/12),F570*$B$8/12)</f>
      </c>
      <c r="H570" s="333">
        <f>$H$5*G570</f>
      </c>
      <c r="I570" s="333"/>
      <c r="J570" s="333">
        <f>(1+$M$5)^(D570/12)*(H570+IF(AND(F570=1,F571=0),$Q$4,0))</f>
      </c>
      <c r="K570" s="333">
        <f>(1+$M$5)^(D570/12)*(I570)</f>
      </c>
      <c r="L570" s="333">
        <f>K570+J570</f>
      </c>
      <c r="M570" s="170"/>
      <c r="N570" s="7"/>
      <c r="O570" s="1"/>
      <c r="P570" s="331">
        <f>D570</f>
      </c>
      <c r="Q570" s="169"/>
    </row>
    <row x14ac:dyDescent="0.25" r="571" customHeight="1" ht="18.75">
      <c r="A571" s="1"/>
      <c r="B571" s="7"/>
      <c r="C571" s="170"/>
      <c r="D571" s="331">
        <v>564</v>
      </c>
      <c r="E571" s="544">
        <f>+DATE(YEAR(E570),MONTH(E570)-1,DAY(E570))</f>
        <v>25569.041666666668</v>
      </c>
      <c r="F571" s="333">
        <f>IF(DATE(YEAR($B$6),MONTH($B$6)+1,DAY(1))=E571,1,IF(MONTH(E571)=1,F572*(1+$F$5),F572))</f>
      </c>
      <c r="G571" s="333">
        <f>IF('Simulador - 1º Pilar'!$E$99="Sí",IF('Aportaciones Poliza'!$B$13&lt;'Aportaciones Poliza'!E571,0,F571*$B$8/12),F571*$B$8/12)</f>
      </c>
      <c r="H571" s="333">
        <f>$H$5*G571</f>
      </c>
      <c r="I571" s="333"/>
      <c r="J571" s="333">
        <f>(1+$M$5)^(D571/12)*(H571+IF(AND(F571=1,F572=0),$Q$4,0))</f>
      </c>
      <c r="K571" s="333">
        <f>(1+$M$5)^(D571/12)*(I571)</f>
      </c>
      <c r="L571" s="333">
        <f>K571+J571</f>
      </c>
      <c r="M571" s="170"/>
      <c r="N571" s="7"/>
      <c r="O571" s="1"/>
      <c r="P571" s="331">
        <f>D571</f>
      </c>
      <c r="Q571" s="169"/>
    </row>
    <row x14ac:dyDescent="0.25" r="572" customHeight="1" ht="18.75">
      <c r="A572" s="1"/>
      <c r="B572" s="7"/>
      <c r="C572" s="170"/>
      <c r="D572" s="331">
        <v>565</v>
      </c>
      <c r="E572" s="544">
        <f>+DATE(YEAR(E571),MONTH(E571)-1,DAY(E571))</f>
        <v>25569.041666666668</v>
      </c>
      <c r="F572" s="333">
        <f>IF(DATE(YEAR($B$6),MONTH($B$6)+1,DAY(1))=E572,1,IF(MONTH(E572)=1,F573*(1+$F$5),F573))</f>
      </c>
      <c r="G572" s="333">
        <f>IF('Simulador - 1º Pilar'!$E$99="Sí",IF('Aportaciones Poliza'!$B$13&lt;'Aportaciones Poliza'!E572,0,F572*$B$8/12),F572*$B$8/12)</f>
      </c>
      <c r="H572" s="333">
        <f>$H$5*G572</f>
      </c>
      <c r="I572" s="333"/>
      <c r="J572" s="333">
        <f>(1+$M$5)^(D572/12)*(H572+IF(AND(F572=1,F573=0),$Q$4,0))</f>
      </c>
      <c r="K572" s="333">
        <f>(1+$M$5)^(D572/12)*(I572)</f>
      </c>
      <c r="L572" s="333">
        <f>K572+J572</f>
      </c>
      <c r="M572" s="170"/>
      <c r="N572" s="7"/>
      <c r="O572" s="1"/>
      <c r="P572" s="331">
        <f>D572</f>
      </c>
      <c r="Q572" s="169"/>
    </row>
    <row x14ac:dyDescent="0.25" r="573" customHeight="1" ht="18.75">
      <c r="A573" s="1"/>
      <c r="B573" s="7"/>
      <c r="C573" s="170"/>
      <c r="D573" s="331">
        <v>566</v>
      </c>
      <c r="E573" s="544">
        <f>+DATE(YEAR(E572),MONTH(E572)-1,DAY(E572))</f>
        <v>25569.041666666668</v>
      </c>
      <c r="F573" s="333">
        <f>IF(DATE(YEAR($B$6),MONTH($B$6)+1,DAY(1))=E573,1,IF(MONTH(E573)=1,F574*(1+$F$5),F574))</f>
      </c>
      <c r="G573" s="333">
        <f>IF('Simulador - 1º Pilar'!$E$99="Sí",IF('Aportaciones Poliza'!$B$13&lt;'Aportaciones Poliza'!E573,0,F573*$B$8/12),F573*$B$8/12)</f>
      </c>
      <c r="H573" s="333">
        <f>$H$5*G573</f>
      </c>
      <c r="I573" s="333"/>
      <c r="J573" s="333">
        <f>(1+$M$5)^(D573/12)*(H573+IF(AND(F573=1,F574=0),$Q$4,0))</f>
      </c>
      <c r="K573" s="333">
        <f>(1+$M$5)^(D573/12)*(I573)</f>
      </c>
      <c r="L573" s="333">
        <f>K573+J573</f>
      </c>
      <c r="M573" s="170"/>
      <c r="N573" s="7"/>
      <c r="O573" s="1"/>
      <c r="P573" s="331">
        <f>D573</f>
      </c>
      <c r="Q573" s="169"/>
    </row>
    <row x14ac:dyDescent="0.25" r="574" customHeight="1" ht="18.75">
      <c r="A574" s="1"/>
      <c r="B574" s="7"/>
      <c r="C574" s="170"/>
      <c r="D574" s="331">
        <v>567</v>
      </c>
      <c r="E574" s="544">
        <f>+DATE(YEAR(E573),MONTH(E573)-1,DAY(E573))</f>
        <v>25569.041666666668</v>
      </c>
      <c r="F574" s="333">
        <f>IF(DATE(YEAR($B$6),MONTH($B$6)+1,DAY(1))=E574,1,IF(MONTH(E574)=1,F575*(1+$F$5),F575))</f>
      </c>
      <c r="G574" s="333">
        <f>IF('Simulador - 1º Pilar'!$E$99="Sí",IF('Aportaciones Poliza'!$B$13&lt;'Aportaciones Poliza'!E574,0,F574*$B$8/12),F574*$B$8/12)</f>
      </c>
      <c r="H574" s="333">
        <f>$H$5*G574</f>
      </c>
      <c r="I574" s="333"/>
      <c r="J574" s="333">
        <f>(1+$M$5)^(D574/12)*(H574+IF(AND(F574=1,F575=0),$Q$4,0))</f>
      </c>
      <c r="K574" s="333">
        <f>(1+$M$5)^(D574/12)*(I574)</f>
      </c>
      <c r="L574" s="333">
        <f>K574+J574</f>
      </c>
      <c r="M574" s="170"/>
      <c r="N574" s="7"/>
      <c r="O574" s="1"/>
      <c r="P574" s="331">
        <f>D574</f>
      </c>
      <c r="Q574" s="169"/>
    </row>
    <row x14ac:dyDescent="0.25" r="575" customHeight="1" ht="18.75">
      <c r="A575" s="1"/>
      <c r="B575" s="7"/>
      <c r="C575" s="170"/>
      <c r="D575" s="331">
        <v>568</v>
      </c>
      <c r="E575" s="544">
        <f>+DATE(YEAR(E574),MONTH(E574)-1,DAY(E574))</f>
        <v>25569.041666666668</v>
      </c>
      <c r="F575" s="333">
        <f>IF(DATE(YEAR($B$6),MONTH($B$6)+1,DAY(1))=E575,1,IF(MONTH(E575)=1,F576*(1+$F$5),F576))</f>
      </c>
      <c r="G575" s="333">
        <f>IF('Simulador - 1º Pilar'!$E$99="Sí",IF('Aportaciones Poliza'!$B$13&lt;'Aportaciones Poliza'!E575,0,F575*$B$8/12),F575*$B$8/12)</f>
      </c>
      <c r="H575" s="333">
        <f>$H$5*G575</f>
      </c>
      <c r="I575" s="333"/>
      <c r="J575" s="333">
        <f>(1+$M$5)^(D575/12)*(H575+IF(AND(F575=1,F576=0),$Q$4,0))</f>
      </c>
      <c r="K575" s="333">
        <f>(1+$M$5)^(D575/12)*(I575)</f>
      </c>
      <c r="L575" s="333">
        <f>K575+J575</f>
      </c>
      <c r="M575" s="170"/>
      <c r="N575" s="7"/>
      <c r="O575" s="1"/>
      <c r="P575" s="331">
        <f>D575</f>
      </c>
      <c r="Q575" s="169"/>
    </row>
    <row x14ac:dyDescent="0.25" r="576" customHeight="1" ht="18.75">
      <c r="A576" s="1"/>
      <c r="B576" s="7"/>
      <c r="C576" s="170"/>
      <c r="D576" s="331">
        <v>569</v>
      </c>
      <c r="E576" s="544">
        <f>+DATE(YEAR(E575),MONTH(E575)-1,DAY(E575))</f>
        <v>25569.041666666668</v>
      </c>
      <c r="F576" s="333">
        <f>IF(DATE(YEAR($B$6),MONTH($B$6)+1,DAY(1))=E576,1,IF(MONTH(E576)=1,F577*(1+$F$5),F577))</f>
      </c>
      <c r="G576" s="333">
        <f>IF('Simulador - 1º Pilar'!$E$99="Sí",IF('Aportaciones Poliza'!$B$13&lt;'Aportaciones Poliza'!E576,0,F576*$B$8/12),F576*$B$8/12)</f>
      </c>
      <c r="H576" s="333">
        <f>$H$5*G576</f>
      </c>
      <c r="I576" s="333"/>
      <c r="J576" s="333">
        <f>(1+$M$5)^(D576/12)*(H576+IF(AND(F576=1,F577=0),$Q$4,0))</f>
      </c>
      <c r="K576" s="333">
        <f>(1+$M$5)^(D576/12)*(I576)</f>
      </c>
      <c r="L576" s="333">
        <f>K576+J576</f>
      </c>
      <c r="M576" s="170"/>
      <c r="N576" s="7"/>
      <c r="O576" s="1"/>
      <c r="P576" s="331">
        <f>D576</f>
      </c>
      <c r="Q576" s="169"/>
    </row>
    <row x14ac:dyDescent="0.25" r="577" customHeight="1" ht="18.75">
      <c r="A577" s="1"/>
      <c r="B577" s="7"/>
      <c r="C577" s="170"/>
      <c r="D577" s="331">
        <v>570</v>
      </c>
      <c r="E577" s="544">
        <f>+DATE(YEAR(E576),MONTH(E576)-1,DAY(E576))</f>
        <v>25569.041666666668</v>
      </c>
      <c r="F577" s="333">
        <f>IF(DATE(YEAR($B$6),MONTH($B$6)+1,DAY(1))=E577,1,IF(MONTH(E577)=1,F578*(1+$F$5),F578))</f>
      </c>
      <c r="G577" s="333">
        <f>IF('Simulador - 1º Pilar'!$E$99="Sí",IF('Aportaciones Poliza'!$B$13&lt;'Aportaciones Poliza'!E577,0,F577*$B$8/12),F577*$B$8/12)</f>
      </c>
      <c r="H577" s="333">
        <f>$H$5*G577</f>
      </c>
      <c r="I577" s="333"/>
      <c r="J577" s="333">
        <f>(1+$M$5)^(D577/12)*(H577+IF(AND(F577=1,F578=0),$Q$4,0))</f>
      </c>
      <c r="K577" s="333">
        <f>(1+$M$5)^(D577/12)*(I577)</f>
      </c>
      <c r="L577" s="333">
        <f>K577+J577</f>
      </c>
      <c r="M577" s="170"/>
      <c r="N577" s="7"/>
      <c r="O577" s="1"/>
      <c r="P577" s="331">
        <f>D577</f>
      </c>
      <c r="Q577" s="169"/>
    </row>
    <row x14ac:dyDescent="0.25" r="578" customHeight="1" ht="18.75">
      <c r="A578" s="1"/>
      <c r="B578" s="7"/>
      <c r="C578" s="170"/>
      <c r="D578" s="331">
        <v>571</v>
      </c>
      <c r="E578" s="544">
        <f>+DATE(YEAR(E577),MONTH(E577)-1,DAY(E577))</f>
        <v>25569.041666666668</v>
      </c>
      <c r="F578" s="333">
        <f>IF(DATE(YEAR($B$6),MONTH($B$6)+1,DAY(1))=E578,1,IF(MONTH(E578)=1,F579*(1+$F$5),F579))</f>
      </c>
      <c r="G578" s="333">
        <f>IF('Simulador - 1º Pilar'!$E$99="Sí",IF('Aportaciones Poliza'!$B$13&lt;'Aportaciones Poliza'!E578,0,F578*$B$8/12),F578*$B$8/12)</f>
      </c>
      <c r="H578" s="333">
        <f>$H$5*G578</f>
      </c>
      <c r="I578" s="333"/>
      <c r="J578" s="333">
        <f>(1+$M$5)^(D578/12)*(H578+IF(AND(F578=1,F579=0),$Q$4,0))</f>
      </c>
      <c r="K578" s="333">
        <f>(1+$M$5)^(D578/12)*(I578)</f>
      </c>
      <c r="L578" s="333">
        <f>K578+J578</f>
      </c>
      <c r="M578" s="170"/>
      <c r="N578" s="7"/>
      <c r="O578" s="1"/>
      <c r="P578" s="331">
        <f>D578</f>
      </c>
      <c r="Q578" s="169"/>
    </row>
    <row x14ac:dyDescent="0.25" r="579" customHeight="1" ht="18.75">
      <c r="A579" s="1"/>
      <c r="B579" s="7"/>
      <c r="C579" s="170"/>
      <c r="D579" s="331">
        <v>572</v>
      </c>
      <c r="E579" s="544">
        <f>+DATE(YEAR(E578),MONTH(E578)-1,DAY(E578))</f>
        <v>25569.041666666668</v>
      </c>
      <c r="F579" s="333">
        <f>IF(DATE(YEAR($B$6),MONTH($B$6)+1,DAY(1))=E579,1,IF(MONTH(E579)=1,F580*(1+$F$5),F580))</f>
      </c>
      <c r="G579" s="333">
        <f>IF('Simulador - 1º Pilar'!$E$99="Sí",IF('Aportaciones Poliza'!$B$13&lt;'Aportaciones Poliza'!E579,0,F579*$B$8/12),F579*$B$8/12)</f>
      </c>
      <c r="H579" s="333">
        <f>$H$5*G579</f>
      </c>
      <c r="I579" s="333"/>
      <c r="J579" s="333">
        <f>(1+$M$5)^(D579/12)*(H579+IF(AND(F579=1,F580=0),$Q$4,0))</f>
      </c>
      <c r="K579" s="333">
        <f>(1+$M$5)^(D579/12)*(I579)</f>
      </c>
      <c r="L579" s="333">
        <f>K579+J579</f>
      </c>
      <c r="M579" s="170"/>
      <c r="N579" s="7"/>
      <c r="O579" s="1"/>
      <c r="P579" s="331">
        <f>D579</f>
      </c>
      <c r="Q579" s="169"/>
    </row>
    <row x14ac:dyDescent="0.25" r="580" customHeight="1" ht="18.75">
      <c r="A580" s="1"/>
      <c r="B580" s="7"/>
      <c r="C580" s="170"/>
      <c r="D580" s="331">
        <v>573</v>
      </c>
      <c r="E580" s="544">
        <f>+DATE(YEAR(E579),MONTH(E579)-1,DAY(E579))</f>
        <v>25569.041666666668</v>
      </c>
      <c r="F580" s="333">
        <f>IF(DATE(YEAR($B$6),MONTH($B$6)+1,DAY(1))=E580,1,IF(MONTH(E580)=1,F581*(1+$F$5),F581))</f>
      </c>
      <c r="G580" s="333">
        <f>IF('Simulador - 1º Pilar'!$E$99="Sí",IF('Aportaciones Poliza'!$B$13&lt;'Aportaciones Poliza'!E580,0,F580*$B$8/12),F580*$B$8/12)</f>
      </c>
      <c r="H580" s="333">
        <f>$H$5*G580</f>
      </c>
      <c r="I580" s="333"/>
      <c r="J580" s="333">
        <f>(1+$M$5)^(D580/12)*(H580+IF(AND(F580=1,F581=0),$Q$4,0))</f>
      </c>
      <c r="K580" s="333">
        <f>(1+$M$5)^(D580/12)*(I580)</f>
      </c>
      <c r="L580" s="333">
        <f>K580+J580</f>
      </c>
      <c r="M580" s="170"/>
      <c r="N580" s="7"/>
      <c r="O580" s="1"/>
      <c r="P580" s="331">
        <f>D580</f>
      </c>
      <c r="Q580" s="169"/>
    </row>
    <row x14ac:dyDescent="0.25" r="581" customHeight="1" ht="18.75">
      <c r="A581" s="1"/>
      <c r="B581" s="7"/>
      <c r="C581" s="170"/>
      <c r="D581" s="331">
        <v>574</v>
      </c>
      <c r="E581" s="544">
        <f>+DATE(YEAR(E580),MONTH(E580)-1,DAY(E580))</f>
        <v>25569.041666666668</v>
      </c>
      <c r="F581" s="333">
        <f>IF(DATE(YEAR($B$6),MONTH($B$6)+1,DAY(1))=E581,1,IF(MONTH(E581)=1,F582*(1+$F$5),F582))</f>
      </c>
      <c r="G581" s="333">
        <f>IF('Simulador - 1º Pilar'!$E$99="Sí",IF('Aportaciones Poliza'!$B$13&lt;'Aportaciones Poliza'!E581,0,F581*$B$8/12),F581*$B$8/12)</f>
      </c>
      <c r="H581" s="333">
        <f>$H$5*G581</f>
      </c>
      <c r="I581" s="333"/>
      <c r="J581" s="333">
        <f>(1+$M$5)^(D581/12)*(H581+IF(AND(F581=1,F582=0),$Q$4,0))</f>
      </c>
      <c r="K581" s="333">
        <f>(1+$M$5)^(D581/12)*(I581)</f>
      </c>
      <c r="L581" s="333">
        <f>K581+J581</f>
      </c>
      <c r="M581" s="170"/>
      <c r="N581" s="7"/>
      <c r="O581" s="1"/>
      <c r="P581" s="331">
        <f>D581</f>
      </c>
      <c r="Q581" s="169"/>
    </row>
    <row x14ac:dyDescent="0.25" r="582" customHeight="1" ht="18.75">
      <c r="A582" s="1"/>
      <c r="B582" s="7"/>
      <c r="C582" s="170"/>
      <c r="D582" s="331">
        <v>575</v>
      </c>
      <c r="E582" s="544">
        <f>+DATE(YEAR(E581),MONTH(E581)-1,DAY(E581))</f>
        <v>25569.041666666668</v>
      </c>
      <c r="F582" s="333">
        <f>IF(DATE(YEAR($B$6),MONTH($B$6)+1,DAY(1))=E582,1,IF(MONTH(E582)=1,F583*(1+$F$5),F583))</f>
      </c>
      <c r="G582" s="333">
        <f>IF('Simulador - 1º Pilar'!$E$99="Sí",IF('Aportaciones Poliza'!$B$13&lt;'Aportaciones Poliza'!E582,0,F582*$B$8/12),F582*$B$8/12)</f>
      </c>
      <c r="H582" s="333">
        <f>$H$5*G582</f>
      </c>
      <c r="I582" s="333"/>
      <c r="J582" s="333">
        <f>(1+$M$5)^(D582/12)*(H582+IF(AND(F582=1,F583=0),$Q$4,0))</f>
      </c>
      <c r="K582" s="333">
        <f>(1+$M$5)^(D582/12)*(I582)</f>
      </c>
      <c r="L582" s="333">
        <f>K582+J582</f>
      </c>
      <c r="M582" s="170"/>
      <c r="N582" s="7"/>
      <c r="O582" s="1"/>
      <c r="P582" s="331">
        <f>D582</f>
      </c>
      <c r="Q582" s="169"/>
    </row>
    <row x14ac:dyDescent="0.25" r="583" customHeight="1" ht="18.75">
      <c r="A583" s="1"/>
      <c r="B583" s="7"/>
      <c r="C583" s="170"/>
      <c r="D583" s="331">
        <v>576</v>
      </c>
      <c r="E583" s="544">
        <f>+DATE(YEAR(E582),MONTH(E582)-1,DAY(E582))</f>
        <v>25569.041666666668</v>
      </c>
      <c r="F583" s="333">
        <f>IF(DATE(YEAR($B$6),MONTH($B$6)+1,DAY(1))=E583,1,IF(MONTH(E583)=1,F584*(1+$F$5),F584))</f>
      </c>
      <c r="G583" s="333">
        <f>IF('Simulador - 1º Pilar'!$E$99="Sí",IF('Aportaciones Poliza'!$B$13&lt;'Aportaciones Poliza'!E583,0,F583*$B$8/12),F583*$B$8/12)</f>
      </c>
      <c r="H583" s="333">
        <f>$H$5*G583</f>
      </c>
      <c r="I583" s="333"/>
      <c r="J583" s="333">
        <f>(1+$M$5)^(D583/12)*(H583+IF(AND(F583=1,F584=0),$Q$4,0))</f>
      </c>
      <c r="K583" s="333">
        <f>(1+$M$5)^(D583/12)*(I583)</f>
      </c>
      <c r="L583" s="333">
        <f>K583+J583</f>
      </c>
      <c r="M583" s="170"/>
      <c r="N583" s="7"/>
      <c r="O583" s="1"/>
      <c r="P583" s="331">
        <f>D583</f>
      </c>
      <c r="Q583" s="169"/>
    </row>
    <row x14ac:dyDescent="0.25" r="584" customHeight="1" ht="18.75">
      <c r="A584" s="1"/>
      <c r="B584" s="7"/>
      <c r="C584" s="170"/>
      <c r="D584" s="331">
        <v>577</v>
      </c>
      <c r="E584" s="544">
        <f>+DATE(YEAR(E583),MONTH(E583)-1,DAY(E583))</f>
        <v>25569.041666666668</v>
      </c>
      <c r="F584" s="333">
        <f>IF(DATE(YEAR($B$6),MONTH($B$6)+1,DAY(1))=E584,1,IF(MONTH(E584)=1,F585*(1+$F$5),F585))</f>
      </c>
      <c r="G584" s="333">
        <f>IF('Simulador - 1º Pilar'!$E$99="Sí",IF('Aportaciones Poliza'!$B$13&lt;'Aportaciones Poliza'!E584,0,F584*$B$8/12),F584*$B$8/12)</f>
      </c>
      <c r="H584" s="333">
        <f>$H$5*G584</f>
      </c>
      <c r="I584" s="333"/>
      <c r="J584" s="333">
        <f>(1+$M$5)^(D584/12)*(H584+IF(AND(F584=1,F585=0),$Q$4,0))</f>
      </c>
      <c r="K584" s="333">
        <f>(1+$M$5)^(D584/12)*(I584)</f>
      </c>
      <c r="L584" s="333">
        <f>K584+J584</f>
      </c>
      <c r="M584" s="170"/>
      <c r="N584" s="7"/>
      <c r="O584" s="1"/>
      <c r="P584" s="331">
        <f>D584</f>
      </c>
      <c r="Q584" s="169"/>
    </row>
    <row x14ac:dyDescent="0.25" r="585" customHeight="1" ht="18.75">
      <c r="A585" s="1"/>
      <c r="B585" s="7"/>
      <c r="C585" s="170"/>
      <c r="D585" s="331">
        <v>578</v>
      </c>
      <c r="E585" s="544">
        <f>+DATE(YEAR(E584),MONTH(E584)-1,DAY(E584))</f>
        <v>25569.041666666668</v>
      </c>
      <c r="F585" s="333">
        <f>IF(DATE(YEAR($B$6),MONTH($B$6)+1,DAY(1))=E585,1,IF(MONTH(E585)=1,F586*(1+$F$5),F586))</f>
      </c>
      <c r="G585" s="333">
        <f>IF('Simulador - 1º Pilar'!$E$99="Sí",IF('Aportaciones Poliza'!$B$13&lt;'Aportaciones Poliza'!E585,0,F585*$B$8/12),F585*$B$8/12)</f>
      </c>
      <c r="H585" s="333">
        <f>$H$5*G585</f>
      </c>
      <c r="I585" s="333"/>
      <c r="J585" s="333">
        <f>(1+$M$5)^(D585/12)*(H585+IF(AND(F585=1,F586=0),$Q$4,0))</f>
      </c>
      <c r="K585" s="333">
        <f>(1+$M$5)^(D585/12)*(I585)</f>
      </c>
      <c r="L585" s="333">
        <f>K585+J585</f>
      </c>
      <c r="M585" s="170"/>
      <c r="N585" s="7"/>
      <c r="O585" s="1"/>
      <c r="P585" s="331">
        <f>D585</f>
      </c>
      <c r="Q585" s="169"/>
    </row>
    <row x14ac:dyDescent="0.25" r="586" customHeight="1" ht="18.75">
      <c r="A586" s="1"/>
      <c r="B586" s="7"/>
      <c r="C586" s="170"/>
      <c r="D586" s="331">
        <v>579</v>
      </c>
      <c r="E586" s="544">
        <f>+DATE(YEAR(E585),MONTH(E585)-1,DAY(E585))</f>
        <v>25569.041666666668</v>
      </c>
      <c r="F586" s="333">
        <f>IF(DATE(YEAR($B$6),MONTH($B$6)+1,DAY(1))=E586,1,IF(MONTH(E586)=1,F587*(1+$F$5),F587))</f>
      </c>
      <c r="G586" s="333">
        <f>IF('Simulador - 1º Pilar'!$E$99="Sí",IF('Aportaciones Poliza'!$B$13&lt;'Aportaciones Poliza'!E586,0,F586*$B$8/12),F586*$B$8/12)</f>
      </c>
      <c r="H586" s="333">
        <f>$H$5*G586</f>
      </c>
      <c r="I586" s="333"/>
      <c r="J586" s="333">
        <f>(1+$M$5)^(D586/12)*(H586+IF(AND(F586=1,F587=0),$Q$4,0))</f>
      </c>
      <c r="K586" s="333">
        <f>(1+$M$5)^(D586/12)*(I586)</f>
      </c>
      <c r="L586" s="333">
        <f>K586+J586</f>
      </c>
      <c r="M586" s="170"/>
      <c r="N586" s="7"/>
      <c r="O586" s="1"/>
      <c r="P586" s="331">
        <f>D586</f>
      </c>
      <c r="Q586" s="169"/>
    </row>
    <row x14ac:dyDescent="0.25" r="587" customHeight="1" ht="18.75">
      <c r="A587" s="1"/>
      <c r="B587" s="7"/>
      <c r="C587" s="170"/>
      <c r="D587" s="331">
        <v>580</v>
      </c>
      <c r="E587" s="544">
        <f>+DATE(YEAR(E586),MONTH(E586)-1,DAY(E586))</f>
        <v>25569.041666666668</v>
      </c>
      <c r="F587" s="333">
        <f>IF(DATE(YEAR($B$6),MONTH($B$6)+1,DAY(1))=E587,1,IF(MONTH(E587)=1,F588*(1+$F$5),F588))</f>
      </c>
      <c r="G587" s="333">
        <f>IF('Simulador - 1º Pilar'!$E$99="Sí",IF('Aportaciones Poliza'!$B$13&lt;'Aportaciones Poliza'!E587,0,F587*$B$8/12),F587*$B$8/12)</f>
      </c>
      <c r="H587" s="333">
        <f>$H$5*G587</f>
      </c>
      <c r="I587" s="333"/>
      <c r="J587" s="333">
        <f>(1+$M$5)^(D587/12)*(H587+IF(AND(F587=1,F588=0),$Q$4,0))</f>
      </c>
      <c r="K587" s="333">
        <f>(1+$M$5)^(D587/12)*(I587)</f>
      </c>
      <c r="L587" s="333">
        <f>K587+J587</f>
      </c>
      <c r="M587" s="170"/>
      <c r="N587" s="7"/>
      <c r="O587" s="1"/>
      <c r="P587" s="331">
        <f>D587</f>
      </c>
      <c r="Q587" s="169"/>
    </row>
    <row x14ac:dyDescent="0.25" r="588" customHeight="1" ht="18.75">
      <c r="A588" s="1"/>
      <c r="B588" s="7"/>
      <c r="C588" s="170"/>
      <c r="D588" s="331">
        <v>581</v>
      </c>
      <c r="E588" s="544">
        <f>+DATE(YEAR(E587),MONTH(E587)-1,DAY(E587))</f>
        <v>25569.041666666668</v>
      </c>
      <c r="F588" s="333">
        <f>IF(DATE(YEAR($B$6),MONTH($B$6)+1,DAY(1))=E588,1,IF(MONTH(E588)=1,F589*(1+$F$5),F589))</f>
      </c>
      <c r="G588" s="333">
        <f>IF('Simulador - 1º Pilar'!$E$99="Sí",IF('Aportaciones Poliza'!$B$13&lt;'Aportaciones Poliza'!E588,0,F588*$B$8/12),F588*$B$8/12)</f>
      </c>
      <c r="H588" s="333">
        <f>$H$5*G588</f>
      </c>
      <c r="I588" s="333"/>
      <c r="J588" s="333">
        <f>(1+$M$5)^(D588/12)*(H588+IF(AND(F588=1,F589=0),$Q$4,0))</f>
      </c>
      <c r="K588" s="333">
        <f>(1+$M$5)^(D588/12)*(I588)</f>
      </c>
      <c r="L588" s="333">
        <f>K588+J588</f>
      </c>
      <c r="M588" s="170"/>
      <c r="N588" s="7"/>
      <c r="O588" s="1"/>
      <c r="P588" s="331">
        <f>D588</f>
      </c>
      <c r="Q588" s="169"/>
    </row>
    <row x14ac:dyDescent="0.25" r="589" customHeight="1" ht="18.75">
      <c r="A589" s="1"/>
      <c r="B589" s="7"/>
      <c r="C589" s="170"/>
      <c r="D589" s="331">
        <v>582</v>
      </c>
      <c r="E589" s="544">
        <f>+DATE(YEAR(E588),MONTH(E588)-1,DAY(E588))</f>
        <v>25569.041666666668</v>
      </c>
      <c r="F589" s="333">
        <f>IF(DATE(YEAR($B$6),MONTH($B$6)+1,DAY(1))=E589,1,IF(MONTH(E589)=1,F590*(1+$F$5),F590))</f>
      </c>
      <c r="G589" s="333">
        <f>IF('Simulador - 1º Pilar'!$E$99="Sí",IF('Aportaciones Poliza'!$B$13&lt;'Aportaciones Poliza'!E589,0,F589*$B$8/12),F589*$B$8/12)</f>
      </c>
      <c r="H589" s="333">
        <f>$H$5*G589</f>
      </c>
      <c r="I589" s="333"/>
      <c r="J589" s="333">
        <f>(1+$M$5)^(D589/12)*(H589+IF(AND(F589=1,F590=0),$Q$4,0))</f>
      </c>
      <c r="K589" s="333">
        <f>(1+$M$5)^(D589/12)*(I589)</f>
      </c>
      <c r="L589" s="333">
        <f>K589+J589</f>
      </c>
      <c r="M589" s="170"/>
      <c r="N589" s="7"/>
      <c r="O589" s="1"/>
      <c r="P589" s="331">
        <f>D589</f>
      </c>
      <c r="Q589" s="169"/>
    </row>
    <row x14ac:dyDescent="0.25" r="590" customHeight="1" ht="18.75">
      <c r="A590" s="1"/>
      <c r="B590" s="7"/>
      <c r="C590" s="170"/>
      <c r="D590" s="331">
        <v>583</v>
      </c>
      <c r="E590" s="544">
        <f>+DATE(YEAR(E589),MONTH(E589)-1,DAY(E589))</f>
        <v>25569.041666666668</v>
      </c>
      <c r="F590" s="333">
        <f>IF(DATE(YEAR($B$6),MONTH($B$6)+1,DAY(1))=E590,1,IF(MONTH(E590)=1,F591*(1+$F$5),F591))</f>
      </c>
      <c r="G590" s="333">
        <f>IF('Simulador - 1º Pilar'!$E$99="Sí",IF('Aportaciones Poliza'!$B$13&lt;'Aportaciones Poliza'!E590,0,F590*$B$8/12),F590*$B$8/12)</f>
      </c>
      <c r="H590" s="333">
        <f>$H$5*G590</f>
      </c>
      <c r="I590" s="333"/>
      <c r="J590" s="333">
        <f>(1+$M$5)^(D590/12)*(H590+IF(AND(F590=1,F591=0),$Q$4,0))</f>
      </c>
      <c r="K590" s="333">
        <f>(1+$M$5)^(D590/12)*(I590)</f>
      </c>
      <c r="L590" s="333">
        <f>K590+J590</f>
      </c>
      <c r="M590" s="170"/>
      <c r="N590" s="7"/>
      <c r="O590" s="1"/>
      <c r="P590" s="331">
        <f>D590</f>
      </c>
      <c r="Q590" s="169"/>
    </row>
    <row x14ac:dyDescent="0.25" r="591" customHeight="1" ht="18.75">
      <c r="A591" s="1"/>
      <c r="B591" s="7"/>
      <c r="C591" s="170"/>
      <c r="D591" s="331">
        <v>584</v>
      </c>
      <c r="E591" s="544">
        <f>+DATE(YEAR(E590),MONTH(E590)-1,DAY(E590))</f>
        <v>25569.041666666668</v>
      </c>
      <c r="F591" s="333">
        <f>IF(DATE(YEAR($B$6),MONTH($B$6)+1,DAY(1))=E591,1,IF(MONTH(E591)=1,F592*(1+$F$5),F592))</f>
      </c>
      <c r="G591" s="333">
        <f>IF('Simulador - 1º Pilar'!$E$99="Sí",IF('Aportaciones Poliza'!$B$13&lt;'Aportaciones Poliza'!E591,0,F591*$B$8/12),F591*$B$8/12)</f>
      </c>
      <c r="H591" s="333">
        <f>$H$5*G591</f>
      </c>
      <c r="I591" s="333"/>
      <c r="J591" s="333">
        <f>(1+$M$5)^(D591/12)*(H591+IF(AND(F591=1,F592=0),$Q$4,0))</f>
      </c>
      <c r="K591" s="333">
        <f>(1+$M$5)^(D591/12)*(I591)</f>
      </c>
      <c r="L591" s="333">
        <f>K591+J591</f>
      </c>
      <c r="M591" s="170"/>
      <c r="N591" s="7"/>
      <c r="O591" s="1"/>
      <c r="P591" s="331">
        <f>D591</f>
      </c>
      <c r="Q591" s="169"/>
    </row>
    <row x14ac:dyDescent="0.25" r="592" customHeight="1" ht="18.75">
      <c r="A592" s="1"/>
      <c r="B592" s="7"/>
      <c r="C592" s="170"/>
      <c r="D592" s="331">
        <v>585</v>
      </c>
      <c r="E592" s="544">
        <f>+DATE(YEAR(E591),MONTH(E591)-1,DAY(E591))</f>
        <v>25569.041666666668</v>
      </c>
      <c r="F592" s="333">
        <f>IF(DATE(YEAR($B$6),MONTH($B$6)+1,DAY(1))=E592,1,IF(MONTH(E592)=1,F593*(1+$F$5),F593))</f>
      </c>
      <c r="G592" s="333">
        <f>IF('Simulador - 1º Pilar'!$E$99="Sí",IF('Aportaciones Poliza'!$B$13&lt;'Aportaciones Poliza'!E592,0,F592*$B$8/12),F592*$B$8/12)</f>
      </c>
      <c r="H592" s="333">
        <f>$H$5*G592</f>
      </c>
      <c r="I592" s="333"/>
      <c r="J592" s="333">
        <f>(1+$M$5)^(D592/12)*(H592+IF(AND(F592=1,F593=0),$Q$4,0))</f>
      </c>
      <c r="K592" s="333">
        <f>(1+$M$5)^(D592/12)*(I592)</f>
      </c>
      <c r="L592" s="333">
        <f>K592+J592</f>
      </c>
      <c r="M592" s="170"/>
      <c r="N592" s="7"/>
      <c r="O592" s="1"/>
      <c r="P592" s="331">
        <f>D592</f>
      </c>
      <c r="Q592" s="169"/>
    </row>
    <row x14ac:dyDescent="0.25" r="593" customHeight="1" ht="18.75">
      <c r="A593" s="1"/>
      <c r="B593" s="7"/>
      <c r="C593" s="170"/>
      <c r="D593" s="331">
        <v>586</v>
      </c>
      <c r="E593" s="544">
        <f>+DATE(YEAR(E592),MONTH(E592)-1,DAY(E592))</f>
        <v>25569.041666666668</v>
      </c>
      <c r="F593" s="333">
        <f>IF(DATE(YEAR($B$6),MONTH($B$6)+1,DAY(1))=E593,1,IF(MONTH(E593)=1,F594*(1+$F$5),F594))</f>
      </c>
      <c r="G593" s="333">
        <f>IF('Simulador - 1º Pilar'!$E$99="Sí",IF('Aportaciones Poliza'!$B$13&lt;'Aportaciones Poliza'!E593,0,F593*$B$8/12),F593*$B$8/12)</f>
      </c>
      <c r="H593" s="333">
        <f>$H$5*G593</f>
      </c>
      <c r="I593" s="333"/>
      <c r="J593" s="333">
        <f>(1+$M$5)^(D593/12)*(H593+IF(AND(F593=1,F594=0),$Q$4,0))</f>
      </c>
      <c r="K593" s="333">
        <f>(1+$M$5)^(D593/12)*(I593)</f>
      </c>
      <c r="L593" s="333">
        <f>K593+J593</f>
      </c>
      <c r="M593" s="170"/>
      <c r="N593" s="7"/>
      <c r="O593" s="1"/>
      <c r="P593" s="331">
        <f>D593</f>
      </c>
      <c r="Q593" s="169"/>
    </row>
    <row x14ac:dyDescent="0.25" r="594" customHeight="1" ht="18.75">
      <c r="A594" s="1"/>
      <c r="B594" s="7"/>
      <c r="C594" s="170"/>
      <c r="D594" s="331">
        <v>587</v>
      </c>
      <c r="E594" s="544">
        <f>+DATE(YEAR(E593),MONTH(E593)-1,DAY(E593))</f>
        <v>25569.041666666668</v>
      </c>
      <c r="F594" s="333">
        <f>IF(DATE(YEAR($B$6),MONTH($B$6)+1,DAY(1))=E594,1,IF(MONTH(E594)=1,F595*(1+$F$5),F595))</f>
      </c>
      <c r="G594" s="333">
        <f>IF('Simulador - 1º Pilar'!$E$99="Sí",IF('Aportaciones Poliza'!$B$13&lt;'Aportaciones Poliza'!E594,0,F594*$B$8/12),F594*$B$8/12)</f>
      </c>
      <c r="H594" s="333">
        <f>$H$5*G594</f>
      </c>
      <c r="I594" s="333"/>
      <c r="J594" s="333">
        <f>(1+$M$5)^(D594/12)*(H594+IF(AND(F594=1,F595=0),$Q$4,0))</f>
      </c>
      <c r="K594" s="333">
        <f>(1+$M$5)^(D594/12)*(I594)</f>
      </c>
      <c r="L594" s="333">
        <f>K594+J594</f>
      </c>
      <c r="M594" s="170"/>
      <c r="N594" s="7"/>
      <c r="O594" s="1"/>
      <c r="P594" s="331">
        <f>D594</f>
      </c>
      <c r="Q594" s="169"/>
    </row>
    <row x14ac:dyDescent="0.25" r="595" customHeight="1" ht="18.75">
      <c r="A595" s="1"/>
      <c r="B595" s="7"/>
      <c r="C595" s="170"/>
      <c r="D595" s="331">
        <v>588</v>
      </c>
      <c r="E595" s="544">
        <f>+DATE(YEAR(E594),MONTH(E594)-1,DAY(E594))</f>
        <v>25569.041666666668</v>
      </c>
      <c r="F595" s="333">
        <f>IF(DATE(YEAR($B$6),MONTH($B$6)+1,DAY(1))=E595,1,IF(MONTH(E595)=1,F596*(1+$F$5),F596))</f>
      </c>
      <c r="G595" s="333">
        <f>IF('Simulador - 1º Pilar'!$E$99="Sí",IF('Aportaciones Poliza'!$B$13&lt;'Aportaciones Poliza'!E595,0,F595*$B$8/12),F595*$B$8/12)</f>
      </c>
      <c r="H595" s="333">
        <f>$H$5*G595</f>
      </c>
      <c r="I595" s="333"/>
      <c r="J595" s="333">
        <f>(1+$M$5)^(D595/12)*(H595+IF(AND(F595=1,F596=0),$Q$4,0))</f>
      </c>
      <c r="K595" s="333">
        <f>(1+$M$5)^(D595/12)*(I595)</f>
      </c>
      <c r="L595" s="333">
        <f>K595+J595</f>
      </c>
      <c r="M595" s="170"/>
      <c r="N595" s="7"/>
      <c r="O595" s="1"/>
      <c r="P595" s="331">
        <f>D595</f>
      </c>
      <c r="Q595" s="169"/>
    </row>
    <row x14ac:dyDescent="0.25" r="596" customHeight="1" ht="18.75">
      <c r="A596" s="1"/>
      <c r="B596" s="7"/>
      <c r="C596" s="170"/>
      <c r="D596" s="331">
        <v>589</v>
      </c>
      <c r="E596" s="544">
        <f>+DATE(YEAR(E595),MONTH(E595)-1,DAY(E595))</f>
        <v>25569.041666666668</v>
      </c>
      <c r="F596" s="333">
        <f>IF(DATE(YEAR($B$6),MONTH($B$6)+1,DAY(1))=E596,1,IF(MONTH(E596)=1,F597*(1+$F$5),F597))</f>
      </c>
      <c r="G596" s="333">
        <f>IF('Simulador - 1º Pilar'!$E$99="Sí",IF('Aportaciones Poliza'!$B$13&lt;'Aportaciones Poliza'!E596,0,F596*$B$8/12),F596*$B$8/12)</f>
      </c>
      <c r="H596" s="333">
        <f>$H$5*G596</f>
      </c>
      <c r="I596" s="333"/>
      <c r="J596" s="333">
        <f>(1+$M$5)^(D596/12)*(H596+IF(AND(F596=1,F597=0),$Q$4,0))</f>
      </c>
      <c r="K596" s="333">
        <f>(1+$M$5)^(D596/12)*(I596)</f>
      </c>
      <c r="L596" s="333">
        <f>K596+J596</f>
      </c>
      <c r="M596" s="170"/>
      <c r="N596" s="7"/>
      <c r="O596" s="1"/>
      <c r="P596" s="331">
        <f>D596</f>
      </c>
      <c r="Q596" s="169"/>
    </row>
    <row x14ac:dyDescent="0.25" r="597" customHeight="1" ht="18.75">
      <c r="A597" s="1"/>
      <c r="B597" s="7"/>
      <c r="C597" s="170"/>
      <c r="D597" s="331">
        <v>590</v>
      </c>
      <c r="E597" s="544">
        <f>+DATE(YEAR(E596),MONTH(E596)-1,DAY(E596))</f>
        <v>25569.041666666668</v>
      </c>
      <c r="F597" s="333">
        <f>IF(DATE(YEAR($B$6),MONTH($B$6)+1,DAY(1))=E597,1,IF(MONTH(E597)=1,F598*(1+$F$5),F598))</f>
      </c>
      <c r="G597" s="333">
        <f>IF('Simulador - 1º Pilar'!$E$99="Sí",IF('Aportaciones Poliza'!$B$13&lt;'Aportaciones Poliza'!E597,0,F597*$B$8/12),F597*$B$8/12)</f>
      </c>
      <c r="H597" s="333">
        <f>$H$5*G597</f>
      </c>
      <c r="I597" s="333"/>
      <c r="J597" s="333">
        <f>(1+$M$5)^(D597/12)*(H597+IF(AND(F597=1,F598=0),$Q$4,0))</f>
      </c>
      <c r="K597" s="333">
        <f>(1+$M$5)^(D597/12)*(I597)</f>
      </c>
      <c r="L597" s="333">
        <f>K597+J597</f>
      </c>
      <c r="M597" s="170"/>
      <c r="N597" s="7"/>
      <c r="O597" s="1"/>
      <c r="P597" s="331">
        <f>D597</f>
      </c>
      <c r="Q597" s="169"/>
    </row>
    <row x14ac:dyDescent="0.25" r="598" customHeight="1" ht="18.75">
      <c r="A598" s="1"/>
      <c r="B598" s="7"/>
      <c r="C598" s="170"/>
      <c r="D598" s="331">
        <v>591</v>
      </c>
      <c r="E598" s="544">
        <f>+DATE(YEAR(E597),MONTH(E597)-1,DAY(E597))</f>
        <v>25569.041666666668</v>
      </c>
      <c r="F598" s="333">
        <f>IF(DATE(YEAR($B$6),MONTH($B$6)+1,DAY(1))=E598,1,IF(MONTH(E598)=1,F599*(1+$F$5),F599))</f>
      </c>
      <c r="G598" s="333">
        <f>IF('Simulador - 1º Pilar'!$E$99="Sí",IF('Aportaciones Poliza'!$B$13&lt;'Aportaciones Poliza'!E598,0,F598*$B$8/12),F598*$B$8/12)</f>
      </c>
      <c r="H598" s="333">
        <f>$H$5*G598</f>
      </c>
      <c r="I598" s="333"/>
      <c r="J598" s="333">
        <f>(1+$M$5)^(D598/12)*(H598+IF(AND(F598=1,F599=0),$Q$4,0))</f>
      </c>
      <c r="K598" s="333">
        <f>(1+$M$5)^(D598/12)*(I598)</f>
      </c>
      <c r="L598" s="333">
        <f>K598+J598</f>
      </c>
      <c r="M598" s="170"/>
      <c r="N598" s="7"/>
      <c r="O598" s="1"/>
      <c r="P598" s="331">
        <f>D598</f>
      </c>
      <c r="Q598" s="169"/>
    </row>
    <row x14ac:dyDescent="0.25" r="599" customHeight="1" ht="18.75">
      <c r="A599" s="1"/>
      <c r="B599" s="7"/>
      <c r="C599" s="170"/>
      <c r="D599" s="331">
        <v>592</v>
      </c>
      <c r="E599" s="544">
        <f>+DATE(YEAR(E598),MONTH(E598)-1,DAY(E598))</f>
        <v>25569.041666666668</v>
      </c>
      <c r="F599" s="333">
        <f>IF(DATE(YEAR($B$6),MONTH($B$6)+1,DAY(1))=E599,1,IF(MONTH(E599)=1,F600*(1+$F$5),F600))</f>
      </c>
      <c r="G599" s="333">
        <f>IF('Simulador - 1º Pilar'!$E$99="Sí",IF('Aportaciones Poliza'!$B$13&lt;'Aportaciones Poliza'!E599,0,F599*$B$8/12),F599*$B$8/12)</f>
      </c>
      <c r="H599" s="333">
        <f>$H$5*G599</f>
      </c>
      <c r="I599" s="333"/>
      <c r="J599" s="333">
        <f>(1+$M$5)^(D599/12)*(H599+IF(AND(F599=1,F600=0),$Q$4,0))</f>
      </c>
      <c r="K599" s="333">
        <f>(1+$M$5)^(D599/12)*(I599)</f>
      </c>
      <c r="L599" s="333">
        <f>K599+J599</f>
      </c>
      <c r="M599" s="170"/>
      <c r="N599" s="7"/>
      <c r="O599" s="1"/>
      <c r="P599" s="331">
        <f>D599</f>
      </c>
      <c r="Q599" s="169"/>
    </row>
    <row x14ac:dyDescent="0.25" r="600" customHeight="1" ht="18.75">
      <c r="A600" s="1"/>
      <c r="B600" s="7"/>
      <c r="C600" s="170"/>
      <c r="D600" s="331">
        <v>593</v>
      </c>
      <c r="E600" s="544">
        <f>+DATE(YEAR(E599),MONTH(E599)-1,DAY(E599))</f>
        <v>25569.041666666668</v>
      </c>
      <c r="F600" s="333">
        <f>IF(DATE(YEAR($B$6),MONTH($B$6)+1,DAY(1))=E600,1,IF(MONTH(E600)=1,F601*(1+$F$5),F601))</f>
      </c>
      <c r="G600" s="333">
        <f>IF('Simulador - 1º Pilar'!$E$99="Sí",IF('Aportaciones Poliza'!$B$13&lt;'Aportaciones Poliza'!E600,0,F600*$B$8/12),F600*$B$8/12)</f>
      </c>
      <c r="H600" s="333">
        <f>$H$5*G600</f>
      </c>
      <c r="I600" s="333"/>
      <c r="J600" s="333">
        <f>(1+$M$5)^(D600/12)*(H600+IF(AND(F600=1,F601=0),$Q$4,0))</f>
      </c>
      <c r="K600" s="333">
        <f>(1+$M$5)^(D600/12)*(I600)</f>
      </c>
      <c r="L600" s="333">
        <f>K600+J600</f>
      </c>
      <c r="M600" s="170"/>
      <c r="N600" s="7"/>
      <c r="O600" s="1"/>
      <c r="P600" s="331">
        <f>D600</f>
      </c>
      <c r="Q600" s="169"/>
    </row>
    <row x14ac:dyDescent="0.25" r="601" customHeight="1" ht="18.75">
      <c r="A601" s="1"/>
      <c r="B601" s="7"/>
      <c r="C601" s="170"/>
      <c r="D601" s="331">
        <v>594</v>
      </c>
      <c r="E601" s="544">
        <f>+DATE(YEAR(E600),MONTH(E600)-1,DAY(E600))</f>
        <v>25569.041666666668</v>
      </c>
      <c r="F601" s="333">
        <f>IF(DATE(YEAR($B$6),MONTH($B$6)+1,DAY(1))=E601,1,IF(MONTH(E601)=1,F602*(1+$F$5),F602))</f>
      </c>
      <c r="G601" s="333">
        <f>IF('Simulador - 1º Pilar'!$E$99="Sí",IF('Aportaciones Poliza'!$B$13&lt;'Aportaciones Poliza'!E601,0,F601*$B$8/12),F601*$B$8/12)</f>
      </c>
      <c r="H601" s="333">
        <f>$H$5*G601</f>
      </c>
      <c r="I601" s="333"/>
      <c r="J601" s="333">
        <f>(1+$M$5)^(D601/12)*(H601+IF(AND(F601=1,F602=0),$Q$4,0))</f>
      </c>
      <c r="K601" s="333">
        <f>(1+$M$5)^(D601/12)*(I601)</f>
      </c>
      <c r="L601" s="333">
        <f>K601+J601</f>
      </c>
      <c r="M601" s="170"/>
      <c r="N601" s="7"/>
      <c r="O601" s="1"/>
      <c r="P601" s="331">
        <f>D601</f>
      </c>
      <c r="Q601" s="169"/>
    </row>
    <row x14ac:dyDescent="0.25" r="602" customHeight="1" ht="18.75">
      <c r="A602" s="1"/>
      <c r="B602" s="7"/>
      <c r="C602" s="170"/>
      <c r="D602" s="331">
        <v>595</v>
      </c>
      <c r="E602" s="544">
        <f>+DATE(YEAR(E601),MONTH(E601)-1,DAY(E601))</f>
        <v>25569.041666666668</v>
      </c>
      <c r="F602" s="333">
        <f>IF(DATE(YEAR($B$6),MONTH($B$6)+1,DAY(1))=E602,1,IF(MONTH(E602)=1,F603*(1+$F$5),F603))</f>
      </c>
      <c r="G602" s="333">
        <f>IF('Simulador - 1º Pilar'!$E$99="Sí",IF('Aportaciones Poliza'!$B$13&lt;'Aportaciones Poliza'!E602,0,F602*$B$8/12),F602*$B$8/12)</f>
      </c>
      <c r="H602" s="333">
        <f>$H$5*G602</f>
      </c>
      <c r="I602" s="333"/>
      <c r="J602" s="333">
        <f>(1+$M$5)^(D602/12)*(H602+IF(AND(F602=1,F603=0),$Q$4,0))</f>
      </c>
      <c r="K602" s="333">
        <f>(1+$M$5)^(D602/12)*(I602)</f>
      </c>
      <c r="L602" s="333">
        <f>K602+J602</f>
      </c>
      <c r="M602" s="170"/>
      <c r="N602" s="7"/>
      <c r="O602" s="1"/>
      <c r="P602" s="331">
        <f>D602</f>
      </c>
      <c r="Q602" s="169"/>
    </row>
    <row x14ac:dyDescent="0.25" r="603" customHeight="1" ht="18.75">
      <c r="A603" s="1"/>
      <c r="B603" s="7"/>
      <c r="C603" s="170"/>
      <c r="D603" s="331">
        <v>596</v>
      </c>
      <c r="E603" s="544">
        <f>+DATE(YEAR(E602),MONTH(E602)-1,DAY(E602))</f>
        <v>25569.041666666668</v>
      </c>
      <c r="F603" s="333">
        <f>IF(DATE(YEAR($B$6),MONTH($B$6)+1,DAY(1))=E603,1,IF(MONTH(E603)=1,F604*(1+$F$5),F604))</f>
      </c>
      <c r="G603" s="333">
        <f>IF('Simulador - 1º Pilar'!$E$99="Sí",IF('Aportaciones Poliza'!$B$13&lt;'Aportaciones Poliza'!E603,0,F603*$B$8/12),F603*$B$8/12)</f>
      </c>
      <c r="H603" s="333">
        <f>$H$5*G603</f>
      </c>
      <c r="I603" s="333"/>
      <c r="J603" s="333">
        <f>(1+$M$5)^(D603/12)*(H603+IF(AND(F603=1,F604=0),$Q$4,0))</f>
      </c>
      <c r="K603" s="333">
        <f>(1+$M$5)^(D603/12)*(I603)</f>
      </c>
      <c r="L603" s="333">
        <f>K603+J603</f>
      </c>
      <c r="M603" s="170"/>
      <c r="N603" s="7"/>
      <c r="O603" s="1"/>
      <c r="P603" s="331">
        <f>D603</f>
      </c>
      <c r="Q603" s="169"/>
    </row>
    <row x14ac:dyDescent="0.25" r="604" customHeight="1" ht="18.75">
      <c r="A604" s="1"/>
      <c r="B604" s="7"/>
      <c r="C604" s="170"/>
      <c r="D604" s="331">
        <v>597</v>
      </c>
      <c r="E604" s="544">
        <f>+DATE(YEAR(E603),MONTH(E603)-1,DAY(E603))</f>
        <v>25569.041666666668</v>
      </c>
      <c r="F604" s="333">
        <f>IF(DATE(YEAR($B$6),MONTH($B$6)+1,DAY(1))=E604,1,IF(MONTH(E604)=1,F605*(1+$F$5),F605))</f>
      </c>
      <c r="G604" s="333">
        <f>IF('Simulador - 1º Pilar'!$E$99="Sí",IF('Aportaciones Poliza'!$B$13&lt;'Aportaciones Poliza'!E604,0,F604*$B$8/12),F604*$B$8/12)</f>
      </c>
      <c r="H604" s="333">
        <f>$H$5*G604</f>
      </c>
      <c r="I604" s="333"/>
      <c r="J604" s="333">
        <f>(1+$M$5)^(D604/12)*(H604+IF(AND(F604=1,F605=0),$Q$4,0))</f>
      </c>
      <c r="K604" s="333">
        <f>(1+$M$5)^(D604/12)*(I604)</f>
      </c>
      <c r="L604" s="333">
        <f>K604+J604</f>
      </c>
      <c r="M604" s="170"/>
      <c r="N604" s="7"/>
      <c r="O604" s="1"/>
      <c r="P604" s="331">
        <f>D604</f>
      </c>
      <c r="Q604" s="169"/>
    </row>
    <row x14ac:dyDescent="0.25" r="605" customHeight="1" ht="18.75">
      <c r="A605" s="1"/>
      <c r="B605" s="7"/>
      <c r="C605" s="170"/>
      <c r="D605" s="331">
        <v>598</v>
      </c>
      <c r="E605" s="544">
        <f>+DATE(YEAR(E604),MONTH(E604)-1,DAY(E604))</f>
        <v>25569.041666666668</v>
      </c>
      <c r="F605" s="333">
        <f>IF(DATE(YEAR($B$6),MONTH($B$6)+1,DAY(1))=E605,1,IF(MONTH(E605)=1,F606*(1+$F$5),F606))</f>
      </c>
      <c r="G605" s="333">
        <f>IF('Simulador - 1º Pilar'!$E$99="Sí",IF('Aportaciones Poliza'!$B$13&lt;'Aportaciones Poliza'!E605,0,F605*$B$8/12),F605*$B$8/12)</f>
      </c>
      <c r="H605" s="333">
        <f>$H$5*G605</f>
      </c>
      <c r="I605" s="333"/>
      <c r="J605" s="333">
        <f>(1+$M$5)^(D605/12)*(H605+IF(AND(F605=1,F606=0),$Q$4,0))</f>
      </c>
      <c r="K605" s="333">
        <f>(1+$M$5)^(D605/12)*(I605)</f>
      </c>
      <c r="L605" s="333">
        <f>K605+J605</f>
      </c>
      <c r="M605" s="170"/>
      <c r="N605" s="7"/>
      <c r="O605" s="1"/>
      <c r="P605" s="331">
        <f>D605</f>
      </c>
      <c r="Q605" s="169"/>
    </row>
    <row x14ac:dyDescent="0.25" r="606" customHeight="1" ht="18.75">
      <c r="A606" s="1"/>
      <c r="B606" s="7"/>
      <c r="C606" s="170"/>
      <c r="D606" s="331">
        <v>599</v>
      </c>
      <c r="E606" s="544">
        <f>+DATE(YEAR(E605),MONTH(E605)-1,DAY(E605))</f>
        <v>25569.041666666668</v>
      </c>
      <c r="F606" s="333">
        <f>IF(DATE(YEAR($B$6),MONTH($B$6)+1,DAY(1))=E606,1,IF(MONTH(E606)=1,F607*(1+$F$5),F607))</f>
      </c>
      <c r="G606" s="333">
        <f>IF('Simulador - 1º Pilar'!$E$99="Sí",IF('Aportaciones Poliza'!$B$13&lt;'Aportaciones Poliza'!E606,0,F606*$B$8/12),F606*$B$8/12)</f>
      </c>
      <c r="H606" s="333">
        <f>$H$5*G606</f>
      </c>
      <c r="I606" s="333"/>
      <c r="J606" s="333">
        <f>(1+$M$5)^(D606/12)*(H606+IF(AND(F606=1,F607=0),$Q$4,0))</f>
      </c>
      <c r="K606" s="333">
        <f>(1+$M$5)^(D606/12)*(I606)</f>
      </c>
      <c r="L606" s="333">
        <f>K606+J606</f>
      </c>
      <c r="M606" s="170"/>
      <c r="N606" s="7"/>
      <c r="O606" s="1"/>
      <c r="P606" s="331">
        <f>D606</f>
      </c>
      <c r="Q606" s="169"/>
    </row>
    <row x14ac:dyDescent="0.25" r="607" customHeight="1" ht="18.75">
      <c r="A607" s="1"/>
      <c r="B607" s="7"/>
      <c r="C607" s="170"/>
      <c r="D607" s="331">
        <v>600</v>
      </c>
      <c r="E607" s="544">
        <f>+DATE(YEAR(E606),MONTH(E606)-1,DAY(E606))</f>
        <v>25569.041666666668</v>
      </c>
      <c r="F607" s="333">
        <f>IF(DATE(YEAR($B$6),MONTH($B$6)+1,DAY(1))=E607,1,IF(MONTH(E607)=1,F608*(1+$F$5),F608))</f>
      </c>
      <c r="G607" s="333">
        <f>IF('Simulador - 1º Pilar'!$E$99="Sí",IF('Aportaciones Poliza'!$B$13&lt;'Aportaciones Poliza'!E607,0,F607*$B$8/12),F607*$B$8/12)</f>
      </c>
      <c r="H607" s="333">
        <f>$H$5*G607</f>
      </c>
      <c r="I607" s="333"/>
      <c r="J607" s="333">
        <f>(1+$M$5)^(D607/12)*(H607+IF(AND(F607=1,F608=0),$Q$4,0))</f>
      </c>
      <c r="K607" s="333">
        <f>(1+$M$5)^(D607/12)*(I607)</f>
      </c>
      <c r="L607" s="333">
        <f>K607+J607</f>
      </c>
      <c r="M607" s="170"/>
      <c r="N607" s="7"/>
      <c r="O607" s="1"/>
      <c r="P607" s="331">
        <f>D607</f>
      </c>
      <c r="Q607" s="169"/>
    </row>
    <row x14ac:dyDescent="0.25" r="608" customHeight="1" ht="18.75">
      <c r="A608" s="1"/>
      <c r="B608" s="7"/>
      <c r="C608" s="170"/>
      <c r="D608" s="331">
        <v>601</v>
      </c>
      <c r="E608" s="544">
        <f>+DATE(YEAR(E607),MONTH(E607)-1,DAY(E607))</f>
        <v>25569.041666666668</v>
      </c>
      <c r="F608" s="333">
        <f>IF(DATE(YEAR($B$6),MONTH($B$6)+1,DAY(1))=E608,1,IF(MONTH(E608)=1,F609*(1+$F$5),F609))</f>
      </c>
      <c r="G608" s="333">
        <f>IF('Simulador - 1º Pilar'!$E$99="Sí",IF('Aportaciones Poliza'!$B$13&lt;'Aportaciones Poliza'!E608,0,F608*$B$8/12),F608*$B$8/12)</f>
      </c>
      <c r="H608" s="333">
        <f>$H$5*G608</f>
      </c>
      <c r="I608" s="333"/>
      <c r="J608" s="333">
        <f>(1+$M$5)^(D608/12)*(H608+IF(AND(F608=1,F609=0),$Q$4,0))</f>
      </c>
      <c r="K608" s="333">
        <f>(1+$M$5)^(D608/12)*(I608)</f>
      </c>
      <c r="L608" s="333">
        <f>K608+J608</f>
      </c>
      <c r="M608" s="170"/>
      <c r="N608" s="7"/>
      <c r="O608" s="1"/>
      <c r="P608" s="331">
        <f>D608</f>
      </c>
      <c r="Q608" s="169"/>
    </row>
    <row x14ac:dyDescent="0.25" r="609" customHeight="1" ht="18.75">
      <c r="A609" s="1"/>
      <c r="B609" s="7"/>
      <c r="C609" s="170"/>
      <c r="D609" s="331">
        <v>602</v>
      </c>
      <c r="E609" s="544">
        <f>+DATE(YEAR(E608),MONTH(E608)-1,DAY(E608))</f>
        <v>25569.041666666668</v>
      </c>
      <c r="F609" s="333">
        <f>IF(DATE(YEAR($B$6),MONTH($B$6)+1,DAY(1))=E609,1,IF(MONTH(E609)=1,F610*(1+$F$5),F610))</f>
      </c>
      <c r="G609" s="333">
        <f>IF('Simulador - 1º Pilar'!$E$99="Sí",IF('Aportaciones Poliza'!$B$13&lt;'Aportaciones Poliza'!E609,0,F609*$B$8/12),F609*$B$8/12)</f>
      </c>
      <c r="H609" s="333">
        <f>$H$5*G609</f>
      </c>
      <c r="I609" s="333"/>
      <c r="J609" s="333">
        <f>(1+$M$5)^(D609/12)*(H609+IF(AND(F609=1,F610=0),$Q$4,0))</f>
      </c>
      <c r="K609" s="333">
        <f>(1+$M$5)^(D609/12)*(I609)</f>
      </c>
      <c r="L609" s="333">
        <f>K609+J609</f>
      </c>
      <c r="M609" s="170"/>
      <c r="N609" s="7"/>
      <c r="O609" s="1"/>
      <c r="P609" s="331">
        <f>D609</f>
      </c>
      <c r="Q609" s="169"/>
    </row>
    <row x14ac:dyDescent="0.25" r="610" customHeight="1" ht="18.75">
      <c r="A610" s="1"/>
      <c r="B610" s="7"/>
      <c r="C610" s="170"/>
      <c r="D610" s="331">
        <v>603</v>
      </c>
      <c r="E610" s="544">
        <f>+DATE(YEAR(E609),MONTH(E609)-1,DAY(E609))</f>
        <v>25569.041666666668</v>
      </c>
      <c r="F610" s="333">
        <f>IF(DATE(YEAR($B$6),MONTH($B$6)+1,DAY(1))=E610,1,IF(MONTH(E610)=1,F611*(1+$F$5),F611))</f>
      </c>
      <c r="G610" s="333">
        <f>IF('Simulador - 1º Pilar'!$E$99="Sí",IF('Aportaciones Poliza'!$B$13&lt;'Aportaciones Poliza'!E610,0,F610*$B$8/12),F610*$B$8/12)</f>
      </c>
      <c r="H610" s="333">
        <f>$H$5*G610</f>
      </c>
      <c r="I610" s="333"/>
      <c r="J610" s="333">
        <f>(1+$M$5)^(D610/12)*(H610+IF(AND(F610=1,F611=0),$Q$4,0))</f>
      </c>
      <c r="K610" s="333">
        <f>(1+$M$5)^(D610/12)*(I610)</f>
      </c>
      <c r="L610" s="333">
        <f>K610+J610</f>
      </c>
      <c r="M610" s="170"/>
      <c r="N610" s="7"/>
      <c r="O610" s="1"/>
      <c r="P610" s="331">
        <f>D610</f>
      </c>
      <c r="Q610" s="169"/>
    </row>
    <row x14ac:dyDescent="0.25" r="611" customHeight="1" ht="18.75">
      <c r="A611" s="1"/>
      <c r="B611" s="7"/>
      <c r="C611" s="170"/>
      <c r="D611" s="331">
        <v>604</v>
      </c>
      <c r="E611" s="544">
        <f>+DATE(YEAR(E610),MONTH(E610)-1,DAY(E610))</f>
        <v>25569.041666666668</v>
      </c>
      <c r="F611" s="333">
        <f>IF(DATE(YEAR($B$6),MONTH($B$6)+1,DAY(1))=E611,1,IF(MONTH(E611)=1,F612*(1+$F$5),F612))</f>
      </c>
      <c r="G611" s="333">
        <f>IF('Simulador - 1º Pilar'!$E$99="Sí",IF('Aportaciones Poliza'!$B$13&lt;'Aportaciones Poliza'!E611,0,F611*$B$8/12),F611*$B$8/12)</f>
      </c>
      <c r="H611" s="333">
        <f>$H$5*G611</f>
      </c>
      <c r="I611" s="333"/>
      <c r="J611" s="333">
        <f>(1+$M$5)^(D611/12)*(H611+IF(AND(F611=1,F612=0),$Q$4,0))</f>
      </c>
      <c r="K611" s="333">
        <f>(1+$M$5)^(D611/12)*(I611)</f>
      </c>
      <c r="L611" s="333">
        <f>K611+J611</f>
      </c>
      <c r="M611" s="170"/>
      <c r="N611" s="7"/>
      <c r="O611" s="1"/>
      <c r="P611" s="331">
        <f>D611</f>
      </c>
      <c r="Q611" s="169"/>
    </row>
    <row x14ac:dyDescent="0.25" r="612" customHeight="1" ht="18.75">
      <c r="A612" s="1"/>
      <c r="B612" s="7"/>
      <c r="C612" s="170"/>
      <c r="D612" s="331">
        <v>605</v>
      </c>
      <c r="E612" s="544">
        <f>+DATE(YEAR(E611),MONTH(E611)-1,DAY(E611))</f>
        <v>25569.041666666668</v>
      </c>
      <c r="F612" s="333">
        <f>IF(DATE(YEAR($B$6),MONTH($B$6)+1,DAY(1))=E612,1,IF(MONTH(E612)=1,F613*(1+$F$5),F613))</f>
      </c>
      <c r="G612" s="333">
        <f>IF('Simulador - 1º Pilar'!$E$99="Sí",IF('Aportaciones Poliza'!$B$13&lt;'Aportaciones Poliza'!E612,0,F612*$B$8/12),F612*$B$8/12)</f>
      </c>
      <c r="H612" s="333">
        <f>$H$5*G612</f>
      </c>
      <c r="I612" s="333"/>
      <c r="J612" s="333">
        <f>(1+$M$5)^(D612/12)*(H612+IF(AND(F612=1,F613=0),$Q$4,0))</f>
      </c>
      <c r="K612" s="333">
        <f>(1+$M$5)^(D612/12)*(I612)</f>
      </c>
      <c r="L612" s="333">
        <f>K612+J612</f>
      </c>
      <c r="M612" s="170"/>
      <c r="N612" s="7"/>
      <c r="O612" s="1"/>
      <c r="P612" s="331">
        <f>D612</f>
      </c>
      <c r="Q612" s="169"/>
    </row>
    <row x14ac:dyDescent="0.25" r="613" customHeight="1" ht="18.75">
      <c r="A613" s="1"/>
      <c r="B613" s="7"/>
      <c r="C613" s="170"/>
      <c r="D613" s="331">
        <v>606</v>
      </c>
      <c r="E613" s="544">
        <f>+DATE(YEAR(E612),MONTH(E612)-1,DAY(E612))</f>
        <v>25569.041666666668</v>
      </c>
      <c r="F613" s="333">
        <f>IF(DATE(YEAR($B$6),MONTH($B$6)+1,DAY(1))=E613,1,IF(MONTH(E613)=1,F614*(1+$F$5),F614))</f>
      </c>
      <c r="G613" s="333">
        <f>IF('Simulador - 1º Pilar'!$E$99="Sí",IF('Aportaciones Poliza'!$B$13&lt;'Aportaciones Poliza'!E613,0,F613*$B$8/12),F613*$B$8/12)</f>
      </c>
      <c r="H613" s="333">
        <f>$H$5*G613</f>
      </c>
      <c r="I613" s="333"/>
      <c r="J613" s="333">
        <f>(1+$M$5)^(D613/12)*(H613+IF(AND(F613=1,F614=0),$Q$4,0))</f>
      </c>
      <c r="K613" s="333">
        <f>(1+$M$5)^(D613/12)*(I613)</f>
      </c>
      <c r="L613" s="333">
        <f>K613+J613</f>
      </c>
      <c r="M613" s="170"/>
      <c r="N613" s="7"/>
      <c r="O613" s="1"/>
      <c r="P613" s="331">
        <f>D613</f>
      </c>
      <c r="Q613" s="169"/>
    </row>
    <row x14ac:dyDescent="0.25" r="614" customHeight="1" ht="18.75">
      <c r="A614" s="1"/>
      <c r="B614" s="7"/>
      <c r="C614" s="170"/>
      <c r="D614" s="331">
        <v>607</v>
      </c>
      <c r="E614" s="544">
        <f>+DATE(YEAR(E613),MONTH(E613)-1,DAY(E613))</f>
        <v>25569.041666666668</v>
      </c>
      <c r="F614" s="333">
        <f>IF(DATE(YEAR($B$6),MONTH($B$6)+1,DAY(1))=E614,1,IF(MONTH(E614)=1,F615*(1+$F$5),F615))</f>
      </c>
      <c r="G614" s="333">
        <f>IF('Simulador - 1º Pilar'!$E$99="Sí",IF('Aportaciones Poliza'!$B$13&lt;'Aportaciones Poliza'!E614,0,F614*$B$8/12),F614*$B$8/12)</f>
      </c>
      <c r="H614" s="333">
        <f>$H$5*G614</f>
      </c>
      <c r="I614" s="333"/>
      <c r="J614" s="333">
        <f>(1+$M$5)^(D614/12)*(H614+IF(AND(F614=1,F615=0),$Q$4,0))</f>
      </c>
      <c r="K614" s="333">
        <f>(1+$M$5)^(D614/12)*(I614)</f>
      </c>
      <c r="L614" s="333">
        <f>K614+J614</f>
      </c>
      <c r="M614" s="170"/>
      <c r="N614" s="7"/>
      <c r="O614" s="1"/>
      <c r="P614" s="331">
        <f>D614</f>
      </c>
      <c r="Q614" s="169"/>
    </row>
    <row x14ac:dyDescent="0.25" r="615" customHeight="1" ht="18.75">
      <c r="A615" s="1"/>
      <c r="B615" s="7"/>
      <c r="C615" s="170"/>
      <c r="D615" s="331">
        <v>608</v>
      </c>
      <c r="E615" s="544">
        <f>+DATE(YEAR(E614),MONTH(E614)-1,DAY(E614))</f>
        <v>25569.041666666668</v>
      </c>
      <c r="F615" s="333">
        <f>IF(DATE(YEAR($B$6),MONTH($B$6)+1,DAY(1))=E615,1,IF(MONTH(E615)=1,F616*(1+$F$5),F616))</f>
      </c>
      <c r="G615" s="333">
        <f>IF('Simulador - 1º Pilar'!$E$99="Sí",IF('Aportaciones Poliza'!$B$13&lt;'Aportaciones Poliza'!E615,0,F615*$B$8/12),F615*$B$8/12)</f>
      </c>
      <c r="H615" s="333">
        <f>$H$5*G615</f>
      </c>
      <c r="I615" s="333"/>
      <c r="J615" s="333">
        <f>(1+$M$5)^(D615/12)*(H615+IF(AND(F615=1,F616=0),$Q$4,0))</f>
      </c>
      <c r="K615" s="333">
        <f>(1+$M$5)^(D615/12)*(I615)</f>
      </c>
      <c r="L615" s="333">
        <f>K615+J615</f>
      </c>
      <c r="M615" s="170"/>
      <c r="N615" s="7"/>
      <c r="O615" s="1"/>
      <c r="P615" s="331">
        <f>D615</f>
      </c>
      <c r="Q615" s="169"/>
    </row>
    <row x14ac:dyDescent="0.25" r="616" customHeight="1" ht="18.75">
      <c r="A616" s="1"/>
      <c r="B616" s="7"/>
      <c r="C616" s="170"/>
      <c r="D616" s="331">
        <v>609</v>
      </c>
      <c r="E616" s="544">
        <f>+DATE(YEAR(E615),MONTH(E615)-1,DAY(E615))</f>
        <v>25569.041666666668</v>
      </c>
      <c r="F616" s="333">
        <f>IF(DATE(YEAR($B$6),MONTH($B$6)+1,DAY(1))=E616,1,IF(MONTH(E616)=1,F617*(1+$F$5),F617))</f>
      </c>
      <c r="G616" s="333">
        <f>IF('Simulador - 1º Pilar'!$E$99="Sí",IF('Aportaciones Poliza'!$B$13&lt;'Aportaciones Poliza'!E616,0,F616*$B$8/12),F616*$B$8/12)</f>
      </c>
      <c r="H616" s="333">
        <f>$H$5*G616</f>
      </c>
      <c r="I616" s="333"/>
      <c r="J616" s="333">
        <f>(1+$M$5)^(D616/12)*(H616+IF(AND(F616=1,F617=0),$Q$4,0))</f>
      </c>
      <c r="K616" s="333">
        <f>(1+$M$5)^(D616/12)*(I616)</f>
      </c>
      <c r="L616" s="333">
        <f>K616+J616</f>
      </c>
      <c r="M616" s="170"/>
      <c r="N616" s="7"/>
      <c r="O616" s="1"/>
      <c r="P616" s="331">
        <f>D616</f>
      </c>
      <c r="Q616" s="169"/>
    </row>
    <row x14ac:dyDescent="0.25" r="617" customHeight="1" ht="18.75">
      <c r="A617" s="1"/>
      <c r="B617" s="7"/>
      <c r="C617" s="170"/>
      <c r="D617" s="331">
        <v>610</v>
      </c>
      <c r="E617" s="544">
        <f>+DATE(YEAR(E616),MONTH(E616)-1,DAY(E616))</f>
        <v>25569.041666666668</v>
      </c>
      <c r="F617" s="333">
        <f>IF(DATE(YEAR($B$6),MONTH($B$6)+1,DAY(1))=E617,1,IF(MONTH(E617)=1,F618*(1+$F$5),F618))</f>
      </c>
      <c r="G617" s="333">
        <f>IF('Simulador - 1º Pilar'!$E$99="Sí",IF('Aportaciones Poliza'!$B$13&lt;'Aportaciones Poliza'!E617,0,F617*$B$8/12),F617*$B$8/12)</f>
      </c>
      <c r="H617" s="333">
        <f>$H$5*G617</f>
      </c>
      <c r="I617" s="333"/>
      <c r="J617" s="333">
        <f>(1+$M$5)^(D617/12)*(H617+IF(AND(F617=1,F618=0),$Q$4,0))</f>
      </c>
      <c r="K617" s="333">
        <f>(1+$M$5)^(D617/12)*(I617)</f>
      </c>
      <c r="L617" s="333">
        <f>K617+J617</f>
      </c>
      <c r="M617" s="170"/>
      <c r="N617" s="7"/>
      <c r="O617" s="1"/>
      <c r="P617" s="331">
        <f>D617</f>
      </c>
      <c r="Q617" s="169"/>
    </row>
    <row x14ac:dyDescent="0.25" r="618" customHeight="1" ht="18.75">
      <c r="A618" s="1"/>
      <c r="B618" s="7"/>
      <c r="C618" s="170"/>
      <c r="D618" s="331">
        <v>611</v>
      </c>
      <c r="E618" s="544">
        <f>+DATE(YEAR(E617),MONTH(E617)-1,DAY(E617))</f>
        <v>25569.041666666668</v>
      </c>
      <c r="F618" s="333">
        <f>IF(DATE(YEAR($B$6),MONTH($B$6)+1,DAY(1))=E618,1,IF(MONTH(E618)=1,F619*(1+$F$5),F619))</f>
      </c>
      <c r="G618" s="333">
        <f>IF('Simulador - 1º Pilar'!$E$99="Sí",IF('Aportaciones Poliza'!$B$13&lt;'Aportaciones Poliza'!E618,0,F618*$B$8/12),F618*$B$8/12)</f>
      </c>
      <c r="H618" s="333">
        <f>$H$5*G618</f>
      </c>
      <c r="I618" s="333"/>
      <c r="J618" s="333">
        <f>(1+$M$5)^(D618/12)*(H618+IF(AND(F618=1,F619=0),$Q$4,0))</f>
      </c>
      <c r="K618" s="333">
        <f>(1+$M$5)^(D618/12)*(I618)</f>
      </c>
      <c r="L618" s="333">
        <f>K618+J618</f>
      </c>
      <c r="M618" s="170"/>
      <c r="N618" s="7"/>
      <c r="O618" s="1"/>
      <c r="P618" s="331">
        <f>D618</f>
      </c>
      <c r="Q618" s="169"/>
    </row>
    <row x14ac:dyDescent="0.25" r="619" customHeight="1" ht="18.75">
      <c r="A619" s="1"/>
      <c r="B619" s="7"/>
      <c r="C619" s="170"/>
      <c r="D619" s="331">
        <v>612</v>
      </c>
      <c r="E619" s="544">
        <f>+DATE(YEAR(E618),MONTH(E618)-1,DAY(E618))</f>
        <v>25569.041666666668</v>
      </c>
      <c r="F619" s="333">
        <f>IF(DATE(YEAR($B$6),MONTH($B$6)+1,DAY(1))=E619,1,IF(MONTH(E619)=1,F620*(1+$F$5),F620))</f>
      </c>
      <c r="G619" s="333">
        <f>IF('Simulador - 1º Pilar'!$E$99="Sí",IF('Aportaciones Poliza'!$B$13&lt;'Aportaciones Poliza'!E619,0,F619*$B$8/12),F619*$B$8/12)</f>
      </c>
      <c r="H619" s="333">
        <f>$H$5*G619</f>
      </c>
      <c r="I619" s="333"/>
      <c r="J619" s="333">
        <f>(1+$M$5)^(D619/12)*(H619+IF(AND(F619=1,F620=0),$Q$4,0))</f>
      </c>
      <c r="K619" s="333">
        <f>(1+$M$5)^(D619/12)*(I619)</f>
      </c>
      <c r="L619" s="333">
        <f>K619+J619</f>
      </c>
      <c r="M619" s="170"/>
      <c r="N619" s="7"/>
      <c r="O619" s="1"/>
      <c r="P619" s="331">
        <f>D619</f>
      </c>
      <c r="Q619" s="169"/>
    </row>
    <row x14ac:dyDescent="0.25" r="620" customHeight="1" ht="18.75">
      <c r="A620" s="1"/>
      <c r="B620" s="7"/>
      <c r="C620" s="170"/>
      <c r="D620" s="331">
        <v>613</v>
      </c>
      <c r="E620" s="544">
        <f>+DATE(YEAR(E619),MONTH(E619)-1,DAY(E619))</f>
        <v>25569.041666666668</v>
      </c>
      <c r="F620" s="333">
        <f>IF(DATE(YEAR($B$6),MONTH($B$6)+1,DAY(1))=E620,1,IF(MONTH(E620)=1,F621*(1+$F$5),F621))</f>
      </c>
      <c r="G620" s="333">
        <f>IF('Simulador - 1º Pilar'!$E$99="Sí",IF('Aportaciones Poliza'!$B$13&lt;'Aportaciones Poliza'!E620,0,F620*$B$8/12),F620*$B$8/12)</f>
      </c>
      <c r="H620" s="333">
        <f>$H$5*G620</f>
      </c>
      <c r="I620" s="333"/>
      <c r="J620" s="333">
        <f>(1+$M$5)^(D620/12)*(H620+IF(AND(F620=1,F621=0),$Q$4,0))</f>
      </c>
      <c r="K620" s="333">
        <f>(1+$M$5)^(D620/12)*(I620)</f>
      </c>
      <c r="L620" s="333">
        <f>K620+J620</f>
      </c>
      <c r="M620" s="170"/>
      <c r="N620" s="7"/>
      <c r="O620" s="1"/>
      <c r="P620" s="331">
        <f>D620</f>
      </c>
      <c r="Q620" s="169"/>
    </row>
    <row x14ac:dyDescent="0.25" r="621" customHeight="1" ht="18.75">
      <c r="A621" s="1"/>
      <c r="B621" s="7"/>
      <c r="C621" s="170"/>
      <c r="D621" s="331">
        <v>614</v>
      </c>
      <c r="E621" s="544">
        <f>+DATE(YEAR(E620),MONTH(E620)-1,DAY(E620))</f>
        <v>25569.041666666668</v>
      </c>
      <c r="F621" s="333">
        <f>IF(DATE(YEAR($B$6),MONTH($B$6)+1,DAY(1))=E621,1,IF(MONTH(E621)=1,F622*(1+$F$5),F622))</f>
      </c>
      <c r="G621" s="333">
        <f>IF('Simulador - 1º Pilar'!$E$99="Sí",IF('Aportaciones Poliza'!$B$13&lt;'Aportaciones Poliza'!E621,0,F621*$B$8/12),F621*$B$8/12)</f>
      </c>
      <c r="H621" s="333">
        <f>$H$5*G621</f>
      </c>
      <c r="I621" s="333"/>
      <c r="J621" s="333">
        <f>(1+$M$5)^(D621/12)*(H621+IF(AND(F621=1,F622=0),$Q$4,0))</f>
      </c>
      <c r="K621" s="333">
        <f>(1+$M$5)^(D621/12)*(I621)</f>
      </c>
      <c r="L621" s="333">
        <f>K621+J621</f>
      </c>
      <c r="M621" s="170"/>
      <c r="N621" s="7"/>
      <c r="O621" s="1"/>
      <c r="P621" s="331">
        <f>D621</f>
      </c>
      <c r="Q621" s="169"/>
    </row>
    <row x14ac:dyDescent="0.25" r="622" customHeight="1" ht="18.75">
      <c r="A622" s="1"/>
      <c r="B622" s="7"/>
      <c r="C622" s="170"/>
      <c r="D622" s="331">
        <v>615</v>
      </c>
      <c r="E622" s="544">
        <f>+DATE(YEAR(E621),MONTH(E621)-1,DAY(E621))</f>
        <v>25569.041666666668</v>
      </c>
      <c r="F622" s="333">
        <f>IF(DATE(YEAR($B$6),MONTH($B$6)+1,DAY(1))=E622,1,IF(MONTH(E622)=1,F623*(1+$F$5),F623))</f>
      </c>
      <c r="G622" s="333">
        <f>IF('Simulador - 1º Pilar'!$E$99="Sí",IF('Aportaciones Poliza'!$B$13&lt;'Aportaciones Poliza'!E622,0,F622*$B$8/12),F622*$B$8/12)</f>
      </c>
      <c r="H622" s="333">
        <f>$H$5*G622</f>
      </c>
      <c r="I622" s="333"/>
      <c r="J622" s="333">
        <f>(1+$M$5)^(D622/12)*(H622+IF(AND(F622=1,F623=0),$Q$4,0))</f>
      </c>
      <c r="K622" s="333">
        <f>(1+$M$5)^(D622/12)*(I622)</f>
      </c>
      <c r="L622" s="333">
        <f>K622+J622</f>
      </c>
      <c r="M622" s="170"/>
      <c r="N622" s="7"/>
      <c r="O622" s="1"/>
      <c r="P622" s="331">
        <f>D622</f>
      </c>
      <c r="Q622" s="169"/>
    </row>
    <row x14ac:dyDescent="0.25" r="623" customHeight="1" ht="18.75">
      <c r="A623" s="1"/>
      <c r="B623" s="7"/>
      <c r="C623" s="170"/>
      <c r="D623" s="331">
        <v>616</v>
      </c>
      <c r="E623" s="544">
        <f>+DATE(YEAR(E622),MONTH(E622)-1,DAY(E622))</f>
        <v>25569.041666666668</v>
      </c>
      <c r="F623" s="333">
        <f>IF(DATE(YEAR($B$6),MONTH($B$6)+1,DAY(1))=E623,1,IF(MONTH(E623)=1,F624*(1+$F$5),F624))</f>
      </c>
      <c r="G623" s="333">
        <f>IF('Simulador - 1º Pilar'!$E$99="Sí",IF('Aportaciones Poliza'!$B$13&lt;'Aportaciones Poliza'!E623,0,F623*$B$8/12),F623*$B$8/12)</f>
      </c>
      <c r="H623" s="333">
        <f>$H$5*G623</f>
      </c>
      <c r="I623" s="333"/>
      <c r="J623" s="333">
        <f>(1+$M$5)^(D623/12)*(H623+IF(AND(F623=1,F624=0),$Q$4,0))</f>
      </c>
      <c r="K623" s="333">
        <f>(1+$M$5)^(D623/12)*(I623)</f>
      </c>
      <c r="L623" s="333">
        <f>K623+J623</f>
      </c>
      <c r="M623" s="170"/>
      <c r="N623" s="7"/>
      <c r="O623" s="1"/>
      <c r="P623" s="331">
        <f>D623</f>
      </c>
      <c r="Q623" s="169"/>
    </row>
    <row x14ac:dyDescent="0.25" r="624" customHeight="1" ht="18.75">
      <c r="A624" s="1"/>
      <c r="B624" s="7"/>
      <c r="C624" s="170"/>
      <c r="D624" s="331">
        <v>617</v>
      </c>
      <c r="E624" s="544">
        <f>+DATE(YEAR(E623),MONTH(E623)-1,DAY(E623))</f>
        <v>25569.041666666668</v>
      </c>
      <c r="F624" s="333">
        <f>IF(DATE(YEAR($B$6),MONTH($B$6)+1,DAY(1))=E624,1,IF(MONTH(E624)=1,F625*(1+$F$5),F625))</f>
      </c>
      <c r="G624" s="333">
        <f>IF('Simulador - 1º Pilar'!$E$99="Sí",IF('Aportaciones Poliza'!$B$13&lt;'Aportaciones Poliza'!E624,0,F624*$B$8/12),F624*$B$8/12)</f>
      </c>
      <c r="H624" s="333">
        <f>$H$5*G624</f>
      </c>
      <c r="I624" s="333"/>
      <c r="J624" s="333">
        <f>(1+$M$5)^(D624/12)*(H624+IF(AND(F624=1,F625=0),$Q$4,0))</f>
      </c>
      <c r="K624" s="333">
        <f>(1+$M$5)^(D624/12)*(I624)</f>
      </c>
      <c r="L624" s="333">
        <f>K624+J624</f>
      </c>
      <c r="M624" s="170"/>
      <c r="N624" s="7"/>
      <c r="O624" s="1"/>
      <c r="P624" s="331">
        <f>D624</f>
      </c>
      <c r="Q624" s="169"/>
    </row>
    <row x14ac:dyDescent="0.25" r="625" customHeight="1" ht="18.75">
      <c r="A625" s="1"/>
      <c r="B625" s="7"/>
      <c r="C625" s="170"/>
      <c r="D625" s="331">
        <v>618</v>
      </c>
      <c r="E625" s="544">
        <f>+DATE(YEAR(E624),MONTH(E624)-1,DAY(E624))</f>
        <v>25569.041666666668</v>
      </c>
      <c r="F625" s="333">
        <f>IF(DATE(YEAR($B$6),MONTH($B$6)+1,DAY(1))=E625,1,IF(MONTH(E625)=1,F626*(1+$F$5),F626))</f>
      </c>
      <c r="G625" s="333">
        <f>IF('Simulador - 1º Pilar'!$E$99="Sí",IF('Aportaciones Poliza'!$B$13&lt;'Aportaciones Poliza'!E625,0,F625*$B$8/12),F625*$B$8/12)</f>
      </c>
      <c r="H625" s="333">
        <f>$H$5*G625</f>
      </c>
      <c r="I625" s="333"/>
      <c r="J625" s="333">
        <f>(1+$M$5)^(D625/12)*(H625+IF(AND(F625=1,F626=0),$Q$4,0))</f>
      </c>
      <c r="K625" s="333">
        <f>(1+$M$5)^(D625/12)*(I625)</f>
      </c>
      <c r="L625" s="333">
        <f>K625+J625</f>
      </c>
      <c r="M625" s="170"/>
      <c r="N625" s="7"/>
      <c r="O625" s="1"/>
      <c r="P625" s="331">
        <f>D625</f>
      </c>
      <c r="Q625" s="169"/>
    </row>
    <row x14ac:dyDescent="0.25" r="626" customHeight="1" ht="18.75">
      <c r="A626" s="1"/>
      <c r="B626" s="7"/>
      <c r="C626" s="170"/>
      <c r="D626" s="331">
        <v>619</v>
      </c>
      <c r="E626" s="544">
        <f>+DATE(YEAR(E625),MONTH(E625)-1,DAY(E625))</f>
        <v>25569.041666666668</v>
      </c>
      <c r="F626" s="333">
        <f>IF(DATE(YEAR($B$6),MONTH($B$6)+1,DAY(1))=E626,1,IF(MONTH(E626)=1,F627*(1+$F$5),F627))</f>
      </c>
      <c r="G626" s="333">
        <f>IF('Simulador - 1º Pilar'!$E$99="Sí",IF('Aportaciones Poliza'!$B$13&lt;'Aportaciones Poliza'!E626,0,F626*$B$8/12),F626*$B$8/12)</f>
      </c>
      <c r="H626" s="333">
        <f>$H$5*G626</f>
      </c>
      <c r="I626" s="333"/>
      <c r="J626" s="333">
        <f>(1+$M$5)^(D626/12)*(H626+IF(AND(F626=1,F627=0),$Q$4,0))</f>
      </c>
      <c r="K626" s="333">
        <f>(1+$M$5)^(D626/12)*(I626)</f>
      </c>
      <c r="L626" s="333">
        <f>K626+J626</f>
      </c>
      <c r="M626" s="170"/>
      <c r="N626" s="7"/>
      <c r="O626" s="1"/>
      <c r="P626" s="331">
        <f>D626</f>
      </c>
      <c r="Q626" s="169"/>
    </row>
    <row x14ac:dyDescent="0.25" r="627" customHeight="1" ht="18.75">
      <c r="A627" s="1"/>
      <c r="B627" s="7"/>
      <c r="C627" s="170"/>
      <c r="D627" s="331">
        <v>620</v>
      </c>
      <c r="E627" s="544">
        <f>+DATE(YEAR(E626),MONTH(E626)-1,DAY(E626))</f>
        <v>25569.041666666668</v>
      </c>
      <c r="F627" s="333">
        <f>IF(DATE(YEAR($B$6),MONTH($B$6)+1,DAY(1))=E627,1,IF(MONTH(E627)=1,F628*(1+$F$5),F628))</f>
      </c>
      <c r="G627" s="333">
        <f>IF('Simulador - 1º Pilar'!$E$99="Sí",IF('Aportaciones Poliza'!$B$13&lt;'Aportaciones Poliza'!E627,0,F627*$B$8/12),F627*$B$8/12)</f>
      </c>
      <c r="H627" s="333">
        <f>$H$5*G627</f>
      </c>
      <c r="I627" s="333"/>
      <c r="J627" s="333">
        <f>(1+$M$5)^(D627/12)*(H627+IF(AND(F627=1,F628=0),$Q$4,0))</f>
      </c>
      <c r="K627" s="333">
        <f>(1+$M$5)^(D627/12)*(I627)</f>
      </c>
      <c r="L627" s="333">
        <f>K627+J627</f>
      </c>
      <c r="M627" s="170"/>
      <c r="N627" s="7"/>
      <c r="O627" s="1"/>
      <c r="P627" s="331">
        <f>D627</f>
      </c>
      <c r="Q627" s="169"/>
    </row>
    <row x14ac:dyDescent="0.25" r="628" customHeight="1" ht="18.75">
      <c r="A628" s="1"/>
      <c r="B628" s="7"/>
      <c r="C628" s="170"/>
      <c r="D628" s="331">
        <v>621</v>
      </c>
      <c r="E628" s="544">
        <f>+DATE(YEAR(E627),MONTH(E627)-1,DAY(E627))</f>
        <v>25569.041666666668</v>
      </c>
      <c r="F628" s="333">
        <f>IF(DATE(YEAR($B$6),MONTH($B$6)+1,DAY(1))=E628,1,IF(MONTH(E628)=1,F629*(1+$F$5),F629))</f>
      </c>
      <c r="G628" s="333">
        <f>IF('Simulador - 1º Pilar'!$E$99="Sí",IF('Aportaciones Poliza'!$B$13&lt;'Aportaciones Poliza'!E628,0,F628*$B$8/12),F628*$B$8/12)</f>
      </c>
      <c r="H628" s="333">
        <f>$H$5*G628</f>
      </c>
      <c r="I628" s="333"/>
      <c r="J628" s="333">
        <f>(1+$M$5)^(D628/12)*(H628+IF(AND(F628=1,F629=0),$Q$4,0))</f>
      </c>
      <c r="K628" s="333">
        <f>(1+$M$5)^(D628/12)*(I628)</f>
      </c>
      <c r="L628" s="333">
        <f>K628+J628</f>
      </c>
      <c r="M628" s="170"/>
      <c r="N628" s="7"/>
      <c r="O628" s="1"/>
      <c r="P628" s="331">
        <f>D628</f>
      </c>
      <c r="Q628" s="169"/>
    </row>
    <row x14ac:dyDescent="0.25" r="629" customHeight="1" ht="18.75">
      <c r="A629" s="1"/>
      <c r="B629" s="7"/>
      <c r="C629" s="170"/>
      <c r="D629" s="331">
        <v>622</v>
      </c>
      <c r="E629" s="544">
        <f>+DATE(YEAR(E628),MONTH(E628)-1,DAY(E628))</f>
        <v>25569.041666666668</v>
      </c>
      <c r="F629" s="333">
        <f>IF(DATE(YEAR($B$6),MONTH($B$6)+1,DAY(1))=E629,1,IF(MONTH(E629)=1,F630*(1+$F$5),F630))</f>
      </c>
      <c r="G629" s="333">
        <f>IF('Simulador - 1º Pilar'!$E$99="Sí",IF('Aportaciones Poliza'!$B$13&lt;'Aportaciones Poliza'!E629,0,F629*$B$8/12),F629*$B$8/12)</f>
      </c>
      <c r="H629" s="333">
        <f>$H$5*G629</f>
      </c>
      <c r="I629" s="333"/>
      <c r="J629" s="333">
        <f>(1+$M$5)^(D629/12)*(H629+IF(AND(F629=1,F630=0),$Q$4,0))</f>
      </c>
      <c r="K629" s="333">
        <f>(1+$M$5)^(D629/12)*(I629)</f>
      </c>
      <c r="L629" s="333">
        <f>K629+J629</f>
      </c>
      <c r="M629" s="170"/>
      <c r="N629" s="7"/>
      <c r="O629" s="1"/>
      <c r="P629" s="331">
        <f>D629</f>
      </c>
      <c r="Q629" s="169"/>
    </row>
    <row x14ac:dyDescent="0.25" r="630" customHeight="1" ht="18.75">
      <c r="A630" s="1"/>
      <c r="B630" s="7"/>
      <c r="C630" s="170"/>
      <c r="D630" s="331">
        <v>623</v>
      </c>
      <c r="E630" s="544">
        <f>+DATE(YEAR(E629),MONTH(E629)-1,DAY(E629))</f>
        <v>25569.041666666668</v>
      </c>
      <c r="F630" s="333">
        <f>IF(DATE(YEAR($B$6),MONTH($B$6)+1,DAY(1))=E630,1,IF(MONTH(E630)=1,F631*(1+$F$5),F631))</f>
      </c>
      <c r="G630" s="333">
        <f>IF('Simulador - 1º Pilar'!$E$99="Sí",IF('Aportaciones Poliza'!$B$13&lt;'Aportaciones Poliza'!E630,0,F630*$B$8/12),F630*$B$8/12)</f>
      </c>
      <c r="H630" s="333">
        <f>$H$5*G630</f>
      </c>
      <c r="I630" s="333"/>
      <c r="J630" s="333">
        <f>(1+$M$5)^(D630/12)*(H630+IF(AND(F630=1,F631=0),$Q$4,0))</f>
      </c>
      <c r="K630" s="333">
        <f>(1+$M$5)^(D630/12)*(I630)</f>
      </c>
      <c r="L630" s="333">
        <f>K630+J630</f>
      </c>
      <c r="M630" s="170"/>
      <c r="N630" s="7"/>
      <c r="O630" s="1"/>
      <c r="P630" s="331">
        <f>D630</f>
      </c>
      <c r="Q630" s="169"/>
    </row>
    <row x14ac:dyDescent="0.25" r="631" customHeight="1" ht="18.75">
      <c r="A631" s="1"/>
      <c r="B631" s="7"/>
      <c r="C631" s="170"/>
      <c r="D631" s="331">
        <v>624</v>
      </c>
      <c r="E631" s="544">
        <f>+DATE(YEAR(E630),MONTH(E630)-1,DAY(E630))</f>
        <v>25569.041666666668</v>
      </c>
      <c r="F631" s="333">
        <f>IF(DATE(YEAR($B$6),MONTH($B$6)+1,DAY(1))=E631,1,IF(MONTH(E631)=1,F632*(1+$F$5),F632))</f>
      </c>
      <c r="G631" s="333">
        <f>IF('Simulador - 1º Pilar'!$E$99="Sí",IF('Aportaciones Poliza'!$B$13&lt;'Aportaciones Poliza'!E631,0,F631*$B$8/12),F631*$B$8/12)</f>
      </c>
      <c r="H631" s="333">
        <f>$H$5*G631</f>
      </c>
      <c r="I631" s="333"/>
      <c r="J631" s="333">
        <f>(1+$M$5)^(D631/12)*(H631+IF(AND(F631=1,F632=0),$Q$4,0))</f>
      </c>
      <c r="K631" s="333">
        <f>(1+$M$5)^(D631/12)*(I631)</f>
      </c>
      <c r="L631" s="333">
        <f>K631+J631</f>
      </c>
      <c r="M631" s="170"/>
      <c r="N631" s="7"/>
      <c r="O631" s="1"/>
      <c r="P631" s="331">
        <f>D631</f>
      </c>
      <c r="Q631" s="169"/>
    </row>
    <row x14ac:dyDescent="0.25" r="632" customHeight="1" ht="18.75">
      <c r="A632" s="1"/>
      <c r="B632" s="7"/>
      <c r="C632" s="170"/>
      <c r="D632" s="331">
        <v>625</v>
      </c>
      <c r="E632" s="544">
        <f>+DATE(YEAR(E631),MONTH(E631)-1,DAY(E631))</f>
        <v>25569.041666666668</v>
      </c>
      <c r="F632" s="333">
        <f>IF(DATE(YEAR($B$6),MONTH($B$6)+1,DAY(1))=E632,1,IF(MONTH(E632)=1,F633*(1+$F$5),F633))</f>
      </c>
      <c r="G632" s="333">
        <f>IF('Simulador - 1º Pilar'!$E$99="Sí",IF('Aportaciones Poliza'!$B$13&lt;'Aportaciones Poliza'!E632,0,F632*$B$8/12),F632*$B$8/12)</f>
      </c>
      <c r="H632" s="333">
        <f>$H$5*G632</f>
      </c>
      <c r="I632" s="333"/>
      <c r="J632" s="333">
        <f>(1+$M$5)^(D632/12)*(H632+IF(AND(F632=1,F633=0),$Q$4,0))</f>
      </c>
      <c r="K632" s="333">
        <f>(1+$M$5)^(D632/12)*(I632)</f>
      </c>
      <c r="L632" s="333">
        <f>K632+J632</f>
      </c>
      <c r="M632" s="170"/>
      <c r="N632" s="7"/>
      <c r="O632" s="1"/>
      <c r="P632" s="331">
        <f>D632</f>
      </c>
      <c r="Q632" s="169"/>
    </row>
    <row x14ac:dyDescent="0.25" r="633" customHeight="1" ht="18.75">
      <c r="A633" s="1"/>
      <c r="B633" s="7"/>
      <c r="C633" s="170"/>
      <c r="D633" s="331">
        <v>626</v>
      </c>
      <c r="E633" s="544">
        <f>+DATE(YEAR(E632),MONTH(E632)-1,DAY(E632))</f>
        <v>25569.041666666668</v>
      </c>
      <c r="F633" s="333">
        <f>IF(DATE(YEAR($B$6),MONTH($B$6)+1,DAY(1))=E633,1,IF(MONTH(E633)=1,F634*(1+$F$5),F634))</f>
      </c>
      <c r="G633" s="333">
        <f>IF('Simulador - 1º Pilar'!$E$99="Sí",IF('Aportaciones Poliza'!$B$13&lt;'Aportaciones Poliza'!E633,0,F633*$B$8/12),F633*$B$8/12)</f>
      </c>
      <c r="H633" s="333">
        <f>$H$5*G633</f>
      </c>
      <c r="I633" s="333"/>
      <c r="J633" s="333">
        <f>(1+$M$5)^(D633/12)*(H633+IF(AND(F633=1,F634=0),$Q$4,0))</f>
      </c>
      <c r="K633" s="333">
        <f>(1+$M$5)^(D633/12)*(I633)</f>
      </c>
      <c r="L633" s="333">
        <f>K633+J633</f>
      </c>
      <c r="M633" s="170"/>
      <c r="N633" s="7"/>
      <c r="O633" s="1"/>
      <c r="P633" s="331">
        <f>D633</f>
      </c>
      <c r="Q633" s="169"/>
    </row>
    <row x14ac:dyDescent="0.25" r="634" customHeight="1" ht="18.75">
      <c r="A634" s="1"/>
      <c r="B634" s="7"/>
      <c r="C634" s="170"/>
      <c r="D634" s="331">
        <v>627</v>
      </c>
      <c r="E634" s="544">
        <f>+DATE(YEAR(E633),MONTH(E633)-1,DAY(E633))</f>
        <v>25569.041666666668</v>
      </c>
      <c r="F634" s="333">
        <f>IF(DATE(YEAR($B$6),MONTH($B$6)+1,DAY(1))=E634,1,IF(MONTH(E634)=1,F635*(1+$F$5),F635))</f>
      </c>
      <c r="G634" s="333">
        <f>IF('Simulador - 1º Pilar'!$E$99="Sí",IF('Aportaciones Poliza'!$B$13&lt;'Aportaciones Poliza'!E634,0,F634*$B$8/12),F634*$B$8/12)</f>
      </c>
      <c r="H634" s="333">
        <f>$H$5*G634</f>
      </c>
      <c r="I634" s="333"/>
      <c r="J634" s="333">
        <f>(1+$M$5)^(D634/12)*(H634+IF(AND(F634=1,F635=0),$Q$4,0))</f>
      </c>
      <c r="K634" s="333">
        <f>(1+$M$5)^(D634/12)*(I634)</f>
      </c>
      <c r="L634" s="333">
        <f>K634+J634</f>
      </c>
      <c r="M634" s="170"/>
      <c r="N634" s="7"/>
      <c r="O634" s="1"/>
      <c r="P634" s="331">
        <f>D634</f>
      </c>
      <c r="Q634" s="169"/>
    </row>
    <row x14ac:dyDescent="0.25" r="635" customHeight="1" ht="18.75">
      <c r="A635" s="1"/>
      <c r="B635" s="7"/>
      <c r="C635" s="170"/>
      <c r="D635" s="331">
        <v>628</v>
      </c>
      <c r="E635" s="544">
        <f>+DATE(YEAR(E634),MONTH(E634)-1,DAY(E634))</f>
        <v>25569.041666666668</v>
      </c>
      <c r="F635" s="333">
        <f>IF(DATE(YEAR($B$6),MONTH($B$6)+1,DAY(1))=E635,1,IF(MONTH(E635)=1,F636*(1+$F$5),F636))</f>
      </c>
      <c r="G635" s="333">
        <f>IF('Simulador - 1º Pilar'!$E$99="Sí",IF('Aportaciones Poliza'!$B$13&lt;'Aportaciones Poliza'!E635,0,F635*$B$8/12),F635*$B$8/12)</f>
      </c>
      <c r="H635" s="333">
        <f>$H$5*G635</f>
      </c>
      <c r="I635" s="333"/>
      <c r="J635" s="333">
        <f>(1+$M$5)^(D635/12)*(H635+IF(AND(F635=1,F636=0),$Q$4,0))</f>
      </c>
      <c r="K635" s="333">
        <f>(1+$M$5)^(D635/12)*(I635)</f>
      </c>
      <c r="L635" s="333">
        <f>K635+J635</f>
      </c>
      <c r="M635" s="170"/>
      <c r="N635" s="7"/>
      <c r="O635" s="1"/>
      <c r="P635" s="331">
        <f>D635</f>
      </c>
      <c r="Q635" s="169"/>
    </row>
    <row x14ac:dyDescent="0.25" r="636" customHeight="1" ht="18.75">
      <c r="A636" s="1"/>
      <c r="B636" s="7"/>
      <c r="C636" s="170"/>
      <c r="D636" s="331">
        <v>629</v>
      </c>
      <c r="E636" s="544">
        <f>+DATE(YEAR(E635),MONTH(E635)-1,DAY(E635))</f>
        <v>25569.041666666668</v>
      </c>
      <c r="F636" s="333">
        <f>IF(DATE(YEAR($B$6),MONTH($B$6)+1,DAY(1))=E636,1,IF(MONTH(E636)=1,F637*(1+$F$5),F637))</f>
      </c>
      <c r="G636" s="333">
        <f>IF('Simulador - 1º Pilar'!$E$99="Sí",IF('Aportaciones Poliza'!$B$13&lt;'Aportaciones Poliza'!E636,0,F636*$B$8/12),F636*$B$8/12)</f>
      </c>
      <c r="H636" s="333">
        <f>$H$5*G636</f>
      </c>
      <c r="I636" s="333"/>
      <c r="J636" s="333">
        <f>(1+$M$5)^(D636/12)*(H636+IF(AND(F636=1,F637=0),$Q$4,0))</f>
      </c>
      <c r="K636" s="333">
        <f>(1+$M$5)^(D636/12)*(I636)</f>
      </c>
      <c r="L636" s="333">
        <f>K636+J636</f>
      </c>
      <c r="M636" s="170"/>
      <c r="N636" s="7"/>
      <c r="O636" s="1"/>
      <c r="P636" s="331">
        <f>D636</f>
      </c>
      <c r="Q636" s="169"/>
    </row>
    <row x14ac:dyDescent="0.25" r="637" customHeight="1" ht="18.75">
      <c r="A637" s="1"/>
      <c r="B637" s="7"/>
      <c r="C637" s="170"/>
      <c r="D637" s="331">
        <v>630</v>
      </c>
      <c r="E637" s="544">
        <f>+DATE(YEAR(E636),MONTH(E636)-1,DAY(E636))</f>
        <v>25569.041666666668</v>
      </c>
      <c r="F637" s="333">
        <f>IF(DATE(YEAR($B$6),MONTH($B$6)+1,DAY(1))=E637,1,IF(MONTH(E637)=1,F638*(1+$F$5),F638))</f>
      </c>
      <c r="G637" s="333">
        <f>IF('Simulador - 1º Pilar'!$E$99="Sí",IF('Aportaciones Poliza'!$B$13&lt;'Aportaciones Poliza'!E637,0,F637*$B$8/12),F637*$B$8/12)</f>
      </c>
      <c r="H637" s="333">
        <f>$H$5*G637</f>
      </c>
      <c r="I637" s="333"/>
      <c r="J637" s="333">
        <f>(1+$M$5)^(D637/12)*(H637+IF(AND(F637=1,F638=0),$Q$4,0))</f>
      </c>
      <c r="K637" s="333">
        <f>(1+$M$5)^(D637/12)*(I637)</f>
      </c>
      <c r="L637" s="333">
        <f>K637+J637</f>
      </c>
      <c r="M637" s="170"/>
      <c r="N637" s="7"/>
      <c r="O637" s="1"/>
      <c r="P637" s="331">
        <f>D637</f>
      </c>
      <c r="Q637" s="169"/>
    </row>
    <row x14ac:dyDescent="0.25" r="638" customHeight="1" ht="18.75">
      <c r="A638" s="1"/>
      <c r="B638" s="7"/>
      <c r="C638" s="170"/>
      <c r="D638" s="331">
        <v>631</v>
      </c>
      <c r="E638" s="544">
        <f>+DATE(YEAR(E637),MONTH(E637)-1,DAY(E637))</f>
        <v>25569.041666666668</v>
      </c>
      <c r="F638" s="333">
        <f>IF(DATE(YEAR($B$6),MONTH($B$6)+1,DAY(1))=E638,1,IF(MONTH(E638)=1,F639*(1+$F$5),F639))</f>
      </c>
      <c r="G638" s="333">
        <f>IF('Simulador - 1º Pilar'!$E$99="Sí",IF('Aportaciones Poliza'!$B$13&lt;'Aportaciones Poliza'!E638,0,F638*$B$8/12),F638*$B$8/12)</f>
      </c>
      <c r="H638" s="333">
        <f>$H$5*G638</f>
      </c>
      <c r="I638" s="333"/>
      <c r="J638" s="333">
        <f>(1+$M$5)^(D638/12)*(H638+IF(AND(F638=1,F639=0),$Q$4,0))</f>
      </c>
      <c r="K638" s="333">
        <f>(1+$M$5)^(D638/12)*(I638)</f>
      </c>
      <c r="L638" s="333">
        <f>K638+J638</f>
      </c>
      <c r="M638" s="170"/>
      <c r="N638" s="7"/>
      <c r="O638" s="1"/>
      <c r="P638" s="331">
        <f>D638</f>
      </c>
      <c r="Q638" s="169"/>
    </row>
    <row x14ac:dyDescent="0.25" r="639" customHeight="1" ht="18.75">
      <c r="A639" s="1"/>
      <c r="B639" s="7"/>
      <c r="C639" s="170"/>
      <c r="D639" s="331">
        <v>632</v>
      </c>
      <c r="E639" s="544">
        <f>+DATE(YEAR(E638),MONTH(E638)-1,DAY(E638))</f>
        <v>25569.041666666668</v>
      </c>
      <c r="F639" s="333">
        <f>IF(DATE(YEAR($B$6),MONTH($B$6)+1,DAY(1))=E639,1,IF(MONTH(E639)=1,F640*(1+$F$5),F640))</f>
      </c>
      <c r="G639" s="333">
        <f>IF('Simulador - 1º Pilar'!$E$99="Sí",IF('Aportaciones Poliza'!$B$13&lt;'Aportaciones Poliza'!E639,0,F639*$B$8/12),F639*$B$8/12)</f>
      </c>
      <c r="H639" s="333">
        <f>$H$5*G639</f>
      </c>
      <c r="I639" s="333"/>
      <c r="J639" s="333">
        <f>(1+$M$5)^(D639/12)*(H639+IF(AND(F639=1,F640=0),$Q$4,0))</f>
      </c>
      <c r="K639" s="333">
        <f>(1+$M$5)^(D639/12)*(I639)</f>
      </c>
      <c r="L639" s="333">
        <f>K639+J639</f>
      </c>
      <c r="M639" s="170"/>
      <c r="N639" s="7"/>
      <c r="O639" s="1"/>
      <c r="P639" s="331">
        <f>D639</f>
      </c>
      <c r="Q639" s="169"/>
    </row>
    <row x14ac:dyDescent="0.25" r="640" customHeight="1" ht="18.75">
      <c r="A640" s="1"/>
      <c r="B640" s="7"/>
      <c r="C640" s="170"/>
      <c r="D640" s="331">
        <v>633</v>
      </c>
      <c r="E640" s="544">
        <f>+DATE(YEAR(E639),MONTH(E639)-1,DAY(E639))</f>
        <v>25569.041666666668</v>
      </c>
      <c r="F640" s="333">
        <f>IF(DATE(YEAR($B$6),MONTH($B$6)+1,DAY(1))=E640,1,IF(MONTH(E640)=1,F641*(1+$F$5),F641))</f>
      </c>
      <c r="G640" s="333">
        <f>IF('Simulador - 1º Pilar'!$E$99="Sí",IF('Aportaciones Poliza'!$B$13&lt;'Aportaciones Poliza'!E640,0,F640*$B$8/12),F640*$B$8/12)</f>
      </c>
      <c r="H640" s="333">
        <f>$H$5*G640</f>
      </c>
      <c r="I640" s="333"/>
      <c r="J640" s="333">
        <f>(1+$M$5)^(D640/12)*(H640+IF(AND(F640=1,F641=0),$Q$4,0))</f>
      </c>
      <c r="K640" s="333">
        <f>(1+$M$5)^(D640/12)*(I640)</f>
      </c>
      <c r="L640" s="333">
        <f>K640+J640</f>
      </c>
      <c r="M640" s="170"/>
      <c r="N640" s="7"/>
      <c r="O640" s="1"/>
      <c r="P640" s="331">
        <f>D640</f>
      </c>
      <c r="Q640" s="169"/>
    </row>
    <row x14ac:dyDescent="0.25" r="641" customHeight="1" ht="18.75">
      <c r="A641" s="1"/>
      <c r="B641" s="7"/>
      <c r="C641" s="170"/>
      <c r="D641" s="331">
        <v>634</v>
      </c>
      <c r="E641" s="544">
        <f>+DATE(YEAR(E640),MONTH(E640)-1,DAY(E640))</f>
        <v>25569.041666666668</v>
      </c>
      <c r="F641" s="333">
        <f>IF(DATE(YEAR($B$6),MONTH($B$6)+1,DAY(1))=E641,1,IF(MONTH(E641)=1,F642*(1+$F$5),F642))</f>
      </c>
      <c r="G641" s="333">
        <f>IF('Simulador - 1º Pilar'!$E$99="Sí",IF('Aportaciones Poliza'!$B$13&lt;'Aportaciones Poliza'!E641,0,F641*$B$8/12),F641*$B$8/12)</f>
      </c>
      <c r="H641" s="333">
        <f>$H$5*G641</f>
      </c>
      <c r="I641" s="333"/>
      <c r="J641" s="333">
        <f>(1+$M$5)^(D641/12)*(H641+IF(AND(F641=1,F642=0),$Q$4,0))</f>
      </c>
      <c r="K641" s="333">
        <f>(1+$M$5)^(D641/12)*(I641)</f>
      </c>
      <c r="L641" s="333">
        <f>K641+J641</f>
      </c>
      <c r="M641" s="170"/>
      <c r="N641" s="7"/>
      <c r="O641" s="1"/>
      <c r="P641" s="331">
        <f>D641</f>
      </c>
      <c r="Q641" s="169"/>
    </row>
    <row x14ac:dyDescent="0.25" r="642" customHeight="1" ht="18.75">
      <c r="A642" s="1"/>
      <c r="B642" s="7"/>
      <c r="C642" s="170"/>
      <c r="D642" s="331">
        <v>635</v>
      </c>
      <c r="E642" s="544">
        <f>+DATE(YEAR(E641),MONTH(E641)-1,DAY(E641))</f>
        <v>25569.041666666668</v>
      </c>
      <c r="F642" s="333">
        <f>IF(DATE(YEAR($B$6),MONTH($B$6)+1,DAY(1))=E642,1,IF(MONTH(E642)=1,F643*(1+$F$5),F643))</f>
      </c>
      <c r="G642" s="333">
        <f>IF('Simulador - 1º Pilar'!$E$99="Sí",IF('Aportaciones Poliza'!$B$13&lt;'Aportaciones Poliza'!E642,0,F642*$B$8/12),F642*$B$8/12)</f>
      </c>
      <c r="H642" s="333">
        <f>$H$5*G642</f>
      </c>
      <c r="I642" s="333"/>
      <c r="J642" s="333">
        <f>(1+$M$5)^(D642/12)*(H642+IF(AND(F642=1,F643=0),$Q$4,0))</f>
      </c>
      <c r="K642" s="333">
        <f>(1+$M$5)^(D642/12)*(I642)</f>
      </c>
      <c r="L642" s="333">
        <f>K642+J642</f>
      </c>
      <c r="M642" s="170"/>
      <c r="N642" s="7"/>
      <c r="O642" s="1"/>
      <c r="P642" s="331">
        <f>D642</f>
      </c>
      <c r="Q642" s="169"/>
    </row>
    <row x14ac:dyDescent="0.25" r="643" customHeight="1" ht="18.75">
      <c r="A643" s="1"/>
      <c r="B643" s="7"/>
      <c r="C643" s="170"/>
      <c r="D643" s="331">
        <v>636</v>
      </c>
      <c r="E643" s="544">
        <f>+DATE(YEAR(E642),MONTH(E642)-1,DAY(E642))</f>
        <v>25569.041666666668</v>
      </c>
      <c r="F643" s="333">
        <f>IF(DATE(YEAR($B$6),MONTH($B$6)+1,DAY(1))=E643,1,IF(MONTH(E643)=1,F644*(1+$F$5),F644))</f>
      </c>
      <c r="G643" s="333">
        <f>IF('Simulador - 1º Pilar'!$E$99="Sí",IF('Aportaciones Poliza'!$B$13&lt;'Aportaciones Poliza'!E643,0,F643*$B$8/12),F643*$B$8/12)</f>
      </c>
      <c r="H643" s="333">
        <f>$H$5*G643</f>
      </c>
      <c r="I643" s="333"/>
      <c r="J643" s="333">
        <f>(1+$M$5)^(D643/12)*(H643+IF(AND(F643=1,F644=0),$Q$4,0))</f>
      </c>
      <c r="K643" s="333">
        <f>(1+$M$5)^(D643/12)*(I643)</f>
      </c>
      <c r="L643" s="333">
        <f>K643+J643</f>
      </c>
      <c r="M643" s="170"/>
      <c r="N643" s="7"/>
      <c r="O643" s="1"/>
      <c r="P643" s="331">
        <f>D643</f>
      </c>
      <c r="Q643" s="169"/>
    </row>
    <row x14ac:dyDescent="0.25" r="644" customHeight="1" ht="18.75">
      <c r="A644" s="1"/>
      <c r="B644" s="7"/>
      <c r="C644" s="170"/>
      <c r="D644" s="331">
        <v>637</v>
      </c>
      <c r="E644" s="544">
        <f>+DATE(YEAR(E643),MONTH(E643)-1,DAY(E643))</f>
        <v>25569.041666666668</v>
      </c>
      <c r="F644" s="333">
        <f>IF(DATE(YEAR($B$6),MONTH($B$6)+1,DAY(1))=E644,1,IF(MONTH(E644)=1,F645*(1+$F$5),F645))</f>
      </c>
      <c r="G644" s="333">
        <f>IF('Simulador - 1º Pilar'!$E$99="Sí",IF('Aportaciones Poliza'!$B$13&lt;'Aportaciones Poliza'!E644,0,F644*$B$8/12),F644*$B$8/12)</f>
      </c>
      <c r="H644" s="333">
        <f>$H$5*G644</f>
      </c>
      <c r="I644" s="333"/>
      <c r="J644" s="333">
        <f>(1+$M$5)^(D644/12)*(H644+IF(AND(F644=1,F645=0),$Q$4,0))</f>
      </c>
      <c r="K644" s="333">
        <f>(1+$M$5)^(D644/12)*(I644)</f>
      </c>
      <c r="L644" s="333">
        <f>K644+J644</f>
      </c>
      <c r="M644" s="170"/>
      <c r="N644" s="7"/>
      <c r="O644" s="1"/>
      <c r="P644" s="331">
        <f>D644</f>
      </c>
      <c r="Q644" s="169"/>
    </row>
    <row x14ac:dyDescent="0.25" r="645" customHeight="1" ht="18.75">
      <c r="A645" s="1"/>
      <c r="B645" s="7"/>
      <c r="C645" s="170"/>
      <c r="D645" s="331">
        <v>638</v>
      </c>
      <c r="E645" s="544">
        <f>+DATE(YEAR(E644),MONTH(E644)-1,DAY(E644))</f>
        <v>25569.041666666668</v>
      </c>
      <c r="F645" s="333">
        <f>IF(DATE(YEAR($B$6),MONTH($B$6)+1,DAY(1))=E645,1,IF(MONTH(E645)=1,F646*(1+$F$5),F646))</f>
      </c>
      <c r="G645" s="333">
        <f>IF('Simulador - 1º Pilar'!$E$99="Sí",IF('Aportaciones Poliza'!$B$13&lt;'Aportaciones Poliza'!E645,0,F645*$B$8/12),F645*$B$8/12)</f>
      </c>
      <c r="H645" s="333">
        <f>$H$5*G645</f>
      </c>
      <c r="I645" s="333"/>
      <c r="J645" s="333">
        <f>(1+$M$5)^(D645/12)*(H645+IF(AND(F645=1,F646=0),$Q$4,0))</f>
      </c>
      <c r="K645" s="333">
        <f>(1+$M$5)^(D645/12)*(I645)</f>
      </c>
      <c r="L645" s="333">
        <f>K645+J645</f>
      </c>
      <c r="M645" s="170"/>
      <c r="N645" s="7"/>
      <c r="O645" s="1"/>
      <c r="P645" s="331">
        <f>D645</f>
      </c>
      <c r="Q645" s="169"/>
    </row>
    <row x14ac:dyDescent="0.25" r="646" customHeight="1" ht="18.75">
      <c r="A646" s="1"/>
      <c r="B646" s="7"/>
      <c r="C646" s="170"/>
      <c r="D646" s="331">
        <v>639</v>
      </c>
      <c r="E646" s="544">
        <f>+DATE(YEAR(E645),MONTH(E645)-1,DAY(E645))</f>
        <v>25569.041666666668</v>
      </c>
      <c r="F646" s="333">
        <f>IF(DATE(YEAR($B$6),MONTH($B$6)+1,DAY(1))=E646,1,IF(MONTH(E646)=1,F647*(1+$F$5),F647))</f>
      </c>
      <c r="G646" s="333">
        <f>IF('Simulador - 1º Pilar'!$E$99="Sí",IF('Aportaciones Poliza'!$B$13&lt;'Aportaciones Poliza'!E646,0,F646*$B$8/12),F646*$B$8/12)</f>
      </c>
      <c r="H646" s="333">
        <f>$H$5*G646</f>
      </c>
      <c r="I646" s="333"/>
      <c r="J646" s="333">
        <f>(1+$M$5)^(D646/12)*(H646+IF(AND(F646=1,F647=0),$Q$4,0))</f>
      </c>
      <c r="K646" s="333">
        <f>(1+$M$5)^(D646/12)*(I646)</f>
      </c>
      <c r="L646" s="333">
        <f>K646+J646</f>
      </c>
      <c r="M646" s="170"/>
      <c r="N646" s="7"/>
      <c r="O646" s="1"/>
      <c r="P646" s="331">
        <f>D646</f>
      </c>
      <c r="Q646" s="169"/>
    </row>
    <row x14ac:dyDescent="0.25" r="647" customHeight="1" ht="18.75">
      <c r="A647" s="1"/>
      <c r="B647" s="7"/>
      <c r="C647" s="170"/>
      <c r="D647" s="331">
        <v>640</v>
      </c>
      <c r="E647" s="544">
        <f>+DATE(YEAR(E646),MONTH(E646)-1,DAY(E646))</f>
        <v>25569.041666666668</v>
      </c>
      <c r="F647" s="333">
        <f>IF(DATE(YEAR($B$6),MONTH($B$6)+1,DAY(1))=E647,1,IF(MONTH(E647)=1,F648*(1+$F$5),F648))</f>
      </c>
      <c r="G647" s="333">
        <f>IF('Simulador - 1º Pilar'!$E$99="Sí",IF('Aportaciones Poliza'!$B$13&lt;'Aportaciones Poliza'!E647,0,F647*$B$8/12),F647*$B$8/12)</f>
      </c>
      <c r="H647" s="333">
        <f>$H$5*G647</f>
      </c>
      <c r="I647" s="333"/>
      <c r="J647" s="333">
        <f>(1+$M$5)^(D647/12)*(H647+IF(AND(F647=1,F648=0),$Q$4,0))</f>
      </c>
      <c r="K647" s="333">
        <f>(1+$M$5)^(D647/12)*(I647)</f>
      </c>
      <c r="L647" s="333">
        <f>K647+J647</f>
      </c>
      <c r="M647" s="170"/>
      <c r="N647" s="7"/>
      <c r="O647" s="1"/>
      <c r="P647" s="331">
        <f>D647</f>
      </c>
      <c r="Q647" s="169"/>
    </row>
    <row x14ac:dyDescent="0.25" r="648" customHeight="1" ht="18.75">
      <c r="A648" s="1"/>
      <c r="B648" s="7"/>
      <c r="C648" s="170"/>
      <c r="D648" s="331">
        <v>641</v>
      </c>
      <c r="E648" s="544">
        <f>+DATE(YEAR(E647),MONTH(E647)-1,DAY(E647))</f>
        <v>25569.041666666668</v>
      </c>
      <c r="F648" s="333">
        <f>IF(DATE(YEAR($B$6),MONTH($B$6)+1,DAY(1))=E648,1,IF(MONTH(E648)=1,F649*(1+$F$5),F649))</f>
      </c>
      <c r="G648" s="333">
        <f>IF('Simulador - 1º Pilar'!$E$99="Sí",IF('Aportaciones Poliza'!$B$13&lt;'Aportaciones Poliza'!E648,0,F648*$B$8/12),F648*$B$8/12)</f>
      </c>
      <c r="H648" s="333">
        <f>$H$5*G648</f>
      </c>
      <c r="I648" s="333"/>
      <c r="J648" s="333">
        <f>(1+$M$5)^(D648/12)*(H648+IF(AND(F648=1,F649=0),$Q$4,0))</f>
      </c>
      <c r="K648" s="333">
        <f>(1+$M$5)^(D648/12)*(I648)</f>
      </c>
      <c r="L648" s="333">
        <f>K648+J648</f>
      </c>
      <c r="M648" s="170"/>
      <c r="N648" s="7"/>
      <c r="O648" s="1"/>
      <c r="P648" s="331">
        <f>D648</f>
      </c>
      <c r="Q648" s="169"/>
    </row>
    <row x14ac:dyDescent="0.25" r="649" customHeight="1" ht="18.75">
      <c r="A649" s="1"/>
      <c r="B649" s="7"/>
      <c r="C649" s="170"/>
      <c r="D649" s="331">
        <v>642</v>
      </c>
      <c r="E649" s="544">
        <f>+DATE(YEAR(E648),MONTH(E648)-1,DAY(E648))</f>
        <v>25569.041666666668</v>
      </c>
      <c r="F649" s="333">
        <f>IF(DATE(YEAR($B$6),MONTH($B$6)+1,DAY(1))=E649,1,IF(MONTH(E649)=1,F650*(1+$F$5),F650))</f>
      </c>
      <c r="G649" s="333">
        <f>IF('Simulador - 1º Pilar'!$E$99="Sí",IF('Aportaciones Poliza'!$B$13&lt;'Aportaciones Poliza'!E649,0,F649*$B$8/12),F649*$B$8/12)</f>
      </c>
      <c r="H649" s="333">
        <f>$H$5*G649</f>
      </c>
      <c r="I649" s="333"/>
      <c r="J649" s="333">
        <f>(1+$M$5)^(D649/12)*(H649+IF(AND(F649=1,F650=0),$Q$4,0))</f>
      </c>
      <c r="K649" s="333">
        <f>(1+$M$5)^(D649/12)*(I649)</f>
      </c>
      <c r="L649" s="333">
        <f>K649+J649</f>
      </c>
      <c r="M649" s="170"/>
      <c r="N649" s="7"/>
      <c r="O649" s="1"/>
      <c r="P649" s="331">
        <f>D649</f>
      </c>
      <c r="Q649" s="169"/>
    </row>
    <row x14ac:dyDescent="0.25" r="650" customHeight="1" ht="18.75">
      <c r="A650" s="1"/>
      <c r="B650" s="7"/>
      <c r="C650" s="170"/>
      <c r="D650" s="331">
        <v>643</v>
      </c>
      <c r="E650" s="544">
        <f>+DATE(YEAR(E649),MONTH(E649)-1,DAY(E649))</f>
        <v>25569.041666666668</v>
      </c>
      <c r="F650" s="333">
        <f>IF(DATE(YEAR($B$6),MONTH($B$6)+1,DAY(1))=E650,1,IF(MONTH(E650)=1,F651*(1+$F$5),F651))</f>
      </c>
      <c r="G650" s="333">
        <f>IF('Simulador - 1º Pilar'!$E$99="Sí",IF('Aportaciones Poliza'!$B$13&lt;'Aportaciones Poliza'!E650,0,F650*$B$8/12),F650*$B$8/12)</f>
      </c>
      <c r="H650" s="333">
        <f>$H$5*G650</f>
      </c>
      <c r="I650" s="333"/>
      <c r="J650" s="333">
        <f>(1+$M$5)^(D650/12)*(H650+IF(AND(F650=1,F651=0),$Q$4,0))</f>
      </c>
      <c r="K650" s="333">
        <f>(1+$M$5)^(D650/12)*(I650)</f>
      </c>
      <c r="L650" s="333">
        <f>K650+J650</f>
      </c>
      <c r="M650" s="170"/>
      <c r="N650" s="7"/>
      <c r="O650" s="1"/>
      <c r="P650" s="331">
        <f>D650</f>
      </c>
      <c r="Q650" s="169"/>
    </row>
    <row x14ac:dyDescent="0.25" r="651" customHeight="1" ht="18.75">
      <c r="A651" s="1"/>
      <c r="B651" s="7"/>
      <c r="C651" s="170"/>
      <c r="D651" s="331">
        <v>644</v>
      </c>
      <c r="E651" s="544">
        <f>+DATE(YEAR(E650),MONTH(E650)-1,DAY(E650))</f>
        <v>25569.041666666668</v>
      </c>
      <c r="F651" s="333">
        <f>IF(DATE(YEAR($B$6),MONTH($B$6)+1,DAY(1))=E651,1,IF(MONTH(E651)=1,F652*(1+$F$5),F652))</f>
      </c>
      <c r="G651" s="333">
        <f>IF('Simulador - 1º Pilar'!$E$99="Sí",IF('Aportaciones Poliza'!$B$13&lt;'Aportaciones Poliza'!E651,0,F651*$B$8/12),F651*$B$8/12)</f>
      </c>
      <c r="H651" s="333">
        <f>$H$5*G651</f>
      </c>
      <c r="I651" s="333"/>
      <c r="J651" s="333">
        <f>(1+$M$5)^(D651/12)*(H651+IF(AND(F651=1,F652=0),$Q$4,0))</f>
      </c>
      <c r="K651" s="333">
        <f>(1+$M$5)^(D651/12)*(I651)</f>
      </c>
      <c r="L651" s="333">
        <f>K651+J651</f>
      </c>
      <c r="M651" s="170"/>
      <c r="N651" s="7"/>
      <c r="O651" s="1"/>
      <c r="P651" s="331">
        <f>D651</f>
      </c>
      <c r="Q651" s="169"/>
    </row>
    <row x14ac:dyDescent="0.25" r="652" customHeight="1" ht="18.75">
      <c r="A652" s="1"/>
      <c r="B652" s="7"/>
      <c r="C652" s="170"/>
      <c r="D652" s="331">
        <v>645</v>
      </c>
      <c r="E652" s="544">
        <f>+DATE(YEAR(E651),MONTH(E651)-1,DAY(E651))</f>
        <v>25569.041666666668</v>
      </c>
      <c r="F652" s="333">
        <f>IF(DATE(YEAR($B$6),MONTH($B$6)+1,DAY(1))=E652,1,IF(MONTH(E652)=1,F653*(1+$F$5),F653))</f>
      </c>
      <c r="G652" s="333">
        <f>IF('Simulador - 1º Pilar'!$E$99="Sí",IF('Aportaciones Poliza'!$B$13&lt;'Aportaciones Poliza'!E652,0,F652*$B$8/12),F652*$B$8/12)</f>
      </c>
      <c r="H652" s="333">
        <f>$H$5*G652</f>
      </c>
      <c r="I652" s="333"/>
      <c r="J652" s="333">
        <f>(1+$M$5)^(D652/12)*(H652+IF(AND(F652=1,F653=0),$Q$4,0))</f>
      </c>
      <c r="K652" s="333">
        <f>(1+$M$5)^(D652/12)*(I652)</f>
      </c>
      <c r="L652" s="333">
        <f>K652+J652</f>
      </c>
      <c r="M652" s="170"/>
      <c r="N652" s="7"/>
      <c r="O652" s="1"/>
      <c r="P652" s="331">
        <f>D652</f>
      </c>
      <c r="Q652" s="169"/>
    </row>
    <row x14ac:dyDescent="0.25" r="653" customHeight="1" ht="18.75">
      <c r="A653" s="1"/>
      <c r="B653" s="7"/>
      <c r="C653" s="170"/>
      <c r="D653" s="331">
        <v>646</v>
      </c>
      <c r="E653" s="544">
        <f>+DATE(YEAR(E652),MONTH(E652)-1,DAY(E652))</f>
        <v>25569.041666666668</v>
      </c>
      <c r="F653" s="333">
        <f>IF(DATE(YEAR($B$6),MONTH($B$6)+1,DAY(1))=E653,1,IF(MONTH(E653)=1,F654*(1+$F$5),F654))</f>
      </c>
      <c r="G653" s="333">
        <f>IF('Simulador - 1º Pilar'!$E$99="Sí",IF('Aportaciones Poliza'!$B$13&lt;'Aportaciones Poliza'!E653,0,F653*$B$8/12),F653*$B$8/12)</f>
      </c>
      <c r="H653" s="333">
        <f>$H$5*G653</f>
      </c>
      <c r="I653" s="333"/>
      <c r="J653" s="333">
        <f>(1+$M$5)^(D653/12)*(H653+IF(AND(F653=1,F654=0),$Q$4,0))</f>
      </c>
      <c r="K653" s="333">
        <f>(1+$M$5)^(D653/12)*(I653)</f>
      </c>
      <c r="L653" s="333">
        <f>K653+J653</f>
      </c>
      <c r="M653" s="170"/>
      <c r="N653" s="7"/>
      <c r="O653" s="1"/>
      <c r="P653" s="331">
        <f>D653</f>
      </c>
      <c r="Q653" s="169"/>
    </row>
    <row x14ac:dyDescent="0.25" r="654" customHeight="1" ht="18.75">
      <c r="A654" s="1"/>
      <c r="B654" s="7"/>
      <c r="C654" s="170"/>
      <c r="D654" s="331">
        <v>647</v>
      </c>
      <c r="E654" s="544">
        <f>+DATE(YEAR(E653),MONTH(E653)-1,DAY(E653))</f>
        <v>25569.041666666668</v>
      </c>
      <c r="F654" s="333">
        <f>IF(DATE(YEAR($B$6),MONTH($B$6)+1,DAY(1))=E654,1,IF(MONTH(E654)=1,F655*(1+$F$5),F655))</f>
      </c>
      <c r="G654" s="333">
        <f>IF('Simulador - 1º Pilar'!$E$99="Sí",IF('Aportaciones Poliza'!$B$13&lt;'Aportaciones Poliza'!E654,0,F654*$B$8/12),F654*$B$8/12)</f>
      </c>
      <c r="H654" s="333">
        <f>$H$5*G654</f>
      </c>
      <c r="I654" s="333"/>
      <c r="J654" s="333">
        <f>(1+$M$5)^(D654/12)*(H654+IF(AND(F654=1,F655=0),$Q$4,0))</f>
      </c>
      <c r="K654" s="333">
        <f>(1+$M$5)^(D654/12)*(I654)</f>
      </c>
      <c r="L654" s="333">
        <f>K654+J654</f>
      </c>
      <c r="M654" s="170"/>
      <c r="N654" s="7"/>
      <c r="O654" s="1"/>
      <c r="P654" s="331">
        <f>D654</f>
      </c>
      <c r="Q654" s="169"/>
    </row>
    <row x14ac:dyDescent="0.25" r="655" customHeight="1" ht="18.75">
      <c r="A655" s="1"/>
      <c r="B655" s="7"/>
      <c r="C655" s="170"/>
      <c r="D655" s="331">
        <v>648</v>
      </c>
      <c r="E655" s="544">
        <f>+DATE(YEAR(E654),MONTH(E654)-1,DAY(E654))</f>
        <v>25569.041666666668</v>
      </c>
      <c r="F655" s="333">
        <f>IF(DATE(YEAR($B$6),MONTH($B$6)+1,DAY(1))=E655,1,IF(MONTH(E655)=1,F656*(1+$F$5),F656))</f>
      </c>
      <c r="G655" s="333">
        <f>IF('Simulador - 1º Pilar'!$E$99="Sí",IF('Aportaciones Poliza'!$B$13&lt;'Aportaciones Poliza'!E655,0,F655*$B$8/12),F655*$B$8/12)</f>
      </c>
      <c r="H655" s="333">
        <f>$H$5*G655</f>
      </c>
      <c r="I655" s="333"/>
      <c r="J655" s="333">
        <f>(1+$M$5)^(D655/12)*(H655+IF(AND(F655=1,F656=0),$Q$4,0))</f>
      </c>
      <c r="K655" s="333">
        <f>(1+$M$5)^(D655/12)*(I655)</f>
      </c>
      <c r="L655" s="333">
        <f>K655+J655</f>
      </c>
      <c r="M655" s="170"/>
      <c r="N655" s="7"/>
      <c r="O655" s="1"/>
      <c r="P655" s="331">
        <f>D655</f>
      </c>
      <c r="Q655" s="169"/>
    </row>
    <row x14ac:dyDescent="0.25" r="656" customHeight="1" ht="18.75">
      <c r="A656" s="1"/>
      <c r="B656" s="7"/>
      <c r="C656" s="170"/>
      <c r="D656" s="331">
        <v>649</v>
      </c>
      <c r="E656" s="544">
        <f>+DATE(YEAR(E655),MONTH(E655)-1,DAY(E655))</f>
        <v>25569.041666666668</v>
      </c>
      <c r="F656" s="333">
        <f>IF(DATE(YEAR($B$6),MONTH($B$6)+1,DAY(1))=E656,1,IF(MONTH(E656)=1,F657*(1+$F$5),F657))</f>
      </c>
      <c r="G656" s="333">
        <f>IF('Simulador - 1º Pilar'!$E$99="Sí",IF('Aportaciones Poliza'!$B$13&lt;'Aportaciones Poliza'!E656,0,F656*$B$8/12),F656*$B$8/12)</f>
      </c>
      <c r="H656" s="333">
        <f>$H$5*G656</f>
      </c>
      <c r="I656" s="333"/>
      <c r="J656" s="333">
        <f>(1+$M$5)^(D656/12)*(H656+IF(AND(F656=1,F657=0),$Q$4,0))</f>
      </c>
      <c r="K656" s="333">
        <f>(1+$M$5)^(D656/12)*(I656)</f>
      </c>
      <c r="L656" s="333">
        <f>K656+J656</f>
      </c>
      <c r="M656" s="170"/>
      <c r="N656" s="7"/>
      <c r="O656" s="1"/>
      <c r="P656" s="331">
        <f>D656</f>
      </c>
      <c r="Q656" s="169"/>
    </row>
    <row x14ac:dyDescent="0.25" r="657" customHeight="1" ht="18.75">
      <c r="A657" s="1"/>
      <c r="B657" s="7"/>
      <c r="C657" s="170"/>
      <c r="D657" s="331">
        <v>650</v>
      </c>
      <c r="E657" s="544">
        <f>+DATE(YEAR(E656),MONTH(E656)-1,DAY(E656))</f>
        <v>25569.041666666668</v>
      </c>
      <c r="F657" s="333">
        <f>IF(DATE(YEAR($B$6),MONTH($B$6)+1,DAY(1))=E657,1,IF(MONTH(E657)=1,F658*(1+$F$5),F658))</f>
      </c>
      <c r="G657" s="333">
        <f>IF('Simulador - 1º Pilar'!$E$99="Sí",IF('Aportaciones Poliza'!$B$13&lt;'Aportaciones Poliza'!E657,0,F657*$B$8/12),F657*$B$8/12)</f>
      </c>
      <c r="H657" s="333">
        <f>$H$5*G657</f>
      </c>
      <c r="I657" s="333"/>
      <c r="J657" s="333">
        <f>(1+$M$5)^(D657/12)*(H657+IF(AND(F657=1,F658=0),$Q$4,0))</f>
      </c>
      <c r="K657" s="333">
        <f>(1+$M$5)^(D657/12)*(I657)</f>
      </c>
      <c r="L657" s="333">
        <f>K657+J657</f>
      </c>
      <c r="M657" s="170"/>
      <c r="N657" s="7"/>
      <c r="O657" s="1"/>
      <c r="P657" s="331">
        <f>D657</f>
      </c>
      <c r="Q657" s="169"/>
    </row>
    <row x14ac:dyDescent="0.25" r="658" customHeight="1" ht="18.75">
      <c r="A658" s="1"/>
      <c r="B658" s="7"/>
      <c r="C658" s="170"/>
      <c r="D658" s="331">
        <v>651</v>
      </c>
      <c r="E658" s="544">
        <f>+DATE(YEAR(E657),MONTH(E657)-1,DAY(E657))</f>
        <v>25569.041666666668</v>
      </c>
      <c r="F658" s="333">
        <f>IF(DATE(YEAR($B$6),MONTH($B$6)+1,DAY(1))=E658,1,IF(MONTH(E658)=1,F659*(1+$F$5),F659))</f>
      </c>
      <c r="G658" s="333">
        <f>IF('Simulador - 1º Pilar'!$E$99="Sí",IF('Aportaciones Poliza'!$B$13&lt;'Aportaciones Poliza'!E658,0,F658*$B$8/12),F658*$B$8/12)</f>
      </c>
      <c r="H658" s="333">
        <f>$H$5*G658</f>
      </c>
      <c r="I658" s="333"/>
      <c r="J658" s="333">
        <f>(1+$M$5)^(D658/12)*(H658+IF(AND(F658=1,F659=0),$Q$4,0))</f>
      </c>
      <c r="K658" s="333">
        <f>(1+$M$5)^(D658/12)*(I658)</f>
      </c>
      <c r="L658" s="333">
        <f>K658+J658</f>
      </c>
      <c r="M658" s="170"/>
      <c r="N658" s="7"/>
      <c r="O658" s="1"/>
      <c r="P658" s="331">
        <f>D658</f>
      </c>
      <c r="Q658" s="169"/>
    </row>
    <row x14ac:dyDescent="0.25" r="659" customHeight="1" ht="18.75">
      <c r="A659" s="1"/>
      <c r="B659" s="7"/>
      <c r="C659" s="170"/>
      <c r="D659" s="331">
        <v>652</v>
      </c>
      <c r="E659" s="544">
        <f>+DATE(YEAR(E658),MONTH(E658)-1,DAY(E658))</f>
        <v>25569.041666666668</v>
      </c>
      <c r="F659" s="333">
        <f>IF(DATE(YEAR($B$6),MONTH($B$6)+1,DAY(1))=E659,1,IF(MONTH(E659)=1,F660*(1+$F$5),F660))</f>
      </c>
      <c r="G659" s="333">
        <f>IF('Simulador - 1º Pilar'!$E$99="Sí",IF('Aportaciones Poliza'!$B$13&lt;'Aportaciones Poliza'!E659,0,F659*$B$8/12),F659*$B$8/12)</f>
      </c>
      <c r="H659" s="333">
        <f>$H$5*G659</f>
      </c>
      <c r="I659" s="333"/>
      <c r="J659" s="333">
        <f>(1+$M$5)^(D659/12)*(H659+IF(AND(F659=1,F660=0),$Q$4,0))</f>
      </c>
      <c r="K659" s="333">
        <f>(1+$M$5)^(D659/12)*(I659)</f>
      </c>
      <c r="L659" s="333">
        <f>K659+J659</f>
      </c>
      <c r="M659" s="170"/>
      <c r="N659" s="7"/>
      <c r="O659" s="1"/>
      <c r="P659" s="331">
        <f>D659</f>
      </c>
      <c r="Q659" s="169"/>
    </row>
    <row x14ac:dyDescent="0.25" r="660" customHeight="1" ht="18.75">
      <c r="A660" s="1"/>
      <c r="B660" s="7"/>
      <c r="C660" s="170"/>
      <c r="D660" s="331">
        <v>653</v>
      </c>
      <c r="E660" s="544">
        <f>+DATE(YEAR(E659),MONTH(E659)-1,DAY(E659))</f>
        <v>25569.041666666668</v>
      </c>
      <c r="F660" s="333">
        <f>IF(DATE(YEAR($B$6),MONTH($B$6)+1,DAY(1))=E660,1,IF(MONTH(E660)=1,F661*(1+$F$5),F661))</f>
      </c>
      <c r="G660" s="333">
        <f>IF('Simulador - 1º Pilar'!$E$99="Sí",IF('Aportaciones Poliza'!$B$13&lt;'Aportaciones Poliza'!E660,0,F660*$B$8/12),F660*$B$8/12)</f>
      </c>
      <c r="H660" s="333">
        <f>$H$5*G660</f>
      </c>
      <c r="I660" s="333"/>
      <c r="J660" s="333">
        <f>(1+$M$5)^(D660/12)*(H660+IF(AND(F660=1,F661=0),$Q$4,0))</f>
      </c>
      <c r="K660" s="333">
        <f>(1+$M$5)^(D660/12)*(I660)</f>
      </c>
      <c r="L660" s="333">
        <f>K660+J660</f>
      </c>
      <c r="M660" s="170"/>
      <c r="N660" s="7"/>
      <c r="O660" s="1"/>
      <c r="P660" s="331">
        <f>D660</f>
      </c>
      <c r="Q660" s="169"/>
    </row>
    <row x14ac:dyDescent="0.25" r="661" customHeight="1" ht="18.75">
      <c r="A661" s="1"/>
      <c r="B661" s="7"/>
      <c r="C661" s="170"/>
      <c r="D661" s="331">
        <v>654</v>
      </c>
      <c r="E661" s="544">
        <f>+DATE(YEAR(E660),MONTH(E660)-1,DAY(E660))</f>
        <v>25569.041666666668</v>
      </c>
      <c r="F661" s="333">
        <f>IF(DATE(YEAR($B$6),MONTH($B$6)+1,DAY(1))=E661,1,IF(MONTH(E661)=1,F662*(1+$F$5),F662))</f>
      </c>
      <c r="G661" s="333">
        <f>IF('Simulador - 1º Pilar'!$E$99="Sí",IF('Aportaciones Poliza'!$B$13&lt;'Aportaciones Poliza'!E661,0,F661*$B$8/12),F661*$B$8/12)</f>
      </c>
      <c r="H661" s="333">
        <f>$H$5*G661</f>
      </c>
      <c r="I661" s="333"/>
      <c r="J661" s="333">
        <f>(1+$M$5)^(D661/12)*(H661+IF(AND(F661=1,F662=0),$Q$4,0))</f>
      </c>
      <c r="K661" s="333">
        <f>(1+$M$5)^(D661/12)*(I661)</f>
      </c>
      <c r="L661" s="333">
        <f>K661+J661</f>
      </c>
      <c r="M661" s="170"/>
      <c r="N661" s="7"/>
      <c r="O661" s="1"/>
      <c r="P661" s="331">
        <f>D661</f>
      </c>
      <c r="Q661" s="169"/>
    </row>
    <row x14ac:dyDescent="0.25" r="662" customHeight="1" ht="18.75">
      <c r="A662" s="1"/>
      <c r="B662" s="7"/>
      <c r="C662" s="170"/>
      <c r="D662" s="331">
        <v>655</v>
      </c>
      <c r="E662" s="544">
        <f>+DATE(YEAR(E661),MONTH(E661)-1,DAY(E661))</f>
        <v>25569.041666666668</v>
      </c>
      <c r="F662" s="333">
        <f>IF(DATE(YEAR($B$6),MONTH($B$6)+1,DAY(1))=E662,1,IF(MONTH(E662)=1,F663*(1+$F$5),F663))</f>
      </c>
      <c r="G662" s="333">
        <f>IF('Simulador - 1º Pilar'!$E$99="Sí",IF('Aportaciones Poliza'!$B$13&lt;'Aportaciones Poliza'!E662,0,F662*$B$8/12),F662*$B$8/12)</f>
      </c>
      <c r="H662" s="333">
        <f>$H$5*G662</f>
      </c>
      <c r="I662" s="333"/>
      <c r="J662" s="333">
        <f>(1+$M$5)^(D662/12)*(H662+IF(AND(F662=1,F663=0),$Q$4,0))</f>
      </c>
      <c r="K662" s="333">
        <f>(1+$M$5)^(D662/12)*(I662)</f>
      </c>
      <c r="L662" s="333">
        <f>K662+J662</f>
      </c>
      <c r="M662" s="170"/>
      <c r="N662" s="7"/>
      <c r="O662" s="1"/>
      <c r="P662" s="331">
        <f>D662</f>
      </c>
      <c r="Q662" s="169"/>
    </row>
    <row x14ac:dyDescent="0.25" r="663" customHeight="1" ht="18.75">
      <c r="A663" s="1"/>
      <c r="B663" s="7"/>
      <c r="C663" s="170"/>
      <c r="D663" s="331">
        <v>656</v>
      </c>
      <c r="E663" s="544">
        <f>+DATE(YEAR(E662),MONTH(E662)-1,DAY(E662))</f>
        <v>25569.041666666668</v>
      </c>
      <c r="F663" s="333">
        <f>IF(DATE(YEAR($B$6),MONTH($B$6)+1,DAY(1))=E663,1,IF(MONTH(E663)=1,F664*(1+$F$5),F664))</f>
      </c>
      <c r="G663" s="333">
        <f>IF('Simulador - 1º Pilar'!$E$99="Sí",IF('Aportaciones Poliza'!$B$13&lt;'Aportaciones Poliza'!E663,0,F663*$B$8/12),F663*$B$8/12)</f>
      </c>
      <c r="H663" s="333">
        <f>$H$5*G663</f>
      </c>
      <c r="I663" s="333"/>
      <c r="J663" s="333">
        <f>(1+$M$5)^(D663/12)*(H663+IF(AND(F663=1,F664=0),$Q$4,0))</f>
      </c>
      <c r="K663" s="333">
        <f>(1+$M$5)^(D663/12)*(I663)</f>
      </c>
      <c r="L663" s="333">
        <f>K663+J663</f>
      </c>
      <c r="M663" s="170"/>
      <c r="N663" s="7"/>
      <c r="O663" s="1"/>
      <c r="P663" s="331">
        <f>D663</f>
      </c>
      <c r="Q663" s="169"/>
    </row>
    <row x14ac:dyDescent="0.25" r="664" customHeight="1" ht="18.75">
      <c r="A664" s="1"/>
      <c r="B664" s="7"/>
      <c r="C664" s="170"/>
      <c r="D664" s="331">
        <v>657</v>
      </c>
      <c r="E664" s="544">
        <f>+DATE(YEAR(E663),MONTH(E663)-1,DAY(E663))</f>
        <v>25569.041666666668</v>
      </c>
      <c r="F664" s="333">
        <f>IF(DATE(YEAR($B$6),MONTH($B$6)+1,DAY(1))=E664,1,IF(MONTH(E664)=1,F665*(1+$F$5),F665))</f>
      </c>
      <c r="G664" s="333">
        <f>IF('Simulador - 1º Pilar'!$E$99="Sí",IF('Aportaciones Poliza'!$B$13&lt;'Aportaciones Poliza'!E664,0,F664*$B$8/12),F664*$B$8/12)</f>
      </c>
      <c r="H664" s="333">
        <f>$H$5*G664</f>
      </c>
      <c r="I664" s="333"/>
      <c r="J664" s="333">
        <f>(1+$M$5)^(D664/12)*(H664+IF(AND(F664=1,F665=0),$Q$4,0))</f>
      </c>
      <c r="K664" s="333">
        <f>(1+$M$5)^(D664/12)*(I664)</f>
      </c>
      <c r="L664" s="333">
        <f>K664+J664</f>
      </c>
      <c r="M664" s="170"/>
      <c r="N664" s="7"/>
      <c r="O664" s="1"/>
      <c r="P664" s="331">
        <f>D664</f>
      </c>
      <c r="Q664" s="169"/>
    </row>
    <row x14ac:dyDescent="0.25" r="665" customHeight="1" ht="18.75">
      <c r="A665" s="1"/>
      <c r="B665" s="7"/>
      <c r="C665" s="170"/>
      <c r="D665" s="331">
        <v>658</v>
      </c>
      <c r="E665" s="544">
        <f>+DATE(YEAR(E664),MONTH(E664)-1,DAY(E664))</f>
        <v>25569.041666666668</v>
      </c>
      <c r="F665" s="333">
        <f>IF(DATE(YEAR($B$6),MONTH($B$6)+1,DAY(1))=E665,1,IF(MONTH(E665)=1,F666*(1+$F$5),F666))</f>
      </c>
      <c r="G665" s="333">
        <f>IF('Simulador - 1º Pilar'!$E$99="Sí",IF('Aportaciones Poliza'!$B$13&lt;'Aportaciones Poliza'!E665,0,F665*$B$8/12),F665*$B$8/12)</f>
      </c>
      <c r="H665" s="333">
        <f>$H$5*G665</f>
      </c>
      <c r="I665" s="333"/>
      <c r="J665" s="333">
        <f>(1+$M$5)^(D665/12)*(H665+IF(AND(F665=1,F666=0),$Q$4,0))</f>
      </c>
      <c r="K665" s="333">
        <f>(1+$M$5)^(D665/12)*(I665)</f>
      </c>
      <c r="L665" s="333">
        <f>K665+J665</f>
      </c>
      <c r="M665" s="170"/>
      <c r="N665" s="7"/>
      <c r="O665" s="1"/>
      <c r="P665" s="331">
        <f>D665</f>
      </c>
      <c r="Q665" s="169"/>
    </row>
    <row x14ac:dyDescent="0.25" r="666" customHeight="1" ht="18.75">
      <c r="A666" s="1"/>
      <c r="B666" s="7"/>
      <c r="C666" s="170"/>
      <c r="D666" s="331">
        <v>659</v>
      </c>
      <c r="E666" s="544">
        <f>+DATE(YEAR(E665),MONTH(E665)-1,DAY(E665))</f>
        <v>25569.041666666668</v>
      </c>
      <c r="F666" s="333">
        <f>IF(DATE(YEAR($B$6),MONTH($B$6)+1,DAY(1))=E666,1,IF(MONTH(E666)=1,F667*(1+$F$5),F667))</f>
      </c>
      <c r="G666" s="333">
        <f>IF('Simulador - 1º Pilar'!$E$99="Sí",IF('Aportaciones Poliza'!$B$13&lt;'Aportaciones Poliza'!E666,0,F666*$B$8/12),F666*$B$8/12)</f>
      </c>
      <c r="H666" s="333">
        <f>$H$5*G666</f>
      </c>
      <c r="I666" s="333"/>
      <c r="J666" s="333">
        <f>(1+$M$5)^(D666/12)*(H666+IF(AND(F666=1,F667=0),$Q$4,0))</f>
      </c>
      <c r="K666" s="333">
        <f>(1+$M$5)^(D666/12)*(I666)</f>
      </c>
      <c r="L666" s="333">
        <f>K666+J666</f>
      </c>
      <c r="M666" s="170"/>
      <c r="N666" s="7"/>
      <c r="O666" s="1"/>
      <c r="P666" s="331">
        <f>D666</f>
      </c>
      <c r="Q666" s="169"/>
    </row>
    <row x14ac:dyDescent="0.25" r="667" customHeight="1" ht="18.75">
      <c r="A667" s="1"/>
      <c r="B667" s="7"/>
      <c r="C667" s="170"/>
      <c r="D667" s="331">
        <v>660</v>
      </c>
      <c r="E667" s="544">
        <f>+DATE(YEAR(E666),MONTH(E666)-1,DAY(E666))</f>
        <v>25569.041666666668</v>
      </c>
      <c r="F667" s="333">
        <f>IF(DATE(YEAR($B$6),MONTH($B$6)+1,DAY(1))=E667,1,IF(MONTH(E667)=1,F668*(1+$F$5),F668))</f>
      </c>
      <c r="G667" s="333">
        <f>IF('Simulador - 1º Pilar'!$E$99="Sí",IF('Aportaciones Poliza'!$B$13&lt;'Aportaciones Poliza'!E667,0,F667*$B$8/12),F667*$B$8/12)</f>
      </c>
      <c r="H667" s="333">
        <f>$H$5*G667</f>
      </c>
      <c r="I667" s="333"/>
      <c r="J667" s="333">
        <f>(1+$M$5)^(D667/12)*(H667+IF(AND(F667=1,F668=0),$Q$4,0))</f>
      </c>
      <c r="K667" s="333">
        <f>(1+$M$5)^(D667/12)*(I667)</f>
      </c>
      <c r="L667" s="333">
        <f>K667+J667</f>
      </c>
      <c r="M667" s="170"/>
      <c r="N667" s="7"/>
      <c r="O667" s="1"/>
      <c r="P667" s="331">
        <f>D667</f>
      </c>
      <c r="Q667" s="169"/>
    </row>
    <row x14ac:dyDescent="0.25" r="668" customHeight="1" ht="18.75">
      <c r="A668" s="1"/>
      <c r="B668" s="7"/>
      <c r="C668" s="170"/>
      <c r="D668" s="331">
        <v>661</v>
      </c>
      <c r="E668" s="544">
        <f>+DATE(YEAR(E667),MONTH(E667)-1,DAY(E667))</f>
        <v>25569.041666666668</v>
      </c>
      <c r="F668" s="333">
        <f>IF(DATE(YEAR($B$6),MONTH($B$6)+1,DAY(1))=E668,1,IF(MONTH(E668)=1,F669*(1+$F$5),F669))</f>
      </c>
      <c r="G668" s="333">
        <f>IF('Simulador - 1º Pilar'!$E$99="Sí",IF('Aportaciones Poliza'!$B$13&lt;'Aportaciones Poliza'!E668,0,F668*$B$8/12),F668*$B$8/12)</f>
      </c>
      <c r="H668" s="333">
        <f>$H$5*G668</f>
      </c>
      <c r="I668" s="333"/>
      <c r="J668" s="333">
        <f>(1+$M$5)^(D668/12)*(H668+IF(AND(F668=1,F669=0),$Q$4,0))</f>
      </c>
      <c r="K668" s="333">
        <f>(1+$M$5)^(D668/12)*(I668)</f>
      </c>
      <c r="L668" s="333">
        <f>K668+J668</f>
      </c>
      <c r="M668" s="170"/>
      <c r="N668" s="7"/>
      <c r="O668" s="1"/>
      <c r="P668" s="331">
        <f>D668</f>
      </c>
      <c r="Q668" s="169"/>
    </row>
    <row x14ac:dyDescent="0.25" r="669" customHeight="1" ht="18.75">
      <c r="A669" s="1"/>
      <c r="B669" s="7"/>
      <c r="C669" s="170"/>
      <c r="D669" s="331">
        <v>662</v>
      </c>
      <c r="E669" s="544">
        <f>+DATE(YEAR(E668),MONTH(E668)-1,DAY(E668))</f>
        <v>25569.041666666668</v>
      </c>
      <c r="F669" s="333">
        <f>IF(DATE(YEAR($B$6),MONTH($B$6)+1,DAY(1))=E669,1,IF(MONTH(E669)=1,F670*(1+$F$5),F670))</f>
      </c>
      <c r="G669" s="333">
        <f>IF('Simulador - 1º Pilar'!$E$99="Sí",IF('Aportaciones Poliza'!$B$13&lt;'Aportaciones Poliza'!E669,0,F669*$B$8/12),F669*$B$8/12)</f>
      </c>
      <c r="H669" s="333">
        <f>$H$5*G669</f>
      </c>
      <c r="I669" s="333"/>
      <c r="J669" s="333">
        <f>(1+$M$5)^(D669/12)*(H669+IF(AND(F669=1,F670=0),$Q$4,0))</f>
      </c>
      <c r="K669" s="333">
        <f>(1+$M$5)^(D669/12)*(I669)</f>
      </c>
      <c r="L669" s="333">
        <f>K669+J669</f>
      </c>
      <c r="M669" s="170"/>
      <c r="N669" s="7"/>
      <c r="O669" s="1"/>
      <c r="P669" s="331">
        <f>D669</f>
      </c>
      <c r="Q669" s="169"/>
    </row>
    <row x14ac:dyDescent="0.25" r="670" customHeight="1" ht="18.75">
      <c r="A670" s="1"/>
      <c r="B670" s="7"/>
      <c r="C670" s="170"/>
      <c r="D670" s="331">
        <v>663</v>
      </c>
      <c r="E670" s="544">
        <f>+DATE(YEAR(E669),MONTH(E669)-1,DAY(E669))</f>
        <v>25569.041666666668</v>
      </c>
      <c r="F670" s="333">
        <f>IF(DATE(YEAR($B$6),MONTH($B$6)+1,DAY(1))=E670,1,IF(MONTH(E670)=1,F671*(1+$F$5),F671))</f>
      </c>
      <c r="G670" s="333">
        <f>IF('Simulador - 1º Pilar'!$E$99="Sí",IF('Aportaciones Poliza'!$B$13&lt;'Aportaciones Poliza'!E670,0,F670*$B$8/12),F670*$B$8/12)</f>
      </c>
      <c r="H670" s="333">
        <f>$H$5*G670</f>
      </c>
      <c r="I670" s="333"/>
      <c r="J670" s="333">
        <f>(1+$M$5)^(D670/12)*(H670+IF(AND(F670=1,F671=0),$Q$4,0))</f>
      </c>
      <c r="K670" s="333">
        <f>(1+$M$5)^(D670/12)*(I670)</f>
      </c>
      <c r="L670" s="333">
        <f>K670+J670</f>
      </c>
      <c r="M670" s="170"/>
      <c r="N670" s="7"/>
      <c r="O670" s="1"/>
      <c r="P670" s="331">
        <f>D670</f>
      </c>
      <c r="Q670" s="169"/>
    </row>
    <row x14ac:dyDescent="0.25" r="671" customHeight="1" ht="18.75">
      <c r="A671" s="1"/>
      <c r="B671" s="7"/>
      <c r="C671" s="170"/>
      <c r="D671" s="331">
        <v>664</v>
      </c>
      <c r="E671" s="544">
        <f>+DATE(YEAR(E670),MONTH(E670)-1,DAY(E670))</f>
        <v>25569.041666666668</v>
      </c>
      <c r="F671" s="333">
        <f>IF(DATE(YEAR($B$6),MONTH($B$6)+1,DAY(1))=E671,1,IF(MONTH(E671)=1,F672*(1+$F$5),F672))</f>
      </c>
      <c r="G671" s="333">
        <f>IF('Simulador - 1º Pilar'!$E$99="Sí",IF('Aportaciones Poliza'!$B$13&lt;'Aportaciones Poliza'!E671,0,F671*$B$8/12),F671*$B$8/12)</f>
      </c>
      <c r="H671" s="333">
        <f>$H$5*G671</f>
      </c>
      <c r="I671" s="333"/>
      <c r="J671" s="333">
        <f>(1+$M$5)^(D671/12)*(H671+IF(AND(F671=1,F672=0),$Q$4,0))</f>
      </c>
      <c r="K671" s="333">
        <f>(1+$M$5)^(D671/12)*(I671)</f>
      </c>
      <c r="L671" s="333">
        <f>K671+J671</f>
      </c>
      <c r="M671" s="170"/>
      <c r="N671" s="7"/>
      <c r="O671" s="1"/>
      <c r="P671" s="331">
        <f>D671</f>
      </c>
      <c r="Q671" s="169"/>
    </row>
    <row x14ac:dyDescent="0.25" r="672" customHeight="1" ht="18.75">
      <c r="A672" s="1"/>
      <c r="B672" s="7"/>
      <c r="C672" s="170"/>
      <c r="D672" s="331">
        <v>665</v>
      </c>
      <c r="E672" s="544">
        <f>+DATE(YEAR(E671),MONTH(E671)-1,DAY(E671))</f>
        <v>25569.041666666668</v>
      </c>
      <c r="F672" s="333">
        <f>IF(DATE(YEAR($B$6),MONTH($B$6)+1,DAY(1))=E672,1,IF(MONTH(E672)=1,F673*(1+$F$5),F673))</f>
      </c>
      <c r="G672" s="333">
        <f>IF('Simulador - 1º Pilar'!$E$99="Sí",IF('Aportaciones Poliza'!$B$13&lt;'Aportaciones Poliza'!E672,0,F672*$B$8/12),F672*$B$8/12)</f>
      </c>
      <c r="H672" s="333">
        <f>$H$5*G672</f>
      </c>
      <c r="I672" s="333"/>
      <c r="J672" s="333">
        <f>(1+$M$5)^(D672/12)*(H672+IF(AND(F672=1,F673=0),$Q$4,0))</f>
      </c>
      <c r="K672" s="333">
        <f>(1+$M$5)^(D672/12)*(I672)</f>
      </c>
      <c r="L672" s="333">
        <f>K672+J672</f>
      </c>
      <c r="M672" s="170"/>
      <c r="N672" s="7"/>
      <c r="O672" s="1"/>
      <c r="P672" s="331">
        <f>D672</f>
      </c>
      <c r="Q672" s="169"/>
    </row>
    <row x14ac:dyDescent="0.25" r="673" customHeight="1" ht="18.75">
      <c r="A673" s="1"/>
      <c r="B673" s="7"/>
      <c r="C673" s="170"/>
      <c r="D673" s="331">
        <v>666</v>
      </c>
      <c r="E673" s="544">
        <f>+DATE(YEAR(E672),MONTH(E672)-1,DAY(E672))</f>
        <v>25569.041666666668</v>
      </c>
      <c r="F673" s="333">
        <f>IF(DATE(YEAR($B$6),MONTH($B$6)+1,DAY(1))=E673,1,IF(MONTH(E673)=1,F674*(1+$F$5),F674))</f>
      </c>
      <c r="G673" s="333">
        <f>IF('Simulador - 1º Pilar'!$E$99="Sí",IF('Aportaciones Poliza'!$B$13&lt;'Aportaciones Poliza'!E673,0,F673*$B$8/12),F673*$B$8/12)</f>
      </c>
      <c r="H673" s="333">
        <f>$H$5*G673</f>
      </c>
      <c r="I673" s="333"/>
      <c r="J673" s="333">
        <f>(1+$M$5)^(D673/12)*(H673+IF(AND(F673=1,F674=0),$Q$4,0))</f>
      </c>
      <c r="K673" s="333">
        <f>(1+$M$5)^(D673/12)*(I673)</f>
      </c>
      <c r="L673" s="333">
        <f>K673+J673</f>
      </c>
      <c r="M673" s="170"/>
      <c r="N673" s="7"/>
      <c r="O673" s="1"/>
      <c r="P673" s="331">
        <f>D673</f>
      </c>
      <c r="Q673" s="169"/>
    </row>
    <row x14ac:dyDescent="0.25" r="674" customHeight="1" ht="18.75">
      <c r="A674" s="1"/>
      <c r="B674" s="7"/>
      <c r="C674" s="170"/>
      <c r="D674" s="331">
        <v>667</v>
      </c>
      <c r="E674" s="544">
        <f>+DATE(YEAR(E673),MONTH(E673)-1,DAY(E673))</f>
        <v>25569.041666666668</v>
      </c>
      <c r="F674" s="333">
        <f>IF(DATE(YEAR($B$6),MONTH($B$6)+1,DAY(1))=E674,1,IF(MONTH(E674)=1,F675*(1+$F$5),F675))</f>
      </c>
      <c r="G674" s="333">
        <f>IF('Simulador - 1º Pilar'!$E$99="Sí",IF('Aportaciones Poliza'!$B$13&lt;'Aportaciones Poliza'!E674,0,F674*$B$8/12),F674*$B$8/12)</f>
      </c>
      <c r="H674" s="333">
        <f>$H$5*G674</f>
      </c>
      <c r="I674" s="333"/>
      <c r="J674" s="333">
        <f>(1+$M$5)^(D674/12)*(H674+IF(AND(F674=1,F675=0),$Q$4,0))</f>
      </c>
      <c r="K674" s="333">
        <f>(1+$M$5)^(D674/12)*(I674)</f>
      </c>
      <c r="L674" s="333">
        <f>K674+J674</f>
      </c>
      <c r="M674" s="170"/>
      <c r="N674" s="7"/>
      <c r="O674" s="1"/>
      <c r="P674" s="331">
        <f>D674</f>
      </c>
      <c r="Q674" s="169"/>
    </row>
    <row x14ac:dyDescent="0.25" r="675" customHeight="1" ht="18.75">
      <c r="A675" s="1"/>
      <c r="B675" s="7"/>
      <c r="C675" s="170"/>
      <c r="D675" s="331">
        <v>668</v>
      </c>
      <c r="E675" s="544">
        <f>+DATE(YEAR(E674),MONTH(E674)-1,DAY(E674))</f>
        <v>25569.041666666668</v>
      </c>
      <c r="F675" s="333">
        <f>IF(DATE(YEAR($B$6),MONTH($B$6)+1,DAY(1))=E675,1,IF(MONTH(E675)=1,F676*(1+$F$5),F676))</f>
      </c>
      <c r="G675" s="333">
        <f>IF('Simulador - 1º Pilar'!$E$99="Sí",IF('Aportaciones Poliza'!$B$13&lt;'Aportaciones Poliza'!E675,0,F675*$B$8/12),F675*$B$8/12)</f>
      </c>
      <c r="H675" s="333">
        <f>$H$5*G675</f>
      </c>
      <c r="I675" s="333"/>
      <c r="J675" s="333">
        <f>(1+$M$5)^(D675/12)*(H675+IF(AND(F675=1,F676=0),$Q$4,0))</f>
      </c>
      <c r="K675" s="333">
        <f>(1+$M$5)^(D675/12)*(I675)</f>
      </c>
      <c r="L675" s="333">
        <f>K675+J675</f>
      </c>
      <c r="M675" s="170"/>
      <c r="N675" s="7"/>
      <c r="O675" s="1"/>
      <c r="P675" s="331">
        <f>D675</f>
      </c>
      <c r="Q675" s="169"/>
    </row>
    <row x14ac:dyDescent="0.25" r="676" customHeight="1" ht="18.75">
      <c r="A676" s="1"/>
      <c r="B676" s="7"/>
      <c r="C676" s="170"/>
      <c r="D676" s="331">
        <v>669</v>
      </c>
      <c r="E676" s="544">
        <f>+DATE(YEAR(E675),MONTH(E675)-1,DAY(E675))</f>
        <v>25569.041666666668</v>
      </c>
      <c r="F676" s="333">
        <f>IF(DATE(YEAR($B$6),MONTH($B$6)+1,DAY(1))=E676,1,IF(MONTH(E676)=1,F677*(1+$F$5),F677))</f>
      </c>
      <c r="G676" s="333">
        <f>IF('Simulador - 1º Pilar'!$E$99="Sí",IF('Aportaciones Poliza'!$B$13&lt;'Aportaciones Poliza'!E676,0,F676*$B$8/12),F676*$B$8/12)</f>
      </c>
      <c r="H676" s="333">
        <f>$H$5*G676</f>
      </c>
      <c r="I676" s="333"/>
      <c r="J676" s="333">
        <f>(1+$M$5)^(D676/12)*(H676+IF(AND(F676=1,F677=0),$Q$4,0))</f>
      </c>
      <c r="K676" s="333">
        <f>(1+$M$5)^(D676/12)*(I676)</f>
      </c>
      <c r="L676" s="333">
        <f>K676+J676</f>
      </c>
      <c r="M676" s="170"/>
      <c r="N676" s="7"/>
      <c r="O676" s="1"/>
      <c r="P676" s="331">
        <f>D676</f>
      </c>
      <c r="Q676" s="169"/>
    </row>
    <row x14ac:dyDescent="0.25" r="677" customHeight="1" ht="18.75">
      <c r="A677" s="1"/>
      <c r="B677" s="7"/>
      <c r="C677" s="170"/>
      <c r="D677" s="331">
        <v>670</v>
      </c>
      <c r="E677" s="544">
        <f>+DATE(YEAR(E676),MONTH(E676)-1,DAY(E676))</f>
        <v>25569.041666666668</v>
      </c>
      <c r="F677" s="333">
        <f>IF(DATE(YEAR($B$6),MONTH($B$6)+1,DAY(1))=E677,1,IF(MONTH(E677)=1,F678*(1+$F$5),F678))</f>
      </c>
      <c r="G677" s="333">
        <f>IF('Simulador - 1º Pilar'!$E$99="Sí",IF('Aportaciones Poliza'!$B$13&lt;'Aportaciones Poliza'!E677,0,F677*$B$8/12),F677*$B$8/12)</f>
      </c>
      <c r="H677" s="333">
        <f>$H$5*G677</f>
      </c>
      <c r="I677" s="333"/>
      <c r="J677" s="333">
        <f>(1+$M$5)^(D677/12)*(H677+IF(AND(F677=1,F678=0),$Q$4,0))</f>
      </c>
      <c r="K677" s="333">
        <f>(1+$M$5)^(D677/12)*(I677)</f>
      </c>
      <c r="L677" s="333">
        <f>K677+J677</f>
      </c>
      <c r="M677" s="170"/>
      <c r="N677" s="7"/>
      <c r="O677" s="1"/>
      <c r="P677" s="331">
        <f>D677</f>
      </c>
      <c r="Q677" s="169"/>
    </row>
    <row x14ac:dyDescent="0.25" r="678" customHeight="1" ht="18.75">
      <c r="A678" s="1"/>
      <c r="B678" s="7"/>
      <c r="C678" s="170"/>
      <c r="D678" s="331">
        <v>671</v>
      </c>
      <c r="E678" s="544">
        <f>+DATE(YEAR(E677),MONTH(E677)-1,DAY(E677))</f>
        <v>25569.041666666668</v>
      </c>
      <c r="F678" s="333">
        <f>IF(DATE(YEAR($B$6),MONTH($B$6)+1,DAY(1))=E678,1,IF(MONTH(E678)=1,F679*(1+$F$5),F679))</f>
      </c>
      <c r="G678" s="333">
        <f>IF('Simulador - 1º Pilar'!$E$99="Sí",IF('Aportaciones Poliza'!$B$13&lt;'Aportaciones Poliza'!E678,0,F678*$B$8/12),F678*$B$8/12)</f>
      </c>
      <c r="H678" s="333">
        <f>$H$5*G678</f>
      </c>
      <c r="I678" s="333"/>
      <c r="J678" s="333">
        <f>(1+$M$5)^(D678/12)*(H678+IF(AND(F678=1,F679=0),$Q$4,0))</f>
      </c>
      <c r="K678" s="333">
        <f>(1+$M$5)^(D678/12)*(I678)</f>
      </c>
      <c r="L678" s="333">
        <f>K678+J678</f>
      </c>
      <c r="M678" s="170"/>
      <c r="N678" s="7"/>
      <c r="O678" s="1"/>
      <c r="P678" s="331">
        <f>D678</f>
      </c>
      <c r="Q678" s="169"/>
    </row>
    <row x14ac:dyDescent="0.25" r="679" customHeight="1" ht="18.75">
      <c r="A679" s="1"/>
      <c r="B679" s="7"/>
      <c r="C679" s="170"/>
      <c r="D679" s="331">
        <v>672</v>
      </c>
      <c r="E679" s="544">
        <f>+DATE(YEAR(E678),MONTH(E678)-1,DAY(E678))</f>
        <v>25569.041666666668</v>
      </c>
      <c r="F679" s="333">
        <f>IF(DATE(YEAR($B$6),MONTH($B$6)+1,DAY(1))=E679,1,IF(MONTH(E679)=1,F680*(1+$F$5),F680))</f>
      </c>
      <c r="G679" s="333">
        <f>IF('Simulador - 1º Pilar'!$E$99="Sí",IF('Aportaciones Poliza'!$B$13&lt;'Aportaciones Poliza'!E679,0,F679*$B$8/12),F679*$B$8/12)</f>
      </c>
      <c r="H679" s="333">
        <f>$H$5*G679</f>
      </c>
      <c r="I679" s="333"/>
      <c r="J679" s="333">
        <f>(1+$M$5)^(D679/12)*(H679+IF(AND(F679=1,F680=0),$Q$4,0))</f>
      </c>
      <c r="K679" s="333">
        <f>(1+$M$5)^(D679/12)*(I679)</f>
      </c>
      <c r="L679" s="333">
        <f>K679+J679</f>
      </c>
      <c r="M679" s="170"/>
      <c r="N679" s="7"/>
      <c r="O679" s="1"/>
      <c r="P679" s="331">
        <f>D679</f>
      </c>
      <c r="Q679" s="169"/>
    </row>
    <row x14ac:dyDescent="0.25" r="680" customHeight="1" ht="18.75">
      <c r="A680" s="1"/>
      <c r="B680" s="7"/>
      <c r="C680" s="170"/>
      <c r="D680" s="331">
        <v>673</v>
      </c>
      <c r="E680" s="544">
        <f>+DATE(YEAR(E679),MONTH(E679)-1,DAY(E679))</f>
        <v>25569.041666666668</v>
      </c>
      <c r="F680" s="333">
        <f>IF(DATE(YEAR($B$6),MONTH($B$6)+1,DAY(1))=E680,1,IF(MONTH(E680)=1,F681*(1+$F$5),F681))</f>
      </c>
      <c r="G680" s="333">
        <f>IF('Simulador - 1º Pilar'!$E$99="Sí",IF('Aportaciones Poliza'!$B$13&lt;'Aportaciones Poliza'!E680,0,F680*$B$8/12),F680*$B$8/12)</f>
      </c>
      <c r="H680" s="333">
        <f>$H$5*G680</f>
      </c>
      <c r="I680" s="333"/>
      <c r="J680" s="333">
        <f>(1+$M$5)^(D680/12)*(H680+IF(AND(F680=1,F681=0),$Q$4,0))</f>
      </c>
      <c r="K680" s="333">
        <f>(1+$M$5)^(D680/12)*(I680)</f>
      </c>
      <c r="L680" s="333">
        <f>K680+J680</f>
      </c>
      <c r="M680" s="170"/>
      <c r="N680" s="7"/>
      <c r="O680" s="1"/>
      <c r="P680" s="331">
        <f>D680</f>
      </c>
      <c r="Q680" s="169"/>
    </row>
    <row x14ac:dyDescent="0.25" r="681" customHeight="1" ht="18.75">
      <c r="A681" s="1"/>
      <c r="B681" s="7"/>
      <c r="C681" s="170"/>
      <c r="D681" s="331">
        <v>674</v>
      </c>
      <c r="E681" s="544">
        <f>+DATE(YEAR(E680),MONTH(E680)-1,DAY(E680))</f>
        <v>25569.041666666668</v>
      </c>
      <c r="F681" s="333">
        <f>IF(DATE(YEAR($B$6),MONTH($B$6)+1,DAY(1))=E681,1,IF(MONTH(E681)=1,F682*(1+$F$5),F682))</f>
      </c>
      <c r="G681" s="333">
        <f>IF('Simulador - 1º Pilar'!$E$99="Sí",IF('Aportaciones Poliza'!$B$13&lt;'Aportaciones Poliza'!E681,0,F681*$B$8/12),F681*$B$8/12)</f>
      </c>
      <c r="H681" s="333">
        <f>$H$5*G681</f>
      </c>
      <c r="I681" s="333"/>
      <c r="J681" s="333">
        <f>(1+$M$5)^(D681/12)*(H681+IF(AND(F681=1,F682=0),$Q$4,0))</f>
      </c>
      <c r="K681" s="333">
        <f>(1+$M$5)^(D681/12)*(I681)</f>
      </c>
      <c r="L681" s="333">
        <f>K681+J681</f>
      </c>
      <c r="M681" s="170"/>
      <c r="N681" s="7"/>
      <c r="O681" s="1"/>
      <c r="P681" s="331">
        <f>D681</f>
      </c>
      <c r="Q681" s="169"/>
    </row>
    <row x14ac:dyDescent="0.25" r="682" customHeight="1" ht="18.75">
      <c r="A682" s="1"/>
      <c r="B682" s="7"/>
      <c r="C682" s="170"/>
      <c r="D682" s="331">
        <v>675</v>
      </c>
      <c r="E682" s="544">
        <f>+DATE(YEAR(E681),MONTH(E681)-1,DAY(E681))</f>
        <v>25569.041666666668</v>
      </c>
      <c r="F682" s="333">
        <f>IF(DATE(YEAR($B$6),MONTH($B$6)+1,DAY(1))=E682,1,IF(MONTH(E682)=1,F683*(1+$F$5),F683))</f>
      </c>
      <c r="G682" s="333">
        <f>IF('Simulador - 1º Pilar'!$E$99="Sí",IF('Aportaciones Poliza'!$B$13&lt;'Aportaciones Poliza'!E682,0,F682*$B$8/12),F682*$B$8/12)</f>
      </c>
      <c r="H682" s="333">
        <f>$H$5*G682</f>
      </c>
      <c r="I682" s="333"/>
      <c r="J682" s="333">
        <f>(1+$M$5)^(D682/12)*(H682+IF(AND(F682=1,F683=0),$Q$4,0))</f>
      </c>
      <c r="K682" s="333">
        <f>(1+$M$5)^(D682/12)*(I682)</f>
      </c>
      <c r="L682" s="333">
        <f>K682+J682</f>
      </c>
      <c r="M682" s="170"/>
      <c r="N682" s="7"/>
      <c r="O682" s="1"/>
      <c r="P682" s="331">
        <f>D682</f>
      </c>
      <c r="Q682" s="169"/>
    </row>
    <row x14ac:dyDescent="0.25" r="683" customHeight="1" ht="18.75">
      <c r="A683" s="1"/>
      <c r="B683" s="7"/>
      <c r="C683" s="170"/>
      <c r="D683" s="331">
        <v>676</v>
      </c>
      <c r="E683" s="544">
        <f>+DATE(YEAR(E682),MONTH(E682)-1,DAY(E682))</f>
        <v>25569.041666666668</v>
      </c>
      <c r="F683" s="333">
        <f>IF(DATE(YEAR($B$6),MONTH($B$6)+1,DAY(1))=E683,1,IF(MONTH(E683)=1,F684*(1+$F$5),F684))</f>
      </c>
      <c r="G683" s="333">
        <f>IF('Simulador - 1º Pilar'!$E$99="Sí",IF('Aportaciones Poliza'!$B$13&lt;'Aportaciones Poliza'!E683,0,F683*$B$8/12),F683*$B$8/12)</f>
      </c>
      <c r="H683" s="333">
        <f>$H$5*G683</f>
      </c>
      <c r="I683" s="333"/>
      <c r="J683" s="333">
        <f>(1+$M$5)^(D683/12)*(H683+IF(AND(F683=1,F684=0),$Q$4,0))</f>
      </c>
      <c r="K683" s="333">
        <f>(1+$M$5)^(D683/12)*(I683)</f>
      </c>
      <c r="L683" s="333">
        <f>K683+J683</f>
      </c>
      <c r="M683" s="170"/>
      <c r="N683" s="7"/>
      <c r="O683" s="1"/>
      <c r="P683" s="331">
        <f>D683</f>
      </c>
      <c r="Q683" s="169"/>
    </row>
    <row x14ac:dyDescent="0.25" r="684" customHeight="1" ht="18.75">
      <c r="A684" s="1"/>
      <c r="B684" s="7"/>
      <c r="C684" s="170"/>
      <c r="D684" s="331">
        <v>677</v>
      </c>
      <c r="E684" s="544">
        <f>+DATE(YEAR(E683),MONTH(E683)-1,DAY(E683))</f>
        <v>25569.041666666668</v>
      </c>
      <c r="F684" s="333">
        <f>IF(DATE(YEAR($B$6),MONTH($B$6)+1,DAY(1))=E684,1,IF(MONTH(E684)=1,F685*(1+$F$5),F685))</f>
      </c>
      <c r="G684" s="333">
        <f>IF('Simulador - 1º Pilar'!$E$99="Sí",IF('Aportaciones Poliza'!$B$13&lt;'Aportaciones Poliza'!E684,0,F684*$B$8/12),F684*$B$8/12)</f>
      </c>
      <c r="H684" s="333">
        <f>$H$5*G684</f>
      </c>
      <c r="I684" s="333"/>
      <c r="J684" s="333">
        <f>(1+$M$5)^(D684/12)*(H684+IF(AND(F684=1,F685=0),$Q$4,0))</f>
      </c>
      <c r="K684" s="333">
        <f>(1+$M$5)^(D684/12)*(I684)</f>
      </c>
      <c r="L684" s="333">
        <f>K684+J684</f>
      </c>
      <c r="M684" s="170"/>
      <c r="N684" s="7"/>
      <c r="O684" s="1"/>
      <c r="P684" s="331">
        <f>D684</f>
      </c>
      <c r="Q684" s="169"/>
    </row>
    <row x14ac:dyDescent="0.25" r="685" customHeight="1" ht="18.75">
      <c r="A685" s="1"/>
      <c r="B685" s="7"/>
      <c r="C685" s="170"/>
      <c r="D685" s="331">
        <v>678</v>
      </c>
      <c r="E685" s="544">
        <f>+DATE(YEAR(E684),MONTH(E684)-1,DAY(E684))</f>
        <v>25569.041666666668</v>
      </c>
      <c r="F685" s="333">
        <f>IF(DATE(YEAR($B$6),MONTH($B$6)+1,DAY(1))=E685,1,IF(MONTH(E685)=1,F686*(1+$F$5),F686))</f>
      </c>
      <c r="G685" s="333">
        <f>IF('Simulador - 1º Pilar'!$E$99="Sí",IF('Aportaciones Poliza'!$B$13&lt;'Aportaciones Poliza'!E685,0,F685*$B$8/12),F685*$B$8/12)</f>
      </c>
      <c r="H685" s="333">
        <f>$H$5*G685</f>
      </c>
      <c r="I685" s="333"/>
      <c r="J685" s="333">
        <f>(1+$M$5)^(D685/12)*(H685+IF(AND(F685=1,F686=0),$Q$4,0))</f>
      </c>
      <c r="K685" s="333">
        <f>(1+$M$5)^(D685/12)*(I685)</f>
      </c>
      <c r="L685" s="333">
        <f>K685+J685</f>
      </c>
      <c r="M685" s="170"/>
      <c r="N685" s="7"/>
      <c r="O685" s="1"/>
      <c r="P685" s="331">
        <f>D685</f>
      </c>
      <c r="Q685" s="169"/>
    </row>
    <row x14ac:dyDescent="0.25" r="686" customHeight="1" ht="18.75">
      <c r="A686" s="1"/>
      <c r="B686" s="7"/>
      <c r="C686" s="170"/>
      <c r="D686" s="331">
        <v>679</v>
      </c>
      <c r="E686" s="544">
        <f>+DATE(YEAR(E685),MONTH(E685)-1,DAY(E685))</f>
        <v>25569.041666666668</v>
      </c>
      <c r="F686" s="333">
        <f>IF(DATE(YEAR($B$6),MONTH($B$6)+1,DAY(1))=E686,1,IF(MONTH(E686)=1,F687*(1+$F$5),F687))</f>
      </c>
      <c r="G686" s="333">
        <f>IF('Simulador - 1º Pilar'!$E$99="Sí",IF('Aportaciones Poliza'!$B$13&lt;'Aportaciones Poliza'!E686,0,F686*$B$8/12),F686*$B$8/12)</f>
      </c>
      <c r="H686" s="333">
        <f>$H$5*G686</f>
      </c>
      <c r="I686" s="333"/>
      <c r="J686" s="333">
        <f>(1+$M$5)^(D686/12)*(H686+IF(AND(F686=1,F687=0),$Q$4,0))</f>
      </c>
      <c r="K686" s="333">
        <f>(1+$M$5)^(D686/12)*(I686)</f>
      </c>
      <c r="L686" s="333">
        <f>K686+J686</f>
      </c>
      <c r="M686" s="170"/>
      <c r="N686" s="7"/>
      <c r="O686" s="1"/>
      <c r="P686" s="331">
        <f>D686</f>
      </c>
      <c r="Q686" s="169"/>
    </row>
    <row x14ac:dyDescent="0.25" r="687" customHeight="1" ht="18.75">
      <c r="A687" s="1"/>
      <c r="B687" s="7"/>
      <c r="C687" s="170"/>
      <c r="D687" s="331">
        <v>680</v>
      </c>
      <c r="E687" s="544">
        <f>+DATE(YEAR(E686),MONTH(E686)-1,DAY(E686))</f>
        <v>25569.041666666668</v>
      </c>
      <c r="F687" s="333">
        <f>IF(DATE(YEAR($B$6),MONTH($B$6)+1,DAY(1))=E687,1,IF(MONTH(E687)=1,F688*(1+$F$5),F688))</f>
      </c>
      <c r="G687" s="333">
        <f>IF('Simulador - 1º Pilar'!$E$99="Sí",IF('Aportaciones Poliza'!$B$13&lt;'Aportaciones Poliza'!E687,0,F687*$B$8/12),F687*$B$8/12)</f>
      </c>
      <c r="H687" s="333">
        <f>$H$5*G687</f>
      </c>
      <c r="I687" s="333"/>
      <c r="J687" s="333">
        <f>(1+$M$5)^(D687/12)*(H687+IF(AND(F687=1,F688=0),$Q$4,0))</f>
      </c>
      <c r="K687" s="333">
        <f>(1+$M$5)^(D687/12)*(I687)</f>
      </c>
      <c r="L687" s="333">
        <f>K687+J687</f>
      </c>
      <c r="M687" s="170"/>
      <c r="N687" s="7"/>
      <c r="O687" s="1"/>
      <c r="P687" s="331">
        <f>D687</f>
      </c>
      <c r="Q687" s="169"/>
    </row>
    <row x14ac:dyDescent="0.25" r="688" customHeight="1" ht="18.75">
      <c r="A688" s="1"/>
      <c r="B688" s="7"/>
      <c r="C688" s="170"/>
      <c r="D688" s="331">
        <v>681</v>
      </c>
      <c r="E688" s="544">
        <f>+DATE(YEAR(E687),MONTH(E687)-1,DAY(E687))</f>
        <v>25569.041666666668</v>
      </c>
      <c r="F688" s="333">
        <f>IF(DATE(YEAR($B$6),MONTH($B$6)+1,DAY(1))=E688,1,IF(MONTH(E688)=1,F689*(1+$F$5),F689))</f>
      </c>
      <c r="G688" s="333">
        <f>IF('Simulador - 1º Pilar'!$E$99="Sí",IF('Aportaciones Poliza'!$B$13&lt;'Aportaciones Poliza'!E688,0,F688*$B$8/12),F688*$B$8/12)</f>
      </c>
      <c r="H688" s="333">
        <f>$H$5*G688</f>
      </c>
      <c r="I688" s="333"/>
      <c r="J688" s="333">
        <f>(1+$M$5)^(D688/12)*(H688+IF(AND(F688=1,F689=0),$Q$4,0))</f>
      </c>
      <c r="K688" s="333">
        <f>(1+$M$5)^(D688/12)*(I688)</f>
      </c>
      <c r="L688" s="333">
        <f>K688+J688</f>
      </c>
      <c r="M688" s="170"/>
      <c r="N688" s="7"/>
      <c r="O688" s="1"/>
      <c r="P688" s="331">
        <f>D688</f>
      </c>
      <c r="Q688" s="169"/>
    </row>
    <row x14ac:dyDescent="0.25" r="689" customHeight="1" ht="18.75">
      <c r="A689" s="1"/>
      <c r="B689" s="7"/>
      <c r="C689" s="170"/>
      <c r="D689" s="331">
        <v>682</v>
      </c>
      <c r="E689" s="544">
        <f>+DATE(YEAR(E688),MONTH(E688)-1,DAY(E688))</f>
        <v>25569.041666666668</v>
      </c>
      <c r="F689" s="333">
        <f>IF(DATE(YEAR($B$6),MONTH($B$6)+1,DAY(1))=E689,1,IF(MONTH(E689)=1,F690*(1+$F$5),F690))</f>
      </c>
      <c r="G689" s="333">
        <f>IF('Simulador - 1º Pilar'!$E$99="Sí",IF('Aportaciones Poliza'!$B$13&lt;'Aportaciones Poliza'!E689,0,F689*$B$8/12),F689*$B$8/12)</f>
      </c>
      <c r="H689" s="333">
        <f>$H$5*G689</f>
      </c>
      <c r="I689" s="333"/>
      <c r="J689" s="333">
        <f>(1+$M$5)^(D689/12)*(H689+IF(AND(F689=1,F690=0),$Q$4,0))</f>
      </c>
      <c r="K689" s="333">
        <f>(1+$M$5)^(D689/12)*(I689)</f>
      </c>
      <c r="L689" s="333">
        <f>K689+J689</f>
      </c>
      <c r="M689" s="170"/>
      <c r="N689" s="7"/>
      <c r="O689" s="1"/>
      <c r="P689" s="331">
        <f>D689</f>
      </c>
      <c r="Q689" s="169"/>
    </row>
    <row x14ac:dyDescent="0.25" r="690" customHeight="1" ht="18.75">
      <c r="A690" s="1"/>
      <c r="B690" s="7"/>
      <c r="C690" s="170"/>
      <c r="D690" s="331">
        <v>683</v>
      </c>
      <c r="E690" s="544">
        <f>+DATE(YEAR(E689),MONTH(E689)-1,DAY(E689))</f>
        <v>25569.041666666668</v>
      </c>
      <c r="F690" s="333">
        <f>IF(DATE(YEAR($B$6),MONTH($B$6)+1,DAY(1))=E690,1,IF(MONTH(E690)=1,F691*(1+$F$5),F691))</f>
      </c>
      <c r="G690" s="333">
        <f>IF('Simulador - 1º Pilar'!$E$99="Sí",IF('Aportaciones Poliza'!$B$13&lt;'Aportaciones Poliza'!E690,0,F690*$B$8/12),F690*$B$8/12)</f>
      </c>
      <c r="H690" s="333">
        <f>$H$5*G690</f>
      </c>
      <c r="I690" s="333"/>
      <c r="J690" s="333">
        <f>(1+$M$5)^(D690/12)*(H690+IF(AND(F690=1,F691=0),$Q$4,0))</f>
      </c>
      <c r="K690" s="333">
        <f>(1+$M$5)^(D690/12)*(I690)</f>
      </c>
      <c r="L690" s="333">
        <f>K690+J690</f>
      </c>
      <c r="M690" s="170"/>
      <c r="N690" s="7"/>
      <c r="O690" s="1"/>
      <c r="P690" s="331">
        <f>D690</f>
      </c>
      <c r="Q690" s="169"/>
    </row>
    <row x14ac:dyDescent="0.25" r="691" customHeight="1" ht="18.75">
      <c r="A691" s="1"/>
      <c r="B691" s="7"/>
      <c r="C691" s="170"/>
      <c r="D691" s="331">
        <v>684</v>
      </c>
      <c r="E691" s="544">
        <f>+DATE(YEAR(E690),MONTH(E690)-1,DAY(E690))</f>
        <v>25569.041666666668</v>
      </c>
      <c r="F691" s="333">
        <f>IF(DATE(YEAR($B$6),MONTH($B$6)+1,DAY(1))=E691,1,IF(MONTH(E691)=1,F692*(1+$F$5),F692))</f>
      </c>
      <c r="G691" s="333">
        <f>IF('Simulador - 1º Pilar'!$E$99="Sí",IF('Aportaciones Poliza'!$B$13&lt;'Aportaciones Poliza'!E691,0,F691*$B$8/12),F691*$B$8/12)</f>
      </c>
      <c r="H691" s="333">
        <f>$H$5*G691</f>
      </c>
      <c r="I691" s="333"/>
      <c r="J691" s="333">
        <f>(1+$M$5)^(D691/12)*(H691+IF(AND(F691=1,F692=0),$Q$4,0))</f>
      </c>
      <c r="K691" s="333">
        <f>(1+$M$5)^(D691/12)*(I691)</f>
      </c>
      <c r="L691" s="333">
        <f>K691+J691</f>
      </c>
      <c r="M691" s="170"/>
      <c r="N691" s="7"/>
      <c r="O691" s="1"/>
      <c r="P691" s="331">
        <f>D691</f>
      </c>
      <c r="Q691" s="169"/>
    </row>
    <row x14ac:dyDescent="0.25" r="692" customHeight="1" ht="18.75">
      <c r="A692" s="1"/>
      <c r="B692" s="7"/>
      <c r="C692" s="170"/>
      <c r="D692" s="331">
        <v>685</v>
      </c>
      <c r="E692" s="544">
        <f>+DATE(YEAR(E691),MONTH(E691)-1,DAY(E691))</f>
        <v>25569.041666666668</v>
      </c>
      <c r="F692" s="333">
        <f>IF(DATE(YEAR($B$6),MONTH($B$6)+1,DAY(1))=E692,1,IF(MONTH(E692)=1,F693*(1+$F$5),F693))</f>
      </c>
      <c r="G692" s="333">
        <f>IF('Simulador - 1º Pilar'!$E$99="Sí",IF('Aportaciones Poliza'!$B$13&lt;'Aportaciones Poliza'!E692,0,F692*$B$8/12),F692*$B$8/12)</f>
      </c>
      <c r="H692" s="333">
        <f>$H$5*G692</f>
      </c>
      <c r="I692" s="333"/>
      <c r="J692" s="333">
        <f>(1+$M$5)^(D692/12)*(H692+IF(AND(F692=1,F693=0),$Q$4,0))</f>
      </c>
      <c r="K692" s="333">
        <f>(1+$M$5)^(D692/12)*(I692)</f>
      </c>
      <c r="L692" s="333">
        <f>K692+J692</f>
      </c>
      <c r="M692" s="170"/>
      <c r="N692" s="7"/>
      <c r="O692" s="1"/>
      <c r="P692" s="331">
        <f>D692</f>
      </c>
      <c r="Q692" s="169"/>
    </row>
    <row x14ac:dyDescent="0.25" r="693" customHeight="1" ht="18.75">
      <c r="A693" s="1"/>
      <c r="B693" s="7"/>
      <c r="C693" s="170"/>
      <c r="D693" s="331">
        <v>686</v>
      </c>
      <c r="E693" s="544">
        <f>+DATE(YEAR(E692),MONTH(E692)-1,DAY(E692))</f>
        <v>25569.041666666668</v>
      </c>
      <c r="F693" s="333">
        <f>IF(DATE(YEAR($B$6),MONTH($B$6)+1,DAY(1))=E693,1,IF(MONTH(E693)=1,F694*(1+$F$5),F694))</f>
      </c>
      <c r="G693" s="333">
        <f>IF('Simulador - 1º Pilar'!$E$99="Sí",IF('Aportaciones Poliza'!$B$13&lt;'Aportaciones Poliza'!E693,0,F693*$B$8/12),F693*$B$8/12)</f>
      </c>
      <c r="H693" s="333">
        <f>$H$5*G693</f>
      </c>
      <c r="I693" s="333"/>
      <c r="J693" s="333">
        <f>(1+$M$5)^(D693/12)*(H693+IF(AND(F693=1,F694=0),$Q$4,0))</f>
      </c>
      <c r="K693" s="333">
        <f>(1+$M$5)^(D693/12)*(I693)</f>
      </c>
      <c r="L693" s="333">
        <f>K693+J693</f>
      </c>
      <c r="M693" s="170"/>
      <c r="N693" s="7"/>
      <c r="O693" s="1"/>
      <c r="P693" s="331">
        <f>D693</f>
      </c>
      <c r="Q693" s="169"/>
    </row>
    <row x14ac:dyDescent="0.25" r="694" customHeight="1" ht="18.75">
      <c r="A694" s="1"/>
      <c r="B694" s="7"/>
      <c r="C694" s="170"/>
      <c r="D694" s="331">
        <v>687</v>
      </c>
      <c r="E694" s="544">
        <f>+DATE(YEAR(E693),MONTH(E693)-1,DAY(E693))</f>
        <v>25569.041666666668</v>
      </c>
      <c r="F694" s="333">
        <f>IF(DATE(YEAR($B$6),MONTH($B$6)+1,DAY(1))=E694,1,IF(MONTH(E694)=1,F695*(1+$F$5),F695))</f>
      </c>
      <c r="G694" s="333">
        <f>IF('Simulador - 1º Pilar'!$E$99="Sí",IF('Aportaciones Poliza'!$B$13&lt;'Aportaciones Poliza'!E694,0,F694*$B$8/12),F694*$B$8/12)</f>
      </c>
      <c r="H694" s="333">
        <f>$H$5*G694</f>
      </c>
      <c r="I694" s="333"/>
      <c r="J694" s="333">
        <f>(1+$M$5)^(D694/12)*(H694+IF(AND(F694=1,F695=0),$Q$4,0))</f>
      </c>
      <c r="K694" s="333">
        <f>(1+$M$5)^(D694/12)*(I694)</f>
      </c>
      <c r="L694" s="333">
        <f>K694+J694</f>
      </c>
      <c r="M694" s="170"/>
      <c r="N694" s="7"/>
      <c r="O694" s="1"/>
      <c r="P694" s="331">
        <f>D694</f>
      </c>
      <c r="Q694" s="169"/>
    </row>
    <row x14ac:dyDescent="0.25" r="695" customHeight="1" ht="18.75">
      <c r="A695" s="1"/>
      <c r="B695" s="7"/>
      <c r="C695" s="170"/>
      <c r="D695" s="331">
        <v>688</v>
      </c>
      <c r="E695" s="544">
        <f>+DATE(YEAR(E694),MONTH(E694)-1,DAY(E694))</f>
        <v>25569.041666666668</v>
      </c>
      <c r="F695" s="333">
        <f>IF(DATE(YEAR($B$6),MONTH($B$6)+1,DAY(1))=E695,1,IF(MONTH(E695)=1,F696*(1+$F$5),F696))</f>
      </c>
      <c r="G695" s="333">
        <f>IF('Simulador - 1º Pilar'!$E$99="Sí",IF('Aportaciones Poliza'!$B$13&lt;'Aportaciones Poliza'!E695,0,F695*$B$8/12),F695*$B$8/12)</f>
      </c>
      <c r="H695" s="333">
        <f>$H$5*G695</f>
      </c>
      <c r="I695" s="333"/>
      <c r="J695" s="333">
        <f>(1+$M$5)^(D695/12)*(H695+IF(AND(F695=1,F696=0),$Q$4,0))</f>
      </c>
      <c r="K695" s="333">
        <f>(1+$M$5)^(D695/12)*(I695)</f>
      </c>
      <c r="L695" s="333">
        <f>K695+J695</f>
      </c>
      <c r="M695" s="170"/>
      <c r="N695" s="7"/>
      <c r="O695" s="1"/>
      <c r="P695" s="331">
        <f>D695</f>
      </c>
      <c r="Q695" s="169"/>
    </row>
    <row x14ac:dyDescent="0.25" r="696" customHeight="1" ht="18.75">
      <c r="A696" s="1"/>
      <c r="B696" s="7"/>
      <c r="C696" s="170"/>
      <c r="D696" s="331">
        <v>689</v>
      </c>
      <c r="E696" s="544">
        <f>+DATE(YEAR(E695),MONTH(E695)-1,DAY(E695))</f>
        <v>25569.041666666668</v>
      </c>
      <c r="F696" s="333">
        <f>IF(DATE(YEAR($B$6),MONTH($B$6)+1,DAY(1))=E696,1,IF(MONTH(E696)=1,F697*(1+$F$5),F697))</f>
      </c>
      <c r="G696" s="333">
        <f>IF('Simulador - 1º Pilar'!$E$99="Sí",IF('Aportaciones Poliza'!$B$13&lt;'Aportaciones Poliza'!E696,0,F696*$B$8/12),F696*$B$8/12)</f>
      </c>
      <c r="H696" s="333">
        <f>$H$5*G696</f>
      </c>
      <c r="I696" s="333"/>
      <c r="J696" s="333">
        <f>(1+$M$5)^(D696/12)*(H696+IF(AND(F696=1,F697=0),$Q$4,0))</f>
      </c>
      <c r="K696" s="333">
        <f>(1+$M$5)^(D696/12)*(I696)</f>
      </c>
      <c r="L696" s="333">
        <f>K696+J696</f>
      </c>
      <c r="M696" s="170"/>
      <c r="N696" s="7"/>
      <c r="O696" s="1"/>
      <c r="P696" s="331">
        <f>D696</f>
      </c>
      <c r="Q696" s="169"/>
    </row>
    <row x14ac:dyDescent="0.25" r="697" customHeight="1" ht="18.75">
      <c r="A697" s="1"/>
      <c r="B697" s="7"/>
      <c r="C697" s="170"/>
      <c r="D697" s="331">
        <v>690</v>
      </c>
      <c r="E697" s="544">
        <f>+DATE(YEAR(E696),MONTH(E696)-1,DAY(E696))</f>
        <v>25569.041666666668</v>
      </c>
      <c r="F697" s="333">
        <f>IF(DATE(YEAR($B$6),MONTH($B$6)+1,DAY(1))=E697,1,IF(MONTH(E697)=1,F698*(1+$F$5),F698))</f>
      </c>
      <c r="G697" s="333">
        <f>IF('Simulador - 1º Pilar'!$E$99="Sí",IF('Aportaciones Poliza'!$B$13&lt;'Aportaciones Poliza'!E697,0,F697*$B$8/12),F697*$B$8/12)</f>
      </c>
      <c r="H697" s="333">
        <f>$H$5*G697</f>
      </c>
      <c r="I697" s="333"/>
      <c r="J697" s="333">
        <f>(1+$M$5)^(D697/12)*(H697+IF(AND(F697=1,F698=0),$Q$4,0))</f>
      </c>
      <c r="K697" s="333">
        <f>(1+$M$5)^(D697/12)*(I697)</f>
      </c>
      <c r="L697" s="333">
        <f>K697+J697</f>
      </c>
      <c r="M697" s="170"/>
      <c r="N697" s="7"/>
      <c r="O697" s="1"/>
      <c r="P697" s="331">
        <f>D697</f>
      </c>
      <c r="Q697" s="169"/>
    </row>
    <row x14ac:dyDescent="0.25" r="698" customHeight="1" ht="18.75">
      <c r="A698" s="1"/>
      <c r="B698" s="7"/>
      <c r="C698" s="170"/>
      <c r="D698" s="331">
        <v>691</v>
      </c>
      <c r="E698" s="544">
        <f>+DATE(YEAR(E697),MONTH(E697)-1,DAY(E697))</f>
        <v>25569.041666666668</v>
      </c>
      <c r="F698" s="333">
        <f>IF(DATE(YEAR($B$6),MONTH($B$6)+1,DAY(1))=E698,1,IF(MONTH(E698)=1,F699*(1+$F$5),F699))</f>
      </c>
      <c r="G698" s="333">
        <f>IF('Simulador - 1º Pilar'!$E$99="Sí",IF('Aportaciones Poliza'!$B$13&lt;'Aportaciones Poliza'!E698,0,F698*$B$8/12),F698*$B$8/12)</f>
      </c>
      <c r="H698" s="333">
        <f>$H$5*G698</f>
      </c>
      <c r="I698" s="333"/>
      <c r="J698" s="333">
        <f>(1+$M$5)^(D698/12)*(H698+IF(AND(F698=1,F699=0),$Q$4,0))</f>
      </c>
      <c r="K698" s="333">
        <f>(1+$M$5)^(D698/12)*(I698)</f>
      </c>
      <c r="L698" s="333">
        <f>K698+J698</f>
      </c>
      <c r="M698" s="170"/>
      <c r="N698" s="7"/>
      <c r="O698" s="1"/>
      <c r="P698" s="331">
        <f>D698</f>
      </c>
      <c r="Q698" s="169"/>
    </row>
    <row x14ac:dyDescent="0.25" r="699" customHeight="1" ht="18.75">
      <c r="A699" s="1"/>
      <c r="B699" s="7"/>
      <c r="C699" s="170"/>
      <c r="D699" s="331">
        <v>692</v>
      </c>
      <c r="E699" s="544">
        <f>+DATE(YEAR(E698),MONTH(E698)-1,DAY(E698))</f>
        <v>25569.041666666668</v>
      </c>
      <c r="F699" s="333">
        <f>IF(DATE(YEAR($B$6),MONTH($B$6)+1,DAY(1))=E699,1,IF(MONTH(E699)=1,F700*(1+$F$5),F700))</f>
      </c>
      <c r="G699" s="333">
        <f>IF('Simulador - 1º Pilar'!$E$99="Sí",IF('Aportaciones Poliza'!$B$13&lt;'Aportaciones Poliza'!E699,0,F699*$B$8/12),F699*$B$8/12)</f>
      </c>
      <c r="H699" s="333">
        <f>$H$5*G699</f>
      </c>
      <c r="I699" s="333"/>
      <c r="J699" s="333">
        <f>(1+$M$5)^(D699/12)*(H699+IF(AND(F699=1,F700=0),$Q$4,0))</f>
      </c>
      <c r="K699" s="333">
        <f>(1+$M$5)^(D699/12)*(I699)</f>
      </c>
      <c r="L699" s="333">
        <f>K699+J699</f>
      </c>
      <c r="M699" s="170"/>
      <c r="N699" s="7"/>
      <c r="O699" s="1"/>
      <c r="P699" s="331">
        <f>D699</f>
      </c>
      <c r="Q699" s="169"/>
    </row>
    <row x14ac:dyDescent="0.25" r="700" customHeight="1" ht="18.75">
      <c r="A700" s="1"/>
      <c r="B700" s="7"/>
      <c r="C700" s="170"/>
      <c r="D700" s="331">
        <v>693</v>
      </c>
      <c r="E700" s="544">
        <f>+DATE(YEAR(E699),MONTH(E699)-1,DAY(E699))</f>
        <v>25569.041666666668</v>
      </c>
      <c r="F700" s="333">
        <f>IF(DATE(YEAR($B$6),MONTH($B$6)+1,DAY(1))=E700,1,IF(MONTH(E700)=1,F701*(1+$F$5),F701))</f>
      </c>
      <c r="G700" s="333">
        <f>IF('Simulador - 1º Pilar'!$E$99="Sí",IF('Aportaciones Poliza'!$B$13&lt;'Aportaciones Poliza'!E700,0,F700*$B$8/12),F700*$B$8/12)</f>
      </c>
      <c r="H700" s="333">
        <f>$H$5*G700</f>
      </c>
      <c r="I700" s="333"/>
      <c r="J700" s="333">
        <f>(1+$M$5)^(D700/12)*(H700+IF(AND(F700=1,F701=0),$Q$4,0))</f>
      </c>
      <c r="K700" s="333">
        <f>(1+$M$5)^(D700/12)*(I700)</f>
      </c>
      <c r="L700" s="333">
        <f>K700+J700</f>
      </c>
      <c r="M700" s="170"/>
      <c r="N700" s="7"/>
      <c r="O700" s="1"/>
      <c r="P700" s="331">
        <f>D700</f>
      </c>
      <c r="Q700" s="169"/>
    </row>
    <row x14ac:dyDescent="0.25" r="701" customHeight="1" ht="18.75">
      <c r="A701" s="1"/>
      <c r="B701" s="7"/>
      <c r="C701" s="170"/>
      <c r="D701" s="331">
        <v>694</v>
      </c>
      <c r="E701" s="544">
        <f>+DATE(YEAR(E700),MONTH(E700)-1,DAY(E700))</f>
        <v>25569.041666666668</v>
      </c>
      <c r="F701" s="333">
        <f>IF(DATE(YEAR($B$6),MONTH($B$6)+1,DAY(1))=E701,1,IF(MONTH(E701)=1,F702*(1+$F$5),F702))</f>
      </c>
      <c r="G701" s="333">
        <f>IF('Simulador - 1º Pilar'!$E$99="Sí",IF('Aportaciones Poliza'!$B$13&lt;'Aportaciones Poliza'!E701,0,F701*$B$8/12),F701*$B$8/12)</f>
      </c>
      <c r="H701" s="333">
        <f>$H$5*G701</f>
      </c>
      <c r="I701" s="333"/>
      <c r="J701" s="333">
        <f>(1+$M$5)^(D701/12)*(H701+IF(AND(F701=1,F702=0),$Q$4,0))</f>
      </c>
      <c r="K701" s="333">
        <f>(1+$M$5)^(D701/12)*(I701)</f>
      </c>
      <c r="L701" s="333">
        <f>K701+J701</f>
      </c>
      <c r="M701" s="170"/>
      <c r="N701" s="7"/>
      <c r="O701" s="1"/>
      <c r="P701" s="331">
        <f>D701</f>
      </c>
      <c r="Q701" s="169"/>
    </row>
    <row x14ac:dyDescent="0.25" r="702" customHeight="1" ht="18.75">
      <c r="A702" s="1"/>
      <c r="B702" s="7"/>
      <c r="C702" s="170"/>
      <c r="D702" s="331">
        <v>695</v>
      </c>
      <c r="E702" s="544">
        <f>+DATE(YEAR(E701),MONTH(E701)-1,DAY(E701))</f>
        <v>25569.041666666668</v>
      </c>
      <c r="F702" s="333">
        <f>IF(DATE(YEAR($B$6),MONTH($B$6)+1,DAY(1))=E702,1,IF(MONTH(E702)=1,F703*(1+$F$5),F703))</f>
      </c>
      <c r="G702" s="333">
        <f>IF('Simulador - 1º Pilar'!$E$99="Sí",IF('Aportaciones Poliza'!$B$13&lt;'Aportaciones Poliza'!E702,0,F702*$B$8/12),F702*$B$8/12)</f>
      </c>
      <c r="H702" s="333">
        <f>$H$5*G702</f>
      </c>
      <c r="I702" s="333"/>
      <c r="J702" s="333">
        <f>(1+$M$5)^(D702/12)*(H702+IF(AND(F702=1,F703=0),$Q$4,0))</f>
      </c>
      <c r="K702" s="333">
        <f>(1+$M$5)^(D702/12)*(I702)</f>
      </c>
      <c r="L702" s="333">
        <f>K702+J702</f>
      </c>
      <c r="M702" s="170"/>
      <c r="N702" s="7"/>
      <c r="O702" s="1"/>
      <c r="P702" s="331">
        <f>D702</f>
      </c>
      <c r="Q702" s="169"/>
    </row>
    <row x14ac:dyDescent="0.25" r="703" customHeight="1" ht="18.75">
      <c r="A703" s="1"/>
      <c r="B703" s="7"/>
      <c r="C703" s="170"/>
      <c r="D703" s="331">
        <v>696</v>
      </c>
      <c r="E703" s="544">
        <f>+DATE(YEAR(E702),MONTH(E702)-1,DAY(E702))</f>
        <v>25569.041666666668</v>
      </c>
      <c r="F703" s="333">
        <f>IF(DATE(YEAR($B$6),MONTH($B$6)+1,DAY(1))=E703,1,IF(MONTH(E703)=1,F704*(1+$F$5),F704))</f>
      </c>
      <c r="G703" s="333">
        <f>IF('Simulador - 1º Pilar'!$E$99="Sí",IF('Aportaciones Poliza'!$B$13&lt;'Aportaciones Poliza'!E703,0,F703*$B$8/12),F703*$B$8/12)</f>
      </c>
      <c r="H703" s="333">
        <f>$H$5*G703</f>
      </c>
      <c r="I703" s="333"/>
      <c r="J703" s="333">
        <f>(1+$M$5)^(D703/12)*(H703+IF(AND(F703=1,F704=0),$Q$4,0))</f>
      </c>
      <c r="K703" s="333">
        <f>(1+$M$5)^(D703/12)*(I703)</f>
      </c>
      <c r="L703" s="333">
        <f>K703+J703</f>
      </c>
      <c r="M703" s="170"/>
      <c r="N703" s="7"/>
      <c r="O703" s="1"/>
      <c r="P703" s="331">
        <f>D703</f>
      </c>
      <c r="Q703" s="169"/>
    </row>
    <row x14ac:dyDescent="0.25" r="704" customHeight="1" ht="18.75">
      <c r="A704" s="1"/>
      <c r="B704" s="7"/>
      <c r="C704" s="170"/>
      <c r="D704" s="331">
        <v>697</v>
      </c>
      <c r="E704" s="544">
        <f>+DATE(YEAR(E703),MONTH(E703)-1,DAY(E703))</f>
        <v>25569.041666666668</v>
      </c>
      <c r="F704" s="333">
        <f>IF(DATE(YEAR($B$6),MONTH($B$6)+1,DAY(1))=E704,1,IF(MONTH(E704)=1,F705*(1+$F$5),F705))</f>
      </c>
      <c r="G704" s="333">
        <f>IF('Simulador - 1º Pilar'!$E$99="Sí",IF('Aportaciones Poliza'!$B$13&lt;'Aportaciones Poliza'!E704,0,F704*$B$8/12),F704*$B$8/12)</f>
      </c>
      <c r="H704" s="333">
        <f>$H$5*G704</f>
      </c>
      <c r="I704" s="333"/>
      <c r="J704" s="333">
        <f>(1+$M$5)^(D704/12)*(H704+IF(AND(F704=1,F705=0),$Q$4,0))</f>
      </c>
      <c r="K704" s="333">
        <f>(1+$M$5)^(D704/12)*(I704)</f>
      </c>
      <c r="L704" s="333">
        <f>K704+J704</f>
      </c>
      <c r="M704" s="170"/>
      <c r="N704" s="7"/>
      <c r="O704" s="1"/>
      <c r="P704" s="331">
        <f>D704</f>
      </c>
      <c r="Q704" s="169"/>
    </row>
    <row x14ac:dyDescent="0.25" r="705" customHeight="1" ht="18.75">
      <c r="A705" s="1"/>
      <c r="B705" s="7"/>
      <c r="C705" s="170"/>
      <c r="D705" s="331">
        <v>698</v>
      </c>
      <c r="E705" s="544">
        <f>+DATE(YEAR(E704),MONTH(E704)-1,DAY(E704))</f>
        <v>25569.041666666668</v>
      </c>
      <c r="F705" s="333">
        <f>IF(DATE(YEAR($B$6),MONTH($B$6)+1,DAY(1))=E705,1,IF(MONTH(E705)=1,F706*(1+$F$5),F706))</f>
      </c>
      <c r="G705" s="333">
        <f>IF('Simulador - 1º Pilar'!$E$99="Sí",IF('Aportaciones Poliza'!$B$13&lt;'Aportaciones Poliza'!E705,0,F705*$B$8/12),F705*$B$8/12)</f>
      </c>
      <c r="H705" s="333">
        <f>$H$5*G705</f>
      </c>
      <c r="I705" s="333"/>
      <c r="J705" s="333">
        <f>(1+$M$5)^(D705/12)*(H705+IF(AND(F705=1,F706=0),$Q$4,0))</f>
      </c>
      <c r="K705" s="333">
        <f>(1+$M$5)^(D705/12)*(I705)</f>
      </c>
      <c r="L705" s="333">
        <f>K705+J705</f>
      </c>
      <c r="M705" s="170"/>
      <c r="N705" s="7"/>
      <c r="O705" s="1"/>
      <c r="P705" s="331">
        <f>D705</f>
      </c>
      <c r="Q705" s="169"/>
    </row>
    <row x14ac:dyDescent="0.25" r="706" customHeight="1" ht="18.75">
      <c r="A706" s="1"/>
      <c r="B706" s="7"/>
      <c r="C706" s="170"/>
      <c r="D706" s="331">
        <v>699</v>
      </c>
      <c r="E706" s="544">
        <f>+DATE(YEAR(E705),MONTH(E705)-1,DAY(E705))</f>
        <v>25569.041666666668</v>
      </c>
      <c r="F706" s="333">
        <f>IF(DATE(YEAR($B$6),MONTH($B$6)+1,DAY(1))=E706,1,IF(MONTH(E706)=1,F707*(1+$F$5),F707))</f>
      </c>
      <c r="G706" s="333">
        <f>IF('Simulador - 1º Pilar'!$E$99="Sí",IF('Aportaciones Poliza'!$B$13&lt;'Aportaciones Poliza'!E706,0,F706*$B$8/12),F706*$B$8/12)</f>
      </c>
      <c r="H706" s="333">
        <f>$H$5*G706</f>
      </c>
      <c r="I706" s="333"/>
      <c r="J706" s="333">
        <f>(1+$M$5)^(D706/12)*(H706+IF(AND(F706=1,F707=0),$Q$4,0))</f>
      </c>
      <c r="K706" s="333">
        <f>(1+$M$5)^(D706/12)*(I706)</f>
      </c>
      <c r="L706" s="333">
        <f>K706+J706</f>
      </c>
      <c r="M706" s="170"/>
      <c r="N706" s="7"/>
      <c r="O706" s="1"/>
      <c r="P706" s="331">
        <f>D706</f>
      </c>
      <c r="Q706" s="169"/>
    </row>
    <row x14ac:dyDescent="0.25" r="707" customHeight="1" ht="18.75">
      <c r="A707" s="1"/>
      <c r="B707" s="7"/>
      <c r="C707" s="170"/>
      <c r="D707" s="331">
        <v>700</v>
      </c>
      <c r="E707" s="544">
        <f>+DATE(YEAR(E706),MONTH(E706)-1,DAY(E706))</f>
        <v>25569.041666666668</v>
      </c>
      <c r="F707" s="333">
        <f>IF(DATE(YEAR($B$6),MONTH($B$6)+1,DAY(1))=E707,1,IF(MONTH(E707)=1,F708*(1+$F$5),F708))</f>
      </c>
      <c r="G707" s="333">
        <f>IF('Simulador - 1º Pilar'!$E$99="Sí",IF('Aportaciones Poliza'!$B$13&lt;'Aportaciones Poliza'!E707,0,F707*$B$8/12),F707*$B$8/12)</f>
      </c>
      <c r="H707" s="333">
        <f>$H$5*G707</f>
      </c>
      <c r="I707" s="333"/>
      <c r="J707" s="333">
        <f>(1+$M$5)^(D707/12)*(H707+IF(AND(F707=1,F708=0),$Q$4,0))</f>
      </c>
      <c r="K707" s="333">
        <f>(1+$M$5)^(D707/12)*(I707)</f>
      </c>
      <c r="L707" s="333">
        <f>K707+J707</f>
      </c>
      <c r="M707" s="170"/>
      <c r="N707" s="7"/>
      <c r="O707" s="1"/>
      <c r="P707" s="331">
        <f>D707</f>
      </c>
      <c r="Q707" s="169"/>
    </row>
    <row x14ac:dyDescent="0.25" r="708" customHeight="1" ht="18.75">
      <c r="A708" s="1"/>
      <c r="B708" s="7"/>
      <c r="C708" s="170"/>
      <c r="D708" s="331">
        <v>701</v>
      </c>
      <c r="E708" s="544">
        <f>+DATE(YEAR(E707),MONTH(E707)-1,DAY(E707))</f>
        <v>25569.041666666668</v>
      </c>
      <c r="F708" s="333">
        <f>IF(DATE(YEAR($B$6),MONTH($B$6)+1,DAY(1))=E708,1,IF(MONTH(E708)=1,F709*(1+$F$5),F709))</f>
      </c>
      <c r="G708" s="333">
        <f>IF('Simulador - 1º Pilar'!$E$99="Sí",IF('Aportaciones Poliza'!$B$13&lt;'Aportaciones Poliza'!E708,0,F708*$B$8/12),F708*$B$8/12)</f>
      </c>
      <c r="H708" s="333">
        <f>$H$5*G708</f>
      </c>
      <c r="I708" s="333"/>
      <c r="J708" s="333">
        <f>(1+$M$5)^(D708/12)*(H708+IF(AND(F708=1,F709=0),$Q$4,0))</f>
      </c>
      <c r="K708" s="333">
        <f>(1+$M$5)^(D708/12)*(I708)</f>
      </c>
      <c r="L708" s="333">
        <f>K708+J708</f>
      </c>
      <c r="M708" s="170"/>
      <c r="N708" s="7"/>
      <c r="O708" s="1"/>
      <c r="P708" s="331">
        <f>D708</f>
      </c>
      <c r="Q708" s="169"/>
    </row>
    <row x14ac:dyDescent="0.25" r="709" customHeight="1" ht="18.75">
      <c r="A709" s="1"/>
      <c r="B709" s="7"/>
      <c r="C709" s="170"/>
      <c r="D709" s="331">
        <v>702</v>
      </c>
      <c r="E709" s="544">
        <f>+DATE(YEAR(E708),MONTH(E708)-1,DAY(E708))</f>
        <v>25569.041666666668</v>
      </c>
      <c r="F709" s="333">
        <f>IF(DATE(YEAR($B$6),MONTH($B$6)+1,DAY(1))=E709,1,IF(MONTH(E709)=1,F710*(1+$F$5),F710))</f>
      </c>
      <c r="G709" s="333">
        <f>IF('Simulador - 1º Pilar'!$E$99="Sí",IF('Aportaciones Poliza'!$B$13&lt;'Aportaciones Poliza'!E709,0,F709*$B$8/12),F709*$B$8/12)</f>
      </c>
      <c r="H709" s="333">
        <f>$H$5*G709</f>
      </c>
      <c r="I709" s="333"/>
      <c r="J709" s="333">
        <f>(1+$M$5)^(D709/12)*(H709+IF(AND(F709=1,F710=0),$Q$4,0))</f>
      </c>
      <c r="K709" s="333">
        <f>(1+$M$5)^(D709/12)*(I709)</f>
      </c>
      <c r="L709" s="333">
        <f>K709+J709</f>
      </c>
      <c r="M709" s="170"/>
      <c r="N709" s="7"/>
      <c r="O709" s="1"/>
      <c r="P709" s="331">
        <f>D709</f>
      </c>
      <c r="Q709" s="169"/>
    </row>
    <row x14ac:dyDescent="0.25" r="710" customHeight="1" ht="18.75">
      <c r="A710" s="1"/>
      <c r="B710" s="7"/>
      <c r="C710" s="170"/>
      <c r="D710" s="331">
        <v>703</v>
      </c>
      <c r="E710" s="544">
        <f>+DATE(YEAR(E709),MONTH(E709)-1,DAY(E709))</f>
        <v>25569.041666666668</v>
      </c>
      <c r="F710" s="333">
        <f>IF(DATE(YEAR($B$6),MONTH($B$6)+1,DAY(1))=E710,1,IF(MONTH(E710)=1,F711*(1+$F$5),F711))</f>
      </c>
      <c r="G710" s="333">
        <f>IF('Simulador - 1º Pilar'!$E$99="Sí",IF('Aportaciones Poliza'!$B$13&lt;'Aportaciones Poliza'!E710,0,F710*$B$8/12),F710*$B$8/12)</f>
      </c>
      <c r="H710" s="333">
        <f>$H$5*G710</f>
      </c>
      <c r="I710" s="333"/>
      <c r="J710" s="333">
        <f>(1+$M$5)^(D710/12)*(H710+IF(AND(F710=1,F711=0),$Q$4,0))</f>
      </c>
      <c r="K710" s="333">
        <f>(1+$M$5)^(D710/12)*(I710)</f>
      </c>
      <c r="L710" s="333">
        <f>K710+J710</f>
      </c>
      <c r="M710" s="170"/>
      <c r="N710" s="7"/>
      <c r="O710" s="1"/>
      <c r="P710" s="331">
        <f>D710</f>
      </c>
      <c r="Q710" s="169"/>
    </row>
    <row x14ac:dyDescent="0.25" r="711" customHeight="1" ht="18.75">
      <c r="A711" s="1"/>
      <c r="B711" s="7"/>
      <c r="C711" s="170"/>
      <c r="D711" s="331">
        <v>704</v>
      </c>
      <c r="E711" s="544">
        <f>+DATE(YEAR(E710),MONTH(E710)-1,DAY(E710))</f>
        <v>25569.041666666668</v>
      </c>
      <c r="F711" s="333">
        <f>IF(DATE(YEAR($B$6),MONTH($B$6)+1,DAY(1))=E711,1,IF(MONTH(E711)=1,F712*(1+$F$5),F712))</f>
      </c>
      <c r="G711" s="333">
        <f>IF('Simulador - 1º Pilar'!$E$99="Sí",IF('Aportaciones Poliza'!$B$13&lt;'Aportaciones Poliza'!E711,0,F711*$B$8/12),F711*$B$8/12)</f>
      </c>
      <c r="H711" s="333">
        <f>$H$5*G711</f>
      </c>
      <c r="I711" s="333"/>
      <c r="J711" s="333">
        <f>(1+$M$5)^(D711/12)*(H711+IF(AND(F711=1,F712=0),$Q$4,0))</f>
      </c>
      <c r="K711" s="333">
        <f>(1+$M$5)^(D711/12)*(I711)</f>
      </c>
      <c r="L711" s="333">
        <f>K711+J711</f>
      </c>
      <c r="M711" s="170"/>
      <c r="N711" s="7"/>
      <c r="O711" s="1"/>
      <c r="P711" s="331">
        <f>D711</f>
      </c>
      <c r="Q711" s="169"/>
    </row>
    <row x14ac:dyDescent="0.25" r="712" customHeight="1" ht="18.75">
      <c r="A712" s="1"/>
      <c r="B712" s="7"/>
      <c r="C712" s="170"/>
      <c r="D712" s="331">
        <v>705</v>
      </c>
      <c r="E712" s="544">
        <f>+DATE(YEAR(E711),MONTH(E711)-1,DAY(E711))</f>
        <v>25569.041666666668</v>
      </c>
      <c r="F712" s="333">
        <f>IF(DATE(YEAR($B$6),MONTH($B$6)+1,DAY(1))=E712,1,IF(MONTH(E712)=1,F713*(1+$F$5),F713))</f>
      </c>
      <c r="G712" s="333">
        <f>IF('Simulador - 1º Pilar'!$E$99="Sí",IF('Aportaciones Poliza'!$B$13&lt;'Aportaciones Poliza'!E712,0,F712*$B$8/12),F712*$B$8/12)</f>
      </c>
      <c r="H712" s="333">
        <f>$H$5*G712</f>
      </c>
      <c r="I712" s="333"/>
      <c r="J712" s="333">
        <f>(1+$M$5)^(D712/12)*(H712+IF(AND(F712=1,F713=0),$Q$4,0))</f>
      </c>
      <c r="K712" s="333">
        <f>(1+$M$5)^(D712/12)*(I712)</f>
      </c>
      <c r="L712" s="333">
        <f>K712+J712</f>
      </c>
      <c r="M712" s="170"/>
      <c r="N712" s="7"/>
      <c r="O712" s="1"/>
      <c r="P712" s="331">
        <f>D712</f>
      </c>
      <c r="Q712" s="169"/>
    </row>
    <row x14ac:dyDescent="0.25" r="713" customHeight="1" ht="18.75">
      <c r="A713" s="1"/>
      <c r="B713" s="7"/>
      <c r="C713" s="170"/>
      <c r="D713" s="331">
        <v>706</v>
      </c>
      <c r="E713" s="544">
        <f>+DATE(YEAR(E712),MONTH(E712)-1,DAY(E712))</f>
        <v>25569.041666666668</v>
      </c>
      <c r="F713" s="333">
        <f>IF(DATE(YEAR($B$6),MONTH($B$6)+1,DAY(1))=E713,1,IF(MONTH(E713)=1,F714*(1+$F$5),F714))</f>
      </c>
      <c r="G713" s="333">
        <f>IF('Simulador - 1º Pilar'!$E$99="Sí",IF('Aportaciones Poliza'!$B$13&lt;'Aportaciones Poliza'!E713,0,F713*$B$8/12),F713*$B$8/12)</f>
      </c>
      <c r="H713" s="333">
        <f>$H$5*G713</f>
      </c>
      <c r="I713" s="333"/>
      <c r="J713" s="333">
        <f>(1+$M$5)^(D713/12)*(H713+IF(AND(F713=1,F714=0),$Q$4,0))</f>
      </c>
      <c r="K713" s="333">
        <f>(1+$M$5)^(D713/12)*(I713)</f>
      </c>
      <c r="L713" s="333">
        <f>K713+J713</f>
      </c>
      <c r="M713" s="170"/>
      <c r="N713" s="7"/>
      <c r="O713" s="1"/>
      <c r="P713" s="331">
        <f>D713</f>
      </c>
      <c r="Q713" s="169"/>
    </row>
    <row x14ac:dyDescent="0.25" r="714" customHeight="1" ht="18.75">
      <c r="A714" s="1"/>
      <c r="B714" s="7"/>
      <c r="C714" s="170"/>
      <c r="D714" s="331">
        <v>707</v>
      </c>
      <c r="E714" s="544">
        <f>+DATE(YEAR(E713),MONTH(E713)-1,DAY(E713))</f>
        <v>25569.041666666668</v>
      </c>
      <c r="F714" s="333">
        <f>IF(DATE(YEAR($B$6),MONTH($B$6)+1,DAY(1))=E714,1,IF(MONTH(E714)=1,F715*(1+$F$5),F715))</f>
      </c>
      <c r="G714" s="333">
        <f>IF('Simulador - 1º Pilar'!$E$99="Sí",IF('Aportaciones Poliza'!$B$13&lt;'Aportaciones Poliza'!E714,0,F714*$B$8/12),F714*$B$8/12)</f>
      </c>
      <c r="H714" s="333">
        <f>$H$5*G714</f>
      </c>
      <c r="I714" s="333"/>
      <c r="J714" s="333">
        <f>(1+$M$5)^(D714/12)*(H714+IF(AND(F714=1,F715=0),$Q$4,0))</f>
      </c>
      <c r="K714" s="333">
        <f>(1+$M$5)^(D714/12)*(I714)</f>
      </c>
      <c r="L714" s="333">
        <f>K714+J714</f>
      </c>
      <c r="M714" s="170"/>
      <c r="N714" s="7"/>
      <c r="O714" s="1"/>
      <c r="P714" s="331">
        <f>D714</f>
      </c>
      <c r="Q714" s="169"/>
    </row>
    <row x14ac:dyDescent="0.25" r="715" customHeight="1" ht="18.75">
      <c r="A715" s="1"/>
      <c r="B715" s="7"/>
      <c r="C715" s="170"/>
      <c r="D715" s="331">
        <v>708</v>
      </c>
      <c r="E715" s="544">
        <f>+DATE(YEAR(E714),MONTH(E714)-1,DAY(E714))</f>
        <v>25569.041666666668</v>
      </c>
      <c r="F715" s="333">
        <f>IF(DATE(YEAR($B$6),MONTH($B$6)+1,DAY(1))=E715,1,IF(MONTH(E715)=1,F716*(1+$F$5),F716))</f>
      </c>
      <c r="G715" s="333">
        <f>IF('Simulador - 1º Pilar'!$E$99="Sí",IF('Aportaciones Poliza'!$B$13&lt;'Aportaciones Poliza'!E715,0,F715*$B$8/12),F715*$B$8/12)</f>
      </c>
      <c r="H715" s="333">
        <f>$H$5*G715</f>
      </c>
      <c r="I715" s="333"/>
      <c r="J715" s="333">
        <f>(1+$M$5)^(D715/12)*(H715+IF(AND(F715=1,F716=0),$Q$4,0))</f>
      </c>
      <c r="K715" s="333">
        <f>(1+$M$5)^(D715/12)*(I715)</f>
      </c>
      <c r="L715" s="333">
        <f>K715+J715</f>
      </c>
      <c r="M715" s="170"/>
      <c r="N715" s="7"/>
      <c r="O715" s="1"/>
      <c r="P715" s="331">
        <f>D715</f>
      </c>
      <c r="Q715" s="169"/>
    </row>
    <row x14ac:dyDescent="0.25" r="716" customHeight="1" ht="18.75">
      <c r="A716" s="1"/>
      <c r="B716" s="7"/>
      <c r="C716" s="170"/>
      <c r="D716" s="331">
        <v>709</v>
      </c>
      <c r="E716" s="544">
        <f>+DATE(YEAR(E715),MONTH(E715)-1,DAY(E715))</f>
        <v>25569.041666666668</v>
      </c>
      <c r="F716" s="333">
        <f>IF(DATE(YEAR($B$6),MONTH($B$6)+1,DAY(1))=E716,1,IF(MONTH(E716)=1,F717*(1+$F$5),F717))</f>
      </c>
      <c r="G716" s="333">
        <f>IF('Simulador - 1º Pilar'!$E$99="Sí",IF('Aportaciones Poliza'!$B$13&lt;'Aportaciones Poliza'!E716,0,F716*$B$8/12),F716*$B$8/12)</f>
      </c>
      <c r="H716" s="333">
        <f>$H$5*G716</f>
      </c>
      <c r="I716" s="333"/>
      <c r="J716" s="333">
        <f>(1+$M$5)^(D716/12)*(H716+IF(AND(F716=1,F717=0),$Q$4,0))</f>
      </c>
      <c r="K716" s="333">
        <f>(1+$M$5)^(D716/12)*(I716)</f>
      </c>
      <c r="L716" s="333">
        <f>K716+J716</f>
      </c>
      <c r="M716" s="170"/>
      <c r="N716" s="7"/>
      <c r="O716" s="1"/>
      <c r="P716" s="331">
        <f>D716</f>
      </c>
      <c r="Q716" s="169"/>
    </row>
    <row x14ac:dyDescent="0.25" r="717" customHeight="1" ht="18.75">
      <c r="A717" s="1"/>
      <c r="B717" s="7"/>
      <c r="C717" s="170"/>
      <c r="D717" s="331">
        <v>710</v>
      </c>
      <c r="E717" s="544">
        <f>+DATE(YEAR(E716),MONTH(E716)-1,DAY(E716))</f>
        <v>25569.041666666668</v>
      </c>
      <c r="F717" s="333">
        <f>IF(DATE(YEAR($B$6),MONTH($B$6)+1,DAY(1))=E717,1,IF(MONTH(E717)=1,F718*(1+$F$5),F718))</f>
      </c>
      <c r="G717" s="333">
        <f>IF('Simulador - 1º Pilar'!$E$99="Sí",IF('Aportaciones Poliza'!$B$13&lt;'Aportaciones Poliza'!E717,0,F717*$B$8/12),F717*$B$8/12)</f>
      </c>
      <c r="H717" s="333">
        <f>$H$5*G717</f>
      </c>
      <c r="I717" s="333"/>
      <c r="J717" s="333">
        <f>(1+$M$5)^(D717/12)*(H717+IF(AND(F717=1,F718=0),$Q$4,0))</f>
      </c>
      <c r="K717" s="333">
        <f>(1+$M$5)^(D717/12)*(I717)</f>
      </c>
      <c r="L717" s="333">
        <f>K717+J717</f>
      </c>
      <c r="M717" s="170"/>
      <c r="N717" s="7"/>
      <c r="O717" s="1"/>
      <c r="P717" s="331">
        <f>D717</f>
      </c>
      <c r="Q717" s="169"/>
    </row>
    <row x14ac:dyDescent="0.25" r="718" customHeight="1" ht="18.75">
      <c r="A718" s="1"/>
      <c r="B718" s="7"/>
      <c r="C718" s="170"/>
      <c r="D718" s="331">
        <v>711</v>
      </c>
      <c r="E718" s="544">
        <f>+DATE(YEAR(E717),MONTH(E717)-1,DAY(E717))</f>
        <v>25569.041666666668</v>
      </c>
      <c r="F718" s="333">
        <f>IF(DATE(YEAR($B$6),MONTH($B$6)+1,DAY(1))=E718,1,IF(MONTH(E718)=1,F719*(1+$F$5),F719))</f>
      </c>
      <c r="G718" s="333">
        <f>IF('Simulador - 1º Pilar'!$E$99="Sí",IF('Aportaciones Poliza'!$B$13&lt;'Aportaciones Poliza'!E718,0,F718*$B$8/12),F718*$B$8/12)</f>
      </c>
      <c r="H718" s="333">
        <f>$H$5*G718</f>
      </c>
      <c r="I718" s="333"/>
      <c r="J718" s="333">
        <f>(1+$M$5)^(D718/12)*(H718+IF(AND(F718=1,F719=0),$Q$4,0))</f>
      </c>
      <c r="K718" s="333">
        <f>(1+$M$5)^(D718/12)*(I718)</f>
      </c>
      <c r="L718" s="333">
        <f>K718+J718</f>
      </c>
      <c r="M718" s="170"/>
      <c r="N718" s="7"/>
      <c r="O718" s="1"/>
      <c r="P718" s="331">
        <f>D718</f>
      </c>
      <c r="Q718" s="169"/>
    </row>
    <row x14ac:dyDescent="0.25" r="719" customHeight="1" ht="18.75">
      <c r="A719" s="1"/>
      <c r="B719" s="7"/>
      <c r="C719" s="170"/>
      <c r="D719" s="331">
        <v>712</v>
      </c>
      <c r="E719" s="544">
        <f>+DATE(YEAR(E718),MONTH(E718)-1,DAY(E718))</f>
        <v>25569.041666666668</v>
      </c>
      <c r="F719" s="333">
        <f>IF(DATE(YEAR($B$6),MONTH($B$6)+1,DAY(1))=E719,1,IF(MONTH(E719)=1,F720*(1+$F$5),F720))</f>
      </c>
      <c r="G719" s="333">
        <f>IF('Simulador - 1º Pilar'!$E$99="Sí",IF('Aportaciones Poliza'!$B$13&lt;'Aportaciones Poliza'!E719,0,F719*$B$8/12),F719*$B$8/12)</f>
      </c>
      <c r="H719" s="333">
        <f>$H$5*G719</f>
      </c>
      <c r="I719" s="333"/>
      <c r="J719" s="333">
        <f>(1+$M$5)^(D719/12)*(H719+IF(AND(F719=1,F720=0),$Q$4,0))</f>
      </c>
      <c r="K719" s="333">
        <f>(1+$M$5)^(D719/12)*(I719)</f>
      </c>
      <c r="L719" s="333">
        <f>K719+J719</f>
      </c>
      <c r="M719" s="170"/>
      <c r="N719" s="7"/>
      <c r="O719" s="1"/>
      <c r="P719" s="331">
        <f>D719</f>
      </c>
      <c r="Q719" s="169"/>
    </row>
    <row x14ac:dyDescent="0.25" r="720" customHeight="1" ht="18.75">
      <c r="A720" s="1"/>
      <c r="B720" s="7"/>
      <c r="C720" s="170"/>
      <c r="D720" s="331">
        <v>713</v>
      </c>
      <c r="E720" s="544">
        <f>+DATE(YEAR(E719),MONTH(E719)-1,DAY(E719))</f>
        <v>25569.041666666668</v>
      </c>
      <c r="F720" s="333">
        <f>IF(DATE(YEAR($B$6),MONTH($B$6)+1,DAY(1))=E720,1,IF(MONTH(E720)=1,F721*(1+$F$5),F721))</f>
      </c>
      <c r="G720" s="333">
        <f>IF('Simulador - 1º Pilar'!$E$99="Sí",IF('Aportaciones Poliza'!$B$13&lt;'Aportaciones Poliza'!E720,0,F720*$B$8/12),F720*$B$8/12)</f>
      </c>
      <c r="H720" s="333">
        <f>$H$5*G720</f>
      </c>
      <c r="I720" s="333"/>
      <c r="J720" s="333">
        <f>(1+$M$5)^(D720/12)*(H720+IF(AND(F720=1,F721=0),$Q$4,0))</f>
      </c>
      <c r="K720" s="333">
        <f>(1+$M$5)^(D720/12)*(I720)</f>
      </c>
      <c r="L720" s="333">
        <f>K720+J720</f>
      </c>
      <c r="M720" s="170"/>
      <c r="N720" s="7"/>
      <c r="O720" s="1"/>
      <c r="P720" s="331">
        <f>D720</f>
      </c>
      <c r="Q720" s="169"/>
    </row>
    <row x14ac:dyDescent="0.25" r="721" customHeight="1" ht="18.75">
      <c r="A721" s="1"/>
      <c r="B721" s="7"/>
      <c r="C721" s="170"/>
      <c r="D721" s="331">
        <v>714</v>
      </c>
      <c r="E721" s="544">
        <f>+DATE(YEAR(E720),MONTH(E720)-1,DAY(E720))</f>
        <v>25569.041666666668</v>
      </c>
      <c r="F721" s="333">
        <f>IF(DATE(YEAR($B$6),MONTH($B$6)+1,DAY(1))=E721,1,IF(MONTH(E721)=1,F722*(1+$F$5),F722))</f>
      </c>
      <c r="G721" s="333">
        <f>IF('Simulador - 1º Pilar'!$E$99="Sí",IF('Aportaciones Poliza'!$B$13&lt;'Aportaciones Poliza'!E721,0,F721*$B$8/12),F721*$B$8/12)</f>
      </c>
      <c r="H721" s="333">
        <f>$H$5*G721</f>
      </c>
      <c r="I721" s="333"/>
      <c r="J721" s="333">
        <f>(1+$M$5)^(D721/12)*(H721+IF(AND(F721=1,F722=0),$Q$4,0))</f>
      </c>
      <c r="K721" s="333">
        <f>(1+$M$5)^(D721/12)*(I721)</f>
      </c>
      <c r="L721" s="333">
        <f>K721+J721</f>
      </c>
      <c r="M721" s="170"/>
      <c r="N721" s="7"/>
      <c r="O721" s="1"/>
      <c r="P721" s="331">
        <f>D721</f>
      </c>
      <c r="Q721" s="169"/>
    </row>
    <row x14ac:dyDescent="0.25" r="722" customHeight="1" ht="18.75">
      <c r="A722" s="1"/>
      <c r="B722" s="7"/>
      <c r="C722" s="170"/>
      <c r="D722" s="331">
        <v>715</v>
      </c>
      <c r="E722" s="544">
        <f>+DATE(YEAR(E721),MONTH(E721)-1,DAY(E721))</f>
        <v>25569.041666666668</v>
      </c>
      <c r="F722" s="333">
        <f>IF(DATE(YEAR($B$6),MONTH($B$6)+1,DAY(1))=E722,1,IF(MONTH(E722)=1,F723*(1+$F$5),F723))</f>
      </c>
      <c r="G722" s="333">
        <f>IF('Simulador - 1º Pilar'!$E$99="Sí",IF('Aportaciones Poliza'!$B$13&lt;'Aportaciones Poliza'!E722,0,F722*$B$8/12),F722*$B$8/12)</f>
      </c>
      <c r="H722" s="333">
        <f>$H$5*G722</f>
      </c>
      <c r="I722" s="333"/>
      <c r="J722" s="333">
        <f>(1+$M$5)^(D722/12)*(H722+IF(AND(F722=1,F723=0),$Q$4,0))</f>
      </c>
      <c r="K722" s="333">
        <f>(1+$M$5)^(D722/12)*(I722)</f>
      </c>
      <c r="L722" s="333">
        <f>K722+J722</f>
      </c>
      <c r="M722" s="170"/>
      <c r="N722" s="7"/>
      <c r="O722" s="1"/>
      <c r="P722" s="331">
        <f>D722</f>
      </c>
      <c r="Q722" s="169"/>
    </row>
    <row x14ac:dyDescent="0.25" r="723" customHeight="1" ht="18.75">
      <c r="A723" s="1"/>
      <c r="B723" s="7"/>
      <c r="C723" s="170"/>
      <c r="D723" s="331">
        <v>716</v>
      </c>
      <c r="E723" s="544">
        <f>+DATE(YEAR(E722),MONTH(E722)-1,DAY(E722))</f>
        <v>25569.041666666668</v>
      </c>
      <c r="F723" s="333">
        <f>IF(DATE(YEAR($B$6),MONTH($B$6)+1,DAY(1))=E723,1,IF(MONTH(E723)=1,F724*(1+$F$5),F724))</f>
      </c>
      <c r="G723" s="333">
        <f>IF('Simulador - 1º Pilar'!$E$99="Sí",IF('Aportaciones Poliza'!$B$13&lt;'Aportaciones Poliza'!E723,0,F723*$B$8/12),F723*$B$8/12)</f>
      </c>
      <c r="H723" s="333">
        <f>$H$5*G723</f>
      </c>
      <c r="I723" s="333"/>
      <c r="J723" s="333">
        <f>(1+$M$5)^(D723/12)*(H723+IF(AND(F723=1,F724=0),$Q$4,0))</f>
      </c>
      <c r="K723" s="333">
        <f>(1+$M$5)^(D723/12)*(I723)</f>
      </c>
      <c r="L723" s="333">
        <f>K723+J723</f>
      </c>
      <c r="M723" s="170"/>
      <c r="N723" s="7"/>
      <c r="O723" s="1"/>
      <c r="P723" s="331">
        <f>D723</f>
      </c>
      <c r="Q723" s="169"/>
    </row>
    <row x14ac:dyDescent="0.25" r="724" customHeight="1" ht="18.75">
      <c r="A724" s="1"/>
      <c r="B724" s="7"/>
      <c r="C724" s="170"/>
      <c r="D724" s="331">
        <v>717</v>
      </c>
      <c r="E724" s="544">
        <f>+DATE(YEAR(E723),MONTH(E723)-1,DAY(E723))</f>
        <v>25569.041666666668</v>
      </c>
      <c r="F724" s="333">
        <f>IF(DATE(YEAR($B$6),MONTH($B$6)+1,DAY(1))=E724,1,IF(MONTH(E724)=1,F725*(1+$F$5),F725))</f>
      </c>
      <c r="G724" s="333">
        <f>IF('Simulador - 1º Pilar'!$E$99="Sí",IF('Aportaciones Poliza'!$B$13&lt;'Aportaciones Poliza'!E724,0,F724*$B$8/12),F724*$B$8/12)</f>
      </c>
      <c r="H724" s="333">
        <f>$H$5*G724</f>
      </c>
      <c r="I724" s="333"/>
      <c r="J724" s="333">
        <f>(1+$M$5)^(D724/12)*(H724+IF(AND(F724=1,F725=0),$Q$4,0))</f>
      </c>
      <c r="K724" s="333">
        <f>(1+$M$5)^(D724/12)*(I724)</f>
      </c>
      <c r="L724" s="333">
        <f>K724+J724</f>
      </c>
      <c r="M724" s="170"/>
      <c r="N724" s="7"/>
      <c r="O724" s="1"/>
      <c r="P724" s="331">
        <f>D724</f>
      </c>
      <c r="Q724" s="169"/>
    </row>
    <row x14ac:dyDescent="0.25" r="725" customHeight="1" ht="18.75">
      <c r="A725" s="1"/>
      <c r="B725" s="7"/>
      <c r="C725" s="170"/>
      <c r="D725" s="331">
        <v>718</v>
      </c>
      <c r="E725" s="544">
        <f>+DATE(YEAR(E724),MONTH(E724)-1,DAY(E724))</f>
        <v>25569.041666666668</v>
      </c>
      <c r="F725" s="333">
        <f>IF(DATE(YEAR($B$6),MONTH($B$6)+1,DAY(1))=E725,1,IF(MONTH(E725)=1,F726*(1+$F$5),F726))</f>
      </c>
      <c r="G725" s="333">
        <f>IF('Simulador - 1º Pilar'!$E$99="Sí",IF('Aportaciones Poliza'!$B$13&lt;'Aportaciones Poliza'!E725,0,F725*$B$8/12),F725*$B$8/12)</f>
      </c>
      <c r="H725" s="333">
        <f>$H$5*G725</f>
      </c>
      <c r="I725" s="333"/>
      <c r="J725" s="333">
        <f>(1+$M$5)^(D725/12)*(H725+IF(AND(F725=1,F726=0),$Q$4,0))</f>
      </c>
      <c r="K725" s="333">
        <f>(1+$M$5)^(D725/12)*(I725)</f>
      </c>
      <c r="L725" s="333">
        <f>K725+J725</f>
      </c>
      <c r="M725" s="170"/>
      <c r="N725" s="7"/>
      <c r="O725" s="1"/>
      <c r="P725" s="331">
        <f>D725</f>
      </c>
      <c r="Q725" s="169"/>
    </row>
    <row x14ac:dyDescent="0.25" r="726" customHeight="1" ht="18.75">
      <c r="A726" s="1"/>
      <c r="B726" s="7"/>
      <c r="C726" s="170"/>
      <c r="D726" s="331">
        <v>719</v>
      </c>
      <c r="E726" s="544">
        <f>+DATE(YEAR(E725),MONTH(E725)-1,DAY(E725))</f>
        <v>25569.041666666668</v>
      </c>
      <c r="F726" s="333">
        <f>IF(DATE(YEAR($B$6),MONTH($B$6)+1,DAY(1))=E726,1,IF(MONTH(E726)=1,F727*(1+$F$5),F727))</f>
      </c>
      <c r="G726" s="333">
        <f>IF('Simulador - 1º Pilar'!$E$99="Sí",IF('Aportaciones Poliza'!$B$13&lt;'Aportaciones Poliza'!E726,0,F726*$B$8/12),F726*$B$8/12)</f>
      </c>
      <c r="H726" s="333">
        <f>$H$5*G726</f>
      </c>
      <c r="I726" s="333"/>
      <c r="J726" s="333">
        <f>(1+$M$5)^(D726/12)*(H726+IF(AND(F726=1,F727=0),$Q$4,0))</f>
      </c>
      <c r="K726" s="333">
        <f>(1+$M$5)^(D726/12)*(I726)</f>
      </c>
      <c r="L726" s="333">
        <f>K726+J726</f>
      </c>
      <c r="M726" s="170"/>
      <c r="N726" s="7"/>
      <c r="O726" s="1"/>
      <c r="P726" s="331">
        <f>D726</f>
      </c>
      <c r="Q726" s="169"/>
    </row>
    <row x14ac:dyDescent="0.25" r="727" customHeight="1" ht="18.75">
      <c r="A727" s="1"/>
      <c r="B727" s="7"/>
      <c r="C727" s="170"/>
      <c r="D727" s="331">
        <v>720</v>
      </c>
      <c r="E727" s="544">
        <f>+DATE(YEAR(E726),MONTH(E726)-1,DAY(E726))</f>
        <v>25569.041666666668</v>
      </c>
      <c r="F727" s="333">
        <f>IF(DATE(YEAR($B$6),MONTH($B$6)+1,DAY(1))=E727,1,IF(MONTH(E727)=1,F728*(1+$F$5),F728))</f>
      </c>
      <c r="G727" s="333">
        <f>IF('Simulador - 1º Pilar'!$E$99="Sí",IF('Aportaciones Poliza'!$B$13&lt;'Aportaciones Poliza'!E727,0,F727*$B$8/12),F727*$B$8/12)</f>
      </c>
      <c r="H727" s="333">
        <f>$H$5*G727</f>
      </c>
      <c r="I727" s="333"/>
      <c r="J727" s="333">
        <f>(1+$M$5)^(D727/12)*(H727+IF(AND(F727=1,F728=0),$Q$4,0))</f>
      </c>
      <c r="K727" s="333">
        <f>(1+$M$5)^(D727/12)*(I727)</f>
      </c>
      <c r="L727" s="333">
        <f>K727+J727</f>
      </c>
      <c r="M727" s="170"/>
      <c r="N727" s="7"/>
      <c r="O727" s="1"/>
      <c r="P727" s="331">
        <f>D727</f>
      </c>
      <c r="Q727" s="169"/>
    </row>
    <row x14ac:dyDescent="0.25" r="728" customHeight="1" ht="18.75">
      <c r="A728" s="1"/>
      <c r="B728" s="7"/>
      <c r="C728" s="170"/>
      <c r="D728" s="331">
        <v>721</v>
      </c>
      <c r="E728" s="544">
        <f>+DATE(YEAR(E727),MONTH(E727)-1,DAY(E727))</f>
        <v>25569.041666666668</v>
      </c>
      <c r="F728" s="333">
        <f>IF(DATE(YEAR($B$6),MONTH($B$6)+1,DAY(1))=E728,1,IF(MONTH(E728)=1,F729*(1+$F$5),F729))</f>
      </c>
      <c r="G728" s="333">
        <f>IF('Simulador - 1º Pilar'!$E$99="Sí",IF('Aportaciones Poliza'!$B$13&lt;'Aportaciones Poliza'!E728,0,F728*$B$8/12),F728*$B$8/12)</f>
      </c>
      <c r="H728" s="333">
        <f>$H$5*G728</f>
      </c>
      <c r="I728" s="333"/>
      <c r="J728" s="333">
        <f>(1+$M$5)^(D728/12)*(H728+IF(AND(F728=1,F729=0),$Q$4,0))</f>
      </c>
      <c r="K728" s="333">
        <f>(1+$M$5)^(D728/12)*(I728)</f>
      </c>
      <c r="L728" s="333">
        <f>K728+J728</f>
      </c>
      <c r="M728" s="170"/>
      <c r="N728" s="7"/>
      <c r="O728" s="1"/>
      <c r="P728" s="331">
        <f>D728</f>
      </c>
      <c r="Q728" s="169"/>
    </row>
    <row x14ac:dyDescent="0.25" r="729" customHeight="1" ht="18.75">
      <c r="A729" s="1"/>
      <c r="B729" s="7"/>
      <c r="C729" s="170"/>
      <c r="D729" s="331">
        <v>722</v>
      </c>
      <c r="E729" s="544">
        <f>+DATE(YEAR(E728),MONTH(E728)-1,DAY(E728))</f>
        <v>25569.041666666668</v>
      </c>
      <c r="F729" s="333">
        <f>IF(DATE(YEAR($B$6),MONTH($B$6)+1,DAY(1))=E729,1,IF(MONTH(E729)=1,F730*(1+$F$5),F730))</f>
      </c>
      <c r="G729" s="333">
        <f>IF('Simulador - 1º Pilar'!$E$99="Sí",IF('Aportaciones Poliza'!$B$13&lt;'Aportaciones Poliza'!E729,0,F729*$B$8/12),F729*$B$8/12)</f>
      </c>
      <c r="H729" s="333">
        <f>$H$5*G729</f>
      </c>
      <c r="I729" s="333"/>
      <c r="J729" s="333">
        <f>(1+$M$5)^(D729/12)*(H729+IF(AND(F729=1,F730=0),$Q$4,0))</f>
      </c>
      <c r="K729" s="333">
        <f>(1+$M$5)^(D729/12)*(I729)</f>
      </c>
      <c r="L729" s="333">
        <f>K729+J729</f>
      </c>
      <c r="M729" s="170"/>
      <c r="N729" s="7"/>
      <c r="O729" s="1"/>
      <c r="P729" s="331">
        <f>D729</f>
      </c>
      <c r="Q729" s="169"/>
    </row>
    <row x14ac:dyDescent="0.25" r="730" customHeight="1" ht="18.75">
      <c r="A730" s="1"/>
      <c r="B730" s="7"/>
      <c r="C730" s="170"/>
      <c r="D730" s="331">
        <v>723</v>
      </c>
      <c r="E730" s="544">
        <f>+DATE(YEAR(E729),MONTH(E729)-1,DAY(E729))</f>
        <v>25569.041666666668</v>
      </c>
      <c r="F730" s="333">
        <f>IF(DATE(YEAR($B$6),MONTH($B$6)+1,DAY(1))=E730,1,IF(MONTH(E730)=1,F731*(1+$F$5),F731))</f>
      </c>
      <c r="G730" s="333">
        <f>IF('Simulador - 1º Pilar'!$E$99="Sí",IF('Aportaciones Poliza'!$B$13&lt;'Aportaciones Poliza'!E730,0,F730*$B$8/12),F730*$B$8/12)</f>
      </c>
      <c r="H730" s="333">
        <f>$H$5*G730</f>
      </c>
      <c r="I730" s="333"/>
      <c r="J730" s="333">
        <f>(1+$M$5)^(D730/12)*(H730+IF(AND(F730=1,F731=0),$Q$4,0))</f>
      </c>
      <c r="K730" s="333">
        <f>(1+$M$5)^(D730/12)*(I730)</f>
      </c>
      <c r="L730" s="333">
        <f>K730+J730</f>
      </c>
      <c r="M730" s="170"/>
      <c r="N730" s="7"/>
      <c r="O730" s="1"/>
      <c r="P730" s="331">
        <f>D730</f>
      </c>
      <c r="Q730" s="169"/>
    </row>
    <row x14ac:dyDescent="0.25" r="731" customHeight="1" ht="18.75">
      <c r="A731" s="1"/>
      <c r="B731" s="7"/>
      <c r="C731" s="170"/>
      <c r="D731" s="331">
        <v>724</v>
      </c>
      <c r="E731" s="544">
        <f>+DATE(YEAR(E730),MONTH(E730)-1,DAY(E730))</f>
        <v>25569.041666666668</v>
      </c>
      <c r="F731" s="333">
        <f>IF(DATE(YEAR($B$6),MONTH($B$6)+1,DAY(1))=E731,1,IF(MONTH(E731)=1,F732*(1+$F$5),F732))</f>
      </c>
      <c r="G731" s="333">
        <f>IF('Simulador - 1º Pilar'!$E$99="Sí",IF('Aportaciones Poliza'!$B$13&lt;'Aportaciones Poliza'!E731,0,F731*$B$8/12),F731*$B$8/12)</f>
      </c>
      <c r="H731" s="333">
        <f>$H$5*G731</f>
      </c>
      <c r="I731" s="333"/>
      <c r="J731" s="333">
        <f>(1+$M$5)^(D731/12)*(H731+IF(AND(F731=1,F732=0),$Q$4,0))</f>
      </c>
      <c r="K731" s="333">
        <f>(1+$M$5)^(D731/12)*(I731)</f>
      </c>
      <c r="L731" s="333">
        <f>K731+J731</f>
      </c>
      <c r="M731" s="170"/>
      <c r="N731" s="7"/>
      <c r="O731" s="1"/>
      <c r="P731" s="331">
        <f>D731</f>
      </c>
      <c r="Q731" s="169"/>
    </row>
    <row x14ac:dyDescent="0.25" r="732" customHeight="1" ht="18.75">
      <c r="A732" s="1"/>
      <c r="B732" s="7"/>
      <c r="C732" s="170"/>
      <c r="D732" s="331">
        <v>725</v>
      </c>
      <c r="E732" s="544">
        <f>+DATE(YEAR(E731),MONTH(E731)-1,DAY(E731))</f>
        <v>25569.041666666668</v>
      </c>
      <c r="F732" s="333">
        <f>IF(DATE(YEAR($B$6),MONTH($B$6)+1,DAY(1))=E732,1,IF(MONTH(E732)=1,F733*(1+$F$5),F733))</f>
      </c>
      <c r="G732" s="333">
        <f>IF('Simulador - 1º Pilar'!$E$99="Sí",IF('Aportaciones Poliza'!$B$13&lt;'Aportaciones Poliza'!E732,0,F732*$B$8/12),F732*$B$8/12)</f>
      </c>
      <c r="H732" s="333">
        <f>$H$5*G732</f>
      </c>
      <c r="I732" s="333"/>
      <c r="J732" s="333">
        <f>(1+$M$5)^(D732/12)*(H732+IF(AND(F732=1,F733=0),$Q$4,0))</f>
      </c>
      <c r="K732" s="333">
        <f>(1+$M$5)^(D732/12)*(I732)</f>
      </c>
      <c r="L732" s="333">
        <f>K732+J732</f>
      </c>
      <c r="M732" s="170"/>
      <c r="N732" s="7"/>
      <c r="O732" s="1"/>
      <c r="P732" s="331">
        <f>D732</f>
      </c>
      <c r="Q732" s="169"/>
    </row>
    <row x14ac:dyDescent="0.25" r="733" customHeight="1" ht="18.75">
      <c r="A733" s="1"/>
      <c r="B733" s="7"/>
      <c r="C733" s="170"/>
      <c r="D733" s="331">
        <v>726</v>
      </c>
      <c r="E733" s="544">
        <f>+DATE(YEAR(E732),MONTH(E732)-1,DAY(E732))</f>
        <v>25569.041666666668</v>
      </c>
      <c r="F733" s="333">
        <f>IF(DATE(YEAR($B$6),MONTH($B$6)+1,DAY(1))=E733,1,IF(MONTH(E733)=1,F734*(1+$F$5),F734))</f>
      </c>
      <c r="G733" s="333">
        <f>IF('Simulador - 1º Pilar'!$E$99="Sí",IF('Aportaciones Poliza'!$B$13&lt;'Aportaciones Poliza'!E733,0,F733*$B$8/12),F733*$B$8/12)</f>
      </c>
      <c r="H733" s="333">
        <f>$H$5*G733</f>
      </c>
      <c r="I733" s="333"/>
      <c r="J733" s="333">
        <f>(1+$M$5)^(D733/12)*(H733+IF(AND(F733=1,F734=0),$Q$4,0))</f>
      </c>
      <c r="K733" s="333">
        <f>(1+$M$5)^(D733/12)*(I733)</f>
      </c>
      <c r="L733" s="333">
        <f>K733+J733</f>
      </c>
      <c r="M733" s="170"/>
      <c r="N733" s="7"/>
      <c r="O733" s="1"/>
      <c r="P733" s="331">
        <f>D733</f>
      </c>
      <c r="Q733" s="169"/>
    </row>
    <row x14ac:dyDescent="0.25" r="734" customHeight="1" ht="18.75">
      <c r="A734" s="1"/>
      <c r="B734" s="7"/>
      <c r="C734" s="170"/>
      <c r="D734" s="331">
        <v>727</v>
      </c>
      <c r="E734" s="544">
        <f>+DATE(YEAR(E733),MONTH(E733)-1,DAY(E733))</f>
        <v>25569.041666666668</v>
      </c>
      <c r="F734" s="333">
        <f>IF(DATE(YEAR($B$6),MONTH($B$6)+1,DAY(1))=E734,1,IF(MONTH(E734)=1,F735*(1+$F$5),F735))</f>
      </c>
      <c r="G734" s="333">
        <f>IF('Simulador - 1º Pilar'!$E$99="Sí",IF('Aportaciones Poliza'!$B$13&lt;'Aportaciones Poliza'!E734,0,F734*$B$8/12),F734*$B$8/12)</f>
      </c>
      <c r="H734" s="333">
        <f>$H$5*G734</f>
      </c>
      <c r="I734" s="333"/>
      <c r="J734" s="333">
        <f>(1+$M$5)^(D734/12)*(H734+IF(AND(F734=1,F735=0),$Q$4,0))</f>
      </c>
      <c r="K734" s="333">
        <f>(1+$M$5)^(D734/12)*(I734)</f>
      </c>
      <c r="L734" s="333">
        <f>K734+J734</f>
      </c>
      <c r="M734" s="170"/>
      <c r="N734" s="7"/>
      <c r="O734" s="1"/>
      <c r="P734" s="331">
        <f>D734</f>
      </c>
      <c r="Q734" s="169"/>
    </row>
    <row x14ac:dyDescent="0.25" r="735" customHeight="1" ht="18.75">
      <c r="A735" s="1"/>
      <c r="B735" s="7"/>
      <c r="C735" s="170"/>
      <c r="D735" s="331">
        <v>728</v>
      </c>
      <c r="E735" s="544">
        <f>+DATE(YEAR(E734),MONTH(E734)-1,DAY(E734))</f>
        <v>25569.041666666668</v>
      </c>
      <c r="F735" s="333">
        <f>IF(DATE(YEAR($B$6),MONTH($B$6)+1,DAY(1))=E735,1,IF(MONTH(E735)=1,F736*(1+$F$5),F736))</f>
      </c>
      <c r="G735" s="333">
        <f>IF('Simulador - 1º Pilar'!$E$99="Sí",IF('Aportaciones Poliza'!$B$13&lt;'Aportaciones Poliza'!E735,0,F735*$B$8/12),F735*$B$8/12)</f>
      </c>
      <c r="H735" s="333">
        <f>$H$5*G735</f>
      </c>
      <c r="I735" s="333"/>
      <c r="J735" s="333">
        <f>(1+$M$5)^(D735/12)*(H735+IF(AND(F735=1,F736=0),$Q$4,0))</f>
      </c>
      <c r="K735" s="333">
        <f>(1+$M$5)^(D735/12)*(I735)</f>
      </c>
      <c r="L735" s="333">
        <f>K735+J735</f>
      </c>
      <c r="M735" s="170"/>
      <c r="N735" s="7"/>
      <c r="O735" s="1"/>
      <c r="P735" s="331">
        <f>D735</f>
      </c>
      <c r="Q735" s="169"/>
    </row>
    <row x14ac:dyDescent="0.25" r="736" customHeight="1" ht="18.75">
      <c r="A736" s="1"/>
      <c r="B736" s="7"/>
      <c r="C736" s="170"/>
      <c r="D736" s="331">
        <v>729</v>
      </c>
      <c r="E736" s="544">
        <f>+DATE(YEAR(E735),MONTH(E735)-1,DAY(E735))</f>
        <v>25569.041666666668</v>
      </c>
      <c r="F736" s="333">
        <f>IF(DATE(YEAR($B$6),MONTH($B$6)+1,DAY(1))=E736,1,IF(MONTH(E736)=1,F737*(1+$F$5),F737))</f>
      </c>
      <c r="G736" s="333">
        <f>IF('Simulador - 1º Pilar'!$E$99="Sí",IF('Aportaciones Poliza'!$B$13&lt;'Aportaciones Poliza'!E736,0,F736*$B$8/12),F736*$B$8/12)</f>
      </c>
      <c r="H736" s="333">
        <f>$H$5*G736</f>
      </c>
      <c r="I736" s="333"/>
      <c r="J736" s="333">
        <f>(1+$M$5)^(D736/12)*(H736+IF(AND(F736=1,F737=0),$Q$4,0))</f>
      </c>
      <c r="K736" s="333">
        <f>(1+$M$5)^(D736/12)*(I736)</f>
      </c>
      <c r="L736" s="333">
        <f>K736+J736</f>
      </c>
      <c r="M736" s="170"/>
      <c r="N736" s="7"/>
      <c r="O736" s="1"/>
      <c r="P736" s="331">
        <f>D736</f>
      </c>
      <c r="Q736" s="169"/>
    </row>
    <row x14ac:dyDescent="0.25" r="737" customHeight="1" ht="18.75">
      <c r="A737" s="1"/>
      <c r="B737" s="7"/>
      <c r="C737" s="170"/>
      <c r="D737" s="331">
        <v>730</v>
      </c>
      <c r="E737" s="544">
        <f>+DATE(YEAR(E736),MONTH(E736)-1,DAY(E736))</f>
        <v>25569.041666666668</v>
      </c>
      <c r="F737" s="333">
        <f>IF(DATE(YEAR($B$6),MONTH($B$6)+1,DAY(1))=E737,1,IF(MONTH(E737)=1,F738*(1+$F$5),F738))</f>
      </c>
      <c r="G737" s="333">
        <f>IF('Simulador - 1º Pilar'!$E$99="Sí",IF('Aportaciones Poliza'!$B$13&lt;'Aportaciones Poliza'!E737,0,F737*$B$8/12),F737*$B$8/12)</f>
      </c>
      <c r="H737" s="333">
        <f>$H$5*G737</f>
      </c>
      <c r="I737" s="333"/>
      <c r="J737" s="333">
        <f>(1+$M$5)^(D737/12)*(H737+IF(AND(F737=1,F738=0),$Q$4,0))</f>
      </c>
      <c r="K737" s="333">
        <f>(1+$M$5)^(D737/12)*(I737)</f>
      </c>
      <c r="L737" s="333">
        <f>K737+J737</f>
      </c>
      <c r="M737" s="170"/>
      <c r="N737" s="7"/>
      <c r="O737" s="1"/>
      <c r="P737" s="331">
        <f>D737</f>
      </c>
      <c r="Q737" s="169"/>
    </row>
    <row x14ac:dyDescent="0.25" r="738" customHeight="1" ht="18.75">
      <c r="A738" s="1"/>
      <c r="B738" s="7"/>
      <c r="C738" s="170"/>
      <c r="D738" s="331">
        <v>731</v>
      </c>
      <c r="E738" s="544">
        <f>+DATE(YEAR(E737),MONTH(E737)-1,DAY(E737))</f>
        <v>25569.041666666668</v>
      </c>
      <c r="F738" s="333">
        <f>IF(DATE(YEAR($B$6),MONTH($B$6)+1,DAY(1))=E738,1,IF(MONTH(E738)=1,F739*(1+$F$5),F739))</f>
      </c>
      <c r="G738" s="333">
        <f>IF('Simulador - 1º Pilar'!$E$99="Sí",IF('Aportaciones Poliza'!$B$13&lt;'Aportaciones Poliza'!E738,0,F738*$B$8/12),F738*$B$8/12)</f>
      </c>
      <c r="H738" s="333">
        <f>$H$5*G738</f>
      </c>
      <c r="I738" s="333"/>
      <c r="J738" s="333">
        <f>(1+$M$5)^(D738/12)*(H738+IF(AND(F738=1,F739=0),$Q$4,0))</f>
      </c>
      <c r="K738" s="333">
        <f>(1+$M$5)^(D738/12)*(I738)</f>
      </c>
      <c r="L738" s="333">
        <f>K738+J738</f>
      </c>
      <c r="M738" s="170"/>
      <c r="N738" s="7"/>
      <c r="O738" s="1"/>
      <c r="P738" s="331">
        <f>D738</f>
      </c>
      <c r="Q738" s="169"/>
    </row>
    <row x14ac:dyDescent="0.25" r="739" customHeight="1" ht="18.75">
      <c r="A739" s="1"/>
      <c r="B739" s="7"/>
      <c r="C739" s="170"/>
      <c r="D739" s="331">
        <v>732</v>
      </c>
      <c r="E739" s="544">
        <f>+DATE(YEAR(E738),MONTH(E738)-1,DAY(E738))</f>
        <v>25569.041666666668</v>
      </c>
      <c r="F739" s="333">
        <f>IF(DATE(YEAR($B$6),MONTH($B$6)+1,DAY(1))=E739,1,IF(MONTH(E739)=1,F740*(1+$F$5),F740))</f>
      </c>
      <c r="G739" s="333">
        <f>IF('Simulador - 1º Pilar'!$E$99="Sí",IF('Aportaciones Poliza'!$B$13&lt;'Aportaciones Poliza'!E739,0,F739*$B$8/12),F739*$B$8/12)</f>
      </c>
      <c r="H739" s="333">
        <f>$H$5*G739</f>
      </c>
      <c r="I739" s="333"/>
      <c r="J739" s="333">
        <f>(1+$M$5)^(D739/12)*(H739+IF(AND(F739=1,F740=0),$Q$4,0))</f>
      </c>
      <c r="K739" s="333">
        <f>(1+$M$5)^(D739/12)*(I739)</f>
      </c>
      <c r="L739" s="333">
        <f>K739+J739</f>
      </c>
      <c r="M739" s="170"/>
      <c r="N739" s="7"/>
      <c r="O739" s="1"/>
      <c r="P739" s="331">
        <f>D739</f>
      </c>
      <c r="Q739" s="169"/>
    </row>
    <row x14ac:dyDescent="0.25" r="740" customHeight="1" ht="18.75">
      <c r="A740" s="1"/>
      <c r="B740" s="7"/>
      <c r="C740" s="170"/>
      <c r="D740" s="331">
        <v>733</v>
      </c>
      <c r="E740" s="544">
        <f>+DATE(YEAR(E739),MONTH(E739)-1,DAY(E739))</f>
        <v>25569.041666666668</v>
      </c>
      <c r="F740" s="333">
        <f>IF(DATE(YEAR($B$6),MONTH($B$6)+1,DAY(1))=E740,1,IF(MONTH(E740)=1,F741*(1+$F$5),F741))</f>
      </c>
      <c r="G740" s="333">
        <f>IF('Simulador - 1º Pilar'!$E$99="Sí",IF('Aportaciones Poliza'!$B$13&lt;'Aportaciones Poliza'!E740,0,F740*$B$8/12),F740*$B$8/12)</f>
      </c>
      <c r="H740" s="333">
        <f>$H$5*G740</f>
      </c>
      <c r="I740" s="333"/>
      <c r="J740" s="333">
        <f>(1+$M$5)^(D740/12)*(H740+IF(AND(F740=1,F741=0),$Q$4,0))</f>
      </c>
      <c r="K740" s="333">
        <f>(1+$M$5)^(D740/12)*(I740)</f>
      </c>
      <c r="L740" s="333">
        <f>K740+J740</f>
      </c>
      <c r="M740" s="170"/>
      <c r="N740" s="7"/>
      <c r="O740" s="1"/>
      <c r="P740" s="331">
        <f>D740</f>
      </c>
      <c r="Q740" s="169"/>
    </row>
    <row x14ac:dyDescent="0.25" r="741" customHeight="1" ht="18.75">
      <c r="A741" s="1"/>
      <c r="B741" s="7"/>
      <c r="C741" s="170"/>
      <c r="D741" s="331">
        <v>734</v>
      </c>
      <c r="E741" s="544">
        <f>+DATE(YEAR(E740),MONTH(E740)-1,DAY(E740))</f>
        <v>25569.041666666668</v>
      </c>
      <c r="F741" s="333">
        <f>IF(DATE(YEAR($B$6),MONTH($B$6)+1,DAY(1))=E741,1,IF(MONTH(E741)=1,F742*(1+$F$5),F742))</f>
      </c>
      <c r="G741" s="333">
        <f>IF('Simulador - 1º Pilar'!$E$99="Sí",IF('Aportaciones Poliza'!$B$13&lt;'Aportaciones Poliza'!E741,0,F741*$B$8/12),F741*$B$8/12)</f>
      </c>
      <c r="H741" s="333">
        <f>$H$5*G741</f>
      </c>
      <c r="I741" s="333"/>
      <c r="J741" s="333">
        <f>(1+$M$5)^(D741/12)*(H741+IF(AND(F741=1,F742=0),$Q$4,0))</f>
      </c>
      <c r="K741" s="333">
        <f>(1+$M$5)^(D741/12)*(I741)</f>
      </c>
      <c r="L741" s="333">
        <f>K741+J741</f>
      </c>
      <c r="M741" s="170"/>
      <c r="N741" s="7"/>
      <c r="O741" s="1"/>
      <c r="P741" s="331">
        <f>D741</f>
      </c>
      <c r="Q741" s="169"/>
    </row>
    <row x14ac:dyDescent="0.25" r="742" customHeight="1" ht="18.75">
      <c r="A742" s="1"/>
      <c r="B742" s="7"/>
      <c r="C742" s="170"/>
      <c r="D742" s="331">
        <v>735</v>
      </c>
      <c r="E742" s="544">
        <f>+DATE(YEAR(E741),MONTH(E741)-1,DAY(E741))</f>
        <v>25569.041666666668</v>
      </c>
      <c r="F742" s="333">
        <f>IF(DATE(YEAR($B$6),MONTH($B$6)+1,DAY(1))=E742,1,IF(MONTH(E742)=1,F743*(1+$F$5),F743))</f>
      </c>
      <c r="G742" s="333">
        <f>IF('Simulador - 1º Pilar'!$E$99="Sí",IF('Aportaciones Poliza'!$B$13&lt;'Aportaciones Poliza'!E742,0,F742*$B$8/12),F742*$B$8/12)</f>
      </c>
      <c r="H742" s="333">
        <f>$H$5*G742</f>
      </c>
      <c r="I742" s="333"/>
      <c r="J742" s="333">
        <f>(1+$M$5)^(D742/12)*(H742+IF(AND(F742=1,F743=0),$Q$4,0))</f>
      </c>
      <c r="K742" s="333">
        <f>(1+$M$5)^(D742/12)*(I742)</f>
      </c>
      <c r="L742" s="333">
        <f>K742+J742</f>
      </c>
      <c r="M742" s="170"/>
      <c r="N742" s="7"/>
      <c r="O742" s="1"/>
      <c r="P742" s="331">
        <f>D742</f>
      </c>
      <c r="Q742" s="169"/>
    </row>
    <row x14ac:dyDescent="0.25" r="743" customHeight="1" ht="18.75">
      <c r="A743" s="1"/>
      <c r="B743" s="7"/>
      <c r="C743" s="170"/>
      <c r="D743" s="331">
        <v>736</v>
      </c>
      <c r="E743" s="544">
        <f>+DATE(YEAR(E742),MONTH(E742)-1,DAY(E742))</f>
        <v>25569.041666666668</v>
      </c>
      <c r="F743" s="333">
        <f>IF(DATE(YEAR($B$6),MONTH($B$6)+1,DAY(1))=E743,1,IF(MONTH(E743)=1,F744*(1+$F$5),F744))</f>
      </c>
      <c r="G743" s="333">
        <f>IF('Simulador - 1º Pilar'!$E$99="Sí",IF('Aportaciones Poliza'!$B$13&lt;'Aportaciones Poliza'!E743,0,F743*$B$8/12),F743*$B$8/12)</f>
      </c>
      <c r="H743" s="333">
        <f>$H$5*G743</f>
      </c>
      <c r="I743" s="333"/>
      <c r="J743" s="333">
        <f>(1+$M$5)^(D743/12)*(H743+IF(AND(F743=1,F744=0),$Q$4,0))</f>
      </c>
      <c r="K743" s="333">
        <f>(1+$M$5)^(D743/12)*(I743)</f>
      </c>
      <c r="L743" s="333">
        <f>K743+J743</f>
      </c>
      <c r="M743" s="170"/>
      <c r="N743" s="7"/>
      <c r="O743" s="1"/>
      <c r="P743" s="331">
        <f>D743</f>
      </c>
      <c r="Q743" s="169"/>
    </row>
    <row x14ac:dyDescent="0.25" r="744" customHeight="1" ht="18.75">
      <c r="A744" s="1"/>
      <c r="B744" s="7"/>
      <c r="C744" s="170"/>
      <c r="D744" s="331">
        <v>737</v>
      </c>
      <c r="E744" s="544">
        <f>+DATE(YEAR(E743),MONTH(E743)-1,DAY(E743))</f>
        <v>25569.041666666668</v>
      </c>
      <c r="F744" s="333">
        <f>IF(DATE(YEAR($B$6),MONTH($B$6)+1,DAY(1))=E744,1,IF(MONTH(E744)=1,F745*(1+$F$5),F745))</f>
      </c>
      <c r="G744" s="333">
        <f>IF('Simulador - 1º Pilar'!$E$99="Sí",IF('Aportaciones Poliza'!$B$13&lt;'Aportaciones Poliza'!E744,0,F744*$B$8/12),F744*$B$8/12)</f>
      </c>
      <c r="H744" s="333">
        <f>$H$5*G744</f>
      </c>
      <c r="I744" s="333"/>
      <c r="J744" s="333">
        <f>(1+$M$5)^(D744/12)*(H744+IF(AND(F744=1,F745=0),$Q$4,0))</f>
      </c>
      <c r="K744" s="333">
        <f>(1+$M$5)^(D744/12)*(I744)</f>
      </c>
      <c r="L744" s="333">
        <f>K744+J744</f>
      </c>
      <c r="M744" s="170"/>
      <c r="N744" s="7"/>
      <c r="O744" s="1"/>
      <c r="P744" s="331">
        <f>D744</f>
      </c>
      <c r="Q744" s="169"/>
    </row>
    <row x14ac:dyDescent="0.25" r="745" customHeight="1" ht="18.75">
      <c r="A745" s="1"/>
      <c r="B745" s="7"/>
      <c r="C745" s="170"/>
      <c r="D745" s="331">
        <v>738</v>
      </c>
      <c r="E745" s="544">
        <f>+DATE(YEAR(E744),MONTH(E744)-1,DAY(E744))</f>
        <v>25569.041666666668</v>
      </c>
      <c r="F745" s="333">
        <f>IF(DATE(YEAR($B$6),MONTH($B$6)+1,DAY(1))=E745,1,IF(MONTH(E745)=1,F746*(1+$F$5),F746))</f>
      </c>
      <c r="G745" s="333">
        <f>IF('Simulador - 1º Pilar'!$E$99="Sí",IF('Aportaciones Poliza'!$B$13&lt;'Aportaciones Poliza'!E745,0,F745*$B$8/12),F745*$B$8/12)</f>
      </c>
      <c r="H745" s="333">
        <f>$H$5*G745</f>
      </c>
      <c r="I745" s="333"/>
      <c r="J745" s="333">
        <f>(1+$M$5)^(D745/12)*(H745+IF(AND(F745=1,F746=0),$Q$4,0))</f>
      </c>
      <c r="K745" s="333">
        <f>(1+$M$5)^(D745/12)*(I745)</f>
      </c>
      <c r="L745" s="333">
        <f>K745+J745</f>
      </c>
      <c r="M745" s="170"/>
      <c r="N745" s="7"/>
      <c r="O745" s="1"/>
      <c r="P745" s="331">
        <f>D745</f>
      </c>
      <c r="Q745" s="169"/>
    </row>
    <row x14ac:dyDescent="0.25" r="746" customHeight="1" ht="18.75">
      <c r="A746" s="1"/>
      <c r="B746" s="7"/>
      <c r="C746" s="170"/>
      <c r="D746" s="331">
        <v>739</v>
      </c>
      <c r="E746" s="544">
        <f>+DATE(YEAR(E745),MONTH(E745)-1,DAY(E745))</f>
        <v>25569.041666666668</v>
      </c>
      <c r="F746" s="333">
        <f>IF(DATE(YEAR($B$6),MONTH($B$6)+1,DAY(1))=E746,1,IF(MONTH(E746)=1,F747*(1+$F$5),F747))</f>
      </c>
      <c r="G746" s="333">
        <f>IF('Simulador - 1º Pilar'!$E$99="Sí",IF('Aportaciones Poliza'!$B$13&lt;'Aportaciones Poliza'!E746,0,F746*$B$8/12),F746*$B$8/12)</f>
      </c>
      <c r="H746" s="333">
        <f>$H$5*G746</f>
      </c>
      <c r="I746" s="333"/>
      <c r="J746" s="333">
        <f>(1+$M$5)^(D746/12)*(H746+IF(AND(F746=1,F747=0),$Q$4,0))</f>
      </c>
      <c r="K746" s="333">
        <f>(1+$M$5)^(D746/12)*(I746)</f>
      </c>
      <c r="L746" s="333">
        <f>K746+J746</f>
      </c>
      <c r="M746" s="170"/>
      <c r="N746" s="7"/>
      <c r="O746" s="1"/>
      <c r="P746" s="331">
        <f>D746</f>
      </c>
      <c r="Q746" s="169"/>
    </row>
    <row x14ac:dyDescent="0.25" r="747" customHeight="1" ht="18.75">
      <c r="A747" s="1"/>
      <c r="B747" s="7"/>
      <c r="C747" s="170"/>
      <c r="D747" s="331">
        <v>740</v>
      </c>
      <c r="E747" s="544">
        <f>+DATE(YEAR(E746),MONTH(E746)-1,DAY(E746))</f>
        <v>25569.041666666668</v>
      </c>
      <c r="F747" s="333">
        <f>IF(DATE(YEAR($B$6),MONTH($B$6)+1,DAY(1))=E747,1,IF(MONTH(E747)=1,F748*(1+$F$5),F748))</f>
      </c>
      <c r="G747" s="333">
        <f>IF('Simulador - 1º Pilar'!$E$99="Sí",IF('Aportaciones Poliza'!$B$13&lt;'Aportaciones Poliza'!E747,0,F747*$B$8/12),F747*$B$8/12)</f>
      </c>
      <c r="H747" s="333">
        <f>$H$5*G747</f>
      </c>
      <c r="I747" s="333"/>
      <c r="J747" s="333">
        <f>(1+$M$5)^(D747/12)*(H747+IF(AND(F747=1,F748=0),$Q$4,0))</f>
      </c>
      <c r="K747" s="333">
        <f>(1+$M$5)^(D747/12)*(I747)</f>
      </c>
      <c r="L747" s="333">
        <f>K747+J747</f>
      </c>
      <c r="M747" s="170"/>
      <c r="N747" s="7"/>
      <c r="O747" s="1"/>
      <c r="P747" s="331">
        <f>D747</f>
      </c>
      <c r="Q747" s="169"/>
    </row>
    <row x14ac:dyDescent="0.25" r="748" customHeight="1" ht="18.75">
      <c r="A748" s="1"/>
      <c r="B748" s="7"/>
      <c r="C748" s="170"/>
      <c r="D748" s="331">
        <v>741</v>
      </c>
      <c r="E748" s="544">
        <f>+DATE(YEAR(E747),MONTH(E747)-1,DAY(E747))</f>
        <v>25569.041666666668</v>
      </c>
      <c r="F748" s="333">
        <f>IF(DATE(YEAR($B$6),MONTH($B$6)+1,DAY(1))=E748,1,IF(MONTH(E748)=1,F749*(1+$F$5),F749))</f>
      </c>
      <c r="G748" s="333">
        <f>IF('Simulador - 1º Pilar'!$E$99="Sí",IF('Aportaciones Poliza'!$B$13&lt;'Aportaciones Poliza'!E748,0,F748*$B$8/12),F748*$B$8/12)</f>
      </c>
      <c r="H748" s="333">
        <f>$H$5*G748</f>
      </c>
      <c r="I748" s="333"/>
      <c r="J748" s="333">
        <f>(1+$M$5)^(D748/12)*(H748+IF(AND(F748=1,F749=0),$Q$4,0))</f>
      </c>
      <c r="K748" s="333">
        <f>(1+$M$5)^(D748/12)*(I748)</f>
      </c>
      <c r="L748" s="333">
        <f>K748+J748</f>
      </c>
      <c r="M748" s="170"/>
      <c r="N748" s="7"/>
      <c r="O748" s="1"/>
      <c r="P748" s="331">
        <f>D748</f>
      </c>
      <c r="Q748" s="169"/>
    </row>
    <row x14ac:dyDescent="0.25" r="749" customHeight="1" ht="18.75">
      <c r="A749" s="1"/>
      <c r="B749" s="7"/>
      <c r="C749" s="170"/>
      <c r="D749" s="331">
        <v>742</v>
      </c>
      <c r="E749" s="544">
        <f>+DATE(YEAR(E748),MONTH(E748)-1,DAY(E748))</f>
        <v>25569.041666666668</v>
      </c>
      <c r="F749" s="333">
        <f>IF(DATE(YEAR($B$6),MONTH($B$6)+1,DAY(1))=E749,1,IF(MONTH(E749)=1,F750*(1+$F$5),F750))</f>
      </c>
      <c r="G749" s="333">
        <f>IF('Simulador - 1º Pilar'!$E$99="Sí",IF('Aportaciones Poliza'!$B$13&lt;'Aportaciones Poliza'!E749,0,F749*$B$8/12),F749*$B$8/12)</f>
      </c>
      <c r="H749" s="333">
        <f>$H$5*G749</f>
      </c>
      <c r="I749" s="333"/>
      <c r="J749" s="333">
        <f>(1+$M$5)^(D749/12)*(H749+IF(AND(F749=1,F750=0),$Q$4,0))</f>
      </c>
      <c r="K749" s="333">
        <f>(1+$M$5)^(D749/12)*(I749)</f>
      </c>
      <c r="L749" s="333">
        <f>K749+J749</f>
      </c>
      <c r="M749" s="170"/>
      <c r="N749" s="7"/>
      <c r="O749" s="1"/>
      <c r="P749" s="331">
        <f>D749</f>
      </c>
      <c r="Q749" s="169"/>
    </row>
    <row x14ac:dyDescent="0.25" r="750" customHeight="1" ht="18.75">
      <c r="A750" s="1"/>
      <c r="B750" s="7"/>
      <c r="C750" s="170"/>
      <c r="D750" s="331">
        <v>743</v>
      </c>
      <c r="E750" s="544">
        <f>+DATE(YEAR(E749),MONTH(E749)-1,DAY(E749))</f>
        <v>25569.041666666668</v>
      </c>
      <c r="F750" s="333">
        <f>IF(DATE(YEAR($B$6),MONTH($B$6)+1,DAY(1))=E750,1,IF(MONTH(E750)=1,F751*(1+$F$5),F751))</f>
      </c>
      <c r="G750" s="333">
        <f>IF('Simulador - 1º Pilar'!$E$99="Sí",IF('Aportaciones Poliza'!$B$13&lt;'Aportaciones Poliza'!E750,0,F750*$B$8/12),F750*$B$8/12)</f>
      </c>
      <c r="H750" s="333">
        <f>$H$5*G750</f>
      </c>
      <c r="I750" s="333"/>
      <c r="J750" s="333">
        <f>(1+$M$5)^(D750/12)*(H750+IF(AND(F750=1,F751=0),$Q$4,0))</f>
      </c>
      <c r="K750" s="333">
        <f>(1+$M$5)^(D750/12)*(I750)</f>
      </c>
      <c r="L750" s="333">
        <f>K750+J750</f>
      </c>
      <c r="M750" s="170"/>
      <c r="N750" s="7"/>
      <c r="O750" s="1"/>
      <c r="P750" s="331">
        <f>D750</f>
      </c>
      <c r="Q750" s="169"/>
    </row>
    <row x14ac:dyDescent="0.25" r="751" customHeight="1" ht="18.75">
      <c r="A751" s="1"/>
      <c r="B751" s="7"/>
      <c r="C751" s="170"/>
      <c r="D751" s="331">
        <v>744</v>
      </c>
      <c r="E751" s="544">
        <f>+DATE(YEAR(E750),MONTH(E750)-1,DAY(E750))</f>
        <v>25569.041666666668</v>
      </c>
      <c r="F751" s="333">
        <f>IF(DATE(YEAR($B$6),MONTH($B$6)+1,DAY(1))=E751,1,IF(MONTH(E751)=1,F752*(1+$F$5),F752))</f>
      </c>
      <c r="G751" s="333">
        <f>IF('Simulador - 1º Pilar'!$E$99="Sí",IF('Aportaciones Poliza'!$B$13&lt;'Aportaciones Poliza'!E751,0,F751*$B$8/12),F751*$B$8/12)</f>
      </c>
      <c r="H751" s="333">
        <f>$H$5*G751</f>
      </c>
      <c r="I751" s="333"/>
      <c r="J751" s="333">
        <f>(1+$M$5)^(D751/12)*(H751+IF(AND(F751=1,F752=0),$Q$4,0))</f>
      </c>
      <c r="K751" s="333">
        <f>(1+$M$5)^(D751/12)*(I751)</f>
      </c>
      <c r="L751" s="333">
        <f>K751+J751</f>
      </c>
      <c r="M751" s="170"/>
      <c r="N751" s="7"/>
      <c r="O751" s="1"/>
      <c r="P751" s="331">
        <f>D751</f>
      </c>
      <c r="Q751" s="169"/>
    </row>
    <row x14ac:dyDescent="0.25" r="752" customHeight="1" ht="18.75">
      <c r="A752" s="1"/>
      <c r="B752" s="7"/>
      <c r="C752" s="170"/>
      <c r="D752" s="331">
        <v>745</v>
      </c>
      <c r="E752" s="544">
        <f>+DATE(YEAR(E751),MONTH(E751)-1,DAY(E751))</f>
        <v>25569.041666666668</v>
      </c>
      <c r="F752" s="333">
        <f>IF(DATE(YEAR($B$6),MONTH($B$6)+1,DAY(1))=E752,1,IF(MONTH(E752)=1,F753*(1+$F$5),F753))</f>
      </c>
      <c r="G752" s="333">
        <f>IF('Simulador - 1º Pilar'!$E$99="Sí",IF('Aportaciones Poliza'!$B$13&lt;'Aportaciones Poliza'!E752,0,F752*$B$8/12),F752*$B$8/12)</f>
      </c>
      <c r="H752" s="333">
        <f>$H$5*G752</f>
      </c>
      <c r="I752" s="333"/>
      <c r="J752" s="333">
        <f>(1+$M$5)^(D752/12)*(H752+IF(AND(F752=1,F753=0),$Q$4,0))</f>
      </c>
      <c r="K752" s="333">
        <f>(1+$M$5)^(D752/12)*(I752)</f>
      </c>
      <c r="L752" s="333">
        <f>K752+J752</f>
      </c>
      <c r="M752" s="170"/>
      <c r="N752" s="7"/>
      <c r="O752" s="1"/>
      <c r="P752" s="331">
        <f>D752</f>
      </c>
      <c r="Q752" s="169"/>
    </row>
    <row x14ac:dyDescent="0.25" r="753" customHeight="1" ht="18.75">
      <c r="A753" s="1"/>
      <c r="B753" s="7"/>
      <c r="C753" s="170"/>
      <c r="D753" s="331">
        <v>746</v>
      </c>
      <c r="E753" s="544">
        <f>+DATE(YEAR(E752),MONTH(E752)-1,DAY(E752))</f>
        <v>25569.041666666668</v>
      </c>
      <c r="F753" s="333">
        <f>IF(DATE(YEAR($B$6),MONTH($B$6)+1,DAY(1))=E753,1,IF(MONTH(E753)=1,F754*(1+$F$5),F754))</f>
      </c>
      <c r="G753" s="333">
        <f>IF('Simulador - 1º Pilar'!$E$99="Sí",IF('Aportaciones Poliza'!$B$13&lt;'Aportaciones Poliza'!E753,0,F753*$B$8/12),F753*$B$8/12)</f>
      </c>
      <c r="H753" s="333">
        <f>$H$5*G753</f>
      </c>
      <c r="I753" s="333"/>
      <c r="J753" s="333">
        <f>(1+$M$5)^(D753/12)*(H753+IF(AND(F753=1,F754=0),$Q$4,0))</f>
      </c>
      <c r="K753" s="333">
        <f>(1+$M$5)^(D753/12)*(I753)</f>
      </c>
      <c r="L753" s="333">
        <f>K753+J753</f>
      </c>
      <c r="M753" s="170"/>
      <c r="N753" s="7"/>
      <c r="O753" s="1"/>
      <c r="P753" s="331">
        <f>D753</f>
      </c>
      <c r="Q753" s="169"/>
    </row>
    <row x14ac:dyDescent="0.25" r="754" customHeight="1" ht="18.75">
      <c r="A754" s="1"/>
      <c r="B754" s="7"/>
      <c r="C754" s="170"/>
      <c r="D754" s="331">
        <v>747</v>
      </c>
      <c r="E754" s="544">
        <f>+DATE(YEAR(E753),MONTH(E753)-1,DAY(E753))</f>
        <v>25569.041666666668</v>
      </c>
      <c r="F754" s="333">
        <f>IF(DATE(YEAR($B$6),MONTH($B$6)+1,DAY(1))=E754,1,IF(MONTH(E754)=1,F755*(1+$F$5),F755))</f>
      </c>
      <c r="G754" s="333">
        <f>IF('Simulador - 1º Pilar'!$E$99="Sí",IF('Aportaciones Poliza'!$B$13&lt;'Aportaciones Poliza'!E754,0,F754*$B$8/12),F754*$B$8/12)</f>
      </c>
      <c r="H754" s="333">
        <f>$H$5*G754</f>
      </c>
      <c r="I754" s="333"/>
      <c r="J754" s="333">
        <f>(1+$M$5)^(D754/12)*(H754+IF(AND(F754=1,F755=0),$Q$4,0))</f>
      </c>
      <c r="K754" s="333">
        <f>(1+$M$5)^(D754/12)*(I754)</f>
      </c>
      <c r="L754" s="333">
        <f>K754+J754</f>
      </c>
      <c r="M754" s="170"/>
      <c r="N754" s="7"/>
      <c r="O754" s="1"/>
      <c r="P754" s="331">
        <f>D754</f>
      </c>
      <c r="Q754" s="169"/>
    </row>
    <row x14ac:dyDescent="0.25" r="755" customHeight="1" ht="18.75">
      <c r="A755" s="1"/>
      <c r="B755" s="7"/>
      <c r="C755" s="170"/>
      <c r="D755" s="331">
        <v>748</v>
      </c>
      <c r="E755" s="544">
        <f>+DATE(YEAR(E754),MONTH(E754)-1,DAY(E754))</f>
        <v>25569.041666666668</v>
      </c>
      <c r="F755" s="333">
        <f>IF(DATE(YEAR($B$6),MONTH($B$6)+1,DAY(1))=E755,1,IF(MONTH(E755)=1,F756*(1+$F$5),F756))</f>
      </c>
      <c r="G755" s="333">
        <f>IF('Simulador - 1º Pilar'!$E$99="Sí",IF('Aportaciones Poliza'!$B$13&lt;'Aportaciones Poliza'!E755,0,F755*$B$8/12),F755*$B$8/12)</f>
      </c>
      <c r="H755" s="333">
        <f>$H$5*G755</f>
      </c>
      <c r="I755" s="333"/>
      <c r="J755" s="333">
        <f>(1+$M$5)^(D755/12)*(H755+IF(AND(F755=1,F756=0),$Q$4,0))</f>
      </c>
      <c r="K755" s="333">
        <f>(1+$M$5)^(D755/12)*(I755)</f>
      </c>
      <c r="L755" s="333">
        <f>K755+J755</f>
      </c>
      <c r="M755" s="170"/>
      <c r="N755" s="7"/>
      <c r="O755" s="1"/>
      <c r="P755" s="331">
        <f>D755</f>
      </c>
      <c r="Q755" s="169"/>
    </row>
    <row x14ac:dyDescent="0.25" r="756" customHeight="1" ht="18.75">
      <c r="A756" s="1"/>
      <c r="B756" s="7"/>
      <c r="C756" s="170"/>
      <c r="D756" s="331">
        <v>749</v>
      </c>
      <c r="E756" s="544">
        <f>+DATE(YEAR(E755),MONTH(E755)-1,DAY(E755))</f>
        <v>25569.041666666668</v>
      </c>
      <c r="F756" s="333">
        <f>IF(DATE(YEAR($B$6),MONTH($B$6)+1,DAY(1))=E756,1,IF(MONTH(E756)=1,F757*(1+$F$5),F757))</f>
      </c>
      <c r="G756" s="333">
        <f>IF('Simulador - 1º Pilar'!$E$99="Sí",IF('Aportaciones Poliza'!$B$13&lt;'Aportaciones Poliza'!E756,0,F756*$B$8/12),F756*$B$8/12)</f>
      </c>
      <c r="H756" s="333">
        <f>$H$5*G756</f>
      </c>
      <c r="I756" s="333"/>
      <c r="J756" s="333">
        <f>(1+$M$5)^(D756/12)*(H756+IF(AND(F756=1,F757=0),$Q$4,0))</f>
      </c>
      <c r="K756" s="333">
        <f>(1+$M$5)^(D756/12)*(I756)</f>
      </c>
      <c r="L756" s="333">
        <f>K756+J756</f>
      </c>
      <c r="M756" s="170"/>
      <c r="N756" s="7"/>
      <c r="O756" s="1"/>
      <c r="P756" s="331">
        <f>D756</f>
      </c>
      <c r="Q756" s="169"/>
    </row>
    <row x14ac:dyDescent="0.25" r="757" customHeight="1" ht="18.75">
      <c r="A757" s="1"/>
      <c r="B757" s="7"/>
      <c r="C757" s="170"/>
      <c r="D757" s="331">
        <v>750</v>
      </c>
      <c r="E757" s="544">
        <f>+DATE(YEAR(E756),MONTH(E756)-1,DAY(E756))</f>
        <v>25569.041666666668</v>
      </c>
      <c r="F757" s="333">
        <f>IF(DATE(YEAR($B$6),MONTH($B$6)+1,DAY(1))=E757,1,IF(MONTH(E757)=1,F758*(1+$F$5),F758))</f>
      </c>
      <c r="G757" s="333">
        <f>IF('Simulador - 1º Pilar'!$E$99="Sí",IF('Aportaciones Poliza'!$B$13&lt;'Aportaciones Poliza'!E757,0,F757*$B$8/12),F757*$B$8/12)</f>
      </c>
      <c r="H757" s="333">
        <f>$H$5*G757</f>
      </c>
      <c r="I757" s="333"/>
      <c r="J757" s="333">
        <f>(1+$M$5)^(D757/12)*(H757+IF(AND(F757=1,F758=0),$Q$4,0))</f>
      </c>
      <c r="K757" s="333">
        <f>(1+$M$5)^(D757/12)*(I757)</f>
      </c>
      <c r="L757" s="333">
        <f>K757+J757</f>
      </c>
      <c r="M757" s="170"/>
      <c r="N757" s="7"/>
      <c r="O757" s="1"/>
      <c r="P757" s="331">
        <f>D757</f>
      </c>
      <c r="Q757" s="169"/>
    </row>
    <row x14ac:dyDescent="0.25" r="758" customHeight="1" ht="18.75">
      <c r="A758" s="1"/>
      <c r="B758" s="7"/>
      <c r="C758" s="170"/>
      <c r="D758" s="331">
        <v>751</v>
      </c>
      <c r="E758" s="544">
        <f>+DATE(YEAR(E757),MONTH(E757)-1,DAY(E757))</f>
        <v>25569.041666666668</v>
      </c>
      <c r="F758" s="333">
        <f>IF(DATE(YEAR($B$6),MONTH($B$6)+1,DAY(1))=E758,1,IF(MONTH(E758)=1,F759*(1+$F$5),F759))</f>
      </c>
      <c r="G758" s="333">
        <f>IF('Simulador - 1º Pilar'!$E$99="Sí",IF('Aportaciones Poliza'!$B$13&lt;'Aportaciones Poliza'!E758,0,F758*$B$8/12),F758*$B$8/12)</f>
      </c>
      <c r="H758" s="333">
        <f>$H$5*G758</f>
      </c>
      <c r="I758" s="333"/>
      <c r="J758" s="333">
        <f>(1+$M$5)^(D758/12)*(H758+IF(AND(F758=1,F759=0),$Q$4,0))</f>
      </c>
      <c r="K758" s="333">
        <f>(1+$M$5)^(D758/12)*(I758)</f>
      </c>
      <c r="L758" s="333">
        <f>K758+J758</f>
      </c>
      <c r="M758" s="170"/>
      <c r="N758" s="7"/>
      <c r="O758" s="1"/>
      <c r="P758" s="331">
        <f>D758</f>
      </c>
      <c r="Q758" s="169"/>
    </row>
    <row x14ac:dyDescent="0.25" r="759" customHeight="1" ht="18.75">
      <c r="A759" s="1"/>
      <c r="B759" s="7"/>
      <c r="C759" s="170"/>
      <c r="D759" s="331">
        <v>752</v>
      </c>
      <c r="E759" s="544">
        <f>+DATE(YEAR(E758),MONTH(E758)-1,DAY(E758))</f>
        <v>25569.041666666668</v>
      </c>
      <c r="F759" s="333">
        <f>IF(DATE(YEAR($B$6),MONTH($B$6)+1,DAY(1))=E759,1,IF(MONTH(E759)=1,F760*(1+$F$5),F760))</f>
      </c>
      <c r="G759" s="333">
        <f>IF('Simulador - 1º Pilar'!$E$99="Sí",IF('Aportaciones Poliza'!$B$13&lt;'Aportaciones Poliza'!E759,0,F759*$B$8/12),F759*$B$8/12)</f>
      </c>
      <c r="H759" s="333">
        <f>$H$5*G759</f>
      </c>
      <c r="I759" s="333"/>
      <c r="J759" s="333">
        <f>(1+$M$5)^(D759/12)*(H759+IF(AND(F759=1,F760=0),$Q$4,0))</f>
      </c>
      <c r="K759" s="333">
        <f>(1+$M$5)^(D759/12)*(I759)</f>
      </c>
      <c r="L759" s="333">
        <f>K759+J759</f>
      </c>
      <c r="M759" s="170"/>
      <c r="N759" s="7"/>
      <c r="O759" s="1"/>
      <c r="P759" s="331">
        <f>D759</f>
      </c>
      <c r="Q759" s="169"/>
    </row>
    <row x14ac:dyDescent="0.25" r="760" customHeight="1" ht="18.75">
      <c r="A760" s="1"/>
      <c r="B760" s="7"/>
      <c r="C760" s="170"/>
      <c r="D760" s="331">
        <v>753</v>
      </c>
      <c r="E760" s="544">
        <f>+DATE(YEAR(E759),MONTH(E759)-1,DAY(E759))</f>
        <v>25569.041666666668</v>
      </c>
      <c r="F760" s="333">
        <f>IF(DATE(YEAR($B$6),MONTH($B$6)+1,DAY(1))=E760,1,IF(MONTH(E760)=1,F761*(1+$F$5),F761))</f>
      </c>
      <c r="G760" s="333">
        <f>IF('Simulador - 1º Pilar'!$E$99="Sí",IF('Aportaciones Poliza'!$B$13&lt;'Aportaciones Poliza'!E760,0,F760*$B$8/12),F760*$B$8/12)</f>
      </c>
      <c r="H760" s="333">
        <f>$H$5*G760</f>
      </c>
      <c r="I760" s="333"/>
      <c r="J760" s="333">
        <f>(1+$M$5)^(D760/12)*(H760+IF(AND(F760=1,F761=0),$Q$4,0))</f>
      </c>
      <c r="K760" s="333">
        <f>(1+$M$5)^(D760/12)*(I760)</f>
      </c>
      <c r="L760" s="333">
        <f>K760+J760</f>
      </c>
      <c r="M760" s="170"/>
      <c r="N760" s="7"/>
      <c r="O760" s="1"/>
      <c r="P760" s="331">
        <f>D760</f>
      </c>
      <c r="Q760" s="169"/>
    </row>
    <row x14ac:dyDescent="0.25" r="761" customHeight="1" ht="18.75">
      <c r="A761" s="1"/>
      <c r="B761" s="7"/>
      <c r="C761" s="170"/>
      <c r="D761" s="331">
        <v>754</v>
      </c>
      <c r="E761" s="544">
        <f>+DATE(YEAR(E760),MONTH(E760)-1,DAY(E760))</f>
        <v>25569.041666666668</v>
      </c>
      <c r="F761" s="333">
        <f>IF(DATE(YEAR($B$6),MONTH($B$6)+1,DAY(1))=E761,1,IF(MONTH(E761)=1,F762*(1+$F$5),F762))</f>
      </c>
      <c r="G761" s="333">
        <f>IF('Simulador - 1º Pilar'!$E$99="Sí",IF('Aportaciones Poliza'!$B$13&lt;'Aportaciones Poliza'!E761,0,F761*$B$8/12),F761*$B$8/12)</f>
      </c>
      <c r="H761" s="333">
        <f>$H$5*G761</f>
      </c>
      <c r="I761" s="333"/>
      <c r="J761" s="333">
        <f>(1+$M$5)^(D761/12)*(H761+IF(AND(F761=1,F762=0),$Q$4,0))</f>
      </c>
      <c r="K761" s="333">
        <f>(1+$M$5)^(D761/12)*(I761)</f>
      </c>
      <c r="L761" s="333">
        <f>K761+J761</f>
      </c>
      <c r="M761" s="170"/>
      <c r="N761" s="7"/>
      <c r="O761" s="1"/>
      <c r="P761" s="331">
        <f>D761</f>
      </c>
      <c r="Q761" s="169"/>
    </row>
    <row x14ac:dyDescent="0.25" r="762" customHeight="1" ht="18.75">
      <c r="A762" s="1"/>
      <c r="B762" s="7"/>
      <c r="C762" s="170"/>
      <c r="D762" s="331">
        <v>755</v>
      </c>
      <c r="E762" s="544">
        <f>+DATE(YEAR(E761),MONTH(E761)-1,DAY(E761))</f>
        <v>25569.041666666668</v>
      </c>
      <c r="F762" s="333">
        <f>IF(DATE(YEAR($B$6),MONTH($B$6)+1,DAY(1))=E762,1,IF(MONTH(E762)=1,F763*(1+$F$5),F763))</f>
      </c>
      <c r="G762" s="333">
        <f>IF('Simulador - 1º Pilar'!$E$99="Sí",IF('Aportaciones Poliza'!$B$13&lt;'Aportaciones Poliza'!E762,0,F762*$B$8/12),F762*$B$8/12)</f>
      </c>
      <c r="H762" s="333">
        <f>$H$5*G762</f>
      </c>
      <c r="I762" s="333"/>
      <c r="J762" s="333">
        <f>(1+$M$5)^(D762/12)*(H762+IF(AND(F762=1,F763=0),$Q$4,0))</f>
      </c>
      <c r="K762" s="333">
        <f>(1+$M$5)^(D762/12)*(I762)</f>
      </c>
      <c r="L762" s="333">
        <f>K762+J762</f>
      </c>
      <c r="M762" s="170"/>
      <c r="N762" s="7"/>
      <c r="O762" s="1"/>
      <c r="P762" s="331">
        <f>D762</f>
      </c>
      <c r="Q762" s="169"/>
    </row>
    <row x14ac:dyDescent="0.25" r="763" customHeight="1" ht="18.75">
      <c r="A763" s="1"/>
      <c r="B763" s="7"/>
      <c r="C763" s="170"/>
      <c r="D763" s="331">
        <v>756</v>
      </c>
      <c r="E763" s="544">
        <f>+DATE(YEAR(E762),MONTH(E762)-1,DAY(E762))</f>
        <v>25569.041666666668</v>
      </c>
      <c r="F763" s="333">
        <f>IF(DATE(YEAR($B$6),MONTH($B$6)+1,DAY(1))=E763,1,IF(MONTH(E763)=1,F764*(1+$F$5),F764))</f>
      </c>
      <c r="G763" s="333">
        <f>IF('Simulador - 1º Pilar'!$E$99="Sí",IF('Aportaciones Poliza'!$B$13&lt;'Aportaciones Poliza'!E763,0,F763*$B$8/12),F763*$B$8/12)</f>
      </c>
      <c r="H763" s="333">
        <f>$H$5*G763</f>
      </c>
      <c r="I763" s="333"/>
      <c r="J763" s="333">
        <f>(1+$M$5)^(D763/12)*(H763+IF(AND(F763=1,F764=0),$Q$4,0))</f>
      </c>
      <c r="K763" s="333">
        <f>(1+$M$5)^(D763/12)*(I763)</f>
      </c>
      <c r="L763" s="333">
        <f>K763+J763</f>
      </c>
      <c r="M763" s="170"/>
      <c r="N763" s="7"/>
      <c r="O763" s="1"/>
      <c r="P763" s="331">
        <f>D763</f>
      </c>
      <c r="Q763" s="169"/>
    </row>
    <row x14ac:dyDescent="0.25" r="764" customHeight="1" ht="18.75">
      <c r="A764" s="1"/>
      <c r="B764" s="7"/>
      <c r="C764" s="170"/>
      <c r="D764" s="331">
        <v>757</v>
      </c>
      <c r="E764" s="544">
        <f>+DATE(YEAR(E763),MONTH(E763)-1,DAY(E763))</f>
        <v>25569.041666666668</v>
      </c>
      <c r="F764" s="333">
        <f>IF(DATE(YEAR($B$6),MONTH($B$6)+1,DAY(1))=E764,1,IF(MONTH(E764)=1,F765*(1+$F$5),F765))</f>
      </c>
      <c r="G764" s="333">
        <f>IF('Simulador - 1º Pilar'!$E$99="Sí",IF('Aportaciones Poliza'!$B$13&lt;'Aportaciones Poliza'!E764,0,F764*$B$8/12),F764*$B$8/12)</f>
      </c>
      <c r="H764" s="333">
        <f>$H$5*G764</f>
      </c>
      <c r="I764" s="333"/>
      <c r="J764" s="333">
        <f>(1+$M$5)^(D764/12)*(H764+IF(AND(F764=1,F765=0),$Q$4,0))</f>
      </c>
      <c r="K764" s="333">
        <f>(1+$M$5)^(D764/12)*(I764)</f>
      </c>
      <c r="L764" s="333">
        <f>K764+J764</f>
      </c>
      <c r="M764" s="170"/>
      <c r="N764" s="7"/>
      <c r="O764" s="1"/>
      <c r="P764" s="331">
        <f>D764</f>
      </c>
      <c r="Q764" s="169"/>
    </row>
    <row x14ac:dyDescent="0.25" r="765" customHeight="1" ht="18.75">
      <c r="A765" s="1"/>
      <c r="B765" s="7"/>
      <c r="C765" s="170"/>
      <c r="D765" s="331">
        <v>758</v>
      </c>
      <c r="E765" s="544">
        <f>+DATE(YEAR(E764),MONTH(E764)-1,DAY(E764))</f>
        <v>25569.041666666668</v>
      </c>
      <c r="F765" s="333">
        <f>IF(DATE(YEAR($B$6),MONTH($B$6)+1,DAY(1))=E765,1,IF(MONTH(E765)=1,F766*(1+$F$5),F766))</f>
      </c>
      <c r="G765" s="333">
        <f>IF('Simulador - 1º Pilar'!$E$99="Sí",IF('Aportaciones Poliza'!$B$13&lt;'Aportaciones Poliza'!E765,0,F765*$B$8/12),F765*$B$8/12)</f>
      </c>
      <c r="H765" s="333">
        <f>$H$5*G765</f>
      </c>
      <c r="I765" s="333"/>
      <c r="J765" s="333">
        <f>(1+$M$5)^(D765/12)*(H765+IF(AND(F765=1,F766=0),$Q$4,0))</f>
      </c>
      <c r="K765" s="333">
        <f>(1+$M$5)^(D765/12)*(I765)</f>
      </c>
      <c r="L765" s="333">
        <f>K765+J765</f>
      </c>
      <c r="M765" s="170"/>
      <c r="N765" s="7"/>
      <c r="O765" s="1"/>
      <c r="P765" s="331">
        <f>D765</f>
      </c>
      <c r="Q765" s="169"/>
    </row>
    <row x14ac:dyDescent="0.25" r="766" customHeight="1" ht="18.75">
      <c r="A766" s="1"/>
      <c r="B766" s="7"/>
      <c r="C766" s="170"/>
      <c r="D766" s="331">
        <v>759</v>
      </c>
      <c r="E766" s="544">
        <f>+DATE(YEAR(E765),MONTH(E765)-1,DAY(E765))</f>
        <v>25569.041666666668</v>
      </c>
      <c r="F766" s="333">
        <f>IF(DATE(YEAR($B$6),MONTH($B$6)+1,DAY(1))=E766,1,IF(MONTH(E766)=1,F767*(1+$F$5),F767))</f>
      </c>
      <c r="G766" s="333">
        <f>IF('Simulador - 1º Pilar'!$E$99="Sí",IF('Aportaciones Poliza'!$B$13&lt;'Aportaciones Poliza'!E766,0,F766*$B$8/12),F766*$B$8/12)</f>
      </c>
      <c r="H766" s="333">
        <f>$H$5*G766</f>
      </c>
      <c r="I766" s="333"/>
      <c r="J766" s="333">
        <f>(1+$M$5)^(D766/12)*(H766+IF(AND(F766=1,F767=0),$Q$4,0))</f>
      </c>
      <c r="K766" s="333">
        <f>(1+$M$5)^(D766/12)*(I766)</f>
      </c>
      <c r="L766" s="333">
        <f>K766+J766</f>
      </c>
      <c r="M766" s="170"/>
      <c r="N766" s="7"/>
      <c r="O766" s="1"/>
      <c r="P766" s="331">
        <f>D766</f>
      </c>
      <c r="Q766" s="169"/>
    </row>
    <row x14ac:dyDescent="0.25" r="767" customHeight="1" ht="18.75">
      <c r="A767" s="1"/>
      <c r="B767" s="7"/>
      <c r="C767" s="170"/>
      <c r="D767" s="331">
        <v>760</v>
      </c>
      <c r="E767" s="544">
        <f>+DATE(YEAR(E766),MONTH(E766)-1,DAY(E766))</f>
        <v>25569.041666666668</v>
      </c>
      <c r="F767" s="333">
        <f>IF(DATE(YEAR($B$6),MONTH($B$6)+1,DAY(1))=E767,1,IF(MONTH(E767)=1,F768*(1+$F$5),F768))</f>
      </c>
      <c r="G767" s="333">
        <f>IF('Simulador - 1º Pilar'!$E$99="Sí",IF('Aportaciones Poliza'!$B$13&lt;'Aportaciones Poliza'!E767,0,F767*$B$8/12),F767*$B$8/12)</f>
      </c>
      <c r="H767" s="333">
        <f>$H$5*G767</f>
      </c>
      <c r="I767" s="333"/>
      <c r="J767" s="333">
        <f>(1+$M$5)^(D767/12)*(H767+IF(AND(F767=1,F768=0),$Q$4,0))</f>
      </c>
      <c r="K767" s="333">
        <f>(1+$M$5)^(D767/12)*(I767)</f>
      </c>
      <c r="L767" s="333">
        <f>K767+J767</f>
      </c>
      <c r="M767" s="170"/>
      <c r="N767" s="7"/>
      <c r="O767" s="1"/>
      <c r="P767" s="331">
        <f>D767</f>
      </c>
      <c r="Q767" s="169"/>
    </row>
    <row x14ac:dyDescent="0.25" r="768" customHeight="1" ht="18.75">
      <c r="A768" s="1"/>
      <c r="B768" s="7"/>
      <c r="C768" s="170"/>
      <c r="D768" s="331">
        <v>761</v>
      </c>
      <c r="E768" s="544">
        <f>+DATE(YEAR(E767),MONTH(E767)-1,DAY(E767))</f>
        <v>25569.041666666668</v>
      </c>
      <c r="F768" s="333">
        <f>IF(DATE(YEAR($B$6),MONTH($B$6)+1,DAY(1))=E768,1,IF(MONTH(E768)=1,F769*(1+$F$5),F769))</f>
      </c>
      <c r="G768" s="333">
        <f>IF('Simulador - 1º Pilar'!$E$99="Sí",IF('Aportaciones Poliza'!$B$13&lt;'Aportaciones Poliza'!E768,0,F768*$B$8/12),F768*$B$8/12)</f>
      </c>
      <c r="H768" s="333">
        <f>$H$5*G768</f>
      </c>
      <c r="I768" s="333"/>
      <c r="J768" s="333">
        <f>(1+$M$5)^(D768/12)*(H768+IF(AND(F768=1,F769=0),$Q$4,0))</f>
      </c>
      <c r="K768" s="333">
        <f>(1+$M$5)^(D768/12)*(I768)</f>
      </c>
      <c r="L768" s="333">
        <f>K768+J768</f>
      </c>
      <c r="M768" s="170"/>
      <c r="N768" s="7"/>
      <c r="O768" s="1"/>
      <c r="P768" s="331">
        <f>D768</f>
      </c>
      <c r="Q768" s="169"/>
    </row>
    <row x14ac:dyDescent="0.25" r="769" customHeight="1" ht="18.75">
      <c r="A769" s="1"/>
      <c r="B769" s="7"/>
      <c r="C769" s="170"/>
      <c r="D769" s="331">
        <v>762</v>
      </c>
      <c r="E769" s="544">
        <f>+DATE(YEAR(E768),MONTH(E768)-1,DAY(E768))</f>
        <v>25569.041666666668</v>
      </c>
      <c r="F769" s="333">
        <f>IF(DATE(YEAR($B$6),MONTH($B$6)+1,DAY(1))=E769,1,IF(MONTH(E769)=1,F770*(1+$F$5),F770))</f>
      </c>
      <c r="G769" s="333">
        <f>IF('Simulador - 1º Pilar'!$E$99="Sí",IF('Aportaciones Poliza'!$B$13&lt;'Aportaciones Poliza'!E769,0,F769*$B$8/12),F769*$B$8/12)</f>
      </c>
      <c r="H769" s="333">
        <f>$H$5*G769</f>
      </c>
      <c r="I769" s="333"/>
      <c r="J769" s="333">
        <f>(1+$M$5)^(D769/12)*(H769+IF(AND(F769=1,F770=0),$Q$4,0))</f>
      </c>
      <c r="K769" s="333">
        <f>(1+$M$5)^(D769/12)*(I769)</f>
      </c>
      <c r="L769" s="333">
        <f>K769+J769</f>
      </c>
      <c r="M769" s="170"/>
      <c r="N769" s="7"/>
      <c r="O769" s="1"/>
      <c r="P769" s="331">
        <f>D769</f>
      </c>
      <c r="Q769" s="169"/>
    </row>
    <row x14ac:dyDescent="0.25" r="770" customHeight="1" ht="18.75">
      <c r="A770" s="1"/>
      <c r="B770" s="7"/>
      <c r="C770" s="170"/>
      <c r="D770" s="331">
        <v>763</v>
      </c>
      <c r="E770" s="544">
        <f>+DATE(YEAR(E769),MONTH(E769)-1,DAY(E769))</f>
        <v>25569.041666666668</v>
      </c>
      <c r="F770" s="333">
        <f>IF(DATE(YEAR($B$6),MONTH($B$6)+1,DAY(1))=E770,1,IF(MONTH(E770)=1,F771*(1+$F$5),F771))</f>
      </c>
      <c r="G770" s="333">
        <f>IF('Simulador - 1º Pilar'!$E$99="Sí",IF('Aportaciones Poliza'!$B$13&lt;'Aportaciones Poliza'!E770,0,F770*$B$8/12),F770*$B$8/12)</f>
      </c>
      <c r="H770" s="333">
        <f>$H$5*G770</f>
      </c>
      <c r="I770" s="333"/>
      <c r="J770" s="333">
        <f>(1+$M$5)^(D770/12)*(H770+IF(AND(F770=1,F771=0),$Q$4,0))</f>
      </c>
      <c r="K770" s="333">
        <f>(1+$M$5)^(D770/12)*(I770)</f>
      </c>
      <c r="L770" s="333">
        <f>K770+J770</f>
      </c>
      <c r="M770" s="170"/>
      <c r="N770" s="7"/>
      <c r="O770" s="1"/>
      <c r="P770" s="331">
        <f>D770</f>
      </c>
      <c r="Q770" s="169"/>
    </row>
    <row x14ac:dyDescent="0.25" r="771" customHeight="1" ht="18.75">
      <c r="A771" s="1"/>
      <c r="B771" s="7"/>
      <c r="C771" s="170"/>
      <c r="D771" s="331">
        <v>764</v>
      </c>
      <c r="E771" s="544">
        <f>+DATE(YEAR(E770),MONTH(E770)-1,DAY(E770))</f>
        <v>25569.041666666668</v>
      </c>
      <c r="F771" s="333">
        <f>IF(DATE(YEAR($B$6),MONTH($B$6)+1,DAY(1))=E771,1,IF(MONTH(E771)=1,F772*(1+$F$5),F772))</f>
      </c>
      <c r="G771" s="333">
        <f>IF('Simulador - 1º Pilar'!$E$99="Sí",IF('Aportaciones Poliza'!$B$13&lt;'Aportaciones Poliza'!E771,0,F771*$B$8/12),F771*$B$8/12)</f>
      </c>
      <c r="H771" s="333">
        <f>$H$5*G771</f>
      </c>
      <c r="I771" s="333"/>
      <c r="J771" s="333">
        <f>(1+$M$5)^(D771/12)*(H771+IF(AND(F771=1,F772=0),$Q$4,0))</f>
      </c>
      <c r="K771" s="333">
        <f>(1+$M$5)^(D771/12)*(I771)</f>
      </c>
      <c r="L771" s="333">
        <f>K771+J771</f>
      </c>
      <c r="M771" s="170"/>
      <c r="N771" s="7"/>
      <c r="O771" s="1"/>
      <c r="P771" s="331">
        <f>D771</f>
      </c>
      <c r="Q771" s="169"/>
    </row>
    <row x14ac:dyDescent="0.25" r="772" customHeight="1" ht="18.75">
      <c r="A772" s="1"/>
      <c r="B772" s="7"/>
      <c r="C772" s="170"/>
      <c r="D772" s="331">
        <v>765</v>
      </c>
      <c r="E772" s="544">
        <f>+DATE(YEAR(E771),MONTH(E771)-1,DAY(E771))</f>
        <v>25569.041666666668</v>
      </c>
      <c r="F772" s="333">
        <f>IF(DATE(YEAR($B$6),MONTH($B$6)+1,DAY(1))=E772,1,IF(MONTH(E772)=1,F773*(1+$F$5),F773))</f>
      </c>
      <c r="G772" s="333">
        <f>IF('Simulador - 1º Pilar'!$E$99="Sí",IF('Aportaciones Poliza'!$B$13&lt;'Aportaciones Poliza'!E772,0,F772*$B$8/12),F772*$B$8/12)</f>
      </c>
      <c r="H772" s="333">
        <f>$H$5*G772</f>
      </c>
      <c r="I772" s="333"/>
      <c r="J772" s="333">
        <f>(1+$M$5)^(D772/12)*(H772+IF(AND(F772=1,F773=0),$Q$4,0))</f>
      </c>
      <c r="K772" s="333">
        <f>(1+$M$5)^(D772/12)*(I772)</f>
      </c>
      <c r="L772" s="333">
        <f>K772+J772</f>
      </c>
      <c r="M772" s="170"/>
      <c r="N772" s="7"/>
      <c r="O772" s="1"/>
      <c r="P772" s="331">
        <f>D772</f>
      </c>
      <c r="Q772" s="169"/>
    </row>
    <row x14ac:dyDescent="0.25" r="773" customHeight="1" ht="18.75">
      <c r="A773" s="1"/>
      <c r="B773" s="7"/>
      <c r="C773" s="170"/>
      <c r="D773" s="331">
        <v>766</v>
      </c>
      <c r="E773" s="544">
        <f>+DATE(YEAR(E772),MONTH(E772)-1,DAY(E772))</f>
        <v>25569.041666666668</v>
      </c>
      <c r="F773" s="333">
        <f>IF(DATE(YEAR($B$6),MONTH($B$6)+1,DAY(1))=E773,1,IF(MONTH(E773)=1,F774*(1+$F$5),F774))</f>
      </c>
      <c r="G773" s="333">
        <f>IF('Simulador - 1º Pilar'!$E$99="Sí",IF('Aportaciones Poliza'!$B$13&lt;'Aportaciones Poliza'!E773,0,F773*$B$8/12),F773*$B$8/12)</f>
      </c>
      <c r="H773" s="333">
        <f>$H$5*G773</f>
      </c>
      <c r="I773" s="333"/>
      <c r="J773" s="333">
        <f>(1+$M$5)^(D773/12)*(H773+IF(AND(F773=1,F774=0),$Q$4,0))</f>
      </c>
      <c r="K773" s="333">
        <f>(1+$M$5)^(D773/12)*(I773)</f>
      </c>
      <c r="L773" s="333">
        <f>K773+J773</f>
      </c>
      <c r="M773" s="170"/>
      <c r="N773" s="7"/>
      <c r="O773" s="1"/>
      <c r="P773" s="331">
        <f>D773</f>
      </c>
      <c r="Q773" s="169"/>
    </row>
    <row x14ac:dyDescent="0.25" r="774" customHeight="1" ht="18.75">
      <c r="A774" s="1"/>
      <c r="B774" s="7"/>
      <c r="C774" s="170"/>
      <c r="D774" s="331">
        <v>767</v>
      </c>
      <c r="E774" s="544">
        <f>+DATE(YEAR(E773),MONTH(E773)-1,DAY(E773))</f>
        <v>25569.041666666668</v>
      </c>
      <c r="F774" s="333">
        <f>IF(DATE(YEAR($B$6),MONTH($B$6)+1,DAY(1))=E774,1,IF(MONTH(E774)=1,F775*(1+$F$5),F775))</f>
      </c>
      <c r="G774" s="333">
        <f>IF('Simulador - 1º Pilar'!$E$99="Sí",IF('Aportaciones Poliza'!$B$13&lt;'Aportaciones Poliza'!E774,0,F774*$B$8/12),F774*$B$8/12)</f>
      </c>
      <c r="H774" s="333">
        <f>$H$5*G774</f>
      </c>
      <c r="I774" s="333"/>
      <c r="J774" s="333">
        <f>(1+$M$5)^(D774/12)*(H774+IF(AND(F774=1,F775=0),$Q$4,0))</f>
      </c>
      <c r="K774" s="333">
        <f>(1+$M$5)^(D774/12)*(I774)</f>
      </c>
      <c r="L774" s="333">
        <f>K774+J774</f>
      </c>
      <c r="M774" s="170"/>
      <c r="N774" s="7"/>
      <c r="O774" s="1"/>
      <c r="P774" s="331">
        <f>D774</f>
      </c>
      <c r="Q774" s="169"/>
    </row>
    <row x14ac:dyDescent="0.25" r="775" customHeight="1" ht="18.75">
      <c r="A775" s="1"/>
      <c r="B775" s="7"/>
      <c r="C775" s="170"/>
      <c r="D775" s="331">
        <v>768</v>
      </c>
      <c r="E775" s="544">
        <f>+DATE(YEAR(E774),MONTH(E774)-1,DAY(E774))</f>
        <v>25569.041666666668</v>
      </c>
      <c r="F775" s="333">
        <f>IF(DATE(YEAR($B$6),MONTH($B$6)+1,DAY(1))=E775,1,IF(MONTH(E775)=1,F776*(1+$F$5),F776))</f>
      </c>
      <c r="G775" s="333">
        <f>IF('Simulador - 1º Pilar'!$E$99="Sí",IF('Aportaciones Poliza'!$B$13&lt;'Aportaciones Poliza'!E775,0,F775*$B$8/12),F775*$B$8/12)</f>
      </c>
      <c r="H775" s="333">
        <f>$H$5*G775</f>
      </c>
      <c r="I775" s="333"/>
      <c r="J775" s="333">
        <f>(1+$M$5)^(D775/12)*(H775+IF(AND(F775=1,F776=0),$Q$4,0))</f>
      </c>
      <c r="K775" s="333">
        <f>(1+$M$5)^(D775/12)*(I775)</f>
      </c>
      <c r="L775" s="333">
        <f>K775+J775</f>
      </c>
      <c r="M775" s="170"/>
      <c r="N775" s="7"/>
      <c r="O775" s="1"/>
      <c r="P775" s="331">
        <f>D775</f>
      </c>
      <c r="Q775" s="169"/>
    </row>
    <row x14ac:dyDescent="0.25" r="776" customHeight="1" ht="18.75">
      <c r="A776" s="1"/>
      <c r="B776" s="7"/>
      <c r="C776" s="170"/>
      <c r="D776" s="331">
        <v>769</v>
      </c>
      <c r="E776" s="544">
        <f>+DATE(YEAR(E775),MONTH(E775)-1,DAY(E775))</f>
        <v>25569.041666666668</v>
      </c>
      <c r="F776" s="333">
        <f>IF(DATE(YEAR($B$6),MONTH($B$6)+1,DAY(1))=E776,1,IF(MONTH(E776)=1,F777*(1+$F$5),F777))</f>
      </c>
      <c r="G776" s="333">
        <f>IF('Simulador - 1º Pilar'!$E$99="Sí",IF('Aportaciones Poliza'!$B$13&lt;'Aportaciones Poliza'!E776,0,F776*$B$8/12),F776*$B$8/12)</f>
      </c>
      <c r="H776" s="333">
        <f>$H$5*G776</f>
      </c>
      <c r="I776" s="333"/>
      <c r="J776" s="333">
        <f>(1+$M$5)^(D776/12)*(H776+IF(AND(F776=1,F777=0),$Q$4,0))</f>
      </c>
      <c r="K776" s="333">
        <f>(1+$M$5)^(D776/12)*(I776)</f>
      </c>
      <c r="L776" s="333">
        <f>K776+J776</f>
      </c>
      <c r="M776" s="170"/>
      <c r="N776" s="7"/>
      <c r="O776" s="1"/>
      <c r="P776" s="331">
        <f>D776</f>
      </c>
      <c r="Q776" s="169"/>
    </row>
    <row x14ac:dyDescent="0.25" r="777" customHeight="1" ht="18.75">
      <c r="A777" s="1"/>
      <c r="B777" s="7"/>
      <c r="C777" s="170"/>
      <c r="D777" s="331">
        <v>770</v>
      </c>
      <c r="E777" s="544">
        <f>+DATE(YEAR(E776),MONTH(E776)-1,DAY(E776))</f>
        <v>25569.041666666668</v>
      </c>
      <c r="F777" s="333">
        <f>IF(DATE(YEAR($B$6),MONTH($B$6)+1,DAY(1))=E777,1,IF(MONTH(E777)=1,F778*(1+$F$5),F778))</f>
      </c>
      <c r="G777" s="333">
        <f>IF('Simulador - 1º Pilar'!$E$99="Sí",IF('Aportaciones Poliza'!$B$13&lt;'Aportaciones Poliza'!E777,0,F777*$B$8/12),F777*$B$8/12)</f>
      </c>
      <c r="H777" s="333">
        <f>$H$5*G777</f>
      </c>
      <c r="I777" s="333"/>
      <c r="J777" s="333">
        <f>(1+$M$5)^(D777/12)*(H777+IF(AND(F777=1,F778=0),$Q$4,0))</f>
      </c>
      <c r="K777" s="333">
        <f>(1+$M$5)^(D777/12)*(I777)</f>
      </c>
      <c r="L777" s="333">
        <f>K777+J777</f>
      </c>
      <c r="M777" s="170"/>
      <c r="N777" s="7"/>
      <c r="O777" s="1"/>
      <c r="P777" s="331">
        <f>D777</f>
      </c>
      <c r="Q777" s="169"/>
    </row>
    <row x14ac:dyDescent="0.25" r="778" customHeight="1" ht="18.75">
      <c r="A778" s="1"/>
      <c r="B778" s="7"/>
      <c r="C778" s="170"/>
      <c r="D778" s="331">
        <v>771</v>
      </c>
      <c r="E778" s="544">
        <f>+DATE(YEAR(E777),MONTH(E777)-1,DAY(E777))</f>
        <v>25569.041666666668</v>
      </c>
      <c r="F778" s="333">
        <f>IF(DATE(YEAR($B$6),MONTH($B$6)+1,DAY(1))=E778,1,IF(MONTH(E778)=1,F779*(1+$F$5),F779))</f>
      </c>
      <c r="G778" s="333">
        <f>IF('Simulador - 1º Pilar'!$E$99="Sí",IF('Aportaciones Poliza'!$B$13&lt;'Aportaciones Poliza'!E778,0,F778*$B$8/12),F778*$B$8/12)</f>
      </c>
      <c r="H778" s="333">
        <f>$H$5*G778</f>
      </c>
      <c r="I778" s="333"/>
      <c r="J778" s="333">
        <f>(1+$M$5)^(D778/12)*(H778+IF(AND(F778=1,F779=0),$Q$4,0))</f>
      </c>
      <c r="K778" s="333">
        <f>(1+$M$5)^(D778/12)*(I778)</f>
      </c>
      <c r="L778" s="333">
        <f>K778+J778</f>
      </c>
      <c r="M778" s="170"/>
      <c r="N778" s="7"/>
      <c r="O778" s="1"/>
      <c r="P778" s="331">
        <f>D778</f>
      </c>
      <c r="Q778" s="169"/>
    </row>
    <row x14ac:dyDescent="0.25" r="779" customHeight="1" ht="18.75">
      <c r="A779" s="1"/>
      <c r="B779" s="7"/>
      <c r="C779" s="170"/>
      <c r="D779" s="331">
        <v>772</v>
      </c>
      <c r="E779" s="544">
        <f>+DATE(YEAR(E778),MONTH(E778)-1,DAY(E778))</f>
        <v>25569.041666666668</v>
      </c>
      <c r="F779" s="333">
        <f>IF(DATE(YEAR($B$6),MONTH($B$6)+1,DAY(1))=E779,1,IF(MONTH(E779)=1,F780*(1+$F$5),F780))</f>
      </c>
      <c r="G779" s="333">
        <f>IF('Simulador - 1º Pilar'!$E$99="Sí",IF('Aportaciones Poliza'!$B$13&lt;'Aportaciones Poliza'!E779,0,F779*$B$8/12),F779*$B$8/12)</f>
      </c>
      <c r="H779" s="333">
        <f>$H$5*G779</f>
      </c>
      <c r="I779" s="333"/>
      <c r="J779" s="333">
        <f>(1+$M$5)^(D779/12)*(H779+IF(AND(F779=1,F780=0),$Q$4,0))</f>
      </c>
      <c r="K779" s="333">
        <f>(1+$M$5)^(D779/12)*(I779)</f>
      </c>
      <c r="L779" s="333">
        <f>K779+J779</f>
      </c>
      <c r="M779" s="170"/>
      <c r="N779" s="7"/>
      <c r="O779" s="1"/>
      <c r="P779" s="331">
        <f>D779</f>
      </c>
      <c r="Q779" s="169"/>
    </row>
    <row x14ac:dyDescent="0.25" r="780" customHeight="1" ht="18.75">
      <c r="A780" s="1"/>
      <c r="B780" s="7"/>
      <c r="C780" s="170"/>
      <c r="D780" s="331">
        <v>773</v>
      </c>
      <c r="E780" s="544">
        <f>+DATE(YEAR(E779),MONTH(E779)-1,DAY(E779))</f>
        <v>25569.041666666668</v>
      </c>
      <c r="F780" s="333">
        <f>IF(DATE(YEAR($B$6),MONTH($B$6)+1,DAY(1))=E780,1,IF(MONTH(E780)=1,F781*(1+$F$5),F781))</f>
      </c>
      <c r="G780" s="333">
        <f>IF('Simulador - 1º Pilar'!$E$99="Sí",IF('Aportaciones Poliza'!$B$13&lt;'Aportaciones Poliza'!E780,0,F780*$B$8/12),F780*$B$8/12)</f>
      </c>
      <c r="H780" s="333">
        <f>$H$5*G780</f>
      </c>
      <c r="I780" s="333"/>
      <c r="J780" s="333">
        <f>(1+$M$5)^(D780/12)*(H780+IF(AND(F780=1,F781=0),$Q$4,0))</f>
      </c>
      <c r="K780" s="333">
        <f>(1+$M$5)^(D780/12)*(I780)</f>
      </c>
      <c r="L780" s="333">
        <f>K780+J780</f>
      </c>
      <c r="M780" s="170"/>
      <c r="N780" s="7"/>
      <c r="O780" s="1"/>
      <c r="P780" s="331">
        <f>D780</f>
      </c>
      <c r="Q780" s="169"/>
    </row>
    <row x14ac:dyDescent="0.25" r="781" customHeight="1" ht="18.75">
      <c r="A781" s="1"/>
      <c r="B781" s="7"/>
      <c r="C781" s="170"/>
      <c r="D781" s="331">
        <v>774</v>
      </c>
      <c r="E781" s="544">
        <f>+DATE(YEAR(E780),MONTH(E780)-1,DAY(E780))</f>
        <v>25569.041666666668</v>
      </c>
      <c r="F781" s="333">
        <f>IF(DATE(YEAR($B$6),MONTH($B$6)+1,DAY(1))=E781,1,IF(MONTH(E781)=1,F782*(1+$F$5),F782))</f>
      </c>
      <c r="G781" s="333">
        <f>IF('Simulador - 1º Pilar'!$E$99="Sí",IF('Aportaciones Poliza'!$B$13&lt;'Aportaciones Poliza'!E781,0,F781*$B$8/12),F781*$B$8/12)</f>
      </c>
      <c r="H781" s="333">
        <f>$H$5*G781</f>
      </c>
      <c r="I781" s="333"/>
      <c r="J781" s="333">
        <f>(1+$M$5)^(D781/12)*(H781+IF(AND(F781=1,F782=0),$Q$4,0))</f>
      </c>
      <c r="K781" s="333">
        <f>(1+$M$5)^(D781/12)*(I781)</f>
      </c>
      <c r="L781" s="333">
        <f>K781+J781</f>
      </c>
      <c r="M781" s="170"/>
      <c r="N781" s="7"/>
      <c r="O781" s="1"/>
      <c r="P781" s="331">
        <f>D781</f>
      </c>
      <c r="Q781" s="169"/>
    </row>
    <row x14ac:dyDescent="0.25" r="782" customHeight="1" ht="18.75">
      <c r="A782" s="1"/>
      <c r="B782" s="7"/>
      <c r="C782" s="170"/>
      <c r="D782" s="331">
        <v>775</v>
      </c>
      <c r="E782" s="544">
        <f>+DATE(YEAR(E781),MONTH(E781)-1,DAY(E781))</f>
        <v>25569.041666666668</v>
      </c>
      <c r="F782" s="333">
        <f>IF(DATE(YEAR($B$6),MONTH($B$6)+1,DAY(1))=E782,1,IF(MONTH(E782)=1,F783*(1+$F$5),F783))</f>
      </c>
      <c r="G782" s="333">
        <f>IF('Simulador - 1º Pilar'!$E$99="Sí",IF('Aportaciones Poliza'!$B$13&lt;'Aportaciones Poliza'!E782,0,F782*$B$8/12),F782*$B$8/12)</f>
      </c>
      <c r="H782" s="333">
        <f>$H$5*G782</f>
      </c>
      <c r="I782" s="333"/>
      <c r="J782" s="333">
        <f>(1+$M$5)^(D782/12)*(H782+IF(AND(F782=1,F783=0),$Q$4,0))</f>
      </c>
      <c r="K782" s="333">
        <f>(1+$M$5)^(D782/12)*(I782)</f>
      </c>
      <c r="L782" s="333">
        <f>K782+J782</f>
      </c>
      <c r="M782" s="170"/>
      <c r="N782" s="7"/>
      <c r="O782" s="1"/>
      <c r="P782" s="331">
        <f>D782</f>
      </c>
      <c r="Q782" s="169"/>
    </row>
    <row x14ac:dyDescent="0.25" r="783" customHeight="1" ht="18.75">
      <c r="A783" s="1"/>
      <c r="B783" s="7"/>
      <c r="C783" s="170"/>
      <c r="D783" s="331">
        <v>776</v>
      </c>
      <c r="E783" s="544">
        <f>+DATE(YEAR(E782),MONTH(E782)-1,DAY(E782))</f>
        <v>25569.041666666668</v>
      </c>
      <c r="F783" s="333">
        <f>IF(DATE(YEAR($B$6),MONTH($B$6)+1,DAY(1))=E783,1,IF(MONTH(E783)=1,F784*(1+$F$5),F784))</f>
      </c>
      <c r="G783" s="333">
        <f>IF('Simulador - 1º Pilar'!$E$99="Sí",IF('Aportaciones Poliza'!$B$13&lt;'Aportaciones Poliza'!E783,0,F783*$B$8/12),F783*$B$8/12)</f>
      </c>
      <c r="H783" s="333">
        <f>$H$5*G783</f>
      </c>
      <c r="I783" s="333"/>
      <c r="J783" s="333">
        <f>(1+$M$5)^(D783/12)*(H783+IF(AND(F783=1,F784=0),$Q$4,0))</f>
      </c>
      <c r="K783" s="333">
        <f>(1+$M$5)^(D783/12)*(I783)</f>
      </c>
      <c r="L783" s="333">
        <f>K783+J783</f>
      </c>
      <c r="M783" s="170"/>
      <c r="N783" s="7"/>
      <c r="O783" s="1"/>
      <c r="P783" s="331">
        <f>D783</f>
      </c>
      <c r="Q783" s="169"/>
    </row>
    <row x14ac:dyDescent="0.25" r="784" customHeight="1" ht="18.75">
      <c r="A784" s="1"/>
      <c r="B784" s="7"/>
      <c r="C784" s="170"/>
      <c r="D784" s="331">
        <v>777</v>
      </c>
      <c r="E784" s="544">
        <f>+DATE(YEAR(E783),MONTH(E783)-1,DAY(E783))</f>
        <v>25569.041666666668</v>
      </c>
      <c r="F784" s="333">
        <f>IF(DATE(YEAR($B$6),MONTH($B$6)+1,DAY(1))=E784,1,IF(MONTH(E784)=1,F785*(1+$F$5),F785))</f>
      </c>
      <c r="G784" s="333">
        <f>IF('Simulador - 1º Pilar'!$E$99="Sí",IF('Aportaciones Poliza'!$B$13&lt;'Aportaciones Poliza'!E784,0,F784*$B$8/12),F784*$B$8/12)</f>
      </c>
      <c r="H784" s="333">
        <f>$H$5*G784</f>
      </c>
      <c r="I784" s="333"/>
      <c r="J784" s="333">
        <f>(1+$M$5)^(D784/12)*(H784+IF(AND(F784=1,F785=0),$Q$4,0))</f>
      </c>
      <c r="K784" s="333">
        <f>(1+$M$5)^(D784/12)*(I784)</f>
      </c>
      <c r="L784" s="333">
        <f>K784+J784</f>
      </c>
      <c r="M784" s="170"/>
      <c r="N784" s="7"/>
      <c r="O784" s="1"/>
      <c r="P784" s="331">
        <f>D784</f>
      </c>
      <c r="Q784" s="169"/>
    </row>
    <row x14ac:dyDescent="0.25" r="785" customHeight="1" ht="18.75">
      <c r="A785" s="1"/>
      <c r="B785" s="7"/>
      <c r="C785" s="170"/>
      <c r="D785" s="331">
        <v>778</v>
      </c>
      <c r="E785" s="544">
        <f>+DATE(YEAR(E784),MONTH(E784)-1,DAY(E784))</f>
        <v>25569.041666666668</v>
      </c>
      <c r="F785" s="333">
        <f>IF(DATE(YEAR($B$6),MONTH($B$6)+1,DAY(1))=E785,1,IF(MONTH(E785)=1,F786*(1+$F$5),F786))</f>
      </c>
      <c r="G785" s="333">
        <f>IF('Simulador - 1º Pilar'!$E$99="Sí",IF('Aportaciones Poliza'!$B$13&lt;'Aportaciones Poliza'!E785,0,F785*$B$8/12),F785*$B$8/12)</f>
      </c>
      <c r="H785" s="333">
        <f>$H$5*G785</f>
      </c>
      <c r="I785" s="333"/>
      <c r="J785" s="333">
        <f>(1+$M$5)^(D785/12)*(H785+IF(AND(F785=1,F786=0),$Q$4,0))</f>
      </c>
      <c r="K785" s="333">
        <f>(1+$M$5)^(D785/12)*(I785)</f>
      </c>
      <c r="L785" s="333">
        <f>K785+J785</f>
      </c>
      <c r="M785" s="170"/>
      <c r="N785" s="7"/>
      <c r="O785" s="1"/>
      <c r="P785" s="331">
        <f>D785</f>
      </c>
      <c r="Q785" s="169"/>
    </row>
    <row x14ac:dyDescent="0.25" r="786" customHeight="1" ht="18.75">
      <c r="A786" s="1"/>
      <c r="B786" s="7"/>
      <c r="C786" s="170"/>
      <c r="D786" s="331">
        <v>779</v>
      </c>
      <c r="E786" s="544">
        <f>+DATE(YEAR(E785),MONTH(E785)-1,DAY(E785))</f>
        <v>25569.041666666668</v>
      </c>
      <c r="F786" s="333">
        <f>IF(DATE(YEAR($B$6),MONTH($B$6)+1,DAY(1))=E786,1,IF(MONTH(E786)=1,F787*(1+$F$5),F787))</f>
      </c>
      <c r="G786" s="333">
        <f>IF('Simulador - 1º Pilar'!$E$99="Sí",IF('Aportaciones Poliza'!$B$13&lt;'Aportaciones Poliza'!E786,0,F786*$B$8/12),F786*$B$8/12)</f>
      </c>
      <c r="H786" s="333">
        <f>$H$5*G786</f>
      </c>
      <c r="I786" s="333"/>
      <c r="J786" s="333">
        <f>(1+$M$5)^(D786/12)*(H786+IF(AND(F786=1,F787=0),$Q$4,0))</f>
      </c>
      <c r="K786" s="333">
        <f>(1+$M$5)^(D786/12)*(I786)</f>
      </c>
      <c r="L786" s="333">
        <f>K786+J786</f>
      </c>
      <c r="M786" s="170"/>
      <c r="N786" s="7"/>
      <c r="O786" s="1"/>
      <c r="P786" s="331">
        <f>D786</f>
      </c>
      <c r="Q786" s="169"/>
    </row>
    <row x14ac:dyDescent="0.25" r="787" customHeight="1" ht="18.75">
      <c r="A787" s="1"/>
      <c r="B787" s="7"/>
      <c r="C787" s="170"/>
      <c r="D787" s="331">
        <v>780</v>
      </c>
      <c r="E787" s="544">
        <f>+DATE(YEAR(E786),MONTH(E786)-1,DAY(E786))</f>
        <v>25569.041666666668</v>
      </c>
      <c r="F787" s="333">
        <f>IF(DATE(YEAR($B$6),MONTH($B$6)+1,DAY(1))=E787,1,IF(MONTH(E787)=1,F788*(1+$F$5),F788))</f>
      </c>
      <c r="G787" s="333">
        <f>IF('Simulador - 1º Pilar'!$E$99="Sí",IF('Aportaciones Poliza'!$B$13&lt;'Aportaciones Poliza'!E787,0,F787*$B$8/12),F787*$B$8/12)</f>
      </c>
      <c r="H787" s="333">
        <f>$H$5*G787</f>
      </c>
      <c r="I787" s="333"/>
      <c r="J787" s="333">
        <f>(1+$M$5)^(D787/12)*(H787+IF(AND(F787=1,F788=0),$Q$4,0))</f>
      </c>
      <c r="K787" s="333">
        <f>(1+$M$5)^(D787/12)*(I787)</f>
      </c>
      <c r="L787" s="333">
        <f>K787+J787</f>
      </c>
      <c r="M787" s="170"/>
      <c r="N787" s="7"/>
      <c r="O787" s="1"/>
      <c r="P787" s="331">
        <f>D787</f>
      </c>
      <c r="Q787" s="169"/>
    </row>
    <row x14ac:dyDescent="0.25" r="788" customHeight="1" ht="18.75">
      <c r="A788" s="1"/>
      <c r="B788" s="7"/>
      <c r="C788" s="170"/>
      <c r="D788" s="331">
        <v>781</v>
      </c>
      <c r="E788" s="544">
        <f>+DATE(YEAR(E787),MONTH(E787)-1,DAY(E787))</f>
        <v>25569.041666666668</v>
      </c>
      <c r="F788" s="333">
        <f>IF(DATE(YEAR($B$6),MONTH($B$6)+1,DAY(1))=E788,1,IF(MONTH(E788)=1,F789*(1+$F$5),F789))</f>
      </c>
      <c r="G788" s="333">
        <f>IF('Simulador - 1º Pilar'!$E$99="Sí",IF('Aportaciones Poliza'!$B$13&lt;'Aportaciones Poliza'!E788,0,F788*$B$8/12),F788*$B$8/12)</f>
      </c>
      <c r="H788" s="333">
        <f>$H$5*G788</f>
      </c>
      <c r="I788" s="333"/>
      <c r="J788" s="333">
        <f>(1+$M$5)^(D788/12)*(H788+IF(AND(F788=1,F789=0),$Q$4,0))</f>
      </c>
      <c r="K788" s="333">
        <f>(1+$M$5)^(D788/12)*(I788)</f>
      </c>
      <c r="L788" s="333">
        <f>K788+J788</f>
      </c>
      <c r="M788" s="170"/>
      <c r="N788" s="7"/>
      <c r="O788" s="1"/>
      <c r="P788" s="331">
        <f>D788</f>
      </c>
      <c r="Q788" s="169"/>
    </row>
    <row x14ac:dyDescent="0.25" r="789" customHeight="1" ht="18.75">
      <c r="A789" s="1"/>
      <c r="B789" s="7"/>
      <c r="C789" s="170"/>
      <c r="D789" s="331">
        <v>782</v>
      </c>
      <c r="E789" s="544">
        <f>+DATE(YEAR(E788),MONTH(E788)-1,DAY(E788))</f>
        <v>25569.041666666668</v>
      </c>
      <c r="F789" s="333">
        <f>IF(DATE(YEAR($B$6),MONTH($B$6)+1,DAY(1))=E789,1,IF(MONTH(E789)=1,F790*(1+$F$5),F790))</f>
      </c>
      <c r="G789" s="333">
        <f>IF('Simulador - 1º Pilar'!$E$99="Sí",IF('Aportaciones Poliza'!$B$13&lt;'Aportaciones Poliza'!E789,0,F789*$B$8/12),F789*$B$8/12)</f>
      </c>
      <c r="H789" s="333">
        <f>$H$5*G789</f>
      </c>
      <c r="I789" s="333"/>
      <c r="J789" s="333">
        <f>(1+$M$5)^(D789/12)*(H789+IF(AND(F789=1,F790=0),$Q$4,0))</f>
      </c>
      <c r="K789" s="333">
        <f>(1+$M$5)^(D789/12)*(I789)</f>
      </c>
      <c r="L789" s="333">
        <f>K789+J789</f>
      </c>
      <c r="M789" s="170"/>
      <c r="N789" s="7"/>
      <c r="O789" s="1"/>
      <c r="P789" s="331">
        <f>D789</f>
      </c>
      <c r="Q789" s="169"/>
    </row>
    <row x14ac:dyDescent="0.25" r="790" customHeight="1" ht="18.75">
      <c r="A790" s="1"/>
      <c r="B790" s="7"/>
      <c r="C790" s="170"/>
      <c r="D790" s="331">
        <v>783</v>
      </c>
      <c r="E790" s="544">
        <f>+DATE(YEAR(E789),MONTH(E789)-1,DAY(E789))</f>
        <v>25569.041666666668</v>
      </c>
      <c r="F790" s="333">
        <f>IF(DATE(YEAR($B$6),MONTH($B$6)+1,DAY(1))=E790,1,IF(MONTH(E790)=1,F791*(1+$F$5),F791))</f>
      </c>
      <c r="G790" s="333">
        <f>IF('Simulador - 1º Pilar'!$E$99="Sí",IF('Aportaciones Poliza'!$B$13&lt;'Aportaciones Poliza'!E790,0,F790*$B$8/12),F790*$B$8/12)</f>
      </c>
      <c r="H790" s="333">
        <f>$H$5*G790</f>
      </c>
      <c r="I790" s="333"/>
      <c r="J790" s="333">
        <f>(1+$M$5)^(D790/12)*(H790+IF(AND(F790=1,F791=0),$Q$4,0))</f>
      </c>
      <c r="K790" s="333">
        <f>(1+$M$5)^(D790/12)*(I790)</f>
      </c>
      <c r="L790" s="333">
        <f>K790+J790</f>
      </c>
      <c r="M790" s="170"/>
      <c r="N790" s="7"/>
      <c r="O790" s="1"/>
      <c r="P790" s="331">
        <f>D790</f>
      </c>
      <c r="Q790" s="169"/>
    </row>
    <row x14ac:dyDescent="0.25" r="791" customHeight="1" ht="18.75">
      <c r="A791" s="1"/>
      <c r="B791" s="7"/>
      <c r="C791" s="170"/>
      <c r="D791" s="331">
        <v>784</v>
      </c>
      <c r="E791" s="544">
        <f>+DATE(YEAR(E790),MONTH(E790)-1,DAY(E790))</f>
        <v>25569.041666666668</v>
      </c>
      <c r="F791" s="333">
        <f>IF(DATE(YEAR($B$6),MONTH($B$6)+1,DAY(1))=E791,1,IF(MONTH(E791)=1,F792*(1+$F$5),F792))</f>
      </c>
      <c r="G791" s="333">
        <f>IF('Simulador - 1º Pilar'!$E$99="Sí",IF('Aportaciones Poliza'!$B$13&lt;'Aportaciones Poliza'!E791,0,F791*$B$8/12),F791*$B$8/12)</f>
      </c>
      <c r="H791" s="333">
        <f>$H$5*G791</f>
      </c>
      <c r="I791" s="333"/>
      <c r="J791" s="333">
        <f>(1+$M$5)^(D791/12)*(H791+IF(AND(F791=1,F792=0),$Q$4,0))</f>
      </c>
      <c r="K791" s="333">
        <f>(1+$M$5)^(D791/12)*(I791)</f>
      </c>
      <c r="L791" s="333">
        <f>K791+J791</f>
      </c>
      <c r="M791" s="170"/>
      <c r="N791" s="7"/>
      <c r="O791" s="1"/>
      <c r="P791" s="331">
        <f>D791</f>
      </c>
      <c r="Q791" s="169"/>
    </row>
    <row x14ac:dyDescent="0.25" r="792" customHeight="1" ht="18.75">
      <c r="A792" s="1"/>
      <c r="B792" s="7"/>
      <c r="C792" s="170"/>
      <c r="D792" s="331">
        <v>785</v>
      </c>
      <c r="E792" s="544">
        <f>+DATE(YEAR(E791),MONTH(E791)-1,DAY(E791))</f>
        <v>25569.041666666668</v>
      </c>
      <c r="F792" s="333">
        <f>IF(DATE(YEAR($B$6),MONTH($B$6)+1,DAY(1))=E792,1,IF(MONTH(E792)=1,F793*(1+$F$5),F793))</f>
      </c>
      <c r="G792" s="333">
        <f>IF('Simulador - 1º Pilar'!$E$99="Sí",IF('Aportaciones Poliza'!$B$13&lt;'Aportaciones Poliza'!E792,0,F792*$B$8/12),F792*$B$8/12)</f>
      </c>
      <c r="H792" s="333">
        <f>$H$5*G792</f>
      </c>
      <c r="I792" s="333"/>
      <c r="J792" s="333">
        <f>(1+$M$5)^(D792/12)*(H792+IF(AND(F792=1,F793=0),$Q$4,0))</f>
      </c>
      <c r="K792" s="333">
        <f>(1+$M$5)^(D792/12)*(I792)</f>
      </c>
      <c r="L792" s="333">
        <f>K792+J792</f>
      </c>
      <c r="M792" s="170"/>
      <c r="N792" s="7"/>
      <c r="O792" s="1"/>
      <c r="P792" s="331">
        <f>D792</f>
      </c>
      <c r="Q792" s="169"/>
    </row>
    <row x14ac:dyDescent="0.25" r="793" customHeight="1" ht="18.75">
      <c r="A793" s="1"/>
      <c r="B793" s="7"/>
      <c r="C793" s="170"/>
      <c r="D793" s="331">
        <v>786</v>
      </c>
      <c r="E793" s="544">
        <f>+DATE(YEAR(E792),MONTH(E792)-1,DAY(E792))</f>
        <v>25569.041666666668</v>
      </c>
      <c r="F793" s="333">
        <f>IF(DATE(YEAR($B$6),MONTH($B$6)+1,DAY(1))=E793,1,IF(MONTH(E793)=1,F794*(1+$F$5),F794))</f>
      </c>
      <c r="G793" s="333">
        <f>IF('Simulador - 1º Pilar'!$E$99="Sí",IF('Aportaciones Poliza'!$B$13&lt;'Aportaciones Poliza'!E793,0,F793*$B$8/12),F793*$B$8/12)</f>
      </c>
      <c r="H793" s="333">
        <f>$H$5*G793</f>
      </c>
      <c r="I793" s="333"/>
      <c r="J793" s="333">
        <f>(1+$M$5)^(D793/12)*(H793+IF(AND(F793=1,F794=0),$Q$4,0))</f>
      </c>
      <c r="K793" s="333">
        <f>(1+$M$5)^(D793/12)*(I793)</f>
      </c>
      <c r="L793" s="333">
        <f>K793+J793</f>
      </c>
      <c r="M793" s="170"/>
      <c r="N793" s="7"/>
      <c r="O793" s="1"/>
      <c r="P793" s="331">
        <f>D793</f>
      </c>
      <c r="Q793" s="169"/>
    </row>
    <row x14ac:dyDescent="0.25" r="794" customHeight="1" ht="18.75">
      <c r="A794" s="1"/>
      <c r="B794" s="7"/>
      <c r="C794" s="170"/>
      <c r="D794" s="331">
        <v>787</v>
      </c>
      <c r="E794" s="544">
        <f>+DATE(YEAR(E793),MONTH(E793)-1,DAY(E793))</f>
        <v>25569.041666666668</v>
      </c>
      <c r="F794" s="333">
        <f>IF(DATE(YEAR($B$6),MONTH($B$6)+1,DAY(1))=E794,1,IF(MONTH(E794)=1,F795*(1+$F$5),F795))</f>
      </c>
      <c r="G794" s="333">
        <f>IF('Simulador - 1º Pilar'!$E$99="Sí",IF('Aportaciones Poliza'!$B$13&lt;'Aportaciones Poliza'!E794,0,F794*$B$8/12),F794*$B$8/12)</f>
      </c>
      <c r="H794" s="333">
        <f>$H$5*G794</f>
      </c>
      <c r="I794" s="333"/>
      <c r="J794" s="333">
        <f>(1+$M$5)^(D794/12)*(H794+IF(AND(F794=1,F795=0),$Q$4,0))</f>
      </c>
      <c r="K794" s="333">
        <f>(1+$M$5)^(D794/12)*(I794)</f>
      </c>
      <c r="L794" s="333">
        <f>K794+J794</f>
      </c>
      <c r="M794" s="170"/>
      <c r="N794" s="7"/>
      <c r="O794" s="1"/>
      <c r="P794" s="331">
        <f>D794</f>
      </c>
      <c r="Q794" s="169"/>
    </row>
    <row x14ac:dyDescent="0.25" r="795" customHeight="1" ht="18.75">
      <c r="A795" s="1"/>
      <c r="B795" s="7"/>
      <c r="C795" s="170"/>
      <c r="D795" s="331">
        <v>788</v>
      </c>
      <c r="E795" s="544">
        <f>+DATE(YEAR(E794),MONTH(E794)-1,DAY(E794))</f>
        <v>25569.041666666668</v>
      </c>
      <c r="F795" s="333">
        <f>IF(DATE(YEAR($B$6),MONTH($B$6)+1,DAY(1))=E795,1,IF(MONTH(E795)=1,F796*(1+$F$5),F796))</f>
      </c>
      <c r="G795" s="333">
        <f>IF('Simulador - 1º Pilar'!$E$99="Sí",IF('Aportaciones Poliza'!$B$13&lt;'Aportaciones Poliza'!E795,0,F795*$B$8/12),F795*$B$8/12)</f>
      </c>
      <c r="H795" s="333">
        <f>$H$5*G795</f>
      </c>
      <c r="I795" s="333"/>
      <c r="J795" s="333">
        <f>(1+$M$5)^(D795/12)*(H795+IF(AND(F795=1,F796=0),$Q$4,0))</f>
      </c>
      <c r="K795" s="333">
        <f>(1+$M$5)^(D795/12)*(I795)</f>
      </c>
      <c r="L795" s="333">
        <f>K795+J795</f>
      </c>
      <c r="M795" s="170"/>
      <c r="N795" s="7"/>
      <c r="O795" s="1"/>
      <c r="P795" s="331">
        <f>D795</f>
      </c>
      <c r="Q795" s="169"/>
    </row>
    <row x14ac:dyDescent="0.25" r="796" customHeight="1" ht="18.75">
      <c r="A796" s="1"/>
      <c r="B796" s="7"/>
      <c r="C796" s="170"/>
      <c r="D796" s="331">
        <v>789</v>
      </c>
      <c r="E796" s="544">
        <f>+DATE(YEAR(E795),MONTH(E795)-1,DAY(E795))</f>
        <v>25569.041666666668</v>
      </c>
      <c r="F796" s="333">
        <f>IF(DATE(YEAR($B$6),MONTH($B$6)+1,DAY(1))=E796,1,IF(MONTH(E796)=1,F797*(1+$F$5),F797))</f>
      </c>
      <c r="G796" s="333">
        <f>IF('Simulador - 1º Pilar'!$E$99="Sí",IF('Aportaciones Poliza'!$B$13&lt;'Aportaciones Poliza'!E796,0,F796*$B$8/12),F796*$B$8/12)</f>
      </c>
      <c r="H796" s="333">
        <f>$H$5*G796</f>
      </c>
      <c r="I796" s="333"/>
      <c r="J796" s="333">
        <f>(1+$M$5)^(D796/12)*(H796+IF(AND(F796=1,F797=0),$Q$4,0))</f>
      </c>
      <c r="K796" s="333">
        <f>(1+$M$5)^(D796/12)*(I796)</f>
      </c>
      <c r="L796" s="333">
        <f>K796+J796</f>
      </c>
      <c r="M796" s="170"/>
      <c r="N796" s="7"/>
      <c r="O796" s="1"/>
      <c r="P796" s="331">
        <f>D796</f>
      </c>
      <c r="Q796" s="169"/>
    </row>
    <row x14ac:dyDescent="0.25" r="797" customHeight="1" ht="18.75">
      <c r="A797" s="1"/>
      <c r="B797" s="7"/>
      <c r="C797" s="170"/>
      <c r="D797" s="331">
        <v>790</v>
      </c>
      <c r="E797" s="544">
        <f>+DATE(YEAR(E796),MONTH(E796)-1,DAY(E796))</f>
        <v>25569.041666666668</v>
      </c>
      <c r="F797" s="333">
        <f>IF(DATE(YEAR($B$6),MONTH($B$6)+1,DAY(1))=E797,1,IF(MONTH(E797)=1,F798*(1+$F$5),F798))</f>
      </c>
      <c r="G797" s="333">
        <f>IF('Simulador - 1º Pilar'!$E$99="Sí",IF('Aportaciones Poliza'!$B$13&lt;'Aportaciones Poliza'!E797,0,F797*$B$8/12),F797*$B$8/12)</f>
      </c>
      <c r="H797" s="333">
        <f>$H$5*G797</f>
      </c>
      <c r="I797" s="333"/>
      <c r="J797" s="333">
        <f>(1+$M$5)^(D797/12)*(H797+IF(AND(F797=1,F798=0),$Q$4,0))</f>
      </c>
      <c r="K797" s="333">
        <f>(1+$M$5)^(D797/12)*(I797)</f>
      </c>
      <c r="L797" s="333">
        <f>K797+J797</f>
      </c>
      <c r="M797" s="170"/>
      <c r="N797" s="7"/>
      <c r="O797" s="1"/>
      <c r="P797" s="331">
        <f>D797</f>
      </c>
      <c r="Q797" s="169"/>
    </row>
    <row x14ac:dyDescent="0.25" r="798" customHeight="1" ht="18.75">
      <c r="A798" s="1"/>
      <c r="B798" s="7"/>
      <c r="C798" s="170"/>
      <c r="D798" s="331">
        <v>791</v>
      </c>
      <c r="E798" s="544">
        <f>+DATE(YEAR(E797),MONTH(E797)-1,DAY(E797))</f>
        <v>25569.041666666668</v>
      </c>
      <c r="F798" s="333">
        <f>IF(DATE(YEAR($B$6),MONTH($B$6)+1,DAY(1))=E798,1,IF(MONTH(E798)=1,F799*(1+$F$5),F799))</f>
      </c>
      <c r="G798" s="333">
        <f>IF('Simulador - 1º Pilar'!$E$99="Sí",IF('Aportaciones Poliza'!$B$13&lt;'Aportaciones Poliza'!E798,0,F798*$B$8/12),F798*$B$8/12)</f>
      </c>
      <c r="H798" s="333">
        <f>$H$5*G798</f>
      </c>
      <c r="I798" s="333"/>
      <c r="J798" s="333">
        <f>(1+$M$5)^(D798/12)*(H798+IF(AND(F798=1,F799=0),$Q$4,0))</f>
      </c>
      <c r="K798" s="333">
        <f>(1+$M$5)^(D798/12)*(I798)</f>
      </c>
      <c r="L798" s="333">
        <f>K798+J798</f>
      </c>
      <c r="M798" s="170"/>
      <c r="N798" s="7"/>
      <c r="O798" s="1"/>
      <c r="P798" s="331">
        <f>D798</f>
      </c>
      <c r="Q798" s="169"/>
    </row>
    <row x14ac:dyDescent="0.25" r="799" customHeight="1" ht="18.75">
      <c r="A799" s="1"/>
      <c r="B799" s="7"/>
      <c r="C799" s="170"/>
      <c r="D799" s="331">
        <v>792</v>
      </c>
      <c r="E799" s="544">
        <f>+DATE(YEAR(E798),MONTH(E798)-1,DAY(E798))</f>
        <v>25569.041666666668</v>
      </c>
      <c r="F799" s="333">
        <f>IF(DATE(YEAR($B$6),MONTH($B$6)+1,DAY(1))=E799,1,IF(MONTH(E799)=1,F800*(1+$F$5),F800))</f>
      </c>
      <c r="G799" s="333">
        <f>IF('Simulador - 1º Pilar'!$E$99="Sí",IF('Aportaciones Poliza'!$B$13&lt;'Aportaciones Poliza'!E799,0,F799*$B$8/12),F799*$B$8/12)</f>
      </c>
      <c r="H799" s="333">
        <f>$H$5*G799</f>
      </c>
      <c r="I799" s="333"/>
      <c r="J799" s="333">
        <f>(1+$M$5)^(D799/12)*(H799+IF(AND(F799=1,F800=0),$Q$4,0))</f>
      </c>
      <c r="K799" s="333">
        <f>(1+$M$5)^(D799/12)*(I799)</f>
      </c>
      <c r="L799" s="333">
        <f>K799+J799</f>
      </c>
      <c r="M799" s="170"/>
      <c r="N799" s="7"/>
      <c r="O799" s="1"/>
      <c r="P799" s="331">
        <f>D799</f>
      </c>
      <c r="Q799" s="169"/>
    </row>
    <row x14ac:dyDescent="0.25" r="800" customHeight="1" ht="18.75">
      <c r="A800" s="1"/>
      <c r="B800" s="7"/>
      <c r="C800" s="170"/>
      <c r="D800" s="331">
        <v>793</v>
      </c>
      <c r="E800" s="544">
        <f>+DATE(YEAR(E799),MONTH(E799)-1,DAY(E799))</f>
        <v>25569.041666666668</v>
      </c>
      <c r="F800" s="333">
        <f>IF(DATE(YEAR($B$6),MONTH($B$6)+1,DAY(1))=E800,1,IF(MONTH(E800)=1,F801*(1+$F$5),F801))</f>
      </c>
      <c r="G800" s="333">
        <f>IF('Simulador - 1º Pilar'!$E$99="Sí",IF('Aportaciones Poliza'!$B$13&lt;'Aportaciones Poliza'!E800,0,F800*$B$8/12),F800*$B$8/12)</f>
      </c>
      <c r="H800" s="333">
        <f>$H$5*G800</f>
      </c>
      <c r="I800" s="333"/>
      <c r="J800" s="333">
        <f>(1+$M$5)^(D800/12)*(H800+IF(AND(F800=1,F801=0),$Q$4,0))</f>
      </c>
      <c r="K800" s="333">
        <f>(1+$M$5)^(D800/12)*(I800)</f>
      </c>
      <c r="L800" s="333">
        <f>K800+J800</f>
      </c>
      <c r="M800" s="170"/>
      <c r="N800" s="7"/>
      <c r="O800" s="1"/>
      <c r="P800" s="331">
        <f>D800</f>
      </c>
      <c r="Q800" s="169"/>
    </row>
    <row x14ac:dyDescent="0.25" r="801" customHeight="1" ht="18.75">
      <c r="A801" s="1"/>
      <c r="B801" s="7"/>
      <c r="C801" s="170"/>
      <c r="D801" s="331">
        <v>794</v>
      </c>
      <c r="E801" s="544">
        <f>+DATE(YEAR(E800),MONTH(E800)-1,DAY(E800))</f>
        <v>25569.041666666668</v>
      </c>
      <c r="F801" s="333">
        <f>IF(DATE(YEAR($B$6),MONTH($B$6)+1,DAY(1))=E801,1,IF(MONTH(E801)=1,F802*(1+$F$5),F802))</f>
      </c>
      <c r="G801" s="333">
        <f>IF('Simulador - 1º Pilar'!$E$99="Sí",IF('Aportaciones Poliza'!$B$13&lt;'Aportaciones Poliza'!E801,0,F801*$B$8/12),F801*$B$8/12)</f>
      </c>
      <c r="H801" s="333">
        <f>$H$5*G801</f>
      </c>
      <c r="I801" s="333"/>
      <c r="J801" s="333">
        <f>(1+$M$5)^(D801/12)*(H801+IF(AND(F801=1,F802=0),$Q$4,0))</f>
      </c>
      <c r="K801" s="333">
        <f>(1+$M$5)^(D801/12)*(I801)</f>
      </c>
      <c r="L801" s="333">
        <f>K801+J801</f>
      </c>
      <c r="M801" s="170"/>
      <c r="N801" s="7"/>
      <c r="O801" s="1"/>
      <c r="P801" s="331">
        <f>D801</f>
      </c>
      <c r="Q801" s="169"/>
    </row>
    <row x14ac:dyDescent="0.25" r="802" customHeight="1" ht="18.75">
      <c r="A802" s="1"/>
      <c r="B802" s="7"/>
      <c r="C802" s="170"/>
      <c r="D802" s="331">
        <v>795</v>
      </c>
      <c r="E802" s="544">
        <f>+DATE(YEAR(E801),MONTH(E801)-1,DAY(E801))</f>
        <v>25569.041666666668</v>
      </c>
      <c r="F802" s="333">
        <f>IF(DATE(YEAR($B$6),MONTH($B$6)+1,DAY(1))=E802,1,IF(MONTH(E802)=1,F803*(1+$F$5),F803))</f>
      </c>
      <c r="G802" s="333">
        <f>IF('Simulador - 1º Pilar'!$E$99="Sí",IF('Aportaciones Poliza'!$B$13&lt;'Aportaciones Poliza'!E802,0,F802*$B$8/12),F802*$B$8/12)</f>
      </c>
      <c r="H802" s="333">
        <f>$H$5*G802</f>
      </c>
      <c r="I802" s="333"/>
      <c r="J802" s="333">
        <f>(1+$M$5)^(D802/12)*(H802+IF(AND(F802=1,F803=0),$Q$4,0))</f>
      </c>
      <c r="K802" s="333">
        <f>(1+$M$5)^(D802/12)*(I802)</f>
      </c>
      <c r="L802" s="333">
        <f>K802+J802</f>
      </c>
      <c r="M802" s="170"/>
      <c r="N802" s="7"/>
      <c r="O802" s="1"/>
      <c r="P802" s="331">
        <f>D802</f>
      </c>
      <c r="Q802" s="169"/>
    </row>
    <row x14ac:dyDescent="0.25" r="803" customHeight="1" ht="18.75">
      <c r="A803" s="1"/>
      <c r="B803" s="7"/>
      <c r="C803" s="170"/>
      <c r="D803" s="331">
        <v>796</v>
      </c>
      <c r="E803" s="544">
        <f>+DATE(YEAR(E802),MONTH(E802)-1,DAY(E802))</f>
        <v>25569.041666666668</v>
      </c>
      <c r="F803" s="333">
        <f>IF(DATE(YEAR($B$6),MONTH($B$6)+1,DAY(1))=E803,1,IF(MONTH(E803)=1,F804*(1+$F$5),F804))</f>
      </c>
      <c r="G803" s="333">
        <f>IF('Simulador - 1º Pilar'!$E$99="Sí",IF('Aportaciones Poliza'!$B$13&lt;'Aportaciones Poliza'!E803,0,F803*$B$8/12),F803*$B$8/12)</f>
      </c>
      <c r="H803" s="333">
        <f>$H$5*G803</f>
      </c>
      <c r="I803" s="333"/>
      <c r="J803" s="333">
        <f>(1+$M$5)^(D803/12)*(H803+IF(AND(F803=1,F804=0),$Q$4,0))</f>
      </c>
      <c r="K803" s="333">
        <f>(1+$M$5)^(D803/12)*(I803)</f>
      </c>
      <c r="L803" s="333">
        <f>K803+J803</f>
      </c>
      <c r="M803" s="170"/>
      <c r="N803" s="7"/>
      <c r="O803" s="1"/>
      <c r="P803" s="331">
        <f>D803</f>
      </c>
      <c r="Q803" s="169"/>
    </row>
    <row x14ac:dyDescent="0.25" r="804" customHeight="1" ht="18.75">
      <c r="A804" s="1"/>
      <c r="B804" s="7"/>
      <c r="C804" s="170"/>
      <c r="D804" s="331">
        <v>797</v>
      </c>
      <c r="E804" s="544">
        <f>+DATE(YEAR(E803),MONTH(E803)-1,DAY(E803))</f>
        <v>25569.041666666668</v>
      </c>
      <c r="F804" s="333">
        <f>IF(DATE(YEAR($B$6),MONTH($B$6)+1,DAY(1))=E804,1,IF(MONTH(E804)=1,F805*(1+$F$5),F805))</f>
      </c>
      <c r="G804" s="333">
        <f>IF('Simulador - 1º Pilar'!$E$99="Sí",IF('Aportaciones Poliza'!$B$13&lt;'Aportaciones Poliza'!E804,0,F804*$B$8/12),F804*$B$8/12)</f>
      </c>
      <c r="H804" s="333">
        <f>$H$5*G804</f>
      </c>
      <c r="I804" s="333"/>
      <c r="J804" s="333">
        <f>(1+$M$5)^(D804/12)*(H804+IF(AND(F804=1,F805=0),$Q$4,0))</f>
      </c>
      <c r="K804" s="333">
        <f>(1+$M$5)^(D804/12)*(I804)</f>
      </c>
      <c r="L804" s="333">
        <f>K804+J804</f>
      </c>
      <c r="M804" s="170"/>
      <c r="N804" s="7"/>
      <c r="O804" s="1"/>
      <c r="P804" s="331">
        <f>D804</f>
      </c>
      <c r="Q804" s="169"/>
    </row>
    <row x14ac:dyDescent="0.25" r="805" customHeight="1" ht="18.75">
      <c r="A805" s="1"/>
      <c r="B805" s="7"/>
      <c r="C805" s="170"/>
      <c r="D805" s="331">
        <v>798</v>
      </c>
      <c r="E805" s="544">
        <f>+DATE(YEAR(E804),MONTH(E804)-1,DAY(E804))</f>
        <v>25569.041666666668</v>
      </c>
      <c r="F805" s="333">
        <f>IF(DATE(YEAR($B$6),MONTH($B$6)+1,DAY(1))=E805,1,IF(MONTH(E805)=1,F806*(1+$F$5),F806))</f>
      </c>
      <c r="G805" s="333">
        <f>IF('Simulador - 1º Pilar'!$E$99="Sí",IF('Aportaciones Poliza'!$B$13&lt;'Aportaciones Poliza'!E805,0,F805*$B$8/12),F805*$B$8/12)</f>
      </c>
      <c r="H805" s="333">
        <f>$H$5*G805</f>
      </c>
      <c r="I805" s="333"/>
      <c r="J805" s="333">
        <f>(1+$M$5)^(D805/12)*(H805+IF(AND(F805=1,F806=0),$Q$4,0))</f>
      </c>
      <c r="K805" s="333">
        <f>(1+$M$5)^(D805/12)*(I805)</f>
      </c>
      <c r="L805" s="333">
        <f>K805+J805</f>
      </c>
      <c r="M805" s="170"/>
      <c r="N805" s="7"/>
      <c r="O805" s="1"/>
      <c r="P805" s="331">
        <f>D805</f>
      </c>
      <c r="Q805" s="169"/>
    </row>
    <row x14ac:dyDescent="0.25" r="806" customHeight="1" ht="18.75">
      <c r="A806" s="1"/>
      <c r="B806" s="7"/>
      <c r="C806" s="170"/>
      <c r="D806" s="331">
        <v>799</v>
      </c>
      <c r="E806" s="544">
        <f>+DATE(YEAR(E805),MONTH(E805)-1,DAY(E805))</f>
        <v>25569.041666666668</v>
      </c>
      <c r="F806" s="333">
        <f>IF(DATE(YEAR($B$6),MONTH($B$6)+1,DAY(1))=E806,1,IF(MONTH(E806)=1,F807*(1+$F$5),F807))</f>
      </c>
      <c r="G806" s="333">
        <f>IF('Simulador - 1º Pilar'!$E$99="Sí",IF('Aportaciones Poliza'!$B$13&lt;'Aportaciones Poliza'!E806,0,F806*$B$8/12),F806*$B$8/12)</f>
      </c>
      <c r="H806" s="333">
        <f>$H$5*G806</f>
      </c>
      <c r="I806" s="333"/>
      <c r="J806" s="333">
        <f>(1+$M$5)^(D806/12)*(H806+IF(AND(F806=1,F807=0),$Q$4,0))</f>
      </c>
      <c r="K806" s="333">
        <f>(1+$M$5)^(D806/12)*(I806)</f>
      </c>
      <c r="L806" s="333">
        <f>K806+J806</f>
      </c>
      <c r="M806" s="170"/>
      <c r="N806" s="7"/>
      <c r="O806" s="1"/>
      <c r="P806" s="331">
        <f>D806</f>
      </c>
      <c r="Q806" s="169"/>
    </row>
    <row x14ac:dyDescent="0.25" r="807" customHeight="1" ht="18.75">
      <c r="A807" s="1"/>
      <c r="B807" s="7"/>
      <c r="C807" s="170"/>
      <c r="D807" s="331">
        <v>800</v>
      </c>
      <c r="E807" s="544">
        <f>+DATE(YEAR(E806),MONTH(E806)-1,DAY(E806))</f>
        <v>25569.041666666668</v>
      </c>
      <c r="F807" s="333">
        <f>IF(DATE(YEAR($B$6),MONTH($B$6)+1,DAY(1))=E807,1,IF(MONTH(E807)=1,F808*(1+$F$5),F808))</f>
      </c>
      <c r="G807" s="333">
        <f>IF('Simulador - 1º Pilar'!$E$99="Sí",IF('Aportaciones Poliza'!$B$13&lt;'Aportaciones Poliza'!E807,0,F807*$B$8/12),F807*$B$8/12)</f>
      </c>
      <c r="H807" s="333">
        <f>$H$5*G807</f>
      </c>
      <c r="I807" s="333"/>
      <c r="J807" s="333">
        <f>(1+$M$5)^(D807/12)*(H807+IF(AND(F807=1,F808=0),$Q$4,0))</f>
      </c>
      <c r="K807" s="333">
        <f>(1+$M$5)^(D807/12)*(I807)</f>
      </c>
      <c r="L807" s="333">
        <f>K807+J807</f>
      </c>
      <c r="M807" s="170"/>
      <c r="N807" s="7"/>
      <c r="O807" s="1"/>
      <c r="P807" s="331">
        <f>D807</f>
      </c>
      <c r="Q807" s="169"/>
    </row>
    <row x14ac:dyDescent="0.25" r="808" customHeight="1" ht="18.75">
      <c r="A808" s="1"/>
      <c r="B808" s="7"/>
      <c r="C808" s="170"/>
      <c r="D808" s="331">
        <v>801</v>
      </c>
      <c r="E808" s="544">
        <f>+DATE(YEAR(E807),MONTH(E807)-1,DAY(E807))</f>
        <v>25569.041666666668</v>
      </c>
      <c r="F808" s="333">
        <f>IF(DATE(YEAR($B$6),MONTH($B$6)+1,DAY(1))=E808,1,IF(MONTH(E808)=1,F809*(1+$F$5),F809))</f>
      </c>
      <c r="G808" s="333">
        <f>IF('Simulador - 1º Pilar'!$E$99="Sí",IF('Aportaciones Poliza'!$B$13&lt;'Aportaciones Poliza'!E808,0,F808*$B$8/12),F808*$B$8/12)</f>
      </c>
      <c r="H808" s="333">
        <f>$H$5*G808</f>
      </c>
      <c r="I808" s="333"/>
      <c r="J808" s="333">
        <f>(1+$M$5)^(D808/12)*(H808+IF(AND(F808=1,F809=0),$Q$4,0))</f>
      </c>
      <c r="K808" s="333">
        <f>(1+$M$5)^(D808/12)*(I808)</f>
      </c>
      <c r="L808" s="333">
        <f>K808+J808</f>
      </c>
      <c r="M808" s="170"/>
      <c r="N808" s="7"/>
      <c r="O808" s="1"/>
      <c r="P808" s="331">
        <f>D808</f>
      </c>
      <c r="Q808" s="169"/>
    </row>
    <row x14ac:dyDescent="0.25" r="809" customHeight="1" ht="18.75">
      <c r="A809" s="1"/>
      <c r="B809" s="7"/>
      <c r="C809" s="170"/>
      <c r="D809" s="331">
        <v>802</v>
      </c>
      <c r="E809" s="544">
        <f>+DATE(YEAR(E808),MONTH(E808)-1,DAY(E808))</f>
        <v>25569.041666666668</v>
      </c>
      <c r="F809" s="333">
        <f>IF(DATE(YEAR($B$6),MONTH($B$6)+1,DAY(1))=E809,1,IF(MONTH(E809)=1,F810*(1+$F$5),F810))</f>
      </c>
      <c r="G809" s="333">
        <f>IF('Simulador - 1º Pilar'!$E$99="Sí",IF('Aportaciones Poliza'!$B$13&lt;'Aportaciones Poliza'!E809,0,F809*$B$8/12),F809*$B$8/12)</f>
      </c>
      <c r="H809" s="333">
        <f>$H$5*G809</f>
      </c>
      <c r="I809" s="333"/>
      <c r="J809" s="333">
        <f>(1+$M$5)^(D809/12)*(H809+IF(AND(F809=1,F810=0),$Q$4,0))</f>
      </c>
      <c r="K809" s="333">
        <f>(1+$M$5)^(D809/12)*(I809)</f>
      </c>
      <c r="L809" s="333">
        <f>K809+J809</f>
      </c>
      <c r="M809" s="170"/>
      <c r="N809" s="7"/>
      <c r="O809" s="1"/>
      <c r="P809" s="331">
        <f>D809</f>
      </c>
      <c r="Q809" s="169"/>
    </row>
    <row x14ac:dyDescent="0.25" r="810" customHeight="1" ht="18.75">
      <c r="A810" s="1"/>
      <c r="B810" s="7"/>
      <c r="C810" s="170"/>
      <c r="D810" s="331">
        <v>803</v>
      </c>
      <c r="E810" s="544">
        <f>+DATE(YEAR(E809),MONTH(E809)-1,DAY(E809))</f>
        <v>25569.041666666668</v>
      </c>
      <c r="F810" s="333">
        <f>IF(DATE(YEAR($B$6),MONTH($B$6)+1,DAY(1))=E810,1,IF(MONTH(E810)=1,F811*(1+$F$5),F811))</f>
      </c>
      <c r="G810" s="333">
        <f>IF('Simulador - 1º Pilar'!$E$99="Sí",IF('Aportaciones Poliza'!$B$13&lt;'Aportaciones Poliza'!E810,0,F810*$B$8/12),F810*$B$8/12)</f>
      </c>
      <c r="H810" s="333">
        <f>$H$5*G810</f>
      </c>
      <c r="I810" s="333"/>
      <c r="J810" s="333">
        <f>(1+$M$5)^(D810/12)*(H810+IF(AND(F810=1,F811=0),$Q$4,0))</f>
      </c>
      <c r="K810" s="333">
        <f>(1+$M$5)^(D810/12)*(I810)</f>
      </c>
      <c r="L810" s="333">
        <f>K810+J810</f>
      </c>
      <c r="M810" s="170"/>
      <c r="N810" s="7"/>
      <c r="O810" s="1"/>
      <c r="P810" s="331">
        <f>D810</f>
      </c>
      <c r="Q810" s="169"/>
    </row>
    <row x14ac:dyDescent="0.25" r="811" customHeight="1" ht="18.75">
      <c r="A811" s="1"/>
      <c r="B811" s="7"/>
      <c r="C811" s="170"/>
      <c r="D811" s="331">
        <v>804</v>
      </c>
      <c r="E811" s="544">
        <f>+DATE(YEAR(E810),MONTH(E810)-1,DAY(E810))</f>
        <v>25569.041666666668</v>
      </c>
      <c r="F811" s="333">
        <f>IF(DATE(YEAR($B$6),MONTH($B$6)+1,DAY(1))=E811,1,IF(MONTH(E811)=1,F812*(1+$F$5),F812))</f>
      </c>
      <c r="G811" s="333">
        <f>IF('Simulador - 1º Pilar'!$E$99="Sí",IF('Aportaciones Poliza'!$B$13&lt;'Aportaciones Poliza'!E811,0,F811*$B$8/12),F811*$B$8/12)</f>
      </c>
      <c r="H811" s="333">
        <f>$H$5*G811</f>
      </c>
      <c r="I811" s="333"/>
      <c r="J811" s="333">
        <f>(1+$M$5)^(D811/12)*(H811+IF(AND(F811=1,F812=0),$Q$4,0))</f>
      </c>
      <c r="K811" s="333">
        <f>(1+$M$5)^(D811/12)*(I811)</f>
      </c>
      <c r="L811" s="333">
        <f>K811+J811</f>
      </c>
      <c r="M811" s="170"/>
      <c r="N811" s="7"/>
      <c r="O811" s="1"/>
      <c r="P811" s="331">
        <f>D811</f>
      </c>
      <c r="Q811" s="169"/>
    </row>
    <row x14ac:dyDescent="0.25" r="812" customHeight="1" ht="18.75">
      <c r="A812" s="1"/>
      <c r="B812" s="7"/>
      <c r="C812" s="170"/>
      <c r="D812" s="331">
        <v>805</v>
      </c>
      <c r="E812" s="544">
        <f>+DATE(YEAR(E811),MONTH(E811)-1,DAY(E811))</f>
        <v>25569.041666666668</v>
      </c>
      <c r="F812" s="333">
        <f>IF(DATE(YEAR($B$6),MONTH($B$6)+1,DAY(1))=E812,1,IF(MONTH(E812)=1,F813*(1+$F$5),F813))</f>
      </c>
      <c r="G812" s="333">
        <f>IF('Simulador - 1º Pilar'!$E$99="Sí",IF('Aportaciones Poliza'!$B$13&lt;'Aportaciones Poliza'!E812,0,F812*$B$8/12),F812*$B$8/12)</f>
      </c>
      <c r="H812" s="333">
        <f>$H$5*G812</f>
      </c>
      <c r="I812" s="333"/>
      <c r="J812" s="333">
        <f>(1+$M$5)^(D812/12)*(H812+IF(AND(F812=1,F813=0),$Q$4,0))</f>
      </c>
      <c r="K812" s="333">
        <f>(1+$M$5)^(D812/12)*(I812)</f>
      </c>
      <c r="L812" s="333">
        <f>K812+J812</f>
      </c>
      <c r="M812" s="170"/>
      <c r="N812" s="7"/>
      <c r="O812" s="1"/>
      <c r="P812" s="331">
        <f>D812</f>
      </c>
      <c r="Q812" s="169"/>
    </row>
    <row x14ac:dyDescent="0.25" r="813" customHeight="1" ht="18.75">
      <c r="A813" s="1"/>
      <c r="B813" s="7"/>
      <c r="C813" s="170"/>
      <c r="D813" s="331">
        <v>806</v>
      </c>
      <c r="E813" s="544">
        <f>+DATE(YEAR(E812),MONTH(E812)-1,DAY(E812))</f>
        <v>25569.041666666668</v>
      </c>
      <c r="F813" s="333">
        <f>IF(DATE(YEAR($B$6),MONTH($B$6)+1,DAY(1))=E813,1,IF(MONTH(E813)=1,F814*(1+$F$5),F814))</f>
      </c>
      <c r="G813" s="333">
        <f>IF('Simulador - 1º Pilar'!$E$99="Sí",IF('Aportaciones Poliza'!$B$13&lt;'Aportaciones Poliza'!E813,0,F813*$B$8/12),F813*$B$8/12)</f>
      </c>
      <c r="H813" s="333">
        <f>$H$5*G813</f>
      </c>
      <c r="I813" s="333"/>
      <c r="J813" s="333">
        <f>(1+$M$5)^(D813/12)*(H813+IF(AND(F813=1,F814=0),$Q$4,0))</f>
      </c>
      <c r="K813" s="333">
        <f>(1+$M$5)^(D813/12)*(I813)</f>
      </c>
      <c r="L813" s="333">
        <f>K813+J813</f>
      </c>
      <c r="M813" s="170"/>
      <c r="N813" s="7"/>
      <c r="O813" s="1"/>
      <c r="P813" s="331">
        <f>D813</f>
      </c>
      <c r="Q813" s="169"/>
    </row>
    <row x14ac:dyDescent="0.25" r="814" customHeight="1" ht="18.75">
      <c r="A814" s="1"/>
      <c r="B814" s="7"/>
      <c r="C814" s="170"/>
      <c r="D814" s="331">
        <v>807</v>
      </c>
      <c r="E814" s="544">
        <f>+DATE(YEAR(E813),MONTH(E813)-1,DAY(E813))</f>
        <v>25569.041666666668</v>
      </c>
      <c r="F814" s="333">
        <f>IF(DATE(YEAR($B$6),MONTH($B$6)+1,DAY(1))=E814,1,IF(MONTH(E814)=1,F815*(1+$F$5),F815))</f>
      </c>
      <c r="G814" s="333">
        <f>IF('Simulador - 1º Pilar'!$E$99="Sí",IF('Aportaciones Poliza'!$B$13&lt;'Aportaciones Poliza'!E814,0,F814*$B$8/12),F814*$B$8/12)</f>
      </c>
      <c r="H814" s="333">
        <f>$H$5*G814</f>
      </c>
      <c r="I814" s="333"/>
      <c r="J814" s="333">
        <f>(1+$M$5)^(D814/12)*(H814+IF(AND(F814=1,F815=0),$Q$4,0))</f>
      </c>
      <c r="K814" s="333">
        <f>(1+$M$5)^(D814/12)*(I814)</f>
      </c>
      <c r="L814" s="333">
        <f>K814+J814</f>
      </c>
      <c r="M814" s="170"/>
      <c r="N814" s="7"/>
      <c r="O814" s="1"/>
      <c r="P814" s="331">
        <f>D814</f>
      </c>
      <c r="Q814" s="169"/>
    </row>
    <row x14ac:dyDescent="0.25" r="815" customHeight="1" ht="18.75">
      <c r="A815" s="1"/>
      <c r="B815" s="7"/>
      <c r="C815" s="170"/>
      <c r="D815" s="331">
        <v>808</v>
      </c>
      <c r="E815" s="544">
        <f>+DATE(YEAR(E814),MONTH(E814)-1,DAY(E814))</f>
        <v>25569.041666666668</v>
      </c>
      <c r="F815" s="333">
        <f>IF(DATE(YEAR($B$6),MONTH($B$6)+1,DAY(1))=E815,1,IF(MONTH(E815)=1,F816*(1+$F$5),F816))</f>
      </c>
      <c r="G815" s="333">
        <f>IF('Simulador - 1º Pilar'!$E$99="Sí",IF('Aportaciones Poliza'!$B$13&lt;'Aportaciones Poliza'!E815,0,F815*$B$8/12),F815*$B$8/12)</f>
      </c>
      <c r="H815" s="333">
        <f>$H$5*G815</f>
      </c>
      <c r="I815" s="333"/>
      <c r="J815" s="333">
        <f>(1+$M$5)^(D815/12)*(H815+IF(AND(F815=1,F816=0),$Q$4,0))</f>
      </c>
      <c r="K815" s="333">
        <f>(1+$M$5)^(D815/12)*(I815)</f>
      </c>
      <c r="L815" s="333">
        <f>K815+J815</f>
      </c>
      <c r="M815" s="170"/>
      <c r="N815" s="7"/>
      <c r="O815" s="1"/>
      <c r="P815" s="331">
        <f>D815</f>
      </c>
      <c r="Q815" s="169"/>
    </row>
    <row x14ac:dyDescent="0.25" r="816" customHeight="1" ht="18.75">
      <c r="A816" s="1"/>
      <c r="B816" s="7"/>
      <c r="C816" s="170"/>
      <c r="D816" s="331">
        <v>809</v>
      </c>
      <c r="E816" s="544">
        <f>+DATE(YEAR(E815),MONTH(E815)-1,DAY(E815))</f>
        <v>25569.041666666668</v>
      </c>
      <c r="F816" s="333">
        <f>IF(DATE(YEAR($B$6),MONTH($B$6)+1,DAY(1))=E816,1,IF(MONTH(E816)=1,F817*(1+$F$5),F817))</f>
      </c>
      <c r="G816" s="333">
        <f>IF('Simulador - 1º Pilar'!$E$99="Sí",IF('Aportaciones Poliza'!$B$13&lt;'Aportaciones Poliza'!E816,0,F816*$B$8/12),F816*$B$8/12)</f>
      </c>
      <c r="H816" s="333">
        <f>$H$5*G816</f>
      </c>
      <c r="I816" s="333"/>
      <c r="J816" s="333">
        <f>(1+$M$5)^(D816/12)*(H816+IF(AND(F816=1,F817=0),$Q$4,0))</f>
      </c>
      <c r="K816" s="333">
        <f>(1+$M$5)^(D816/12)*(I816)</f>
      </c>
      <c r="L816" s="333">
        <f>K816+J816</f>
      </c>
      <c r="M816" s="170"/>
      <c r="N816" s="7"/>
      <c r="O816" s="1"/>
      <c r="P816" s="331">
        <f>D816</f>
      </c>
      <c r="Q816" s="169"/>
    </row>
    <row x14ac:dyDescent="0.25" r="817" customHeight="1" ht="18.75">
      <c r="A817" s="1"/>
      <c r="B817" s="7"/>
      <c r="C817" s="170"/>
      <c r="D817" s="331">
        <v>810</v>
      </c>
      <c r="E817" s="544">
        <f>+DATE(YEAR(E816),MONTH(E816)-1,DAY(E816))</f>
        <v>25569.041666666668</v>
      </c>
      <c r="F817" s="333">
        <f>IF(DATE(YEAR($B$6),MONTH($B$6)+1,DAY(1))=E817,1,IF(MONTH(E817)=1,F818*(1+$F$5),F818))</f>
      </c>
      <c r="G817" s="333">
        <f>IF('Simulador - 1º Pilar'!$E$99="Sí",IF('Aportaciones Poliza'!$B$13&lt;'Aportaciones Poliza'!E817,0,F817*$B$8/12),F817*$B$8/12)</f>
      </c>
      <c r="H817" s="333">
        <f>$H$5*G817</f>
      </c>
      <c r="I817" s="333"/>
      <c r="J817" s="333">
        <f>(1+$M$5)^(D817/12)*(H817+IF(AND(F817=1,F818=0),$Q$4,0))</f>
      </c>
      <c r="K817" s="333">
        <f>(1+$M$5)^(D817/12)*(I817)</f>
      </c>
      <c r="L817" s="333">
        <f>K817+J817</f>
      </c>
      <c r="M817" s="170"/>
      <c r="N817" s="7"/>
      <c r="O817" s="1"/>
      <c r="P817" s="331">
        <f>D817</f>
      </c>
      <c r="Q817" s="169"/>
    </row>
    <row x14ac:dyDescent="0.25" r="818" customHeight="1" ht="18.75">
      <c r="A818" s="1"/>
      <c r="B818" s="7"/>
      <c r="C818" s="170"/>
      <c r="D818" s="331">
        <v>811</v>
      </c>
      <c r="E818" s="544">
        <f>+DATE(YEAR(E817),MONTH(E817)-1,DAY(E817))</f>
        <v>25569.041666666668</v>
      </c>
      <c r="F818" s="333">
        <f>IF(DATE(YEAR($B$6),MONTH($B$6)+1,DAY(1))=E818,1,IF(MONTH(E818)=1,F819*(1+$F$5),F819))</f>
      </c>
      <c r="G818" s="333">
        <f>IF('Simulador - 1º Pilar'!$E$99="Sí",IF('Aportaciones Poliza'!$B$13&lt;'Aportaciones Poliza'!E818,0,F818*$B$8/12),F818*$B$8/12)</f>
      </c>
      <c r="H818" s="333">
        <f>$H$5*G818</f>
      </c>
      <c r="I818" s="333"/>
      <c r="J818" s="333">
        <f>(1+$M$5)^(D818/12)*(H818+IF(AND(F818=1,F819=0),$Q$4,0))</f>
      </c>
      <c r="K818" s="333">
        <f>(1+$M$5)^(D818/12)*(I818)</f>
      </c>
      <c r="L818" s="333">
        <f>K818+J818</f>
      </c>
      <c r="M818" s="170"/>
      <c r="N818" s="7"/>
      <c r="O818" s="1"/>
      <c r="P818" s="331">
        <f>D818</f>
      </c>
      <c r="Q818" s="169"/>
    </row>
    <row x14ac:dyDescent="0.25" r="819" customHeight="1" ht="18.75">
      <c r="A819" s="1"/>
      <c r="B819" s="7"/>
      <c r="C819" s="170"/>
      <c r="D819" s="331">
        <v>812</v>
      </c>
      <c r="E819" s="544">
        <f>+DATE(YEAR(E818),MONTH(E818)-1,DAY(E818))</f>
        <v>25569.041666666668</v>
      </c>
      <c r="F819" s="333">
        <f>IF(DATE(YEAR($B$6),MONTH($B$6)+1,DAY(1))=E819,1,IF(MONTH(E819)=1,F820*(1+$F$5),F820))</f>
      </c>
      <c r="G819" s="333">
        <f>IF('Simulador - 1º Pilar'!$E$99="Sí",IF('Aportaciones Poliza'!$B$13&lt;'Aportaciones Poliza'!E819,0,F819*$B$8/12),F819*$B$8/12)</f>
      </c>
      <c r="H819" s="333">
        <f>$H$5*G819</f>
      </c>
      <c r="I819" s="333"/>
      <c r="J819" s="333">
        <f>(1+$M$5)^(D819/12)*(H819+IF(AND(F819=1,F820=0),$Q$4,0))</f>
      </c>
      <c r="K819" s="333">
        <f>(1+$M$5)^(D819/12)*(I819)</f>
      </c>
      <c r="L819" s="333">
        <f>K819+J819</f>
      </c>
      <c r="M819" s="170"/>
      <c r="N819" s="7"/>
      <c r="O819" s="1"/>
      <c r="P819" s="331">
        <f>D819</f>
      </c>
      <c r="Q819" s="169"/>
    </row>
    <row x14ac:dyDescent="0.25" r="820" customHeight="1" ht="18.75">
      <c r="A820" s="1"/>
      <c r="B820" s="7"/>
      <c r="C820" s="170"/>
      <c r="D820" s="331">
        <v>813</v>
      </c>
      <c r="E820" s="544">
        <f>+DATE(YEAR(E819),MONTH(E819)-1,DAY(E819))</f>
        <v>25569.041666666668</v>
      </c>
      <c r="F820" s="333">
        <f>IF(DATE(YEAR($B$6),MONTH($B$6)+1,DAY(1))=E820,1,IF(MONTH(E820)=1,F821*(1+$F$5),F821))</f>
      </c>
      <c r="G820" s="333">
        <f>IF('Simulador - 1º Pilar'!$E$99="Sí",IF('Aportaciones Poliza'!$B$13&lt;'Aportaciones Poliza'!E820,0,F820*$B$8/12),F820*$B$8/12)</f>
      </c>
      <c r="H820" s="333">
        <f>$H$5*G820</f>
      </c>
      <c r="I820" s="333"/>
      <c r="J820" s="333">
        <f>(1+$M$5)^(D820/12)*(H820+IF(AND(F820=1,F821=0),$Q$4,0))</f>
      </c>
      <c r="K820" s="333">
        <f>(1+$M$5)^(D820/12)*(I820)</f>
      </c>
      <c r="L820" s="333">
        <f>K820+J820</f>
      </c>
      <c r="M820" s="170"/>
      <c r="N820" s="7"/>
      <c r="O820" s="1"/>
      <c r="P820" s="331">
        <f>D820</f>
      </c>
      <c r="Q820" s="169"/>
    </row>
    <row x14ac:dyDescent="0.25" r="821" customHeight="1" ht="18.75">
      <c r="A821" s="1"/>
      <c r="B821" s="7"/>
      <c r="C821" s="170"/>
      <c r="D821" s="331">
        <v>814</v>
      </c>
      <c r="E821" s="544">
        <f>+DATE(YEAR(E820),MONTH(E820)-1,DAY(E820))</f>
        <v>25569.041666666668</v>
      </c>
      <c r="F821" s="333">
        <f>IF(DATE(YEAR($B$6),MONTH($B$6)+1,DAY(1))=E821,1,IF(MONTH(E821)=1,F822*(1+$F$5),F822))</f>
      </c>
      <c r="G821" s="333">
        <f>IF('Simulador - 1º Pilar'!$E$99="Sí",IF('Aportaciones Poliza'!$B$13&lt;'Aportaciones Poliza'!E821,0,F821*$B$8/12),F821*$B$8/12)</f>
      </c>
      <c r="H821" s="333">
        <f>$H$5*G821</f>
      </c>
      <c r="I821" s="333"/>
      <c r="J821" s="333">
        <f>(1+$M$5)^(D821/12)*(H821+IF(AND(F821=1,F822=0),$Q$4,0))</f>
      </c>
      <c r="K821" s="333">
        <f>(1+$M$5)^(D821/12)*(I821)</f>
      </c>
      <c r="L821" s="333">
        <f>K821+J821</f>
      </c>
      <c r="M821" s="170"/>
      <c r="N821" s="7"/>
      <c r="O821" s="1"/>
      <c r="P821" s="331">
        <f>D821</f>
      </c>
      <c r="Q821" s="169"/>
    </row>
    <row x14ac:dyDescent="0.25" r="822" customHeight="1" ht="18.75">
      <c r="A822" s="1"/>
      <c r="B822" s="7"/>
      <c r="C822" s="170"/>
      <c r="D822" s="331">
        <v>815</v>
      </c>
      <c r="E822" s="544">
        <f>+DATE(YEAR(E821),MONTH(E821)-1,DAY(E821))</f>
        <v>25569.041666666668</v>
      </c>
      <c r="F822" s="333">
        <f>IF(DATE(YEAR($B$6),MONTH($B$6)+1,DAY(1))=E822,1,IF(MONTH(E822)=1,F823*(1+$F$5),F823))</f>
      </c>
      <c r="G822" s="333">
        <f>IF('Simulador - 1º Pilar'!$E$99="Sí",IF('Aportaciones Poliza'!$B$13&lt;'Aportaciones Poliza'!E822,0,F822*$B$8/12),F822*$B$8/12)</f>
      </c>
      <c r="H822" s="333">
        <f>$H$5*G822</f>
      </c>
      <c r="I822" s="333"/>
      <c r="J822" s="333">
        <f>(1+$M$5)^(D822/12)*(H822+IF(AND(F822=1,F823=0),$Q$4,0))</f>
      </c>
      <c r="K822" s="333">
        <f>(1+$M$5)^(D822/12)*(I822)</f>
      </c>
      <c r="L822" s="333">
        <f>K822+J822</f>
      </c>
      <c r="M822" s="170"/>
      <c r="N822" s="7"/>
      <c r="O822" s="1"/>
      <c r="P822" s="331">
        <f>D822</f>
      </c>
      <c r="Q822" s="169"/>
    </row>
    <row x14ac:dyDescent="0.25" r="823" customHeight="1" ht="18.75">
      <c r="A823" s="1"/>
      <c r="B823" s="7"/>
      <c r="C823" s="170"/>
      <c r="D823" s="331">
        <v>816</v>
      </c>
      <c r="E823" s="544">
        <f>+DATE(YEAR(E822),MONTH(E822)-1,DAY(E822))</f>
        <v>25569.041666666668</v>
      </c>
      <c r="F823" s="333">
        <f>IF(DATE(YEAR($B$6),MONTH($B$6)+1,DAY(1))=E823,1,IF(MONTH(E823)=1,F824*(1+$F$5),F824))</f>
      </c>
      <c r="G823" s="333">
        <f>IF('Simulador - 1º Pilar'!$E$99="Sí",IF('Aportaciones Poliza'!$B$13&lt;'Aportaciones Poliza'!E823,0,F823*$B$8/12),F823*$B$8/12)</f>
      </c>
      <c r="H823" s="333">
        <f>$H$5*G823</f>
      </c>
      <c r="I823" s="333"/>
      <c r="J823" s="333">
        <f>(1+$M$5)^(D823/12)*(H823+IF(AND(F823=1,F824=0),$Q$4,0))</f>
      </c>
      <c r="K823" s="333">
        <f>(1+$M$5)^(D823/12)*(I823)</f>
      </c>
      <c r="L823" s="333">
        <f>K823+J823</f>
      </c>
      <c r="M823" s="170"/>
      <c r="N823" s="7"/>
      <c r="O823" s="1"/>
      <c r="P823" s="331">
        <f>D823</f>
      </c>
      <c r="Q823" s="169"/>
    </row>
    <row x14ac:dyDescent="0.25" r="824" customHeight="1" ht="18.75">
      <c r="A824" s="1"/>
      <c r="B824" s="7"/>
      <c r="C824" s="170"/>
      <c r="D824" s="331">
        <v>817</v>
      </c>
      <c r="E824" s="544">
        <f>+DATE(YEAR(E823),MONTH(E823)-1,DAY(E823))</f>
        <v>25569.041666666668</v>
      </c>
      <c r="F824" s="333">
        <f>IF(DATE(YEAR($B$6),MONTH($B$6)+1,DAY(1))=E824,1,IF(MONTH(E824)=1,F825*(1+$F$5),F825))</f>
      </c>
      <c r="G824" s="333">
        <f>IF('Simulador - 1º Pilar'!$E$99="Sí",IF('Aportaciones Poliza'!$B$13&lt;'Aportaciones Poliza'!E824,0,F824*$B$8/12),F824*$B$8/12)</f>
      </c>
      <c r="H824" s="333">
        <f>$H$5*G824</f>
      </c>
      <c r="I824" s="333"/>
      <c r="J824" s="333">
        <f>(1+$M$5)^(D824/12)*(H824+IF(AND(F824=1,F825=0),$Q$4,0))</f>
      </c>
      <c r="K824" s="333">
        <f>(1+$M$5)^(D824/12)*(I824)</f>
      </c>
      <c r="L824" s="333">
        <f>K824+J824</f>
      </c>
      <c r="M824" s="170"/>
      <c r="N824" s="7"/>
      <c r="O824" s="1"/>
      <c r="P824" s="331">
        <f>D824</f>
      </c>
      <c r="Q824" s="169"/>
    </row>
    <row x14ac:dyDescent="0.25" r="825" customHeight="1" ht="18.75">
      <c r="A825" s="1"/>
      <c r="B825" s="7"/>
      <c r="C825" s="170"/>
      <c r="D825" s="331">
        <v>818</v>
      </c>
      <c r="E825" s="544">
        <f>+DATE(YEAR(E824),MONTH(E824)-1,DAY(E824))</f>
        <v>25569.041666666668</v>
      </c>
      <c r="F825" s="333">
        <f>IF(DATE(YEAR($B$6),MONTH($B$6)+1,DAY(1))=E825,1,IF(MONTH(E825)=1,F826*(1+$F$5),F826))</f>
      </c>
      <c r="G825" s="333">
        <f>IF('Simulador - 1º Pilar'!$E$99="Sí",IF('Aportaciones Poliza'!$B$13&lt;'Aportaciones Poliza'!E825,0,F825*$B$8/12),F825*$B$8/12)</f>
      </c>
      <c r="H825" s="333">
        <f>$H$5*G825</f>
      </c>
      <c r="I825" s="333"/>
      <c r="J825" s="333">
        <f>(1+$M$5)^(D825/12)*(H825+IF(AND(F825=1,F826=0),$Q$4,0))</f>
      </c>
      <c r="K825" s="333">
        <f>(1+$M$5)^(D825/12)*(I825)</f>
      </c>
      <c r="L825" s="333">
        <f>K825+J825</f>
      </c>
      <c r="M825" s="170"/>
      <c r="N825" s="7"/>
      <c r="O825" s="1"/>
      <c r="P825" s="331">
        <f>D825</f>
      </c>
      <c r="Q825" s="169"/>
    </row>
    <row x14ac:dyDescent="0.25" r="826" customHeight="1" ht="18.75">
      <c r="A826" s="1"/>
      <c r="B826" s="7"/>
      <c r="C826" s="170"/>
      <c r="D826" s="331">
        <v>819</v>
      </c>
      <c r="E826" s="544">
        <f>+DATE(YEAR(E825),MONTH(E825)-1,DAY(E825))</f>
        <v>25569.041666666668</v>
      </c>
      <c r="F826" s="333">
        <f>IF(DATE(YEAR($B$6),MONTH($B$6)+1,DAY(1))=E826,1,IF(MONTH(E826)=1,F827*(1+$F$5),F827))</f>
      </c>
      <c r="G826" s="333">
        <f>IF('Simulador - 1º Pilar'!$E$99="Sí",IF('Aportaciones Poliza'!$B$13&lt;'Aportaciones Poliza'!E826,0,F826*$B$8/12),F826*$B$8/12)</f>
      </c>
      <c r="H826" s="333">
        <f>$H$5*G826</f>
      </c>
      <c r="I826" s="333"/>
      <c r="J826" s="333">
        <f>(1+$M$5)^(D826/12)*(H826+IF(AND(F826=1,F827=0),$Q$4,0))</f>
      </c>
      <c r="K826" s="333">
        <f>(1+$M$5)^(D826/12)*(I826)</f>
      </c>
      <c r="L826" s="333">
        <f>K826+J826</f>
      </c>
      <c r="M826" s="170"/>
      <c r="N826" s="7"/>
      <c r="O826" s="1"/>
      <c r="P826" s="331">
        <f>D826</f>
      </c>
      <c r="Q826" s="169"/>
    </row>
    <row x14ac:dyDescent="0.25" r="827" customHeight="1" ht="18.75">
      <c r="A827" s="1"/>
      <c r="B827" s="7"/>
      <c r="C827" s="170"/>
      <c r="D827" s="331">
        <v>820</v>
      </c>
      <c r="E827" s="544">
        <f>+DATE(YEAR(E826),MONTH(E826)-1,DAY(E826))</f>
        <v>25569.041666666668</v>
      </c>
      <c r="F827" s="333">
        <f>IF(DATE(YEAR($B$6),MONTH($B$6)+1,DAY(1))=E827,1,IF(MONTH(E827)=1,F828*(1+$F$5),F828))</f>
      </c>
      <c r="G827" s="333">
        <f>IF('Simulador - 1º Pilar'!$E$99="Sí",IF('Aportaciones Poliza'!$B$13&lt;'Aportaciones Poliza'!E827,0,F827*$B$8/12),F827*$B$8/12)</f>
      </c>
      <c r="H827" s="333">
        <f>$H$5*G827</f>
      </c>
      <c r="I827" s="333"/>
      <c r="J827" s="333">
        <f>(1+$M$5)^(D827/12)*(H827+IF(AND(F827=1,F828=0),$Q$4,0))</f>
      </c>
      <c r="K827" s="333">
        <f>(1+$M$5)^(D827/12)*(I827)</f>
      </c>
      <c r="L827" s="333">
        <f>K827+J827</f>
      </c>
      <c r="M827" s="170"/>
      <c r="N827" s="7"/>
      <c r="O827" s="1"/>
      <c r="P827" s="331">
        <f>D827</f>
      </c>
      <c r="Q827" s="169"/>
    </row>
    <row x14ac:dyDescent="0.25" r="828" customHeight="1" ht="18.75">
      <c r="A828" s="1"/>
      <c r="B828" s="7"/>
      <c r="C828" s="170"/>
      <c r="D828" s="331">
        <v>821</v>
      </c>
      <c r="E828" s="544">
        <f>+DATE(YEAR(E827),MONTH(E827)-1,DAY(E827))</f>
        <v>25569.041666666668</v>
      </c>
      <c r="F828" s="333">
        <f>IF(DATE(YEAR($B$6),MONTH($B$6)+1,DAY(1))=E828,1,IF(MONTH(E828)=1,F829*(1+$F$5),F829))</f>
      </c>
      <c r="G828" s="333">
        <f>IF('Simulador - 1º Pilar'!$E$99="Sí",IF('Aportaciones Poliza'!$B$13&lt;'Aportaciones Poliza'!E828,0,F828*$B$8/12),F828*$B$8/12)</f>
      </c>
      <c r="H828" s="333">
        <f>$H$5*G828</f>
      </c>
      <c r="I828" s="333"/>
      <c r="J828" s="333">
        <f>(1+$M$5)^(D828/12)*(H828+IF(AND(F828=1,F829=0),$Q$4,0))</f>
      </c>
      <c r="K828" s="333">
        <f>(1+$M$5)^(D828/12)*(I828)</f>
      </c>
      <c r="L828" s="333">
        <f>K828+J828</f>
      </c>
      <c r="M828" s="170"/>
      <c r="N828" s="7"/>
      <c r="O828" s="1"/>
      <c r="P828" s="331">
        <f>D828</f>
      </c>
      <c r="Q828" s="169"/>
    </row>
    <row x14ac:dyDescent="0.25" r="829" customHeight="1" ht="18.75">
      <c r="A829" s="1"/>
      <c r="B829" s="7"/>
      <c r="C829" s="170"/>
      <c r="D829" s="331">
        <v>822</v>
      </c>
      <c r="E829" s="544">
        <f>+DATE(YEAR(E828),MONTH(E828)-1,DAY(E828))</f>
        <v>25569.041666666668</v>
      </c>
      <c r="F829" s="333">
        <f>IF(DATE(YEAR($B$6),MONTH($B$6)+1,DAY(1))=E829,1,IF(MONTH(E829)=1,F830*(1+$F$5),F830))</f>
      </c>
      <c r="G829" s="333">
        <f>IF('Simulador - 1º Pilar'!$E$99="Sí",IF('Aportaciones Poliza'!$B$13&lt;'Aportaciones Poliza'!E829,0,F829*$B$8/12),F829*$B$8/12)</f>
      </c>
      <c r="H829" s="333">
        <f>$H$5*G829</f>
      </c>
      <c r="I829" s="333"/>
      <c r="J829" s="333">
        <f>(1+$M$5)^(D829/12)*(H829+IF(AND(F829=1,F830=0),$Q$4,0))</f>
      </c>
      <c r="K829" s="333">
        <f>(1+$M$5)^(D829/12)*(I829)</f>
      </c>
      <c r="L829" s="333">
        <f>K829+J829</f>
      </c>
      <c r="M829" s="170"/>
      <c r="N829" s="7"/>
      <c r="O829" s="1"/>
      <c r="P829" s="331">
        <f>D829</f>
      </c>
      <c r="Q829" s="169"/>
    </row>
    <row x14ac:dyDescent="0.25" r="830" customHeight="1" ht="18.75">
      <c r="A830" s="1"/>
      <c r="B830" s="7"/>
      <c r="C830" s="170"/>
      <c r="D830" s="331">
        <v>823</v>
      </c>
      <c r="E830" s="544">
        <f>+DATE(YEAR(E829),MONTH(E829)-1,DAY(E829))</f>
        <v>25569.041666666668</v>
      </c>
      <c r="F830" s="333">
        <f>IF(DATE(YEAR($B$6),MONTH($B$6)+1,DAY(1))=E830,1,IF(MONTH(E830)=1,F831*(1+$F$5),F831))</f>
      </c>
      <c r="G830" s="333">
        <f>IF('Simulador - 1º Pilar'!$E$99="Sí",IF('Aportaciones Poliza'!$B$13&lt;'Aportaciones Poliza'!E830,0,F830*$B$8/12),F830*$B$8/12)</f>
      </c>
      <c r="H830" s="333">
        <f>$H$5*G830</f>
      </c>
      <c r="I830" s="333"/>
      <c r="J830" s="333">
        <f>(1+$M$5)^(D830/12)*(H830+IF(AND(F830=1,F831=0),$Q$4,0))</f>
      </c>
      <c r="K830" s="333">
        <f>(1+$M$5)^(D830/12)*(I830)</f>
      </c>
      <c r="L830" s="333">
        <f>K830+J830</f>
      </c>
      <c r="M830" s="170"/>
      <c r="N830" s="7"/>
      <c r="O830" s="1"/>
      <c r="P830" s="331">
        <f>D830</f>
      </c>
      <c r="Q830" s="169"/>
    </row>
    <row x14ac:dyDescent="0.25" r="831" customHeight="1" ht="18.75">
      <c r="A831" s="1"/>
      <c r="B831" s="7"/>
      <c r="C831" s="170"/>
      <c r="D831" s="331">
        <v>824</v>
      </c>
      <c r="E831" s="544">
        <f>+DATE(YEAR(E830),MONTH(E830)-1,DAY(E830))</f>
        <v>25569.041666666668</v>
      </c>
      <c r="F831" s="333">
        <f>IF(DATE(YEAR($B$6),MONTH($B$6)+1,DAY(1))=E831,1,IF(MONTH(E831)=1,F832*(1+$F$5),F832))</f>
      </c>
      <c r="G831" s="333">
        <f>IF('Simulador - 1º Pilar'!$E$99="Sí",IF('Aportaciones Poliza'!$B$13&lt;'Aportaciones Poliza'!E831,0,F831*$B$8/12),F831*$B$8/12)</f>
      </c>
      <c r="H831" s="333">
        <f>$H$5*G831</f>
      </c>
      <c r="I831" s="333"/>
      <c r="J831" s="333">
        <f>(1+$M$5)^(D831/12)*(H831+IF(AND(F831=1,F832=0),$Q$4,0))</f>
      </c>
      <c r="K831" s="333">
        <f>(1+$M$5)^(D831/12)*(I831)</f>
      </c>
      <c r="L831" s="333">
        <f>K831+J831</f>
      </c>
      <c r="M831" s="170"/>
      <c r="N831" s="7"/>
      <c r="O831" s="1"/>
      <c r="P831" s="331">
        <f>D831</f>
      </c>
      <c r="Q831" s="169"/>
    </row>
    <row x14ac:dyDescent="0.25" r="832" customHeight="1" ht="18.75">
      <c r="A832" s="1"/>
      <c r="B832" s="7"/>
      <c r="C832" s="170"/>
      <c r="D832" s="331">
        <v>825</v>
      </c>
      <c r="E832" s="544">
        <f>+DATE(YEAR(E831),MONTH(E831)-1,DAY(E831))</f>
        <v>25569.041666666668</v>
      </c>
      <c r="F832" s="333">
        <f>IF(DATE(YEAR($B$6),MONTH($B$6)+1,DAY(1))=E832,1,IF(MONTH(E832)=1,F833*(1+$F$5),F833))</f>
      </c>
      <c r="G832" s="333">
        <f>IF('Simulador - 1º Pilar'!$E$99="Sí",IF('Aportaciones Poliza'!$B$13&lt;'Aportaciones Poliza'!E832,0,F832*$B$8/12),F832*$B$8/12)</f>
      </c>
      <c r="H832" s="333">
        <f>$H$5*G832</f>
      </c>
      <c r="I832" s="333"/>
      <c r="J832" s="333">
        <f>(1+$M$5)^(D832/12)*(H832+IF(AND(F832=1,F833=0),$Q$4,0))</f>
      </c>
      <c r="K832" s="333">
        <f>(1+$M$5)^(D832/12)*(I832)</f>
      </c>
      <c r="L832" s="333">
        <f>K832+J832</f>
      </c>
      <c r="M832" s="170"/>
      <c r="N832" s="7"/>
      <c r="O832" s="1"/>
      <c r="P832" s="331">
        <f>D832</f>
      </c>
      <c r="Q832" s="169"/>
    </row>
    <row x14ac:dyDescent="0.25" r="833" customHeight="1" ht="18.75">
      <c r="A833" s="1"/>
      <c r="B833" s="7"/>
      <c r="C833" s="170"/>
      <c r="D833" s="331">
        <v>826</v>
      </c>
      <c r="E833" s="544">
        <f>+DATE(YEAR(E832),MONTH(E832)-1,DAY(E832))</f>
        <v>25569.041666666668</v>
      </c>
      <c r="F833" s="333">
        <f>IF(DATE(YEAR($B$6),MONTH($B$6)+1,DAY(1))=E833,1,IF(MONTH(E833)=1,F834*(1+$F$5),F834))</f>
      </c>
      <c r="G833" s="333">
        <f>IF('Simulador - 1º Pilar'!$E$99="Sí",IF('Aportaciones Poliza'!$B$13&lt;'Aportaciones Poliza'!E833,0,F833*$B$8/12),F833*$B$8/12)</f>
      </c>
      <c r="H833" s="333">
        <f>$H$5*G833</f>
      </c>
      <c r="I833" s="333"/>
      <c r="J833" s="333">
        <f>(1+$M$5)^(D833/12)*(H833+IF(AND(F833=1,F834=0),$Q$4,0))</f>
      </c>
      <c r="K833" s="333">
        <f>(1+$M$5)^(D833/12)*(I833)</f>
      </c>
      <c r="L833" s="333">
        <f>K833+J833</f>
      </c>
      <c r="M833" s="170"/>
      <c r="N833" s="7"/>
      <c r="O833" s="1"/>
      <c r="P833" s="331">
        <f>D833</f>
      </c>
      <c r="Q833" s="169"/>
    </row>
    <row x14ac:dyDescent="0.25" r="834" customHeight="1" ht="18.75">
      <c r="A834" s="1"/>
      <c r="B834" s="7"/>
      <c r="C834" s="170"/>
      <c r="D834" s="331">
        <v>827</v>
      </c>
      <c r="E834" s="544">
        <f>+DATE(YEAR(E833),MONTH(E833)-1,DAY(E833))</f>
        <v>25569.041666666668</v>
      </c>
      <c r="F834" s="333">
        <f>IF(DATE(YEAR($B$6),MONTH($B$6)+1,DAY(1))=E834,1,IF(MONTH(E834)=1,F835*(1+$F$5),F835))</f>
      </c>
      <c r="G834" s="333">
        <f>IF('Simulador - 1º Pilar'!$E$99="Sí",IF('Aportaciones Poliza'!$B$13&lt;'Aportaciones Poliza'!E834,0,F834*$B$8/12),F834*$B$8/12)</f>
      </c>
      <c r="H834" s="333">
        <f>$H$5*G834</f>
      </c>
      <c r="I834" s="333"/>
      <c r="J834" s="333">
        <f>(1+$M$5)^(D834/12)*(H834+IF(AND(F834=1,F835=0),$Q$4,0))</f>
      </c>
      <c r="K834" s="333">
        <f>(1+$M$5)^(D834/12)*(I834)</f>
      </c>
      <c r="L834" s="333">
        <f>K834+J834</f>
      </c>
      <c r="M834" s="170"/>
      <c r="N834" s="7"/>
      <c r="O834" s="1"/>
      <c r="P834" s="331">
        <f>D834</f>
      </c>
      <c r="Q834" s="169"/>
    </row>
    <row x14ac:dyDescent="0.25" r="835" customHeight="1" ht="18.75">
      <c r="A835" s="1"/>
      <c r="B835" s="7"/>
      <c r="C835" s="170"/>
      <c r="D835" s="331">
        <v>828</v>
      </c>
      <c r="E835" s="544">
        <f>+DATE(YEAR(E834),MONTH(E834)-1,DAY(E834))</f>
        <v>25569.041666666668</v>
      </c>
      <c r="F835" s="333">
        <f>IF(DATE(YEAR($B$6),MONTH($B$6)+1,DAY(1))=E835,1,IF(MONTH(E835)=1,F836*(1+$F$5),F836))</f>
      </c>
      <c r="G835" s="333">
        <f>IF('Simulador - 1º Pilar'!$E$99="Sí",IF('Aportaciones Poliza'!$B$13&lt;'Aportaciones Poliza'!E835,0,F835*$B$8/12),F835*$B$8/12)</f>
      </c>
      <c r="H835" s="333">
        <f>$H$5*G835</f>
      </c>
      <c r="I835" s="333"/>
      <c r="J835" s="333">
        <f>(1+$M$5)^(D835/12)*(H835+IF(AND(F835=1,F836=0),$Q$4,0))</f>
      </c>
      <c r="K835" s="333">
        <f>(1+$M$5)^(D835/12)*(I835)</f>
      </c>
      <c r="L835" s="333">
        <f>K835+J835</f>
      </c>
      <c r="M835" s="170"/>
      <c r="N835" s="7"/>
      <c r="O835" s="1"/>
      <c r="P835" s="331">
        <f>D835</f>
      </c>
      <c r="Q835" s="169"/>
    </row>
    <row x14ac:dyDescent="0.25" r="836" customHeight="1" ht="18.75">
      <c r="A836" s="1"/>
      <c r="B836" s="7"/>
      <c r="C836" s="170"/>
      <c r="D836" s="331">
        <v>829</v>
      </c>
      <c r="E836" s="544">
        <f>+DATE(YEAR(E835),MONTH(E835)-1,DAY(E835))</f>
        <v>25569.041666666668</v>
      </c>
      <c r="F836" s="333">
        <f>IF(DATE(YEAR($B$6),MONTH($B$6)+1,DAY(1))=E836,1,IF(MONTH(E836)=1,F837*(1+$F$5),F837))</f>
      </c>
      <c r="G836" s="333">
        <f>IF('Simulador - 1º Pilar'!$E$99="Sí",IF('Aportaciones Poliza'!$B$13&lt;'Aportaciones Poliza'!E836,0,F836*$B$8/12),F836*$B$8/12)</f>
      </c>
      <c r="H836" s="333">
        <f>$H$5*G836</f>
      </c>
      <c r="I836" s="333"/>
      <c r="J836" s="333">
        <f>(1+$M$5)^(D836/12)*(H836+IF(AND(F836=1,F837=0),$Q$4,0))</f>
      </c>
      <c r="K836" s="333">
        <f>(1+$M$5)^(D836/12)*(I836)</f>
      </c>
      <c r="L836" s="333">
        <f>K836+J836</f>
      </c>
      <c r="M836" s="170"/>
      <c r="N836" s="7"/>
      <c r="O836" s="1"/>
      <c r="P836" s="331">
        <f>D836</f>
      </c>
      <c r="Q836" s="169"/>
    </row>
    <row x14ac:dyDescent="0.25" r="837" customHeight="1" ht="18.75">
      <c r="A837" s="1"/>
      <c r="B837" s="7"/>
      <c r="C837" s="170"/>
      <c r="D837" s="331">
        <v>830</v>
      </c>
      <c r="E837" s="544">
        <f>+DATE(YEAR(E836),MONTH(E836)-1,DAY(E836))</f>
        <v>25569.041666666668</v>
      </c>
      <c r="F837" s="333">
        <f>IF(DATE(YEAR($B$6),MONTH($B$6)+1,DAY(1))=E837,1,IF(MONTH(E837)=1,F838*(1+$F$5),F838))</f>
      </c>
      <c r="G837" s="333">
        <f>IF('Simulador - 1º Pilar'!$E$99="Sí",IF('Aportaciones Poliza'!$B$13&lt;'Aportaciones Poliza'!E837,0,F837*$B$8/12),F837*$B$8/12)</f>
      </c>
      <c r="H837" s="333">
        <f>$H$5*G837</f>
      </c>
      <c r="I837" s="333"/>
      <c r="J837" s="333">
        <f>(1+$M$5)^(D837/12)*(H837+IF(AND(F837=1,F838=0),$Q$4,0))</f>
      </c>
      <c r="K837" s="333">
        <f>(1+$M$5)^(D837/12)*(I837)</f>
      </c>
      <c r="L837" s="333">
        <f>K837+J837</f>
      </c>
      <c r="M837" s="170"/>
      <c r="N837" s="7"/>
      <c r="O837" s="1"/>
      <c r="P837" s="331">
        <f>D837</f>
      </c>
      <c r="Q837" s="169"/>
    </row>
    <row x14ac:dyDescent="0.25" r="838" customHeight="1" ht="18.75">
      <c r="A838" s="1"/>
      <c r="B838" s="7"/>
      <c r="C838" s="170"/>
      <c r="D838" s="331">
        <v>831</v>
      </c>
      <c r="E838" s="544">
        <f>+DATE(YEAR(E837),MONTH(E837)-1,DAY(E837))</f>
        <v>25569.041666666668</v>
      </c>
      <c r="F838" s="333">
        <f>IF(DATE(YEAR($B$6),MONTH($B$6)+1,DAY(1))=E838,1,IF(MONTH(E838)=1,F839*(1+$F$5),F839))</f>
      </c>
      <c r="G838" s="333">
        <f>IF('Simulador - 1º Pilar'!$E$99="Sí",IF('Aportaciones Poliza'!$B$13&lt;'Aportaciones Poliza'!E838,0,F838*$B$8/12),F838*$B$8/12)</f>
      </c>
      <c r="H838" s="333">
        <f>$H$5*G838</f>
      </c>
      <c r="I838" s="333"/>
      <c r="J838" s="333">
        <f>(1+$M$5)^(D838/12)*(H838+IF(AND(F838=1,F839=0),$Q$4,0))</f>
      </c>
      <c r="K838" s="333">
        <f>(1+$M$5)^(D838/12)*(I838)</f>
      </c>
      <c r="L838" s="333">
        <f>K838+J838</f>
      </c>
      <c r="M838" s="170"/>
      <c r="N838" s="7"/>
      <c r="O838" s="1"/>
      <c r="P838" s="331">
        <f>D838</f>
      </c>
      <c r="Q838" s="169"/>
    </row>
    <row x14ac:dyDescent="0.25" r="839" customHeight="1" ht="18.75">
      <c r="A839" s="1"/>
      <c r="B839" s="7"/>
      <c r="C839" s="170"/>
      <c r="D839" s="331">
        <v>832</v>
      </c>
      <c r="E839" s="544">
        <f>+DATE(YEAR(E838),MONTH(E838)-1,DAY(E838))</f>
        <v>25569.041666666668</v>
      </c>
      <c r="F839" s="333">
        <f>IF(DATE(YEAR($B$6),MONTH($B$6)+1,DAY(1))=E839,1,IF(MONTH(E839)=1,F840*(1+$F$5),F840))</f>
      </c>
      <c r="G839" s="333">
        <f>IF('Simulador - 1º Pilar'!$E$99="Sí",IF('Aportaciones Poliza'!$B$13&lt;'Aportaciones Poliza'!E839,0,F839*$B$8/12),F839*$B$8/12)</f>
      </c>
      <c r="H839" s="333">
        <f>$H$5*G839</f>
      </c>
      <c r="I839" s="333"/>
      <c r="J839" s="333">
        <f>(1+$M$5)^(D839/12)*(H839+IF(AND(F839=1,F840=0),$Q$4,0))</f>
      </c>
      <c r="K839" s="333">
        <f>(1+$M$5)^(D839/12)*(I839)</f>
      </c>
      <c r="L839" s="333">
        <f>K839+J839</f>
      </c>
      <c r="M839" s="170"/>
      <c r="N839" s="7"/>
      <c r="O839" s="1"/>
      <c r="P839" s="331">
        <f>D839</f>
      </c>
      <c r="Q839" s="169"/>
    </row>
    <row x14ac:dyDescent="0.25" r="840" customHeight="1" ht="18.75">
      <c r="A840" s="1"/>
      <c r="B840" s="7"/>
      <c r="C840" s="170"/>
      <c r="D840" s="331">
        <v>833</v>
      </c>
      <c r="E840" s="544">
        <f>+DATE(YEAR(E839),MONTH(E839)-1,DAY(E839))</f>
        <v>25569.041666666668</v>
      </c>
      <c r="F840" s="333">
        <f>IF(DATE(YEAR($B$6),MONTH($B$6)+1,DAY(1))=E840,1,IF(MONTH(E840)=1,F841*(1+$F$5),F841))</f>
      </c>
      <c r="G840" s="333">
        <f>IF('Simulador - 1º Pilar'!$E$99="Sí",IF('Aportaciones Poliza'!$B$13&lt;'Aportaciones Poliza'!E840,0,F840*$B$8/12),F840*$B$8/12)</f>
      </c>
      <c r="H840" s="333">
        <f>$H$5*G840</f>
      </c>
      <c r="I840" s="333"/>
      <c r="J840" s="333">
        <f>(1+$M$5)^(D840/12)*(H840+IF(AND(F840=1,F841=0),$Q$4,0))</f>
      </c>
      <c r="K840" s="333">
        <f>(1+$M$5)^(D840/12)*(I840)</f>
      </c>
      <c r="L840" s="333">
        <f>K840+J840</f>
      </c>
      <c r="M840" s="170"/>
      <c r="N840" s="7"/>
      <c r="O840" s="1"/>
      <c r="P840" s="331">
        <f>D840</f>
      </c>
      <c r="Q840" s="169"/>
    </row>
    <row x14ac:dyDescent="0.25" r="841" customHeight="1" ht="18.75">
      <c r="A841" s="1"/>
      <c r="B841" s="7"/>
      <c r="C841" s="170"/>
      <c r="D841" s="331">
        <v>834</v>
      </c>
      <c r="E841" s="544">
        <f>+DATE(YEAR(E840),MONTH(E840)-1,DAY(E840))</f>
        <v>25569.041666666668</v>
      </c>
      <c r="F841" s="333">
        <f>IF(DATE(YEAR($B$6),MONTH($B$6)+1,DAY(1))=E841,1,IF(MONTH(E841)=1,F842*(1+$F$5),F842))</f>
      </c>
      <c r="G841" s="333">
        <f>IF('Simulador - 1º Pilar'!$E$99="Sí",IF('Aportaciones Poliza'!$B$13&lt;'Aportaciones Poliza'!E841,0,F841*$B$8/12),F841*$B$8/12)</f>
      </c>
      <c r="H841" s="333">
        <f>$H$5*G841</f>
      </c>
      <c r="I841" s="333"/>
      <c r="J841" s="333">
        <f>(1+$M$5)^(D841/12)*(H841+IF(AND(F841=1,F842=0),$Q$4,0))</f>
      </c>
      <c r="K841" s="333">
        <f>(1+$M$5)^(D841/12)*(I841)</f>
      </c>
      <c r="L841" s="333">
        <f>K841+J841</f>
      </c>
      <c r="M841" s="170"/>
      <c r="N841" s="7"/>
      <c r="O841" s="1"/>
      <c r="P841" s="331">
        <f>D841</f>
      </c>
      <c r="Q841" s="169"/>
    </row>
    <row x14ac:dyDescent="0.25" r="842" customHeight="1" ht="18.75">
      <c r="A842" s="1"/>
      <c r="B842" s="7"/>
      <c r="C842" s="170"/>
      <c r="D842" s="331">
        <v>835</v>
      </c>
      <c r="E842" s="544">
        <f>+DATE(YEAR(E841),MONTH(E841)-1,DAY(E841))</f>
        <v>25569.041666666668</v>
      </c>
      <c r="F842" s="333">
        <f>IF(DATE(YEAR($B$6),MONTH($B$6)+1,DAY(1))=E842,1,IF(MONTH(E842)=1,F843*(1+$F$5),F843))</f>
      </c>
      <c r="G842" s="333">
        <f>IF('Simulador - 1º Pilar'!$E$99="Sí",IF('Aportaciones Poliza'!$B$13&lt;'Aportaciones Poliza'!E842,0,F842*$B$8/12),F842*$B$8/12)</f>
      </c>
      <c r="H842" s="333">
        <f>$H$5*G842</f>
      </c>
      <c r="I842" s="333"/>
      <c r="J842" s="333">
        <f>(1+$M$5)^(D842/12)*(H842+IF(AND(F842=1,F843=0),$Q$4,0))</f>
      </c>
      <c r="K842" s="333">
        <f>(1+$M$5)^(D842/12)*(I842)</f>
      </c>
      <c r="L842" s="333">
        <f>K842+J842</f>
      </c>
      <c r="M842" s="170"/>
      <c r="N842" s="7"/>
      <c r="O842" s="1"/>
      <c r="P842" s="331">
        <f>D842</f>
      </c>
      <c r="Q842" s="169"/>
    </row>
    <row x14ac:dyDescent="0.25" r="843" customHeight="1" ht="18.75">
      <c r="A843" s="1"/>
      <c r="B843" s="7"/>
      <c r="C843" s="170"/>
      <c r="D843" s="331">
        <v>836</v>
      </c>
      <c r="E843" s="544">
        <f>+DATE(YEAR(E842),MONTH(E842)-1,DAY(E842))</f>
        <v>25569.041666666668</v>
      </c>
      <c r="F843" s="333">
        <f>IF(DATE(YEAR($B$6),MONTH($B$6)+1,DAY(1))=E843,1,IF(MONTH(E843)=1,F844*(1+$F$5),F844))</f>
      </c>
      <c r="G843" s="333">
        <f>IF('Simulador - 1º Pilar'!$E$99="Sí",IF('Aportaciones Poliza'!$B$13&lt;'Aportaciones Poliza'!E843,0,F843*$B$8/12),F843*$B$8/12)</f>
      </c>
      <c r="H843" s="333">
        <f>$H$5*G843</f>
      </c>
      <c r="I843" s="333"/>
      <c r="J843" s="333">
        <f>(1+$M$5)^(D843/12)*(H843+IF(AND(F843=1,F844=0),$Q$4,0))</f>
      </c>
      <c r="K843" s="333">
        <f>(1+$M$5)^(D843/12)*(I843)</f>
      </c>
      <c r="L843" s="333">
        <f>K843+J843</f>
      </c>
      <c r="M843" s="170"/>
      <c r="N843" s="7"/>
      <c r="O843" s="1"/>
      <c r="P843" s="331">
        <f>D843</f>
      </c>
      <c r="Q843" s="169"/>
    </row>
    <row x14ac:dyDescent="0.25" r="844" customHeight="1" ht="18.75">
      <c r="A844" s="1"/>
      <c r="B844" s="7"/>
      <c r="C844" s="170"/>
      <c r="D844" s="331">
        <v>837</v>
      </c>
      <c r="E844" s="544">
        <f>+DATE(YEAR(E843),MONTH(E843)-1,DAY(E843))</f>
        <v>25569.041666666668</v>
      </c>
      <c r="F844" s="333">
        <f>IF(DATE(YEAR($B$6),MONTH($B$6)+1,DAY(1))=E844,1,IF(MONTH(E844)=1,F845*(1+$F$5),F845))</f>
      </c>
      <c r="G844" s="333">
        <f>IF('Simulador - 1º Pilar'!$E$99="Sí",IF('Aportaciones Poliza'!$B$13&lt;'Aportaciones Poliza'!E844,0,F844*$B$8/12),F844*$B$8/12)</f>
      </c>
      <c r="H844" s="333">
        <f>$H$5*G844</f>
      </c>
      <c r="I844" s="333"/>
      <c r="J844" s="333">
        <f>(1+$M$5)^(D844/12)*(H844+IF(AND(F844=1,F845=0),$Q$4,0))</f>
      </c>
      <c r="K844" s="333">
        <f>(1+$M$5)^(D844/12)*(I844)</f>
      </c>
      <c r="L844" s="333">
        <f>K844+J844</f>
      </c>
      <c r="M844" s="170"/>
      <c r="N844" s="7"/>
      <c r="O844" s="1"/>
      <c r="P844" s="331">
        <f>D844</f>
      </c>
      <c r="Q844" s="169"/>
    </row>
    <row x14ac:dyDescent="0.25" r="845" customHeight="1" ht="18.75">
      <c r="A845" s="1"/>
      <c r="B845" s="7"/>
      <c r="C845" s="170"/>
      <c r="D845" s="331">
        <v>838</v>
      </c>
      <c r="E845" s="544">
        <f>+DATE(YEAR(E844),MONTH(E844)-1,DAY(E844))</f>
        <v>25569.041666666668</v>
      </c>
      <c r="F845" s="333">
        <f>IF(DATE(YEAR($B$6),MONTH($B$6)+1,DAY(1))=E845,1,IF(MONTH(E845)=1,F846*(1+$F$5),F846))</f>
      </c>
      <c r="G845" s="333">
        <f>IF('Simulador - 1º Pilar'!$E$99="Sí",IF('Aportaciones Poliza'!$B$13&lt;'Aportaciones Poliza'!E845,0,F845*$B$8/12),F845*$B$8/12)</f>
      </c>
      <c r="H845" s="333">
        <f>$H$5*G845</f>
      </c>
      <c r="I845" s="333"/>
      <c r="J845" s="333">
        <f>(1+$M$5)^(D845/12)*(H845+IF(AND(F845=1,F846=0),$Q$4,0))</f>
      </c>
      <c r="K845" s="333">
        <f>(1+$M$5)^(D845/12)*(I845)</f>
      </c>
      <c r="L845" s="333">
        <f>K845+J845</f>
      </c>
      <c r="M845" s="170"/>
      <c r="N845" s="7"/>
      <c r="O845" s="1"/>
      <c r="P845" s="331">
        <f>D845</f>
      </c>
      <c r="Q845" s="169"/>
    </row>
    <row x14ac:dyDescent="0.25" r="846" customHeight="1" ht="18.75">
      <c r="A846" s="1"/>
      <c r="B846" s="7"/>
      <c r="C846" s="170"/>
      <c r="D846" s="331">
        <v>839</v>
      </c>
      <c r="E846" s="544">
        <f>+DATE(YEAR(E845),MONTH(E845)-1,DAY(E845))</f>
        <v>25569.041666666668</v>
      </c>
      <c r="F846" s="333">
        <f>IF(DATE(YEAR($B$6),MONTH($B$6)+1,DAY(1))=E846,1,IF(MONTH(E846)=1,F847*(1+$F$5),F847))</f>
      </c>
      <c r="G846" s="333">
        <f>IF('Simulador - 1º Pilar'!$E$99="Sí",IF('Aportaciones Poliza'!$B$13&lt;'Aportaciones Poliza'!E846,0,F846*$B$8/12),F846*$B$8/12)</f>
      </c>
      <c r="H846" s="333">
        <f>$H$5*G846</f>
      </c>
      <c r="I846" s="333"/>
      <c r="J846" s="333">
        <f>(1+$M$5)^(D846/12)*(H846+IF(AND(F846=1,F847=0),$Q$4,0))</f>
      </c>
      <c r="K846" s="333">
        <f>(1+$M$5)^(D846/12)*(I846)</f>
      </c>
      <c r="L846" s="333">
        <f>K846+J846</f>
      </c>
      <c r="M846" s="170"/>
      <c r="N846" s="7"/>
      <c r="O846" s="1"/>
      <c r="P846" s="331">
        <f>D846</f>
      </c>
      <c r="Q846" s="169"/>
    </row>
    <row x14ac:dyDescent="0.25" r="847" customHeight="1" ht="18.75">
      <c r="A847" s="1"/>
      <c r="B847" s="7"/>
      <c r="C847" s="170"/>
      <c r="D847" s="331">
        <v>840</v>
      </c>
      <c r="E847" s="544">
        <f>+DATE(YEAR(E846),MONTH(E846)-1,DAY(E846))</f>
        <v>25569.041666666668</v>
      </c>
      <c r="F847" s="333">
        <f>IF(DATE(YEAR($B$6),MONTH($B$6)+1,DAY(1))=E847,1,IF(MONTH(E847)=1,F848*(1+$F$5),F848))</f>
      </c>
      <c r="G847" s="333">
        <f>IF('Simulador - 1º Pilar'!$E$99="Sí",IF('Aportaciones Poliza'!$B$13&lt;'Aportaciones Poliza'!E847,0,F847*$B$8/12),F847*$B$8/12)</f>
      </c>
      <c r="H847" s="333">
        <f>$H$5*G847</f>
      </c>
      <c r="I847" s="333"/>
      <c r="J847" s="333">
        <f>(1+$M$5)^(D847/12)*(H847+IF(AND(F847=1,F848=0),$Q$4,0))</f>
      </c>
      <c r="K847" s="333">
        <f>(1+$M$5)^(D847/12)*(I847)</f>
      </c>
      <c r="L847" s="333">
        <f>K847+J847</f>
      </c>
      <c r="M847" s="170"/>
      <c r="N847" s="7"/>
      <c r="O847" s="1"/>
      <c r="P847" s="331">
        <f>D847</f>
      </c>
      <c r="Q847" s="169"/>
    </row>
    <row x14ac:dyDescent="0.25" r="848" customHeight="1" ht="18.75">
      <c r="A848" s="1"/>
      <c r="B848" s="7"/>
      <c r="C848" s="170"/>
      <c r="D848" s="331">
        <v>841</v>
      </c>
      <c r="E848" s="544">
        <f>+DATE(YEAR(E847),MONTH(E847)-1,DAY(E847))</f>
        <v>25569.041666666668</v>
      </c>
      <c r="F848" s="333">
        <f>IF(DATE(YEAR($B$6),MONTH($B$6)+1,DAY(1))=E848,1,IF(MONTH(E848)=1,F849*(1+$F$5),F849))</f>
      </c>
      <c r="G848" s="333">
        <f>IF('Simulador - 1º Pilar'!$E$99="Sí",IF('Aportaciones Poliza'!$B$13&lt;'Aportaciones Poliza'!E848,0,F848*$B$8/12),F848*$B$8/12)</f>
      </c>
      <c r="H848" s="333">
        <f>$H$5*G848</f>
      </c>
      <c r="I848" s="333"/>
      <c r="J848" s="333">
        <f>(1+$M$5)^(D848/12)*(H848+IF(AND(F848=1,F849=0),$Q$4,0))</f>
      </c>
      <c r="K848" s="333">
        <f>(1+$M$5)^(D848/12)*(I848)</f>
      </c>
      <c r="L848" s="333">
        <f>K848+J848</f>
      </c>
      <c r="M848" s="170"/>
      <c r="N848" s="7"/>
      <c r="O848" s="1"/>
      <c r="P848" s="331">
        <f>D848</f>
      </c>
      <c r="Q848" s="169"/>
    </row>
    <row x14ac:dyDescent="0.25" r="849" customHeight="1" ht="18.75">
      <c r="A849" s="1"/>
      <c r="B849" s="7"/>
      <c r="C849" s="170"/>
      <c r="D849" s="331">
        <v>842</v>
      </c>
      <c r="E849" s="544">
        <f>+DATE(YEAR(E848),MONTH(E848)-1,DAY(E848))</f>
        <v>25569.041666666668</v>
      </c>
      <c r="F849" s="333">
        <f>IF(DATE(YEAR($B$6),MONTH($B$6)+1,DAY(1))=E849,1,IF(MONTH(E849)=1,F850*(1+$F$5),F850))</f>
      </c>
      <c r="G849" s="333">
        <f>IF('Simulador - 1º Pilar'!$E$99="Sí",IF('Aportaciones Poliza'!$B$13&lt;'Aportaciones Poliza'!E849,0,F849*$B$8/12),F849*$B$8/12)</f>
      </c>
      <c r="H849" s="333">
        <f>$H$5*G849</f>
      </c>
      <c r="I849" s="333"/>
      <c r="J849" s="333">
        <f>(1+$M$5)^(D849/12)*(H849+IF(AND(F849=1,F850=0),$Q$4,0))</f>
      </c>
      <c r="K849" s="333">
        <f>(1+$M$5)^(D849/12)*(I849)</f>
      </c>
      <c r="L849" s="333">
        <f>K849+J849</f>
      </c>
      <c r="M849" s="170"/>
      <c r="N849" s="7"/>
      <c r="O849" s="1"/>
      <c r="P849" s="331">
        <f>D849</f>
      </c>
      <c r="Q849" s="169"/>
    </row>
    <row x14ac:dyDescent="0.25" r="850" customHeight="1" ht="18.75">
      <c r="A850" s="1"/>
      <c r="B850" s="7"/>
      <c r="C850" s="170"/>
      <c r="D850" s="331">
        <v>843</v>
      </c>
      <c r="E850" s="544">
        <f>+DATE(YEAR(E849),MONTH(E849)-1,DAY(E849))</f>
        <v>25569.041666666668</v>
      </c>
      <c r="F850" s="333">
        <f>IF(DATE(YEAR($B$6),MONTH($B$6)+1,DAY(1))=E850,1,IF(MONTH(E850)=1,F851*(1+$F$5),F851))</f>
      </c>
      <c r="G850" s="333">
        <f>IF('Simulador - 1º Pilar'!$E$99="Sí",IF('Aportaciones Poliza'!$B$13&lt;'Aportaciones Poliza'!E850,0,F850*$B$8/12),F850*$B$8/12)</f>
      </c>
      <c r="H850" s="333">
        <f>$H$5*G850</f>
      </c>
      <c r="I850" s="333"/>
      <c r="J850" s="333">
        <f>(1+$M$5)^(D850/12)*(H850+IF(AND(F850=1,F851=0),$Q$4,0))</f>
      </c>
      <c r="K850" s="333">
        <f>(1+$M$5)^(D850/12)*(I850)</f>
      </c>
      <c r="L850" s="333">
        <f>K850+J850</f>
      </c>
      <c r="M850" s="170"/>
      <c r="N850" s="7"/>
      <c r="O850" s="1"/>
      <c r="P850" s="331">
        <f>D850</f>
      </c>
      <c r="Q850" s="169"/>
    </row>
    <row x14ac:dyDescent="0.25" r="851" customHeight="1" ht="18.75">
      <c r="A851" s="1"/>
      <c r="B851" s="7"/>
      <c r="C851" s="170"/>
      <c r="D851" s="331">
        <v>844</v>
      </c>
      <c r="E851" s="544">
        <f>+DATE(YEAR(E850),MONTH(E850)-1,DAY(E850))</f>
        <v>25569.041666666668</v>
      </c>
      <c r="F851" s="333">
        <f>IF(DATE(YEAR($B$6),MONTH($B$6)+1,DAY(1))=E851,1,IF(MONTH(E851)=1,F852*(1+$F$5),F852))</f>
      </c>
      <c r="G851" s="333">
        <f>IF('Simulador - 1º Pilar'!$E$99="Sí",IF('Aportaciones Poliza'!$B$13&lt;'Aportaciones Poliza'!E851,0,F851*$B$8/12),F851*$B$8/12)</f>
      </c>
      <c r="H851" s="333">
        <f>$H$5*G851</f>
      </c>
      <c r="I851" s="333"/>
      <c r="J851" s="333">
        <f>(1+$M$5)^(D851/12)*(H851+IF(AND(F851=1,F852=0),$Q$4,0))</f>
      </c>
      <c r="K851" s="333">
        <f>(1+$M$5)^(D851/12)*(I851)</f>
      </c>
      <c r="L851" s="333">
        <f>K851+J851</f>
      </c>
      <c r="M851" s="170"/>
      <c r="N851" s="7"/>
      <c r="O851" s="1"/>
      <c r="P851" s="331">
        <f>D851</f>
      </c>
      <c r="Q851" s="169"/>
    </row>
    <row x14ac:dyDescent="0.25" r="852" customHeight="1" ht="18.75">
      <c r="A852" s="1"/>
      <c r="B852" s="7"/>
      <c r="C852" s="170"/>
      <c r="D852" s="331">
        <v>845</v>
      </c>
      <c r="E852" s="544">
        <f>+DATE(YEAR(E851),MONTH(E851)-1,DAY(E851))</f>
        <v>25569.041666666668</v>
      </c>
      <c r="F852" s="333">
        <f>IF(DATE(YEAR($B$6),MONTH($B$6)+1,DAY(1))=E852,1,IF(MONTH(E852)=1,F853*(1+$F$5),F853))</f>
      </c>
      <c r="G852" s="333">
        <f>IF('Simulador - 1º Pilar'!$E$99="Sí",IF('Aportaciones Poliza'!$B$13&lt;'Aportaciones Poliza'!E852,0,F852*$B$8/12),F852*$B$8/12)</f>
      </c>
      <c r="H852" s="333">
        <f>$H$5*G852</f>
      </c>
      <c r="I852" s="333"/>
      <c r="J852" s="333">
        <f>(1+$M$5)^(D852/12)*(H852+IF(AND(F852=1,F853=0),$Q$4,0))</f>
      </c>
      <c r="K852" s="333">
        <f>(1+$M$5)^(D852/12)*(I852)</f>
      </c>
      <c r="L852" s="333">
        <f>K852+J852</f>
      </c>
      <c r="M852" s="170"/>
      <c r="N852" s="7"/>
      <c r="O852" s="1"/>
      <c r="P852" s="331">
        <f>D852</f>
      </c>
      <c r="Q852" s="169"/>
    </row>
    <row x14ac:dyDescent="0.25" r="853" customHeight="1" ht="18.75">
      <c r="A853" s="1"/>
      <c r="B853" s="7"/>
      <c r="C853" s="170"/>
      <c r="D853" s="331">
        <v>846</v>
      </c>
      <c r="E853" s="544">
        <f>+DATE(YEAR(E852),MONTH(E852)-1,DAY(E852))</f>
        <v>25569.041666666668</v>
      </c>
      <c r="F853" s="333">
        <f>IF(DATE(YEAR($B$6),MONTH($B$6)+1,DAY(1))=E853,1,IF(MONTH(E853)=1,F854*(1+$F$5),F854))</f>
      </c>
      <c r="G853" s="333">
        <f>IF('Simulador - 1º Pilar'!$E$99="Sí",IF('Aportaciones Poliza'!$B$13&lt;'Aportaciones Poliza'!E853,0,F853*$B$8/12),F853*$B$8/12)</f>
      </c>
      <c r="H853" s="333">
        <f>$H$5*G853</f>
      </c>
      <c r="I853" s="333"/>
      <c r="J853" s="333">
        <f>(1+$M$5)^(D853/12)*(H853+IF(AND(F853=1,F854=0),$Q$4,0))</f>
      </c>
      <c r="K853" s="333">
        <f>(1+$M$5)^(D853/12)*(I853)</f>
      </c>
      <c r="L853" s="333">
        <f>K853+J853</f>
      </c>
      <c r="M853" s="170"/>
      <c r="N853" s="7"/>
      <c r="O853" s="1"/>
      <c r="P853" s="331">
        <f>D853</f>
      </c>
      <c r="Q853" s="169"/>
    </row>
    <row x14ac:dyDescent="0.25" r="854" customHeight="1" ht="18.75">
      <c r="A854" s="1"/>
      <c r="B854" s="7"/>
      <c r="C854" s="170"/>
      <c r="D854" s="331">
        <v>847</v>
      </c>
      <c r="E854" s="544">
        <f>+DATE(YEAR(E853),MONTH(E853)-1,DAY(E853))</f>
        <v>25569.041666666668</v>
      </c>
      <c r="F854" s="333">
        <f>IF(DATE(YEAR($B$6),MONTH($B$6)+1,DAY(1))=E854,1,IF(MONTH(E854)=1,F855*(1+$F$5),F855))</f>
      </c>
      <c r="G854" s="333">
        <f>IF('Simulador - 1º Pilar'!$E$99="Sí",IF('Aportaciones Poliza'!$B$13&lt;'Aportaciones Poliza'!E854,0,F854*$B$8/12),F854*$B$8/12)</f>
      </c>
      <c r="H854" s="333">
        <f>$H$5*G854</f>
      </c>
      <c r="I854" s="333"/>
      <c r="J854" s="333">
        <f>(1+$M$5)^(D854/12)*(H854+IF(AND(F854=1,F855=0),$Q$4,0))</f>
      </c>
      <c r="K854" s="333">
        <f>(1+$M$5)^(D854/12)*(I854)</f>
      </c>
      <c r="L854" s="333">
        <f>K854+J854</f>
      </c>
      <c r="M854" s="170"/>
      <c r="N854" s="7"/>
      <c r="O854" s="1"/>
      <c r="P854" s="331">
        <f>D854</f>
      </c>
      <c r="Q854" s="169"/>
    </row>
    <row x14ac:dyDescent="0.25" r="855" customHeight="1" ht="18.75">
      <c r="A855" s="1"/>
      <c r="B855" s="7"/>
      <c r="C855" s="170"/>
      <c r="D855" s="331">
        <v>848</v>
      </c>
      <c r="E855" s="544">
        <f>+DATE(YEAR(E854),MONTH(E854)-1,DAY(E854))</f>
        <v>25569.041666666668</v>
      </c>
      <c r="F855" s="333">
        <f>IF(DATE(YEAR($B$6),MONTH($B$6)+1,DAY(1))=E855,1,IF(MONTH(E855)=1,F856*(1+$F$5),F856))</f>
      </c>
      <c r="G855" s="333">
        <f>IF('Simulador - 1º Pilar'!$E$99="Sí",IF('Aportaciones Poliza'!$B$13&lt;'Aportaciones Poliza'!E855,0,F855*$B$8/12),F855*$B$8/12)</f>
      </c>
      <c r="H855" s="333">
        <f>$H$5*G855</f>
      </c>
      <c r="I855" s="333"/>
      <c r="J855" s="333">
        <f>(1+$M$5)^(D855/12)*(H855+IF(AND(F855=1,F856=0),$Q$4,0))</f>
      </c>
      <c r="K855" s="333">
        <f>(1+$M$5)^(D855/12)*(I855)</f>
      </c>
      <c r="L855" s="333">
        <f>K855+J855</f>
      </c>
      <c r="M855" s="170"/>
      <c r="N855" s="7"/>
      <c r="O855" s="1"/>
      <c r="P855" s="331">
        <f>D855</f>
      </c>
      <c r="Q855" s="169"/>
    </row>
    <row x14ac:dyDescent="0.25" r="856" customHeight="1" ht="18.75">
      <c r="A856" s="1"/>
      <c r="B856" s="7"/>
      <c r="C856" s="170"/>
      <c r="D856" s="331">
        <v>849</v>
      </c>
      <c r="E856" s="544">
        <f>+DATE(YEAR(E855),MONTH(E855)-1,DAY(E855))</f>
        <v>25569.041666666668</v>
      </c>
      <c r="F856" s="333">
        <f>IF(DATE(YEAR($B$6),MONTH($B$6)+1,DAY(1))=E856,1,IF(MONTH(E856)=1,F857*(1+$F$5),F857))</f>
      </c>
      <c r="G856" s="333">
        <f>IF('Simulador - 1º Pilar'!$E$99="Sí",IF('Aportaciones Poliza'!$B$13&lt;'Aportaciones Poliza'!E856,0,F856*$B$8/12),F856*$B$8/12)</f>
      </c>
      <c r="H856" s="333">
        <f>$H$5*G856</f>
      </c>
      <c r="I856" s="333"/>
      <c r="J856" s="333">
        <f>(1+$M$5)^(D856/12)*(H856+IF(AND(F856=1,F857=0),$Q$4,0))</f>
      </c>
      <c r="K856" s="333">
        <f>(1+$M$5)^(D856/12)*(I856)</f>
      </c>
      <c r="L856" s="333">
        <f>K856+J856</f>
      </c>
      <c r="M856" s="170"/>
      <c r="N856" s="7"/>
      <c r="O856" s="1"/>
      <c r="P856" s="331">
        <f>D856</f>
      </c>
      <c r="Q856" s="169"/>
    </row>
    <row x14ac:dyDescent="0.25" r="857" customHeight="1" ht="18.75">
      <c r="A857" s="1"/>
      <c r="B857" s="7"/>
      <c r="C857" s="170"/>
      <c r="D857" s="331">
        <v>850</v>
      </c>
      <c r="E857" s="544">
        <f>+DATE(YEAR(E856),MONTH(E856)-1,DAY(E856))</f>
        <v>25569.041666666668</v>
      </c>
      <c r="F857" s="333">
        <f>IF(DATE(YEAR($B$6),MONTH($B$6)+1,DAY(1))=E857,1,IF(MONTH(E857)=1,F858*(1+$F$5),F858))</f>
      </c>
      <c r="G857" s="333">
        <f>IF('Simulador - 1º Pilar'!$E$99="Sí",IF('Aportaciones Poliza'!$B$13&lt;'Aportaciones Poliza'!E857,0,F857*$B$8/12),F857*$B$8/12)</f>
      </c>
      <c r="H857" s="333">
        <f>$H$5*G857</f>
      </c>
      <c r="I857" s="333"/>
      <c r="J857" s="333">
        <f>(1+$M$5)^(D857/12)*(H857+IF(AND(F857=1,F858=0),$Q$4,0))</f>
      </c>
      <c r="K857" s="333">
        <f>(1+$M$5)^(D857/12)*(I857)</f>
      </c>
      <c r="L857" s="333">
        <f>K857+J857</f>
      </c>
      <c r="M857" s="170"/>
      <c r="N857" s="7"/>
      <c r="O857" s="1"/>
      <c r="P857" s="331">
        <f>D857</f>
      </c>
      <c r="Q857" s="169"/>
    </row>
    <row x14ac:dyDescent="0.25" r="858" customHeight="1" ht="18.75">
      <c r="A858" s="1"/>
      <c r="B858" s="7"/>
      <c r="C858" s="170"/>
      <c r="D858" s="331">
        <v>851</v>
      </c>
      <c r="E858" s="544">
        <f>+DATE(YEAR(E857),MONTH(E857)-1,DAY(E857))</f>
        <v>25569.041666666668</v>
      </c>
      <c r="F858" s="333">
        <f>IF(DATE(YEAR($B$6),MONTH($B$6)+1,DAY(1))=E858,1,IF(MONTH(E858)=1,F859*(1+$F$5),F859))</f>
      </c>
      <c r="G858" s="333">
        <f>IF('Simulador - 1º Pilar'!$E$99="Sí",IF('Aportaciones Poliza'!$B$13&lt;'Aportaciones Poliza'!E858,0,F858*$B$8/12),F858*$B$8/12)</f>
      </c>
      <c r="H858" s="333">
        <f>$H$5*G858</f>
      </c>
      <c r="I858" s="333"/>
      <c r="J858" s="333">
        <f>(1+$M$5)^(D858/12)*(H858+IF(AND(F858=1,F859=0),$Q$4,0))</f>
      </c>
      <c r="K858" s="333">
        <f>(1+$M$5)^(D858/12)*(I858)</f>
      </c>
      <c r="L858" s="333">
        <f>K858+J858</f>
      </c>
      <c r="M858" s="170"/>
      <c r="N858" s="7"/>
      <c r="O858" s="1"/>
      <c r="P858" s="331">
        <f>D858</f>
      </c>
      <c r="Q858" s="169"/>
    </row>
    <row x14ac:dyDescent="0.25" r="859" customHeight="1" ht="18.75">
      <c r="A859" s="1"/>
      <c r="B859" s="7"/>
      <c r="C859" s="170"/>
      <c r="D859" s="331">
        <v>852</v>
      </c>
      <c r="E859" s="544">
        <f>+DATE(YEAR(E858),MONTH(E858)-1,DAY(E858))</f>
        <v>25569.041666666668</v>
      </c>
      <c r="F859" s="333">
        <f>IF(DATE(YEAR($B$6),MONTH($B$6)+1,DAY(1))=E859,1,IF(MONTH(E859)=1,F860*(1+$F$5),F860))</f>
      </c>
      <c r="G859" s="333">
        <f>IF('Simulador - 1º Pilar'!$E$99="Sí",IF('Aportaciones Poliza'!$B$13&lt;'Aportaciones Poliza'!E859,0,F859*$B$8/12),F859*$B$8/12)</f>
      </c>
      <c r="H859" s="333">
        <f>$H$5*G859</f>
      </c>
      <c r="I859" s="333"/>
      <c r="J859" s="333">
        <f>(1+$M$5)^(D859/12)*(H859+IF(AND(F859=1,F860=0),$Q$4,0))</f>
      </c>
      <c r="K859" s="333">
        <f>(1+$M$5)^(D859/12)*(I859)</f>
      </c>
      <c r="L859" s="333">
        <f>K859+J859</f>
      </c>
      <c r="M859" s="170"/>
      <c r="N859" s="7"/>
      <c r="O859" s="1"/>
      <c r="P859" s="331">
        <f>D859</f>
      </c>
      <c r="Q859" s="169"/>
    </row>
    <row x14ac:dyDescent="0.25" r="860" customHeight="1" ht="18.75">
      <c r="A860" s="1"/>
      <c r="B860" s="7"/>
      <c r="C860" s="170"/>
      <c r="D860" s="331">
        <v>853</v>
      </c>
      <c r="E860" s="544">
        <f>+DATE(YEAR(E859),MONTH(E859)-1,DAY(E859))</f>
        <v>25569.041666666668</v>
      </c>
      <c r="F860" s="333">
        <f>IF(DATE(YEAR($B$6),MONTH($B$6)+1,DAY(1))=E860,1,IF(MONTH(E860)=1,F861*(1+$F$5),F861))</f>
      </c>
      <c r="G860" s="333">
        <f>IF('Simulador - 1º Pilar'!$E$99="Sí",IF('Aportaciones Poliza'!$B$13&lt;'Aportaciones Poliza'!E860,0,F860*$B$8/12),F860*$B$8/12)</f>
      </c>
      <c r="H860" s="333">
        <f>$H$5*G860</f>
      </c>
      <c r="I860" s="333"/>
      <c r="J860" s="333">
        <f>(1+$M$5)^(D860/12)*(H860+IF(AND(F860=1,F861=0),$Q$4,0))</f>
      </c>
      <c r="K860" s="333">
        <f>(1+$M$5)^(D860/12)*(I860)</f>
      </c>
      <c r="L860" s="333">
        <f>K860+J860</f>
      </c>
      <c r="M860" s="170"/>
      <c r="N860" s="7"/>
      <c r="O860" s="1"/>
      <c r="P860" s="331">
        <f>D860</f>
      </c>
      <c r="Q860" s="169"/>
    </row>
    <row x14ac:dyDescent="0.25" r="861" customHeight="1" ht="18.75">
      <c r="A861" s="1"/>
      <c r="B861" s="7"/>
      <c r="C861" s="170"/>
      <c r="D861" s="331">
        <v>854</v>
      </c>
      <c r="E861" s="544">
        <f>+DATE(YEAR(E860),MONTH(E860)-1,DAY(E860))</f>
        <v>25569.041666666668</v>
      </c>
      <c r="F861" s="333">
        <f>IF(DATE(YEAR($B$6),MONTH($B$6)+1,DAY(1))=E861,1,IF(MONTH(E861)=1,F862*(1+$F$5),F862))</f>
      </c>
      <c r="G861" s="333">
        <f>IF('Simulador - 1º Pilar'!$E$99="Sí",IF('Aportaciones Poliza'!$B$13&lt;'Aportaciones Poliza'!E861,0,F861*$B$8/12),F861*$B$8/12)</f>
      </c>
      <c r="H861" s="333">
        <f>$H$5*G861</f>
      </c>
      <c r="I861" s="333"/>
      <c r="J861" s="333">
        <f>(1+$M$5)^(D861/12)*(H861+IF(AND(F861=1,F862=0),$Q$4,0))</f>
      </c>
      <c r="K861" s="333">
        <f>(1+$M$5)^(D861/12)*(I861)</f>
      </c>
      <c r="L861" s="333">
        <f>K861+J861</f>
      </c>
      <c r="M861" s="170"/>
      <c r="N861" s="7"/>
      <c r="O861" s="1"/>
      <c r="P861" s="331">
        <f>D861</f>
      </c>
      <c r="Q861" s="169"/>
    </row>
    <row x14ac:dyDescent="0.25" r="862" customHeight="1" ht="18.75">
      <c r="A862" s="1"/>
      <c r="B862" s="7"/>
      <c r="C862" s="170"/>
      <c r="D862" s="331">
        <v>855</v>
      </c>
      <c r="E862" s="544">
        <f>+DATE(YEAR(E861),MONTH(E861)-1,DAY(E861))</f>
        <v>25569.041666666668</v>
      </c>
      <c r="F862" s="333">
        <f>IF(DATE(YEAR($B$6),MONTH($B$6)+1,DAY(1))=E862,1,IF(MONTH(E862)=1,F863*(1+$F$5),F863))</f>
      </c>
      <c r="G862" s="333">
        <f>IF('Simulador - 1º Pilar'!$E$99="Sí",IF('Aportaciones Poliza'!$B$13&lt;'Aportaciones Poliza'!E862,0,F862*$B$8/12),F862*$B$8/12)</f>
      </c>
      <c r="H862" s="333">
        <f>$H$5*G862</f>
      </c>
      <c r="I862" s="333"/>
      <c r="J862" s="333">
        <f>(1+$M$5)^(D862/12)*(H862+IF(AND(F862=1,F863=0),$Q$4,0))</f>
      </c>
      <c r="K862" s="333">
        <f>(1+$M$5)^(D862/12)*(I862)</f>
      </c>
      <c r="L862" s="333">
        <f>K862+J862</f>
      </c>
      <c r="M862" s="170"/>
      <c r="N862" s="7"/>
      <c r="O862" s="1"/>
      <c r="P862" s="331">
        <f>D862</f>
      </c>
      <c r="Q862" s="169"/>
    </row>
    <row x14ac:dyDescent="0.25" r="863" customHeight="1" ht="18.75">
      <c r="A863" s="1"/>
      <c r="B863" s="7"/>
      <c r="C863" s="170"/>
      <c r="D863" s="331">
        <v>856</v>
      </c>
      <c r="E863" s="544">
        <f>+DATE(YEAR(E862),MONTH(E862)-1,DAY(E862))</f>
        <v>25569.041666666668</v>
      </c>
      <c r="F863" s="333">
        <f>IF(DATE(YEAR($B$6),MONTH($B$6)+1,DAY(1))=E863,1,IF(MONTH(E863)=1,F864*(1+$F$5),F864))</f>
      </c>
      <c r="G863" s="333">
        <f>IF('Simulador - 1º Pilar'!$E$99="Sí",IF('Aportaciones Poliza'!$B$13&lt;'Aportaciones Poliza'!E863,0,F863*$B$8/12),F863*$B$8/12)</f>
      </c>
      <c r="H863" s="333">
        <f>$H$5*G863</f>
      </c>
      <c r="I863" s="333"/>
      <c r="J863" s="333">
        <f>(1+$M$5)^(D863/12)*(H863+IF(AND(F863=1,F864=0),$Q$4,0))</f>
      </c>
      <c r="K863" s="333">
        <f>(1+$M$5)^(D863/12)*(I863)</f>
      </c>
      <c r="L863" s="333">
        <f>K863+J863</f>
      </c>
      <c r="M863" s="170"/>
      <c r="N863" s="7"/>
      <c r="O863" s="1"/>
      <c r="P863" s="331">
        <f>D863</f>
      </c>
      <c r="Q863" s="169"/>
    </row>
    <row x14ac:dyDescent="0.25" r="864" customHeight="1" ht="18.75">
      <c r="A864" s="1"/>
      <c r="B864" s="7"/>
      <c r="C864" s="170"/>
      <c r="D864" s="331">
        <v>857</v>
      </c>
      <c r="E864" s="544">
        <f>+DATE(YEAR(E863),MONTH(E863)-1,DAY(E863))</f>
        <v>25569.041666666668</v>
      </c>
      <c r="F864" s="333">
        <f>IF(DATE(YEAR($B$6),MONTH($B$6)+1,DAY(1))=E864,1,IF(MONTH(E864)=1,F865*(1+$F$5),F865))</f>
      </c>
      <c r="G864" s="333">
        <f>IF('Simulador - 1º Pilar'!$E$99="Sí",IF('Aportaciones Poliza'!$B$13&lt;'Aportaciones Poliza'!E864,0,F864*$B$8/12),F864*$B$8/12)</f>
      </c>
      <c r="H864" s="333">
        <f>$H$5*G864</f>
      </c>
      <c r="I864" s="333"/>
      <c r="J864" s="333">
        <f>(1+$M$5)^(D864/12)*(H864+IF(AND(F864=1,F865=0),$Q$4,0))</f>
      </c>
      <c r="K864" s="333">
        <f>(1+$M$5)^(D864/12)*(I864)</f>
      </c>
      <c r="L864" s="333">
        <f>K864+J864</f>
      </c>
      <c r="M864" s="170"/>
      <c r="N864" s="7"/>
      <c r="O864" s="1"/>
      <c r="P864" s="331">
        <f>D864</f>
      </c>
      <c r="Q864" s="169"/>
    </row>
    <row x14ac:dyDescent="0.25" r="865" customHeight="1" ht="18.75">
      <c r="A865" s="1"/>
      <c r="B865" s="7"/>
      <c r="C865" s="170"/>
      <c r="D865" s="331">
        <v>858</v>
      </c>
      <c r="E865" s="544">
        <f>+DATE(YEAR(E864),MONTH(E864)-1,DAY(E864))</f>
        <v>25569.041666666668</v>
      </c>
      <c r="F865" s="333">
        <f>IF(DATE(YEAR($B$6),MONTH($B$6)+1,DAY(1))=E865,1,IF(MONTH(E865)=1,F866*(1+$F$5),F866))</f>
      </c>
      <c r="G865" s="333">
        <f>IF('Simulador - 1º Pilar'!$E$99="Sí",IF('Aportaciones Poliza'!$B$13&lt;'Aportaciones Poliza'!E865,0,F865*$B$8/12),F865*$B$8/12)</f>
      </c>
      <c r="H865" s="333">
        <f>$H$5*G865</f>
      </c>
      <c r="I865" s="333"/>
      <c r="J865" s="333">
        <f>(1+$M$5)^(D865/12)*(H865+IF(AND(F865=1,F866=0),$Q$4,0))</f>
      </c>
      <c r="K865" s="333">
        <f>(1+$M$5)^(D865/12)*(I865)</f>
      </c>
      <c r="L865" s="333">
        <f>K865+J865</f>
      </c>
      <c r="M865" s="170"/>
      <c r="N865" s="7"/>
      <c r="O865" s="1"/>
      <c r="P865" s="331">
        <f>D865</f>
      </c>
      <c r="Q865" s="169"/>
    </row>
    <row x14ac:dyDescent="0.25" r="866" customHeight="1" ht="18.75">
      <c r="A866" s="1"/>
      <c r="B866" s="7"/>
      <c r="C866" s="170"/>
      <c r="D866" s="331">
        <v>859</v>
      </c>
      <c r="E866" s="544">
        <f>+DATE(YEAR(E865),MONTH(E865)-1,DAY(E865))</f>
        <v>25569.041666666668</v>
      </c>
      <c r="F866" s="333">
        <f>IF(DATE(YEAR($B$6),MONTH($B$6)+1,DAY(1))=E866,1,IF(MONTH(E866)=1,F867*(1+$F$5),F867))</f>
      </c>
      <c r="G866" s="333">
        <f>IF('Simulador - 1º Pilar'!$E$99="Sí",IF('Aportaciones Poliza'!$B$13&lt;'Aportaciones Poliza'!E866,0,F866*$B$8/12),F866*$B$8/12)</f>
      </c>
      <c r="H866" s="333">
        <f>$H$5*G866</f>
      </c>
      <c r="I866" s="333"/>
      <c r="J866" s="333">
        <f>(1+$M$5)^(D866/12)*(H866+IF(AND(F866=1,F867=0),$Q$4,0))</f>
      </c>
      <c r="K866" s="333">
        <f>(1+$M$5)^(D866/12)*(I866)</f>
      </c>
      <c r="L866" s="333">
        <f>K866+J866</f>
      </c>
      <c r="M866" s="170"/>
      <c r="N866" s="7"/>
      <c r="O866" s="1"/>
      <c r="P866" s="331">
        <f>D866</f>
      </c>
      <c r="Q866" s="169"/>
    </row>
    <row x14ac:dyDescent="0.25" r="867" customHeight="1" ht="18.75">
      <c r="A867" s="1"/>
      <c r="B867" s="7"/>
      <c r="C867" s="170"/>
      <c r="D867" s="331">
        <v>860</v>
      </c>
      <c r="E867" s="544">
        <f>+DATE(YEAR(E866),MONTH(E866)-1,DAY(E866))</f>
        <v>25569.041666666668</v>
      </c>
      <c r="F867" s="333">
        <f>IF(DATE(YEAR($B$6),MONTH($B$6)+1,DAY(1))=E867,1,IF(MONTH(E867)=1,F868*(1+$F$5),F868))</f>
      </c>
      <c r="G867" s="333">
        <f>IF('Simulador - 1º Pilar'!$E$99="Sí",IF('Aportaciones Poliza'!$B$13&lt;'Aportaciones Poliza'!E867,0,F867*$B$8/12),F867*$B$8/12)</f>
      </c>
      <c r="H867" s="333">
        <f>$H$5*G867</f>
      </c>
      <c r="I867" s="333"/>
      <c r="J867" s="333">
        <f>(1+$M$5)^(D867/12)*(H867+IF(AND(F867=1,F868=0),$Q$4,0))</f>
      </c>
      <c r="K867" s="333">
        <f>(1+$M$5)^(D867/12)*(I867)</f>
      </c>
      <c r="L867" s="333">
        <f>K867+J867</f>
      </c>
      <c r="M867" s="170"/>
      <c r="N867" s="7"/>
      <c r="O867" s="1"/>
      <c r="P867" s="331">
        <f>D867</f>
      </c>
      <c r="Q867" s="169"/>
    </row>
    <row x14ac:dyDescent="0.25" r="868" customHeight="1" ht="18.75">
      <c r="A868" s="1"/>
      <c r="B868" s="7"/>
      <c r="C868" s="170"/>
      <c r="D868" s="331">
        <v>861</v>
      </c>
      <c r="E868" s="544">
        <f>+DATE(YEAR(E867),MONTH(E867)-1,DAY(E867))</f>
        <v>25569.041666666668</v>
      </c>
      <c r="F868" s="333">
        <f>IF(DATE(YEAR($B$6),MONTH($B$6)+1,DAY(1))=E868,1,IF(MONTH(E868)=1,F869*(1+$F$5),F869))</f>
      </c>
      <c r="G868" s="333">
        <f>IF('Simulador - 1º Pilar'!$E$99="Sí",IF('Aportaciones Poliza'!$B$13&lt;'Aportaciones Poliza'!E868,0,F868*$B$8/12),F868*$B$8/12)</f>
      </c>
      <c r="H868" s="333">
        <f>$H$5*G868</f>
      </c>
      <c r="I868" s="333"/>
      <c r="J868" s="333">
        <f>(1+$M$5)^(D868/12)*(H868+IF(AND(F868=1,F869=0),$Q$4,0))</f>
      </c>
      <c r="K868" s="333">
        <f>(1+$M$5)^(D868/12)*(I868)</f>
      </c>
      <c r="L868" s="333">
        <f>K868+J868</f>
      </c>
      <c r="M868" s="170"/>
      <c r="N868" s="7"/>
      <c r="O868" s="1"/>
      <c r="P868" s="331">
        <f>D868</f>
      </c>
      <c r="Q868" s="169"/>
    </row>
    <row x14ac:dyDescent="0.25" r="869" customHeight="1" ht="18.75">
      <c r="A869" s="1"/>
      <c r="B869" s="7"/>
      <c r="C869" s="170"/>
      <c r="D869" s="331">
        <v>862</v>
      </c>
      <c r="E869" s="544">
        <f>+DATE(YEAR(E868),MONTH(E868)-1,DAY(E868))</f>
        <v>25569.041666666668</v>
      </c>
      <c r="F869" s="333">
        <f>IF(DATE(YEAR($B$6),MONTH($B$6)+1,DAY(1))=E869,1,IF(MONTH(E869)=1,F870*(1+$F$5),F870))</f>
      </c>
      <c r="G869" s="333">
        <f>IF('Simulador - 1º Pilar'!$E$99="Sí",IF('Aportaciones Poliza'!$B$13&lt;'Aportaciones Poliza'!E869,0,F869*$B$8/12),F869*$B$8/12)</f>
      </c>
      <c r="H869" s="333">
        <f>$H$5*G869</f>
      </c>
      <c r="I869" s="333"/>
      <c r="J869" s="333">
        <f>(1+$M$5)^(D869/12)*(H869+IF(AND(F869=1,F870=0),$Q$4,0))</f>
      </c>
      <c r="K869" s="333">
        <f>(1+$M$5)^(D869/12)*(I869)</f>
      </c>
      <c r="L869" s="333">
        <f>K869+J869</f>
      </c>
      <c r="M869" s="170"/>
      <c r="N869" s="7"/>
      <c r="O869" s="1"/>
      <c r="P869" s="331">
        <f>D869</f>
      </c>
      <c r="Q869" s="169"/>
    </row>
    <row x14ac:dyDescent="0.25" r="870" customHeight="1" ht="18.75">
      <c r="A870" s="1"/>
      <c r="B870" s="7"/>
      <c r="C870" s="170"/>
      <c r="D870" s="331">
        <v>863</v>
      </c>
      <c r="E870" s="544">
        <f>+DATE(YEAR(E869),MONTH(E869)-1,DAY(E869))</f>
        <v>25569.041666666668</v>
      </c>
      <c r="F870" s="333">
        <f>IF(DATE(YEAR($B$6),MONTH($B$6)+1,DAY(1))=E870,1,IF(MONTH(E870)=1,F871*(1+$F$5),F871))</f>
      </c>
      <c r="G870" s="333">
        <f>IF('Simulador - 1º Pilar'!$E$99="Sí",IF('Aportaciones Poliza'!$B$13&lt;'Aportaciones Poliza'!E870,0,F870*$B$8/12),F870*$B$8/12)</f>
      </c>
      <c r="H870" s="333">
        <f>$H$5*G870</f>
      </c>
      <c r="I870" s="333"/>
      <c r="J870" s="333">
        <f>(1+$M$5)^(D870/12)*(H870+IF(AND(F870=1,F871=0),$Q$4,0))</f>
      </c>
      <c r="K870" s="333">
        <f>(1+$M$5)^(D870/12)*(I870)</f>
      </c>
      <c r="L870" s="333">
        <f>K870+J870</f>
      </c>
      <c r="M870" s="170"/>
      <c r="N870" s="7"/>
      <c r="O870" s="1"/>
      <c r="P870" s="331">
        <f>D870</f>
      </c>
      <c r="Q870" s="169"/>
    </row>
    <row x14ac:dyDescent="0.25" r="871" customHeight="1" ht="18.75">
      <c r="A871" s="1"/>
      <c r="B871" s="7"/>
      <c r="C871" s="170"/>
      <c r="D871" s="331">
        <v>864</v>
      </c>
      <c r="E871" s="544">
        <f>+DATE(YEAR(E870),MONTH(E870)-1,DAY(E870))</f>
        <v>25569.041666666668</v>
      </c>
      <c r="F871" s="333">
        <f>IF(DATE(YEAR($B$6),MONTH($B$6)+1,DAY(1))=E871,1,IF(MONTH(E871)=1,F872*(1+$F$5),F872))</f>
      </c>
      <c r="G871" s="333">
        <f>IF('Simulador - 1º Pilar'!$E$99="Sí",IF('Aportaciones Poliza'!$B$13&lt;'Aportaciones Poliza'!E871,0,F871*$B$8/12),F871*$B$8/12)</f>
      </c>
      <c r="H871" s="333">
        <f>$H$5*G871</f>
      </c>
      <c r="I871" s="333"/>
      <c r="J871" s="333">
        <f>(1+$M$5)^(D871/12)*(H871+IF(AND(F871=1,F872=0),$Q$4,0))</f>
      </c>
      <c r="K871" s="333">
        <f>(1+$M$5)^(D871/12)*(I871)</f>
      </c>
      <c r="L871" s="333">
        <f>K871+J871</f>
      </c>
      <c r="M871" s="170"/>
      <c r="N871" s="7"/>
      <c r="O871" s="1"/>
      <c r="P871" s="331">
        <f>D871</f>
      </c>
      <c r="Q871" s="169"/>
    </row>
    <row x14ac:dyDescent="0.25" r="872" customHeight="1" ht="18.75">
      <c r="A872" s="1"/>
      <c r="B872" s="7"/>
      <c r="C872" s="170"/>
      <c r="D872" s="331">
        <v>865</v>
      </c>
      <c r="E872" s="544">
        <f>+DATE(YEAR(E871),MONTH(E871)-1,DAY(E871))</f>
        <v>25569.041666666668</v>
      </c>
      <c r="F872" s="333">
        <f>IF(DATE(YEAR($B$6),MONTH($B$6)+1,DAY(1))=E872,1,IF(MONTH(E872)=1,F873*(1+$F$5),F873))</f>
      </c>
      <c r="G872" s="333">
        <f>IF('Simulador - 1º Pilar'!$E$99="Sí",IF('Aportaciones Poliza'!$B$13&lt;'Aportaciones Poliza'!E872,0,F872*$B$8/12),F872*$B$8/12)</f>
      </c>
      <c r="H872" s="333">
        <f>$H$5*G872</f>
      </c>
      <c r="I872" s="333"/>
      <c r="J872" s="333">
        <f>(1+$M$5)^(D872/12)*(H872+IF(AND(F872=1,F873=0),$Q$4,0))</f>
      </c>
      <c r="K872" s="333">
        <f>(1+$M$5)^(D872/12)*(I872)</f>
      </c>
      <c r="L872" s="333">
        <f>K872+J872</f>
      </c>
      <c r="M872" s="170"/>
      <c r="N872" s="7"/>
      <c r="O872" s="1"/>
      <c r="P872" s="331">
        <f>D872</f>
      </c>
      <c r="Q872" s="169"/>
    </row>
    <row x14ac:dyDescent="0.25" r="873" customHeight="1" ht="18.75">
      <c r="A873" s="1"/>
      <c r="B873" s="7"/>
      <c r="C873" s="170"/>
      <c r="D873" s="331">
        <v>866</v>
      </c>
      <c r="E873" s="544">
        <f>+DATE(YEAR(E872),MONTH(E872)-1,DAY(E872))</f>
        <v>25569.041666666668</v>
      </c>
      <c r="F873" s="333">
        <f>IF(DATE(YEAR($B$6),MONTH($B$6)+1,DAY(1))=E873,1,IF(MONTH(E873)=1,F874*(1+$F$5),F874))</f>
      </c>
      <c r="G873" s="333">
        <f>IF('Simulador - 1º Pilar'!$E$99="Sí",IF('Aportaciones Poliza'!$B$13&lt;'Aportaciones Poliza'!E873,0,F873*$B$8/12),F873*$B$8/12)</f>
      </c>
      <c r="H873" s="333">
        <f>$H$5*G873</f>
      </c>
      <c r="I873" s="333"/>
      <c r="J873" s="333">
        <f>(1+$M$5)^(D873/12)*(H873+IF(AND(F873=1,F874=0),$Q$4,0))</f>
      </c>
      <c r="K873" s="333">
        <f>(1+$M$5)^(D873/12)*(I873)</f>
      </c>
      <c r="L873" s="333">
        <f>K873+J873</f>
      </c>
      <c r="M873" s="170"/>
      <c r="N873" s="7"/>
      <c r="O873" s="1"/>
      <c r="P873" s="331">
        <f>D873</f>
      </c>
      <c r="Q873" s="169"/>
    </row>
    <row x14ac:dyDescent="0.25" r="874" customHeight="1" ht="18.75">
      <c r="A874" s="1"/>
      <c r="B874" s="7"/>
      <c r="C874" s="170"/>
      <c r="D874" s="331">
        <v>867</v>
      </c>
      <c r="E874" s="544">
        <f>+DATE(YEAR(E873),MONTH(E873)-1,DAY(E873))</f>
        <v>25569.041666666668</v>
      </c>
      <c r="F874" s="333">
        <f>IF(DATE(YEAR($B$6),MONTH($B$6)+1,DAY(1))=E874,1,IF(MONTH(E874)=1,F875*(1+$F$5),F875))</f>
      </c>
      <c r="G874" s="333">
        <f>IF('Simulador - 1º Pilar'!$E$99="Sí",IF('Aportaciones Poliza'!$B$13&lt;'Aportaciones Poliza'!E874,0,F874*$B$8/12),F874*$B$8/12)</f>
      </c>
      <c r="H874" s="333">
        <f>$H$5*G874</f>
      </c>
      <c r="I874" s="333"/>
      <c r="J874" s="333">
        <f>(1+$M$5)^(D874/12)*(H874+IF(AND(F874=1,F875=0),$Q$4,0))</f>
      </c>
      <c r="K874" s="333">
        <f>(1+$M$5)^(D874/12)*(I874)</f>
      </c>
      <c r="L874" s="333">
        <f>K874+J874</f>
      </c>
      <c r="M874" s="170"/>
      <c r="N874" s="7"/>
      <c r="O874" s="1"/>
      <c r="P874" s="331">
        <f>D874</f>
      </c>
      <c r="Q874" s="169"/>
    </row>
    <row x14ac:dyDescent="0.25" r="875" customHeight="1" ht="18.75">
      <c r="A875" s="1"/>
      <c r="B875" s="7"/>
      <c r="C875" s="170"/>
      <c r="D875" s="331">
        <v>868</v>
      </c>
      <c r="E875" s="544">
        <f>+DATE(YEAR(E874),MONTH(E874)-1,DAY(E874))</f>
        <v>25569.041666666668</v>
      </c>
      <c r="F875" s="333">
        <f>IF(DATE(YEAR($B$6),MONTH($B$6)+1,DAY(1))=E875,1,IF(MONTH(E875)=1,F876*(1+$F$5),F876))</f>
      </c>
      <c r="G875" s="333">
        <f>IF('Simulador - 1º Pilar'!$E$99="Sí",IF('Aportaciones Poliza'!$B$13&lt;'Aportaciones Poliza'!E875,0,F875*$B$8/12),F875*$B$8/12)</f>
      </c>
      <c r="H875" s="333">
        <f>$H$5*G875</f>
      </c>
      <c r="I875" s="333"/>
      <c r="J875" s="333">
        <f>(1+$M$5)^(D875/12)*(H875+IF(AND(F875=1,F876=0),$Q$4,0))</f>
      </c>
      <c r="K875" s="333">
        <f>(1+$M$5)^(D875/12)*(I875)</f>
      </c>
      <c r="L875" s="333">
        <f>K875+J875</f>
      </c>
      <c r="M875" s="170"/>
      <c r="N875" s="7"/>
      <c r="O875" s="1"/>
      <c r="P875" s="331">
        <f>D875</f>
      </c>
      <c r="Q875" s="169"/>
    </row>
    <row x14ac:dyDescent="0.25" r="876" customHeight="1" ht="18.75">
      <c r="A876" s="1"/>
      <c r="B876" s="7"/>
      <c r="C876" s="170"/>
      <c r="D876" s="331">
        <v>869</v>
      </c>
      <c r="E876" s="544">
        <f>+DATE(YEAR(E875),MONTH(E875)-1,DAY(E875))</f>
        <v>25569.041666666668</v>
      </c>
      <c r="F876" s="333">
        <f>IF(DATE(YEAR($B$6),MONTH($B$6)+1,DAY(1))=E876,1,IF(MONTH(E876)=1,F877*(1+$F$5),F877))</f>
      </c>
      <c r="G876" s="333">
        <f>IF('Simulador - 1º Pilar'!$E$99="Sí",IF('Aportaciones Poliza'!$B$13&lt;'Aportaciones Poliza'!E876,0,F876*$B$8/12),F876*$B$8/12)</f>
      </c>
      <c r="H876" s="333">
        <f>$H$5*G876</f>
      </c>
      <c r="I876" s="333"/>
      <c r="J876" s="333">
        <f>(1+$M$5)^(D876/12)*(H876+IF(AND(F876=1,F877=0),$Q$4,0))</f>
      </c>
      <c r="K876" s="333">
        <f>(1+$M$5)^(D876/12)*(I876)</f>
      </c>
      <c r="L876" s="333">
        <f>K876+J876</f>
      </c>
      <c r="M876" s="170"/>
      <c r="N876" s="7"/>
      <c r="O876" s="1"/>
      <c r="P876" s="331">
        <f>D876</f>
      </c>
      <c r="Q876" s="169"/>
    </row>
    <row x14ac:dyDescent="0.25" r="877" customHeight="1" ht="18.75">
      <c r="A877" s="1"/>
      <c r="B877" s="7"/>
      <c r="C877" s="170"/>
      <c r="D877" s="331">
        <v>870</v>
      </c>
      <c r="E877" s="544">
        <f>+DATE(YEAR(E876),MONTH(E876)-1,DAY(E876))</f>
        <v>25569.041666666668</v>
      </c>
      <c r="F877" s="333">
        <f>IF(DATE(YEAR($B$6),MONTH($B$6)+1,DAY(1))=E877,1,IF(MONTH(E877)=1,F878*(1+$F$5),F878))</f>
      </c>
      <c r="G877" s="333">
        <f>IF('Simulador - 1º Pilar'!$E$99="Sí",IF('Aportaciones Poliza'!$B$13&lt;'Aportaciones Poliza'!E877,0,F877*$B$8/12),F877*$B$8/12)</f>
      </c>
      <c r="H877" s="333">
        <f>$H$5*G877</f>
      </c>
      <c r="I877" s="333"/>
      <c r="J877" s="333">
        <f>(1+$M$5)^(D877/12)*(H877+IF(AND(F877=1,F878=0),$Q$4,0))</f>
      </c>
      <c r="K877" s="333">
        <f>(1+$M$5)^(D877/12)*(I877)</f>
      </c>
      <c r="L877" s="333">
        <f>K877+J877</f>
      </c>
      <c r="M877" s="170"/>
      <c r="N877" s="7"/>
      <c r="O877" s="1"/>
      <c r="P877" s="331">
        <f>D877</f>
      </c>
      <c r="Q877" s="169"/>
    </row>
    <row x14ac:dyDescent="0.25" r="878" customHeight="1" ht="18.75">
      <c r="A878" s="1"/>
      <c r="B878" s="7"/>
      <c r="C878" s="170"/>
      <c r="D878" s="331">
        <v>871</v>
      </c>
      <c r="E878" s="544">
        <f>+DATE(YEAR(E877),MONTH(E877)-1,DAY(E877))</f>
        <v>25569.041666666668</v>
      </c>
      <c r="F878" s="333">
        <f>IF(DATE(YEAR($B$6),MONTH($B$6)+1,DAY(1))=E878,1,IF(MONTH(E878)=1,F879*(1+$F$5),F879))</f>
      </c>
      <c r="G878" s="333">
        <f>IF('Simulador - 1º Pilar'!$E$99="Sí",IF('Aportaciones Poliza'!$B$13&lt;'Aportaciones Poliza'!E878,0,F878*$B$8/12),F878*$B$8/12)</f>
      </c>
      <c r="H878" s="333">
        <f>$H$5*G878</f>
      </c>
      <c r="I878" s="333"/>
      <c r="J878" s="333">
        <f>(1+$M$5)^(D878/12)*(H878+IF(AND(F878=1,F879=0),$Q$4,0))</f>
      </c>
      <c r="K878" s="333">
        <f>(1+$M$5)^(D878/12)*(I878)</f>
      </c>
      <c r="L878" s="333">
        <f>K878+J878</f>
      </c>
      <c r="M878" s="170"/>
      <c r="N878" s="7"/>
      <c r="O878" s="1"/>
      <c r="P878" s="331">
        <f>D878</f>
      </c>
      <c r="Q878" s="169"/>
    </row>
    <row x14ac:dyDescent="0.25" r="879" customHeight="1" ht="18.75">
      <c r="A879" s="1"/>
      <c r="B879" s="7"/>
      <c r="C879" s="170"/>
      <c r="D879" s="331">
        <v>872</v>
      </c>
      <c r="E879" s="544">
        <f>+DATE(YEAR(E878),MONTH(E878)-1,DAY(E878))</f>
        <v>25569.041666666668</v>
      </c>
      <c r="F879" s="333">
        <f>IF(DATE(YEAR($B$6),MONTH($B$6)+1,DAY(1))=E879,1,IF(MONTH(E879)=1,F880*(1+$F$5),F880))</f>
      </c>
      <c r="G879" s="333">
        <f>IF('Simulador - 1º Pilar'!$E$99="Sí",IF('Aportaciones Poliza'!$B$13&lt;'Aportaciones Poliza'!E879,0,F879*$B$8/12),F879*$B$8/12)</f>
      </c>
      <c r="H879" s="333">
        <f>$H$5*G879</f>
      </c>
      <c r="I879" s="333"/>
      <c r="J879" s="333">
        <f>(1+$M$5)^(D879/12)*(H879+IF(AND(F879=1,F880=0),$Q$4,0))</f>
      </c>
      <c r="K879" s="333">
        <f>(1+$M$5)^(D879/12)*(I879)</f>
      </c>
      <c r="L879" s="333">
        <f>K879+J879</f>
      </c>
      <c r="M879" s="170"/>
      <c r="N879" s="7"/>
      <c r="O879" s="1"/>
      <c r="P879" s="331">
        <f>D879</f>
      </c>
      <c r="Q879" s="169"/>
    </row>
    <row x14ac:dyDescent="0.25" r="880" customHeight="1" ht="18.75">
      <c r="A880" s="1"/>
      <c r="B880" s="7"/>
      <c r="C880" s="170"/>
      <c r="D880" s="331">
        <v>873</v>
      </c>
      <c r="E880" s="544">
        <f>+DATE(YEAR(E879),MONTH(E879)-1,DAY(E879))</f>
        <v>25569.041666666668</v>
      </c>
      <c r="F880" s="333">
        <f>IF(DATE(YEAR($B$6),MONTH($B$6)+1,DAY(1))=E880,1,IF(MONTH(E880)=1,F881*(1+$F$5),F881))</f>
      </c>
      <c r="G880" s="333">
        <f>IF('Simulador - 1º Pilar'!$E$99="Sí",IF('Aportaciones Poliza'!$B$13&lt;'Aportaciones Poliza'!E880,0,F880*$B$8/12),F880*$B$8/12)</f>
      </c>
      <c r="H880" s="333">
        <f>$H$5*G880</f>
      </c>
      <c r="I880" s="333"/>
      <c r="J880" s="333">
        <f>(1+$M$5)^(D880/12)*(H880+IF(AND(F880=1,F881=0),$Q$4,0))</f>
      </c>
      <c r="K880" s="333">
        <f>(1+$M$5)^(D880/12)*(I880)</f>
      </c>
      <c r="L880" s="333">
        <f>K880+J880</f>
      </c>
      <c r="M880" s="170"/>
      <c r="N880" s="7"/>
      <c r="O880" s="1"/>
      <c r="P880" s="331">
        <f>D880</f>
      </c>
      <c r="Q880" s="169"/>
    </row>
    <row x14ac:dyDescent="0.25" r="881" customHeight="1" ht="18.75">
      <c r="A881" s="1"/>
      <c r="B881" s="7"/>
      <c r="C881" s="170"/>
      <c r="D881" s="331">
        <v>874</v>
      </c>
      <c r="E881" s="544">
        <f>+DATE(YEAR(E880),MONTH(E880)-1,DAY(E880))</f>
        <v>25569.041666666668</v>
      </c>
      <c r="F881" s="333">
        <f>IF(DATE(YEAR($B$6),MONTH($B$6)+1,DAY(1))=E881,1,IF(MONTH(E881)=1,F882*(1+$F$5),F882))</f>
      </c>
      <c r="G881" s="333">
        <f>IF('Simulador - 1º Pilar'!$E$99="Sí",IF('Aportaciones Poliza'!$B$13&lt;'Aportaciones Poliza'!E881,0,F881*$B$8/12),F881*$B$8/12)</f>
      </c>
      <c r="H881" s="333">
        <f>$H$5*G881</f>
      </c>
      <c r="I881" s="333"/>
      <c r="J881" s="333">
        <f>(1+$M$5)^(D881/12)*(H881+IF(AND(F881=1,F882=0),$Q$4,0))</f>
      </c>
      <c r="K881" s="333">
        <f>(1+$M$5)^(D881/12)*(I881)</f>
      </c>
      <c r="L881" s="333">
        <f>K881+J881</f>
      </c>
      <c r="M881" s="170"/>
      <c r="N881" s="7"/>
      <c r="O881" s="1"/>
      <c r="P881" s="331">
        <f>D881</f>
      </c>
      <c r="Q881" s="169"/>
    </row>
    <row x14ac:dyDescent="0.25" r="882" customHeight="1" ht="18.75">
      <c r="A882" s="1"/>
      <c r="B882" s="7"/>
      <c r="C882" s="170"/>
      <c r="D882" s="331">
        <v>875</v>
      </c>
      <c r="E882" s="544">
        <f>+DATE(YEAR(E881),MONTH(E881)-1,DAY(E881))</f>
        <v>25569.041666666668</v>
      </c>
      <c r="F882" s="333">
        <f>IF(DATE(YEAR($B$6),MONTH($B$6)+1,DAY(1))=E882,1,IF(MONTH(E882)=1,F883*(1+$F$5),F883))</f>
      </c>
      <c r="G882" s="333">
        <f>IF('Simulador - 1º Pilar'!$E$99="Sí",IF('Aportaciones Poliza'!$B$13&lt;'Aportaciones Poliza'!E882,0,F882*$B$8/12),F882*$B$8/12)</f>
      </c>
      <c r="H882" s="333">
        <f>$H$5*G882</f>
      </c>
      <c r="I882" s="333"/>
      <c r="J882" s="333">
        <f>(1+$M$5)^(D882/12)*(H882+IF(AND(F882=1,F883=0),$Q$4,0))</f>
      </c>
      <c r="K882" s="333">
        <f>(1+$M$5)^(D882/12)*(I882)</f>
      </c>
      <c r="L882" s="333">
        <f>K882+J882</f>
      </c>
      <c r="M882" s="170"/>
      <c r="N882" s="7"/>
      <c r="O882" s="1"/>
      <c r="P882" s="331">
        <f>D882</f>
      </c>
      <c r="Q882" s="169"/>
    </row>
    <row x14ac:dyDescent="0.25" r="883" customHeight="1" ht="18.75">
      <c r="A883" s="1"/>
      <c r="B883" s="7"/>
      <c r="C883" s="170"/>
      <c r="D883" s="331">
        <v>876</v>
      </c>
      <c r="E883" s="544">
        <f>+DATE(YEAR(E882),MONTH(E882)-1,DAY(E882))</f>
        <v>25569.041666666668</v>
      </c>
      <c r="F883" s="333">
        <f>IF(DATE(YEAR($B$6),MONTH($B$6)+1,DAY(1))=E883,1,IF(MONTH(E883)=1,F884*(1+$F$5),F884))</f>
      </c>
      <c r="G883" s="333">
        <f>IF('Simulador - 1º Pilar'!$E$99="Sí",IF('Aportaciones Poliza'!$B$13&lt;'Aportaciones Poliza'!E883,0,F883*$B$8/12),F883*$B$8/12)</f>
      </c>
      <c r="H883" s="333">
        <f>$H$5*G883</f>
      </c>
      <c r="I883" s="333"/>
      <c r="J883" s="333">
        <f>(1+$M$5)^(D883/12)*(H883+IF(AND(F883=1,F884=0),$Q$4,0))</f>
      </c>
      <c r="K883" s="333">
        <f>(1+$M$5)^(D883/12)*(I883)</f>
      </c>
      <c r="L883" s="333">
        <f>K883+J883</f>
      </c>
      <c r="M883" s="170"/>
      <c r="N883" s="7"/>
      <c r="O883" s="1"/>
      <c r="P883" s="331">
        <f>D883</f>
      </c>
      <c r="Q883" s="169"/>
    </row>
    <row x14ac:dyDescent="0.25" r="884" customHeight="1" ht="18.75">
      <c r="A884" s="1"/>
      <c r="B884" s="7"/>
      <c r="C884" s="170"/>
      <c r="D884" s="331">
        <v>877</v>
      </c>
      <c r="E884" s="544">
        <f>+DATE(YEAR(E883),MONTH(E883)-1,DAY(E883))</f>
        <v>25569.041666666668</v>
      </c>
      <c r="F884" s="333">
        <f>IF(DATE(YEAR($B$6),MONTH($B$6)+1,DAY(1))=E884,1,IF(MONTH(E884)=1,F885*(1+$F$5),F885))</f>
      </c>
      <c r="G884" s="333">
        <f>IF('Simulador - 1º Pilar'!$E$99="Sí",IF('Aportaciones Poliza'!$B$13&lt;'Aportaciones Poliza'!E884,0,F884*$B$8/12),F884*$B$8/12)</f>
      </c>
      <c r="H884" s="333">
        <f>$H$5*G884</f>
      </c>
      <c r="I884" s="333"/>
      <c r="J884" s="333">
        <f>(1+$M$5)^(D884/12)*(H884+IF(AND(F884=1,F885=0),$Q$4,0))</f>
      </c>
      <c r="K884" s="333">
        <f>(1+$M$5)^(D884/12)*(I884)</f>
      </c>
      <c r="L884" s="333">
        <f>K884+J884</f>
      </c>
      <c r="M884" s="170"/>
      <c r="N884" s="7"/>
      <c r="O884" s="1"/>
      <c r="P884" s="331">
        <f>D884</f>
      </c>
      <c r="Q884" s="169"/>
    </row>
    <row x14ac:dyDescent="0.25" r="885" customHeight="1" ht="18.75">
      <c r="A885" s="1"/>
      <c r="B885" s="7"/>
      <c r="C885" s="170"/>
      <c r="D885" s="331">
        <v>878</v>
      </c>
      <c r="E885" s="544">
        <f>+DATE(YEAR(E884),MONTH(E884)-1,DAY(E884))</f>
        <v>25569.041666666668</v>
      </c>
      <c r="F885" s="333">
        <f>IF(DATE(YEAR($B$6),MONTH($B$6)+1,DAY(1))=E885,1,IF(MONTH(E885)=1,F886*(1+$F$5),F886))</f>
      </c>
      <c r="G885" s="333">
        <f>IF('Simulador - 1º Pilar'!$E$99="Sí",IF('Aportaciones Poliza'!$B$13&lt;'Aportaciones Poliza'!E885,0,F885*$B$8/12),F885*$B$8/12)</f>
      </c>
      <c r="H885" s="333">
        <f>$H$5*G885</f>
      </c>
      <c r="I885" s="333"/>
      <c r="J885" s="333">
        <f>(1+$M$5)^(D885/12)*(H885+IF(AND(F885=1,F886=0),$Q$4,0))</f>
      </c>
      <c r="K885" s="333">
        <f>(1+$M$5)^(D885/12)*(I885)</f>
      </c>
      <c r="L885" s="333">
        <f>K885+J885</f>
      </c>
      <c r="M885" s="170"/>
      <c r="N885" s="7"/>
      <c r="O885" s="1"/>
      <c r="P885" s="331">
        <f>D885</f>
      </c>
      <c r="Q885" s="169"/>
    </row>
    <row x14ac:dyDescent="0.25" r="886" customHeight="1" ht="18.75">
      <c r="A886" s="1"/>
      <c r="B886" s="7"/>
      <c r="C886" s="170"/>
      <c r="D886" s="331">
        <v>879</v>
      </c>
      <c r="E886" s="544">
        <f>+DATE(YEAR(E885),MONTH(E885)-1,DAY(E885))</f>
        <v>25569.041666666668</v>
      </c>
      <c r="F886" s="333">
        <f>IF(DATE(YEAR($B$6),MONTH($B$6)+1,DAY(1))=E886,1,IF(MONTH(E886)=1,F887*(1+$F$5),F887))</f>
      </c>
      <c r="G886" s="333">
        <f>IF('Simulador - 1º Pilar'!$E$99="Sí",IF('Aportaciones Poliza'!$B$13&lt;'Aportaciones Poliza'!E886,0,F886*$B$8/12),F886*$B$8/12)</f>
      </c>
      <c r="H886" s="333">
        <f>$H$5*G886</f>
      </c>
      <c r="I886" s="333"/>
      <c r="J886" s="333">
        <f>(1+$M$5)^(D886/12)*(H886+IF(AND(F886=1,F887=0),$Q$4,0))</f>
      </c>
      <c r="K886" s="333">
        <f>(1+$M$5)^(D886/12)*(I886)</f>
      </c>
      <c r="L886" s="333">
        <f>K886+J886</f>
      </c>
      <c r="M886" s="170"/>
      <c r="N886" s="7"/>
      <c r="O886" s="1"/>
      <c r="P886" s="331">
        <f>D886</f>
      </c>
      <c r="Q886" s="169"/>
    </row>
    <row x14ac:dyDescent="0.25" r="887" customHeight="1" ht="18.75">
      <c r="A887" s="1"/>
      <c r="B887" s="7"/>
      <c r="C887" s="170"/>
      <c r="D887" s="331">
        <v>880</v>
      </c>
      <c r="E887" s="544">
        <f>+DATE(YEAR(E886),MONTH(E886)-1,DAY(E886))</f>
        <v>25569.041666666668</v>
      </c>
      <c r="F887" s="333">
        <f>IF(DATE(YEAR($B$6),MONTH($B$6)+1,DAY(1))=E887,1,IF(MONTH(E887)=1,F888*(1+$F$5),F888))</f>
      </c>
      <c r="G887" s="333">
        <f>IF('Simulador - 1º Pilar'!$E$99="Sí",IF('Aportaciones Poliza'!$B$13&lt;'Aportaciones Poliza'!E887,0,F887*$B$8/12),F887*$B$8/12)</f>
      </c>
      <c r="H887" s="333">
        <f>$H$5*G887</f>
      </c>
      <c r="I887" s="333"/>
      <c r="J887" s="333">
        <f>(1+$M$5)^(D887/12)*(H887+IF(AND(F887=1,F888=0),$Q$4,0))</f>
      </c>
      <c r="K887" s="333">
        <f>(1+$M$5)^(D887/12)*(I887)</f>
      </c>
      <c r="L887" s="333">
        <f>K887+J887</f>
      </c>
      <c r="M887" s="170"/>
      <c r="N887" s="7"/>
      <c r="O887" s="1"/>
      <c r="P887" s="331">
        <f>D887</f>
      </c>
      <c r="Q887" s="169"/>
    </row>
    <row x14ac:dyDescent="0.25" r="888" customHeight="1" ht="18.75">
      <c r="A888" s="1"/>
      <c r="B888" s="7"/>
      <c r="C888" s="170"/>
      <c r="D888" s="331">
        <v>881</v>
      </c>
      <c r="E888" s="544">
        <f>+DATE(YEAR(E887),MONTH(E887)-1,DAY(E887))</f>
        <v>25569.041666666668</v>
      </c>
      <c r="F888" s="333">
        <f>IF(DATE(YEAR($B$6),MONTH($B$6)+1,DAY(1))=E888,1,IF(MONTH(E888)=1,F889*(1+$F$5),F889))</f>
      </c>
      <c r="G888" s="333">
        <f>IF('Simulador - 1º Pilar'!$E$99="Sí",IF('Aportaciones Poliza'!$B$13&lt;'Aportaciones Poliza'!E888,0,F888*$B$8/12),F888*$B$8/12)</f>
      </c>
      <c r="H888" s="333">
        <f>$H$5*G888</f>
      </c>
      <c r="I888" s="333"/>
      <c r="J888" s="333">
        <f>(1+$M$5)^(D888/12)*(H888+IF(AND(F888=1,F889=0),$Q$4,0))</f>
      </c>
      <c r="K888" s="333">
        <f>(1+$M$5)^(D888/12)*(I888)</f>
      </c>
      <c r="L888" s="333">
        <f>K888+J888</f>
      </c>
      <c r="M888" s="170"/>
      <c r="N888" s="7"/>
      <c r="O888" s="1"/>
      <c r="P888" s="331">
        <f>D888</f>
      </c>
      <c r="Q888" s="169"/>
    </row>
    <row x14ac:dyDescent="0.25" r="889" customHeight="1" ht="18.75">
      <c r="A889" s="1"/>
      <c r="B889" s="7"/>
      <c r="C889" s="170"/>
      <c r="D889" s="331">
        <v>882</v>
      </c>
      <c r="E889" s="544">
        <f>+DATE(YEAR(E888),MONTH(E888)-1,DAY(E888))</f>
        <v>25569.041666666668</v>
      </c>
      <c r="F889" s="333">
        <f>IF(DATE(YEAR($B$6),MONTH($B$6)+1,DAY(1))=E889,1,IF(MONTH(E889)=1,F890*(1+$F$5),F890))</f>
      </c>
      <c r="G889" s="333">
        <f>IF('Simulador - 1º Pilar'!$E$99="Sí",IF('Aportaciones Poliza'!$B$13&lt;'Aportaciones Poliza'!E889,0,F889*$B$8/12),F889*$B$8/12)</f>
      </c>
      <c r="H889" s="333">
        <f>$H$5*G889</f>
      </c>
      <c r="I889" s="333"/>
      <c r="J889" s="333">
        <f>(1+$M$5)^(D889/12)*(H889+IF(AND(F889=1,F890=0),$Q$4,0))</f>
      </c>
      <c r="K889" s="333">
        <f>(1+$M$5)^(D889/12)*(I889)</f>
      </c>
      <c r="L889" s="333">
        <f>K889+J889</f>
      </c>
      <c r="M889" s="170"/>
      <c r="N889" s="7"/>
      <c r="O889" s="1"/>
      <c r="P889" s="331">
        <f>D889</f>
      </c>
      <c r="Q889" s="169"/>
    </row>
    <row x14ac:dyDescent="0.25" r="890" customHeight="1" ht="18.75">
      <c r="A890" s="1"/>
      <c r="B890" s="7"/>
      <c r="C890" s="170"/>
      <c r="D890" s="331">
        <v>883</v>
      </c>
      <c r="E890" s="544">
        <f>+DATE(YEAR(E889),MONTH(E889)-1,DAY(E889))</f>
        <v>25569.041666666668</v>
      </c>
      <c r="F890" s="333">
        <f>IF(DATE(YEAR($B$6),MONTH($B$6)+1,DAY(1))=E890,1,IF(MONTH(E890)=1,F891*(1+$F$5),F891))</f>
      </c>
      <c r="G890" s="333">
        <f>IF('Simulador - 1º Pilar'!$E$99="Sí",IF('Aportaciones Poliza'!$B$13&lt;'Aportaciones Poliza'!E890,0,F890*$B$8/12),F890*$B$8/12)</f>
      </c>
      <c r="H890" s="333">
        <f>$H$5*G890</f>
      </c>
      <c r="I890" s="333"/>
      <c r="J890" s="333">
        <f>(1+$M$5)^(D890/12)*(H890+IF(AND(F890=1,F891=0),$Q$4,0))</f>
      </c>
      <c r="K890" s="333">
        <f>(1+$M$5)^(D890/12)*(I890)</f>
      </c>
      <c r="L890" s="333">
        <f>K890+J890</f>
      </c>
      <c r="M890" s="170"/>
      <c r="N890" s="7"/>
      <c r="O890" s="1"/>
      <c r="P890" s="331">
        <f>D890</f>
      </c>
      <c r="Q890" s="169"/>
    </row>
    <row x14ac:dyDescent="0.25" r="891" customHeight="1" ht="18.75">
      <c r="A891" s="1"/>
      <c r="B891" s="7"/>
      <c r="C891" s="170"/>
      <c r="D891" s="331">
        <v>884</v>
      </c>
      <c r="E891" s="544">
        <f>+DATE(YEAR(E890),MONTH(E890)-1,DAY(E890))</f>
        <v>25569.041666666668</v>
      </c>
      <c r="F891" s="333">
        <f>IF(DATE(YEAR($B$6),MONTH($B$6)+1,DAY(1))=E891,1,IF(MONTH(E891)=1,F892*(1+$F$5),F892))</f>
      </c>
      <c r="G891" s="333">
        <f>IF('Simulador - 1º Pilar'!$E$99="Sí",IF('Aportaciones Poliza'!$B$13&lt;'Aportaciones Poliza'!E891,0,F891*$B$8/12),F891*$B$8/12)</f>
      </c>
      <c r="H891" s="333">
        <f>$H$5*G891</f>
      </c>
      <c r="I891" s="333"/>
      <c r="J891" s="333">
        <f>(1+$M$5)^(D891/12)*(H891+IF(AND(F891=1,F892=0),$Q$4,0))</f>
      </c>
      <c r="K891" s="333">
        <f>(1+$M$5)^(D891/12)*(I891)</f>
      </c>
      <c r="L891" s="333">
        <f>K891+J891</f>
      </c>
      <c r="M891" s="170"/>
      <c r="N891" s="7"/>
      <c r="O891" s="1"/>
      <c r="P891" s="331">
        <f>D891</f>
      </c>
      <c r="Q891" s="169"/>
    </row>
    <row x14ac:dyDescent="0.25" r="892" customHeight="1" ht="18.75">
      <c r="A892" s="1"/>
      <c r="B892" s="7"/>
      <c r="C892" s="170"/>
      <c r="D892" s="331">
        <v>885</v>
      </c>
      <c r="E892" s="544">
        <f>+DATE(YEAR(E891),MONTH(E891)-1,DAY(E891))</f>
        <v>25569.041666666668</v>
      </c>
      <c r="F892" s="333">
        <f>IF(DATE(YEAR($B$6),MONTH($B$6)+1,DAY(1))=E892,1,IF(MONTH(E892)=1,F893*(1+$F$5),F893))</f>
      </c>
      <c r="G892" s="333">
        <f>IF('Simulador - 1º Pilar'!$E$99="Sí",IF('Aportaciones Poliza'!$B$13&lt;'Aportaciones Poliza'!E892,0,F892*$B$8/12),F892*$B$8/12)</f>
      </c>
      <c r="H892" s="333">
        <f>$H$5*G892</f>
      </c>
      <c r="I892" s="333"/>
      <c r="J892" s="333">
        <f>(1+$M$5)^(D892/12)*(H892+IF(AND(F892=1,F893=0),$Q$4,0))</f>
      </c>
      <c r="K892" s="333">
        <f>(1+$M$5)^(D892/12)*(I892)</f>
      </c>
      <c r="L892" s="333">
        <f>K892+J892</f>
      </c>
      <c r="M892" s="170"/>
      <c r="N892" s="7"/>
      <c r="O892" s="1"/>
      <c r="P892" s="331">
        <f>D892</f>
      </c>
      <c r="Q892" s="169"/>
    </row>
    <row x14ac:dyDescent="0.25" r="893" customHeight="1" ht="18.75">
      <c r="A893" s="1"/>
      <c r="B893" s="7"/>
      <c r="C893" s="170"/>
      <c r="D893" s="331">
        <v>886</v>
      </c>
      <c r="E893" s="544">
        <f>+DATE(YEAR(E892),MONTH(E892)-1,DAY(E892))</f>
        <v>25569.041666666668</v>
      </c>
      <c r="F893" s="333">
        <f>IF(DATE(YEAR($B$6),MONTH($B$6)+1,DAY(1))=E893,1,IF(MONTH(E893)=1,F894*(1+$F$5),F894))</f>
      </c>
      <c r="G893" s="333">
        <f>IF('Simulador - 1º Pilar'!$E$99="Sí",IF('Aportaciones Poliza'!$B$13&lt;'Aportaciones Poliza'!E893,0,F893*$B$8/12),F893*$B$8/12)</f>
      </c>
      <c r="H893" s="333">
        <f>$H$5*G893</f>
      </c>
      <c r="I893" s="333"/>
      <c r="J893" s="333">
        <f>(1+$M$5)^(D893/12)*(H893+IF(AND(F893=1,F894=0),$Q$4,0))</f>
      </c>
      <c r="K893" s="333">
        <f>(1+$M$5)^(D893/12)*(I893)</f>
      </c>
      <c r="L893" s="333">
        <f>K893+J893</f>
      </c>
      <c r="M893" s="170"/>
      <c r="N893" s="7"/>
      <c r="O893" s="1"/>
      <c r="P893" s="331">
        <f>D893</f>
      </c>
      <c r="Q893" s="169"/>
    </row>
    <row x14ac:dyDescent="0.25" r="894" customHeight="1" ht="18.75">
      <c r="A894" s="1"/>
      <c r="B894" s="7"/>
      <c r="C894" s="170"/>
      <c r="D894" s="331">
        <v>887</v>
      </c>
      <c r="E894" s="544">
        <f>+DATE(YEAR(E893),MONTH(E893)-1,DAY(E893))</f>
        <v>25569.041666666668</v>
      </c>
      <c r="F894" s="333">
        <f>IF(DATE(YEAR($B$6),MONTH($B$6)+1,DAY(1))=E894,1,IF(MONTH(E894)=1,F895*(1+$F$5),F895))</f>
      </c>
      <c r="G894" s="333">
        <f>IF('Simulador - 1º Pilar'!$E$99="Sí",IF('Aportaciones Poliza'!$B$13&lt;'Aportaciones Poliza'!E894,0,F894*$B$8/12),F894*$B$8/12)</f>
      </c>
      <c r="H894" s="333">
        <f>$H$5*G894</f>
      </c>
      <c r="I894" s="333"/>
      <c r="J894" s="333">
        <f>(1+$M$5)^(D894/12)*(H894+IF(AND(F894=1,F895=0),$Q$4,0))</f>
      </c>
      <c r="K894" s="333">
        <f>(1+$M$5)^(D894/12)*(I894)</f>
      </c>
      <c r="L894" s="333">
        <f>K894+J894</f>
      </c>
      <c r="M894" s="170"/>
      <c r="N894" s="7"/>
      <c r="O894" s="1"/>
      <c r="P894" s="331">
        <f>D894</f>
      </c>
      <c r="Q894" s="169"/>
    </row>
    <row x14ac:dyDescent="0.25" r="895" customHeight="1" ht="18.75">
      <c r="A895" s="1"/>
      <c r="B895" s="7"/>
      <c r="C895" s="170"/>
      <c r="D895" s="331">
        <v>888</v>
      </c>
      <c r="E895" s="544">
        <f>+DATE(YEAR(E894),MONTH(E894)-1,DAY(E894))</f>
        <v>25569.041666666668</v>
      </c>
      <c r="F895" s="333">
        <f>IF(DATE(YEAR($B$6),MONTH($B$6)+1,DAY(1))=E895,1,IF(MONTH(E895)=1,F896*(1+$F$5),F896))</f>
      </c>
      <c r="G895" s="333">
        <f>IF('Simulador - 1º Pilar'!$E$99="Sí",IF('Aportaciones Poliza'!$B$13&lt;'Aportaciones Poliza'!E895,0,F895*$B$8/12),F895*$B$8/12)</f>
      </c>
      <c r="H895" s="333">
        <f>$H$5*G895</f>
      </c>
      <c r="I895" s="333"/>
      <c r="J895" s="333">
        <f>(1+$M$5)^(D895/12)*(H895+IF(AND(F895=1,F896=0),$Q$4,0))</f>
      </c>
      <c r="K895" s="333">
        <f>(1+$M$5)^(D895/12)*(I895)</f>
      </c>
      <c r="L895" s="333">
        <f>K895+J895</f>
      </c>
      <c r="M895" s="170"/>
      <c r="N895" s="7"/>
      <c r="O895" s="1"/>
      <c r="P895" s="331">
        <f>D895</f>
      </c>
      <c r="Q895" s="169"/>
    </row>
    <row x14ac:dyDescent="0.25" r="896" customHeight="1" ht="18.75">
      <c r="A896" s="1"/>
      <c r="B896" s="7"/>
      <c r="C896" s="170"/>
      <c r="D896" s="331">
        <v>889</v>
      </c>
      <c r="E896" s="544">
        <f>+DATE(YEAR(E895),MONTH(E895)-1,DAY(E895))</f>
        <v>25569.041666666668</v>
      </c>
      <c r="F896" s="333">
        <f>IF(DATE(YEAR($B$6),MONTH($B$6)+1,DAY(1))=E896,1,IF(MONTH(E896)=1,F897*(1+$F$5),F897))</f>
      </c>
      <c r="G896" s="333">
        <f>IF('Simulador - 1º Pilar'!$E$99="Sí",IF('Aportaciones Poliza'!$B$13&lt;'Aportaciones Poliza'!E896,0,F896*$B$8/12),F896*$B$8/12)</f>
      </c>
      <c r="H896" s="333">
        <f>$H$5*G896</f>
      </c>
      <c r="I896" s="333"/>
      <c r="J896" s="333">
        <f>(1+$M$5)^(D896/12)*(H896+IF(AND(F896=1,F897=0),$Q$4,0))</f>
      </c>
      <c r="K896" s="333">
        <f>(1+$M$5)^(D896/12)*(I896)</f>
      </c>
      <c r="L896" s="333">
        <f>K896+J896</f>
      </c>
      <c r="M896" s="170"/>
      <c r="N896" s="7"/>
      <c r="O896" s="1"/>
      <c r="P896" s="331">
        <f>D896</f>
      </c>
      <c r="Q896" s="169"/>
    </row>
    <row x14ac:dyDescent="0.25" r="897" customHeight="1" ht="18.75">
      <c r="A897" s="1"/>
      <c r="B897" s="7"/>
      <c r="C897" s="170"/>
      <c r="D897" s="331">
        <v>890</v>
      </c>
      <c r="E897" s="544">
        <f>+DATE(YEAR(E896),MONTH(E896)-1,DAY(E896))</f>
        <v>25569.041666666668</v>
      </c>
      <c r="F897" s="333">
        <f>IF(DATE(YEAR($B$6),MONTH($B$6)+1,DAY(1))=E897,1,IF(MONTH(E897)=1,F898*(1+$F$5),F898))</f>
      </c>
      <c r="G897" s="333">
        <f>IF('Simulador - 1º Pilar'!$E$99="Sí",IF('Aportaciones Poliza'!$B$13&lt;'Aportaciones Poliza'!E897,0,F897*$B$8/12),F897*$B$8/12)</f>
      </c>
      <c r="H897" s="333">
        <f>$H$5*G897</f>
      </c>
      <c r="I897" s="333"/>
      <c r="J897" s="333">
        <f>(1+$M$5)^(D897/12)*(H897+IF(AND(F897=1,F898=0),$Q$4,0))</f>
      </c>
      <c r="K897" s="333">
        <f>(1+$M$5)^(D897/12)*(I897)</f>
      </c>
      <c r="L897" s="333">
        <f>K897+J897</f>
      </c>
      <c r="M897" s="170"/>
      <c r="N897" s="7"/>
      <c r="O897" s="1"/>
      <c r="P897" s="331">
        <f>D897</f>
      </c>
      <c r="Q897" s="169"/>
    </row>
    <row x14ac:dyDescent="0.25" r="898" customHeight="1" ht="18.75">
      <c r="A898" s="1"/>
      <c r="B898" s="7"/>
      <c r="C898" s="170"/>
      <c r="D898" s="331">
        <v>891</v>
      </c>
      <c r="E898" s="544">
        <f>+DATE(YEAR(E897),MONTH(E897)-1,DAY(E897))</f>
        <v>25569.041666666668</v>
      </c>
      <c r="F898" s="333">
        <f>IF(DATE(YEAR($B$6),MONTH($B$6)+1,DAY(1))=E898,1,IF(MONTH(E898)=1,F899*(1+$F$5),F899))</f>
      </c>
      <c r="G898" s="333">
        <f>IF('Simulador - 1º Pilar'!$E$99="Sí",IF('Aportaciones Poliza'!$B$13&lt;'Aportaciones Poliza'!E898,0,F898*$B$8/12),F898*$B$8/12)</f>
      </c>
      <c r="H898" s="333">
        <f>$H$5*G898</f>
      </c>
      <c r="I898" s="333"/>
      <c r="J898" s="333">
        <f>(1+$M$5)^(D898/12)*(H898+IF(AND(F898=1,F899=0),$Q$4,0))</f>
      </c>
      <c r="K898" s="333">
        <f>(1+$M$5)^(D898/12)*(I898)</f>
      </c>
      <c r="L898" s="333">
        <f>K898+J898</f>
      </c>
      <c r="M898" s="170"/>
      <c r="N898" s="7"/>
      <c r="O898" s="1"/>
      <c r="P898" s="331">
        <f>D898</f>
      </c>
      <c r="Q898" s="169"/>
    </row>
    <row x14ac:dyDescent="0.25" r="899" customHeight="1" ht="18.75">
      <c r="A899" s="1"/>
      <c r="B899" s="7"/>
      <c r="C899" s="170"/>
      <c r="D899" s="331">
        <v>892</v>
      </c>
      <c r="E899" s="544">
        <f>+DATE(YEAR(E898),MONTH(E898)-1,DAY(E898))</f>
        <v>25569.041666666668</v>
      </c>
      <c r="F899" s="333">
        <f>IF(DATE(YEAR($B$6),MONTH($B$6)+1,DAY(1))=E899,1,IF(MONTH(E899)=1,F900*(1+$F$5),F900))</f>
      </c>
      <c r="G899" s="333">
        <f>IF('Simulador - 1º Pilar'!$E$99="Sí",IF('Aportaciones Poliza'!$B$13&lt;'Aportaciones Poliza'!E899,0,F899*$B$8/12),F899*$B$8/12)</f>
      </c>
      <c r="H899" s="333">
        <f>$H$5*G899</f>
      </c>
      <c r="I899" s="333"/>
      <c r="J899" s="333">
        <f>(1+$M$5)^(D899/12)*(H899+IF(AND(F899=1,F900=0),$Q$4,0))</f>
      </c>
      <c r="K899" s="333">
        <f>(1+$M$5)^(D899/12)*(I899)</f>
      </c>
      <c r="L899" s="333">
        <f>K899+J899</f>
      </c>
      <c r="M899" s="170"/>
      <c r="N899" s="7"/>
      <c r="O899" s="1"/>
      <c r="P899" s="331">
        <f>D899</f>
      </c>
      <c r="Q899" s="169"/>
    </row>
    <row x14ac:dyDescent="0.25" r="900" customHeight="1" ht="18.75">
      <c r="A900" s="1"/>
      <c r="B900" s="7"/>
      <c r="C900" s="170"/>
      <c r="D900" s="331">
        <v>893</v>
      </c>
      <c r="E900" s="544">
        <f>+DATE(YEAR(E899),MONTH(E899)-1,DAY(E899))</f>
        <v>25569.041666666668</v>
      </c>
      <c r="F900" s="333">
        <f>IF(DATE(YEAR($B$6),MONTH($B$6)+1,DAY(1))=E900,1,IF(MONTH(E900)=1,F901*(1+$F$5),F901))</f>
      </c>
      <c r="G900" s="333">
        <f>IF('Simulador - 1º Pilar'!$E$99="Sí",IF('Aportaciones Poliza'!$B$13&lt;'Aportaciones Poliza'!E900,0,F900*$B$8/12),F900*$B$8/12)</f>
      </c>
      <c r="H900" s="333">
        <f>$H$5*G900</f>
      </c>
      <c r="I900" s="333"/>
      <c r="J900" s="333">
        <f>(1+$M$5)^(D900/12)*(H900+IF(AND(F900=1,F901=0),$Q$4,0))</f>
      </c>
      <c r="K900" s="333">
        <f>(1+$M$5)^(D900/12)*(I900)</f>
      </c>
      <c r="L900" s="333">
        <f>K900+J900</f>
      </c>
      <c r="M900" s="170"/>
      <c r="N900" s="7"/>
      <c r="O900" s="1"/>
      <c r="P900" s="331">
        <f>D900</f>
      </c>
      <c r="Q900" s="169"/>
    </row>
    <row x14ac:dyDescent="0.25" r="901" customHeight="1" ht="18.75">
      <c r="A901" s="1"/>
      <c r="B901" s="7"/>
      <c r="C901" s="170"/>
      <c r="D901" s="331">
        <v>894</v>
      </c>
      <c r="E901" s="544">
        <f>+DATE(YEAR(E900),MONTH(E900)-1,DAY(E900))</f>
        <v>25569.041666666668</v>
      </c>
      <c r="F901" s="333">
        <f>IF(DATE(YEAR($B$6),MONTH($B$6)+1,DAY(1))=E901,1,IF(MONTH(E901)=1,F902*(1+$F$5),F902))</f>
      </c>
      <c r="G901" s="333">
        <f>IF('Simulador - 1º Pilar'!$E$99="Sí",IF('Aportaciones Poliza'!$B$13&lt;'Aportaciones Poliza'!E901,0,F901*$B$8/12),F901*$B$8/12)</f>
      </c>
      <c r="H901" s="333">
        <f>$H$5*G901</f>
      </c>
      <c r="I901" s="333"/>
      <c r="J901" s="333">
        <f>(1+$M$5)^(D901/12)*(H901+IF(AND(F901=1,F902=0),$Q$4,0))</f>
      </c>
      <c r="K901" s="333">
        <f>(1+$M$5)^(D901/12)*(I901)</f>
      </c>
      <c r="L901" s="333">
        <f>K901+J901</f>
      </c>
      <c r="M901" s="170"/>
      <c r="N901" s="7"/>
      <c r="O901" s="1"/>
      <c r="P901" s="331">
        <f>D901</f>
      </c>
      <c r="Q901" s="169"/>
    </row>
    <row x14ac:dyDescent="0.25" r="902" customHeight="1" ht="18.75">
      <c r="A902" s="1"/>
      <c r="B902" s="7"/>
      <c r="C902" s="170"/>
      <c r="D902" s="331">
        <v>895</v>
      </c>
      <c r="E902" s="544">
        <f>+DATE(YEAR(E901),MONTH(E901)-1,DAY(E901))</f>
        <v>25569.041666666668</v>
      </c>
      <c r="F902" s="333">
        <f>IF(DATE(YEAR($B$6),MONTH($B$6)+1,DAY(1))=E902,1,IF(MONTH(E902)=1,F903*(1+$F$5),F903))</f>
      </c>
      <c r="G902" s="333">
        <f>IF('Simulador - 1º Pilar'!$E$99="Sí",IF('Aportaciones Poliza'!$B$13&lt;'Aportaciones Poliza'!E902,0,F902*$B$8/12),F902*$B$8/12)</f>
      </c>
      <c r="H902" s="333">
        <f>$H$5*G902</f>
      </c>
      <c r="I902" s="333"/>
      <c r="J902" s="333">
        <f>(1+$M$5)^(D902/12)*(H902+IF(AND(F902=1,F903=0),$Q$4,0))</f>
      </c>
      <c r="K902" s="333">
        <f>(1+$M$5)^(D902/12)*(I902)</f>
      </c>
      <c r="L902" s="333">
        <f>K902+J902</f>
      </c>
      <c r="M902" s="170"/>
      <c r="N902" s="7"/>
      <c r="O902" s="1"/>
      <c r="P902" s="331">
        <f>D902</f>
      </c>
      <c r="Q902" s="169"/>
    </row>
    <row x14ac:dyDescent="0.25" r="903" customHeight="1" ht="18.75">
      <c r="A903" s="1"/>
      <c r="B903" s="7"/>
      <c r="C903" s="170"/>
      <c r="D903" s="331">
        <v>896</v>
      </c>
      <c r="E903" s="544">
        <f>+DATE(YEAR(E902),MONTH(E902)-1,DAY(E902))</f>
        <v>25569.041666666668</v>
      </c>
      <c r="F903" s="333">
        <f>IF(DATE(YEAR($B$6),MONTH($B$6)+1,DAY(1))=E903,1,IF(MONTH(E903)=1,F904*(1+$F$5),F904))</f>
      </c>
      <c r="G903" s="333">
        <f>IF('Simulador - 1º Pilar'!$E$99="Sí",IF('Aportaciones Poliza'!$B$13&lt;'Aportaciones Poliza'!E903,0,F903*$B$8/12),F903*$B$8/12)</f>
      </c>
      <c r="H903" s="333">
        <f>$H$5*G903</f>
      </c>
      <c r="I903" s="333"/>
      <c r="J903" s="333">
        <f>(1+$M$5)^(D903/12)*(H903+IF(AND(F903=1,F904=0),$Q$4,0))</f>
      </c>
      <c r="K903" s="333">
        <f>(1+$M$5)^(D903/12)*(I903)</f>
      </c>
      <c r="L903" s="333">
        <f>K903+J903</f>
      </c>
      <c r="M903" s="170"/>
      <c r="N903" s="7"/>
      <c r="O903" s="1"/>
      <c r="P903" s="331">
        <f>D903</f>
      </c>
      <c r="Q903" s="169"/>
    </row>
    <row x14ac:dyDescent="0.25" r="904" customHeight="1" ht="18.75">
      <c r="A904" s="1"/>
      <c r="B904" s="7"/>
      <c r="C904" s="170"/>
      <c r="D904" s="331">
        <v>897</v>
      </c>
      <c r="E904" s="544">
        <f>+DATE(YEAR(E903),MONTH(E903)-1,DAY(E903))</f>
        <v>25569.041666666668</v>
      </c>
      <c r="F904" s="333">
        <f>IF(DATE(YEAR($B$6),MONTH($B$6)+1,DAY(1))=E904,1,IF(MONTH(E904)=1,F905*(1+$F$5),F905))</f>
      </c>
      <c r="G904" s="333">
        <f>IF('Simulador - 1º Pilar'!$E$99="Sí",IF('Aportaciones Poliza'!$B$13&lt;'Aportaciones Poliza'!E904,0,F904*$B$8/12),F904*$B$8/12)</f>
      </c>
      <c r="H904" s="333">
        <f>$H$5*G904</f>
      </c>
      <c r="I904" s="333"/>
      <c r="J904" s="333">
        <f>(1+$M$5)^(D904/12)*(H904+IF(AND(F904=1,F905=0),$Q$4,0))</f>
      </c>
      <c r="K904" s="333">
        <f>(1+$M$5)^(D904/12)*(I904)</f>
      </c>
      <c r="L904" s="333">
        <f>K904+J904</f>
      </c>
      <c r="M904" s="170"/>
      <c r="N904" s="7"/>
      <c r="O904" s="1"/>
      <c r="P904" s="331">
        <f>D904</f>
      </c>
      <c r="Q904" s="169"/>
    </row>
    <row x14ac:dyDescent="0.25" r="905" customHeight="1" ht="18.75">
      <c r="A905" s="1"/>
      <c r="B905" s="7"/>
      <c r="C905" s="170"/>
      <c r="D905" s="331">
        <v>898</v>
      </c>
      <c r="E905" s="544">
        <f>+DATE(YEAR(E904),MONTH(E904)-1,DAY(E904))</f>
        <v>25569.041666666668</v>
      </c>
      <c r="F905" s="333">
        <f>IF(DATE(YEAR($B$6),MONTH($B$6)+1,DAY(1))=E905,1,IF(MONTH(E905)=1,F906*(1+$F$5),F906))</f>
      </c>
      <c r="G905" s="333">
        <f>IF('Simulador - 1º Pilar'!$E$99="Sí",IF('Aportaciones Poliza'!$B$13&lt;'Aportaciones Poliza'!E905,0,F905*$B$8/12),F905*$B$8/12)</f>
      </c>
      <c r="H905" s="333">
        <f>$H$5*G905</f>
      </c>
      <c r="I905" s="333"/>
      <c r="J905" s="333">
        <f>(1+$M$5)^(D905/12)*(H905+IF(AND(F905=1,F906=0),$Q$4,0))</f>
      </c>
      <c r="K905" s="333">
        <f>(1+$M$5)^(D905/12)*(I905)</f>
      </c>
      <c r="L905" s="333">
        <f>K905+J905</f>
      </c>
      <c r="M905" s="170"/>
      <c r="N905" s="7"/>
      <c r="O905" s="1"/>
      <c r="P905" s="331">
        <f>D905</f>
      </c>
      <c r="Q905" s="169"/>
    </row>
    <row x14ac:dyDescent="0.25" r="906" customHeight="1" ht="18.75">
      <c r="A906" s="1"/>
      <c r="B906" s="7"/>
      <c r="C906" s="170"/>
      <c r="D906" s="331">
        <v>899</v>
      </c>
      <c r="E906" s="544">
        <f>+DATE(YEAR(E905),MONTH(E905)-1,DAY(E905))</f>
        <v>25569.041666666668</v>
      </c>
      <c r="F906" s="333">
        <f>IF(DATE(YEAR($B$6),MONTH($B$6)+1,DAY(1))=E906,1,IF(MONTH(E906)=1,F907*(1+$F$5),F907))</f>
      </c>
      <c r="G906" s="333">
        <f>IF('Simulador - 1º Pilar'!$E$99="Sí",IF('Aportaciones Poliza'!$B$13&lt;'Aportaciones Poliza'!E906,0,F906*$B$8/12),F906*$B$8/12)</f>
      </c>
      <c r="H906" s="333">
        <f>$H$5*G906</f>
      </c>
      <c r="I906" s="333"/>
      <c r="J906" s="333">
        <f>(1+$M$5)^(D906/12)*(H906+IF(AND(F906=1,F907=0),$Q$4,0))</f>
      </c>
      <c r="K906" s="333">
        <f>(1+$M$5)^(D906/12)*(I906)</f>
      </c>
      <c r="L906" s="333">
        <f>K906+J906</f>
      </c>
      <c r="M906" s="170"/>
      <c r="N906" s="7"/>
      <c r="O906" s="1"/>
      <c r="P906" s="331">
        <f>D906</f>
      </c>
      <c r="Q906" s="169"/>
    </row>
    <row x14ac:dyDescent="0.25" r="907" customHeight="1" ht="18.75">
      <c r="A907" s="1"/>
      <c r="B907" s="7"/>
      <c r="C907" s="170"/>
      <c r="D907" s="331">
        <v>900</v>
      </c>
      <c r="E907" s="544">
        <f>+DATE(YEAR(E906),MONTH(E906)-1,DAY(E906))</f>
        <v>25569.041666666668</v>
      </c>
      <c r="F907" s="333">
        <f>IF(DATE(YEAR($B$6),MONTH($B$6)+1,DAY(1))=E907,1,IF(MONTH(E907)=1,F908*(1+$F$5),F908))</f>
      </c>
      <c r="G907" s="333">
        <f>IF('Simulador - 1º Pilar'!$E$99="Sí",IF('Aportaciones Poliza'!$B$13&lt;'Aportaciones Poliza'!E907,0,F907*$B$8/12),F907*$B$8/12)</f>
      </c>
      <c r="H907" s="333">
        <f>$H$5*G907</f>
      </c>
      <c r="I907" s="333"/>
      <c r="J907" s="333">
        <f>(1+$M$5)^(D907/12)*(H907+IF(AND(F907=1,F908=0),$Q$4,0))</f>
      </c>
      <c r="K907" s="333">
        <f>(1+$M$5)^(D907/12)*(I907)</f>
      </c>
      <c r="L907" s="333">
        <f>K907+J907</f>
      </c>
      <c r="M907" s="170"/>
      <c r="N907" s="7"/>
      <c r="O907" s="1"/>
      <c r="P907" s="331">
        <f>D907</f>
      </c>
      <c r="Q907" s="169"/>
    </row>
    <row x14ac:dyDescent="0.25" r="908" customHeight="1" ht="18.75">
      <c r="A908" s="1"/>
      <c r="B908" s="7"/>
      <c r="C908" s="170"/>
      <c r="D908" s="331">
        <v>901</v>
      </c>
      <c r="E908" s="544">
        <f>+DATE(YEAR(E907),MONTH(E907)-1,DAY(E907))</f>
        <v>25569.041666666668</v>
      </c>
      <c r="F908" s="333">
        <f>IF(DATE(YEAR($B$6),MONTH($B$6)+1,DAY(1))=E908,1,IF(MONTH(E908)=1,F909*(1+$F$5),F909))</f>
      </c>
      <c r="G908" s="333">
        <f>IF('Simulador - 1º Pilar'!$E$99="Sí",IF('Aportaciones Poliza'!$B$13&lt;'Aportaciones Poliza'!E908,0,F908*$B$8/12),F908*$B$8/12)</f>
      </c>
      <c r="H908" s="333">
        <f>$H$5*G908</f>
      </c>
      <c r="I908" s="333"/>
      <c r="J908" s="333">
        <f>(1+$M$5)^(D908/12)*(H908+IF(AND(F908=1,F909=0),$Q$4,0))</f>
      </c>
      <c r="K908" s="333">
        <f>(1+$M$5)^(D908/12)*(I908)</f>
      </c>
      <c r="L908" s="333">
        <f>K908+J908</f>
      </c>
      <c r="M908" s="170"/>
      <c r="N908" s="7"/>
      <c r="O908" s="1"/>
      <c r="P908" s="331">
        <f>D908</f>
      </c>
      <c r="Q908" s="169"/>
    </row>
    <row x14ac:dyDescent="0.25" r="909" customHeight="1" ht="18.75">
      <c r="A909" s="1"/>
      <c r="B909" s="7"/>
      <c r="C909" s="170"/>
      <c r="D909" s="331">
        <v>902</v>
      </c>
      <c r="E909" s="544">
        <f>+DATE(YEAR(E908),MONTH(E908)-1,DAY(E908))</f>
        <v>25569.041666666668</v>
      </c>
      <c r="F909" s="333">
        <f>IF(DATE(YEAR($B$6),MONTH($B$6)+1,DAY(1))=E909,1,IF(MONTH(E909)=1,F910*(1+$F$5),F910))</f>
      </c>
      <c r="G909" s="333">
        <f>IF('Simulador - 1º Pilar'!$E$99="Sí",IF('Aportaciones Poliza'!$B$13&lt;'Aportaciones Poliza'!E909,0,F909*$B$8/12),F909*$B$8/12)</f>
      </c>
      <c r="H909" s="333">
        <f>$H$5*G909</f>
      </c>
      <c r="I909" s="333"/>
      <c r="J909" s="333">
        <f>(1+$M$5)^(D909/12)*(H909+IF(AND(F909=1,F910=0),$Q$4,0))</f>
      </c>
      <c r="K909" s="333">
        <f>(1+$M$5)^(D909/12)*(I909)</f>
      </c>
      <c r="L909" s="333">
        <f>K909+J909</f>
      </c>
      <c r="M909" s="170"/>
      <c r="N909" s="7"/>
      <c r="O909" s="1"/>
      <c r="P909" s="331">
        <f>D909</f>
      </c>
      <c r="Q909" s="169"/>
    </row>
    <row x14ac:dyDescent="0.25" r="910" customHeight="1" ht="18.75">
      <c r="A910" s="1"/>
      <c r="B910" s="7"/>
      <c r="C910" s="170"/>
      <c r="D910" s="331">
        <v>903</v>
      </c>
      <c r="E910" s="544">
        <f>+DATE(YEAR(E909),MONTH(E909)-1,DAY(E909))</f>
        <v>25569.041666666668</v>
      </c>
      <c r="F910" s="333">
        <f>IF(DATE(YEAR($B$6),MONTH($B$6)+1,DAY(1))=E910,1,IF(MONTH(E910)=1,F911*(1+$F$5),F911))</f>
      </c>
      <c r="G910" s="333">
        <f>IF('Simulador - 1º Pilar'!$E$99="Sí",IF('Aportaciones Poliza'!$B$13&lt;'Aportaciones Poliza'!E910,0,F910*$B$8/12),F910*$B$8/12)</f>
      </c>
      <c r="H910" s="333">
        <f>$H$5*G910</f>
      </c>
      <c r="I910" s="333"/>
      <c r="J910" s="333">
        <f>(1+$M$5)^(D910/12)*(H910+IF(AND(F910=1,F911=0),$Q$4,0))</f>
      </c>
      <c r="K910" s="333">
        <f>(1+$M$5)^(D910/12)*(I910)</f>
      </c>
      <c r="L910" s="333">
        <f>K910+J910</f>
      </c>
      <c r="M910" s="170"/>
      <c r="N910" s="7"/>
      <c r="O910" s="1"/>
      <c r="P910" s="331">
        <f>D910</f>
      </c>
      <c r="Q910" s="169"/>
    </row>
    <row x14ac:dyDescent="0.25" r="911" customHeight="1" ht="18.75">
      <c r="A911" s="1"/>
      <c r="B911" s="7"/>
      <c r="C911" s="170"/>
      <c r="D911" s="331">
        <v>904</v>
      </c>
      <c r="E911" s="544">
        <f>+DATE(YEAR(E910),MONTH(E910)-1,DAY(E910))</f>
        <v>25569.041666666668</v>
      </c>
      <c r="F911" s="333">
        <f>IF(DATE(YEAR($B$6),MONTH($B$6)+1,DAY(1))=E911,1,IF(MONTH(E911)=1,F912*(1+$F$5),F912))</f>
      </c>
      <c r="G911" s="333">
        <f>IF('Simulador - 1º Pilar'!$E$99="Sí",IF('Aportaciones Poliza'!$B$13&lt;'Aportaciones Poliza'!E911,0,F911*$B$8/12),F911*$B$8/12)</f>
      </c>
      <c r="H911" s="333">
        <f>$H$5*G911</f>
      </c>
      <c r="I911" s="333"/>
      <c r="J911" s="333">
        <f>(1+$M$5)^(D911/12)*(H911+IF(AND(F911=1,F912=0),$Q$4,0))</f>
      </c>
      <c r="K911" s="333">
        <f>(1+$M$5)^(D911/12)*(I911)</f>
      </c>
      <c r="L911" s="333">
        <f>K911+J911</f>
      </c>
      <c r="M911" s="170"/>
      <c r="N911" s="7"/>
      <c r="O911" s="1"/>
      <c r="P911" s="331">
        <f>D911</f>
      </c>
      <c r="Q911" s="169"/>
    </row>
    <row x14ac:dyDescent="0.25" r="912" customHeight="1" ht="18.75">
      <c r="A912" s="1"/>
      <c r="B912" s="7"/>
      <c r="C912" s="170"/>
      <c r="D912" s="331">
        <v>905</v>
      </c>
      <c r="E912" s="544">
        <f>+DATE(YEAR(E911),MONTH(E911)-1,DAY(E911))</f>
        <v>25569.041666666668</v>
      </c>
      <c r="F912" s="333">
        <f>IF(DATE(YEAR($B$6),MONTH($B$6)+1,DAY(1))=E912,1,IF(MONTH(E912)=1,F913*(1+$F$5),F913))</f>
      </c>
      <c r="G912" s="333">
        <f>IF('Simulador - 1º Pilar'!$E$99="Sí",IF('Aportaciones Poliza'!$B$13&lt;'Aportaciones Poliza'!E912,0,F912*$B$8/12),F912*$B$8/12)</f>
      </c>
      <c r="H912" s="333">
        <f>$H$5*G912</f>
      </c>
      <c r="I912" s="333"/>
      <c r="J912" s="333">
        <f>(1+$M$5)^(D912/12)*(H912+IF(AND(F912=1,F913=0),$Q$4,0))</f>
      </c>
      <c r="K912" s="333">
        <f>(1+$M$5)^(D912/12)*(I912)</f>
      </c>
      <c r="L912" s="333">
        <f>K912+J912</f>
      </c>
      <c r="M912" s="170"/>
      <c r="N912" s="7"/>
      <c r="O912" s="1"/>
      <c r="P912" s="331">
        <f>D912</f>
      </c>
      <c r="Q912" s="169"/>
    </row>
    <row x14ac:dyDescent="0.25" r="913" customHeight="1" ht="18.75">
      <c r="A913" s="1"/>
      <c r="B913" s="7"/>
      <c r="C913" s="170"/>
      <c r="D913" s="331">
        <v>906</v>
      </c>
      <c r="E913" s="544">
        <f>+DATE(YEAR(E912),MONTH(E912)-1,DAY(E912))</f>
        <v>25569.041666666668</v>
      </c>
      <c r="F913" s="333">
        <f>IF(DATE(YEAR($B$6),MONTH($B$6)+1,DAY(1))=E913,1,IF(MONTH(E913)=1,F914*(1+$F$5),F914))</f>
      </c>
      <c r="G913" s="333">
        <f>IF('Simulador - 1º Pilar'!$E$99="Sí",IF('Aportaciones Poliza'!$B$13&lt;'Aportaciones Poliza'!E913,0,F913*$B$8/12),F913*$B$8/12)</f>
      </c>
      <c r="H913" s="333">
        <f>$H$5*G913</f>
      </c>
      <c r="I913" s="333"/>
      <c r="J913" s="333">
        <f>(1+$M$5)^(D913/12)*(H913+IF(AND(F913=1,F914=0),$Q$4,0))</f>
      </c>
      <c r="K913" s="333">
        <f>(1+$M$5)^(D913/12)*(I913)</f>
      </c>
      <c r="L913" s="333">
        <f>K913+J913</f>
      </c>
      <c r="M913" s="170"/>
      <c r="N913" s="7"/>
      <c r="O913" s="1"/>
      <c r="P913" s="331">
        <f>D913</f>
      </c>
      <c r="Q913" s="169"/>
    </row>
    <row x14ac:dyDescent="0.25" r="914" customHeight="1" ht="18.75">
      <c r="A914" s="1"/>
      <c r="B914" s="7"/>
      <c r="C914" s="170"/>
      <c r="D914" s="331">
        <v>907</v>
      </c>
      <c r="E914" s="544">
        <f>+DATE(YEAR(E913),MONTH(E913)-1,DAY(E913))</f>
        <v>25569.041666666668</v>
      </c>
      <c r="F914" s="333">
        <f>IF(DATE(YEAR($B$6),MONTH($B$6)+1,DAY(1))=E914,1,IF(MONTH(E914)=1,F915*(1+$F$5),F915))</f>
      </c>
      <c r="G914" s="333">
        <f>IF('Simulador - 1º Pilar'!$E$99="Sí",IF('Aportaciones Poliza'!$B$13&lt;'Aportaciones Poliza'!E914,0,F914*$B$8/12),F914*$B$8/12)</f>
      </c>
      <c r="H914" s="333">
        <f>$H$5*G914</f>
      </c>
      <c r="I914" s="333"/>
      <c r="J914" s="333">
        <f>(1+$M$5)^(D914/12)*(H914+IF(AND(F914=1,F915=0),$Q$4,0))</f>
      </c>
      <c r="K914" s="333">
        <f>(1+$M$5)^(D914/12)*(I914)</f>
      </c>
      <c r="L914" s="333">
        <f>K914+J914</f>
      </c>
      <c r="M914" s="170"/>
      <c r="N914" s="7"/>
      <c r="O914" s="1"/>
      <c r="P914" s="331">
        <f>D914</f>
      </c>
      <c r="Q914" s="169"/>
    </row>
    <row x14ac:dyDescent="0.25" r="915" customHeight="1" ht="18.75">
      <c r="A915" s="1"/>
      <c r="B915" s="7"/>
      <c r="C915" s="170"/>
      <c r="D915" s="331">
        <v>908</v>
      </c>
      <c r="E915" s="544">
        <f>+DATE(YEAR(E914),MONTH(E914)-1,DAY(E914))</f>
        <v>25569.041666666668</v>
      </c>
      <c r="F915" s="333">
        <f>IF(DATE(YEAR($B$6),MONTH($B$6)+1,DAY(1))=E915,1,IF(MONTH(E915)=1,F916*(1+$F$5),F916))</f>
      </c>
      <c r="G915" s="333">
        <f>IF('Simulador - 1º Pilar'!$E$99="Sí",IF('Aportaciones Poliza'!$B$13&lt;'Aportaciones Poliza'!E915,0,F915*$B$8/12),F915*$B$8/12)</f>
      </c>
      <c r="H915" s="333">
        <f>$H$5*G915</f>
      </c>
      <c r="I915" s="333"/>
      <c r="J915" s="333">
        <f>(1+$M$5)^(D915/12)*(H915+IF(AND(F915=1,F916=0),$Q$4,0))</f>
      </c>
      <c r="K915" s="333">
        <f>(1+$M$5)^(D915/12)*(I915)</f>
      </c>
      <c r="L915" s="333">
        <f>K915+J915</f>
      </c>
      <c r="M915" s="170"/>
      <c r="N915" s="7"/>
      <c r="O915" s="1"/>
      <c r="P915" s="331">
        <f>D915</f>
      </c>
      <c r="Q915" s="169"/>
    </row>
    <row x14ac:dyDescent="0.25" r="916" customHeight="1" ht="18.75">
      <c r="A916" s="1"/>
      <c r="B916" s="7"/>
      <c r="C916" s="170"/>
      <c r="D916" s="331">
        <v>909</v>
      </c>
      <c r="E916" s="544">
        <f>+DATE(YEAR(E915),MONTH(E915)-1,DAY(E915))</f>
        <v>25569.041666666668</v>
      </c>
      <c r="F916" s="333">
        <f>IF(DATE(YEAR($B$6),MONTH($B$6)+1,DAY(1))=E916,1,IF(MONTH(E916)=1,F917*(1+$F$5),F917))</f>
      </c>
      <c r="G916" s="333">
        <f>IF('Simulador - 1º Pilar'!$E$99="Sí",IF('Aportaciones Poliza'!$B$13&lt;'Aportaciones Poliza'!E916,0,F916*$B$8/12),F916*$B$8/12)</f>
      </c>
      <c r="H916" s="333">
        <f>$H$5*G916</f>
      </c>
      <c r="I916" s="333"/>
      <c r="J916" s="333">
        <f>(1+$M$5)^(D916/12)*(H916+IF(AND(F916=1,F917=0),$Q$4,0))</f>
      </c>
      <c r="K916" s="333">
        <f>(1+$M$5)^(D916/12)*(I916)</f>
      </c>
      <c r="L916" s="333">
        <f>K916+J916</f>
      </c>
      <c r="M916" s="170"/>
      <c r="N916" s="7"/>
      <c r="O916" s="1"/>
      <c r="P916" s="331">
        <f>D916</f>
      </c>
      <c r="Q916" s="169"/>
    </row>
    <row x14ac:dyDescent="0.25" r="917" customHeight="1" ht="18.75">
      <c r="A917" s="1"/>
      <c r="B917" s="7"/>
      <c r="C917" s="170"/>
      <c r="D917" s="331">
        <v>910</v>
      </c>
      <c r="E917" s="544">
        <f>+DATE(YEAR(E916),MONTH(E916)-1,DAY(E916))</f>
        <v>25569.041666666668</v>
      </c>
      <c r="F917" s="333">
        <f>IF(DATE(YEAR($B$6),MONTH($B$6)+1,DAY(1))=E917,1,IF(MONTH(E917)=1,F918*(1+$F$5),F918))</f>
      </c>
      <c r="G917" s="333">
        <f>IF('Simulador - 1º Pilar'!$E$99="Sí",IF('Aportaciones Poliza'!$B$13&lt;'Aportaciones Poliza'!E917,0,F917*$B$8/12),F917*$B$8/12)</f>
      </c>
      <c r="H917" s="333">
        <f>$H$5*G917</f>
      </c>
      <c r="I917" s="333"/>
      <c r="J917" s="333">
        <f>(1+$M$5)^(D917/12)*(H917+IF(AND(F917=1,F918=0),$Q$4,0))</f>
      </c>
      <c r="K917" s="333">
        <f>(1+$M$5)^(D917/12)*(I917)</f>
      </c>
      <c r="L917" s="333">
        <f>K917+J917</f>
      </c>
      <c r="M917" s="170"/>
      <c r="N917" s="7"/>
      <c r="O917" s="1"/>
      <c r="P917" s="331">
        <f>D917</f>
      </c>
      <c r="Q917" s="169"/>
    </row>
    <row x14ac:dyDescent="0.25" r="918" customHeight="1" ht="18.75">
      <c r="A918" s="1"/>
      <c r="B918" s="7"/>
      <c r="C918" s="170"/>
      <c r="D918" s="331">
        <v>911</v>
      </c>
      <c r="E918" s="544">
        <f>+DATE(YEAR(E917),MONTH(E917)-1,DAY(E917))</f>
        <v>25569.041666666668</v>
      </c>
      <c r="F918" s="333">
        <f>IF(DATE(YEAR($B$6),MONTH($B$6)+1,DAY(1))=E918,1,IF(MONTH(E918)=1,F919*(1+$F$5),F919))</f>
      </c>
      <c r="G918" s="333">
        <f>IF('Simulador - 1º Pilar'!$E$99="Sí",IF('Aportaciones Poliza'!$B$13&lt;'Aportaciones Poliza'!E918,0,F918*$B$8/12),F918*$B$8/12)</f>
      </c>
      <c r="H918" s="333">
        <f>$H$5*G918</f>
      </c>
      <c r="I918" s="333"/>
      <c r="J918" s="333">
        <f>(1+$M$5)^(D918/12)*(H918+IF(AND(F918=1,F919=0),$Q$4,0))</f>
      </c>
      <c r="K918" s="333">
        <f>(1+$M$5)^(D918/12)*(I918)</f>
      </c>
      <c r="L918" s="333">
        <f>K918+J918</f>
      </c>
      <c r="M918" s="170"/>
      <c r="N918" s="7"/>
      <c r="O918" s="1"/>
      <c r="P918" s="331">
        <f>D918</f>
      </c>
      <c r="Q918" s="169"/>
    </row>
    <row x14ac:dyDescent="0.25" r="919" customHeight="1" ht="18.75">
      <c r="A919" s="1"/>
      <c r="B919" s="7"/>
      <c r="C919" s="170"/>
      <c r="D919" s="331">
        <v>912</v>
      </c>
      <c r="E919" s="544">
        <f>+DATE(YEAR(E918),MONTH(E918)-1,DAY(E918))</f>
        <v>25569.041666666668</v>
      </c>
      <c r="F919" s="333">
        <f>IF(DATE(YEAR($B$6),MONTH($B$6)+1,DAY(1))=E919,1,IF(MONTH(E919)=1,F920*(1+$F$5),F920))</f>
      </c>
      <c r="G919" s="333">
        <f>IF('Simulador - 1º Pilar'!$E$99="Sí",IF('Aportaciones Poliza'!$B$13&lt;'Aportaciones Poliza'!E919,0,F919*$B$8/12),F919*$B$8/12)</f>
      </c>
      <c r="H919" s="333">
        <f>$H$5*G919</f>
      </c>
      <c r="I919" s="333"/>
      <c r="J919" s="333">
        <f>(1+$M$5)^(D919/12)*(H919+IF(AND(F919=1,F920=0),$Q$4,0))</f>
      </c>
      <c r="K919" s="333">
        <f>(1+$M$5)^(D919/12)*(I919)</f>
      </c>
      <c r="L919" s="333">
        <f>K919+J919</f>
      </c>
      <c r="M919" s="170"/>
      <c r="N919" s="7"/>
      <c r="O919" s="1"/>
      <c r="P919" s="331">
        <f>D919</f>
      </c>
      <c r="Q919" s="169"/>
    </row>
    <row x14ac:dyDescent="0.25" r="920" customHeight="1" ht="18.75">
      <c r="A920" s="1"/>
      <c r="B920" s="7"/>
      <c r="C920" s="170"/>
      <c r="D920" s="331">
        <v>913</v>
      </c>
      <c r="E920" s="544">
        <f>+DATE(YEAR(E919),MONTH(E919)-1,DAY(E919))</f>
        <v>25569.041666666668</v>
      </c>
      <c r="F920" s="333">
        <f>IF(DATE(YEAR($B$6),MONTH($B$6)+1,DAY(1))=E920,1,IF(MONTH(E920)=1,F921*(1+$F$5),F921))</f>
      </c>
      <c r="G920" s="333">
        <f>IF('Simulador - 1º Pilar'!$E$99="Sí",IF('Aportaciones Poliza'!$B$13&lt;'Aportaciones Poliza'!E920,0,F920*$B$8/12),F920*$B$8/12)</f>
      </c>
      <c r="H920" s="333">
        <f>$H$5*G920</f>
      </c>
      <c r="I920" s="333"/>
      <c r="J920" s="333">
        <f>(1+$M$5)^(D920/12)*(H920+IF(AND(F920=1,F921=0),$Q$4,0))</f>
      </c>
      <c r="K920" s="333">
        <f>(1+$M$5)^(D920/12)*(I920)</f>
      </c>
      <c r="L920" s="333">
        <f>K920+J920</f>
      </c>
      <c r="M920" s="170"/>
      <c r="N920" s="7"/>
      <c r="O920" s="1"/>
      <c r="P920" s="331">
        <f>D920</f>
      </c>
      <c r="Q920" s="169"/>
    </row>
    <row x14ac:dyDescent="0.25" r="921" customHeight="1" ht="18.75">
      <c r="A921" s="1"/>
      <c r="B921" s="7"/>
      <c r="C921" s="170"/>
      <c r="D921" s="331">
        <v>914</v>
      </c>
      <c r="E921" s="544">
        <f>+DATE(YEAR(E920),MONTH(E920)-1,DAY(E920))</f>
        <v>25569.041666666668</v>
      </c>
      <c r="F921" s="333">
        <f>IF(DATE(YEAR($B$6),MONTH($B$6)+1,DAY(1))=E921,1,IF(MONTH(E921)=1,F922*(1+$F$5),F922))</f>
      </c>
      <c r="G921" s="333">
        <f>IF('Simulador - 1º Pilar'!$E$99="Sí",IF('Aportaciones Poliza'!$B$13&lt;'Aportaciones Poliza'!E921,0,F921*$B$8/12),F921*$B$8/12)</f>
      </c>
      <c r="H921" s="333">
        <f>$H$5*G921</f>
      </c>
      <c r="I921" s="333"/>
      <c r="J921" s="333">
        <f>(1+$M$5)^(D921/12)*(H921+IF(AND(F921=1,F922=0),$Q$4,0))</f>
      </c>
      <c r="K921" s="333">
        <f>(1+$M$5)^(D921/12)*(I921)</f>
      </c>
      <c r="L921" s="333">
        <f>K921+J921</f>
      </c>
      <c r="M921" s="170"/>
      <c r="N921" s="7"/>
      <c r="O921" s="1"/>
      <c r="P921" s="331">
        <f>D921</f>
      </c>
      <c r="Q921" s="169"/>
    </row>
    <row x14ac:dyDescent="0.25" r="922" customHeight="1" ht="18.75">
      <c r="A922" s="1"/>
      <c r="B922" s="7"/>
      <c r="C922" s="170"/>
      <c r="D922" s="331">
        <v>915</v>
      </c>
      <c r="E922" s="544">
        <f>+DATE(YEAR(E921),MONTH(E921)-1,DAY(E921))</f>
        <v>25569.041666666668</v>
      </c>
      <c r="F922" s="333">
        <f>IF(DATE(YEAR($B$6),MONTH($B$6)+1,DAY(1))=E922,1,IF(MONTH(E922)=1,F923*(1+$F$5),F923))</f>
      </c>
      <c r="G922" s="333">
        <f>IF('Simulador - 1º Pilar'!$E$99="Sí",IF('Aportaciones Poliza'!$B$13&lt;'Aportaciones Poliza'!E922,0,F922*$B$8/12),F922*$B$8/12)</f>
      </c>
      <c r="H922" s="333">
        <f>$H$5*G922</f>
      </c>
      <c r="I922" s="333"/>
      <c r="J922" s="333">
        <f>(1+$M$5)^(D922/12)*(H922+IF(AND(F922=1,F923=0),$Q$4,0))</f>
      </c>
      <c r="K922" s="333">
        <f>(1+$M$5)^(D922/12)*(I922)</f>
      </c>
      <c r="L922" s="333">
        <f>K922+J922</f>
      </c>
      <c r="M922" s="170"/>
      <c r="N922" s="7"/>
      <c r="O922" s="1"/>
      <c r="P922" s="331">
        <f>D922</f>
      </c>
      <c r="Q922" s="169"/>
    </row>
    <row x14ac:dyDescent="0.25" r="923" customHeight="1" ht="18.75">
      <c r="A923" s="1"/>
      <c r="B923" s="7"/>
      <c r="C923" s="170"/>
      <c r="D923" s="331">
        <v>916</v>
      </c>
      <c r="E923" s="544">
        <f>+DATE(YEAR(E922),MONTH(E922)-1,DAY(E922))</f>
        <v>25569.041666666668</v>
      </c>
      <c r="F923" s="333">
        <f>IF(DATE(YEAR($B$6),MONTH($B$6)+1,DAY(1))=E923,1,IF(MONTH(E923)=1,F924*(1+$F$5),F924))</f>
      </c>
      <c r="G923" s="333">
        <f>IF('Simulador - 1º Pilar'!$E$99="Sí",IF('Aportaciones Poliza'!$B$13&lt;'Aportaciones Poliza'!E923,0,F923*$B$8/12),F923*$B$8/12)</f>
      </c>
      <c r="H923" s="333">
        <f>$H$5*G923</f>
      </c>
      <c r="I923" s="333"/>
      <c r="J923" s="333">
        <f>(1+$M$5)^(D923/12)*(H923+IF(AND(F923=1,F924=0),$Q$4,0))</f>
      </c>
      <c r="K923" s="333">
        <f>(1+$M$5)^(D923/12)*(I923)</f>
      </c>
      <c r="L923" s="333">
        <f>K923+J923</f>
      </c>
      <c r="M923" s="170"/>
      <c r="N923" s="7"/>
      <c r="O923" s="1"/>
      <c r="P923" s="331">
        <f>D923</f>
      </c>
      <c r="Q923" s="169"/>
    </row>
    <row x14ac:dyDescent="0.25" r="924" customHeight="1" ht="18.75">
      <c r="A924" s="1"/>
      <c r="B924" s="7"/>
      <c r="C924" s="170"/>
      <c r="D924" s="331">
        <v>917</v>
      </c>
      <c r="E924" s="544">
        <f>+DATE(YEAR(E923),MONTH(E923)-1,DAY(E923))</f>
        <v>25569.041666666668</v>
      </c>
      <c r="F924" s="333">
        <f>IF(DATE(YEAR($B$6),MONTH($B$6)+1,DAY(1))=E924,1,IF(MONTH(E924)=1,F925*(1+$F$5),F925))</f>
      </c>
      <c r="G924" s="333">
        <f>IF('Simulador - 1º Pilar'!$E$99="Sí",IF('Aportaciones Poliza'!$B$13&lt;'Aportaciones Poliza'!E924,0,F924*$B$8/12),F924*$B$8/12)</f>
      </c>
      <c r="H924" s="333">
        <f>$H$5*G924</f>
      </c>
      <c r="I924" s="333"/>
      <c r="J924" s="333">
        <f>(1+$M$5)^(D924/12)*(H924+IF(AND(F924=1,F925=0),$Q$4,0))</f>
      </c>
      <c r="K924" s="333">
        <f>(1+$M$5)^(D924/12)*(I924)</f>
      </c>
      <c r="L924" s="333">
        <f>K924+J924</f>
      </c>
      <c r="M924" s="170"/>
      <c r="N924" s="7"/>
      <c r="O924" s="1"/>
      <c r="P924" s="331">
        <f>D924</f>
      </c>
      <c r="Q924" s="169"/>
    </row>
    <row x14ac:dyDescent="0.25" r="925" customHeight="1" ht="18.75">
      <c r="A925" s="1"/>
      <c r="B925" s="7"/>
      <c r="C925" s="170"/>
      <c r="D925" s="331">
        <v>918</v>
      </c>
      <c r="E925" s="544">
        <f>+DATE(YEAR(E924),MONTH(E924)-1,DAY(E924))</f>
        <v>25569.041666666668</v>
      </c>
      <c r="F925" s="333">
        <f>IF(DATE(YEAR($B$6),MONTH($B$6)+1,DAY(1))=E925,1,IF(MONTH(E925)=1,F926*(1+$F$5),F926))</f>
      </c>
      <c r="G925" s="333">
        <f>IF('Simulador - 1º Pilar'!$E$99="Sí",IF('Aportaciones Poliza'!$B$13&lt;'Aportaciones Poliza'!E925,0,F925*$B$8/12),F925*$B$8/12)</f>
      </c>
      <c r="H925" s="333">
        <f>$H$5*G925</f>
      </c>
      <c r="I925" s="333"/>
      <c r="J925" s="333">
        <f>(1+$M$5)^(D925/12)*(H925+IF(AND(F925=1,F926=0),$Q$4,0))</f>
      </c>
      <c r="K925" s="333">
        <f>(1+$M$5)^(D925/12)*(I925)</f>
      </c>
      <c r="L925" s="333">
        <f>K925+J925</f>
      </c>
      <c r="M925" s="170"/>
      <c r="N925" s="7"/>
      <c r="O925" s="1"/>
      <c r="P925" s="331">
        <f>D925</f>
      </c>
      <c r="Q925" s="169"/>
    </row>
    <row x14ac:dyDescent="0.25" r="926" customHeight="1" ht="18.75">
      <c r="A926" s="1"/>
      <c r="B926" s="7"/>
      <c r="C926" s="170"/>
      <c r="D926" s="331">
        <v>919</v>
      </c>
      <c r="E926" s="544">
        <f>+DATE(YEAR(E925),MONTH(E925)-1,DAY(E925))</f>
        <v>25569.041666666668</v>
      </c>
      <c r="F926" s="333">
        <f>IF(DATE(YEAR($B$6),MONTH($B$6)+1,DAY(1))=E926,1,IF(MONTH(E926)=1,F927*(1+$F$5),F927))</f>
      </c>
      <c r="G926" s="333">
        <f>IF('Simulador - 1º Pilar'!$E$99="Sí",IF('Aportaciones Poliza'!$B$13&lt;'Aportaciones Poliza'!E926,0,F926*$B$8/12),F926*$B$8/12)</f>
      </c>
      <c r="H926" s="333">
        <f>$H$5*G926</f>
      </c>
      <c r="I926" s="333"/>
      <c r="J926" s="333">
        <f>(1+$M$5)^(D926/12)*(H926+IF(AND(F926=1,F927=0),$Q$4,0))</f>
      </c>
      <c r="K926" s="333">
        <f>(1+$M$5)^(D926/12)*(I926)</f>
      </c>
      <c r="L926" s="333">
        <f>K926+J926</f>
      </c>
      <c r="M926" s="170"/>
      <c r="N926" s="7"/>
      <c r="O926" s="1"/>
      <c r="P926" s="331">
        <f>D926</f>
      </c>
      <c r="Q926" s="169"/>
    </row>
    <row x14ac:dyDescent="0.25" r="927" customHeight="1" ht="18.75">
      <c r="A927" s="1"/>
      <c r="B927" s="7"/>
      <c r="C927" s="170"/>
      <c r="D927" s="331">
        <v>920</v>
      </c>
      <c r="E927" s="544">
        <f>+DATE(YEAR(E926),MONTH(E926)-1,DAY(E926))</f>
        <v>25569.041666666668</v>
      </c>
      <c r="F927" s="333">
        <f>IF(DATE(YEAR($B$6),MONTH($B$6)+1,DAY(1))=E927,1,IF(MONTH(E927)=1,F928*(1+$F$5),F928))</f>
      </c>
      <c r="G927" s="333">
        <f>IF('Simulador - 1º Pilar'!$E$99="Sí",IF('Aportaciones Poliza'!$B$13&lt;'Aportaciones Poliza'!E927,0,F927*$B$8/12),F927*$B$8/12)</f>
      </c>
      <c r="H927" s="333">
        <f>$H$5*G927</f>
      </c>
      <c r="I927" s="333"/>
      <c r="J927" s="333">
        <f>(1+$M$5)^(D927/12)*(H927+IF(AND(F927=1,F928=0),$Q$4,0))</f>
      </c>
      <c r="K927" s="333">
        <f>(1+$M$5)^(D927/12)*(I927)</f>
      </c>
      <c r="L927" s="333">
        <f>K927+J927</f>
      </c>
      <c r="M927" s="170"/>
      <c r="N927" s="7"/>
      <c r="O927" s="1"/>
      <c r="P927" s="331">
        <f>D927</f>
      </c>
      <c r="Q927" s="169"/>
    </row>
    <row x14ac:dyDescent="0.25" r="928" customHeight="1" ht="18.75">
      <c r="A928" s="1"/>
      <c r="B928" s="7"/>
      <c r="C928" s="170"/>
      <c r="D928" s="331">
        <v>921</v>
      </c>
      <c r="E928" s="544">
        <f>+DATE(YEAR(E927),MONTH(E927)-1,DAY(E927))</f>
        <v>25569.041666666668</v>
      </c>
      <c r="F928" s="333">
        <f>IF(DATE(YEAR($B$6),MONTH($B$6)+1,DAY(1))=E928,1,IF(MONTH(E928)=1,F929*(1+$F$5),F929))</f>
      </c>
      <c r="G928" s="333">
        <f>IF('Simulador - 1º Pilar'!$E$99="Sí",IF('Aportaciones Poliza'!$B$13&lt;'Aportaciones Poliza'!E928,0,F928*$B$8/12),F928*$B$8/12)</f>
      </c>
      <c r="H928" s="333">
        <f>$H$5*G928</f>
      </c>
      <c r="I928" s="333"/>
      <c r="J928" s="333">
        <f>(1+$M$5)^(D928/12)*(H928+IF(AND(F928=1,F929=0),$Q$4,0))</f>
      </c>
      <c r="K928" s="333">
        <f>(1+$M$5)^(D928/12)*(I928)</f>
      </c>
      <c r="L928" s="333">
        <f>K928+J928</f>
      </c>
      <c r="M928" s="170"/>
      <c r="N928" s="7"/>
      <c r="O928" s="1"/>
      <c r="P928" s="331">
        <f>D928</f>
      </c>
      <c r="Q928" s="169"/>
    </row>
    <row x14ac:dyDescent="0.25" r="929" customHeight="1" ht="18.75">
      <c r="A929" s="1"/>
      <c r="B929" s="7"/>
      <c r="C929" s="170"/>
      <c r="D929" s="331">
        <v>922</v>
      </c>
      <c r="E929" s="544">
        <f>+DATE(YEAR(E928),MONTH(E928)-1,DAY(E928))</f>
        <v>25569.041666666668</v>
      </c>
      <c r="F929" s="333">
        <f>IF(DATE(YEAR($B$6),MONTH($B$6)+1,DAY(1))=E929,1,IF(MONTH(E929)=1,F930*(1+$F$5),F930))</f>
      </c>
      <c r="G929" s="333">
        <f>IF('Simulador - 1º Pilar'!$E$99="Sí",IF('Aportaciones Poliza'!$B$13&lt;'Aportaciones Poliza'!E929,0,F929*$B$8/12),F929*$B$8/12)</f>
      </c>
      <c r="H929" s="333">
        <f>$H$5*G929</f>
      </c>
      <c r="I929" s="333"/>
      <c r="J929" s="333">
        <f>(1+$M$5)^(D929/12)*(H929+IF(AND(F929=1,F930=0),$Q$4,0))</f>
      </c>
      <c r="K929" s="333">
        <f>(1+$M$5)^(D929/12)*(I929)</f>
      </c>
      <c r="L929" s="333">
        <f>K929+J929</f>
      </c>
      <c r="M929" s="170"/>
      <c r="N929" s="7"/>
      <c r="O929" s="1"/>
      <c r="P929" s="331">
        <f>D929</f>
      </c>
      <c r="Q929" s="169"/>
    </row>
    <row x14ac:dyDescent="0.25" r="930" customHeight="1" ht="18.75">
      <c r="A930" s="1"/>
      <c r="B930" s="7"/>
      <c r="C930" s="170"/>
      <c r="D930" s="331">
        <v>923</v>
      </c>
      <c r="E930" s="544">
        <f>+DATE(YEAR(E929),MONTH(E929)-1,DAY(E929))</f>
        <v>25569.041666666668</v>
      </c>
      <c r="F930" s="333">
        <f>IF(DATE(YEAR($B$6),MONTH($B$6)+1,DAY(1))=E930,1,IF(MONTH(E930)=1,F931*(1+$F$5),F931))</f>
      </c>
      <c r="G930" s="333">
        <f>IF('Simulador - 1º Pilar'!$E$99="Sí",IF('Aportaciones Poliza'!$B$13&lt;'Aportaciones Poliza'!E930,0,F930*$B$8/12),F930*$B$8/12)</f>
      </c>
      <c r="H930" s="333">
        <f>$H$5*G930</f>
      </c>
      <c r="I930" s="333"/>
      <c r="J930" s="333">
        <f>(1+$M$5)^(D930/12)*(H930+IF(AND(F930=1,F931=0),$Q$4,0))</f>
      </c>
      <c r="K930" s="333">
        <f>(1+$M$5)^(D930/12)*(I930)</f>
      </c>
      <c r="L930" s="333">
        <f>K930+J930</f>
      </c>
      <c r="M930" s="170"/>
      <c r="N930" s="7"/>
      <c r="O930" s="1"/>
      <c r="P930" s="331">
        <f>D930</f>
      </c>
      <c r="Q930" s="169"/>
    </row>
    <row x14ac:dyDescent="0.25" r="931" customHeight="1" ht="18.75">
      <c r="A931" s="1"/>
      <c r="B931" s="7"/>
      <c r="C931" s="170"/>
      <c r="D931" s="331">
        <v>924</v>
      </c>
      <c r="E931" s="544">
        <f>+DATE(YEAR(E930),MONTH(E930)-1,DAY(E930))</f>
        <v>25569.041666666668</v>
      </c>
      <c r="F931" s="333">
        <f>IF(DATE(YEAR($B$6),MONTH($B$6)+1,DAY(1))=E931,1,IF(MONTH(E931)=1,F932*(1+$F$5),F932))</f>
      </c>
      <c r="G931" s="333">
        <f>IF('Simulador - 1º Pilar'!$E$99="Sí",IF('Aportaciones Poliza'!$B$13&lt;'Aportaciones Poliza'!E931,0,F931*$B$8/12),F931*$B$8/12)</f>
      </c>
      <c r="H931" s="333">
        <f>$H$5*G931</f>
      </c>
      <c r="I931" s="333"/>
      <c r="J931" s="333">
        <f>(1+$M$5)^(D931/12)*(H931+IF(AND(F931=1,F932=0),$Q$4,0))</f>
      </c>
      <c r="K931" s="333">
        <f>(1+$M$5)^(D931/12)*(I931)</f>
      </c>
      <c r="L931" s="333">
        <f>K931+J931</f>
      </c>
      <c r="M931" s="170"/>
      <c r="N931" s="7"/>
      <c r="O931" s="1"/>
      <c r="P931" s="331">
        <f>D931</f>
      </c>
      <c r="Q931" s="169"/>
    </row>
    <row x14ac:dyDescent="0.25" r="932" customHeight="1" ht="18.75">
      <c r="A932" s="1"/>
      <c r="B932" s="7"/>
      <c r="C932" s="170"/>
      <c r="D932" s="331">
        <v>925</v>
      </c>
      <c r="E932" s="544">
        <f>+DATE(YEAR(E931),MONTH(E931)-1,DAY(E931))</f>
        <v>25569.041666666668</v>
      </c>
      <c r="F932" s="333">
        <f>IF(DATE(YEAR($B$6),MONTH($B$6)+1,DAY(1))=E932,1,IF(MONTH(E932)=1,F933*(1+$F$5),F933))</f>
      </c>
      <c r="G932" s="333">
        <f>IF('Simulador - 1º Pilar'!$E$99="Sí",IF('Aportaciones Poliza'!$B$13&lt;'Aportaciones Poliza'!E932,0,F932*$B$8/12),F932*$B$8/12)</f>
      </c>
      <c r="H932" s="333">
        <f>$H$5*G932</f>
      </c>
      <c r="I932" s="333"/>
      <c r="J932" s="333">
        <f>(1+$M$5)^(D932/12)*(H932+IF(AND(F932=1,F933=0),$Q$4,0))</f>
      </c>
      <c r="K932" s="333">
        <f>(1+$M$5)^(D932/12)*(I932)</f>
      </c>
      <c r="L932" s="333">
        <f>K932+J932</f>
      </c>
      <c r="M932" s="170"/>
      <c r="N932" s="7"/>
      <c r="O932" s="1"/>
      <c r="P932" s="331">
        <f>D932</f>
      </c>
      <c r="Q932" s="169"/>
    </row>
    <row x14ac:dyDescent="0.25" r="933" customHeight="1" ht="18.75">
      <c r="A933" s="1"/>
      <c r="B933" s="7"/>
      <c r="C933" s="170"/>
      <c r="D933" s="331">
        <v>926</v>
      </c>
      <c r="E933" s="544">
        <f>+DATE(YEAR(E932),MONTH(E932)-1,DAY(E932))</f>
        <v>25569.041666666668</v>
      </c>
      <c r="F933" s="333">
        <f>IF(DATE(YEAR($B$6),MONTH($B$6)+1,DAY(1))=E933,1,IF(MONTH(E933)=1,F934*(1+$F$5),F934))</f>
      </c>
      <c r="G933" s="333">
        <f>IF('Simulador - 1º Pilar'!$E$99="Sí",IF('Aportaciones Poliza'!$B$13&lt;'Aportaciones Poliza'!E933,0,F933*$B$8/12),F933*$B$8/12)</f>
      </c>
      <c r="H933" s="333">
        <f>$H$5*G933</f>
      </c>
      <c r="I933" s="333"/>
      <c r="J933" s="333">
        <f>(1+$M$5)^(D933/12)*(H933+IF(AND(F933=1,F934=0),$Q$4,0))</f>
      </c>
      <c r="K933" s="333">
        <f>(1+$M$5)^(D933/12)*(I933)</f>
      </c>
      <c r="L933" s="333">
        <f>K933+J933</f>
      </c>
      <c r="M933" s="170"/>
      <c r="N933" s="7"/>
      <c r="O933" s="1"/>
      <c r="P933" s="331">
        <f>D933</f>
      </c>
      <c r="Q933" s="169"/>
    </row>
    <row x14ac:dyDescent="0.25" r="934" customHeight="1" ht="18.75">
      <c r="A934" s="1"/>
      <c r="B934" s="7"/>
      <c r="C934" s="170"/>
      <c r="D934" s="331">
        <v>927</v>
      </c>
      <c r="E934" s="544">
        <f>+DATE(YEAR(E933),MONTH(E933)-1,DAY(E933))</f>
        <v>25569.041666666668</v>
      </c>
      <c r="F934" s="333">
        <f>IF(DATE(YEAR($B$6),MONTH($B$6)+1,DAY(1))=E934,1,IF(MONTH(E934)=1,F935*(1+$F$5),F935))</f>
      </c>
      <c r="G934" s="333">
        <f>IF('Simulador - 1º Pilar'!$E$99="Sí",IF('Aportaciones Poliza'!$B$13&lt;'Aportaciones Poliza'!E934,0,F934*$B$8/12),F934*$B$8/12)</f>
      </c>
      <c r="H934" s="333">
        <f>$H$5*G934</f>
      </c>
      <c r="I934" s="333"/>
      <c r="J934" s="333">
        <f>(1+$M$5)^(D934/12)*(H934+IF(AND(F934=1,F935=0),$Q$4,0))</f>
      </c>
      <c r="K934" s="333">
        <f>(1+$M$5)^(D934/12)*(I934)</f>
      </c>
      <c r="L934" s="333">
        <f>K934+J934</f>
      </c>
      <c r="M934" s="170"/>
      <c r="N934" s="7"/>
      <c r="O934" s="1"/>
      <c r="P934" s="331">
        <f>D934</f>
      </c>
      <c r="Q934" s="169"/>
    </row>
    <row x14ac:dyDescent="0.25" r="935" customHeight="1" ht="18.75">
      <c r="A935" s="1"/>
      <c r="B935" s="7"/>
      <c r="C935" s="170"/>
      <c r="D935" s="331">
        <v>928</v>
      </c>
      <c r="E935" s="544">
        <f>+DATE(YEAR(E934),MONTH(E934)-1,DAY(E934))</f>
        <v>25569.041666666668</v>
      </c>
      <c r="F935" s="333">
        <f>IF(DATE(YEAR($B$6),MONTH($B$6)+1,DAY(1))=E935,1,IF(MONTH(E935)=1,F936*(1+$F$5),F936))</f>
      </c>
      <c r="G935" s="333">
        <f>IF('Simulador - 1º Pilar'!$E$99="Sí",IF('Aportaciones Poliza'!$B$13&lt;'Aportaciones Poliza'!E935,0,F935*$B$8/12),F935*$B$8/12)</f>
      </c>
      <c r="H935" s="333">
        <f>$H$5*G935</f>
      </c>
      <c r="I935" s="333"/>
      <c r="J935" s="333">
        <f>(1+$M$5)^(D935/12)*(H935+IF(AND(F935=1,F936=0),$Q$4,0))</f>
      </c>
      <c r="K935" s="333">
        <f>(1+$M$5)^(D935/12)*(I935)</f>
      </c>
      <c r="L935" s="333">
        <f>K935+J935</f>
      </c>
      <c r="M935" s="170"/>
      <c r="N935" s="7"/>
      <c r="O935" s="1"/>
      <c r="P935" s="331">
        <f>D935</f>
      </c>
      <c r="Q935" s="169"/>
    </row>
    <row x14ac:dyDescent="0.25" r="936" customHeight="1" ht="18.75">
      <c r="A936" s="1"/>
      <c r="B936" s="7"/>
      <c r="C936" s="170"/>
      <c r="D936" s="331">
        <v>929</v>
      </c>
      <c r="E936" s="544">
        <f>+DATE(YEAR(E935),MONTH(E935)-1,DAY(E935))</f>
        <v>25569.041666666668</v>
      </c>
      <c r="F936" s="333">
        <f>IF(DATE(YEAR($B$6),MONTH($B$6)+1,DAY(1))=E936,1,IF(MONTH(E936)=1,F937*(1+$F$5),F937))</f>
      </c>
      <c r="G936" s="333">
        <f>IF('Simulador - 1º Pilar'!$E$99="Sí",IF('Aportaciones Poliza'!$B$13&lt;'Aportaciones Poliza'!E936,0,F936*$B$8/12),F936*$B$8/12)</f>
      </c>
      <c r="H936" s="333">
        <f>$H$5*G936</f>
      </c>
      <c r="I936" s="333"/>
      <c r="J936" s="333">
        <f>(1+$M$5)^(D936/12)*(H936+IF(AND(F936=1,F937=0),$Q$4,0))</f>
      </c>
      <c r="K936" s="333">
        <f>(1+$M$5)^(D936/12)*(I936)</f>
      </c>
      <c r="L936" s="333">
        <f>K936+J936</f>
      </c>
      <c r="M936" s="170"/>
      <c r="N936" s="7"/>
      <c r="O936" s="1"/>
      <c r="P936" s="331">
        <f>D936</f>
      </c>
      <c r="Q936" s="169"/>
    </row>
    <row x14ac:dyDescent="0.25" r="937" customHeight="1" ht="18.75">
      <c r="A937" s="1"/>
      <c r="B937" s="7"/>
      <c r="C937" s="170"/>
      <c r="D937" s="331">
        <v>930</v>
      </c>
      <c r="E937" s="544">
        <f>+DATE(YEAR(E936),MONTH(E936)-1,DAY(E936))</f>
        <v>25569.041666666668</v>
      </c>
      <c r="F937" s="333">
        <f>IF(DATE(YEAR($B$6),MONTH($B$6)+1,DAY(1))=E937,1,IF(MONTH(E937)=1,F938*(1+$F$5),F938))</f>
      </c>
      <c r="G937" s="333">
        <f>IF('Simulador - 1º Pilar'!$E$99="Sí",IF('Aportaciones Poliza'!$B$13&lt;'Aportaciones Poliza'!E937,0,F937*$B$8/12),F937*$B$8/12)</f>
      </c>
      <c r="H937" s="333">
        <f>$H$5*G937</f>
      </c>
      <c r="I937" s="333"/>
      <c r="J937" s="333">
        <f>(1+$M$5)^(D937/12)*(H937+IF(AND(F937=1,F938=0),$Q$4,0))</f>
      </c>
      <c r="K937" s="333">
        <f>(1+$M$5)^(D937/12)*(I937)</f>
      </c>
      <c r="L937" s="333">
        <f>K937+J937</f>
      </c>
      <c r="M937" s="170"/>
      <c r="N937" s="7"/>
      <c r="O937" s="1"/>
      <c r="P937" s="331">
        <f>D937</f>
      </c>
      <c r="Q937" s="169"/>
    </row>
    <row x14ac:dyDescent="0.25" r="938" customHeight="1" ht="18.75">
      <c r="A938" s="1"/>
      <c r="B938" s="7"/>
      <c r="C938" s="170"/>
      <c r="D938" s="331">
        <v>931</v>
      </c>
      <c r="E938" s="544">
        <f>+DATE(YEAR(E937),MONTH(E937)-1,DAY(E937))</f>
        <v>25569.041666666668</v>
      </c>
      <c r="F938" s="333">
        <f>IF(DATE(YEAR($B$6),MONTH($B$6)+1,DAY(1))=E938,1,IF(MONTH(E938)=1,F939*(1+$F$5),F939))</f>
      </c>
      <c r="G938" s="333">
        <f>IF('Simulador - 1º Pilar'!$E$99="Sí",IF('Aportaciones Poliza'!$B$13&lt;'Aportaciones Poliza'!E938,0,F938*$B$8/12),F938*$B$8/12)</f>
      </c>
      <c r="H938" s="333">
        <f>$H$5*G938</f>
      </c>
      <c r="I938" s="333"/>
      <c r="J938" s="333">
        <f>(1+$M$5)^(D938/12)*(H938+IF(AND(F938=1,F939=0),$Q$4,0))</f>
      </c>
      <c r="K938" s="333">
        <f>(1+$M$5)^(D938/12)*(I938)</f>
      </c>
      <c r="L938" s="333">
        <f>K938+J938</f>
      </c>
      <c r="M938" s="170"/>
      <c r="N938" s="7"/>
      <c r="O938" s="1"/>
      <c r="P938" s="331">
        <f>D938</f>
      </c>
      <c r="Q938" s="169"/>
    </row>
    <row x14ac:dyDescent="0.25" r="939" customHeight="1" ht="18.75">
      <c r="A939" s="1"/>
      <c r="B939" s="7"/>
      <c r="C939" s="170"/>
      <c r="D939" s="331">
        <v>932</v>
      </c>
      <c r="E939" s="544">
        <f>+DATE(YEAR(E938),MONTH(E938)-1,DAY(E938))</f>
        <v>25569.041666666668</v>
      </c>
      <c r="F939" s="333">
        <f>IF(DATE(YEAR($B$6),MONTH($B$6)+1,DAY(1))=E939,1,IF(MONTH(E939)=1,F940*(1+$F$5),F940))</f>
      </c>
      <c r="G939" s="333">
        <f>IF('Simulador - 1º Pilar'!$E$99="Sí",IF('Aportaciones Poliza'!$B$13&lt;'Aportaciones Poliza'!E939,0,F939*$B$8/12),F939*$B$8/12)</f>
      </c>
      <c r="H939" s="333">
        <f>$H$5*G939</f>
      </c>
      <c r="I939" s="333"/>
      <c r="J939" s="333">
        <f>(1+$M$5)^(D939/12)*(H939+IF(AND(F939=1,F940=0),$Q$4,0))</f>
      </c>
      <c r="K939" s="333">
        <f>(1+$M$5)^(D939/12)*(I939)</f>
      </c>
      <c r="L939" s="333">
        <f>K939+J939</f>
      </c>
      <c r="M939" s="170"/>
      <c r="N939" s="7"/>
      <c r="O939" s="1"/>
      <c r="P939" s="331">
        <f>D939</f>
      </c>
      <c r="Q939" s="169"/>
    </row>
    <row x14ac:dyDescent="0.25" r="940" customHeight="1" ht="18.75">
      <c r="A940" s="1"/>
      <c r="B940" s="7"/>
      <c r="C940" s="170"/>
      <c r="D940" s="331">
        <v>933</v>
      </c>
      <c r="E940" s="544">
        <f>+DATE(YEAR(E939),MONTH(E939)-1,DAY(E939))</f>
        <v>25569.041666666668</v>
      </c>
      <c r="F940" s="333">
        <f>IF(DATE(YEAR($B$6),MONTH($B$6)+1,DAY(1))=E940,1,IF(MONTH(E940)=1,F941*(1+$F$5),F941))</f>
      </c>
      <c r="G940" s="333">
        <f>IF('Simulador - 1º Pilar'!$E$99="Sí",IF('Aportaciones Poliza'!$B$13&lt;'Aportaciones Poliza'!E940,0,F940*$B$8/12),F940*$B$8/12)</f>
      </c>
      <c r="H940" s="333">
        <f>$H$5*G940</f>
      </c>
      <c r="I940" s="333"/>
      <c r="J940" s="333">
        <f>(1+$M$5)^(D940/12)*(H940+IF(AND(F940=1,F941=0),$Q$4,0))</f>
      </c>
      <c r="K940" s="333">
        <f>(1+$M$5)^(D940/12)*(I940)</f>
      </c>
      <c r="L940" s="333">
        <f>K940+J940</f>
      </c>
      <c r="M940" s="170"/>
      <c r="N940" s="7"/>
      <c r="O940" s="1"/>
      <c r="P940" s="331">
        <f>D940</f>
      </c>
      <c r="Q940" s="169"/>
    </row>
    <row x14ac:dyDescent="0.25" r="941" customHeight="1" ht="18.75">
      <c r="A941" s="1"/>
      <c r="B941" s="7"/>
      <c r="C941" s="170"/>
      <c r="D941" s="331">
        <v>934</v>
      </c>
      <c r="E941" s="544">
        <f>+DATE(YEAR(E940),MONTH(E940)-1,DAY(E940))</f>
        <v>25569.041666666668</v>
      </c>
      <c r="F941" s="333">
        <f>IF(DATE(YEAR($B$6),MONTH($B$6)+1,DAY(1))=E941,1,IF(MONTH(E941)=1,F942*(1+$F$5),F942))</f>
      </c>
      <c r="G941" s="333">
        <f>IF('Simulador - 1º Pilar'!$E$99="Sí",IF('Aportaciones Poliza'!$B$13&lt;'Aportaciones Poliza'!E941,0,F941*$B$8/12),F941*$B$8/12)</f>
      </c>
      <c r="H941" s="333">
        <f>$H$5*G941</f>
      </c>
      <c r="I941" s="333"/>
      <c r="J941" s="333">
        <f>(1+$M$5)^(D941/12)*(H941+IF(AND(F941=1,F942=0),$Q$4,0))</f>
      </c>
      <c r="K941" s="333">
        <f>(1+$M$5)^(D941/12)*(I941)</f>
      </c>
      <c r="L941" s="333">
        <f>K941+J941</f>
      </c>
      <c r="M941" s="170"/>
      <c r="N941" s="7"/>
      <c r="O941" s="1"/>
      <c r="P941" s="331">
        <f>D941</f>
      </c>
      <c r="Q941" s="169"/>
    </row>
    <row x14ac:dyDescent="0.25" r="942" customHeight="1" ht="18.75">
      <c r="A942" s="1"/>
      <c r="B942" s="7"/>
      <c r="C942" s="170"/>
      <c r="D942" s="331">
        <v>935</v>
      </c>
      <c r="E942" s="544">
        <f>+DATE(YEAR(E941),MONTH(E941)-1,DAY(E941))</f>
        <v>25569.041666666668</v>
      </c>
      <c r="F942" s="333">
        <f>IF(DATE(YEAR($B$6),MONTH($B$6)+1,DAY(1))=E942,1,IF(MONTH(E942)=1,F943*(1+$F$5),F943))</f>
      </c>
      <c r="G942" s="333">
        <f>IF('Simulador - 1º Pilar'!$E$99="Sí",IF('Aportaciones Poliza'!$B$13&lt;'Aportaciones Poliza'!E942,0,F942*$B$8/12),F942*$B$8/12)</f>
      </c>
      <c r="H942" s="333">
        <f>$H$5*G942</f>
      </c>
      <c r="I942" s="333"/>
      <c r="J942" s="333">
        <f>(1+$M$5)^(D942/12)*(H942+IF(AND(F942=1,F943=0),$Q$4,0))</f>
      </c>
      <c r="K942" s="333">
        <f>(1+$M$5)^(D942/12)*(I942)</f>
      </c>
      <c r="L942" s="333">
        <f>K942+J942</f>
      </c>
      <c r="M942" s="170"/>
      <c r="N942" s="7"/>
      <c r="O942" s="1"/>
      <c r="P942" s="331">
        <f>D942</f>
      </c>
      <c r="Q942" s="169"/>
    </row>
    <row x14ac:dyDescent="0.25" r="943" customHeight="1" ht="18.75">
      <c r="A943" s="1"/>
      <c r="B943" s="7"/>
      <c r="C943" s="170"/>
      <c r="D943" s="331">
        <v>936</v>
      </c>
      <c r="E943" s="544">
        <f>+DATE(YEAR(E942),MONTH(E942)-1,DAY(E942))</f>
        <v>25569.041666666668</v>
      </c>
      <c r="F943" s="333">
        <f>IF(DATE(YEAR($B$6),MONTH($B$6)+1,DAY(1))=E943,1,IF(MONTH(E943)=1,F944*(1+$F$5),F944))</f>
      </c>
      <c r="G943" s="333">
        <f>IF('Simulador - 1º Pilar'!$E$99="Sí",IF('Aportaciones Poliza'!$B$13&lt;'Aportaciones Poliza'!E943,0,F943*$B$8/12),F943*$B$8/12)</f>
      </c>
      <c r="H943" s="333">
        <f>$H$5*G943</f>
      </c>
      <c r="I943" s="333"/>
      <c r="J943" s="333">
        <f>(1+$M$5)^(D943/12)*(H943+IF(AND(F943=1,F944=0),$Q$4,0))</f>
      </c>
      <c r="K943" s="333">
        <f>(1+$M$5)^(D943/12)*(I943)</f>
      </c>
      <c r="L943" s="333">
        <f>K943+J943</f>
      </c>
      <c r="M943" s="170"/>
      <c r="N943" s="7"/>
      <c r="O943" s="1"/>
      <c r="P943" s="331">
        <f>D943</f>
      </c>
      <c r="Q943" s="169"/>
    </row>
    <row x14ac:dyDescent="0.25" r="944" customHeight="1" ht="18.75">
      <c r="A944" s="1"/>
      <c r="B944" s="7"/>
      <c r="C944" s="170"/>
      <c r="D944" s="331">
        <v>937</v>
      </c>
      <c r="E944" s="544">
        <f>+DATE(YEAR(E943),MONTH(E943)-1,DAY(E943))</f>
        <v>25569.041666666668</v>
      </c>
      <c r="F944" s="333">
        <f>IF(DATE(YEAR($B$6),MONTH($B$6)+1,DAY(1))=E944,1,IF(MONTH(E944)=1,F945*(1+$F$5),F945))</f>
      </c>
      <c r="G944" s="333">
        <f>IF('Simulador - 1º Pilar'!$E$99="Sí",IF('Aportaciones Poliza'!$B$13&lt;'Aportaciones Poliza'!E944,0,F944*$B$8/12),F944*$B$8/12)</f>
      </c>
      <c r="H944" s="333">
        <f>$H$5*G944</f>
      </c>
      <c r="I944" s="333"/>
      <c r="J944" s="333">
        <f>(1+$M$5)^(D944/12)*(H944+IF(AND(F944=1,F945=0),$Q$4,0))</f>
      </c>
      <c r="K944" s="333">
        <f>(1+$M$5)^(D944/12)*(I944)</f>
      </c>
      <c r="L944" s="333">
        <f>K944+J944</f>
      </c>
      <c r="M944" s="170"/>
      <c r="N944" s="7"/>
      <c r="O944" s="1"/>
      <c r="P944" s="331">
        <f>D944</f>
      </c>
      <c r="Q944" s="169"/>
    </row>
    <row x14ac:dyDescent="0.25" r="945" customHeight="1" ht="18.75">
      <c r="A945" s="1"/>
      <c r="B945" s="7"/>
      <c r="C945" s="170"/>
      <c r="D945" s="331">
        <v>938</v>
      </c>
      <c r="E945" s="544">
        <f>+DATE(YEAR(E944),MONTH(E944)-1,DAY(E944))</f>
        <v>25569.041666666668</v>
      </c>
      <c r="F945" s="333">
        <f>IF(DATE(YEAR($B$6),MONTH($B$6)+1,DAY(1))=E945,1,IF(MONTH(E945)=1,F946*(1+$F$5),F946))</f>
      </c>
      <c r="G945" s="333">
        <f>IF('Simulador - 1º Pilar'!$E$99="Sí",IF('Aportaciones Poliza'!$B$13&lt;'Aportaciones Poliza'!E945,0,F945*$B$8/12),F945*$B$8/12)</f>
      </c>
      <c r="H945" s="333">
        <f>$H$5*G945</f>
      </c>
      <c r="I945" s="333"/>
      <c r="J945" s="333">
        <f>(1+$M$5)^(D945/12)*(H945+IF(AND(F945=1,F946=0),$Q$4,0))</f>
      </c>
      <c r="K945" s="333">
        <f>(1+$M$5)^(D945/12)*(I945)</f>
      </c>
      <c r="L945" s="333">
        <f>K945+J945</f>
      </c>
      <c r="M945" s="170"/>
      <c r="N945" s="7"/>
      <c r="O945" s="1"/>
      <c r="P945" s="331">
        <f>D945</f>
      </c>
      <c r="Q945" s="169"/>
    </row>
    <row x14ac:dyDescent="0.25" r="946" customHeight="1" ht="18.75">
      <c r="A946" s="1"/>
      <c r="B946" s="7"/>
      <c r="C946" s="170"/>
      <c r="D946" s="331">
        <v>939</v>
      </c>
      <c r="E946" s="544">
        <f>+DATE(YEAR(E945),MONTH(E945)-1,DAY(E945))</f>
        <v>25569.041666666668</v>
      </c>
      <c r="F946" s="333">
        <f>IF(DATE(YEAR($B$6),MONTH($B$6)+1,DAY(1))=E946,1,IF(MONTH(E946)=1,F947*(1+$F$5),F947))</f>
      </c>
      <c r="G946" s="333">
        <f>IF('Simulador - 1º Pilar'!$E$99="Sí",IF('Aportaciones Poliza'!$B$13&lt;'Aportaciones Poliza'!E946,0,F946*$B$8/12),F946*$B$8/12)</f>
      </c>
      <c r="H946" s="333">
        <f>$H$5*G946</f>
      </c>
      <c r="I946" s="333"/>
      <c r="J946" s="333">
        <f>(1+$M$5)^(D946/12)*(H946+IF(AND(F946=1,F947=0),$Q$4,0))</f>
      </c>
      <c r="K946" s="333">
        <f>(1+$M$5)^(D946/12)*(I946)</f>
      </c>
      <c r="L946" s="333">
        <f>K946+J946</f>
      </c>
      <c r="M946" s="170"/>
      <c r="N946" s="7"/>
      <c r="O946" s="1"/>
      <c r="P946" s="331">
        <f>D946</f>
      </c>
      <c r="Q946" s="169"/>
    </row>
    <row x14ac:dyDescent="0.25" r="947" customHeight="1" ht="18.75">
      <c r="A947" s="1"/>
      <c r="B947" s="7"/>
      <c r="C947" s="170"/>
      <c r="D947" s="331">
        <v>940</v>
      </c>
      <c r="E947" s="544">
        <f>+DATE(YEAR(E946),MONTH(E946)-1,DAY(E946))</f>
        <v>25569.041666666668</v>
      </c>
      <c r="F947" s="333">
        <f>IF(DATE(YEAR($B$6),MONTH($B$6)+1,DAY(1))=E947,1,IF(MONTH(E947)=1,F948*(1+$F$5),F948))</f>
      </c>
      <c r="G947" s="333">
        <f>IF('Simulador - 1º Pilar'!$E$99="Sí",IF('Aportaciones Poliza'!$B$13&lt;'Aportaciones Poliza'!E947,0,F947*$B$8/12),F947*$B$8/12)</f>
      </c>
      <c r="H947" s="333">
        <f>$H$5*G947</f>
      </c>
      <c r="I947" s="333"/>
      <c r="J947" s="333">
        <f>(1+$M$5)^(D947/12)*(H947+IF(AND(F947=1,F948=0),$Q$4,0))</f>
      </c>
      <c r="K947" s="333">
        <f>(1+$M$5)^(D947/12)*(I947)</f>
      </c>
      <c r="L947" s="333">
        <f>K947+J947</f>
      </c>
      <c r="M947" s="170"/>
      <c r="N947" s="7"/>
      <c r="O947" s="1"/>
      <c r="P947" s="331">
        <f>D947</f>
      </c>
      <c r="Q947" s="169"/>
    </row>
    <row x14ac:dyDescent="0.25" r="948" customHeight="1" ht="18.75">
      <c r="A948" s="1"/>
      <c r="B948" s="7"/>
      <c r="C948" s="170"/>
      <c r="D948" s="331">
        <v>941</v>
      </c>
      <c r="E948" s="544">
        <f>+DATE(YEAR(E947),MONTH(E947)-1,DAY(E947))</f>
        <v>25569.041666666668</v>
      </c>
      <c r="F948" s="333">
        <f>IF(DATE(YEAR($B$6),MONTH($B$6)+1,DAY(1))=E948,1,IF(MONTH(E948)=1,F949*(1+$F$5),F949))</f>
      </c>
      <c r="G948" s="333">
        <f>IF('Simulador - 1º Pilar'!$E$99="Sí",IF('Aportaciones Poliza'!$B$13&lt;'Aportaciones Poliza'!E948,0,F948*$B$8/12),F948*$B$8/12)</f>
      </c>
      <c r="H948" s="333">
        <f>$H$5*G948</f>
      </c>
      <c r="I948" s="333"/>
      <c r="J948" s="333">
        <f>(1+$M$5)^(D948/12)*(H948+IF(AND(F948=1,F949=0),$Q$4,0))</f>
      </c>
      <c r="K948" s="333">
        <f>(1+$M$5)^(D948/12)*(I948)</f>
      </c>
      <c r="L948" s="333">
        <f>K948+J948</f>
      </c>
      <c r="M948" s="170"/>
      <c r="N948" s="7"/>
      <c r="O948" s="1"/>
      <c r="P948" s="331">
        <f>D948</f>
      </c>
      <c r="Q948" s="169"/>
    </row>
    <row x14ac:dyDescent="0.25" r="949" customHeight="1" ht="18.75">
      <c r="A949" s="1"/>
      <c r="B949" s="7"/>
      <c r="C949" s="170"/>
      <c r="D949" s="331">
        <v>942</v>
      </c>
      <c r="E949" s="544">
        <f>+DATE(YEAR(E948),MONTH(E948)-1,DAY(E948))</f>
        <v>25569.041666666668</v>
      </c>
      <c r="F949" s="333">
        <f>IF(DATE(YEAR($B$6),MONTH($B$6)+1,DAY(1))=E949,1,IF(MONTH(E949)=1,F950*(1+$F$5),F950))</f>
      </c>
      <c r="G949" s="333">
        <f>IF('Simulador - 1º Pilar'!$E$99="Sí",IF('Aportaciones Poliza'!$B$13&lt;'Aportaciones Poliza'!E949,0,F949*$B$8/12),F949*$B$8/12)</f>
      </c>
      <c r="H949" s="333">
        <f>$H$5*G949</f>
      </c>
      <c r="I949" s="333"/>
      <c r="J949" s="333">
        <f>(1+$M$5)^(D949/12)*(H949+IF(AND(F949=1,F950=0),$Q$4,0))</f>
      </c>
      <c r="K949" s="333">
        <f>(1+$M$5)^(D949/12)*(I949)</f>
      </c>
      <c r="L949" s="333">
        <f>K949+J949</f>
      </c>
      <c r="M949" s="170"/>
      <c r="N949" s="7"/>
      <c r="O949" s="1"/>
      <c r="P949" s="331">
        <f>D949</f>
      </c>
      <c r="Q949" s="169"/>
    </row>
    <row x14ac:dyDescent="0.25" r="950" customHeight="1" ht="18.75">
      <c r="A950" s="1"/>
      <c r="B950" s="7"/>
      <c r="C950" s="170"/>
      <c r="D950" s="331">
        <v>943</v>
      </c>
      <c r="E950" s="544">
        <f>+DATE(YEAR(E949),MONTH(E949)-1,DAY(E949))</f>
        <v>25569.041666666668</v>
      </c>
      <c r="F950" s="333">
        <f>IF(DATE(YEAR($B$6),MONTH($B$6)+1,DAY(1))=E950,1,IF(MONTH(E950)=1,F951*(1+$F$5),F951))</f>
      </c>
      <c r="G950" s="333">
        <f>IF('Simulador - 1º Pilar'!$E$99="Sí",IF('Aportaciones Poliza'!$B$13&lt;'Aportaciones Poliza'!E950,0,F950*$B$8/12),F950*$B$8/12)</f>
      </c>
      <c r="H950" s="333">
        <f>$H$5*G950</f>
      </c>
      <c r="I950" s="333"/>
      <c r="J950" s="333">
        <f>(1+$M$5)^(D950/12)*(H950+IF(AND(F950=1,F951=0),$Q$4,0))</f>
      </c>
      <c r="K950" s="333">
        <f>(1+$M$5)^(D950/12)*(I950)</f>
      </c>
      <c r="L950" s="333">
        <f>K950+J950</f>
      </c>
      <c r="M950" s="170"/>
      <c r="N950" s="7"/>
      <c r="O950" s="1"/>
      <c r="P950" s="331">
        <f>D950</f>
      </c>
      <c r="Q950" s="169"/>
    </row>
    <row x14ac:dyDescent="0.25" r="951" customHeight="1" ht="18.75">
      <c r="A951" s="1"/>
      <c r="B951" s="7"/>
      <c r="C951" s="170"/>
      <c r="D951" s="331">
        <v>944</v>
      </c>
      <c r="E951" s="544">
        <f>+DATE(YEAR(E950),MONTH(E950)-1,DAY(E950))</f>
        <v>25569.041666666668</v>
      </c>
      <c r="F951" s="333">
        <f>IF(DATE(YEAR($B$6),MONTH($B$6)+1,DAY(1))=E951,1,IF(MONTH(E951)=1,F952*(1+$F$5),F952))</f>
      </c>
      <c r="G951" s="333">
        <f>IF('Simulador - 1º Pilar'!$E$99="Sí",IF('Aportaciones Poliza'!$B$13&lt;'Aportaciones Poliza'!E951,0,F951*$B$8/12),F951*$B$8/12)</f>
      </c>
      <c r="H951" s="333">
        <f>$H$5*G951</f>
      </c>
      <c r="I951" s="333"/>
      <c r="J951" s="333">
        <f>(1+$M$5)^(D951/12)*(H951+IF(AND(F951=1,F952=0),$Q$4,0))</f>
      </c>
      <c r="K951" s="333">
        <f>(1+$M$5)^(D951/12)*(I951)</f>
      </c>
      <c r="L951" s="333">
        <f>K951+J951</f>
      </c>
      <c r="M951" s="170"/>
      <c r="N951" s="7"/>
      <c r="O951" s="1"/>
      <c r="P951" s="331">
        <f>D951</f>
      </c>
      <c r="Q951" s="169"/>
    </row>
    <row x14ac:dyDescent="0.25" r="952" customHeight="1" ht="18.75">
      <c r="A952" s="1"/>
      <c r="B952" s="7"/>
      <c r="C952" s="170"/>
      <c r="D952" s="331">
        <v>945</v>
      </c>
      <c r="E952" s="544">
        <f>+DATE(YEAR(E951),MONTH(E951)-1,DAY(E951))</f>
        <v>25569.041666666668</v>
      </c>
      <c r="F952" s="333">
        <f>IF(DATE(YEAR($B$6),MONTH($B$6)+1,DAY(1))=E952,1,IF(MONTH(E952)=1,F953*(1+$F$5),F953))</f>
      </c>
      <c r="G952" s="333">
        <f>IF('Simulador - 1º Pilar'!$E$99="Sí",IF('Aportaciones Poliza'!$B$13&lt;'Aportaciones Poliza'!E952,0,F952*$B$8/12),F952*$B$8/12)</f>
      </c>
      <c r="H952" s="333">
        <f>$H$5*G952</f>
      </c>
      <c r="I952" s="333"/>
      <c r="J952" s="333">
        <f>(1+$M$5)^(D952/12)*(H952+IF(AND(F952=1,F953=0),$Q$4,0))</f>
      </c>
      <c r="K952" s="333">
        <f>(1+$M$5)^(D952/12)*(I952)</f>
      </c>
      <c r="L952" s="333">
        <f>K952+J952</f>
      </c>
      <c r="M952" s="170"/>
      <c r="N952" s="7"/>
      <c r="O952" s="1"/>
      <c r="P952" s="331">
        <f>D952</f>
      </c>
      <c r="Q952" s="169"/>
    </row>
    <row x14ac:dyDescent="0.25" r="953" customHeight="1" ht="18.75">
      <c r="A953" s="1"/>
      <c r="B953" s="7"/>
      <c r="C953" s="170"/>
      <c r="D953" s="331">
        <v>946</v>
      </c>
      <c r="E953" s="544">
        <f>+DATE(YEAR(E952),MONTH(E952)-1,DAY(E952))</f>
        <v>25569.041666666668</v>
      </c>
      <c r="F953" s="333">
        <f>IF(DATE(YEAR($B$6),MONTH($B$6)+1,DAY(1))=E953,1,IF(MONTH(E953)=1,F954*(1+$F$5),F954))</f>
      </c>
      <c r="G953" s="333">
        <f>IF('Simulador - 1º Pilar'!$E$99="Sí",IF('Aportaciones Poliza'!$B$13&lt;'Aportaciones Poliza'!E953,0,F953*$B$8/12),F953*$B$8/12)</f>
      </c>
      <c r="H953" s="333">
        <f>$H$5*G953</f>
      </c>
      <c r="I953" s="333"/>
      <c r="J953" s="333">
        <f>(1+$M$5)^(D953/12)*(H953+IF(AND(F953=1,F954=0),$Q$4,0))</f>
      </c>
      <c r="K953" s="333">
        <f>(1+$M$5)^(D953/12)*(I953)</f>
      </c>
      <c r="L953" s="333">
        <f>K953+J953</f>
      </c>
      <c r="M953" s="170"/>
      <c r="N953" s="7"/>
      <c r="O953" s="1"/>
      <c r="P953" s="331">
        <f>D953</f>
      </c>
      <c r="Q953" s="169"/>
    </row>
    <row x14ac:dyDescent="0.25" r="954" customHeight="1" ht="18.75">
      <c r="A954" s="1"/>
      <c r="B954" s="7"/>
      <c r="C954" s="170"/>
      <c r="D954" s="331">
        <v>947</v>
      </c>
      <c r="E954" s="544">
        <f>+DATE(YEAR(E953),MONTH(E953)-1,DAY(E953))</f>
        <v>25569.041666666668</v>
      </c>
      <c r="F954" s="333">
        <f>IF(DATE(YEAR($B$6),MONTH($B$6)+1,DAY(1))=E954,1,IF(MONTH(E954)=1,F955*(1+$F$5),F955))</f>
      </c>
      <c r="G954" s="333">
        <f>IF('Simulador - 1º Pilar'!$E$99="Sí",IF('Aportaciones Poliza'!$B$13&lt;'Aportaciones Poliza'!E954,0,F954*$B$8/12),F954*$B$8/12)</f>
      </c>
      <c r="H954" s="333">
        <f>$H$5*G954</f>
      </c>
      <c r="I954" s="333"/>
      <c r="J954" s="333">
        <f>(1+$M$5)^(D954/12)*(H954+IF(AND(F954=1,F955=0),$Q$4,0))</f>
      </c>
      <c r="K954" s="333">
        <f>(1+$M$5)^(D954/12)*(I954)</f>
      </c>
      <c r="L954" s="333">
        <f>K954+J954</f>
      </c>
      <c r="M954" s="170"/>
      <c r="N954" s="7"/>
      <c r="O954" s="1"/>
      <c r="P954" s="331">
        <f>D954</f>
      </c>
      <c r="Q954" s="169"/>
    </row>
    <row x14ac:dyDescent="0.25" r="955" customHeight="1" ht="18.75">
      <c r="A955" s="1"/>
      <c r="B955" s="7"/>
      <c r="C955" s="170"/>
      <c r="D955" s="331">
        <v>948</v>
      </c>
      <c r="E955" s="544">
        <f>+DATE(YEAR(E954),MONTH(E954)-1,DAY(E954))</f>
        <v>25569.041666666668</v>
      </c>
      <c r="F955" s="333">
        <f>IF(DATE(YEAR($B$6),MONTH($B$6)+1,DAY(1))=E955,1,IF(MONTH(E955)=1,F956*(1+$F$5),F956))</f>
      </c>
      <c r="G955" s="333">
        <f>IF('Simulador - 1º Pilar'!$E$99="Sí",IF('Aportaciones Poliza'!$B$13&lt;'Aportaciones Poliza'!E955,0,F955*$B$8/12),F955*$B$8/12)</f>
      </c>
      <c r="H955" s="333">
        <f>$H$5*G955</f>
      </c>
      <c r="I955" s="333"/>
      <c r="J955" s="333">
        <f>(1+$M$5)^(D955/12)*(H955+IF(AND(F955=1,F956=0),$Q$4,0))</f>
      </c>
      <c r="K955" s="333">
        <f>(1+$M$5)^(D955/12)*(I955)</f>
      </c>
      <c r="L955" s="333">
        <f>K955+J955</f>
      </c>
      <c r="M955" s="170"/>
      <c r="N955" s="7"/>
      <c r="O955" s="1"/>
      <c r="P955" s="331">
        <f>D955</f>
      </c>
      <c r="Q955" s="169"/>
    </row>
    <row x14ac:dyDescent="0.25" r="956" customHeight="1" ht="18.75">
      <c r="A956" s="1"/>
      <c r="B956" s="7"/>
      <c r="C956" s="170"/>
      <c r="D956" s="331">
        <v>949</v>
      </c>
      <c r="E956" s="544">
        <f>+DATE(YEAR(E955),MONTH(E955)-1,DAY(E955))</f>
        <v>25569.041666666668</v>
      </c>
      <c r="F956" s="333">
        <f>IF(DATE(YEAR($B$6),MONTH($B$6)+1,DAY(1))=E956,1,IF(MONTH(E956)=1,F957*(1+$F$5),F957))</f>
      </c>
      <c r="G956" s="333">
        <f>IF('Simulador - 1º Pilar'!$E$99="Sí",IF('Aportaciones Poliza'!$B$13&lt;'Aportaciones Poliza'!E956,0,F956*$B$8/12),F956*$B$8/12)</f>
      </c>
      <c r="H956" s="333">
        <f>$H$5*G956</f>
      </c>
      <c r="I956" s="333"/>
      <c r="J956" s="333">
        <f>(1+$M$5)^(D956/12)*(H956+IF(AND(F956=1,F957=0),$Q$4,0))</f>
      </c>
      <c r="K956" s="333">
        <f>(1+$M$5)^(D956/12)*(I956)</f>
      </c>
      <c r="L956" s="333">
        <f>K956+J956</f>
      </c>
      <c r="M956" s="170"/>
      <c r="N956" s="7"/>
      <c r="O956" s="1"/>
      <c r="P956" s="331">
        <f>D956</f>
      </c>
      <c r="Q956" s="169"/>
    </row>
    <row x14ac:dyDescent="0.25" r="957" customHeight="1" ht="18.75">
      <c r="A957" s="1"/>
      <c r="B957" s="7"/>
      <c r="C957" s="170"/>
      <c r="D957" s="331">
        <v>950</v>
      </c>
      <c r="E957" s="544">
        <f>+DATE(YEAR(E956),MONTH(E956)-1,DAY(E956))</f>
        <v>25569.041666666668</v>
      </c>
      <c r="F957" s="333">
        <f>IF(DATE(YEAR($B$6),MONTH($B$6)+1,DAY(1))=E957,1,IF(MONTH(E957)=1,F958*(1+$F$5),F958))</f>
      </c>
      <c r="G957" s="333">
        <f>IF('Simulador - 1º Pilar'!$E$99="Sí",IF('Aportaciones Poliza'!$B$13&lt;'Aportaciones Poliza'!E957,0,F957*$B$8/12),F957*$B$8/12)</f>
      </c>
      <c r="H957" s="333">
        <f>$H$5*G957</f>
      </c>
      <c r="I957" s="333"/>
      <c r="J957" s="333">
        <f>(1+$M$5)^(D957/12)*(H957+IF(AND(F957=1,F958=0),$Q$4,0))</f>
      </c>
      <c r="K957" s="333">
        <f>(1+$M$5)^(D957/12)*(I957)</f>
      </c>
      <c r="L957" s="333">
        <f>K957+J957</f>
      </c>
      <c r="M957" s="170"/>
      <c r="N957" s="7"/>
      <c r="O957" s="1"/>
      <c r="P957" s="331">
        <f>D957</f>
      </c>
      <c r="Q957" s="169"/>
    </row>
    <row x14ac:dyDescent="0.25" r="958" customHeight="1" ht="18.75">
      <c r="A958" s="1"/>
      <c r="B958" s="7"/>
      <c r="C958" s="170"/>
      <c r="D958" s="331">
        <v>951</v>
      </c>
      <c r="E958" s="544">
        <f>+DATE(YEAR(E957),MONTH(E957)-1,DAY(E957))</f>
        <v>25569.041666666668</v>
      </c>
      <c r="F958" s="333">
        <f>IF(DATE(YEAR($B$6),MONTH($B$6)+1,DAY(1))=E958,1,IF(MONTH(E958)=1,F959*(1+$F$5),F959))</f>
      </c>
      <c r="G958" s="333">
        <f>IF('Simulador - 1º Pilar'!$E$99="Sí",IF('Aportaciones Poliza'!$B$13&lt;'Aportaciones Poliza'!E958,0,F958*$B$8/12),F958*$B$8/12)</f>
      </c>
      <c r="H958" s="333">
        <f>$H$5*G958</f>
      </c>
      <c r="I958" s="333"/>
      <c r="J958" s="333">
        <f>(1+$M$5)^(D958/12)*(H958+IF(AND(F958=1,F959=0),$Q$4,0))</f>
      </c>
      <c r="K958" s="333">
        <f>(1+$M$5)^(D958/12)*(I958)</f>
      </c>
      <c r="L958" s="333">
        <f>K958+J958</f>
      </c>
      <c r="M958" s="170"/>
      <c r="N958" s="7"/>
      <c r="O958" s="1"/>
      <c r="P958" s="331">
        <f>D958</f>
      </c>
      <c r="Q958" s="169"/>
    </row>
    <row x14ac:dyDescent="0.25" r="959" customHeight="1" ht="18.75">
      <c r="A959" s="1"/>
      <c r="B959" s="7"/>
      <c r="C959" s="170"/>
      <c r="D959" s="331">
        <v>952</v>
      </c>
      <c r="E959" s="544">
        <f>+DATE(YEAR(E958),MONTH(E958)-1,DAY(E958))</f>
        <v>25569.041666666668</v>
      </c>
      <c r="F959" s="333">
        <f>IF(DATE(YEAR($B$6),MONTH($B$6)+1,DAY(1))=E959,1,IF(MONTH(E959)=1,F960*(1+$F$5),F960))</f>
      </c>
      <c r="G959" s="333">
        <f>IF('Simulador - 1º Pilar'!$E$99="Sí",IF('Aportaciones Poliza'!$B$13&lt;'Aportaciones Poliza'!E959,0,F959*$B$8/12),F959*$B$8/12)</f>
      </c>
      <c r="H959" s="333">
        <f>$H$5*G959</f>
      </c>
      <c r="I959" s="333"/>
      <c r="J959" s="333">
        <f>(1+$M$5)^(D959/12)*(H959+IF(AND(F959=1,F960=0),$Q$4,0))</f>
      </c>
      <c r="K959" s="333">
        <f>(1+$M$5)^(D959/12)*(I959)</f>
      </c>
      <c r="L959" s="333">
        <f>K959+J959</f>
      </c>
      <c r="M959" s="170"/>
      <c r="N959" s="7"/>
      <c r="O959" s="1"/>
      <c r="P959" s="331">
        <f>D959</f>
      </c>
      <c r="Q959" s="169"/>
    </row>
    <row x14ac:dyDescent="0.25" r="960" customHeight="1" ht="18.75">
      <c r="A960" s="1"/>
      <c r="B960" s="7"/>
      <c r="C960" s="170"/>
      <c r="D960" s="331">
        <v>953</v>
      </c>
      <c r="E960" s="544">
        <f>+DATE(YEAR(E959),MONTH(E959)-1,DAY(E959))</f>
        <v>25569.041666666668</v>
      </c>
      <c r="F960" s="333">
        <f>IF(DATE(YEAR($B$6),MONTH($B$6)+1,DAY(1))=E960,1,IF(MONTH(E960)=1,F961*(1+$F$5),F961))</f>
      </c>
      <c r="G960" s="333">
        <f>IF('Simulador - 1º Pilar'!$E$99="Sí",IF('Aportaciones Poliza'!$B$13&lt;'Aportaciones Poliza'!E960,0,F960*$B$8/12),F960*$B$8/12)</f>
      </c>
      <c r="H960" s="333">
        <f>$H$5*G960</f>
      </c>
      <c r="I960" s="333"/>
      <c r="J960" s="333">
        <f>(1+$M$5)^(D960/12)*(H960+IF(AND(F960=1,F961=0),$Q$4,0))</f>
      </c>
      <c r="K960" s="333">
        <f>(1+$M$5)^(D960/12)*(I960)</f>
      </c>
      <c r="L960" s="333">
        <f>K960+J960</f>
      </c>
      <c r="M960" s="170"/>
      <c r="N960" s="7"/>
      <c r="O960" s="1"/>
      <c r="P960" s="331">
        <f>D960</f>
      </c>
      <c r="Q960" s="169"/>
    </row>
    <row x14ac:dyDescent="0.25" r="961" customHeight="1" ht="18.75">
      <c r="A961" s="1"/>
      <c r="B961" s="7"/>
      <c r="C961" s="170"/>
      <c r="D961" s="331">
        <v>954</v>
      </c>
      <c r="E961" s="544">
        <f>+DATE(YEAR(E960),MONTH(E960)-1,DAY(E960))</f>
        <v>25569.041666666668</v>
      </c>
      <c r="F961" s="333">
        <f>IF(DATE(YEAR($B$6),MONTH($B$6)+1,DAY(1))=E961,1,IF(MONTH(E961)=1,F962*(1+$F$5),F962))</f>
      </c>
      <c r="G961" s="333">
        <f>IF('Simulador - 1º Pilar'!$E$99="Sí",IF('Aportaciones Poliza'!$B$13&lt;'Aportaciones Poliza'!E961,0,F961*$B$8/12),F961*$B$8/12)</f>
      </c>
      <c r="H961" s="333">
        <f>$H$5*G961</f>
      </c>
      <c r="I961" s="333"/>
      <c r="J961" s="333">
        <f>(1+$M$5)^(D961/12)*(H961+IF(AND(F961=1,F962=0),$Q$4,0))</f>
      </c>
      <c r="K961" s="333">
        <f>(1+$M$5)^(D961/12)*(I961)</f>
      </c>
      <c r="L961" s="333">
        <f>K961+J961</f>
      </c>
      <c r="M961" s="170"/>
      <c r="N961" s="7"/>
      <c r="O961" s="1"/>
      <c r="P961" s="331">
        <f>D961</f>
      </c>
      <c r="Q961" s="169"/>
    </row>
    <row x14ac:dyDescent="0.25" r="962" customHeight="1" ht="18.75">
      <c r="A962" s="1"/>
      <c r="B962" s="7"/>
      <c r="C962" s="170"/>
      <c r="D962" s="331">
        <v>955</v>
      </c>
      <c r="E962" s="544">
        <f>+DATE(YEAR(E961),MONTH(E961)-1,DAY(E961))</f>
        <v>25569.041666666668</v>
      </c>
      <c r="F962" s="333">
        <f>IF(DATE(YEAR($B$6),MONTH($B$6)+1,DAY(1))=E962,1,IF(MONTH(E962)=1,F963*(1+$F$5),F963))</f>
      </c>
      <c r="G962" s="333">
        <f>IF('Simulador - 1º Pilar'!$E$99="Sí",IF('Aportaciones Poliza'!$B$13&lt;'Aportaciones Poliza'!E962,0,F962*$B$8/12),F962*$B$8/12)</f>
      </c>
      <c r="H962" s="333">
        <f>$H$5*G962</f>
      </c>
      <c r="I962" s="333"/>
      <c r="J962" s="333">
        <f>(1+$M$5)^(D962/12)*(H962+IF(AND(F962=1,F963=0),$Q$4,0))</f>
      </c>
      <c r="K962" s="333">
        <f>(1+$M$5)^(D962/12)*(I962)</f>
      </c>
      <c r="L962" s="333">
        <f>K962+J962</f>
      </c>
      <c r="M962" s="170"/>
      <c r="N962" s="7"/>
      <c r="O962" s="1"/>
      <c r="P962" s="331">
        <f>D962</f>
      </c>
      <c r="Q962" s="169"/>
    </row>
    <row x14ac:dyDescent="0.25" r="963" customHeight="1" ht="18.75">
      <c r="A963" s="1"/>
      <c r="B963" s="7"/>
      <c r="C963" s="170"/>
      <c r="D963" s="331">
        <v>956</v>
      </c>
      <c r="E963" s="544">
        <f>+DATE(YEAR(E962),MONTH(E962)-1,DAY(E962))</f>
        <v>25569.041666666668</v>
      </c>
      <c r="F963" s="333">
        <f>IF(DATE(YEAR($B$6),MONTH($B$6)+1,DAY(1))=E963,1,IF(MONTH(E963)=1,F964*(1+$F$5),F964))</f>
      </c>
      <c r="G963" s="333">
        <f>IF('Simulador - 1º Pilar'!$E$99="Sí",IF('Aportaciones Poliza'!$B$13&lt;'Aportaciones Poliza'!E963,0,F963*$B$8/12),F963*$B$8/12)</f>
      </c>
      <c r="H963" s="333">
        <f>$H$5*G963</f>
      </c>
      <c r="I963" s="333"/>
      <c r="J963" s="333">
        <f>(1+$M$5)^(D963/12)*(H963+IF(AND(F963=1,F964=0),$Q$4,0))</f>
      </c>
      <c r="K963" s="333">
        <f>(1+$M$5)^(D963/12)*(I963)</f>
      </c>
      <c r="L963" s="333">
        <f>K963+J963</f>
      </c>
      <c r="M963" s="170"/>
      <c r="N963" s="7"/>
      <c r="O963" s="1"/>
      <c r="P963" s="331">
        <f>D963</f>
      </c>
      <c r="Q963" s="169"/>
    </row>
    <row x14ac:dyDescent="0.25" r="964" customHeight="1" ht="18.75">
      <c r="A964" s="1"/>
      <c r="B964" s="7"/>
      <c r="C964" s="170"/>
      <c r="D964" s="331">
        <v>957</v>
      </c>
      <c r="E964" s="544">
        <f>+DATE(YEAR(E963),MONTH(E963)-1,DAY(E963))</f>
        <v>25569.041666666668</v>
      </c>
      <c r="F964" s="333">
        <f>IF(DATE(YEAR($B$6),MONTH($B$6)+1,DAY(1))=E964,1,IF(MONTH(E964)=1,F965*(1+$F$5),F965))</f>
      </c>
      <c r="G964" s="333">
        <f>IF('Simulador - 1º Pilar'!$E$99="Sí",IF('Aportaciones Poliza'!$B$13&lt;'Aportaciones Poliza'!E964,0,F964*$B$8/12),F964*$B$8/12)</f>
      </c>
      <c r="H964" s="333">
        <f>$H$5*G964</f>
      </c>
      <c r="I964" s="333"/>
      <c r="J964" s="333">
        <f>(1+$M$5)^(D964/12)*(H964+IF(AND(F964=1,F965=0),$Q$4,0))</f>
      </c>
      <c r="K964" s="333">
        <f>(1+$M$5)^(D964/12)*(I964)</f>
      </c>
      <c r="L964" s="333">
        <f>K964+J964</f>
      </c>
      <c r="M964" s="170"/>
      <c r="N964" s="7"/>
      <c r="O964" s="1"/>
      <c r="P964" s="331">
        <f>D964</f>
      </c>
      <c r="Q964" s="169"/>
    </row>
    <row x14ac:dyDescent="0.25" r="965" customHeight="1" ht="18.75">
      <c r="A965" s="1"/>
      <c r="B965" s="7"/>
      <c r="C965" s="170"/>
      <c r="D965" s="331">
        <v>958</v>
      </c>
      <c r="E965" s="544">
        <f>+DATE(YEAR(E964),MONTH(E964)-1,DAY(E964))</f>
        <v>25569.041666666668</v>
      </c>
      <c r="F965" s="333">
        <f>IF(DATE(YEAR($B$6),MONTH($B$6)+1,DAY(1))=E965,1,IF(MONTH(E965)=1,F966*(1+$F$5),F966))</f>
      </c>
      <c r="G965" s="333">
        <f>IF('Simulador - 1º Pilar'!$E$99="Sí",IF('Aportaciones Poliza'!$B$13&lt;'Aportaciones Poliza'!E965,0,F965*$B$8/12),F965*$B$8/12)</f>
      </c>
      <c r="H965" s="333">
        <f>$H$5*G965</f>
      </c>
      <c r="I965" s="333"/>
      <c r="J965" s="333">
        <f>(1+$M$5)^(D965/12)*(H965+IF(AND(F965=1,F966=0),$Q$4,0))</f>
      </c>
      <c r="K965" s="333">
        <f>(1+$M$5)^(D965/12)*(I965)</f>
      </c>
      <c r="L965" s="333">
        <f>K965+J965</f>
      </c>
      <c r="M965" s="170"/>
      <c r="N965" s="7"/>
      <c r="O965" s="1"/>
      <c r="P965" s="331">
        <f>D965</f>
      </c>
      <c r="Q965" s="169"/>
    </row>
    <row x14ac:dyDescent="0.25" r="966" customHeight="1" ht="18.75">
      <c r="A966" s="1"/>
      <c r="B966" s="7"/>
      <c r="C966" s="170"/>
      <c r="D966" s="331">
        <v>959</v>
      </c>
      <c r="E966" s="544">
        <f>+DATE(YEAR(E965),MONTH(E965)-1,DAY(E965))</f>
        <v>25569.041666666668</v>
      </c>
      <c r="F966" s="333">
        <f>IF(DATE(YEAR($B$6),MONTH($B$6)+1,DAY(1))=E966,1,IF(MONTH(E966)=1,F967*(1+$F$5),F967))</f>
      </c>
      <c r="G966" s="333">
        <f>IF('Simulador - 1º Pilar'!$E$99="Sí",IF('Aportaciones Poliza'!$B$13&lt;'Aportaciones Poliza'!E966,0,F966*$B$8/12),F966*$B$8/12)</f>
      </c>
      <c r="H966" s="333">
        <f>$H$5*G966</f>
      </c>
      <c r="I966" s="333"/>
      <c r="J966" s="333">
        <f>(1+$M$5)^(D966/12)*(H966+IF(AND(F966=1,F967=0),$Q$4,0))</f>
      </c>
      <c r="K966" s="333">
        <f>(1+$M$5)^(D966/12)*(I966)</f>
      </c>
      <c r="L966" s="333">
        <f>K966+J966</f>
      </c>
      <c r="M966" s="170"/>
      <c r="N966" s="7"/>
      <c r="O966" s="1"/>
      <c r="P966" s="331">
        <f>D966</f>
      </c>
      <c r="Q966" s="169"/>
    </row>
    <row x14ac:dyDescent="0.25" r="967" customHeight="1" ht="18.75">
      <c r="A967" s="1"/>
      <c r="B967" s="7"/>
      <c r="C967" s="170"/>
      <c r="D967" s="331">
        <v>960</v>
      </c>
      <c r="E967" s="544">
        <f>+DATE(YEAR(E966),MONTH(E966)-1,DAY(E966))</f>
        <v>25569.041666666668</v>
      </c>
      <c r="F967" s="333">
        <f>IF(DATE(YEAR($B$6),MONTH($B$6)+1,DAY(1))=E967,1,IF(MONTH(E967)=1,F968*(1+$F$5),F968))</f>
      </c>
      <c r="G967" s="333">
        <f>IF('Simulador - 1º Pilar'!$E$99="Sí",IF('Aportaciones Poliza'!$B$13&lt;'Aportaciones Poliza'!E967,0,F967*$B$8/12),F967*$B$8/12)</f>
      </c>
      <c r="H967" s="333">
        <f>$H$5*G967</f>
      </c>
      <c r="I967" s="333"/>
      <c r="J967" s="333">
        <f>(1+$M$5)^(D967/12)*(H967+IF(AND(F967=1,F968=0),$Q$4,0))</f>
      </c>
      <c r="K967" s="333">
        <f>(1+$M$5)^(D967/12)*(I967)</f>
      </c>
      <c r="L967" s="333">
        <f>K967+J967</f>
      </c>
      <c r="M967" s="170"/>
      <c r="N967" s="7"/>
      <c r="O967" s="1"/>
      <c r="P967" s="331">
        <f>D967</f>
      </c>
      <c r="Q967" s="169"/>
    </row>
    <row x14ac:dyDescent="0.25" r="968" customHeight="1" ht="18.75">
      <c r="A968" s="1"/>
      <c r="B968" s="7"/>
      <c r="C968" s="170"/>
      <c r="D968" s="331">
        <v>961</v>
      </c>
      <c r="E968" s="544">
        <f>+DATE(YEAR(E967),MONTH(E967)-1,DAY(E967))</f>
        <v>25569.041666666668</v>
      </c>
      <c r="F968" s="333">
        <f>IF(DATE(YEAR($B$6),MONTH($B$6)+1,DAY(1))=E968,1,IF(MONTH(E968)=1,F969*(1+$F$5),F969))</f>
      </c>
      <c r="G968" s="333">
        <f>IF('Simulador - 1º Pilar'!$E$99="Sí",IF('Aportaciones Poliza'!$B$13&lt;'Aportaciones Poliza'!E968,0,F968*$B$8/12),F968*$B$8/12)</f>
      </c>
      <c r="H968" s="333">
        <f>$H$5*G968</f>
      </c>
      <c r="I968" s="333"/>
      <c r="J968" s="333">
        <f>(1+$M$5)^(D968/12)*(H968+IF(AND(F968=1,F969=0),$Q$4,0))</f>
      </c>
      <c r="K968" s="333">
        <f>(1+$M$5)^(D968/12)*(I968)</f>
      </c>
      <c r="L968" s="333">
        <f>K968+J968</f>
      </c>
      <c r="M968" s="170"/>
      <c r="N968" s="7"/>
      <c r="O968" s="1"/>
      <c r="P968" s="331">
        <f>D968</f>
      </c>
      <c r="Q968" s="169"/>
    </row>
    <row x14ac:dyDescent="0.25" r="969" customHeight="1" ht="18.75">
      <c r="A969" s="1"/>
      <c r="B969" s="7"/>
      <c r="C969" s="170"/>
      <c r="D969" s="331">
        <v>962</v>
      </c>
      <c r="E969" s="544">
        <f>+DATE(YEAR(E968),MONTH(E968)-1,DAY(E968))</f>
        <v>25569.041666666668</v>
      </c>
      <c r="F969" s="333">
        <f>IF(DATE(YEAR($B$6),MONTH($B$6)+1,DAY(1))=E969,1,IF(MONTH(E969)=1,F970*(1+$F$5),F970))</f>
      </c>
      <c r="G969" s="333">
        <f>IF('Simulador - 1º Pilar'!$E$99="Sí",IF('Aportaciones Poliza'!$B$13&lt;'Aportaciones Poliza'!E969,0,F969*$B$8/12),F969*$B$8/12)</f>
      </c>
      <c r="H969" s="333">
        <f>$H$5*G969</f>
      </c>
      <c r="I969" s="333"/>
      <c r="J969" s="333">
        <f>(1+$M$5)^(D969/12)*(H969+IF(AND(F969=1,F970=0),$Q$4,0))</f>
      </c>
      <c r="K969" s="333">
        <f>(1+$M$5)^(D969/12)*(I969)</f>
      </c>
      <c r="L969" s="333">
        <f>K969+J969</f>
      </c>
      <c r="M969" s="170"/>
      <c r="N969" s="7"/>
      <c r="O969" s="1"/>
      <c r="P969" s="331">
        <f>D969</f>
      </c>
      <c r="Q969" s="169"/>
    </row>
    <row x14ac:dyDescent="0.25" r="970" customHeight="1" ht="18.75">
      <c r="A970" s="1"/>
      <c r="B970" s="7"/>
      <c r="C970" s="170"/>
      <c r="D970" s="331">
        <v>963</v>
      </c>
      <c r="E970" s="544">
        <f>+DATE(YEAR(E969),MONTH(E969)-1,DAY(E969))</f>
        <v>25569.041666666668</v>
      </c>
      <c r="F970" s="333">
        <f>IF(DATE(YEAR($B$6),MONTH($B$6)+1,DAY(1))=E970,1,IF(MONTH(E970)=1,F971*(1+$F$5),F971))</f>
      </c>
      <c r="G970" s="333">
        <f>IF('Simulador - 1º Pilar'!$E$99="Sí",IF('Aportaciones Poliza'!$B$13&lt;'Aportaciones Poliza'!E970,0,F970*$B$8/12),F970*$B$8/12)</f>
      </c>
      <c r="H970" s="333">
        <f>$H$5*G970</f>
      </c>
      <c r="I970" s="333"/>
      <c r="J970" s="333">
        <f>(1+$M$5)^(D970/12)*(H970+IF(AND(F970=1,F971=0),$Q$4,0))</f>
      </c>
      <c r="K970" s="333">
        <f>(1+$M$5)^(D970/12)*(I970)</f>
      </c>
      <c r="L970" s="333">
        <f>K970+J970</f>
      </c>
      <c r="M970" s="170"/>
      <c r="N970" s="7"/>
      <c r="O970" s="1"/>
      <c r="P970" s="331">
        <f>D970</f>
      </c>
      <c r="Q970" s="169"/>
    </row>
    <row x14ac:dyDescent="0.25" r="971" customHeight="1" ht="18.75">
      <c r="A971" s="1"/>
      <c r="B971" s="7"/>
      <c r="C971" s="170"/>
      <c r="D971" s="331">
        <v>964</v>
      </c>
      <c r="E971" s="544">
        <f>+DATE(YEAR(E970),MONTH(E970)-1,DAY(E970))</f>
        <v>25569.041666666668</v>
      </c>
      <c r="F971" s="333">
        <f>IF(DATE(YEAR($B$6),MONTH($B$6)+1,DAY(1))=E971,1,IF(MONTH(E971)=1,F972*(1+$F$5),F972))</f>
      </c>
      <c r="G971" s="333">
        <f>IF('Simulador - 1º Pilar'!$E$99="Sí",IF('Aportaciones Poliza'!$B$13&lt;'Aportaciones Poliza'!E971,0,F971*$B$8/12),F971*$B$8/12)</f>
      </c>
      <c r="H971" s="333">
        <f>$H$5*G971</f>
      </c>
      <c r="I971" s="333"/>
      <c r="J971" s="333">
        <f>(1+$M$5)^(D971/12)*(H971+IF(AND(F971=1,F972=0),$Q$4,0))</f>
      </c>
      <c r="K971" s="333">
        <f>(1+$M$5)^(D971/12)*(I971)</f>
      </c>
      <c r="L971" s="333">
        <f>K971+J971</f>
      </c>
      <c r="M971" s="170"/>
      <c r="N971" s="7"/>
      <c r="O971" s="1"/>
      <c r="P971" s="331">
        <f>D971</f>
      </c>
      <c r="Q971" s="169"/>
    </row>
    <row x14ac:dyDescent="0.25" r="972" customHeight="1" ht="18.75">
      <c r="A972" s="1"/>
      <c r="B972" s="7"/>
      <c r="C972" s="170"/>
      <c r="D972" s="331">
        <v>965</v>
      </c>
      <c r="E972" s="544">
        <f>+DATE(YEAR(E971),MONTH(E971)-1,DAY(E971))</f>
        <v>25569.041666666668</v>
      </c>
      <c r="F972" s="333">
        <f>IF(DATE(YEAR($B$6),MONTH($B$6)+1,DAY(1))=E972,1,IF(MONTH(E972)=1,F973*(1+$F$5),F973))</f>
      </c>
      <c r="G972" s="333">
        <f>IF('Simulador - 1º Pilar'!$E$99="Sí",IF('Aportaciones Poliza'!$B$13&lt;'Aportaciones Poliza'!E972,0,F972*$B$8/12),F972*$B$8/12)</f>
      </c>
      <c r="H972" s="333">
        <f>$H$5*G972</f>
      </c>
      <c r="I972" s="333"/>
      <c r="J972" s="333">
        <f>(1+$M$5)^(D972/12)*(H972+IF(AND(F972=1,F973=0),$Q$4,0))</f>
      </c>
      <c r="K972" s="333">
        <f>(1+$M$5)^(D972/12)*(I972)</f>
      </c>
      <c r="L972" s="333">
        <f>K972+J972</f>
      </c>
      <c r="M972" s="170"/>
      <c r="N972" s="7"/>
      <c r="O972" s="1"/>
      <c r="P972" s="331">
        <f>D972</f>
      </c>
      <c r="Q972" s="169"/>
    </row>
    <row x14ac:dyDescent="0.25" r="973" customHeight="1" ht="18.75">
      <c r="A973" s="1"/>
      <c r="B973" s="7"/>
      <c r="C973" s="170"/>
      <c r="D973" s="331">
        <v>966</v>
      </c>
      <c r="E973" s="544">
        <f>+DATE(YEAR(E972),MONTH(E972)-1,DAY(E972))</f>
        <v>25569.041666666668</v>
      </c>
      <c r="F973" s="333">
        <f>IF(DATE(YEAR($B$6),MONTH($B$6)+1,DAY(1))=E973,1,IF(MONTH(E973)=1,F974*(1+$F$5),F974))</f>
      </c>
      <c r="G973" s="333">
        <f>IF('Simulador - 1º Pilar'!$E$99="Sí",IF('Aportaciones Poliza'!$B$13&lt;'Aportaciones Poliza'!E973,0,F973*$B$8/12),F973*$B$8/12)</f>
      </c>
      <c r="H973" s="333">
        <f>$H$5*G973</f>
      </c>
      <c r="I973" s="333"/>
      <c r="J973" s="333">
        <f>(1+$M$5)^(D973/12)*(H973+IF(AND(F973=1,F974=0),$Q$4,0))</f>
      </c>
      <c r="K973" s="333">
        <f>(1+$M$5)^(D973/12)*(I973)</f>
      </c>
      <c r="L973" s="333">
        <f>K973+J973</f>
      </c>
      <c r="M973" s="170"/>
      <c r="N973" s="7"/>
      <c r="O973" s="1"/>
      <c r="P973" s="331">
        <f>D973</f>
      </c>
      <c r="Q973" s="169"/>
    </row>
    <row x14ac:dyDescent="0.25" r="974" customHeight="1" ht="18.75">
      <c r="A974" s="1"/>
      <c r="B974" s="7"/>
      <c r="C974" s="170"/>
      <c r="D974" s="331">
        <v>967</v>
      </c>
      <c r="E974" s="544">
        <f>+DATE(YEAR(E973),MONTH(E973)-1,DAY(E973))</f>
        <v>25569.041666666668</v>
      </c>
      <c r="F974" s="333">
        <f>IF(DATE(YEAR($B$6),MONTH($B$6)+1,DAY(1))=E974,1,IF(MONTH(E974)=1,F975*(1+$F$5),F975))</f>
      </c>
      <c r="G974" s="333">
        <f>IF('Simulador - 1º Pilar'!$E$99="Sí",IF('Aportaciones Poliza'!$B$13&lt;'Aportaciones Poliza'!E974,0,F974*$B$8/12),F974*$B$8/12)</f>
      </c>
      <c r="H974" s="333">
        <f>$H$5*G974</f>
      </c>
      <c r="I974" s="333"/>
      <c r="J974" s="333">
        <f>(1+$M$5)^(D974/12)*(H974+IF(AND(F974=1,F975=0),$Q$4,0))</f>
      </c>
      <c r="K974" s="333">
        <f>(1+$M$5)^(D974/12)*(I974)</f>
      </c>
      <c r="L974" s="333">
        <f>K974+J974</f>
      </c>
      <c r="M974" s="170"/>
      <c r="N974" s="7"/>
      <c r="O974" s="1"/>
      <c r="P974" s="331">
        <f>D974</f>
      </c>
      <c r="Q974" s="169"/>
    </row>
    <row x14ac:dyDescent="0.25" r="975" customHeight="1" ht="18.75">
      <c r="A975" s="1"/>
      <c r="B975" s="7"/>
      <c r="C975" s="170"/>
      <c r="D975" s="331">
        <v>968</v>
      </c>
      <c r="E975" s="544">
        <f>+DATE(YEAR(E974),MONTH(E974)-1,DAY(E974))</f>
        <v>25569.041666666668</v>
      </c>
      <c r="F975" s="333">
        <f>IF(DATE(YEAR($B$6),MONTH($B$6)+1,DAY(1))=E975,1,IF(MONTH(E975)=1,F976*(1+$F$5),F976))</f>
      </c>
      <c r="G975" s="333">
        <f>IF('Simulador - 1º Pilar'!$E$99="Sí",IF('Aportaciones Poliza'!$B$13&lt;'Aportaciones Poliza'!E975,0,F975*$B$8/12),F975*$B$8/12)</f>
      </c>
      <c r="H975" s="333">
        <f>$H$5*G975</f>
      </c>
      <c r="I975" s="333"/>
      <c r="J975" s="333">
        <f>(1+$M$5)^(D975/12)*(H975+IF(AND(F975=1,F976=0),$Q$4,0))</f>
      </c>
      <c r="K975" s="333">
        <f>(1+$M$5)^(D975/12)*(I975)</f>
      </c>
      <c r="L975" s="333">
        <f>K975+J975</f>
      </c>
      <c r="M975" s="170"/>
      <c r="N975" s="7"/>
      <c r="O975" s="1"/>
      <c r="P975" s="331">
        <f>D975</f>
      </c>
      <c r="Q975" s="169"/>
    </row>
    <row x14ac:dyDescent="0.25" r="976" customHeight="1" ht="18.75">
      <c r="A976" s="1"/>
      <c r="B976" s="7"/>
      <c r="C976" s="170"/>
      <c r="D976" s="331">
        <v>969</v>
      </c>
      <c r="E976" s="544">
        <f>+DATE(YEAR(E975),MONTH(E975)-1,DAY(E975))</f>
        <v>25569.041666666668</v>
      </c>
      <c r="F976" s="333">
        <f>IF(DATE(YEAR($B$6),MONTH($B$6)+1,DAY(1))=E976,1,IF(MONTH(E976)=1,F977*(1+$F$5),F977))</f>
      </c>
      <c r="G976" s="333">
        <f>IF('Simulador - 1º Pilar'!$E$99="Sí",IF('Aportaciones Poliza'!$B$13&lt;'Aportaciones Poliza'!E976,0,F976*$B$8/12),F976*$B$8/12)</f>
      </c>
      <c r="H976" s="333">
        <f>$H$5*G976</f>
      </c>
      <c r="I976" s="333"/>
      <c r="J976" s="333">
        <f>(1+$M$5)^(D976/12)*(H976+IF(AND(F976=1,F977=0),$Q$4,0))</f>
      </c>
      <c r="K976" s="333">
        <f>(1+$M$5)^(D976/12)*(I976)</f>
      </c>
      <c r="L976" s="333">
        <f>K976+J976</f>
      </c>
      <c r="M976" s="170"/>
      <c r="N976" s="7"/>
      <c r="O976" s="1"/>
      <c r="P976" s="331">
        <f>D976</f>
      </c>
      <c r="Q976" s="169"/>
    </row>
    <row x14ac:dyDescent="0.25" r="977" customHeight="1" ht="18.75">
      <c r="A977" s="1"/>
      <c r="B977" s="7"/>
      <c r="C977" s="170"/>
      <c r="D977" s="331">
        <v>970</v>
      </c>
      <c r="E977" s="544">
        <f>+DATE(YEAR(E976),MONTH(E976)-1,DAY(E976))</f>
        <v>25569.041666666668</v>
      </c>
      <c r="F977" s="333">
        <f>IF(DATE(YEAR($B$6),MONTH($B$6)+1,DAY(1))=E977,1,IF(MONTH(E977)=1,F978*(1+$F$5),F978))</f>
      </c>
      <c r="G977" s="333">
        <f>IF('Simulador - 1º Pilar'!$E$99="Sí",IF('Aportaciones Poliza'!$B$13&lt;'Aportaciones Poliza'!E977,0,F977*$B$8/12),F977*$B$8/12)</f>
      </c>
      <c r="H977" s="333">
        <f>$H$5*G977</f>
      </c>
      <c r="I977" s="333"/>
      <c r="J977" s="333">
        <f>(1+$M$5)^(D977/12)*(H977+IF(AND(F977=1,F978=0),$Q$4,0))</f>
      </c>
      <c r="K977" s="333">
        <f>(1+$M$5)^(D977/12)*(I977)</f>
      </c>
      <c r="L977" s="333">
        <f>K977+J977</f>
      </c>
      <c r="M977" s="170"/>
      <c r="N977" s="7"/>
      <c r="O977" s="1"/>
      <c r="P977" s="331">
        <f>D977</f>
      </c>
      <c r="Q977" s="169"/>
    </row>
    <row x14ac:dyDescent="0.25" r="978" customHeight="1" ht="18.75">
      <c r="A978" s="1"/>
      <c r="B978" s="7"/>
      <c r="C978" s="170"/>
      <c r="D978" s="331">
        <v>971</v>
      </c>
      <c r="E978" s="544">
        <f>+DATE(YEAR(E977),MONTH(E977)-1,DAY(E977))</f>
        <v>25569.041666666668</v>
      </c>
      <c r="F978" s="333">
        <f>IF(DATE(YEAR($B$6),MONTH($B$6)+1,DAY(1))=E978,1,IF(MONTH(E978)=1,F979*(1+$F$5),F979))</f>
      </c>
      <c r="G978" s="333">
        <f>IF('Simulador - 1º Pilar'!$E$99="Sí",IF('Aportaciones Poliza'!$B$13&lt;'Aportaciones Poliza'!E978,0,F978*$B$8/12),F978*$B$8/12)</f>
      </c>
      <c r="H978" s="333">
        <f>$H$5*G978</f>
      </c>
      <c r="I978" s="333"/>
      <c r="J978" s="333">
        <f>(1+$M$5)^(D978/12)*(H978+IF(AND(F978=1,F979=0),$Q$4,0))</f>
      </c>
      <c r="K978" s="333">
        <f>(1+$M$5)^(D978/12)*(I978)</f>
      </c>
      <c r="L978" s="333">
        <f>K978+J978</f>
      </c>
      <c r="M978" s="170"/>
      <c r="N978" s="7"/>
      <c r="O978" s="1"/>
      <c r="P978" s="331">
        <f>D978</f>
      </c>
      <c r="Q978" s="169"/>
    </row>
    <row x14ac:dyDescent="0.25" r="979" customHeight="1" ht="18.75">
      <c r="A979" s="1"/>
      <c r="B979" s="7"/>
      <c r="C979" s="170"/>
      <c r="D979" s="331">
        <v>972</v>
      </c>
      <c r="E979" s="544">
        <f>+DATE(YEAR(E978),MONTH(E978)-1,DAY(E978))</f>
        <v>25569.041666666668</v>
      </c>
      <c r="F979" s="333">
        <f>IF(DATE(YEAR($B$6),MONTH($B$6)+1,DAY(1))=E979,1,IF(MONTH(E979)=1,F980*(1+$F$5),F980))</f>
      </c>
      <c r="G979" s="333">
        <f>IF('Simulador - 1º Pilar'!$E$99="Sí",IF('Aportaciones Poliza'!$B$13&lt;'Aportaciones Poliza'!E979,0,F979*$B$8/12),F979*$B$8/12)</f>
      </c>
      <c r="H979" s="333">
        <f>$H$5*G979</f>
      </c>
      <c r="I979" s="333"/>
      <c r="J979" s="333">
        <f>(1+$M$5)^(D979/12)*(H979+IF(AND(F979=1,F980=0),$Q$4,0))</f>
      </c>
      <c r="K979" s="333">
        <f>(1+$M$5)^(D979/12)*(I979)</f>
      </c>
      <c r="L979" s="333">
        <f>K979+J979</f>
      </c>
      <c r="M979" s="170"/>
      <c r="N979" s="7"/>
      <c r="O979" s="1"/>
      <c r="P979" s="331">
        <f>D979</f>
      </c>
      <c r="Q979" s="169"/>
    </row>
    <row x14ac:dyDescent="0.25" r="980" customHeight="1" ht="18.75">
      <c r="A980" s="1"/>
      <c r="B980" s="7"/>
      <c r="C980" s="170"/>
      <c r="D980" s="331">
        <v>973</v>
      </c>
      <c r="E980" s="544">
        <f>+DATE(YEAR(E979),MONTH(E979)-1,DAY(E979))</f>
        <v>25569.041666666668</v>
      </c>
      <c r="F980" s="333">
        <f>IF(DATE(YEAR($B$6),MONTH($B$6)+1,DAY(1))=E980,1,IF(MONTH(E980)=1,F981*(1+$F$5),F981))</f>
      </c>
      <c r="G980" s="333">
        <f>IF('Simulador - 1º Pilar'!$E$99="Sí",IF('Aportaciones Poliza'!$B$13&lt;'Aportaciones Poliza'!E980,0,F980*$B$8/12),F980*$B$8/12)</f>
      </c>
      <c r="H980" s="333">
        <f>$H$5*G980</f>
      </c>
      <c r="I980" s="333"/>
      <c r="J980" s="333">
        <f>(1+$M$5)^(D980/12)*(H980+IF(AND(F980=1,F981=0),$Q$4,0))</f>
      </c>
      <c r="K980" s="333">
        <f>(1+$M$5)^(D980/12)*(I980)</f>
      </c>
      <c r="L980" s="333">
        <f>K980+J980</f>
      </c>
      <c r="M980" s="170"/>
      <c r="N980" s="7"/>
      <c r="O980" s="1"/>
      <c r="P980" s="331">
        <f>D980</f>
      </c>
      <c r="Q980" s="169"/>
    </row>
    <row x14ac:dyDescent="0.25" r="981" customHeight="1" ht="18.75">
      <c r="A981" s="1"/>
      <c r="B981" s="7"/>
      <c r="C981" s="170"/>
      <c r="D981" s="331">
        <v>974</v>
      </c>
      <c r="E981" s="544">
        <f>+DATE(YEAR(E980),MONTH(E980)-1,DAY(E980))</f>
        <v>25569.041666666668</v>
      </c>
      <c r="F981" s="333">
        <f>IF(DATE(YEAR($B$6),MONTH($B$6)+1,DAY(1))=E981,1,IF(MONTH(E981)=1,F982*(1+$F$5),F982))</f>
      </c>
      <c r="G981" s="333">
        <f>IF('Simulador - 1º Pilar'!$E$99="Sí",IF('Aportaciones Poliza'!$B$13&lt;'Aportaciones Poliza'!E981,0,F981*$B$8/12),F981*$B$8/12)</f>
      </c>
      <c r="H981" s="333">
        <f>$H$5*G981</f>
      </c>
      <c r="I981" s="333"/>
      <c r="J981" s="333">
        <f>(1+$M$5)^(D981/12)*(H981+IF(AND(F981=1,F982=0),$Q$4,0))</f>
      </c>
      <c r="K981" s="333">
        <f>(1+$M$5)^(D981/12)*(I981)</f>
      </c>
      <c r="L981" s="333">
        <f>K981+J981</f>
      </c>
      <c r="M981" s="170"/>
      <c r="N981" s="7"/>
      <c r="O981" s="1"/>
      <c r="P981" s="331">
        <f>D981</f>
      </c>
      <c r="Q981" s="169"/>
    </row>
    <row x14ac:dyDescent="0.25" r="982" customHeight="1" ht="18.75">
      <c r="A982" s="1"/>
      <c r="B982" s="7"/>
      <c r="C982" s="170"/>
      <c r="D982" s="331">
        <v>975</v>
      </c>
      <c r="E982" s="544">
        <f>+DATE(YEAR(E981),MONTH(E981)-1,DAY(E981))</f>
        <v>25569.041666666668</v>
      </c>
      <c r="F982" s="333">
        <f>IF(DATE(YEAR($B$6),MONTH($B$6)+1,DAY(1))=E982,1,IF(MONTH(E982)=1,F983*(1+$F$5),F983))</f>
      </c>
      <c r="G982" s="333">
        <f>IF('Simulador - 1º Pilar'!$E$99="Sí",IF('Aportaciones Poliza'!$B$13&lt;'Aportaciones Poliza'!E982,0,F982*$B$8/12),F982*$B$8/12)</f>
      </c>
      <c r="H982" s="333">
        <f>$H$5*G982</f>
      </c>
      <c r="I982" s="333"/>
      <c r="J982" s="333">
        <f>(1+$M$5)^(D982/12)*(H982+IF(AND(F982=1,F983=0),$Q$4,0))</f>
      </c>
      <c r="K982" s="333">
        <f>(1+$M$5)^(D982/12)*(I982)</f>
      </c>
      <c r="L982" s="333">
        <f>K982+J982</f>
      </c>
      <c r="M982" s="170"/>
      <c r="N982" s="7"/>
      <c r="O982" s="1"/>
      <c r="P982" s="331">
        <f>D982</f>
      </c>
      <c r="Q982" s="169"/>
    </row>
    <row x14ac:dyDescent="0.25" r="983" customHeight="1" ht="18.75">
      <c r="A983" s="1"/>
      <c r="B983" s="7"/>
      <c r="C983" s="170"/>
      <c r="D983" s="331">
        <v>976</v>
      </c>
      <c r="E983" s="544">
        <f>+DATE(YEAR(E982),MONTH(E982)-1,DAY(E982))</f>
        <v>25569.041666666668</v>
      </c>
      <c r="F983" s="333">
        <f>IF(DATE(YEAR($B$6),MONTH($B$6)+1,DAY(1))=E983,1,IF(MONTH(E983)=1,F984*(1+$F$5),F984))</f>
      </c>
      <c r="G983" s="333">
        <f>IF('Simulador - 1º Pilar'!$E$99="Sí",IF('Aportaciones Poliza'!$B$13&lt;'Aportaciones Poliza'!E983,0,F983*$B$8/12),F983*$B$8/12)</f>
      </c>
      <c r="H983" s="333">
        <f>$H$5*G983</f>
      </c>
      <c r="I983" s="333"/>
      <c r="J983" s="333">
        <f>(1+$M$5)^(D983/12)*(H983+IF(AND(F983=1,F984=0),$Q$4,0))</f>
      </c>
      <c r="K983" s="333">
        <f>(1+$M$5)^(D983/12)*(I983)</f>
      </c>
      <c r="L983" s="333">
        <f>K983+J983</f>
      </c>
      <c r="M983" s="170"/>
      <c r="N983" s="7"/>
      <c r="O983" s="1"/>
      <c r="P983" s="331">
        <f>D983</f>
      </c>
      <c r="Q983" s="169"/>
    </row>
    <row x14ac:dyDescent="0.25" r="984" customHeight="1" ht="18.75">
      <c r="A984" s="1"/>
      <c r="B984" s="7"/>
      <c r="C984" s="170"/>
      <c r="D984" s="331">
        <v>977</v>
      </c>
      <c r="E984" s="544">
        <f>+DATE(YEAR(E983),MONTH(E983)-1,DAY(E983))</f>
        <v>25569.041666666668</v>
      </c>
      <c r="F984" s="333">
        <f>IF(DATE(YEAR($B$6),MONTH($B$6)+1,DAY(1))=E984,1,IF(MONTH(E984)=1,F985*(1+$F$5),F985))</f>
      </c>
      <c r="G984" s="333">
        <f>IF('Simulador - 1º Pilar'!$E$99="Sí",IF('Aportaciones Poliza'!$B$13&lt;'Aportaciones Poliza'!E984,0,F984*$B$8/12),F984*$B$8/12)</f>
      </c>
      <c r="H984" s="333">
        <f>$H$5*G984</f>
      </c>
      <c r="I984" s="333"/>
      <c r="J984" s="333">
        <f>(1+$M$5)^(D984/12)*(H984+IF(AND(F984=1,F985=0),$Q$4,0))</f>
      </c>
      <c r="K984" s="333">
        <f>(1+$M$5)^(D984/12)*(I984)</f>
      </c>
      <c r="L984" s="333">
        <f>K984+J984</f>
      </c>
      <c r="M984" s="170"/>
      <c r="N984" s="7"/>
      <c r="O984" s="1"/>
      <c r="P984" s="331">
        <f>D984</f>
      </c>
      <c r="Q984" s="169"/>
    </row>
    <row x14ac:dyDescent="0.25" r="985" customHeight="1" ht="18.75">
      <c r="A985" s="1"/>
      <c r="B985" s="7"/>
      <c r="C985" s="170"/>
      <c r="D985" s="331">
        <v>978</v>
      </c>
      <c r="E985" s="544">
        <f>+DATE(YEAR(E984),MONTH(E984)-1,DAY(E984))</f>
        <v>25569.041666666668</v>
      </c>
      <c r="F985" s="333">
        <f>IF(DATE(YEAR($B$6),MONTH($B$6)+1,DAY(1))=E985,1,IF(MONTH(E985)=1,F986*(1+$F$5),F986))</f>
      </c>
      <c r="G985" s="333">
        <f>IF('Simulador - 1º Pilar'!$E$99="Sí",IF('Aportaciones Poliza'!$B$13&lt;'Aportaciones Poliza'!E985,0,F985*$B$8/12),F985*$B$8/12)</f>
      </c>
      <c r="H985" s="333">
        <f>$H$5*G985</f>
      </c>
      <c r="I985" s="333"/>
      <c r="J985" s="333">
        <f>(1+$M$5)^(D985/12)*(H985+IF(AND(F985=1,F986=0),$Q$4,0))</f>
      </c>
      <c r="K985" s="333">
        <f>(1+$M$5)^(D985/12)*(I985)</f>
      </c>
      <c r="L985" s="333">
        <f>K985+J985</f>
      </c>
      <c r="M985" s="170"/>
      <c r="N985" s="7"/>
      <c r="O985" s="1"/>
      <c r="P985" s="331">
        <f>D985</f>
      </c>
      <c r="Q985" s="169"/>
    </row>
    <row x14ac:dyDescent="0.25" r="986" customHeight="1" ht="18.75">
      <c r="A986" s="1"/>
      <c r="B986" s="7"/>
      <c r="C986" s="170"/>
      <c r="D986" s="331">
        <v>979</v>
      </c>
      <c r="E986" s="544">
        <f>+DATE(YEAR(E985),MONTH(E985)-1,DAY(E985))</f>
        <v>25569.041666666668</v>
      </c>
      <c r="F986" s="333">
        <f>IF(DATE(YEAR($B$6),MONTH($B$6)+1,DAY(1))=E986,1,IF(MONTH(E986)=1,F987*(1+$F$5),F987))</f>
      </c>
      <c r="G986" s="333">
        <f>IF('Simulador - 1º Pilar'!$E$99="Sí",IF('Aportaciones Poliza'!$B$13&lt;'Aportaciones Poliza'!E986,0,F986*$B$8/12),F986*$B$8/12)</f>
      </c>
      <c r="H986" s="333">
        <f>$H$5*G986</f>
      </c>
      <c r="I986" s="333"/>
      <c r="J986" s="333">
        <f>(1+$M$5)^(D986/12)*(H986+IF(AND(F986=1,F987=0),$Q$4,0))</f>
      </c>
      <c r="K986" s="333">
        <f>(1+$M$5)^(D986/12)*(I986)</f>
      </c>
      <c r="L986" s="333">
        <f>K986+J986</f>
      </c>
      <c r="M986" s="170"/>
      <c r="N986" s="7"/>
      <c r="O986" s="1"/>
      <c r="P986" s="331">
        <f>D986</f>
      </c>
      <c r="Q986" s="169"/>
    </row>
    <row x14ac:dyDescent="0.25" r="987" customHeight="1" ht="18.75">
      <c r="A987" s="1"/>
      <c r="B987" s="7"/>
      <c r="C987" s="170"/>
      <c r="D987" s="331">
        <v>980</v>
      </c>
      <c r="E987" s="544">
        <f>+DATE(YEAR(E986),MONTH(E986)-1,DAY(E986))</f>
        <v>25569.041666666668</v>
      </c>
      <c r="F987" s="333">
        <f>IF(DATE(YEAR($B$6),MONTH($B$6)+1,DAY(1))=E987,1,IF(MONTH(E987)=1,F988*(1+$F$5),F988))</f>
      </c>
      <c r="G987" s="333">
        <f>IF('Simulador - 1º Pilar'!$E$99="Sí",IF('Aportaciones Poliza'!$B$13&lt;'Aportaciones Poliza'!E987,0,F987*$B$8/12),F987*$B$8/12)</f>
      </c>
      <c r="H987" s="333">
        <f>$H$5*G987</f>
      </c>
      <c r="I987" s="333"/>
      <c r="J987" s="333">
        <f>(1+$M$5)^(D987/12)*(H987+IF(AND(F987=1,F988=0),$Q$4,0))</f>
      </c>
      <c r="K987" s="333">
        <f>(1+$M$5)^(D987/12)*(I987)</f>
      </c>
      <c r="L987" s="333">
        <f>K987+J987</f>
      </c>
      <c r="M987" s="170"/>
      <c r="N987" s="7"/>
      <c r="O987" s="1"/>
      <c r="P987" s="331">
        <f>D987</f>
      </c>
      <c r="Q987" s="169"/>
    </row>
    <row x14ac:dyDescent="0.25" r="988" customHeight="1" ht="18.75">
      <c r="A988" s="1"/>
      <c r="B988" s="7"/>
      <c r="C988" s="170"/>
      <c r="D988" s="331">
        <v>981</v>
      </c>
      <c r="E988" s="544">
        <f>+DATE(YEAR(E987),MONTH(E987)-1,DAY(E987))</f>
        <v>25569.041666666668</v>
      </c>
      <c r="F988" s="333">
        <f>IF(DATE(YEAR($B$6),MONTH($B$6)+1,DAY(1))=E988,1,IF(MONTH(E988)=1,F989*(1+$F$5),F989))</f>
      </c>
      <c r="G988" s="333">
        <f>IF('Simulador - 1º Pilar'!$E$99="Sí",IF('Aportaciones Poliza'!$B$13&lt;'Aportaciones Poliza'!E988,0,F988*$B$8/12),F988*$B$8/12)</f>
      </c>
      <c r="H988" s="333">
        <f>$H$5*G988</f>
      </c>
      <c r="I988" s="333"/>
      <c r="J988" s="333">
        <f>(1+$M$5)^(D988/12)*(H988+IF(AND(F988=1,F989=0),$Q$4,0))</f>
      </c>
      <c r="K988" s="333">
        <f>(1+$M$5)^(D988/12)*(I988)</f>
      </c>
      <c r="L988" s="333">
        <f>K988+J988</f>
      </c>
      <c r="M988" s="170"/>
      <c r="N988" s="7"/>
      <c r="O988" s="1"/>
      <c r="P988" s="331">
        <f>D988</f>
      </c>
      <c r="Q988" s="169"/>
    </row>
    <row x14ac:dyDescent="0.25" r="989" customHeight="1" ht="18.75">
      <c r="A989" s="1"/>
      <c r="B989" s="7"/>
      <c r="C989" s="170"/>
      <c r="D989" s="331">
        <v>982</v>
      </c>
      <c r="E989" s="544">
        <f>+DATE(YEAR(E988),MONTH(E988)-1,DAY(E988))</f>
        <v>25569.041666666668</v>
      </c>
      <c r="F989" s="333">
        <f>IF(DATE(YEAR($B$6),MONTH($B$6)+1,DAY(1))=E989,1,IF(MONTH(E989)=1,F990*(1+$F$5),F990))</f>
      </c>
      <c r="G989" s="333">
        <f>IF('Simulador - 1º Pilar'!$E$99="Sí",IF('Aportaciones Poliza'!$B$13&lt;'Aportaciones Poliza'!E989,0,F989*$B$8/12),F989*$B$8/12)</f>
      </c>
      <c r="H989" s="333">
        <f>$H$5*G989</f>
      </c>
      <c r="I989" s="333"/>
      <c r="J989" s="333">
        <f>(1+$M$5)^(D989/12)*(H989+IF(AND(F989=1,F990=0),$Q$4,0))</f>
      </c>
      <c r="K989" s="333">
        <f>(1+$M$5)^(D989/12)*(I989)</f>
      </c>
      <c r="L989" s="333">
        <f>K989+J989</f>
      </c>
      <c r="M989" s="170"/>
      <c r="N989" s="7"/>
      <c r="O989" s="1"/>
      <c r="P989" s="331">
        <f>D989</f>
      </c>
      <c r="Q989" s="169"/>
    </row>
    <row x14ac:dyDescent="0.25" r="990" customHeight="1" ht="18.75">
      <c r="A990" s="1"/>
      <c r="B990" s="7"/>
      <c r="C990" s="170"/>
      <c r="D990" s="331">
        <v>983</v>
      </c>
      <c r="E990" s="544">
        <f>+DATE(YEAR(E989),MONTH(E989)-1,DAY(E989))</f>
        <v>25569.041666666668</v>
      </c>
      <c r="F990" s="333">
        <f>IF(DATE(YEAR($B$6),MONTH($B$6)+1,DAY(1))=E990,1,IF(MONTH(E990)=1,F991*(1+$F$5),F991))</f>
      </c>
      <c r="G990" s="333">
        <f>IF('Simulador - 1º Pilar'!$E$99="Sí",IF('Aportaciones Poliza'!$B$13&lt;'Aportaciones Poliza'!E990,0,F990*$B$8/12),F990*$B$8/12)</f>
      </c>
      <c r="H990" s="333">
        <f>$H$5*G990</f>
      </c>
      <c r="I990" s="333"/>
      <c r="J990" s="333">
        <f>(1+$M$5)^(D990/12)*(H990+IF(AND(F990=1,F991=0),$Q$4,0))</f>
      </c>
      <c r="K990" s="333">
        <f>(1+$M$5)^(D990/12)*(I990)</f>
      </c>
      <c r="L990" s="333">
        <f>K990+J990</f>
      </c>
      <c r="M990" s="170"/>
      <c r="N990" s="7"/>
      <c r="O990" s="1"/>
      <c r="P990" s="331">
        <f>D990</f>
      </c>
      <c r="Q990" s="169"/>
    </row>
    <row x14ac:dyDescent="0.25" r="991" customHeight="1" ht="18.75">
      <c r="A991" s="1"/>
      <c r="B991" s="7"/>
      <c r="C991" s="170"/>
      <c r="D991" s="331">
        <v>984</v>
      </c>
      <c r="E991" s="544">
        <f>+DATE(YEAR(E990),MONTH(E990)-1,DAY(E990))</f>
        <v>25569.041666666668</v>
      </c>
      <c r="F991" s="333">
        <f>IF(DATE(YEAR($B$6),MONTH($B$6)+1,DAY(1))=E991,1,IF(MONTH(E991)=1,F992*(1+$F$5),F992))</f>
      </c>
      <c r="G991" s="333">
        <f>IF('Simulador - 1º Pilar'!$E$99="Sí",IF('Aportaciones Poliza'!$B$13&lt;'Aportaciones Poliza'!E991,0,F991*$B$8/12),F991*$B$8/12)</f>
      </c>
      <c r="H991" s="333">
        <f>$H$5*G991</f>
      </c>
      <c r="I991" s="333"/>
      <c r="J991" s="333">
        <f>(1+$M$5)^(D991/12)*(H991+IF(AND(F991=1,F992=0),$Q$4,0))</f>
      </c>
      <c r="K991" s="333">
        <f>(1+$M$5)^(D991/12)*(I991)</f>
      </c>
      <c r="L991" s="333">
        <f>K991+J991</f>
      </c>
      <c r="M991" s="170"/>
      <c r="N991" s="7"/>
      <c r="O991" s="1"/>
      <c r="P991" s="331">
        <f>D991</f>
      </c>
      <c r="Q991" s="169"/>
    </row>
    <row x14ac:dyDescent="0.25" r="992" customHeight="1" ht="18.75">
      <c r="A992" s="1"/>
      <c r="B992" s="7"/>
      <c r="C992" s="170"/>
      <c r="D992" s="331">
        <v>985</v>
      </c>
      <c r="E992" s="544">
        <f>+DATE(YEAR(E991),MONTH(E991)-1,DAY(E991))</f>
        <v>25569.041666666668</v>
      </c>
      <c r="F992" s="333">
        <f>IF(DATE(YEAR($B$6),MONTH($B$6)+1,DAY(1))=E992,1,IF(MONTH(E992)=1,F993*(1+$F$5),F993))</f>
      </c>
      <c r="G992" s="333">
        <f>IF('Simulador - 1º Pilar'!$E$99="Sí",IF('Aportaciones Poliza'!$B$13&lt;'Aportaciones Poliza'!E992,0,F992*$B$8/12),F992*$B$8/12)</f>
      </c>
      <c r="H992" s="333">
        <f>$H$5*G992</f>
      </c>
      <c r="I992" s="333"/>
      <c r="J992" s="333">
        <f>(1+$M$5)^(D992/12)*(H992+IF(AND(F992=1,F993=0),$Q$4,0))</f>
      </c>
      <c r="K992" s="333">
        <f>(1+$M$5)^(D992/12)*(I992)</f>
      </c>
      <c r="L992" s="333">
        <f>K992+J992</f>
      </c>
      <c r="M992" s="170"/>
      <c r="N992" s="7"/>
      <c r="O992" s="1"/>
      <c r="P992" s="331">
        <f>D992</f>
      </c>
      <c r="Q992" s="169"/>
    </row>
    <row x14ac:dyDescent="0.25" r="993" customHeight="1" ht="18.75">
      <c r="A993" s="1"/>
      <c r="B993" s="7"/>
      <c r="C993" s="170"/>
      <c r="D993" s="331">
        <v>986</v>
      </c>
      <c r="E993" s="544">
        <f>+DATE(YEAR(E992),MONTH(E992)-1,DAY(E992))</f>
        <v>25569.041666666668</v>
      </c>
      <c r="F993" s="333">
        <f>IF(DATE(YEAR($B$6),MONTH($B$6)+1,DAY(1))=E993,1,IF(MONTH(E993)=1,F994*(1+$F$5),F994))</f>
      </c>
      <c r="G993" s="333">
        <f>IF('Simulador - 1º Pilar'!$E$99="Sí",IF('Aportaciones Poliza'!$B$13&lt;'Aportaciones Poliza'!E993,0,F993*$B$8/12),F993*$B$8/12)</f>
      </c>
      <c r="H993" s="333">
        <f>$H$5*G993</f>
      </c>
      <c r="I993" s="333"/>
      <c r="J993" s="333">
        <f>(1+$M$5)^(D993/12)*(H993+IF(AND(F993=1,F994=0),$Q$4,0))</f>
      </c>
      <c r="K993" s="333">
        <f>(1+$M$5)^(D993/12)*(I993)</f>
      </c>
      <c r="L993" s="333">
        <f>K993+J993</f>
      </c>
      <c r="M993" s="170"/>
      <c r="N993" s="7"/>
      <c r="O993" s="1"/>
      <c r="P993" s="331">
        <f>D993</f>
      </c>
      <c r="Q993" s="169"/>
    </row>
    <row x14ac:dyDescent="0.25" r="994" customHeight="1" ht="18.75">
      <c r="A994" s="1"/>
      <c r="B994" s="7"/>
      <c r="C994" s="170"/>
      <c r="D994" s="331">
        <v>987</v>
      </c>
      <c r="E994" s="544">
        <f>+DATE(YEAR(E993),MONTH(E993)-1,DAY(E993))</f>
        <v>25569.041666666668</v>
      </c>
      <c r="F994" s="333">
        <f>IF(DATE(YEAR($B$6),MONTH($B$6)+1,DAY(1))=E994,1,IF(MONTH(E994)=1,F995*(1+$F$5),F995))</f>
      </c>
      <c r="G994" s="333">
        <f>IF('Simulador - 1º Pilar'!$E$99="Sí",IF('Aportaciones Poliza'!$B$13&lt;'Aportaciones Poliza'!E994,0,F994*$B$8/12),F994*$B$8/12)</f>
      </c>
      <c r="H994" s="333">
        <f>$H$5*G994</f>
      </c>
      <c r="I994" s="333"/>
      <c r="J994" s="333">
        <f>(1+$M$5)^(D994/12)*(H994+IF(AND(F994=1,F995=0),$Q$4,0))</f>
      </c>
      <c r="K994" s="333">
        <f>(1+$M$5)^(D994/12)*(I994)</f>
      </c>
      <c r="L994" s="333">
        <f>K994+J994</f>
      </c>
      <c r="M994" s="170"/>
      <c r="N994" s="7"/>
      <c r="O994" s="1"/>
      <c r="P994" s="331">
        <f>D994</f>
      </c>
      <c r="Q994" s="169"/>
    </row>
    <row x14ac:dyDescent="0.25" r="995" customHeight="1" ht="18.75">
      <c r="A995" s="1"/>
      <c r="B995" s="7"/>
      <c r="C995" s="170"/>
      <c r="D995" s="331">
        <v>988</v>
      </c>
      <c r="E995" s="544">
        <f>+DATE(YEAR(E994),MONTH(E994)-1,DAY(E994))</f>
        <v>25569.041666666668</v>
      </c>
      <c r="F995" s="333">
        <f>IF(DATE(YEAR($B$6),MONTH($B$6)+1,DAY(1))=E995,1,IF(MONTH(E995)=1,F996*(1+$F$5),F996))</f>
      </c>
      <c r="G995" s="333">
        <f>IF('Simulador - 1º Pilar'!$E$99="Sí",IF('Aportaciones Poliza'!$B$13&lt;'Aportaciones Poliza'!E995,0,F995*$B$8/12),F995*$B$8/12)</f>
      </c>
      <c r="H995" s="333">
        <f>$H$5*G995</f>
      </c>
      <c r="I995" s="333"/>
      <c r="J995" s="333">
        <f>(1+$M$5)^(D995/12)*(H995+IF(AND(F995=1,F996=0),$Q$4,0))</f>
      </c>
      <c r="K995" s="333">
        <f>(1+$M$5)^(D995/12)*(I995)</f>
      </c>
      <c r="L995" s="333">
        <f>K995+J995</f>
      </c>
      <c r="M995" s="170"/>
      <c r="N995" s="7"/>
      <c r="O995" s="1"/>
      <c r="P995" s="331">
        <f>D995</f>
      </c>
      <c r="Q995" s="169"/>
    </row>
    <row x14ac:dyDescent="0.25" r="996" customHeight="1" ht="18.75">
      <c r="A996" s="1"/>
      <c r="B996" s="7"/>
      <c r="C996" s="170"/>
      <c r="D996" s="331">
        <v>989</v>
      </c>
      <c r="E996" s="544">
        <f>+DATE(YEAR(E995),MONTH(E995)-1,DAY(E995))</f>
        <v>25569.041666666668</v>
      </c>
      <c r="F996" s="333">
        <f>IF(DATE(YEAR($B$6),MONTH($B$6)+1,DAY(1))=E996,1,IF(MONTH(E996)=1,F997*(1+$F$5),F997))</f>
      </c>
      <c r="G996" s="333">
        <f>IF('Simulador - 1º Pilar'!$E$99="Sí",IF('Aportaciones Poliza'!$B$13&lt;'Aportaciones Poliza'!E996,0,F996*$B$8/12),F996*$B$8/12)</f>
      </c>
      <c r="H996" s="333">
        <f>$H$5*G996</f>
      </c>
      <c r="I996" s="333"/>
      <c r="J996" s="333">
        <f>(1+$M$5)^(D996/12)*(H996+IF(AND(F996=1,F997=0),$Q$4,0))</f>
      </c>
      <c r="K996" s="333">
        <f>(1+$M$5)^(D996/12)*(I996)</f>
      </c>
      <c r="L996" s="333">
        <f>K996+J996</f>
      </c>
      <c r="M996" s="170"/>
      <c r="N996" s="7"/>
      <c r="O996" s="1"/>
      <c r="P996" s="331">
        <f>D996</f>
      </c>
      <c r="Q996" s="169"/>
    </row>
    <row x14ac:dyDescent="0.25" r="997" customHeight="1" ht="18.75">
      <c r="A997" s="1"/>
      <c r="B997" s="7"/>
      <c r="C997" s="170"/>
      <c r="D997" s="331">
        <v>990</v>
      </c>
      <c r="E997" s="544">
        <f>+DATE(YEAR(E996),MONTH(E996)-1,DAY(E996))</f>
        <v>25569.041666666668</v>
      </c>
      <c r="F997" s="333">
        <f>IF(DATE(YEAR($B$6),MONTH($B$6)+1,DAY(1))=E997,1,IF(MONTH(E997)=1,F998*(1+$F$5),F998))</f>
      </c>
      <c r="G997" s="333">
        <f>IF('Simulador - 1º Pilar'!$E$99="Sí",IF('Aportaciones Poliza'!$B$13&lt;'Aportaciones Poliza'!E997,0,F997*$B$8/12),F997*$B$8/12)</f>
      </c>
      <c r="H997" s="333">
        <f>$H$5*G997</f>
      </c>
      <c r="I997" s="333"/>
      <c r="J997" s="333">
        <f>(1+$M$5)^(D997/12)*(H997+IF(AND(F997=1,F998=0),$Q$4,0))</f>
      </c>
      <c r="K997" s="333">
        <f>(1+$M$5)^(D997/12)*(I997)</f>
      </c>
      <c r="L997" s="333">
        <f>K997+J997</f>
      </c>
      <c r="M997" s="170"/>
      <c r="N997" s="7"/>
      <c r="O997" s="1"/>
      <c r="P997" s="331">
        <f>D997</f>
      </c>
      <c r="Q997" s="169"/>
    </row>
    <row x14ac:dyDescent="0.25" r="998" customHeight="1" ht="18.75">
      <c r="A998" s="1"/>
      <c r="B998" s="7"/>
      <c r="C998" s="170"/>
      <c r="D998" s="331">
        <v>991</v>
      </c>
      <c r="E998" s="544">
        <f>+DATE(YEAR(E997),MONTH(E997)-1,DAY(E997))</f>
        <v>25569.041666666668</v>
      </c>
      <c r="F998" s="333">
        <f>IF(DATE(YEAR($B$6),MONTH($B$6)+1,DAY(1))=E998,1,IF(MONTH(E998)=1,F999*(1+$F$5),F999))</f>
      </c>
      <c r="G998" s="333">
        <f>IF('Simulador - 1º Pilar'!$E$99="Sí",IF('Aportaciones Poliza'!$B$13&lt;'Aportaciones Poliza'!E998,0,F998*$B$8/12),F998*$B$8/12)</f>
      </c>
      <c r="H998" s="333">
        <f>$H$5*G998</f>
      </c>
      <c r="I998" s="333"/>
      <c r="J998" s="333">
        <f>(1+$M$5)^(D998/12)*(H998+IF(AND(F998=1,F999=0),$Q$4,0))</f>
      </c>
      <c r="K998" s="333">
        <f>(1+$M$5)^(D998/12)*(I998)</f>
      </c>
      <c r="L998" s="333">
        <f>K998+J998</f>
      </c>
      <c r="M998" s="170"/>
      <c r="N998" s="7"/>
      <c r="O998" s="1"/>
      <c r="P998" s="331">
        <f>D998</f>
      </c>
      <c r="Q998" s="169"/>
    </row>
    <row x14ac:dyDescent="0.25" r="999" customHeight="1" ht="18.75">
      <c r="A999" s="1"/>
      <c r="B999" s="7"/>
      <c r="C999" s="170"/>
      <c r="D999" s="331">
        <v>992</v>
      </c>
      <c r="E999" s="544">
        <f>+DATE(YEAR(E998),MONTH(E998)-1,DAY(E998))</f>
        <v>25569.041666666668</v>
      </c>
      <c r="F999" s="333">
        <f>IF(DATE(YEAR($B$6),MONTH($B$6)+1,DAY(1))=E999,1,IF(MONTH(E999)=1,F1000*(1+$F$5),F1000))</f>
      </c>
      <c r="G999" s="333">
        <f>IF('Simulador - 1º Pilar'!$E$99="Sí",IF('Aportaciones Poliza'!$B$13&lt;'Aportaciones Poliza'!E999,0,F999*$B$8/12),F999*$B$8/12)</f>
      </c>
      <c r="H999" s="333">
        <f>$H$5*G999</f>
      </c>
      <c r="I999" s="333"/>
      <c r="J999" s="333">
        <f>(1+$M$5)^(D999/12)*(H999+IF(AND(F999=1,F1000=0),$Q$4,0))</f>
      </c>
      <c r="K999" s="333">
        <f>(1+$M$5)^(D999/12)*(I999)</f>
      </c>
      <c r="L999" s="333">
        <f>K999+J999</f>
      </c>
      <c r="M999" s="170"/>
      <c r="N999" s="7"/>
      <c r="O999" s="1"/>
      <c r="P999" s="331">
        <f>D999</f>
      </c>
      <c r="Q999" s="169"/>
    </row>
    <row x14ac:dyDescent="0.25" r="1000" customHeight="1" ht="18.75">
      <c r="A1000" s="1"/>
      <c r="B1000" s="7"/>
      <c r="C1000" s="170"/>
      <c r="D1000" s="331">
        <v>993</v>
      </c>
      <c r="E1000" s="544">
        <f>+DATE(YEAR(E999),MONTH(E999)-1,DAY(E999))</f>
        <v>25569.041666666668</v>
      </c>
      <c r="F1000" s="333">
        <f>IF(DATE(YEAR($B$6),MONTH($B$6)+1,DAY(1))=E1000,1,IF(MONTH(E1000)=1,F1001*(1+$F$5),F1001))</f>
      </c>
      <c r="G1000" s="333">
        <f>IF('Simulador - 1º Pilar'!$E$99="Sí",IF('Aportaciones Poliza'!$B$13&lt;'Aportaciones Poliza'!E1000,0,F1000*$B$8/12),F1000*$B$8/12)</f>
      </c>
      <c r="H1000" s="333">
        <f>$H$5*G1000</f>
      </c>
      <c r="I1000" s="333"/>
      <c r="J1000" s="333">
        <f>(1+$M$5)^(D1000/12)*(H1000+IF(AND(F1000=1,F1001=0),$Q$4,0))</f>
      </c>
      <c r="K1000" s="333">
        <f>(1+$M$5)^(D1000/12)*(I1000)</f>
      </c>
      <c r="L1000" s="333">
        <f>K1000+J1000</f>
      </c>
      <c r="M1000" s="170"/>
      <c r="N1000" s="7"/>
      <c r="O1000" s="1"/>
      <c r="P1000" s="331">
        <f>D1000</f>
      </c>
      <c r="Q1000" s="169"/>
    </row>
    <row x14ac:dyDescent="0.25" r="1001" customHeight="1" ht="18.75">
      <c r="A1001" s="1"/>
      <c r="B1001" s="7"/>
      <c r="C1001" s="170"/>
      <c r="D1001" s="331">
        <v>994</v>
      </c>
      <c r="E1001" s="544">
        <f>+DATE(YEAR(E1000),MONTH(E1000)-1,DAY(E1000))</f>
        <v>25569.041666666668</v>
      </c>
      <c r="F1001" s="333">
        <f>IF(DATE(YEAR($B$6),MONTH($B$6)+1,DAY(1))=E1001,1,IF(MONTH(E1001)=1,F1002*(1+$F$5),F1002))</f>
      </c>
      <c r="G1001" s="333">
        <f>IF('Simulador - 1º Pilar'!$E$99="Sí",IF('Aportaciones Poliza'!$B$13&lt;'Aportaciones Poliza'!E1001,0,F1001*$B$8/12),F1001*$B$8/12)</f>
      </c>
      <c r="H1001" s="333">
        <f>$H$5*G1001</f>
      </c>
      <c r="I1001" s="333"/>
      <c r="J1001" s="333">
        <f>(1+$M$5)^(D1001/12)*(H1001+IF(AND(F1001=1,F1002=0),$Q$4,0))</f>
      </c>
      <c r="K1001" s="333">
        <f>(1+$M$5)^(D1001/12)*(I1001)</f>
      </c>
      <c r="L1001" s="333">
        <f>K1001+J1001</f>
      </c>
      <c r="M1001" s="170"/>
      <c r="N1001" s="7"/>
      <c r="O1001" s="1"/>
      <c r="P1001" s="331">
        <f>D1001</f>
      </c>
      <c r="Q1001" s="169"/>
    </row>
    <row x14ac:dyDescent="0.25" r="1002" customHeight="1" ht="18.75">
      <c r="A1002" s="1"/>
      <c r="B1002" s="7"/>
      <c r="C1002" s="170"/>
      <c r="D1002" s="331">
        <v>995</v>
      </c>
      <c r="E1002" s="544">
        <f>+DATE(YEAR(E1001),MONTH(E1001)-1,DAY(E1001))</f>
        <v>25569.041666666668</v>
      </c>
      <c r="F1002" s="333">
        <f>IF(DATE(YEAR($B$6),MONTH($B$6)+1,DAY(1))=E1002,1,IF(MONTH(E1002)=1,F1003*(1+$F$5),F1003))</f>
      </c>
      <c r="G1002" s="333">
        <f>IF('Simulador - 1º Pilar'!$E$99="Sí",IF('Aportaciones Poliza'!$B$13&lt;'Aportaciones Poliza'!E1002,0,F1002*$B$8/12),F1002*$B$8/12)</f>
      </c>
      <c r="H1002" s="333">
        <f>$H$5*G1002</f>
      </c>
      <c r="I1002" s="333"/>
      <c r="J1002" s="333">
        <f>(1+$M$5)^(D1002/12)*(H1002+IF(AND(F1002=1,F1003=0),$Q$4,0))</f>
      </c>
      <c r="K1002" s="333">
        <f>(1+$M$5)^(D1002/12)*(I1002)</f>
      </c>
      <c r="L1002" s="333">
        <f>K1002+J1002</f>
      </c>
      <c r="M1002" s="170"/>
      <c r="N1002" s="7"/>
      <c r="O1002" s="1"/>
      <c r="P1002" s="331">
        <f>D1002</f>
      </c>
      <c r="Q1002" s="169"/>
    </row>
    <row x14ac:dyDescent="0.25" r="1003" customHeight="1" ht="18.75">
      <c r="A1003" s="1"/>
      <c r="B1003" s="7"/>
      <c r="C1003" s="170"/>
      <c r="D1003" s="331">
        <v>996</v>
      </c>
      <c r="E1003" s="544">
        <f>+DATE(YEAR(E1002),MONTH(E1002)-1,DAY(E1002))</f>
        <v>25569.041666666668</v>
      </c>
      <c r="F1003" s="333">
        <f>IF(DATE(YEAR($B$6),MONTH($B$6)+1,DAY(1))=E1003,1,IF(MONTH(E1003)=1,F1004*(1+$F$5),F1004))</f>
      </c>
      <c r="G1003" s="333">
        <f>IF('Simulador - 1º Pilar'!$E$99="Sí",IF('Aportaciones Poliza'!$B$13&lt;'Aportaciones Poliza'!E1003,0,F1003*$B$8/12),F1003*$B$8/12)</f>
      </c>
      <c r="H1003" s="333">
        <f>$H$5*G1003</f>
      </c>
      <c r="I1003" s="333"/>
      <c r="J1003" s="333">
        <f>(1+$M$5)^(D1003/12)*(H1003+IF(AND(F1003=1,F1004=0),$Q$4,0))</f>
      </c>
      <c r="K1003" s="333">
        <f>(1+$M$5)^(D1003/12)*(I1003)</f>
      </c>
      <c r="L1003" s="333">
        <f>K1003+J1003</f>
      </c>
      <c r="M1003" s="170"/>
      <c r="N1003" s="7"/>
      <c r="O1003" s="1"/>
      <c r="P1003" s="331">
        <f>D1003</f>
      </c>
      <c r="Q1003" s="169"/>
    </row>
    <row x14ac:dyDescent="0.25" r="1004" customHeight="1" ht="18.75">
      <c r="A1004" s="1"/>
      <c r="B1004" s="7"/>
      <c r="C1004" s="170"/>
      <c r="D1004" s="331">
        <v>997</v>
      </c>
      <c r="E1004" s="544">
        <f>+DATE(YEAR(E1003),MONTH(E1003)-1,DAY(E1003))</f>
        <v>25569.041666666668</v>
      </c>
      <c r="F1004" s="333">
        <f>IF(DATE(YEAR($B$6),MONTH($B$6)+1,DAY(1))=E1004,1,IF(MONTH(E1004)=1,F1005*(1+$F$5),F1005))</f>
      </c>
      <c r="G1004" s="333">
        <f>IF('Simulador - 1º Pilar'!$E$99="Sí",IF('Aportaciones Poliza'!$B$13&lt;'Aportaciones Poliza'!E1004,0,F1004*$B$8/12),F1004*$B$8/12)</f>
      </c>
      <c r="H1004" s="333">
        <f>$H$5*G1004</f>
      </c>
      <c r="I1004" s="333"/>
      <c r="J1004" s="333">
        <f>(1+$M$5)^(D1004/12)*(H1004+IF(AND(F1004=1,F1005=0),$Q$4,0))</f>
      </c>
      <c r="K1004" s="333">
        <f>(1+$M$5)^(D1004/12)*(I1004)</f>
      </c>
      <c r="L1004" s="333">
        <f>K1004+J1004</f>
      </c>
      <c r="M1004" s="170"/>
      <c r="N1004" s="7"/>
      <c r="O1004" s="1"/>
      <c r="P1004" s="331">
        <f>D1004</f>
      </c>
      <c r="Q1004" s="169"/>
    </row>
    <row x14ac:dyDescent="0.25" r="1005" customHeight="1" ht="18.75">
      <c r="A1005" s="1"/>
      <c r="B1005" s="7"/>
      <c r="C1005" s="170"/>
      <c r="D1005" s="331">
        <v>998</v>
      </c>
      <c r="E1005" s="544">
        <f>+DATE(YEAR(E1004),MONTH(E1004)-1,DAY(E1004))</f>
        <v>25569.041666666668</v>
      </c>
      <c r="F1005" s="333">
        <f>IF(DATE(YEAR($B$6),MONTH($B$6)+1,DAY(1))=E1005,1,IF(MONTH(E1005)=1,F1006*(1+$F$5),F1006))</f>
      </c>
      <c r="G1005" s="333">
        <f>IF('Simulador - 1º Pilar'!$E$99="Sí",IF('Aportaciones Poliza'!$B$13&lt;'Aportaciones Poliza'!E1005,0,F1005*$B$8/12),F1005*$B$8/12)</f>
      </c>
      <c r="H1005" s="333">
        <f>$H$5*G1005</f>
      </c>
      <c r="I1005" s="333"/>
      <c r="J1005" s="333">
        <f>(1+$M$5)^(D1005/12)*(H1005+IF(AND(F1005=1,F1006=0),$Q$4,0))</f>
      </c>
      <c r="K1005" s="333">
        <f>(1+$M$5)^(D1005/12)*(I1005)</f>
      </c>
      <c r="L1005" s="333">
        <f>K1005+J1005</f>
      </c>
      <c r="M1005" s="170"/>
      <c r="N1005" s="7"/>
      <c r="O1005" s="1"/>
      <c r="P1005" s="331">
        <f>D1005</f>
      </c>
      <c r="Q1005" s="169"/>
    </row>
    <row x14ac:dyDescent="0.25" r="1006" customHeight="1" ht="18.75">
      <c r="A1006" s="1"/>
      <c r="B1006" s="7"/>
      <c r="C1006" s="170"/>
      <c r="D1006" s="331">
        <v>999</v>
      </c>
      <c r="E1006" s="544">
        <f>+DATE(YEAR(E1005),MONTH(E1005)-1,DAY(E1005))</f>
        <v>25569.041666666668</v>
      </c>
      <c r="F1006" s="333">
        <f>IF(DATE(YEAR($B$6),MONTH($B$6)+1,DAY(1))=E1006,1,IF(MONTH(E1006)=1,F1007*(1+$F$5),F1007))</f>
      </c>
      <c r="G1006" s="333">
        <f>IF('Simulador - 1º Pilar'!$E$99="Sí",IF('Aportaciones Poliza'!$B$13&lt;'Aportaciones Poliza'!E1006,0,F1006*$B$8/12),F1006*$B$8/12)</f>
      </c>
      <c r="H1006" s="333">
        <f>$H$5*G1006</f>
      </c>
      <c r="I1006" s="333"/>
      <c r="J1006" s="333">
        <f>(1+$M$5)^(D1006/12)*(H1006+IF(AND(F1006=1,F1007=0),$Q$4,0))</f>
      </c>
      <c r="K1006" s="333">
        <f>(1+$M$5)^(D1006/12)*(I1006)</f>
      </c>
      <c r="L1006" s="333">
        <f>K1006+J1006</f>
      </c>
      <c r="M1006" s="170"/>
      <c r="N1006" s="7"/>
      <c r="O1006" s="1"/>
      <c r="P1006" s="331">
        <f>D1006</f>
      </c>
      <c r="Q1006" s="169"/>
    </row>
    <row x14ac:dyDescent="0.25" r="1007" customHeight="1" ht="18.75">
      <c r="A1007" s="1"/>
      <c r="B1007" s="7"/>
      <c r="C1007" s="170"/>
      <c r="D1007" s="331">
        <v>1000</v>
      </c>
      <c r="E1007" s="544">
        <f>+DATE(YEAR(E1006),MONTH(E1006)-1,DAY(E1006))</f>
        <v>25569.041666666668</v>
      </c>
      <c r="F1007" s="333">
        <f>IF(DATE(YEAR($B$6),MONTH($B$6)+1,DAY(1))=E1007,1,IF(MONTH(E1007)=1,F1008*(1+$F$5),F1008))</f>
      </c>
      <c r="G1007" s="333">
        <f>IF('Simulador - 1º Pilar'!$E$99="Sí",IF('Aportaciones Poliza'!$B$13&lt;'Aportaciones Poliza'!E1007,0,F1007*$B$8/12),F1007*$B$8/12)</f>
      </c>
      <c r="H1007" s="333">
        <f>$H$5*G1007</f>
      </c>
      <c r="I1007" s="333"/>
      <c r="J1007" s="333">
        <f>(1+$M$5)^(D1007/12)*(H1007+IF(AND(F1007=1,F1008=0),$Q$4,0))</f>
      </c>
      <c r="K1007" s="333">
        <f>(1+$M$5)^(D1007/12)*(I1007)</f>
      </c>
      <c r="L1007" s="333">
        <f>K1007+J1007</f>
      </c>
      <c r="M1007" s="170"/>
      <c r="N1007" s="7"/>
      <c r="O1007" s="1"/>
      <c r="P1007" s="331">
        <f>D1007</f>
      </c>
      <c r="Q1007" s="169"/>
    </row>
    <row x14ac:dyDescent="0.25" r="1008" customHeight="1" ht="18.75">
      <c r="A1008" s="1"/>
      <c r="B1008" s="7"/>
      <c r="C1008" s="170"/>
      <c r="D1008" s="331">
        <v>1001</v>
      </c>
      <c r="E1008" s="544">
        <f>+DATE(YEAR(E1007),MONTH(E1007)-1,DAY(E1007))</f>
        <v>25569.041666666668</v>
      </c>
      <c r="F1008" s="333">
        <f>IF(DATE(YEAR($B$6),MONTH($B$6)+1,DAY(1))=E1008,1,IF(MONTH(E1008)=1,F1009*(1+$F$5),F1009))</f>
      </c>
      <c r="G1008" s="333">
        <f>IF('Simulador - 1º Pilar'!$E$99="Sí",IF('Aportaciones Poliza'!$B$13&lt;'Aportaciones Poliza'!E1008,0,F1008*$B$8/12),F1008*$B$8/12)</f>
      </c>
      <c r="H1008" s="333">
        <f>$H$5*G1008</f>
      </c>
      <c r="I1008" s="333"/>
      <c r="J1008" s="333">
        <f>(1+$M$5)^(D1008/12)*(H1008+IF(AND(F1008=1,F1009=0),$Q$4,0))</f>
      </c>
      <c r="K1008" s="333">
        <f>(1+$M$5)^(D1008/12)*(I1008)</f>
      </c>
      <c r="L1008" s="333">
        <f>K1008+J1008</f>
      </c>
      <c r="M1008" s="170"/>
      <c r="N1008" s="7"/>
      <c r="O1008" s="1"/>
      <c r="P1008" s="331">
        <f>D1008</f>
      </c>
      <c r="Q1008" s="169"/>
    </row>
    <row x14ac:dyDescent="0.25" r="1009" customHeight="1" ht="18.75">
      <c r="A1009" s="1"/>
      <c r="B1009" s="7"/>
      <c r="C1009" s="170"/>
      <c r="D1009" s="331">
        <v>1002</v>
      </c>
      <c r="E1009" s="544">
        <f>+DATE(YEAR(E1008),MONTH(E1008)-1,DAY(E1008))</f>
        <v>25569.041666666668</v>
      </c>
      <c r="F1009" s="333">
        <f>IF(DATE(YEAR($B$6),MONTH($B$6)+1,DAY(1))=E1009,1,IF(MONTH(E1009)=1,F1010*(1+$F$5),F1010))</f>
      </c>
      <c r="G1009" s="333">
        <f>IF('Simulador - 1º Pilar'!$E$99="Sí",IF('Aportaciones Poliza'!$B$13&lt;'Aportaciones Poliza'!E1009,0,F1009*$B$8/12),F1009*$B$8/12)</f>
      </c>
      <c r="H1009" s="333">
        <f>$H$5*G1009</f>
      </c>
      <c r="I1009" s="333"/>
      <c r="J1009" s="333">
        <f>(1+$M$5)^(D1009/12)*(H1009+IF(AND(F1009=1,F1010=0),$Q$4,0))</f>
      </c>
      <c r="K1009" s="333">
        <f>(1+$M$5)^(D1009/12)*(I1009)</f>
      </c>
      <c r="L1009" s="333">
        <f>K1009+J1009</f>
      </c>
      <c r="M1009" s="170"/>
      <c r="N1009" s="7"/>
      <c r="O1009" s="1"/>
      <c r="P1009" s="331">
        <f>D1009</f>
      </c>
      <c r="Q1009" s="169"/>
    </row>
    <row x14ac:dyDescent="0.25" r="1010" customHeight="1" ht="18.75">
      <c r="A1010" s="1"/>
      <c r="B1010" s="7"/>
      <c r="C1010" s="170"/>
      <c r="D1010" s="331">
        <v>1003</v>
      </c>
      <c r="E1010" s="544">
        <f>+DATE(YEAR(E1009),MONTH(E1009)-1,DAY(E1009))</f>
        <v>25569.041666666668</v>
      </c>
      <c r="F1010" s="333">
        <f>IF(DATE(YEAR($B$6),MONTH($B$6)+1,DAY(1))=E1010,1,IF(MONTH(E1010)=1,F1011*(1+$F$5),F1011))</f>
      </c>
      <c r="G1010" s="333">
        <f>IF('Simulador - 1º Pilar'!$E$99="Sí",IF('Aportaciones Poliza'!$B$13&lt;'Aportaciones Poliza'!E1010,0,F1010*$B$8/12),F1010*$B$8/12)</f>
      </c>
      <c r="H1010" s="333">
        <f>$H$5*G1010</f>
      </c>
      <c r="I1010" s="333"/>
      <c r="J1010" s="333">
        <f>(1+$M$5)^(D1010/12)*(H1010+IF(AND(F1010=1,F1011=0),$Q$4,0))</f>
      </c>
      <c r="K1010" s="333">
        <f>(1+$M$5)^(D1010/12)*(I1010)</f>
      </c>
      <c r="L1010" s="333">
        <f>K1010+J1010</f>
      </c>
      <c r="M1010" s="170"/>
      <c r="N1010" s="7"/>
      <c r="O1010" s="1"/>
      <c r="P1010" s="331">
        <f>D1010</f>
      </c>
      <c r="Q1010" s="169"/>
    </row>
    <row x14ac:dyDescent="0.25" r="1011" customHeight="1" ht="18.75">
      <c r="A1011" s="1"/>
      <c r="B1011" s="7"/>
      <c r="C1011" s="170"/>
      <c r="D1011" s="331">
        <v>1004</v>
      </c>
      <c r="E1011" s="544">
        <f>+DATE(YEAR(E1010),MONTH(E1010)-1,DAY(E1010))</f>
        <v>25569.041666666668</v>
      </c>
      <c r="F1011" s="333">
        <f>IF(DATE(YEAR($B$6),MONTH($B$6)+1,DAY(1))=E1011,1,IF(MONTH(E1011)=1,F1012*(1+$F$5),F1012))</f>
      </c>
      <c r="G1011" s="333">
        <f>IF('Simulador - 1º Pilar'!$E$99="Sí",IF('Aportaciones Poliza'!$B$13&lt;'Aportaciones Poliza'!E1011,0,F1011*$B$8/12),F1011*$B$8/12)</f>
      </c>
      <c r="H1011" s="333">
        <f>$H$5*G1011</f>
      </c>
      <c r="I1011" s="333"/>
      <c r="J1011" s="333">
        <f>(1+$M$5)^(D1011/12)*(H1011+IF(AND(F1011=1,F1012=0),$Q$4,0))</f>
      </c>
      <c r="K1011" s="333">
        <f>(1+$M$5)^(D1011/12)*(I1011)</f>
      </c>
      <c r="L1011" s="333">
        <f>K1011+J1011</f>
      </c>
      <c r="M1011" s="170"/>
      <c r="N1011" s="7"/>
      <c r="O1011" s="1"/>
      <c r="P1011" s="331">
        <f>D1011</f>
      </c>
      <c r="Q1011" s="169"/>
    </row>
    <row x14ac:dyDescent="0.25" r="1012" customHeight="1" ht="18.75">
      <c r="A1012" s="1"/>
      <c r="B1012" s="7"/>
      <c r="C1012" s="170"/>
      <c r="D1012" s="331">
        <v>1005</v>
      </c>
      <c r="E1012" s="544">
        <f>+DATE(YEAR(E1011),MONTH(E1011)-1,DAY(E1011))</f>
        <v>25569.041666666668</v>
      </c>
      <c r="F1012" s="333">
        <f>IF(DATE(YEAR($B$6),MONTH($B$6)+1,DAY(1))=E1012,1,IF(MONTH(E1012)=1,F1013*(1+$F$5),F1013))</f>
      </c>
      <c r="G1012" s="333">
        <f>IF('Simulador - 1º Pilar'!$E$99="Sí",IF('Aportaciones Poliza'!$B$13&lt;'Aportaciones Poliza'!E1012,0,F1012*$B$8/12),F1012*$B$8/12)</f>
      </c>
      <c r="H1012" s="333">
        <f>$H$5*G1012</f>
      </c>
      <c r="I1012" s="333"/>
      <c r="J1012" s="333">
        <f>(1+$M$5)^(D1012/12)*(H1012+IF(AND(F1012=1,F1013=0),$Q$4,0))</f>
      </c>
      <c r="K1012" s="333">
        <f>(1+$M$5)^(D1012/12)*(I1012)</f>
      </c>
      <c r="L1012" s="333">
        <f>K1012+J1012</f>
      </c>
      <c r="M1012" s="170"/>
      <c r="N1012" s="7"/>
      <c r="O1012" s="1"/>
      <c r="P1012" s="331">
        <f>D1012</f>
      </c>
      <c r="Q1012" s="169"/>
    </row>
    <row x14ac:dyDescent="0.25" r="1013" customHeight="1" ht="18.75">
      <c r="A1013" s="1"/>
      <c r="B1013" s="7"/>
      <c r="C1013" s="170"/>
      <c r="D1013" s="331">
        <v>1006</v>
      </c>
      <c r="E1013" s="544">
        <f>+DATE(YEAR(E1012),MONTH(E1012)-1,DAY(E1012))</f>
        <v>25569.041666666668</v>
      </c>
      <c r="F1013" s="333">
        <f>IF(DATE(YEAR($B$6),MONTH($B$6)+1,DAY(1))=E1013,1,IF(MONTH(E1013)=1,F1014*(1+$F$5),F1014))</f>
      </c>
      <c r="G1013" s="333">
        <f>IF('Simulador - 1º Pilar'!$E$99="Sí",IF('Aportaciones Poliza'!$B$13&lt;'Aportaciones Poliza'!E1013,0,F1013*$B$8/12),F1013*$B$8/12)</f>
      </c>
      <c r="H1013" s="333">
        <f>$H$5*G1013</f>
      </c>
      <c r="I1013" s="333"/>
      <c r="J1013" s="333">
        <f>(1+$M$5)^(D1013/12)*(H1013+IF(AND(F1013=1,F1014=0),$Q$4,0))</f>
      </c>
      <c r="K1013" s="333">
        <f>(1+$M$5)^(D1013/12)*(I1013)</f>
      </c>
      <c r="L1013" s="333">
        <f>K1013+J1013</f>
      </c>
      <c r="M1013" s="170"/>
      <c r="N1013" s="7"/>
      <c r="O1013" s="1"/>
      <c r="P1013" s="331">
        <f>D1013</f>
      </c>
      <c r="Q1013" s="169"/>
    </row>
    <row x14ac:dyDescent="0.25" r="1014" customHeight="1" ht="18.75">
      <c r="A1014" s="1"/>
      <c r="B1014" s="7"/>
      <c r="C1014" s="170"/>
      <c r="D1014" s="331">
        <v>1007</v>
      </c>
      <c r="E1014" s="544">
        <f>+DATE(YEAR(E1013),MONTH(E1013)-1,DAY(E1013))</f>
        <v>25569.041666666668</v>
      </c>
      <c r="F1014" s="333">
        <f>IF(DATE(YEAR($B$6),MONTH($B$6)+1,DAY(1))=E1014,1,IF(MONTH(E1014)=1,F1015*(1+$F$5),F1015))</f>
      </c>
      <c r="G1014" s="333">
        <f>IF('Simulador - 1º Pilar'!$E$99="Sí",IF('Aportaciones Poliza'!$B$13&lt;'Aportaciones Poliza'!E1014,0,F1014*$B$8/12),F1014*$B$8/12)</f>
      </c>
      <c r="H1014" s="333">
        <f>$H$5*G1014</f>
      </c>
      <c r="I1014" s="333"/>
      <c r="J1014" s="333">
        <f>(1+$M$5)^(D1014/12)*(H1014+IF(AND(F1014=1,F1015=0),$Q$4,0))</f>
      </c>
      <c r="K1014" s="333">
        <f>(1+$M$5)^(D1014/12)*(I1014)</f>
      </c>
      <c r="L1014" s="333">
        <f>K1014+J1014</f>
      </c>
      <c r="M1014" s="170"/>
      <c r="N1014" s="7"/>
      <c r="O1014" s="1"/>
      <c r="P1014" s="331">
        <f>D1014</f>
      </c>
      <c r="Q1014" s="169"/>
    </row>
    <row x14ac:dyDescent="0.25" r="1015" customHeight="1" ht="18.75">
      <c r="A1015" s="1"/>
      <c r="B1015" s="7"/>
      <c r="C1015" s="170"/>
      <c r="D1015" s="331">
        <v>1008</v>
      </c>
      <c r="E1015" s="544">
        <f>+DATE(YEAR(E1014),MONTH(E1014)-1,DAY(E1014))</f>
        <v>25569.041666666668</v>
      </c>
      <c r="F1015" s="333">
        <f>IF(DATE(YEAR($B$6),MONTH($B$6)+1,DAY(1))=E1015,1,IF(MONTH(E1015)=1,F1016*(1+$F$5),F1016))</f>
      </c>
      <c r="G1015" s="333">
        <f>IF('Simulador - 1º Pilar'!$E$99="Sí",IF('Aportaciones Poliza'!$B$13&lt;'Aportaciones Poliza'!E1015,0,F1015*$B$8/12),F1015*$B$8/12)</f>
      </c>
      <c r="H1015" s="333">
        <f>$H$5*G1015</f>
      </c>
      <c r="I1015" s="333"/>
      <c r="J1015" s="333">
        <f>(1+$M$5)^(D1015/12)*(H1015+IF(AND(F1015=1,F1016=0),$Q$4,0))</f>
      </c>
      <c r="K1015" s="333">
        <f>(1+$M$5)^(D1015/12)*(I1015)</f>
      </c>
      <c r="L1015" s="333">
        <f>K1015+J1015</f>
      </c>
      <c r="M1015" s="170"/>
      <c r="N1015" s="7"/>
      <c r="O1015" s="1"/>
      <c r="P1015" s="331">
        <f>D1015</f>
      </c>
      <c r="Q1015" s="169"/>
    </row>
    <row x14ac:dyDescent="0.25" r="1016" customHeight="1" ht="18.75">
      <c r="A1016" s="1"/>
      <c r="B1016" s="7"/>
      <c r="C1016" s="170"/>
      <c r="D1016" s="331">
        <v>1009</v>
      </c>
      <c r="E1016" s="544">
        <f>+DATE(YEAR(E1015),MONTH(E1015)-1,DAY(E1015))</f>
        <v>25569.041666666668</v>
      </c>
      <c r="F1016" s="333">
        <f>IF(DATE(YEAR($B$6),MONTH($B$6)+1,DAY(1))=E1016,1,IF(MONTH(E1016)=1,F1017*(1+$F$5),F1017))</f>
      </c>
      <c r="G1016" s="333">
        <f>IF('Simulador - 1º Pilar'!$E$99="Sí",IF('Aportaciones Poliza'!$B$13&lt;'Aportaciones Poliza'!E1016,0,F1016*$B$8/12),F1016*$B$8/12)</f>
      </c>
      <c r="H1016" s="333">
        <f>$H$5*G1016</f>
      </c>
      <c r="I1016" s="333"/>
      <c r="J1016" s="333">
        <f>(1+$M$5)^(D1016/12)*(H1016+IF(AND(F1016=1,F1017=0),$Q$4,0))</f>
      </c>
      <c r="K1016" s="333">
        <f>(1+$M$5)^(D1016/12)*(I1016)</f>
      </c>
      <c r="L1016" s="333">
        <f>K1016+J1016</f>
      </c>
      <c r="M1016" s="170"/>
      <c r="N1016" s="7"/>
      <c r="O1016" s="1"/>
      <c r="P1016" s="331">
        <f>D1016</f>
      </c>
      <c r="Q1016" s="169"/>
    </row>
    <row x14ac:dyDescent="0.25" r="1017" customHeight="1" ht="18.75">
      <c r="A1017" s="1"/>
      <c r="B1017" s="7"/>
      <c r="C1017" s="170"/>
      <c r="D1017" s="331">
        <v>1010</v>
      </c>
      <c r="E1017" s="544">
        <f>+DATE(YEAR(E1016),MONTH(E1016)-1,DAY(E1016))</f>
        <v>25569.041666666668</v>
      </c>
      <c r="F1017" s="333">
        <f>IF(DATE(YEAR($B$6),MONTH($B$6)+1,DAY(1))=E1017,1,IF(MONTH(E1017)=1,F1018*(1+$F$5),F1018))</f>
      </c>
      <c r="G1017" s="333">
        <f>IF('Simulador - 1º Pilar'!$E$99="Sí",IF('Aportaciones Poliza'!$B$13&lt;'Aportaciones Poliza'!E1017,0,F1017*$B$8/12),F1017*$B$8/12)</f>
      </c>
      <c r="H1017" s="333">
        <f>$H$5*G1017</f>
      </c>
      <c r="I1017" s="333"/>
      <c r="J1017" s="333">
        <f>(1+$M$5)^(D1017/12)*(H1017+IF(AND(F1017=1,F1018=0),$Q$4,0))</f>
      </c>
      <c r="K1017" s="333">
        <f>(1+$M$5)^(D1017/12)*(I1017)</f>
      </c>
      <c r="L1017" s="333">
        <f>K1017+J1017</f>
      </c>
      <c r="M1017" s="170"/>
      <c r="N1017" s="7"/>
      <c r="O1017" s="1"/>
      <c r="P1017" s="331">
        <f>D1017</f>
      </c>
      <c r="Q1017" s="169"/>
    </row>
    <row x14ac:dyDescent="0.25" r="1018" customHeight="1" ht="18.75">
      <c r="A1018" s="1"/>
      <c r="B1018" s="7"/>
      <c r="C1018" s="170"/>
      <c r="D1018" s="331">
        <v>1011</v>
      </c>
      <c r="E1018" s="544">
        <f>+DATE(YEAR(E1017),MONTH(E1017)-1,DAY(E1017))</f>
        <v>25569.041666666668</v>
      </c>
      <c r="F1018" s="333">
        <f>IF(DATE(YEAR($B$6),MONTH($B$6)+1,DAY(1))=E1018,1,IF(MONTH(E1018)=1,F1019*(1+$F$5),F1019))</f>
      </c>
      <c r="G1018" s="333">
        <f>IF('Simulador - 1º Pilar'!$E$99="Sí",IF('Aportaciones Poliza'!$B$13&lt;'Aportaciones Poliza'!E1018,0,F1018*$B$8/12),F1018*$B$8/12)</f>
      </c>
      <c r="H1018" s="333">
        <f>$H$5*G1018</f>
      </c>
      <c r="I1018" s="333"/>
      <c r="J1018" s="333">
        <f>(1+$M$5)^(D1018/12)*(H1018+IF(AND(F1018=1,F1019=0),$Q$4,0))</f>
      </c>
      <c r="K1018" s="333">
        <f>(1+$M$5)^(D1018/12)*(I1018)</f>
      </c>
      <c r="L1018" s="333">
        <f>K1018+J1018</f>
      </c>
      <c r="M1018" s="170"/>
      <c r="N1018" s="7"/>
      <c r="O1018" s="1"/>
      <c r="P1018" s="331">
        <f>D1018</f>
      </c>
      <c r="Q1018" s="169"/>
    </row>
    <row x14ac:dyDescent="0.25" r="1019" customHeight="1" ht="18.75">
      <c r="A1019" s="1"/>
      <c r="B1019" s="7"/>
      <c r="C1019" s="170"/>
      <c r="D1019" s="331">
        <v>1012</v>
      </c>
      <c r="E1019" s="544">
        <f>+DATE(YEAR(E1018),MONTH(E1018)-1,DAY(E1018))</f>
        <v>25569.041666666668</v>
      </c>
      <c r="F1019" s="333">
        <f>IF(DATE(YEAR($B$6),MONTH($B$6)+1,DAY(1))=E1019,1,IF(MONTH(E1019)=1,F1020*(1+$F$5),F1020))</f>
      </c>
      <c r="G1019" s="333">
        <f>IF('Simulador - 1º Pilar'!$E$99="Sí",IF('Aportaciones Poliza'!$B$13&lt;'Aportaciones Poliza'!E1019,0,F1019*$B$8/12),F1019*$B$8/12)</f>
      </c>
      <c r="H1019" s="333">
        <f>$H$5*G1019</f>
      </c>
      <c r="I1019" s="333"/>
      <c r="J1019" s="333">
        <f>(1+$M$5)^(D1019/12)*(H1019+IF(AND(F1019=1,F1020=0),$Q$4,0))</f>
      </c>
      <c r="K1019" s="333">
        <f>(1+$M$5)^(D1019/12)*(I1019)</f>
      </c>
      <c r="L1019" s="333">
        <f>K1019+J1019</f>
      </c>
      <c r="M1019" s="170"/>
      <c r="N1019" s="7"/>
      <c r="O1019" s="1"/>
      <c r="P1019" s="331">
        <f>D1019</f>
      </c>
      <c r="Q1019" s="169"/>
    </row>
    <row x14ac:dyDescent="0.25" r="1020" customHeight="1" ht="18.75">
      <c r="A1020" s="1"/>
      <c r="B1020" s="7"/>
      <c r="C1020" s="170"/>
      <c r="D1020" s="331">
        <v>1013</v>
      </c>
      <c r="E1020" s="544">
        <f>+DATE(YEAR(E1019),MONTH(E1019)-1,DAY(E1019))</f>
        <v>25569.041666666668</v>
      </c>
      <c r="F1020" s="333">
        <f>IF(DATE(YEAR($B$6),MONTH($B$6)+1,DAY(1))=E1020,1,IF(MONTH(E1020)=1,F1021*(1+$F$5),F1021))</f>
      </c>
      <c r="G1020" s="333">
        <f>IF('Simulador - 1º Pilar'!$E$99="Sí",IF('Aportaciones Poliza'!$B$13&lt;'Aportaciones Poliza'!E1020,0,F1020*$B$8/12),F1020*$B$8/12)</f>
      </c>
      <c r="H1020" s="333">
        <f>$H$5*G1020</f>
      </c>
      <c r="I1020" s="333"/>
      <c r="J1020" s="333">
        <f>(1+$M$5)^(D1020/12)*(H1020+IF(AND(F1020=1,F1021=0),$Q$4,0))</f>
      </c>
      <c r="K1020" s="333">
        <f>(1+$M$5)^(D1020/12)*(I1020)</f>
      </c>
      <c r="L1020" s="333">
        <f>K1020+J1020</f>
      </c>
      <c r="M1020" s="170"/>
      <c r="N1020" s="7"/>
      <c r="O1020" s="1"/>
      <c r="P1020" s="331">
        <f>D1020</f>
      </c>
      <c r="Q1020" s="169"/>
    </row>
    <row x14ac:dyDescent="0.25" r="1021" customHeight="1" ht="18.75">
      <c r="A1021" s="1"/>
      <c r="B1021" s="7"/>
      <c r="C1021" s="170"/>
      <c r="D1021" s="331">
        <v>1014</v>
      </c>
      <c r="E1021" s="544">
        <f>+DATE(YEAR(E1020),MONTH(E1020)-1,DAY(E1020))</f>
        <v>25569.041666666668</v>
      </c>
      <c r="F1021" s="333">
        <f>IF(DATE(YEAR($B$6),MONTH($B$6)+1,DAY(1))=E1021,1,IF(MONTH(E1021)=1,F1022*(1+$F$5),F1022))</f>
      </c>
      <c r="G1021" s="333">
        <f>IF('Simulador - 1º Pilar'!$E$99="Sí",IF('Aportaciones Poliza'!$B$13&lt;'Aportaciones Poliza'!E1021,0,F1021*$B$8/12),F1021*$B$8/12)</f>
      </c>
      <c r="H1021" s="333">
        <f>$H$5*G1021</f>
      </c>
      <c r="I1021" s="333"/>
      <c r="J1021" s="333">
        <f>(1+$M$5)^(D1021/12)*(H1021+IF(AND(F1021=1,F1022=0),$Q$4,0))</f>
      </c>
      <c r="K1021" s="333">
        <f>(1+$M$5)^(D1021/12)*(I1021)</f>
      </c>
      <c r="L1021" s="333">
        <f>K1021+J1021</f>
      </c>
      <c r="M1021" s="170"/>
      <c r="N1021" s="7"/>
      <c r="O1021" s="1"/>
      <c r="P1021" s="331">
        <f>D1021</f>
      </c>
      <c r="Q1021" s="169"/>
    </row>
    <row x14ac:dyDescent="0.25" r="1022" customHeight="1" ht="18.75">
      <c r="A1022" s="1"/>
      <c r="B1022" s="7"/>
      <c r="C1022" s="170"/>
      <c r="D1022" s="331">
        <v>1015</v>
      </c>
      <c r="E1022" s="544">
        <f>+DATE(YEAR(E1021),MONTH(E1021)-1,DAY(E1021))</f>
        <v>25569.041666666668</v>
      </c>
      <c r="F1022" s="333">
        <f>IF(DATE(YEAR($B$6),MONTH($B$6)+1,DAY(1))=E1022,1,IF(MONTH(E1022)=1,F1023*(1+$F$5),F1023))</f>
      </c>
      <c r="G1022" s="333">
        <f>IF('Simulador - 1º Pilar'!$E$99="Sí",IF('Aportaciones Poliza'!$B$13&lt;'Aportaciones Poliza'!E1022,0,F1022*$B$8/12),F1022*$B$8/12)</f>
      </c>
      <c r="H1022" s="333">
        <f>$H$5*G1022</f>
      </c>
      <c r="I1022" s="333"/>
      <c r="J1022" s="333">
        <f>(1+$M$5)^(D1022/12)*(H1022+IF(AND(F1022=1,F1023=0),$Q$4,0))</f>
      </c>
      <c r="K1022" s="333">
        <f>(1+$M$5)^(D1022/12)*(I1022)</f>
      </c>
      <c r="L1022" s="333">
        <f>K1022+J1022</f>
      </c>
      <c r="M1022" s="170"/>
      <c r="N1022" s="7"/>
      <c r="O1022" s="1"/>
      <c r="P1022" s="331">
        <f>D1022</f>
      </c>
      <c r="Q1022" s="169"/>
    </row>
    <row x14ac:dyDescent="0.25" r="1023" customHeight="1" ht="18.75">
      <c r="A1023" s="1"/>
      <c r="B1023" s="7"/>
      <c r="C1023" s="170"/>
      <c r="D1023" s="331">
        <v>1016</v>
      </c>
      <c r="E1023" s="544">
        <f>+DATE(YEAR(E1022),MONTH(E1022)-1,DAY(E1022))</f>
        <v>25569.041666666668</v>
      </c>
      <c r="F1023" s="333">
        <f>IF(DATE(YEAR($B$6),MONTH($B$6)+1,DAY(1))=E1023,1,IF(MONTH(E1023)=1,F1024*(1+$F$5),F1024))</f>
      </c>
      <c r="G1023" s="333">
        <f>IF('Simulador - 1º Pilar'!$E$99="Sí",IF('Aportaciones Poliza'!$B$13&lt;'Aportaciones Poliza'!E1023,0,F1023*$B$8/12),F1023*$B$8/12)</f>
      </c>
      <c r="H1023" s="333">
        <f>$H$5*G1023</f>
      </c>
      <c r="I1023" s="333"/>
      <c r="J1023" s="333">
        <f>(1+$M$5)^(D1023/12)*(H1023+IF(AND(F1023=1,F1024=0),$Q$4,0))</f>
      </c>
      <c r="K1023" s="333">
        <f>(1+$M$5)^(D1023/12)*(I1023)</f>
      </c>
      <c r="L1023" s="333">
        <f>K1023+J1023</f>
      </c>
      <c r="M1023" s="170"/>
      <c r="N1023" s="7"/>
      <c r="O1023" s="1"/>
      <c r="P1023" s="331">
        <f>D1023</f>
      </c>
      <c r="Q1023" s="169"/>
    </row>
    <row x14ac:dyDescent="0.25" r="1024" customHeight="1" ht="18.75">
      <c r="A1024" s="1"/>
      <c r="B1024" s="7"/>
      <c r="C1024" s="170"/>
      <c r="D1024" s="331">
        <v>1017</v>
      </c>
      <c r="E1024" s="544">
        <f>+DATE(YEAR(E1023),MONTH(E1023)-1,DAY(E1023))</f>
        <v>25569.041666666668</v>
      </c>
      <c r="F1024" s="333">
        <f>IF(DATE(YEAR($B$6),MONTH($B$6)+1,DAY(1))=E1024,1,IF(MONTH(E1024)=1,F1025*(1+$F$5),F1025))</f>
      </c>
      <c r="G1024" s="333">
        <f>IF('Simulador - 1º Pilar'!$E$99="Sí",IF('Aportaciones Poliza'!$B$13&lt;'Aportaciones Poliza'!E1024,0,F1024*$B$8/12),F1024*$B$8/12)</f>
      </c>
      <c r="H1024" s="333">
        <f>$H$5*G1024</f>
      </c>
      <c r="I1024" s="333"/>
      <c r="J1024" s="333">
        <f>(1+$M$5)^(D1024/12)*(H1024+IF(AND(F1024=1,F1025=0),$Q$4,0))</f>
      </c>
      <c r="K1024" s="333">
        <f>(1+$M$5)^(D1024/12)*(I1024)</f>
      </c>
      <c r="L1024" s="333">
        <f>K1024+J1024</f>
      </c>
      <c r="M1024" s="170"/>
      <c r="N1024" s="7"/>
      <c r="O1024" s="1"/>
      <c r="P1024" s="331">
        <f>D1024</f>
      </c>
      <c r="Q1024" s="169"/>
    </row>
    <row x14ac:dyDescent="0.25" r="1025" customHeight="1" ht="18.75">
      <c r="A1025" s="1"/>
      <c r="B1025" s="7"/>
      <c r="C1025" s="170"/>
      <c r="D1025" s="331">
        <v>1018</v>
      </c>
      <c r="E1025" s="544">
        <f>+DATE(YEAR(E1024),MONTH(E1024)-1,DAY(E1024))</f>
        <v>25569.041666666668</v>
      </c>
      <c r="F1025" s="333">
        <f>IF(DATE(YEAR($B$6),MONTH($B$6)+1,DAY(1))=E1025,1,IF(MONTH(E1025)=1,F1026*(1+$F$5),F1026))</f>
      </c>
      <c r="G1025" s="333">
        <f>IF('Simulador - 1º Pilar'!$E$99="Sí",IF('Aportaciones Poliza'!$B$13&lt;'Aportaciones Poliza'!E1025,0,F1025*$B$8/12),F1025*$B$8/12)</f>
      </c>
      <c r="H1025" s="333">
        <f>$H$5*G1025</f>
      </c>
      <c r="I1025" s="333"/>
      <c r="J1025" s="333">
        <f>(1+$M$5)^(D1025/12)*(H1025+IF(AND(F1025=1,F1026=0),$Q$4,0))</f>
      </c>
      <c r="K1025" s="333">
        <f>(1+$M$5)^(D1025/12)*(I1025)</f>
      </c>
      <c r="L1025" s="333">
        <f>K1025+J1025</f>
      </c>
      <c r="M1025" s="170"/>
      <c r="N1025" s="7"/>
      <c r="O1025" s="1"/>
      <c r="P1025" s="331">
        <f>D1025</f>
      </c>
      <c r="Q1025" s="169"/>
    </row>
    <row x14ac:dyDescent="0.25" r="1026" customHeight="1" ht="18.75">
      <c r="A1026" s="1"/>
      <c r="B1026" s="7"/>
      <c r="C1026" s="170"/>
      <c r="D1026" s="331">
        <v>1019</v>
      </c>
      <c r="E1026" s="544">
        <f>+DATE(YEAR(E1025),MONTH(E1025)-1,DAY(E1025))</f>
        <v>25569.041666666668</v>
      </c>
      <c r="F1026" s="333">
        <f>IF(DATE(YEAR($B$6),MONTH($B$6)+1,DAY(1))=E1026,1,IF(MONTH(E1026)=1,F1027*(1+$F$5),F1027))</f>
      </c>
      <c r="G1026" s="333">
        <f>IF('Simulador - 1º Pilar'!$E$99="Sí",IF('Aportaciones Poliza'!$B$13&lt;'Aportaciones Poliza'!E1026,0,F1026*$B$8/12),F1026*$B$8/12)</f>
      </c>
      <c r="H1026" s="333">
        <f>$H$5*G1026</f>
      </c>
      <c r="I1026" s="333"/>
      <c r="J1026" s="333">
        <f>(1+$M$5)^(D1026/12)*(H1026+IF(AND(F1026=1,F1027=0),$Q$4,0))</f>
      </c>
      <c r="K1026" s="333">
        <f>(1+$M$5)^(D1026/12)*(I1026)</f>
      </c>
      <c r="L1026" s="333">
        <f>K1026+J1026</f>
      </c>
      <c r="M1026" s="170"/>
      <c r="N1026" s="7"/>
      <c r="O1026" s="1"/>
      <c r="P1026" s="331">
        <f>D1026</f>
      </c>
      <c r="Q1026" s="169"/>
    </row>
    <row x14ac:dyDescent="0.25" r="1027" customHeight="1" ht="18.75">
      <c r="A1027" s="1"/>
      <c r="B1027" s="7"/>
      <c r="C1027" s="170"/>
      <c r="D1027" s="331">
        <v>1020</v>
      </c>
      <c r="E1027" s="544">
        <f>+DATE(YEAR(E1026),MONTH(E1026)-1,DAY(E1026))</f>
        <v>25569.041666666668</v>
      </c>
      <c r="F1027" s="333">
        <f>IF(DATE(YEAR($B$6),MONTH($B$6)+1,DAY(1))=E1027,1,IF(MONTH(E1027)=1,F1028*(1+$F$5),F1028))</f>
      </c>
      <c r="G1027" s="333">
        <f>IF('Simulador - 1º Pilar'!$E$99="Sí",IF('Aportaciones Poliza'!$B$13&lt;'Aportaciones Poliza'!E1027,0,F1027*$B$8/12),F1027*$B$8/12)</f>
      </c>
      <c r="H1027" s="333">
        <f>$H$5*G1027</f>
      </c>
      <c r="I1027" s="333"/>
      <c r="J1027" s="333">
        <f>(1+$M$5)^(D1027/12)*(H1027+IF(AND(F1027=1,F1028=0),$Q$4,0))</f>
      </c>
      <c r="K1027" s="333">
        <f>(1+$M$5)^(D1027/12)*(I1027)</f>
      </c>
      <c r="L1027" s="333">
        <f>K1027+J1027</f>
      </c>
      <c r="M1027" s="170"/>
      <c r="N1027" s="7"/>
      <c r="O1027" s="1"/>
      <c r="P1027" s="331">
        <f>D1027</f>
      </c>
      <c r="Q1027" s="169"/>
    </row>
    <row x14ac:dyDescent="0.25" r="1028" customHeight="1" ht="18.75">
      <c r="A1028" s="1"/>
      <c r="B1028" s="7"/>
      <c r="C1028" s="170"/>
      <c r="D1028" s="331">
        <v>1021</v>
      </c>
      <c r="E1028" s="544">
        <f>+DATE(YEAR(E1027),MONTH(E1027)-1,DAY(E1027))</f>
        <v>25569.041666666668</v>
      </c>
      <c r="F1028" s="333">
        <f>IF(DATE(YEAR($B$6),MONTH($B$6)+1,DAY(1))=E1028,1,IF(MONTH(E1028)=1,F1029*(1+$F$5),F1029))</f>
      </c>
      <c r="G1028" s="333">
        <f>IF('Simulador - 1º Pilar'!$E$99="Sí",IF('Aportaciones Poliza'!$B$13&lt;'Aportaciones Poliza'!E1028,0,F1028*$B$8/12),F1028*$B$8/12)</f>
      </c>
      <c r="H1028" s="333">
        <f>$H$5*G1028</f>
      </c>
      <c r="I1028" s="333"/>
      <c r="J1028" s="333">
        <f>(1+$M$5)^(D1028/12)*(H1028+IF(AND(F1028=1,F1029=0),$Q$4,0))</f>
      </c>
      <c r="K1028" s="333">
        <f>(1+$M$5)^(D1028/12)*(I1028)</f>
      </c>
      <c r="L1028" s="333">
        <f>K1028+J1028</f>
      </c>
      <c r="M1028" s="170"/>
      <c r="N1028" s="7"/>
      <c r="O1028" s="1"/>
      <c r="P1028" s="331">
        <f>D1028</f>
      </c>
      <c r="Q1028" s="169"/>
    </row>
    <row x14ac:dyDescent="0.25" r="1029" customHeight="1" ht="18.75">
      <c r="A1029" s="1"/>
      <c r="B1029" s="7"/>
      <c r="C1029" s="170"/>
      <c r="D1029" s="331">
        <v>1022</v>
      </c>
      <c r="E1029" s="544">
        <f>+DATE(YEAR(E1028),MONTH(E1028)-1,DAY(E1028))</f>
        <v>25569.041666666668</v>
      </c>
      <c r="F1029" s="333">
        <f>IF(DATE(YEAR($B$6),MONTH($B$6)+1,DAY(1))=E1029,1,IF(MONTH(E1029)=1,F1030*(1+$F$5),F1030))</f>
      </c>
      <c r="G1029" s="333">
        <f>IF('Simulador - 1º Pilar'!$E$99="Sí",IF('Aportaciones Poliza'!$B$13&lt;'Aportaciones Poliza'!E1029,0,F1029*$B$8/12),F1029*$B$8/12)</f>
      </c>
      <c r="H1029" s="333">
        <f>$H$5*G1029</f>
      </c>
      <c r="I1029" s="333"/>
      <c r="J1029" s="333">
        <f>(1+$M$5)^(D1029/12)*(H1029+IF(AND(F1029=1,F1030=0),$Q$4,0))</f>
      </c>
      <c r="K1029" s="333">
        <f>(1+$M$5)^(D1029/12)*(I1029)</f>
      </c>
      <c r="L1029" s="333">
        <f>K1029+J1029</f>
      </c>
      <c r="M1029" s="170"/>
      <c r="N1029" s="7"/>
      <c r="O1029" s="1"/>
      <c r="P1029" s="331">
        <f>D1029</f>
      </c>
      <c r="Q1029" s="169"/>
    </row>
    <row x14ac:dyDescent="0.25" r="1030" customHeight="1" ht="18.75">
      <c r="A1030" s="1"/>
      <c r="B1030" s="7"/>
      <c r="C1030" s="170"/>
      <c r="D1030" s="331">
        <v>1023</v>
      </c>
      <c r="E1030" s="544">
        <f>+DATE(YEAR(E1029),MONTH(E1029)-1,DAY(E1029))</f>
        <v>25569.041666666668</v>
      </c>
      <c r="F1030" s="333">
        <f>IF(DATE(YEAR($B$6),MONTH($B$6)+1,DAY(1))=E1030,1,IF(MONTH(E1030)=1,F1031*(1+$F$5),F1031))</f>
      </c>
      <c r="G1030" s="333">
        <f>IF('Simulador - 1º Pilar'!$E$99="Sí",IF('Aportaciones Poliza'!$B$13&lt;'Aportaciones Poliza'!E1030,0,F1030*$B$8/12),F1030*$B$8/12)</f>
      </c>
      <c r="H1030" s="333">
        <f>$H$5*G1030</f>
      </c>
      <c r="I1030" s="333"/>
      <c r="J1030" s="333">
        <f>(1+$M$5)^(D1030/12)*(H1030+IF(AND(F1030=1,F1031=0),$Q$4,0))</f>
      </c>
      <c r="K1030" s="333">
        <f>(1+$M$5)^(D1030/12)*(I1030)</f>
      </c>
      <c r="L1030" s="333">
        <f>K1030+J1030</f>
      </c>
      <c r="M1030" s="170"/>
      <c r="N1030" s="7"/>
      <c r="O1030" s="1"/>
      <c r="P1030" s="331">
        <f>D1030</f>
      </c>
      <c r="Q1030" s="169"/>
    </row>
    <row x14ac:dyDescent="0.25" r="1031" customHeight="1" ht="18.75">
      <c r="A1031" s="1"/>
      <c r="B1031" s="7"/>
      <c r="C1031" s="170"/>
      <c r="D1031" s="331">
        <v>1024</v>
      </c>
      <c r="E1031" s="544">
        <f>+DATE(YEAR(E1030),MONTH(E1030)-1,DAY(E1030))</f>
        <v>25569.041666666668</v>
      </c>
      <c r="F1031" s="333">
        <f>IF(DATE(YEAR($B$6),MONTH($B$6)+1,DAY(1))=E1031,1,IF(MONTH(E1031)=1,F1032*(1+$F$5),F1032))</f>
      </c>
      <c r="G1031" s="333">
        <f>IF('Simulador - 1º Pilar'!$E$99="Sí",IF('Aportaciones Poliza'!$B$13&lt;'Aportaciones Poliza'!E1031,0,F1031*$B$8/12),F1031*$B$8/12)</f>
      </c>
      <c r="H1031" s="333">
        <f>$H$5*G1031</f>
      </c>
      <c r="I1031" s="333"/>
      <c r="J1031" s="333">
        <f>(1+$M$5)^(D1031/12)*(H1031+IF(AND(F1031=1,F1032=0),$Q$4,0))</f>
      </c>
      <c r="K1031" s="333">
        <f>(1+$M$5)^(D1031/12)*(I1031)</f>
      </c>
      <c r="L1031" s="333">
        <f>K1031+J1031</f>
      </c>
      <c r="M1031" s="170"/>
      <c r="N1031" s="7"/>
      <c r="O1031" s="1"/>
      <c r="P1031" s="331">
        <f>D1031</f>
      </c>
      <c r="Q1031" s="169"/>
    </row>
    <row x14ac:dyDescent="0.25" r="1032" customHeight="1" ht="18.75">
      <c r="A1032" s="1"/>
      <c r="B1032" s="7"/>
      <c r="C1032" s="170"/>
      <c r="D1032" s="331">
        <v>1025</v>
      </c>
      <c r="E1032" s="544">
        <f>+DATE(YEAR(E1031),MONTH(E1031)-1,DAY(E1031))</f>
        <v>25569.041666666668</v>
      </c>
      <c r="F1032" s="333">
        <f>IF(DATE(YEAR($B$6),MONTH($B$6)+1,DAY(1))=E1032,1,IF(MONTH(E1032)=1,F1033*(1+$F$5),F1033))</f>
      </c>
      <c r="G1032" s="333">
        <f>IF('Simulador - 1º Pilar'!$E$99="Sí",IF('Aportaciones Poliza'!$B$13&lt;'Aportaciones Poliza'!E1032,0,F1032*$B$8/12),F1032*$B$8/12)</f>
      </c>
      <c r="H1032" s="333">
        <f>$H$5*G1032</f>
      </c>
      <c r="I1032" s="333"/>
      <c r="J1032" s="333">
        <f>(1+$M$5)^(D1032/12)*(H1032+IF(AND(F1032=1,F1033=0),$Q$4,0))</f>
      </c>
      <c r="K1032" s="333">
        <f>(1+$M$5)^(D1032/12)*(I1032)</f>
      </c>
      <c r="L1032" s="333">
        <f>K1032+J1032</f>
      </c>
      <c r="M1032" s="170"/>
      <c r="N1032" s="7"/>
      <c r="O1032" s="1"/>
      <c r="P1032" s="331">
        <f>D1032</f>
      </c>
      <c r="Q1032" s="169"/>
    </row>
    <row x14ac:dyDescent="0.25" r="1033" customHeight="1" ht="18.75">
      <c r="A1033" s="1"/>
      <c r="B1033" s="7"/>
      <c r="C1033" s="170"/>
      <c r="D1033" s="331">
        <v>1026</v>
      </c>
      <c r="E1033" s="544">
        <f>+DATE(YEAR(E1032),MONTH(E1032)-1,DAY(E1032))</f>
        <v>25569.041666666668</v>
      </c>
      <c r="F1033" s="333">
        <f>IF(DATE(YEAR($B$6),MONTH($B$6)+1,DAY(1))=E1033,1,IF(MONTH(E1033)=1,F1034*(1+$F$5),F1034))</f>
      </c>
      <c r="G1033" s="333">
        <f>IF('Simulador - 1º Pilar'!$E$99="Sí",IF('Aportaciones Poliza'!$B$13&lt;'Aportaciones Poliza'!E1033,0,F1033*$B$8/12),F1033*$B$8/12)</f>
      </c>
      <c r="H1033" s="333">
        <f>$H$5*G1033</f>
      </c>
      <c r="I1033" s="333"/>
      <c r="J1033" s="333">
        <f>(1+$M$5)^(D1033/12)*(H1033+IF(AND(F1033=1,F1034=0),$Q$4,0))</f>
      </c>
      <c r="K1033" s="333">
        <f>(1+$M$5)^(D1033/12)*(I1033)</f>
      </c>
      <c r="L1033" s="333">
        <f>K1033+J1033</f>
      </c>
      <c r="M1033" s="170"/>
      <c r="N1033" s="7"/>
      <c r="O1033" s="1"/>
      <c r="P1033" s="331">
        <f>D1033</f>
      </c>
      <c r="Q1033" s="169"/>
    </row>
    <row x14ac:dyDescent="0.25" r="1034" customHeight="1" ht="18.75">
      <c r="A1034" s="1"/>
      <c r="B1034" s="7"/>
      <c r="C1034" s="170"/>
      <c r="D1034" s="331">
        <v>1027</v>
      </c>
      <c r="E1034" s="544">
        <f>+DATE(YEAR(E1033),MONTH(E1033)-1,DAY(E1033))</f>
        <v>25569.041666666668</v>
      </c>
      <c r="F1034" s="333">
        <f>IF(DATE(YEAR($B$6),MONTH($B$6)+1,DAY(1))=E1034,1,IF(MONTH(E1034)=1,F1035*(1+$F$5),F1035))</f>
      </c>
      <c r="G1034" s="333">
        <f>IF('Simulador - 1º Pilar'!$E$99="Sí",IF('Aportaciones Poliza'!$B$13&lt;'Aportaciones Poliza'!E1034,0,F1034*$B$8/12),F1034*$B$8/12)</f>
      </c>
      <c r="H1034" s="333">
        <f>$H$5*G1034</f>
      </c>
      <c r="I1034" s="333"/>
      <c r="J1034" s="333">
        <f>(1+$M$5)^(D1034/12)*(H1034+IF(AND(F1034=1,F1035=0),$Q$4,0))</f>
      </c>
      <c r="K1034" s="333">
        <f>(1+$M$5)^(D1034/12)*(I1034)</f>
      </c>
      <c r="L1034" s="333">
        <f>K1034+J1034</f>
      </c>
      <c r="M1034" s="170"/>
      <c r="N1034" s="7"/>
      <c r="O1034" s="1"/>
      <c r="P1034" s="331">
        <f>D1034</f>
      </c>
      <c r="Q1034" s="169"/>
    </row>
    <row x14ac:dyDescent="0.25" r="1035" customHeight="1" ht="18.75">
      <c r="A1035" s="1"/>
      <c r="B1035" s="7"/>
      <c r="C1035" s="170"/>
      <c r="D1035" s="331">
        <v>1028</v>
      </c>
      <c r="E1035" s="544">
        <f>+DATE(YEAR(E1034),MONTH(E1034)-1,DAY(E1034))</f>
        <v>25569.041666666668</v>
      </c>
      <c r="F1035" s="333">
        <f>IF(DATE(YEAR($B$6),MONTH($B$6)+1,DAY(1))=E1035,1,IF(MONTH(E1035)=1,F1036*(1+$F$5),F1036))</f>
      </c>
      <c r="G1035" s="333">
        <f>IF('Simulador - 1º Pilar'!$E$99="Sí",IF('Aportaciones Poliza'!$B$13&lt;'Aportaciones Poliza'!E1035,0,F1035*$B$8/12),F1035*$B$8/12)</f>
      </c>
      <c r="H1035" s="333">
        <f>$H$5*G1035</f>
      </c>
      <c r="I1035" s="333"/>
      <c r="J1035" s="333">
        <f>(1+$M$5)^(D1035/12)*(H1035+IF(AND(F1035=1,F1036=0),$Q$4,0))</f>
      </c>
      <c r="K1035" s="333">
        <f>(1+$M$5)^(D1035/12)*(I1035)</f>
      </c>
      <c r="L1035" s="333">
        <f>K1035+J1035</f>
      </c>
      <c r="M1035" s="170"/>
      <c r="N1035" s="7"/>
      <c r="O1035" s="1"/>
      <c r="P1035" s="331">
        <f>D1035</f>
      </c>
      <c r="Q1035" s="169"/>
    </row>
    <row x14ac:dyDescent="0.25" r="1036" customHeight="1" ht="18.75">
      <c r="A1036" s="1"/>
      <c r="B1036" s="7"/>
      <c r="C1036" s="170"/>
      <c r="D1036" s="331">
        <v>1029</v>
      </c>
      <c r="E1036" s="544">
        <f>+DATE(YEAR(E1035),MONTH(E1035)-1,DAY(E1035))</f>
        <v>25569.041666666668</v>
      </c>
      <c r="F1036" s="333">
        <f>IF(DATE(YEAR($B$6),MONTH($B$6)+1,DAY(1))=E1036,1,IF(MONTH(E1036)=1,F1037*(1+$F$5),F1037))</f>
      </c>
      <c r="G1036" s="333">
        <f>IF('Simulador - 1º Pilar'!$E$99="Sí",IF('Aportaciones Poliza'!$B$13&lt;'Aportaciones Poliza'!E1036,0,F1036*$B$8/12),F1036*$B$8/12)</f>
      </c>
      <c r="H1036" s="333">
        <f>$H$5*G1036</f>
      </c>
      <c r="I1036" s="333"/>
      <c r="J1036" s="333">
        <f>(1+$M$5)^(D1036/12)*(H1036+IF(AND(F1036=1,F1037=0),$Q$4,0))</f>
      </c>
      <c r="K1036" s="333">
        <f>(1+$M$5)^(D1036/12)*(I1036)</f>
      </c>
      <c r="L1036" s="333">
        <f>K1036+J1036</f>
      </c>
      <c r="M1036" s="170"/>
      <c r="N1036" s="7"/>
      <c r="O1036" s="1"/>
      <c r="P1036" s="331">
        <f>D1036</f>
      </c>
      <c r="Q1036" s="169"/>
    </row>
    <row x14ac:dyDescent="0.25" r="1037" customHeight="1" ht="18.75">
      <c r="A1037" s="1"/>
      <c r="B1037" s="7"/>
      <c r="C1037" s="170"/>
      <c r="D1037" s="331">
        <v>1030</v>
      </c>
      <c r="E1037" s="544">
        <f>+DATE(YEAR(E1036),MONTH(E1036)-1,DAY(E1036))</f>
        <v>25569.041666666668</v>
      </c>
      <c r="F1037" s="333">
        <f>IF(DATE(YEAR($B$6),MONTH($B$6)+1,DAY(1))=E1037,1,IF(MONTH(E1037)=1,F1038*(1+$F$5),F1038))</f>
      </c>
      <c r="G1037" s="333">
        <f>IF('Simulador - 1º Pilar'!$E$99="Sí",IF('Aportaciones Poliza'!$B$13&lt;'Aportaciones Poliza'!E1037,0,F1037*$B$8/12),F1037*$B$8/12)</f>
      </c>
      <c r="H1037" s="333">
        <f>$H$5*G1037</f>
      </c>
      <c r="I1037" s="333"/>
      <c r="J1037" s="333">
        <f>(1+$M$5)^(D1037/12)*(H1037+IF(AND(F1037=1,F1038=0),$Q$4,0))</f>
      </c>
      <c r="K1037" s="333">
        <f>(1+$M$5)^(D1037/12)*(I1037)</f>
      </c>
      <c r="L1037" s="333">
        <f>K1037+J1037</f>
      </c>
      <c r="M1037" s="170"/>
      <c r="N1037" s="7"/>
      <c r="O1037" s="1"/>
      <c r="P1037" s="331">
        <f>D1037</f>
      </c>
      <c r="Q1037" s="169"/>
    </row>
    <row x14ac:dyDescent="0.25" r="1038" customHeight="1" ht="18.75">
      <c r="A1038" s="1"/>
      <c r="B1038" s="7"/>
      <c r="C1038" s="170"/>
      <c r="D1038" s="331">
        <v>1031</v>
      </c>
      <c r="E1038" s="544">
        <f>+DATE(YEAR(E1037),MONTH(E1037)-1,DAY(E1037))</f>
        <v>25569.041666666668</v>
      </c>
      <c r="F1038" s="333">
        <f>IF(DATE(YEAR($B$6),MONTH($B$6)+1,DAY(1))=E1038,1,IF(MONTH(E1038)=1,F1039*(1+$F$5),F1039))</f>
      </c>
      <c r="G1038" s="333">
        <f>IF('Simulador - 1º Pilar'!$E$99="Sí",IF('Aportaciones Poliza'!$B$13&lt;'Aportaciones Poliza'!E1038,0,F1038*$B$8/12),F1038*$B$8/12)</f>
      </c>
      <c r="H1038" s="333">
        <f>$H$5*G1038</f>
      </c>
      <c r="I1038" s="333"/>
      <c r="J1038" s="333">
        <f>(1+$M$5)^(D1038/12)*(H1038+IF(AND(F1038=1,F1039=0),$Q$4,0))</f>
      </c>
      <c r="K1038" s="333">
        <f>(1+$M$5)^(D1038/12)*(I1038)</f>
      </c>
      <c r="L1038" s="333">
        <f>K1038+J1038</f>
      </c>
      <c r="M1038" s="170"/>
      <c r="N1038" s="7"/>
      <c r="O1038" s="1"/>
      <c r="P1038" s="331">
        <f>D1038</f>
      </c>
      <c r="Q1038" s="169"/>
    </row>
    <row x14ac:dyDescent="0.25" r="1039" customHeight="1" ht="18.75">
      <c r="A1039" s="1"/>
      <c r="B1039" s="7"/>
      <c r="C1039" s="170"/>
      <c r="D1039" s="331">
        <v>1032</v>
      </c>
      <c r="E1039" s="544">
        <f>+DATE(YEAR(E1038),MONTH(E1038)-1,DAY(E1038))</f>
        <v>25569.041666666668</v>
      </c>
      <c r="F1039" s="333">
        <f>IF(DATE(YEAR($B$6),MONTH($B$6)+1,DAY(1))=E1039,1,IF(MONTH(E1039)=1,F1040*(1+$F$5),F1040))</f>
      </c>
      <c r="G1039" s="333">
        <f>IF('Simulador - 1º Pilar'!$E$99="Sí",IF('Aportaciones Poliza'!$B$13&lt;'Aportaciones Poliza'!E1039,0,F1039*$B$8/12),F1039*$B$8/12)</f>
      </c>
      <c r="H1039" s="333">
        <f>$H$5*G1039</f>
      </c>
      <c r="I1039" s="333"/>
      <c r="J1039" s="333">
        <f>(1+$M$5)^(D1039/12)*(H1039+IF(AND(F1039=1,F1040=0),$Q$4,0))</f>
      </c>
      <c r="K1039" s="333">
        <f>(1+$M$5)^(D1039/12)*(I1039)</f>
      </c>
      <c r="L1039" s="333">
        <f>K1039+J1039</f>
      </c>
      <c r="M1039" s="170"/>
      <c r="N1039" s="7"/>
      <c r="O1039" s="1"/>
      <c r="P1039" s="331">
        <f>D1039</f>
      </c>
      <c r="Q1039" s="169"/>
    </row>
    <row x14ac:dyDescent="0.25" r="1040" customHeight="1" ht="18.75">
      <c r="A1040" s="1"/>
      <c r="B1040" s="7"/>
      <c r="C1040" s="170"/>
      <c r="D1040" s="331">
        <v>1033</v>
      </c>
      <c r="E1040" s="544">
        <f>+DATE(YEAR(E1039),MONTH(E1039)-1,DAY(E1039))</f>
        <v>25569.041666666668</v>
      </c>
      <c r="F1040" s="333">
        <f>IF(DATE(YEAR($B$6),MONTH($B$6)+1,DAY(1))=E1040,1,IF(MONTH(E1040)=1,F1041*(1+$F$5),F1041))</f>
      </c>
      <c r="G1040" s="333">
        <f>IF('Simulador - 1º Pilar'!$E$99="Sí",IF('Aportaciones Poliza'!$B$13&lt;'Aportaciones Poliza'!E1040,0,F1040*$B$8/12),F1040*$B$8/12)</f>
      </c>
      <c r="H1040" s="333">
        <f>$H$5*G1040</f>
      </c>
      <c r="I1040" s="333"/>
      <c r="J1040" s="333">
        <f>(1+$M$5)^(D1040/12)*(H1040+IF(AND(F1040=1,F1041=0),$Q$4,0))</f>
      </c>
      <c r="K1040" s="333">
        <f>(1+$M$5)^(D1040/12)*(I1040)</f>
      </c>
      <c r="L1040" s="333">
        <f>K1040+J1040</f>
      </c>
      <c r="M1040" s="170"/>
      <c r="N1040" s="7"/>
      <c r="O1040" s="1"/>
      <c r="P1040" s="331">
        <f>D1040</f>
      </c>
      <c r="Q1040" s="169"/>
    </row>
    <row x14ac:dyDescent="0.25" r="1041" customHeight="1" ht="18.75">
      <c r="A1041" s="1"/>
      <c r="B1041" s="7"/>
      <c r="C1041" s="170"/>
      <c r="D1041" s="331">
        <v>1034</v>
      </c>
      <c r="E1041" s="544">
        <f>+DATE(YEAR(E1040),MONTH(E1040)-1,DAY(E1040))</f>
        <v>25569.041666666668</v>
      </c>
      <c r="F1041" s="333">
        <f>IF(DATE(YEAR($B$6),MONTH($B$6)+1,DAY(1))=E1041,1,IF(MONTH(E1041)=1,F1042*(1+$F$5),F1042))</f>
      </c>
      <c r="G1041" s="333">
        <f>IF('Simulador - 1º Pilar'!$E$99="Sí",IF('Aportaciones Poliza'!$B$13&lt;'Aportaciones Poliza'!E1041,0,F1041*$B$8/12),F1041*$B$8/12)</f>
      </c>
      <c r="H1041" s="333">
        <f>$H$5*G1041</f>
      </c>
      <c r="I1041" s="333"/>
      <c r="J1041" s="333">
        <f>(1+$M$5)^(D1041/12)*(H1041+IF(AND(F1041=1,F1042=0),$Q$4,0))</f>
      </c>
      <c r="K1041" s="333">
        <f>(1+$M$5)^(D1041/12)*(I1041)</f>
      </c>
      <c r="L1041" s="333">
        <f>K1041+J1041</f>
      </c>
      <c r="M1041" s="170"/>
      <c r="N1041" s="7"/>
      <c r="O1041" s="1"/>
      <c r="P1041" s="331">
        <f>D1041</f>
      </c>
      <c r="Q1041" s="169"/>
    </row>
    <row x14ac:dyDescent="0.25" r="1042" customHeight="1" ht="18.75">
      <c r="A1042" s="1"/>
      <c r="B1042" s="7"/>
      <c r="C1042" s="170"/>
      <c r="D1042" s="331">
        <v>1035</v>
      </c>
      <c r="E1042" s="544">
        <f>+DATE(YEAR(E1041),MONTH(E1041)-1,DAY(E1041))</f>
        <v>25569.041666666668</v>
      </c>
      <c r="F1042" s="333">
        <f>IF(DATE(YEAR($B$6),MONTH($B$6)+1,DAY(1))=E1042,1,IF(MONTH(E1042)=1,F1043*(1+$F$5),F1043))</f>
      </c>
      <c r="G1042" s="333">
        <f>IF('Simulador - 1º Pilar'!$E$99="Sí",IF('Aportaciones Poliza'!$B$13&lt;'Aportaciones Poliza'!E1042,0,F1042*$B$8/12),F1042*$B$8/12)</f>
      </c>
      <c r="H1042" s="333">
        <f>$H$5*G1042</f>
      </c>
      <c r="I1042" s="333"/>
      <c r="J1042" s="333">
        <f>(1+$M$5)^(D1042/12)*(H1042+IF(AND(F1042=1,F1043=0),$Q$4,0))</f>
      </c>
      <c r="K1042" s="333">
        <f>(1+$M$5)^(D1042/12)*(I1042)</f>
      </c>
      <c r="L1042" s="333">
        <f>K1042+J1042</f>
      </c>
      <c r="M1042" s="170"/>
      <c r="N1042" s="7"/>
      <c r="O1042" s="1"/>
      <c r="P1042" s="331">
        <f>D1042</f>
      </c>
      <c r="Q1042" s="169"/>
    </row>
    <row x14ac:dyDescent="0.25" r="1043" customHeight="1" ht="18.75">
      <c r="A1043" s="1"/>
      <c r="B1043" s="7"/>
      <c r="C1043" s="170"/>
      <c r="D1043" s="331">
        <v>1036</v>
      </c>
      <c r="E1043" s="544">
        <f>+DATE(YEAR(E1042),MONTH(E1042)-1,DAY(E1042))</f>
        <v>25569.041666666668</v>
      </c>
      <c r="F1043" s="333">
        <f>IF(DATE(YEAR($B$6),MONTH($B$6)+1,DAY(1))=E1043,1,IF(MONTH(E1043)=1,F1044*(1+$F$5),F1044))</f>
      </c>
      <c r="G1043" s="333">
        <f>IF('Simulador - 1º Pilar'!$E$99="Sí",IF('Aportaciones Poliza'!$B$13&lt;'Aportaciones Poliza'!E1043,0,F1043*$B$8/12),F1043*$B$8/12)</f>
      </c>
      <c r="H1043" s="333">
        <f>$H$5*G1043</f>
      </c>
      <c r="I1043" s="333"/>
      <c r="J1043" s="333">
        <f>(1+$M$5)^(D1043/12)*(H1043+IF(AND(F1043=1,F1044=0),$Q$4,0))</f>
      </c>
      <c r="K1043" s="333">
        <f>(1+$M$5)^(D1043/12)*(I1043)</f>
      </c>
      <c r="L1043" s="333">
        <f>K1043+J1043</f>
      </c>
      <c r="M1043" s="170"/>
      <c r="N1043" s="7"/>
      <c r="O1043" s="1"/>
      <c r="P1043" s="331">
        <f>D1043</f>
      </c>
      <c r="Q1043" s="169"/>
    </row>
    <row x14ac:dyDescent="0.25" r="1044" customHeight="1" ht="18.75">
      <c r="A1044" s="1"/>
      <c r="B1044" s="7"/>
      <c r="C1044" s="170"/>
      <c r="D1044" s="331">
        <v>1037</v>
      </c>
      <c r="E1044" s="544">
        <f>+DATE(YEAR(E1043),MONTH(E1043)-1,DAY(E1043))</f>
        <v>25569.041666666668</v>
      </c>
      <c r="F1044" s="333">
        <f>IF(DATE(YEAR($B$6),MONTH($B$6)+1,DAY(1))=E1044,1,IF(MONTH(E1044)=1,F1045*(1+$F$5),F1045))</f>
      </c>
      <c r="G1044" s="333">
        <f>IF('Simulador - 1º Pilar'!$E$99="Sí",IF('Aportaciones Poliza'!$B$13&lt;'Aportaciones Poliza'!E1044,0,F1044*$B$8/12),F1044*$B$8/12)</f>
      </c>
      <c r="H1044" s="333">
        <f>$H$5*G1044</f>
      </c>
      <c r="I1044" s="333"/>
      <c r="J1044" s="333">
        <f>(1+$M$5)^(D1044/12)*(H1044+IF(AND(F1044=1,F1045=0),$Q$4,0))</f>
      </c>
      <c r="K1044" s="333">
        <f>(1+$M$5)^(D1044/12)*(I1044)</f>
      </c>
      <c r="L1044" s="333">
        <f>K1044+J1044</f>
      </c>
      <c r="M1044" s="170"/>
      <c r="N1044" s="7"/>
      <c r="O1044" s="1"/>
      <c r="P1044" s="331">
        <f>D1044</f>
      </c>
      <c r="Q1044" s="169"/>
    </row>
    <row x14ac:dyDescent="0.25" r="1045" customHeight="1" ht="18.75">
      <c r="A1045" s="1"/>
      <c r="B1045" s="7"/>
      <c r="C1045" s="170"/>
      <c r="D1045" s="331">
        <v>1038</v>
      </c>
      <c r="E1045" s="544">
        <f>+DATE(YEAR(E1044),MONTH(E1044)-1,DAY(E1044))</f>
        <v>25569.041666666668</v>
      </c>
      <c r="F1045" s="333">
        <f>IF(DATE(YEAR($B$6),MONTH($B$6)+1,DAY(1))=E1045,1,IF(MONTH(E1045)=1,F1046*(1+$F$5),F1046))</f>
      </c>
      <c r="G1045" s="333">
        <f>IF('Simulador - 1º Pilar'!$E$99="Sí",IF('Aportaciones Poliza'!$B$13&lt;'Aportaciones Poliza'!E1045,0,F1045*$B$8/12),F1045*$B$8/12)</f>
      </c>
      <c r="H1045" s="333">
        <f>$H$5*G1045</f>
      </c>
      <c r="I1045" s="333"/>
      <c r="J1045" s="333">
        <f>(1+$M$5)^(D1045/12)*(H1045+IF(AND(F1045=1,F1046=0),$Q$4,0))</f>
      </c>
      <c r="K1045" s="333">
        <f>(1+$M$5)^(D1045/12)*(I1045)</f>
      </c>
      <c r="L1045" s="333">
        <f>K1045+J1045</f>
      </c>
      <c r="M1045" s="170"/>
      <c r="N1045" s="7"/>
      <c r="O1045" s="1"/>
      <c r="P1045" s="331">
        <f>D1045</f>
      </c>
      <c r="Q1045" s="169"/>
    </row>
    <row x14ac:dyDescent="0.25" r="1046" customHeight="1" ht="18.75">
      <c r="A1046" s="1"/>
      <c r="B1046" s="7"/>
      <c r="C1046" s="170"/>
      <c r="D1046" s="331">
        <v>1039</v>
      </c>
      <c r="E1046" s="544">
        <f>+DATE(YEAR(E1045),MONTH(E1045)-1,DAY(E1045))</f>
        <v>25569.041666666668</v>
      </c>
      <c r="F1046" s="333">
        <f>IF(DATE(YEAR($B$6),MONTH($B$6)+1,DAY(1))=E1046,1,IF(MONTH(E1046)=1,F1047*(1+$F$5),F1047))</f>
      </c>
      <c r="G1046" s="333">
        <f>IF('Simulador - 1º Pilar'!$E$99="Sí",IF('Aportaciones Poliza'!$B$13&lt;'Aportaciones Poliza'!E1046,0,F1046*$B$8/12),F1046*$B$8/12)</f>
      </c>
      <c r="H1046" s="333">
        <f>$H$5*G1046</f>
      </c>
      <c r="I1046" s="333"/>
      <c r="J1046" s="333">
        <f>(1+$M$5)^(D1046/12)*(H1046+IF(AND(F1046=1,F1047=0),$Q$4,0))</f>
      </c>
      <c r="K1046" s="333">
        <f>(1+$M$5)^(D1046/12)*(I1046)</f>
      </c>
      <c r="L1046" s="333">
        <f>K1046+J1046</f>
      </c>
      <c r="M1046" s="170"/>
      <c r="N1046" s="7"/>
      <c r="O1046" s="1"/>
      <c r="P1046" s="331">
        <f>D1046</f>
      </c>
      <c r="Q1046" s="169"/>
    </row>
    <row x14ac:dyDescent="0.25" r="1047" customHeight="1" ht="18.75">
      <c r="A1047" s="1"/>
      <c r="B1047" s="7"/>
      <c r="C1047" s="170"/>
      <c r="D1047" s="331">
        <v>1040</v>
      </c>
      <c r="E1047" s="544">
        <f>+DATE(YEAR(E1046),MONTH(E1046)-1,DAY(E1046))</f>
        <v>25569.041666666668</v>
      </c>
      <c r="F1047" s="333">
        <f>IF(DATE(YEAR($B$6),MONTH($B$6)+1,DAY(1))=E1047,1,IF(MONTH(E1047)=1,F1048*(1+$F$5),F1048))</f>
      </c>
      <c r="G1047" s="333">
        <f>IF('Simulador - 1º Pilar'!$E$99="Sí",IF('Aportaciones Poliza'!$B$13&lt;'Aportaciones Poliza'!E1047,0,F1047*$B$8/12),F1047*$B$8/12)</f>
      </c>
      <c r="H1047" s="333">
        <f>$H$5*G1047</f>
      </c>
      <c r="I1047" s="333"/>
      <c r="J1047" s="333">
        <f>(1+$M$5)^(D1047/12)*(H1047+IF(AND(F1047=1,F1048=0),$Q$4,0))</f>
      </c>
      <c r="K1047" s="333">
        <f>(1+$M$5)^(D1047/12)*(I1047)</f>
      </c>
      <c r="L1047" s="333">
        <f>K1047+J1047</f>
      </c>
      <c r="M1047" s="170"/>
      <c r="N1047" s="7"/>
      <c r="O1047" s="1"/>
      <c r="P1047" s="331">
        <f>D1047</f>
      </c>
      <c r="Q1047" s="169"/>
    </row>
    <row x14ac:dyDescent="0.25" r="1048" customHeight="1" ht="18.75">
      <c r="A1048" s="1"/>
      <c r="B1048" s="7"/>
      <c r="C1048" s="170"/>
      <c r="D1048" s="331">
        <v>1041</v>
      </c>
      <c r="E1048" s="544">
        <f>+DATE(YEAR(E1047),MONTH(E1047)-1,DAY(E1047))</f>
        <v>25569.041666666668</v>
      </c>
      <c r="F1048" s="333">
        <f>IF(DATE(YEAR($B$6),MONTH($B$6)+1,DAY(1))=E1048,1,IF(MONTH(E1048)=1,F1049*(1+$F$5),F1049))</f>
      </c>
      <c r="G1048" s="333">
        <f>IF('Simulador - 1º Pilar'!$E$99="Sí",IF('Aportaciones Poliza'!$B$13&lt;'Aportaciones Poliza'!E1048,0,F1048*$B$8/12),F1048*$B$8/12)</f>
      </c>
      <c r="H1048" s="333">
        <f>$H$5*G1048</f>
      </c>
      <c r="I1048" s="333"/>
      <c r="J1048" s="333">
        <f>(1+$M$5)^(D1048/12)*(H1048+IF(AND(F1048=1,F1049=0),$Q$4,0))</f>
      </c>
      <c r="K1048" s="333">
        <f>(1+$M$5)^(D1048/12)*(I1048)</f>
      </c>
      <c r="L1048" s="333">
        <f>K1048+J1048</f>
      </c>
      <c r="M1048" s="170"/>
      <c r="N1048" s="7"/>
      <c r="O1048" s="1"/>
      <c r="P1048" s="331">
        <f>D1048</f>
      </c>
      <c r="Q1048" s="169"/>
    </row>
    <row x14ac:dyDescent="0.25" r="1049" customHeight="1" ht="18.75">
      <c r="A1049" s="1"/>
      <c r="B1049" s="7"/>
      <c r="C1049" s="170"/>
      <c r="D1049" s="331">
        <v>1042</v>
      </c>
      <c r="E1049" s="544">
        <f>+DATE(YEAR(E1048),MONTH(E1048)-1,DAY(E1048))</f>
        <v>25569.041666666668</v>
      </c>
      <c r="F1049" s="333">
        <f>IF(DATE(YEAR($B$6),MONTH($B$6)+1,DAY(1))=E1049,1,IF(MONTH(E1049)=1,F1050*(1+$F$5),F1050))</f>
      </c>
      <c r="G1049" s="333">
        <f>IF('Simulador - 1º Pilar'!$E$99="Sí",IF('Aportaciones Poliza'!$B$13&lt;'Aportaciones Poliza'!E1049,0,F1049*$B$8/12),F1049*$B$8/12)</f>
      </c>
      <c r="H1049" s="333">
        <f>$H$5*G1049</f>
      </c>
      <c r="I1049" s="333"/>
      <c r="J1049" s="333">
        <f>(1+$M$5)^(D1049/12)*(H1049+IF(AND(F1049=1,F1050=0),$Q$4,0))</f>
      </c>
      <c r="K1049" s="333">
        <f>(1+$M$5)^(D1049/12)*(I1049)</f>
      </c>
      <c r="L1049" s="333">
        <f>K1049+J1049</f>
      </c>
      <c r="M1049" s="170"/>
      <c r="N1049" s="7"/>
      <c r="O1049" s="1"/>
      <c r="P1049" s="331">
        <f>D1049</f>
      </c>
      <c r="Q1049" s="169"/>
    </row>
    <row x14ac:dyDescent="0.25" r="1050" customHeight="1" ht="18.75">
      <c r="A1050" s="1"/>
      <c r="B1050" s="7"/>
      <c r="C1050" s="170"/>
      <c r="D1050" s="331">
        <v>1043</v>
      </c>
      <c r="E1050" s="544">
        <f>+DATE(YEAR(E1049),MONTH(E1049)-1,DAY(E1049))</f>
        <v>25569.041666666668</v>
      </c>
      <c r="F1050" s="333">
        <f>IF(DATE(YEAR($B$6),MONTH($B$6)+1,DAY(1))=E1050,1,IF(MONTH(E1050)=1,F1051*(1+$F$5),F1051))</f>
      </c>
      <c r="G1050" s="333">
        <f>IF('Simulador - 1º Pilar'!$E$99="Sí",IF('Aportaciones Poliza'!$B$13&lt;'Aportaciones Poliza'!E1050,0,F1050*$B$8/12),F1050*$B$8/12)</f>
      </c>
      <c r="H1050" s="333">
        <f>$H$5*G1050</f>
      </c>
      <c r="I1050" s="333"/>
      <c r="J1050" s="333">
        <f>(1+$M$5)^(D1050/12)*(H1050+IF(AND(F1050=1,F1051=0),$Q$4,0))</f>
      </c>
      <c r="K1050" s="333">
        <f>(1+$M$5)^(D1050/12)*(I1050)</f>
      </c>
      <c r="L1050" s="333">
        <f>K1050+J1050</f>
      </c>
      <c r="M1050" s="170"/>
      <c r="N1050" s="7"/>
      <c r="O1050" s="1"/>
      <c r="P1050" s="331">
        <f>D1050</f>
      </c>
      <c r="Q1050" s="169"/>
    </row>
    <row x14ac:dyDescent="0.25" r="1051" customHeight="1" ht="18.75">
      <c r="A1051" s="1"/>
      <c r="B1051" s="7"/>
      <c r="C1051" s="170"/>
      <c r="D1051" s="331">
        <v>1044</v>
      </c>
      <c r="E1051" s="544">
        <f>+DATE(YEAR(E1050),MONTH(E1050)-1,DAY(E1050))</f>
        <v>25569.041666666668</v>
      </c>
      <c r="F1051" s="333">
        <f>IF(DATE(YEAR($B$6),MONTH($B$6)+1,DAY(1))=E1051,1,IF(MONTH(E1051)=1,F1052*(1+$F$5),F1052))</f>
      </c>
      <c r="G1051" s="333">
        <f>IF('Simulador - 1º Pilar'!$E$99="Sí",IF('Aportaciones Poliza'!$B$13&lt;'Aportaciones Poliza'!E1051,0,F1051*$B$8/12),F1051*$B$8/12)</f>
      </c>
      <c r="H1051" s="333">
        <f>$H$5*G1051</f>
      </c>
      <c r="I1051" s="333"/>
      <c r="J1051" s="333">
        <f>(1+$M$5)^(D1051/12)*(H1051+IF(AND(F1051=1,F1052=0),$Q$4,0))</f>
      </c>
      <c r="K1051" s="333">
        <f>(1+$M$5)^(D1051/12)*(I1051)</f>
      </c>
      <c r="L1051" s="333">
        <f>K1051+J1051</f>
      </c>
      <c r="M1051" s="170"/>
      <c r="N1051" s="7"/>
      <c r="O1051" s="1"/>
      <c r="P1051" s="331">
        <f>D1051</f>
      </c>
      <c r="Q1051" s="169"/>
    </row>
    <row x14ac:dyDescent="0.25" r="1052" customHeight="1" ht="18.75">
      <c r="A1052" s="1"/>
      <c r="B1052" s="7"/>
      <c r="C1052" s="170"/>
      <c r="D1052" s="331">
        <v>1045</v>
      </c>
      <c r="E1052" s="544">
        <f>+DATE(YEAR(E1051),MONTH(E1051)-1,DAY(E1051))</f>
        <v>25569.041666666668</v>
      </c>
      <c r="F1052" s="333">
        <f>IF(DATE(YEAR($B$6),MONTH($B$6)+1,DAY(1))=E1052,1,IF(MONTH(E1052)=1,F1053*(1+$F$5),F1053))</f>
      </c>
      <c r="G1052" s="333">
        <f>IF('Simulador - 1º Pilar'!$E$99="Sí",IF('Aportaciones Poliza'!$B$13&lt;'Aportaciones Poliza'!E1052,0,F1052*$B$8/12),F1052*$B$8/12)</f>
      </c>
      <c r="H1052" s="333">
        <f>$H$5*G1052</f>
      </c>
      <c r="I1052" s="333"/>
      <c r="J1052" s="333">
        <f>(1+$M$5)^(D1052/12)*(H1052+IF(AND(F1052=1,F1053=0),$Q$4,0))</f>
      </c>
      <c r="K1052" s="333">
        <f>(1+$M$5)^(D1052/12)*(I1052)</f>
      </c>
      <c r="L1052" s="333">
        <f>K1052+J1052</f>
      </c>
      <c r="M1052" s="170"/>
      <c r="N1052" s="7"/>
      <c r="O1052" s="1"/>
      <c r="P1052" s="331">
        <f>D1052</f>
      </c>
      <c r="Q1052" s="169"/>
    </row>
    <row x14ac:dyDescent="0.25" r="1053" customHeight="1" ht="18.75">
      <c r="A1053" s="1"/>
      <c r="B1053" s="7"/>
      <c r="C1053" s="170"/>
      <c r="D1053" s="331">
        <v>1046</v>
      </c>
      <c r="E1053" s="544">
        <f>+DATE(YEAR(E1052),MONTH(E1052)-1,DAY(E1052))</f>
        <v>25569.041666666668</v>
      </c>
      <c r="F1053" s="333">
        <f>IF(DATE(YEAR($B$6),MONTH($B$6)+1,DAY(1))=E1053,1,IF(MONTH(E1053)=1,F1054*(1+$F$5),F1054))</f>
      </c>
      <c r="G1053" s="333">
        <f>IF('Simulador - 1º Pilar'!$E$99="Sí",IF('Aportaciones Poliza'!$B$13&lt;'Aportaciones Poliza'!E1053,0,F1053*$B$8/12),F1053*$B$8/12)</f>
      </c>
      <c r="H1053" s="333">
        <f>$H$5*G1053</f>
      </c>
      <c r="I1053" s="333"/>
      <c r="J1053" s="333">
        <f>(1+$M$5)^(D1053/12)*(H1053+IF(AND(F1053=1,F1054=0),$Q$4,0))</f>
      </c>
      <c r="K1053" s="333">
        <f>(1+$M$5)^(D1053/12)*(I1053)</f>
      </c>
      <c r="L1053" s="333">
        <f>K1053+J1053</f>
      </c>
      <c r="M1053" s="170"/>
      <c r="N1053" s="7"/>
      <c r="O1053" s="1"/>
      <c r="P1053" s="331">
        <f>D1053</f>
      </c>
      <c r="Q1053" s="169"/>
    </row>
    <row x14ac:dyDescent="0.25" r="1054" customHeight="1" ht="18.75">
      <c r="A1054" s="1"/>
      <c r="B1054" s="7"/>
      <c r="C1054" s="170"/>
      <c r="D1054" s="331">
        <v>1047</v>
      </c>
      <c r="E1054" s="544">
        <f>+DATE(YEAR(E1053),MONTH(E1053)-1,DAY(E1053))</f>
        <v>25569.041666666668</v>
      </c>
      <c r="F1054" s="333">
        <f>IF(DATE(YEAR($B$6),MONTH($B$6)+1,DAY(1))=E1054,1,IF(MONTH(E1054)=1,F1055*(1+$F$5),F1055))</f>
      </c>
      <c r="G1054" s="333">
        <f>IF('Simulador - 1º Pilar'!$E$99="Sí",IF('Aportaciones Poliza'!$B$13&lt;'Aportaciones Poliza'!E1054,0,F1054*$B$8/12),F1054*$B$8/12)</f>
      </c>
      <c r="H1054" s="333">
        <f>$H$5*G1054</f>
      </c>
      <c r="I1054" s="333"/>
      <c r="J1054" s="333">
        <f>(1+$M$5)^(D1054/12)*(H1054+IF(AND(F1054=1,F1055=0),$Q$4,0))</f>
      </c>
      <c r="K1054" s="333">
        <f>(1+$M$5)^(D1054/12)*(I1054)</f>
      </c>
      <c r="L1054" s="333">
        <f>K1054+J1054</f>
      </c>
      <c r="M1054" s="170"/>
      <c r="N1054" s="7"/>
      <c r="O1054" s="1"/>
      <c r="P1054" s="331">
        <f>D1054</f>
      </c>
      <c r="Q1054" s="169"/>
    </row>
    <row x14ac:dyDescent="0.25" r="1055" customHeight="1" ht="18.75">
      <c r="A1055" s="1"/>
      <c r="B1055" s="7"/>
      <c r="C1055" s="170"/>
      <c r="D1055" s="331">
        <v>1048</v>
      </c>
      <c r="E1055" s="544">
        <f>+DATE(YEAR(E1054),MONTH(E1054)-1,DAY(E1054))</f>
        <v>25569.041666666668</v>
      </c>
      <c r="F1055" s="333">
        <f>IF(DATE(YEAR($B$6),MONTH($B$6)+1,DAY(1))=E1055,1,IF(MONTH(E1055)=1,F1056*(1+$F$5),F1056))</f>
      </c>
      <c r="G1055" s="333">
        <f>IF('Simulador - 1º Pilar'!$E$99="Sí",IF('Aportaciones Poliza'!$B$13&lt;'Aportaciones Poliza'!E1055,0,F1055*$B$8/12),F1055*$B$8/12)</f>
      </c>
      <c r="H1055" s="333">
        <f>$H$5*G1055</f>
      </c>
      <c r="I1055" s="333"/>
      <c r="J1055" s="333">
        <f>(1+$M$5)^(D1055/12)*(H1055+IF(AND(F1055=1,F1056=0),$Q$4,0))</f>
      </c>
      <c r="K1055" s="333">
        <f>(1+$M$5)^(D1055/12)*(I1055)</f>
      </c>
      <c r="L1055" s="333">
        <f>K1055+J1055</f>
      </c>
      <c r="M1055" s="170"/>
      <c r="N1055" s="7"/>
      <c r="O1055" s="1"/>
      <c r="P1055" s="331">
        <f>D1055</f>
      </c>
      <c r="Q1055" s="169"/>
    </row>
    <row x14ac:dyDescent="0.25" r="1056" customHeight="1" ht="18.75">
      <c r="A1056" s="1"/>
      <c r="B1056" s="7"/>
      <c r="C1056" s="170"/>
      <c r="D1056" s="331">
        <v>1049</v>
      </c>
      <c r="E1056" s="544">
        <f>+DATE(YEAR(E1055),MONTH(E1055)-1,DAY(E1055))</f>
        <v>25569.041666666668</v>
      </c>
      <c r="F1056" s="333">
        <f>IF(DATE(YEAR($B$6),MONTH($B$6)+1,DAY(1))=E1056,1,IF(MONTH(E1056)=1,F1057*(1+$F$5),F1057))</f>
      </c>
      <c r="G1056" s="333">
        <f>IF('Simulador - 1º Pilar'!$E$99="Sí",IF('Aportaciones Poliza'!$B$13&lt;'Aportaciones Poliza'!E1056,0,F1056*$B$8/12),F1056*$B$8/12)</f>
      </c>
      <c r="H1056" s="333">
        <f>$H$5*G1056</f>
      </c>
      <c r="I1056" s="333"/>
      <c r="J1056" s="333">
        <f>(1+$M$5)^(D1056/12)*(H1056+IF(AND(F1056=1,F1057=0),$Q$4,0))</f>
      </c>
      <c r="K1056" s="333">
        <f>(1+$M$5)^(D1056/12)*(I1056)</f>
      </c>
      <c r="L1056" s="333">
        <f>K1056+J1056</f>
      </c>
      <c r="M1056" s="170"/>
      <c r="N1056" s="7"/>
      <c r="O1056" s="1"/>
      <c r="P1056" s="331">
        <f>D1056</f>
      </c>
      <c r="Q1056" s="169"/>
    </row>
    <row x14ac:dyDescent="0.25" r="1057" customHeight="1" ht="18.75">
      <c r="A1057" s="1"/>
      <c r="B1057" s="7"/>
      <c r="C1057" s="170"/>
      <c r="D1057" s="331">
        <v>1050</v>
      </c>
      <c r="E1057" s="544">
        <f>+DATE(YEAR(E1056),MONTH(E1056)-1,DAY(E1056))</f>
        <v>25569.041666666668</v>
      </c>
      <c r="F1057" s="333">
        <f>IF(DATE(YEAR($B$6),MONTH($B$6)+1,DAY(1))=E1057,1,IF(MONTH(E1057)=1,F1058*(1+$F$5),F1058))</f>
      </c>
      <c r="G1057" s="333">
        <f>IF('Simulador - 1º Pilar'!$E$99="Sí",IF('Aportaciones Poliza'!$B$13&lt;'Aportaciones Poliza'!E1057,0,F1057*$B$8/12),F1057*$B$8/12)</f>
      </c>
      <c r="H1057" s="333">
        <f>$H$5*G1057</f>
      </c>
      <c r="I1057" s="333"/>
      <c r="J1057" s="333">
        <f>(1+$M$5)^(D1057/12)*(H1057+IF(AND(F1057=1,F1058=0),$Q$4,0))</f>
      </c>
      <c r="K1057" s="333">
        <f>(1+$M$5)^(D1057/12)*(I1057)</f>
      </c>
      <c r="L1057" s="333">
        <f>K1057+J1057</f>
      </c>
      <c r="M1057" s="170"/>
      <c r="N1057" s="7"/>
      <c r="O1057" s="1"/>
      <c r="P1057" s="331">
        <f>D1057</f>
      </c>
      <c r="Q1057" s="169"/>
    </row>
    <row x14ac:dyDescent="0.25" r="1058" customHeight="1" ht="18.75">
      <c r="A1058" s="1"/>
      <c r="B1058" s="7"/>
      <c r="C1058" s="170"/>
      <c r="D1058" s="331">
        <v>1051</v>
      </c>
      <c r="E1058" s="544">
        <f>+DATE(YEAR(E1057),MONTH(E1057)-1,DAY(E1057))</f>
        <v>25569.041666666668</v>
      </c>
      <c r="F1058" s="333">
        <f>IF(DATE(YEAR($B$6),MONTH($B$6)+1,DAY(1))=E1058,1,IF(MONTH(E1058)=1,F1059*(1+$F$5),F1059))</f>
      </c>
      <c r="G1058" s="333">
        <f>IF('Simulador - 1º Pilar'!$E$99="Sí",IF('Aportaciones Poliza'!$B$13&lt;'Aportaciones Poliza'!E1058,0,F1058*$B$8/12),F1058*$B$8/12)</f>
      </c>
      <c r="H1058" s="333">
        <f>$H$5*G1058</f>
      </c>
      <c r="I1058" s="333"/>
      <c r="J1058" s="333">
        <f>(1+$M$5)^(D1058/12)*(H1058+IF(AND(F1058=1,F1059=0),$Q$4,0))</f>
      </c>
      <c r="K1058" s="333">
        <f>(1+$M$5)^(D1058/12)*(I1058)</f>
      </c>
      <c r="L1058" s="333">
        <f>K1058+J1058</f>
      </c>
      <c r="M1058" s="170"/>
      <c r="N1058" s="7"/>
      <c r="O1058" s="1"/>
      <c r="P1058" s="331">
        <f>D1058</f>
      </c>
      <c r="Q1058" s="169"/>
    </row>
    <row x14ac:dyDescent="0.25" r="1059" customHeight="1" ht="18.75">
      <c r="A1059" s="1"/>
      <c r="B1059" s="7"/>
      <c r="C1059" s="170"/>
      <c r="D1059" s="331">
        <v>1052</v>
      </c>
      <c r="E1059" s="544">
        <f>+DATE(YEAR(E1058),MONTH(E1058)-1,DAY(E1058))</f>
        <v>25569.041666666668</v>
      </c>
      <c r="F1059" s="333">
        <f>IF(DATE(YEAR($B$6),MONTH($B$6)+1,DAY(1))=E1059,1,IF(MONTH(E1059)=1,F1060*(1+$F$5),F1060))</f>
      </c>
      <c r="G1059" s="333">
        <f>IF('Simulador - 1º Pilar'!$E$99="Sí",IF('Aportaciones Poliza'!$B$13&lt;'Aportaciones Poliza'!E1059,0,F1059*$B$8/12),F1059*$B$8/12)</f>
      </c>
      <c r="H1059" s="333">
        <f>$H$5*G1059</f>
      </c>
      <c r="I1059" s="333"/>
      <c r="J1059" s="333">
        <f>(1+$M$5)^(D1059/12)*(H1059+IF(AND(F1059=1,F1060=0),$Q$4,0))</f>
      </c>
      <c r="K1059" s="333">
        <f>(1+$M$5)^(D1059/12)*(I1059)</f>
      </c>
      <c r="L1059" s="333">
        <f>K1059+J1059</f>
      </c>
      <c r="M1059" s="170"/>
      <c r="N1059" s="7"/>
      <c r="O1059" s="1"/>
      <c r="P1059" s="331">
        <f>D1059</f>
      </c>
      <c r="Q1059" s="169"/>
    </row>
    <row x14ac:dyDescent="0.25" r="1060" customHeight="1" ht="18.75">
      <c r="A1060" s="1"/>
      <c r="B1060" s="7"/>
      <c r="C1060" s="170"/>
      <c r="D1060" s="331">
        <v>1053</v>
      </c>
      <c r="E1060" s="544">
        <f>+DATE(YEAR(E1059),MONTH(E1059)-1,DAY(E1059))</f>
        <v>25569.041666666668</v>
      </c>
      <c r="F1060" s="333">
        <f>IF(DATE(YEAR($B$6),MONTH($B$6)+1,DAY(1))=E1060,1,IF(MONTH(E1060)=1,F1061*(1+$F$5),F1061))</f>
      </c>
      <c r="G1060" s="333">
        <f>IF('Simulador - 1º Pilar'!$E$99="Sí",IF('Aportaciones Poliza'!$B$13&lt;'Aportaciones Poliza'!E1060,0,F1060*$B$8/12),F1060*$B$8/12)</f>
      </c>
      <c r="H1060" s="333">
        <f>$H$5*G1060</f>
      </c>
      <c r="I1060" s="333"/>
      <c r="J1060" s="333">
        <f>(1+$M$5)^(D1060/12)*(H1060+IF(AND(F1060=1,F1061=0),$Q$4,0))</f>
      </c>
      <c r="K1060" s="333">
        <f>(1+$M$5)^(D1060/12)*(I1060)</f>
      </c>
      <c r="L1060" s="333">
        <f>K1060+J1060</f>
      </c>
      <c r="M1060" s="170"/>
      <c r="N1060" s="7"/>
      <c r="O1060" s="1"/>
      <c r="P1060" s="331">
        <f>D1060</f>
      </c>
      <c r="Q1060" s="169"/>
    </row>
    <row x14ac:dyDescent="0.25" r="1061" customHeight="1" ht="18.75">
      <c r="A1061" s="1"/>
      <c r="B1061" s="7"/>
      <c r="C1061" s="170"/>
      <c r="D1061" s="331">
        <v>1054</v>
      </c>
      <c r="E1061" s="544">
        <f>+DATE(YEAR(E1060),MONTH(E1060)-1,DAY(E1060))</f>
        <v>25569.041666666668</v>
      </c>
      <c r="F1061" s="333">
        <f>IF(DATE(YEAR($B$6),MONTH($B$6)+1,DAY(1))=E1061,1,IF(MONTH(E1061)=1,F1062*(1+$F$5),F1062))</f>
      </c>
      <c r="G1061" s="333">
        <f>IF('Simulador - 1º Pilar'!$E$99="Sí",IF('Aportaciones Poliza'!$B$13&lt;'Aportaciones Poliza'!E1061,0,F1061*$B$8/12),F1061*$B$8/12)</f>
      </c>
      <c r="H1061" s="333">
        <f>$H$5*G1061</f>
      </c>
      <c r="I1061" s="333"/>
      <c r="J1061" s="333">
        <f>(1+$M$5)^(D1061/12)*(H1061+IF(AND(F1061=1,F1062=0),$Q$4,0))</f>
      </c>
      <c r="K1061" s="333">
        <f>(1+$M$5)^(D1061/12)*(I1061)</f>
      </c>
      <c r="L1061" s="333">
        <f>K1061+J1061</f>
      </c>
      <c r="M1061" s="170"/>
      <c r="N1061" s="7"/>
      <c r="O1061" s="1"/>
      <c r="P1061" s="331">
        <f>D1061</f>
      </c>
      <c r="Q1061" s="169"/>
    </row>
    <row x14ac:dyDescent="0.25" r="1062" customHeight="1" ht="18.75">
      <c r="A1062" s="1"/>
      <c r="B1062" s="7"/>
      <c r="C1062" s="170"/>
      <c r="D1062" s="331">
        <v>1055</v>
      </c>
      <c r="E1062" s="544">
        <f>+DATE(YEAR(E1061),MONTH(E1061)-1,DAY(E1061))</f>
        <v>25569.041666666668</v>
      </c>
      <c r="F1062" s="333">
        <f>IF(DATE(YEAR($B$6),MONTH($B$6)+1,DAY(1))=E1062,1,IF(MONTH(E1062)=1,F1063*(1+$F$5),F1063))</f>
      </c>
      <c r="G1062" s="333">
        <f>IF('Simulador - 1º Pilar'!$E$99="Sí",IF('Aportaciones Poliza'!$B$13&lt;'Aportaciones Poliza'!E1062,0,F1062*$B$8/12),F1062*$B$8/12)</f>
      </c>
      <c r="H1062" s="333">
        <f>$H$5*G1062</f>
      </c>
      <c r="I1062" s="333"/>
      <c r="J1062" s="333">
        <f>(1+$M$5)^(D1062/12)*(H1062+IF(AND(F1062=1,F1063=0),$Q$4,0))</f>
      </c>
      <c r="K1062" s="333">
        <f>(1+$M$5)^(D1062/12)*(I1062)</f>
      </c>
      <c r="L1062" s="333">
        <f>K1062+J1062</f>
      </c>
      <c r="M1062" s="170"/>
      <c r="N1062" s="7"/>
      <c r="O1062" s="1"/>
      <c r="P1062" s="331">
        <f>D1062</f>
      </c>
      <c r="Q1062" s="169"/>
    </row>
    <row x14ac:dyDescent="0.25" r="1063" customHeight="1" ht="18.75">
      <c r="A1063" s="1"/>
      <c r="B1063" s="7"/>
      <c r="C1063" s="170"/>
      <c r="D1063" s="331">
        <v>1056</v>
      </c>
      <c r="E1063" s="544">
        <f>+DATE(YEAR(E1062),MONTH(E1062)-1,DAY(E1062))</f>
        <v>25569.041666666668</v>
      </c>
      <c r="F1063" s="333">
        <f>IF(DATE(YEAR($B$6),MONTH($B$6)+1,DAY(1))=E1063,1,IF(MONTH(E1063)=1,F1064*(1+$F$5),F1064))</f>
      </c>
      <c r="G1063" s="333">
        <f>IF('Simulador - 1º Pilar'!$E$99="Sí",IF('Aportaciones Poliza'!$B$13&lt;'Aportaciones Poliza'!E1063,0,F1063*$B$8/12),F1063*$B$8/12)</f>
      </c>
      <c r="H1063" s="333">
        <f>$H$5*G1063</f>
      </c>
      <c r="I1063" s="333"/>
      <c r="J1063" s="333">
        <f>(1+$M$5)^(D1063/12)*(H1063+IF(AND(F1063=1,F1064=0),$Q$4,0))</f>
      </c>
      <c r="K1063" s="333">
        <f>(1+$M$5)^(D1063/12)*(I1063)</f>
      </c>
      <c r="L1063" s="333">
        <f>K1063+J1063</f>
      </c>
      <c r="M1063" s="170"/>
      <c r="N1063" s="7"/>
      <c r="O1063" s="1"/>
      <c r="P1063" s="331">
        <f>D1063</f>
      </c>
      <c r="Q1063" s="169"/>
    </row>
    <row x14ac:dyDescent="0.25" r="1064" customHeight="1" ht="18.75">
      <c r="A1064" s="1"/>
      <c r="B1064" s="7"/>
      <c r="C1064" s="170"/>
      <c r="D1064" s="331">
        <v>1057</v>
      </c>
      <c r="E1064" s="544">
        <f>+DATE(YEAR(E1063),MONTH(E1063)-1,DAY(E1063))</f>
        <v>25569.041666666668</v>
      </c>
      <c r="F1064" s="333">
        <f>IF(DATE(YEAR($B$6),MONTH($B$6)+1,DAY(1))=E1064,1,IF(MONTH(E1064)=1,F1065*(1+$F$5),F1065))</f>
      </c>
      <c r="G1064" s="333">
        <f>IF('Simulador - 1º Pilar'!$E$99="Sí",IF('Aportaciones Poliza'!$B$13&lt;'Aportaciones Poliza'!E1064,0,F1064*$B$8/12),F1064*$B$8/12)</f>
      </c>
      <c r="H1064" s="333">
        <f>$H$5*G1064</f>
      </c>
      <c r="I1064" s="333"/>
      <c r="J1064" s="333">
        <f>(1+$M$5)^(D1064/12)*(H1064+IF(AND(F1064=1,F1065=0),$Q$4,0))</f>
      </c>
      <c r="K1064" s="333">
        <f>(1+$M$5)^(D1064/12)*(I1064)</f>
      </c>
      <c r="L1064" s="333">
        <f>K1064+J1064</f>
      </c>
      <c r="M1064" s="170"/>
      <c r="N1064" s="7"/>
      <c r="O1064" s="1"/>
      <c r="P1064" s="331">
        <f>D1064</f>
      </c>
      <c r="Q1064" s="169"/>
    </row>
    <row x14ac:dyDescent="0.25" r="1065" customHeight="1" ht="18.75">
      <c r="A1065" s="1"/>
      <c r="B1065" s="7"/>
      <c r="C1065" s="170"/>
      <c r="D1065" s="331">
        <v>1058</v>
      </c>
      <c r="E1065" s="544">
        <f>+DATE(YEAR(E1064),MONTH(E1064)-1,DAY(E1064))</f>
        <v>25569.041666666668</v>
      </c>
      <c r="F1065" s="333">
        <f>IF(DATE(YEAR($B$6),MONTH($B$6)+1,DAY(1))=E1065,1,IF(MONTH(E1065)=1,F1066*(1+$F$5),F1066))</f>
      </c>
      <c r="G1065" s="333">
        <f>IF('Simulador - 1º Pilar'!$E$99="Sí",IF('Aportaciones Poliza'!$B$13&lt;'Aportaciones Poliza'!E1065,0,F1065*$B$8/12),F1065*$B$8/12)</f>
      </c>
      <c r="H1065" s="333">
        <f>$H$5*G1065</f>
      </c>
      <c r="I1065" s="333"/>
      <c r="J1065" s="333">
        <f>(1+$M$5)^(D1065/12)*(H1065+IF(AND(F1065=1,F1066=0),$Q$4,0))</f>
      </c>
      <c r="K1065" s="333">
        <f>(1+$M$5)^(D1065/12)*(I1065)</f>
      </c>
      <c r="L1065" s="333">
        <f>K1065+J1065</f>
      </c>
      <c r="M1065" s="170"/>
      <c r="N1065" s="7"/>
      <c r="O1065" s="1"/>
      <c r="P1065" s="331">
        <f>D1065</f>
      </c>
      <c r="Q1065" s="169"/>
    </row>
    <row x14ac:dyDescent="0.25" r="1066" customHeight="1" ht="18.75">
      <c r="A1066" s="1"/>
      <c r="B1066" s="7"/>
      <c r="C1066" s="170"/>
      <c r="D1066" s="331">
        <v>1059</v>
      </c>
      <c r="E1066" s="544">
        <f>+DATE(YEAR(E1065),MONTH(E1065)-1,DAY(E1065))</f>
        <v>25569.041666666668</v>
      </c>
      <c r="F1066" s="333">
        <f>IF(DATE(YEAR($B$6),MONTH($B$6)+1,DAY(1))=E1066,1,IF(MONTH(E1066)=1,F1067*(1+$F$5),F1067))</f>
      </c>
      <c r="G1066" s="333">
        <f>IF('Simulador - 1º Pilar'!$E$99="Sí",IF('Aportaciones Poliza'!$B$13&lt;'Aportaciones Poliza'!E1066,0,F1066*$B$8/12),F1066*$B$8/12)</f>
      </c>
      <c r="H1066" s="333">
        <f>$H$5*G1066</f>
      </c>
      <c r="I1066" s="333"/>
      <c r="J1066" s="333">
        <f>(1+$M$5)^(D1066/12)*(H1066+IF(AND(F1066=1,F1067=0),$Q$4,0))</f>
      </c>
      <c r="K1066" s="333">
        <f>(1+$M$5)^(D1066/12)*(I1066)</f>
      </c>
      <c r="L1066" s="333">
        <f>K1066+J1066</f>
      </c>
      <c r="M1066" s="170"/>
      <c r="N1066" s="7"/>
      <c r="O1066" s="1"/>
      <c r="P1066" s="331">
        <f>D1066</f>
      </c>
      <c r="Q1066" s="16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T1078"/>
  <sheetViews>
    <sheetView workbookViewId="0"/>
  </sheetViews>
  <sheetFormatPr defaultRowHeight="15" x14ac:dyDescent="0.25"/>
  <cols>
    <col min="1" max="1" style="163" width="21.290714285714284" customWidth="1" bestFit="1"/>
    <col min="2" max="2" style="167" width="13.576428571428572" customWidth="1" bestFit="1"/>
    <col min="3" max="3" style="164" width="13.576428571428572" customWidth="1" bestFit="1"/>
    <col min="4" max="4" style="165" width="13.576428571428572" customWidth="1" bestFit="1"/>
    <col min="5" max="5" style="167" width="14.290714285714287" customWidth="1" bestFit="1"/>
    <col min="6" max="6" style="164" width="17.719285714285714" customWidth="1" bestFit="1"/>
    <col min="7" max="7" style="164" width="13.576428571428572" customWidth="1" bestFit="1"/>
    <col min="8" max="8" style="164" width="13.576428571428572" customWidth="1" bestFit="1"/>
    <col min="9" max="9" style="164" width="28.290714285714284" customWidth="1" bestFit="1"/>
    <col min="10" max="10" style="164" width="20.576428571428572" customWidth="1" bestFit="1"/>
    <col min="11" max="11" style="164" width="19.290714285714284" customWidth="1" bestFit="1"/>
    <col min="12" max="12" style="164" width="17.576428571428572" customWidth="1" bestFit="1"/>
    <col min="13" max="13" style="164" width="13.576428571428572" customWidth="1" bestFit="1"/>
    <col min="14" max="14" style="167" width="13.576428571428572" customWidth="1" bestFit="1"/>
    <col min="15" max="15" style="163" width="13.576428571428572" customWidth="1" bestFit="1"/>
    <col min="16" max="16" style="165" width="15.719285714285713" customWidth="1" bestFit="1"/>
    <col min="17" max="17" style="165" width="13.576428571428572" customWidth="1" bestFit="1"/>
    <col min="18" max="18" style="163" width="13.576428571428572" customWidth="1" bestFit="1"/>
    <col min="19" max="19" style="164" width="13.576428571428572" customWidth="1" bestFit="1"/>
    <col min="20" max="20" style="164" width="13.576428571428572" customWidth="1" bestFit="1"/>
  </cols>
  <sheetData>
    <row x14ac:dyDescent="0.25" r="1" customHeight="1" ht="18.75">
      <c r="A1" s="1"/>
      <c r="B1" s="7"/>
      <c r="C1" s="170"/>
      <c r="D1" s="169"/>
      <c r="E1" s="7"/>
      <c r="F1" s="170"/>
      <c r="G1" s="170"/>
      <c r="H1" s="170"/>
      <c r="I1" s="170"/>
      <c r="J1" s="170"/>
      <c r="K1" s="709" t="s">
        <v>264</v>
      </c>
      <c r="L1" s="709" t="s">
        <v>264</v>
      </c>
      <c r="M1" s="710"/>
      <c r="N1" s="711"/>
      <c r="O1" s="712"/>
      <c r="P1" s="713"/>
      <c r="Q1" s="713"/>
      <c r="R1" s="712"/>
      <c r="S1" s="709" t="s">
        <v>264</v>
      </c>
      <c r="T1" s="709" t="s">
        <v>264</v>
      </c>
    </row>
    <row x14ac:dyDescent="0.25" r="2" customHeight="1" ht="18.75">
      <c r="A2" s="1"/>
      <c r="B2" s="7"/>
      <c r="C2" s="170"/>
      <c r="D2" s="169"/>
      <c r="E2" s="7"/>
      <c r="F2" s="170"/>
      <c r="G2" s="170"/>
      <c r="H2" s="170"/>
      <c r="I2" s="555"/>
      <c r="J2" s="170"/>
      <c r="K2" s="276" t="s">
        <v>265</v>
      </c>
      <c r="L2" s="217"/>
      <c r="M2" s="170"/>
      <c r="N2" s="7"/>
      <c r="O2" s="1"/>
      <c r="P2" s="169"/>
      <c r="Q2" s="169"/>
      <c r="R2" s="1"/>
      <c r="S2" s="170"/>
      <c r="T2" s="170"/>
    </row>
    <row x14ac:dyDescent="0.25" r="3" customHeight="1" ht="18.75">
      <c r="A3" s="714" t="s">
        <v>266</v>
      </c>
      <c r="B3" s="715"/>
      <c r="C3" s="170"/>
      <c r="D3" s="169"/>
      <c r="E3" s="7"/>
      <c r="F3" s="170"/>
      <c r="G3" s="170"/>
      <c r="H3" s="170"/>
      <c r="I3" s="170"/>
      <c r="J3" s="170"/>
      <c r="K3" s="170"/>
      <c r="L3" s="217"/>
      <c r="M3" s="170"/>
      <c r="N3" s="7"/>
      <c r="O3" s="1"/>
      <c r="P3" s="169"/>
      <c r="Q3" s="169"/>
      <c r="R3" s="1"/>
      <c r="S3" s="170"/>
      <c r="T3" s="170"/>
    </row>
    <row x14ac:dyDescent="0.25" r="4" customHeight="1" ht="18.75">
      <c r="A4" s="1"/>
      <c r="B4" s="7"/>
      <c r="C4" s="170"/>
      <c r="D4" s="169"/>
      <c r="E4" s="7"/>
      <c r="F4" s="546" t="s">
        <v>187</v>
      </c>
      <c r="G4" s="170"/>
      <c r="H4" s="716" t="s">
        <v>267</v>
      </c>
      <c r="I4" s="716" t="s">
        <v>268</v>
      </c>
      <c r="J4" s="716" t="s">
        <v>269</v>
      </c>
      <c r="K4" s="717" t="s">
        <v>270</v>
      </c>
      <c r="L4" s="717" t="s">
        <v>188</v>
      </c>
      <c r="M4" s="546" t="s">
        <v>113</v>
      </c>
      <c r="N4" s="7"/>
      <c r="O4" s="1"/>
      <c r="P4" s="688" t="s">
        <v>189</v>
      </c>
      <c r="Q4" s="332">
        <f>VLOOKUP('Simulador - Datos personales'!E5,BBDD!$C$5:$GF$34,7,0)</f>
      </c>
      <c r="R4" s="1"/>
      <c r="S4" s="170"/>
      <c r="T4" s="170"/>
    </row>
    <row x14ac:dyDescent="0.25" r="5" customHeight="1" ht="18.75">
      <c r="A5" s="1"/>
      <c r="B5" s="7"/>
      <c r="C5" s="170"/>
      <c r="D5" s="169"/>
      <c r="E5" s="7"/>
      <c r="F5" s="551">
        <f>Hipótesis!E7</f>
      </c>
      <c r="G5" s="170"/>
      <c r="H5" s="718">
        <f>IF('Simulador - 2º Pilar'!J47&gt;30%*'Simulador - Datos personales'!E13,"Límite alcanzado",'Simulador - 2º Pilar'!J47/12)</f>
      </c>
      <c r="I5" s="719">
        <f>+'Simulador - 2º Pilar'!F61</f>
      </c>
      <c r="J5" s="720">
        <f>SUM(J7:J33001)</f>
      </c>
      <c r="K5" s="721">
        <f>SUM(I7:I1066)</f>
      </c>
      <c r="L5" s="722">
        <f>IF('Simulador - 1º Pilar'!$E$99="Sí",SUM(L7:L1066)*(1+$M$5)^(C14/12),SUM(L7:L1066))</f>
      </c>
      <c r="M5" s="551">
        <f>Hipótesis!E15</f>
      </c>
      <c r="N5" s="7"/>
      <c r="O5" s="1"/>
      <c r="P5" s="169"/>
      <c r="Q5" s="169"/>
      <c r="R5" s="1"/>
      <c r="S5" s="333">
        <f>SUM(S8:S33001)</f>
      </c>
      <c r="T5" s="333">
        <f>SUM(T7:T1067)</f>
      </c>
    </row>
    <row x14ac:dyDescent="0.25" r="6" customHeight="1" ht="18.75">
      <c r="A6" s="339" t="s">
        <v>191</v>
      </c>
      <c r="B6" s="723">
        <f>+'Aportaciones PPE'!B6</f>
        <v>25569.041666666668</v>
      </c>
      <c r="C6" s="555">
        <f>DATE(YEAR(B6),MONTH(B6)+1,DAY(1))</f>
        <v>25569.041666666668</v>
      </c>
      <c r="D6" s="169"/>
      <c r="E6" s="558" t="s">
        <v>186</v>
      </c>
      <c r="F6" s="547" t="s">
        <v>192</v>
      </c>
      <c r="G6" s="547" t="s">
        <v>193</v>
      </c>
      <c r="H6" s="717" t="s">
        <v>106</v>
      </c>
      <c r="I6" s="170"/>
      <c r="J6" s="717" t="s">
        <v>271</v>
      </c>
      <c r="K6" s="351"/>
      <c r="L6" s="717" t="s">
        <v>118</v>
      </c>
      <c r="M6" s="547" t="s">
        <v>197</v>
      </c>
      <c r="N6" s="7"/>
      <c r="O6" s="1"/>
      <c r="P6" s="644" t="s">
        <v>272</v>
      </c>
      <c r="Q6" s="169"/>
      <c r="R6" s="1"/>
      <c r="S6" s="547" t="s">
        <v>195</v>
      </c>
      <c r="T6" s="547" t="s">
        <v>196</v>
      </c>
    </row>
    <row x14ac:dyDescent="0.25" r="7" customHeight="1" ht="18.75">
      <c r="A7" s="339" t="s">
        <v>198</v>
      </c>
      <c r="B7" s="544">
        <f>DATE(YEAR('Simulador - 1º Pilar'!G20),MONTH('Simulador - 1º Pilar'!G20),DAY(1))</f>
        <v>25569.041666666668</v>
      </c>
      <c r="C7" s="555">
        <f>DATE(YEAR(PJSS!B7),MONTH(PJSS!B7),DAY(1))</f>
        <v>25569.041666666668</v>
      </c>
      <c r="D7" s="169"/>
      <c r="E7" s="544">
        <f>DATE(YEAR($B$7),MONTH($B$7)-1,DAY($B$7))</f>
        <v>25569.041666666668</v>
      </c>
      <c r="F7" s="333">
        <f>MAX(IF(DATE(YEAR($B$6),MONTH($B$6)+1,DAY(1))=E7,1,IF(MONTH(E7)=1,F8*(1+$F$5),F8)),1)</f>
      </c>
      <c r="G7" s="333">
        <f>IF('Simulador - 1º Pilar'!$E$99="Sí",IF('Aportaciones Flex'!$B$13&lt;'Aportaciones Flex'!E7,0,F7*$B$8/12),F7*$B$8/12)</f>
      </c>
      <c r="H7" s="333">
        <f>IF(G7&gt;0,1,0)*$H$5*IF(AND($I$5="NO",YEAR(E7)=YEAR($B$6)+1),1,IF($I$5="SI",1,0))</f>
      </c>
      <c r="I7" s="217">
        <f>(1+$M$5)^(D7/12)*(H7*(12-IF(MONTH(E8)=12,0,MONTH(E8)))+IF(AND(F7=1,F8=0),$Q$4,0))*IF(AND(F7=1,F8=0),1,0)</f>
      </c>
      <c r="J7" s="333">
        <f>H7+IF(AND(F7=1,F8=0),$Q$4,0)</f>
      </c>
      <c r="K7" s="351"/>
      <c r="L7" s="333">
        <f>K7+J7</f>
      </c>
      <c r="M7" s="561">
        <f>IF('Simulador - Datos personales'!G58="Si",0.06,0.04)</f>
      </c>
      <c r="N7" s="544">
        <v>2958282</v>
      </c>
      <c r="O7" s="1"/>
      <c r="P7" s="169"/>
      <c r="Q7" s="169"/>
      <c r="R7" s="1"/>
      <c r="S7" s="217">
        <f>(1+$M$5)^(D7/12)*(IF(E7=$C$6,$Q$4+$H$5*12,0))</f>
      </c>
      <c r="T7" s="217">
        <f>L7</f>
      </c>
    </row>
    <row x14ac:dyDescent="0.25" r="8" customHeight="1" ht="18.75">
      <c r="A8" s="339" t="s">
        <v>199</v>
      </c>
      <c r="B8" s="332">
        <f>'Simulador - Datos personales'!E15</f>
      </c>
      <c r="C8" s="333">
        <f>B8/12</f>
      </c>
      <c r="D8" s="331">
        <v>1</v>
      </c>
      <c r="E8" s="544">
        <f>+DATE(YEAR(E7),MONTH(E7)-1,DAY(E7))</f>
        <v>25569.041666666668</v>
      </c>
      <c r="F8" s="333">
        <f>IF(DATE(YEAR($B$6),MONTH($B$6)+1,DAY(1))=E8,1,IF(MONTH(E8)=1,F9*(1+$F$5),F9))</f>
      </c>
      <c r="G8" s="333">
        <f>IF('Simulador - 1º Pilar'!$E$99="Sí",IF('Aportaciones Flex'!$B$13&lt;'Aportaciones Flex'!E8,0,F8*$B$8/12),F8*$B$8/12)</f>
      </c>
      <c r="H8" s="333">
        <f>IF(G8&gt;0,1,0)*$H$5*IF(AND($I$5="NO",YEAR(E8)=YEAR($B$6)+1),1,IF($I$5="SI",1,0))</f>
      </c>
      <c r="I8" s="217">
        <f>(1+$M$5)^(D8/12)*(H8*(12-IF(MONTH(E9)=12,0,MONTH(E9)))+IF(AND(F8=1,F9=0),$Q$4,0))*IF(AND(F8=1,F9=0),1,0)</f>
      </c>
      <c r="J8" s="333">
        <f>(1+$M$5)^(D8/12)*(H8+IF(AND(F8=1,F9=0),$Q$4,0))</f>
      </c>
      <c r="K8" s="351"/>
      <c r="L8" s="333">
        <f>K8+J8</f>
      </c>
      <c r="M8" s="561">
        <v>0.02</v>
      </c>
      <c r="N8" s="544">
        <v>47300</v>
      </c>
      <c r="O8" s="1"/>
      <c r="P8" s="331">
        <f>D8</f>
      </c>
      <c r="Q8" s="169"/>
      <c r="R8" s="1"/>
      <c r="S8" s="217">
        <f>(1+$M$5)^(D8/12)*(IF(E8=$C$6,$Q$4+$H$5*12,0))</f>
      </c>
      <c r="T8" s="217">
        <f>(1+$M$5)^(D8/12)*(IF(YEAR(E8)&gt;YEAR($C$6),L8,0)+IF(E8=$C$6,$H$5*12+$Q$4,0))</f>
      </c>
    </row>
    <row x14ac:dyDescent="0.25" r="9" customHeight="1" ht="18.75">
      <c r="A9" s="1"/>
      <c r="B9" s="7"/>
      <c r="C9" s="170"/>
      <c r="D9" s="331">
        <v>2</v>
      </c>
      <c r="E9" s="544">
        <f>+DATE(YEAR(E8),MONTH(E8)-1,DAY(E8))</f>
        <v>25569.041666666668</v>
      </c>
      <c r="F9" s="333">
        <f>IF(DATE(YEAR($B$6),MONTH($B$6)+1,DAY(1))=E9,1,IF(MONTH(E9)=1,F10*(1+$F$5),F10))</f>
      </c>
      <c r="G9" s="333">
        <f>IF('Simulador - 1º Pilar'!$E$99="Sí",IF('Aportaciones Flex'!$B$13&lt;'Aportaciones Flex'!E9,0,F9*$B$8/12),F9*$B$8/12)</f>
      </c>
      <c r="H9" s="333">
        <f>IF(G9&gt;0,1,0)*$H$5*IF(AND($I$5="NO",YEAR(E9)=YEAR($B$6)+1),1,IF($I$5="SI",1,0))</f>
      </c>
      <c r="I9" s="217">
        <f>(1+$M$5)^(D9/12)*(H9*(12-IF(MONTH(E10)=12,0,MONTH(E10)))+IF(AND(F9=1,F10=0),$Q$4,0))*IF(AND(F9=1,F10=0),1,0)</f>
      </c>
      <c r="J9" s="333">
        <f>(1+$M$5)^(D9/12)*(H9+IF(AND(F9=1,F10=0),$Q$4,0))</f>
      </c>
      <c r="K9" s="351"/>
      <c r="L9" s="333">
        <f>K9+J9</f>
      </c>
      <c r="M9" s="561">
        <v>0.03</v>
      </c>
      <c r="N9" s="7"/>
      <c r="O9" s="1"/>
      <c r="P9" s="331">
        <f>D9</f>
      </c>
      <c r="Q9" s="169"/>
      <c r="R9" s="1"/>
      <c r="S9" s="217">
        <f>(1+$M$5)^(D9/12)*(IF(E9=$C$6,$Q$4+$H$5*12,0))</f>
      </c>
      <c r="T9" s="217">
        <f>(1+$M$5)^(D9/12)*(IF(YEAR(E9)&gt;YEAR($C$6),L9,0)+IF(E9=$C$6,$H$5*12+$Q$4,0))</f>
      </c>
    </row>
    <row x14ac:dyDescent="0.25" r="10" customHeight="1" ht="18.75">
      <c r="A10" s="339" t="s">
        <v>273</v>
      </c>
      <c r="B10" s="332">
        <f>'Simulador - Datos personales'!E13</f>
      </c>
      <c r="C10" s="170"/>
      <c r="D10" s="331">
        <v>3</v>
      </c>
      <c r="E10" s="544">
        <f>+DATE(YEAR(E9),MONTH(E9)-1,DAY(E9))</f>
        <v>25569.041666666668</v>
      </c>
      <c r="F10" s="333">
        <f>IF(DATE(YEAR($B$6),MONTH($B$6)+1,DAY(1))=E10,1,IF(MONTH(E10)=1,F11*(1+$F$5),F11))</f>
      </c>
      <c r="G10" s="333">
        <f>IF('Simulador - 1º Pilar'!$E$99="Sí",IF('Aportaciones Flex'!$B$13&lt;'Aportaciones Flex'!E10,0,F10*$B$8/12),F10*$B$8/12)</f>
      </c>
      <c r="H10" s="333">
        <f>IF(G10&gt;0,1,0)*$H$5*IF(AND($I$5="NO",YEAR(E10)=YEAR($B$6)+1),1,IF($I$5="SI",1,0))</f>
      </c>
      <c r="I10" s="217">
        <f>(1+$M$5)^(D10/12)*(H10*(12-IF(MONTH(E11)=12,0,MONTH(E11)))+IF(AND(F10=1,F11=0),$Q$4,0))*IF(AND(F10=1,F11=0),1,0)</f>
      </c>
      <c r="J10" s="333">
        <f>(1+$M$5)^(D10/12)*(H10+IF(AND(F10=1,F11=0),$Q$4,0))</f>
      </c>
      <c r="K10" s="351"/>
      <c r="L10" s="333">
        <f>K10+J10</f>
      </c>
      <c r="M10" s="724"/>
      <c r="N10" s="7"/>
      <c r="O10" s="1"/>
      <c r="P10" s="331">
        <f>D10</f>
      </c>
      <c r="Q10" s="169"/>
      <c r="R10" s="1"/>
      <c r="S10" s="217">
        <f>(1+$M$5)^(D10/12)*(IF(E10=$C$6,$Q$4+$H$5*12,0))</f>
      </c>
      <c r="T10" s="217">
        <f>(1+$M$5)^(D10/12)*(IF(YEAR(E10)&gt;YEAR($C$6),L10,0)+IF(E10=$C$6,$H$5*12+$Q$4,0))</f>
      </c>
    </row>
    <row x14ac:dyDescent="0.25" r="11" customHeight="1" ht="18.75">
      <c r="A11" s="339" t="s">
        <v>274</v>
      </c>
      <c r="B11" s="333">
        <f>IF(F7=0,C11*B10/12,F7*B10/12)</f>
      </c>
      <c r="C11" s="333">
        <f>_xlfn.IFNA(VLOOKUP(B14,$E$7:$G$1066,2,0),1)</f>
      </c>
      <c r="D11" s="331">
        <v>4</v>
      </c>
      <c r="E11" s="544">
        <f>+DATE(YEAR(E10),MONTH(E10)-1,DAY(E10))</f>
        <v>25569.041666666668</v>
      </c>
      <c r="F11" s="333">
        <f>IF(DATE(YEAR($B$6),MONTH($B$6)+1,DAY(1))=E11,1,IF(MONTH(E11)=1,F12*(1+$F$5),F12))</f>
      </c>
      <c r="G11" s="333">
        <f>IF('Simulador - 1º Pilar'!$E$99="Sí",IF('Aportaciones Flex'!$B$13&lt;'Aportaciones Flex'!E11,0,F11*$B$8/12),F11*$B$8/12)</f>
      </c>
      <c r="H11" s="333">
        <f>IF(G11&gt;0,1,0)*$H$5*IF(AND($I$5="NO",YEAR(E11)=YEAR($B$6)+1),1,IF($I$5="SI",1,0))</f>
      </c>
      <c r="I11" s="217">
        <f>(1+$M$5)^(D11/12)*(H11*(12-IF(MONTH(E12)=12,0,MONTH(E12)))+IF(AND(F11=1,F12=0),$Q$4,0))*IF(AND(F11=1,F12=0),1,0)</f>
      </c>
      <c r="J11" s="333">
        <f>(1+$M$5)^(D11/12)*(H11+IF(AND(F11=1,F12=0),$Q$4,0))</f>
      </c>
      <c r="K11" s="351"/>
      <c r="L11" s="333">
        <f>K11+J11</f>
      </c>
      <c r="M11" s="724"/>
      <c r="N11" s="7"/>
      <c r="O11" s="1"/>
      <c r="P11" s="331">
        <f>D11</f>
      </c>
      <c r="Q11" s="169"/>
      <c r="R11" s="1"/>
      <c r="S11" s="217">
        <f>(1+$M$5)^(D11/12)*(IF(E11=$C$6,$Q$4+$H$5*12,0))</f>
      </c>
      <c r="T11" s="217">
        <f>(1+$M$5)^(D11/12)*(IF(YEAR(E11)&gt;YEAR($C$6),L11,0)+IF(E11=$C$6,$H$5*12+$Q$4,0))</f>
      </c>
    </row>
    <row x14ac:dyDescent="0.25" r="12" customHeight="1" ht="18.75">
      <c r="A12" s="1"/>
      <c r="B12" s="7"/>
      <c r="C12" s="170"/>
      <c r="D12" s="331">
        <v>5</v>
      </c>
      <c r="E12" s="544">
        <f>+DATE(YEAR(E11),MONTH(E11)-1,DAY(E11))</f>
        <v>25569.041666666668</v>
      </c>
      <c r="F12" s="333">
        <f>IF(DATE(YEAR($B$6),MONTH($B$6)+1,DAY(1))=E12,1,IF(MONTH(E12)=1,F13*(1+$F$5),F13))</f>
      </c>
      <c r="G12" s="333">
        <f>IF('Simulador - 1º Pilar'!$E$99="Sí",IF('Aportaciones Flex'!$B$13&lt;'Aportaciones Flex'!E12,0,F12*$B$8/12),F12*$B$8/12)</f>
      </c>
      <c r="H12" s="333">
        <f>IF(G12&gt;0,1,0)*$H$5*IF(AND($I$5="NO",YEAR(E12)=YEAR($B$6)+1),1,IF($I$5="SI",1,0))</f>
      </c>
      <c r="I12" s="217">
        <f>(1+$M$5)^(D12/12)*(H12*(12-IF(MONTH(E13)=12,0,MONTH(E13)))+IF(AND(F12=1,F13=0),$Q$4,0))*IF(AND(F12=1,F13=0),1,0)</f>
      </c>
      <c r="J12" s="333">
        <f>(1+$M$5)^(D12/12)*(H12+IF(AND(F12=1,F13=0),$Q$4,0))</f>
      </c>
      <c r="K12" s="351"/>
      <c r="L12" s="333">
        <f>K12+J12</f>
      </c>
      <c r="M12" s="724"/>
      <c r="N12" s="7"/>
      <c r="O12" s="1"/>
      <c r="P12" s="331">
        <f>D12</f>
      </c>
      <c r="Q12" s="169"/>
      <c r="R12" s="1"/>
      <c r="S12" s="217">
        <f>(1+$M$5)^(D12/12)*(IF(E12=$C$6,$Q$4+$H$5*12,0))</f>
      </c>
      <c r="T12" s="217">
        <f>(1+$M$5)^(D12/12)*(IF(YEAR(E12)&gt;YEAR($C$6),L12,0)+IF(E12=$C$6,$H$5*12+$Q$4,0))</f>
      </c>
    </row>
    <row x14ac:dyDescent="0.25" r="13" customHeight="1" ht="18.75">
      <c r="A13" s="339" t="s">
        <v>275</v>
      </c>
      <c r="B13" s="544">
        <f>'Simulador - 1º Pilar'!G16</f>
        <v>25569.041666666668</v>
      </c>
      <c r="C13" s="170"/>
      <c r="D13" s="331">
        <v>6</v>
      </c>
      <c r="E13" s="544">
        <f>+DATE(YEAR(E12),MONTH(E12)-1,DAY(E12))</f>
        <v>25569.041666666668</v>
      </c>
      <c r="F13" s="333">
        <f>IF(DATE(YEAR($B$6),MONTH($B$6)+1,DAY(1))=E13,1,IF(MONTH(E13)=1,F14*(1+$F$5),F14))</f>
      </c>
      <c r="G13" s="333">
        <f>IF('Simulador - 1º Pilar'!$E$99="Sí",IF('Aportaciones Flex'!$B$13&lt;'Aportaciones Flex'!E13,0,F13*$B$8/12),F13*$B$8/12)</f>
      </c>
      <c r="H13" s="333">
        <f>IF(G13&gt;0,1,0)*$H$5*IF(AND($I$5="NO",YEAR(E13)=YEAR($B$6)+1),1,IF($I$5="SI",1,0))</f>
      </c>
      <c r="I13" s="217">
        <f>(1+$M$5)^(D13/12)*(H13*(12-IF(MONTH(E14)=12,0,MONTH(E14)))+IF(AND(F13=1,F14=0),$Q$4,0))*IF(AND(F13=1,F14=0),1,0)</f>
      </c>
      <c r="J13" s="333">
        <f>(1+$M$5)^(D13/12)*(H13+IF(AND(F13=1,F14=0),$Q$4,0))</f>
      </c>
      <c r="K13" s="351"/>
      <c r="L13" s="333">
        <f>K13+J13</f>
      </c>
      <c r="M13" s="724"/>
      <c r="N13" s="7"/>
      <c r="O13" s="1"/>
      <c r="P13" s="331">
        <f>D13</f>
      </c>
      <c r="Q13" s="169"/>
      <c r="R13" s="1"/>
      <c r="S13" s="217">
        <f>(1+$M$5)^(D13/12)*(IF(E13=$C$6,$Q$4+$H$5*12,0))</f>
      </c>
      <c r="T13" s="217">
        <f>(1+$M$5)^(D13/12)*(IF(YEAR(E13)&gt;YEAR($C$6),L13,0)+IF(E13=$C$6,$H$5*12+$Q$4,0))</f>
      </c>
    </row>
    <row x14ac:dyDescent="0.25" r="14" customHeight="1" ht="18.75">
      <c r="A14" s="1"/>
      <c r="B14" s="555">
        <f>DATE(YEAR(B13),MONTH(B13),DAY(1))</f>
        <v>25569.041666666668</v>
      </c>
      <c r="C14" s="170">
        <f>VLOOKUP(B14,E7:P1066,12,0)</f>
      </c>
      <c r="D14" s="331">
        <v>7</v>
      </c>
      <c r="E14" s="544">
        <f>+DATE(YEAR(E13),MONTH(E13)-1,DAY(E13))</f>
        <v>25569.041666666668</v>
      </c>
      <c r="F14" s="333">
        <f>IF(DATE(YEAR($B$6),MONTH($B$6)+1,DAY(1))=E14,1,IF(MONTH(E14)=1,F15*(1+$F$5),F15))</f>
      </c>
      <c r="G14" s="333">
        <f>IF('Simulador - 1º Pilar'!$E$99="Sí",IF('Aportaciones Flex'!$B$13&lt;'Aportaciones Flex'!E14,0,F14*$B$8/12),F14*$B$8/12)</f>
      </c>
      <c r="H14" s="333">
        <f>IF(G14&gt;0,1,0)*$H$5*IF(AND($I$5="NO",YEAR(E14)=YEAR($B$6)+1),1,IF($I$5="SI",1,0))</f>
      </c>
      <c r="I14" s="217">
        <f>(1+$M$5)^(D14/12)*(H14*(12-IF(MONTH(E15)=12,0,MONTH(E15)))+IF(AND(F14=1,F15=0),$Q$4,0))*IF(AND(F14=1,F15=0),1,0)</f>
      </c>
      <c r="J14" s="333">
        <f>(1+$M$5)^(D14/12)*(H14+IF(AND(F14=1,F15=0),$Q$4,0))</f>
      </c>
      <c r="K14" s="351"/>
      <c r="L14" s="333">
        <f>K14+J14</f>
      </c>
      <c r="M14" s="724"/>
      <c r="N14" s="7"/>
      <c r="O14" s="1"/>
      <c r="P14" s="331">
        <f>D14</f>
      </c>
      <c r="Q14" s="169"/>
      <c r="R14" s="1"/>
      <c r="S14" s="217">
        <f>(1+$M$5)^(D14/12)*(IF(E14=$C$6,$Q$4+$H$5*12,0))</f>
      </c>
      <c r="T14" s="217">
        <f>(1+$M$5)^(D14/12)*(IF(YEAR(E14)&gt;YEAR($C$6),L14,0)+IF(E14=$C$6,$H$5*12+$Q$4,0))</f>
      </c>
    </row>
    <row x14ac:dyDescent="0.25" r="15" customHeight="1" ht="18.75">
      <c r="A15" s="1"/>
      <c r="B15" s="7"/>
      <c r="C15" s="170"/>
      <c r="D15" s="331">
        <v>8</v>
      </c>
      <c r="E15" s="544">
        <f>+DATE(YEAR(E14),MONTH(E14)-1,DAY(E14))</f>
        <v>25569.041666666668</v>
      </c>
      <c r="F15" s="333">
        <f>IF(DATE(YEAR($B$6),MONTH($B$6)+1,DAY(1))=E15,1,IF(MONTH(E15)=1,F16*(1+$F$5),F16))</f>
      </c>
      <c r="G15" s="333">
        <f>IF('Simulador - 1º Pilar'!$E$99="Sí",IF('Aportaciones Flex'!$B$13&lt;'Aportaciones Flex'!E15,0,F15*$B$8/12),F15*$B$8/12)</f>
      </c>
      <c r="H15" s="333">
        <f>IF(G15&gt;0,1,0)*$H$5*IF(AND($I$5="NO",YEAR(E15)=YEAR($B$6)+1),1,IF($I$5="SI",1,0))</f>
      </c>
      <c r="I15" s="217">
        <f>(1+$M$5)^(D15/12)*(H15*(12-IF(MONTH(E16)=12,0,MONTH(E16)))+IF(AND(F15=1,F16=0),$Q$4,0))*IF(AND(F15=1,F16=0),1,0)</f>
      </c>
      <c r="J15" s="333">
        <f>(1+$M$5)^(D15/12)*(H15+IF(AND(F15=1,F16=0),$Q$4,0))</f>
      </c>
      <c r="K15" s="351"/>
      <c r="L15" s="333">
        <f>K15+J15</f>
      </c>
      <c r="M15" s="724"/>
      <c r="N15" s="7"/>
      <c r="O15" s="1"/>
      <c r="P15" s="331">
        <f>D15</f>
      </c>
      <c r="Q15" s="169"/>
      <c r="R15" s="1"/>
      <c r="S15" s="217">
        <f>(1+$M$5)^(D15/12)*(IF(E15=$C$6,$Q$4+$H$5*12,0))</f>
      </c>
      <c r="T15" s="217">
        <f>(1+$M$5)^(D15/12)*(IF(YEAR(E15)&gt;YEAR($C$6),L15,0)+IF(E15=$C$6,$H$5*12+$Q$4,0))</f>
      </c>
    </row>
    <row x14ac:dyDescent="0.25" r="16" customHeight="1" ht="18.75">
      <c r="A16" s="1"/>
      <c r="B16" s="7"/>
      <c r="C16" s="170"/>
      <c r="D16" s="331">
        <v>9</v>
      </c>
      <c r="E16" s="544">
        <f>+DATE(YEAR(E15),MONTH(E15)-1,DAY(E15))</f>
        <v>25569.041666666668</v>
      </c>
      <c r="F16" s="333">
        <f>IF(DATE(YEAR($B$6),MONTH($B$6)+1,DAY(1))=E16,1,IF(MONTH(E16)=1,F17*(1+$F$5),F17))</f>
      </c>
      <c r="G16" s="333">
        <f>IF('Simulador - 1º Pilar'!$E$99="Sí",IF('Aportaciones Flex'!$B$13&lt;'Aportaciones Flex'!E16,0,F16*$B$8/12),F16*$B$8/12)</f>
      </c>
      <c r="H16" s="333">
        <f>IF(G16&gt;0,1,0)*$H$5*IF(AND($I$5="NO",YEAR(E16)=YEAR($B$6)+1),1,IF($I$5="SI",1,0))</f>
      </c>
      <c r="I16" s="217">
        <f>(1+$M$5)^(D16/12)*(H16*(12-IF(MONTH(E17)=12,0,MONTH(E17)))+IF(AND(F16=1,F17=0),$Q$4,0))*IF(AND(F16=1,F17=0),1,0)</f>
      </c>
      <c r="J16" s="333">
        <f>(1+$M$5)^(D16/12)*(H16+IF(AND(F16=1,F17=0),$Q$4,0))</f>
      </c>
      <c r="K16" s="351"/>
      <c r="L16" s="333">
        <f>K16+J16</f>
      </c>
      <c r="M16" s="724"/>
      <c r="N16" s="7"/>
      <c r="O16" s="1"/>
      <c r="P16" s="331">
        <f>D16</f>
      </c>
      <c r="Q16" s="169"/>
      <c r="R16" s="1"/>
      <c r="S16" s="217">
        <f>(1+$M$5)^(D16/12)*(IF(E16=$C$6,$Q$4+$H$5*12,0))</f>
      </c>
      <c r="T16" s="217">
        <f>(1+$M$5)^(D16/12)*(IF(YEAR(E16)&gt;YEAR($C$6),L16,0)+IF(E16=$C$6,$H$5*12+$Q$4,0))</f>
      </c>
    </row>
    <row x14ac:dyDescent="0.25" r="17" customHeight="1" ht="18.75">
      <c r="A17" s="1"/>
      <c r="B17" s="7"/>
      <c r="C17" s="170"/>
      <c r="D17" s="331">
        <v>10</v>
      </c>
      <c r="E17" s="544">
        <f>+DATE(YEAR(E16),MONTH(E16)-1,DAY(E16))</f>
        <v>25569.041666666668</v>
      </c>
      <c r="F17" s="333">
        <f>IF(DATE(YEAR($B$6),MONTH($B$6)+1,DAY(1))=E17,1,IF(MONTH(E17)=1,F18*(1+$F$5),F18))</f>
      </c>
      <c r="G17" s="333">
        <f>IF('Simulador - 1º Pilar'!$E$99="Sí",IF('Aportaciones Flex'!$B$13&lt;'Aportaciones Flex'!E17,0,F17*$B$8/12),F17*$B$8/12)</f>
      </c>
      <c r="H17" s="333">
        <f>IF(G17&gt;0,1,0)*$H$5*IF(AND($I$5="NO",YEAR(E17)=YEAR($B$6)+1),1,IF($I$5="SI",1,0))</f>
      </c>
      <c r="I17" s="217">
        <f>(1+$M$5)^(D17/12)*(H17*(12-IF(MONTH(E18)=12,0,MONTH(E18)))+IF(AND(F17=1,F18=0),$Q$4,0))*IF(AND(F17=1,F18=0),1,0)</f>
      </c>
      <c r="J17" s="333">
        <f>(1+$M$5)^(D17/12)*(H17+IF(AND(F17=1,F18=0),$Q$4,0))</f>
      </c>
      <c r="K17" s="351"/>
      <c r="L17" s="333">
        <f>K17+J17</f>
      </c>
      <c r="M17" s="724"/>
      <c r="N17" s="7"/>
      <c r="O17" s="1"/>
      <c r="P17" s="331">
        <f>D17</f>
      </c>
      <c r="Q17" s="169"/>
      <c r="R17" s="1"/>
      <c r="S17" s="217">
        <f>(1+$M$5)^(D17/12)*(IF(E17=$C$6,$Q$4+$H$5*12,0))</f>
      </c>
      <c r="T17" s="217">
        <f>(1+$M$5)^(D17/12)*(IF(YEAR(E17)&gt;YEAR($C$6),L17,0)+IF(E17=$C$6,$H$5*12+$Q$4,0))</f>
      </c>
    </row>
    <row x14ac:dyDescent="0.25" r="18" customHeight="1" ht="18.75">
      <c r="A18" s="1"/>
      <c r="B18" s="7"/>
      <c r="C18" s="170"/>
      <c r="D18" s="331">
        <v>11</v>
      </c>
      <c r="E18" s="544">
        <f>+DATE(YEAR(E17),MONTH(E17)-1,DAY(E17))</f>
        <v>25569.041666666668</v>
      </c>
      <c r="F18" s="333">
        <f>IF(DATE(YEAR($B$6),MONTH($B$6)+1,DAY(1))=E18,1,IF(MONTH(E18)=1,F19*(1+$F$5),F19))</f>
      </c>
      <c r="G18" s="333">
        <f>IF('Simulador - 1º Pilar'!$E$99="Sí",IF('Aportaciones Flex'!$B$13&lt;'Aportaciones Flex'!E18,0,F18*$B$8/12),F18*$B$8/12)</f>
      </c>
      <c r="H18" s="333">
        <f>IF(G18&gt;0,1,0)*$H$5*IF(AND($I$5="NO",YEAR(E18)=YEAR($B$6)+1),1,IF($I$5="SI",1,0))</f>
      </c>
      <c r="I18" s="217">
        <f>(1+$M$5)^(D18/12)*(H18*(12-IF(MONTH(E19)=12,0,MONTH(E19)))+IF(AND(F18=1,F19=0),$Q$4,0))*IF(AND(F18=1,F19=0),1,0)</f>
      </c>
      <c r="J18" s="333">
        <f>(1+$M$5)^(D18/12)*(H18+IF(AND(F18=1,F19=0),$Q$4,0))</f>
      </c>
      <c r="K18" s="351"/>
      <c r="L18" s="333">
        <f>K18+J18</f>
      </c>
      <c r="M18" s="724"/>
      <c r="N18" s="7"/>
      <c r="O18" s="1"/>
      <c r="P18" s="331">
        <f>D18</f>
      </c>
      <c r="Q18" s="169"/>
      <c r="R18" s="1"/>
      <c r="S18" s="217">
        <f>(1+$M$5)^(D18/12)*(IF(E18=$C$6,$Q$4+$H$5*12,0))</f>
      </c>
      <c r="T18" s="217">
        <f>(1+$M$5)^(D18/12)*(IF(YEAR(E18)&gt;YEAR($C$6),L18,0)+IF(E18=$C$6,$H$5*12+$Q$4,0))</f>
      </c>
    </row>
    <row x14ac:dyDescent="0.25" r="19" customHeight="1" ht="18.75">
      <c r="A19" s="1"/>
      <c r="B19" s="7"/>
      <c r="C19" s="170"/>
      <c r="D19" s="331">
        <v>12</v>
      </c>
      <c r="E19" s="544">
        <f>+DATE(YEAR(E18),MONTH(E18)-1,DAY(E18))</f>
        <v>25569.041666666668</v>
      </c>
      <c r="F19" s="333">
        <f>IF(DATE(YEAR($B$6),MONTH($B$6)+1,DAY(1))=E19,1,IF(MONTH(E19)=1,F20*(1+$F$5),F20))</f>
      </c>
      <c r="G19" s="333">
        <f>IF('Simulador - 1º Pilar'!$E$99="Sí",IF('Aportaciones Flex'!$B$13&lt;'Aportaciones Flex'!E19,0,F19*$B$8/12),F19*$B$8/12)</f>
      </c>
      <c r="H19" s="333">
        <f>IF(G19&gt;0,1,0)*$H$5*IF(AND($I$5="NO",YEAR(E19)=YEAR($B$6)+1),1,IF($I$5="SI",1,0))</f>
      </c>
      <c r="I19" s="217">
        <f>(1+$M$5)^(D19/12)*(H19*(12-IF(MONTH(E20)=12,0,MONTH(E20)))+IF(AND(F19=1,F20=0),$Q$4,0))*IF(AND(F19=1,F20=0),1,0)</f>
      </c>
      <c r="J19" s="333">
        <f>(1+$M$5)^(D19/12)*(H19+IF(AND(F19=1,F20=0),$Q$4,0))</f>
      </c>
      <c r="K19" s="351"/>
      <c r="L19" s="333">
        <f>K19+J19</f>
      </c>
      <c r="M19" s="724"/>
      <c r="N19" s="7"/>
      <c r="O19" s="1"/>
      <c r="P19" s="331">
        <f>D19</f>
      </c>
      <c r="Q19" s="169"/>
      <c r="R19" s="1"/>
      <c r="S19" s="217">
        <f>(1+$M$5)^(D19/12)*(IF(E19=$C$6,$Q$4+$H$5*12,0))</f>
      </c>
      <c r="T19" s="217">
        <f>(1+$M$5)^(D19/12)*(IF(YEAR(E19)&gt;YEAR($C$6),L19,0)+IF(E19=$C$6,$H$5*12+$Q$4,0))</f>
      </c>
    </row>
    <row x14ac:dyDescent="0.25" r="20" customHeight="1" ht="18.75">
      <c r="A20" s="1"/>
      <c r="B20" s="7"/>
      <c r="C20" s="170"/>
      <c r="D20" s="331">
        <v>13</v>
      </c>
      <c r="E20" s="544">
        <f>+DATE(YEAR(E19),MONTH(E19)-1,DAY(E19))</f>
        <v>25569.041666666668</v>
      </c>
      <c r="F20" s="333">
        <f>IF(DATE(YEAR($B$6),MONTH($B$6)+1,DAY(1))=E20,1,IF(MONTH(E20)=1,F21*(1+$F$5),F21))</f>
      </c>
      <c r="G20" s="333">
        <f>IF('Simulador - 1º Pilar'!$E$99="Sí",IF('Aportaciones Flex'!$B$13&lt;'Aportaciones Flex'!E20,0,F20*$B$8/12),F20*$B$8/12)</f>
      </c>
      <c r="H20" s="333">
        <f>IF(G20&gt;0,1,0)*$H$5*IF(AND($I$5="NO",YEAR(E20)=YEAR($B$6)+1),1,IF($I$5="SI",1,0))</f>
      </c>
      <c r="I20" s="217">
        <f>(1+$M$5)^(D20/12)*(H20*(12-IF(MONTH(E21)=12,0,MONTH(E21)))+IF(AND(F20=1,F21=0),$Q$4,0))*IF(AND(F20=1,F21=0),1,0)</f>
      </c>
      <c r="J20" s="333">
        <f>(1+$M$5)^(D20/12)*(H20+IF(AND(F20=1,F21=0),$Q$4,0))</f>
      </c>
      <c r="K20" s="351"/>
      <c r="L20" s="333">
        <f>K20+J20</f>
      </c>
      <c r="M20" s="724"/>
      <c r="N20" s="7"/>
      <c r="O20" s="1"/>
      <c r="P20" s="331">
        <f>D20</f>
      </c>
      <c r="Q20" s="169"/>
      <c r="R20" s="1"/>
      <c r="S20" s="217">
        <f>(1+$M$5)^(D20/12)*(IF(E20=$C$6,$Q$4+$H$5*12,0))</f>
      </c>
      <c r="T20" s="217">
        <f>(1+$M$5)^(D20/12)*(IF(YEAR(E20)&gt;YEAR($C$6),L20,0)+IF(E20=$C$6,$H$5*12+$Q$4,0))</f>
      </c>
    </row>
    <row x14ac:dyDescent="0.25" r="21" customHeight="1" ht="18.75">
      <c r="A21" s="1"/>
      <c r="B21" s="7"/>
      <c r="C21" s="170"/>
      <c r="D21" s="331">
        <v>14</v>
      </c>
      <c r="E21" s="544">
        <f>+DATE(YEAR(E20),MONTH(E20)-1,DAY(E20))</f>
        <v>25569.041666666668</v>
      </c>
      <c r="F21" s="333">
        <f>IF(DATE(YEAR($B$6),MONTH($B$6)+1,DAY(1))=E21,1,IF(MONTH(E21)=1,F22*(1+$F$5),F22))</f>
      </c>
      <c r="G21" s="333">
        <f>IF('Simulador - 1º Pilar'!$E$99="Sí",IF('Aportaciones Flex'!$B$13&lt;'Aportaciones Flex'!E21,0,F21*$B$8/12),F21*$B$8/12)</f>
      </c>
      <c r="H21" s="333">
        <f>IF(G21&gt;0,1,0)*$H$5*IF(AND($I$5="NO",YEAR(E21)=YEAR($B$6)+1),1,IF($I$5="SI",1,0))</f>
      </c>
      <c r="I21" s="217">
        <f>(1+$M$5)^(D21/12)*(H21*(12-IF(MONTH(E22)=12,0,MONTH(E22)))+IF(AND(F21=1,F22=0),$Q$4,0))*IF(AND(F21=1,F22=0),1,0)</f>
      </c>
      <c r="J21" s="333">
        <f>(1+$M$5)^(D21/12)*(H21+IF(AND(F21=1,F22=0),$Q$4,0))</f>
      </c>
      <c r="K21" s="351"/>
      <c r="L21" s="333">
        <f>K21+J21</f>
      </c>
      <c r="M21" s="724"/>
      <c r="N21" s="7"/>
      <c r="O21" s="1"/>
      <c r="P21" s="331">
        <f>D21</f>
      </c>
      <c r="Q21" s="169"/>
      <c r="R21" s="1"/>
      <c r="S21" s="217">
        <f>(1+$M$5)^(D21/12)*(IF(E21=$C$6,$Q$4+$H$5*12,0))</f>
      </c>
      <c r="T21" s="217">
        <f>(1+$M$5)^(D21/12)*(IF(YEAR(E21)&gt;YEAR($C$6),L21,0)+IF(E21=$C$6,$H$5*12+$Q$4,0))</f>
      </c>
    </row>
    <row x14ac:dyDescent="0.25" r="22" customHeight="1" ht="18.75">
      <c r="A22" s="1"/>
      <c r="B22" s="7"/>
      <c r="C22" s="170"/>
      <c r="D22" s="331">
        <v>15</v>
      </c>
      <c r="E22" s="544">
        <f>+DATE(YEAR(E21),MONTH(E21)-1,DAY(E21))</f>
        <v>25569.041666666668</v>
      </c>
      <c r="F22" s="333">
        <f>IF(DATE(YEAR($B$6),MONTH($B$6)+1,DAY(1))=E22,1,IF(MONTH(E22)=1,F23*(1+$F$5),F23))</f>
      </c>
      <c r="G22" s="333">
        <f>IF('Simulador - 1º Pilar'!$E$99="Sí",IF('Aportaciones Flex'!$B$13&lt;'Aportaciones Flex'!E22,0,F22*$B$8/12),F22*$B$8/12)</f>
      </c>
      <c r="H22" s="333">
        <f>IF(G22&gt;0,1,0)*$H$5*IF(AND($I$5="NO",YEAR(E22)=YEAR($B$6)+1),1,IF($I$5="SI",1,0))</f>
      </c>
      <c r="I22" s="217">
        <f>(1+$M$5)^(D22/12)*(H22*(12-IF(MONTH(E23)=12,0,MONTH(E23)))+IF(AND(F22=1,F23=0),$Q$4,0))*IF(AND(F22=1,F23=0),1,0)</f>
      </c>
      <c r="J22" s="333">
        <f>(1+$M$5)^(D22/12)*(H22+IF(AND(F22=1,F23=0),$Q$4,0))</f>
      </c>
      <c r="K22" s="351"/>
      <c r="L22" s="333">
        <f>K22+J22</f>
      </c>
      <c r="M22" s="724"/>
      <c r="N22" s="7"/>
      <c r="O22" s="1"/>
      <c r="P22" s="331">
        <f>D22</f>
      </c>
      <c r="Q22" s="169"/>
      <c r="R22" s="1"/>
      <c r="S22" s="217">
        <f>(1+$M$5)^(D22/12)*(IF(E22=$C$6,$Q$4+$H$5*12,0))</f>
      </c>
      <c r="T22" s="217">
        <f>(1+$M$5)^(D22/12)*(IF(YEAR(E22)&gt;YEAR($C$6),L22,0)+IF(E22=$C$6,$H$5*12+$Q$4,0))</f>
      </c>
    </row>
    <row x14ac:dyDescent="0.25" r="23" customHeight="1" ht="18.75">
      <c r="A23" s="1"/>
      <c r="B23" s="7"/>
      <c r="C23" s="170"/>
      <c r="D23" s="331">
        <v>16</v>
      </c>
      <c r="E23" s="544">
        <f>+DATE(YEAR(E22),MONTH(E22)-1,DAY(E22))</f>
        <v>25569.041666666668</v>
      </c>
      <c r="F23" s="333">
        <f>IF(DATE(YEAR($B$6),MONTH($B$6)+1,DAY(1))=E23,1,IF(MONTH(E23)=1,F24*(1+$F$5),F24))</f>
      </c>
      <c r="G23" s="333">
        <f>IF('Simulador - 1º Pilar'!$E$99="Sí",IF('Aportaciones Flex'!$B$13&lt;'Aportaciones Flex'!E23,0,F23*$B$8/12),F23*$B$8/12)</f>
      </c>
      <c r="H23" s="333">
        <f>IF(G23&gt;0,1,0)*$H$5*IF(AND($I$5="NO",YEAR(E23)=YEAR($B$6)+1),1,IF($I$5="SI",1,0))</f>
      </c>
      <c r="I23" s="217">
        <f>(1+$M$5)^(D23/12)*(H23*(12-IF(MONTH(E24)=12,0,MONTH(E24)))+IF(AND(F23=1,F24=0),$Q$4,0))*IF(AND(F23=1,F24=0),1,0)</f>
      </c>
      <c r="J23" s="333">
        <f>(1+$M$5)^(D23/12)*(H23+IF(AND(F23=1,F24=0),$Q$4,0))</f>
      </c>
      <c r="K23" s="351"/>
      <c r="L23" s="333">
        <f>K23+J23</f>
      </c>
      <c r="M23" s="724"/>
      <c r="N23" s="7"/>
      <c r="O23" s="1"/>
      <c r="P23" s="331">
        <f>D23</f>
      </c>
      <c r="Q23" s="169"/>
      <c r="R23" s="1"/>
      <c r="S23" s="217">
        <f>(1+$M$5)^(D23/12)*(IF(E23=$C$6,$Q$4+$H$5*12,0))</f>
      </c>
      <c r="T23" s="217">
        <f>(1+$M$5)^(D23/12)*(IF(YEAR(E23)&gt;YEAR($C$6),L23,0)+IF(E23=$C$6,$H$5*12+$Q$4,0))</f>
      </c>
    </row>
    <row x14ac:dyDescent="0.25" r="24" customHeight="1" ht="18.75">
      <c r="A24" s="1"/>
      <c r="B24" s="7"/>
      <c r="C24" s="170"/>
      <c r="D24" s="331">
        <v>17</v>
      </c>
      <c r="E24" s="544">
        <f>+DATE(YEAR(E23),MONTH(E23)-1,DAY(E23))</f>
        <v>25569.041666666668</v>
      </c>
      <c r="F24" s="333">
        <f>IF(DATE(YEAR($B$6),MONTH($B$6)+1,DAY(1))=E24,1,IF(MONTH(E24)=1,F25*(1+$F$5),F25))</f>
      </c>
      <c r="G24" s="333">
        <f>IF('Simulador - 1º Pilar'!$E$99="Sí",IF('Aportaciones Flex'!$B$13&lt;'Aportaciones Flex'!E24,0,F24*$B$8/12),F24*$B$8/12)</f>
      </c>
      <c r="H24" s="333">
        <f>IF(G24&gt;0,1,0)*$H$5*IF(AND($I$5="NO",YEAR(E24)=YEAR($B$6)+1),1,IF($I$5="SI",1,0))</f>
      </c>
      <c r="I24" s="217">
        <f>(1+$M$5)^(D24/12)*(H24*(12-IF(MONTH(E25)=12,0,MONTH(E25)))+IF(AND(F24=1,F25=0),$Q$4,0))*IF(AND(F24=1,F25=0),1,0)</f>
      </c>
      <c r="J24" s="333">
        <f>(1+$M$5)^(D24/12)*(H24+IF(AND(F24=1,F25=0),$Q$4,0))</f>
      </c>
      <c r="K24" s="351"/>
      <c r="L24" s="333">
        <f>K24+J24</f>
      </c>
      <c r="M24" s="724"/>
      <c r="N24" s="7"/>
      <c r="O24" s="1"/>
      <c r="P24" s="331">
        <f>D24</f>
      </c>
      <c r="Q24" s="169"/>
      <c r="R24" s="1"/>
      <c r="S24" s="217">
        <f>(1+$M$5)^(D24/12)*(IF(E24=$C$6,$Q$4+$H$5*12,0))</f>
      </c>
      <c r="T24" s="217">
        <f>(1+$M$5)^(D24/12)*(IF(YEAR(E24)&gt;YEAR($C$6),L24,0)+IF(E24=$C$6,$H$5*12+$Q$4,0))</f>
      </c>
    </row>
    <row x14ac:dyDescent="0.25" r="25" customHeight="1" ht="18.75">
      <c r="A25" s="1"/>
      <c r="B25" s="7"/>
      <c r="C25" s="170"/>
      <c r="D25" s="331">
        <v>18</v>
      </c>
      <c r="E25" s="544">
        <f>+DATE(YEAR(E24),MONTH(E24)-1,DAY(E24))</f>
        <v>25569.041666666668</v>
      </c>
      <c r="F25" s="333">
        <f>IF(DATE(YEAR($B$6),MONTH($B$6)+1,DAY(1))=E25,1,IF(MONTH(E25)=1,F26*(1+$F$5),F26))</f>
      </c>
      <c r="G25" s="333">
        <f>IF('Simulador - 1º Pilar'!$E$99="Sí",IF('Aportaciones Flex'!$B$13&lt;'Aportaciones Flex'!E25,0,F25*$B$8/12),F25*$B$8/12)</f>
      </c>
      <c r="H25" s="333">
        <f>IF(G25&gt;0,1,0)*$H$5*IF(AND($I$5="NO",YEAR(E25)=YEAR($B$6)+1),1,IF($I$5="SI",1,0))</f>
      </c>
      <c r="I25" s="217">
        <f>(1+$M$5)^(D25/12)*(H25*(12-IF(MONTH(E26)=12,0,MONTH(E26)))+IF(AND(F25=1,F26=0),$Q$4,0))*IF(AND(F25=1,F26=0),1,0)</f>
      </c>
      <c r="J25" s="333">
        <f>(1+$M$5)^(D25/12)*(H25+IF(AND(F25=1,F26=0),$Q$4,0))</f>
      </c>
      <c r="K25" s="351"/>
      <c r="L25" s="333">
        <f>K25+J25</f>
      </c>
      <c r="M25" s="724"/>
      <c r="N25" s="7"/>
      <c r="O25" s="1"/>
      <c r="P25" s="331">
        <f>D25</f>
      </c>
      <c r="Q25" s="169"/>
      <c r="R25" s="1"/>
      <c r="S25" s="217">
        <f>(1+$M$5)^(D25/12)*(IF(E25=$C$6,$Q$4+$H$5*12,0))</f>
      </c>
      <c r="T25" s="217">
        <f>(1+$M$5)^(D25/12)*(IF(YEAR(E25)&gt;YEAR($C$6),L25,0)+IF(E25=$C$6,$H$5*12+$Q$4,0))</f>
      </c>
    </row>
    <row x14ac:dyDescent="0.25" r="26" customHeight="1" ht="18.75">
      <c r="A26" s="1"/>
      <c r="B26" s="7"/>
      <c r="C26" s="170"/>
      <c r="D26" s="331">
        <v>19</v>
      </c>
      <c r="E26" s="544">
        <f>+DATE(YEAR(E25),MONTH(E25)-1,DAY(E25))</f>
        <v>25569.041666666668</v>
      </c>
      <c r="F26" s="333">
        <f>IF(DATE(YEAR($B$6),MONTH($B$6)+1,DAY(1))=E26,1,IF(MONTH(E26)=1,F27*(1+$F$5),F27))</f>
      </c>
      <c r="G26" s="333">
        <f>IF('Simulador - 1º Pilar'!$E$99="Sí",IF('Aportaciones Flex'!$B$13&lt;'Aportaciones Flex'!E26,0,F26*$B$8/12),F26*$B$8/12)</f>
      </c>
      <c r="H26" s="333">
        <f>IF(G26&gt;0,1,0)*$H$5*IF(AND($I$5="NO",YEAR(E26)=YEAR($B$6)+1),1,IF($I$5="SI",1,0))</f>
      </c>
      <c r="I26" s="217">
        <f>(1+$M$5)^(D26/12)*(H26*(12-IF(MONTH(E27)=12,0,MONTH(E27)))+IF(AND(F26=1,F27=0),$Q$4,0))*IF(AND(F26=1,F27=0),1,0)</f>
      </c>
      <c r="J26" s="333">
        <f>(1+$M$5)^(D26/12)*(H26+IF(AND(F26=1,F27=0),$Q$4,0))</f>
      </c>
      <c r="K26" s="351"/>
      <c r="L26" s="333">
        <f>K26+J26</f>
      </c>
      <c r="M26" s="724"/>
      <c r="N26" s="7"/>
      <c r="O26" s="1"/>
      <c r="P26" s="331">
        <f>D26</f>
      </c>
      <c r="Q26" s="169"/>
      <c r="R26" s="1"/>
      <c r="S26" s="217">
        <f>(1+$M$5)^(D26/12)*(IF(E26=$C$6,$Q$4+$H$5*12,0))</f>
      </c>
      <c r="T26" s="217">
        <f>(1+$M$5)^(D26/12)*(IF(YEAR(E26)&gt;YEAR($C$6),L26,0)+IF(E26=$C$6,$H$5*12+$Q$4,0))</f>
      </c>
    </row>
    <row x14ac:dyDescent="0.25" r="27" customHeight="1" ht="18.75">
      <c r="A27" s="1"/>
      <c r="B27" s="7"/>
      <c r="C27" s="170"/>
      <c r="D27" s="331">
        <v>20</v>
      </c>
      <c r="E27" s="544">
        <f>+DATE(YEAR(E26),MONTH(E26)-1,DAY(E26))</f>
        <v>25569.041666666668</v>
      </c>
      <c r="F27" s="333">
        <f>IF(DATE(YEAR($B$6),MONTH($B$6)+1,DAY(1))=E27,1,IF(MONTH(E27)=1,F28*(1+$F$5),F28))</f>
      </c>
      <c r="G27" s="333">
        <f>IF('Simulador - 1º Pilar'!$E$99="Sí",IF('Aportaciones Flex'!$B$13&lt;'Aportaciones Flex'!E27,0,F27*$B$8/12),F27*$B$8/12)</f>
      </c>
      <c r="H27" s="333">
        <f>IF(G27&gt;0,1,0)*$H$5*IF(AND($I$5="NO",YEAR(E27)=YEAR($B$6)+1),1,IF($I$5="SI",1,0))</f>
      </c>
      <c r="I27" s="217">
        <f>(1+$M$5)^(D27/12)*(H27*(12-IF(MONTH(E28)=12,0,MONTH(E28)))+IF(AND(F27=1,F28=0),$Q$4,0))*IF(AND(F27=1,F28=0),1,0)</f>
      </c>
      <c r="J27" s="333">
        <f>(1+$M$5)^(D27/12)*(H27+IF(AND(F27=1,F28=0),$Q$4,0))</f>
      </c>
      <c r="K27" s="351"/>
      <c r="L27" s="333">
        <f>K27+J27</f>
      </c>
      <c r="M27" s="724"/>
      <c r="N27" s="7"/>
      <c r="O27" s="1"/>
      <c r="P27" s="331">
        <f>D27</f>
      </c>
      <c r="Q27" s="169"/>
      <c r="R27" s="1"/>
      <c r="S27" s="217">
        <f>(1+$M$5)^(D27/12)*(IF(E27=$C$6,$Q$4+$H$5*12,0))</f>
      </c>
      <c r="T27" s="217">
        <f>(1+$M$5)^(D27/12)*(IF(YEAR(E27)&gt;YEAR($C$6),L27,0)+IF(E27=$C$6,$H$5*12+$Q$4,0))</f>
      </c>
    </row>
    <row x14ac:dyDescent="0.25" r="28" customHeight="1" ht="18.75">
      <c r="A28" s="1"/>
      <c r="B28" s="7"/>
      <c r="C28" s="170"/>
      <c r="D28" s="331">
        <v>21</v>
      </c>
      <c r="E28" s="544">
        <f>+DATE(YEAR(E27),MONTH(E27)-1,DAY(E27))</f>
        <v>25569.041666666668</v>
      </c>
      <c r="F28" s="333">
        <f>IF(DATE(YEAR($B$6),MONTH($B$6)+1,DAY(1))=E28,1,IF(MONTH(E28)=1,F29*(1+$F$5),F29))</f>
      </c>
      <c r="G28" s="333">
        <f>IF('Simulador - 1º Pilar'!$E$99="Sí",IF('Aportaciones Flex'!$B$13&lt;'Aportaciones Flex'!E28,0,F28*$B$8/12),F28*$B$8/12)</f>
      </c>
      <c r="H28" s="333">
        <f>IF(G28&gt;0,1,0)*$H$5*IF(AND($I$5="NO",YEAR(E28)=YEAR($B$6)+1),1,IF($I$5="SI",1,0))</f>
      </c>
      <c r="I28" s="217">
        <f>(1+$M$5)^(D28/12)*(H28*(12-IF(MONTH(E29)=12,0,MONTH(E29)))+IF(AND(F28=1,F29=0),$Q$4,0))*IF(AND(F28=1,F29=0),1,0)</f>
      </c>
      <c r="J28" s="333">
        <f>(1+$M$5)^(D28/12)*(H28+IF(AND(F28=1,F29=0),$Q$4,0))</f>
      </c>
      <c r="K28" s="351"/>
      <c r="L28" s="333">
        <f>K28+J28</f>
      </c>
      <c r="M28" s="724"/>
      <c r="N28" s="7"/>
      <c r="O28" s="1"/>
      <c r="P28" s="331">
        <f>D28</f>
      </c>
      <c r="Q28" s="169"/>
      <c r="R28" s="1"/>
      <c r="S28" s="217">
        <f>(1+$M$5)^(D28/12)*(IF(E28=$C$6,$Q$4+$H$5*12,0))</f>
      </c>
      <c r="T28" s="217">
        <f>(1+$M$5)^(D28/12)*(IF(YEAR(E28)&gt;YEAR($C$6),L28,0)+IF(E28=$C$6,$H$5*12+$Q$4,0))</f>
      </c>
    </row>
    <row x14ac:dyDescent="0.25" r="29" customHeight="1" ht="18.75">
      <c r="A29" s="1"/>
      <c r="B29" s="7"/>
      <c r="C29" s="170"/>
      <c r="D29" s="331">
        <v>22</v>
      </c>
      <c r="E29" s="544">
        <f>+DATE(YEAR(E28),MONTH(E28)-1,DAY(E28))</f>
        <v>25569.041666666668</v>
      </c>
      <c r="F29" s="333">
        <f>IF(DATE(YEAR($B$6),MONTH($B$6)+1,DAY(1))=E29,1,IF(MONTH(E29)=1,F30*(1+$F$5),F30))</f>
      </c>
      <c r="G29" s="333">
        <f>IF('Simulador - 1º Pilar'!$E$99="Sí",IF('Aportaciones Flex'!$B$13&lt;'Aportaciones Flex'!E29,0,F29*$B$8/12),F29*$B$8/12)</f>
      </c>
      <c r="H29" s="333">
        <f>IF(G29&gt;0,1,0)*$H$5*IF(AND($I$5="NO",YEAR(E29)=YEAR($B$6)+1),1,IF($I$5="SI",1,0))</f>
      </c>
      <c r="I29" s="217">
        <f>(1+$M$5)^(D29/12)*(H29*(12-IF(MONTH(E30)=12,0,MONTH(E30)))+IF(AND(F29=1,F30=0),$Q$4,0))*IF(AND(F29=1,F30=0),1,0)</f>
      </c>
      <c r="J29" s="333">
        <f>(1+$M$5)^(D29/12)*(H29+IF(AND(F29=1,F30=0),$Q$4,0))</f>
      </c>
      <c r="K29" s="351"/>
      <c r="L29" s="333">
        <f>K29+J29</f>
      </c>
      <c r="M29" s="724"/>
      <c r="N29" s="7"/>
      <c r="O29" s="1"/>
      <c r="P29" s="331">
        <f>D29</f>
      </c>
      <c r="Q29" s="169"/>
      <c r="R29" s="1"/>
      <c r="S29" s="217">
        <f>(1+$M$5)^(D29/12)*(IF(E29=$C$6,$Q$4+$H$5*12,0))</f>
      </c>
      <c r="T29" s="217">
        <f>(1+$M$5)^(D29/12)*(IF(YEAR(E29)&gt;YEAR($C$6),L29,0)+IF(E29=$C$6,$H$5*12+$Q$4,0))</f>
      </c>
    </row>
    <row x14ac:dyDescent="0.25" r="30" customHeight="1" ht="18.75">
      <c r="A30" s="1"/>
      <c r="B30" s="7"/>
      <c r="C30" s="170"/>
      <c r="D30" s="331">
        <v>23</v>
      </c>
      <c r="E30" s="544">
        <f>+DATE(YEAR(E29),MONTH(E29)-1,DAY(E29))</f>
        <v>25569.041666666668</v>
      </c>
      <c r="F30" s="333">
        <f>IF(DATE(YEAR($B$6),MONTH($B$6)+1,DAY(1))=E30,1,IF(MONTH(E30)=1,F31*(1+$F$5),F31))</f>
      </c>
      <c r="G30" s="333">
        <f>IF('Simulador - 1º Pilar'!$E$99="Sí",IF('Aportaciones Flex'!$B$13&lt;'Aportaciones Flex'!E30,0,F30*$B$8/12),F30*$B$8/12)</f>
      </c>
      <c r="H30" s="333">
        <f>IF(G30&gt;0,1,0)*$H$5*IF(AND($I$5="NO",YEAR(E30)=YEAR($B$6)+1),1,IF($I$5="SI",1,0))</f>
      </c>
      <c r="I30" s="217">
        <f>(1+$M$5)^(D30/12)*(H30*(12-IF(MONTH(E31)=12,0,MONTH(E31)))+IF(AND(F30=1,F31=0),$Q$4,0))*IF(AND(F30=1,F31=0),1,0)</f>
      </c>
      <c r="J30" s="333">
        <f>(1+$M$5)^(D30/12)*(H30+IF(AND(F30=1,F31=0),$Q$4,0))</f>
      </c>
      <c r="K30" s="351"/>
      <c r="L30" s="333">
        <f>K30+J30</f>
      </c>
      <c r="M30" s="724"/>
      <c r="N30" s="7"/>
      <c r="O30" s="1"/>
      <c r="P30" s="331">
        <f>D30</f>
      </c>
      <c r="Q30" s="169"/>
      <c r="R30" s="1"/>
      <c r="S30" s="217">
        <f>(1+$M$5)^(D30/12)*(IF(E30=$C$6,$Q$4+$H$5*12,0))</f>
      </c>
      <c r="T30" s="217">
        <f>(1+$M$5)^(D30/12)*(IF(YEAR(E30)&gt;YEAR($C$6),L30,0)+IF(E30=$C$6,$H$5*12+$Q$4,0))</f>
      </c>
    </row>
    <row x14ac:dyDescent="0.25" r="31" customHeight="1" ht="18.75">
      <c r="A31" s="1"/>
      <c r="B31" s="7"/>
      <c r="C31" s="170"/>
      <c r="D31" s="331">
        <v>24</v>
      </c>
      <c r="E31" s="544">
        <f>+DATE(YEAR(E30),MONTH(E30)-1,DAY(E30))</f>
        <v>25569.041666666668</v>
      </c>
      <c r="F31" s="333">
        <f>IF(DATE(YEAR($B$6),MONTH($B$6)+1,DAY(1))=E31,1,IF(MONTH(E31)=1,F32*(1+$F$5),F32))</f>
      </c>
      <c r="G31" s="333">
        <f>IF('Simulador - 1º Pilar'!$E$99="Sí",IF('Aportaciones Flex'!$B$13&lt;'Aportaciones Flex'!E31,0,F31*$B$8/12),F31*$B$8/12)</f>
      </c>
      <c r="H31" s="333">
        <f>IF(G31&gt;0,1,0)*$H$5*IF(AND($I$5="NO",YEAR(E31)=YEAR($B$6)+1),1,IF($I$5="SI",1,0))</f>
      </c>
      <c r="I31" s="217">
        <f>(1+$M$5)^(D31/12)*(H31*(12-IF(MONTH(E32)=12,0,MONTH(E32)))+IF(AND(F31=1,F32=0),$Q$4,0))*IF(AND(F31=1,F32=0),1,0)</f>
      </c>
      <c r="J31" s="333">
        <f>(1+$M$5)^(D31/12)*(H31+IF(AND(F31=1,F32=0),$Q$4,0))</f>
      </c>
      <c r="K31" s="351"/>
      <c r="L31" s="333">
        <f>K31+J31</f>
      </c>
      <c r="M31" s="724"/>
      <c r="N31" s="7"/>
      <c r="O31" s="1"/>
      <c r="P31" s="331">
        <f>D31</f>
      </c>
      <c r="Q31" s="169"/>
      <c r="R31" s="1"/>
      <c r="S31" s="217">
        <f>(1+$M$5)^(D31/12)*(IF(E31=$C$6,$Q$4+$H$5*12,0))</f>
      </c>
      <c r="T31" s="217">
        <f>(1+$M$5)^(D31/12)*(IF(YEAR(E31)&gt;YEAR($C$6),L31,0)+IF(E31=$C$6,$H$5*12+$Q$4,0))</f>
      </c>
    </row>
    <row x14ac:dyDescent="0.25" r="32" customHeight="1" ht="18.75">
      <c r="A32" s="1"/>
      <c r="B32" s="7"/>
      <c r="C32" s="170"/>
      <c r="D32" s="331">
        <v>25</v>
      </c>
      <c r="E32" s="544">
        <f>+DATE(YEAR(E31),MONTH(E31)-1,DAY(E31))</f>
        <v>25569.041666666668</v>
      </c>
      <c r="F32" s="333">
        <f>IF(DATE(YEAR($B$6),MONTH($B$6)+1,DAY(1))=E32,1,IF(MONTH(E32)=1,F33*(1+$F$5),F33))</f>
      </c>
      <c r="G32" s="333">
        <f>IF('Simulador - 1º Pilar'!$E$99="Sí",IF('Aportaciones Flex'!$B$13&lt;'Aportaciones Flex'!E32,0,F32*$B$8/12),F32*$B$8/12)</f>
      </c>
      <c r="H32" s="333">
        <f>IF(G32&gt;0,1,0)*$H$5*IF(AND($I$5="NO",YEAR(E32)=YEAR($B$6)+1),1,IF($I$5="SI",1,0))</f>
      </c>
      <c r="I32" s="217">
        <f>(1+$M$5)^(D32/12)*(H32*(12-IF(MONTH(E33)=12,0,MONTH(E33)))+IF(AND(F32=1,F33=0),$Q$4,0))*IF(AND(F32=1,F33=0),1,0)</f>
      </c>
      <c r="J32" s="333">
        <f>(1+$M$5)^(D32/12)*(H32+IF(AND(F32=1,F33=0),$Q$4,0))</f>
      </c>
      <c r="K32" s="351"/>
      <c r="L32" s="333">
        <f>K32+J32</f>
      </c>
      <c r="M32" s="724"/>
      <c r="N32" s="7"/>
      <c r="O32" s="1"/>
      <c r="P32" s="331">
        <f>D32</f>
      </c>
      <c r="Q32" s="169"/>
      <c r="R32" s="1"/>
      <c r="S32" s="217">
        <f>(1+$M$5)^(D32/12)*(IF(E32=$C$6,$Q$4+$H$5*12,0))</f>
      </c>
      <c r="T32" s="217">
        <f>(1+$M$5)^(D32/12)*(IF(YEAR(E32)&gt;YEAR($C$6),L32,0)+IF(E32=$C$6,$H$5*12+$Q$4,0))</f>
      </c>
    </row>
    <row x14ac:dyDescent="0.25" r="33" customHeight="1" ht="18.75">
      <c r="A33" s="1"/>
      <c r="B33" s="7"/>
      <c r="C33" s="170"/>
      <c r="D33" s="331">
        <v>26</v>
      </c>
      <c r="E33" s="544">
        <f>+DATE(YEAR(E32),MONTH(E32)-1,DAY(E32))</f>
        <v>25569.041666666668</v>
      </c>
      <c r="F33" s="333">
        <f>IF(DATE(YEAR($B$6),MONTH($B$6)+1,DAY(1))=E33,1,IF(MONTH(E33)=1,F34*(1+$F$5),F34))</f>
      </c>
      <c r="G33" s="333">
        <f>IF('Simulador - 1º Pilar'!$E$99="Sí",IF('Aportaciones Flex'!$B$13&lt;'Aportaciones Flex'!E33,0,F33*$B$8/12),F33*$B$8/12)</f>
      </c>
      <c r="H33" s="333">
        <f>IF(G33&gt;0,1,0)*$H$5*IF(AND($I$5="NO",YEAR(E33)=YEAR($B$6)+1),1,IF($I$5="SI",1,0))</f>
      </c>
      <c r="I33" s="217">
        <f>(1+$M$5)^(D33/12)*(H33*(12-IF(MONTH(E34)=12,0,MONTH(E34)))+IF(AND(F33=1,F34=0),$Q$4,0))*IF(AND(F33=1,F34=0),1,0)</f>
      </c>
      <c r="J33" s="333">
        <f>(1+$M$5)^(D33/12)*(H33+IF(AND(F33=1,F34=0),$Q$4,0))</f>
      </c>
      <c r="K33" s="351"/>
      <c r="L33" s="333">
        <f>K33+J33</f>
      </c>
      <c r="M33" s="724"/>
      <c r="N33" s="7"/>
      <c r="O33" s="1"/>
      <c r="P33" s="331">
        <f>D33</f>
      </c>
      <c r="Q33" s="169"/>
      <c r="R33" s="1"/>
      <c r="S33" s="217">
        <f>(1+$M$5)^(D33/12)*(IF(E33=$C$6,$Q$4+$H$5*12,0))</f>
      </c>
      <c r="T33" s="217">
        <f>(1+$M$5)^(D33/12)*(IF(YEAR(E33)&gt;YEAR($C$6),L33,0)+IF(E33=$C$6,$H$5*12+$Q$4,0))</f>
      </c>
    </row>
    <row x14ac:dyDescent="0.25" r="34" customHeight="1" ht="18.75">
      <c r="A34" s="1"/>
      <c r="B34" s="7"/>
      <c r="C34" s="170"/>
      <c r="D34" s="331">
        <v>27</v>
      </c>
      <c r="E34" s="544">
        <f>+DATE(YEAR(E33),MONTH(E33)-1,DAY(E33))</f>
        <v>25569.041666666668</v>
      </c>
      <c r="F34" s="333">
        <f>IF(DATE(YEAR($B$6),MONTH($B$6)+1,DAY(1))=E34,1,IF(MONTH(E34)=1,F35*(1+$F$5),F35))</f>
      </c>
      <c r="G34" s="333">
        <f>IF('Simulador - 1º Pilar'!$E$99="Sí",IF('Aportaciones Flex'!$B$13&lt;'Aportaciones Flex'!E34,0,F34*$B$8/12),F34*$B$8/12)</f>
      </c>
      <c r="H34" s="333">
        <f>IF(G34&gt;0,1,0)*$H$5*IF(AND($I$5="NO",YEAR(E34)=YEAR($B$6)+1),1,IF($I$5="SI",1,0))</f>
      </c>
      <c r="I34" s="217">
        <f>(1+$M$5)^(D34/12)*(H34*(12-IF(MONTH(E35)=12,0,MONTH(E35)))+IF(AND(F34=1,F35=0),$Q$4,0))*IF(AND(F34=1,F35=0),1,0)</f>
      </c>
      <c r="J34" s="333">
        <f>(1+$M$5)^(D34/12)*(H34+IF(AND(F34=1,F35=0),$Q$4,0))</f>
      </c>
      <c r="K34" s="351"/>
      <c r="L34" s="333">
        <f>K34+J34</f>
      </c>
      <c r="M34" s="724"/>
      <c r="N34" s="7"/>
      <c r="O34" s="1"/>
      <c r="P34" s="331">
        <f>D34</f>
      </c>
      <c r="Q34" s="169"/>
      <c r="R34" s="1"/>
      <c r="S34" s="217">
        <f>(1+$M$5)^(D34/12)*(IF(E34=$C$6,$Q$4+$H$5*12,0))</f>
      </c>
      <c r="T34" s="217">
        <f>(1+$M$5)^(D34/12)*(IF(YEAR(E34)&gt;YEAR($C$6),L34,0)+IF(E34=$C$6,$H$5*12+$Q$4,0))</f>
      </c>
    </row>
    <row x14ac:dyDescent="0.25" r="35" customHeight="1" ht="18.75">
      <c r="A35" s="1"/>
      <c r="B35" s="7"/>
      <c r="C35" s="170"/>
      <c r="D35" s="331">
        <v>28</v>
      </c>
      <c r="E35" s="544">
        <f>+DATE(YEAR(E34),MONTH(E34)-1,DAY(E34))</f>
        <v>25569.041666666668</v>
      </c>
      <c r="F35" s="333">
        <f>IF(DATE(YEAR($B$6),MONTH($B$6)+1,DAY(1))=E35,1,IF(MONTH(E35)=1,F36*(1+$F$5),F36))</f>
      </c>
      <c r="G35" s="333">
        <f>IF('Simulador - 1º Pilar'!$E$99="Sí",IF('Aportaciones Flex'!$B$13&lt;'Aportaciones Flex'!E35,0,F35*$B$8/12),F35*$B$8/12)</f>
      </c>
      <c r="H35" s="333">
        <f>IF(G35&gt;0,1,0)*$H$5*IF(AND($I$5="NO",YEAR(E35)=YEAR($B$6)+1),1,IF($I$5="SI",1,0))</f>
      </c>
      <c r="I35" s="217">
        <f>(1+$M$5)^(D35/12)*(H35*(12-IF(MONTH(E36)=12,0,MONTH(E36)))+IF(AND(F35=1,F36=0),$Q$4,0))*IF(AND(F35=1,F36=0),1,0)</f>
      </c>
      <c r="J35" s="333">
        <f>(1+$M$5)^(D35/12)*(H35+IF(AND(F35=1,F36=0),$Q$4,0))</f>
      </c>
      <c r="K35" s="351"/>
      <c r="L35" s="333">
        <f>K35+J35</f>
      </c>
      <c r="M35" s="724"/>
      <c r="N35" s="7"/>
      <c r="O35" s="1"/>
      <c r="P35" s="331">
        <f>D35</f>
      </c>
      <c r="Q35" s="169"/>
      <c r="R35" s="1"/>
      <c r="S35" s="217">
        <f>(1+$M$5)^(D35/12)*(IF(E35=$C$6,$Q$4+$H$5*12,0))</f>
      </c>
      <c r="T35" s="217">
        <f>(1+$M$5)^(D35/12)*(IF(YEAR(E35)&gt;YEAR($C$6),L35,0)+IF(E35=$C$6,$H$5*12+$Q$4,0))</f>
      </c>
    </row>
    <row x14ac:dyDescent="0.25" r="36" customHeight="1" ht="18.75">
      <c r="A36" s="1"/>
      <c r="B36" s="7"/>
      <c r="C36" s="170"/>
      <c r="D36" s="331">
        <v>29</v>
      </c>
      <c r="E36" s="544">
        <f>+DATE(YEAR(E35),MONTH(E35)-1,DAY(E35))</f>
        <v>25569.041666666668</v>
      </c>
      <c r="F36" s="333">
        <f>IF(DATE(YEAR($B$6),MONTH($B$6)+1,DAY(1))=E36,1,IF(MONTH(E36)=1,F37*(1+$F$5),F37))</f>
      </c>
      <c r="G36" s="333">
        <f>IF('Simulador - 1º Pilar'!$E$99="Sí",IF('Aportaciones Flex'!$B$13&lt;'Aportaciones Flex'!E36,0,F36*$B$8/12),F36*$B$8/12)</f>
      </c>
      <c r="H36" s="333">
        <f>IF(G36&gt;0,1,0)*$H$5*IF(AND($I$5="NO",YEAR(E36)=YEAR($B$6)+1),1,IF($I$5="SI",1,0))</f>
      </c>
      <c r="I36" s="217">
        <f>(1+$M$5)^(D36/12)*(H36*(12-IF(MONTH(E37)=12,0,MONTH(E37)))+IF(AND(F36=1,F37=0),$Q$4,0))*IF(AND(F36=1,F37=0),1,0)</f>
      </c>
      <c r="J36" s="333">
        <f>(1+$M$5)^(D36/12)*(H36+IF(AND(F36=1,F37=0),$Q$4,0))</f>
      </c>
      <c r="K36" s="351"/>
      <c r="L36" s="333">
        <f>K36+J36</f>
      </c>
      <c r="M36" s="724"/>
      <c r="N36" s="7"/>
      <c r="O36" s="1"/>
      <c r="P36" s="331">
        <f>D36</f>
      </c>
      <c r="Q36" s="169"/>
      <c r="R36" s="1"/>
      <c r="S36" s="217">
        <f>(1+$M$5)^(D36/12)*(IF(E36=$C$6,$Q$4+$H$5*12,0))</f>
      </c>
      <c r="T36" s="217">
        <f>(1+$M$5)^(D36/12)*(IF(YEAR(E36)&gt;YEAR($C$6),L36,0)+IF(E36=$C$6,$H$5*12+$Q$4,0))</f>
      </c>
    </row>
    <row x14ac:dyDescent="0.25" r="37" customHeight="1" ht="18.75">
      <c r="A37" s="1"/>
      <c r="B37" s="7"/>
      <c r="C37" s="170"/>
      <c r="D37" s="331">
        <v>30</v>
      </c>
      <c r="E37" s="544">
        <f>+DATE(YEAR(E36),MONTH(E36)-1,DAY(E36))</f>
        <v>25569.041666666668</v>
      </c>
      <c r="F37" s="333">
        <f>IF(DATE(YEAR($B$6),MONTH($B$6)+1,DAY(1))=E37,1,IF(MONTH(E37)=1,F38*(1+$F$5),F38))</f>
      </c>
      <c r="G37" s="333">
        <f>IF('Simulador - 1º Pilar'!$E$99="Sí",IF('Aportaciones Flex'!$B$13&lt;'Aportaciones Flex'!E37,0,F37*$B$8/12),F37*$B$8/12)</f>
      </c>
      <c r="H37" s="333">
        <f>IF(G37&gt;0,1,0)*$H$5*IF(AND($I$5="NO",YEAR(E37)=YEAR($B$6)+1),1,IF($I$5="SI",1,0))</f>
      </c>
      <c r="I37" s="217">
        <f>(1+$M$5)^(D37/12)*(H37*(12-IF(MONTH(E38)=12,0,MONTH(E38)))+IF(AND(F37=1,F38=0),$Q$4,0))*IF(AND(F37=1,F38=0),1,0)</f>
      </c>
      <c r="J37" s="333">
        <f>(1+$M$5)^(D37/12)*(H37+IF(AND(F37=1,F38=0),$Q$4,0))</f>
      </c>
      <c r="K37" s="351"/>
      <c r="L37" s="333">
        <f>K37+J37</f>
      </c>
      <c r="M37" s="724"/>
      <c r="N37" s="7"/>
      <c r="O37" s="1"/>
      <c r="P37" s="331">
        <f>D37</f>
      </c>
      <c r="Q37" s="169"/>
      <c r="R37" s="1"/>
      <c r="S37" s="217">
        <f>(1+$M$5)^(D37/12)*(IF(E37=$C$6,$Q$4+$H$5*12,0))</f>
      </c>
      <c r="T37" s="217">
        <f>(1+$M$5)^(D37/12)*(IF(YEAR(E37)&gt;YEAR($C$6),L37,0)+IF(E37=$C$6,$H$5*12+$Q$4,0))</f>
      </c>
    </row>
    <row x14ac:dyDescent="0.25" r="38" customHeight="1" ht="18.75">
      <c r="A38" s="1"/>
      <c r="B38" s="7"/>
      <c r="C38" s="170"/>
      <c r="D38" s="331">
        <v>31</v>
      </c>
      <c r="E38" s="544">
        <f>+DATE(YEAR(E37),MONTH(E37)-1,DAY(E37))</f>
        <v>25569.041666666668</v>
      </c>
      <c r="F38" s="333">
        <f>IF(DATE(YEAR($B$6),MONTH($B$6)+1,DAY(1))=E38,1,IF(MONTH(E38)=1,F39*(1+$F$5),F39))</f>
      </c>
      <c r="G38" s="333">
        <f>IF('Simulador - 1º Pilar'!$E$99="Sí",IF('Aportaciones Flex'!$B$13&lt;'Aportaciones Flex'!E38,0,F38*$B$8/12),F38*$B$8/12)</f>
      </c>
      <c r="H38" s="333">
        <f>IF(G38&gt;0,1,0)*$H$5*IF(AND($I$5="NO",YEAR(E38)=YEAR($B$6)+1),1,IF($I$5="SI",1,0))</f>
      </c>
      <c r="I38" s="217">
        <f>(1+$M$5)^(D38/12)*(H38*(12-IF(MONTH(E39)=12,0,MONTH(E39)))+IF(AND(F38=1,F39=0),$Q$4,0))*IF(AND(F38=1,F39=0),1,0)</f>
      </c>
      <c r="J38" s="333">
        <f>(1+$M$5)^(D38/12)*(H38+IF(AND(F38=1,F39=0),$Q$4,0))</f>
      </c>
      <c r="K38" s="351"/>
      <c r="L38" s="333">
        <f>K38+J38</f>
      </c>
      <c r="M38" s="724"/>
      <c r="N38" s="7"/>
      <c r="O38" s="1"/>
      <c r="P38" s="331">
        <f>D38</f>
      </c>
      <c r="Q38" s="169"/>
      <c r="R38" s="1"/>
      <c r="S38" s="217">
        <f>(1+$M$5)^(D38/12)*(IF(E38=$C$6,$Q$4+$H$5*12,0))</f>
      </c>
      <c r="T38" s="217">
        <f>(1+$M$5)^(D38/12)*(IF(YEAR(E38)&gt;YEAR($C$6),L38,0)+IF(E38=$C$6,$H$5*12+$Q$4,0))</f>
      </c>
    </row>
    <row x14ac:dyDescent="0.25" r="39" customHeight="1" ht="18.75">
      <c r="A39" s="1"/>
      <c r="B39" s="7"/>
      <c r="C39" s="170"/>
      <c r="D39" s="331">
        <v>32</v>
      </c>
      <c r="E39" s="544">
        <f>+DATE(YEAR(E38),MONTH(E38)-1,DAY(E38))</f>
        <v>25569.041666666668</v>
      </c>
      <c r="F39" s="333">
        <f>IF(DATE(YEAR($B$6),MONTH($B$6)+1,DAY(1))=E39,1,IF(MONTH(E39)=1,F40*(1+$F$5),F40))</f>
      </c>
      <c r="G39" s="333">
        <f>IF('Simulador - 1º Pilar'!$E$99="Sí",IF('Aportaciones Flex'!$B$13&lt;'Aportaciones Flex'!E39,0,F39*$B$8/12),F39*$B$8/12)</f>
      </c>
      <c r="H39" s="333">
        <f>IF(G39&gt;0,1,0)*$H$5*IF(AND($I$5="NO",YEAR(E39)=YEAR($B$6)+1),1,IF($I$5="SI",1,0))</f>
      </c>
      <c r="I39" s="217">
        <f>(1+$M$5)^(D39/12)*(H39*(12-IF(MONTH(E40)=12,0,MONTH(E40)))+IF(AND(F39=1,F40=0),$Q$4,0))*IF(AND(F39=1,F40=0),1,0)</f>
      </c>
      <c r="J39" s="333">
        <f>(1+$M$5)^(D39/12)*(H39+IF(AND(F39=1,F40=0),$Q$4,0))</f>
      </c>
      <c r="K39" s="351"/>
      <c r="L39" s="333">
        <f>K39+J39</f>
      </c>
      <c r="M39" s="724"/>
      <c r="N39" s="7"/>
      <c r="O39" s="1"/>
      <c r="P39" s="331">
        <f>D39</f>
      </c>
      <c r="Q39" s="169"/>
      <c r="R39" s="1"/>
      <c r="S39" s="217">
        <f>(1+$M$5)^(D39/12)*(IF(E39=$C$6,$Q$4+$H$5*12,0))</f>
      </c>
      <c r="T39" s="217">
        <f>(1+$M$5)^(D39/12)*(IF(YEAR(E39)&gt;YEAR($C$6),L39,0)+IF(E39=$C$6,$H$5*12+$Q$4,0))</f>
      </c>
    </row>
    <row x14ac:dyDescent="0.25" r="40" customHeight="1" ht="18.75">
      <c r="A40" s="1"/>
      <c r="B40" s="7"/>
      <c r="C40" s="170"/>
      <c r="D40" s="331">
        <v>33</v>
      </c>
      <c r="E40" s="544">
        <f>+DATE(YEAR(E39),MONTH(E39)-1,DAY(E39))</f>
        <v>25569.041666666668</v>
      </c>
      <c r="F40" s="333">
        <f>IF(DATE(YEAR($B$6),MONTH($B$6)+1,DAY(1))=E40,1,IF(MONTH(E40)=1,F41*(1+$F$5),F41))</f>
      </c>
      <c r="G40" s="333">
        <f>IF('Simulador - 1º Pilar'!$E$99="Sí",IF('Aportaciones Flex'!$B$13&lt;'Aportaciones Flex'!E40,0,F40*$B$8/12),F40*$B$8/12)</f>
      </c>
      <c r="H40" s="333">
        <f>IF(G40&gt;0,1,0)*$H$5*IF(AND($I$5="NO",YEAR(E40)=YEAR($B$6)+1),1,IF($I$5="SI",1,0))</f>
      </c>
      <c r="I40" s="217">
        <f>(1+$M$5)^(D40/12)*(H40*(12-IF(MONTH(E41)=12,0,MONTH(E41)))+IF(AND(F40=1,F41=0),$Q$4,0))*IF(AND(F40=1,F41=0),1,0)</f>
      </c>
      <c r="J40" s="333">
        <f>(1+$M$5)^(D40/12)*(H40+IF(AND(F40=1,F41=0),$Q$4,0))</f>
      </c>
      <c r="K40" s="351"/>
      <c r="L40" s="333">
        <f>K40+J40</f>
      </c>
      <c r="M40" s="724"/>
      <c r="N40" s="7"/>
      <c r="O40" s="1"/>
      <c r="P40" s="331">
        <f>D40</f>
      </c>
      <c r="Q40" s="169"/>
      <c r="R40" s="1"/>
      <c r="S40" s="217">
        <f>(1+$M$5)^(D40/12)*(IF(E40=$C$6,$Q$4+$H$5*12,0))</f>
      </c>
      <c r="T40" s="217">
        <f>(1+$M$5)^(D40/12)*(IF(YEAR(E40)&gt;YEAR($C$6),L40,0)+IF(E40=$C$6,$H$5*12+$Q$4,0))</f>
      </c>
    </row>
    <row x14ac:dyDescent="0.25" r="41" customHeight="1" ht="18.75">
      <c r="A41" s="1"/>
      <c r="B41" s="7"/>
      <c r="C41" s="170"/>
      <c r="D41" s="331">
        <v>34</v>
      </c>
      <c r="E41" s="544">
        <f>+DATE(YEAR(E40),MONTH(E40)-1,DAY(E40))</f>
        <v>25569.041666666668</v>
      </c>
      <c r="F41" s="333">
        <f>IF(DATE(YEAR($B$6),MONTH($B$6)+1,DAY(1))=E41,1,IF(MONTH(E41)=1,F42*(1+$F$5),F42))</f>
      </c>
      <c r="G41" s="333">
        <f>IF('Simulador - 1º Pilar'!$E$99="Sí",IF('Aportaciones Flex'!$B$13&lt;'Aportaciones Flex'!E41,0,F41*$B$8/12),F41*$B$8/12)</f>
      </c>
      <c r="H41" s="333">
        <f>IF(G41&gt;0,1,0)*$H$5*IF(AND($I$5="NO",YEAR(E41)=YEAR($B$6)+1),1,IF($I$5="SI",1,0))</f>
      </c>
      <c r="I41" s="217">
        <f>(1+$M$5)^(D41/12)*(H41*(12-IF(MONTH(E42)=12,0,MONTH(E42)))+IF(AND(F41=1,F42=0),$Q$4,0))*IF(AND(F41=1,F42=0),1,0)</f>
      </c>
      <c r="J41" s="333">
        <f>(1+$M$5)^(D41/12)*(H41+IF(AND(F41=1,F42=0),$Q$4,0))</f>
      </c>
      <c r="K41" s="351"/>
      <c r="L41" s="333">
        <f>K41+J41</f>
      </c>
      <c r="M41" s="724"/>
      <c r="N41" s="7"/>
      <c r="O41" s="1"/>
      <c r="P41" s="331">
        <f>D41</f>
      </c>
      <c r="Q41" s="169"/>
      <c r="R41" s="1"/>
      <c r="S41" s="217">
        <f>(1+$M$5)^(D41/12)*(IF(E41=$C$6,$Q$4+$H$5*12,0))</f>
      </c>
      <c r="T41" s="217">
        <f>(1+$M$5)^(D41/12)*(IF(YEAR(E41)&gt;YEAR($C$6),L41,0)+IF(E41=$C$6,$H$5*12+$Q$4,0))</f>
      </c>
    </row>
    <row x14ac:dyDescent="0.25" r="42" customHeight="1" ht="18.75">
      <c r="A42" s="1"/>
      <c r="B42" s="7"/>
      <c r="C42" s="170"/>
      <c r="D42" s="331">
        <v>35</v>
      </c>
      <c r="E42" s="544">
        <f>+DATE(YEAR(E41),MONTH(E41)-1,DAY(E41))</f>
        <v>25569.041666666668</v>
      </c>
      <c r="F42" s="333">
        <f>IF(DATE(YEAR($B$6),MONTH($B$6)+1,DAY(1))=E42,1,IF(MONTH(E42)=1,F43*(1+$F$5),F43))</f>
      </c>
      <c r="G42" s="333">
        <f>IF('Simulador - 1º Pilar'!$E$99="Sí",IF('Aportaciones Flex'!$B$13&lt;'Aportaciones Flex'!E42,0,F42*$B$8/12),F42*$B$8/12)</f>
      </c>
      <c r="H42" s="333">
        <f>IF(G42&gt;0,1,0)*$H$5*IF(AND($I$5="NO",YEAR(E42)=YEAR($B$6)+1),1,IF($I$5="SI",1,0))</f>
      </c>
      <c r="I42" s="217">
        <f>(1+$M$5)^(D42/12)*(H42*(12-IF(MONTH(E43)=12,0,MONTH(E43)))+IF(AND(F42=1,F43=0),$Q$4,0))*IF(AND(F42=1,F43=0),1,0)</f>
      </c>
      <c r="J42" s="333">
        <f>(1+$M$5)^(D42/12)*(H42+IF(AND(F42=1,F43=0),$Q$4,0))</f>
      </c>
      <c r="K42" s="351"/>
      <c r="L42" s="333">
        <f>K42+J42</f>
      </c>
      <c r="M42" s="724"/>
      <c r="N42" s="7"/>
      <c r="O42" s="1"/>
      <c r="P42" s="331">
        <f>D42</f>
      </c>
      <c r="Q42" s="169"/>
      <c r="R42" s="1"/>
      <c r="S42" s="217">
        <f>(1+$M$5)^(D42/12)*(IF(E42=$C$6,$Q$4+$H$5*12,0))</f>
      </c>
      <c r="T42" s="217">
        <f>(1+$M$5)^(D42/12)*(IF(YEAR(E42)&gt;YEAR($C$6),L42,0)+IF(E42=$C$6,$H$5*12+$Q$4,0))</f>
      </c>
    </row>
    <row x14ac:dyDescent="0.25" r="43" customHeight="1" ht="18.75">
      <c r="A43" s="1"/>
      <c r="B43" s="7"/>
      <c r="C43" s="170"/>
      <c r="D43" s="331">
        <v>36</v>
      </c>
      <c r="E43" s="544">
        <f>+DATE(YEAR(E42),MONTH(E42)-1,DAY(E42))</f>
        <v>25569.041666666668</v>
      </c>
      <c r="F43" s="333">
        <f>IF(DATE(YEAR($B$6),MONTH($B$6)+1,DAY(1))=E43,1,IF(MONTH(E43)=1,F44*(1+$F$5),F44))</f>
      </c>
      <c r="G43" s="333">
        <f>IF('Simulador - 1º Pilar'!$E$99="Sí",IF('Aportaciones Flex'!$B$13&lt;'Aportaciones Flex'!E43,0,F43*$B$8/12),F43*$B$8/12)</f>
      </c>
      <c r="H43" s="333">
        <f>IF(G43&gt;0,1,0)*$H$5*IF(AND($I$5="NO",YEAR(E43)=YEAR($B$6)+1),1,IF($I$5="SI",1,0))</f>
      </c>
      <c r="I43" s="217">
        <f>(1+$M$5)^(D43/12)*(H43*(12-IF(MONTH(E44)=12,0,MONTH(E44)))+IF(AND(F43=1,F44=0),$Q$4,0))*IF(AND(F43=1,F44=0),1,0)</f>
      </c>
      <c r="J43" s="333">
        <f>(1+$M$5)^(D43/12)*(H43+IF(AND(F43=1,F44=0),$Q$4,0))</f>
      </c>
      <c r="K43" s="351"/>
      <c r="L43" s="333">
        <f>K43+J43</f>
      </c>
      <c r="M43" s="724"/>
      <c r="N43" s="7"/>
      <c r="O43" s="1"/>
      <c r="P43" s="331">
        <f>D43</f>
      </c>
      <c r="Q43" s="169"/>
      <c r="R43" s="1"/>
      <c r="S43" s="217">
        <f>(1+$M$5)^(D43/12)*(IF(E43=$C$6,$Q$4+$H$5*12,0))</f>
      </c>
      <c r="T43" s="217">
        <f>(1+$M$5)^(D43/12)*(IF(YEAR(E43)&gt;YEAR($C$6),L43,0)+IF(E43=$C$6,$H$5*12+$Q$4,0))</f>
      </c>
    </row>
    <row x14ac:dyDescent="0.25" r="44" customHeight="1" ht="18.75">
      <c r="A44" s="1"/>
      <c r="B44" s="7"/>
      <c r="C44" s="170"/>
      <c r="D44" s="331">
        <v>37</v>
      </c>
      <c r="E44" s="544">
        <f>+DATE(YEAR(E43),MONTH(E43)-1,DAY(E43))</f>
        <v>25569.041666666668</v>
      </c>
      <c r="F44" s="333">
        <f>IF(DATE(YEAR($B$6),MONTH($B$6)+1,DAY(1))=E44,1,IF(MONTH(E44)=1,F45*(1+$F$5),F45))</f>
      </c>
      <c r="G44" s="333">
        <f>IF('Simulador - 1º Pilar'!$E$99="Sí",IF('Aportaciones Flex'!$B$13&lt;'Aportaciones Flex'!E44,0,F44*$B$8/12),F44*$B$8/12)</f>
      </c>
      <c r="H44" s="333">
        <f>IF(G44&gt;0,1,0)*$H$5*IF(AND($I$5="NO",YEAR(E44)=YEAR($B$6)+1),1,IF($I$5="SI",1,0))</f>
      </c>
      <c r="I44" s="217">
        <f>(1+$M$5)^(D44/12)*(H44*(12-IF(MONTH(E45)=12,0,MONTH(E45)))+IF(AND(F44=1,F45=0),$Q$4,0))*IF(AND(F44=1,F45=0),1,0)</f>
      </c>
      <c r="J44" s="333">
        <f>(1+$M$5)^(D44/12)*(H44+IF(AND(F44=1,F45=0),$Q$4,0))</f>
      </c>
      <c r="K44" s="351"/>
      <c r="L44" s="333">
        <f>K44+J44</f>
      </c>
      <c r="M44" s="724"/>
      <c r="N44" s="7"/>
      <c r="O44" s="1"/>
      <c r="P44" s="331">
        <f>D44</f>
      </c>
      <c r="Q44" s="169"/>
      <c r="R44" s="1"/>
      <c r="S44" s="217">
        <f>(1+$M$5)^(D44/12)*(IF(E44=$C$6,$Q$4+$H$5*12,0))</f>
      </c>
      <c r="T44" s="217">
        <f>(1+$M$5)^(D44/12)*(IF(YEAR(E44)&gt;YEAR($C$6),L44,0)+IF(E44=$C$6,$H$5*12+$Q$4,0))</f>
      </c>
    </row>
    <row x14ac:dyDescent="0.25" r="45" customHeight="1" ht="18.75">
      <c r="A45" s="1"/>
      <c r="B45" s="7"/>
      <c r="C45" s="170"/>
      <c r="D45" s="331">
        <v>38</v>
      </c>
      <c r="E45" s="544">
        <f>+DATE(YEAR(E44),MONTH(E44)-1,DAY(E44))</f>
        <v>25569.041666666668</v>
      </c>
      <c r="F45" s="333">
        <f>IF(DATE(YEAR($B$6),MONTH($B$6)+1,DAY(1))=E45,1,IF(MONTH(E45)=1,F46*(1+$F$5),F46))</f>
      </c>
      <c r="G45" s="333">
        <f>IF('Simulador - 1º Pilar'!$E$99="Sí",IF('Aportaciones Flex'!$B$13&lt;'Aportaciones Flex'!E45,0,F45*$B$8/12),F45*$B$8/12)</f>
      </c>
      <c r="H45" s="333">
        <f>IF(G45&gt;0,1,0)*$H$5*IF(AND($I$5="NO",YEAR(E45)=YEAR($B$6)+1),1,IF($I$5="SI",1,0))</f>
      </c>
      <c r="I45" s="217">
        <f>(1+$M$5)^(D45/12)*(H45*(12-IF(MONTH(E46)=12,0,MONTH(E46)))+IF(AND(F45=1,F46=0),$Q$4,0))*IF(AND(F45=1,F46=0),1,0)</f>
      </c>
      <c r="J45" s="333">
        <f>(1+$M$5)^(D45/12)*(H45+IF(AND(F45=1,F46=0),$Q$4,0))</f>
      </c>
      <c r="K45" s="351"/>
      <c r="L45" s="333">
        <f>K45+J45</f>
      </c>
      <c r="M45" s="724"/>
      <c r="N45" s="7"/>
      <c r="O45" s="1"/>
      <c r="P45" s="331">
        <f>D45</f>
      </c>
      <c r="Q45" s="169"/>
      <c r="R45" s="1"/>
      <c r="S45" s="217">
        <f>(1+$M$5)^(D45/12)*(IF(E45=$C$6,$Q$4+$H$5*12,0))</f>
      </c>
      <c r="T45" s="217">
        <f>(1+$M$5)^(D45/12)*(IF(YEAR(E45)&gt;YEAR($C$6),L45,0)+IF(E45=$C$6,$H$5*12+$Q$4,0))</f>
      </c>
    </row>
    <row x14ac:dyDescent="0.25" r="46" customHeight="1" ht="18.75">
      <c r="A46" s="1"/>
      <c r="B46" s="7"/>
      <c r="C46" s="170"/>
      <c r="D46" s="331">
        <v>39</v>
      </c>
      <c r="E46" s="544">
        <f>+DATE(YEAR(E45),MONTH(E45)-1,DAY(E45))</f>
        <v>25569.041666666668</v>
      </c>
      <c r="F46" s="333">
        <f>IF(DATE(YEAR($B$6),MONTH($B$6)+1,DAY(1))=E46,1,IF(MONTH(E46)=1,F47*(1+$F$5),F47))</f>
      </c>
      <c r="G46" s="333">
        <f>IF('Simulador - 1º Pilar'!$E$99="Sí",IF('Aportaciones Flex'!$B$13&lt;'Aportaciones Flex'!E46,0,F46*$B$8/12),F46*$B$8/12)</f>
      </c>
      <c r="H46" s="333">
        <f>IF(G46&gt;0,1,0)*$H$5*IF(AND($I$5="NO",YEAR(E46)=YEAR($B$6)+1),1,IF($I$5="SI",1,0))</f>
      </c>
      <c r="I46" s="217">
        <f>(1+$M$5)^(D46/12)*(H46*(12-IF(MONTH(E47)=12,0,MONTH(E47)))+IF(AND(F46=1,F47=0),$Q$4,0))*IF(AND(F46=1,F47=0),1,0)</f>
      </c>
      <c r="J46" s="333">
        <f>(1+$M$5)^(D46/12)*(H46+IF(AND(F46=1,F47=0),$Q$4,0))</f>
      </c>
      <c r="K46" s="351"/>
      <c r="L46" s="333">
        <f>K46+J46</f>
      </c>
      <c r="M46" s="724"/>
      <c r="N46" s="7"/>
      <c r="O46" s="1"/>
      <c r="P46" s="331">
        <f>D46</f>
      </c>
      <c r="Q46" s="169"/>
      <c r="R46" s="1"/>
      <c r="S46" s="217">
        <f>(1+$M$5)^(D46/12)*(IF(E46=$C$6,$Q$4+$H$5*12,0))</f>
      </c>
      <c r="T46" s="217">
        <f>(1+$M$5)^(D46/12)*(IF(YEAR(E46)&gt;YEAR($C$6),L46,0)+IF(E46=$C$6,$H$5*12+$Q$4,0))</f>
      </c>
    </row>
    <row x14ac:dyDescent="0.25" r="47" customHeight="1" ht="18.75">
      <c r="A47" s="1"/>
      <c r="B47" s="7"/>
      <c r="C47" s="170"/>
      <c r="D47" s="331">
        <v>40</v>
      </c>
      <c r="E47" s="544">
        <f>+DATE(YEAR(E46),MONTH(E46)-1,DAY(E46))</f>
        <v>25569.041666666668</v>
      </c>
      <c r="F47" s="333">
        <f>IF(DATE(YEAR($B$6),MONTH($B$6)+1,DAY(1))=E47,1,IF(MONTH(E47)=1,F48*(1+$F$5),F48))</f>
      </c>
      <c r="G47" s="333">
        <f>IF('Simulador - 1º Pilar'!$E$99="Sí",IF('Aportaciones Flex'!$B$13&lt;'Aportaciones Flex'!E47,0,F47*$B$8/12),F47*$B$8/12)</f>
      </c>
      <c r="H47" s="333">
        <f>IF(G47&gt;0,1,0)*$H$5*IF(AND($I$5="NO",YEAR(E47)=YEAR($B$6)+1),1,IF($I$5="SI",1,0))</f>
      </c>
      <c r="I47" s="217">
        <f>(1+$M$5)^(D47/12)*(H47*(12-IF(MONTH(E48)=12,0,MONTH(E48)))+IF(AND(F47=1,F48=0),$Q$4,0))*IF(AND(F47=1,F48=0),1,0)</f>
      </c>
      <c r="J47" s="333">
        <f>(1+$M$5)^(D47/12)*(H47+IF(AND(F47=1,F48=0),$Q$4,0))</f>
      </c>
      <c r="K47" s="351"/>
      <c r="L47" s="333">
        <f>K47+J47</f>
      </c>
      <c r="M47" s="724"/>
      <c r="N47" s="7"/>
      <c r="O47" s="1"/>
      <c r="P47" s="331">
        <f>D47</f>
      </c>
      <c r="Q47" s="169"/>
      <c r="R47" s="1"/>
      <c r="S47" s="217">
        <f>(1+$M$5)^(D47/12)*(IF(E47=$C$6,$Q$4+$H$5*12,0))</f>
      </c>
      <c r="T47" s="217">
        <f>(1+$M$5)^(D47/12)*(IF(YEAR(E47)&gt;YEAR($C$6),L47,0)+IF(E47=$C$6,$H$5*12+$Q$4,0))</f>
      </c>
    </row>
    <row x14ac:dyDescent="0.25" r="48" customHeight="1" ht="18.75">
      <c r="A48" s="1"/>
      <c r="B48" s="7"/>
      <c r="C48" s="170"/>
      <c r="D48" s="331">
        <v>41</v>
      </c>
      <c r="E48" s="544">
        <f>+DATE(YEAR(E47),MONTH(E47)-1,DAY(E47))</f>
        <v>25569.041666666668</v>
      </c>
      <c r="F48" s="333">
        <f>IF(DATE(YEAR($B$6),MONTH($B$6)+1,DAY(1))=E48,1,IF(MONTH(E48)=1,F49*(1+$F$5),F49))</f>
      </c>
      <c r="G48" s="333">
        <f>IF('Simulador - 1º Pilar'!$E$99="Sí",IF('Aportaciones Flex'!$B$13&lt;'Aportaciones Flex'!E48,0,F48*$B$8/12),F48*$B$8/12)</f>
      </c>
      <c r="H48" s="333">
        <f>IF(G48&gt;0,1,0)*$H$5*IF(AND($I$5="NO",YEAR(E48)=YEAR($B$6)+1),1,IF($I$5="SI",1,0))</f>
      </c>
      <c r="I48" s="217">
        <f>(1+$M$5)^(D48/12)*(H48*(12-IF(MONTH(E49)=12,0,MONTH(E49)))+IF(AND(F48=1,F49=0),$Q$4,0))*IF(AND(F48=1,F49=0),1,0)</f>
      </c>
      <c r="J48" s="333">
        <f>(1+$M$5)^(D48/12)*(H48+IF(AND(F48=1,F49=0),$Q$4,0))</f>
      </c>
      <c r="K48" s="351"/>
      <c r="L48" s="333">
        <f>K48+J48</f>
      </c>
      <c r="M48" s="724"/>
      <c r="N48" s="7"/>
      <c r="O48" s="1"/>
      <c r="P48" s="331">
        <f>D48</f>
      </c>
      <c r="Q48" s="169"/>
      <c r="R48" s="1"/>
      <c r="S48" s="217">
        <f>(1+$M$5)^(D48/12)*(IF(E48=$C$6,$Q$4+$H$5*12,0))</f>
      </c>
      <c r="T48" s="217">
        <f>(1+$M$5)^(D48/12)*(IF(YEAR(E48)&gt;YEAR($C$6),L48,0)+IF(E48=$C$6,$H$5*12+$Q$4,0))</f>
      </c>
    </row>
    <row x14ac:dyDescent="0.25" r="49" customHeight="1" ht="18.75">
      <c r="A49" s="1"/>
      <c r="B49" s="7"/>
      <c r="C49" s="170"/>
      <c r="D49" s="331">
        <v>42</v>
      </c>
      <c r="E49" s="544">
        <f>+DATE(YEAR(E48),MONTH(E48)-1,DAY(E48))</f>
        <v>25569.041666666668</v>
      </c>
      <c r="F49" s="333">
        <f>IF(DATE(YEAR($B$6),MONTH($B$6)+1,DAY(1))=E49,1,IF(MONTH(E49)=1,F50*(1+$F$5),F50))</f>
      </c>
      <c r="G49" s="333">
        <f>IF('Simulador - 1º Pilar'!$E$99="Sí",IF('Aportaciones Flex'!$B$13&lt;'Aportaciones Flex'!E49,0,F49*$B$8/12),F49*$B$8/12)</f>
      </c>
      <c r="H49" s="333">
        <f>IF(G49&gt;0,1,0)*$H$5*IF(AND($I$5="NO",YEAR(E49)=YEAR($B$6)+1),1,IF($I$5="SI",1,0))</f>
      </c>
      <c r="I49" s="217">
        <f>(1+$M$5)^(D49/12)*(H49*(12-IF(MONTH(E50)=12,0,MONTH(E50)))+IF(AND(F49=1,F50=0),$Q$4,0))*IF(AND(F49=1,F50=0),1,0)</f>
      </c>
      <c r="J49" s="333">
        <f>(1+$M$5)^(D49/12)*(H49+IF(AND(F49=1,F50=0),$Q$4,0))</f>
      </c>
      <c r="K49" s="351"/>
      <c r="L49" s="333">
        <f>K49+J49</f>
      </c>
      <c r="M49" s="724"/>
      <c r="N49" s="7"/>
      <c r="O49" s="1"/>
      <c r="P49" s="331">
        <f>D49</f>
      </c>
      <c r="Q49" s="169"/>
      <c r="R49" s="1"/>
      <c r="S49" s="217">
        <f>(1+$M$5)^(D49/12)*(IF(E49=$C$6,$Q$4+$H$5*12,0))</f>
      </c>
      <c r="T49" s="217">
        <f>(1+$M$5)^(D49/12)*(IF(YEAR(E49)&gt;YEAR($C$6),L49,0)+IF(E49=$C$6,$H$5*12+$Q$4,0))</f>
      </c>
    </row>
    <row x14ac:dyDescent="0.25" r="50" customHeight="1" ht="18.75">
      <c r="A50" s="1"/>
      <c r="B50" s="7"/>
      <c r="C50" s="170"/>
      <c r="D50" s="331">
        <v>43</v>
      </c>
      <c r="E50" s="544">
        <f>+DATE(YEAR(E49),MONTH(E49)-1,DAY(E49))</f>
        <v>25569.041666666668</v>
      </c>
      <c r="F50" s="333">
        <f>IF(DATE(YEAR($B$6),MONTH($B$6)+1,DAY(1))=E50,1,IF(MONTH(E50)=1,F51*(1+$F$5),F51))</f>
      </c>
      <c r="G50" s="333">
        <f>IF('Simulador - 1º Pilar'!$E$99="Sí",IF('Aportaciones Flex'!$B$13&lt;'Aportaciones Flex'!E50,0,F50*$B$8/12),F50*$B$8/12)</f>
      </c>
      <c r="H50" s="333">
        <f>IF(G50&gt;0,1,0)*$H$5*IF(AND($I$5="NO",YEAR(E50)=YEAR($B$6)+1),1,IF($I$5="SI",1,0))</f>
      </c>
      <c r="I50" s="217">
        <f>(1+$M$5)^(D50/12)*(H50*(12-IF(MONTH(E51)=12,0,MONTH(E51)))+IF(AND(F50=1,F51=0),$Q$4,0))*IF(AND(F50=1,F51=0),1,0)</f>
      </c>
      <c r="J50" s="333">
        <f>(1+$M$5)^(D50/12)*(H50+IF(AND(F50=1,F51=0),$Q$4,0))</f>
      </c>
      <c r="K50" s="351"/>
      <c r="L50" s="333">
        <f>K50+J50</f>
      </c>
      <c r="M50" s="724"/>
      <c r="N50" s="7"/>
      <c r="O50" s="1"/>
      <c r="P50" s="331">
        <f>D50</f>
      </c>
      <c r="Q50" s="169"/>
      <c r="R50" s="1"/>
      <c r="S50" s="217">
        <f>(1+$M$5)^(D50/12)*(IF(E50=$C$6,$Q$4+$H$5*12,0))</f>
      </c>
      <c r="T50" s="217">
        <f>(1+$M$5)^(D50/12)*(IF(YEAR(E50)&gt;YEAR($C$6),L50,0)+IF(E50=$C$6,$H$5*12+$Q$4,0))</f>
      </c>
    </row>
    <row x14ac:dyDescent="0.25" r="51" customHeight="1" ht="18.75">
      <c r="A51" s="1"/>
      <c r="B51" s="7"/>
      <c r="C51" s="170"/>
      <c r="D51" s="331">
        <v>44</v>
      </c>
      <c r="E51" s="544">
        <f>+DATE(YEAR(E50),MONTH(E50)-1,DAY(E50))</f>
        <v>25569.041666666668</v>
      </c>
      <c r="F51" s="333">
        <f>IF(DATE(YEAR($B$6),MONTH($B$6)+1,DAY(1))=E51,1,IF(MONTH(E51)=1,F52*(1+$F$5),F52))</f>
      </c>
      <c r="G51" s="333">
        <f>IF('Simulador - 1º Pilar'!$E$99="Sí",IF('Aportaciones Flex'!$B$13&lt;'Aportaciones Flex'!E51,0,F51*$B$8/12),F51*$B$8/12)</f>
      </c>
      <c r="H51" s="333">
        <f>IF(G51&gt;0,1,0)*$H$5*IF(AND($I$5="NO",YEAR(E51)=YEAR($B$6)+1),1,IF($I$5="SI",1,0))</f>
      </c>
      <c r="I51" s="217">
        <f>(1+$M$5)^(D51/12)*(H51*(12-IF(MONTH(E52)=12,0,MONTH(E52)))+IF(AND(F51=1,F52=0),$Q$4,0))*IF(AND(F51=1,F52=0),1,0)</f>
      </c>
      <c r="J51" s="333">
        <f>(1+$M$5)^(D51/12)*(H51+IF(AND(F51=1,F52=0),$Q$4,0))</f>
      </c>
      <c r="K51" s="351"/>
      <c r="L51" s="333">
        <f>K51+J51</f>
      </c>
      <c r="M51" s="724"/>
      <c r="N51" s="7"/>
      <c r="O51" s="1"/>
      <c r="P51" s="331">
        <f>D51</f>
      </c>
      <c r="Q51" s="169"/>
      <c r="R51" s="1"/>
      <c r="S51" s="217">
        <f>(1+$M$5)^(D51/12)*(IF(E51=$C$6,$Q$4+$H$5*12,0))</f>
      </c>
      <c r="T51" s="217">
        <f>(1+$M$5)^(D51/12)*(IF(YEAR(E51)&gt;YEAR($C$6),L51,0)+IF(E51=$C$6,$H$5*12+$Q$4,0))</f>
      </c>
    </row>
    <row x14ac:dyDescent="0.25" r="52" customHeight="1" ht="18.75">
      <c r="A52" s="1"/>
      <c r="B52" s="7"/>
      <c r="C52" s="170"/>
      <c r="D52" s="331">
        <v>45</v>
      </c>
      <c r="E52" s="544">
        <f>+DATE(YEAR(E51),MONTH(E51)-1,DAY(E51))</f>
        <v>25569.041666666668</v>
      </c>
      <c r="F52" s="333">
        <f>IF(DATE(YEAR($B$6),MONTH($B$6)+1,DAY(1))=E52,1,IF(MONTH(E52)=1,F53*(1+$F$5),F53))</f>
      </c>
      <c r="G52" s="333">
        <f>IF('Simulador - 1º Pilar'!$E$99="Sí",IF('Aportaciones Flex'!$B$13&lt;'Aportaciones Flex'!E52,0,F52*$B$8/12),F52*$B$8/12)</f>
      </c>
      <c r="H52" s="333">
        <f>IF(G52&gt;0,1,0)*$H$5*IF(AND($I$5="NO",YEAR(E52)=YEAR($B$6)+1),1,IF($I$5="SI",1,0))</f>
      </c>
      <c r="I52" s="217">
        <f>(1+$M$5)^(D52/12)*(H52*(12-IF(MONTH(E53)=12,0,MONTH(E53)))+IF(AND(F52=1,F53=0),$Q$4,0))*IF(AND(F52=1,F53=0),1,0)</f>
      </c>
      <c r="J52" s="333">
        <f>(1+$M$5)^(D52/12)*(H52+IF(AND(F52=1,F53=0),$Q$4,0))</f>
      </c>
      <c r="K52" s="351"/>
      <c r="L52" s="333">
        <f>K52+J52</f>
      </c>
      <c r="M52" s="724"/>
      <c r="N52" s="7"/>
      <c r="O52" s="1"/>
      <c r="P52" s="331">
        <f>D52</f>
      </c>
      <c r="Q52" s="169"/>
      <c r="R52" s="1"/>
      <c r="S52" s="217">
        <f>(1+$M$5)^(D52/12)*(IF(E52=$C$6,$Q$4+$H$5*12,0))</f>
      </c>
      <c r="T52" s="217">
        <f>(1+$M$5)^(D52/12)*(IF(YEAR(E52)&gt;YEAR($C$6),L52,0)+IF(E52=$C$6,$H$5*12+$Q$4,0))</f>
      </c>
    </row>
    <row x14ac:dyDescent="0.25" r="53" customHeight="1" ht="18.75">
      <c r="A53" s="1"/>
      <c r="B53" s="7"/>
      <c r="C53" s="170"/>
      <c r="D53" s="331">
        <v>46</v>
      </c>
      <c r="E53" s="544">
        <f>+DATE(YEAR(E52),MONTH(E52)-1,DAY(E52))</f>
        <v>25569.041666666668</v>
      </c>
      <c r="F53" s="333">
        <f>IF(DATE(YEAR($B$6),MONTH($B$6)+1,DAY(1))=E53,1,IF(MONTH(E53)=1,F54*(1+$F$5),F54))</f>
      </c>
      <c r="G53" s="333">
        <f>IF('Simulador - 1º Pilar'!$E$99="Sí",IF('Aportaciones Flex'!$B$13&lt;'Aportaciones Flex'!E53,0,F53*$B$8/12),F53*$B$8/12)</f>
      </c>
      <c r="H53" s="333">
        <f>IF(G53&gt;0,1,0)*$H$5*IF(AND($I$5="NO",YEAR(E53)=YEAR($B$6)+1),1,IF($I$5="SI",1,0))</f>
      </c>
      <c r="I53" s="217">
        <f>(1+$M$5)^(D53/12)*(H53*(12-IF(MONTH(E54)=12,0,MONTH(E54)))+IF(AND(F53=1,F54=0),$Q$4,0))*IF(AND(F53=1,F54=0),1,0)</f>
      </c>
      <c r="J53" s="333">
        <f>(1+$M$5)^(D53/12)*(H53+IF(AND(F53=1,F54=0),$Q$4,0))</f>
      </c>
      <c r="K53" s="351"/>
      <c r="L53" s="333">
        <f>K53+J53</f>
      </c>
      <c r="M53" s="724"/>
      <c r="N53" s="7"/>
      <c r="O53" s="1"/>
      <c r="P53" s="331">
        <f>D53</f>
      </c>
      <c r="Q53" s="169"/>
      <c r="R53" s="1"/>
      <c r="S53" s="217">
        <f>(1+$M$5)^(D53/12)*(IF(E53=$C$6,$Q$4+$H$5*12,0))</f>
      </c>
      <c r="T53" s="217">
        <f>(1+$M$5)^(D53/12)*(IF(YEAR(E53)&gt;YEAR($C$6),L53,0)+IF(E53=$C$6,$H$5*12+$Q$4,0))</f>
      </c>
    </row>
    <row x14ac:dyDescent="0.25" r="54" customHeight="1" ht="18.75">
      <c r="A54" s="1"/>
      <c r="B54" s="7"/>
      <c r="C54" s="170"/>
      <c r="D54" s="331">
        <v>47</v>
      </c>
      <c r="E54" s="544">
        <f>+DATE(YEAR(E53),MONTH(E53)-1,DAY(E53))</f>
        <v>25569.041666666668</v>
      </c>
      <c r="F54" s="333">
        <f>IF(DATE(YEAR($B$6),MONTH($B$6)+1,DAY(1))=E54,1,IF(MONTH(E54)=1,F55*(1+$F$5),F55))</f>
      </c>
      <c r="G54" s="333">
        <f>IF('Simulador - 1º Pilar'!$E$99="Sí",IF('Aportaciones Flex'!$B$13&lt;'Aportaciones Flex'!E54,0,F54*$B$8/12),F54*$B$8/12)</f>
      </c>
      <c r="H54" s="333">
        <f>IF(G54&gt;0,1,0)*$H$5*IF(AND($I$5="NO",YEAR(E54)=YEAR($B$6)+1),1,IF($I$5="SI",1,0))</f>
      </c>
      <c r="I54" s="217">
        <f>(1+$M$5)^(D54/12)*(H54*(12-IF(MONTH(E55)=12,0,MONTH(E55)))+IF(AND(F54=1,F55=0),$Q$4,0))*IF(AND(F54=1,F55=0),1,0)</f>
      </c>
      <c r="J54" s="333">
        <f>(1+$M$5)^(D54/12)*(H54+IF(AND(F54=1,F55=0),$Q$4,0))</f>
      </c>
      <c r="K54" s="351"/>
      <c r="L54" s="333">
        <f>K54+J54</f>
      </c>
      <c r="M54" s="724"/>
      <c r="N54" s="7"/>
      <c r="O54" s="1"/>
      <c r="P54" s="331">
        <f>D54</f>
      </c>
      <c r="Q54" s="169"/>
      <c r="R54" s="1"/>
      <c r="S54" s="217">
        <f>(1+$M$5)^(D54/12)*(IF(E54=$C$6,$Q$4+$H$5*12,0))</f>
      </c>
      <c r="T54" s="217">
        <f>(1+$M$5)^(D54/12)*(IF(YEAR(E54)&gt;YEAR($C$6),L54,0)+IF(E54=$C$6,$H$5*12+$Q$4,0))</f>
      </c>
    </row>
    <row x14ac:dyDescent="0.25" r="55" customHeight="1" ht="18.75">
      <c r="A55" s="1"/>
      <c r="B55" s="7"/>
      <c r="C55" s="170"/>
      <c r="D55" s="331">
        <v>48</v>
      </c>
      <c r="E55" s="544">
        <f>+DATE(YEAR(E54),MONTH(E54)-1,DAY(E54))</f>
        <v>25569.041666666668</v>
      </c>
      <c r="F55" s="333">
        <f>IF(DATE(YEAR($B$6),MONTH($B$6)+1,DAY(1))=E55,1,IF(MONTH(E55)=1,F56*(1+$F$5),F56))</f>
      </c>
      <c r="G55" s="333">
        <f>IF('Simulador - 1º Pilar'!$E$99="Sí",IF('Aportaciones Flex'!$B$13&lt;'Aportaciones Flex'!E55,0,F55*$B$8/12),F55*$B$8/12)</f>
      </c>
      <c r="H55" s="333">
        <f>IF(G55&gt;0,1,0)*$H$5*IF(AND($I$5="NO",YEAR(E55)=YEAR($B$6)+1),1,IF($I$5="SI",1,0))</f>
      </c>
      <c r="I55" s="217">
        <f>(1+$M$5)^(D55/12)*(H55*(12-IF(MONTH(E56)=12,0,MONTH(E56)))+IF(AND(F55=1,F56=0),$Q$4,0))*IF(AND(F55=1,F56=0),1,0)</f>
      </c>
      <c r="J55" s="333">
        <f>(1+$M$5)^(D55/12)*(H55+IF(AND(F55=1,F56=0),$Q$4,0))</f>
      </c>
      <c r="K55" s="351"/>
      <c r="L55" s="333">
        <f>K55+J55</f>
      </c>
      <c r="M55" s="724"/>
      <c r="N55" s="7"/>
      <c r="O55" s="1"/>
      <c r="P55" s="331">
        <f>D55</f>
      </c>
      <c r="Q55" s="169"/>
      <c r="R55" s="1"/>
      <c r="S55" s="217">
        <f>(1+$M$5)^(D55/12)*(IF(E55=$C$6,$Q$4+$H$5*12,0))</f>
      </c>
      <c r="T55" s="217">
        <f>(1+$M$5)^(D55/12)*(IF(YEAR(E55)&gt;YEAR($C$6),L55,0)+IF(E55=$C$6,$H$5*12+$Q$4,0))</f>
      </c>
    </row>
    <row x14ac:dyDescent="0.25" r="56" customHeight="1" ht="18.75">
      <c r="A56" s="1"/>
      <c r="B56" s="7"/>
      <c r="C56" s="170"/>
      <c r="D56" s="331">
        <v>49</v>
      </c>
      <c r="E56" s="544">
        <f>+DATE(YEAR(E55),MONTH(E55)-1,DAY(E55))</f>
        <v>25569.041666666668</v>
      </c>
      <c r="F56" s="333">
        <f>IF(DATE(YEAR($B$6),MONTH($B$6)+1,DAY(1))=E56,1,IF(MONTH(E56)=1,F57*(1+$F$5),F57))</f>
      </c>
      <c r="G56" s="333">
        <f>IF('Simulador - 1º Pilar'!$E$99="Sí",IF('Aportaciones Flex'!$B$13&lt;'Aportaciones Flex'!E56,0,F56*$B$8/12),F56*$B$8/12)</f>
      </c>
      <c r="H56" s="333">
        <f>IF(G56&gt;0,1,0)*$H$5*IF(AND($I$5="NO",YEAR(E56)=YEAR($B$6)+1),1,IF($I$5="SI",1,0))</f>
      </c>
      <c r="I56" s="217">
        <f>(1+$M$5)^(D56/12)*(H56*(12-IF(MONTH(E57)=12,0,MONTH(E57)))+IF(AND(F56=1,F57=0),$Q$4,0))*IF(AND(F56=1,F57=0),1,0)</f>
      </c>
      <c r="J56" s="333">
        <f>(1+$M$5)^(D56/12)*(H56+IF(AND(F56=1,F57=0),$Q$4,0))</f>
      </c>
      <c r="K56" s="351"/>
      <c r="L56" s="333">
        <f>K56+J56</f>
      </c>
      <c r="M56" s="724"/>
      <c r="N56" s="7"/>
      <c r="O56" s="1"/>
      <c r="P56" s="331">
        <f>D56</f>
      </c>
      <c r="Q56" s="169"/>
      <c r="R56" s="1"/>
      <c r="S56" s="217">
        <f>(1+$M$5)^(D56/12)*(IF(E56=$C$6,$Q$4+$H$5*12,0))</f>
      </c>
      <c r="T56" s="217">
        <f>(1+$M$5)^(D56/12)*(IF(YEAR(E56)&gt;YEAR($C$6),L56,0)+IF(E56=$C$6,$H$5*12+$Q$4,0))</f>
      </c>
    </row>
    <row x14ac:dyDescent="0.25" r="57" customHeight="1" ht="18.75">
      <c r="A57" s="1"/>
      <c r="B57" s="7"/>
      <c r="C57" s="170"/>
      <c r="D57" s="331">
        <v>50</v>
      </c>
      <c r="E57" s="544">
        <f>+DATE(YEAR(E56),MONTH(E56)-1,DAY(E56))</f>
        <v>25569.041666666668</v>
      </c>
      <c r="F57" s="333">
        <f>IF(DATE(YEAR($B$6),MONTH($B$6)+1,DAY(1))=E57,1,IF(MONTH(E57)=1,F58*(1+$F$5),F58))</f>
      </c>
      <c r="G57" s="333">
        <f>IF('Simulador - 1º Pilar'!$E$99="Sí",IF('Aportaciones Flex'!$B$13&lt;'Aportaciones Flex'!E57,0,F57*$B$8/12),F57*$B$8/12)</f>
      </c>
      <c r="H57" s="333">
        <f>IF(G57&gt;0,1,0)*$H$5*IF(AND($I$5="NO",YEAR(E57)=YEAR($B$6)+1),1,IF($I$5="SI",1,0))</f>
      </c>
      <c r="I57" s="217">
        <f>(1+$M$5)^(D57/12)*(H57*(12-IF(MONTH(E58)=12,0,MONTH(E58)))+IF(AND(F57=1,F58=0),$Q$4,0))*IF(AND(F57=1,F58=0),1,0)</f>
      </c>
      <c r="J57" s="333">
        <f>(1+$M$5)^(D57/12)*(H57+IF(AND(F57=1,F58=0),$Q$4,0))</f>
      </c>
      <c r="K57" s="351"/>
      <c r="L57" s="333">
        <f>K57+J57</f>
      </c>
      <c r="M57" s="724"/>
      <c r="N57" s="7"/>
      <c r="O57" s="1"/>
      <c r="P57" s="331">
        <f>D57</f>
      </c>
      <c r="Q57" s="169"/>
      <c r="R57" s="1"/>
      <c r="S57" s="217">
        <f>(1+$M$5)^(D57/12)*(IF(E57=$C$6,$Q$4+$H$5*12,0))</f>
      </c>
      <c r="T57" s="217">
        <f>(1+$M$5)^(D57/12)*(IF(YEAR(E57)&gt;YEAR($C$6),L57,0)+IF(E57=$C$6,$H$5*12+$Q$4,0))</f>
      </c>
    </row>
    <row x14ac:dyDescent="0.25" r="58" customHeight="1" ht="18.75">
      <c r="A58" s="1"/>
      <c r="B58" s="7"/>
      <c r="C58" s="170"/>
      <c r="D58" s="331">
        <v>51</v>
      </c>
      <c r="E58" s="544">
        <f>+DATE(YEAR(E57),MONTH(E57)-1,DAY(E57))</f>
        <v>25569.041666666668</v>
      </c>
      <c r="F58" s="333">
        <f>IF(DATE(YEAR($B$6),MONTH($B$6)+1,DAY(1))=E58,1,IF(MONTH(E58)=1,F59*(1+$F$5),F59))</f>
      </c>
      <c r="G58" s="333">
        <f>IF('Simulador - 1º Pilar'!$E$99="Sí",IF('Aportaciones Flex'!$B$13&lt;'Aportaciones Flex'!E58,0,F58*$B$8/12),F58*$B$8/12)</f>
      </c>
      <c r="H58" s="333">
        <f>IF(G58&gt;0,1,0)*$H$5*IF(AND($I$5="NO",YEAR(E58)=YEAR($B$6)+1),1,IF($I$5="SI",1,0))</f>
      </c>
      <c r="I58" s="217">
        <f>(1+$M$5)^(D58/12)*(H58*(12-IF(MONTH(E59)=12,0,MONTH(E59)))+IF(AND(F58=1,F59=0),$Q$4,0))*IF(AND(F58=1,F59=0),1,0)</f>
      </c>
      <c r="J58" s="333">
        <f>(1+$M$5)^(D58/12)*(H58+IF(AND(F58=1,F59=0),$Q$4,0))</f>
      </c>
      <c r="K58" s="351"/>
      <c r="L58" s="333">
        <f>K58+J58</f>
      </c>
      <c r="M58" s="724"/>
      <c r="N58" s="7"/>
      <c r="O58" s="1"/>
      <c r="P58" s="331">
        <f>D58</f>
      </c>
      <c r="Q58" s="169"/>
      <c r="R58" s="1"/>
      <c r="S58" s="217">
        <f>(1+$M$5)^(D58/12)*(IF(E58=$C$6,$Q$4+$H$5*12,0))</f>
      </c>
      <c r="T58" s="217">
        <f>(1+$M$5)^(D58/12)*(IF(YEAR(E58)&gt;YEAR($C$6),L58,0)+IF(E58=$C$6,$H$5*12+$Q$4,0))</f>
      </c>
    </row>
    <row x14ac:dyDescent="0.25" r="59" customHeight="1" ht="18.75">
      <c r="A59" s="1"/>
      <c r="B59" s="7"/>
      <c r="C59" s="170"/>
      <c r="D59" s="331">
        <v>52</v>
      </c>
      <c r="E59" s="544">
        <f>+DATE(YEAR(E58),MONTH(E58)-1,DAY(E58))</f>
        <v>25569.041666666668</v>
      </c>
      <c r="F59" s="333">
        <f>IF(DATE(YEAR($B$6),MONTH($B$6)+1,DAY(1))=E59,1,IF(MONTH(E59)=1,F60*(1+$F$5),F60))</f>
      </c>
      <c r="G59" s="333">
        <f>IF('Simulador - 1º Pilar'!$E$99="Sí",IF('Aportaciones Flex'!$B$13&lt;'Aportaciones Flex'!E59,0,F59*$B$8/12),F59*$B$8/12)</f>
      </c>
      <c r="H59" s="333">
        <f>IF(G59&gt;0,1,0)*$H$5*IF(AND($I$5="NO",YEAR(E59)=YEAR($B$6)+1),1,IF($I$5="SI",1,0))</f>
      </c>
      <c r="I59" s="217">
        <f>(1+$M$5)^(D59/12)*(H59*(12-IF(MONTH(E60)=12,0,MONTH(E60)))+IF(AND(F59=1,F60=0),$Q$4,0))*IF(AND(F59=1,F60=0),1,0)</f>
      </c>
      <c r="J59" s="333">
        <f>(1+$M$5)^(D59/12)*(H59+IF(AND(F59=1,F60=0),$Q$4,0))</f>
      </c>
      <c r="K59" s="351"/>
      <c r="L59" s="333">
        <f>K59+J59</f>
      </c>
      <c r="M59" s="724"/>
      <c r="N59" s="7"/>
      <c r="O59" s="1"/>
      <c r="P59" s="331">
        <f>D59</f>
      </c>
      <c r="Q59" s="169"/>
      <c r="R59" s="1"/>
      <c r="S59" s="217">
        <f>(1+$M$5)^(D59/12)*(IF(E59=$C$6,$Q$4+$H$5*12,0))</f>
      </c>
      <c r="T59" s="217">
        <f>(1+$M$5)^(D59/12)*(IF(YEAR(E59)&gt;YEAR($C$6),L59,0)+IF(E59=$C$6,$H$5*12+$Q$4,0))</f>
      </c>
    </row>
    <row x14ac:dyDescent="0.25" r="60" customHeight="1" ht="18.75">
      <c r="A60" s="1"/>
      <c r="B60" s="7"/>
      <c r="C60" s="170"/>
      <c r="D60" s="331">
        <v>53</v>
      </c>
      <c r="E60" s="544">
        <f>+DATE(YEAR(E59),MONTH(E59)-1,DAY(E59))</f>
        <v>25569.041666666668</v>
      </c>
      <c r="F60" s="333">
        <f>IF(DATE(YEAR($B$6),MONTH($B$6)+1,DAY(1))=E60,1,IF(MONTH(E60)=1,F61*(1+$F$5),F61))</f>
      </c>
      <c r="G60" s="333">
        <f>IF('Simulador - 1º Pilar'!$E$99="Sí",IF('Aportaciones Flex'!$B$13&lt;'Aportaciones Flex'!E60,0,F60*$B$8/12),F60*$B$8/12)</f>
      </c>
      <c r="H60" s="333">
        <f>IF(G60&gt;0,1,0)*$H$5*IF(AND($I$5="NO",YEAR(E60)=YEAR($B$6)+1),1,IF($I$5="SI",1,0))</f>
      </c>
      <c r="I60" s="217">
        <f>(1+$M$5)^(D60/12)*(H60*(12-IF(MONTH(E61)=12,0,MONTH(E61)))+IF(AND(F60=1,F61=0),$Q$4,0))*IF(AND(F60=1,F61=0),1,0)</f>
      </c>
      <c r="J60" s="333">
        <f>(1+$M$5)^(D60/12)*(H60+IF(AND(F60=1,F61=0),$Q$4,0))</f>
      </c>
      <c r="K60" s="351"/>
      <c r="L60" s="333">
        <f>K60+J60</f>
      </c>
      <c r="M60" s="724"/>
      <c r="N60" s="7"/>
      <c r="O60" s="1"/>
      <c r="P60" s="331">
        <f>D60</f>
      </c>
      <c r="Q60" s="169"/>
      <c r="R60" s="1"/>
      <c r="S60" s="217">
        <f>(1+$M$5)^(D60/12)*(IF(E60=$C$6,$Q$4+$H$5*12,0))</f>
      </c>
      <c r="T60" s="217">
        <f>(1+$M$5)^(D60/12)*(IF(YEAR(E60)&gt;YEAR($C$6),L60,0)+IF(E60=$C$6,$H$5*12+$Q$4,0))</f>
      </c>
    </row>
    <row x14ac:dyDescent="0.25" r="61" customHeight="1" ht="18.75">
      <c r="A61" s="1"/>
      <c r="B61" s="7"/>
      <c r="C61" s="170"/>
      <c r="D61" s="331">
        <v>54</v>
      </c>
      <c r="E61" s="544">
        <f>+DATE(YEAR(E60),MONTH(E60)-1,DAY(E60))</f>
        <v>25569.041666666668</v>
      </c>
      <c r="F61" s="333">
        <f>IF(DATE(YEAR($B$6),MONTH($B$6)+1,DAY(1))=E61,1,IF(MONTH(E61)=1,F62*(1+$F$5),F62))</f>
      </c>
      <c r="G61" s="333">
        <f>IF('Simulador - 1º Pilar'!$E$99="Sí",IF('Aportaciones Flex'!$B$13&lt;'Aportaciones Flex'!E61,0,F61*$B$8/12),F61*$B$8/12)</f>
      </c>
      <c r="H61" s="333">
        <f>IF(G61&gt;0,1,0)*$H$5*IF(AND($I$5="NO",YEAR(E61)=YEAR($B$6)+1),1,IF($I$5="SI",1,0))</f>
      </c>
      <c r="I61" s="217">
        <f>(1+$M$5)^(D61/12)*(H61*(12-IF(MONTH(E62)=12,0,MONTH(E62)))+IF(AND(F61=1,F62=0),$Q$4,0))*IF(AND(F61=1,F62=0),1,0)</f>
      </c>
      <c r="J61" s="333">
        <f>(1+$M$5)^(D61/12)*(H61+IF(AND(F61=1,F62=0),$Q$4,0))</f>
      </c>
      <c r="K61" s="351"/>
      <c r="L61" s="333">
        <f>K61+J61</f>
      </c>
      <c r="M61" s="724"/>
      <c r="N61" s="7"/>
      <c r="O61" s="1"/>
      <c r="P61" s="331">
        <f>D61</f>
      </c>
      <c r="Q61" s="169"/>
      <c r="R61" s="1"/>
      <c r="S61" s="217">
        <f>(1+$M$5)^(D61/12)*(IF(E61=$C$6,$Q$4+$H$5*12,0))</f>
      </c>
      <c r="T61" s="217">
        <f>(1+$M$5)^(D61/12)*(IF(YEAR(E61)&gt;YEAR($C$6),L61,0)+IF(E61=$C$6,$H$5*12+$Q$4,0))</f>
      </c>
    </row>
    <row x14ac:dyDescent="0.25" r="62" customHeight="1" ht="18.75">
      <c r="A62" s="1"/>
      <c r="B62" s="7"/>
      <c r="C62" s="170"/>
      <c r="D62" s="331">
        <v>55</v>
      </c>
      <c r="E62" s="544">
        <f>+DATE(YEAR(E61),MONTH(E61)-1,DAY(E61))</f>
        <v>25569.041666666668</v>
      </c>
      <c r="F62" s="333">
        <f>IF(DATE(YEAR($B$6),MONTH($B$6)+1,DAY(1))=E62,1,IF(MONTH(E62)=1,F63*(1+$F$5),F63))</f>
      </c>
      <c r="G62" s="333">
        <f>IF('Simulador - 1º Pilar'!$E$99="Sí",IF('Aportaciones Flex'!$B$13&lt;'Aportaciones Flex'!E62,0,F62*$B$8/12),F62*$B$8/12)</f>
      </c>
      <c r="H62" s="333">
        <f>IF(G62&gt;0,1,0)*$H$5*IF(AND($I$5="NO",YEAR(E62)=YEAR($B$6)+1),1,IF($I$5="SI",1,0))</f>
      </c>
      <c r="I62" s="217">
        <f>(1+$M$5)^(D62/12)*(H62*(12-IF(MONTH(E63)=12,0,MONTH(E63)))+IF(AND(F62=1,F63=0),$Q$4,0))*IF(AND(F62=1,F63=0),1,0)</f>
      </c>
      <c r="J62" s="333">
        <f>(1+$M$5)^(D62/12)*(H62+IF(AND(F62=1,F63=0),$Q$4,0))</f>
      </c>
      <c r="K62" s="351"/>
      <c r="L62" s="333">
        <f>K62+J62</f>
      </c>
      <c r="M62" s="724"/>
      <c r="N62" s="7"/>
      <c r="O62" s="1"/>
      <c r="P62" s="331">
        <f>D62</f>
      </c>
      <c r="Q62" s="169"/>
      <c r="R62" s="1"/>
      <c r="S62" s="217">
        <f>(1+$M$5)^(D62/12)*(IF(E62=$C$6,$Q$4+$H$5*12,0))</f>
      </c>
      <c r="T62" s="217">
        <f>(1+$M$5)^(D62/12)*(IF(YEAR(E62)&gt;YEAR($C$6),L62,0)+IF(E62=$C$6,$H$5*12+$Q$4,0))</f>
      </c>
    </row>
    <row x14ac:dyDescent="0.25" r="63" customHeight="1" ht="18.75">
      <c r="A63" s="1"/>
      <c r="B63" s="7"/>
      <c r="C63" s="170"/>
      <c r="D63" s="331">
        <v>56</v>
      </c>
      <c r="E63" s="544">
        <f>+DATE(YEAR(E62),MONTH(E62)-1,DAY(E62))</f>
        <v>25569.041666666668</v>
      </c>
      <c r="F63" s="333">
        <f>IF(DATE(YEAR($B$6),MONTH($B$6)+1,DAY(1))=E63,1,IF(MONTH(E63)=1,F64*(1+$F$5),F64))</f>
      </c>
      <c r="G63" s="333">
        <f>IF('Simulador - 1º Pilar'!$E$99="Sí",IF('Aportaciones Flex'!$B$13&lt;'Aportaciones Flex'!E63,0,F63*$B$8/12),F63*$B$8/12)</f>
      </c>
      <c r="H63" s="333">
        <f>IF(G63&gt;0,1,0)*$H$5*IF(AND($I$5="NO",YEAR(E63)=YEAR($B$6)+1),1,IF($I$5="SI",1,0))</f>
      </c>
      <c r="I63" s="217">
        <f>(1+$M$5)^(D63/12)*(H63*(12-IF(MONTH(E64)=12,0,MONTH(E64)))+IF(AND(F63=1,F64=0),$Q$4,0))*IF(AND(F63=1,F64=0),1,0)</f>
      </c>
      <c r="J63" s="333">
        <f>(1+$M$5)^(D63/12)*(H63+IF(AND(F63=1,F64=0),$Q$4,0))</f>
      </c>
      <c r="K63" s="351"/>
      <c r="L63" s="333">
        <f>K63+J63</f>
      </c>
      <c r="M63" s="724"/>
      <c r="N63" s="7"/>
      <c r="O63" s="1"/>
      <c r="P63" s="331">
        <f>D63</f>
      </c>
      <c r="Q63" s="169"/>
      <c r="R63" s="1"/>
      <c r="S63" s="217">
        <f>(1+$M$5)^(D63/12)*(IF(E63=$C$6,$Q$4+$H$5*12,0))</f>
      </c>
      <c r="T63" s="217">
        <f>(1+$M$5)^(D63/12)*(IF(YEAR(E63)&gt;YEAR($C$6),L63,0)+IF(E63=$C$6,$H$5*12+$Q$4,0))</f>
      </c>
    </row>
    <row x14ac:dyDescent="0.25" r="64" customHeight="1" ht="18.75">
      <c r="A64" s="1"/>
      <c r="B64" s="7"/>
      <c r="C64" s="170"/>
      <c r="D64" s="331">
        <v>57</v>
      </c>
      <c r="E64" s="544">
        <f>+DATE(YEAR(E63),MONTH(E63)-1,DAY(E63))</f>
        <v>25569.041666666668</v>
      </c>
      <c r="F64" s="333">
        <f>IF(DATE(YEAR($B$6),MONTH($B$6)+1,DAY(1))=E64,1,IF(MONTH(E64)=1,F65*(1+$F$5),F65))</f>
      </c>
      <c r="G64" s="333">
        <f>IF('Simulador - 1º Pilar'!$E$99="Sí",IF('Aportaciones Flex'!$B$13&lt;'Aportaciones Flex'!E64,0,F64*$B$8/12),F64*$B$8/12)</f>
      </c>
      <c r="H64" s="333">
        <f>IF(G64&gt;0,1,0)*$H$5*IF(AND($I$5="NO",YEAR(E64)=YEAR($B$6)+1),1,IF($I$5="SI",1,0))</f>
      </c>
      <c r="I64" s="217">
        <f>(1+$M$5)^(D64/12)*(H64*(12-IF(MONTH(E65)=12,0,MONTH(E65)))+IF(AND(F64=1,F65=0),$Q$4,0))*IF(AND(F64=1,F65=0),1,0)</f>
      </c>
      <c r="J64" s="333">
        <f>(1+$M$5)^(D64/12)*(H64+IF(AND(F64=1,F65=0),$Q$4,0))</f>
      </c>
      <c r="K64" s="351"/>
      <c r="L64" s="333">
        <f>K64+J64</f>
      </c>
      <c r="M64" s="724"/>
      <c r="N64" s="7"/>
      <c r="O64" s="1"/>
      <c r="P64" s="331">
        <f>D64</f>
      </c>
      <c r="Q64" s="169"/>
      <c r="R64" s="1"/>
      <c r="S64" s="217">
        <f>(1+$M$5)^(D64/12)*(IF(E64=$C$6,$Q$4+$H$5*12,0))</f>
      </c>
      <c r="T64" s="217">
        <f>(1+$M$5)^(D64/12)*(IF(YEAR(E64)&gt;YEAR($C$6),L64,0)+IF(E64=$C$6,$H$5*12+$Q$4,0))</f>
      </c>
    </row>
    <row x14ac:dyDescent="0.25" r="65" customHeight="1" ht="18.75">
      <c r="A65" s="1"/>
      <c r="B65" s="7"/>
      <c r="C65" s="170"/>
      <c r="D65" s="331">
        <v>58</v>
      </c>
      <c r="E65" s="544">
        <f>+DATE(YEAR(E64),MONTH(E64)-1,DAY(E64))</f>
        <v>25569.041666666668</v>
      </c>
      <c r="F65" s="333">
        <f>IF(DATE(YEAR($B$6),MONTH($B$6)+1,DAY(1))=E65,1,IF(MONTH(E65)=1,F66*(1+$F$5),F66))</f>
      </c>
      <c r="G65" s="333">
        <f>IF('Simulador - 1º Pilar'!$E$99="Sí",IF('Aportaciones Flex'!$B$13&lt;'Aportaciones Flex'!E65,0,F65*$B$8/12),F65*$B$8/12)</f>
      </c>
      <c r="H65" s="333">
        <f>IF(G65&gt;0,1,0)*$H$5*IF(AND($I$5="NO",YEAR(E65)=YEAR($B$6)+1),1,IF($I$5="SI",1,0))</f>
      </c>
      <c r="I65" s="217">
        <f>(1+$M$5)^(D65/12)*(H65*(12-IF(MONTH(E66)=12,0,MONTH(E66)))+IF(AND(F65=1,F66=0),$Q$4,0))*IF(AND(F65=1,F66=0),1,0)</f>
      </c>
      <c r="J65" s="333">
        <f>(1+$M$5)^(D65/12)*(H65+IF(AND(F65=1,F66=0),$Q$4,0))</f>
      </c>
      <c r="K65" s="351"/>
      <c r="L65" s="333">
        <f>K65+J65</f>
      </c>
      <c r="M65" s="724"/>
      <c r="N65" s="7"/>
      <c r="O65" s="1"/>
      <c r="P65" s="331">
        <f>D65</f>
      </c>
      <c r="Q65" s="169"/>
      <c r="R65" s="1"/>
      <c r="S65" s="217">
        <f>(1+$M$5)^(D65/12)*(IF(E65=$C$6,$Q$4+$H$5*12,0))</f>
      </c>
      <c r="T65" s="217">
        <f>(1+$M$5)^(D65/12)*(IF(YEAR(E65)&gt;YEAR($C$6),L65,0)+IF(E65=$C$6,$H$5*12+$Q$4,0))</f>
      </c>
    </row>
    <row x14ac:dyDescent="0.25" r="66" customHeight="1" ht="18.75">
      <c r="A66" s="1"/>
      <c r="B66" s="7"/>
      <c r="C66" s="170"/>
      <c r="D66" s="331">
        <v>59</v>
      </c>
      <c r="E66" s="544">
        <f>+DATE(YEAR(E65),MONTH(E65)-1,DAY(E65))</f>
        <v>25569.041666666668</v>
      </c>
      <c r="F66" s="333">
        <f>IF(DATE(YEAR($B$6),MONTH($B$6)+1,DAY(1))=E66,1,IF(MONTH(E66)=1,F67*(1+$F$5),F67))</f>
      </c>
      <c r="G66" s="333">
        <f>IF('Simulador - 1º Pilar'!$E$99="Sí",IF('Aportaciones Flex'!$B$13&lt;'Aportaciones Flex'!E66,0,F66*$B$8/12),F66*$B$8/12)</f>
      </c>
      <c r="H66" s="333">
        <f>IF(G66&gt;0,1,0)*$H$5*IF(AND($I$5="NO",YEAR(E66)=YEAR($B$6)+1),1,IF($I$5="SI",1,0))</f>
      </c>
      <c r="I66" s="217">
        <f>(1+$M$5)^(D66/12)*(H66*(12-IF(MONTH(E67)=12,0,MONTH(E67)))+IF(AND(F66=1,F67=0),$Q$4,0))*IF(AND(F66=1,F67=0),1,0)</f>
      </c>
      <c r="J66" s="333">
        <f>(1+$M$5)^(D66/12)*(H66+IF(AND(F66=1,F67=0),$Q$4,0))</f>
      </c>
      <c r="K66" s="351"/>
      <c r="L66" s="333">
        <f>K66+J66</f>
      </c>
      <c r="M66" s="724"/>
      <c r="N66" s="7"/>
      <c r="O66" s="1"/>
      <c r="P66" s="331">
        <f>D66</f>
      </c>
      <c r="Q66" s="169"/>
      <c r="R66" s="1"/>
      <c r="S66" s="217">
        <f>(1+$M$5)^(D66/12)*(IF(E66=$C$6,$Q$4+$H$5*12,0))</f>
      </c>
      <c r="T66" s="217">
        <f>(1+$M$5)^(D66/12)*(IF(YEAR(E66)&gt;YEAR($C$6),L66,0)+IF(E66=$C$6,$H$5*12+$Q$4,0))</f>
      </c>
    </row>
    <row x14ac:dyDescent="0.25" r="67" customHeight="1" ht="18.75">
      <c r="A67" s="1"/>
      <c r="B67" s="7"/>
      <c r="C67" s="170"/>
      <c r="D67" s="331">
        <v>60</v>
      </c>
      <c r="E67" s="544">
        <f>+DATE(YEAR(E66),MONTH(E66)-1,DAY(E66))</f>
        <v>25569.041666666668</v>
      </c>
      <c r="F67" s="333">
        <f>IF(DATE(YEAR($B$6),MONTH($B$6)+1,DAY(1))=E67,1,IF(MONTH(E67)=1,F68*(1+$F$5),F68))</f>
      </c>
      <c r="G67" s="333">
        <f>IF('Simulador - 1º Pilar'!$E$99="Sí",IF('Aportaciones Flex'!$B$13&lt;'Aportaciones Flex'!E67,0,F67*$B$8/12),F67*$B$8/12)</f>
      </c>
      <c r="H67" s="333">
        <f>IF(G67&gt;0,1,0)*$H$5*IF(AND($I$5="NO",YEAR(E67)=YEAR($B$6)+1),1,IF($I$5="SI",1,0))</f>
      </c>
      <c r="I67" s="217">
        <f>(1+$M$5)^(D67/12)*(H67*(12-IF(MONTH(E68)=12,0,MONTH(E68)))+IF(AND(F67=1,F68=0),$Q$4,0))*IF(AND(F67=1,F68=0),1,0)</f>
      </c>
      <c r="J67" s="333">
        <f>(1+$M$5)^(D67/12)*(H67+IF(AND(F67=1,F68=0),$Q$4,0))</f>
      </c>
      <c r="K67" s="351"/>
      <c r="L67" s="333">
        <f>K67+J67</f>
      </c>
      <c r="M67" s="724"/>
      <c r="N67" s="7"/>
      <c r="O67" s="1"/>
      <c r="P67" s="331">
        <f>D67</f>
      </c>
      <c r="Q67" s="169"/>
      <c r="R67" s="1"/>
      <c r="S67" s="217">
        <f>(1+$M$5)^(D67/12)*(IF(E67=$C$6,$Q$4+$H$5*12,0))</f>
      </c>
      <c r="T67" s="217">
        <f>(1+$M$5)^(D67/12)*(IF(YEAR(E67)&gt;YEAR($C$6),L67,0)+IF(E67=$C$6,$H$5*12+$Q$4,0))</f>
      </c>
    </row>
    <row x14ac:dyDescent="0.25" r="68" customHeight="1" ht="18.75">
      <c r="A68" s="1"/>
      <c r="B68" s="7"/>
      <c r="C68" s="170"/>
      <c r="D68" s="331">
        <v>61</v>
      </c>
      <c r="E68" s="544">
        <f>+DATE(YEAR(E67),MONTH(E67)-1,DAY(E67))</f>
        <v>25569.041666666668</v>
      </c>
      <c r="F68" s="333">
        <f>IF(DATE(YEAR($B$6),MONTH($B$6)+1,DAY(1))=E68,1,IF(MONTH(E68)=1,F69*(1+$F$5),F69))</f>
      </c>
      <c r="G68" s="333">
        <f>IF('Simulador - 1º Pilar'!$E$99="Sí",IF('Aportaciones Flex'!$B$13&lt;'Aportaciones Flex'!E68,0,F68*$B$8/12),F68*$B$8/12)</f>
      </c>
      <c r="H68" s="333">
        <f>IF(G68&gt;0,1,0)*$H$5*IF(AND($I$5="NO",YEAR(E68)=YEAR($B$6)+1),1,IF($I$5="SI",1,0))</f>
      </c>
      <c r="I68" s="217">
        <f>(1+$M$5)^(D68/12)*(H68*(12-IF(MONTH(E69)=12,0,MONTH(E69)))+IF(AND(F68=1,F69=0),$Q$4,0))*IF(AND(F68=1,F69=0),1,0)</f>
      </c>
      <c r="J68" s="333">
        <f>(1+$M$5)^(D68/12)*(H68+IF(AND(F68=1,F69=0),$Q$4,0))</f>
      </c>
      <c r="K68" s="351"/>
      <c r="L68" s="333">
        <f>K68+J68</f>
      </c>
      <c r="M68" s="724"/>
      <c r="N68" s="7"/>
      <c r="O68" s="1"/>
      <c r="P68" s="331">
        <f>D68</f>
      </c>
      <c r="Q68" s="169"/>
      <c r="R68" s="1"/>
      <c r="S68" s="217">
        <f>(1+$M$5)^(D68/12)*(IF(E68=$C$6,$Q$4+$H$5*12,0))</f>
      </c>
      <c r="T68" s="217">
        <f>(1+$M$5)^(D68/12)*(IF(YEAR(E68)&gt;YEAR($C$6),L68,0)+IF(E68=$C$6,$H$5*12+$Q$4,0))</f>
      </c>
    </row>
    <row x14ac:dyDescent="0.25" r="69" customHeight="1" ht="18.75">
      <c r="A69" s="1"/>
      <c r="B69" s="7"/>
      <c r="C69" s="170"/>
      <c r="D69" s="331">
        <v>62</v>
      </c>
      <c r="E69" s="544">
        <f>+DATE(YEAR(E68),MONTH(E68)-1,DAY(E68))</f>
        <v>25569.041666666668</v>
      </c>
      <c r="F69" s="333">
        <f>IF(DATE(YEAR($B$6),MONTH($B$6)+1,DAY(1))=E69,1,IF(MONTH(E69)=1,F70*(1+$F$5),F70))</f>
      </c>
      <c r="G69" s="333">
        <f>IF('Simulador - 1º Pilar'!$E$99="Sí",IF('Aportaciones Flex'!$B$13&lt;'Aportaciones Flex'!E69,0,F69*$B$8/12),F69*$B$8/12)</f>
      </c>
      <c r="H69" s="333">
        <f>IF(G69&gt;0,1,0)*$H$5*IF(AND($I$5="NO",YEAR(E69)=YEAR($B$6)+1),1,IF($I$5="SI",1,0))</f>
      </c>
      <c r="I69" s="217">
        <f>(1+$M$5)^(D69/12)*(H69*(12-IF(MONTH(E70)=12,0,MONTH(E70)))+IF(AND(F69=1,F70=0),$Q$4,0))*IF(AND(F69=1,F70=0),1,0)</f>
      </c>
      <c r="J69" s="333">
        <f>(1+$M$5)^(D69/12)*(H69+IF(AND(F69=1,F70=0),$Q$4,0))</f>
      </c>
      <c r="K69" s="351"/>
      <c r="L69" s="333">
        <f>K69+J69</f>
      </c>
      <c r="M69" s="724"/>
      <c r="N69" s="7"/>
      <c r="O69" s="1"/>
      <c r="P69" s="331">
        <f>D69</f>
      </c>
      <c r="Q69" s="169"/>
      <c r="R69" s="1"/>
      <c r="S69" s="217">
        <f>(1+$M$5)^(D69/12)*(IF(E69=$C$6,$Q$4+$H$5*12,0))</f>
      </c>
      <c r="T69" s="217">
        <f>(1+$M$5)^(D69/12)*(IF(YEAR(E69)&gt;YEAR($C$6),L69,0)+IF(E69=$C$6,$H$5*12+$Q$4,0))</f>
      </c>
    </row>
    <row x14ac:dyDescent="0.25" r="70" customHeight="1" ht="18.75">
      <c r="A70" s="1"/>
      <c r="B70" s="7"/>
      <c r="C70" s="170"/>
      <c r="D70" s="331">
        <v>63</v>
      </c>
      <c r="E70" s="544">
        <f>+DATE(YEAR(E69),MONTH(E69)-1,DAY(E69))</f>
        <v>25569.041666666668</v>
      </c>
      <c r="F70" s="333">
        <f>IF(DATE(YEAR($B$6),MONTH($B$6)+1,DAY(1))=E70,1,IF(MONTH(E70)=1,F71*(1+$F$5),F71))</f>
      </c>
      <c r="G70" s="333">
        <f>IF('Simulador - 1º Pilar'!$E$99="Sí",IF('Aportaciones Flex'!$B$13&lt;'Aportaciones Flex'!E70,0,F70*$B$8/12),F70*$B$8/12)</f>
      </c>
      <c r="H70" s="333">
        <f>IF(G70&gt;0,1,0)*$H$5*IF(AND($I$5="NO",YEAR(E70)=YEAR($B$6)+1),1,IF($I$5="SI",1,0))</f>
      </c>
      <c r="I70" s="217">
        <f>(1+$M$5)^(D70/12)*(H70*(12-IF(MONTH(E71)=12,0,MONTH(E71)))+IF(AND(F70=1,F71=0),$Q$4,0))*IF(AND(F70=1,F71=0),1,0)</f>
      </c>
      <c r="J70" s="333">
        <f>(1+$M$5)^(D70/12)*(H70+IF(AND(F70=1,F71=0),$Q$4,0))</f>
      </c>
      <c r="K70" s="351"/>
      <c r="L70" s="333">
        <f>K70+J70</f>
      </c>
      <c r="M70" s="724"/>
      <c r="N70" s="7"/>
      <c r="O70" s="1"/>
      <c r="P70" s="331">
        <f>D70</f>
      </c>
      <c r="Q70" s="169"/>
      <c r="R70" s="1"/>
      <c r="S70" s="217">
        <f>(1+$M$5)^(D70/12)*(IF(E70=$C$6,$Q$4+$H$5*12,0))</f>
      </c>
      <c r="T70" s="217">
        <f>(1+$M$5)^(D70/12)*(IF(YEAR(E70)&gt;YEAR($C$6),L70,0)+IF(E70=$C$6,$H$5*12+$Q$4,0))</f>
      </c>
    </row>
    <row x14ac:dyDescent="0.25" r="71" customHeight="1" ht="18.75">
      <c r="A71" s="1"/>
      <c r="B71" s="7"/>
      <c r="C71" s="170"/>
      <c r="D71" s="331">
        <v>64</v>
      </c>
      <c r="E71" s="544">
        <f>+DATE(YEAR(E70),MONTH(E70)-1,DAY(E70))</f>
        <v>25569.041666666668</v>
      </c>
      <c r="F71" s="333">
        <f>IF(DATE(YEAR($B$6),MONTH($B$6)+1,DAY(1))=E71,1,IF(MONTH(E71)=1,F72*(1+$F$5),F72))</f>
      </c>
      <c r="G71" s="333">
        <f>IF('Simulador - 1º Pilar'!$E$99="Sí",IF('Aportaciones Flex'!$B$13&lt;'Aportaciones Flex'!E71,0,F71*$B$8/12),F71*$B$8/12)</f>
      </c>
      <c r="H71" s="333">
        <f>IF(G71&gt;0,1,0)*$H$5*IF(AND($I$5="NO",YEAR(E71)=YEAR($B$6)+1),1,IF($I$5="SI",1,0))</f>
      </c>
      <c r="I71" s="217">
        <f>(1+$M$5)^(D71/12)*(H71*(12-IF(MONTH(E72)=12,0,MONTH(E72)))+IF(AND(F71=1,F72=0),$Q$4,0))*IF(AND(F71=1,F72=0),1,0)</f>
      </c>
      <c r="J71" s="333">
        <f>(1+$M$5)^(D71/12)*(H71+IF(AND(F71=1,F72=0),$Q$4,0))</f>
      </c>
      <c r="K71" s="351"/>
      <c r="L71" s="333">
        <f>K71+J71</f>
      </c>
      <c r="M71" s="724"/>
      <c r="N71" s="7"/>
      <c r="O71" s="1"/>
      <c r="P71" s="331">
        <f>D71</f>
      </c>
      <c r="Q71" s="169"/>
      <c r="R71" s="1"/>
      <c r="S71" s="217">
        <f>(1+$M$5)^(D71/12)*(IF(E71=$C$6,$Q$4+$H$5*12,0))</f>
      </c>
      <c r="T71" s="217">
        <f>(1+$M$5)^(D71/12)*(IF(YEAR(E71)&gt;YEAR($C$6),L71,0)+IF(E71=$C$6,$H$5*12+$Q$4,0))</f>
      </c>
    </row>
    <row x14ac:dyDescent="0.25" r="72" customHeight="1" ht="18.75">
      <c r="A72" s="1"/>
      <c r="B72" s="7"/>
      <c r="C72" s="170"/>
      <c r="D72" s="331">
        <v>65</v>
      </c>
      <c r="E72" s="544">
        <f>+DATE(YEAR(E71),MONTH(E71)-1,DAY(E71))</f>
        <v>25569.041666666668</v>
      </c>
      <c r="F72" s="333">
        <f>IF(DATE(YEAR($B$6),MONTH($B$6)+1,DAY(1))=E72,1,IF(MONTH(E72)=1,F73*(1+$F$5),F73))</f>
      </c>
      <c r="G72" s="333">
        <f>IF('Simulador - 1º Pilar'!$E$99="Sí",IF('Aportaciones Flex'!$B$13&lt;'Aportaciones Flex'!E72,0,F72*$B$8/12),F72*$B$8/12)</f>
      </c>
      <c r="H72" s="333">
        <f>IF(G72&gt;0,1,0)*$H$5*IF(AND($I$5="NO",YEAR(E72)=YEAR($B$6)+1),1,IF($I$5="SI",1,0))</f>
      </c>
      <c r="I72" s="217">
        <f>(1+$M$5)^(D72/12)*(H72*(12-IF(MONTH(E73)=12,0,MONTH(E73)))+IF(AND(F72=1,F73=0),$Q$4,0))*IF(AND(F72=1,F73=0),1,0)</f>
      </c>
      <c r="J72" s="333">
        <f>(1+$M$5)^(D72/12)*(H72+IF(AND(F72=1,F73=0),$Q$4,0))</f>
      </c>
      <c r="K72" s="351"/>
      <c r="L72" s="333">
        <f>K72+J72</f>
      </c>
      <c r="M72" s="724"/>
      <c r="N72" s="7"/>
      <c r="O72" s="1"/>
      <c r="P72" s="331">
        <f>D72</f>
      </c>
      <c r="Q72" s="169"/>
      <c r="R72" s="1"/>
      <c r="S72" s="217">
        <f>(1+$M$5)^(D72/12)*(IF(E72=$C$6,$Q$4+$H$5*12,0))</f>
      </c>
      <c r="T72" s="217">
        <f>(1+$M$5)^(D72/12)*(IF(YEAR(E72)&gt;YEAR($C$6),L72,0)+IF(E72=$C$6,$H$5*12+$Q$4,0))</f>
      </c>
    </row>
    <row x14ac:dyDescent="0.25" r="73" customHeight="1" ht="18.75">
      <c r="A73" s="1"/>
      <c r="B73" s="7"/>
      <c r="C73" s="170"/>
      <c r="D73" s="331">
        <v>66</v>
      </c>
      <c r="E73" s="544">
        <f>+DATE(YEAR(E72),MONTH(E72)-1,DAY(E72))</f>
        <v>25569.041666666668</v>
      </c>
      <c r="F73" s="333">
        <f>IF(DATE(YEAR($B$6),MONTH($B$6)+1,DAY(1))=E73,1,IF(MONTH(E73)=1,F74*(1+$F$5),F74))</f>
      </c>
      <c r="G73" s="333">
        <f>IF('Simulador - 1º Pilar'!$E$99="Sí",IF('Aportaciones Flex'!$B$13&lt;'Aportaciones Flex'!E73,0,F73*$B$8/12),F73*$B$8/12)</f>
      </c>
      <c r="H73" s="333">
        <f>IF(G73&gt;0,1,0)*$H$5*IF(AND($I$5="NO",YEAR(E73)=YEAR($B$6)+1),1,IF($I$5="SI",1,0))</f>
      </c>
      <c r="I73" s="217">
        <f>(1+$M$5)^(D73/12)*(H73*(12-IF(MONTH(E74)=12,0,MONTH(E74)))+IF(AND(F73=1,F74=0),$Q$4,0))*IF(AND(F73=1,F74=0),1,0)</f>
      </c>
      <c r="J73" s="333">
        <f>(1+$M$5)^(D73/12)*(H73+IF(AND(F73=1,F74=0),$Q$4,0))</f>
      </c>
      <c r="K73" s="351"/>
      <c r="L73" s="333">
        <f>K73+J73</f>
      </c>
      <c r="M73" s="724"/>
      <c r="N73" s="7"/>
      <c r="O73" s="1"/>
      <c r="P73" s="331">
        <f>D73</f>
      </c>
      <c r="Q73" s="169"/>
      <c r="R73" s="1"/>
      <c r="S73" s="217">
        <f>(1+$M$5)^(D73/12)*(IF(E73=$C$6,$Q$4+$H$5*12,0))</f>
      </c>
      <c r="T73" s="217">
        <f>(1+$M$5)^(D73/12)*(IF(YEAR(E73)&gt;YEAR($C$6),L73,0)+IF(E73=$C$6,$H$5*12+$Q$4,0))</f>
      </c>
    </row>
    <row x14ac:dyDescent="0.25" r="74" customHeight="1" ht="18.75">
      <c r="A74" s="1"/>
      <c r="B74" s="7"/>
      <c r="C74" s="170"/>
      <c r="D74" s="331">
        <v>67</v>
      </c>
      <c r="E74" s="544">
        <f>+DATE(YEAR(E73),MONTH(E73)-1,DAY(E73))</f>
        <v>25569.041666666668</v>
      </c>
      <c r="F74" s="333">
        <f>IF(DATE(YEAR($B$6),MONTH($B$6)+1,DAY(1))=E74,1,IF(MONTH(E74)=1,F75*(1+$F$5),F75))</f>
      </c>
      <c r="G74" s="333">
        <f>IF('Simulador - 1º Pilar'!$E$99="Sí",IF('Aportaciones Flex'!$B$13&lt;'Aportaciones Flex'!E74,0,F74*$B$8/12),F74*$B$8/12)</f>
      </c>
      <c r="H74" s="333">
        <f>IF(G74&gt;0,1,0)*$H$5*IF(AND($I$5="NO",YEAR(E74)=YEAR($B$6)+1),1,IF($I$5="SI",1,0))</f>
      </c>
      <c r="I74" s="217">
        <f>(1+$M$5)^(D74/12)*(H74*(12-IF(MONTH(E75)=12,0,MONTH(E75)))+IF(AND(F74=1,F75=0),$Q$4,0))*IF(AND(F74=1,F75=0),1,0)</f>
      </c>
      <c r="J74" s="333">
        <f>(1+$M$5)^(D74/12)*(H74+IF(AND(F74=1,F75=0),$Q$4,0))</f>
      </c>
      <c r="K74" s="351"/>
      <c r="L74" s="333">
        <f>K74+J74</f>
      </c>
      <c r="M74" s="724"/>
      <c r="N74" s="7"/>
      <c r="O74" s="1"/>
      <c r="P74" s="331">
        <f>D74</f>
      </c>
      <c r="Q74" s="169"/>
      <c r="R74" s="1"/>
      <c r="S74" s="217">
        <f>(1+$M$5)^(D74/12)*(IF(E74=$C$6,$Q$4+$H$5*12,0))</f>
      </c>
      <c r="T74" s="217">
        <f>(1+$M$5)^(D74/12)*(IF(YEAR(E74)&gt;YEAR($C$6),L74,0)+IF(E74=$C$6,$H$5*12+$Q$4,0))</f>
      </c>
    </row>
    <row x14ac:dyDescent="0.25" r="75" customHeight="1" ht="18.75">
      <c r="A75" s="1"/>
      <c r="B75" s="7"/>
      <c r="C75" s="170"/>
      <c r="D75" s="331">
        <v>68</v>
      </c>
      <c r="E75" s="544">
        <f>+DATE(YEAR(E74),MONTH(E74)-1,DAY(E74))</f>
        <v>25569.041666666668</v>
      </c>
      <c r="F75" s="333">
        <f>IF(DATE(YEAR($B$6),MONTH($B$6)+1,DAY(1))=E75,1,IF(MONTH(E75)=1,F76*(1+$F$5),F76))</f>
      </c>
      <c r="G75" s="333">
        <f>IF('Simulador - 1º Pilar'!$E$99="Sí",IF('Aportaciones Flex'!$B$13&lt;'Aportaciones Flex'!E75,0,F75*$B$8/12),F75*$B$8/12)</f>
      </c>
      <c r="H75" s="333">
        <f>IF(G75&gt;0,1,0)*$H$5*IF(AND($I$5="NO",YEAR(E75)=YEAR($B$6)+1),1,IF($I$5="SI",1,0))</f>
      </c>
      <c r="I75" s="217">
        <f>(1+$M$5)^(D75/12)*(H75*(12-IF(MONTH(E76)=12,0,MONTH(E76)))+IF(AND(F75=1,F76=0),$Q$4,0))*IF(AND(F75=1,F76=0),1,0)</f>
      </c>
      <c r="J75" s="333">
        <f>(1+$M$5)^(D75/12)*(H75+IF(AND(F75=1,F76=0),$Q$4,0))</f>
      </c>
      <c r="K75" s="351"/>
      <c r="L75" s="333">
        <f>K75+J75</f>
      </c>
      <c r="M75" s="724"/>
      <c r="N75" s="7"/>
      <c r="O75" s="1"/>
      <c r="P75" s="331">
        <f>D75</f>
      </c>
      <c r="Q75" s="169"/>
      <c r="R75" s="1"/>
      <c r="S75" s="217">
        <f>(1+$M$5)^(D75/12)*(IF(E75=$C$6,$Q$4+$H$5*12,0))</f>
      </c>
      <c r="T75" s="217">
        <f>(1+$M$5)^(D75/12)*(IF(YEAR(E75)&gt;YEAR($C$6),L75,0)+IF(E75=$C$6,$H$5*12+$Q$4,0))</f>
      </c>
    </row>
    <row x14ac:dyDescent="0.25" r="76" customHeight="1" ht="18.75">
      <c r="A76" s="1"/>
      <c r="B76" s="7"/>
      <c r="C76" s="170"/>
      <c r="D76" s="331">
        <v>69</v>
      </c>
      <c r="E76" s="544">
        <f>+DATE(YEAR(E75),MONTH(E75)-1,DAY(E75))</f>
        <v>25569.041666666668</v>
      </c>
      <c r="F76" s="333">
        <f>IF(DATE(YEAR($B$6),MONTH($B$6)+1,DAY(1))=E76,1,IF(MONTH(E76)=1,F77*(1+$F$5),F77))</f>
      </c>
      <c r="G76" s="333">
        <f>IF('Simulador - 1º Pilar'!$E$99="Sí",IF('Aportaciones Flex'!$B$13&lt;'Aportaciones Flex'!E76,0,F76*$B$8/12),F76*$B$8/12)</f>
      </c>
      <c r="H76" s="333">
        <f>IF(G76&gt;0,1,0)*$H$5*IF(AND($I$5="NO",YEAR(E76)=YEAR($B$6)+1),1,IF($I$5="SI",1,0))</f>
      </c>
      <c r="I76" s="217">
        <f>(1+$M$5)^(D76/12)*(H76*(12-IF(MONTH(E77)=12,0,MONTH(E77)))+IF(AND(F76=1,F77=0),$Q$4,0))*IF(AND(F76=1,F77=0),1,0)</f>
      </c>
      <c r="J76" s="333">
        <f>(1+$M$5)^(D76/12)*(H76+IF(AND(F76=1,F77=0),$Q$4,0))</f>
      </c>
      <c r="K76" s="351"/>
      <c r="L76" s="333">
        <f>K76+J76</f>
      </c>
      <c r="M76" s="724"/>
      <c r="N76" s="7"/>
      <c r="O76" s="1"/>
      <c r="P76" s="331">
        <f>D76</f>
      </c>
      <c r="Q76" s="169"/>
      <c r="R76" s="1"/>
      <c r="S76" s="217">
        <f>(1+$M$5)^(D76/12)*(IF(E76=$C$6,$Q$4+$H$5*12,0))</f>
      </c>
      <c r="T76" s="217">
        <f>(1+$M$5)^(D76/12)*(IF(YEAR(E76)&gt;YEAR($C$6),L76,0)+IF(E76=$C$6,$H$5*12+$Q$4,0))</f>
      </c>
    </row>
    <row x14ac:dyDescent="0.25" r="77" customHeight="1" ht="18.75">
      <c r="A77" s="1"/>
      <c r="B77" s="7"/>
      <c r="C77" s="170"/>
      <c r="D77" s="331">
        <v>70</v>
      </c>
      <c r="E77" s="544">
        <f>+DATE(YEAR(E76),MONTH(E76)-1,DAY(E76))</f>
        <v>25569.041666666668</v>
      </c>
      <c r="F77" s="333">
        <f>IF(DATE(YEAR($B$6),MONTH($B$6)+1,DAY(1))=E77,1,IF(MONTH(E77)=1,F78*(1+$F$5),F78))</f>
      </c>
      <c r="G77" s="333">
        <f>IF('Simulador - 1º Pilar'!$E$99="Sí",IF('Aportaciones Flex'!$B$13&lt;'Aportaciones Flex'!E77,0,F77*$B$8/12),F77*$B$8/12)</f>
      </c>
      <c r="H77" s="333">
        <f>IF(G77&gt;0,1,0)*$H$5*IF(AND($I$5="NO",YEAR(E77)=YEAR($B$6)+1),1,IF($I$5="SI",1,0))</f>
      </c>
      <c r="I77" s="217">
        <f>(1+$M$5)^(D77/12)*(H77*(12-IF(MONTH(E78)=12,0,MONTH(E78)))+IF(AND(F77=1,F78=0),$Q$4,0))*IF(AND(F77=1,F78=0),1,0)</f>
      </c>
      <c r="J77" s="333">
        <f>(1+$M$5)^(D77/12)*(H77+IF(AND(F77=1,F78=0),$Q$4,0))</f>
      </c>
      <c r="K77" s="351"/>
      <c r="L77" s="333">
        <f>K77+J77</f>
      </c>
      <c r="M77" s="724"/>
      <c r="N77" s="7"/>
      <c r="O77" s="1"/>
      <c r="P77" s="331">
        <f>D77</f>
      </c>
      <c r="Q77" s="169"/>
      <c r="R77" s="1"/>
      <c r="S77" s="217">
        <f>(1+$M$5)^(D77/12)*(IF(E77=$C$6,$Q$4+$H$5*12,0))</f>
      </c>
      <c r="T77" s="217">
        <f>(1+$M$5)^(D77/12)*(IF(YEAR(E77)&gt;YEAR($C$6),L77,0)+IF(E77=$C$6,$H$5*12+$Q$4,0))</f>
      </c>
    </row>
    <row x14ac:dyDescent="0.25" r="78" customHeight="1" ht="18.75">
      <c r="A78" s="1"/>
      <c r="B78" s="7"/>
      <c r="C78" s="170"/>
      <c r="D78" s="331">
        <v>71</v>
      </c>
      <c r="E78" s="544">
        <f>+DATE(YEAR(E77),MONTH(E77)-1,DAY(E77))</f>
        <v>25569.041666666668</v>
      </c>
      <c r="F78" s="333">
        <f>IF(DATE(YEAR($B$6),MONTH($B$6)+1,DAY(1))=E78,1,IF(MONTH(E78)=1,F79*(1+$F$5),F79))</f>
      </c>
      <c r="G78" s="333">
        <f>IF('Simulador - 1º Pilar'!$E$99="Sí",IF('Aportaciones Flex'!$B$13&lt;'Aportaciones Flex'!E78,0,F78*$B$8/12),F78*$B$8/12)</f>
      </c>
      <c r="H78" s="333">
        <f>IF(G78&gt;0,1,0)*$H$5*IF(AND($I$5="NO",YEAR(E78)=YEAR($B$6)+1),1,IF($I$5="SI",1,0))</f>
      </c>
      <c r="I78" s="217">
        <f>(1+$M$5)^(D78/12)*(H78*(12-IF(MONTH(E79)=12,0,MONTH(E79)))+IF(AND(F78=1,F79=0),$Q$4,0))*IF(AND(F78=1,F79=0),1,0)</f>
      </c>
      <c r="J78" s="333">
        <f>(1+$M$5)^(D78/12)*(H78+IF(AND(F78=1,F79=0),$Q$4,0))</f>
      </c>
      <c r="K78" s="351"/>
      <c r="L78" s="333">
        <f>K78+J78</f>
      </c>
      <c r="M78" s="724"/>
      <c r="N78" s="7"/>
      <c r="O78" s="1"/>
      <c r="P78" s="331">
        <f>D78</f>
      </c>
      <c r="Q78" s="169"/>
      <c r="R78" s="1"/>
      <c r="S78" s="217">
        <f>(1+$M$5)^(D78/12)*(IF(E78=$C$6,$Q$4+$H$5*12,0))</f>
      </c>
      <c r="T78" s="217">
        <f>(1+$M$5)^(D78/12)*(IF(YEAR(E78)&gt;YEAR($C$6),L78,0)+IF(E78=$C$6,$H$5*12+$Q$4,0))</f>
      </c>
    </row>
    <row x14ac:dyDescent="0.25" r="79" customHeight="1" ht="18.75">
      <c r="A79" s="1"/>
      <c r="B79" s="7"/>
      <c r="C79" s="170"/>
      <c r="D79" s="331">
        <v>72</v>
      </c>
      <c r="E79" s="544">
        <f>+DATE(YEAR(E78),MONTH(E78)-1,DAY(E78))</f>
        <v>25569.041666666668</v>
      </c>
      <c r="F79" s="333">
        <f>IF(DATE(YEAR($B$6),MONTH($B$6)+1,DAY(1))=E79,1,IF(MONTH(E79)=1,F80*(1+$F$5),F80))</f>
      </c>
      <c r="G79" s="333">
        <f>IF('Simulador - 1º Pilar'!$E$99="Sí",IF('Aportaciones Flex'!$B$13&lt;'Aportaciones Flex'!E79,0,F79*$B$8/12),F79*$B$8/12)</f>
      </c>
      <c r="H79" s="333">
        <f>IF(G79&gt;0,1,0)*$H$5*IF(AND($I$5="NO",YEAR(E79)=YEAR($B$6)+1),1,IF($I$5="SI",1,0))</f>
      </c>
      <c r="I79" s="217">
        <f>(1+$M$5)^(D79/12)*(H79*(12-IF(MONTH(E80)=12,0,MONTH(E80)))+IF(AND(F79=1,F80=0),$Q$4,0))*IF(AND(F79=1,F80=0),1,0)</f>
      </c>
      <c r="J79" s="333">
        <f>(1+$M$5)^(D79/12)*(H79+IF(AND(F79=1,F80=0),$Q$4,0))</f>
      </c>
      <c r="K79" s="351"/>
      <c r="L79" s="333">
        <f>K79+J79</f>
      </c>
      <c r="M79" s="724"/>
      <c r="N79" s="7"/>
      <c r="O79" s="1"/>
      <c r="P79" s="331">
        <f>D79</f>
      </c>
      <c r="Q79" s="169"/>
      <c r="R79" s="1"/>
      <c r="S79" s="217">
        <f>(1+$M$5)^(D79/12)*(IF(E79=$C$6,$Q$4+$H$5*12,0))</f>
      </c>
      <c r="T79" s="217">
        <f>(1+$M$5)^(D79/12)*(IF(YEAR(E79)&gt;YEAR($C$6),L79,0)+IF(E79=$C$6,$H$5*12+$Q$4,0))</f>
      </c>
    </row>
    <row x14ac:dyDescent="0.25" r="80" customHeight="1" ht="18.75">
      <c r="A80" s="1"/>
      <c r="B80" s="7"/>
      <c r="C80" s="170"/>
      <c r="D80" s="331">
        <v>73</v>
      </c>
      <c r="E80" s="544">
        <f>+DATE(YEAR(E79),MONTH(E79)-1,DAY(E79))</f>
        <v>25569.041666666668</v>
      </c>
      <c r="F80" s="333">
        <f>IF(DATE(YEAR($B$6),MONTH($B$6)+1,DAY(1))=E80,1,IF(MONTH(E80)=1,F81*(1+$F$5),F81))</f>
      </c>
      <c r="G80" s="333">
        <f>IF('Simulador - 1º Pilar'!$E$99="Sí",IF('Aportaciones Flex'!$B$13&lt;'Aportaciones Flex'!E80,0,F80*$B$8/12),F80*$B$8/12)</f>
      </c>
      <c r="H80" s="333">
        <f>IF(G80&gt;0,1,0)*$H$5*IF(AND($I$5="NO",YEAR(E80)=YEAR($B$6)+1),1,IF($I$5="SI",1,0))</f>
      </c>
      <c r="I80" s="217">
        <f>(1+$M$5)^(D80/12)*(H80*(12-IF(MONTH(E81)=12,0,MONTH(E81)))+IF(AND(F80=1,F81=0),$Q$4,0))*IF(AND(F80=1,F81=0),1,0)</f>
      </c>
      <c r="J80" s="333">
        <f>(1+$M$5)^(D80/12)*(H80+IF(AND(F80=1,F81=0),$Q$4,0))</f>
      </c>
      <c r="K80" s="351"/>
      <c r="L80" s="333">
        <f>K80+J80</f>
      </c>
      <c r="M80" s="724"/>
      <c r="N80" s="7"/>
      <c r="O80" s="1"/>
      <c r="P80" s="331">
        <f>D80</f>
      </c>
      <c r="Q80" s="169"/>
      <c r="R80" s="1"/>
      <c r="S80" s="217">
        <f>(1+$M$5)^(D80/12)*(IF(E80=$C$6,$Q$4+$H$5*12,0))</f>
      </c>
      <c r="T80" s="217">
        <f>(1+$M$5)^(D80/12)*(IF(YEAR(E80)&gt;YEAR($C$6),L80,0)+IF(E80=$C$6,$H$5*12+$Q$4,0))</f>
      </c>
    </row>
    <row x14ac:dyDescent="0.25" r="81" customHeight="1" ht="18.75">
      <c r="A81" s="1"/>
      <c r="B81" s="7"/>
      <c r="C81" s="170"/>
      <c r="D81" s="331">
        <v>74</v>
      </c>
      <c r="E81" s="544">
        <f>+DATE(YEAR(E80),MONTH(E80)-1,DAY(E80))</f>
        <v>25569.041666666668</v>
      </c>
      <c r="F81" s="333">
        <f>IF(DATE(YEAR($B$6),MONTH($B$6)+1,DAY(1))=E81,1,IF(MONTH(E81)=1,F82*(1+$F$5),F82))</f>
      </c>
      <c r="G81" s="333">
        <f>IF('Simulador - 1º Pilar'!$E$99="Sí",IF('Aportaciones Flex'!$B$13&lt;'Aportaciones Flex'!E81,0,F81*$B$8/12),F81*$B$8/12)</f>
      </c>
      <c r="H81" s="333">
        <f>IF(G81&gt;0,1,0)*$H$5*IF(AND($I$5="NO",YEAR(E81)=YEAR($B$6)+1),1,IF($I$5="SI",1,0))</f>
      </c>
      <c r="I81" s="217">
        <f>(1+$M$5)^(D81/12)*(H81*(12-IF(MONTH(E82)=12,0,MONTH(E82)))+IF(AND(F81=1,F82=0),$Q$4,0))*IF(AND(F81=1,F82=0),1,0)</f>
      </c>
      <c r="J81" s="333">
        <f>(1+$M$5)^(D81/12)*(H81+IF(AND(F81=1,F82=0),$Q$4,0))</f>
      </c>
      <c r="K81" s="351"/>
      <c r="L81" s="333">
        <f>K81+J81</f>
      </c>
      <c r="M81" s="724"/>
      <c r="N81" s="7"/>
      <c r="O81" s="1"/>
      <c r="P81" s="331">
        <f>D81</f>
      </c>
      <c r="Q81" s="169"/>
      <c r="R81" s="1"/>
      <c r="S81" s="217">
        <f>(1+$M$5)^(D81/12)*(IF(E81=$C$6,$Q$4+$H$5*12,0))</f>
      </c>
      <c r="T81" s="217">
        <f>(1+$M$5)^(D81/12)*(IF(YEAR(E81)&gt;YEAR($C$6),L81,0)+IF(E81=$C$6,$H$5*12+$Q$4,0))</f>
      </c>
    </row>
    <row x14ac:dyDescent="0.25" r="82" customHeight="1" ht="18.75">
      <c r="A82" s="1"/>
      <c r="B82" s="7"/>
      <c r="C82" s="170"/>
      <c r="D82" s="331">
        <v>75</v>
      </c>
      <c r="E82" s="544">
        <f>+DATE(YEAR(E81),MONTH(E81)-1,DAY(E81))</f>
        <v>25569.041666666668</v>
      </c>
      <c r="F82" s="333">
        <f>IF(DATE(YEAR($B$6),MONTH($B$6)+1,DAY(1))=E82,1,IF(MONTH(E82)=1,F83*(1+$F$5),F83))</f>
      </c>
      <c r="G82" s="333">
        <f>IF('Simulador - 1º Pilar'!$E$99="Sí",IF('Aportaciones Flex'!$B$13&lt;'Aportaciones Flex'!E82,0,F82*$B$8/12),F82*$B$8/12)</f>
      </c>
      <c r="H82" s="333">
        <f>IF(G82&gt;0,1,0)*$H$5*IF(AND($I$5="NO",YEAR(E82)=YEAR($B$6)+1),1,IF($I$5="SI",1,0))</f>
      </c>
      <c r="I82" s="217">
        <f>(1+$M$5)^(D82/12)*(H82*(12-IF(MONTH(E83)=12,0,MONTH(E83)))+IF(AND(F82=1,F83=0),$Q$4,0))*IF(AND(F82=1,F83=0),1,0)</f>
      </c>
      <c r="J82" s="333">
        <f>(1+$M$5)^(D82/12)*(H82+IF(AND(F82=1,F83=0),$Q$4,0))</f>
      </c>
      <c r="K82" s="351"/>
      <c r="L82" s="333">
        <f>K82+J82</f>
      </c>
      <c r="M82" s="724"/>
      <c r="N82" s="7"/>
      <c r="O82" s="1"/>
      <c r="P82" s="331">
        <f>D82</f>
      </c>
      <c r="Q82" s="169"/>
      <c r="R82" s="1"/>
      <c r="S82" s="217">
        <f>(1+$M$5)^(D82/12)*(IF(E82=$C$6,$Q$4+$H$5*12,0))</f>
      </c>
      <c r="T82" s="217">
        <f>(1+$M$5)^(D82/12)*(IF(YEAR(E82)&gt;YEAR($C$6),L82,0)+IF(E82=$C$6,$H$5*12+$Q$4,0))</f>
      </c>
    </row>
    <row x14ac:dyDescent="0.25" r="83" customHeight="1" ht="18.75">
      <c r="A83" s="1"/>
      <c r="B83" s="7"/>
      <c r="C83" s="170"/>
      <c r="D83" s="331">
        <v>76</v>
      </c>
      <c r="E83" s="544">
        <f>+DATE(YEAR(E82),MONTH(E82)-1,DAY(E82))</f>
        <v>25569.041666666668</v>
      </c>
      <c r="F83" s="333">
        <f>IF(DATE(YEAR($B$6),MONTH($B$6)+1,DAY(1))=E83,1,IF(MONTH(E83)=1,F84*(1+$F$5),F84))</f>
      </c>
      <c r="G83" s="333">
        <f>IF('Simulador - 1º Pilar'!$E$99="Sí",IF('Aportaciones Flex'!$B$13&lt;'Aportaciones Flex'!E83,0,F83*$B$8/12),F83*$B$8/12)</f>
      </c>
      <c r="H83" s="333">
        <f>IF(G83&gt;0,1,0)*$H$5*IF(AND($I$5="NO",YEAR(E83)=YEAR($B$6)+1),1,IF($I$5="SI",1,0))</f>
      </c>
      <c r="I83" s="217">
        <f>(1+$M$5)^(D83/12)*(H83*(12-IF(MONTH(E84)=12,0,MONTH(E84)))+IF(AND(F83=1,F84=0),$Q$4,0))*IF(AND(F83=1,F84=0),1,0)</f>
      </c>
      <c r="J83" s="333">
        <f>(1+$M$5)^(D83/12)*(H83+IF(AND(F83=1,F84=0),$Q$4,0))</f>
      </c>
      <c r="K83" s="351"/>
      <c r="L83" s="333">
        <f>K83+J83</f>
      </c>
      <c r="M83" s="724"/>
      <c r="N83" s="7"/>
      <c r="O83" s="1"/>
      <c r="P83" s="331">
        <f>D83</f>
      </c>
      <c r="Q83" s="169"/>
      <c r="R83" s="1"/>
      <c r="S83" s="217">
        <f>(1+$M$5)^(D83/12)*(IF(E83=$C$6,$Q$4+$H$5*12,0))</f>
      </c>
      <c r="T83" s="217">
        <f>(1+$M$5)^(D83/12)*(IF(YEAR(E83)&gt;YEAR($C$6),L83,0)+IF(E83=$C$6,$H$5*12+$Q$4,0))</f>
      </c>
    </row>
    <row x14ac:dyDescent="0.25" r="84" customHeight="1" ht="18.75">
      <c r="A84" s="1"/>
      <c r="B84" s="7"/>
      <c r="C84" s="170"/>
      <c r="D84" s="331">
        <v>77</v>
      </c>
      <c r="E84" s="544">
        <f>+DATE(YEAR(E83),MONTH(E83)-1,DAY(E83))</f>
        <v>25569.041666666668</v>
      </c>
      <c r="F84" s="333">
        <f>IF(DATE(YEAR($B$6),MONTH($B$6)+1,DAY(1))=E84,1,IF(MONTH(E84)=1,F85*(1+$F$5),F85))</f>
      </c>
      <c r="G84" s="333">
        <f>IF('Simulador - 1º Pilar'!$E$99="Sí",IF('Aportaciones Flex'!$B$13&lt;'Aportaciones Flex'!E84,0,F84*$B$8/12),F84*$B$8/12)</f>
      </c>
      <c r="H84" s="333">
        <f>IF(G84&gt;0,1,0)*$H$5*IF(AND($I$5="NO",YEAR(E84)=YEAR($B$6)+1),1,IF($I$5="SI",1,0))</f>
      </c>
      <c r="I84" s="217">
        <f>(1+$M$5)^(D84/12)*(H84*(12-IF(MONTH(E85)=12,0,MONTH(E85)))+IF(AND(F84=1,F85=0),$Q$4,0))*IF(AND(F84=1,F85=0),1,0)</f>
      </c>
      <c r="J84" s="333">
        <f>(1+$M$5)^(D84/12)*(H84+IF(AND(F84=1,F85=0),$Q$4,0))</f>
      </c>
      <c r="K84" s="351"/>
      <c r="L84" s="333">
        <f>K84+J84</f>
      </c>
      <c r="M84" s="724"/>
      <c r="N84" s="7"/>
      <c r="O84" s="1"/>
      <c r="P84" s="331">
        <f>D84</f>
      </c>
      <c r="Q84" s="169"/>
      <c r="R84" s="1"/>
      <c r="S84" s="217">
        <f>(1+$M$5)^(D84/12)*(IF(E84=$C$6,$Q$4+$H$5*12,0))</f>
      </c>
      <c r="T84" s="217">
        <f>(1+$M$5)^(D84/12)*(IF(YEAR(E84)&gt;YEAR($C$6),L84,0)+IF(E84=$C$6,$H$5*12+$Q$4,0))</f>
      </c>
    </row>
    <row x14ac:dyDescent="0.25" r="85" customHeight="1" ht="18.75">
      <c r="A85" s="1"/>
      <c r="B85" s="7"/>
      <c r="C85" s="170"/>
      <c r="D85" s="331">
        <v>78</v>
      </c>
      <c r="E85" s="544">
        <f>+DATE(YEAR(E84),MONTH(E84)-1,DAY(E84))</f>
        <v>25569.041666666668</v>
      </c>
      <c r="F85" s="333">
        <f>IF(DATE(YEAR($B$6),MONTH($B$6)+1,DAY(1))=E85,1,IF(MONTH(E85)=1,F86*(1+$F$5),F86))</f>
      </c>
      <c r="G85" s="333">
        <f>IF('Simulador - 1º Pilar'!$E$99="Sí",IF('Aportaciones Flex'!$B$13&lt;'Aportaciones Flex'!E85,0,F85*$B$8/12),F85*$B$8/12)</f>
      </c>
      <c r="H85" s="333">
        <f>IF(G85&gt;0,1,0)*$H$5*IF(AND($I$5="NO",YEAR(E85)=YEAR($B$6)+1),1,IF($I$5="SI",1,0))</f>
      </c>
      <c r="I85" s="217">
        <f>(1+$M$5)^(D85/12)*(H85*(12-IF(MONTH(E86)=12,0,MONTH(E86)))+IF(AND(F85=1,F86=0),$Q$4,0))*IF(AND(F85=1,F86=0),1,0)</f>
      </c>
      <c r="J85" s="333">
        <f>(1+$M$5)^(D85/12)*(H85+IF(AND(F85=1,F86=0),$Q$4,0))</f>
      </c>
      <c r="K85" s="351"/>
      <c r="L85" s="333">
        <f>K85+J85</f>
      </c>
      <c r="M85" s="724"/>
      <c r="N85" s="7"/>
      <c r="O85" s="1"/>
      <c r="P85" s="331">
        <f>D85</f>
      </c>
      <c r="Q85" s="169"/>
      <c r="R85" s="1"/>
      <c r="S85" s="217">
        <f>(1+$M$5)^(D85/12)*(IF(E85=$C$6,$Q$4+$H$5*12,0))</f>
      </c>
      <c r="T85" s="217">
        <f>(1+$M$5)^(D85/12)*(IF(YEAR(E85)&gt;YEAR($C$6),L85,0)+IF(E85=$C$6,$H$5*12+$Q$4,0))</f>
      </c>
    </row>
    <row x14ac:dyDescent="0.25" r="86" customHeight="1" ht="18.75">
      <c r="A86" s="1"/>
      <c r="B86" s="7"/>
      <c r="C86" s="170"/>
      <c r="D86" s="331">
        <v>79</v>
      </c>
      <c r="E86" s="544">
        <f>+DATE(YEAR(E85),MONTH(E85)-1,DAY(E85))</f>
        <v>25569.041666666668</v>
      </c>
      <c r="F86" s="333">
        <f>IF(DATE(YEAR($B$6),MONTH($B$6)+1,DAY(1))=E86,1,IF(MONTH(E86)=1,F87*(1+$F$5),F87))</f>
      </c>
      <c r="G86" s="333">
        <f>IF('Simulador - 1º Pilar'!$E$99="Sí",IF('Aportaciones Flex'!$B$13&lt;'Aportaciones Flex'!E86,0,F86*$B$8/12),F86*$B$8/12)</f>
      </c>
      <c r="H86" s="333">
        <f>IF(G86&gt;0,1,0)*$H$5*IF(AND($I$5="NO",YEAR(E86)=YEAR($B$6)+1),1,IF($I$5="SI",1,0))</f>
      </c>
      <c r="I86" s="217">
        <f>(1+$M$5)^(D86/12)*(H86*(12-IF(MONTH(E87)=12,0,MONTH(E87)))+IF(AND(F86=1,F87=0),$Q$4,0))*IF(AND(F86=1,F87=0),1,0)</f>
      </c>
      <c r="J86" s="333">
        <f>(1+$M$5)^(D86/12)*(H86+IF(AND(F86=1,F87=0),$Q$4,0))</f>
      </c>
      <c r="K86" s="351"/>
      <c r="L86" s="333">
        <f>K86+J86</f>
      </c>
      <c r="M86" s="724"/>
      <c r="N86" s="7"/>
      <c r="O86" s="1"/>
      <c r="P86" s="331">
        <f>D86</f>
      </c>
      <c r="Q86" s="169"/>
      <c r="R86" s="1"/>
      <c r="S86" s="217">
        <f>(1+$M$5)^(D86/12)*(IF(E86=$C$6,$Q$4+$H$5*12,0))</f>
      </c>
      <c r="T86" s="217">
        <f>(1+$M$5)^(D86/12)*(IF(YEAR(E86)&gt;YEAR($C$6),L86,0)+IF(E86=$C$6,$H$5*12+$Q$4,0))</f>
      </c>
    </row>
    <row x14ac:dyDescent="0.25" r="87" customHeight="1" ht="18.75">
      <c r="A87" s="1"/>
      <c r="B87" s="7"/>
      <c r="C87" s="170"/>
      <c r="D87" s="331">
        <v>80</v>
      </c>
      <c r="E87" s="544">
        <f>+DATE(YEAR(E86),MONTH(E86)-1,DAY(E86))</f>
        <v>25569.041666666668</v>
      </c>
      <c r="F87" s="333">
        <f>IF(DATE(YEAR($B$6),MONTH($B$6)+1,DAY(1))=E87,1,IF(MONTH(E87)=1,F88*(1+$F$5),F88))</f>
      </c>
      <c r="G87" s="333">
        <f>IF('Simulador - 1º Pilar'!$E$99="Sí",IF('Aportaciones Flex'!$B$13&lt;'Aportaciones Flex'!E87,0,F87*$B$8/12),F87*$B$8/12)</f>
      </c>
      <c r="H87" s="333">
        <f>IF(G87&gt;0,1,0)*$H$5*IF(AND($I$5="NO",YEAR(E87)=YEAR($B$6)+1),1,IF($I$5="SI",1,0))</f>
      </c>
      <c r="I87" s="217">
        <f>(1+$M$5)^(D87/12)*(H87*(12-IF(MONTH(E88)=12,0,MONTH(E88)))+IF(AND(F87=1,F88=0),$Q$4,0))*IF(AND(F87=1,F88=0),1,0)</f>
      </c>
      <c r="J87" s="333">
        <f>(1+$M$5)^(D87/12)*(H87+IF(AND(F87=1,F88=0),$Q$4,0))</f>
      </c>
      <c r="K87" s="351"/>
      <c r="L87" s="333">
        <f>K87+J87</f>
      </c>
      <c r="M87" s="724"/>
      <c r="N87" s="7"/>
      <c r="O87" s="1"/>
      <c r="P87" s="331">
        <f>D87</f>
      </c>
      <c r="Q87" s="169"/>
      <c r="R87" s="1"/>
      <c r="S87" s="217">
        <f>(1+$M$5)^(D87/12)*(IF(E87=$C$6,$Q$4+$H$5*12,0))</f>
      </c>
      <c r="T87" s="217">
        <f>(1+$M$5)^(D87/12)*(IF(YEAR(E87)&gt;YEAR($C$6),L87,0)+IF(E87=$C$6,$H$5*12+$Q$4,0))</f>
      </c>
    </row>
    <row x14ac:dyDescent="0.25" r="88" customHeight="1" ht="18.75">
      <c r="A88" s="1"/>
      <c r="B88" s="7"/>
      <c r="C88" s="170"/>
      <c r="D88" s="331">
        <v>81</v>
      </c>
      <c r="E88" s="544">
        <f>+DATE(YEAR(E87),MONTH(E87)-1,DAY(E87))</f>
        <v>25569.041666666668</v>
      </c>
      <c r="F88" s="333">
        <f>IF(DATE(YEAR($B$6),MONTH($B$6)+1,DAY(1))=E88,1,IF(MONTH(E88)=1,F89*(1+$F$5),F89))</f>
      </c>
      <c r="G88" s="333">
        <f>IF('Simulador - 1º Pilar'!$E$99="Sí",IF('Aportaciones Flex'!$B$13&lt;'Aportaciones Flex'!E88,0,F88*$B$8/12),F88*$B$8/12)</f>
      </c>
      <c r="H88" s="333">
        <f>IF(G88&gt;0,1,0)*$H$5*IF(AND($I$5="NO",YEAR(E88)=YEAR($B$6)+1),1,IF($I$5="SI",1,0))</f>
      </c>
      <c r="I88" s="217">
        <f>(1+$M$5)^(D88/12)*(H88*(12-IF(MONTH(E89)=12,0,MONTH(E89)))+IF(AND(F88=1,F89=0),$Q$4,0))*IF(AND(F88=1,F89=0),1,0)</f>
      </c>
      <c r="J88" s="333">
        <f>(1+$M$5)^(D88/12)*(H88+IF(AND(F88=1,F89=0),$Q$4,0))</f>
      </c>
      <c r="K88" s="351"/>
      <c r="L88" s="333">
        <f>K88+J88</f>
      </c>
      <c r="M88" s="724"/>
      <c r="N88" s="7"/>
      <c r="O88" s="1"/>
      <c r="P88" s="331">
        <f>D88</f>
      </c>
      <c r="Q88" s="169"/>
      <c r="R88" s="1"/>
      <c r="S88" s="217">
        <f>(1+$M$5)^(D88/12)*(IF(E88=$C$6,$Q$4+$H$5*12,0))</f>
      </c>
      <c r="T88" s="217">
        <f>(1+$M$5)^(D88/12)*(IF(YEAR(E88)&gt;YEAR($C$6),L88,0)+IF(E88=$C$6,$H$5*12+$Q$4,0))</f>
      </c>
    </row>
    <row x14ac:dyDescent="0.25" r="89" customHeight="1" ht="18.75">
      <c r="A89" s="1"/>
      <c r="B89" s="7"/>
      <c r="C89" s="170"/>
      <c r="D89" s="331">
        <v>82</v>
      </c>
      <c r="E89" s="544">
        <f>+DATE(YEAR(E88),MONTH(E88)-1,DAY(E88))</f>
        <v>25569.041666666668</v>
      </c>
      <c r="F89" s="333">
        <f>IF(DATE(YEAR($B$6),MONTH($B$6)+1,DAY(1))=E89,1,IF(MONTH(E89)=1,F90*(1+$F$5),F90))</f>
      </c>
      <c r="G89" s="333">
        <f>IF('Simulador - 1º Pilar'!$E$99="Sí",IF('Aportaciones Flex'!$B$13&lt;'Aportaciones Flex'!E89,0,F89*$B$8/12),F89*$B$8/12)</f>
      </c>
      <c r="H89" s="333">
        <f>IF(G89&gt;0,1,0)*$H$5*IF(AND($I$5="NO",YEAR(E89)=YEAR($B$6)+1),1,IF($I$5="SI",1,0))</f>
      </c>
      <c r="I89" s="217">
        <f>(1+$M$5)^(D89/12)*(H89*(12-IF(MONTH(E90)=12,0,MONTH(E90)))+IF(AND(F89=1,F90=0),$Q$4,0))*IF(AND(F89=1,F90=0),1,0)</f>
      </c>
      <c r="J89" s="333">
        <f>(1+$M$5)^(D89/12)*(H89+IF(AND(F89=1,F90=0),$Q$4,0))</f>
      </c>
      <c r="K89" s="351"/>
      <c r="L89" s="333">
        <f>K89+J89</f>
      </c>
      <c r="M89" s="724"/>
      <c r="N89" s="7"/>
      <c r="O89" s="1"/>
      <c r="P89" s="331">
        <f>D89</f>
      </c>
      <c r="Q89" s="169"/>
      <c r="R89" s="1"/>
      <c r="S89" s="217">
        <f>(1+$M$5)^(D89/12)*(IF(E89=$C$6,$Q$4+$H$5*12,0))</f>
      </c>
      <c r="T89" s="217">
        <f>(1+$M$5)^(D89/12)*(IF(YEAR(E89)&gt;YEAR($C$6),L89,0)+IF(E89=$C$6,$H$5*12+$Q$4,0))</f>
      </c>
    </row>
    <row x14ac:dyDescent="0.25" r="90" customHeight="1" ht="18.75">
      <c r="A90" s="1"/>
      <c r="B90" s="7"/>
      <c r="C90" s="170"/>
      <c r="D90" s="331">
        <v>83</v>
      </c>
      <c r="E90" s="544">
        <f>+DATE(YEAR(E89),MONTH(E89)-1,DAY(E89))</f>
        <v>25569.041666666668</v>
      </c>
      <c r="F90" s="333">
        <f>IF(DATE(YEAR($B$6),MONTH($B$6)+1,DAY(1))=E90,1,IF(MONTH(E90)=1,F91*(1+$F$5),F91))</f>
      </c>
      <c r="G90" s="333">
        <f>IF('Simulador - 1º Pilar'!$E$99="Sí",IF('Aportaciones Flex'!$B$13&lt;'Aportaciones Flex'!E90,0,F90*$B$8/12),F90*$B$8/12)</f>
      </c>
      <c r="H90" s="333">
        <f>IF(G90&gt;0,1,0)*$H$5*IF(AND($I$5="NO",YEAR(E90)=YEAR($B$6)+1),1,IF($I$5="SI",1,0))</f>
      </c>
      <c r="I90" s="217">
        <f>(1+$M$5)^(D90/12)*(H90*(12-IF(MONTH(E91)=12,0,MONTH(E91)))+IF(AND(F90=1,F91=0),$Q$4,0))*IF(AND(F90=1,F91=0),1,0)</f>
      </c>
      <c r="J90" s="333">
        <f>(1+$M$5)^(D90/12)*(H90+IF(AND(F90=1,F91=0),$Q$4,0))</f>
      </c>
      <c r="K90" s="351"/>
      <c r="L90" s="333">
        <f>K90+J90</f>
      </c>
      <c r="M90" s="724"/>
      <c r="N90" s="7"/>
      <c r="O90" s="1"/>
      <c r="P90" s="331">
        <f>D90</f>
      </c>
      <c r="Q90" s="169"/>
      <c r="R90" s="1"/>
      <c r="S90" s="217">
        <f>(1+$M$5)^(D90/12)*(IF(E90=$C$6,$Q$4+$H$5*12,0))</f>
      </c>
      <c r="T90" s="217">
        <f>(1+$M$5)^(D90/12)*(IF(YEAR(E90)&gt;YEAR($C$6),L90,0)+IF(E90=$C$6,$H$5*12+$Q$4,0))</f>
      </c>
    </row>
    <row x14ac:dyDescent="0.25" r="91" customHeight="1" ht="18.75">
      <c r="A91" s="1"/>
      <c r="B91" s="7"/>
      <c r="C91" s="170"/>
      <c r="D91" s="331">
        <v>84</v>
      </c>
      <c r="E91" s="544">
        <f>+DATE(YEAR(E90),MONTH(E90)-1,DAY(E90))</f>
        <v>25569.041666666668</v>
      </c>
      <c r="F91" s="333">
        <f>IF(DATE(YEAR($B$6),MONTH($B$6)+1,DAY(1))=E91,1,IF(MONTH(E91)=1,F92*(1+$F$5),F92))</f>
      </c>
      <c r="G91" s="333">
        <f>IF('Simulador - 1º Pilar'!$E$99="Sí",IF('Aportaciones Flex'!$B$13&lt;'Aportaciones Flex'!E91,0,F91*$B$8/12),F91*$B$8/12)</f>
      </c>
      <c r="H91" s="333">
        <f>IF(G91&gt;0,1,0)*$H$5*IF(AND($I$5="NO",YEAR(E91)=YEAR($B$6)+1),1,IF($I$5="SI",1,0))</f>
      </c>
      <c r="I91" s="217">
        <f>(1+$M$5)^(D91/12)*(H91*(12-IF(MONTH(E92)=12,0,MONTH(E92)))+IF(AND(F91=1,F92=0),$Q$4,0))*IF(AND(F91=1,F92=0),1,0)</f>
      </c>
      <c r="J91" s="333">
        <f>(1+$M$5)^(D91/12)*(H91+IF(AND(F91=1,F92=0),$Q$4,0))</f>
      </c>
      <c r="K91" s="351"/>
      <c r="L91" s="333">
        <f>K91+J91</f>
      </c>
      <c r="M91" s="724"/>
      <c r="N91" s="7"/>
      <c r="O91" s="1"/>
      <c r="P91" s="331">
        <f>D91</f>
      </c>
      <c r="Q91" s="169"/>
      <c r="R91" s="1"/>
      <c r="S91" s="217">
        <f>(1+$M$5)^(D91/12)*(IF(E91=$C$6,$Q$4+$H$5*12,0))</f>
      </c>
      <c r="T91" s="217">
        <f>(1+$M$5)^(D91/12)*(IF(YEAR(E91)&gt;YEAR($C$6),L91,0)+IF(E91=$C$6,$H$5*12+$Q$4,0))</f>
      </c>
    </row>
    <row x14ac:dyDescent="0.25" r="92" customHeight="1" ht="18.75">
      <c r="A92" s="1"/>
      <c r="B92" s="7"/>
      <c r="C92" s="170"/>
      <c r="D92" s="331">
        <v>85</v>
      </c>
      <c r="E92" s="544">
        <f>+DATE(YEAR(E91),MONTH(E91)-1,DAY(E91))</f>
        <v>25569.041666666668</v>
      </c>
      <c r="F92" s="333">
        <f>IF(DATE(YEAR($B$6),MONTH($B$6)+1,DAY(1))=E92,1,IF(MONTH(E92)=1,F93*(1+$F$5),F93))</f>
      </c>
      <c r="G92" s="333">
        <f>IF('Simulador - 1º Pilar'!$E$99="Sí",IF('Aportaciones Flex'!$B$13&lt;'Aportaciones Flex'!E92,0,F92*$B$8/12),F92*$B$8/12)</f>
      </c>
      <c r="H92" s="333">
        <f>IF(G92&gt;0,1,0)*$H$5*IF(AND($I$5="NO",YEAR(E92)=YEAR($B$6)+1),1,IF($I$5="SI",1,0))</f>
      </c>
      <c r="I92" s="217">
        <f>(1+$M$5)^(D92/12)*(H92*(12-IF(MONTH(E93)=12,0,MONTH(E93)))+IF(AND(F92=1,F93=0),$Q$4,0))*IF(AND(F92=1,F93=0),1,0)</f>
      </c>
      <c r="J92" s="333">
        <f>(1+$M$5)^(D92/12)*(H92+IF(AND(F92=1,F93=0),$Q$4,0))</f>
      </c>
      <c r="K92" s="351"/>
      <c r="L92" s="333">
        <f>K92+J92</f>
      </c>
      <c r="M92" s="724"/>
      <c r="N92" s="7"/>
      <c r="O92" s="1"/>
      <c r="P92" s="331">
        <f>D92</f>
      </c>
      <c r="Q92" s="169"/>
      <c r="R92" s="1"/>
      <c r="S92" s="217">
        <f>(1+$M$5)^(D92/12)*(IF(E92=$C$6,$Q$4+$H$5*12,0))</f>
      </c>
      <c r="T92" s="217">
        <f>(1+$M$5)^(D92/12)*(IF(YEAR(E92)&gt;YEAR($C$6),L92,0)+IF(E92=$C$6,$H$5*12+$Q$4,0))</f>
      </c>
    </row>
    <row x14ac:dyDescent="0.25" r="93" customHeight="1" ht="18.75">
      <c r="A93" s="1"/>
      <c r="B93" s="7"/>
      <c r="C93" s="170"/>
      <c r="D93" s="331">
        <v>86</v>
      </c>
      <c r="E93" s="544">
        <f>+DATE(YEAR(E92),MONTH(E92)-1,DAY(E92))</f>
        <v>25569.041666666668</v>
      </c>
      <c r="F93" s="333">
        <f>IF(DATE(YEAR($B$6),MONTH($B$6)+1,DAY(1))=E93,1,IF(MONTH(E93)=1,F94*(1+$F$5),F94))</f>
      </c>
      <c r="G93" s="333">
        <f>IF('Simulador - 1º Pilar'!$E$99="Sí",IF('Aportaciones Flex'!$B$13&lt;'Aportaciones Flex'!E93,0,F93*$B$8/12),F93*$B$8/12)</f>
      </c>
      <c r="H93" s="333">
        <f>IF(G93&gt;0,1,0)*$H$5*IF(AND($I$5="NO",YEAR(E93)=YEAR($B$6)+1),1,IF($I$5="SI",1,0))</f>
      </c>
      <c r="I93" s="217">
        <f>(1+$M$5)^(D93/12)*(H93*(12-IF(MONTH(E94)=12,0,MONTH(E94)))+IF(AND(F93=1,F94=0),$Q$4,0))*IF(AND(F93=1,F94=0),1,0)</f>
      </c>
      <c r="J93" s="333">
        <f>(1+$M$5)^(D93/12)*(H93+IF(AND(F93=1,F94=0),$Q$4,0))</f>
      </c>
      <c r="K93" s="351"/>
      <c r="L93" s="333">
        <f>K93+J93</f>
      </c>
      <c r="M93" s="724"/>
      <c r="N93" s="7"/>
      <c r="O93" s="1"/>
      <c r="P93" s="331">
        <f>D93</f>
      </c>
      <c r="Q93" s="169"/>
      <c r="R93" s="1"/>
      <c r="S93" s="217">
        <f>(1+$M$5)^(D93/12)*(IF(E93=$C$6,$Q$4+$H$5*12,0))</f>
      </c>
      <c r="T93" s="217">
        <f>(1+$M$5)^(D93/12)*(IF(YEAR(E93)&gt;YEAR($C$6),L93,0)+IF(E93=$C$6,$H$5*12+$Q$4,0))</f>
      </c>
    </row>
    <row x14ac:dyDescent="0.25" r="94" customHeight="1" ht="18.75">
      <c r="A94" s="1"/>
      <c r="B94" s="7"/>
      <c r="C94" s="170"/>
      <c r="D94" s="331">
        <v>87</v>
      </c>
      <c r="E94" s="544">
        <f>+DATE(YEAR(E93),MONTH(E93)-1,DAY(E93))</f>
        <v>25569.041666666668</v>
      </c>
      <c r="F94" s="333">
        <f>IF(DATE(YEAR($B$6),MONTH($B$6)+1,DAY(1))=E94,1,IF(MONTH(E94)=1,F95*(1+$F$5),F95))</f>
      </c>
      <c r="G94" s="333">
        <f>IF('Simulador - 1º Pilar'!$E$99="Sí",IF('Aportaciones Flex'!$B$13&lt;'Aportaciones Flex'!E94,0,F94*$B$8/12),F94*$B$8/12)</f>
      </c>
      <c r="H94" s="333">
        <f>IF(G94&gt;0,1,0)*$H$5*IF(AND($I$5="NO",YEAR(E94)=YEAR($B$6)+1),1,IF($I$5="SI",1,0))</f>
      </c>
      <c r="I94" s="217">
        <f>(1+$M$5)^(D94/12)*(H94*(12-IF(MONTH(E95)=12,0,MONTH(E95)))+IF(AND(F94=1,F95=0),$Q$4,0))*IF(AND(F94=1,F95=0),1,0)</f>
      </c>
      <c r="J94" s="333">
        <f>(1+$M$5)^(D94/12)*(H94+IF(AND(F94=1,F95=0),$Q$4,0))</f>
      </c>
      <c r="K94" s="351"/>
      <c r="L94" s="333">
        <f>K94+J94</f>
      </c>
      <c r="M94" s="724"/>
      <c r="N94" s="7"/>
      <c r="O94" s="1"/>
      <c r="P94" s="331">
        <f>D94</f>
      </c>
      <c r="Q94" s="169"/>
      <c r="R94" s="1"/>
      <c r="S94" s="217">
        <f>(1+$M$5)^(D94/12)*(IF(E94=$C$6,$Q$4+$H$5*12,0))</f>
      </c>
      <c r="T94" s="217">
        <f>(1+$M$5)^(D94/12)*(IF(YEAR(E94)&gt;YEAR($C$6),L94,0)+IF(E94=$C$6,$H$5*12+$Q$4,0))</f>
      </c>
    </row>
    <row x14ac:dyDescent="0.25" r="95" customHeight="1" ht="18.75">
      <c r="A95" s="1"/>
      <c r="B95" s="7"/>
      <c r="C95" s="170"/>
      <c r="D95" s="331">
        <v>88</v>
      </c>
      <c r="E95" s="544">
        <f>+DATE(YEAR(E94),MONTH(E94)-1,DAY(E94))</f>
        <v>25569.041666666668</v>
      </c>
      <c r="F95" s="333">
        <f>IF(DATE(YEAR($B$6),MONTH($B$6)+1,DAY(1))=E95,1,IF(MONTH(E95)=1,F96*(1+$F$5),F96))</f>
      </c>
      <c r="G95" s="333">
        <f>IF('Simulador - 1º Pilar'!$E$99="Sí",IF('Aportaciones Flex'!$B$13&lt;'Aportaciones Flex'!E95,0,F95*$B$8/12),F95*$B$8/12)</f>
      </c>
      <c r="H95" s="333">
        <f>IF(G95&gt;0,1,0)*$H$5*IF(AND($I$5="NO",YEAR(E95)=YEAR($B$6)+1),1,IF($I$5="SI",1,0))</f>
      </c>
      <c r="I95" s="217">
        <f>(1+$M$5)^(D95/12)*(H95*(12-IF(MONTH(E96)=12,0,MONTH(E96)))+IF(AND(F95=1,F96=0),$Q$4,0))*IF(AND(F95=1,F96=0),1,0)</f>
      </c>
      <c r="J95" s="333">
        <f>(1+$M$5)^(D95/12)*(H95+IF(AND(F95=1,F96=0),$Q$4,0))</f>
      </c>
      <c r="K95" s="351"/>
      <c r="L95" s="333">
        <f>K95+J95</f>
      </c>
      <c r="M95" s="724"/>
      <c r="N95" s="7"/>
      <c r="O95" s="1"/>
      <c r="P95" s="331">
        <f>D95</f>
      </c>
      <c r="Q95" s="169"/>
      <c r="R95" s="1"/>
      <c r="S95" s="217">
        <f>(1+$M$5)^(D95/12)*(IF(E95=$C$6,$Q$4+$H$5*12,0))</f>
      </c>
      <c r="T95" s="217">
        <f>(1+$M$5)^(D95/12)*(IF(YEAR(E95)&gt;YEAR($C$6),L95,0)+IF(E95=$C$6,$H$5*12+$Q$4,0))</f>
      </c>
    </row>
    <row x14ac:dyDescent="0.25" r="96" customHeight="1" ht="18.75">
      <c r="A96" s="1"/>
      <c r="B96" s="7"/>
      <c r="C96" s="170"/>
      <c r="D96" s="331">
        <v>89</v>
      </c>
      <c r="E96" s="544">
        <f>+DATE(YEAR(E95),MONTH(E95)-1,DAY(E95))</f>
        <v>25569.041666666668</v>
      </c>
      <c r="F96" s="333">
        <f>IF(DATE(YEAR($B$6),MONTH($B$6)+1,DAY(1))=E96,1,IF(MONTH(E96)=1,F97*(1+$F$5),F97))</f>
      </c>
      <c r="G96" s="333">
        <f>IF('Simulador - 1º Pilar'!$E$99="Sí",IF('Aportaciones Flex'!$B$13&lt;'Aportaciones Flex'!E96,0,F96*$B$8/12),F96*$B$8/12)</f>
      </c>
      <c r="H96" s="333">
        <f>IF(G96&gt;0,1,0)*$H$5*IF(AND($I$5="NO",YEAR(E96)=YEAR($B$6)+1),1,IF($I$5="SI",1,0))</f>
      </c>
      <c r="I96" s="217">
        <f>(1+$M$5)^(D96/12)*(H96*(12-IF(MONTH(E97)=12,0,MONTH(E97)))+IF(AND(F96=1,F97=0),$Q$4,0))*IF(AND(F96=1,F97=0),1,0)</f>
      </c>
      <c r="J96" s="333">
        <f>(1+$M$5)^(D96/12)*(H96+IF(AND(F96=1,F97=0),$Q$4,0))</f>
      </c>
      <c r="K96" s="351"/>
      <c r="L96" s="333">
        <f>K96+J96</f>
      </c>
      <c r="M96" s="724"/>
      <c r="N96" s="7"/>
      <c r="O96" s="1"/>
      <c r="P96" s="331">
        <f>D96</f>
      </c>
      <c r="Q96" s="169"/>
      <c r="R96" s="1"/>
      <c r="S96" s="217">
        <f>(1+$M$5)^(D96/12)*(IF(E96=$C$6,$Q$4+$H$5*12,0))</f>
      </c>
      <c r="T96" s="217">
        <f>(1+$M$5)^(D96/12)*(IF(YEAR(E96)&gt;YEAR($C$6),L96,0)+IF(E96=$C$6,$H$5*12+$Q$4,0))</f>
      </c>
    </row>
    <row x14ac:dyDescent="0.25" r="97" customHeight="1" ht="18.75">
      <c r="A97" s="1"/>
      <c r="B97" s="7"/>
      <c r="C97" s="170"/>
      <c r="D97" s="331">
        <v>90</v>
      </c>
      <c r="E97" s="544">
        <f>+DATE(YEAR(E96),MONTH(E96)-1,DAY(E96))</f>
        <v>25569.041666666668</v>
      </c>
      <c r="F97" s="333">
        <f>IF(DATE(YEAR($B$6),MONTH($B$6)+1,DAY(1))=E97,1,IF(MONTH(E97)=1,F98*(1+$F$5),F98))</f>
      </c>
      <c r="G97" s="333">
        <f>IF('Simulador - 1º Pilar'!$E$99="Sí",IF('Aportaciones Flex'!$B$13&lt;'Aportaciones Flex'!E97,0,F97*$B$8/12),F97*$B$8/12)</f>
      </c>
      <c r="H97" s="333">
        <f>IF(G97&gt;0,1,0)*$H$5*IF(AND($I$5="NO",YEAR(E97)=YEAR($B$6)+1),1,IF($I$5="SI",1,0))</f>
      </c>
      <c r="I97" s="217">
        <f>(1+$M$5)^(D97/12)*(H97*(12-IF(MONTH(E98)=12,0,MONTH(E98)))+IF(AND(F97=1,F98=0),$Q$4,0))*IF(AND(F97=1,F98=0),1,0)</f>
      </c>
      <c r="J97" s="333">
        <f>(1+$M$5)^(D97/12)*(H97+IF(AND(F97=1,F98=0),$Q$4,0))</f>
      </c>
      <c r="K97" s="351"/>
      <c r="L97" s="333">
        <f>K97+J97</f>
      </c>
      <c r="M97" s="724"/>
      <c r="N97" s="7"/>
      <c r="O97" s="1"/>
      <c r="P97" s="331">
        <f>D97</f>
      </c>
      <c r="Q97" s="169"/>
      <c r="R97" s="1"/>
      <c r="S97" s="217">
        <f>(1+$M$5)^(D97/12)*(IF(E97=$C$6,$Q$4+$H$5*12,0))</f>
      </c>
      <c r="T97" s="217">
        <f>(1+$M$5)^(D97/12)*(IF(YEAR(E97)&gt;YEAR($C$6),L97,0)+IF(E97=$C$6,$H$5*12+$Q$4,0))</f>
      </c>
    </row>
    <row x14ac:dyDescent="0.25" r="98" customHeight="1" ht="18.75">
      <c r="A98" s="1"/>
      <c r="B98" s="7"/>
      <c r="C98" s="170"/>
      <c r="D98" s="331">
        <v>91</v>
      </c>
      <c r="E98" s="544">
        <f>+DATE(YEAR(E97),MONTH(E97)-1,DAY(E97))</f>
        <v>25569.041666666668</v>
      </c>
      <c r="F98" s="333">
        <f>IF(DATE(YEAR($B$6),MONTH($B$6)+1,DAY(1))=E98,1,IF(MONTH(E98)=1,F99*(1+$F$5),F99))</f>
      </c>
      <c r="G98" s="333">
        <f>IF('Simulador - 1º Pilar'!$E$99="Sí",IF('Aportaciones Flex'!$B$13&lt;'Aportaciones Flex'!E98,0,F98*$B$8/12),F98*$B$8/12)</f>
      </c>
      <c r="H98" s="333">
        <f>IF(G98&gt;0,1,0)*$H$5*IF(AND($I$5="NO",YEAR(E98)=YEAR($B$6)+1),1,IF($I$5="SI",1,0))</f>
      </c>
      <c r="I98" s="217">
        <f>(1+$M$5)^(D98/12)*(H98*(12-IF(MONTH(E99)=12,0,MONTH(E99)))+IF(AND(F98=1,F99=0),$Q$4,0))*IF(AND(F98=1,F99=0),1,0)</f>
      </c>
      <c r="J98" s="333">
        <f>(1+$M$5)^(D98/12)*(H98+IF(AND(F98=1,F99=0),$Q$4,0))</f>
      </c>
      <c r="K98" s="351"/>
      <c r="L98" s="333">
        <f>K98+J98</f>
      </c>
      <c r="M98" s="724"/>
      <c r="N98" s="7"/>
      <c r="O98" s="1"/>
      <c r="P98" s="331">
        <f>D98</f>
      </c>
      <c r="Q98" s="169"/>
      <c r="R98" s="1"/>
      <c r="S98" s="217">
        <f>(1+$M$5)^(D98/12)*(IF(E98=$C$6,$Q$4+$H$5*12,0))</f>
      </c>
      <c r="T98" s="217">
        <f>(1+$M$5)^(D98/12)*(IF(YEAR(E98)&gt;YEAR($C$6),L98,0)+IF(E98=$C$6,$H$5*12+$Q$4,0))</f>
      </c>
    </row>
    <row x14ac:dyDescent="0.25" r="99" customHeight="1" ht="18.75">
      <c r="A99" s="1"/>
      <c r="B99" s="7"/>
      <c r="C99" s="170"/>
      <c r="D99" s="331">
        <v>92</v>
      </c>
      <c r="E99" s="544">
        <f>+DATE(YEAR(E98),MONTH(E98)-1,DAY(E98))</f>
        <v>25569.041666666668</v>
      </c>
      <c r="F99" s="333">
        <f>IF(DATE(YEAR($B$6),MONTH($B$6)+1,DAY(1))=E99,1,IF(MONTH(E99)=1,F100*(1+$F$5),F100))</f>
      </c>
      <c r="G99" s="333">
        <f>IF('Simulador - 1º Pilar'!$E$99="Sí",IF('Aportaciones Flex'!$B$13&lt;'Aportaciones Flex'!E99,0,F99*$B$8/12),F99*$B$8/12)</f>
      </c>
      <c r="H99" s="333">
        <f>IF(G99&gt;0,1,0)*$H$5*IF(AND($I$5="NO",YEAR(E99)=YEAR($B$6)+1),1,IF($I$5="SI",1,0))</f>
      </c>
      <c r="I99" s="217">
        <f>(1+$M$5)^(D99/12)*(H99*(12-IF(MONTH(E100)=12,0,MONTH(E100)))+IF(AND(F99=1,F100=0),$Q$4,0))*IF(AND(F99=1,F100=0),1,0)</f>
      </c>
      <c r="J99" s="333">
        <f>(1+$M$5)^(D99/12)*(H99+IF(AND(F99=1,F100=0),$Q$4,0))</f>
      </c>
      <c r="K99" s="351"/>
      <c r="L99" s="333">
        <f>K99+J99</f>
      </c>
      <c r="M99" s="724"/>
      <c r="N99" s="7"/>
      <c r="O99" s="1"/>
      <c r="P99" s="331">
        <f>D99</f>
      </c>
      <c r="Q99" s="169"/>
      <c r="R99" s="1"/>
      <c r="S99" s="217">
        <f>(1+$M$5)^(D99/12)*(IF(E99=$C$6,$Q$4+$H$5*12,0))</f>
      </c>
      <c r="T99" s="217">
        <f>(1+$M$5)^(D99/12)*(IF(YEAR(E99)&gt;YEAR($C$6),L99,0)+IF(E99=$C$6,$H$5*12+$Q$4,0))</f>
      </c>
    </row>
    <row x14ac:dyDescent="0.25" r="100" customHeight="1" ht="18.75">
      <c r="A100" s="1"/>
      <c r="B100" s="7"/>
      <c r="C100" s="170"/>
      <c r="D100" s="331">
        <v>93</v>
      </c>
      <c r="E100" s="544">
        <f>+DATE(YEAR(E99),MONTH(E99)-1,DAY(E99))</f>
        <v>25569.041666666668</v>
      </c>
      <c r="F100" s="333">
        <f>IF(DATE(YEAR($B$6),MONTH($B$6)+1,DAY(1))=E100,1,IF(MONTH(E100)=1,F101*(1+$F$5),F101))</f>
      </c>
      <c r="G100" s="333">
        <f>IF('Simulador - 1º Pilar'!$E$99="Sí",IF('Aportaciones Flex'!$B$13&lt;'Aportaciones Flex'!E100,0,F100*$B$8/12),F100*$B$8/12)</f>
      </c>
      <c r="H100" s="333">
        <f>IF(G100&gt;0,1,0)*$H$5*IF(AND($I$5="NO",YEAR(E100)=YEAR($B$6)+1),1,IF($I$5="SI",1,0))</f>
      </c>
      <c r="I100" s="217">
        <f>(1+$M$5)^(D100/12)*(H100*(12-IF(MONTH(E101)=12,0,MONTH(E101)))+IF(AND(F100=1,F101=0),$Q$4,0))*IF(AND(F100=1,F101=0),1,0)</f>
      </c>
      <c r="J100" s="333">
        <f>(1+$M$5)^(D100/12)*(H100+IF(AND(F100=1,F101=0),$Q$4,0))</f>
      </c>
      <c r="K100" s="351"/>
      <c r="L100" s="333">
        <f>K100+J100</f>
      </c>
      <c r="M100" s="724"/>
      <c r="N100" s="7"/>
      <c r="O100" s="1"/>
      <c r="P100" s="331">
        <f>D100</f>
      </c>
      <c r="Q100" s="169"/>
      <c r="R100" s="1"/>
      <c r="S100" s="217">
        <f>(1+$M$5)^(D100/12)*(IF(E100=$C$6,$Q$4+$H$5*12,0))</f>
      </c>
      <c r="T100" s="217">
        <f>(1+$M$5)^(D100/12)*(IF(YEAR(E100)&gt;YEAR($C$6),L100,0)+IF(E100=$C$6,$H$5*12+$Q$4,0))</f>
      </c>
    </row>
    <row x14ac:dyDescent="0.25" r="101" customHeight="1" ht="18.75">
      <c r="A101" s="1"/>
      <c r="B101" s="7"/>
      <c r="C101" s="170"/>
      <c r="D101" s="331">
        <v>94</v>
      </c>
      <c r="E101" s="544">
        <f>+DATE(YEAR(E100),MONTH(E100)-1,DAY(E100))</f>
        <v>25569.041666666668</v>
      </c>
      <c r="F101" s="333">
        <f>IF(DATE(YEAR($B$6),MONTH($B$6)+1,DAY(1))=E101,1,IF(MONTH(E101)=1,F102*(1+$F$5),F102))</f>
      </c>
      <c r="G101" s="333">
        <f>IF('Simulador - 1º Pilar'!$E$99="Sí",IF('Aportaciones Flex'!$B$13&lt;'Aportaciones Flex'!E101,0,F101*$B$8/12),F101*$B$8/12)</f>
      </c>
      <c r="H101" s="333">
        <f>IF(G101&gt;0,1,0)*$H$5*IF(AND($I$5="NO",YEAR(E101)=YEAR($B$6)+1),1,IF($I$5="SI",1,0))</f>
      </c>
      <c r="I101" s="217">
        <f>(1+$M$5)^(D101/12)*(H101*(12-IF(MONTH(E102)=12,0,MONTH(E102)))+IF(AND(F101=1,F102=0),$Q$4,0))*IF(AND(F101=1,F102=0),1,0)</f>
      </c>
      <c r="J101" s="333">
        <f>(1+$M$5)^(D101/12)*(H101+IF(AND(F101=1,F102=0),$Q$4,0))</f>
      </c>
      <c r="K101" s="351"/>
      <c r="L101" s="333">
        <f>K101+J101</f>
      </c>
      <c r="M101" s="724"/>
      <c r="N101" s="7"/>
      <c r="O101" s="1"/>
      <c r="P101" s="331">
        <f>D101</f>
      </c>
      <c r="Q101" s="169"/>
      <c r="R101" s="1"/>
      <c r="S101" s="217">
        <f>(1+$M$5)^(D101/12)*(IF(E101=$C$6,$Q$4+$H$5*12,0))</f>
      </c>
      <c r="T101" s="217">
        <f>(1+$M$5)^(D101/12)*(IF(YEAR(E101)&gt;YEAR($C$6),L101,0)+IF(E101=$C$6,$H$5*12+$Q$4,0))</f>
      </c>
    </row>
    <row x14ac:dyDescent="0.25" r="102" customHeight="1" ht="18.75">
      <c r="A102" s="1"/>
      <c r="B102" s="7"/>
      <c r="C102" s="170"/>
      <c r="D102" s="331">
        <v>95</v>
      </c>
      <c r="E102" s="544">
        <f>+DATE(YEAR(E101),MONTH(E101)-1,DAY(E101))</f>
        <v>25569.041666666668</v>
      </c>
      <c r="F102" s="333">
        <f>IF(DATE(YEAR($B$6),MONTH($B$6)+1,DAY(1))=E102,1,IF(MONTH(E102)=1,F103*(1+$F$5),F103))</f>
      </c>
      <c r="G102" s="333">
        <f>IF('Simulador - 1º Pilar'!$E$99="Sí",IF('Aportaciones Flex'!$B$13&lt;'Aportaciones Flex'!E102,0,F102*$B$8/12),F102*$B$8/12)</f>
      </c>
      <c r="H102" s="333">
        <f>IF(G102&gt;0,1,0)*$H$5*IF(AND($I$5="NO",YEAR(E102)=YEAR($B$6)+1),1,IF($I$5="SI",1,0))</f>
      </c>
      <c r="I102" s="217">
        <f>(1+$M$5)^(D102/12)*(H102*(12-IF(MONTH(E103)=12,0,MONTH(E103)))+IF(AND(F102=1,F103=0),$Q$4,0))*IF(AND(F102=1,F103=0),1,0)</f>
      </c>
      <c r="J102" s="333">
        <f>(1+$M$5)^(D102/12)*(H102+IF(AND(F102=1,F103=0),$Q$4,0))</f>
      </c>
      <c r="K102" s="351"/>
      <c r="L102" s="333">
        <f>K102+J102</f>
      </c>
      <c r="M102" s="724"/>
      <c r="N102" s="7"/>
      <c r="O102" s="1"/>
      <c r="P102" s="331">
        <f>D102</f>
      </c>
      <c r="Q102" s="169"/>
      <c r="R102" s="1"/>
      <c r="S102" s="217">
        <f>(1+$M$5)^(D102/12)*(IF(E102=$C$6,$Q$4+$H$5*12,0))</f>
      </c>
      <c r="T102" s="217">
        <f>(1+$M$5)^(D102/12)*(IF(YEAR(E102)&gt;YEAR($C$6),L102,0)+IF(E102=$C$6,$H$5*12+$Q$4,0))</f>
      </c>
    </row>
    <row x14ac:dyDescent="0.25" r="103" customHeight="1" ht="18.75">
      <c r="A103" s="1"/>
      <c r="B103" s="7"/>
      <c r="C103" s="170"/>
      <c r="D103" s="331">
        <v>96</v>
      </c>
      <c r="E103" s="544">
        <f>+DATE(YEAR(E102),MONTH(E102)-1,DAY(E102))</f>
        <v>25569.041666666668</v>
      </c>
      <c r="F103" s="333">
        <f>IF(DATE(YEAR($B$6),MONTH($B$6)+1,DAY(1))=E103,1,IF(MONTH(E103)=1,F104*(1+$F$5),F104))</f>
      </c>
      <c r="G103" s="333">
        <f>IF('Simulador - 1º Pilar'!$E$99="Sí",IF('Aportaciones Flex'!$B$13&lt;'Aportaciones Flex'!E103,0,F103*$B$8/12),F103*$B$8/12)</f>
      </c>
      <c r="H103" s="333">
        <f>IF(G103&gt;0,1,0)*$H$5*IF(AND($I$5="NO",YEAR(E103)=YEAR($B$6)+1),1,IF($I$5="SI",1,0))</f>
      </c>
      <c r="I103" s="217">
        <f>(1+$M$5)^(D103/12)*(H103*(12-IF(MONTH(E104)=12,0,MONTH(E104)))+IF(AND(F103=1,F104=0),$Q$4,0))*IF(AND(F103=1,F104=0),1,0)</f>
      </c>
      <c r="J103" s="333">
        <f>(1+$M$5)^(D103/12)*(H103+IF(AND(F103=1,F104=0),$Q$4,0))</f>
      </c>
      <c r="K103" s="351"/>
      <c r="L103" s="333">
        <f>K103+J103</f>
      </c>
      <c r="M103" s="724"/>
      <c r="N103" s="7"/>
      <c r="O103" s="1"/>
      <c r="P103" s="331">
        <f>D103</f>
      </c>
      <c r="Q103" s="169"/>
      <c r="R103" s="1"/>
      <c r="S103" s="217">
        <f>(1+$M$5)^(D103/12)*(IF(E103=$C$6,$Q$4+$H$5*12,0))</f>
      </c>
      <c r="T103" s="217">
        <f>(1+$M$5)^(D103/12)*(IF(YEAR(E103)&gt;YEAR($C$6),L103,0)+IF(E103=$C$6,$H$5*12+$Q$4,0))</f>
      </c>
    </row>
    <row x14ac:dyDescent="0.25" r="104" customHeight="1" ht="18.75">
      <c r="A104" s="1"/>
      <c r="B104" s="7"/>
      <c r="C104" s="170"/>
      <c r="D104" s="331">
        <v>97</v>
      </c>
      <c r="E104" s="544">
        <f>+DATE(YEAR(E103),MONTH(E103)-1,DAY(E103))</f>
        <v>25569.041666666668</v>
      </c>
      <c r="F104" s="333">
        <f>IF(DATE(YEAR($B$6),MONTH($B$6)+1,DAY(1))=E104,1,IF(MONTH(E104)=1,F105*(1+$F$5),F105))</f>
      </c>
      <c r="G104" s="333">
        <f>IF('Simulador - 1º Pilar'!$E$99="Sí",IF('Aportaciones Flex'!$B$13&lt;'Aportaciones Flex'!E104,0,F104*$B$8/12),F104*$B$8/12)</f>
      </c>
      <c r="H104" s="333">
        <f>IF(G104&gt;0,1,0)*$H$5*IF(AND($I$5="NO",YEAR(E104)=YEAR($B$6)+1),1,IF($I$5="SI",1,0))</f>
      </c>
      <c r="I104" s="217">
        <f>(1+$M$5)^(D104/12)*(H104*(12-IF(MONTH(E105)=12,0,MONTH(E105)))+IF(AND(F104=1,F105=0),$Q$4,0))*IF(AND(F104=1,F105=0),1,0)</f>
      </c>
      <c r="J104" s="333">
        <f>(1+$M$5)^(D104/12)*(H104+IF(AND(F104=1,F105=0),$Q$4,0))</f>
      </c>
      <c r="K104" s="351"/>
      <c r="L104" s="333">
        <f>K104+J104</f>
      </c>
      <c r="M104" s="724"/>
      <c r="N104" s="7"/>
      <c r="O104" s="1"/>
      <c r="P104" s="331">
        <f>D104</f>
      </c>
      <c r="Q104" s="169"/>
      <c r="R104" s="1"/>
      <c r="S104" s="217">
        <f>(1+$M$5)^(D104/12)*(IF(E104=$C$6,$Q$4+$H$5*12,0))</f>
      </c>
      <c r="T104" s="217">
        <f>(1+$M$5)^(D104/12)*(IF(YEAR(E104)&gt;YEAR($C$6),L104,0)+IF(E104=$C$6,$H$5*12+$Q$4,0))</f>
      </c>
    </row>
    <row x14ac:dyDescent="0.25" r="105" customHeight="1" ht="18.75">
      <c r="A105" s="1"/>
      <c r="B105" s="7"/>
      <c r="C105" s="170"/>
      <c r="D105" s="331">
        <v>98</v>
      </c>
      <c r="E105" s="544">
        <f>+DATE(YEAR(E104),MONTH(E104)-1,DAY(E104))</f>
        <v>25569.041666666668</v>
      </c>
      <c r="F105" s="333">
        <f>IF(DATE(YEAR($B$6),MONTH($B$6)+1,DAY(1))=E105,1,IF(MONTH(E105)=1,F106*(1+$F$5),F106))</f>
      </c>
      <c r="G105" s="333">
        <f>IF('Simulador - 1º Pilar'!$E$99="Sí",IF('Aportaciones Flex'!$B$13&lt;'Aportaciones Flex'!E105,0,F105*$B$8/12),F105*$B$8/12)</f>
      </c>
      <c r="H105" s="333">
        <f>IF(G105&gt;0,1,0)*$H$5*IF(AND($I$5="NO",YEAR(E105)=YEAR($B$6)+1),1,IF($I$5="SI",1,0))</f>
      </c>
      <c r="I105" s="217">
        <f>(1+$M$5)^(D105/12)*(H105*(12-IF(MONTH(E106)=12,0,MONTH(E106)))+IF(AND(F105=1,F106=0),$Q$4,0))*IF(AND(F105=1,F106=0),1,0)</f>
      </c>
      <c r="J105" s="333">
        <f>(1+$M$5)^(D105/12)*(H105+IF(AND(F105=1,F106=0),$Q$4,0))</f>
      </c>
      <c r="K105" s="351"/>
      <c r="L105" s="333">
        <f>K105+J105</f>
      </c>
      <c r="M105" s="724"/>
      <c r="N105" s="7"/>
      <c r="O105" s="1"/>
      <c r="P105" s="331">
        <f>D105</f>
      </c>
      <c r="Q105" s="169"/>
      <c r="R105" s="1"/>
      <c r="S105" s="217">
        <f>(1+$M$5)^(D105/12)*(IF(E105=$C$6,$Q$4+$H$5*12,0))</f>
      </c>
      <c r="T105" s="217">
        <f>(1+$M$5)^(D105/12)*(IF(YEAR(E105)&gt;YEAR($C$6),L105,0)+IF(E105=$C$6,$H$5*12+$Q$4,0))</f>
      </c>
    </row>
    <row x14ac:dyDescent="0.25" r="106" customHeight="1" ht="18.75">
      <c r="A106" s="1"/>
      <c r="B106" s="7"/>
      <c r="C106" s="170"/>
      <c r="D106" s="331">
        <v>99</v>
      </c>
      <c r="E106" s="544">
        <f>+DATE(YEAR(E105),MONTH(E105)-1,DAY(E105))</f>
        <v>25569.041666666668</v>
      </c>
      <c r="F106" s="333">
        <f>IF(DATE(YEAR($B$6),MONTH($B$6)+1,DAY(1))=E106,1,IF(MONTH(E106)=1,F107*(1+$F$5),F107))</f>
      </c>
      <c r="G106" s="333">
        <f>IF('Simulador - 1º Pilar'!$E$99="Sí",IF('Aportaciones Flex'!$B$13&lt;'Aportaciones Flex'!E106,0,F106*$B$8/12),F106*$B$8/12)</f>
      </c>
      <c r="H106" s="333">
        <f>IF(G106&gt;0,1,0)*$H$5*IF(AND($I$5="NO",YEAR(E106)=YEAR($B$6)+1),1,IF($I$5="SI",1,0))</f>
      </c>
      <c r="I106" s="217">
        <f>(1+$M$5)^(D106/12)*(H106*(12-IF(MONTH(E107)=12,0,MONTH(E107)))+IF(AND(F106=1,F107=0),$Q$4,0))*IF(AND(F106=1,F107=0),1,0)</f>
      </c>
      <c r="J106" s="333">
        <f>(1+$M$5)^(D106/12)*(H106+IF(AND(F106=1,F107=0),$Q$4,0))</f>
      </c>
      <c r="K106" s="351"/>
      <c r="L106" s="333">
        <f>K106+J106</f>
      </c>
      <c r="M106" s="724"/>
      <c r="N106" s="7"/>
      <c r="O106" s="1"/>
      <c r="P106" s="331">
        <f>D106</f>
      </c>
      <c r="Q106" s="169"/>
      <c r="R106" s="1"/>
      <c r="S106" s="217">
        <f>(1+$M$5)^(D106/12)*(IF(E106=$C$6,$Q$4+$H$5*12,0))</f>
      </c>
      <c r="T106" s="217">
        <f>(1+$M$5)^(D106/12)*(IF(YEAR(E106)&gt;YEAR($C$6),L106,0)+IF(E106=$C$6,$H$5*12+$Q$4,0))</f>
      </c>
    </row>
    <row x14ac:dyDescent="0.25" r="107" customHeight="1" ht="18.75">
      <c r="A107" s="1"/>
      <c r="B107" s="7"/>
      <c r="C107" s="170"/>
      <c r="D107" s="331">
        <v>100</v>
      </c>
      <c r="E107" s="544">
        <f>+DATE(YEAR(E106),MONTH(E106)-1,DAY(E106))</f>
        <v>25569.041666666668</v>
      </c>
      <c r="F107" s="333">
        <f>IF(DATE(YEAR($B$6),MONTH($B$6)+1,DAY(1))=E107,1,IF(MONTH(E107)=1,F108*(1+$F$5),F108))</f>
      </c>
      <c r="G107" s="333">
        <f>IF('Simulador - 1º Pilar'!$E$99="Sí",IF('Aportaciones Flex'!$B$13&lt;'Aportaciones Flex'!E107,0,F107*$B$8/12),F107*$B$8/12)</f>
      </c>
      <c r="H107" s="333">
        <f>IF(G107&gt;0,1,0)*$H$5*IF(AND($I$5="NO",YEAR(E107)=YEAR($B$6)+1),1,IF($I$5="SI",1,0))</f>
      </c>
      <c r="I107" s="217">
        <f>(1+$M$5)^(D107/12)*(H107*(12-IF(MONTH(E108)=12,0,MONTH(E108)))+IF(AND(F107=1,F108=0),$Q$4,0))*IF(AND(F107=1,F108=0),1,0)</f>
      </c>
      <c r="J107" s="333">
        <f>(1+$M$5)^(D107/12)*(H107+IF(AND(F107=1,F108=0),$Q$4,0))</f>
      </c>
      <c r="K107" s="351"/>
      <c r="L107" s="333">
        <f>K107+J107</f>
      </c>
      <c r="M107" s="724"/>
      <c r="N107" s="7"/>
      <c r="O107" s="1"/>
      <c r="P107" s="331">
        <f>D107</f>
      </c>
      <c r="Q107" s="169"/>
      <c r="R107" s="1"/>
      <c r="S107" s="217">
        <f>(1+$M$5)^(D107/12)*(IF(E107=$C$6,$Q$4+$H$5*12,0))</f>
      </c>
      <c r="T107" s="217">
        <f>(1+$M$5)^(D107/12)*(IF(YEAR(E107)&gt;YEAR($C$6),L107,0)+IF(E107=$C$6,$H$5*12+$Q$4,0))</f>
      </c>
    </row>
    <row x14ac:dyDescent="0.25" r="108" customHeight="1" ht="18.75">
      <c r="A108" s="1"/>
      <c r="B108" s="7"/>
      <c r="C108" s="170"/>
      <c r="D108" s="331">
        <v>101</v>
      </c>
      <c r="E108" s="544">
        <f>+DATE(YEAR(E107),MONTH(E107)-1,DAY(E107))</f>
        <v>25569.041666666668</v>
      </c>
      <c r="F108" s="333">
        <f>IF(DATE(YEAR($B$6),MONTH($B$6)+1,DAY(1))=E108,1,IF(MONTH(E108)=1,F109*(1+$F$5),F109))</f>
      </c>
      <c r="G108" s="333">
        <f>IF('Simulador - 1º Pilar'!$E$99="Sí",IF('Aportaciones Flex'!$B$13&lt;'Aportaciones Flex'!E108,0,F108*$B$8/12),F108*$B$8/12)</f>
      </c>
      <c r="H108" s="333">
        <f>IF(G108&gt;0,1,0)*$H$5*IF(AND($I$5="NO",YEAR(E108)=YEAR($B$6)+1),1,IF($I$5="SI",1,0))</f>
      </c>
      <c r="I108" s="217">
        <f>(1+$M$5)^(D108/12)*(H108*(12-IF(MONTH(E109)=12,0,MONTH(E109)))+IF(AND(F108=1,F109=0),$Q$4,0))*IF(AND(F108=1,F109=0),1,0)</f>
      </c>
      <c r="J108" s="333">
        <f>(1+$M$5)^(D108/12)*(H108+IF(AND(F108=1,F109=0),$Q$4,0))</f>
      </c>
      <c r="K108" s="351"/>
      <c r="L108" s="333">
        <f>K108+J108</f>
      </c>
      <c r="M108" s="724"/>
      <c r="N108" s="7"/>
      <c r="O108" s="1"/>
      <c r="P108" s="331">
        <f>D108</f>
      </c>
      <c r="Q108" s="169"/>
      <c r="R108" s="1"/>
      <c r="S108" s="217">
        <f>(1+$M$5)^(D108/12)*(IF(E108=$C$6,$Q$4+$H$5*12,0))</f>
      </c>
      <c r="T108" s="217">
        <f>(1+$M$5)^(D108/12)*(IF(YEAR(E108)&gt;YEAR($C$6),L108,0)+IF(E108=$C$6,$H$5*12+$Q$4,0))</f>
      </c>
    </row>
    <row x14ac:dyDescent="0.25" r="109" customHeight="1" ht="18.75">
      <c r="A109" s="1"/>
      <c r="B109" s="7"/>
      <c r="C109" s="170"/>
      <c r="D109" s="331">
        <v>102</v>
      </c>
      <c r="E109" s="544">
        <f>+DATE(YEAR(E108),MONTH(E108)-1,DAY(E108))</f>
        <v>25569.041666666668</v>
      </c>
      <c r="F109" s="333">
        <f>IF(DATE(YEAR($B$6),MONTH($B$6)+1,DAY(1))=E109,1,IF(MONTH(E109)=1,F110*(1+$F$5),F110))</f>
      </c>
      <c r="G109" s="333">
        <f>IF('Simulador - 1º Pilar'!$E$99="Sí",IF('Aportaciones Flex'!$B$13&lt;'Aportaciones Flex'!E109,0,F109*$B$8/12),F109*$B$8/12)</f>
      </c>
      <c r="H109" s="333">
        <f>IF(G109&gt;0,1,0)*$H$5*IF(AND($I$5="NO",YEAR(E109)=YEAR($B$6)+1),1,IF($I$5="SI",1,0))</f>
      </c>
      <c r="I109" s="217">
        <f>(1+$M$5)^(D109/12)*(H109*(12-IF(MONTH(E110)=12,0,MONTH(E110)))+IF(AND(F109=1,F110=0),$Q$4,0))*IF(AND(F109=1,F110=0),1,0)</f>
      </c>
      <c r="J109" s="333">
        <f>(1+$M$5)^(D109/12)*(H109+IF(AND(F109=1,F110=0),$Q$4,0))</f>
      </c>
      <c r="K109" s="351"/>
      <c r="L109" s="333">
        <f>K109+J109</f>
      </c>
      <c r="M109" s="724"/>
      <c r="N109" s="7"/>
      <c r="O109" s="1"/>
      <c r="P109" s="331">
        <f>D109</f>
      </c>
      <c r="Q109" s="169"/>
      <c r="R109" s="1"/>
      <c r="S109" s="217">
        <f>(1+$M$5)^(D109/12)*(IF(E109=$C$6,$Q$4+$H$5*12,0))</f>
      </c>
      <c r="T109" s="217">
        <f>(1+$M$5)^(D109/12)*(IF(YEAR(E109)&gt;YEAR($C$6),L109,0)+IF(E109=$C$6,$H$5*12+$Q$4,0))</f>
      </c>
    </row>
    <row x14ac:dyDescent="0.25" r="110" customHeight="1" ht="18.75">
      <c r="A110" s="1"/>
      <c r="B110" s="7"/>
      <c r="C110" s="170"/>
      <c r="D110" s="331">
        <v>103</v>
      </c>
      <c r="E110" s="544">
        <f>+DATE(YEAR(E109),MONTH(E109)-1,DAY(E109))</f>
        <v>25569.041666666668</v>
      </c>
      <c r="F110" s="333">
        <f>IF(DATE(YEAR($B$6),MONTH($B$6)+1,DAY(1))=E110,1,IF(MONTH(E110)=1,F111*(1+$F$5),F111))</f>
      </c>
      <c r="G110" s="333">
        <f>IF('Simulador - 1º Pilar'!$E$99="Sí",IF('Aportaciones Flex'!$B$13&lt;'Aportaciones Flex'!E110,0,F110*$B$8/12),F110*$B$8/12)</f>
      </c>
      <c r="H110" s="333">
        <f>IF(G110&gt;0,1,0)*$H$5*IF(AND($I$5="NO",YEAR(E110)=YEAR($B$6)+1),1,IF($I$5="SI",1,0))</f>
      </c>
      <c r="I110" s="217">
        <f>(1+$M$5)^(D110/12)*(H110*(12-IF(MONTH(E111)=12,0,MONTH(E111)))+IF(AND(F110=1,F111=0),$Q$4,0))*IF(AND(F110=1,F111=0),1,0)</f>
      </c>
      <c r="J110" s="333">
        <f>(1+$M$5)^(D110/12)*(H110+IF(AND(F110=1,F111=0),$Q$4,0))</f>
      </c>
      <c r="K110" s="351"/>
      <c r="L110" s="333">
        <f>K110+J110</f>
      </c>
      <c r="M110" s="724"/>
      <c r="N110" s="7"/>
      <c r="O110" s="1"/>
      <c r="P110" s="331">
        <f>D110</f>
      </c>
      <c r="Q110" s="169"/>
      <c r="R110" s="1"/>
      <c r="S110" s="217">
        <f>(1+$M$5)^(D110/12)*(IF(E110=$C$6,$Q$4+$H$5*12,0))</f>
      </c>
      <c r="T110" s="217">
        <f>(1+$M$5)^(D110/12)*(IF(YEAR(E110)&gt;YEAR($C$6),L110,0)+IF(E110=$C$6,$H$5*12+$Q$4,0))</f>
      </c>
    </row>
    <row x14ac:dyDescent="0.25" r="111" customHeight="1" ht="18.75">
      <c r="A111" s="1"/>
      <c r="B111" s="7"/>
      <c r="C111" s="170"/>
      <c r="D111" s="331">
        <v>104</v>
      </c>
      <c r="E111" s="544">
        <f>+DATE(YEAR(E110),MONTH(E110)-1,DAY(E110))</f>
        <v>25569.041666666668</v>
      </c>
      <c r="F111" s="333">
        <f>IF(DATE(YEAR($B$6),MONTH($B$6)+1,DAY(1))=E111,1,IF(MONTH(E111)=1,F112*(1+$F$5),F112))</f>
      </c>
      <c r="G111" s="333">
        <f>IF('Simulador - 1º Pilar'!$E$99="Sí",IF('Aportaciones Flex'!$B$13&lt;'Aportaciones Flex'!E111,0,F111*$B$8/12),F111*$B$8/12)</f>
      </c>
      <c r="H111" s="333">
        <f>IF(G111&gt;0,1,0)*$H$5*IF(AND($I$5="NO",YEAR(E111)=YEAR($B$6)+1),1,IF($I$5="SI",1,0))</f>
      </c>
      <c r="I111" s="217">
        <f>(1+$M$5)^(D111/12)*(H111*(12-IF(MONTH(E112)=12,0,MONTH(E112)))+IF(AND(F111=1,F112=0),$Q$4,0))*IF(AND(F111=1,F112=0),1,0)</f>
      </c>
      <c r="J111" s="333">
        <f>(1+$M$5)^(D111/12)*(H111+IF(AND(F111=1,F112=0),$Q$4,0))</f>
      </c>
      <c r="K111" s="351"/>
      <c r="L111" s="333">
        <f>K111+J111</f>
      </c>
      <c r="M111" s="724"/>
      <c r="N111" s="7"/>
      <c r="O111" s="1"/>
      <c r="P111" s="331">
        <f>D111</f>
      </c>
      <c r="Q111" s="169"/>
      <c r="R111" s="1"/>
      <c r="S111" s="217">
        <f>(1+$M$5)^(D111/12)*(IF(E111=$C$6,$Q$4+$H$5*12,0))</f>
      </c>
      <c r="T111" s="217">
        <f>(1+$M$5)^(D111/12)*(IF(YEAR(E111)&gt;YEAR($C$6),L111,0)+IF(E111=$C$6,$H$5*12+$Q$4,0))</f>
      </c>
    </row>
    <row x14ac:dyDescent="0.25" r="112" customHeight="1" ht="18.75">
      <c r="A112" s="1"/>
      <c r="B112" s="7"/>
      <c r="C112" s="170"/>
      <c r="D112" s="331">
        <v>105</v>
      </c>
      <c r="E112" s="544">
        <f>+DATE(YEAR(E111),MONTH(E111)-1,DAY(E111))</f>
        <v>25569.041666666668</v>
      </c>
      <c r="F112" s="333">
        <f>IF(DATE(YEAR($B$6),MONTH($B$6)+1,DAY(1))=E112,1,IF(MONTH(E112)=1,F113*(1+$F$5),F113))</f>
      </c>
      <c r="G112" s="333">
        <f>IF('Simulador - 1º Pilar'!$E$99="Sí",IF('Aportaciones Flex'!$B$13&lt;'Aportaciones Flex'!E112,0,F112*$B$8/12),F112*$B$8/12)</f>
      </c>
      <c r="H112" s="333">
        <f>IF(G112&gt;0,1,0)*$H$5*IF(AND($I$5="NO",YEAR(E112)=YEAR($B$6)+1),1,IF($I$5="SI",1,0))</f>
      </c>
      <c r="I112" s="217">
        <f>(1+$M$5)^(D112/12)*(H112*(12-IF(MONTH(E113)=12,0,MONTH(E113)))+IF(AND(F112=1,F113=0),$Q$4,0))*IF(AND(F112=1,F113=0),1,0)</f>
      </c>
      <c r="J112" s="333">
        <f>(1+$M$5)^(D112/12)*(H112+IF(AND(F112=1,F113=0),$Q$4,0))</f>
      </c>
      <c r="K112" s="351"/>
      <c r="L112" s="333">
        <f>K112+J112</f>
      </c>
      <c r="M112" s="724"/>
      <c r="N112" s="7"/>
      <c r="O112" s="1"/>
      <c r="P112" s="331">
        <f>D112</f>
      </c>
      <c r="Q112" s="169"/>
      <c r="R112" s="1"/>
      <c r="S112" s="217">
        <f>(1+$M$5)^(D112/12)*(IF(E112=$C$6,$Q$4+$H$5*12,0))</f>
      </c>
      <c r="T112" s="217">
        <f>(1+$M$5)^(D112/12)*(IF(YEAR(E112)&gt;YEAR($C$6),L112,0)+IF(E112=$C$6,$H$5*12+$Q$4,0))</f>
      </c>
    </row>
    <row x14ac:dyDescent="0.25" r="113" customHeight="1" ht="18.75">
      <c r="A113" s="1"/>
      <c r="B113" s="7"/>
      <c r="C113" s="170"/>
      <c r="D113" s="331">
        <v>106</v>
      </c>
      <c r="E113" s="544">
        <f>+DATE(YEAR(E112),MONTH(E112)-1,DAY(E112))</f>
        <v>25569.041666666668</v>
      </c>
      <c r="F113" s="333">
        <f>IF(DATE(YEAR($B$6),MONTH($B$6)+1,DAY(1))=E113,1,IF(MONTH(E113)=1,F114*(1+$F$5),F114))</f>
      </c>
      <c r="G113" s="333">
        <f>IF('Simulador - 1º Pilar'!$E$99="Sí",IF('Aportaciones Flex'!$B$13&lt;'Aportaciones Flex'!E113,0,F113*$B$8/12),F113*$B$8/12)</f>
      </c>
      <c r="H113" s="333">
        <f>IF(G113&gt;0,1,0)*$H$5*IF(AND($I$5="NO",YEAR(E113)=YEAR($B$6)+1),1,IF($I$5="SI",1,0))</f>
      </c>
      <c r="I113" s="217">
        <f>(1+$M$5)^(D113/12)*(H113*(12-IF(MONTH(E114)=12,0,MONTH(E114)))+IF(AND(F113=1,F114=0),$Q$4,0))*IF(AND(F113=1,F114=0),1,0)</f>
      </c>
      <c r="J113" s="333">
        <f>(1+$M$5)^(D113/12)*(H113+IF(AND(F113=1,F114=0),$Q$4,0))</f>
      </c>
      <c r="K113" s="351"/>
      <c r="L113" s="333">
        <f>K113+J113</f>
      </c>
      <c r="M113" s="724"/>
      <c r="N113" s="7"/>
      <c r="O113" s="1"/>
      <c r="P113" s="331">
        <f>D113</f>
      </c>
      <c r="Q113" s="169"/>
      <c r="R113" s="1"/>
      <c r="S113" s="217">
        <f>(1+$M$5)^(D113/12)*(IF(E113=$C$6,$Q$4+$H$5*12,0))</f>
      </c>
      <c r="T113" s="217">
        <f>(1+$M$5)^(D113/12)*(IF(YEAR(E113)&gt;YEAR($C$6),L113,0)+IF(E113=$C$6,$H$5*12+$Q$4,0))</f>
      </c>
    </row>
    <row x14ac:dyDescent="0.25" r="114" customHeight="1" ht="18.75">
      <c r="A114" s="1"/>
      <c r="B114" s="7"/>
      <c r="C114" s="170"/>
      <c r="D114" s="331">
        <v>107</v>
      </c>
      <c r="E114" s="544">
        <f>+DATE(YEAR(E113),MONTH(E113)-1,DAY(E113))</f>
        <v>25569.041666666668</v>
      </c>
      <c r="F114" s="333">
        <f>IF(DATE(YEAR($B$6),MONTH($B$6)+1,DAY(1))=E114,1,IF(MONTH(E114)=1,F115*(1+$F$5),F115))</f>
      </c>
      <c r="G114" s="333">
        <f>IF('Simulador - 1º Pilar'!$E$99="Sí",IF('Aportaciones Flex'!$B$13&lt;'Aportaciones Flex'!E114,0,F114*$B$8/12),F114*$B$8/12)</f>
      </c>
      <c r="H114" s="333">
        <f>IF(G114&gt;0,1,0)*$H$5*IF(AND($I$5="NO",YEAR(E114)=YEAR($B$6)+1),1,IF($I$5="SI",1,0))</f>
      </c>
      <c r="I114" s="217">
        <f>(1+$M$5)^(D114/12)*(H114*(12-IF(MONTH(E115)=12,0,MONTH(E115)))+IF(AND(F114=1,F115=0),$Q$4,0))*IF(AND(F114=1,F115=0),1,0)</f>
      </c>
      <c r="J114" s="333">
        <f>(1+$M$5)^(D114/12)*(H114+IF(AND(F114=1,F115=0),$Q$4,0))</f>
      </c>
      <c r="K114" s="351"/>
      <c r="L114" s="333">
        <f>K114+J114</f>
      </c>
      <c r="M114" s="724"/>
      <c r="N114" s="7"/>
      <c r="O114" s="1"/>
      <c r="P114" s="331">
        <f>D114</f>
      </c>
      <c r="Q114" s="169"/>
      <c r="R114" s="1"/>
      <c r="S114" s="217">
        <f>(1+$M$5)^(D114/12)*(IF(E114=$C$6,$Q$4+$H$5*12,0))</f>
      </c>
      <c r="T114" s="217">
        <f>(1+$M$5)^(D114/12)*(IF(YEAR(E114)&gt;YEAR($C$6),L114,0)+IF(E114=$C$6,$H$5*12+$Q$4,0))</f>
      </c>
    </row>
    <row x14ac:dyDescent="0.25" r="115" customHeight="1" ht="18.75">
      <c r="A115" s="1"/>
      <c r="B115" s="7"/>
      <c r="C115" s="170"/>
      <c r="D115" s="331">
        <v>108</v>
      </c>
      <c r="E115" s="544">
        <f>+DATE(YEAR(E114),MONTH(E114)-1,DAY(E114))</f>
        <v>25569.041666666668</v>
      </c>
      <c r="F115" s="333">
        <f>IF(DATE(YEAR($B$6),MONTH($B$6)+1,DAY(1))=E115,1,IF(MONTH(E115)=1,F116*(1+$F$5),F116))</f>
      </c>
      <c r="G115" s="333">
        <f>IF('Simulador - 1º Pilar'!$E$99="Sí",IF('Aportaciones Flex'!$B$13&lt;'Aportaciones Flex'!E115,0,F115*$B$8/12),F115*$B$8/12)</f>
      </c>
      <c r="H115" s="333">
        <f>IF(G115&gt;0,1,0)*$H$5*IF(AND($I$5="NO",YEAR(E115)=YEAR($B$6)+1),1,IF($I$5="SI",1,0))</f>
      </c>
      <c r="I115" s="217">
        <f>(1+$M$5)^(D115/12)*(H115*(12-IF(MONTH(E116)=12,0,MONTH(E116)))+IF(AND(F115=1,F116=0),$Q$4,0))*IF(AND(F115=1,F116=0),1,0)</f>
      </c>
      <c r="J115" s="333">
        <f>(1+$M$5)^(D115/12)*(H115+IF(AND(F115=1,F116=0),$Q$4,0))</f>
      </c>
      <c r="K115" s="351"/>
      <c r="L115" s="333">
        <f>K115+J115</f>
      </c>
      <c r="M115" s="724"/>
      <c r="N115" s="7"/>
      <c r="O115" s="1"/>
      <c r="P115" s="331">
        <f>D115</f>
      </c>
      <c r="Q115" s="169"/>
      <c r="R115" s="1"/>
      <c r="S115" s="217">
        <f>(1+$M$5)^(D115/12)*(IF(E115=$C$6,$Q$4+$H$5*12,0))</f>
      </c>
      <c r="T115" s="217">
        <f>(1+$M$5)^(D115/12)*(IF(YEAR(E115)&gt;YEAR($C$6),L115,0)+IF(E115=$C$6,$H$5*12+$Q$4,0))</f>
      </c>
    </row>
    <row x14ac:dyDescent="0.25" r="116" customHeight="1" ht="18.75">
      <c r="A116" s="1"/>
      <c r="B116" s="7"/>
      <c r="C116" s="170"/>
      <c r="D116" s="331">
        <v>109</v>
      </c>
      <c r="E116" s="544">
        <f>+DATE(YEAR(E115),MONTH(E115)-1,DAY(E115))</f>
        <v>25569.041666666668</v>
      </c>
      <c r="F116" s="333">
        <f>IF(DATE(YEAR($B$6),MONTH($B$6)+1,DAY(1))=E116,1,IF(MONTH(E116)=1,F117*(1+$F$5),F117))</f>
      </c>
      <c r="G116" s="333">
        <f>IF('Simulador - 1º Pilar'!$E$99="Sí",IF('Aportaciones Flex'!$B$13&lt;'Aportaciones Flex'!E116,0,F116*$B$8/12),F116*$B$8/12)</f>
      </c>
      <c r="H116" s="333">
        <f>IF(G116&gt;0,1,0)*$H$5*IF(AND($I$5="NO",YEAR(E116)=YEAR($B$6)+1),1,IF($I$5="SI",1,0))</f>
      </c>
      <c r="I116" s="217">
        <f>(1+$M$5)^(D116/12)*(H116*(12-IF(MONTH(E117)=12,0,MONTH(E117)))+IF(AND(F116=1,F117=0),$Q$4,0))*IF(AND(F116=1,F117=0),1,0)</f>
      </c>
      <c r="J116" s="333">
        <f>(1+$M$5)^(D116/12)*(H116+IF(AND(F116=1,F117=0),$Q$4,0))</f>
      </c>
      <c r="K116" s="351"/>
      <c r="L116" s="333">
        <f>K116+J116</f>
      </c>
      <c r="M116" s="724"/>
      <c r="N116" s="7"/>
      <c r="O116" s="1"/>
      <c r="P116" s="331">
        <f>D116</f>
      </c>
      <c r="Q116" s="169"/>
      <c r="R116" s="1"/>
      <c r="S116" s="217">
        <f>(1+$M$5)^(D116/12)*(IF(E116=$C$6,$Q$4+$H$5*12,0))</f>
      </c>
      <c r="T116" s="217">
        <f>(1+$M$5)^(D116/12)*(IF(YEAR(E116)&gt;YEAR($C$6),L116,0)+IF(E116=$C$6,$H$5*12+$Q$4,0))</f>
      </c>
    </row>
    <row x14ac:dyDescent="0.25" r="117" customHeight="1" ht="18.75">
      <c r="A117" s="1"/>
      <c r="B117" s="7"/>
      <c r="C117" s="170"/>
      <c r="D117" s="331">
        <v>110</v>
      </c>
      <c r="E117" s="544">
        <f>+DATE(YEAR(E116),MONTH(E116)-1,DAY(E116))</f>
        <v>25569.041666666668</v>
      </c>
      <c r="F117" s="333">
        <f>IF(DATE(YEAR($B$6),MONTH($B$6)+1,DAY(1))=E117,1,IF(MONTH(E117)=1,F118*(1+$F$5),F118))</f>
      </c>
      <c r="G117" s="333">
        <f>IF('Simulador - 1º Pilar'!$E$99="Sí",IF('Aportaciones Flex'!$B$13&lt;'Aportaciones Flex'!E117,0,F117*$B$8/12),F117*$B$8/12)</f>
      </c>
      <c r="H117" s="333">
        <f>IF(G117&gt;0,1,0)*$H$5*IF(AND($I$5="NO",YEAR(E117)=YEAR($B$6)+1),1,IF($I$5="SI",1,0))</f>
      </c>
      <c r="I117" s="217">
        <f>(1+$M$5)^(D117/12)*(H117*(12-IF(MONTH(E118)=12,0,MONTH(E118)))+IF(AND(F117=1,F118=0),$Q$4,0))*IF(AND(F117=1,F118=0),1,0)</f>
      </c>
      <c r="J117" s="333">
        <f>(1+$M$5)^(D117/12)*(H117+IF(AND(F117=1,F118=0),$Q$4,0))</f>
      </c>
      <c r="K117" s="351"/>
      <c r="L117" s="333">
        <f>K117+J117</f>
      </c>
      <c r="M117" s="724"/>
      <c r="N117" s="7"/>
      <c r="O117" s="1"/>
      <c r="P117" s="331">
        <f>D117</f>
      </c>
      <c r="Q117" s="169"/>
      <c r="R117" s="1"/>
      <c r="S117" s="217">
        <f>(1+$M$5)^(D117/12)*(IF(E117=$C$6,$Q$4+$H$5*12,0))</f>
      </c>
      <c r="T117" s="217">
        <f>(1+$M$5)^(D117/12)*(IF(YEAR(E117)&gt;YEAR($C$6),L117,0)+IF(E117=$C$6,$H$5*12+$Q$4,0))</f>
      </c>
    </row>
    <row x14ac:dyDescent="0.25" r="118" customHeight="1" ht="18.75">
      <c r="A118" s="1"/>
      <c r="B118" s="7"/>
      <c r="C118" s="170"/>
      <c r="D118" s="331">
        <v>111</v>
      </c>
      <c r="E118" s="544">
        <f>+DATE(YEAR(E117),MONTH(E117)-1,DAY(E117))</f>
        <v>25569.041666666668</v>
      </c>
      <c r="F118" s="333">
        <f>IF(DATE(YEAR($B$6),MONTH($B$6)+1,DAY(1))=E118,1,IF(MONTH(E118)=1,F119*(1+$F$5),F119))</f>
      </c>
      <c r="G118" s="333">
        <f>IF('Simulador - 1º Pilar'!$E$99="Sí",IF('Aportaciones Flex'!$B$13&lt;'Aportaciones Flex'!E118,0,F118*$B$8/12),F118*$B$8/12)</f>
      </c>
      <c r="H118" s="333">
        <f>IF(G118&gt;0,1,0)*$H$5*IF(AND($I$5="NO",YEAR(E118)=YEAR($B$6)+1),1,IF($I$5="SI",1,0))</f>
      </c>
      <c r="I118" s="217">
        <f>(1+$M$5)^(D118/12)*(H118*(12-IF(MONTH(E119)=12,0,MONTH(E119)))+IF(AND(F118=1,F119=0),$Q$4,0))*IF(AND(F118=1,F119=0),1,0)</f>
      </c>
      <c r="J118" s="333">
        <f>(1+$M$5)^(D118/12)*(H118+IF(AND(F118=1,F119=0),$Q$4,0))</f>
      </c>
      <c r="K118" s="351"/>
      <c r="L118" s="333">
        <f>K118+J118</f>
      </c>
      <c r="M118" s="724"/>
      <c r="N118" s="7"/>
      <c r="O118" s="1"/>
      <c r="P118" s="331">
        <f>D118</f>
      </c>
      <c r="Q118" s="169"/>
      <c r="R118" s="1"/>
      <c r="S118" s="217">
        <f>(1+$M$5)^(D118/12)*(IF(E118=$C$6,$Q$4+$H$5*12,0))</f>
      </c>
      <c r="T118" s="217">
        <f>(1+$M$5)^(D118/12)*(IF(YEAR(E118)&gt;YEAR($C$6),L118,0)+IF(E118=$C$6,$H$5*12+$Q$4,0))</f>
      </c>
    </row>
    <row x14ac:dyDescent="0.25" r="119" customHeight="1" ht="18.75">
      <c r="A119" s="1"/>
      <c r="B119" s="7"/>
      <c r="C119" s="170"/>
      <c r="D119" s="331">
        <v>112</v>
      </c>
      <c r="E119" s="544">
        <f>+DATE(YEAR(E118),MONTH(E118)-1,DAY(E118))</f>
        <v>25569.041666666668</v>
      </c>
      <c r="F119" s="333">
        <f>IF(DATE(YEAR($B$6),MONTH($B$6)+1,DAY(1))=E119,1,IF(MONTH(E119)=1,F120*(1+$F$5),F120))</f>
      </c>
      <c r="G119" s="333">
        <f>IF('Simulador - 1º Pilar'!$E$99="Sí",IF('Aportaciones Flex'!$B$13&lt;'Aportaciones Flex'!E119,0,F119*$B$8/12),F119*$B$8/12)</f>
      </c>
      <c r="H119" s="333">
        <f>IF(G119&gt;0,1,0)*$H$5*IF(AND($I$5="NO",YEAR(E119)=YEAR($B$6)+1),1,IF($I$5="SI",1,0))</f>
      </c>
      <c r="I119" s="217">
        <f>(1+$M$5)^(D119/12)*(H119*(12-IF(MONTH(E120)=12,0,MONTH(E120)))+IF(AND(F119=1,F120=0),$Q$4,0))*IF(AND(F119=1,F120=0),1,0)</f>
      </c>
      <c r="J119" s="333">
        <f>(1+$M$5)^(D119/12)*(H119+IF(AND(F119=1,F120=0),$Q$4,0))</f>
      </c>
      <c r="K119" s="351"/>
      <c r="L119" s="333">
        <f>K119+J119</f>
      </c>
      <c r="M119" s="724"/>
      <c r="N119" s="7"/>
      <c r="O119" s="1"/>
      <c r="P119" s="331">
        <f>D119</f>
      </c>
      <c r="Q119" s="169"/>
      <c r="R119" s="1"/>
      <c r="S119" s="217">
        <f>(1+$M$5)^(D119/12)*(IF(E119=$C$6,$Q$4+$H$5*12,0))</f>
      </c>
      <c r="T119" s="217">
        <f>(1+$M$5)^(D119/12)*(IF(YEAR(E119)&gt;YEAR($C$6),L119,0)+IF(E119=$C$6,$H$5*12+$Q$4,0))</f>
      </c>
    </row>
    <row x14ac:dyDescent="0.25" r="120" customHeight="1" ht="18.75">
      <c r="A120" s="1"/>
      <c r="B120" s="7"/>
      <c r="C120" s="170"/>
      <c r="D120" s="331">
        <v>113</v>
      </c>
      <c r="E120" s="544">
        <f>+DATE(YEAR(E119),MONTH(E119)-1,DAY(E119))</f>
        <v>25569.041666666668</v>
      </c>
      <c r="F120" s="333">
        <f>IF(DATE(YEAR($B$6),MONTH($B$6)+1,DAY(1))=E120,1,IF(MONTH(E120)=1,F121*(1+$F$5),F121))</f>
      </c>
      <c r="G120" s="333">
        <f>IF('Simulador - 1º Pilar'!$E$99="Sí",IF('Aportaciones Flex'!$B$13&lt;'Aportaciones Flex'!E120,0,F120*$B$8/12),F120*$B$8/12)</f>
      </c>
      <c r="H120" s="333">
        <f>IF(G120&gt;0,1,0)*$H$5*IF(AND($I$5="NO",YEAR(E120)=YEAR($B$6)+1),1,IF($I$5="SI",1,0))</f>
      </c>
      <c r="I120" s="217">
        <f>(1+$M$5)^(D120/12)*(H120*(12-IF(MONTH(E121)=12,0,MONTH(E121)))+IF(AND(F120=1,F121=0),$Q$4,0))*IF(AND(F120=1,F121=0),1,0)</f>
      </c>
      <c r="J120" s="333">
        <f>(1+$M$5)^(D120/12)*(H120+IF(AND(F120=1,F121=0),$Q$4,0))</f>
      </c>
      <c r="K120" s="351"/>
      <c r="L120" s="333">
        <f>K120+J120</f>
      </c>
      <c r="M120" s="724"/>
      <c r="N120" s="7"/>
      <c r="O120" s="1"/>
      <c r="P120" s="331">
        <f>D120</f>
      </c>
      <c r="Q120" s="169"/>
      <c r="R120" s="1"/>
      <c r="S120" s="217">
        <f>(1+$M$5)^(D120/12)*(IF(E120=$C$6,$Q$4+$H$5*12,0))</f>
      </c>
      <c r="T120" s="217">
        <f>(1+$M$5)^(D120/12)*(IF(YEAR(E120)&gt;YEAR($C$6),L120,0)+IF(E120=$C$6,$H$5*12+$Q$4,0))</f>
      </c>
    </row>
    <row x14ac:dyDescent="0.25" r="121" customHeight="1" ht="18.75">
      <c r="A121" s="1"/>
      <c r="B121" s="7"/>
      <c r="C121" s="170"/>
      <c r="D121" s="331">
        <v>114</v>
      </c>
      <c r="E121" s="544">
        <f>+DATE(YEAR(E120),MONTH(E120)-1,DAY(E120))</f>
        <v>25569.041666666668</v>
      </c>
      <c r="F121" s="333">
        <f>IF(DATE(YEAR($B$6),MONTH($B$6)+1,DAY(1))=E121,1,IF(MONTH(E121)=1,F122*(1+$F$5),F122))</f>
      </c>
      <c r="G121" s="333">
        <f>IF('Simulador - 1º Pilar'!$E$99="Sí",IF('Aportaciones Flex'!$B$13&lt;'Aportaciones Flex'!E121,0,F121*$B$8/12),F121*$B$8/12)</f>
      </c>
      <c r="H121" s="333">
        <f>IF(G121&gt;0,1,0)*$H$5*IF(AND($I$5="NO",YEAR(E121)=YEAR($B$6)+1),1,IF($I$5="SI",1,0))</f>
      </c>
      <c r="I121" s="217">
        <f>(1+$M$5)^(D121/12)*(H121*(12-IF(MONTH(E122)=12,0,MONTH(E122)))+IF(AND(F121=1,F122=0),$Q$4,0))*IF(AND(F121=1,F122=0),1,0)</f>
      </c>
      <c r="J121" s="333">
        <f>(1+$M$5)^(D121/12)*(H121+IF(AND(F121=1,F122=0),$Q$4,0))</f>
      </c>
      <c r="K121" s="351"/>
      <c r="L121" s="333">
        <f>K121+J121</f>
      </c>
      <c r="M121" s="724"/>
      <c r="N121" s="7"/>
      <c r="O121" s="1"/>
      <c r="P121" s="331">
        <f>D121</f>
      </c>
      <c r="Q121" s="169"/>
      <c r="R121" s="1"/>
      <c r="S121" s="217">
        <f>(1+$M$5)^(D121/12)*(IF(E121=$C$6,$Q$4+$H$5*12,0))</f>
      </c>
      <c r="T121" s="217">
        <f>(1+$M$5)^(D121/12)*(IF(YEAR(E121)&gt;YEAR($C$6),L121,0)+IF(E121=$C$6,$H$5*12+$Q$4,0))</f>
      </c>
    </row>
    <row x14ac:dyDescent="0.25" r="122" customHeight="1" ht="18.75">
      <c r="A122" s="1"/>
      <c r="B122" s="7"/>
      <c r="C122" s="170"/>
      <c r="D122" s="331">
        <v>115</v>
      </c>
      <c r="E122" s="544">
        <f>+DATE(YEAR(E121),MONTH(E121)-1,DAY(E121))</f>
        <v>25569.041666666668</v>
      </c>
      <c r="F122" s="333">
        <f>IF(DATE(YEAR($B$6),MONTH($B$6)+1,DAY(1))=E122,1,IF(MONTH(E122)=1,F123*(1+$F$5),F123))</f>
      </c>
      <c r="G122" s="333">
        <f>IF('Simulador - 1º Pilar'!$E$99="Sí",IF('Aportaciones Flex'!$B$13&lt;'Aportaciones Flex'!E122,0,F122*$B$8/12),F122*$B$8/12)</f>
      </c>
      <c r="H122" s="333">
        <f>IF(G122&gt;0,1,0)*$H$5*IF(AND($I$5="NO",YEAR(E122)=YEAR($B$6)+1),1,IF($I$5="SI",1,0))</f>
      </c>
      <c r="I122" s="217">
        <f>(1+$M$5)^(D122/12)*(H122*(12-IF(MONTH(E123)=12,0,MONTH(E123)))+IF(AND(F122=1,F123=0),$Q$4,0))*IF(AND(F122=1,F123=0),1,0)</f>
      </c>
      <c r="J122" s="333">
        <f>(1+$M$5)^(D122/12)*(H122+IF(AND(F122=1,F123=0),$Q$4,0))</f>
      </c>
      <c r="K122" s="351"/>
      <c r="L122" s="333">
        <f>K122+J122</f>
      </c>
      <c r="M122" s="724"/>
      <c r="N122" s="7"/>
      <c r="O122" s="1"/>
      <c r="P122" s="331">
        <f>D122</f>
      </c>
      <c r="Q122" s="169"/>
      <c r="R122" s="1"/>
      <c r="S122" s="217">
        <f>(1+$M$5)^(D122/12)*(IF(E122=$C$6,$Q$4+$H$5*12,0))</f>
      </c>
      <c r="T122" s="217">
        <f>(1+$M$5)^(D122/12)*(IF(YEAR(E122)&gt;YEAR($C$6),L122,0)+IF(E122=$C$6,$H$5*12+$Q$4,0))</f>
      </c>
    </row>
    <row x14ac:dyDescent="0.25" r="123" customHeight="1" ht="18.75">
      <c r="A123" s="1"/>
      <c r="B123" s="7"/>
      <c r="C123" s="170"/>
      <c r="D123" s="331">
        <v>116</v>
      </c>
      <c r="E123" s="544">
        <f>+DATE(YEAR(E122),MONTH(E122)-1,DAY(E122))</f>
        <v>25569.041666666668</v>
      </c>
      <c r="F123" s="333">
        <f>IF(DATE(YEAR($B$6),MONTH($B$6)+1,DAY(1))=E123,1,IF(MONTH(E123)=1,F124*(1+$F$5),F124))</f>
      </c>
      <c r="G123" s="333">
        <f>IF('Simulador - 1º Pilar'!$E$99="Sí",IF('Aportaciones Flex'!$B$13&lt;'Aportaciones Flex'!E123,0,F123*$B$8/12),F123*$B$8/12)</f>
      </c>
      <c r="H123" s="333">
        <f>IF(G123&gt;0,1,0)*$H$5*IF(AND($I$5="NO",YEAR(E123)=YEAR($B$6)+1),1,IF($I$5="SI",1,0))</f>
      </c>
      <c r="I123" s="217">
        <f>(1+$M$5)^(D123/12)*(H123*(12-IF(MONTH(E124)=12,0,MONTH(E124)))+IF(AND(F123=1,F124=0),$Q$4,0))*IF(AND(F123=1,F124=0),1,0)</f>
      </c>
      <c r="J123" s="333">
        <f>(1+$M$5)^(D123/12)*(H123+IF(AND(F123=1,F124=0),$Q$4,0))</f>
      </c>
      <c r="K123" s="351"/>
      <c r="L123" s="333">
        <f>K123+J123</f>
      </c>
      <c r="M123" s="724"/>
      <c r="N123" s="7"/>
      <c r="O123" s="1"/>
      <c r="P123" s="331">
        <f>D123</f>
      </c>
      <c r="Q123" s="169"/>
      <c r="R123" s="1"/>
      <c r="S123" s="217">
        <f>(1+$M$5)^(D123/12)*(IF(E123=$C$6,$Q$4+$H$5*12,0))</f>
      </c>
      <c r="T123" s="217">
        <f>(1+$M$5)^(D123/12)*(IF(YEAR(E123)&gt;YEAR($C$6),L123,0)+IF(E123=$C$6,$H$5*12+$Q$4,0))</f>
      </c>
    </row>
    <row x14ac:dyDescent="0.25" r="124" customHeight="1" ht="18.75">
      <c r="A124" s="1"/>
      <c r="B124" s="7"/>
      <c r="C124" s="170"/>
      <c r="D124" s="331">
        <v>117</v>
      </c>
      <c r="E124" s="544">
        <f>+DATE(YEAR(E123),MONTH(E123)-1,DAY(E123))</f>
        <v>25569.041666666668</v>
      </c>
      <c r="F124" s="333">
        <f>IF(DATE(YEAR($B$6),MONTH($B$6)+1,DAY(1))=E124,1,IF(MONTH(E124)=1,F125*(1+$F$5),F125))</f>
      </c>
      <c r="G124" s="333">
        <f>IF('Simulador - 1º Pilar'!$E$99="Sí",IF('Aportaciones Flex'!$B$13&lt;'Aportaciones Flex'!E124,0,F124*$B$8/12),F124*$B$8/12)</f>
      </c>
      <c r="H124" s="333">
        <f>IF(G124&gt;0,1,0)*$H$5*IF(AND($I$5="NO",YEAR(E124)=YEAR($B$6)+1),1,IF($I$5="SI",1,0))</f>
      </c>
      <c r="I124" s="217">
        <f>(1+$M$5)^(D124/12)*(H124*(12-IF(MONTH(E125)=12,0,MONTH(E125)))+IF(AND(F124=1,F125=0),$Q$4,0))*IF(AND(F124=1,F125=0),1,0)</f>
      </c>
      <c r="J124" s="333">
        <f>(1+$M$5)^(D124/12)*(H124+IF(AND(F124=1,F125=0),$Q$4,0))</f>
      </c>
      <c r="K124" s="351"/>
      <c r="L124" s="333">
        <f>K124+J124</f>
      </c>
      <c r="M124" s="724"/>
      <c r="N124" s="7"/>
      <c r="O124" s="1"/>
      <c r="P124" s="331">
        <f>D124</f>
      </c>
      <c r="Q124" s="169"/>
      <c r="R124" s="1"/>
      <c r="S124" s="217">
        <f>(1+$M$5)^(D124/12)*(IF(E124=$C$6,$Q$4+$H$5*12,0))</f>
      </c>
      <c r="T124" s="217">
        <f>(1+$M$5)^(D124/12)*(IF(YEAR(E124)&gt;YEAR($C$6),L124,0)+IF(E124=$C$6,$H$5*12+$Q$4,0))</f>
      </c>
    </row>
    <row x14ac:dyDescent="0.25" r="125" customHeight="1" ht="18.75">
      <c r="A125" s="1"/>
      <c r="B125" s="7"/>
      <c r="C125" s="170"/>
      <c r="D125" s="331">
        <v>118</v>
      </c>
      <c r="E125" s="544">
        <f>+DATE(YEAR(E124),MONTH(E124)-1,DAY(E124))</f>
        <v>25569.041666666668</v>
      </c>
      <c r="F125" s="333">
        <f>IF(DATE(YEAR($B$6),MONTH($B$6)+1,DAY(1))=E125,1,IF(MONTH(E125)=1,F126*(1+$F$5),F126))</f>
      </c>
      <c r="G125" s="333">
        <f>IF('Simulador - 1º Pilar'!$E$99="Sí",IF('Aportaciones Flex'!$B$13&lt;'Aportaciones Flex'!E125,0,F125*$B$8/12),F125*$B$8/12)</f>
      </c>
      <c r="H125" s="333">
        <f>IF(G125&gt;0,1,0)*$H$5*IF(AND($I$5="NO",YEAR(E125)=YEAR($B$6)+1),1,IF($I$5="SI",1,0))</f>
      </c>
      <c r="I125" s="217">
        <f>(1+$M$5)^(D125/12)*(H125*(12-IF(MONTH(E126)=12,0,MONTH(E126)))+IF(AND(F125=1,F126=0),$Q$4,0))*IF(AND(F125=1,F126=0),1,0)</f>
      </c>
      <c r="J125" s="333">
        <f>(1+$M$5)^(D125/12)*(H125+IF(AND(F125=1,F126=0),$Q$4,0))</f>
      </c>
      <c r="K125" s="351"/>
      <c r="L125" s="333">
        <f>K125+J125</f>
      </c>
      <c r="M125" s="724"/>
      <c r="N125" s="7"/>
      <c r="O125" s="1"/>
      <c r="P125" s="331">
        <f>D125</f>
      </c>
      <c r="Q125" s="169"/>
      <c r="R125" s="1"/>
      <c r="S125" s="217">
        <f>(1+$M$5)^(D125/12)*(IF(E125=$C$6,$Q$4+$H$5*12,0))</f>
      </c>
      <c r="T125" s="217">
        <f>(1+$M$5)^(D125/12)*(IF(YEAR(E125)&gt;YEAR($C$6),L125,0)+IF(E125=$C$6,$H$5*12+$Q$4,0))</f>
      </c>
    </row>
    <row x14ac:dyDescent="0.25" r="126" customHeight="1" ht="18.75">
      <c r="A126" s="1"/>
      <c r="B126" s="7"/>
      <c r="C126" s="170"/>
      <c r="D126" s="331">
        <v>119</v>
      </c>
      <c r="E126" s="544">
        <f>+DATE(YEAR(E125),MONTH(E125)-1,DAY(E125))</f>
        <v>25569.041666666668</v>
      </c>
      <c r="F126" s="333">
        <f>IF(DATE(YEAR($B$6),MONTH($B$6)+1,DAY(1))=E126,1,IF(MONTH(E126)=1,F127*(1+$F$5),F127))</f>
      </c>
      <c r="G126" s="333">
        <f>IF('Simulador - 1º Pilar'!$E$99="Sí",IF('Aportaciones Flex'!$B$13&lt;'Aportaciones Flex'!E126,0,F126*$B$8/12),F126*$B$8/12)</f>
      </c>
      <c r="H126" s="333">
        <f>IF(G126&gt;0,1,0)*$H$5*IF(AND($I$5="NO",YEAR(E126)=YEAR($B$6)+1),1,IF($I$5="SI",1,0))</f>
      </c>
      <c r="I126" s="217">
        <f>(1+$M$5)^(D126/12)*(H126*(12-IF(MONTH(E127)=12,0,MONTH(E127)))+IF(AND(F126=1,F127=0),$Q$4,0))*IF(AND(F126=1,F127=0),1,0)</f>
      </c>
      <c r="J126" s="333">
        <f>(1+$M$5)^(D126/12)*(H126+IF(AND(F126=1,F127=0),$Q$4,0))</f>
      </c>
      <c r="K126" s="351"/>
      <c r="L126" s="333">
        <f>K126+J126</f>
      </c>
      <c r="M126" s="724"/>
      <c r="N126" s="7"/>
      <c r="O126" s="1"/>
      <c r="P126" s="331">
        <f>D126</f>
      </c>
      <c r="Q126" s="169"/>
      <c r="R126" s="1"/>
      <c r="S126" s="217">
        <f>(1+$M$5)^(D126/12)*(IF(E126=$C$6,$Q$4+$H$5*12,0))</f>
      </c>
      <c r="T126" s="217">
        <f>(1+$M$5)^(D126/12)*(IF(YEAR(E126)&gt;YEAR($C$6),L126,0)+IF(E126=$C$6,$H$5*12+$Q$4,0))</f>
      </c>
    </row>
    <row x14ac:dyDescent="0.25" r="127" customHeight="1" ht="18.75">
      <c r="A127" s="1"/>
      <c r="B127" s="7"/>
      <c r="C127" s="170"/>
      <c r="D127" s="331">
        <v>120</v>
      </c>
      <c r="E127" s="544">
        <f>+DATE(YEAR(E126),MONTH(E126)-1,DAY(E126))</f>
        <v>25569.041666666668</v>
      </c>
      <c r="F127" s="333">
        <f>IF(DATE(YEAR($B$6),MONTH($B$6)+1,DAY(1))=E127,1,IF(MONTH(E127)=1,F128*(1+$F$5),F128))</f>
      </c>
      <c r="G127" s="333">
        <f>IF('Simulador - 1º Pilar'!$E$99="Sí",IF('Aportaciones Flex'!$B$13&lt;'Aportaciones Flex'!E127,0,F127*$B$8/12),F127*$B$8/12)</f>
      </c>
      <c r="H127" s="333">
        <f>IF(G127&gt;0,1,0)*$H$5*IF(AND($I$5="NO",YEAR(E127)=YEAR($B$6)+1),1,IF($I$5="SI",1,0))</f>
      </c>
      <c r="I127" s="217">
        <f>(1+$M$5)^(D127/12)*(H127*(12-IF(MONTH(E128)=12,0,MONTH(E128)))+IF(AND(F127=1,F128=0),$Q$4,0))*IF(AND(F127=1,F128=0),1,0)</f>
      </c>
      <c r="J127" s="333">
        <f>(1+$M$5)^(D127/12)*(H127+IF(AND(F127=1,F128=0),$Q$4,0))</f>
      </c>
      <c r="K127" s="351"/>
      <c r="L127" s="333">
        <f>K127+J127</f>
      </c>
      <c r="M127" s="724"/>
      <c r="N127" s="7"/>
      <c r="O127" s="1"/>
      <c r="P127" s="331">
        <f>D127</f>
      </c>
      <c r="Q127" s="169"/>
      <c r="R127" s="1"/>
      <c r="S127" s="217">
        <f>(1+$M$5)^(D127/12)*(IF(E127=$C$6,$Q$4+$H$5*12,0))</f>
      </c>
      <c r="T127" s="217">
        <f>(1+$M$5)^(D127/12)*(IF(YEAR(E127)&gt;YEAR($C$6),L127,0)+IF(E127=$C$6,$H$5*12+$Q$4,0))</f>
      </c>
    </row>
    <row x14ac:dyDescent="0.25" r="128" customHeight="1" ht="18.75">
      <c r="A128" s="1"/>
      <c r="B128" s="7"/>
      <c r="C128" s="170"/>
      <c r="D128" s="331">
        <v>121</v>
      </c>
      <c r="E128" s="544">
        <f>+DATE(YEAR(E127),MONTH(E127)-1,DAY(E127))</f>
        <v>25569.041666666668</v>
      </c>
      <c r="F128" s="333">
        <f>IF(DATE(YEAR($B$6),MONTH($B$6)+1,DAY(1))=E128,1,IF(MONTH(E128)=1,F129*(1+$F$5),F129))</f>
      </c>
      <c r="G128" s="333">
        <f>IF('Simulador - 1º Pilar'!$E$99="Sí",IF('Aportaciones Flex'!$B$13&lt;'Aportaciones Flex'!E128,0,F128*$B$8/12),F128*$B$8/12)</f>
      </c>
      <c r="H128" s="333">
        <f>IF(G128&gt;0,1,0)*$H$5*IF(AND($I$5="NO",YEAR(E128)=YEAR($B$6)+1),1,IF($I$5="SI",1,0))</f>
      </c>
      <c r="I128" s="217">
        <f>(1+$M$5)^(D128/12)*(H128*(12-IF(MONTH(E129)=12,0,MONTH(E129)))+IF(AND(F128=1,F129=0),$Q$4,0))*IF(AND(F128=1,F129=0),1,0)</f>
      </c>
      <c r="J128" s="333">
        <f>(1+$M$5)^(D128/12)*(H128+IF(AND(F128=1,F129=0),$Q$4,0))</f>
      </c>
      <c r="K128" s="351"/>
      <c r="L128" s="333">
        <f>K128+J128</f>
      </c>
      <c r="M128" s="724"/>
      <c r="N128" s="7"/>
      <c r="O128" s="1"/>
      <c r="P128" s="331">
        <f>D128</f>
      </c>
      <c r="Q128" s="169"/>
      <c r="R128" s="1"/>
      <c r="S128" s="217">
        <f>(1+$M$5)^(D128/12)*(IF(E128=$C$6,$Q$4+$H$5*12,0))</f>
      </c>
      <c r="T128" s="217">
        <f>(1+$M$5)^(D128/12)*(IF(YEAR(E128)&gt;YEAR($C$6),L128,0)+IF(E128=$C$6,$H$5*12+$Q$4,0))</f>
      </c>
    </row>
    <row x14ac:dyDescent="0.25" r="129" customHeight="1" ht="18.75">
      <c r="A129" s="1"/>
      <c r="B129" s="7"/>
      <c r="C129" s="170"/>
      <c r="D129" s="331">
        <v>122</v>
      </c>
      <c r="E129" s="544">
        <f>+DATE(YEAR(E128),MONTH(E128)-1,DAY(E128))</f>
        <v>25569.041666666668</v>
      </c>
      <c r="F129" s="333">
        <f>IF(DATE(YEAR($B$6),MONTH($B$6)+1,DAY(1))=E129,1,IF(MONTH(E129)=1,F130*(1+$F$5),F130))</f>
      </c>
      <c r="G129" s="333">
        <f>IF('Simulador - 1º Pilar'!$E$99="Sí",IF('Aportaciones Flex'!$B$13&lt;'Aportaciones Flex'!E129,0,F129*$B$8/12),F129*$B$8/12)</f>
      </c>
      <c r="H129" s="333">
        <f>IF(G129&gt;0,1,0)*$H$5*IF(AND($I$5="NO",YEAR(E129)=YEAR($B$6)+1),1,IF($I$5="SI",1,0))</f>
      </c>
      <c r="I129" s="217">
        <f>(1+$M$5)^(D129/12)*(H129*(12-IF(MONTH(E130)=12,0,MONTH(E130)))+IF(AND(F129=1,F130=0),$Q$4,0))*IF(AND(F129=1,F130=0),1,0)</f>
      </c>
      <c r="J129" s="333">
        <f>(1+$M$5)^(D129/12)*(H129+IF(AND(F129=1,F130=0),$Q$4,0))</f>
      </c>
      <c r="K129" s="351"/>
      <c r="L129" s="333">
        <f>K129+J129</f>
      </c>
      <c r="M129" s="724"/>
      <c r="N129" s="7"/>
      <c r="O129" s="1"/>
      <c r="P129" s="331">
        <f>D129</f>
      </c>
      <c r="Q129" s="169"/>
      <c r="R129" s="1"/>
      <c r="S129" s="217">
        <f>(1+$M$5)^(D129/12)*(IF(E129=$C$6,$Q$4+$H$5*12,0))</f>
      </c>
      <c r="T129" s="217">
        <f>(1+$M$5)^(D129/12)*(IF(YEAR(E129)&gt;YEAR($C$6),L129,0)+IF(E129=$C$6,$H$5*12+$Q$4,0))</f>
      </c>
    </row>
    <row x14ac:dyDescent="0.25" r="130" customHeight="1" ht="18.75">
      <c r="A130" s="1"/>
      <c r="B130" s="7"/>
      <c r="C130" s="170"/>
      <c r="D130" s="331">
        <v>123</v>
      </c>
      <c r="E130" s="544">
        <f>+DATE(YEAR(E129),MONTH(E129)-1,DAY(E129))</f>
        <v>25569.041666666668</v>
      </c>
      <c r="F130" s="333">
        <f>IF(DATE(YEAR($B$6),MONTH($B$6)+1,DAY(1))=E130,1,IF(MONTH(E130)=1,F131*(1+$F$5),F131))</f>
      </c>
      <c r="G130" s="333">
        <f>IF('Simulador - 1º Pilar'!$E$99="Sí",IF('Aportaciones Flex'!$B$13&lt;'Aportaciones Flex'!E130,0,F130*$B$8/12),F130*$B$8/12)</f>
      </c>
      <c r="H130" s="333">
        <f>IF(G130&gt;0,1,0)*$H$5*IF(AND($I$5="NO",YEAR(E130)=YEAR($B$6)+1),1,IF($I$5="SI",1,0))</f>
      </c>
      <c r="I130" s="217">
        <f>(1+$M$5)^(D130/12)*(H130*(12-IF(MONTH(E131)=12,0,MONTH(E131)))+IF(AND(F130=1,F131=0),$Q$4,0))*IF(AND(F130=1,F131=0),1,0)</f>
      </c>
      <c r="J130" s="333">
        <f>(1+$M$5)^(D130/12)*(H130+IF(AND(F130=1,F131=0),$Q$4,0))</f>
      </c>
      <c r="K130" s="351"/>
      <c r="L130" s="333">
        <f>K130+J130</f>
      </c>
      <c r="M130" s="724"/>
      <c r="N130" s="7"/>
      <c r="O130" s="1"/>
      <c r="P130" s="331">
        <f>D130</f>
      </c>
      <c r="Q130" s="169"/>
      <c r="R130" s="1"/>
      <c r="S130" s="217">
        <f>(1+$M$5)^(D130/12)*(IF(E130=$C$6,$Q$4+$H$5*12,0))</f>
      </c>
      <c r="T130" s="217">
        <f>(1+$M$5)^(D130/12)*(IF(YEAR(E130)&gt;YEAR($C$6),L130,0)+IF(E130=$C$6,$H$5*12+$Q$4,0))</f>
      </c>
    </row>
    <row x14ac:dyDescent="0.25" r="131" customHeight="1" ht="18.75">
      <c r="A131" s="1"/>
      <c r="B131" s="7"/>
      <c r="C131" s="170"/>
      <c r="D131" s="331">
        <v>124</v>
      </c>
      <c r="E131" s="544">
        <f>+DATE(YEAR(E130),MONTH(E130)-1,DAY(E130))</f>
        <v>25569.041666666668</v>
      </c>
      <c r="F131" s="333">
        <f>IF(DATE(YEAR($B$6),MONTH($B$6)+1,DAY(1))=E131,1,IF(MONTH(E131)=1,F132*(1+$F$5),F132))</f>
      </c>
      <c r="G131" s="333">
        <f>IF('Simulador - 1º Pilar'!$E$99="Sí",IF('Aportaciones Flex'!$B$13&lt;'Aportaciones Flex'!E131,0,F131*$B$8/12),F131*$B$8/12)</f>
      </c>
      <c r="H131" s="333">
        <f>IF(G131&gt;0,1,0)*$H$5*IF(AND($I$5="NO",YEAR(E131)=YEAR($B$6)+1),1,IF($I$5="SI",1,0))</f>
      </c>
      <c r="I131" s="217">
        <f>(1+$M$5)^(D131/12)*(H131*(12-IF(MONTH(E132)=12,0,MONTH(E132)))+IF(AND(F131=1,F132=0),$Q$4,0))*IF(AND(F131=1,F132=0),1,0)</f>
      </c>
      <c r="J131" s="333">
        <f>(1+$M$5)^(D131/12)*(H131+IF(AND(F131=1,F132=0),$Q$4,0))</f>
      </c>
      <c r="K131" s="351"/>
      <c r="L131" s="333">
        <f>K131+J131</f>
      </c>
      <c r="M131" s="724"/>
      <c r="N131" s="7"/>
      <c r="O131" s="1"/>
      <c r="P131" s="331">
        <f>D131</f>
      </c>
      <c r="Q131" s="169"/>
      <c r="R131" s="1"/>
      <c r="S131" s="217">
        <f>(1+$M$5)^(D131/12)*(IF(E131=$C$6,$Q$4+$H$5*12,0))</f>
      </c>
      <c r="T131" s="217">
        <f>(1+$M$5)^(D131/12)*(IF(YEAR(E131)&gt;YEAR($C$6),L131,0)+IF(E131=$C$6,$H$5*12+$Q$4,0))</f>
      </c>
    </row>
    <row x14ac:dyDescent="0.25" r="132" customHeight="1" ht="18.75">
      <c r="A132" s="1"/>
      <c r="B132" s="7"/>
      <c r="C132" s="170"/>
      <c r="D132" s="331">
        <v>125</v>
      </c>
      <c r="E132" s="544">
        <f>+DATE(YEAR(E131),MONTH(E131)-1,DAY(E131))</f>
        <v>25569.041666666668</v>
      </c>
      <c r="F132" s="333">
        <f>IF(DATE(YEAR($B$6),MONTH($B$6)+1,DAY(1))=E132,1,IF(MONTH(E132)=1,F133*(1+$F$5),F133))</f>
      </c>
      <c r="G132" s="333">
        <f>IF('Simulador - 1º Pilar'!$E$99="Sí",IF('Aportaciones Flex'!$B$13&lt;'Aportaciones Flex'!E132,0,F132*$B$8/12),F132*$B$8/12)</f>
      </c>
      <c r="H132" s="333">
        <f>IF(G132&gt;0,1,0)*$H$5*IF(AND($I$5="NO",YEAR(E132)=YEAR($B$6)+1),1,IF($I$5="SI",1,0))</f>
      </c>
      <c r="I132" s="217">
        <f>(1+$M$5)^(D132/12)*(H132*(12-IF(MONTH(E133)=12,0,MONTH(E133)))+IF(AND(F132=1,F133=0),$Q$4,0))*IF(AND(F132=1,F133=0),1,0)</f>
      </c>
      <c r="J132" s="333">
        <f>(1+$M$5)^(D132/12)*(H132+IF(AND(F132=1,F133=0),$Q$4,0))</f>
      </c>
      <c r="K132" s="351"/>
      <c r="L132" s="333">
        <f>K132+J132</f>
      </c>
      <c r="M132" s="724"/>
      <c r="N132" s="7"/>
      <c r="O132" s="1"/>
      <c r="P132" s="331">
        <f>D132</f>
      </c>
      <c r="Q132" s="169"/>
      <c r="R132" s="1"/>
      <c r="S132" s="217">
        <f>(1+$M$5)^(D132/12)*(IF(E132=$C$6,$Q$4+$H$5*12,0))</f>
      </c>
      <c r="T132" s="217">
        <f>(1+$M$5)^(D132/12)*(IF(YEAR(E132)&gt;YEAR($C$6),L132,0)+IF(E132=$C$6,$H$5*12+$Q$4,0))</f>
      </c>
    </row>
    <row x14ac:dyDescent="0.25" r="133" customHeight="1" ht="18.75">
      <c r="A133" s="1"/>
      <c r="B133" s="7"/>
      <c r="C133" s="170"/>
      <c r="D133" s="331">
        <v>126</v>
      </c>
      <c r="E133" s="544">
        <f>+DATE(YEAR(E132),MONTH(E132)-1,DAY(E132))</f>
        <v>25569.041666666668</v>
      </c>
      <c r="F133" s="333">
        <f>IF(DATE(YEAR($B$6),MONTH($B$6)+1,DAY(1))=E133,1,IF(MONTH(E133)=1,F134*(1+$F$5),F134))</f>
      </c>
      <c r="G133" s="333">
        <f>IF('Simulador - 1º Pilar'!$E$99="Sí",IF('Aportaciones Flex'!$B$13&lt;'Aportaciones Flex'!E133,0,F133*$B$8/12),F133*$B$8/12)</f>
      </c>
      <c r="H133" s="333">
        <f>IF(G133&gt;0,1,0)*$H$5*IF(AND($I$5="NO",YEAR(E133)=YEAR($B$6)+1),1,IF($I$5="SI",1,0))</f>
      </c>
      <c r="I133" s="217">
        <f>(1+$M$5)^(D133/12)*(H133*(12-IF(MONTH(E134)=12,0,MONTH(E134)))+IF(AND(F133=1,F134=0),$Q$4,0))*IF(AND(F133=1,F134=0),1,0)</f>
      </c>
      <c r="J133" s="333">
        <f>(1+$M$5)^(D133/12)*(H133+IF(AND(F133=1,F134=0),$Q$4,0))</f>
      </c>
      <c r="K133" s="351"/>
      <c r="L133" s="333">
        <f>K133+J133</f>
      </c>
      <c r="M133" s="724"/>
      <c r="N133" s="7"/>
      <c r="O133" s="1"/>
      <c r="P133" s="331">
        <f>D133</f>
      </c>
      <c r="Q133" s="169"/>
      <c r="R133" s="1"/>
      <c r="S133" s="217">
        <f>(1+$M$5)^(D133/12)*(IF(E133=$C$6,$Q$4+$H$5*12,0))</f>
      </c>
      <c r="T133" s="217">
        <f>(1+$M$5)^(D133/12)*(IF(YEAR(E133)&gt;YEAR($C$6),L133,0)+IF(E133=$C$6,$H$5*12+$Q$4,0))</f>
      </c>
    </row>
    <row x14ac:dyDescent="0.25" r="134" customHeight="1" ht="18.75">
      <c r="A134" s="1"/>
      <c r="B134" s="7"/>
      <c r="C134" s="170"/>
      <c r="D134" s="331">
        <v>127</v>
      </c>
      <c r="E134" s="544">
        <f>+DATE(YEAR(E133),MONTH(E133)-1,DAY(E133))</f>
        <v>25569.041666666668</v>
      </c>
      <c r="F134" s="333">
        <f>IF(DATE(YEAR($B$6),MONTH($B$6)+1,DAY(1))=E134,1,IF(MONTH(E134)=1,F135*(1+$F$5),F135))</f>
      </c>
      <c r="G134" s="333">
        <f>IF('Simulador - 1º Pilar'!$E$99="Sí",IF('Aportaciones Flex'!$B$13&lt;'Aportaciones Flex'!E134,0,F134*$B$8/12),F134*$B$8/12)</f>
      </c>
      <c r="H134" s="333">
        <f>IF(G134&gt;0,1,0)*$H$5*IF(AND($I$5="NO",YEAR(E134)=YEAR($B$6)+1),1,IF($I$5="SI",1,0))</f>
      </c>
      <c r="I134" s="217">
        <f>(1+$M$5)^(D134/12)*(H134*(12-IF(MONTH(E135)=12,0,MONTH(E135)))+IF(AND(F134=1,F135=0),$Q$4,0))*IF(AND(F134=1,F135=0),1,0)</f>
      </c>
      <c r="J134" s="333">
        <f>(1+$M$5)^(D134/12)*(H134+IF(AND(F134=1,F135=0),$Q$4,0))</f>
      </c>
      <c r="K134" s="351"/>
      <c r="L134" s="333">
        <f>K134+J134</f>
      </c>
      <c r="M134" s="724"/>
      <c r="N134" s="7"/>
      <c r="O134" s="1"/>
      <c r="P134" s="331">
        <f>D134</f>
      </c>
      <c r="Q134" s="169"/>
      <c r="R134" s="1"/>
      <c r="S134" s="217">
        <f>(1+$M$5)^(D134/12)*(IF(E134=$C$6,$Q$4+$H$5*12,0))</f>
      </c>
      <c r="T134" s="217">
        <f>(1+$M$5)^(D134/12)*(IF(YEAR(E134)&gt;YEAR($C$6),L134,0)+IF(E134=$C$6,$H$5*12+$Q$4,0))</f>
      </c>
    </row>
    <row x14ac:dyDescent="0.25" r="135" customHeight="1" ht="18.75">
      <c r="A135" s="1"/>
      <c r="B135" s="7"/>
      <c r="C135" s="170"/>
      <c r="D135" s="331">
        <v>128</v>
      </c>
      <c r="E135" s="544">
        <f>+DATE(YEAR(E134),MONTH(E134)-1,DAY(E134))</f>
        <v>25569.041666666668</v>
      </c>
      <c r="F135" s="333">
        <f>IF(DATE(YEAR($B$6),MONTH($B$6)+1,DAY(1))=E135,1,IF(MONTH(E135)=1,F136*(1+$F$5),F136))</f>
      </c>
      <c r="G135" s="333">
        <f>IF('Simulador - 1º Pilar'!$E$99="Sí",IF('Aportaciones Flex'!$B$13&lt;'Aportaciones Flex'!E135,0,F135*$B$8/12),F135*$B$8/12)</f>
      </c>
      <c r="H135" s="333">
        <f>IF(G135&gt;0,1,0)*$H$5*IF(AND($I$5="NO",YEAR(E135)=YEAR($B$6)+1),1,IF($I$5="SI",1,0))</f>
      </c>
      <c r="I135" s="217">
        <f>(1+$M$5)^(D135/12)*(H135*(12-IF(MONTH(E136)=12,0,MONTH(E136)))+IF(AND(F135=1,F136=0),$Q$4,0))*IF(AND(F135=1,F136=0),1,0)</f>
      </c>
      <c r="J135" s="333">
        <f>(1+$M$5)^(D135/12)*(H135+IF(AND(F135=1,F136=0),$Q$4,0))</f>
      </c>
      <c r="K135" s="351"/>
      <c r="L135" s="333">
        <f>K135+J135</f>
      </c>
      <c r="M135" s="724"/>
      <c r="N135" s="7"/>
      <c r="O135" s="1"/>
      <c r="P135" s="331">
        <f>D135</f>
      </c>
      <c r="Q135" s="169"/>
      <c r="R135" s="1"/>
      <c r="S135" s="217">
        <f>(1+$M$5)^(D135/12)*(IF(E135=$C$6,$Q$4+$H$5*12,0))</f>
      </c>
      <c r="T135" s="217">
        <f>(1+$M$5)^(D135/12)*(IF(YEAR(E135)&gt;YEAR($C$6),L135,0)+IF(E135=$C$6,$H$5*12+$Q$4,0))</f>
      </c>
    </row>
    <row x14ac:dyDescent="0.25" r="136" customHeight="1" ht="18.75">
      <c r="A136" s="1"/>
      <c r="B136" s="7"/>
      <c r="C136" s="170"/>
      <c r="D136" s="331">
        <v>129</v>
      </c>
      <c r="E136" s="544">
        <f>+DATE(YEAR(E135),MONTH(E135)-1,DAY(E135))</f>
        <v>25569.041666666668</v>
      </c>
      <c r="F136" s="333">
        <f>IF(DATE(YEAR($B$6),MONTH($B$6)+1,DAY(1))=E136,1,IF(MONTH(E136)=1,F137*(1+$F$5),F137))</f>
      </c>
      <c r="G136" s="333">
        <f>IF('Simulador - 1º Pilar'!$E$99="Sí",IF('Aportaciones Flex'!$B$13&lt;'Aportaciones Flex'!E136,0,F136*$B$8/12),F136*$B$8/12)</f>
      </c>
      <c r="H136" s="333">
        <f>IF(G136&gt;0,1,0)*$H$5*IF(AND($I$5="NO",YEAR(E136)=YEAR($B$6)+1),1,IF($I$5="SI",1,0))</f>
      </c>
      <c r="I136" s="217">
        <f>(1+$M$5)^(D136/12)*(H136*(12-IF(MONTH(E137)=12,0,MONTH(E137)))+IF(AND(F136=1,F137=0),$Q$4,0))*IF(AND(F136=1,F137=0),1,0)</f>
      </c>
      <c r="J136" s="333">
        <f>(1+$M$5)^(D136/12)*(H136+IF(AND(F136=1,F137=0),$Q$4,0))</f>
      </c>
      <c r="K136" s="351"/>
      <c r="L136" s="333">
        <f>K136+J136</f>
      </c>
      <c r="M136" s="724"/>
      <c r="N136" s="7"/>
      <c r="O136" s="1"/>
      <c r="P136" s="331">
        <f>D136</f>
      </c>
      <c r="Q136" s="169"/>
      <c r="R136" s="1"/>
      <c r="S136" s="217">
        <f>(1+$M$5)^(D136/12)*(IF(E136=$C$6,$Q$4+$H$5*12,0))</f>
      </c>
      <c r="T136" s="217">
        <f>(1+$M$5)^(D136/12)*(IF(YEAR(E136)&gt;YEAR($C$6),L136,0)+IF(E136=$C$6,$H$5*12+$Q$4,0))</f>
      </c>
    </row>
    <row x14ac:dyDescent="0.25" r="137" customHeight="1" ht="18.75">
      <c r="A137" s="1"/>
      <c r="B137" s="7"/>
      <c r="C137" s="170"/>
      <c r="D137" s="331">
        <v>130</v>
      </c>
      <c r="E137" s="544">
        <f>+DATE(YEAR(E136),MONTH(E136)-1,DAY(E136))</f>
        <v>25569.041666666668</v>
      </c>
      <c r="F137" s="333">
        <f>IF(DATE(YEAR($B$6),MONTH($B$6)+1,DAY(1))=E137,1,IF(MONTH(E137)=1,F138*(1+$F$5),F138))</f>
      </c>
      <c r="G137" s="333">
        <f>IF('Simulador - 1º Pilar'!$E$99="Sí",IF('Aportaciones Flex'!$B$13&lt;'Aportaciones Flex'!E137,0,F137*$B$8/12),F137*$B$8/12)</f>
      </c>
      <c r="H137" s="333">
        <f>IF(G137&gt;0,1,0)*$H$5*IF(AND($I$5="NO",YEAR(E137)=YEAR($B$6)+1),1,IF($I$5="SI",1,0))</f>
      </c>
      <c r="I137" s="217">
        <f>(1+$M$5)^(D137/12)*(H137*(12-IF(MONTH(E138)=12,0,MONTH(E138)))+IF(AND(F137=1,F138=0),$Q$4,0))*IF(AND(F137=1,F138=0),1,0)</f>
      </c>
      <c r="J137" s="333">
        <f>(1+$M$5)^(D137/12)*(H137+IF(AND(F137=1,F138=0),$Q$4,0))</f>
      </c>
      <c r="K137" s="351"/>
      <c r="L137" s="333">
        <f>K137+J137</f>
      </c>
      <c r="M137" s="724"/>
      <c r="N137" s="7"/>
      <c r="O137" s="1"/>
      <c r="P137" s="331">
        <f>D137</f>
      </c>
      <c r="Q137" s="169"/>
      <c r="R137" s="1"/>
      <c r="S137" s="217">
        <f>(1+$M$5)^(D137/12)*(IF(E137=$C$6,$Q$4+$H$5*12,0))</f>
      </c>
      <c r="T137" s="217">
        <f>(1+$M$5)^(D137/12)*(IF(YEAR(E137)&gt;YEAR($C$6),L137,0)+IF(E137=$C$6,$H$5*12+$Q$4,0))</f>
      </c>
    </row>
    <row x14ac:dyDescent="0.25" r="138" customHeight="1" ht="18.75">
      <c r="A138" s="1"/>
      <c r="B138" s="7"/>
      <c r="C138" s="170"/>
      <c r="D138" s="331">
        <v>131</v>
      </c>
      <c r="E138" s="544">
        <f>+DATE(YEAR(E137),MONTH(E137)-1,DAY(E137))</f>
        <v>25569.041666666668</v>
      </c>
      <c r="F138" s="333">
        <f>IF(DATE(YEAR($B$6),MONTH($B$6)+1,DAY(1))=E138,1,IF(MONTH(E138)=1,F139*(1+$F$5),F139))</f>
      </c>
      <c r="G138" s="333">
        <f>IF('Simulador - 1º Pilar'!$E$99="Sí",IF('Aportaciones Flex'!$B$13&lt;'Aportaciones Flex'!E138,0,F138*$B$8/12),F138*$B$8/12)</f>
      </c>
      <c r="H138" s="333">
        <f>IF(G138&gt;0,1,0)*$H$5*IF(AND($I$5="NO",YEAR(E138)=YEAR($B$6)+1),1,IF($I$5="SI",1,0))</f>
      </c>
      <c r="I138" s="217">
        <f>(1+$M$5)^(D138/12)*(H138*(12-IF(MONTH(E139)=12,0,MONTH(E139)))+IF(AND(F138=1,F139=0),$Q$4,0))*IF(AND(F138=1,F139=0),1,0)</f>
      </c>
      <c r="J138" s="333">
        <f>(1+$M$5)^(D138/12)*(H138+IF(AND(F138=1,F139=0),$Q$4,0))</f>
      </c>
      <c r="K138" s="351"/>
      <c r="L138" s="333">
        <f>K138+J138</f>
      </c>
      <c r="M138" s="724"/>
      <c r="N138" s="7"/>
      <c r="O138" s="1"/>
      <c r="P138" s="331">
        <f>D138</f>
      </c>
      <c r="Q138" s="169"/>
      <c r="R138" s="1"/>
      <c r="S138" s="217">
        <f>(1+$M$5)^(D138/12)*(IF(E138=$C$6,$Q$4+$H$5*12,0))</f>
      </c>
      <c r="T138" s="217">
        <f>(1+$M$5)^(D138/12)*(IF(YEAR(E138)&gt;YEAR($C$6),L138,0)+IF(E138=$C$6,$H$5*12+$Q$4,0))</f>
      </c>
    </row>
    <row x14ac:dyDescent="0.25" r="139" customHeight="1" ht="18.75">
      <c r="A139" s="1"/>
      <c r="B139" s="7"/>
      <c r="C139" s="170"/>
      <c r="D139" s="331">
        <v>132</v>
      </c>
      <c r="E139" s="544">
        <f>+DATE(YEAR(E138),MONTH(E138)-1,DAY(E138))</f>
        <v>25569.041666666668</v>
      </c>
      <c r="F139" s="333">
        <f>IF(DATE(YEAR($B$6),MONTH($B$6)+1,DAY(1))=E139,1,IF(MONTH(E139)=1,F140*(1+$F$5),F140))</f>
      </c>
      <c r="G139" s="333">
        <f>IF('Simulador - 1º Pilar'!$E$99="Sí",IF('Aportaciones Flex'!$B$13&lt;'Aportaciones Flex'!E139,0,F139*$B$8/12),F139*$B$8/12)</f>
      </c>
      <c r="H139" s="333">
        <f>IF(G139&gt;0,1,0)*$H$5*IF(AND($I$5="NO",YEAR(E139)=YEAR($B$6)+1),1,IF($I$5="SI",1,0))</f>
      </c>
      <c r="I139" s="217">
        <f>(1+$M$5)^(D139/12)*(H139*(12-IF(MONTH(E140)=12,0,MONTH(E140)))+IF(AND(F139=1,F140=0),$Q$4,0))*IF(AND(F139=1,F140=0),1,0)</f>
      </c>
      <c r="J139" s="333">
        <f>(1+$M$5)^(D139/12)*(H139+IF(AND(F139=1,F140=0),$Q$4,0))</f>
      </c>
      <c r="K139" s="351"/>
      <c r="L139" s="333">
        <f>K139+J139</f>
      </c>
      <c r="M139" s="724"/>
      <c r="N139" s="7"/>
      <c r="O139" s="1"/>
      <c r="P139" s="331">
        <f>D139</f>
      </c>
      <c r="Q139" s="169"/>
      <c r="R139" s="1"/>
      <c r="S139" s="217">
        <f>(1+$M$5)^(D139/12)*(IF(E139=$C$6,$Q$4+$H$5*12,0))</f>
      </c>
      <c r="T139" s="217">
        <f>(1+$M$5)^(D139/12)*(IF(YEAR(E139)&gt;YEAR($C$6),L139,0)+IF(E139=$C$6,$H$5*12+$Q$4,0))</f>
      </c>
    </row>
    <row x14ac:dyDescent="0.25" r="140" customHeight="1" ht="18.75">
      <c r="A140" s="1"/>
      <c r="B140" s="7"/>
      <c r="C140" s="170"/>
      <c r="D140" s="331">
        <v>133</v>
      </c>
      <c r="E140" s="544">
        <f>+DATE(YEAR(E139),MONTH(E139)-1,DAY(E139))</f>
        <v>25569.041666666668</v>
      </c>
      <c r="F140" s="333">
        <f>IF(DATE(YEAR($B$6),MONTH($B$6)+1,DAY(1))=E140,1,IF(MONTH(E140)=1,F141*(1+$F$5),F141))</f>
      </c>
      <c r="G140" s="333">
        <f>IF('Simulador - 1º Pilar'!$E$99="Sí",IF('Aportaciones Flex'!$B$13&lt;'Aportaciones Flex'!E140,0,F140*$B$8/12),F140*$B$8/12)</f>
      </c>
      <c r="H140" s="333">
        <f>IF(G140&gt;0,1,0)*$H$5*IF(AND($I$5="NO",YEAR(E140)=YEAR($B$6)+1),1,IF($I$5="SI",1,0))</f>
      </c>
      <c r="I140" s="217">
        <f>(1+$M$5)^(D140/12)*(H140*(12-IF(MONTH(E141)=12,0,MONTH(E141)))+IF(AND(F140=1,F141=0),$Q$4,0))*IF(AND(F140=1,F141=0),1,0)</f>
      </c>
      <c r="J140" s="333">
        <f>(1+$M$5)^(D140/12)*(H140+IF(AND(F140=1,F141=0),$Q$4,0))</f>
      </c>
      <c r="K140" s="351"/>
      <c r="L140" s="333">
        <f>K140+J140</f>
      </c>
      <c r="M140" s="724"/>
      <c r="N140" s="7"/>
      <c r="O140" s="1"/>
      <c r="P140" s="331">
        <f>D140</f>
      </c>
      <c r="Q140" s="169"/>
      <c r="R140" s="1"/>
      <c r="S140" s="217">
        <f>(1+$M$5)^(D140/12)*(IF(E140=$C$6,$Q$4+$H$5*12,0))</f>
      </c>
      <c r="T140" s="217">
        <f>(1+$M$5)^(D140/12)*(IF(YEAR(E140)&gt;YEAR($C$6),L140,0)+IF(E140=$C$6,$H$5*12+$Q$4,0))</f>
      </c>
    </row>
    <row x14ac:dyDescent="0.25" r="141" customHeight="1" ht="18.75">
      <c r="A141" s="1"/>
      <c r="B141" s="7"/>
      <c r="C141" s="170"/>
      <c r="D141" s="331">
        <v>134</v>
      </c>
      <c r="E141" s="544">
        <f>+DATE(YEAR(E140),MONTH(E140)-1,DAY(E140))</f>
        <v>25569.041666666668</v>
      </c>
      <c r="F141" s="333">
        <f>IF(DATE(YEAR($B$6),MONTH($B$6)+1,DAY(1))=E141,1,IF(MONTH(E141)=1,F142*(1+$F$5),F142))</f>
      </c>
      <c r="G141" s="333">
        <f>IF('Simulador - 1º Pilar'!$E$99="Sí",IF('Aportaciones Flex'!$B$13&lt;'Aportaciones Flex'!E141,0,F141*$B$8/12),F141*$B$8/12)</f>
      </c>
      <c r="H141" s="333">
        <f>IF(G141&gt;0,1,0)*$H$5*IF(AND($I$5="NO",YEAR(E141)=YEAR($B$6)+1),1,IF($I$5="SI",1,0))</f>
      </c>
      <c r="I141" s="217">
        <f>(1+$M$5)^(D141/12)*(H141*(12-IF(MONTH(E142)=12,0,MONTH(E142)))+IF(AND(F141=1,F142=0),$Q$4,0))*IF(AND(F141=1,F142=0),1,0)</f>
      </c>
      <c r="J141" s="333">
        <f>(1+$M$5)^(D141/12)*(H141+IF(AND(F141=1,F142=0),$Q$4,0))</f>
      </c>
      <c r="K141" s="351"/>
      <c r="L141" s="333">
        <f>K141+J141</f>
      </c>
      <c r="M141" s="724"/>
      <c r="N141" s="7"/>
      <c r="O141" s="1"/>
      <c r="P141" s="331">
        <f>D141</f>
      </c>
      <c r="Q141" s="169"/>
      <c r="R141" s="1"/>
      <c r="S141" s="217">
        <f>(1+$M$5)^(D141/12)*(IF(E141=$C$6,$Q$4+$H$5*12,0))</f>
      </c>
      <c r="T141" s="217">
        <f>(1+$M$5)^(D141/12)*(IF(YEAR(E141)&gt;YEAR($C$6),L141,0)+IF(E141=$C$6,$H$5*12+$Q$4,0))</f>
      </c>
    </row>
    <row x14ac:dyDescent="0.25" r="142" customHeight="1" ht="18.75">
      <c r="A142" s="1"/>
      <c r="B142" s="7"/>
      <c r="C142" s="170"/>
      <c r="D142" s="331">
        <v>135</v>
      </c>
      <c r="E142" s="544">
        <f>+DATE(YEAR(E141),MONTH(E141)-1,DAY(E141))</f>
        <v>25569.041666666668</v>
      </c>
      <c r="F142" s="333">
        <f>IF(DATE(YEAR($B$6),MONTH($B$6)+1,DAY(1))=E142,1,IF(MONTH(E142)=1,F143*(1+$F$5),F143))</f>
      </c>
      <c r="G142" s="333">
        <f>IF('Simulador - 1º Pilar'!$E$99="Sí",IF('Aportaciones Flex'!$B$13&lt;'Aportaciones Flex'!E142,0,F142*$B$8/12),F142*$B$8/12)</f>
      </c>
      <c r="H142" s="333">
        <f>IF(G142&gt;0,1,0)*$H$5*IF(AND($I$5="NO",YEAR(E142)=YEAR($B$6)+1),1,IF($I$5="SI",1,0))</f>
      </c>
      <c r="I142" s="217">
        <f>(1+$M$5)^(D142/12)*(H142*(12-IF(MONTH(E143)=12,0,MONTH(E143)))+IF(AND(F142=1,F143=0),$Q$4,0))*IF(AND(F142=1,F143=0),1,0)</f>
      </c>
      <c r="J142" s="333">
        <f>(1+$M$5)^(D142/12)*(H142+IF(AND(F142=1,F143=0),$Q$4,0))</f>
      </c>
      <c r="K142" s="351"/>
      <c r="L142" s="333">
        <f>K142+J142</f>
      </c>
      <c r="M142" s="724"/>
      <c r="N142" s="7"/>
      <c r="O142" s="1"/>
      <c r="P142" s="331">
        <f>D142</f>
      </c>
      <c r="Q142" s="169"/>
      <c r="R142" s="1"/>
      <c r="S142" s="217">
        <f>(1+$M$5)^(D142/12)*(IF(E142=$C$6,$Q$4+$H$5*12,0))</f>
      </c>
      <c r="T142" s="217">
        <f>(1+$M$5)^(D142/12)*(IF(YEAR(E142)&gt;YEAR($C$6),L142,0)+IF(E142=$C$6,$H$5*12+$Q$4,0))</f>
      </c>
    </row>
    <row x14ac:dyDescent="0.25" r="143" customHeight="1" ht="18.75">
      <c r="A143" s="1"/>
      <c r="B143" s="7"/>
      <c r="C143" s="170"/>
      <c r="D143" s="331">
        <v>136</v>
      </c>
      <c r="E143" s="544">
        <f>+DATE(YEAR(E142),MONTH(E142)-1,DAY(E142))</f>
        <v>25569.041666666668</v>
      </c>
      <c r="F143" s="333">
        <f>IF(DATE(YEAR($B$6),MONTH($B$6)+1,DAY(1))=E143,1,IF(MONTH(E143)=1,F144*(1+$F$5),F144))</f>
      </c>
      <c r="G143" s="333">
        <f>IF('Simulador - 1º Pilar'!$E$99="Sí",IF('Aportaciones Flex'!$B$13&lt;'Aportaciones Flex'!E143,0,F143*$B$8/12),F143*$B$8/12)</f>
      </c>
      <c r="H143" s="333">
        <f>IF(G143&gt;0,1,0)*$H$5*IF(AND($I$5="NO",YEAR(E143)=YEAR($B$6)+1),1,IF($I$5="SI",1,0))</f>
      </c>
      <c r="I143" s="217">
        <f>(1+$M$5)^(D143/12)*(H143*(12-IF(MONTH(E144)=12,0,MONTH(E144)))+IF(AND(F143=1,F144=0),$Q$4,0))*IF(AND(F143=1,F144=0),1,0)</f>
      </c>
      <c r="J143" s="333">
        <f>(1+$M$5)^(D143/12)*(H143+IF(AND(F143=1,F144=0),$Q$4,0))</f>
      </c>
      <c r="K143" s="351"/>
      <c r="L143" s="333">
        <f>K143+J143</f>
      </c>
      <c r="M143" s="724"/>
      <c r="N143" s="7"/>
      <c r="O143" s="1"/>
      <c r="P143" s="331">
        <f>D143</f>
      </c>
      <c r="Q143" s="169"/>
      <c r="R143" s="1"/>
      <c r="S143" s="217">
        <f>(1+$M$5)^(D143/12)*(IF(E143=$C$6,$Q$4+$H$5*12,0))</f>
      </c>
      <c r="T143" s="217">
        <f>(1+$M$5)^(D143/12)*(IF(YEAR(E143)&gt;YEAR($C$6),L143,0)+IF(E143=$C$6,$H$5*12+$Q$4,0))</f>
      </c>
    </row>
    <row x14ac:dyDescent="0.25" r="144" customHeight="1" ht="18.75">
      <c r="A144" s="1"/>
      <c r="B144" s="7"/>
      <c r="C144" s="170"/>
      <c r="D144" s="331">
        <v>137</v>
      </c>
      <c r="E144" s="544">
        <f>+DATE(YEAR(E143),MONTH(E143)-1,DAY(E143))</f>
        <v>25569.041666666668</v>
      </c>
      <c r="F144" s="333">
        <f>IF(DATE(YEAR($B$6),MONTH($B$6)+1,DAY(1))=E144,1,IF(MONTH(E144)=1,F145*(1+$F$5),F145))</f>
      </c>
      <c r="G144" s="333">
        <f>IF('Simulador - 1º Pilar'!$E$99="Sí",IF('Aportaciones Flex'!$B$13&lt;'Aportaciones Flex'!E144,0,F144*$B$8/12),F144*$B$8/12)</f>
      </c>
      <c r="H144" s="333">
        <f>IF(G144&gt;0,1,0)*$H$5*IF(AND($I$5="NO",YEAR(E144)=YEAR($B$6)+1),1,IF($I$5="SI",1,0))</f>
      </c>
      <c r="I144" s="217">
        <f>(1+$M$5)^(D144/12)*(H144*(12-IF(MONTH(E145)=12,0,MONTH(E145)))+IF(AND(F144=1,F145=0),$Q$4,0))*IF(AND(F144=1,F145=0),1,0)</f>
      </c>
      <c r="J144" s="333">
        <f>(1+$M$5)^(D144/12)*(H144+IF(AND(F144=1,F145=0),$Q$4,0))</f>
      </c>
      <c r="K144" s="351"/>
      <c r="L144" s="333">
        <f>K144+J144</f>
      </c>
      <c r="M144" s="724"/>
      <c r="N144" s="7"/>
      <c r="O144" s="1"/>
      <c r="P144" s="331">
        <f>D144</f>
      </c>
      <c r="Q144" s="169"/>
      <c r="R144" s="1"/>
      <c r="S144" s="217">
        <f>(1+$M$5)^(D144/12)*(IF(E144=$C$6,$Q$4+$H$5*12,0))</f>
      </c>
      <c r="T144" s="217">
        <f>(1+$M$5)^(D144/12)*(IF(YEAR(E144)&gt;YEAR($C$6),L144,0)+IF(E144=$C$6,$H$5*12+$Q$4,0))</f>
      </c>
    </row>
    <row x14ac:dyDescent="0.25" r="145" customHeight="1" ht="18.75">
      <c r="A145" s="1"/>
      <c r="B145" s="7"/>
      <c r="C145" s="170"/>
      <c r="D145" s="331">
        <v>138</v>
      </c>
      <c r="E145" s="544">
        <f>+DATE(YEAR(E144),MONTH(E144)-1,DAY(E144))</f>
        <v>25569.041666666668</v>
      </c>
      <c r="F145" s="333">
        <f>IF(DATE(YEAR($B$6),MONTH($B$6)+1,DAY(1))=E145,1,IF(MONTH(E145)=1,F146*(1+$F$5),F146))</f>
      </c>
      <c r="G145" s="333">
        <f>IF('Simulador - 1º Pilar'!$E$99="Sí",IF('Aportaciones Flex'!$B$13&lt;'Aportaciones Flex'!E145,0,F145*$B$8/12),F145*$B$8/12)</f>
      </c>
      <c r="H145" s="333">
        <f>IF(G145&gt;0,1,0)*$H$5*IF(AND($I$5="NO",YEAR(E145)=YEAR($B$6)+1),1,IF($I$5="SI",1,0))</f>
      </c>
      <c r="I145" s="217">
        <f>(1+$M$5)^(D145/12)*(H145*(12-IF(MONTH(E146)=12,0,MONTH(E146)))+IF(AND(F145=1,F146=0),$Q$4,0))*IF(AND(F145=1,F146=0),1,0)</f>
      </c>
      <c r="J145" s="333">
        <f>(1+$M$5)^(D145/12)*(H145+IF(AND(F145=1,F146=0),$Q$4,0))</f>
      </c>
      <c r="K145" s="351"/>
      <c r="L145" s="333">
        <f>K145+J145</f>
      </c>
      <c r="M145" s="724"/>
      <c r="N145" s="7"/>
      <c r="O145" s="1"/>
      <c r="P145" s="331">
        <f>D145</f>
      </c>
      <c r="Q145" s="169"/>
      <c r="R145" s="1"/>
      <c r="S145" s="217">
        <f>(1+$M$5)^(D145/12)*(IF(E145=$C$6,$Q$4+$H$5*12,0))</f>
      </c>
      <c r="T145" s="217">
        <f>(1+$M$5)^(D145/12)*(IF(YEAR(E145)&gt;YEAR($C$6),L145,0)+IF(E145=$C$6,$H$5*12+$Q$4,0))</f>
      </c>
    </row>
    <row x14ac:dyDescent="0.25" r="146" customHeight="1" ht="18.75">
      <c r="A146" s="1"/>
      <c r="B146" s="7"/>
      <c r="C146" s="170"/>
      <c r="D146" s="331">
        <v>139</v>
      </c>
      <c r="E146" s="544">
        <f>+DATE(YEAR(E145),MONTH(E145)-1,DAY(E145))</f>
        <v>25569.041666666668</v>
      </c>
      <c r="F146" s="333">
        <f>IF(DATE(YEAR($B$6),MONTH($B$6)+1,DAY(1))=E146,1,IF(MONTH(E146)=1,F147*(1+$F$5),F147))</f>
      </c>
      <c r="G146" s="333">
        <f>IF('Simulador - 1º Pilar'!$E$99="Sí",IF('Aportaciones Flex'!$B$13&lt;'Aportaciones Flex'!E146,0,F146*$B$8/12),F146*$B$8/12)</f>
      </c>
      <c r="H146" s="333">
        <f>IF(G146&gt;0,1,0)*$H$5*IF(AND($I$5="NO",YEAR(E146)=YEAR($B$6)+1),1,IF($I$5="SI",1,0))</f>
      </c>
      <c r="I146" s="217">
        <f>(1+$M$5)^(D146/12)*(H146*(12-IF(MONTH(E147)=12,0,MONTH(E147)))+IF(AND(F146=1,F147=0),$Q$4,0))*IF(AND(F146=1,F147=0),1,0)</f>
      </c>
      <c r="J146" s="333">
        <f>(1+$M$5)^(D146/12)*(H146+IF(AND(F146=1,F147=0),$Q$4,0))</f>
      </c>
      <c r="K146" s="351"/>
      <c r="L146" s="333">
        <f>K146+J146</f>
      </c>
      <c r="M146" s="724"/>
      <c r="N146" s="7"/>
      <c r="O146" s="1"/>
      <c r="P146" s="331">
        <f>D146</f>
      </c>
      <c r="Q146" s="169"/>
      <c r="R146" s="1"/>
      <c r="S146" s="217">
        <f>(1+$M$5)^(D146/12)*(IF(E146=$C$6,$Q$4+$H$5*12,0))</f>
      </c>
      <c r="T146" s="217">
        <f>(1+$M$5)^(D146/12)*(IF(YEAR(E146)&gt;YEAR($C$6),L146,0)+IF(E146=$C$6,$H$5*12+$Q$4,0))</f>
      </c>
    </row>
    <row x14ac:dyDescent="0.25" r="147" customHeight="1" ht="18.75">
      <c r="A147" s="1"/>
      <c r="B147" s="7"/>
      <c r="C147" s="170"/>
      <c r="D147" s="331">
        <v>140</v>
      </c>
      <c r="E147" s="544">
        <f>+DATE(YEAR(E146),MONTH(E146)-1,DAY(E146))</f>
        <v>25569.041666666668</v>
      </c>
      <c r="F147" s="333">
        <f>IF(DATE(YEAR($B$6),MONTH($B$6)+1,DAY(1))=E147,1,IF(MONTH(E147)=1,F148*(1+$F$5),F148))</f>
      </c>
      <c r="G147" s="333">
        <f>IF('Simulador - 1º Pilar'!$E$99="Sí",IF('Aportaciones Flex'!$B$13&lt;'Aportaciones Flex'!E147,0,F147*$B$8/12),F147*$B$8/12)</f>
      </c>
      <c r="H147" s="333">
        <f>IF(G147&gt;0,1,0)*$H$5*IF(AND($I$5="NO",YEAR(E147)=YEAR($B$6)+1),1,IF($I$5="SI",1,0))</f>
      </c>
      <c r="I147" s="217">
        <f>(1+$M$5)^(D147/12)*(H147*(12-IF(MONTH(E148)=12,0,MONTH(E148)))+IF(AND(F147=1,F148=0),$Q$4,0))*IF(AND(F147=1,F148=0),1,0)</f>
      </c>
      <c r="J147" s="333">
        <f>(1+$M$5)^(D147/12)*(H147+IF(AND(F147=1,F148=0),$Q$4,0))</f>
      </c>
      <c r="K147" s="351"/>
      <c r="L147" s="333">
        <f>K147+J147</f>
      </c>
      <c r="M147" s="724"/>
      <c r="N147" s="7"/>
      <c r="O147" s="1"/>
      <c r="P147" s="331">
        <f>D147</f>
      </c>
      <c r="Q147" s="169"/>
      <c r="R147" s="1"/>
      <c r="S147" s="217">
        <f>(1+$M$5)^(D147/12)*(IF(E147=$C$6,$Q$4+$H$5*12,0))</f>
      </c>
      <c r="T147" s="217">
        <f>(1+$M$5)^(D147/12)*(IF(YEAR(E147)&gt;YEAR($C$6),L147,0)+IF(E147=$C$6,$H$5*12+$Q$4,0))</f>
      </c>
    </row>
    <row x14ac:dyDescent="0.25" r="148" customHeight="1" ht="18.75">
      <c r="A148" s="1"/>
      <c r="B148" s="7"/>
      <c r="C148" s="170"/>
      <c r="D148" s="331">
        <v>141</v>
      </c>
      <c r="E148" s="544">
        <f>+DATE(YEAR(E147),MONTH(E147)-1,DAY(E147))</f>
        <v>25569.041666666668</v>
      </c>
      <c r="F148" s="333">
        <f>IF(DATE(YEAR($B$6),MONTH($B$6)+1,DAY(1))=E148,1,IF(MONTH(E148)=1,F149*(1+$F$5),F149))</f>
      </c>
      <c r="G148" s="333">
        <f>IF('Simulador - 1º Pilar'!$E$99="Sí",IF('Aportaciones Flex'!$B$13&lt;'Aportaciones Flex'!E148,0,F148*$B$8/12),F148*$B$8/12)</f>
      </c>
      <c r="H148" s="333">
        <f>IF(G148&gt;0,1,0)*$H$5*IF(AND($I$5="NO",YEAR(E148)=YEAR($B$6)+1),1,IF($I$5="SI",1,0))</f>
      </c>
      <c r="I148" s="217">
        <f>(1+$M$5)^(D148/12)*(H148*(12-IF(MONTH(E149)=12,0,MONTH(E149)))+IF(AND(F148=1,F149=0),$Q$4,0))*IF(AND(F148=1,F149=0),1,0)</f>
      </c>
      <c r="J148" s="333">
        <f>(1+$M$5)^(D148/12)*(H148+IF(AND(F148=1,F149=0),$Q$4,0))</f>
      </c>
      <c r="K148" s="351"/>
      <c r="L148" s="333">
        <f>K148+J148</f>
      </c>
      <c r="M148" s="724"/>
      <c r="N148" s="7"/>
      <c r="O148" s="1"/>
      <c r="P148" s="331">
        <f>D148</f>
      </c>
      <c r="Q148" s="169"/>
      <c r="R148" s="1"/>
      <c r="S148" s="217">
        <f>(1+$M$5)^(D148/12)*(IF(E148=$C$6,$Q$4+$H$5*12,0))</f>
      </c>
      <c r="T148" s="217">
        <f>(1+$M$5)^(D148/12)*(IF(YEAR(E148)&gt;YEAR($C$6),L148,0)+IF(E148=$C$6,$H$5*12+$Q$4,0))</f>
      </c>
    </row>
    <row x14ac:dyDescent="0.25" r="149" customHeight="1" ht="18.75">
      <c r="A149" s="1"/>
      <c r="B149" s="7"/>
      <c r="C149" s="170"/>
      <c r="D149" s="331">
        <v>142</v>
      </c>
      <c r="E149" s="544">
        <f>+DATE(YEAR(E148),MONTH(E148)-1,DAY(E148))</f>
        <v>25569.041666666668</v>
      </c>
      <c r="F149" s="333">
        <f>IF(DATE(YEAR($B$6),MONTH($B$6)+1,DAY(1))=E149,1,IF(MONTH(E149)=1,F150*(1+$F$5),F150))</f>
      </c>
      <c r="G149" s="333">
        <f>IF('Simulador - 1º Pilar'!$E$99="Sí",IF('Aportaciones Flex'!$B$13&lt;'Aportaciones Flex'!E149,0,F149*$B$8/12),F149*$B$8/12)</f>
      </c>
      <c r="H149" s="333">
        <f>IF(G149&gt;0,1,0)*$H$5*IF(AND($I$5="NO",YEAR(E149)=YEAR($B$6)+1),1,IF($I$5="SI",1,0))</f>
      </c>
      <c r="I149" s="217">
        <f>(1+$M$5)^(D149/12)*(H149*(12-IF(MONTH(E150)=12,0,MONTH(E150)))+IF(AND(F149=1,F150=0),$Q$4,0))*IF(AND(F149=1,F150=0),1,0)</f>
      </c>
      <c r="J149" s="333">
        <f>(1+$M$5)^(D149/12)*(H149+IF(AND(F149=1,F150=0),$Q$4,0))</f>
      </c>
      <c r="K149" s="351"/>
      <c r="L149" s="333">
        <f>K149+J149</f>
      </c>
      <c r="M149" s="724"/>
      <c r="N149" s="7"/>
      <c r="O149" s="1"/>
      <c r="P149" s="331">
        <f>D149</f>
      </c>
      <c r="Q149" s="169"/>
      <c r="R149" s="1"/>
      <c r="S149" s="217">
        <f>(1+$M$5)^(D149/12)*(IF(E149=$C$6,$Q$4+$H$5*12,0))</f>
      </c>
      <c r="T149" s="217">
        <f>(1+$M$5)^(D149/12)*(IF(YEAR(E149)&gt;YEAR($C$6),L149,0)+IF(E149=$C$6,$H$5*12+$Q$4,0))</f>
      </c>
    </row>
    <row x14ac:dyDescent="0.25" r="150" customHeight="1" ht="18.75">
      <c r="A150" s="1"/>
      <c r="B150" s="7"/>
      <c r="C150" s="170"/>
      <c r="D150" s="331">
        <v>143</v>
      </c>
      <c r="E150" s="544">
        <f>+DATE(YEAR(E149),MONTH(E149)-1,DAY(E149))</f>
        <v>25569.041666666668</v>
      </c>
      <c r="F150" s="333">
        <f>IF(DATE(YEAR($B$6),MONTH($B$6)+1,DAY(1))=E150,1,IF(MONTH(E150)=1,F151*(1+$F$5),F151))</f>
      </c>
      <c r="G150" s="333">
        <f>IF('Simulador - 1º Pilar'!$E$99="Sí",IF('Aportaciones Flex'!$B$13&lt;'Aportaciones Flex'!E150,0,F150*$B$8/12),F150*$B$8/12)</f>
      </c>
      <c r="H150" s="333">
        <f>IF(G150&gt;0,1,0)*$H$5*IF(AND($I$5="NO",YEAR(E150)=YEAR($B$6)+1),1,IF($I$5="SI",1,0))</f>
      </c>
      <c r="I150" s="217">
        <f>(1+$M$5)^(D150/12)*(H150*(12-IF(MONTH(E151)=12,0,MONTH(E151)))+IF(AND(F150=1,F151=0),$Q$4,0))*IF(AND(F150=1,F151=0),1,0)</f>
      </c>
      <c r="J150" s="333">
        <f>(1+$M$5)^(D150/12)*(H150+IF(AND(F150=1,F151=0),$Q$4,0))</f>
      </c>
      <c r="K150" s="351"/>
      <c r="L150" s="333">
        <f>K150+J150</f>
      </c>
      <c r="M150" s="724"/>
      <c r="N150" s="7"/>
      <c r="O150" s="1"/>
      <c r="P150" s="331">
        <f>D150</f>
      </c>
      <c r="Q150" s="169"/>
      <c r="R150" s="1"/>
      <c r="S150" s="217">
        <f>(1+$M$5)^(D150/12)*(IF(E150=$C$6,$Q$4+$H$5*12,0))</f>
      </c>
      <c r="T150" s="217">
        <f>(1+$M$5)^(D150/12)*(IF(YEAR(E150)&gt;YEAR($C$6),L150,0)+IF(E150=$C$6,$H$5*12+$Q$4,0))</f>
      </c>
    </row>
    <row x14ac:dyDescent="0.25" r="151" customHeight="1" ht="18.75">
      <c r="A151" s="1"/>
      <c r="B151" s="7"/>
      <c r="C151" s="170"/>
      <c r="D151" s="331">
        <v>144</v>
      </c>
      <c r="E151" s="544">
        <f>+DATE(YEAR(E150),MONTH(E150)-1,DAY(E150))</f>
        <v>25569.041666666668</v>
      </c>
      <c r="F151" s="333">
        <f>IF(DATE(YEAR($B$6),MONTH($B$6)+1,DAY(1))=E151,1,IF(MONTH(E151)=1,F152*(1+$F$5),F152))</f>
      </c>
      <c r="G151" s="333">
        <f>IF('Simulador - 1º Pilar'!$E$99="Sí",IF('Aportaciones Flex'!$B$13&lt;'Aportaciones Flex'!E151,0,F151*$B$8/12),F151*$B$8/12)</f>
      </c>
      <c r="H151" s="333">
        <f>IF(G151&gt;0,1,0)*$H$5*IF(AND($I$5="NO",YEAR(E151)=YEAR($B$6)+1),1,IF($I$5="SI",1,0))</f>
      </c>
      <c r="I151" s="217">
        <f>(1+$M$5)^(D151/12)*(H151*(12-IF(MONTH(E152)=12,0,MONTH(E152)))+IF(AND(F151=1,F152=0),$Q$4,0))*IF(AND(F151=1,F152=0),1,0)</f>
      </c>
      <c r="J151" s="333">
        <f>(1+$M$5)^(D151/12)*(H151+IF(AND(F151=1,F152=0),$Q$4,0))</f>
      </c>
      <c r="K151" s="351"/>
      <c r="L151" s="333">
        <f>K151+J151</f>
      </c>
      <c r="M151" s="724"/>
      <c r="N151" s="7"/>
      <c r="O151" s="1"/>
      <c r="P151" s="331">
        <f>D151</f>
      </c>
      <c r="Q151" s="169"/>
      <c r="R151" s="1"/>
      <c r="S151" s="217">
        <f>(1+$M$5)^(D151/12)*(IF(E151=$C$6,$Q$4+$H$5*12,0))</f>
      </c>
      <c r="T151" s="217">
        <f>(1+$M$5)^(D151/12)*(IF(YEAR(E151)&gt;YEAR($C$6),L151,0)+IF(E151=$C$6,$H$5*12+$Q$4,0))</f>
      </c>
    </row>
    <row x14ac:dyDescent="0.25" r="152" customHeight="1" ht="18.75">
      <c r="A152" s="1"/>
      <c r="B152" s="7"/>
      <c r="C152" s="170"/>
      <c r="D152" s="331">
        <v>145</v>
      </c>
      <c r="E152" s="544">
        <f>+DATE(YEAR(E151),MONTH(E151)-1,DAY(E151))</f>
        <v>25569.041666666668</v>
      </c>
      <c r="F152" s="333">
        <f>IF(DATE(YEAR($B$6),MONTH($B$6)+1,DAY(1))=E152,1,IF(MONTH(E152)=1,F153*(1+$F$5),F153))</f>
      </c>
      <c r="G152" s="333">
        <f>IF('Simulador - 1º Pilar'!$E$99="Sí",IF('Aportaciones Flex'!$B$13&lt;'Aportaciones Flex'!E152,0,F152*$B$8/12),F152*$B$8/12)</f>
      </c>
      <c r="H152" s="333">
        <f>IF(G152&gt;0,1,0)*$H$5*IF(AND($I$5="NO",YEAR(E152)=YEAR($B$6)+1),1,IF($I$5="SI",1,0))</f>
      </c>
      <c r="I152" s="217">
        <f>(1+$M$5)^(D152/12)*(H152*(12-IF(MONTH(E153)=12,0,MONTH(E153)))+IF(AND(F152=1,F153=0),$Q$4,0))*IF(AND(F152=1,F153=0),1,0)</f>
      </c>
      <c r="J152" s="333">
        <f>(1+$M$5)^(D152/12)*(H152+IF(AND(F152=1,F153=0),$Q$4,0))</f>
      </c>
      <c r="K152" s="351"/>
      <c r="L152" s="333">
        <f>K152+J152</f>
      </c>
      <c r="M152" s="724"/>
      <c r="N152" s="7"/>
      <c r="O152" s="1"/>
      <c r="P152" s="331">
        <f>D152</f>
      </c>
      <c r="Q152" s="169"/>
      <c r="R152" s="1"/>
      <c r="S152" s="217">
        <f>(1+$M$5)^(D152/12)*(IF(E152=$C$6,$Q$4+$H$5*12,0))</f>
      </c>
      <c r="T152" s="217">
        <f>(1+$M$5)^(D152/12)*(IF(YEAR(E152)&gt;YEAR($C$6),L152,0)+IF(E152=$C$6,$H$5*12+$Q$4,0))</f>
      </c>
    </row>
    <row x14ac:dyDescent="0.25" r="153" customHeight="1" ht="18.75">
      <c r="A153" s="1"/>
      <c r="B153" s="7"/>
      <c r="C153" s="170"/>
      <c r="D153" s="331">
        <v>146</v>
      </c>
      <c r="E153" s="544">
        <f>+DATE(YEAR(E152),MONTH(E152)-1,DAY(E152))</f>
        <v>25569.041666666668</v>
      </c>
      <c r="F153" s="333">
        <f>IF(DATE(YEAR($B$6),MONTH($B$6)+1,DAY(1))=E153,1,IF(MONTH(E153)=1,F154*(1+$F$5),F154))</f>
      </c>
      <c r="G153" s="333">
        <f>IF('Simulador - 1º Pilar'!$E$99="Sí",IF('Aportaciones Flex'!$B$13&lt;'Aportaciones Flex'!E153,0,F153*$B$8/12),F153*$B$8/12)</f>
      </c>
      <c r="H153" s="333">
        <f>IF(G153&gt;0,1,0)*$H$5*IF(AND($I$5="NO",YEAR(E153)=YEAR($B$6)+1),1,IF($I$5="SI",1,0))</f>
      </c>
      <c r="I153" s="217">
        <f>(1+$M$5)^(D153/12)*(H153*(12-IF(MONTH(E154)=12,0,MONTH(E154)))+IF(AND(F153=1,F154=0),$Q$4,0))*IF(AND(F153=1,F154=0),1,0)</f>
      </c>
      <c r="J153" s="333">
        <f>(1+$M$5)^(D153/12)*(H153+IF(AND(F153=1,F154=0),$Q$4,0))</f>
      </c>
      <c r="K153" s="351"/>
      <c r="L153" s="333">
        <f>K153+J153</f>
      </c>
      <c r="M153" s="724"/>
      <c r="N153" s="7"/>
      <c r="O153" s="1"/>
      <c r="P153" s="331">
        <f>D153</f>
      </c>
      <c r="Q153" s="169"/>
      <c r="R153" s="1"/>
      <c r="S153" s="217">
        <f>(1+$M$5)^(D153/12)*(IF(E153=$C$6,$Q$4+$H$5*12,0))</f>
      </c>
      <c r="T153" s="217">
        <f>(1+$M$5)^(D153/12)*(IF(YEAR(E153)&gt;YEAR($C$6),L153,0)+IF(E153=$C$6,$H$5*12+$Q$4,0))</f>
      </c>
    </row>
    <row x14ac:dyDescent="0.25" r="154" customHeight="1" ht="18.75">
      <c r="A154" s="1"/>
      <c r="B154" s="7"/>
      <c r="C154" s="170"/>
      <c r="D154" s="331">
        <v>147</v>
      </c>
      <c r="E154" s="544">
        <f>+DATE(YEAR(E153),MONTH(E153)-1,DAY(E153))</f>
        <v>25569.041666666668</v>
      </c>
      <c r="F154" s="333">
        <f>IF(DATE(YEAR($B$6),MONTH($B$6)+1,DAY(1))=E154,1,IF(MONTH(E154)=1,F155*(1+$F$5),F155))</f>
      </c>
      <c r="G154" s="333">
        <f>IF('Simulador - 1º Pilar'!$E$99="Sí",IF('Aportaciones Flex'!$B$13&lt;'Aportaciones Flex'!E154,0,F154*$B$8/12),F154*$B$8/12)</f>
      </c>
      <c r="H154" s="333">
        <f>IF(G154&gt;0,1,0)*$H$5*IF(AND($I$5="NO",YEAR(E154)=YEAR($B$6)+1),1,IF($I$5="SI",1,0))</f>
      </c>
      <c r="I154" s="217">
        <f>(1+$M$5)^(D154/12)*(H154*(12-IF(MONTH(E155)=12,0,MONTH(E155)))+IF(AND(F154=1,F155=0),$Q$4,0))*IF(AND(F154=1,F155=0),1,0)</f>
      </c>
      <c r="J154" s="333">
        <f>(1+$M$5)^(D154/12)*(H154+IF(AND(F154=1,F155=0),$Q$4,0))</f>
      </c>
      <c r="K154" s="351"/>
      <c r="L154" s="333">
        <f>K154+J154</f>
      </c>
      <c r="M154" s="724"/>
      <c r="N154" s="7"/>
      <c r="O154" s="1"/>
      <c r="P154" s="331">
        <f>D154</f>
      </c>
      <c r="Q154" s="169"/>
      <c r="R154" s="1"/>
      <c r="S154" s="217">
        <f>(1+$M$5)^(D154/12)*(IF(E154=$C$6,$Q$4+$H$5*12,0))</f>
      </c>
      <c r="T154" s="217">
        <f>(1+$M$5)^(D154/12)*(IF(YEAR(E154)&gt;YEAR($C$6),L154,0)+IF(E154=$C$6,$H$5*12+$Q$4,0))</f>
      </c>
    </row>
    <row x14ac:dyDescent="0.25" r="155" customHeight="1" ht="18.75">
      <c r="A155" s="1"/>
      <c r="B155" s="7"/>
      <c r="C155" s="170"/>
      <c r="D155" s="331">
        <v>148</v>
      </c>
      <c r="E155" s="544">
        <f>+DATE(YEAR(E154),MONTH(E154)-1,DAY(E154))</f>
        <v>25569.041666666668</v>
      </c>
      <c r="F155" s="333">
        <f>IF(DATE(YEAR($B$6),MONTH($B$6)+1,DAY(1))=E155,1,IF(MONTH(E155)=1,F156*(1+$F$5),F156))</f>
      </c>
      <c r="G155" s="333">
        <f>IF('Simulador - 1º Pilar'!$E$99="Sí",IF('Aportaciones Flex'!$B$13&lt;'Aportaciones Flex'!E155,0,F155*$B$8/12),F155*$B$8/12)</f>
      </c>
      <c r="H155" s="333">
        <f>IF(G155&gt;0,1,0)*$H$5*IF(AND($I$5="NO",YEAR(E155)=YEAR($B$6)+1),1,IF($I$5="SI",1,0))</f>
      </c>
      <c r="I155" s="217">
        <f>(1+$M$5)^(D155/12)*(H155*(12-IF(MONTH(E156)=12,0,MONTH(E156)))+IF(AND(F155=1,F156=0),$Q$4,0))*IF(AND(F155=1,F156=0),1,0)</f>
      </c>
      <c r="J155" s="333">
        <f>(1+$M$5)^(D155/12)*(H155+IF(AND(F155=1,F156=0),$Q$4,0))</f>
      </c>
      <c r="K155" s="351"/>
      <c r="L155" s="333">
        <f>K155+J155</f>
      </c>
      <c r="M155" s="724"/>
      <c r="N155" s="7"/>
      <c r="O155" s="1"/>
      <c r="P155" s="331">
        <f>D155</f>
      </c>
      <c r="Q155" s="169"/>
      <c r="R155" s="1"/>
      <c r="S155" s="217">
        <f>(1+$M$5)^(D155/12)*(IF(E155=$C$6,$Q$4+$H$5*12,0))</f>
      </c>
      <c r="T155" s="217">
        <f>(1+$M$5)^(D155/12)*(IF(YEAR(E155)&gt;YEAR($C$6),L155,0)+IF(E155=$C$6,$H$5*12+$Q$4,0))</f>
      </c>
    </row>
    <row x14ac:dyDescent="0.25" r="156" customHeight="1" ht="18.75">
      <c r="A156" s="1"/>
      <c r="B156" s="7"/>
      <c r="C156" s="170"/>
      <c r="D156" s="331">
        <v>149</v>
      </c>
      <c r="E156" s="544">
        <f>+DATE(YEAR(E155),MONTH(E155)-1,DAY(E155))</f>
        <v>25569.041666666668</v>
      </c>
      <c r="F156" s="333">
        <f>IF(DATE(YEAR($B$6),MONTH($B$6)+1,DAY(1))=E156,1,IF(MONTH(E156)=1,F157*(1+$F$5),F157))</f>
      </c>
      <c r="G156" s="333">
        <f>IF('Simulador - 1º Pilar'!$E$99="Sí",IF('Aportaciones Flex'!$B$13&lt;'Aportaciones Flex'!E156,0,F156*$B$8/12),F156*$B$8/12)</f>
      </c>
      <c r="H156" s="333">
        <f>IF(G156&gt;0,1,0)*$H$5*IF(AND($I$5="NO",YEAR(E156)=YEAR($B$6)+1),1,IF($I$5="SI",1,0))</f>
      </c>
      <c r="I156" s="217">
        <f>(1+$M$5)^(D156/12)*(H156*(12-IF(MONTH(E157)=12,0,MONTH(E157)))+IF(AND(F156=1,F157=0),$Q$4,0))*IF(AND(F156=1,F157=0),1,0)</f>
      </c>
      <c r="J156" s="333">
        <f>(1+$M$5)^(D156/12)*(H156+IF(AND(F156=1,F157=0),$Q$4,0))</f>
      </c>
      <c r="K156" s="351"/>
      <c r="L156" s="333">
        <f>K156+J156</f>
      </c>
      <c r="M156" s="724"/>
      <c r="N156" s="7"/>
      <c r="O156" s="1"/>
      <c r="P156" s="331">
        <f>D156</f>
      </c>
      <c r="Q156" s="169"/>
      <c r="R156" s="1"/>
      <c r="S156" s="217">
        <f>(1+$M$5)^(D156/12)*(IF(E156=$C$6,$Q$4+$H$5*12,0))</f>
      </c>
      <c r="T156" s="217">
        <f>(1+$M$5)^(D156/12)*(IF(YEAR(E156)&gt;YEAR($C$6),L156,0)+IF(E156=$C$6,$H$5*12+$Q$4,0))</f>
      </c>
    </row>
    <row x14ac:dyDescent="0.25" r="157" customHeight="1" ht="18.75">
      <c r="A157" s="1"/>
      <c r="B157" s="7"/>
      <c r="C157" s="170"/>
      <c r="D157" s="331">
        <v>150</v>
      </c>
      <c r="E157" s="544">
        <f>+DATE(YEAR(E156),MONTH(E156)-1,DAY(E156))</f>
        <v>25569.041666666668</v>
      </c>
      <c r="F157" s="333">
        <f>IF(DATE(YEAR($B$6),MONTH($B$6)+1,DAY(1))=E157,1,IF(MONTH(E157)=1,F158*(1+$F$5),F158))</f>
      </c>
      <c r="G157" s="333">
        <f>IF('Simulador - 1º Pilar'!$E$99="Sí",IF('Aportaciones Flex'!$B$13&lt;'Aportaciones Flex'!E157,0,F157*$B$8/12),F157*$B$8/12)</f>
      </c>
      <c r="H157" s="333">
        <f>IF(G157&gt;0,1,0)*$H$5*IF(AND($I$5="NO",YEAR(E157)=YEAR($B$6)+1),1,IF($I$5="SI",1,0))</f>
      </c>
      <c r="I157" s="217">
        <f>(1+$M$5)^(D157/12)*(H157*(12-IF(MONTH(E158)=12,0,MONTH(E158)))+IF(AND(F157=1,F158=0),$Q$4,0))*IF(AND(F157=1,F158=0),1,0)</f>
      </c>
      <c r="J157" s="333">
        <f>(1+$M$5)^(D157/12)*(H157+IF(AND(F157=1,F158=0),$Q$4,0))</f>
      </c>
      <c r="K157" s="351"/>
      <c r="L157" s="333">
        <f>K157+J157</f>
      </c>
      <c r="M157" s="724"/>
      <c r="N157" s="7"/>
      <c r="O157" s="1"/>
      <c r="P157" s="331">
        <f>D157</f>
      </c>
      <c r="Q157" s="169"/>
      <c r="R157" s="1"/>
      <c r="S157" s="217">
        <f>(1+$M$5)^(D157/12)*(IF(E157=$C$6,$Q$4+$H$5*12,0))</f>
      </c>
      <c r="T157" s="217">
        <f>(1+$M$5)^(D157/12)*(IF(YEAR(E157)&gt;YEAR($C$6),L157,0)+IF(E157=$C$6,$H$5*12+$Q$4,0))</f>
      </c>
    </row>
    <row x14ac:dyDescent="0.25" r="158" customHeight="1" ht="18.75">
      <c r="A158" s="1"/>
      <c r="B158" s="7"/>
      <c r="C158" s="170"/>
      <c r="D158" s="331">
        <v>151</v>
      </c>
      <c r="E158" s="544">
        <f>+DATE(YEAR(E157),MONTH(E157)-1,DAY(E157))</f>
        <v>25569.041666666668</v>
      </c>
      <c r="F158" s="333">
        <f>IF(DATE(YEAR($B$6),MONTH($B$6)+1,DAY(1))=E158,1,IF(MONTH(E158)=1,F159*(1+$F$5),F159))</f>
      </c>
      <c r="G158" s="333">
        <f>IF('Simulador - 1º Pilar'!$E$99="Sí",IF('Aportaciones Flex'!$B$13&lt;'Aportaciones Flex'!E158,0,F158*$B$8/12),F158*$B$8/12)</f>
      </c>
      <c r="H158" s="333">
        <f>IF(G158&gt;0,1,0)*$H$5*IF(AND($I$5="NO",YEAR(E158)=YEAR($B$6)+1),1,IF($I$5="SI",1,0))</f>
      </c>
      <c r="I158" s="217">
        <f>(1+$M$5)^(D158/12)*(H158*(12-IF(MONTH(E159)=12,0,MONTH(E159)))+IF(AND(F158=1,F159=0),$Q$4,0))*IF(AND(F158=1,F159=0),1,0)</f>
      </c>
      <c r="J158" s="333">
        <f>(1+$M$5)^(D158/12)*(H158+IF(AND(F158=1,F159=0),$Q$4,0))</f>
      </c>
      <c r="K158" s="351"/>
      <c r="L158" s="333">
        <f>K158+J158</f>
      </c>
      <c r="M158" s="724"/>
      <c r="N158" s="7"/>
      <c r="O158" s="1"/>
      <c r="P158" s="331">
        <f>D158</f>
      </c>
      <c r="Q158" s="169"/>
      <c r="R158" s="1"/>
      <c r="S158" s="217">
        <f>(1+$M$5)^(D158/12)*(IF(E158=$C$6,$Q$4+$H$5*12,0))</f>
      </c>
      <c r="T158" s="217">
        <f>(1+$M$5)^(D158/12)*(IF(YEAR(E158)&gt;YEAR($C$6),L158,0)+IF(E158=$C$6,$H$5*12+$Q$4,0))</f>
      </c>
    </row>
    <row x14ac:dyDescent="0.25" r="159" customHeight="1" ht="18.75">
      <c r="A159" s="1"/>
      <c r="B159" s="7"/>
      <c r="C159" s="170"/>
      <c r="D159" s="331">
        <v>152</v>
      </c>
      <c r="E159" s="544">
        <f>+DATE(YEAR(E158),MONTH(E158)-1,DAY(E158))</f>
        <v>25569.041666666668</v>
      </c>
      <c r="F159" s="333">
        <f>IF(DATE(YEAR($B$6),MONTH($B$6)+1,DAY(1))=E159,1,IF(MONTH(E159)=1,F160*(1+$F$5),F160))</f>
      </c>
      <c r="G159" s="333">
        <f>IF('Simulador - 1º Pilar'!$E$99="Sí",IF('Aportaciones Flex'!$B$13&lt;'Aportaciones Flex'!E159,0,F159*$B$8/12),F159*$B$8/12)</f>
      </c>
      <c r="H159" s="333">
        <f>IF(G159&gt;0,1,0)*$H$5*IF(AND($I$5="NO",YEAR(E159)=YEAR($B$6)+1),1,IF($I$5="SI",1,0))</f>
      </c>
      <c r="I159" s="217">
        <f>(1+$M$5)^(D159/12)*(H159*(12-IF(MONTH(E160)=12,0,MONTH(E160)))+IF(AND(F159=1,F160=0),$Q$4,0))*IF(AND(F159=1,F160=0),1,0)</f>
      </c>
      <c r="J159" s="333">
        <f>(1+$M$5)^(D159/12)*(H159+IF(AND(F159=1,F160=0),$Q$4,0))</f>
      </c>
      <c r="K159" s="351"/>
      <c r="L159" s="333">
        <f>K159+J159</f>
      </c>
      <c r="M159" s="724"/>
      <c r="N159" s="7"/>
      <c r="O159" s="1"/>
      <c r="P159" s="331">
        <f>D159</f>
      </c>
      <c r="Q159" s="169"/>
      <c r="R159" s="1"/>
      <c r="S159" s="217">
        <f>(1+$M$5)^(D159/12)*(IF(E159=$C$6,$Q$4+$H$5*12,0))</f>
      </c>
      <c r="T159" s="217">
        <f>(1+$M$5)^(D159/12)*(IF(YEAR(E159)&gt;YEAR($C$6),L159,0)+IF(E159=$C$6,$H$5*12+$Q$4,0))</f>
      </c>
    </row>
    <row x14ac:dyDescent="0.25" r="160" customHeight="1" ht="18.75">
      <c r="A160" s="1"/>
      <c r="B160" s="7"/>
      <c r="C160" s="170"/>
      <c r="D160" s="331">
        <v>153</v>
      </c>
      <c r="E160" s="544">
        <f>+DATE(YEAR(E159),MONTH(E159)-1,DAY(E159))</f>
        <v>25569.041666666668</v>
      </c>
      <c r="F160" s="333">
        <f>IF(DATE(YEAR($B$6),MONTH($B$6)+1,DAY(1))=E160,1,IF(MONTH(E160)=1,F161*(1+$F$5),F161))</f>
      </c>
      <c r="G160" s="333">
        <f>IF('Simulador - 1º Pilar'!$E$99="Sí",IF('Aportaciones Flex'!$B$13&lt;'Aportaciones Flex'!E160,0,F160*$B$8/12),F160*$B$8/12)</f>
      </c>
      <c r="H160" s="333">
        <f>IF(G160&gt;0,1,0)*$H$5*IF(AND($I$5="NO",YEAR(E160)=YEAR($B$6)+1),1,IF($I$5="SI",1,0))</f>
      </c>
      <c r="I160" s="217">
        <f>(1+$M$5)^(D160/12)*(H160*(12-IF(MONTH(E161)=12,0,MONTH(E161)))+IF(AND(F160=1,F161=0),$Q$4,0))*IF(AND(F160=1,F161=0),1,0)</f>
      </c>
      <c r="J160" s="333">
        <f>(1+$M$5)^(D160/12)*(H160+IF(AND(F160=1,F161=0),$Q$4,0))</f>
      </c>
      <c r="K160" s="351"/>
      <c r="L160" s="333">
        <f>K160+J160</f>
      </c>
      <c r="M160" s="724"/>
      <c r="N160" s="7"/>
      <c r="O160" s="1"/>
      <c r="P160" s="331">
        <f>D160</f>
      </c>
      <c r="Q160" s="169"/>
      <c r="R160" s="1"/>
      <c r="S160" s="217">
        <f>(1+$M$5)^(D160/12)*(IF(E160=$C$6,$Q$4+$H$5*12,0))</f>
      </c>
      <c r="T160" s="217">
        <f>(1+$M$5)^(D160/12)*(IF(YEAR(E160)&gt;YEAR($C$6),L160,0)+IF(E160=$C$6,$H$5*12+$Q$4,0))</f>
      </c>
    </row>
    <row x14ac:dyDescent="0.25" r="161" customHeight="1" ht="18.75">
      <c r="A161" s="1"/>
      <c r="B161" s="7"/>
      <c r="C161" s="170"/>
      <c r="D161" s="331">
        <v>154</v>
      </c>
      <c r="E161" s="544">
        <f>+DATE(YEAR(E160),MONTH(E160)-1,DAY(E160))</f>
        <v>25569.041666666668</v>
      </c>
      <c r="F161" s="333">
        <f>IF(DATE(YEAR($B$6),MONTH($B$6)+1,DAY(1))=E161,1,IF(MONTH(E161)=1,F162*(1+$F$5),F162))</f>
      </c>
      <c r="G161" s="333">
        <f>IF('Simulador - 1º Pilar'!$E$99="Sí",IF('Aportaciones Flex'!$B$13&lt;'Aportaciones Flex'!E161,0,F161*$B$8/12),F161*$B$8/12)</f>
      </c>
      <c r="H161" s="333">
        <f>IF(G161&gt;0,1,0)*$H$5*IF(AND($I$5="NO",YEAR(E161)=YEAR($B$6)+1),1,IF($I$5="SI",1,0))</f>
      </c>
      <c r="I161" s="217">
        <f>(1+$M$5)^(D161/12)*(H161*(12-IF(MONTH(E162)=12,0,MONTH(E162)))+IF(AND(F161=1,F162=0),$Q$4,0))*IF(AND(F161=1,F162=0),1,0)</f>
      </c>
      <c r="J161" s="333">
        <f>(1+$M$5)^(D161/12)*(H161+IF(AND(F161=1,F162=0),$Q$4,0))</f>
      </c>
      <c r="K161" s="351"/>
      <c r="L161" s="333">
        <f>K161+J161</f>
      </c>
      <c r="M161" s="724"/>
      <c r="N161" s="7"/>
      <c r="O161" s="1"/>
      <c r="P161" s="331">
        <f>D161</f>
      </c>
      <c r="Q161" s="169"/>
      <c r="R161" s="1"/>
      <c r="S161" s="217">
        <f>(1+$M$5)^(D161/12)*(IF(E161=$C$6,$Q$4+$H$5*12,0))</f>
      </c>
      <c r="T161" s="217">
        <f>(1+$M$5)^(D161/12)*(IF(YEAR(E161)&gt;YEAR($C$6),L161,0)+IF(E161=$C$6,$H$5*12+$Q$4,0))</f>
      </c>
    </row>
    <row x14ac:dyDescent="0.25" r="162" customHeight="1" ht="18.75">
      <c r="A162" s="1"/>
      <c r="B162" s="7"/>
      <c r="C162" s="170"/>
      <c r="D162" s="331">
        <v>155</v>
      </c>
      <c r="E162" s="544">
        <f>+DATE(YEAR(E161),MONTH(E161)-1,DAY(E161))</f>
        <v>25569.041666666668</v>
      </c>
      <c r="F162" s="333">
        <f>IF(DATE(YEAR($B$6),MONTH($B$6)+1,DAY(1))=E162,1,IF(MONTH(E162)=1,F163*(1+$F$5),F163))</f>
      </c>
      <c r="G162" s="333">
        <f>IF('Simulador - 1º Pilar'!$E$99="Sí",IF('Aportaciones Flex'!$B$13&lt;'Aportaciones Flex'!E162,0,F162*$B$8/12),F162*$B$8/12)</f>
      </c>
      <c r="H162" s="333">
        <f>IF(G162&gt;0,1,0)*$H$5*IF(AND($I$5="NO",YEAR(E162)=YEAR($B$6)+1),1,IF($I$5="SI",1,0))</f>
      </c>
      <c r="I162" s="217">
        <f>(1+$M$5)^(D162/12)*(H162*(12-IF(MONTH(E163)=12,0,MONTH(E163)))+IF(AND(F162=1,F163=0),$Q$4,0))*IF(AND(F162=1,F163=0),1,0)</f>
      </c>
      <c r="J162" s="333">
        <f>(1+$M$5)^(D162/12)*(H162+IF(AND(F162=1,F163=0),$Q$4,0))</f>
      </c>
      <c r="K162" s="351"/>
      <c r="L162" s="333">
        <f>K162+J162</f>
      </c>
      <c r="M162" s="724"/>
      <c r="N162" s="7"/>
      <c r="O162" s="1"/>
      <c r="P162" s="331">
        <f>D162</f>
      </c>
      <c r="Q162" s="169"/>
      <c r="R162" s="1"/>
      <c r="S162" s="217">
        <f>(1+$M$5)^(D162/12)*(IF(E162=$C$6,$Q$4+$H$5*12,0))</f>
      </c>
      <c r="T162" s="217">
        <f>(1+$M$5)^(D162/12)*(IF(YEAR(E162)&gt;YEAR($C$6),L162,0)+IF(E162=$C$6,$H$5*12+$Q$4,0))</f>
      </c>
    </row>
    <row x14ac:dyDescent="0.25" r="163" customHeight="1" ht="18.75">
      <c r="A163" s="1"/>
      <c r="B163" s="7"/>
      <c r="C163" s="170"/>
      <c r="D163" s="331">
        <v>156</v>
      </c>
      <c r="E163" s="544">
        <f>+DATE(YEAR(E162),MONTH(E162)-1,DAY(E162))</f>
        <v>25569.041666666668</v>
      </c>
      <c r="F163" s="333">
        <f>IF(DATE(YEAR($B$6),MONTH($B$6)+1,DAY(1))=E163,1,IF(MONTH(E163)=1,F164*(1+$F$5),F164))</f>
      </c>
      <c r="G163" s="333">
        <f>IF('Simulador - 1º Pilar'!$E$99="Sí",IF('Aportaciones Flex'!$B$13&lt;'Aportaciones Flex'!E163,0,F163*$B$8/12),F163*$B$8/12)</f>
      </c>
      <c r="H163" s="333">
        <f>IF(G163&gt;0,1,0)*$H$5*IF(AND($I$5="NO",YEAR(E163)=YEAR($B$6)+1),1,IF($I$5="SI",1,0))</f>
      </c>
      <c r="I163" s="217">
        <f>(1+$M$5)^(D163/12)*(H163*(12-IF(MONTH(E164)=12,0,MONTH(E164)))+IF(AND(F163=1,F164=0),$Q$4,0))*IF(AND(F163=1,F164=0),1,0)</f>
      </c>
      <c r="J163" s="333">
        <f>(1+$M$5)^(D163/12)*(H163+IF(AND(F163=1,F164=0),$Q$4,0))</f>
      </c>
      <c r="K163" s="351"/>
      <c r="L163" s="333">
        <f>K163+J163</f>
      </c>
      <c r="M163" s="724"/>
      <c r="N163" s="7"/>
      <c r="O163" s="1"/>
      <c r="P163" s="331">
        <f>D163</f>
      </c>
      <c r="Q163" s="169"/>
      <c r="R163" s="1"/>
      <c r="S163" s="217">
        <f>(1+$M$5)^(D163/12)*(IF(E163=$C$6,$Q$4+$H$5*12,0))</f>
      </c>
      <c r="T163" s="217">
        <f>(1+$M$5)^(D163/12)*(IF(YEAR(E163)&gt;YEAR($C$6),L163,0)+IF(E163=$C$6,$H$5*12+$Q$4,0))</f>
      </c>
    </row>
    <row x14ac:dyDescent="0.25" r="164" customHeight="1" ht="18.75">
      <c r="A164" s="1"/>
      <c r="B164" s="7"/>
      <c r="C164" s="170"/>
      <c r="D164" s="331">
        <v>157</v>
      </c>
      <c r="E164" s="544">
        <f>+DATE(YEAR(E163),MONTH(E163)-1,DAY(E163))</f>
        <v>25569.041666666668</v>
      </c>
      <c r="F164" s="333">
        <f>IF(DATE(YEAR($B$6),MONTH($B$6)+1,DAY(1))=E164,1,IF(MONTH(E164)=1,F165*(1+$F$5),F165))</f>
      </c>
      <c r="G164" s="333">
        <f>IF('Simulador - 1º Pilar'!$E$99="Sí",IF('Aportaciones Flex'!$B$13&lt;'Aportaciones Flex'!E164,0,F164*$B$8/12),F164*$B$8/12)</f>
      </c>
      <c r="H164" s="333">
        <f>IF(G164&gt;0,1,0)*$H$5*IF(AND($I$5="NO",YEAR(E164)=YEAR($B$6)+1),1,IF($I$5="SI",1,0))</f>
      </c>
      <c r="I164" s="217">
        <f>(1+$M$5)^(D164/12)*(H164*(12-IF(MONTH(E165)=12,0,MONTH(E165)))+IF(AND(F164=1,F165=0),$Q$4,0))*IF(AND(F164=1,F165=0),1,0)</f>
      </c>
      <c r="J164" s="333">
        <f>(1+$M$5)^(D164/12)*(H164+IF(AND(F164=1,F165=0),$Q$4,0))</f>
      </c>
      <c r="K164" s="351"/>
      <c r="L164" s="333">
        <f>K164+J164</f>
      </c>
      <c r="M164" s="724"/>
      <c r="N164" s="7"/>
      <c r="O164" s="1"/>
      <c r="P164" s="331">
        <f>D164</f>
      </c>
      <c r="Q164" s="169"/>
      <c r="R164" s="1"/>
      <c r="S164" s="217">
        <f>(1+$M$5)^(D164/12)*(IF(E164=$C$6,$Q$4+$H$5*12,0))</f>
      </c>
      <c r="T164" s="217">
        <f>(1+$M$5)^(D164/12)*(IF(YEAR(E164)&gt;YEAR($C$6),L164,0)+IF(E164=$C$6,$H$5*12+$Q$4,0))</f>
      </c>
    </row>
    <row x14ac:dyDescent="0.25" r="165" customHeight="1" ht="18.75">
      <c r="A165" s="1"/>
      <c r="B165" s="7"/>
      <c r="C165" s="170"/>
      <c r="D165" s="331">
        <v>158</v>
      </c>
      <c r="E165" s="544">
        <f>+DATE(YEAR(E164),MONTH(E164)-1,DAY(E164))</f>
        <v>25569.041666666668</v>
      </c>
      <c r="F165" s="333">
        <f>IF(DATE(YEAR($B$6),MONTH($B$6)+1,DAY(1))=E165,1,IF(MONTH(E165)=1,F166*(1+$F$5),F166))</f>
      </c>
      <c r="G165" s="333">
        <f>IF('Simulador - 1º Pilar'!$E$99="Sí",IF('Aportaciones Flex'!$B$13&lt;'Aportaciones Flex'!E165,0,F165*$B$8/12),F165*$B$8/12)</f>
      </c>
      <c r="H165" s="333">
        <f>IF(G165&gt;0,1,0)*$H$5*IF(AND($I$5="NO",YEAR(E165)=YEAR($B$6)+1),1,IF($I$5="SI",1,0))</f>
      </c>
      <c r="I165" s="217">
        <f>(1+$M$5)^(D165/12)*(H165*(12-IF(MONTH(E166)=12,0,MONTH(E166)))+IF(AND(F165=1,F166=0),$Q$4,0))*IF(AND(F165=1,F166=0),1,0)</f>
      </c>
      <c r="J165" s="333">
        <f>(1+$M$5)^(D165/12)*(H165+IF(AND(F165=1,F166=0),$Q$4,0))</f>
      </c>
      <c r="K165" s="351"/>
      <c r="L165" s="333">
        <f>K165+J165</f>
      </c>
      <c r="M165" s="724"/>
      <c r="N165" s="7"/>
      <c r="O165" s="1"/>
      <c r="P165" s="331">
        <f>D165</f>
      </c>
      <c r="Q165" s="169"/>
      <c r="R165" s="1"/>
      <c r="S165" s="217">
        <f>(1+$M$5)^(D165/12)*(IF(E165=$C$6,$Q$4+$H$5*12,0))</f>
      </c>
      <c r="T165" s="217">
        <f>(1+$M$5)^(D165/12)*(IF(YEAR(E165)&gt;YEAR($C$6),L165,0)+IF(E165=$C$6,$H$5*12+$Q$4,0))</f>
      </c>
    </row>
    <row x14ac:dyDescent="0.25" r="166" customHeight="1" ht="18.75">
      <c r="A166" s="1"/>
      <c r="B166" s="7"/>
      <c r="C166" s="170"/>
      <c r="D166" s="331">
        <v>159</v>
      </c>
      <c r="E166" s="544">
        <f>+DATE(YEAR(E165),MONTH(E165)-1,DAY(E165))</f>
        <v>25569.041666666668</v>
      </c>
      <c r="F166" s="333">
        <f>IF(DATE(YEAR($B$6),MONTH($B$6)+1,DAY(1))=E166,1,IF(MONTH(E166)=1,F167*(1+$F$5),F167))</f>
      </c>
      <c r="G166" s="333">
        <f>IF('Simulador - 1º Pilar'!$E$99="Sí",IF('Aportaciones Flex'!$B$13&lt;'Aportaciones Flex'!E166,0,F166*$B$8/12),F166*$B$8/12)</f>
      </c>
      <c r="H166" s="333">
        <f>IF(G166&gt;0,1,0)*$H$5*IF(AND($I$5="NO",YEAR(E166)=YEAR($B$6)+1),1,IF($I$5="SI",1,0))</f>
      </c>
      <c r="I166" s="217">
        <f>(1+$M$5)^(D166/12)*(H166*(12-IF(MONTH(E167)=12,0,MONTH(E167)))+IF(AND(F166=1,F167=0),$Q$4,0))*IF(AND(F166=1,F167=0),1,0)</f>
      </c>
      <c r="J166" s="333">
        <f>(1+$M$5)^(D166/12)*(H166+IF(AND(F166=1,F167=0),$Q$4,0))</f>
      </c>
      <c r="K166" s="351"/>
      <c r="L166" s="333">
        <f>K166+J166</f>
      </c>
      <c r="M166" s="724"/>
      <c r="N166" s="7"/>
      <c r="O166" s="1"/>
      <c r="P166" s="331">
        <f>D166</f>
      </c>
      <c r="Q166" s="169"/>
      <c r="R166" s="1"/>
      <c r="S166" s="217">
        <f>(1+$M$5)^(D166/12)*(IF(E166=$C$6,$Q$4+$H$5*12,0))</f>
      </c>
      <c r="T166" s="217">
        <f>(1+$M$5)^(D166/12)*(IF(YEAR(E166)&gt;YEAR($C$6),L166,0)+IF(E166=$C$6,$H$5*12+$Q$4,0))</f>
      </c>
    </row>
    <row x14ac:dyDescent="0.25" r="167" customHeight="1" ht="18.75">
      <c r="A167" s="1"/>
      <c r="B167" s="7"/>
      <c r="C167" s="170"/>
      <c r="D167" s="331">
        <v>160</v>
      </c>
      <c r="E167" s="544">
        <f>+DATE(YEAR(E166),MONTH(E166)-1,DAY(E166))</f>
        <v>25569.041666666668</v>
      </c>
      <c r="F167" s="333">
        <f>IF(DATE(YEAR($B$6),MONTH($B$6)+1,DAY(1))=E167,1,IF(MONTH(E167)=1,F168*(1+$F$5),F168))</f>
      </c>
      <c r="G167" s="333">
        <f>IF('Simulador - 1º Pilar'!$E$99="Sí",IF('Aportaciones Flex'!$B$13&lt;'Aportaciones Flex'!E167,0,F167*$B$8/12),F167*$B$8/12)</f>
      </c>
      <c r="H167" s="333">
        <f>IF(G167&gt;0,1,0)*$H$5*IF(AND($I$5="NO",YEAR(E167)=YEAR($B$6)+1),1,IF($I$5="SI",1,0))</f>
      </c>
      <c r="I167" s="217">
        <f>(1+$M$5)^(D167/12)*(H167*(12-IF(MONTH(E168)=12,0,MONTH(E168)))+IF(AND(F167=1,F168=0),$Q$4,0))*IF(AND(F167=1,F168=0),1,0)</f>
      </c>
      <c r="J167" s="333">
        <f>(1+$M$5)^(D167/12)*(H167+IF(AND(F167=1,F168=0),$Q$4,0))</f>
      </c>
      <c r="K167" s="351"/>
      <c r="L167" s="333">
        <f>K167+J167</f>
      </c>
      <c r="M167" s="724"/>
      <c r="N167" s="7"/>
      <c r="O167" s="1"/>
      <c r="P167" s="331">
        <f>D167</f>
      </c>
      <c r="Q167" s="169"/>
      <c r="R167" s="1"/>
      <c r="S167" s="217">
        <f>(1+$M$5)^(D167/12)*(IF(E167=$C$6,$Q$4+$H$5*12,0))</f>
      </c>
      <c r="T167" s="217">
        <f>(1+$M$5)^(D167/12)*(IF(YEAR(E167)&gt;YEAR($C$6),L167,0)+IF(E167=$C$6,$H$5*12+$Q$4,0))</f>
      </c>
    </row>
    <row x14ac:dyDescent="0.25" r="168" customHeight="1" ht="18.75">
      <c r="A168" s="1"/>
      <c r="B168" s="7"/>
      <c r="C168" s="170"/>
      <c r="D168" s="331">
        <v>161</v>
      </c>
      <c r="E168" s="544">
        <f>+DATE(YEAR(E167),MONTH(E167)-1,DAY(E167))</f>
        <v>25569.041666666668</v>
      </c>
      <c r="F168" s="333">
        <f>IF(DATE(YEAR($B$6),MONTH($B$6)+1,DAY(1))=E168,1,IF(MONTH(E168)=1,F169*(1+$F$5),F169))</f>
      </c>
      <c r="G168" s="333">
        <f>IF('Simulador - 1º Pilar'!$E$99="Sí",IF('Aportaciones Flex'!$B$13&lt;'Aportaciones Flex'!E168,0,F168*$B$8/12),F168*$B$8/12)</f>
      </c>
      <c r="H168" s="333">
        <f>IF(G168&gt;0,1,0)*$H$5*IF(AND($I$5="NO",YEAR(E168)=YEAR($B$6)+1),1,IF($I$5="SI",1,0))</f>
      </c>
      <c r="I168" s="217">
        <f>(1+$M$5)^(D168/12)*(H168*(12-IF(MONTH(E169)=12,0,MONTH(E169)))+IF(AND(F168=1,F169=0),$Q$4,0))*IF(AND(F168=1,F169=0),1,0)</f>
      </c>
      <c r="J168" s="333">
        <f>(1+$M$5)^(D168/12)*(H168+IF(AND(F168=1,F169=0),$Q$4,0))</f>
      </c>
      <c r="K168" s="351"/>
      <c r="L168" s="333">
        <f>K168+J168</f>
      </c>
      <c r="M168" s="724"/>
      <c r="N168" s="7"/>
      <c r="O168" s="1"/>
      <c r="P168" s="331">
        <f>D168</f>
      </c>
      <c r="Q168" s="169"/>
      <c r="R168" s="1"/>
      <c r="S168" s="217">
        <f>(1+$M$5)^(D168/12)*(IF(E168=$C$6,$Q$4+$H$5*12,0))</f>
      </c>
      <c r="T168" s="217">
        <f>(1+$M$5)^(D168/12)*(IF(YEAR(E168)&gt;YEAR($C$6),L168,0)+IF(E168=$C$6,$H$5*12+$Q$4,0))</f>
      </c>
    </row>
    <row x14ac:dyDescent="0.25" r="169" customHeight="1" ht="18.75">
      <c r="A169" s="1"/>
      <c r="B169" s="7"/>
      <c r="C169" s="170"/>
      <c r="D169" s="331">
        <v>162</v>
      </c>
      <c r="E169" s="544">
        <f>+DATE(YEAR(E168),MONTH(E168)-1,DAY(E168))</f>
        <v>25569.041666666668</v>
      </c>
      <c r="F169" s="333">
        <f>IF(DATE(YEAR($B$6),MONTH($B$6)+1,DAY(1))=E169,1,IF(MONTH(E169)=1,F170*(1+$F$5),F170))</f>
      </c>
      <c r="G169" s="333">
        <f>IF('Simulador - 1º Pilar'!$E$99="Sí",IF('Aportaciones Flex'!$B$13&lt;'Aportaciones Flex'!E169,0,F169*$B$8/12),F169*$B$8/12)</f>
      </c>
      <c r="H169" s="333">
        <f>IF(G169&gt;0,1,0)*$H$5*IF(AND($I$5="NO",YEAR(E169)=YEAR($B$6)+1),1,IF($I$5="SI",1,0))</f>
      </c>
      <c r="I169" s="217">
        <f>(1+$M$5)^(D169/12)*(H169*(12-IF(MONTH(E170)=12,0,MONTH(E170)))+IF(AND(F169=1,F170=0),$Q$4,0))*IF(AND(F169=1,F170=0),1,0)</f>
      </c>
      <c r="J169" s="333">
        <f>(1+$M$5)^(D169/12)*(H169+IF(AND(F169=1,F170=0),$Q$4,0))</f>
      </c>
      <c r="K169" s="351"/>
      <c r="L169" s="333">
        <f>K169+J169</f>
      </c>
      <c r="M169" s="724"/>
      <c r="N169" s="7"/>
      <c r="O169" s="1"/>
      <c r="P169" s="331">
        <f>D169</f>
      </c>
      <c r="Q169" s="169"/>
      <c r="R169" s="1"/>
      <c r="S169" s="217">
        <f>(1+$M$5)^(D169/12)*(IF(E169=$C$6,$Q$4+$H$5*12,0))</f>
      </c>
      <c r="T169" s="217">
        <f>(1+$M$5)^(D169/12)*(IF(YEAR(E169)&gt;YEAR($C$6),L169,0)+IF(E169=$C$6,$H$5*12+$Q$4,0))</f>
      </c>
    </row>
    <row x14ac:dyDescent="0.25" r="170" customHeight="1" ht="18.75">
      <c r="A170" s="1"/>
      <c r="B170" s="7"/>
      <c r="C170" s="170"/>
      <c r="D170" s="331">
        <v>163</v>
      </c>
      <c r="E170" s="544">
        <f>+DATE(YEAR(E169),MONTH(E169)-1,DAY(E169))</f>
        <v>25569.041666666668</v>
      </c>
      <c r="F170" s="333">
        <f>IF(DATE(YEAR($B$6),MONTH($B$6)+1,DAY(1))=E170,1,IF(MONTH(E170)=1,F171*(1+$F$5),F171))</f>
      </c>
      <c r="G170" s="333">
        <f>IF('Simulador - 1º Pilar'!$E$99="Sí",IF('Aportaciones Flex'!$B$13&lt;'Aportaciones Flex'!E170,0,F170*$B$8/12),F170*$B$8/12)</f>
      </c>
      <c r="H170" s="333">
        <f>IF(G170&gt;0,1,0)*$H$5*IF(AND($I$5="NO",YEAR(E170)=YEAR($B$6)+1),1,IF($I$5="SI",1,0))</f>
      </c>
      <c r="I170" s="217">
        <f>(1+$M$5)^(D170/12)*(H170*(12-IF(MONTH(E171)=12,0,MONTH(E171)))+IF(AND(F170=1,F171=0),$Q$4,0))*IF(AND(F170=1,F171=0),1,0)</f>
      </c>
      <c r="J170" s="333">
        <f>(1+$M$5)^(D170/12)*(H170+IF(AND(F170=1,F171=0),$Q$4,0))</f>
      </c>
      <c r="K170" s="351"/>
      <c r="L170" s="333">
        <f>K170+J170</f>
      </c>
      <c r="M170" s="724"/>
      <c r="N170" s="7"/>
      <c r="O170" s="1"/>
      <c r="P170" s="331">
        <f>D170</f>
      </c>
      <c r="Q170" s="169"/>
      <c r="R170" s="1"/>
      <c r="S170" s="217">
        <f>(1+$M$5)^(D170/12)*(IF(E170=$C$6,$Q$4+$H$5*12,0))</f>
      </c>
      <c r="T170" s="217">
        <f>(1+$M$5)^(D170/12)*(IF(YEAR(E170)&gt;YEAR($C$6),L170,0)+IF(E170=$C$6,$H$5*12+$Q$4,0))</f>
      </c>
    </row>
    <row x14ac:dyDescent="0.25" r="171" customHeight="1" ht="18.75">
      <c r="A171" s="1"/>
      <c r="B171" s="7"/>
      <c r="C171" s="170"/>
      <c r="D171" s="331">
        <v>164</v>
      </c>
      <c r="E171" s="544">
        <f>+DATE(YEAR(E170),MONTH(E170)-1,DAY(E170))</f>
        <v>25569.041666666668</v>
      </c>
      <c r="F171" s="333">
        <f>IF(DATE(YEAR($B$6),MONTH($B$6)+1,DAY(1))=E171,1,IF(MONTH(E171)=1,F172*(1+$F$5),F172))</f>
      </c>
      <c r="G171" s="333">
        <f>IF('Simulador - 1º Pilar'!$E$99="Sí",IF('Aportaciones Flex'!$B$13&lt;'Aportaciones Flex'!E171,0,F171*$B$8/12),F171*$B$8/12)</f>
      </c>
      <c r="H171" s="333">
        <f>IF(G171&gt;0,1,0)*$H$5*IF(AND($I$5="NO",YEAR(E171)=YEAR($B$6)+1),1,IF($I$5="SI",1,0))</f>
      </c>
      <c r="I171" s="217">
        <f>(1+$M$5)^(D171/12)*(H171*(12-IF(MONTH(E172)=12,0,MONTH(E172)))+IF(AND(F171=1,F172=0),$Q$4,0))*IF(AND(F171=1,F172=0),1,0)</f>
      </c>
      <c r="J171" s="333">
        <f>(1+$M$5)^(D171/12)*(H171+IF(AND(F171=1,F172=0),$Q$4,0))</f>
      </c>
      <c r="K171" s="351"/>
      <c r="L171" s="333">
        <f>K171+J171</f>
      </c>
      <c r="M171" s="724"/>
      <c r="N171" s="7"/>
      <c r="O171" s="1"/>
      <c r="P171" s="331">
        <f>D171</f>
      </c>
      <c r="Q171" s="169"/>
      <c r="R171" s="1"/>
      <c r="S171" s="217">
        <f>(1+$M$5)^(D171/12)*(IF(E171=$C$6,$Q$4+$H$5*12,0))</f>
      </c>
      <c r="T171" s="217">
        <f>(1+$M$5)^(D171/12)*(IF(YEAR(E171)&gt;YEAR($C$6),L171,0)+IF(E171=$C$6,$H$5*12+$Q$4,0))</f>
      </c>
    </row>
    <row x14ac:dyDescent="0.25" r="172" customHeight="1" ht="18.75">
      <c r="A172" s="1"/>
      <c r="B172" s="7"/>
      <c r="C172" s="170"/>
      <c r="D172" s="331">
        <v>165</v>
      </c>
      <c r="E172" s="544">
        <f>+DATE(YEAR(E171),MONTH(E171)-1,DAY(E171))</f>
        <v>25569.041666666668</v>
      </c>
      <c r="F172" s="333">
        <f>IF(DATE(YEAR($B$6),MONTH($B$6)+1,DAY(1))=E172,1,IF(MONTH(E172)=1,F173*(1+$F$5),F173))</f>
      </c>
      <c r="G172" s="333">
        <f>IF('Simulador - 1º Pilar'!$E$99="Sí",IF('Aportaciones Flex'!$B$13&lt;'Aportaciones Flex'!E172,0,F172*$B$8/12),F172*$B$8/12)</f>
      </c>
      <c r="H172" s="333">
        <f>IF(G172&gt;0,1,0)*$H$5*IF(AND($I$5="NO",YEAR(E172)=YEAR($B$6)+1),1,IF($I$5="SI",1,0))</f>
      </c>
      <c r="I172" s="217">
        <f>(1+$M$5)^(D172/12)*(H172*(12-IF(MONTH(E173)=12,0,MONTH(E173)))+IF(AND(F172=1,F173=0),$Q$4,0))*IF(AND(F172=1,F173=0),1,0)</f>
      </c>
      <c r="J172" s="333">
        <f>(1+$M$5)^(D172/12)*(H172+IF(AND(F172=1,F173=0),$Q$4,0))</f>
      </c>
      <c r="K172" s="351"/>
      <c r="L172" s="333">
        <f>K172+J172</f>
      </c>
      <c r="M172" s="724"/>
      <c r="N172" s="7"/>
      <c r="O172" s="1"/>
      <c r="P172" s="331">
        <f>D172</f>
      </c>
      <c r="Q172" s="169"/>
      <c r="R172" s="1"/>
      <c r="S172" s="217">
        <f>(1+$M$5)^(D172/12)*(IF(E172=$C$6,$Q$4+$H$5*12,0))</f>
      </c>
      <c r="T172" s="217">
        <f>(1+$M$5)^(D172/12)*(IF(YEAR(E172)&gt;YEAR($C$6),L172,0)+IF(E172=$C$6,$H$5*12+$Q$4,0))</f>
      </c>
    </row>
    <row x14ac:dyDescent="0.25" r="173" customHeight="1" ht="18.75">
      <c r="A173" s="1"/>
      <c r="B173" s="7"/>
      <c r="C173" s="170"/>
      <c r="D173" s="331">
        <v>166</v>
      </c>
      <c r="E173" s="544">
        <f>+DATE(YEAR(E172),MONTH(E172)-1,DAY(E172))</f>
        <v>25569.041666666668</v>
      </c>
      <c r="F173" s="333">
        <f>IF(DATE(YEAR($B$6),MONTH($B$6)+1,DAY(1))=E173,1,IF(MONTH(E173)=1,F174*(1+$F$5),F174))</f>
      </c>
      <c r="G173" s="333">
        <f>IF('Simulador - 1º Pilar'!$E$99="Sí",IF('Aportaciones Flex'!$B$13&lt;'Aportaciones Flex'!E173,0,F173*$B$8/12),F173*$B$8/12)</f>
      </c>
      <c r="H173" s="333">
        <f>IF(G173&gt;0,1,0)*$H$5*IF(AND($I$5="NO",YEAR(E173)=YEAR($B$6)+1),1,IF($I$5="SI",1,0))</f>
      </c>
      <c r="I173" s="217">
        <f>(1+$M$5)^(D173/12)*(H173*(12-IF(MONTH(E174)=12,0,MONTH(E174)))+IF(AND(F173=1,F174=0),$Q$4,0))*IF(AND(F173=1,F174=0),1,0)</f>
      </c>
      <c r="J173" s="333">
        <f>(1+$M$5)^(D173/12)*(H173+IF(AND(F173=1,F174=0),$Q$4,0))</f>
      </c>
      <c r="K173" s="351"/>
      <c r="L173" s="333">
        <f>K173+J173</f>
      </c>
      <c r="M173" s="724"/>
      <c r="N173" s="7"/>
      <c r="O173" s="1"/>
      <c r="P173" s="331">
        <f>D173</f>
      </c>
      <c r="Q173" s="169"/>
      <c r="R173" s="1"/>
      <c r="S173" s="217">
        <f>(1+$M$5)^(D173/12)*(IF(E173=$C$6,$Q$4+$H$5*12,0))</f>
      </c>
      <c r="T173" s="217">
        <f>(1+$M$5)^(D173/12)*(IF(YEAR(E173)&gt;YEAR($C$6),L173,0)+IF(E173=$C$6,$H$5*12+$Q$4,0))</f>
      </c>
    </row>
    <row x14ac:dyDescent="0.25" r="174" customHeight="1" ht="18.75">
      <c r="A174" s="1"/>
      <c r="B174" s="7"/>
      <c r="C174" s="170"/>
      <c r="D174" s="331">
        <v>167</v>
      </c>
      <c r="E174" s="544">
        <f>+DATE(YEAR(E173),MONTH(E173)-1,DAY(E173))</f>
        <v>25569.041666666668</v>
      </c>
      <c r="F174" s="333">
        <f>IF(DATE(YEAR($B$6),MONTH($B$6)+1,DAY(1))=E174,1,IF(MONTH(E174)=1,F175*(1+$F$5),F175))</f>
      </c>
      <c r="G174" s="333">
        <f>IF('Simulador - 1º Pilar'!$E$99="Sí",IF('Aportaciones Flex'!$B$13&lt;'Aportaciones Flex'!E174,0,F174*$B$8/12),F174*$B$8/12)</f>
      </c>
      <c r="H174" s="333">
        <f>IF(G174&gt;0,1,0)*$H$5*IF(AND($I$5="NO",YEAR(E174)=YEAR($B$6)+1),1,IF($I$5="SI",1,0))</f>
      </c>
      <c r="I174" s="217">
        <f>(1+$M$5)^(D174/12)*(H174*(12-IF(MONTH(E175)=12,0,MONTH(E175)))+IF(AND(F174=1,F175=0),$Q$4,0))*IF(AND(F174=1,F175=0),1,0)</f>
      </c>
      <c r="J174" s="333">
        <f>(1+$M$5)^(D174/12)*(H174+IF(AND(F174=1,F175=0),$Q$4,0))</f>
      </c>
      <c r="K174" s="351"/>
      <c r="L174" s="333">
        <f>K174+J174</f>
      </c>
      <c r="M174" s="724"/>
      <c r="N174" s="7"/>
      <c r="O174" s="1"/>
      <c r="P174" s="331">
        <f>D174</f>
      </c>
      <c r="Q174" s="169"/>
      <c r="R174" s="1"/>
      <c r="S174" s="217">
        <f>(1+$M$5)^(D174/12)*(IF(E174=$C$6,$Q$4+$H$5*12,0))</f>
      </c>
      <c r="T174" s="217">
        <f>(1+$M$5)^(D174/12)*(IF(YEAR(E174)&gt;YEAR($C$6),L174,0)+IF(E174=$C$6,$H$5*12+$Q$4,0))</f>
      </c>
    </row>
    <row x14ac:dyDescent="0.25" r="175" customHeight="1" ht="18.75">
      <c r="A175" s="1"/>
      <c r="B175" s="7"/>
      <c r="C175" s="170"/>
      <c r="D175" s="331">
        <v>168</v>
      </c>
      <c r="E175" s="544">
        <f>+DATE(YEAR(E174),MONTH(E174)-1,DAY(E174))</f>
        <v>25569.041666666668</v>
      </c>
      <c r="F175" s="333">
        <f>IF(DATE(YEAR($B$6),MONTH($B$6)+1,DAY(1))=E175,1,IF(MONTH(E175)=1,F176*(1+$F$5),F176))</f>
      </c>
      <c r="G175" s="333">
        <f>IF('Simulador - 1º Pilar'!$E$99="Sí",IF('Aportaciones Flex'!$B$13&lt;'Aportaciones Flex'!E175,0,F175*$B$8/12),F175*$B$8/12)</f>
      </c>
      <c r="H175" s="333">
        <f>IF(G175&gt;0,1,0)*$H$5*IF(AND($I$5="NO",YEAR(E175)=YEAR($B$6)+1),1,IF($I$5="SI",1,0))</f>
      </c>
      <c r="I175" s="217">
        <f>(1+$M$5)^(D175/12)*(H175*(12-IF(MONTH(E176)=12,0,MONTH(E176)))+IF(AND(F175=1,F176=0),$Q$4,0))*IF(AND(F175=1,F176=0),1,0)</f>
      </c>
      <c r="J175" s="333">
        <f>(1+$M$5)^(D175/12)*(H175+IF(AND(F175=1,F176=0),$Q$4,0))</f>
      </c>
      <c r="K175" s="351"/>
      <c r="L175" s="333">
        <f>K175+J175</f>
      </c>
      <c r="M175" s="724"/>
      <c r="N175" s="7"/>
      <c r="O175" s="1"/>
      <c r="P175" s="331">
        <f>D175</f>
      </c>
      <c r="Q175" s="169"/>
      <c r="R175" s="1"/>
      <c r="S175" s="217">
        <f>(1+$M$5)^(D175/12)*(IF(E175=$C$6,$Q$4+$H$5*12,0))</f>
      </c>
      <c r="T175" s="217">
        <f>(1+$M$5)^(D175/12)*(IF(YEAR(E175)&gt;YEAR($C$6),L175,0)+IF(E175=$C$6,$H$5*12+$Q$4,0))</f>
      </c>
    </row>
    <row x14ac:dyDescent="0.25" r="176" customHeight="1" ht="18.75">
      <c r="A176" s="1"/>
      <c r="B176" s="7"/>
      <c r="C176" s="170"/>
      <c r="D176" s="331">
        <v>169</v>
      </c>
      <c r="E176" s="544">
        <f>+DATE(YEAR(E175),MONTH(E175)-1,DAY(E175))</f>
        <v>25569.041666666668</v>
      </c>
      <c r="F176" s="333">
        <f>IF(DATE(YEAR($B$6),MONTH($B$6)+1,DAY(1))=E176,1,IF(MONTH(E176)=1,F177*(1+$F$5),F177))</f>
      </c>
      <c r="G176" s="333">
        <f>IF('Simulador - 1º Pilar'!$E$99="Sí",IF('Aportaciones Flex'!$B$13&lt;'Aportaciones Flex'!E176,0,F176*$B$8/12),F176*$B$8/12)</f>
      </c>
      <c r="H176" s="333">
        <f>IF(G176&gt;0,1,0)*$H$5*IF(AND($I$5="NO",YEAR(E176)=YEAR($B$6)+1),1,IF($I$5="SI",1,0))</f>
      </c>
      <c r="I176" s="217">
        <f>(1+$M$5)^(D176/12)*(H176*(12-IF(MONTH(E177)=12,0,MONTH(E177)))+IF(AND(F176=1,F177=0),$Q$4,0))*IF(AND(F176=1,F177=0),1,0)</f>
      </c>
      <c r="J176" s="333">
        <f>(1+$M$5)^(D176/12)*(H176+IF(AND(F176=1,F177=0),$Q$4,0))</f>
      </c>
      <c r="K176" s="351"/>
      <c r="L176" s="333">
        <f>K176+J176</f>
      </c>
      <c r="M176" s="724"/>
      <c r="N176" s="7"/>
      <c r="O176" s="1"/>
      <c r="P176" s="331">
        <f>D176</f>
      </c>
      <c r="Q176" s="169"/>
      <c r="R176" s="1"/>
      <c r="S176" s="217">
        <f>(1+$M$5)^(D176/12)*(IF(E176=$C$6,$Q$4+$H$5*12,0))</f>
      </c>
      <c r="T176" s="217">
        <f>(1+$M$5)^(D176/12)*(IF(YEAR(E176)&gt;YEAR($C$6),L176,0)+IF(E176=$C$6,$H$5*12+$Q$4,0))</f>
      </c>
    </row>
    <row x14ac:dyDescent="0.25" r="177" customHeight="1" ht="18.75">
      <c r="A177" s="1"/>
      <c r="B177" s="7"/>
      <c r="C177" s="170"/>
      <c r="D177" s="331">
        <v>170</v>
      </c>
      <c r="E177" s="544">
        <f>+DATE(YEAR(E176),MONTH(E176)-1,DAY(E176))</f>
        <v>25569.041666666668</v>
      </c>
      <c r="F177" s="333">
        <f>IF(DATE(YEAR($B$6),MONTH($B$6)+1,DAY(1))=E177,1,IF(MONTH(E177)=1,F178*(1+$F$5),F178))</f>
      </c>
      <c r="G177" s="333">
        <f>IF('Simulador - 1º Pilar'!$E$99="Sí",IF('Aportaciones Flex'!$B$13&lt;'Aportaciones Flex'!E177,0,F177*$B$8/12),F177*$B$8/12)</f>
      </c>
      <c r="H177" s="333">
        <f>IF(G177&gt;0,1,0)*$H$5*IF(AND($I$5="NO",YEAR(E177)=YEAR($B$6)+1),1,IF($I$5="SI",1,0))</f>
      </c>
      <c r="I177" s="217">
        <f>(1+$M$5)^(D177/12)*(H177*(12-IF(MONTH(E178)=12,0,MONTH(E178)))+IF(AND(F177=1,F178=0),$Q$4,0))*IF(AND(F177=1,F178=0),1,0)</f>
      </c>
      <c r="J177" s="333">
        <f>(1+$M$5)^(D177/12)*(H177+IF(AND(F177=1,F178=0),$Q$4,0))</f>
      </c>
      <c r="K177" s="351"/>
      <c r="L177" s="333">
        <f>K177+J177</f>
      </c>
      <c r="M177" s="724"/>
      <c r="N177" s="7"/>
      <c r="O177" s="1"/>
      <c r="P177" s="331">
        <f>D177</f>
      </c>
      <c r="Q177" s="169"/>
      <c r="R177" s="1"/>
      <c r="S177" s="217">
        <f>(1+$M$5)^(D177/12)*(IF(E177=$C$6,$Q$4+$H$5*12,0))</f>
      </c>
      <c r="T177" s="217">
        <f>(1+$M$5)^(D177/12)*(IF(YEAR(E177)&gt;YEAR($C$6),L177,0)+IF(E177=$C$6,$H$5*12+$Q$4,0))</f>
      </c>
    </row>
    <row x14ac:dyDescent="0.25" r="178" customHeight="1" ht="18.75">
      <c r="A178" s="1"/>
      <c r="B178" s="7"/>
      <c r="C178" s="170"/>
      <c r="D178" s="331">
        <v>171</v>
      </c>
      <c r="E178" s="544">
        <f>+DATE(YEAR(E177),MONTH(E177)-1,DAY(E177))</f>
        <v>25569.041666666668</v>
      </c>
      <c r="F178" s="333">
        <f>IF(DATE(YEAR($B$6),MONTH($B$6)+1,DAY(1))=E178,1,IF(MONTH(E178)=1,F179*(1+$F$5),F179))</f>
      </c>
      <c r="G178" s="333">
        <f>IF('Simulador - 1º Pilar'!$E$99="Sí",IF('Aportaciones Flex'!$B$13&lt;'Aportaciones Flex'!E178,0,F178*$B$8/12),F178*$B$8/12)</f>
      </c>
      <c r="H178" s="333">
        <f>IF(G178&gt;0,1,0)*$H$5*IF(AND($I$5="NO",YEAR(E178)=YEAR($B$6)+1),1,IF($I$5="SI",1,0))</f>
      </c>
      <c r="I178" s="217">
        <f>(1+$M$5)^(D178/12)*(H178*(12-IF(MONTH(E179)=12,0,MONTH(E179)))+IF(AND(F178=1,F179=0),$Q$4,0))*IF(AND(F178=1,F179=0),1,0)</f>
      </c>
      <c r="J178" s="333">
        <f>(1+$M$5)^(D178/12)*(H178+IF(AND(F178=1,F179=0),$Q$4,0))</f>
      </c>
      <c r="K178" s="351"/>
      <c r="L178" s="333">
        <f>K178+J178</f>
      </c>
      <c r="M178" s="724"/>
      <c r="N178" s="7"/>
      <c r="O178" s="1"/>
      <c r="P178" s="331">
        <f>D178</f>
      </c>
      <c r="Q178" s="169"/>
      <c r="R178" s="1"/>
      <c r="S178" s="217">
        <f>(1+$M$5)^(D178/12)*(IF(E178=$C$6,$Q$4+$H$5*12,0))</f>
      </c>
      <c r="T178" s="217">
        <f>(1+$M$5)^(D178/12)*(IF(YEAR(E178)&gt;YEAR($C$6),L178,0)+IF(E178=$C$6,$H$5*12+$Q$4,0))</f>
      </c>
    </row>
    <row x14ac:dyDescent="0.25" r="179" customHeight="1" ht="18.75">
      <c r="A179" s="1"/>
      <c r="B179" s="7"/>
      <c r="C179" s="170"/>
      <c r="D179" s="331">
        <v>172</v>
      </c>
      <c r="E179" s="544">
        <f>+DATE(YEAR(E178),MONTH(E178)-1,DAY(E178))</f>
        <v>25569.041666666668</v>
      </c>
      <c r="F179" s="333">
        <f>IF(DATE(YEAR($B$6),MONTH($B$6)+1,DAY(1))=E179,1,IF(MONTH(E179)=1,F180*(1+$F$5),F180))</f>
      </c>
      <c r="G179" s="333">
        <f>IF('Simulador - 1º Pilar'!$E$99="Sí",IF('Aportaciones Flex'!$B$13&lt;'Aportaciones Flex'!E179,0,F179*$B$8/12),F179*$B$8/12)</f>
      </c>
      <c r="H179" s="333">
        <f>IF(G179&gt;0,1,0)*$H$5*IF(AND($I$5="NO",YEAR(E179)=YEAR($B$6)+1),1,IF($I$5="SI",1,0))</f>
      </c>
      <c r="I179" s="217">
        <f>(1+$M$5)^(D179/12)*(H179*(12-IF(MONTH(E180)=12,0,MONTH(E180)))+IF(AND(F179=1,F180=0),$Q$4,0))*IF(AND(F179=1,F180=0),1,0)</f>
      </c>
      <c r="J179" s="333">
        <f>(1+$M$5)^(D179/12)*(H179+IF(AND(F179=1,F180=0),$Q$4,0))</f>
      </c>
      <c r="K179" s="351"/>
      <c r="L179" s="333">
        <f>K179+J179</f>
      </c>
      <c r="M179" s="724"/>
      <c r="N179" s="7"/>
      <c r="O179" s="1"/>
      <c r="P179" s="331">
        <f>D179</f>
      </c>
      <c r="Q179" s="169"/>
      <c r="R179" s="1"/>
      <c r="S179" s="217">
        <f>(1+$M$5)^(D179/12)*(IF(E179=$C$6,$Q$4+$H$5*12,0))</f>
      </c>
      <c r="T179" s="217">
        <f>(1+$M$5)^(D179/12)*(IF(YEAR(E179)&gt;YEAR($C$6),L179,0)+IF(E179=$C$6,$H$5*12+$Q$4,0))</f>
      </c>
    </row>
    <row x14ac:dyDescent="0.25" r="180" customHeight="1" ht="18.75">
      <c r="A180" s="1"/>
      <c r="B180" s="7"/>
      <c r="C180" s="170"/>
      <c r="D180" s="331">
        <v>173</v>
      </c>
      <c r="E180" s="544">
        <f>+DATE(YEAR(E179),MONTH(E179)-1,DAY(E179))</f>
        <v>25569.041666666668</v>
      </c>
      <c r="F180" s="333">
        <f>IF(DATE(YEAR($B$6),MONTH($B$6)+1,DAY(1))=E180,1,IF(MONTH(E180)=1,F181*(1+$F$5),F181))</f>
      </c>
      <c r="G180" s="333">
        <f>IF('Simulador - 1º Pilar'!$E$99="Sí",IF('Aportaciones Flex'!$B$13&lt;'Aportaciones Flex'!E180,0,F180*$B$8/12),F180*$B$8/12)</f>
      </c>
      <c r="H180" s="333">
        <f>IF(G180&gt;0,1,0)*$H$5*IF(AND($I$5="NO",YEAR(E180)=YEAR($B$6)+1),1,IF($I$5="SI",1,0))</f>
      </c>
      <c r="I180" s="217">
        <f>(1+$M$5)^(D180/12)*(H180*(12-IF(MONTH(E181)=12,0,MONTH(E181)))+IF(AND(F180=1,F181=0),$Q$4,0))*IF(AND(F180=1,F181=0),1,0)</f>
      </c>
      <c r="J180" s="333">
        <f>(1+$M$5)^(D180/12)*(H180+IF(AND(F180=1,F181=0),$Q$4,0))</f>
      </c>
      <c r="K180" s="351"/>
      <c r="L180" s="333">
        <f>K180+J180</f>
      </c>
      <c r="M180" s="724"/>
      <c r="N180" s="7"/>
      <c r="O180" s="1"/>
      <c r="P180" s="331">
        <f>D180</f>
      </c>
      <c r="Q180" s="169"/>
      <c r="R180" s="1"/>
      <c r="S180" s="217">
        <f>(1+$M$5)^(D180/12)*(IF(E180=$C$6,$Q$4+$H$5*12,0))</f>
      </c>
      <c r="T180" s="217">
        <f>(1+$M$5)^(D180/12)*(IF(YEAR(E180)&gt;YEAR($C$6),L180,0)+IF(E180=$C$6,$H$5*12+$Q$4,0))</f>
      </c>
    </row>
    <row x14ac:dyDescent="0.25" r="181" customHeight="1" ht="18.75">
      <c r="A181" s="1"/>
      <c r="B181" s="7"/>
      <c r="C181" s="170"/>
      <c r="D181" s="331">
        <v>174</v>
      </c>
      <c r="E181" s="544">
        <f>+DATE(YEAR(E180),MONTH(E180)-1,DAY(E180))</f>
        <v>25569.041666666668</v>
      </c>
      <c r="F181" s="333">
        <f>IF(DATE(YEAR($B$6),MONTH($B$6)+1,DAY(1))=E181,1,IF(MONTH(E181)=1,F182*(1+$F$5),F182))</f>
      </c>
      <c r="G181" s="333">
        <f>IF('Simulador - 1º Pilar'!$E$99="Sí",IF('Aportaciones Flex'!$B$13&lt;'Aportaciones Flex'!E181,0,F181*$B$8/12),F181*$B$8/12)</f>
      </c>
      <c r="H181" s="333">
        <f>IF(G181&gt;0,1,0)*$H$5*IF(AND($I$5="NO",YEAR(E181)=YEAR($B$6)+1),1,IF($I$5="SI",1,0))</f>
      </c>
      <c r="I181" s="217">
        <f>(1+$M$5)^(D181/12)*(H181*(12-IF(MONTH(E182)=12,0,MONTH(E182)))+IF(AND(F181=1,F182=0),$Q$4,0))*IF(AND(F181=1,F182=0),1,0)</f>
      </c>
      <c r="J181" s="333">
        <f>(1+$M$5)^(D181/12)*(H181+IF(AND(F181=1,F182=0),$Q$4,0))</f>
      </c>
      <c r="K181" s="351"/>
      <c r="L181" s="333">
        <f>K181+J181</f>
      </c>
      <c r="M181" s="724"/>
      <c r="N181" s="7"/>
      <c r="O181" s="1"/>
      <c r="P181" s="331">
        <f>D181</f>
      </c>
      <c r="Q181" s="169"/>
      <c r="R181" s="1"/>
      <c r="S181" s="217">
        <f>(1+$M$5)^(D181/12)*(IF(E181=$C$6,$Q$4+$H$5*12,0))</f>
      </c>
      <c r="T181" s="217">
        <f>(1+$M$5)^(D181/12)*(IF(YEAR(E181)&gt;YEAR($C$6),L181,0)+IF(E181=$C$6,$H$5*12+$Q$4,0))</f>
      </c>
    </row>
    <row x14ac:dyDescent="0.25" r="182" customHeight="1" ht="18.75">
      <c r="A182" s="1"/>
      <c r="B182" s="7"/>
      <c r="C182" s="170"/>
      <c r="D182" s="331">
        <v>175</v>
      </c>
      <c r="E182" s="544">
        <f>+DATE(YEAR(E181),MONTH(E181)-1,DAY(E181))</f>
        <v>25569.041666666668</v>
      </c>
      <c r="F182" s="333">
        <f>IF(DATE(YEAR($B$6),MONTH($B$6)+1,DAY(1))=E182,1,IF(MONTH(E182)=1,F183*(1+$F$5),F183))</f>
      </c>
      <c r="G182" s="333">
        <f>IF('Simulador - 1º Pilar'!$E$99="Sí",IF('Aportaciones Flex'!$B$13&lt;'Aportaciones Flex'!E182,0,F182*$B$8/12),F182*$B$8/12)</f>
      </c>
      <c r="H182" s="333">
        <f>IF(G182&gt;0,1,0)*$H$5*IF(AND($I$5="NO",YEAR(E182)=YEAR($B$6)+1),1,IF($I$5="SI",1,0))</f>
      </c>
      <c r="I182" s="217">
        <f>(1+$M$5)^(D182/12)*(H182*(12-IF(MONTH(E183)=12,0,MONTH(E183)))+IF(AND(F182=1,F183=0),$Q$4,0))*IF(AND(F182=1,F183=0),1,0)</f>
      </c>
      <c r="J182" s="333">
        <f>(1+$M$5)^(D182/12)*(H182+IF(AND(F182=1,F183=0),$Q$4,0))</f>
      </c>
      <c r="K182" s="351"/>
      <c r="L182" s="333">
        <f>K182+J182</f>
      </c>
      <c r="M182" s="170"/>
      <c r="N182" s="7"/>
      <c r="O182" s="1"/>
      <c r="P182" s="331">
        <f>D182</f>
      </c>
      <c r="Q182" s="169"/>
      <c r="R182" s="1"/>
      <c r="S182" s="217">
        <f>(1+$M$5)^(D182/12)*(IF(E182=$C$6,$Q$4+$H$5*12,0))</f>
      </c>
      <c r="T182" s="217">
        <f>(1+$M$5)^(D182/12)*(IF(YEAR(E182)&gt;YEAR($C$6),L182,0)+IF(E182=$C$6,$H$5*12+$Q$4,0))</f>
      </c>
    </row>
    <row x14ac:dyDescent="0.25" r="183" customHeight="1" ht="18.75">
      <c r="A183" s="1"/>
      <c r="B183" s="7"/>
      <c r="C183" s="170"/>
      <c r="D183" s="331">
        <v>176</v>
      </c>
      <c r="E183" s="544">
        <f>+DATE(YEAR(E182),MONTH(E182)-1,DAY(E182))</f>
        <v>25569.041666666668</v>
      </c>
      <c r="F183" s="333">
        <f>IF(DATE(YEAR($B$6),MONTH($B$6)+1,DAY(1))=E183,1,IF(MONTH(E183)=1,F184*(1+$F$5),F184))</f>
      </c>
      <c r="G183" s="333">
        <f>IF('Simulador - 1º Pilar'!$E$99="Sí",IF('Aportaciones Flex'!$B$13&lt;'Aportaciones Flex'!E183,0,F183*$B$8/12),F183*$B$8/12)</f>
      </c>
      <c r="H183" s="333">
        <f>IF(G183&gt;0,1,0)*$H$5*IF(AND($I$5="NO",YEAR(E183)=YEAR($B$6)+1),1,IF($I$5="SI",1,0))</f>
      </c>
      <c r="I183" s="217">
        <f>(1+$M$5)^(D183/12)*(H183*(12-IF(MONTH(E184)=12,0,MONTH(E184)))+IF(AND(F183=1,F184=0),$Q$4,0))*IF(AND(F183=1,F184=0),1,0)</f>
      </c>
      <c r="J183" s="333">
        <f>(1+$M$5)^(D183/12)*(H183+IF(AND(F183=1,F184=0),$Q$4,0))</f>
      </c>
      <c r="K183" s="351"/>
      <c r="L183" s="333">
        <f>K183+J183</f>
      </c>
      <c r="M183" s="170"/>
      <c r="N183" s="7"/>
      <c r="O183" s="1"/>
      <c r="P183" s="331">
        <f>D183</f>
      </c>
      <c r="Q183" s="169"/>
      <c r="R183" s="1"/>
      <c r="S183" s="217">
        <f>(1+$M$5)^(D183/12)*(IF(E183=$C$6,$Q$4+$H$5*12,0))</f>
      </c>
      <c r="T183" s="217">
        <f>(1+$M$5)^(D183/12)*(IF(YEAR(E183)&gt;YEAR($C$6),L183,0)+IF(E183=$C$6,$H$5*12+$Q$4,0))</f>
      </c>
    </row>
    <row x14ac:dyDescent="0.25" r="184" customHeight="1" ht="18.75">
      <c r="A184" s="1"/>
      <c r="B184" s="7"/>
      <c r="C184" s="170"/>
      <c r="D184" s="331">
        <v>177</v>
      </c>
      <c r="E184" s="544">
        <f>+DATE(YEAR(E183),MONTH(E183)-1,DAY(E183))</f>
        <v>25569.041666666668</v>
      </c>
      <c r="F184" s="333">
        <f>IF(DATE(YEAR($B$6),MONTH($B$6)+1,DAY(1))=E184,1,IF(MONTH(E184)=1,F185*(1+$F$5),F185))</f>
      </c>
      <c r="G184" s="333">
        <f>IF('Simulador - 1º Pilar'!$E$99="Sí",IF('Aportaciones Flex'!$B$13&lt;'Aportaciones Flex'!E184,0,F184*$B$8/12),F184*$B$8/12)</f>
      </c>
      <c r="H184" s="333">
        <f>IF(G184&gt;0,1,0)*$H$5*IF(AND($I$5="NO",YEAR(E184)=YEAR($B$6)+1),1,IF($I$5="SI",1,0))</f>
      </c>
      <c r="I184" s="217">
        <f>(1+$M$5)^(D184/12)*(H184*(12-IF(MONTH(E185)=12,0,MONTH(E185)))+IF(AND(F184=1,F185=0),$Q$4,0))*IF(AND(F184=1,F185=0),1,0)</f>
      </c>
      <c r="J184" s="333">
        <f>(1+$M$5)^(D184/12)*(H184+IF(AND(F184=1,F185=0),$Q$4,0))</f>
      </c>
      <c r="K184" s="351"/>
      <c r="L184" s="333">
        <f>K184+J184</f>
      </c>
      <c r="M184" s="170"/>
      <c r="N184" s="7"/>
      <c r="O184" s="1"/>
      <c r="P184" s="331">
        <f>D184</f>
      </c>
      <c r="Q184" s="169"/>
      <c r="R184" s="1"/>
      <c r="S184" s="217">
        <f>(1+$M$5)^(D184/12)*(IF(E184=$C$6,$Q$4+$H$5*12,0))</f>
      </c>
      <c r="T184" s="217">
        <f>(1+$M$5)^(D184/12)*(IF(YEAR(E184)&gt;YEAR($C$6),L184,0)+IF(E184=$C$6,$H$5*12+$Q$4,0))</f>
      </c>
    </row>
    <row x14ac:dyDescent="0.25" r="185" customHeight="1" ht="18.75">
      <c r="A185" s="1"/>
      <c r="B185" s="7"/>
      <c r="C185" s="170"/>
      <c r="D185" s="331">
        <v>178</v>
      </c>
      <c r="E185" s="544">
        <f>+DATE(YEAR(E184),MONTH(E184)-1,DAY(E184))</f>
        <v>25569.041666666668</v>
      </c>
      <c r="F185" s="333">
        <f>IF(DATE(YEAR($B$6),MONTH($B$6)+1,DAY(1))=E185,1,IF(MONTH(E185)=1,F186*(1+$F$5),F186))</f>
      </c>
      <c r="G185" s="333">
        <f>IF('Simulador - 1º Pilar'!$E$99="Sí",IF('Aportaciones Flex'!$B$13&lt;'Aportaciones Flex'!E185,0,F185*$B$8/12),F185*$B$8/12)</f>
      </c>
      <c r="H185" s="333">
        <f>IF(G185&gt;0,1,0)*$H$5*IF(AND($I$5="NO",YEAR(E185)=YEAR($B$6)+1),1,IF($I$5="SI",1,0))</f>
      </c>
      <c r="I185" s="217">
        <f>(1+$M$5)^(D185/12)*(H185*(12-IF(MONTH(E186)=12,0,MONTH(E186)))+IF(AND(F185=1,F186=0),$Q$4,0))*IF(AND(F185=1,F186=0),1,0)</f>
      </c>
      <c r="J185" s="333">
        <f>(1+$M$5)^(D185/12)*(H185+IF(AND(F185=1,F186=0),$Q$4,0))</f>
      </c>
      <c r="K185" s="351"/>
      <c r="L185" s="333">
        <f>K185+J185</f>
      </c>
      <c r="M185" s="170"/>
      <c r="N185" s="7"/>
      <c r="O185" s="1"/>
      <c r="P185" s="331">
        <f>D185</f>
      </c>
      <c r="Q185" s="169"/>
      <c r="R185" s="1"/>
      <c r="S185" s="217">
        <f>(1+$M$5)^(D185/12)*(IF(E185=$C$6,$Q$4+$H$5*12,0))</f>
      </c>
      <c r="T185" s="217">
        <f>(1+$M$5)^(D185/12)*(IF(YEAR(E185)&gt;YEAR($C$6),L185,0)+IF(E185=$C$6,$H$5*12+$Q$4,0))</f>
      </c>
    </row>
    <row x14ac:dyDescent="0.25" r="186" customHeight="1" ht="18.75">
      <c r="A186" s="1"/>
      <c r="B186" s="7"/>
      <c r="C186" s="170"/>
      <c r="D186" s="331">
        <v>179</v>
      </c>
      <c r="E186" s="544">
        <f>+DATE(YEAR(E185),MONTH(E185)-1,DAY(E185))</f>
        <v>25569.041666666668</v>
      </c>
      <c r="F186" s="333">
        <f>IF(DATE(YEAR($B$6),MONTH($B$6)+1,DAY(1))=E186,1,IF(MONTH(E186)=1,F187*(1+$F$5),F187))</f>
      </c>
      <c r="G186" s="333">
        <f>IF('Simulador - 1º Pilar'!$E$99="Sí",IF('Aportaciones Flex'!$B$13&lt;'Aportaciones Flex'!E186,0,F186*$B$8/12),F186*$B$8/12)</f>
      </c>
      <c r="H186" s="333">
        <f>IF(G186&gt;0,1,0)*$H$5*IF(AND($I$5="NO",YEAR(E186)=YEAR($B$6)+1),1,IF($I$5="SI",1,0))</f>
      </c>
      <c r="I186" s="217">
        <f>(1+$M$5)^(D186/12)*(H186*(12-IF(MONTH(E187)=12,0,MONTH(E187)))+IF(AND(F186=1,F187=0),$Q$4,0))*IF(AND(F186=1,F187=0),1,0)</f>
      </c>
      <c r="J186" s="333">
        <f>(1+$M$5)^(D186/12)*(H186+IF(AND(F186=1,F187=0),$Q$4,0))</f>
      </c>
      <c r="K186" s="351"/>
      <c r="L186" s="333">
        <f>K186+J186</f>
      </c>
      <c r="M186" s="170"/>
      <c r="N186" s="7"/>
      <c r="O186" s="1"/>
      <c r="P186" s="331">
        <f>D186</f>
      </c>
      <c r="Q186" s="169"/>
      <c r="R186" s="1"/>
      <c r="S186" s="217">
        <f>(1+$M$5)^(D186/12)*(IF(E186=$C$6,$Q$4+$H$5*12,0))</f>
      </c>
      <c r="T186" s="217">
        <f>(1+$M$5)^(D186/12)*(IF(YEAR(E186)&gt;YEAR($C$6),L186,0)+IF(E186=$C$6,$H$5*12+$Q$4,0))</f>
      </c>
    </row>
    <row x14ac:dyDescent="0.25" r="187" customHeight="1" ht="18.75">
      <c r="A187" s="1"/>
      <c r="B187" s="7"/>
      <c r="C187" s="170"/>
      <c r="D187" s="331">
        <v>180</v>
      </c>
      <c r="E187" s="544">
        <f>+DATE(YEAR(E186),MONTH(E186)-1,DAY(E186))</f>
        <v>25569.041666666668</v>
      </c>
      <c r="F187" s="333">
        <f>IF(DATE(YEAR($B$6),MONTH($B$6)+1,DAY(1))=E187,1,IF(MONTH(E187)=1,F188*(1+$F$5),F188))</f>
      </c>
      <c r="G187" s="333">
        <f>IF('Simulador - 1º Pilar'!$E$99="Sí",IF('Aportaciones Flex'!$B$13&lt;'Aportaciones Flex'!E187,0,F187*$B$8/12),F187*$B$8/12)</f>
      </c>
      <c r="H187" s="333">
        <f>IF(G187&gt;0,1,0)*$H$5*IF(AND($I$5="NO",YEAR(E187)=YEAR($B$6)+1),1,IF($I$5="SI",1,0))</f>
      </c>
      <c r="I187" s="217">
        <f>(1+$M$5)^(D187/12)*(H187*(12-IF(MONTH(E188)=12,0,MONTH(E188)))+IF(AND(F187=1,F188=0),$Q$4,0))*IF(AND(F187=1,F188=0),1,0)</f>
      </c>
      <c r="J187" s="333">
        <f>(1+$M$5)^(D187/12)*(H187+IF(AND(F187=1,F188=0),$Q$4,0))</f>
      </c>
      <c r="K187" s="351"/>
      <c r="L187" s="333">
        <f>K187+J187</f>
      </c>
      <c r="M187" s="170"/>
      <c r="N187" s="7"/>
      <c r="O187" s="1"/>
      <c r="P187" s="331">
        <f>D187</f>
      </c>
      <c r="Q187" s="169"/>
      <c r="R187" s="1"/>
      <c r="S187" s="217">
        <f>(1+$M$5)^(D187/12)*(IF(E187=$C$6,$Q$4+$H$5*12,0))</f>
      </c>
      <c r="T187" s="217">
        <f>(1+$M$5)^(D187/12)*(IF(YEAR(E187)&gt;YEAR($C$6),L187,0)+IF(E187=$C$6,$H$5*12+$Q$4,0))</f>
      </c>
    </row>
    <row x14ac:dyDescent="0.25" r="188" customHeight="1" ht="18.75">
      <c r="A188" s="1"/>
      <c r="B188" s="7"/>
      <c r="C188" s="170"/>
      <c r="D188" s="331">
        <v>181</v>
      </c>
      <c r="E188" s="544">
        <f>+DATE(YEAR(E187),MONTH(E187)-1,DAY(E187))</f>
        <v>25569.041666666668</v>
      </c>
      <c r="F188" s="333">
        <f>IF(DATE(YEAR($B$6),MONTH($B$6)+1,DAY(1))=E188,1,IF(MONTH(E188)=1,F189*(1+$F$5),F189))</f>
      </c>
      <c r="G188" s="333">
        <f>IF('Simulador - 1º Pilar'!$E$99="Sí",IF('Aportaciones Flex'!$B$13&lt;'Aportaciones Flex'!E188,0,F188*$B$8/12),F188*$B$8/12)</f>
      </c>
      <c r="H188" s="333">
        <f>IF(G188&gt;0,1,0)*$H$5*IF(AND($I$5="NO",YEAR(E188)=YEAR($B$6)+1),1,IF($I$5="SI",1,0))</f>
      </c>
      <c r="I188" s="217">
        <f>(1+$M$5)^(D188/12)*(H188*(12-IF(MONTH(E189)=12,0,MONTH(E189)))+IF(AND(F188=1,F189=0),$Q$4,0))*IF(AND(F188=1,F189=0),1,0)</f>
      </c>
      <c r="J188" s="333">
        <f>(1+$M$5)^(D188/12)*(H188+IF(AND(F188=1,F189=0),$Q$4,0))</f>
      </c>
      <c r="K188" s="351"/>
      <c r="L188" s="333">
        <f>K188+J188</f>
      </c>
      <c r="M188" s="170"/>
      <c r="N188" s="7"/>
      <c r="O188" s="1"/>
      <c r="P188" s="331">
        <f>D188</f>
      </c>
      <c r="Q188" s="169"/>
      <c r="R188" s="1"/>
      <c r="S188" s="217">
        <f>(1+$M$5)^(D188/12)*(IF(E188=$C$6,$Q$4+$H$5*12,0))</f>
      </c>
      <c r="T188" s="217">
        <f>(1+$M$5)^(D188/12)*(IF(YEAR(E188)&gt;YEAR($C$6),L188,0)+IF(E188=$C$6,$H$5*12+$Q$4,0))</f>
      </c>
    </row>
    <row x14ac:dyDescent="0.25" r="189" customHeight="1" ht="18.75">
      <c r="A189" s="1"/>
      <c r="B189" s="7"/>
      <c r="C189" s="170"/>
      <c r="D189" s="331">
        <v>182</v>
      </c>
      <c r="E189" s="544">
        <f>+DATE(YEAR(E188),MONTH(E188)-1,DAY(E188))</f>
        <v>25569.041666666668</v>
      </c>
      <c r="F189" s="333">
        <f>IF(DATE(YEAR($B$6),MONTH($B$6)+1,DAY(1))=E189,1,IF(MONTH(E189)=1,F190*(1+$F$5),F190))</f>
      </c>
      <c r="G189" s="333">
        <f>IF('Simulador - 1º Pilar'!$E$99="Sí",IF('Aportaciones Flex'!$B$13&lt;'Aportaciones Flex'!E189,0,F189*$B$8/12),F189*$B$8/12)</f>
      </c>
      <c r="H189" s="333">
        <f>IF(G189&gt;0,1,0)*$H$5*IF(AND($I$5="NO",YEAR(E189)=YEAR($B$6)+1),1,IF($I$5="SI",1,0))</f>
      </c>
      <c r="I189" s="217">
        <f>(1+$M$5)^(D189/12)*(H189*(12-IF(MONTH(E190)=12,0,MONTH(E190)))+IF(AND(F189=1,F190=0),$Q$4,0))*IF(AND(F189=1,F190=0),1,0)</f>
      </c>
      <c r="J189" s="333">
        <f>(1+$M$5)^(D189/12)*(H189+IF(AND(F189=1,F190=0),$Q$4,0))</f>
      </c>
      <c r="K189" s="351"/>
      <c r="L189" s="333">
        <f>K189+J189</f>
      </c>
      <c r="M189" s="170"/>
      <c r="N189" s="7"/>
      <c r="O189" s="1"/>
      <c r="P189" s="331">
        <f>D189</f>
      </c>
      <c r="Q189" s="169"/>
      <c r="R189" s="1"/>
      <c r="S189" s="217">
        <f>(1+$M$5)^(D189/12)*(IF(E189=$C$6,$Q$4+$H$5*12,0))</f>
      </c>
      <c r="T189" s="217">
        <f>(1+$M$5)^(D189/12)*(IF(YEAR(E189)&gt;YEAR($C$6),L189,0)+IF(E189=$C$6,$H$5*12+$Q$4,0))</f>
      </c>
    </row>
    <row x14ac:dyDescent="0.25" r="190" customHeight="1" ht="18.75">
      <c r="A190" s="1"/>
      <c r="B190" s="7"/>
      <c r="C190" s="170"/>
      <c r="D190" s="331">
        <v>183</v>
      </c>
      <c r="E190" s="544">
        <f>+DATE(YEAR(E189),MONTH(E189)-1,DAY(E189))</f>
        <v>25569.041666666668</v>
      </c>
      <c r="F190" s="333">
        <f>IF(DATE(YEAR($B$6),MONTH($B$6)+1,DAY(1))=E190,1,IF(MONTH(E190)=1,F191*(1+$F$5),F191))</f>
      </c>
      <c r="G190" s="333">
        <f>IF('Simulador - 1º Pilar'!$E$99="Sí",IF('Aportaciones Flex'!$B$13&lt;'Aportaciones Flex'!E190,0,F190*$B$8/12),F190*$B$8/12)</f>
      </c>
      <c r="H190" s="333">
        <f>IF(G190&gt;0,1,0)*$H$5*IF(AND($I$5="NO",YEAR(E190)=YEAR($B$6)+1),1,IF($I$5="SI",1,0))</f>
      </c>
      <c r="I190" s="217">
        <f>(1+$M$5)^(D190/12)*(H190*(12-IF(MONTH(E191)=12,0,MONTH(E191)))+IF(AND(F190=1,F191=0),$Q$4,0))*IF(AND(F190=1,F191=0),1,0)</f>
      </c>
      <c r="J190" s="333">
        <f>(1+$M$5)^(D190/12)*(H190+IF(AND(F190=1,F191=0),$Q$4,0))</f>
      </c>
      <c r="K190" s="351"/>
      <c r="L190" s="333">
        <f>K190+J190</f>
      </c>
      <c r="M190" s="170"/>
      <c r="N190" s="7"/>
      <c r="O190" s="1"/>
      <c r="P190" s="331">
        <f>D190</f>
      </c>
      <c r="Q190" s="169"/>
      <c r="R190" s="1"/>
      <c r="S190" s="217">
        <f>(1+$M$5)^(D190/12)*(IF(E190=$C$6,$Q$4+$H$5*12,0))</f>
      </c>
      <c r="T190" s="217">
        <f>(1+$M$5)^(D190/12)*(IF(YEAR(E190)&gt;YEAR($C$6),L190,0)+IF(E190=$C$6,$H$5*12+$Q$4,0))</f>
      </c>
    </row>
    <row x14ac:dyDescent="0.25" r="191" customHeight="1" ht="18.75">
      <c r="A191" s="1"/>
      <c r="B191" s="7"/>
      <c r="C191" s="170"/>
      <c r="D191" s="331">
        <v>184</v>
      </c>
      <c r="E191" s="544">
        <f>+DATE(YEAR(E190),MONTH(E190)-1,DAY(E190))</f>
        <v>25569.041666666668</v>
      </c>
      <c r="F191" s="333">
        <f>IF(DATE(YEAR($B$6),MONTH($B$6)+1,DAY(1))=E191,1,IF(MONTH(E191)=1,F192*(1+$F$5),F192))</f>
      </c>
      <c r="G191" s="333">
        <f>IF('Simulador - 1º Pilar'!$E$99="Sí",IF('Aportaciones Flex'!$B$13&lt;'Aportaciones Flex'!E191,0,F191*$B$8/12),F191*$B$8/12)</f>
      </c>
      <c r="H191" s="333">
        <f>IF(G191&gt;0,1,0)*$H$5*IF(AND($I$5="NO",YEAR(E191)=YEAR($B$6)+1),1,IF($I$5="SI",1,0))</f>
      </c>
      <c r="I191" s="217">
        <f>(1+$M$5)^(D191/12)*(H191*(12-IF(MONTH(E192)=12,0,MONTH(E192)))+IF(AND(F191=1,F192=0),$Q$4,0))*IF(AND(F191=1,F192=0),1,0)</f>
      </c>
      <c r="J191" s="333">
        <f>(1+$M$5)^(D191/12)*(H191+IF(AND(F191=1,F192=0),$Q$4,0))</f>
      </c>
      <c r="K191" s="351"/>
      <c r="L191" s="333">
        <f>K191+J191</f>
      </c>
      <c r="M191" s="170"/>
      <c r="N191" s="7"/>
      <c r="O191" s="1"/>
      <c r="P191" s="331">
        <f>D191</f>
      </c>
      <c r="Q191" s="169"/>
      <c r="R191" s="1"/>
      <c r="S191" s="217">
        <f>(1+$M$5)^(D191/12)*(IF(E191=$C$6,$Q$4+$H$5*12,0))</f>
      </c>
      <c r="T191" s="217">
        <f>(1+$M$5)^(D191/12)*(IF(YEAR(E191)&gt;YEAR($C$6),L191,0)+IF(E191=$C$6,$H$5*12+$Q$4,0))</f>
      </c>
    </row>
    <row x14ac:dyDescent="0.25" r="192" customHeight="1" ht="18.75">
      <c r="A192" s="1"/>
      <c r="B192" s="7"/>
      <c r="C192" s="170"/>
      <c r="D192" s="331">
        <v>185</v>
      </c>
      <c r="E192" s="544">
        <f>+DATE(YEAR(E191),MONTH(E191)-1,DAY(E191))</f>
        <v>25569.041666666668</v>
      </c>
      <c r="F192" s="333">
        <f>IF(DATE(YEAR($B$6),MONTH($B$6)+1,DAY(1))=E192,1,IF(MONTH(E192)=1,F193*(1+$F$5),F193))</f>
      </c>
      <c r="G192" s="333">
        <f>IF('Simulador - 1º Pilar'!$E$99="Sí",IF('Aportaciones Flex'!$B$13&lt;'Aportaciones Flex'!E192,0,F192*$B$8/12),F192*$B$8/12)</f>
      </c>
      <c r="H192" s="333">
        <f>IF(G192&gt;0,1,0)*$H$5*IF(AND($I$5="NO",YEAR(E192)=YEAR($B$6)+1),1,IF($I$5="SI",1,0))</f>
      </c>
      <c r="I192" s="217">
        <f>(1+$M$5)^(D192/12)*(H192*(12-IF(MONTH(E193)=12,0,MONTH(E193)))+IF(AND(F192=1,F193=0),$Q$4,0))*IF(AND(F192=1,F193=0),1,0)</f>
      </c>
      <c r="J192" s="333">
        <f>(1+$M$5)^(D192/12)*(H192+IF(AND(F192=1,F193=0),$Q$4,0))</f>
      </c>
      <c r="K192" s="351"/>
      <c r="L192" s="333">
        <f>K192+J192</f>
      </c>
      <c r="M192" s="170"/>
      <c r="N192" s="7"/>
      <c r="O192" s="1"/>
      <c r="P192" s="331">
        <f>D192</f>
      </c>
      <c r="Q192" s="169"/>
      <c r="R192" s="1"/>
      <c r="S192" s="217">
        <f>(1+$M$5)^(D192/12)*(IF(E192=$C$6,$Q$4+$H$5*12,0))</f>
      </c>
      <c r="T192" s="217">
        <f>(1+$M$5)^(D192/12)*(IF(YEAR(E192)&gt;YEAR($C$6),L192,0)+IF(E192=$C$6,$H$5*12+$Q$4,0))</f>
      </c>
    </row>
    <row x14ac:dyDescent="0.25" r="193" customHeight="1" ht="18.75">
      <c r="A193" s="1"/>
      <c r="B193" s="7"/>
      <c r="C193" s="170"/>
      <c r="D193" s="331">
        <v>186</v>
      </c>
      <c r="E193" s="544">
        <f>+DATE(YEAR(E192),MONTH(E192)-1,DAY(E192))</f>
        <v>25569.041666666668</v>
      </c>
      <c r="F193" s="333">
        <f>IF(DATE(YEAR($B$6),MONTH($B$6)+1,DAY(1))=E193,1,IF(MONTH(E193)=1,F194*(1+$F$5),F194))</f>
      </c>
      <c r="G193" s="333">
        <f>IF('Simulador - 1º Pilar'!$E$99="Sí",IF('Aportaciones Flex'!$B$13&lt;'Aportaciones Flex'!E193,0,F193*$B$8/12),F193*$B$8/12)</f>
      </c>
      <c r="H193" s="333">
        <f>IF(G193&gt;0,1,0)*$H$5*IF(AND($I$5="NO",YEAR(E193)=YEAR($B$6)+1),1,IF($I$5="SI",1,0))</f>
      </c>
      <c r="I193" s="217">
        <f>(1+$M$5)^(D193/12)*(H193*(12-IF(MONTH(E194)=12,0,MONTH(E194)))+IF(AND(F193=1,F194=0),$Q$4,0))*IF(AND(F193=1,F194=0),1,0)</f>
      </c>
      <c r="J193" s="333">
        <f>(1+$M$5)^(D193/12)*(H193+IF(AND(F193=1,F194=0),$Q$4,0))</f>
      </c>
      <c r="K193" s="351"/>
      <c r="L193" s="333">
        <f>K193+J193</f>
      </c>
      <c r="M193" s="217"/>
      <c r="N193" s="7"/>
      <c r="O193" s="1"/>
      <c r="P193" s="331">
        <f>D193</f>
      </c>
      <c r="Q193" s="169"/>
      <c r="R193" s="1"/>
      <c r="S193" s="217">
        <f>(1+$M$5)^(D193/12)*(IF(E193=$C$6,$Q$4+$H$5*12,0))</f>
      </c>
      <c r="T193" s="217">
        <f>(1+$M$5)^(D193/12)*(IF(YEAR(E193)&gt;YEAR($C$6),L193,0)+IF(E193=$C$6,$H$5*12+$Q$4,0))</f>
      </c>
    </row>
    <row x14ac:dyDescent="0.25" r="194" customHeight="1" ht="18.75">
      <c r="A194" s="1"/>
      <c r="B194" s="7"/>
      <c r="C194" s="170"/>
      <c r="D194" s="331">
        <v>187</v>
      </c>
      <c r="E194" s="544">
        <f>+DATE(YEAR(E193),MONTH(E193)-1,DAY(E193))</f>
        <v>25569.041666666668</v>
      </c>
      <c r="F194" s="333">
        <f>IF(DATE(YEAR($B$6),MONTH($B$6)+1,DAY(1))=E194,1,IF(MONTH(E194)=1,F195*(1+$F$5),F195))</f>
      </c>
      <c r="G194" s="333">
        <f>IF('Simulador - 1º Pilar'!$E$99="Sí",IF('Aportaciones Flex'!$B$13&lt;'Aportaciones Flex'!E194,0,F194*$B$8/12),F194*$B$8/12)</f>
      </c>
      <c r="H194" s="333">
        <f>IF(G194&gt;0,1,0)*$H$5*IF(AND($I$5="NO",YEAR(E194)=YEAR($B$6)+1),1,IF($I$5="SI",1,0))</f>
      </c>
      <c r="I194" s="217">
        <f>(1+$M$5)^(D194/12)*(H194*(12-IF(MONTH(E195)=12,0,MONTH(E195)))+IF(AND(F194=1,F195=0),$Q$4,0))*IF(AND(F194=1,F195=0),1,0)</f>
      </c>
      <c r="J194" s="333">
        <f>(1+$M$5)^(D194/12)*(H194+IF(AND(F194=1,F195=0),$Q$4,0))</f>
      </c>
      <c r="K194" s="351"/>
      <c r="L194" s="333">
        <f>K194+J194</f>
      </c>
      <c r="M194" s="170"/>
      <c r="N194" s="7"/>
      <c r="O194" s="1"/>
      <c r="P194" s="331">
        <f>D194</f>
      </c>
      <c r="Q194" s="169"/>
      <c r="R194" s="1"/>
      <c r="S194" s="217">
        <f>(1+$M$5)^(D194/12)*(IF(E194=$C$6,$Q$4+$H$5*12,0))</f>
      </c>
      <c r="T194" s="217">
        <f>(1+$M$5)^(D194/12)*(IF(YEAR(E194)&gt;YEAR($C$6),L194,0)+IF(E194=$C$6,$H$5*12+$Q$4,0))</f>
      </c>
    </row>
    <row x14ac:dyDescent="0.25" r="195" customHeight="1" ht="18.75">
      <c r="A195" s="1"/>
      <c r="B195" s="7"/>
      <c r="C195" s="170"/>
      <c r="D195" s="331">
        <v>188</v>
      </c>
      <c r="E195" s="544">
        <f>+DATE(YEAR(E194),MONTH(E194)-1,DAY(E194))</f>
        <v>25569.041666666668</v>
      </c>
      <c r="F195" s="333">
        <f>IF(DATE(YEAR($B$6),MONTH($B$6)+1,DAY(1))=E195,1,IF(MONTH(E195)=1,F196*(1+$F$5),F196))</f>
      </c>
      <c r="G195" s="333">
        <f>IF('Simulador - 1º Pilar'!$E$99="Sí",IF('Aportaciones Flex'!$B$13&lt;'Aportaciones Flex'!E195,0,F195*$B$8/12),F195*$B$8/12)</f>
      </c>
      <c r="H195" s="333">
        <f>IF(G195&gt;0,1,0)*$H$5*IF(AND($I$5="NO",YEAR(E195)=YEAR($B$6)+1),1,IF($I$5="SI",1,0))</f>
      </c>
      <c r="I195" s="217">
        <f>(1+$M$5)^(D195/12)*(H195*(12-IF(MONTH(E196)=12,0,MONTH(E196)))+IF(AND(F195=1,F196=0),$Q$4,0))*IF(AND(F195=1,F196=0),1,0)</f>
      </c>
      <c r="J195" s="333">
        <f>(1+$M$5)^(D195/12)*(H195+IF(AND(F195=1,F196=0),$Q$4,0))</f>
      </c>
      <c r="K195" s="351"/>
      <c r="L195" s="333">
        <f>K195+J195</f>
      </c>
      <c r="M195" s="170"/>
      <c r="N195" s="7"/>
      <c r="O195" s="1"/>
      <c r="P195" s="331">
        <f>D195</f>
      </c>
      <c r="Q195" s="169"/>
      <c r="R195" s="1"/>
      <c r="S195" s="217">
        <f>(1+$M$5)^(D195/12)*(IF(E195=$C$6,$Q$4+$H$5*12,0))</f>
      </c>
      <c r="T195" s="217">
        <f>(1+$M$5)^(D195/12)*(IF(YEAR(E195)&gt;YEAR($C$6),L195,0)+IF(E195=$C$6,$H$5*12+$Q$4,0))</f>
      </c>
    </row>
    <row x14ac:dyDescent="0.25" r="196" customHeight="1" ht="18.75">
      <c r="A196" s="1"/>
      <c r="B196" s="7"/>
      <c r="C196" s="170"/>
      <c r="D196" s="331">
        <v>189</v>
      </c>
      <c r="E196" s="544">
        <f>+DATE(YEAR(E195),MONTH(E195)-1,DAY(E195))</f>
        <v>25569.041666666668</v>
      </c>
      <c r="F196" s="333">
        <f>IF(DATE(YEAR($B$6),MONTH($B$6)+1,DAY(1))=E196,1,IF(MONTH(E196)=1,F197*(1+$F$5),F197))</f>
      </c>
      <c r="G196" s="333">
        <f>IF('Simulador - 1º Pilar'!$E$99="Sí",IF('Aportaciones Flex'!$B$13&lt;'Aportaciones Flex'!E196,0,F196*$B$8/12),F196*$B$8/12)</f>
      </c>
      <c r="H196" s="333">
        <f>IF(G196&gt;0,1,0)*$H$5*IF(AND($I$5="NO",YEAR(E196)=YEAR($B$6)+1),1,IF($I$5="SI",1,0))</f>
      </c>
      <c r="I196" s="217">
        <f>(1+$M$5)^(D196/12)*(H196*(12-IF(MONTH(E197)=12,0,MONTH(E197)))+IF(AND(F196=1,F197=0),$Q$4,0))*IF(AND(F196=1,F197=0),1,0)</f>
      </c>
      <c r="J196" s="333">
        <f>(1+$M$5)^(D196/12)*(H196+IF(AND(F196=1,F197=0),$Q$4,0))</f>
      </c>
      <c r="K196" s="351"/>
      <c r="L196" s="333">
        <f>K196+J196</f>
      </c>
      <c r="M196" s="170"/>
      <c r="N196" s="7"/>
      <c r="O196" s="1"/>
      <c r="P196" s="331">
        <f>D196</f>
      </c>
      <c r="Q196" s="169"/>
      <c r="R196" s="1"/>
      <c r="S196" s="217">
        <f>(1+$M$5)^(D196/12)*(IF(E196=$C$6,$Q$4+$H$5*12,0))</f>
      </c>
      <c r="T196" s="217">
        <f>(1+$M$5)^(D196/12)*(IF(YEAR(E196)&gt;YEAR($C$6),L196,0)+IF(E196=$C$6,$H$5*12+$Q$4,0))</f>
      </c>
    </row>
    <row x14ac:dyDescent="0.25" r="197" customHeight="1" ht="18.75">
      <c r="A197" s="1"/>
      <c r="B197" s="7"/>
      <c r="C197" s="170"/>
      <c r="D197" s="331">
        <v>190</v>
      </c>
      <c r="E197" s="544">
        <f>+DATE(YEAR(E196),MONTH(E196)-1,DAY(E196))</f>
        <v>25569.041666666668</v>
      </c>
      <c r="F197" s="333">
        <f>IF(DATE(YEAR($B$6),MONTH($B$6)+1,DAY(1))=E197,1,IF(MONTH(E197)=1,F198*(1+$F$5),F198))</f>
      </c>
      <c r="G197" s="333">
        <f>IF('Simulador - 1º Pilar'!$E$99="Sí",IF('Aportaciones Flex'!$B$13&lt;'Aportaciones Flex'!E197,0,F197*$B$8/12),F197*$B$8/12)</f>
      </c>
      <c r="H197" s="333">
        <f>IF(G197&gt;0,1,0)*$H$5*IF(AND($I$5="NO",YEAR(E197)=YEAR($B$6)+1),1,IF($I$5="SI",1,0))</f>
      </c>
      <c r="I197" s="217">
        <f>(1+$M$5)^(D197/12)*(H197*(12-IF(MONTH(E198)=12,0,MONTH(E198)))+IF(AND(F197=1,F198=0),$Q$4,0))*IF(AND(F197=1,F198=0),1,0)</f>
      </c>
      <c r="J197" s="333">
        <f>(1+$M$5)^(D197/12)*(H197+IF(AND(F197=1,F198=0),$Q$4,0))</f>
      </c>
      <c r="K197" s="351"/>
      <c r="L197" s="333">
        <f>K197+J197</f>
      </c>
      <c r="M197" s="170"/>
      <c r="N197" s="7"/>
      <c r="O197" s="1"/>
      <c r="P197" s="331">
        <f>D197</f>
      </c>
      <c r="Q197" s="169"/>
      <c r="R197" s="1"/>
      <c r="S197" s="217">
        <f>(1+$M$5)^(D197/12)*(IF(E197=$C$6,$Q$4+$H$5*12,0))</f>
      </c>
      <c r="T197" s="217">
        <f>(1+$M$5)^(D197/12)*(IF(YEAR(E197)&gt;YEAR($C$6),L197,0)+IF(E197=$C$6,$H$5*12+$Q$4,0))</f>
      </c>
    </row>
    <row x14ac:dyDescent="0.25" r="198" customHeight="1" ht="18.75">
      <c r="A198" s="1"/>
      <c r="B198" s="7"/>
      <c r="C198" s="170"/>
      <c r="D198" s="331">
        <v>191</v>
      </c>
      <c r="E198" s="544">
        <f>+DATE(YEAR(E197),MONTH(E197)-1,DAY(E197))</f>
        <v>25569.041666666668</v>
      </c>
      <c r="F198" s="333">
        <f>IF(DATE(YEAR($B$6),MONTH($B$6)+1,DAY(1))=E198,1,IF(MONTH(E198)=1,F199*(1+$F$5),F199))</f>
      </c>
      <c r="G198" s="333">
        <f>IF('Simulador - 1º Pilar'!$E$99="Sí",IF('Aportaciones Flex'!$B$13&lt;'Aportaciones Flex'!E198,0,F198*$B$8/12),F198*$B$8/12)</f>
      </c>
      <c r="H198" s="333">
        <f>IF(G198&gt;0,1,0)*$H$5*IF(AND($I$5="NO",YEAR(E198)=YEAR($B$6)+1),1,IF($I$5="SI",1,0))</f>
      </c>
      <c r="I198" s="217">
        <f>(1+$M$5)^(D198/12)*(H198*(12-IF(MONTH(E199)=12,0,MONTH(E199)))+IF(AND(F198=1,F199=0),$Q$4,0))*IF(AND(F198=1,F199=0),1,0)</f>
      </c>
      <c r="J198" s="333">
        <f>(1+$M$5)^(D198/12)*(H198+IF(AND(F198=1,F199=0),$Q$4,0))</f>
      </c>
      <c r="K198" s="351"/>
      <c r="L198" s="333">
        <f>K198+J198</f>
      </c>
      <c r="M198" s="170"/>
      <c r="N198" s="7"/>
      <c r="O198" s="1"/>
      <c r="P198" s="331">
        <f>D198</f>
      </c>
      <c r="Q198" s="169"/>
      <c r="R198" s="1"/>
      <c r="S198" s="217">
        <f>(1+$M$5)^(D198/12)*(IF(E198=$C$6,$Q$4+$H$5*12,0))</f>
      </c>
      <c r="T198" s="217">
        <f>(1+$M$5)^(D198/12)*(IF(YEAR(E198)&gt;YEAR($C$6),L198,0)+IF(E198=$C$6,$H$5*12+$Q$4,0))</f>
      </c>
    </row>
    <row x14ac:dyDescent="0.25" r="199" customHeight="1" ht="18.75">
      <c r="A199" s="1"/>
      <c r="B199" s="7"/>
      <c r="C199" s="170"/>
      <c r="D199" s="331">
        <v>192</v>
      </c>
      <c r="E199" s="544">
        <f>+DATE(YEAR(E198),MONTH(E198)-1,DAY(E198))</f>
        <v>25569.041666666668</v>
      </c>
      <c r="F199" s="333">
        <f>IF(DATE(YEAR($B$6),MONTH($B$6)+1,DAY(1))=E199,1,IF(MONTH(E199)=1,F200*(1+$F$5),F200))</f>
      </c>
      <c r="G199" s="333">
        <f>IF('Simulador - 1º Pilar'!$E$99="Sí",IF('Aportaciones Flex'!$B$13&lt;'Aportaciones Flex'!E199,0,F199*$B$8/12),F199*$B$8/12)</f>
      </c>
      <c r="H199" s="333">
        <f>IF(G199&gt;0,1,0)*$H$5*IF(AND($I$5="NO",YEAR(E199)=YEAR($B$6)+1),1,IF($I$5="SI",1,0))</f>
      </c>
      <c r="I199" s="217">
        <f>(1+$M$5)^(D199/12)*(H199*(12-IF(MONTH(E200)=12,0,MONTH(E200)))+IF(AND(F199=1,F200=0),$Q$4,0))*IF(AND(F199=1,F200=0),1,0)</f>
      </c>
      <c r="J199" s="333">
        <f>(1+$M$5)^(D199/12)*(H199+IF(AND(F199=1,F200=0),$Q$4,0))</f>
      </c>
      <c r="K199" s="351"/>
      <c r="L199" s="333">
        <f>K199+J199</f>
      </c>
      <c r="M199" s="170"/>
      <c r="N199" s="7"/>
      <c r="O199" s="1"/>
      <c r="P199" s="331">
        <f>D199</f>
      </c>
      <c r="Q199" s="169"/>
      <c r="R199" s="1"/>
      <c r="S199" s="217">
        <f>(1+$M$5)^(D199/12)*(IF(E199=$C$6,$Q$4+$H$5*12,0))</f>
      </c>
      <c r="T199" s="217">
        <f>(1+$M$5)^(D199/12)*(IF(YEAR(E199)&gt;YEAR($C$6),L199,0)+IF(E199=$C$6,$H$5*12+$Q$4,0))</f>
      </c>
    </row>
    <row x14ac:dyDescent="0.25" r="200" customHeight="1" ht="18.75">
      <c r="A200" s="1"/>
      <c r="B200" s="7"/>
      <c r="C200" s="170"/>
      <c r="D200" s="331">
        <v>193</v>
      </c>
      <c r="E200" s="544">
        <f>+DATE(YEAR(E199),MONTH(E199)-1,DAY(E199))</f>
        <v>25569.041666666668</v>
      </c>
      <c r="F200" s="333">
        <f>IF(DATE(YEAR($B$6),MONTH($B$6)+1,DAY(1))=E200,1,IF(MONTH(E200)=1,F201*(1+$F$5),F201))</f>
      </c>
      <c r="G200" s="333">
        <f>IF('Simulador - 1º Pilar'!$E$99="Sí",IF('Aportaciones Flex'!$B$13&lt;'Aportaciones Flex'!E200,0,F200*$B$8/12),F200*$B$8/12)</f>
      </c>
      <c r="H200" s="333">
        <f>IF(G200&gt;0,1,0)*$H$5*IF(AND($I$5="NO",YEAR(E200)=YEAR($B$6)+1),1,IF($I$5="SI",1,0))</f>
      </c>
      <c r="I200" s="217">
        <f>(1+$M$5)^(D200/12)*(H200*(12-IF(MONTH(E201)=12,0,MONTH(E201)))+IF(AND(F200=1,F201=0),$Q$4,0))*IF(AND(F200=1,F201=0),1,0)</f>
      </c>
      <c r="J200" s="333">
        <f>(1+$M$5)^(D200/12)*(H200+IF(AND(F200=1,F201=0),$Q$4,0))</f>
      </c>
      <c r="K200" s="351"/>
      <c r="L200" s="333">
        <f>K200+J200</f>
      </c>
      <c r="M200" s="170"/>
      <c r="N200" s="7"/>
      <c r="O200" s="1"/>
      <c r="P200" s="331">
        <f>D200</f>
      </c>
      <c r="Q200" s="169"/>
      <c r="R200" s="1"/>
      <c r="S200" s="217">
        <f>(1+$M$5)^(D200/12)*(IF(E200=$C$6,$Q$4+$H$5*12,0))</f>
      </c>
      <c r="T200" s="217">
        <f>(1+$M$5)^(D200/12)*(IF(YEAR(E200)&gt;YEAR($C$6),L200,0)+IF(E200=$C$6,$H$5*12+$Q$4,0))</f>
      </c>
    </row>
    <row x14ac:dyDescent="0.25" r="201" customHeight="1" ht="18.75">
      <c r="A201" s="1"/>
      <c r="B201" s="7"/>
      <c r="C201" s="170"/>
      <c r="D201" s="331">
        <v>194</v>
      </c>
      <c r="E201" s="544">
        <f>+DATE(YEAR(E200),MONTH(E200)-1,DAY(E200))</f>
        <v>25569.041666666668</v>
      </c>
      <c r="F201" s="333">
        <f>IF(DATE(YEAR($B$6),MONTH($B$6)+1,DAY(1))=E201,1,IF(MONTH(E201)=1,F202*(1+$F$5),F202))</f>
      </c>
      <c r="G201" s="333">
        <f>IF('Simulador - 1º Pilar'!$E$99="Sí",IF('Aportaciones Flex'!$B$13&lt;'Aportaciones Flex'!E201,0,F201*$B$8/12),F201*$B$8/12)</f>
      </c>
      <c r="H201" s="333">
        <f>IF(G201&gt;0,1,0)*$H$5*IF(AND($I$5="NO",YEAR(E201)=YEAR($B$6)+1),1,IF($I$5="SI",1,0))</f>
      </c>
      <c r="I201" s="217">
        <f>(1+$M$5)^(D201/12)*(H201*(12-IF(MONTH(E202)=12,0,MONTH(E202)))+IF(AND(F201=1,F202=0),$Q$4,0))*IF(AND(F201=1,F202=0),1,0)</f>
      </c>
      <c r="J201" s="333">
        <f>(1+$M$5)^(D201/12)*(H201+IF(AND(F201=1,F202=0),$Q$4,0))</f>
      </c>
      <c r="K201" s="351"/>
      <c r="L201" s="333">
        <f>K201+J201</f>
      </c>
      <c r="M201" s="170"/>
      <c r="N201" s="7"/>
      <c r="O201" s="1"/>
      <c r="P201" s="331">
        <f>D201</f>
      </c>
      <c r="Q201" s="169"/>
      <c r="R201" s="1"/>
      <c r="S201" s="217">
        <f>(1+$M$5)^(D201/12)*(IF(E201=$C$6,$Q$4+$H$5*12,0))</f>
      </c>
      <c r="T201" s="217">
        <f>(1+$M$5)^(D201/12)*(IF(YEAR(E201)&gt;YEAR($C$6),L201,0)+IF(E201=$C$6,$H$5*12+$Q$4,0))</f>
      </c>
    </row>
    <row x14ac:dyDescent="0.25" r="202" customHeight="1" ht="18.75">
      <c r="A202" s="1"/>
      <c r="B202" s="7"/>
      <c r="C202" s="170"/>
      <c r="D202" s="331">
        <v>195</v>
      </c>
      <c r="E202" s="544">
        <f>+DATE(YEAR(E201),MONTH(E201)-1,DAY(E201))</f>
        <v>25569.041666666668</v>
      </c>
      <c r="F202" s="333">
        <f>IF(DATE(YEAR($B$6),MONTH($B$6)+1,DAY(1))=E202,1,IF(MONTH(E202)=1,F203*(1+$F$5),F203))</f>
      </c>
      <c r="G202" s="333">
        <f>IF('Simulador - 1º Pilar'!$E$99="Sí",IF('Aportaciones Flex'!$B$13&lt;'Aportaciones Flex'!E202,0,F202*$B$8/12),F202*$B$8/12)</f>
      </c>
      <c r="H202" s="333">
        <f>IF(G202&gt;0,1,0)*$H$5*IF(AND($I$5="NO",YEAR(E202)=YEAR($B$6)+1),1,IF($I$5="SI",1,0))</f>
      </c>
      <c r="I202" s="217">
        <f>(1+$M$5)^(D202/12)*(H202*(12-IF(MONTH(E203)=12,0,MONTH(E203)))+IF(AND(F202=1,F203=0),$Q$4,0))*IF(AND(F202=1,F203=0),1,0)</f>
      </c>
      <c r="J202" s="333">
        <f>(1+$M$5)^(D202/12)*(H202+IF(AND(F202=1,F203=0),$Q$4,0))</f>
      </c>
      <c r="K202" s="351"/>
      <c r="L202" s="333">
        <f>K202+J202</f>
      </c>
      <c r="M202" s="170"/>
      <c r="N202" s="7"/>
      <c r="O202" s="1"/>
      <c r="P202" s="331">
        <f>D202</f>
      </c>
      <c r="Q202" s="169"/>
      <c r="R202" s="1"/>
      <c r="S202" s="217">
        <f>(1+$M$5)^(D202/12)*(IF(E202=$C$6,$Q$4+$H$5*12,0))</f>
      </c>
      <c r="T202" s="217">
        <f>(1+$M$5)^(D202/12)*(IF(YEAR(E202)&gt;YEAR($C$6),L202,0)+IF(E202=$C$6,$H$5*12+$Q$4,0))</f>
      </c>
    </row>
    <row x14ac:dyDescent="0.25" r="203" customHeight="1" ht="18.75">
      <c r="A203" s="1"/>
      <c r="B203" s="7"/>
      <c r="C203" s="170"/>
      <c r="D203" s="331">
        <v>196</v>
      </c>
      <c r="E203" s="544">
        <f>+DATE(YEAR(E202),MONTH(E202)-1,DAY(E202))</f>
        <v>25569.041666666668</v>
      </c>
      <c r="F203" s="333">
        <f>IF(DATE(YEAR($B$6),MONTH($B$6)+1,DAY(1))=E203,1,IF(MONTH(E203)=1,F204*(1+$F$5),F204))</f>
      </c>
      <c r="G203" s="333">
        <f>IF('Simulador - 1º Pilar'!$E$99="Sí",IF('Aportaciones Flex'!$B$13&lt;'Aportaciones Flex'!E203,0,F203*$B$8/12),F203*$B$8/12)</f>
      </c>
      <c r="H203" s="333">
        <f>IF(G203&gt;0,1,0)*$H$5*IF(AND($I$5="NO",YEAR(E203)=YEAR($B$6)+1),1,IF($I$5="SI",1,0))</f>
      </c>
      <c r="I203" s="217">
        <f>(1+$M$5)^(D203/12)*(H203*(12-IF(MONTH(E204)=12,0,MONTH(E204)))+IF(AND(F203=1,F204=0),$Q$4,0))*IF(AND(F203=1,F204=0),1,0)</f>
      </c>
      <c r="J203" s="333">
        <f>(1+$M$5)^(D203/12)*(H203+IF(AND(F203=1,F204=0),$Q$4,0))</f>
      </c>
      <c r="K203" s="351"/>
      <c r="L203" s="333">
        <f>K203+J203</f>
      </c>
      <c r="M203" s="170"/>
      <c r="N203" s="7"/>
      <c r="O203" s="1"/>
      <c r="P203" s="331">
        <f>D203</f>
      </c>
      <c r="Q203" s="169"/>
      <c r="R203" s="1"/>
      <c r="S203" s="217">
        <f>(1+$M$5)^(D203/12)*(IF(E203=$C$6,$Q$4+$H$5*12,0))</f>
      </c>
      <c r="T203" s="217">
        <f>(1+$M$5)^(D203/12)*(IF(YEAR(E203)&gt;YEAR($C$6),L203,0)+IF(E203=$C$6,$H$5*12+$Q$4,0))</f>
      </c>
    </row>
    <row x14ac:dyDescent="0.25" r="204" customHeight="1" ht="18.75">
      <c r="A204" s="1"/>
      <c r="B204" s="7"/>
      <c r="C204" s="170"/>
      <c r="D204" s="331">
        <v>197</v>
      </c>
      <c r="E204" s="544">
        <f>+DATE(YEAR(E203),MONTH(E203)-1,DAY(E203))</f>
        <v>25569.041666666668</v>
      </c>
      <c r="F204" s="333">
        <f>IF(DATE(YEAR($B$6),MONTH($B$6)+1,DAY(1))=E204,1,IF(MONTH(E204)=1,F205*(1+$F$5),F205))</f>
      </c>
      <c r="G204" s="333">
        <f>IF('Simulador - 1º Pilar'!$E$99="Sí",IF('Aportaciones Flex'!$B$13&lt;'Aportaciones Flex'!E204,0,F204*$B$8/12),F204*$B$8/12)</f>
      </c>
      <c r="H204" s="333">
        <f>IF(G204&gt;0,1,0)*$H$5*IF(AND($I$5="NO",YEAR(E204)=YEAR($B$6)+1),1,IF($I$5="SI",1,0))</f>
      </c>
      <c r="I204" s="217">
        <f>(1+$M$5)^(D204/12)*(H204*(12-IF(MONTH(E205)=12,0,MONTH(E205)))+IF(AND(F204=1,F205=0),$Q$4,0))*IF(AND(F204=1,F205=0),1,0)</f>
      </c>
      <c r="J204" s="333">
        <f>(1+$M$5)^(D204/12)*(H204+IF(AND(F204=1,F205=0),$Q$4,0))</f>
      </c>
      <c r="K204" s="351"/>
      <c r="L204" s="333">
        <f>K204+J204</f>
      </c>
      <c r="M204" s="170"/>
      <c r="N204" s="7"/>
      <c r="O204" s="1"/>
      <c r="P204" s="331">
        <f>D204</f>
      </c>
      <c r="Q204" s="169"/>
      <c r="R204" s="1"/>
      <c r="S204" s="217">
        <f>(1+$M$5)^(D204/12)*(IF(E204=$C$6,$Q$4+$H$5*12,0))</f>
      </c>
      <c r="T204" s="217">
        <f>(1+$M$5)^(D204/12)*(IF(YEAR(E204)&gt;YEAR($C$6),L204,0)+IF(E204=$C$6,$H$5*12+$Q$4,0))</f>
      </c>
    </row>
    <row x14ac:dyDescent="0.25" r="205" customHeight="1" ht="18.75">
      <c r="A205" s="1"/>
      <c r="B205" s="7"/>
      <c r="C205" s="170"/>
      <c r="D205" s="331">
        <v>198</v>
      </c>
      <c r="E205" s="544">
        <f>+DATE(YEAR(E204),MONTH(E204)-1,DAY(E204))</f>
        <v>25569.041666666668</v>
      </c>
      <c r="F205" s="333">
        <f>IF(DATE(YEAR($B$6),MONTH($B$6)+1,DAY(1))=E205,1,IF(MONTH(E205)=1,F206*(1+$F$5),F206))</f>
      </c>
      <c r="G205" s="333">
        <f>IF('Simulador - 1º Pilar'!$E$99="Sí",IF('Aportaciones Flex'!$B$13&lt;'Aportaciones Flex'!E205,0,F205*$B$8/12),F205*$B$8/12)</f>
      </c>
      <c r="H205" s="333">
        <f>IF(G205&gt;0,1,0)*$H$5*IF(AND($I$5="NO",YEAR(E205)=YEAR($B$6)+1),1,IF($I$5="SI",1,0))</f>
      </c>
      <c r="I205" s="217">
        <f>(1+$M$5)^(D205/12)*(H205*(12-IF(MONTH(E206)=12,0,MONTH(E206)))+IF(AND(F205=1,F206=0),$Q$4,0))*IF(AND(F205=1,F206=0),1,0)</f>
      </c>
      <c r="J205" s="333">
        <f>(1+$M$5)^(D205/12)*(H205+IF(AND(F205=1,F206=0),$Q$4,0))</f>
      </c>
      <c r="K205" s="351"/>
      <c r="L205" s="333">
        <f>K205+J205</f>
      </c>
      <c r="M205" s="170"/>
      <c r="N205" s="7"/>
      <c r="O205" s="1"/>
      <c r="P205" s="331">
        <f>D205</f>
      </c>
      <c r="Q205" s="169"/>
      <c r="R205" s="1"/>
      <c r="S205" s="217">
        <f>(1+$M$5)^(D205/12)*(IF(E205=$C$6,$Q$4+$H$5*12,0))</f>
      </c>
      <c r="T205" s="217">
        <f>(1+$M$5)^(D205/12)*(IF(YEAR(E205)&gt;YEAR($C$6),L205,0)+IF(E205=$C$6,$H$5*12+$Q$4,0))</f>
      </c>
    </row>
    <row x14ac:dyDescent="0.25" r="206" customHeight="1" ht="18.75">
      <c r="A206" s="1"/>
      <c r="B206" s="7"/>
      <c r="C206" s="170"/>
      <c r="D206" s="331">
        <v>199</v>
      </c>
      <c r="E206" s="544">
        <f>+DATE(YEAR(E205),MONTH(E205)-1,DAY(E205))</f>
        <v>25569.041666666668</v>
      </c>
      <c r="F206" s="333">
        <f>IF(DATE(YEAR($B$6),MONTH($B$6)+1,DAY(1))=E206,1,IF(MONTH(E206)=1,F207*(1+$F$5),F207))</f>
      </c>
      <c r="G206" s="333">
        <f>IF('Simulador - 1º Pilar'!$E$99="Sí",IF('Aportaciones Flex'!$B$13&lt;'Aportaciones Flex'!E206,0,F206*$B$8/12),F206*$B$8/12)</f>
      </c>
      <c r="H206" s="333">
        <f>IF(G206&gt;0,1,0)*$H$5*IF(AND($I$5="NO",YEAR(E206)=YEAR($B$6)+1),1,IF($I$5="SI",1,0))</f>
      </c>
      <c r="I206" s="217">
        <f>(1+$M$5)^(D206/12)*(H206*(12-IF(MONTH(E207)=12,0,MONTH(E207)))+IF(AND(F206=1,F207=0),$Q$4,0))*IF(AND(F206=1,F207=0),1,0)</f>
      </c>
      <c r="J206" s="333">
        <f>(1+$M$5)^(D206/12)*(H206+IF(AND(F206=1,F207=0),$Q$4,0))</f>
      </c>
      <c r="K206" s="351"/>
      <c r="L206" s="333">
        <f>K206+J206</f>
      </c>
      <c r="M206" s="170"/>
      <c r="N206" s="7"/>
      <c r="O206" s="1"/>
      <c r="P206" s="331">
        <f>D206</f>
      </c>
      <c r="Q206" s="169"/>
      <c r="R206" s="1"/>
      <c r="S206" s="217">
        <f>(1+$M$5)^(D206/12)*(IF(E206=$C$6,$Q$4+$H$5*12,0))</f>
      </c>
      <c r="T206" s="217">
        <f>(1+$M$5)^(D206/12)*(IF(YEAR(E206)&gt;YEAR($C$6),L206,0)+IF(E206=$C$6,$H$5*12+$Q$4,0))</f>
      </c>
    </row>
    <row x14ac:dyDescent="0.25" r="207" customHeight="1" ht="18.75">
      <c r="A207" s="1"/>
      <c r="B207" s="7"/>
      <c r="C207" s="170"/>
      <c r="D207" s="331">
        <v>200</v>
      </c>
      <c r="E207" s="544">
        <f>+DATE(YEAR(E206),MONTH(E206)-1,DAY(E206))</f>
        <v>25569.041666666668</v>
      </c>
      <c r="F207" s="333">
        <f>IF(DATE(YEAR($B$6),MONTH($B$6)+1,DAY(1))=E207,1,IF(MONTH(E207)=1,F208*(1+$F$5),F208))</f>
      </c>
      <c r="G207" s="333">
        <f>IF('Simulador - 1º Pilar'!$E$99="Sí",IF('Aportaciones Flex'!$B$13&lt;'Aportaciones Flex'!E207,0,F207*$B$8/12),F207*$B$8/12)</f>
      </c>
      <c r="H207" s="333">
        <f>IF(G207&gt;0,1,0)*$H$5*IF(AND($I$5="NO",YEAR(E207)=YEAR($B$6)+1),1,IF($I$5="SI",1,0))</f>
      </c>
      <c r="I207" s="217">
        <f>(1+$M$5)^(D207/12)*(H207*(12-IF(MONTH(E208)=12,0,MONTH(E208)))+IF(AND(F207=1,F208=0),$Q$4,0))*IF(AND(F207=1,F208=0),1,0)</f>
      </c>
      <c r="J207" s="333">
        <f>(1+$M$5)^(D207/12)*(H207+IF(AND(F207=1,F208=0),$Q$4,0))</f>
      </c>
      <c r="K207" s="351"/>
      <c r="L207" s="333">
        <f>K207+J207</f>
      </c>
      <c r="M207" s="170"/>
      <c r="N207" s="7"/>
      <c r="O207" s="1"/>
      <c r="P207" s="331">
        <f>D207</f>
      </c>
      <c r="Q207" s="169"/>
      <c r="R207" s="1"/>
      <c r="S207" s="217">
        <f>(1+$M$5)^(D207/12)*(IF(E207=$C$6,$Q$4+$H$5*12,0))</f>
      </c>
      <c r="T207" s="217">
        <f>(1+$M$5)^(D207/12)*(IF(YEAR(E207)&gt;YEAR($C$6),L207,0)+IF(E207=$C$6,$H$5*12+$Q$4,0))</f>
      </c>
    </row>
    <row x14ac:dyDescent="0.25" r="208" customHeight="1" ht="18.75">
      <c r="A208" s="1"/>
      <c r="B208" s="7"/>
      <c r="C208" s="170"/>
      <c r="D208" s="331">
        <v>201</v>
      </c>
      <c r="E208" s="544">
        <f>+DATE(YEAR(E207),MONTH(E207)-1,DAY(E207))</f>
        <v>25569.041666666668</v>
      </c>
      <c r="F208" s="333">
        <f>IF(DATE(YEAR($B$6),MONTH($B$6)+1,DAY(1))=E208,1,IF(MONTH(E208)=1,F209*(1+$F$5),F209))</f>
      </c>
      <c r="G208" s="333">
        <f>IF('Simulador - 1º Pilar'!$E$99="Sí",IF('Aportaciones Flex'!$B$13&lt;'Aportaciones Flex'!E208,0,F208*$B$8/12),F208*$B$8/12)</f>
      </c>
      <c r="H208" s="333">
        <f>IF(G208&gt;0,1,0)*$H$5*IF(AND($I$5="NO",YEAR(E208)=YEAR($B$6)+1),1,IF($I$5="SI",1,0))</f>
      </c>
      <c r="I208" s="217">
        <f>(1+$M$5)^(D208/12)*(H208*(12-IF(MONTH(E209)=12,0,MONTH(E209)))+IF(AND(F208=1,F209=0),$Q$4,0))*IF(AND(F208=1,F209=0),1,0)</f>
      </c>
      <c r="J208" s="333">
        <f>(1+$M$5)^(D208/12)*(H208+IF(AND(F208=1,F209=0),$Q$4,0))</f>
      </c>
      <c r="K208" s="351"/>
      <c r="L208" s="333">
        <f>K208+J208</f>
      </c>
      <c r="M208" s="170"/>
      <c r="N208" s="7"/>
      <c r="O208" s="1"/>
      <c r="P208" s="331">
        <f>D208</f>
      </c>
      <c r="Q208" s="169"/>
      <c r="R208" s="1"/>
      <c r="S208" s="217">
        <f>(1+$M$5)^(D208/12)*(IF(E208=$C$6,$Q$4+$H$5*12,0))</f>
      </c>
      <c r="T208" s="217">
        <f>(1+$M$5)^(D208/12)*(IF(YEAR(E208)&gt;YEAR($C$6),L208,0)+IF(E208=$C$6,$H$5*12+$Q$4,0))</f>
      </c>
    </row>
    <row x14ac:dyDescent="0.25" r="209" customHeight="1" ht="18.75">
      <c r="A209" s="1"/>
      <c r="B209" s="7"/>
      <c r="C209" s="170"/>
      <c r="D209" s="331">
        <v>202</v>
      </c>
      <c r="E209" s="544">
        <f>+DATE(YEAR(E208),MONTH(E208)-1,DAY(E208))</f>
        <v>25569.041666666668</v>
      </c>
      <c r="F209" s="333">
        <f>IF(DATE(YEAR($B$6),MONTH($B$6)+1,DAY(1))=E209,1,IF(MONTH(E209)=1,F210*(1+$F$5),F210))</f>
      </c>
      <c r="G209" s="333">
        <f>IF('Simulador - 1º Pilar'!$E$99="Sí",IF('Aportaciones Flex'!$B$13&lt;'Aportaciones Flex'!E209,0,F209*$B$8/12),F209*$B$8/12)</f>
      </c>
      <c r="H209" s="333">
        <f>IF(G209&gt;0,1,0)*$H$5*IF(AND($I$5="NO",YEAR(E209)=YEAR($B$6)+1),1,IF($I$5="SI",1,0))</f>
      </c>
      <c r="I209" s="217">
        <f>(1+$M$5)^(D209/12)*(H209*(12-IF(MONTH(E210)=12,0,MONTH(E210)))+IF(AND(F209=1,F210=0),$Q$4,0))*IF(AND(F209=1,F210=0),1,0)</f>
      </c>
      <c r="J209" s="333">
        <f>(1+$M$5)^(D209/12)*(H209+IF(AND(F209=1,F210=0),$Q$4,0))</f>
      </c>
      <c r="K209" s="351"/>
      <c r="L209" s="333">
        <f>K209+J209</f>
      </c>
      <c r="M209" s="170"/>
      <c r="N209" s="7"/>
      <c r="O209" s="1"/>
      <c r="P209" s="331">
        <f>D209</f>
      </c>
      <c r="Q209" s="169"/>
      <c r="R209" s="1"/>
      <c r="S209" s="217">
        <f>(1+$M$5)^(D209/12)*(IF(E209=$C$6,$Q$4+$H$5*12,0))</f>
      </c>
      <c r="T209" s="217">
        <f>(1+$M$5)^(D209/12)*(IF(YEAR(E209)&gt;YEAR($C$6),L209,0)+IF(E209=$C$6,$H$5*12+$Q$4,0))</f>
      </c>
    </row>
    <row x14ac:dyDescent="0.25" r="210" customHeight="1" ht="18.75">
      <c r="A210" s="1"/>
      <c r="B210" s="7"/>
      <c r="C210" s="170"/>
      <c r="D210" s="331">
        <v>203</v>
      </c>
      <c r="E210" s="544">
        <f>+DATE(YEAR(E209),MONTH(E209)-1,DAY(E209))</f>
        <v>25569.041666666668</v>
      </c>
      <c r="F210" s="333">
        <f>IF(DATE(YEAR($B$6),MONTH($B$6)+1,DAY(1))=E210,1,IF(MONTH(E210)=1,F211*(1+$F$5),F211))</f>
      </c>
      <c r="G210" s="333">
        <f>IF('Simulador - 1º Pilar'!$E$99="Sí",IF('Aportaciones Flex'!$B$13&lt;'Aportaciones Flex'!E210,0,F210*$B$8/12),F210*$B$8/12)</f>
      </c>
      <c r="H210" s="333">
        <f>IF(G210&gt;0,1,0)*$H$5*IF(AND($I$5="NO",YEAR(E210)=YEAR($B$6)+1),1,IF($I$5="SI",1,0))</f>
      </c>
      <c r="I210" s="217">
        <f>(1+$M$5)^(D210/12)*(H210*(12-IF(MONTH(E211)=12,0,MONTH(E211)))+IF(AND(F210=1,F211=0),$Q$4,0))*IF(AND(F210=1,F211=0),1,0)</f>
      </c>
      <c r="J210" s="333">
        <f>(1+$M$5)^(D210/12)*(H210+IF(AND(F210=1,F211=0),$Q$4,0))</f>
      </c>
      <c r="K210" s="351"/>
      <c r="L210" s="333">
        <f>K210+J210</f>
      </c>
      <c r="M210" s="170"/>
      <c r="N210" s="7"/>
      <c r="O210" s="1"/>
      <c r="P210" s="331">
        <f>D210</f>
      </c>
      <c r="Q210" s="169"/>
      <c r="R210" s="1"/>
      <c r="S210" s="217">
        <f>(1+$M$5)^(D210/12)*(IF(E210=$C$6,$Q$4+$H$5*12,0))</f>
      </c>
      <c r="T210" s="217">
        <f>(1+$M$5)^(D210/12)*(IF(YEAR(E210)&gt;YEAR($C$6),L210,0)+IF(E210=$C$6,$H$5*12+$Q$4,0))</f>
      </c>
    </row>
    <row x14ac:dyDescent="0.25" r="211" customHeight="1" ht="18.75">
      <c r="A211" s="1"/>
      <c r="B211" s="7"/>
      <c r="C211" s="170"/>
      <c r="D211" s="331">
        <v>204</v>
      </c>
      <c r="E211" s="544">
        <f>+DATE(YEAR(E210),MONTH(E210)-1,DAY(E210))</f>
        <v>25569.041666666668</v>
      </c>
      <c r="F211" s="333">
        <f>IF(DATE(YEAR($B$6),MONTH($B$6)+1,DAY(1))=E211,1,IF(MONTH(E211)=1,F212*(1+$F$5),F212))</f>
      </c>
      <c r="G211" s="333">
        <f>IF('Simulador - 1º Pilar'!$E$99="Sí",IF('Aportaciones Flex'!$B$13&lt;'Aportaciones Flex'!E211,0,F211*$B$8/12),F211*$B$8/12)</f>
      </c>
      <c r="H211" s="333">
        <f>IF(G211&gt;0,1,0)*$H$5*IF(AND($I$5="NO",YEAR(E211)=YEAR($B$6)+1),1,IF($I$5="SI",1,0))</f>
      </c>
      <c r="I211" s="217">
        <f>(1+$M$5)^(D211/12)*(H211*(12-IF(MONTH(E212)=12,0,MONTH(E212)))+IF(AND(F211=1,F212=0),$Q$4,0))*IF(AND(F211=1,F212=0),1,0)</f>
      </c>
      <c r="J211" s="333">
        <f>(1+$M$5)^(D211/12)*(H211+IF(AND(F211=1,F212=0),$Q$4,0))</f>
      </c>
      <c r="K211" s="351"/>
      <c r="L211" s="333">
        <f>K211+J211</f>
      </c>
      <c r="M211" s="170"/>
      <c r="N211" s="7"/>
      <c r="O211" s="1"/>
      <c r="P211" s="331">
        <f>D211</f>
      </c>
      <c r="Q211" s="169"/>
      <c r="R211" s="1"/>
      <c r="S211" s="217">
        <f>(1+$M$5)^(D211/12)*(IF(E211=$C$6,$Q$4+$H$5*12,0))</f>
      </c>
      <c r="T211" s="217">
        <f>(1+$M$5)^(D211/12)*(IF(YEAR(E211)&gt;YEAR($C$6),L211,0)+IF(E211=$C$6,$H$5*12+$Q$4,0))</f>
      </c>
    </row>
    <row x14ac:dyDescent="0.25" r="212" customHeight="1" ht="18.75">
      <c r="A212" s="1"/>
      <c r="B212" s="7"/>
      <c r="C212" s="170"/>
      <c r="D212" s="331">
        <v>205</v>
      </c>
      <c r="E212" s="544">
        <f>+DATE(YEAR(E211),MONTH(E211)-1,DAY(E211))</f>
        <v>25569.041666666668</v>
      </c>
      <c r="F212" s="333">
        <f>IF(DATE(YEAR($B$6),MONTH($B$6)+1,DAY(1))=E212,1,IF(MONTH(E212)=1,F213*(1+$F$5),F213))</f>
      </c>
      <c r="G212" s="333">
        <f>IF('Simulador - 1º Pilar'!$E$99="Sí",IF('Aportaciones Flex'!$B$13&lt;'Aportaciones Flex'!E212,0,F212*$B$8/12),F212*$B$8/12)</f>
      </c>
      <c r="H212" s="333">
        <f>IF(G212&gt;0,1,0)*$H$5*IF(AND($I$5="NO",YEAR(E212)=YEAR($B$6)+1),1,IF($I$5="SI",1,0))</f>
      </c>
      <c r="I212" s="217">
        <f>(1+$M$5)^(D212/12)*(H212*(12-IF(MONTH(E213)=12,0,MONTH(E213)))+IF(AND(F212=1,F213=0),$Q$4,0))*IF(AND(F212=1,F213=0),1,0)</f>
      </c>
      <c r="J212" s="333">
        <f>(1+$M$5)^(D212/12)*(H212+IF(AND(F212=1,F213=0),$Q$4,0))</f>
      </c>
      <c r="K212" s="351"/>
      <c r="L212" s="333">
        <f>K212+J212</f>
      </c>
      <c r="M212" s="170"/>
      <c r="N212" s="7"/>
      <c r="O212" s="1"/>
      <c r="P212" s="331">
        <f>D212</f>
      </c>
      <c r="Q212" s="169"/>
      <c r="R212" s="1"/>
      <c r="S212" s="217">
        <f>(1+$M$5)^(D212/12)*(IF(E212=$C$6,$Q$4+$H$5*12,0))</f>
      </c>
      <c r="T212" s="217">
        <f>(1+$M$5)^(D212/12)*(IF(YEAR(E212)&gt;YEAR($C$6),L212,0)+IF(E212=$C$6,$H$5*12+$Q$4,0))</f>
      </c>
    </row>
    <row x14ac:dyDescent="0.25" r="213" customHeight="1" ht="18.75">
      <c r="A213" s="1"/>
      <c r="B213" s="7"/>
      <c r="C213" s="170"/>
      <c r="D213" s="331">
        <v>206</v>
      </c>
      <c r="E213" s="544">
        <f>+DATE(YEAR(E212),MONTH(E212)-1,DAY(E212))</f>
        <v>25569.041666666668</v>
      </c>
      <c r="F213" s="333">
        <f>IF(DATE(YEAR($B$6),MONTH($B$6)+1,DAY(1))=E213,1,IF(MONTH(E213)=1,F214*(1+$F$5),F214))</f>
      </c>
      <c r="G213" s="333">
        <f>IF('Simulador - 1º Pilar'!$E$99="Sí",IF('Aportaciones Flex'!$B$13&lt;'Aportaciones Flex'!E213,0,F213*$B$8/12),F213*$B$8/12)</f>
      </c>
      <c r="H213" s="333">
        <f>IF(G213&gt;0,1,0)*$H$5*IF(AND($I$5="NO",YEAR(E213)=YEAR($B$6)+1),1,IF($I$5="SI",1,0))</f>
      </c>
      <c r="I213" s="217">
        <f>(1+$M$5)^(D213/12)*(H213*(12-IF(MONTH(E214)=12,0,MONTH(E214)))+IF(AND(F213=1,F214=0),$Q$4,0))*IF(AND(F213=1,F214=0),1,0)</f>
      </c>
      <c r="J213" s="333">
        <f>(1+$M$5)^(D213/12)*(H213+IF(AND(F213=1,F214=0),$Q$4,0))</f>
      </c>
      <c r="K213" s="351"/>
      <c r="L213" s="333">
        <f>K213+J213</f>
      </c>
      <c r="M213" s="170"/>
      <c r="N213" s="7"/>
      <c r="O213" s="1"/>
      <c r="P213" s="331">
        <f>D213</f>
      </c>
      <c r="Q213" s="169"/>
      <c r="R213" s="1"/>
      <c r="S213" s="217">
        <f>(1+$M$5)^(D213/12)*(IF(E213=$C$6,$Q$4+$H$5*12,0))</f>
      </c>
      <c r="T213" s="217">
        <f>(1+$M$5)^(D213/12)*(IF(YEAR(E213)&gt;YEAR($C$6),L213,0)+IF(E213=$C$6,$H$5*12+$Q$4,0))</f>
      </c>
    </row>
    <row x14ac:dyDescent="0.25" r="214" customHeight="1" ht="18.75">
      <c r="A214" s="1"/>
      <c r="B214" s="7"/>
      <c r="C214" s="170"/>
      <c r="D214" s="331">
        <v>207</v>
      </c>
      <c r="E214" s="544">
        <f>+DATE(YEAR(E213),MONTH(E213)-1,DAY(E213))</f>
        <v>25569.041666666668</v>
      </c>
      <c r="F214" s="333">
        <f>IF(DATE(YEAR($B$6),MONTH($B$6)+1,DAY(1))=E214,1,IF(MONTH(E214)=1,F215*(1+$F$5),F215))</f>
      </c>
      <c r="G214" s="333">
        <f>IF('Simulador - 1º Pilar'!$E$99="Sí",IF('Aportaciones Flex'!$B$13&lt;'Aportaciones Flex'!E214,0,F214*$B$8/12),F214*$B$8/12)</f>
      </c>
      <c r="H214" s="333">
        <f>IF(G214&gt;0,1,0)*$H$5*IF(AND($I$5="NO",YEAR(E214)=YEAR($B$6)+1),1,IF($I$5="SI",1,0))</f>
      </c>
      <c r="I214" s="217">
        <f>(1+$M$5)^(D214/12)*(H214*(12-IF(MONTH(E215)=12,0,MONTH(E215)))+IF(AND(F214=1,F215=0),$Q$4,0))*IF(AND(F214=1,F215=0),1,0)</f>
      </c>
      <c r="J214" s="333">
        <f>(1+$M$5)^(D214/12)*(H214+IF(AND(F214=1,F215=0),$Q$4,0))</f>
      </c>
      <c r="K214" s="351"/>
      <c r="L214" s="333">
        <f>K214+J214</f>
      </c>
      <c r="M214" s="170"/>
      <c r="N214" s="7"/>
      <c r="O214" s="1"/>
      <c r="P214" s="331">
        <f>D214</f>
      </c>
      <c r="Q214" s="169"/>
      <c r="R214" s="1"/>
      <c r="S214" s="217">
        <f>(1+$M$5)^(D214/12)*(IF(E214=$C$6,$Q$4+$H$5*12,0))</f>
      </c>
      <c r="T214" s="217">
        <f>(1+$M$5)^(D214/12)*(IF(YEAR(E214)&gt;YEAR($C$6),L214,0)+IF(E214=$C$6,$H$5*12+$Q$4,0))</f>
      </c>
    </row>
    <row x14ac:dyDescent="0.25" r="215" customHeight="1" ht="18.75">
      <c r="A215" s="1"/>
      <c r="B215" s="7"/>
      <c r="C215" s="170"/>
      <c r="D215" s="331">
        <v>208</v>
      </c>
      <c r="E215" s="544">
        <f>+DATE(YEAR(E214),MONTH(E214)-1,DAY(E214))</f>
        <v>25569.041666666668</v>
      </c>
      <c r="F215" s="333">
        <f>IF(DATE(YEAR($B$6),MONTH($B$6)+1,DAY(1))=E215,1,IF(MONTH(E215)=1,F216*(1+$F$5),F216))</f>
      </c>
      <c r="G215" s="333">
        <f>IF('Simulador - 1º Pilar'!$E$99="Sí",IF('Aportaciones Flex'!$B$13&lt;'Aportaciones Flex'!E215,0,F215*$B$8/12),F215*$B$8/12)</f>
      </c>
      <c r="H215" s="333">
        <f>IF(G215&gt;0,1,0)*$H$5*IF(AND($I$5="NO",YEAR(E215)=YEAR($B$6)+1),1,IF($I$5="SI",1,0))</f>
      </c>
      <c r="I215" s="217">
        <f>(1+$M$5)^(D215/12)*(H215*(12-IF(MONTH(E216)=12,0,MONTH(E216)))+IF(AND(F215=1,F216=0),$Q$4,0))*IF(AND(F215=1,F216=0),1,0)</f>
      </c>
      <c r="J215" s="333">
        <f>(1+$M$5)^(D215/12)*(H215+IF(AND(F215=1,F216=0),$Q$4,0))</f>
      </c>
      <c r="K215" s="351"/>
      <c r="L215" s="333">
        <f>K215+J215</f>
      </c>
      <c r="M215" s="170"/>
      <c r="N215" s="7"/>
      <c r="O215" s="1"/>
      <c r="P215" s="331">
        <f>D215</f>
      </c>
      <c r="Q215" s="169"/>
      <c r="R215" s="1"/>
      <c r="S215" s="217">
        <f>(1+$M$5)^(D215/12)*(IF(E215=$C$6,$Q$4+$H$5*12,0))</f>
      </c>
      <c r="T215" s="217">
        <f>(1+$M$5)^(D215/12)*(IF(YEAR(E215)&gt;YEAR($C$6),L215,0)+IF(E215=$C$6,$H$5*12+$Q$4,0))</f>
      </c>
    </row>
    <row x14ac:dyDescent="0.25" r="216" customHeight="1" ht="18.75">
      <c r="A216" s="1"/>
      <c r="B216" s="7"/>
      <c r="C216" s="170"/>
      <c r="D216" s="331">
        <v>209</v>
      </c>
      <c r="E216" s="544">
        <f>+DATE(YEAR(E215),MONTH(E215)-1,DAY(E215))</f>
        <v>25569.041666666668</v>
      </c>
      <c r="F216" s="333">
        <f>IF(DATE(YEAR($B$6),MONTH($B$6)+1,DAY(1))=E216,1,IF(MONTH(E216)=1,F217*(1+$F$5),F217))</f>
      </c>
      <c r="G216" s="333">
        <f>IF('Simulador - 1º Pilar'!$E$99="Sí",IF('Aportaciones Flex'!$B$13&lt;'Aportaciones Flex'!E216,0,F216*$B$8/12),F216*$B$8/12)</f>
      </c>
      <c r="H216" s="333">
        <f>IF(G216&gt;0,1,0)*$H$5*IF(AND($I$5="NO",YEAR(E216)=YEAR($B$6)+1),1,IF($I$5="SI",1,0))</f>
      </c>
      <c r="I216" s="217">
        <f>(1+$M$5)^(D216/12)*(H216*(12-IF(MONTH(E217)=12,0,MONTH(E217)))+IF(AND(F216=1,F217=0),$Q$4,0))*IF(AND(F216=1,F217=0),1,0)</f>
      </c>
      <c r="J216" s="333">
        <f>(1+$M$5)^(D216/12)*(H216+IF(AND(F216=1,F217=0),$Q$4,0))</f>
      </c>
      <c r="K216" s="351"/>
      <c r="L216" s="333">
        <f>K216+J216</f>
      </c>
      <c r="M216" s="170"/>
      <c r="N216" s="7"/>
      <c r="O216" s="1"/>
      <c r="P216" s="331">
        <f>D216</f>
      </c>
      <c r="Q216" s="169"/>
      <c r="R216" s="1"/>
      <c r="S216" s="217">
        <f>(1+$M$5)^(D216/12)*(IF(E216=$C$6,$Q$4+$H$5*12,0))</f>
      </c>
      <c r="T216" s="217">
        <f>(1+$M$5)^(D216/12)*(IF(YEAR(E216)&gt;YEAR($C$6),L216,0)+IF(E216=$C$6,$H$5*12+$Q$4,0))</f>
      </c>
    </row>
    <row x14ac:dyDescent="0.25" r="217" customHeight="1" ht="18.75">
      <c r="A217" s="1"/>
      <c r="B217" s="7"/>
      <c r="C217" s="170"/>
      <c r="D217" s="331">
        <v>210</v>
      </c>
      <c r="E217" s="544">
        <f>+DATE(YEAR(E216),MONTH(E216)-1,DAY(E216))</f>
        <v>25569.041666666668</v>
      </c>
      <c r="F217" s="333">
        <f>IF(DATE(YEAR($B$6),MONTH($B$6)+1,DAY(1))=E217,1,IF(MONTH(E217)=1,F218*(1+$F$5),F218))</f>
      </c>
      <c r="G217" s="333">
        <f>IF('Simulador - 1º Pilar'!$E$99="Sí",IF('Aportaciones Flex'!$B$13&lt;'Aportaciones Flex'!E217,0,F217*$B$8/12),F217*$B$8/12)</f>
      </c>
      <c r="H217" s="333">
        <f>IF(G217&gt;0,1,0)*$H$5*IF(AND($I$5="NO",YEAR(E217)=YEAR($B$6)+1),1,IF($I$5="SI",1,0))</f>
      </c>
      <c r="I217" s="217">
        <f>(1+$M$5)^(D217/12)*(H217*(12-IF(MONTH(E218)=12,0,MONTH(E218)))+IF(AND(F217=1,F218=0),$Q$4,0))*IF(AND(F217=1,F218=0),1,0)</f>
      </c>
      <c r="J217" s="333">
        <f>(1+$M$5)^(D217/12)*(H217+IF(AND(F217=1,F218=0),$Q$4,0))</f>
      </c>
      <c r="K217" s="351"/>
      <c r="L217" s="333">
        <f>K217+J217</f>
      </c>
      <c r="M217" s="170"/>
      <c r="N217" s="7"/>
      <c r="O217" s="1"/>
      <c r="P217" s="331">
        <f>D217</f>
      </c>
      <c r="Q217" s="169"/>
      <c r="R217" s="1"/>
      <c r="S217" s="217">
        <f>(1+$M$5)^(D217/12)*(IF(E217=$C$6,$Q$4+$H$5*12,0))</f>
      </c>
      <c r="T217" s="217">
        <f>(1+$M$5)^(D217/12)*(IF(YEAR(E217)&gt;YEAR($C$6),L217,0)+IF(E217=$C$6,$H$5*12+$Q$4,0))</f>
      </c>
    </row>
    <row x14ac:dyDescent="0.25" r="218" customHeight="1" ht="18.75">
      <c r="A218" s="1"/>
      <c r="B218" s="7"/>
      <c r="C218" s="170"/>
      <c r="D218" s="331">
        <v>211</v>
      </c>
      <c r="E218" s="544">
        <f>+DATE(YEAR(E217),MONTH(E217)-1,DAY(E217))</f>
        <v>25569.041666666668</v>
      </c>
      <c r="F218" s="333">
        <f>IF(DATE(YEAR($B$6),MONTH($B$6)+1,DAY(1))=E218,1,IF(MONTH(E218)=1,F219*(1+$F$5),F219))</f>
      </c>
      <c r="G218" s="333">
        <f>IF('Simulador - 1º Pilar'!$E$99="Sí",IF('Aportaciones Flex'!$B$13&lt;'Aportaciones Flex'!E218,0,F218*$B$8/12),F218*$B$8/12)</f>
      </c>
      <c r="H218" s="333">
        <f>IF(G218&gt;0,1,0)*$H$5*IF(AND($I$5="NO",YEAR(E218)=YEAR($B$6)+1),1,IF($I$5="SI",1,0))</f>
      </c>
      <c r="I218" s="217">
        <f>(1+$M$5)^(D218/12)*(H218*(12-IF(MONTH(E219)=12,0,MONTH(E219)))+IF(AND(F218=1,F219=0),$Q$4,0))*IF(AND(F218=1,F219=0),1,0)</f>
      </c>
      <c r="J218" s="333">
        <f>(1+$M$5)^(D218/12)*(H218+IF(AND(F218=1,F219=0),$Q$4,0))</f>
      </c>
      <c r="K218" s="351"/>
      <c r="L218" s="333">
        <f>K218+J218</f>
      </c>
      <c r="M218" s="170"/>
      <c r="N218" s="7"/>
      <c r="O218" s="1"/>
      <c r="P218" s="331">
        <f>D218</f>
      </c>
      <c r="Q218" s="169"/>
      <c r="R218" s="1"/>
      <c r="S218" s="217">
        <f>(1+$M$5)^(D218/12)*(IF(E218=$C$6,$Q$4+$H$5*12,0))</f>
      </c>
      <c r="T218" s="217">
        <f>(1+$M$5)^(D218/12)*(IF(YEAR(E218)&gt;YEAR($C$6),L218,0)+IF(E218=$C$6,$H$5*12+$Q$4,0))</f>
      </c>
    </row>
    <row x14ac:dyDescent="0.25" r="219" customHeight="1" ht="18.75">
      <c r="A219" s="1"/>
      <c r="B219" s="7"/>
      <c r="C219" s="170"/>
      <c r="D219" s="331">
        <v>212</v>
      </c>
      <c r="E219" s="544">
        <f>+DATE(YEAR(E218),MONTH(E218)-1,DAY(E218))</f>
        <v>25569.041666666668</v>
      </c>
      <c r="F219" s="333">
        <f>IF(DATE(YEAR($B$6),MONTH($B$6)+1,DAY(1))=E219,1,IF(MONTH(E219)=1,F220*(1+$F$5),F220))</f>
      </c>
      <c r="G219" s="333">
        <f>IF('Simulador - 1º Pilar'!$E$99="Sí",IF('Aportaciones Flex'!$B$13&lt;'Aportaciones Flex'!E219,0,F219*$B$8/12),F219*$B$8/12)</f>
      </c>
      <c r="H219" s="333">
        <f>IF(G219&gt;0,1,0)*$H$5*IF(AND($I$5="NO",YEAR(E219)=YEAR($B$6)+1),1,IF($I$5="SI",1,0))</f>
      </c>
      <c r="I219" s="217">
        <f>(1+$M$5)^(D219/12)*(H219*(12-IF(MONTH(E220)=12,0,MONTH(E220)))+IF(AND(F219=1,F220=0),$Q$4,0))*IF(AND(F219=1,F220=0),1,0)</f>
      </c>
      <c r="J219" s="333">
        <f>(1+$M$5)^(D219/12)*(H219+IF(AND(F219=1,F220=0),$Q$4,0))</f>
      </c>
      <c r="K219" s="351"/>
      <c r="L219" s="333">
        <f>K219+J219</f>
      </c>
      <c r="M219" s="170"/>
      <c r="N219" s="7"/>
      <c r="O219" s="1"/>
      <c r="P219" s="331">
        <f>D219</f>
      </c>
      <c r="Q219" s="169"/>
      <c r="R219" s="1"/>
      <c r="S219" s="217">
        <f>(1+$M$5)^(D219/12)*(IF(E219=$C$6,$Q$4+$H$5*12,0))</f>
      </c>
      <c r="T219" s="217">
        <f>(1+$M$5)^(D219/12)*(IF(YEAR(E219)&gt;YEAR($C$6),L219,0)+IF(E219=$C$6,$H$5*12+$Q$4,0))</f>
      </c>
    </row>
    <row x14ac:dyDescent="0.25" r="220" customHeight="1" ht="18.75">
      <c r="A220" s="1"/>
      <c r="B220" s="7"/>
      <c r="C220" s="170"/>
      <c r="D220" s="331">
        <v>213</v>
      </c>
      <c r="E220" s="544">
        <f>+DATE(YEAR(E219),MONTH(E219)-1,DAY(E219))</f>
        <v>25569.041666666668</v>
      </c>
      <c r="F220" s="333">
        <f>IF(DATE(YEAR($B$6),MONTH($B$6)+1,DAY(1))=E220,1,IF(MONTH(E220)=1,F221*(1+$F$5),F221))</f>
      </c>
      <c r="G220" s="333">
        <f>IF('Simulador - 1º Pilar'!$E$99="Sí",IF('Aportaciones Flex'!$B$13&lt;'Aportaciones Flex'!E220,0,F220*$B$8/12),F220*$B$8/12)</f>
      </c>
      <c r="H220" s="333">
        <f>IF(G220&gt;0,1,0)*$H$5*IF(AND($I$5="NO",YEAR(E220)=YEAR($B$6)+1),1,IF($I$5="SI",1,0))</f>
      </c>
      <c r="I220" s="217">
        <f>(1+$M$5)^(D220/12)*(H220*(12-IF(MONTH(E221)=12,0,MONTH(E221)))+IF(AND(F220=1,F221=0),$Q$4,0))*IF(AND(F220=1,F221=0),1,0)</f>
      </c>
      <c r="J220" s="333">
        <f>(1+$M$5)^(D220/12)*(H220+IF(AND(F220=1,F221=0),$Q$4,0))</f>
      </c>
      <c r="K220" s="351"/>
      <c r="L220" s="333">
        <f>K220+J220</f>
      </c>
      <c r="M220" s="170"/>
      <c r="N220" s="7"/>
      <c r="O220" s="1"/>
      <c r="P220" s="331">
        <f>D220</f>
      </c>
      <c r="Q220" s="169"/>
      <c r="R220" s="1"/>
      <c r="S220" s="217">
        <f>(1+$M$5)^(D220/12)*(IF(E220=$C$6,$Q$4+$H$5*12,0))</f>
      </c>
      <c r="T220" s="217">
        <f>(1+$M$5)^(D220/12)*(IF(YEAR(E220)&gt;YEAR($C$6),L220,0)+IF(E220=$C$6,$H$5*12+$Q$4,0))</f>
      </c>
    </row>
    <row x14ac:dyDescent="0.25" r="221" customHeight="1" ht="18.75">
      <c r="A221" s="1"/>
      <c r="B221" s="7"/>
      <c r="C221" s="170"/>
      <c r="D221" s="331">
        <v>214</v>
      </c>
      <c r="E221" s="544">
        <f>+DATE(YEAR(E220),MONTH(E220)-1,DAY(E220))</f>
        <v>25569.041666666668</v>
      </c>
      <c r="F221" s="333">
        <f>IF(DATE(YEAR($B$6),MONTH($B$6)+1,DAY(1))=E221,1,IF(MONTH(E221)=1,F222*(1+$F$5),F222))</f>
      </c>
      <c r="G221" s="333">
        <f>IF('Simulador - 1º Pilar'!$E$99="Sí",IF('Aportaciones Flex'!$B$13&lt;'Aportaciones Flex'!E221,0,F221*$B$8/12),F221*$B$8/12)</f>
      </c>
      <c r="H221" s="333">
        <f>IF(G221&gt;0,1,0)*$H$5*IF(AND($I$5="NO",YEAR(E221)=YEAR($B$6)+1),1,IF($I$5="SI",1,0))</f>
      </c>
      <c r="I221" s="217">
        <f>(1+$M$5)^(D221/12)*(H221*(12-IF(MONTH(E222)=12,0,MONTH(E222)))+IF(AND(F221=1,F222=0),$Q$4,0))*IF(AND(F221=1,F222=0),1,0)</f>
      </c>
      <c r="J221" s="333">
        <f>(1+$M$5)^(D221/12)*(H221+IF(AND(F221=1,F222=0),$Q$4,0))</f>
      </c>
      <c r="K221" s="351"/>
      <c r="L221" s="333">
        <f>K221+J221</f>
      </c>
      <c r="M221" s="170"/>
      <c r="N221" s="7"/>
      <c r="O221" s="1"/>
      <c r="P221" s="331">
        <f>D221</f>
      </c>
      <c r="Q221" s="169"/>
      <c r="R221" s="1"/>
      <c r="S221" s="217">
        <f>(1+$M$5)^(D221/12)*(IF(E221=$C$6,$Q$4+$H$5*12,0))</f>
      </c>
      <c r="T221" s="217">
        <f>(1+$M$5)^(D221/12)*(IF(YEAR(E221)&gt;YEAR($C$6),L221,0)+IF(E221=$C$6,$H$5*12+$Q$4,0))</f>
      </c>
    </row>
    <row x14ac:dyDescent="0.25" r="222" customHeight="1" ht="18.75">
      <c r="A222" s="1"/>
      <c r="B222" s="7"/>
      <c r="C222" s="170"/>
      <c r="D222" s="331">
        <v>215</v>
      </c>
      <c r="E222" s="544">
        <f>+DATE(YEAR(E221),MONTH(E221)-1,DAY(E221))</f>
        <v>25569.041666666668</v>
      </c>
      <c r="F222" s="333">
        <f>IF(DATE(YEAR($B$6),MONTH($B$6)+1,DAY(1))=E222,1,IF(MONTH(E222)=1,F223*(1+$F$5),F223))</f>
      </c>
      <c r="G222" s="333">
        <f>IF('Simulador - 1º Pilar'!$E$99="Sí",IF('Aportaciones Flex'!$B$13&lt;'Aportaciones Flex'!E222,0,F222*$B$8/12),F222*$B$8/12)</f>
      </c>
      <c r="H222" s="333">
        <f>IF(G222&gt;0,1,0)*$H$5*IF(AND($I$5="NO",YEAR(E222)=YEAR($B$6)+1),1,IF($I$5="SI",1,0))</f>
      </c>
      <c r="I222" s="217">
        <f>(1+$M$5)^(D222/12)*(H222*(12-IF(MONTH(E223)=12,0,MONTH(E223)))+IF(AND(F222=1,F223=0),$Q$4,0))*IF(AND(F222=1,F223=0),1,0)</f>
      </c>
      <c r="J222" s="333">
        <f>(1+$M$5)^(D222/12)*(H222+IF(AND(F222=1,F223=0),$Q$4,0))</f>
      </c>
      <c r="K222" s="351"/>
      <c r="L222" s="333">
        <f>K222+J222</f>
      </c>
      <c r="M222" s="170"/>
      <c r="N222" s="7"/>
      <c r="O222" s="1"/>
      <c r="P222" s="331">
        <f>D222</f>
      </c>
      <c r="Q222" s="169"/>
      <c r="R222" s="1"/>
      <c r="S222" s="217">
        <f>(1+$M$5)^(D222/12)*(IF(E222=$C$6,$Q$4+$H$5*12,0))</f>
      </c>
      <c r="T222" s="217">
        <f>(1+$M$5)^(D222/12)*(IF(YEAR(E222)&gt;YEAR($C$6),L222,0)+IF(E222=$C$6,$H$5*12+$Q$4,0))</f>
      </c>
    </row>
    <row x14ac:dyDescent="0.25" r="223" customHeight="1" ht="18.75">
      <c r="A223" s="1"/>
      <c r="B223" s="7"/>
      <c r="C223" s="170"/>
      <c r="D223" s="331">
        <v>216</v>
      </c>
      <c r="E223" s="544">
        <f>+DATE(YEAR(E222),MONTH(E222)-1,DAY(E222))</f>
        <v>25569.041666666668</v>
      </c>
      <c r="F223" s="333">
        <f>IF(DATE(YEAR($B$6),MONTH($B$6)+1,DAY(1))=E223,1,IF(MONTH(E223)=1,F224*(1+$F$5),F224))</f>
      </c>
      <c r="G223" s="333">
        <f>IF('Simulador - 1º Pilar'!$E$99="Sí",IF('Aportaciones Flex'!$B$13&lt;'Aportaciones Flex'!E223,0,F223*$B$8/12),F223*$B$8/12)</f>
      </c>
      <c r="H223" s="333">
        <f>IF(G223&gt;0,1,0)*$H$5*IF(AND($I$5="NO",YEAR(E223)=YEAR($B$6)+1),1,IF($I$5="SI",1,0))</f>
      </c>
      <c r="I223" s="217">
        <f>(1+$M$5)^(D223/12)*(H223*(12-IF(MONTH(E224)=12,0,MONTH(E224)))+IF(AND(F223=1,F224=0),$Q$4,0))*IF(AND(F223=1,F224=0),1,0)</f>
      </c>
      <c r="J223" s="333">
        <f>(1+$M$5)^(D223/12)*(H223+IF(AND(F223=1,F224=0),$Q$4,0))</f>
      </c>
      <c r="K223" s="351"/>
      <c r="L223" s="333">
        <f>K223+J223</f>
      </c>
      <c r="M223" s="170"/>
      <c r="N223" s="7"/>
      <c r="O223" s="1"/>
      <c r="P223" s="331">
        <f>D223</f>
      </c>
      <c r="Q223" s="169"/>
      <c r="R223" s="1"/>
      <c r="S223" s="217">
        <f>(1+$M$5)^(D223/12)*(IF(E223=$C$6,$Q$4+$H$5*12,0))</f>
      </c>
      <c r="T223" s="217">
        <f>(1+$M$5)^(D223/12)*(IF(YEAR(E223)&gt;YEAR($C$6),L223,0)+IF(E223=$C$6,$H$5*12+$Q$4,0))</f>
      </c>
    </row>
    <row x14ac:dyDescent="0.25" r="224" customHeight="1" ht="18.75">
      <c r="A224" s="1"/>
      <c r="B224" s="7"/>
      <c r="C224" s="170"/>
      <c r="D224" s="331">
        <v>217</v>
      </c>
      <c r="E224" s="544">
        <f>+DATE(YEAR(E223),MONTH(E223)-1,DAY(E223))</f>
        <v>25569.041666666668</v>
      </c>
      <c r="F224" s="333">
        <f>IF(DATE(YEAR($B$6),MONTH($B$6)+1,DAY(1))=E224,1,IF(MONTH(E224)=1,F225*(1+$F$5),F225))</f>
      </c>
      <c r="G224" s="333">
        <f>IF('Simulador - 1º Pilar'!$E$99="Sí",IF('Aportaciones Flex'!$B$13&lt;'Aportaciones Flex'!E224,0,F224*$B$8/12),F224*$B$8/12)</f>
      </c>
      <c r="H224" s="333">
        <f>IF(G224&gt;0,1,0)*$H$5*IF(AND($I$5="NO",YEAR(E224)=YEAR($B$6)+1),1,IF($I$5="SI",1,0))</f>
      </c>
      <c r="I224" s="217">
        <f>(1+$M$5)^(D224/12)*(H224*(12-IF(MONTH(E225)=12,0,MONTH(E225)))+IF(AND(F224=1,F225=0),$Q$4,0))*IF(AND(F224=1,F225=0),1,0)</f>
      </c>
      <c r="J224" s="333">
        <f>(1+$M$5)^(D224/12)*(H224+IF(AND(F224=1,F225=0),$Q$4,0))</f>
      </c>
      <c r="K224" s="351"/>
      <c r="L224" s="333">
        <f>K224+J224</f>
      </c>
      <c r="M224" s="170"/>
      <c r="N224" s="7"/>
      <c r="O224" s="1"/>
      <c r="P224" s="331">
        <f>D224</f>
      </c>
      <c r="Q224" s="169"/>
      <c r="R224" s="1"/>
      <c r="S224" s="217">
        <f>(1+$M$5)^(D224/12)*(IF(E224=$C$6,$Q$4+$H$5*12,0))</f>
      </c>
      <c r="T224" s="217">
        <f>(1+$M$5)^(D224/12)*(IF(YEAR(E224)&gt;YEAR($C$6),L224,0)+IF(E224=$C$6,$H$5*12+$Q$4,0))</f>
      </c>
    </row>
    <row x14ac:dyDescent="0.25" r="225" customHeight="1" ht="18.75">
      <c r="A225" s="1"/>
      <c r="B225" s="7"/>
      <c r="C225" s="170"/>
      <c r="D225" s="331">
        <v>218</v>
      </c>
      <c r="E225" s="544">
        <f>+DATE(YEAR(E224),MONTH(E224)-1,DAY(E224))</f>
        <v>25569.041666666668</v>
      </c>
      <c r="F225" s="333">
        <f>IF(DATE(YEAR($B$6),MONTH($B$6)+1,DAY(1))=E225,1,IF(MONTH(E225)=1,F226*(1+$F$5),F226))</f>
      </c>
      <c r="G225" s="333">
        <f>IF('Simulador - 1º Pilar'!$E$99="Sí",IF('Aportaciones Flex'!$B$13&lt;'Aportaciones Flex'!E225,0,F225*$B$8/12),F225*$B$8/12)</f>
      </c>
      <c r="H225" s="333">
        <f>IF(G225&gt;0,1,0)*$H$5*IF(AND($I$5="NO",YEAR(E225)=YEAR($B$6)+1),1,IF($I$5="SI",1,0))</f>
      </c>
      <c r="I225" s="217">
        <f>(1+$M$5)^(D225/12)*(H225*(12-IF(MONTH(E226)=12,0,MONTH(E226)))+IF(AND(F225=1,F226=0),$Q$4,0))*IF(AND(F225=1,F226=0),1,0)</f>
      </c>
      <c r="J225" s="333">
        <f>(1+$M$5)^(D225/12)*(H225+IF(AND(F225=1,F226=0),$Q$4,0))</f>
      </c>
      <c r="K225" s="351"/>
      <c r="L225" s="333">
        <f>K225+J225</f>
      </c>
      <c r="M225" s="170"/>
      <c r="N225" s="7"/>
      <c r="O225" s="1"/>
      <c r="P225" s="331">
        <f>D225</f>
      </c>
      <c r="Q225" s="169"/>
      <c r="R225" s="1"/>
      <c r="S225" s="217">
        <f>(1+$M$5)^(D225/12)*(IF(E225=$C$6,$Q$4+$H$5*12,0))</f>
      </c>
      <c r="T225" s="217">
        <f>(1+$M$5)^(D225/12)*(IF(YEAR(E225)&gt;YEAR($C$6),L225,0)+IF(E225=$C$6,$H$5*12+$Q$4,0))</f>
      </c>
    </row>
    <row x14ac:dyDescent="0.25" r="226" customHeight="1" ht="18.75">
      <c r="A226" s="1"/>
      <c r="B226" s="7"/>
      <c r="C226" s="170"/>
      <c r="D226" s="331">
        <v>219</v>
      </c>
      <c r="E226" s="544">
        <f>+DATE(YEAR(E225),MONTH(E225)-1,DAY(E225))</f>
        <v>25569.041666666668</v>
      </c>
      <c r="F226" s="333">
        <f>IF(DATE(YEAR($B$6),MONTH($B$6)+1,DAY(1))=E226,1,IF(MONTH(E226)=1,F227*(1+$F$5),F227))</f>
      </c>
      <c r="G226" s="333">
        <f>IF('Simulador - 1º Pilar'!$E$99="Sí",IF('Aportaciones Flex'!$B$13&lt;'Aportaciones Flex'!E226,0,F226*$B$8/12),F226*$B$8/12)</f>
      </c>
      <c r="H226" s="333">
        <f>IF(G226&gt;0,1,0)*$H$5*IF(AND($I$5="NO",YEAR(E226)=YEAR($B$6)+1),1,IF($I$5="SI",1,0))</f>
      </c>
      <c r="I226" s="217">
        <f>(1+$M$5)^(D226/12)*(H226*(12-IF(MONTH(E227)=12,0,MONTH(E227)))+IF(AND(F226=1,F227=0),$Q$4,0))*IF(AND(F226=1,F227=0),1,0)</f>
      </c>
      <c r="J226" s="333">
        <f>(1+$M$5)^(D226/12)*(H226+IF(AND(F226=1,F227=0),$Q$4,0))</f>
      </c>
      <c r="K226" s="351"/>
      <c r="L226" s="333">
        <f>K226+J226</f>
      </c>
      <c r="M226" s="170"/>
      <c r="N226" s="7"/>
      <c r="O226" s="1"/>
      <c r="P226" s="331">
        <f>D226</f>
      </c>
      <c r="Q226" s="169"/>
      <c r="R226" s="1"/>
      <c r="S226" s="217">
        <f>(1+$M$5)^(D226/12)*(IF(E226=$C$6,$Q$4+$H$5*12,0))</f>
      </c>
      <c r="T226" s="217">
        <f>(1+$M$5)^(D226/12)*(IF(YEAR(E226)&gt;YEAR($C$6),L226,0)+IF(E226=$C$6,$H$5*12+$Q$4,0))</f>
      </c>
    </row>
    <row x14ac:dyDescent="0.25" r="227" customHeight="1" ht="18.75">
      <c r="A227" s="1"/>
      <c r="B227" s="7"/>
      <c r="C227" s="170"/>
      <c r="D227" s="331">
        <v>220</v>
      </c>
      <c r="E227" s="544">
        <f>+DATE(YEAR(E226),MONTH(E226)-1,DAY(E226))</f>
        <v>25569.041666666668</v>
      </c>
      <c r="F227" s="333">
        <f>IF(DATE(YEAR($B$6),MONTH($B$6)+1,DAY(1))=E227,1,IF(MONTH(E227)=1,F228*(1+$F$5),F228))</f>
      </c>
      <c r="G227" s="333">
        <f>IF('Simulador - 1º Pilar'!$E$99="Sí",IF('Aportaciones Flex'!$B$13&lt;'Aportaciones Flex'!E227,0,F227*$B$8/12),F227*$B$8/12)</f>
      </c>
      <c r="H227" s="333">
        <f>IF(G227&gt;0,1,0)*$H$5*IF(AND($I$5="NO",YEAR(E227)=YEAR($B$6)+1),1,IF($I$5="SI",1,0))</f>
      </c>
      <c r="I227" s="217">
        <f>(1+$M$5)^(D227/12)*(H227*(12-IF(MONTH(E228)=12,0,MONTH(E228)))+IF(AND(F227=1,F228=0),$Q$4,0))*IF(AND(F227=1,F228=0),1,0)</f>
      </c>
      <c r="J227" s="333">
        <f>(1+$M$5)^(D227/12)*(H227+IF(AND(F227=1,F228=0),$Q$4,0))</f>
      </c>
      <c r="K227" s="351"/>
      <c r="L227" s="333">
        <f>K227+J227</f>
      </c>
      <c r="M227" s="170"/>
      <c r="N227" s="7"/>
      <c r="O227" s="1"/>
      <c r="P227" s="331">
        <f>D227</f>
      </c>
      <c r="Q227" s="169"/>
      <c r="R227" s="1"/>
      <c r="S227" s="217">
        <f>(1+$M$5)^(D227/12)*(IF(E227=$C$6,$Q$4+$H$5*12,0))</f>
      </c>
      <c r="T227" s="217">
        <f>(1+$M$5)^(D227/12)*(IF(YEAR(E227)&gt;YEAR($C$6),L227,0)+IF(E227=$C$6,$H$5*12+$Q$4,0))</f>
      </c>
    </row>
    <row x14ac:dyDescent="0.25" r="228" customHeight="1" ht="18.75">
      <c r="A228" s="1"/>
      <c r="B228" s="7"/>
      <c r="C228" s="170"/>
      <c r="D228" s="331">
        <v>221</v>
      </c>
      <c r="E228" s="544">
        <f>+DATE(YEAR(E227),MONTH(E227)-1,DAY(E227))</f>
        <v>25569.041666666668</v>
      </c>
      <c r="F228" s="333">
        <f>IF(DATE(YEAR($B$6),MONTH($B$6)+1,DAY(1))=E228,1,IF(MONTH(E228)=1,F229*(1+$F$5),F229))</f>
      </c>
      <c r="G228" s="333">
        <f>IF('Simulador - 1º Pilar'!$E$99="Sí",IF('Aportaciones Flex'!$B$13&lt;'Aportaciones Flex'!E228,0,F228*$B$8/12),F228*$B$8/12)</f>
      </c>
      <c r="H228" s="333">
        <f>IF(G228&gt;0,1,0)*$H$5*IF(AND($I$5="NO",YEAR(E228)=YEAR($B$6)+1),1,IF($I$5="SI",1,0))</f>
      </c>
      <c r="I228" s="217">
        <f>(1+$M$5)^(D228/12)*(H228*(12-IF(MONTH(E229)=12,0,MONTH(E229)))+IF(AND(F228=1,F229=0),$Q$4,0))*IF(AND(F228=1,F229=0),1,0)</f>
      </c>
      <c r="J228" s="333">
        <f>(1+$M$5)^(D228/12)*(H228+IF(AND(F228=1,F229=0),$Q$4,0))</f>
      </c>
      <c r="K228" s="351"/>
      <c r="L228" s="333">
        <f>K228+J228</f>
      </c>
      <c r="M228" s="170"/>
      <c r="N228" s="7"/>
      <c r="O228" s="1"/>
      <c r="P228" s="331">
        <f>D228</f>
      </c>
      <c r="Q228" s="169"/>
      <c r="R228" s="1"/>
      <c r="S228" s="217">
        <f>(1+$M$5)^(D228/12)*(IF(E228=$C$6,$Q$4+$H$5*12,0))</f>
      </c>
      <c r="T228" s="217">
        <f>(1+$M$5)^(D228/12)*(IF(YEAR(E228)&gt;YEAR($C$6),L228,0)+IF(E228=$C$6,$H$5*12+$Q$4,0))</f>
      </c>
    </row>
    <row x14ac:dyDescent="0.25" r="229" customHeight="1" ht="18.75">
      <c r="A229" s="1"/>
      <c r="B229" s="7"/>
      <c r="C229" s="170"/>
      <c r="D229" s="331">
        <v>222</v>
      </c>
      <c r="E229" s="544">
        <f>+DATE(YEAR(E228),MONTH(E228)-1,DAY(E228))</f>
        <v>25569.041666666668</v>
      </c>
      <c r="F229" s="333">
        <f>IF(DATE(YEAR($B$6),MONTH($B$6)+1,DAY(1))=E229,1,IF(MONTH(E229)=1,F230*(1+$F$5),F230))</f>
      </c>
      <c r="G229" s="333">
        <f>IF('Simulador - 1º Pilar'!$E$99="Sí",IF('Aportaciones Flex'!$B$13&lt;'Aportaciones Flex'!E229,0,F229*$B$8/12),F229*$B$8/12)</f>
      </c>
      <c r="H229" s="333">
        <f>IF(G229&gt;0,1,0)*$H$5*IF(AND($I$5="NO",YEAR(E229)=YEAR($B$6)+1),1,IF($I$5="SI",1,0))</f>
      </c>
      <c r="I229" s="217">
        <f>(1+$M$5)^(D229/12)*(H229*(12-IF(MONTH(E230)=12,0,MONTH(E230)))+IF(AND(F229=1,F230=0),$Q$4,0))*IF(AND(F229=1,F230=0),1,0)</f>
      </c>
      <c r="J229" s="333">
        <f>(1+$M$5)^(D229/12)*(H229+IF(AND(F229=1,F230=0),$Q$4,0))</f>
      </c>
      <c r="K229" s="351"/>
      <c r="L229" s="333">
        <f>K229+J229</f>
      </c>
      <c r="M229" s="170"/>
      <c r="N229" s="7"/>
      <c r="O229" s="1"/>
      <c r="P229" s="331">
        <f>D229</f>
      </c>
      <c r="Q229" s="169"/>
      <c r="R229" s="1"/>
      <c r="S229" s="217">
        <f>(1+$M$5)^(D229/12)*(IF(E229=$C$6,$Q$4+$H$5*12,0))</f>
      </c>
      <c r="T229" s="217">
        <f>(1+$M$5)^(D229/12)*(IF(YEAR(E229)&gt;YEAR($C$6),L229,0)+IF(E229=$C$6,$H$5*12+$Q$4,0))</f>
      </c>
    </row>
    <row x14ac:dyDescent="0.25" r="230" customHeight="1" ht="18.75">
      <c r="A230" s="1"/>
      <c r="B230" s="7"/>
      <c r="C230" s="170"/>
      <c r="D230" s="331">
        <v>223</v>
      </c>
      <c r="E230" s="544">
        <f>+DATE(YEAR(E229),MONTH(E229)-1,DAY(E229))</f>
        <v>25569.041666666668</v>
      </c>
      <c r="F230" s="333">
        <f>IF(DATE(YEAR($B$6),MONTH($B$6)+1,DAY(1))=E230,1,IF(MONTH(E230)=1,F231*(1+$F$5),F231))</f>
      </c>
      <c r="G230" s="333">
        <f>IF('Simulador - 1º Pilar'!$E$99="Sí",IF('Aportaciones Flex'!$B$13&lt;'Aportaciones Flex'!E230,0,F230*$B$8/12),F230*$B$8/12)</f>
      </c>
      <c r="H230" s="333">
        <f>IF(G230&gt;0,1,0)*$H$5*IF(AND($I$5="NO",YEAR(E230)=YEAR($B$6)+1),1,IF($I$5="SI",1,0))</f>
      </c>
      <c r="I230" s="217">
        <f>(1+$M$5)^(D230/12)*(H230*(12-IF(MONTH(E231)=12,0,MONTH(E231)))+IF(AND(F230=1,F231=0),$Q$4,0))*IF(AND(F230=1,F231=0),1,0)</f>
      </c>
      <c r="J230" s="333">
        <f>(1+$M$5)^(D230/12)*(H230+IF(AND(F230=1,F231=0),$Q$4,0))</f>
      </c>
      <c r="K230" s="351"/>
      <c r="L230" s="333">
        <f>K230+J230</f>
      </c>
      <c r="M230" s="170"/>
      <c r="N230" s="7"/>
      <c r="O230" s="1"/>
      <c r="P230" s="331">
        <f>D230</f>
      </c>
      <c r="Q230" s="169"/>
      <c r="R230" s="1"/>
      <c r="S230" s="217">
        <f>(1+$M$5)^(D230/12)*(IF(E230=$C$6,$Q$4+$H$5*12,0))</f>
      </c>
      <c r="T230" s="217">
        <f>(1+$M$5)^(D230/12)*(IF(YEAR(E230)&gt;YEAR($C$6),L230,0)+IF(E230=$C$6,$H$5*12+$Q$4,0))</f>
      </c>
    </row>
    <row x14ac:dyDescent="0.25" r="231" customHeight="1" ht="18.75">
      <c r="A231" s="1"/>
      <c r="B231" s="7"/>
      <c r="C231" s="170"/>
      <c r="D231" s="331">
        <v>224</v>
      </c>
      <c r="E231" s="544">
        <f>+DATE(YEAR(E230),MONTH(E230)-1,DAY(E230))</f>
        <v>25569.041666666668</v>
      </c>
      <c r="F231" s="333">
        <f>IF(DATE(YEAR($B$6),MONTH($B$6)+1,DAY(1))=E231,1,IF(MONTH(E231)=1,F232*(1+$F$5),F232))</f>
      </c>
      <c r="G231" s="333">
        <f>IF('Simulador - 1º Pilar'!$E$99="Sí",IF('Aportaciones Flex'!$B$13&lt;'Aportaciones Flex'!E231,0,F231*$B$8/12),F231*$B$8/12)</f>
      </c>
      <c r="H231" s="333">
        <f>IF(G231&gt;0,1,0)*$H$5*IF(AND($I$5="NO",YEAR(E231)=YEAR($B$6)+1),1,IF($I$5="SI",1,0))</f>
      </c>
      <c r="I231" s="217">
        <f>(1+$M$5)^(D231/12)*(H231*(12-IF(MONTH(E232)=12,0,MONTH(E232)))+IF(AND(F231=1,F232=0),$Q$4,0))*IF(AND(F231=1,F232=0),1,0)</f>
      </c>
      <c r="J231" s="333">
        <f>(1+$M$5)^(D231/12)*(H231+IF(AND(F231=1,F232=0),$Q$4,0))</f>
      </c>
      <c r="K231" s="351"/>
      <c r="L231" s="333">
        <f>K231+J231</f>
      </c>
      <c r="M231" s="170"/>
      <c r="N231" s="7"/>
      <c r="O231" s="1"/>
      <c r="P231" s="331">
        <f>D231</f>
      </c>
      <c r="Q231" s="169"/>
      <c r="R231" s="1"/>
      <c r="S231" s="217">
        <f>(1+$M$5)^(D231/12)*(IF(E231=$C$6,$Q$4+$H$5*12,0))</f>
      </c>
      <c r="T231" s="217">
        <f>(1+$M$5)^(D231/12)*(IF(YEAR(E231)&gt;YEAR($C$6),L231,0)+IF(E231=$C$6,$H$5*12+$Q$4,0))</f>
      </c>
    </row>
    <row x14ac:dyDescent="0.25" r="232" customHeight="1" ht="18.75">
      <c r="A232" s="1"/>
      <c r="B232" s="7"/>
      <c r="C232" s="170"/>
      <c r="D232" s="331">
        <v>225</v>
      </c>
      <c r="E232" s="544">
        <f>+DATE(YEAR(E231),MONTH(E231)-1,DAY(E231))</f>
        <v>25569.041666666668</v>
      </c>
      <c r="F232" s="333">
        <f>IF(DATE(YEAR($B$6),MONTH($B$6)+1,DAY(1))=E232,1,IF(MONTH(E232)=1,F233*(1+$F$5),F233))</f>
      </c>
      <c r="G232" s="333">
        <f>IF('Simulador - 1º Pilar'!$E$99="Sí",IF('Aportaciones Flex'!$B$13&lt;'Aportaciones Flex'!E232,0,F232*$B$8/12),F232*$B$8/12)</f>
      </c>
      <c r="H232" s="333">
        <f>IF(G232&gt;0,1,0)*$H$5*IF(AND($I$5="NO",YEAR(E232)=YEAR($B$6)+1),1,IF($I$5="SI",1,0))</f>
      </c>
      <c r="I232" s="217">
        <f>(1+$M$5)^(D232/12)*(H232*(12-IF(MONTH(E233)=12,0,MONTH(E233)))+IF(AND(F232=1,F233=0),$Q$4,0))*IF(AND(F232=1,F233=0),1,0)</f>
      </c>
      <c r="J232" s="333">
        <f>(1+$M$5)^(D232/12)*(H232+IF(AND(F232=1,F233=0),$Q$4,0))</f>
      </c>
      <c r="K232" s="351"/>
      <c r="L232" s="333">
        <f>K232+J232</f>
      </c>
      <c r="M232" s="170"/>
      <c r="N232" s="7"/>
      <c r="O232" s="1"/>
      <c r="P232" s="331">
        <f>D232</f>
      </c>
      <c r="Q232" s="169"/>
      <c r="R232" s="1"/>
      <c r="S232" s="217">
        <f>(1+$M$5)^(D232/12)*(IF(E232=$C$6,$Q$4+$H$5*12,0))</f>
      </c>
      <c r="T232" s="217">
        <f>(1+$M$5)^(D232/12)*(IF(YEAR(E232)&gt;YEAR($C$6),L232,0)+IF(E232=$C$6,$H$5*12+$Q$4,0))</f>
      </c>
    </row>
    <row x14ac:dyDescent="0.25" r="233" customHeight="1" ht="18.75">
      <c r="A233" s="1"/>
      <c r="B233" s="7"/>
      <c r="C233" s="170"/>
      <c r="D233" s="331">
        <v>226</v>
      </c>
      <c r="E233" s="544">
        <f>+DATE(YEAR(E232),MONTH(E232)-1,DAY(E232))</f>
        <v>25569.041666666668</v>
      </c>
      <c r="F233" s="333">
        <f>IF(DATE(YEAR($B$6),MONTH($B$6)+1,DAY(1))=E233,1,IF(MONTH(E233)=1,F234*(1+$F$5),F234))</f>
      </c>
      <c r="G233" s="333">
        <f>IF('Simulador - 1º Pilar'!$E$99="Sí",IF('Aportaciones Flex'!$B$13&lt;'Aportaciones Flex'!E233,0,F233*$B$8/12),F233*$B$8/12)</f>
      </c>
      <c r="H233" s="333">
        <f>IF(G233&gt;0,1,0)*$H$5*IF(AND($I$5="NO",YEAR(E233)=YEAR($B$6)+1),1,IF($I$5="SI",1,0))</f>
      </c>
      <c r="I233" s="217">
        <f>(1+$M$5)^(D233/12)*(H233*(12-IF(MONTH(E234)=12,0,MONTH(E234)))+IF(AND(F233=1,F234=0),$Q$4,0))*IF(AND(F233=1,F234=0),1,0)</f>
      </c>
      <c r="J233" s="333">
        <f>(1+$M$5)^(D233/12)*(H233+IF(AND(F233=1,F234=0),$Q$4,0))</f>
      </c>
      <c r="K233" s="351"/>
      <c r="L233" s="333">
        <f>K233+J233</f>
      </c>
      <c r="M233" s="170"/>
      <c r="N233" s="7"/>
      <c r="O233" s="1"/>
      <c r="P233" s="331">
        <f>D233</f>
      </c>
      <c r="Q233" s="169"/>
      <c r="R233" s="1"/>
      <c r="S233" s="217">
        <f>(1+$M$5)^(D233/12)*(IF(E233=$C$6,$Q$4+$H$5*12,0))</f>
      </c>
      <c r="T233" s="217">
        <f>(1+$M$5)^(D233/12)*(IF(YEAR(E233)&gt;YEAR($C$6),L233,0)+IF(E233=$C$6,$H$5*12+$Q$4,0))</f>
      </c>
    </row>
    <row x14ac:dyDescent="0.25" r="234" customHeight="1" ht="18.75">
      <c r="A234" s="1"/>
      <c r="B234" s="7"/>
      <c r="C234" s="170"/>
      <c r="D234" s="331">
        <v>227</v>
      </c>
      <c r="E234" s="544">
        <f>+DATE(YEAR(E233),MONTH(E233)-1,DAY(E233))</f>
        <v>25569.041666666668</v>
      </c>
      <c r="F234" s="333">
        <f>IF(DATE(YEAR($B$6),MONTH($B$6)+1,DAY(1))=E234,1,IF(MONTH(E234)=1,F235*(1+$F$5),F235))</f>
      </c>
      <c r="G234" s="333">
        <f>IF('Simulador - 1º Pilar'!$E$99="Sí",IF('Aportaciones Flex'!$B$13&lt;'Aportaciones Flex'!E234,0,F234*$B$8/12),F234*$B$8/12)</f>
      </c>
      <c r="H234" s="333">
        <f>IF(G234&gt;0,1,0)*$H$5*IF(AND($I$5="NO",YEAR(E234)=YEAR($B$6)+1),1,IF($I$5="SI",1,0))</f>
      </c>
      <c r="I234" s="217">
        <f>(1+$M$5)^(D234/12)*(H234*(12-IF(MONTH(E235)=12,0,MONTH(E235)))+IF(AND(F234=1,F235=0),$Q$4,0))*IF(AND(F234=1,F235=0),1,0)</f>
      </c>
      <c r="J234" s="333">
        <f>(1+$M$5)^(D234/12)*(H234+IF(AND(F234=1,F235=0),$Q$4,0))</f>
      </c>
      <c r="K234" s="351"/>
      <c r="L234" s="333">
        <f>K234+J234</f>
      </c>
      <c r="M234" s="170"/>
      <c r="N234" s="7"/>
      <c r="O234" s="1"/>
      <c r="P234" s="331">
        <f>D234</f>
      </c>
      <c r="Q234" s="169"/>
      <c r="R234" s="1"/>
      <c r="S234" s="217">
        <f>(1+$M$5)^(D234/12)*(IF(E234=$C$6,$Q$4+$H$5*12,0))</f>
      </c>
      <c r="T234" s="217">
        <f>(1+$M$5)^(D234/12)*(IF(YEAR(E234)&gt;YEAR($C$6),L234,0)+IF(E234=$C$6,$H$5*12+$Q$4,0))</f>
      </c>
    </row>
    <row x14ac:dyDescent="0.25" r="235" customHeight="1" ht="18.75">
      <c r="A235" s="1"/>
      <c r="B235" s="7"/>
      <c r="C235" s="170"/>
      <c r="D235" s="331">
        <v>228</v>
      </c>
      <c r="E235" s="544">
        <f>+DATE(YEAR(E234),MONTH(E234)-1,DAY(E234))</f>
        <v>25569.041666666668</v>
      </c>
      <c r="F235" s="333">
        <f>IF(DATE(YEAR($B$6),MONTH($B$6)+1,DAY(1))=E235,1,IF(MONTH(E235)=1,F236*(1+$F$5),F236))</f>
      </c>
      <c r="G235" s="333">
        <f>IF('Simulador - 1º Pilar'!$E$99="Sí",IF('Aportaciones Flex'!$B$13&lt;'Aportaciones Flex'!E235,0,F235*$B$8/12),F235*$B$8/12)</f>
      </c>
      <c r="H235" s="333">
        <f>IF(G235&gt;0,1,0)*$H$5*IF(AND($I$5="NO",YEAR(E235)=YEAR($B$6)+1),1,IF($I$5="SI",1,0))</f>
      </c>
      <c r="I235" s="217">
        <f>(1+$M$5)^(D235/12)*(H235*(12-IF(MONTH(E236)=12,0,MONTH(E236)))+IF(AND(F235=1,F236=0),$Q$4,0))*IF(AND(F235=1,F236=0),1,0)</f>
      </c>
      <c r="J235" s="333">
        <f>(1+$M$5)^(D235/12)*(H235+IF(AND(F235=1,F236=0),$Q$4,0))</f>
      </c>
      <c r="K235" s="351"/>
      <c r="L235" s="333">
        <f>K235+J235</f>
      </c>
      <c r="M235" s="170"/>
      <c r="N235" s="7"/>
      <c r="O235" s="1"/>
      <c r="P235" s="331">
        <f>D235</f>
      </c>
      <c r="Q235" s="169"/>
      <c r="R235" s="1"/>
      <c r="S235" s="217">
        <f>(1+$M$5)^(D235/12)*(IF(E235=$C$6,$Q$4+$H$5*12,0))</f>
      </c>
      <c r="T235" s="217">
        <f>(1+$M$5)^(D235/12)*(IF(YEAR(E235)&gt;YEAR($C$6),L235,0)+IF(E235=$C$6,$H$5*12+$Q$4,0))</f>
      </c>
    </row>
    <row x14ac:dyDescent="0.25" r="236" customHeight="1" ht="18.75">
      <c r="A236" s="1"/>
      <c r="B236" s="7"/>
      <c r="C236" s="170"/>
      <c r="D236" s="331">
        <v>229</v>
      </c>
      <c r="E236" s="544">
        <f>+DATE(YEAR(E235),MONTH(E235)-1,DAY(E235))</f>
        <v>25569.041666666668</v>
      </c>
      <c r="F236" s="333">
        <f>IF(DATE(YEAR($B$6),MONTH($B$6)+1,DAY(1))=E236,1,IF(MONTH(E236)=1,F237*(1+$F$5),F237))</f>
      </c>
      <c r="G236" s="333">
        <f>IF('Simulador - 1º Pilar'!$E$99="Sí",IF('Aportaciones Flex'!$B$13&lt;'Aportaciones Flex'!E236,0,F236*$B$8/12),F236*$B$8/12)</f>
      </c>
      <c r="H236" s="333">
        <f>IF(G236&gt;0,1,0)*$H$5*IF(AND($I$5="NO",YEAR(E236)=YEAR($B$6)+1),1,IF($I$5="SI",1,0))</f>
      </c>
      <c r="I236" s="217">
        <f>(1+$M$5)^(D236/12)*(H236*(12-IF(MONTH(E237)=12,0,MONTH(E237)))+IF(AND(F236=1,F237=0),$Q$4,0))*IF(AND(F236=1,F237=0),1,0)</f>
      </c>
      <c r="J236" s="333">
        <f>(1+$M$5)^(D236/12)*(H236+IF(AND(F236=1,F237=0),$Q$4,0))</f>
      </c>
      <c r="K236" s="351"/>
      <c r="L236" s="333">
        <f>K236+J236</f>
      </c>
      <c r="M236" s="170"/>
      <c r="N236" s="7"/>
      <c r="O236" s="1"/>
      <c r="P236" s="331">
        <f>D236</f>
      </c>
      <c r="Q236" s="169"/>
      <c r="R236" s="1"/>
      <c r="S236" s="217">
        <f>(1+$M$5)^(D236/12)*(IF(E236=$C$6,$Q$4+$H$5*12,0))</f>
      </c>
      <c r="T236" s="217">
        <f>(1+$M$5)^(D236/12)*(IF(YEAR(E236)&gt;YEAR($C$6),L236,0)+IF(E236=$C$6,$H$5*12+$Q$4,0))</f>
      </c>
    </row>
    <row x14ac:dyDescent="0.25" r="237" customHeight="1" ht="18.75">
      <c r="A237" s="1"/>
      <c r="B237" s="7"/>
      <c r="C237" s="170"/>
      <c r="D237" s="331">
        <v>230</v>
      </c>
      <c r="E237" s="544">
        <f>+DATE(YEAR(E236),MONTH(E236)-1,DAY(E236))</f>
        <v>25569.041666666668</v>
      </c>
      <c r="F237" s="333">
        <f>IF(DATE(YEAR($B$6),MONTH($B$6)+1,DAY(1))=E237,1,IF(MONTH(E237)=1,F238*(1+$F$5),F238))</f>
      </c>
      <c r="G237" s="333">
        <f>IF('Simulador - 1º Pilar'!$E$99="Sí",IF('Aportaciones Flex'!$B$13&lt;'Aportaciones Flex'!E237,0,F237*$B$8/12),F237*$B$8/12)</f>
      </c>
      <c r="H237" s="333">
        <f>IF(G237&gt;0,1,0)*$H$5*IF(AND($I$5="NO",YEAR(E237)=YEAR($B$6)+1),1,IF($I$5="SI",1,0))</f>
      </c>
      <c r="I237" s="217">
        <f>(1+$M$5)^(D237/12)*(H237*(12-IF(MONTH(E238)=12,0,MONTH(E238)))+IF(AND(F237=1,F238=0),$Q$4,0))*IF(AND(F237=1,F238=0),1,0)</f>
      </c>
      <c r="J237" s="333">
        <f>(1+$M$5)^(D237/12)*(H237+IF(AND(F237=1,F238=0),$Q$4,0))</f>
      </c>
      <c r="K237" s="351"/>
      <c r="L237" s="333">
        <f>K237+J237</f>
      </c>
      <c r="M237" s="170"/>
      <c r="N237" s="7"/>
      <c r="O237" s="1"/>
      <c r="P237" s="331">
        <f>D237</f>
      </c>
      <c r="Q237" s="169"/>
      <c r="R237" s="1"/>
      <c r="S237" s="217">
        <f>(1+$M$5)^(D237/12)*(IF(E237=$C$6,$Q$4+$H$5*12,0))</f>
      </c>
      <c r="T237" s="217">
        <f>(1+$M$5)^(D237/12)*(IF(YEAR(E237)&gt;YEAR($C$6),L237,0)+IF(E237=$C$6,$H$5*12+$Q$4,0))</f>
      </c>
    </row>
    <row x14ac:dyDescent="0.25" r="238" customHeight="1" ht="18.75">
      <c r="A238" s="1"/>
      <c r="B238" s="7"/>
      <c r="C238" s="170"/>
      <c r="D238" s="331">
        <v>231</v>
      </c>
      <c r="E238" s="544">
        <f>+DATE(YEAR(E237),MONTH(E237)-1,DAY(E237))</f>
        <v>25569.041666666668</v>
      </c>
      <c r="F238" s="333">
        <f>IF(DATE(YEAR($B$6),MONTH($B$6)+1,DAY(1))=E238,1,IF(MONTH(E238)=1,F239*(1+$F$5),F239))</f>
      </c>
      <c r="G238" s="333">
        <f>IF('Simulador - 1º Pilar'!$E$99="Sí",IF('Aportaciones Flex'!$B$13&lt;'Aportaciones Flex'!E238,0,F238*$B$8/12),F238*$B$8/12)</f>
      </c>
      <c r="H238" s="333">
        <f>IF(G238&gt;0,1,0)*$H$5*IF(AND($I$5="NO",YEAR(E238)=YEAR($B$6)+1),1,IF($I$5="SI",1,0))</f>
      </c>
      <c r="I238" s="217">
        <f>(1+$M$5)^(D238/12)*(H238*(12-IF(MONTH(E239)=12,0,MONTH(E239)))+IF(AND(F238=1,F239=0),$Q$4,0))*IF(AND(F238=1,F239=0),1,0)</f>
      </c>
      <c r="J238" s="333">
        <f>(1+$M$5)^(D238/12)*(H238+IF(AND(F238=1,F239=0),$Q$4,0))</f>
      </c>
      <c r="K238" s="351"/>
      <c r="L238" s="333">
        <f>K238+J238</f>
      </c>
      <c r="M238" s="170"/>
      <c r="N238" s="7"/>
      <c r="O238" s="1"/>
      <c r="P238" s="331">
        <f>D238</f>
      </c>
      <c r="Q238" s="169"/>
      <c r="R238" s="1"/>
      <c r="S238" s="217">
        <f>(1+$M$5)^(D238/12)*(IF(E238=$C$6,$Q$4+$H$5*12,0))</f>
      </c>
      <c r="T238" s="217">
        <f>(1+$M$5)^(D238/12)*(IF(YEAR(E238)&gt;YEAR($C$6),L238,0)+IF(E238=$C$6,$H$5*12+$Q$4,0))</f>
      </c>
    </row>
    <row x14ac:dyDescent="0.25" r="239" customHeight="1" ht="18.75">
      <c r="A239" s="1"/>
      <c r="B239" s="7"/>
      <c r="C239" s="170"/>
      <c r="D239" s="331">
        <v>232</v>
      </c>
      <c r="E239" s="544">
        <f>+DATE(YEAR(E238),MONTH(E238)-1,DAY(E238))</f>
        <v>25569.041666666668</v>
      </c>
      <c r="F239" s="333">
        <f>IF(DATE(YEAR($B$6),MONTH($B$6)+1,DAY(1))=E239,1,IF(MONTH(E239)=1,F240*(1+$F$5),F240))</f>
      </c>
      <c r="G239" s="333">
        <f>IF('Simulador - 1º Pilar'!$E$99="Sí",IF('Aportaciones Flex'!$B$13&lt;'Aportaciones Flex'!E239,0,F239*$B$8/12),F239*$B$8/12)</f>
      </c>
      <c r="H239" s="333">
        <f>IF(G239&gt;0,1,0)*$H$5*IF(AND($I$5="NO",YEAR(E239)=YEAR($B$6)+1),1,IF($I$5="SI",1,0))</f>
      </c>
      <c r="I239" s="217">
        <f>(1+$M$5)^(D239/12)*(H239*(12-IF(MONTH(E240)=12,0,MONTH(E240)))+IF(AND(F239=1,F240=0),$Q$4,0))*IF(AND(F239=1,F240=0),1,0)</f>
      </c>
      <c r="J239" s="333">
        <f>(1+$M$5)^(D239/12)*(H239+IF(AND(F239=1,F240=0),$Q$4,0))</f>
      </c>
      <c r="K239" s="351"/>
      <c r="L239" s="333">
        <f>K239+J239</f>
      </c>
      <c r="M239" s="170"/>
      <c r="N239" s="7"/>
      <c r="O239" s="1"/>
      <c r="P239" s="331">
        <f>D239</f>
      </c>
      <c r="Q239" s="169"/>
      <c r="R239" s="1"/>
      <c r="S239" s="217">
        <f>(1+$M$5)^(D239/12)*(IF(E239=$C$6,$Q$4+$H$5*12,0))</f>
      </c>
      <c r="T239" s="217">
        <f>(1+$M$5)^(D239/12)*(IF(YEAR(E239)&gt;YEAR($C$6),L239,0)+IF(E239=$C$6,$H$5*12+$Q$4,0))</f>
      </c>
    </row>
    <row x14ac:dyDescent="0.25" r="240" customHeight="1" ht="18.75">
      <c r="A240" s="1"/>
      <c r="B240" s="7"/>
      <c r="C240" s="170"/>
      <c r="D240" s="331">
        <v>233</v>
      </c>
      <c r="E240" s="544">
        <f>+DATE(YEAR(E239),MONTH(E239)-1,DAY(E239))</f>
        <v>25569.041666666668</v>
      </c>
      <c r="F240" s="333">
        <f>IF(DATE(YEAR($B$6),MONTH($B$6)+1,DAY(1))=E240,1,IF(MONTH(E240)=1,F241*(1+$F$5),F241))</f>
      </c>
      <c r="G240" s="333">
        <f>IF('Simulador - 1º Pilar'!$E$99="Sí",IF('Aportaciones Flex'!$B$13&lt;'Aportaciones Flex'!E240,0,F240*$B$8/12),F240*$B$8/12)</f>
      </c>
      <c r="H240" s="333">
        <f>IF(G240&gt;0,1,0)*$H$5*IF(AND($I$5="NO",YEAR(E240)=YEAR($B$6)+1),1,IF($I$5="SI",1,0))</f>
      </c>
      <c r="I240" s="217">
        <f>(1+$M$5)^(D240/12)*(H240*(12-IF(MONTH(E241)=12,0,MONTH(E241)))+IF(AND(F240=1,F241=0),$Q$4,0))*IF(AND(F240=1,F241=0),1,0)</f>
      </c>
      <c r="J240" s="333">
        <f>(1+$M$5)^(D240/12)*(H240+IF(AND(F240=1,F241=0),$Q$4,0))</f>
      </c>
      <c r="K240" s="351"/>
      <c r="L240" s="333">
        <f>K240+J240</f>
      </c>
      <c r="M240" s="170"/>
      <c r="N240" s="7"/>
      <c r="O240" s="1"/>
      <c r="P240" s="331">
        <f>D240</f>
      </c>
      <c r="Q240" s="169"/>
      <c r="R240" s="1"/>
      <c r="S240" s="217">
        <f>(1+$M$5)^(D240/12)*(IF(E240=$C$6,$Q$4+$H$5*12,0))</f>
      </c>
      <c r="T240" s="217">
        <f>(1+$M$5)^(D240/12)*(IF(YEAR(E240)&gt;YEAR($C$6),L240,0)+IF(E240=$C$6,$H$5*12+$Q$4,0))</f>
      </c>
    </row>
    <row x14ac:dyDescent="0.25" r="241" customHeight="1" ht="18.75">
      <c r="A241" s="1"/>
      <c r="B241" s="7"/>
      <c r="C241" s="170"/>
      <c r="D241" s="331">
        <v>234</v>
      </c>
      <c r="E241" s="544">
        <f>+DATE(YEAR(E240),MONTH(E240)-1,DAY(E240))</f>
        <v>25569.041666666668</v>
      </c>
      <c r="F241" s="333">
        <f>IF(DATE(YEAR($B$6),MONTH($B$6)+1,DAY(1))=E241,1,IF(MONTH(E241)=1,F242*(1+$F$5),F242))</f>
      </c>
      <c r="G241" s="333">
        <f>IF('Simulador - 1º Pilar'!$E$99="Sí",IF('Aportaciones Flex'!$B$13&lt;'Aportaciones Flex'!E241,0,F241*$B$8/12),F241*$B$8/12)</f>
      </c>
      <c r="H241" s="333">
        <f>IF(G241&gt;0,1,0)*$H$5*IF(AND($I$5="NO",YEAR(E241)=YEAR($B$6)+1),1,IF($I$5="SI",1,0))</f>
      </c>
      <c r="I241" s="217">
        <f>(1+$M$5)^(D241/12)*(H241*(12-IF(MONTH(E242)=12,0,MONTH(E242)))+IF(AND(F241=1,F242=0),$Q$4,0))*IF(AND(F241=1,F242=0),1,0)</f>
      </c>
      <c r="J241" s="333">
        <f>(1+$M$5)^(D241/12)*(H241+IF(AND(F241=1,F242=0),$Q$4,0))</f>
      </c>
      <c r="K241" s="351"/>
      <c r="L241" s="333">
        <f>K241+J241</f>
      </c>
      <c r="M241" s="170"/>
      <c r="N241" s="7"/>
      <c r="O241" s="1"/>
      <c r="P241" s="331">
        <f>D241</f>
      </c>
      <c r="Q241" s="169"/>
      <c r="R241" s="1"/>
      <c r="S241" s="217">
        <f>(1+$M$5)^(D241/12)*(IF(E241=$C$6,$Q$4+$H$5*12,0))</f>
      </c>
      <c r="T241" s="217">
        <f>(1+$M$5)^(D241/12)*(IF(YEAR(E241)&gt;YEAR($C$6),L241,0)+IF(E241=$C$6,$H$5*12+$Q$4,0))</f>
      </c>
    </row>
    <row x14ac:dyDescent="0.25" r="242" customHeight="1" ht="18.75">
      <c r="A242" s="1"/>
      <c r="B242" s="7"/>
      <c r="C242" s="170"/>
      <c r="D242" s="331">
        <v>235</v>
      </c>
      <c r="E242" s="544">
        <f>+DATE(YEAR(E241),MONTH(E241)-1,DAY(E241))</f>
        <v>25569.041666666668</v>
      </c>
      <c r="F242" s="333">
        <f>IF(DATE(YEAR($B$6),MONTH($B$6)+1,DAY(1))=E242,1,IF(MONTH(E242)=1,F243*(1+$F$5),F243))</f>
      </c>
      <c r="G242" s="333">
        <f>IF('Simulador - 1º Pilar'!$E$99="Sí",IF('Aportaciones Flex'!$B$13&lt;'Aportaciones Flex'!E242,0,F242*$B$8/12),F242*$B$8/12)</f>
      </c>
      <c r="H242" s="333">
        <f>IF(G242&gt;0,1,0)*$H$5*IF(AND($I$5="NO",YEAR(E242)=YEAR($B$6)+1),1,IF($I$5="SI",1,0))</f>
      </c>
      <c r="I242" s="217">
        <f>(1+$M$5)^(D242/12)*(H242*(12-IF(MONTH(E243)=12,0,MONTH(E243)))+IF(AND(F242=1,F243=0),$Q$4,0))*IF(AND(F242=1,F243=0),1,0)</f>
      </c>
      <c r="J242" s="333">
        <f>(1+$M$5)^(D242/12)*(H242+IF(AND(F242=1,F243=0),$Q$4,0))</f>
      </c>
      <c r="K242" s="351"/>
      <c r="L242" s="333">
        <f>K242+J242</f>
      </c>
      <c r="M242" s="170"/>
      <c r="N242" s="7"/>
      <c r="O242" s="1"/>
      <c r="P242" s="331">
        <f>D242</f>
      </c>
      <c r="Q242" s="169"/>
      <c r="R242" s="1"/>
      <c r="S242" s="217">
        <f>(1+$M$5)^(D242/12)*(IF(E242=$C$6,$Q$4+$H$5*12,0))</f>
      </c>
      <c r="T242" s="217">
        <f>(1+$M$5)^(D242/12)*(IF(YEAR(E242)&gt;YEAR($C$6),L242,0)+IF(E242=$C$6,$H$5*12+$Q$4,0))</f>
      </c>
    </row>
    <row x14ac:dyDescent="0.25" r="243" customHeight="1" ht="18.75">
      <c r="A243" s="1"/>
      <c r="B243" s="7"/>
      <c r="C243" s="170"/>
      <c r="D243" s="331">
        <v>236</v>
      </c>
      <c r="E243" s="544">
        <f>+DATE(YEAR(E242),MONTH(E242)-1,DAY(E242))</f>
        <v>25569.041666666668</v>
      </c>
      <c r="F243" s="333">
        <f>IF(DATE(YEAR($B$6),MONTH($B$6)+1,DAY(1))=E243,1,IF(MONTH(E243)=1,F244*(1+$F$5),F244))</f>
      </c>
      <c r="G243" s="333">
        <f>IF('Simulador - 1º Pilar'!$E$99="Sí",IF('Aportaciones Flex'!$B$13&lt;'Aportaciones Flex'!E243,0,F243*$B$8/12),F243*$B$8/12)</f>
      </c>
      <c r="H243" s="333">
        <f>IF(G243&gt;0,1,0)*$H$5*IF(AND($I$5="NO",YEAR(E243)=YEAR($B$6)+1),1,IF($I$5="SI",1,0))</f>
      </c>
      <c r="I243" s="217">
        <f>(1+$M$5)^(D243/12)*(H243*(12-IF(MONTH(E244)=12,0,MONTH(E244)))+IF(AND(F243=1,F244=0),$Q$4,0))*IF(AND(F243=1,F244=0),1,0)</f>
      </c>
      <c r="J243" s="333">
        <f>(1+$M$5)^(D243/12)*(H243+IF(AND(F243=1,F244=0),$Q$4,0))</f>
      </c>
      <c r="K243" s="351"/>
      <c r="L243" s="333">
        <f>K243+J243</f>
      </c>
      <c r="M243" s="170"/>
      <c r="N243" s="7"/>
      <c r="O243" s="1"/>
      <c r="P243" s="331">
        <f>D243</f>
      </c>
      <c r="Q243" s="169"/>
      <c r="R243" s="1"/>
      <c r="S243" s="217">
        <f>(1+$M$5)^(D243/12)*(IF(E243=$C$6,$Q$4+$H$5*12,0))</f>
      </c>
      <c r="T243" s="217">
        <f>(1+$M$5)^(D243/12)*(IF(YEAR(E243)&gt;YEAR($C$6),L243,0)+IF(E243=$C$6,$H$5*12+$Q$4,0))</f>
      </c>
    </row>
    <row x14ac:dyDescent="0.25" r="244" customHeight="1" ht="18.75">
      <c r="A244" s="1"/>
      <c r="B244" s="7"/>
      <c r="C244" s="170"/>
      <c r="D244" s="331">
        <v>237</v>
      </c>
      <c r="E244" s="544">
        <f>+DATE(YEAR(E243),MONTH(E243)-1,DAY(E243))</f>
        <v>25569.041666666668</v>
      </c>
      <c r="F244" s="333">
        <f>IF(DATE(YEAR($B$6),MONTH($B$6)+1,DAY(1))=E244,1,IF(MONTH(E244)=1,F245*(1+$F$5),F245))</f>
      </c>
      <c r="G244" s="333">
        <f>IF('Simulador - 1º Pilar'!$E$99="Sí",IF('Aportaciones Flex'!$B$13&lt;'Aportaciones Flex'!E244,0,F244*$B$8/12),F244*$B$8/12)</f>
      </c>
      <c r="H244" s="333">
        <f>IF(G244&gt;0,1,0)*$H$5*IF(AND($I$5="NO",YEAR(E244)=YEAR($B$6)+1),1,IF($I$5="SI",1,0))</f>
      </c>
      <c r="I244" s="217">
        <f>(1+$M$5)^(D244/12)*(H244*(12-IF(MONTH(E245)=12,0,MONTH(E245)))+IF(AND(F244=1,F245=0),$Q$4,0))*IF(AND(F244=1,F245=0),1,0)</f>
      </c>
      <c r="J244" s="333">
        <f>(1+$M$5)^(D244/12)*(H244+IF(AND(F244=1,F245=0),$Q$4,0))</f>
      </c>
      <c r="K244" s="351"/>
      <c r="L244" s="333">
        <f>K244+J244</f>
      </c>
      <c r="M244" s="170"/>
      <c r="N244" s="7"/>
      <c r="O244" s="1"/>
      <c r="P244" s="331">
        <f>D244</f>
      </c>
      <c r="Q244" s="169"/>
      <c r="R244" s="1"/>
      <c r="S244" s="217">
        <f>(1+$M$5)^(D244/12)*(IF(E244=$C$6,$Q$4+$H$5*12,0))</f>
      </c>
      <c r="T244" s="217">
        <f>(1+$M$5)^(D244/12)*(IF(YEAR(E244)&gt;YEAR($C$6),L244,0)+IF(E244=$C$6,$H$5*12+$Q$4,0))</f>
      </c>
    </row>
    <row x14ac:dyDescent="0.25" r="245" customHeight="1" ht="18.75">
      <c r="A245" s="1"/>
      <c r="B245" s="7"/>
      <c r="C245" s="170"/>
      <c r="D245" s="331">
        <v>238</v>
      </c>
      <c r="E245" s="544">
        <f>+DATE(YEAR(E244),MONTH(E244)-1,DAY(E244))</f>
        <v>25569.041666666668</v>
      </c>
      <c r="F245" s="333">
        <f>IF(DATE(YEAR($B$6),MONTH($B$6)+1,DAY(1))=E245,1,IF(MONTH(E245)=1,F246*(1+$F$5),F246))</f>
      </c>
      <c r="G245" s="333">
        <f>IF('Simulador - 1º Pilar'!$E$99="Sí",IF('Aportaciones Flex'!$B$13&lt;'Aportaciones Flex'!E245,0,F245*$B$8/12),F245*$B$8/12)</f>
      </c>
      <c r="H245" s="333">
        <f>IF(G245&gt;0,1,0)*$H$5*IF(AND($I$5="NO",YEAR(E245)=YEAR($B$6)+1),1,IF($I$5="SI",1,0))</f>
      </c>
      <c r="I245" s="217">
        <f>(1+$M$5)^(D245/12)*(H245*(12-IF(MONTH(E246)=12,0,MONTH(E246)))+IF(AND(F245=1,F246=0),$Q$4,0))*IF(AND(F245=1,F246=0),1,0)</f>
      </c>
      <c r="J245" s="333">
        <f>(1+$M$5)^(D245/12)*(H245+IF(AND(F245=1,F246=0),$Q$4,0))</f>
      </c>
      <c r="K245" s="351"/>
      <c r="L245" s="333">
        <f>K245+J245</f>
      </c>
      <c r="M245" s="170"/>
      <c r="N245" s="7"/>
      <c r="O245" s="1"/>
      <c r="P245" s="331">
        <f>D245</f>
      </c>
      <c r="Q245" s="169"/>
      <c r="R245" s="1"/>
      <c r="S245" s="217">
        <f>(1+$M$5)^(D245/12)*(IF(E245=$C$6,$Q$4+$H$5*12,0))</f>
      </c>
      <c r="T245" s="217">
        <f>(1+$M$5)^(D245/12)*(IF(YEAR(E245)&gt;YEAR($C$6),L245,0)+IF(E245=$C$6,$H$5*12+$Q$4,0))</f>
      </c>
    </row>
    <row x14ac:dyDescent="0.25" r="246" customHeight="1" ht="18.75">
      <c r="A246" s="1"/>
      <c r="B246" s="7"/>
      <c r="C246" s="170"/>
      <c r="D246" s="331">
        <v>239</v>
      </c>
      <c r="E246" s="544">
        <f>+DATE(YEAR(E245),MONTH(E245)-1,DAY(E245))</f>
        <v>25569.041666666668</v>
      </c>
      <c r="F246" s="333">
        <f>IF(DATE(YEAR($B$6),MONTH($B$6)+1,DAY(1))=E246,1,IF(MONTH(E246)=1,F247*(1+$F$5),F247))</f>
      </c>
      <c r="G246" s="333">
        <f>IF('Simulador - 1º Pilar'!$E$99="Sí",IF('Aportaciones Flex'!$B$13&lt;'Aportaciones Flex'!E246,0,F246*$B$8/12),F246*$B$8/12)</f>
      </c>
      <c r="H246" s="333">
        <f>IF(G246&gt;0,1,0)*$H$5*IF(AND($I$5="NO",YEAR(E246)=YEAR($B$6)+1),1,IF($I$5="SI",1,0))</f>
      </c>
      <c r="I246" s="217">
        <f>(1+$M$5)^(D246/12)*(H246*(12-IF(MONTH(E247)=12,0,MONTH(E247)))+IF(AND(F246=1,F247=0),$Q$4,0))*IF(AND(F246=1,F247=0),1,0)</f>
      </c>
      <c r="J246" s="333">
        <f>(1+$M$5)^(D246/12)*(H246+IF(AND(F246=1,F247=0),$Q$4,0))</f>
      </c>
      <c r="K246" s="351"/>
      <c r="L246" s="333">
        <f>K246+J246</f>
      </c>
      <c r="M246" s="170"/>
      <c r="N246" s="7"/>
      <c r="O246" s="1"/>
      <c r="P246" s="331">
        <f>D246</f>
      </c>
      <c r="Q246" s="169"/>
      <c r="R246" s="1"/>
      <c r="S246" s="217">
        <f>(1+$M$5)^(D246/12)*(IF(E246=$C$6,$Q$4+$H$5*12,0))</f>
      </c>
      <c r="T246" s="217">
        <f>(1+$M$5)^(D246/12)*(IF(YEAR(E246)&gt;YEAR($C$6),L246,0)+IF(E246=$C$6,$H$5*12+$Q$4,0))</f>
      </c>
    </row>
    <row x14ac:dyDescent="0.25" r="247" customHeight="1" ht="18.75">
      <c r="A247" s="1"/>
      <c r="B247" s="7"/>
      <c r="C247" s="170"/>
      <c r="D247" s="331">
        <v>240</v>
      </c>
      <c r="E247" s="544">
        <f>+DATE(YEAR(E246),MONTH(E246)-1,DAY(E246))</f>
        <v>25569.041666666668</v>
      </c>
      <c r="F247" s="333">
        <f>IF(DATE(YEAR($B$6),MONTH($B$6)+1,DAY(1))=E247,1,IF(MONTH(E247)=1,F248*(1+$F$5),F248))</f>
      </c>
      <c r="G247" s="333">
        <f>IF('Simulador - 1º Pilar'!$E$99="Sí",IF('Aportaciones Flex'!$B$13&lt;'Aportaciones Flex'!E247,0,F247*$B$8/12),F247*$B$8/12)</f>
      </c>
      <c r="H247" s="333">
        <f>IF(G247&gt;0,1,0)*$H$5*IF(AND($I$5="NO",YEAR(E247)=YEAR($B$6)+1),1,IF($I$5="SI",1,0))</f>
      </c>
      <c r="I247" s="217">
        <f>(1+$M$5)^(D247/12)*(H247*(12-IF(MONTH(E248)=12,0,MONTH(E248)))+IF(AND(F247=1,F248=0),$Q$4,0))*IF(AND(F247=1,F248=0),1,0)</f>
      </c>
      <c r="J247" s="333">
        <f>(1+$M$5)^(D247/12)*(H247+IF(AND(F247=1,F248=0),$Q$4,0))</f>
      </c>
      <c r="K247" s="351"/>
      <c r="L247" s="333">
        <f>K247+J247</f>
      </c>
      <c r="M247" s="170"/>
      <c r="N247" s="7"/>
      <c r="O247" s="1"/>
      <c r="P247" s="331">
        <f>D247</f>
      </c>
      <c r="Q247" s="169"/>
      <c r="R247" s="1"/>
      <c r="S247" s="217">
        <f>(1+$M$5)^(D247/12)*(IF(E247=$C$6,$Q$4+$H$5*12,0))</f>
      </c>
      <c r="T247" s="217">
        <f>(1+$M$5)^(D247/12)*(IF(YEAR(E247)&gt;YEAR($C$6),L247,0)+IF(E247=$C$6,$H$5*12+$Q$4,0))</f>
      </c>
    </row>
    <row x14ac:dyDescent="0.25" r="248" customHeight="1" ht="18.75">
      <c r="A248" s="1"/>
      <c r="B248" s="7"/>
      <c r="C248" s="170"/>
      <c r="D248" s="331">
        <v>241</v>
      </c>
      <c r="E248" s="544">
        <f>+DATE(YEAR(E247),MONTH(E247)-1,DAY(E247))</f>
        <v>25569.041666666668</v>
      </c>
      <c r="F248" s="333">
        <f>IF(DATE(YEAR($B$6),MONTH($B$6)+1,DAY(1))=E248,1,IF(MONTH(E248)=1,F249*(1+$F$5),F249))</f>
      </c>
      <c r="G248" s="333">
        <f>IF('Simulador - 1º Pilar'!$E$99="Sí",IF('Aportaciones Flex'!$B$13&lt;'Aportaciones Flex'!E248,0,F248*$B$8/12),F248*$B$8/12)</f>
      </c>
      <c r="H248" s="333">
        <f>IF(G248&gt;0,1,0)*$H$5*IF(AND($I$5="NO",YEAR(E248)=YEAR($B$6)+1),1,IF($I$5="SI",1,0))</f>
      </c>
      <c r="I248" s="217">
        <f>(1+$M$5)^(D248/12)*(H248*(12-IF(MONTH(E249)=12,0,MONTH(E249)))+IF(AND(F248=1,F249=0),$Q$4,0))*IF(AND(F248=1,F249=0),1,0)</f>
      </c>
      <c r="J248" s="333">
        <f>(1+$M$5)^(D248/12)*(H248+IF(AND(F248=1,F249=0),$Q$4,0))</f>
      </c>
      <c r="K248" s="351"/>
      <c r="L248" s="333">
        <f>K248+J248</f>
      </c>
      <c r="M248" s="170"/>
      <c r="N248" s="7"/>
      <c r="O248" s="1"/>
      <c r="P248" s="331">
        <f>D248</f>
      </c>
      <c r="Q248" s="169"/>
      <c r="R248" s="1"/>
      <c r="S248" s="217">
        <f>(1+$M$5)^(D248/12)*(IF(E248=$C$6,$Q$4+$H$5*12,0))</f>
      </c>
      <c r="T248" s="217">
        <f>(1+$M$5)^(D248/12)*(IF(YEAR(E248)&gt;YEAR($C$6),L248,0)+IF(E248=$C$6,$H$5*12+$Q$4,0))</f>
      </c>
    </row>
    <row x14ac:dyDescent="0.25" r="249" customHeight="1" ht="18.75">
      <c r="A249" s="1"/>
      <c r="B249" s="7"/>
      <c r="C249" s="170"/>
      <c r="D249" s="331">
        <v>242</v>
      </c>
      <c r="E249" s="544">
        <f>+DATE(YEAR(E248),MONTH(E248)-1,DAY(E248))</f>
        <v>25569.041666666668</v>
      </c>
      <c r="F249" s="333">
        <f>IF(DATE(YEAR($B$6),MONTH($B$6)+1,DAY(1))=E249,1,IF(MONTH(E249)=1,F250*(1+$F$5),F250))</f>
      </c>
      <c r="G249" s="333">
        <f>IF('Simulador - 1º Pilar'!$E$99="Sí",IF('Aportaciones Flex'!$B$13&lt;'Aportaciones Flex'!E249,0,F249*$B$8/12),F249*$B$8/12)</f>
      </c>
      <c r="H249" s="333">
        <f>IF(G249&gt;0,1,0)*$H$5*IF(AND($I$5="NO",YEAR(E249)=YEAR($B$6)+1),1,IF($I$5="SI",1,0))</f>
      </c>
      <c r="I249" s="217">
        <f>(1+$M$5)^(D249/12)*(H249*(12-IF(MONTH(E250)=12,0,MONTH(E250)))+IF(AND(F249=1,F250=0),$Q$4,0))*IF(AND(F249=1,F250=0),1,0)</f>
      </c>
      <c r="J249" s="333">
        <f>(1+$M$5)^(D249/12)*(H249+IF(AND(F249=1,F250=0),$Q$4,0))</f>
      </c>
      <c r="K249" s="351"/>
      <c r="L249" s="333">
        <f>K249+J249</f>
      </c>
      <c r="M249" s="170"/>
      <c r="N249" s="7"/>
      <c r="O249" s="1"/>
      <c r="P249" s="331">
        <f>D249</f>
      </c>
      <c r="Q249" s="169"/>
      <c r="R249" s="1"/>
      <c r="S249" s="217">
        <f>(1+$M$5)^(D249/12)*(IF(E249=$C$6,$Q$4+$H$5*12,0))</f>
      </c>
      <c r="T249" s="217">
        <f>(1+$M$5)^(D249/12)*(IF(YEAR(E249)&gt;YEAR($C$6),L249,0)+IF(E249=$C$6,$H$5*12+$Q$4,0))</f>
      </c>
    </row>
    <row x14ac:dyDescent="0.25" r="250" customHeight="1" ht="18.75">
      <c r="A250" s="1"/>
      <c r="B250" s="7"/>
      <c r="C250" s="170"/>
      <c r="D250" s="331">
        <v>243</v>
      </c>
      <c r="E250" s="544">
        <f>+DATE(YEAR(E249),MONTH(E249)-1,DAY(E249))</f>
        <v>25569.041666666668</v>
      </c>
      <c r="F250" s="333">
        <f>IF(DATE(YEAR($B$6),MONTH($B$6)+1,DAY(1))=E250,1,IF(MONTH(E250)=1,F251*(1+$F$5),F251))</f>
      </c>
      <c r="G250" s="333">
        <f>IF('Simulador - 1º Pilar'!$E$99="Sí",IF('Aportaciones Flex'!$B$13&lt;'Aportaciones Flex'!E250,0,F250*$B$8/12),F250*$B$8/12)</f>
      </c>
      <c r="H250" s="333">
        <f>IF(G250&gt;0,1,0)*$H$5*IF(AND($I$5="NO",YEAR(E250)=YEAR($B$6)+1),1,IF($I$5="SI",1,0))</f>
      </c>
      <c r="I250" s="217">
        <f>(1+$M$5)^(D250/12)*(H250*(12-IF(MONTH(E251)=12,0,MONTH(E251)))+IF(AND(F250=1,F251=0),$Q$4,0))*IF(AND(F250=1,F251=0),1,0)</f>
      </c>
      <c r="J250" s="333">
        <f>(1+$M$5)^(D250/12)*(H250+IF(AND(F250=1,F251=0),$Q$4,0))</f>
      </c>
      <c r="K250" s="351"/>
      <c r="L250" s="333">
        <f>K250+J250</f>
      </c>
      <c r="M250" s="170"/>
      <c r="N250" s="7"/>
      <c r="O250" s="1"/>
      <c r="P250" s="331">
        <f>D250</f>
      </c>
      <c r="Q250" s="169"/>
      <c r="R250" s="1"/>
      <c r="S250" s="217">
        <f>(1+$M$5)^(D250/12)*(IF(E250=$C$6,$Q$4+$H$5*12,0))</f>
      </c>
      <c r="T250" s="217">
        <f>(1+$M$5)^(D250/12)*(IF(YEAR(E250)&gt;YEAR($C$6),L250,0)+IF(E250=$C$6,$H$5*12+$Q$4,0))</f>
      </c>
    </row>
    <row x14ac:dyDescent="0.25" r="251" customHeight="1" ht="18.75">
      <c r="A251" s="1"/>
      <c r="B251" s="7"/>
      <c r="C251" s="170"/>
      <c r="D251" s="331">
        <v>244</v>
      </c>
      <c r="E251" s="544">
        <f>+DATE(YEAR(E250),MONTH(E250)-1,DAY(E250))</f>
        <v>25569.041666666668</v>
      </c>
      <c r="F251" s="333">
        <f>IF(DATE(YEAR($B$6),MONTH($B$6)+1,DAY(1))=E251,1,IF(MONTH(E251)=1,F252*(1+$F$5),F252))</f>
      </c>
      <c r="G251" s="333">
        <f>IF('Simulador - 1º Pilar'!$E$99="Sí",IF('Aportaciones Flex'!$B$13&lt;'Aportaciones Flex'!E251,0,F251*$B$8/12),F251*$B$8/12)</f>
      </c>
      <c r="H251" s="333">
        <f>IF(G251&gt;0,1,0)*$H$5*IF(AND($I$5="NO",YEAR(E251)=YEAR($B$6)+1),1,IF($I$5="SI",1,0))</f>
      </c>
      <c r="I251" s="217">
        <f>(1+$M$5)^(D251/12)*(H251*(12-IF(MONTH(E252)=12,0,MONTH(E252)))+IF(AND(F251=1,F252=0),$Q$4,0))*IF(AND(F251=1,F252=0),1,0)</f>
      </c>
      <c r="J251" s="333">
        <f>(1+$M$5)^(D251/12)*(H251+IF(AND(F251=1,F252=0),$Q$4,0))</f>
      </c>
      <c r="K251" s="351"/>
      <c r="L251" s="333">
        <f>K251+J251</f>
      </c>
      <c r="M251" s="170"/>
      <c r="N251" s="7"/>
      <c r="O251" s="1"/>
      <c r="P251" s="331">
        <f>D251</f>
      </c>
      <c r="Q251" s="169"/>
      <c r="R251" s="1"/>
      <c r="S251" s="217">
        <f>(1+$M$5)^(D251/12)*(IF(E251=$C$6,$Q$4+$H$5*12,0))</f>
      </c>
      <c r="T251" s="217">
        <f>(1+$M$5)^(D251/12)*(IF(YEAR(E251)&gt;YEAR($C$6),L251,0)+IF(E251=$C$6,$H$5*12+$Q$4,0))</f>
      </c>
    </row>
    <row x14ac:dyDescent="0.25" r="252" customHeight="1" ht="18.75">
      <c r="A252" s="1"/>
      <c r="B252" s="7"/>
      <c r="C252" s="170"/>
      <c r="D252" s="331">
        <v>245</v>
      </c>
      <c r="E252" s="544">
        <f>+DATE(YEAR(E251),MONTH(E251)-1,DAY(E251))</f>
        <v>25569.041666666668</v>
      </c>
      <c r="F252" s="333">
        <f>IF(DATE(YEAR($B$6),MONTH($B$6)+1,DAY(1))=E252,1,IF(MONTH(E252)=1,F253*(1+$F$5),F253))</f>
      </c>
      <c r="G252" s="333">
        <f>IF('Simulador - 1º Pilar'!$E$99="Sí",IF('Aportaciones Flex'!$B$13&lt;'Aportaciones Flex'!E252,0,F252*$B$8/12),F252*$B$8/12)</f>
      </c>
      <c r="H252" s="333">
        <f>IF(G252&gt;0,1,0)*$H$5*IF(AND($I$5="NO",YEAR(E252)=YEAR($B$6)+1),1,IF($I$5="SI",1,0))</f>
      </c>
      <c r="I252" s="217">
        <f>(1+$M$5)^(D252/12)*(H252*(12-IF(MONTH(E253)=12,0,MONTH(E253)))+IF(AND(F252=1,F253=0),$Q$4,0))*IF(AND(F252=1,F253=0),1,0)</f>
      </c>
      <c r="J252" s="333">
        <f>(1+$M$5)^(D252/12)*(H252+IF(AND(F252=1,F253=0),$Q$4,0))</f>
      </c>
      <c r="K252" s="351"/>
      <c r="L252" s="333">
        <f>K252+J252</f>
      </c>
      <c r="M252" s="170"/>
      <c r="N252" s="7"/>
      <c r="O252" s="1"/>
      <c r="P252" s="331">
        <f>D252</f>
      </c>
      <c r="Q252" s="169"/>
      <c r="R252" s="1"/>
      <c r="S252" s="217">
        <f>(1+$M$5)^(D252/12)*(IF(E252=$C$6,$Q$4+$H$5*12,0))</f>
      </c>
      <c r="T252" s="217">
        <f>(1+$M$5)^(D252/12)*(IF(YEAR(E252)&gt;YEAR($C$6),L252,0)+IF(E252=$C$6,$H$5*12+$Q$4,0))</f>
      </c>
    </row>
    <row x14ac:dyDescent="0.25" r="253" customHeight="1" ht="18.75">
      <c r="A253" s="1"/>
      <c r="B253" s="7"/>
      <c r="C253" s="170"/>
      <c r="D253" s="331">
        <v>246</v>
      </c>
      <c r="E253" s="544">
        <f>+DATE(YEAR(E252),MONTH(E252)-1,DAY(E252))</f>
        <v>25569.041666666668</v>
      </c>
      <c r="F253" s="333">
        <f>IF(DATE(YEAR($B$6),MONTH($B$6)+1,DAY(1))=E253,1,IF(MONTH(E253)=1,F254*(1+$F$5),F254))</f>
      </c>
      <c r="G253" s="333">
        <f>IF('Simulador - 1º Pilar'!$E$99="Sí",IF('Aportaciones Flex'!$B$13&lt;'Aportaciones Flex'!E253,0,F253*$B$8/12),F253*$B$8/12)</f>
      </c>
      <c r="H253" s="333">
        <f>IF(G253&gt;0,1,0)*$H$5*IF(AND($I$5="NO",YEAR(E253)=YEAR($B$6)+1),1,IF($I$5="SI",1,0))</f>
      </c>
      <c r="I253" s="217">
        <f>(1+$M$5)^(D253/12)*(H253*(12-IF(MONTH(E254)=12,0,MONTH(E254)))+IF(AND(F253=1,F254=0),$Q$4,0))*IF(AND(F253=1,F254=0),1,0)</f>
      </c>
      <c r="J253" s="333">
        <f>(1+$M$5)^(D253/12)*(H253+IF(AND(F253=1,F254=0),$Q$4,0))</f>
      </c>
      <c r="K253" s="351"/>
      <c r="L253" s="333">
        <f>K253+J253</f>
      </c>
      <c r="M253" s="170"/>
      <c r="N253" s="7"/>
      <c r="O253" s="1"/>
      <c r="P253" s="331">
        <f>D253</f>
      </c>
      <c r="Q253" s="169"/>
      <c r="R253" s="1"/>
      <c r="S253" s="217">
        <f>(1+$M$5)^(D253/12)*(IF(E253=$C$6,$Q$4+$H$5*12,0))</f>
      </c>
      <c r="T253" s="217">
        <f>(1+$M$5)^(D253/12)*(IF(YEAR(E253)&gt;YEAR($C$6),L253,0)+IF(E253=$C$6,$H$5*12+$Q$4,0))</f>
      </c>
    </row>
    <row x14ac:dyDescent="0.25" r="254" customHeight="1" ht="18.75">
      <c r="A254" s="1"/>
      <c r="B254" s="7"/>
      <c r="C254" s="170"/>
      <c r="D254" s="331">
        <v>247</v>
      </c>
      <c r="E254" s="544">
        <f>+DATE(YEAR(E253),MONTH(E253)-1,DAY(E253))</f>
        <v>25569.041666666668</v>
      </c>
      <c r="F254" s="333">
        <f>IF(DATE(YEAR($B$6),MONTH($B$6)+1,DAY(1))=E254,1,IF(MONTH(E254)=1,F255*(1+$F$5),F255))</f>
      </c>
      <c r="G254" s="333">
        <f>IF('Simulador - 1º Pilar'!$E$99="Sí",IF('Aportaciones Flex'!$B$13&lt;'Aportaciones Flex'!E254,0,F254*$B$8/12),F254*$B$8/12)</f>
      </c>
      <c r="H254" s="333">
        <f>IF(G254&gt;0,1,0)*$H$5*IF(AND($I$5="NO",YEAR(E254)=YEAR($B$6)+1),1,IF($I$5="SI",1,0))</f>
      </c>
      <c r="I254" s="217">
        <f>(1+$M$5)^(D254/12)*(H254*(12-IF(MONTH(E255)=12,0,MONTH(E255)))+IF(AND(F254=1,F255=0),$Q$4,0))*IF(AND(F254=1,F255=0),1,0)</f>
      </c>
      <c r="J254" s="333">
        <f>(1+$M$5)^(D254/12)*(H254+IF(AND(F254=1,F255=0),$Q$4,0))</f>
      </c>
      <c r="K254" s="351"/>
      <c r="L254" s="333">
        <f>K254+J254</f>
      </c>
      <c r="M254" s="170"/>
      <c r="N254" s="7"/>
      <c r="O254" s="1"/>
      <c r="P254" s="331">
        <f>D254</f>
      </c>
      <c r="Q254" s="169"/>
      <c r="R254" s="1"/>
      <c r="S254" s="217">
        <f>(1+$M$5)^(D254/12)*(IF(E254=$C$6,$Q$4+$H$5*12,0))</f>
      </c>
      <c r="T254" s="217">
        <f>(1+$M$5)^(D254/12)*(IF(YEAR(E254)&gt;YEAR($C$6),L254,0)+IF(E254=$C$6,$H$5*12+$Q$4,0))</f>
      </c>
    </row>
    <row x14ac:dyDescent="0.25" r="255" customHeight="1" ht="18.75">
      <c r="A255" s="1"/>
      <c r="B255" s="7"/>
      <c r="C255" s="170"/>
      <c r="D255" s="331">
        <v>248</v>
      </c>
      <c r="E255" s="544">
        <f>+DATE(YEAR(E254),MONTH(E254)-1,DAY(E254))</f>
        <v>25569.041666666668</v>
      </c>
      <c r="F255" s="333">
        <f>IF(DATE(YEAR($B$6),MONTH($B$6)+1,DAY(1))=E255,1,IF(MONTH(E255)=1,F256*(1+$F$5),F256))</f>
      </c>
      <c r="G255" s="333">
        <f>IF('Simulador - 1º Pilar'!$E$99="Sí",IF('Aportaciones Flex'!$B$13&lt;'Aportaciones Flex'!E255,0,F255*$B$8/12),F255*$B$8/12)</f>
      </c>
      <c r="H255" s="333">
        <f>IF(G255&gt;0,1,0)*$H$5*IF(AND($I$5="NO",YEAR(E255)=YEAR($B$6)+1),1,IF($I$5="SI",1,0))</f>
      </c>
      <c r="I255" s="217">
        <f>(1+$M$5)^(D255/12)*(H255*(12-IF(MONTH(E256)=12,0,MONTH(E256)))+IF(AND(F255=1,F256=0),$Q$4,0))*IF(AND(F255=1,F256=0),1,0)</f>
      </c>
      <c r="J255" s="333">
        <f>(1+$M$5)^(D255/12)*(H255+IF(AND(F255=1,F256=0),$Q$4,0))</f>
      </c>
      <c r="K255" s="351"/>
      <c r="L255" s="333">
        <f>K255+J255</f>
      </c>
      <c r="M255" s="170"/>
      <c r="N255" s="7"/>
      <c r="O255" s="1"/>
      <c r="P255" s="331">
        <f>D255</f>
      </c>
      <c r="Q255" s="169"/>
      <c r="R255" s="1"/>
      <c r="S255" s="217">
        <f>(1+$M$5)^(D255/12)*(IF(E255=$C$6,$Q$4+$H$5*12,0))</f>
      </c>
      <c r="T255" s="217">
        <f>(1+$M$5)^(D255/12)*(IF(YEAR(E255)&gt;YEAR($C$6),L255,0)+IF(E255=$C$6,$H$5*12+$Q$4,0))</f>
      </c>
    </row>
    <row x14ac:dyDescent="0.25" r="256" customHeight="1" ht="18.75">
      <c r="A256" s="1"/>
      <c r="B256" s="7"/>
      <c r="C256" s="170"/>
      <c r="D256" s="331">
        <v>249</v>
      </c>
      <c r="E256" s="544">
        <f>+DATE(YEAR(E255),MONTH(E255)-1,DAY(E255))</f>
        <v>25569.041666666668</v>
      </c>
      <c r="F256" s="333">
        <f>IF(DATE(YEAR($B$6),MONTH($B$6)+1,DAY(1))=E256,1,IF(MONTH(E256)=1,F257*(1+$F$5),F257))</f>
      </c>
      <c r="G256" s="333">
        <f>IF('Simulador - 1º Pilar'!$E$99="Sí",IF('Aportaciones Flex'!$B$13&lt;'Aportaciones Flex'!E256,0,F256*$B$8/12),F256*$B$8/12)</f>
      </c>
      <c r="H256" s="333">
        <f>IF(G256&gt;0,1,0)*$H$5*IF(AND($I$5="NO",YEAR(E256)=YEAR($B$6)+1),1,IF($I$5="SI",1,0))</f>
      </c>
      <c r="I256" s="217">
        <f>(1+$M$5)^(D256/12)*(H256*(12-IF(MONTH(E257)=12,0,MONTH(E257)))+IF(AND(F256=1,F257=0),$Q$4,0))*IF(AND(F256=1,F257=0),1,0)</f>
      </c>
      <c r="J256" s="333">
        <f>(1+$M$5)^(D256/12)*(H256+IF(AND(F256=1,F257=0),$Q$4,0))</f>
      </c>
      <c r="K256" s="351"/>
      <c r="L256" s="333">
        <f>K256+J256</f>
      </c>
      <c r="M256" s="170"/>
      <c r="N256" s="7"/>
      <c r="O256" s="1"/>
      <c r="P256" s="331">
        <f>D256</f>
      </c>
      <c r="Q256" s="169"/>
      <c r="R256" s="1"/>
      <c r="S256" s="217">
        <f>(1+$M$5)^(D256/12)*(IF(E256=$C$6,$Q$4+$H$5*12,0))</f>
      </c>
      <c r="T256" s="217">
        <f>(1+$M$5)^(D256/12)*(IF(YEAR(E256)&gt;YEAR($C$6),L256,0)+IF(E256=$C$6,$H$5*12+$Q$4,0))</f>
      </c>
    </row>
    <row x14ac:dyDescent="0.25" r="257" customHeight="1" ht="18.75">
      <c r="A257" s="1"/>
      <c r="B257" s="7"/>
      <c r="C257" s="170"/>
      <c r="D257" s="331">
        <v>250</v>
      </c>
      <c r="E257" s="544">
        <f>+DATE(YEAR(E256),MONTH(E256)-1,DAY(E256))</f>
        <v>25569.041666666668</v>
      </c>
      <c r="F257" s="333">
        <f>IF(DATE(YEAR($B$6),MONTH($B$6)+1,DAY(1))=E257,1,IF(MONTH(E257)=1,F258*(1+$F$5),F258))</f>
      </c>
      <c r="G257" s="333">
        <f>IF('Simulador - 1º Pilar'!$E$99="Sí",IF('Aportaciones Flex'!$B$13&lt;'Aportaciones Flex'!E257,0,F257*$B$8/12),F257*$B$8/12)</f>
      </c>
      <c r="H257" s="333">
        <f>IF(G257&gt;0,1,0)*$H$5*IF(AND($I$5="NO",YEAR(E257)=YEAR($B$6)+1),1,IF($I$5="SI",1,0))</f>
      </c>
      <c r="I257" s="217">
        <f>(1+$M$5)^(D257/12)*(H257*(12-IF(MONTH(E258)=12,0,MONTH(E258)))+IF(AND(F257=1,F258=0),$Q$4,0))*IF(AND(F257=1,F258=0),1,0)</f>
      </c>
      <c r="J257" s="333">
        <f>(1+$M$5)^(D257/12)*(H257+IF(AND(F257=1,F258=0),$Q$4,0))</f>
      </c>
      <c r="K257" s="351"/>
      <c r="L257" s="333">
        <f>K257+J257</f>
      </c>
      <c r="M257" s="170"/>
      <c r="N257" s="7"/>
      <c r="O257" s="1"/>
      <c r="P257" s="331">
        <f>D257</f>
      </c>
      <c r="Q257" s="169"/>
      <c r="R257" s="1"/>
      <c r="S257" s="217">
        <f>(1+$M$5)^(D257/12)*(IF(E257=$C$6,$Q$4+$H$5*12,0))</f>
      </c>
      <c r="T257" s="217">
        <f>(1+$M$5)^(D257/12)*(IF(YEAR(E257)&gt;YEAR($C$6),L257,0)+IF(E257=$C$6,$H$5*12+$Q$4,0))</f>
      </c>
    </row>
    <row x14ac:dyDescent="0.25" r="258" customHeight="1" ht="18.75">
      <c r="A258" s="1"/>
      <c r="B258" s="7"/>
      <c r="C258" s="170"/>
      <c r="D258" s="331">
        <v>251</v>
      </c>
      <c r="E258" s="544">
        <f>+DATE(YEAR(E257),MONTH(E257)-1,DAY(E257))</f>
        <v>25569.041666666668</v>
      </c>
      <c r="F258" s="333">
        <f>IF(DATE(YEAR($B$6),MONTH($B$6)+1,DAY(1))=E258,1,IF(MONTH(E258)=1,F259*(1+$F$5),F259))</f>
      </c>
      <c r="G258" s="333">
        <f>IF('Simulador - 1º Pilar'!$E$99="Sí",IF('Aportaciones Flex'!$B$13&lt;'Aportaciones Flex'!E258,0,F258*$B$8/12),F258*$B$8/12)</f>
      </c>
      <c r="H258" s="333">
        <f>IF(G258&gt;0,1,0)*$H$5*IF(AND($I$5="NO",YEAR(E258)=YEAR($B$6)+1),1,IF($I$5="SI",1,0))</f>
      </c>
      <c r="I258" s="217">
        <f>(1+$M$5)^(D258/12)*(H258*(12-IF(MONTH(E259)=12,0,MONTH(E259)))+IF(AND(F258=1,F259=0),$Q$4,0))*IF(AND(F258=1,F259=0),1,0)</f>
      </c>
      <c r="J258" s="333">
        <f>(1+$M$5)^(D258/12)*(H258+IF(AND(F258=1,F259=0),$Q$4,0))</f>
      </c>
      <c r="K258" s="351"/>
      <c r="L258" s="333">
        <f>K258+J258</f>
      </c>
      <c r="M258" s="170"/>
      <c r="N258" s="7"/>
      <c r="O258" s="1"/>
      <c r="P258" s="331">
        <f>D258</f>
      </c>
      <c r="Q258" s="169"/>
      <c r="R258" s="1"/>
      <c r="S258" s="217">
        <f>(1+$M$5)^(D258/12)*(IF(E258=$C$6,$Q$4+$H$5*12,0))</f>
      </c>
      <c r="T258" s="217">
        <f>(1+$M$5)^(D258/12)*(IF(YEAR(E258)&gt;YEAR($C$6),L258,0)+IF(E258=$C$6,$H$5*12+$Q$4,0))</f>
      </c>
    </row>
    <row x14ac:dyDescent="0.25" r="259" customHeight="1" ht="18.75">
      <c r="A259" s="1"/>
      <c r="B259" s="7"/>
      <c r="C259" s="170"/>
      <c r="D259" s="331">
        <v>252</v>
      </c>
      <c r="E259" s="544">
        <f>+DATE(YEAR(E258),MONTH(E258)-1,DAY(E258))</f>
        <v>25569.041666666668</v>
      </c>
      <c r="F259" s="333">
        <f>IF(DATE(YEAR($B$6),MONTH($B$6)+1,DAY(1))=E259,1,IF(MONTH(E259)=1,F260*(1+$F$5),F260))</f>
      </c>
      <c r="G259" s="333">
        <f>IF('Simulador - 1º Pilar'!$E$99="Sí",IF('Aportaciones Flex'!$B$13&lt;'Aportaciones Flex'!E259,0,F259*$B$8/12),F259*$B$8/12)</f>
      </c>
      <c r="H259" s="333">
        <f>IF(G259&gt;0,1,0)*$H$5*IF(AND($I$5="NO",YEAR(E259)=YEAR($B$6)+1),1,IF($I$5="SI",1,0))</f>
      </c>
      <c r="I259" s="217">
        <f>(1+$M$5)^(D259/12)*(H259*(12-IF(MONTH(E260)=12,0,MONTH(E260)))+IF(AND(F259=1,F260=0),$Q$4,0))*IF(AND(F259=1,F260=0),1,0)</f>
      </c>
      <c r="J259" s="333">
        <f>(1+$M$5)^(D259/12)*(H259+IF(AND(F259=1,F260=0),$Q$4,0))</f>
      </c>
      <c r="K259" s="351"/>
      <c r="L259" s="333">
        <f>K259+J259</f>
      </c>
      <c r="M259" s="170"/>
      <c r="N259" s="7"/>
      <c r="O259" s="1"/>
      <c r="P259" s="331">
        <f>D259</f>
      </c>
      <c r="Q259" s="169"/>
      <c r="R259" s="1"/>
      <c r="S259" s="217">
        <f>(1+$M$5)^(D259/12)*(IF(E259=$C$6,$Q$4+$H$5*12,0))</f>
      </c>
      <c r="T259" s="217">
        <f>(1+$M$5)^(D259/12)*(IF(YEAR(E259)&gt;YEAR($C$6),L259,0)+IF(E259=$C$6,$H$5*12+$Q$4,0))</f>
      </c>
    </row>
    <row x14ac:dyDescent="0.25" r="260" customHeight="1" ht="18.75">
      <c r="A260" s="1"/>
      <c r="B260" s="7"/>
      <c r="C260" s="170"/>
      <c r="D260" s="331">
        <v>253</v>
      </c>
      <c r="E260" s="544">
        <f>+DATE(YEAR(E259),MONTH(E259)-1,DAY(E259))</f>
        <v>25569.041666666668</v>
      </c>
      <c r="F260" s="333">
        <f>IF(DATE(YEAR($B$6),MONTH($B$6)+1,DAY(1))=E260,1,IF(MONTH(E260)=1,F261*(1+$F$5),F261))</f>
      </c>
      <c r="G260" s="333">
        <f>IF('Simulador - 1º Pilar'!$E$99="Sí",IF('Aportaciones Flex'!$B$13&lt;'Aportaciones Flex'!E260,0,F260*$B$8/12),F260*$B$8/12)</f>
      </c>
      <c r="H260" s="333">
        <f>IF(G260&gt;0,1,0)*$H$5*IF(AND($I$5="NO",YEAR(E260)=YEAR($B$6)+1),1,IF($I$5="SI",1,0))</f>
      </c>
      <c r="I260" s="217">
        <f>(1+$M$5)^(D260/12)*(H260*(12-IF(MONTH(E261)=12,0,MONTH(E261)))+IF(AND(F260=1,F261=0),$Q$4,0))*IF(AND(F260=1,F261=0),1,0)</f>
      </c>
      <c r="J260" s="333">
        <f>(1+$M$5)^(D260/12)*(H260+IF(AND(F260=1,F261=0),$Q$4,0))</f>
      </c>
      <c r="K260" s="351"/>
      <c r="L260" s="333">
        <f>K260+J260</f>
      </c>
      <c r="M260" s="170"/>
      <c r="N260" s="7"/>
      <c r="O260" s="1"/>
      <c r="P260" s="331">
        <f>D260</f>
      </c>
      <c r="Q260" s="169"/>
      <c r="R260" s="1"/>
      <c r="S260" s="217">
        <f>(1+$M$5)^(D260/12)*(IF(E260=$C$6,$Q$4+$H$5*12,0))</f>
      </c>
      <c r="T260" s="217">
        <f>(1+$M$5)^(D260/12)*(IF(YEAR(E260)&gt;YEAR($C$6),L260,0)+IF(E260=$C$6,$H$5*12+$Q$4,0))</f>
      </c>
    </row>
    <row x14ac:dyDescent="0.25" r="261" customHeight="1" ht="18.75">
      <c r="A261" s="1"/>
      <c r="B261" s="7"/>
      <c r="C261" s="170"/>
      <c r="D261" s="331">
        <v>254</v>
      </c>
      <c r="E261" s="544">
        <f>+DATE(YEAR(E260),MONTH(E260)-1,DAY(E260))</f>
        <v>25569.041666666668</v>
      </c>
      <c r="F261" s="333">
        <f>IF(DATE(YEAR($B$6),MONTH($B$6)+1,DAY(1))=E261,1,IF(MONTH(E261)=1,F262*(1+$F$5),F262))</f>
      </c>
      <c r="G261" s="333">
        <f>IF('Simulador - 1º Pilar'!$E$99="Sí",IF('Aportaciones Flex'!$B$13&lt;'Aportaciones Flex'!E261,0,F261*$B$8/12),F261*$B$8/12)</f>
      </c>
      <c r="H261" s="333">
        <f>IF(G261&gt;0,1,0)*$H$5*IF(AND($I$5="NO",YEAR(E261)=YEAR($B$6)+1),1,IF($I$5="SI",1,0))</f>
      </c>
      <c r="I261" s="217">
        <f>(1+$M$5)^(D261/12)*(H261*(12-IF(MONTH(E262)=12,0,MONTH(E262)))+IF(AND(F261=1,F262=0),$Q$4,0))*IF(AND(F261=1,F262=0),1,0)</f>
      </c>
      <c r="J261" s="333">
        <f>(1+$M$5)^(D261/12)*(H261+IF(AND(F261=1,F262=0),$Q$4,0))</f>
      </c>
      <c r="K261" s="351"/>
      <c r="L261" s="333">
        <f>K261+J261</f>
      </c>
      <c r="M261" s="170"/>
      <c r="N261" s="7"/>
      <c r="O261" s="1"/>
      <c r="P261" s="331">
        <f>D261</f>
      </c>
      <c r="Q261" s="169"/>
      <c r="R261" s="1"/>
      <c r="S261" s="217">
        <f>(1+$M$5)^(D261/12)*(IF(E261=$C$6,$Q$4+$H$5*12,0))</f>
      </c>
      <c r="T261" s="217">
        <f>(1+$M$5)^(D261/12)*(IF(YEAR(E261)&gt;YEAR($C$6),L261,0)+IF(E261=$C$6,$H$5*12+$Q$4,0))</f>
      </c>
    </row>
    <row x14ac:dyDescent="0.25" r="262" customHeight="1" ht="18.75">
      <c r="A262" s="1"/>
      <c r="B262" s="7"/>
      <c r="C262" s="170"/>
      <c r="D262" s="331">
        <v>255</v>
      </c>
      <c r="E262" s="544">
        <f>+DATE(YEAR(E261),MONTH(E261)-1,DAY(E261))</f>
        <v>25569.041666666668</v>
      </c>
      <c r="F262" s="333">
        <f>IF(DATE(YEAR($B$6),MONTH($B$6)+1,DAY(1))=E262,1,IF(MONTH(E262)=1,F263*(1+$F$5),F263))</f>
      </c>
      <c r="G262" s="333">
        <f>IF('Simulador - 1º Pilar'!$E$99="Sí",IF('Aportaciones Flex'!$B$13&lt;'Aportaciones Flex'!E262,0,F262*$B$8/12),F262*$B$8/12)</f>
      </c>
      <c r="H262" s="333">
        <f>IF(G262&gt;0,1,0)*$H$5*IF(AND($I$5="NO",YEAR(E262)=YEAR($B$6)+1),1,IF($I$5="SI",1,0))</f>
      </c>
      <c r="I262" s="217">
        <f>(1+$M$5)^(D262/12)*(H262*(12-IF(MONTH(E263)=12,0,MONTH(E263)))+IF(AND(F262=1,F263=0),$Q$4,0))*IF(AND(F262=1,F263=0),1,0)</f>
      </c>
      <c r="J262" s="333">
        <f>(1+$M$5)^(D262/12)*(H262+IF(AND(F262=1,F263=0),$Q$4,0))</f>
      </c>
      <c r="K262" s="351"/>
      <c r="L262" s="333">
        <f>K262+J262</f>
      </c>
      <c r="M262" s="170"/>
      <c r="N262" s="7"/>
      <c r="O262" s="1"/>
      <c r="P262" s="331">
        <f>D262</f>
      </c>
      <c r="Q262" s="169"/>
      <c r="R262" s="1"/>
      <c r="S262" s="217">
        <f>(1+$M$5)^(D262/12)*(IF(E262=$C$6,$Q$4+$H$5*12,0))</f>
      </c>
      <c r="T262" s="217">
        <f>(1+$M$5)^(D262/12)*(IF(YEAR(E262)&gt;YEAR($C$6),L262,0)+IF(E262=$C$6,$H$5*12+$Q$4,0))</f>
      </c>
    </row>
    <row x14ac:dyDescent="0.25" r="263" customHeight="1" ht="18.75">
      <c r="A263" s="1"/>
      <c r="B263" s="7"/>
      <c r="C263" s="170"/>
      <c r="D263" s="331">
        <v>256</v>
      </c>
      <c r="E263" s="544">
        <f>+DATE(YEAR(E262),MONTH(E262)-1,DAY(E262))</f>
        <v>25569.041666666668</v>
      </c>
      <c r="F263" s="333">
        <f>IF(DATE(YEAR($B$6),MONTH($B$6)+1,DAY(1))=E263,1,IF(MONTH(E263)=1,F264*(1+$F$5),F264))</f>
      </c>
      <c r="G263" s="333">
        <f>IF('Simulador - 1º Pilar'!$E$99="Sí",IF('Aportaciones Flex'!$B$13&lt;'Aportaciones Flex'!E263,0,F263*$B$8/12),F263*$B$8/12)</f>
      </c>
      <c r="H263" s="333">
        <f>IF(G263&gt;0,1,0)*$H$5*IF(AND($I$5="NO",YEAR(E263)=YEAR($B$6)+1),1,IF($I$5="SI",1,0))</f>
      </c>
      <c r="I263" s="217">
        <f>(1+$M$5)^(D263/12)*(H263*(12-IF(MONTH(E264)=12,0,MONTH(E264)))+IF(AND(F263=1,F264=0),$Q$4,0))*IF(AND(F263=1,F264=0),1,0)</f>
      </c>
      <c r="J263" s="333">
        <f>(1+$M$5)^(D263/12)*(H263+IF(AND(F263=1,F264=0),$Q$4,0))</f>
      </c>
      <c r="K263" s="351"/>
      <c r="L263" s="333">
        <f>K263+J263</f>
      </c>
      <c r="M263" s="170"/>
      <c r="N263" s="7"/>
      <c r="O263" s="1"/>
      <c r="P263" s="331">
        <f>D263</f>
      </c>
      <c r="Q263" s="169"/>
      <c r="R263" s="1"/>
      <c r="S263" s="217">
        <f>(1+$M$5)^(D263/12)*(IF(E263=$C$6,$Q$4+$H$5*12,0))</f>
      </c>
      <c r="T263" s="217">
        <f>(1+$M$5)^(D263/12)*(IF(YEAR(E263)&gt;YEAR($C$6),L263,0)+IF(E263=$C$6,$H$5*12+$Q$4,0))</f>
      </c>
    </row>
    <row x14ac:dyDescent="0.25" r="264" customHeight="1" ht="18.75">
      <c r="A264" s="1"/>
      <c r="B264" s="7"/>
      <c r="C264" s="170"/>
      <c r="D264" s="331">
        <v>257</v>
      </c>
      <c r="E264" s="544">
        <f>+DATE(YEAR(E263),MONTH(E263)-1,DAY(E263))</f>
        <v>25569.041666666668</v>
      </c>
      <c r="F264" s="333">
        <f>IF(DATE(YEAR($B$6),MONTH($B$6)+1,DAY(1))=E264,1,IF(MONTH(E264)=1,F265*(1+$F$5),F265))</f>
      </c>
      <c r="G264" s="333">
        <f>IF('Simulador - 1º Pilar'!$E$99="Sí",IF('Aportaciones Flex'!$B$13&lt;'Aportaciones Flex'!E264,0,F264*$B$8/12),F264*$B$8/12)</f>
      </c>
      <c r="H264" s="333">
        <f>IF(G264&gt;0,1,0)*$H$5*IF(AND($I$5="NO",YEAR(E264)=YEAR($B$6)+1),1,IF($I$5="SI",1,0))</f>
      </c>
      <c r="I264" s="217">
        <f>(1+$M$5)^(D264/12)*(H264*(12-IF(MONTH(E265)=12,0,MONTH(E265)))+IF(AND(F264=1,F265=0),$Q$4,0))*IF(AND(F264=1,F265=0),1,0)</f>
      </c>
      <c r="J264" s="333">
        <f>(1+$M$5)^(D264/12)*(H264+IF(AND(F264=1,F265=0),$Q$4,0))</f>
      </c>
      <c r="K264" s="351"/>
      <c r="L264" s="333">
        <f>K264+J264</f>
      </c>
      <c r="M264" s="170"/>
      <c r="N264" s="7"/>
      <c r="O264" s="1"/>
      <c r="P264" s="331">
        <f>D264</f>
      </c>
      <c r="Q264" s="169"/>
      <c r="R264" s="1"/>
      <c r="S264" s="217">
        <f>(1+$M$5)^(D264/12)*(IF(E264=$C$6,$Q$4+$H$5*12,0))</f>
      </c>
      <c r="T264" s="217">
        <f>(1+$M$5)^(D264/12)*(IF(YEAR(E264)&gt;YEAR($C$6),L264,0)+IF(E264=$C$6,$H$5*12+$Q$4,0))</f>
      </c>
    </row>
    <row x14ac:dyDescent="0.25" r="265" customHeight="1" ht="18.75">
      <c r="A265" s="1"/>
      <c r="B265" s="7"/>
      <c r="C265" s="170"/>
      <c r="D265" s="331">
        <v>258</v>
      </c>
      <c r="E265" s="544">
        <f>+DATE(YEAR(E264),MONTH(E264)-1,DAY(E264))</f>
        <v>25569.041666666668</v>
      </c>
      <c r="F265" s="333">
        <f>IF(DATE(YEAR($B$6),MONTH($B$6)+1,DAY(1))=E265,1,IF(MONTH(E265)=1,F266*(1+$F$5),F266))</f>
      </c>
      <c r="G265" s="333">
        <f>IF('Simulador - 1º Pilar'!$E$99="Sí",IF('Aportaciones Flex'!$B$13&lt;'Aportaciones Flex'!E265,0,F265*$B$8/12),F265*$B$8/12)</f>
      </c>
      <c r="H265" s="333">
        <f>IF(G265&gt;0,1,0)*$H$5*IF(AND($I$5="NO",YEAR(E265)=YEAR($B$6)+1),1,IF($I$5="SI",1,0))</f>
      </c>
      <c r="I265" s="217">
        <f>(1+$M$5)^(D265/12)*(H265*(12-IF(MONTH(E266)=12,0,MONTH(E266)))+IF(AND(F265=1,F266=0),$Q$4,0))*IF(AND(F265=1,F266=0),1,0)</f>
      </c>
      <c r="J265" s="333">
        <f>(1+$M$5)^(D265/12)*(H265+IF(AND(F265=1,F266=0),$Q$4,0))</f>
      </c>
      <c r="K265" s="351"/>
      <c r="L265" s="333">
        <f>K265+J265</f>
      </c>
      <c r="M265" s="170"/>
      <c r="N265" s="7"/>
      <c r="O265" s="1"/>
      <c r="P265" s="331">
        <f>D265</f>
      </c>
      <c r="Q265" s="169"/>
      <c r="R265" s="1"/>
      <c r="S265" s="217">
        <f>(1+$M$5)^(D265/12)*(IF(E265=$C$6,$Q$4+$H$5*12,0))</f>
      </c>
      <c r="T265" s="217">
        <f>(1+$M$5)^(D265/12)*(IF(YEAR(E265)&gt;YEAR($C$6),L265,0)+IF(E265=$C$6,$H$5*12+$Q$4,0))</f>
      </c>
    </row>
    <row x14ac:dyDescent="0.25" r="266" customHeight="1" ht="18.75">
      <c r="A266" s="1"/>
      <c r="B266" s="7"/>
      <c r="C266" s="170"/>
      <c r="D266" s="331">
        <v>259</v>
      </c>
      <c r="E266" s="544">
        <f>+DATE(YEAR(E265),MONTH(E265)-1,DAY(E265))</f>
        <v>25569.041666666668</v>
      </c>
      <c r="F266" s="333">
        <f>IF(DATE(YEAR($B$6),MONTH($B$6)+1,DAY(1))=E266,1,IF(MONTH(E266)=1,F267*(1+$F$5),F267))</f>
      </c>
      <c r="G266" s="333">
        <f>IF('Simulador - 1º Pilar'!$E$99="Sí",IF('Aportaciones Flex'!$B$13&lt;'Aportaciones Flex'!E266,0,F266*$B$8/12),F266*$B$8/12)</f>
      </c>
      <c r="H266" s="333">
        <f>IF(G266&gt;0,1,0)*$H$5*IF(AND($I$5="NO",YEAR(E266)=YEAR($B$6)+1),1,IF($I$5="SI",1,0))</f>
      </c>
      <c r="I266" s="217">
        <f>(1+$M$5)^(D266/12)*(H266*(12-IF(MONTH(E267)=12,0,MONTH(E267)))+IF(AND(F266=1,F267=0),$Q$4,0))*IF(AND(F266=1,F267=0),1,0)</f>
      </c>
      <c r="J266" s="333">
        <f>(1+$M$5)^(D266/12)*(H266+IF(AND(F266=1,F267=0),$Q$4,0))</f>
      </c>
      <c r="K266" s="351"/>
      <c r="L266" s="333">
        <f>K266+J266</f>
      </c>
      <c r="M266" s="170"/>
      <c r="N266" s="7"/>
      <c r="O266" s="1"/>
      <c r="P266" s="331">
        <f>D266</f>
      </c>
      <c r="Q266" s="169"/>
      <c r="R266" s="1"/>
      <c r="S266" s="217">
        <f>(1+$M$5)^(D266/12)*(IF(E266=$C$6,$Q$4+$H$5*12,0))</f>
      </c>
      <c r="T266" s="217">
        <f>(1+$M$5)^(D266/12)*(IF(YEAR(E266)&gt;YEAR($C$6),L266,0)+IF(E266=$C$6,$H$5*12+$Q$4,0))</f>
      </c>
    </row>
    <row x14ac:dyDescent="0.25" r="267" customHeight="1" ht="18.75">
      <c r="A267" s="1"/>
      <c r="B267" s="7"/>
      <c r="C267" s="170"/>
      <c r="D267" s="331">
        <v>260</v>
      </c>
      <c r="E267" s="544">
        <f>+DATE(YEAR(E266),MONTH(E266)-1,DAY(E266))</f>
        <v>25569.041666666668</v>
      </c>
      <c r="F267" s="333">
        <f>IF(DATE(YEAR($B$6),MONTH($B$6)+1,DAY(1))=E267,1,IF(MONTH(E267)=1,F268*(1+$F$5),F268))</f>
      </c>
      <c r="G267" s="333">
        <f>IF('Simulador - 1º Pilar'!$E$99="Sí",IF('Aportaciones Flex'!$B$13&lt;'Aportaciones Flex'!E267,0,F267*$B$8/12),F267*$B$8/12)</f>
      </c>
      <c r="H267" s="333">
        <f>IF(G267&gt;0,1,0)*$H$5*IF(AND($I$5="NO",YEAR(E267)=YEAR($B$6)+1),1,IF($I$5="SI",1,0))</f>
      </c>
      <c r="I267" s="217">
        <f>(1+$M$5)^(D267/12)*(H267*(12-IF(MONTH(E268)=12,0,MONTH(E268)))+IF(AND(F267=1,F268=0),$Q$4,0))*IF(AND(F267=1,F268=0),1,0)</f>
      </c>
      <c r="J267" s="333">
        <f>(1+$M$5)^(D267/12)*(H267+IF(AND(F267=1,F268=0),$Q$4,0))</f>
      </c>
      <c r="K267" s="351"/>
      <c r="L267" s="333">
        <f>K267+J267</f>
      </c>
      <c r="M267" s="170"/>
      <c r="N267" s="7"/>
      <c r="O267" s="1"/>
      <c r="P267" s="331">
        <f>D267</f>
      </c>
      <c r="Q267" s="169"/>
      <c r="R267" s="1"/>
      <c r="S267" s="217">
        <f>(1+$M$5)^(D267/12)*(IF(E267=$C$6,$Q$4+$H$5*12,0))</f>
      </c>
      <c r="T267" s="217">
        <f>(1+$M$5)^(D267/12)*(IF(YEAR(E267)&gt;YEAR($C$6),L267,0)+IF(E267=$C$6,$H$5*12+$Q$4,0))</f>
      </c>
    </row>
    <row x14ac:dyDescent="0.25" r="268" customHeight="1" ht="18.75">
      <c r="A268" s="1"/>
      <c r="B268" s="7"/>
      <c r="C268" s="170"/>
      <c r="D268" s="331">
        <v>261</v>
      </c>
      <c r="E268" s="544">
        <f>+DATE(YEAR(E267),MONTH(E267)-1,DAY(E267))</f>
        <v>25569.041666666668</v>
      </c>
      <c r="F268" s="333">
        <f>IF(DATE(YEAR($B$6),MONTH($B$6)+1,DAY(1))=E268,1,IF(MONTH(E268)=1,F269*(1+$F$5),F269))</f>
      </c>
      <c r="G268" s="333">
        <f>IF('Simulador - 1º Pilar'!$E$99="Sí",IF('Aportaciones Flex'!$B$13&lt;'Aportaciones Flex'!E268,0,F268*$B$8/12),F268*$B$8/12)</f>
      </c>
      <c r="H268" s="333">
        <f>IF(G268&gt;0,1,0)*$H$5*IF(AND($I$5="NO",YEAR(E268)=YEAR($B$6)+1),1,IF($I$5="SI",1,0))</f>
      </c>
      <c r="I268" s="217">
        <f>(1+$M$5)^(D268/12)*(H268*(12-IF(MONTH(E269)=12,0,MONTH(E269)))+IF(AND(F268=1,F269=0),$Q$4,0))*IF(AND(F268=1,F269=0),1,0)</f>
      </c>
      <c r="J268" s="333">
        <f>(1+$M$5)^(D268/12)*(H268+IF(AND(F268=1,F269=0),$Q$4,0))</f>
      </c>
      <c r="K268" s="351"/>
      <c r="L268" s="333">
        <f>K268+J268</f>
      </c>
      <c r="M268" s="170"/>
      <c r="N268" s="7"/>
      <c r="O268" s="1"/>
      <c r="P268" s="331">
        <f>D268</f>
      </c>
      <c r="Q268" s="169"/>
      <c r="R268" s="1"/>
      <c r="S268" s="217">
        <f>(1+$M$5)^(D268/12)*(IF(E268=$C$6,$Q$4+$H$5*12,0))</f>
      </c>
      <c r="T268" s="217">
        <f>(1+$M$5)^(D268/12)*(IF(YEAR(E268)&gt;YEAR($C$6),L268,0)+IF(E268=$C$6,$H$5*12+$Q$4,0))</f>
      </c>
    </row>
    <row x14ac:dyDescent="0.25" r="269" customHeight="1" ht="18.75">
      <c r="A269" s="1"/>
      <c r="B269" s="7"/>
      <c r="C269" s="170"/>
      <c r="D269" s="331">
        <v>262</v>
      </c>
      <c r="E269" s="544">
        <f>+DATE(YEAR(E268),MONTH(E268)-1,DAY(E268))</f>
        <v>25569.041666666668</v>
      </c>
      <c r="F269" s="333">
        <f>IF(DATE(YEAR($B$6),MONTH($B$6)+1,DAY(1))=E269,1,IF(MONTH(E269)=1,F270*(1+$F$5),F270))</f>
      </c>
      <c r="G269" s="333">
        <f>IF('Simulador - 1º Pilar'!$E$99="Sí",IF('Aportaciones Flex'!$B$13&lt;'Aportaciones Flex'!E269,0,F269*$B$8/12),F269*$B$8/12)</f>
      </c>
      <c r="H269" s="333">
        <f>IF(G269&gt;0,1,0)*$H$5*IF(AND($I$5="NO",YEAR(E269)=YEAR($B$6)+1),1,IF($I$5="SI",1,0))</f>
      </c>
      <c r="I269" s="217">
        <f>(1+$M$5)^(D269/12)*(H269*(12-IF(MONTH(E270)=12,0,MONTH(E270)))+IF(AND(F269=1,F270=0),$Q$4,0))*IF(AND(F269=1,F270=0),1,0)</f>
      </c>
      <c r="J269" s="333">
        <f>(1+$M$5)^(D269/12)*(H269+IF(AND(F269=1,F270=0),$Q$4,0))</f>
      </c>
      <c r="K269" s="351"/>
      <c r="L269" s="333">
        <f>K269+J269</f>
      </c>
      <c r="M269" s="170"/>
      <c r="N269" s="7"/>
      <c r="O269" s="1"/>
      <c r="P269" s="331">
        <f>D269</f>
      </c>
      <c r="Q269" s="169"/>
      <c r="R269" s="1"/>
      <c r="S269" s="217">
        <f>(1+$M$5)^(D269/12)*(IF(E269=$C$6,$Q$4+$H$5*12,0))</f>
      </c>
      <c r="T269" s="217">
        <f>(1+$M$5)^(D269/12)*(IF(YEAR(E269)&gt;YEAR($C$6),L269,0)+IF(E269=$C$6,$H$5*12+$Q$4,0))</f>
      </c>
    </row>
    <row x14ac:dyDescent="0.25" r="270" customHeight="1" ht="18.75">
      <c r="A270" s="1"/>
      <c r="B270" s="7"/>
      <c r="C270" s="170"/>
      <c r="D270" s="331">
        <v>263</v>
      </c>
      <c r="E270" s="544">
        <f>+DATE(YEAR(E269),MONTH(E269)-1,DAY(E269))</f>
        <v>25569.041666666668</v>
      </c>
      <c r="F270" s="333">
        <f>IF(DATE(YEAR($B$6),MONTH($B$6)+1,DAY(1))=E270,1,IF(MONTH(E270)=1,F271*(1+$F$5),F271))</f>
      </c>
      <c r="G270" s="333">
        <f>IF('Simulador - 1º Pilar'!$E$99="Sí",IF('Aportaciones Flex'!$B$13&lt;'Aportaciones Flex'!E270,0,F270*$B$8/12),F270*$B$8/12)</f>
      </c>
      <c r="H270" s="333">
        <f>IF(G270&gt;0,1,0)*$H$5*IF(AND($I$5="NO",YEAR(E270)=YEAR($B$6)+1),1,IF($I$5="SI",1,0))</f>
      </c>
      <c r="I270" s="217">
        <f>(1+$M$5)^(D270/12)*(H270*(12-IF(MONTH(E271)=12,0,MONTH(E271)))+IF(AND(F270=1,F271=0),$Q$4,0))*IF(AND(F270=1,F271=0),1,0)</f>
      </c>
      <c r="J270" s="333">
        <f>(1+$M$5)^(D270/12)*(H270+IF(AND(F270=1,F271=0),$Q$4,0))</f>
      </c>
      <c r="K270" s="351"/>
      <c r="L270" s="333">
        <f>K270+J270</f>
      </c>
      <c r="M270" s="170"/>
      <c r="N270" s="7"/>
      <c r="O270" s="1"/>
      <c r="P270" s="331">
        <f>D270</f>
      </c>
      <c r="Q270" s="169"/>
      <c r="R270" s="1"/>
      <c r="S270" s="217">
        <f>(1+$M$5)^(D270/12)*(IF(E270=$C$6,$Q$4+$H$5*12,0))</f>
      </c>
      <c r="T270" s="217">
        <f>(1+$M$5)^(D270/12)*(IF(YEAR(E270)&gt;YEAR($C$6),L270,0)+IF(E270=$C$6,$H$5*12+$Q$4,0))</f>
      </c>
    </row>
    <row x14ac:dyDescent="0.25" r="271" customHeight="1" ht="18.75">
      <c r="A271" s="1"/>
      <c r="B271" s="7"/>
      <c r="C271" s="170"/>
      <c r="D271" s="331">
        <v>264</v>
      </c>
      <c r="E271" s="544">
        <f>+DATE(YEAR(E270),MONTH(E270)-1,DAY(E270))</f>
        <v>25569.041666666668</v>
      </c>
      <c r="F271" s="333">
        <f>IF(DATE(YEAR($B$6),MONTH($B$6)+1,DAY(1))=E271,1,IF(MONTH(E271)=1,F272*(1+$F$5),F272))</f>
      </c>
      <c r="G271" s="333">
        <f>IF('Simulador - 1º Pilar'!$E$99="Sí",IF('Aportaciones Flex'!$B$13&lt;'Aportaciones Flex'!E271,0,F271*$B$8/12),F271*$B$8/12)</f>
      </c>
      <c r="H271" s="333">
        <f>IF(G271&gt;0,1,0)*$H$5*IF(AND($I$5="NO",YEAR(E271)=YEAR($B$6)+1),1,IF($I$5="SI",1,0))</f>
      </c>
      <c r="I271" s="217">
        <f>(1+$M$5)^(D271/12)*(H271*(12-IF(MONTH(E272)=12,0,MONTH(E272)))+IF(AND(F271=1,F272=0),$Q$4,0))*IF(AND(F271=1,F272=0),1,0)</f>
      </c>
      <c r="J271" s="333">
        <f>(1+$M$5)^(D271/12)*(H271+IF(AND(F271=1,F272=0),$Q$4,0))</f>
      </c>
      <c r="K271" s="351"/>
      <c r="L271" s="333">
        <f>K271+J271</f>
      </c>
      <c r="M271" s="170"/>
      <c r="N271" s="7"/>
      <c r="O271" s="1"/>
      <c r="P271" s="331">
        <f>D271</f>
      </c>
      <c r="Q271" s="169"/>
      <c r="R271" s="1"/>
      <c r="S271" s="217">
        <f>(1+$M$5)^(D271/12)*(IF(E271=$C$6,$Q$4+$H$5*12,0))</f>
      </c>
      <c r="T271" s="217">
        <f>(1+$M$5)^(D271/12)*(IF(YEAR(E271)&gt;YEAR($C$6),L271,0)+IF(E271=$C$6,$H$5*12+$Q$4,0))</f>
      </c>
    </row>
    <row x14ac:dyDescent="0.25" r="272" customHeight="1" ht="18.75">
      <c r="A272" s="1"/>
      <c r="B272" s="7"/>
      <c r="C272" s="170"/>
      <c r="D272" s="331">
        <v>265</v>
      </c>
      <c r="E272" s="544">
        <f>+DATE(YEAR(E271),MONTH(E271)-1,DAY(E271))</f>
        <v>25569.041666666668</v>
      </c>
      <c r="F272" s="333">
        <f>IF(DATE(YEAR($B$6),MONTH($B$6)+1,DAY(1))=E272,1,IF(MONTH(E272)=1,F273*(1+$F$5),F273))</f>
      </c>
      <c r="G272" s="333">
        <f>IF('Simulador - 1º Pilar'!$E$99="Sí",IF('Aportaciones Flex'!$B$13&lt;'Aportaciones Flex'!E272,0,F272*$B$8/12),F272*$B$8/12)</f>
      </c>
      <c r="H272" s="333">
        <f>IF(G272&gt;0,1,0)*$H$5*IF(AND($I$5="NO",YEAR(E272)=YEAR($B$6)+1),1,IF($I$5="SI",1,0))</f>
      </c>
      <c r="I272" s="217">
        <f>(1+$M$5)^(D272/12)*(H272*(12-IF(MONTH(E273)=12,0,MONTH(E273)))+IF(AND(F272=1,F273=0),$Q$4,0))*IF(AND(F272=1,F273=0),1,0)</f>
      </c>
      <c r="J272" s="333">
        <f>(1+$M$5)^(D272/12)*(H272+IF(AND(F272=1,F273=0),$Q$4,0))</f>
      </c>
      <c r="K272" s="351"/>
      <c r="L272" s="333">
        <f>K272+J272</f>
      </c>
      <c r="M272" s="170"/>
      <c r="N272" s="7"/>
      <c r="O272" s="1"/>
      <c r="P272" s="331">
        <f>D272</f>
      </c>
      <c r="Q272" s="169"/>
      <c r="R272" s="1"/>
      <c r="S272" s="217">
        <f>(1+$M$5)^(D272/12)*(IF(E272=$C$6,$Q$4+$H$5*12,0))</f>
      </c>
      <c r="T272" s="217">
        <f>(1+$M$5)^(D272/12)*(IF(YEAR(E272)&gt;YEAR($C$6),L272,0)+IF(E272=$C$6,$H$5*12+$Q$4,0))</f>
      </c>
    </row>
    <row x14ac:dyDescent="0.25" r="273" customHeight="1" ht="18.75">
      <c r="A273" s="1"/>
      <c r="B273" s="7"/>
      <c r="C273" s="170"/>
      <c r="D273" s="331">
        <v>266</v>
      </c>
      <c r="E273" s="544">
        <f>+DATE(YEAR(E272),MONTH(E272)-1,DAY(E272))</f>
        <v>25569.041666666668</v>
      </c>
      <c r="F273" s="333">
        <f>IF(DATE(YEAR($B$6),MONTH($B$6)+1,DAY(1))=E273,1,IF(MONTH(E273)=1,F274*(1+$F$5),F274))</f>
      </c>
      <c r="G273" s="333">
        <f>IF('Simulador - 1º Pilar'!$E$99="Sí",IF('Aportaciones Flex'!$B$13&lt;'Aportaciones Flex'!E273,0,F273*$B$8/12),F273*$B$8/12)</f>
      </c>
      <c r="H273" s="333">
        <f>IF(G273&gt;0,1,0)*$H$5*IF(AND($I$5="NO",YEAR(E273)=YEAR($B$6)+1),1,IF($I$5="SI",1,0))</f>
      </c>
      <c r="I273" s="217">
        <f>(1+$M$5)^(D273/12)*(H273*(12-IF(MONTH(E274)=12,0,MONTH(E274)))+IF(AND(F273=1,F274=0),$Q$4,0))*IF(AND(F273=1,F274=0),1,0)</f>
      </c>
      <c r="J273" s="333">
        <f>(1+$M$5)^(D273/12)*(H273+IF(AND(F273=1,F274=0),$Q$4,0))</f>
      </c>
      <c r="K273" s="351"/>
      <c r="L273" s="333">
        <f>K273+J273</f>
      </c>
      <c r="M273" s="170"/>
      <c r="N273" s="7"/>
      <c r="O273" s="1"/>
      <c r="P273" s="331">
        <f>D273</f>
      </c>
      <c r="Q273" s="169"/>
      <c r="R273" s="1"/>
      <c r="S273" s="217">
        <f>(1+$M$5)^(D273/12)*(IF(E273=$C$6,$Q$4+$H$5*12,0))</f>
      </c>
      <c r="T273" s="217">
        <f>(1+$M$5)^(D273/12)*(IF(YEAR(E273)&gt;YEAR($C$6),L273,0)+IF(E273=$C$6,$H$5*12+$Q$4,0))</f>
      </c>
    </row>
    <row x14ac:dyDescent="0.25" r="274" customHeight="1" ht="18.75">
      <c r="A274" s="1"/>
      <c r="B274" s="7"/>
      <c r="C274" s="170"/>
      <c r="D274" s="331">
        <v>267</v>
      </c>
      <c r="E274" s="544">
        <f>+DATE(YEAR(E273),MONTH(E273)-1,DAY(E273))</f>
        <v>25569.041666666668</v>
      </c>
      <c r="F274" s="333">
        <f>IF(DATE(YEAR($B$6),MONTH($B$6)+1,DAY(1))=E274,1,IF(MONTH(E274)=1,F275*(1+$F$5),F275))</f>
      </c>
      <c r="G274" s="333">
        <f>IF('Simulador - 1º Pilar'!$E$99="Sí",IF('Aportaciones Flex'!$B$13&lt;'Aportaciones Flex'!E274,0,F274*$B$8/12),F274*$B$8/12)</f>
      </c>
      <c r="H274" s="333">
        <f>IF(G274&gt;0,1,0)*$H$5*IF(AND($I$5="NO",YEAR(E274)=YEAR($B$6)+1),1,IF($I$5="SI",1,0))</f>
      </c>
      <c r="I274" s="217">
        <f>(1+$M$5)^(D274/12)*(H274*(12-IF(MONTH(E275)=12,0,MONTH(E275)))+IF(AND(F274=1,F275=0),$Q$4,0))*IF(AND(F274=1,F275=0),1,0)</f>
      </c>
      <c r="J274" s="333">
        <f>(1+$M$5)^(D274/12)*(H274+IF(AND(F274=1,F275=0),$Q$4,0))</f>
      </c>
      <c r="K274" s="351"/>
      <c r="L274" s="333">
        <f>K274+J274</f>
      </c>
      <c r="M274" s="170"/>
      <c r="N274" s="7"/>
      <c r="O274" s="1"/>
      <c r="P274" s="331">
        <f>D274</f>
      </c>
      <c r="Q274" s="169"/>
      <c r="R274" s="1"/>
      <c r="S274" s="217">
        <f>(1+$M$5)^(D274/12)*(IF(E274=$C$6,$Q$4+$H$5*12,0))</f>
      </c>
      <c r="T274" s="217">
        <f>(1+$M$5)^(D274/12)*(IF(YEAR(E274)&gt;YEAR($C$6),L274,0)+IF(E274=$C$6,$H$5*12+$Q$4,0))</f>
      </c>
    </row>
    <row x14ac:dyDescent="0.25" r="275" customHeight="1" ht="18.75">
      <c r="A275" s="1"/>
      <c r="B275" s="7"/>
      <c r="C275" s="170"/>
      <c r="D275" s="331">
        <v>268</v>
      </c>
      <c r="E275" s="544">
        <f>+DATE(YEAR(E274),MONTH(E274)-1,DAY(E274))</f>
        <v>25569.041666666668</v>
      </c>
      <c r="F275" s="333">
        <f>IF(DATE(YEAR($B$6),MONTH($B$6)+1,DAY(1))=E275,1,IF(MONTH(E275)=1,F276*(1+$F$5),F276))</f>
      </c>
      <c r="G275" s="333">
        <f>IF('Simulador - 1º Pilar'!$E$99="Sí",IF('Aportaciones Flex'!$B$13&lt;'Aportaciones Flex'!E275,0,F275*$B$8/12),F275*$B$8/12)</f>
      </c>
      <c r="H275" s="333">
        <f>IF(G275&gt;0,1,0)*$H$5*IF(AND($I$5="NO",YEAR(E275)=YEAR($B$6)+1),1,IF($I$5="SI",1,0))</f>
      </c>
      <c r="I275" s="217">
        <f>(1+$M$5)^(D275/12)*(H275*(12-IF(MONTH(E276)=12,0,MONTH(E276)))+IF(AND(F275=1,F276=0),$Q$4,0))*IF(AND(F275=1,F276=0),1,0)</f>
      </c>
      <c r="J275" s="333">
        <f>(1+$M$5)^(D275/12)*(H275+IF(AND(F275=1,F276=0),$Q$4,0))</f>
      </c>
      <c r="K275" s="351"/>
      <c r="L275" s="333">
        <f>K275+J275</f>
      </c>
      <c r="M275" s="170"/>
      <c r="N275" s="7"/>
      <c r="O275" s="1"/>
      <c r="P275" s="331">
        <f>D275</f>
      </c>
      <c r="Q275" s="169"/>
      <c r="R275" s="1"/>
      <c r="S275" s="217">
        <f>(1+$M$5)^(D275/12)*(IF(E275=$C$6,$Q$4+$H$5*12,0))</f>
      </c>
      <c r="T275" s="217">
        <f>(1+$M$5)^(D275/12)*(IF(YEAR(E275)&gt;YEAR($C$6),L275,0)+IF(E275=$C$6,$H$5*12+$Q$4,0))</f>
      </c>
    </row>
    <row x14ac:dyDescent="0.25" r="276" customHeight="1" ht="18.75">
      <c r="A276" s="1"/>
      <c r="B276" s="7"/>
      <c r="C276" s="170"/>
      <c r="D276" s="331">
        <v>269</v>
      </c>
      <c r="E276" s="544">
        <f>+DATE(YEAR(E275),MONTH(E275)-1,DAY(E275))</f>
        <v>25569.041666666668</v>
      </c>
      <c r="F276" s="333">
        <f>IF(DATE(YEAR($B$6),MONTH($B$6)+1,DAY(1))=E276,1,IF(MONTH(E276)=1,F277*(1+$F$5),F277))</f>
      </c>
      <c r="G276" s="333">
        <f>IF('Simulador - 1º Pilar'!$E$99="Sí",IF('Aportaciones Flex'!$B$13&lt;'Aportaciones Flex'!E276,0,F276*$B$8/12),F276*$B$8/12)</f>
      </c>
      <c r="H276" s="333">
        <f>IF(G276&gt;0,1,0)*$H$5*IF(AND($I$5="NO",YEAR(E276)=YEAR($B$6)+1),1,IF($I$5="SI",1,0))</f>
      </c>
      <c r="I276" s="217">
        <f>(1+$M$5)^(D276/12)*(H276*(12-IF(MONTH(E277)=12,0,MONTH(E277)))+IF(AND(F276=1,F277=0),$Q$4,0))*IF(AND(F276=1,F277=0),1,0)</f>
      </c>
      <c r="J276" s="333">
        <f>(1+$M$5)^(D276/12)*(H276+IF(AND(F276=1,F277=0),$Q$4,0))</f>
      </c>
      <c r="K276" s="351"/>
      <c r="L276" s="333">
        <f>K276+J276</f>
      </c>
      <c r="M276" s="170"/>
      <c r="N276" s="7"/>
      <c r="O276" s="1"/>
      <c r="P276" s="331">
        <f>D276</f>
      </c>
      <c r="Q276" s="169"/>
      <c r="R276" s="1"/>
      <c r="S276" s="217">
        <f>(1+$M$5)^(D276/12)*(IF(E276=$C$6,$Q$4+$H$5*12,0))</f>
      </c>
      <c r="T276" s="217">
        <f>(1+$M$5)^(D276/12)*(IF(YEAR(E276)&gt;YEAR($C$6),L276,0)+IF(E276=$C$6,$H$5*12+$Q$4,0))</f>
      </c>
    </row>
    <row x14ac:dyDescent="0.25" r="277" customHeight="1" ht="18.75">
      <c r="A277" s="1"/>
      <c r="B277" s="7"/>
      <c r="C277" s="170"/>
      <c r="D277" s="331">
        <v>270</v>
      </c>
      <c r="E277" s="544">
        <f>+DATE(YEAR(E276),MONTH(E276)-1,DAY(E276))</f>
        <v>25569.041666666668</v>
      </c>
      <c r="F277" s="333">
        <f>IF(DATE(YEAR($B$6),MONTH($B$6)+1,DAY(1))=E277,1,IF(MONTH(E277)=1,F278*(1+$F$5),F278))</f>
      </c>
      <c r="G277" s="333">
        <f>IF('Simulador - 1º Pilar'!$E$99="Sí",IF('Aportaciones Flex'!$B$13&lt;'Aportaciones Flex'!E277,0,F277*$B$8/12),F277*$B$8/12)</f>
      </c>
      <c r="H277" s="333">
        <f>IF(G277&gt;0,1,0)*$H$5*IF(AND($I$5="NO",YEAR(E277)=YEAR($B$6)+1),1,IF($I$5="SI",1,0))</f>
      </c>
      <c r="I277" s="217">
        <f>(1+$M$5)^(D277/12)*(H277*(12-IF(MONTH(E278)=12,0,MONTH(E278)))+IF(AND(F277=1,F278=0),$Q$4,0))*IF(AND(F277=1,F278=0),1,0)</f>
      </c>
      <c r="J277" s="333">
        <f>(1+$M$5)^(D277/12)*(H277+IF(AND(F277=1,F278=0),$Q$4,0))</f>
      </c>
      <c r="K277" s="351"/>
      <c r="L277" s="333">
        <f>K277+J277</f>
      </c>
      <c r="M277" s="170"/>
      <c r="N277" s="7"/>
      <c r="O277" s="1"/>
      <c r="P277" s="331">
        <f>D277</f>
      </c>
      <c r="Q277" s="169"/>
      <c r="R277" s="1"/>
      <c r="S277" s="217">
        <f>(1+$M$5)^(D277/12)*(IF(E277=$C$6,$Q$4+$H$5*12,0))</f>
      </c>
      <c r="T277" s="217">
        <f>(1+$M$5)^(D277/12)*(IF(YEAR(E277)&gt;YEAR($C$6),L277,0)+IF(E277=$C$6,$H$5*12+$Q$4,0))</f>
      </c>
    </row>
    <row x14ac:dyDescent="0.25" r="278" customHeight="1" ht="18.75">
      <c r="A278" s="1"/>
      <c r="B278" s="7"/>
      <c r="C278" s="170"/>
      <c r="D278" s="331">
        <v>271</v>
      </c>
      <c r="E278" s="544">
        <f>+DATE(YEAR(E277),MONTH(E277)-1,DAY(E277))</f>
        <v>25569.041666666668</v>
      </c>
      <c r="F278" s="333">
        <f>IF(DATE(YEAR($B$6),MONTH($B$6)+1,DAY(1))=E278,1,IF(MONTH(E278)=1,F279*(1+$F$5),F279))</f>
      </c>
      <c r="G278" s="333">
        <f>IF('Simulador - 1º Pilar'!$E$99="Sí",IF('Aportaciones Flex'!$B$13&lt;'Aportaciones Flex'!E278,0,F278*$B$8/12),F278*$B$8/12)</f>
      </c>
      <c r="H278" s="333">
        <f>IF(G278&gt;0,1,0)*$H$5*IF(AND($I$5="NO",YEAR(E278)=YEAR($B$6)+1),1,IF($I$5="SI",1,0))</f>
      </c>
      <c r="I278" s="217">
        <f>(1+$M$5)^(D278/12)*(H278*(12-IF(MONTH(E279)=12,0,MONTH(E279)))+IF(AND(F278=1,F279=0),$Q$4,0))*IF(AND(F278=1,F279=0),1,0)</f>
      </c>
      <c r="J278" s="333">
        <f>(1+$M$5)^(D278/12)*(H278+IF(AND(F278=1,F279=0),$Q$4,0))</f>
      </c>
      <c r="K278" s="351"/>
      <c r="L278" s="333">
        <f>K278+J278</f>
      </c>
      <c r="M278" s="170"/>
      <c r="N278" s="7"/>
      <c r="O278" s="1"/>
      <c r="P278" s="331">
        <f>D278</f>
      </c>
      <c r="Q278" s="169"/>
      <c r="R278" s="1"/>
      <c r="S278" s="217">
        <f>(1+$M$5)^(D278/12)*(IF(E278=$C$6,$Q$4+$H$5*12,0))</f>
      </c>
      <c r="T278" s="217">
        <f>(1+$M$5)^(D278/12)*(IF(YEAR(E278)&gt;YEAR($C$6),L278,0)+IF(E278=$C$6,$H$5*12+$Q$4,0))</f>
      </c>
    </row>
    <row x14ac:dyDescent="0.25" r="279" customHeight="1" ht="18.75">
      <c r="A279" s="1"/>
      <c r="B279" s="7"/>
      <c r="C279" s="170"/>
      <c r="D279" s="331">
        <v>272</v>
      </c>
      <c r="E279" s="544">
        <f>+DATE(YEAR(E278),MONTH(E278)-1,DAY(E278))</f>
        <v>25569.041666666668</v>
      </c>
      <c r="F279" s="333">
        <f>IF(DATE(YEAR($B$6),MONTH($B$6)+1,DAY(1))=E279,1,IF(MONTH(E279)=1,F280*(1+$F$5),F280))</f>
      </c>
      <c r="G279" s="333">
        <f>IF('Simulador - 1º Pilar'!$E$99="Sí",IF('Aportaciones Flex'!$B$13&lt;'Aportaciones Flex'!E279,0,F279*$B$8/12),F279*$B$8/12)</f>
      </c>
      <c r="H279" s="333">
        <f>IF(G279&gt;0,1,0)*$H$5*IF(AND($I$5="NO",YEAR(E279)=YEAR($B$6)+1),1,IF($I$5="SI",1,0))</f>
      </c>
      <c r="I279" s="217">
        <f>(1+$M$5)^(D279/12)*(H279*(12-IF(MONTH(E280)=12,0,MONTH(E280)))+IF(AND(F279=1,F280=0),$Q$4,0))*IF(AND(F279=1,F280=0),1,0)</f>
      </c>
      <c r="J279" s="333">
        <f>(1+$M$5)^(D279/12)*(H279+IF(AND(F279=1,F280=0),$Q$4,0))</f>
      </c>
      <c r="K279" s="351"/>
      <c r="L279" s="333">
        <f>K279+J279</f>
      </c>
      <c r="M279" s="170"/>
      <c r="N279" s="7"/>
      <c r="O279" s="1"/>
      <c r="P279" s="331">
        <f>D279</f>
      </c>
      <c r="Q279" s="169"/>
      <c r="R279" s="1"/>
      <c r="S279" s="217">
        <f>(1+$M$5)^(D279/12)*(IF(E279=$C$6,$Q$4+$H$5*12,0))</f>
      </c>
      <c r="T279" s="217">
        <f>(1+$M$5)^(D279/12)*(IF(YEAR(E279)&gt;YEAR($C$6),L279,0)+IF(E279=$C$6,$H$5*12+$Q$4,0))</f>
      </c>
    </row>
    <row x14ac:dyDescent="0.25" r="280" customHeight="1" ht="18.75">
      <c r="A280" s="1"/>
      <c r="B280" s="7"/>
      <c r="C280" s="170"/>
      <c r="D280" s="331">
        <v>273</v>
      </c>
      <c r="E280" s="544">
        <f>+DATE(YEAR(E279),MONTH(E279)-1,DAY(E279))</f>
        <v>25569.041666666668</v>
      </c>
      <c r="F280" s="333">
        <f>IF(DATE(YEAR($B$6),MONTH($B$6)+1,DAY(1))=E280,1,IF(MONTH(E280)=1,F281*(1+$F$5),F281))</f>
      </c>
      <c r="G280" s="333">
        <f>IF('Simulador - 1º Pilar'!$E$99="Sí",IF('Aportaciones Flex'!$B$13&lt;'Aportaciones Flex'!E280,0,F280*$B$8/12),F280*$B$8/12)</f>
      </c>
      <c r="H280" s="333">
        <f>IF(G280&gt;0,1,0)*$H$5*IF(AND($I$5="NO",YEAR(E280)=YEAR($B$6)+1),1,IF($I$5="SI",1,0))</f>
      </c>
      <c r="I280" s="217">
        <f>(1+$M$5)^(D280/12)*(H280*(12-IF(MONTH(E281)=12,0,MONTH(E281)))+IF(AND(F280=1,F281=0),$Q$4,0))*IF(AND(F280=1,F281=0),1,0)</f>
      </c>
      <c r="J280" s="333">
        <f>(1+$M$5)^(D280/12)*(H280+IF(AND(F280=1,F281=0),$Q$4,0))</f>
      </c>
      <c r="K280" s="351"/>
      <c r="L280" s="333">
        <f>K280+J280</f>
      </c>
      <c r="M280" s="170"/>
      <c r="N280" s="7"/>
      <c r="O280" s="1"/>
      <c r="P280" s="331">
        <f>D280</f>
      </c>
      <c r="Q280" s="169"/>
      <c r="R280" s="1"/>
      <c r="S280" s="217">
        <f>(1+$M$5)^(D280/12)*(IF(E280=$C$6,$Q$4+$H$5*12,0))</f>
      </c>
      <c r="T280" s="217">
        <f>(1+$M$5)^(D280/12)*(IF(YEAR(E280)&gt;YEAR($C$6),L280,0)+IF(E280=$C$6,$H$5*12+$Q$4,0))</f>
      </c>
    </row>
    <row x14ac:dyDescent="0.25" r="281" customHeight="1" ht="18.75">
      <c r="A281" s="1"/>
      <c r="B281" s="7"/>
      <c r="C281" s="170"/>
      <c r="D281" s="331">
        <v>274</v>
      </c>
      <c r="E281" s="544">
        <f>+DATE(YEAR(E280),MONTH(E280)-1,DAY(E280))</f>
        <v>25569.041666666668</v>
      </c>
      <c r="F281" s="333">
        <f>IF(DATE(YEAR($B$6),MONTH($B$6)+1,DAY(1))=E281,1,IF(MONTH(E281)=1,F282*(1+$F$5),F282))</f>
      </c>
      <c r="G281" s="333">
        <f>IF('Simulador - 1º Pilar'!$E$99="Sí",IF('Aportaciones Flex'!$B$13&lt;'Aportaciones Flex'!E281,0,F281*$B$8/12),F281*$B$8/12)</f>
      </c>
      <c r="H281" s="333">
        <f>IF(G281&gt;0,1,0)*$H$5*IF(AND($I$5="NO",YEAR(E281)=YEAR($B$6)+1),1,IF($I$5="SI",1,0))</f>
      </c>
      <c r="I281" s="217">
        <f>(1+$M$5)^(D281/12)*(H281*(12-IF(MONTH(E282)=12,0,MONTH(E282)))+IF(AND(F281=1,F282=0),$Q$4,0))*IF(AND(F281=1,F282=0),1,0)</f>
      </c>
      <c r="J281" s="333">
        <f>(1+$M$5)^(D281/12)*(H281+IF(AND(F281=1,F282=0),$Q$4,0))</f>
      </c>
      <c r="K281" s="351"/>
      <c r="L281" s="333">
        <f>K281+J281</f>
      </c>
      <c r="M281" s="170"/>
      <c r="N281" s="7"/>
      <c r="O281" s="1"/>
      <c r="P281" s="331">
        <f>D281</f>
      </c>
      <c r="Q281" s="169"/>
      <c r="R281" s="1"/>
      <c r="S281" s="217">
        <f>(1+$M$5)^(D281/12)*(IF(E281=$C$6,$Q$4+$H$5*12,0))</f>
      </c>
      <c r="T281" s="217">
        <f>(1+$M$5)^(D281/12)*(IF(YEAR(E281)&gt;YEAR($C$6),L281,0)+IF(E281=$C$6,$H$5*12+$Q$4,0))</f>
      </c>
    </row>
    <row x14ac:dyDescent="0.25" r="282" customHeight="1" ht="18.75">
      <c r="A282" s="1"/>
      <c r="B282" s="7"/>
      <c r="C282" s="170"/>
      <c r="D282" s="331">
        <v>275</v>
      </c>
      <c r="E282" s="544">
        <f>+DATE(YEAR(E281),MONTH(E281)-1,DAY(E281))</f>
        <v>25569.041666666668</v>
      </c>
      <c r="F282" s="333">
        <f>IF(DATE(YEAR($B$6),MONTH($B$6)+1,DAY(1))=E282,1,IF(MONTH(E282)=1,F283*(1+$F$5),F283))</f>
      </c>
      <c r="G282" s="333">
        <f>IF('Simulador - 1º Pilar'!$E$99="Sí",IF('Aportaciones Flex'!$B$13&lt;'Aportaciones Flex'!E282,0,F282*$B$8/12),F282*$B$8/12)</f>
      </c>
      <c r="H282" s="333">
        <f>IF(G282&gt;0,1,0)*$H$5*IF(AND($I$5="NO",YEAR(E282)=YEAR($B$6)+1),1,IF($I$5="SI",1,0))</f>
      </c>
      <c r="I282" s="217">
        <f>(1+$M$5)^(D282/12)*(H282*(12-IF(MONTH(E283)=12,0,MONTH(E283)))+IF(AND(F282=1,F283=0),$Q$4,0))*IF(AND(F282=1,F283=0),1,0)</f>
      </c>
      <c r="J282" s="333">
        <f>(1+$M$5)^(D282/12)*(H282+IF(AND(F282=1,F283=0),$Q$4,0))</f>
      </c>
      <c r="K282" s="351"/>
      <c r="L282" s="333">
        <f>K282+J282</f>
      </c>
      <c r="M282" s="170"/>
      <c r="N282" s="7"/>
      <c r="O282" s="1"/>
      <c r="P282" s="331">
        <f>D282</f>
      </c>
      <c r="Q282" s="169"/>
      <c r="R282" s="1"/>
      <c r="S282" s="217">
        <f>(1+$M$5)^(D282/12)*(IF(E282=$C$6,$Q$4+$H$5*12,0))</f>
      </c>
      <c r="T282" s="217">
        <f>(1+$M$5)^(D282/12)*(IF(YEAR(E282)&gt;YEAR($C$6),L282,0)+IF(E282=$C$6,$H$5*12+$Q$4,0))</f>
      </c>
    </row>
    <row x14ac:dyDescent="0.25" r="283" customHeight="1" ht="18.75">
      <c r="A283" s="1"/>
      <c r="B283" s="7"/>
      <c r="C283" s="170"/>
      <c r="D283" s="331">
        <v>276</v>
      </c>
      <c r="E283" s="544">
        <f>+DATE(YEAR(E282),MONTH(E282)-1,DAY(E282))</f>
        <v>25569.041666666668</v>
      </c>
      <c r="F283" s="333">
        <f>IF(DATE(YEAR($B$6),MONTH($B$6)+1,DAY(1))=E283,1,IF(MONTH(E283)=1,F284*(1+$F$5),F284))</f>
      </c>
      <c r="G283" s="333">
        <f>IF('Simulador - 1º Pilar'!$E$99="Sí",IF('Aportaciones Flex'!$B$13&lt;'Aportaciones Flex'!E283,0,F283*$B$8/12),F283*$B$8/12)</f>
      </c>
      <c r="H283" s="333">
        <f>IF(G283&gt;0,1,0)*$H$5*IF(AND($I$5="NO",YEAR(E283)=YEAR($B$6)+1),1,IF($I$5="SI",1,0))</f>
      </c>
      <c r="I283" s="217">
        <f>(1+$M$5)^(D283/12)*(H283*(12-IF(MONTH(E284)=12,0,MONTH(E284)))+IF(AND(F283=1,F284=0),$Q$4,0))*IF(AND(F283=1,F284=0),1,0)</f>
      </c>
      <c r="J283" s="333">
        <f>(1+$M$5)^(D283/12)*(H283+IF(AND(F283=1,F284=0),$Q$4,0))</f>
      </c>
      <c r="K283" s="351"/>
      <c r="L283" s="333">
        <f>K283+J283</f>
      </c>
      <c r="M283" s="170"/>
      <c r="N283" s="7"/>
      <c r="O283" s="1"/>
      <c r="P283" s="331">
        <f>D283</f>
      </c>
      <c r="Q283" s="169"/>
      <c r="R283" s="1"/>
      <c r="S283" s="217">
        <f>(1+$M$5)^(D283/12)*(IF(E283=$C$6,$Q$4+$H$5*12,0))</f>
      </c>
      <c r="T283" s="217">
        <f>(1+$M$5)^(D283/12)*(IF(YEAR(E283)&gt;YEAR($C$6),L283,0)+IF(E283=$C$6,$H$5*12+$Q$4,0))</f>
      </c>
    </row>
    <row x14ac:dyDescent="0.25" r="284" customHeight="1" ht="18.75">
      <c r="A284" s="1"/>
      <c r="B284" s="7"/>
      <c r="C284" s="170"/>
      <c r="D284" s="331">
        <v>277</v>
      </c>
      <c r="E284" s="544">
        <f>+DATE(YEAR(E283),MONTH(E283)-1,DAY(E283))</f>
        <v>25569.041666666668</v>
      </c>
      <c r="F284" s="333">
        <f>IF(DATE(YEAR($B$6),MONTH($B$6)+1,DAY(1))=E284,1,IF(MONTH(E284)=1,F285*(1+$F$5),F285))</f>
      </c>
      <c r="G284" s="333">
        <f>IF('Simulador - 1º Pilar'!$E$99="Sí",IF('Aportaciones Flex'!$B$13&lt;'Aportaciones Flex'!E284,0,F284*$B$8/12),F284*$B$8/12)</f>
      </c>
      <c r="H284" s="333">
        <f>IF(G284&gt;0,1,0)*$H$5*IF(AND($I$5="NO",YEAR(E284)=YEAR($B$6)+1),1,IF($I$5="SI",1,0))</f>
      </c>
      <c r="I284" s="217">
        <f>(1+$M$5)^(D284/12)*(H284*(12-IF(MONTH(E285)=12,0,MONTH(E285)))+IF(AND(F284=1,F285=0),$Q$4,0))*IF(AND(F284=1,F285=0),1,0)</f>
      </c>
      <c r="J284" s="333">
        <f>(1+$M$5)^(D284/12)*(H284+IF(AND(F284=1,F285=0),$Q$4,0))</f>
      </c>
      <c r="K284" s="351"/>
      <c r="L284" s="333">
        <f>K284+J284</f>
      </c>
      <c r="M284" s="170"/>
      <c r="N284" s="7"/>
      <c r="O284" s="1"/>
      <c r="P284" s="331">
        <f>D284</f>
      </c>
      <c r="Q284" s="169"/>
      <c r="R284" s="1"/>
      <c r="S284" s="217">
        <f>(1+$M$5)^(D284/12)*(IF(E284=$C$6,$Q$4+$H$5*12,0))</f>
      </c>
      <c r="T284" s="217">
        <f>(1+$M$5)^(D284/12)*(IF(YEAR(E284)&gt;YEAR($C$6),L284,0)+IF(E284=$C$6,$H$5*12+$Q$4,0))</f>
      </c>
    </row>
    <row x14ac:dyDescent="0.25" r="285" customHeight="1" ht="18.75">
      <c r="A285" s="1"/>
      <c r="B285" s="7"/>
      <c r="C285" s="170"/>
      <c r="D285" s="331">
        <v>278</v>
      </c>
      <c r="E285" s="544">
        <f>+DATE(YEAR(E284),MONTH(E284)-1,DAY(E284))</f>
        <v>25569.041666666668</v>
      </c>
      <c r="F285" s="333">
        <f>IF(DATE(YEAR($B$6),MONTH($B$6)+1,DAY(1))=E285,1,IF(MONTH(E285)=1,F286*(1+$F$5),F286))</f>
      </c>
      <c r="G285" s="333">
        <f>IF('Simulador - 1º Pilar'!$E$99="Sí",IF('Aportaciones Flex'!$B$13&lt;'Aportaciones Flex'!E285,0,F285*$B$8/12),F285*$B$8/12)</f>
      </c>
      <c r="H285" s="333">
        <f>IF(G285&gt;0,1,0)*$H$5*IF(AND($I$5="NO",YEAR(E285)=YEAR($B$6)+1),1,IF($I$5="SI",1,0))</f>
      </c>
      <c r="I285" s="217">
        <f>(1+$M$5)^(D285/12)*(H285*(12-IF(MONTH(E286)=12,0,MONTH(E286)))+IF(AND(F285=1,F286=0),$Q$4,0))*IF(AND(F285=1,F286=0),1,0)</f>
      </c>
      <c r="J285" s="333">
        <f>(1+$M$5)^(D285/12)*(H285+IF(AND(F285=1,F286=0),$Q$4,0))</f>
      </c>
      <c r="K285" s="351"/>
      <c r="L285" s="333">
        <f>K285+J285</f>
      </c>
      <c r="M285" s="170"/>
      <c r="N285" s="7"/>
      <c r="O285" s="1"/>
      <c r="P285" s="331">
        <f>D285</f>
      </c>
      <c r="Q285" s="169"/>
      <c r="R285" s="1"/>
      <c r="S285" s="217">
        <f>(1+$M$5)^(D285/12)*(IF(E285=$C$6,$Q$4+$H$5*12,0))</f>
      </c>
      <c r="T285" s="217">
        <f>(1+$M$5)^(D285/12)*(IF(YEAR(E285)&gt;YEAR($C$6),L285,0)+IF(E285=$C$6,$H$5*12+$Q$4,0))</f>
      </c>
    </row>
    <row x14ac:dyDescent="0.25" r="286" customHeight="1" ht="18.75">
      <c r="A286" s="1"/>
      <c r="B286" s="7"/>
      <c r="C286" s="170"/>
      <c r="D286" s="331">
        <v>279</v>
      </c>
      <c r="E286" s="544">
        <f>+DATE(YEAR(E285),MONTH(E285)-1,DAY(E285))</f>
        <v>25569.041666666668</v>
      </c>
      <c r="F286" s="333">
        <f>IF(DATE(YEAR($B$6),MONTH($B$6)+1,DAY(1))=E286,1,IF(MONTH(E286)=1,F287*(1+$F$5),F287))</f>
      </c>
      <c r="G286" s="333">
        <f>IF('Simulador - 1º Pilar'!$E$99="Sí",IF('Aportaciones Flex'!$B$13&lt;'Aportaciones Flex'!E286,0,F286*$B$8/12),F286*$B$8/12)</f>
      </c>
      <c r="H286" s="333">
        <f>IF(G286&gt;0,1,0)*$H$5*IF(AND($I$5="NO",YEAR(E286)=YEAR($B$6)+1),1,IF($I$5="SI",1,0))</f>
      </c>
      <c r="I286" s="217">
        <f>(1+$M$5)^(D286/12)*(H286*(12-IF(MONTH(E287)=12,0,MONTH(E287)))+IF(AND(F286=1,F287=0),$Q$4,0))*IF(AND(F286=1,F287=0),1,0)</f>
      </c>
      <c r="J286" s="333">
        <f>(1+$M$5)^(D286/12)*(H286+IF(AND(F286=1,F287=0),$Q$4,0))</f>
      </c>
      <c r="K286" s="351"/>
      <c r="L286" s="333">
        <f>K286+J286</f>
      </c>
      <c r="M286" s="170"/>
      <c r="N286" s="7"/>
      <c r="O286" s="1"/>
      <c r="P286" s="331">
        <f>D286</f>
      </c>
      <c r="Q286" s="169"/>
      <c r="R286" s="1"/>
      <c r="S286" s="217">
        <f>(1+$M$5)^(D286/12)*(IF(E286=$C$6,$Q$4+$H$5*12,0))</f>
      </c>
      <c r="T286" s="217">
        <f>(1+$M$5)^(D286/12)*(IF(YEAR(E286)&gt;YEAR($C$6),L286,0)+IF(E286=$C$6,$H$5*12+$Q$4,0))</f>
      </c>
    </row>
    <row x14ac:dyDescent="0.25" r="287" customHeight="1" ht="18.75">
      <c r="A287" s="1"/>
      <c r="B287" s="7"/>
      <c r="C287" s="170"/>
      <c r="D287" s="331">
        <v>280</v>
      </c>
      <c r="E287" s="544">
        <f>+DATE(YEAR(E286),MONTH(E286)-1,DAY(E286))</f>
        <v>25569.041666666668</v>
      </c>
      <c r="F287" s="333">
        <f>IF(DATE(YEAR($B$6),MONTH($B$6)+1,DAY(1))=E287,1,IF(MONTH(E287)=1,F288*(1+$F$5),F288))</f>
      </c>
      <c r="G287" s="333">
        <f>IF('Simulador - 1º Pilar'!$E$99="Sí",IF('Aportaciones Flex'!$B$13&lt;'Aportaciones Flex'!E287,0,F287*$B$8/12),F287*$B$8/12)</f>
      </c>
      <c r="H287" s="333">
        <f>IF(G287&gt;0,1,0)*$H$5*IF(AND($I$5="NO",YEAR(E287)=YEAR($B$6)+1),1,IF($I$5="SI",1,0))</f>
      </c>
      <c r="I287" s="217">
        <f>(1+$M$5)^(D287/12)*(H287*(12-IF(MONTH(E288)=12,0,MONTH(E288)))+IF(AND(F287=1,F288=0),$Q$4,0))*IF(AND(F287=1,F288=0),1,0)</f>
      </c>
      <c r="J287" s="333">
        <f>(1+$M$5)^(D287/12)*(H287+IF(AND(F287=1,F288=0),$Q$4,0))</f>
      </c>
      <c r="K287" s="351"/>
      <c r="L287" s="333">
        <f>K287+J287</f>
      </c>
      <c r="M287" s="170"/>
      <c r="N287" s="7"/>
      <c r="O287" s="1"/>
      <c r="P287" s="331">
        <f>D287</f>
      </c>
      <c r="Q287" s="169"/>
      <c r="R287" s="1"/>
      <c r="S287" s="217">
        <f>(1+$M$5)^(D287/12)*(IF(E287=$C$6,$Q$4+$H$5*12,0))</f>
      </c>
      <c r="T287" s="217">
        <f>(1+$M$5)^(D287/12)*(IF(YEAR(E287)&gt;YEAR($C$6),L287,0)+IF(E287=$C$6,$H$5*12+$Q$4,0))</f>
      </c>
    </row>
    <row x14ac:dyDescent="0.25" r="288" customHeight="1" ht="18.75">
      <c r="A288" s="1"/>
      <c r="B288" s="7"/>
      <c r="C288" s="170"/>
      <c r="D288" s="331">
        <v>281</v>
      </c>
      <c r="E288" s="544">
        <f>+DATE(YEAR(E287),MONTH(E287)-1,DAY(E287))</f>
        <v>25569.041666666668</v>
      </c>
      <c r="F288" s="333">
        <f>IF(DATE(YEAR($B$6),MONTH($B$6)+1,DAY(1))=E288,1,IF(MONTH(E288)=1,F289*(1+$F$5),F289))</f>
      </c>
      <c r="G288" s="333">
        <f>IF('Simulador - 1º Pilar'!$E$99="Sí",IF('Aportaciones Flex'!$B$13&lt;'Aportaciones Flex'!E288,0,F288*$B$8/12),F288*$B$8/12)</f>
      </c>
      <c r="H288" s="333">
        <f>IF(G288&gt;0,1,0)*$H$5*IF(AND($I$5="NO",YEAR(E288)=YEAR($B$6)+1),1,IF($I$5="SI",1,0))</f>
      </c>
      <c r="I288" s="217">
        <f>(1+$M$5)^(D288/12)*(H288*(12-IF(MONTH(E289)=12,0,MONTH(E289)))+IF(AND(F288=1,F289=0),$Q$4,0))*IF(AND(F288=1,F289=0),1,0)</f>
      </c>
      <c r="J288" s="333">
        <f>(1+$M$5)^(D288/12)*(H288+IF(AND(F288=1,F289=0),$Q$4,0))</f>
      </c>
      <c r="K288" s="351"/>
      <c r="L288" s="333">
        <f>K288+J288</f>
      </c>
      <c r="M288" s="170"/>
      <c r="N288" s="7"/>
      <c r="O288" s="1"/>
      <c r="P288" s="331">
        <f>D288</f>
      </c>
      <c r="Q288" s="169"/>
      <c r="R288" s="1"/>
      <c r="S288" s="217">
        <f>(1+$M$5)^(D288/12)*(IF(E288=$C$6,$Q$4+$H$5*12,0))</f>
      </c>
      <c r="T288" s="217">
        <f>(1+$M$5)^(D288/12)*(IF(YEAR(E288)&gt;YEAR($C$6),L288,0)+IF(E288=$C$6,$H$5*12+$Q$4,0))</f>
      </c>
    </row>
    <row x14ac:dyDescent="0.25" r="289" customHeight="1" ht="18.75">
      <c r="A289" s="1"/>
      <c r="B289" s="7"/>
      <c r="C289" s="170"/>
      <c r="D289" s="331">
        <v>282</v>
      </c>
      <c r="E289" s="544">
        <f>+DATE(YEAR(E288),MONTH(E288)-1,DAY(E288))</f>
        <v>25569.041666666668</v>
      </c>
      <c r="F289" s="333">
        <f>IF(DATE(YEAR($B$6),MONTH($B$6)+1,DAY(1))=E289,1,IF(MONTH(E289)=1,F290*(1+$F$5),F290))</f>
      </c>
      <c r="G289" s="333">
        <f>IF('Simulador - 1º Pilar'!$E$99="Sí",IF('Aportaciones Flex'!$B$13&lt;'Aportaciones Flex'!E289,0,F289*$B$8/12),F289*$B$8/12)</f>
      </c>
      <c r="H289" s="333">
        <f>IF(G289&gt;0,1,0)*$H$5*IF(AND($I$5="NO",YEAR(E289)=YEAR($B$6)+1),1,IF($I$5="SI",1,0))</f>
      </c>
      <c r="I289" s="217">
        <f>(1+$M$5)^(D289/12)*(H289*(12-IF(MONTH(E290)=12,0,MONTH(E290)))+IF(AND(F289=1,F290=0),$Q$4,0))*IF(AND(F289=1,F290=0),1,0)</f>
      </c>
      <c r="J289" s="333">
        <f>(1+$M$5)^(D289/12)*(H289+IF(AND(F289=1,F290=0),$Q$4,0))</f>
      </c>
      <c r="K289" s="351"/>
      <c r="L289" s="333">
        <f>K289+J289</f>
      </c>
      <c r="M289" s="170"/>
      <c r="N289" s="7"/>
      <c r="O289" s="1"/>
      <c r="P289" s="331">
        <f>D289</f>
      </c>
      <c r="Q289" s="169"/>
      <c r="R289" s="1"/>
      <c r="S289" s="217">
        <f>(1+$M$5)^(D289/12)*(IF(E289=$C$6,$Q$4+$H$5*12,0))</f>
      </c>
      <c r="T289" s="217">
        <f>(1+$M$5)^(D289/12)*(IF(YEAR(E289)&gt;YEAR($C$6),L289,0)+IF(E289=$C$6,$H$5*12+$Q$4,0))</f>
      </c>
    </row>
    <row x14ac:dyDescent="0.25" r="290" customHeight="1" ht="18.75">
      <c r="A290" s="1"/>
      <c r="B290" s="7"/>
      <c r="C290" s="170"/>
      <c r="D290" s="331">
        <v>283</v>
      </c>
      <c r="E290" s="544">
        <f>+DATE(YEAR(E289),MONTH(E289)-1,DAY(E289))</f>
        <v>25569.041666666668</v>
      </c>
      <c r="F290" s="333">
        <f>IF(DATE(YEAR($B$6),MONTH($B$6)+1,DAY(1))=E290,1,IF(MONTH(E290)=1,F291*(1+$F$5),F291))</f>
      </c>
      <c r="G290" s="333">
        <f>IF('Simulador - 1º Pilar'!$E$99="Sí",IF('Aportaciones Flex'!$B$13&lt;'Aportaciones Flex'!E290,0,F290*$B$8/12),F290*$B$8/12)</f>
      </c>
      <c r="H290" s="333">
        <f>IF(G290&gt;0,1,0)*$H$5*IF(AND($I$5="NO",YEAR(E290)=YEAR($B$6)+1),1,IF($I$5="SI",1,0))</f>
      </c>
      <c r="I290" s="217">
        <f>(1+$M$5)^(D290/12)*(H290*(12-IF(MONTH(E291)=12,0,MONTH(E291)))+IF(AND(F290=1,F291=0),$Q$4,0))*IF(AND(F290=1,F291=0),1,0)</f>
      </c>
      <c r="J290" s="333">
        <f>(1+$M$5)^(D290/12)*(H290+IF(AND(F290=1,F291=0),$Q$4,0))</f>
      </c>
      <c r="K290" s="351"/>
      <c r="L290" s="333">
        <f>K290+J290</f>
      </c>
      <c r="M290" s="170"/>
      <c r="N290" s="7"/>
      <c r="O290" s="1"/>
      <c r="P290" s="331">
        <f>D290</f>
      </c>
      <c r="Q290" s="169"/>
      <c r="R290" s="1"/>
      <c r="S290" s="217">
        <f>(1+$M$5)^(D290/12)*(IF(E290=$C$6,$Q$4+$H$5*12,0))</f>
      </c>
      <c r="T290" s="217">
        <f>(1+$M$5)^(D290/12)*(IF(YEAR(E290)&gt;YEAR($C$6),L290,0)+IF(E290=$C$6,$H$5*12+$Q$4,0))</f>
      </c>
    </row>
    <row x14ac:dyDescent="0.25" r="291" customHeight="1" ht="18.75">
      <c r="A291" s="1"/>
      <c r="B291" s="7"/>
      <c r="C291" s="170"/>
      <c r="D291" s="331">
        <v>284</v>
      </c>
      <c r="E291" s="544">
        <f>+DATE(YEAR(E290),MONTH(E290)-1,DAY(E290))</f>
        <v>25569.041666666668</v>
      </c>
      <c r="F291" s="333">
        <f>IF(DATE(YEAR($B$6),MONTH($B$6)+1,DAY(1))=E291,1,IF(MONTH(E291)=1,F292*(1+$F$5),F292))</f>
      </c>
      <c r="G291" s="333">
        <f>IF('Simulador - 1º Pilar'!$E$99="Sí",IF('Aportaciones Flex'!$B$13&lt;'Aportaciones Flex'!E291,0,F291*$B$8/12),F291*$B$8/12)</f>
      </c>
      <c r="H291" s="333">
        <f>IF(G291&gt;0,1,0)*$H$5*IF(AND($I$5="NO",YEAR(E291)=YEAR($B$6)+1),1,IF($I$5="SI",1,0))</f>
      </c>
      <c r="I291" s="217">
        <f>(1+$M$5)^(D291/12)*(H291*(12-IF(MONTH(E292)=12,0,MONTH(E292)))+IF(AND(F291=1,F292=0),$Q$4,0))*IF(AND(F291=1,F292=0),1,0)</f>
      </c>
      <c r="J291" s="333">
        <f>(1+$M$5)^(D291/12)*(H291+IF(AND(F291=1,F292=0),$Q$4,0))</f>
      </c>
      <c r="K291" s="351"/>
      <c r="L291" s="333">
        <f>K291+J291</f>
      </c>
      <c r="M291" s="170"/>
      <c r="N291" s="7"/>
      <c r="O291" s="1"/>
      <c r="P291" s="331">
        <f>D291</f>
      </c>
      <c r="Q291" s="169"/>
      <c r="R291" s="1"/>
      <c r="S291" s="217">
        <f>(1+$M$5)^(D291/12)*(IF(E291=$C$6,$Q$4+$H$5*12,0))</f>
      </c>
      <c r="T291" s="217">
        <f>(1+$M$5)^(D291/12)*(IF(YEAR(E291)&gt;YEAR($C$6),L291,0)+IF(E291=$C$6,$H$5*12+$Q$4,0))</f>
      </c>
    </row>
    <row x14ac:dyDescent="0.25" r="292" customHeight="1" ht="18.75">
      <c r="A292" s="1"/>
      <c r="B292" s="7"/>
      <c r="C292" s="170"/>
      <c r="D292" s="331">
        <v>285</v>
      </c>
      <c r="E292" s="544">
        <f>+DATE(YEAR(E291),MONTH(E291)-1,DAY(E291))</f>
        <v>25569.041666666668</v>
      </c>
      <c r="F292" s="333">
        <f>IF(DATE(YEAR($B$6),MONTH($B$6)+1,DAY(1))=E292,1,IF(MONTH(E292)=1,F293*(1+$F$5),F293))</f>
      </c>
      <c r="G292" s="333">
        <f>IF('Simulador - 1º Pilar'!$E$99="Sí",IF('Aportaciones Flex'!$B$13&lt;'Aportaciones Flex'!E292,0,F292*$B$8/12),F292*$B$8/12)</f>
      </c>
      <c r="H292" s="333">
        <f>IF(G292&gt;0,1,0)*$H$5*IF(AND($I$5="NO",YEAR(E292)=YEAR($B$6)+1),1,IF($I$5="SI",1,0))</f>
      </c>
      <c r="I292" s="217">
        <f>(1+$M$5)^(D292/12)*(H292*(12-IF(MONTH(E293)=12,0,MONTH(E293)))+IF(AND(F292=1,F293=0),$Q$4,0))*IF(AND(F292=1,F293=0),1,0)</f>
      </c>
      <c r="J292" s="333">
        <f>(1+$M$5)^(D292/12)*(H292+IF(AND(F292=1,F293=0),$Q$4,0))</f>
      </c>
      <c r="K292" s="351"/>
      <c r="L292" s="333">
        <f>K292+J292</f>
      </c>
      <c r="M292" s="170"/>
      <c r="N292" s="7"/>
      <c r="O292" s="1"/>
      <c r="P292" s="331">
        <f>D292</f>
      </c>
      <c r="Q292" s="169"/>
      <c r="R292" s="1"/>
      <c r="S292" s="217">
        <f>(1+$M$5)^(D292/12)*(IF(E292=$C$6,$Q$4+$H$5*12,0))</f>
      </c>
      <c r="T292" s="217">
        <f>(1+$M$5)^(D292/12)*(IF(YEAR(E292)&gt;YEAR($C$6),L292,0)+IF(E292=$C$6,$H$5*12+$Q$4,0))</f>
      </c>
    </row>
    <row x14ac:dyDescent="0.25" r="293" customHeight="1" ht="18.75">
      <c r="A293" s="1"/>
      <c r="B293" s="7"/>
      <c r="C293" s="170"/>
      <c r="D293" s="331">
        <v>286</v>
      </c>
      <c r="E293" s="544">
        <f>+DATE(YEAR(E292),MONTH(E292)-1,DAY(E292))</f>
        <v>25569.041666666668</v>
      </c>
      <c r="F293" s="333">
        <f>IF(DATE(YEAR($B$6),MONTH($B$6)+1,DAY(1))=E293,1,IF(MONTH(E293)=1,F294*(1+$F$5),F294))</f>
      </c>
      <c r="G293" s="333">
        <f>IF('Simulador - 1º Pilar'!$E$99="Sí",IF('Aportaciones Flex'!$B$13&lt;'Aportaciones Flex'!E293,0,F293*$B$8/12),F293*$B$8/12)</f>
      </c>
      <c r="H293" s="333">
        <f>IF(G293&gt;0,1,0)*$H$5*IF(AND($I$5="NO",YEAR(E293)=YEAR($B$6)+1),1,IF($I$5="SI",1,0))</f>
      </c>
      <c r="I293" s="217">
        <f>(1+$M$5)^(D293/12)*(H293*(12-IF(MONTH(E294)=12,0,MONTH(E294)))+IF(AND(F293=1,F294=0),$Q$4,0))*IF(AND(F293=1,F294=0),1,0)</f>
      </c>
      <c r="J293" s="333">
        <f>(1+$M$5)^(D293/12)*(H293+IF(AND(F293=1,F294=0),$Q$4,0))</f>
      </c>
      <c r="K293" s="351"/>
      <c r="L293" s="333">
        <f>K293+J293</f>
      </c>
      <c r="M293" s="170"/>
      <c r="N293" s="7"/>
      <c r="O293" s="1"/>
      <c r="P293" s="331">
        <f>D293</f>
      </c>
      <c r="Q293" s="169"/>
      <c r="R293" s="1"/>
      <c r="S293" s="217">
        <f>(1+$M$5)^(D293/12)*(IF(E293=$C$6,$Q$4+$H$5*12,0))</f>
      </c>
      <c r="T293" s="217">
        <f>(1+$M$5)^(D293/12)*(IF(YEAR(E293)&gt;YEAR($C$6),L293,0)+IF(E293=$C$6,$H$5*12+$Q$4,0))</f>
      </c>
    </row>
    <row x14ac:dyDescent="0.25" r="294" customHeight="1" ht="18.75">
      <c r="A294" s="1"/>
      <c r="B294" s="7"/>
      <c r="C294" s="170"/>
      <c r="D294" s="331">
        <v>287</v>
      </c>
      <c r="E294" s="544">
        <f>+DATE(YEAR(E293),MONTH(E293)-1,DAY(E293))</f>
        <v>25569.041666666668</v>
      </c>
      <c r="F294" s="333">
        <f>IF(DATE(YEAR($B$6),MONTH($B$6)+1,DAY(1))=E294,1,IF(MONTH(E294)=1,F295*(1+$F$5),F295))</f>
      </c>
      <c r="G294" s="333">
        <f>IF('Simulador - 1º Pilar'!$E$99="Sí",IF('Aportaciones Flex'!$B$13&lt;'Aportaciones Flex'!E294,0,F294*$B$8/12),F294*$B$8/12)</f>
      </c>
      <c r="H294" s="333">
        <f>IF(G294&gt;0,1,0)*$H$5*IF(AND($I$5="NO",YEAR(E294)=YEAR($B$6)+1),1,IF($I$5="SI",1,0))</f>
      </c>
      <c r="I294" s="217">
        <f>(1+$M$5)^(D294/12)*(H294*(12-IF(MONTH(E295)=12,0,MONTH(E295)))+IF(AND(F294=1,F295=0),$Q$4,0))*IF(AND(F294=1,F295=0),1,0)</f>
      </c>
      <c r="J294" s="333">
        <f>(1+$M$5)^(D294/12)*(H294+IF(AND(F294=1,F295=0),$Q$4,0))</f>
      </c>
      <c r="K294" s="351"/>
      <c r="L294" s="333">
        <f>K294+J294</f>
      </c>
      <c r="M294" s="170"/>
      <c r="N294" s="7"/>
      <c r="O294" s="1"/>
      <c r="P294" s="331">
        <f>D294</f>
      </c>
      <c r="Q294" s="169"/>
      <c r="R294" s="1"/>
      <c r="S294" s="217">
        <f>(1+$M$5)^(D294/12)*(IF(E294=$C$6,$Q$4+$H$5*12,0))</f>
      </c>
      <c r="T294" s="217">
        <f>(1+$M$5)^(D294/12)*(IF(YEAR(E294)&gt;YEAR($C$6),L294,0)+IF(E294=$C$6,$H$5*12+$Q$4,0))</f>
      </c>
    </row>
    <row x14ac:dyDescent="0.25" r="295" customHeight="1" ht="18.75">
      <c r="A295" s="1"/>
      <c r="B295" s="7"/>
      <c r="C295" s="170"/>
      <c r="D295" s="331">
        <v>288</v>
      </c>
      <c r="E295" s="544">
        <f>+DATE(YEAR(E294),MONTH(E294)-1,DAY(E294))</f>
        <v>25569.041666666668</v>
      </c>
      <c r="F295" s="333">
        <f>IF(DATE(YEAR($B$6),MONTH($B$6)+1,DAY(1))=E295,1,IF(MONTH(E295)=1,F296*(1+$F$5),F296))</f>
      </c>
      <c r="G295" s="333">
        <f>IF('Simulador - 1º Pilar'!$E$99="Sí",IF('Aportaciones Flex'!$B$13&lt;'Aportaciones Flex'!E295,0,F295*$B$8/12),F295*$B$8/12)</f>
      </c>
      <c r="H295" s="333">
        <f>IF(G295&gt;0,1,0)*$H$5*IF(AND($I$5="NO",YEAR(E295)=YEAR($B$6)+1),1,IF($I$5="SI",1,0))</f>
      </c>
      <c r="I295" s="217">
        <f>(1+$M$5)^(D295/12)*(H295*(12-IF(MONTH(E296)=12,0,MONTH(E296)))+IF(AND(F295=1,F296=0),$Q$4,0))*IF(AND(F295=1,F296=0),1,0)</f>
      </c>
      <c r="J295" s="333">
        <f>(1+$M$5)^(D295/12)*(H295+IF(AND(F295=1,F296=0),$Q$4,0))</f>
      </c>
      <c r="K295" s="351"/>
      <c r="L295" s="333">
        <f>K295+J295</f>
      </c>
      <c r="M295" s="170"/>
      <c r="N295" s="7"/>
      <c r="O295" s="1"/>
      <c r="P295" s="331">
        <f>D295</f>
      </c>
      <c r="Q295" s="169"/>
      <c r="R295" s="1"/>
      <c r="S295" s="217">
        <f>(1+$M$5)^(D295/12)*(IF(E295=$C$6,$Q$4+$H$5*12,0))</f>
      </c>
      <c r="T295" s="217">
        <f>(1+$M$5)^(D295/12)*(IF(YEAR(E295)&gt;YEAR($C$6),L295,0)+IF(E295=$C$6,$H$5*12+$Q$4,0))</f>
      </c>
    </row>
    <row x14ac:dyDescent="0.25" r="296" customHeight="1" ht="18.75">
      <c r="A296" s="1"/>
      <c r="B296" s="7"/>
      <c r="C296" s="170"/>
      <c r="D296" s="331">
        <v>289</v>
      </c>
      <c r="E296" s="544">
        <f>+DATE(YEAR(E295),MONTH(E295)-1,DAY(E295))</f>
        <v>25569.041666666668</v>
      </c>
      <c r="F296" s="333">
        <f>IF(DATE(YEAR($B$6),MONTH($B$6)+1,DAY(1))=E296,1,IF(MONTH(E296)=1,F297*(1+$F$5),F297))</f>
      </c>
      <c r="G296" s="333">
        <f>IF('Simulador - 1º Pilar'!$E$99="Sí",IF('Aportaciones Flex'!$B$13&lt;'Aportaciones Flex'!E296,0,F296*$B$8/12),F296*$B$8/12)</f>
      </c>
      <c r="H296" s="333">
        <f>IF(G296&gt;0,1,0)*$H$5*IF(AND($I$5="NO",YEAR(E296)=YEAR($B$6)+1),1,IF($I$5="SI",1,0))</f>
      </c>
      <c r="I296" s="217">
        <f>(1+$M$5)^(D296/12)*(H296*(12-IF(MONTH(E297)=12,0,MONTH(E297)))+IF(AND(F296=1,F297=0),$Q$4,0))*IF(AND(F296=1,F297=0),1,0)</f>
      </c>
      <c r="J296" s="333">
        <f>(1+$M$5)^(D296/12)*(H296+IF(AND(F296=1,F297=0),$Q$4,0))</f>
      </c>
      <c r="K296" s="351"/>
      <c r="L296" s="333">
        <f>K296+J296</f>
      </c>
      <c r="M296" s="170"/>
      <c r="N296" s="7"/>
      <c r="O296" s="1"/>
      <c r="P296" s="331">
        <f>D296</f>
      </c>
      <c r="Q296" s="169"/>
      <c r="R296" s="1"/>
      <c r="S296" s="217">
        <f>(1+$M$5)^(D296/12)*(IF(E296=$C$6,$Q$4+$H$5*12,0))</f>
      </c>
      <c r="T296" s="217">
        <f>(1+$M$5)^(D296/12)*(IF(YEAR(E296)&gt;YEAR($C$6),L296,0)+IF(E296=$C$6,$H$5*12+$Q$4,0))</f>
      </c>
    </row>
    <row x14ac:dyDescent="0.25" r="297" customHeight="1" ht="18.75">
      <c r="A297" s="1"/>
      <c r="B297" s="7"/>
      <c r="C297" s="170"/>
      <c r="D297" s="331">
        <v>290</v>
      </c>
      <c r="E297" s="544">
        <f>+DATE(YEAR(E296),MONTH(E296)-1,DAY(E296))</f>
        <v>25569.041666666668</v>
      </c>
      <c r="F297" s="333">
        <f>IF(DATE(YEAR($B$6),MONTH($B$6)+1,DAY(1))=E297,1,IF(MONTH(E297)=1,F298*(1+$F$5),F298))</f>
      </c>
      <c r="G297" s="333">
        <f>IF('Simulador - 1º Pilar'!$E$99="Sí",IF('Aportaciones Flex'!$B$13&lt;'Aportaciones Flex'!E297,0,F297*$B$8/12),F297*$B$8/12)</f>
      </c>
      <c r="H297" s="333">
        <f>IF(G297&gt;0,1,0)*$H$5*IF(AND($I$5="NO",YEAR(E297)=YEAR($B$6)+1),1,IF($I$5="SI",1,0))</f>
      </c>
      <c r="I297" s="217">
        <f>(1+$M$5)^(D297/12)*(H297*(12-IF(MONTH(E298)=12,0,MONTH(E298)))+IF(AND(F297=1,F298=0),$Q$4,0))*IF(AND(F297=1,F298=0),1,0)</f>
      </c>
      <c r="J297" s="333">
        <f>(1+$M$5)^(D297/12)*(H297+IF(AND(F297=1,F298=0),$Q$4,0))</f>
      </c>
      <c r="K297" s="351"/>
      <c r="L297" s="333">
        <f>K297+J297</f>
      </c>
      <c r="M297" s="170"/>
      <c r="N297" s="7"/>
      <c r="O297" s="1"/>
      <c r="P297" s="331">
        <f>D297</f>
      </c>
      <c r="Q297" s="169"/>
      <c r="R297" s="1"/>
      <c r="S297" s="217">
        <f>(1+$M$5)^(D297/12)*(IF(E297=$C$6,$Q$4+$H$5*12,0))</f>
      </c>
      <c r="T297" s="217">
        <f>(1+$M$5)^(D297/12)*(IF(YEAR(E297)&gt;YEAR($C$6),L297,0)+IF(E297=$C$6,$H$5*12+$Q$4,0))</f>
      </c>
    </row>
    <row x14ac:dyDescent="0.25" r="298" customHeight="1" ht="18.75">
      <c r="A298" s="1"/>
      <c r="B298" s="7"/>
      <c r="C298" s="170"/>
      <c r="D298" s="331">
        <v>291</v>
      </c>
      <c r="E298" s="544">
        <f>+DATE(YEAR(E297),MONTH(E297)-1,DAY(E297))</f>
        <v>25569.041666666668</v>
      </c>
      <c r="F298" s="333">
        <f>IF(DATE(YEAR($B$6),MONTH($B$6)+1,DAY(1))=E298,1,IF(MONTH(E298)=1,F299*(1+$F$5),F299))</f>
      </c>
      <c r="G298" s="333">
        <f>IF('Simulador - 1º Pilar'!$E$99="Sí",IF('Aportaciones Flex'!$B$13&lt;'Aportaciones Flex'!E298,0,F298*$B$8/12),F298*$B$8/12)</f>
      </c>
      <c r="H298" s="333">
        <f>IF(G298&gt;0,1,0)*$H$5*IF(AND($I$5="NO",YEAR(E298)=YEAR($B$6)+1),1,IF($I$5="SI",1,0))</f>
      </c>
      <c r="I298" s="217">
        <f>(1+$M$5)^(D298/12)*(H298*(12-IF(MONTH(E299)=12,0,MONTH(E299)))+IF(AND(F298=1,F299=0),$Q$4,0))*IF(AND(F298=1,F299=0),1,0)</f>
      </c>
      <c r="J298" s="333">
        <f>(1+$M$5)^(D298/12)*(H298+IF(AND(F298=1,F299=0),$Q$4,0))</f>
      </c>
      <c r="K298" s="351"/>
      <c r="L298" s="333">
        <f>K298+J298</f>
      </c>
      <c r="M298" s="170"/>
      <c r="N298" s="7"/>
      <c r="O298" s="1"/>
      <c r="P298" s="331">
        <f>D298</f>
      </c>
      <c r="Q298" s="169"/>
      <c r="R298" s="1"/>
      <c r="S298" s="217">
        <f>(1+$M$5)^(D298/12)*(IF(E298=$C$6,$Q$4+$H$5*12,0))</f>
      </c>
      <c r="T298" s="217">
        <f>(1+$M$5)^(D298/12)*(IF(YEAR(E298)&gt;YEAR($C$6),L298,0)+IF(E298=$C$6,$H$5*12+$Q$4,0))</f>
      </c>
    </row>
    <row x14ac:dyDescent="0.25" r="299" customHeight="1" ht="18.75">
      <c r="A299" s="1"/>
      <c r="B299" s="7"/>
      <c r="C299" s="170"/>
      <c r="D299" s="331">
        <v>292</v>
      </c>
      <c r="E299" s="544">
        <f>+DATE(YEAR(E298),MONTH(E298)-1,DAY(E298))</f>
        <v>25569.041666666668</v>
      </c>
      <c r="F299" s="333">
        <f>IF(DATE(YEAR($B$6),MONTH($B$6)+1,DAY(1))=E299,1,IF(MONTH(E299)=1,F300*(1+$F$5),F300))</f>
      </c>
      <c r="G299" s="333">
        <f>IF('Simulador - 1º Pilar'!$E$99="Sí",IF('Aportaciones Flex'!$B$13&lt;'Aportaciones Flex'!E299,0,F299*$B$8/12),F299*$B$8/12)</f>
      </c>
      <c r="H299" s="333">
        <f>IF(G299&gt;0,1,0)*$H$5*IF(AND($I$5="NO",YEAR(E299)=YEAR($B$6)+1),1,IF($I$5="SI",1,0))</f>
      </c>
      <c r="I299" s="217">
        <f>(1+$M$5)^(D299/12)*(H299*(12-IF(MONTH(E300)=12,0,MONTH(E300)))+IF(AND(F299=1,F300=0),$Q$4,0))*IF(AND(F299=1,F300=0),1,0)</f>
      </c>
      <c r="J299" s="333">
        <f>(1+$M$5)^(D299/12)*(H299+IF(AND(F299=1,F300=0),$Q$4,0))</f>
      </c>
      <c r="K299" s="351"/>
      <c r="L299" s="333">
        <f>K299+J299</f>
      </c>
      <c r="M299" s="170"/>
      <c r="N299" s="7"/>
      <c r="O299" s="1"/>
      <c r="P299" s="331">
        <f>D299</f>
      </c>
      <c r="Q299" s="169"/>
      <c r="R299" s="1"/>
      <c r="S299" s="217">
        <f>(1+$M$5)^(D299/12)*(IF(E299=$C$6,$Q$4+$H$5*12,0))</f>
      </c>
      <c r="T299" s="217">
        <f>(1+$M$5)^(D299/12)*(IF(YEAR(E299)&gt;YEAR($C$6),L299,0)+IF(E299=$C$6,$H$5*12+$Q$4,0))</f>
      </c>
    </row>
    <row x14ac:dyDescent="0.25" r="300" customHeight="1" ht="18.75">
      <c r="A300" s="1"/>
      <c r="B300" s="7"/>
      <c r="C300" s="170"/>
      <c r="D300" s="331">
        <v>293</v>
      </c>
      <c r="E300" s="544">
        <f>+DATE(YEAR(E299),MONTH(E299)-1,DAY(E299))</f>
        <v>25569.041666666668</v>
      </c>
      <c r="F300" s="333">
        <f>IF(DATE(YEAR($B$6),MONTH($B$6)+1,DAY(1))=E300,1,IF(MONTH(E300)=1,F301*(1+$F$5),F301))</f>
      </c>
      <c r="G300" s="333">
        <f>IF('Simulador - 1º Pilar'!$E$99="Sí",IF('Aportaciones Flex'!$B$13&lt;'Aportaciones Flex'!E300,0,F300*$B$8/12),F300*$B$8/12)</f>
      </c>
      <c r="H300" s="333">
        <f>IF(G300&gt;0,1,0)*$H$5*IF(AND($I$5="NO",YEAR(E300)=YEAR($B$6)+1),1,IF($I$5="SI",1,0))</f>
      </c>
      <c r="I300" s="217">
        <f>(1+$M$5)^(D300/12)*(H300*(12-IF(MONTH(E301)=12,0,MONTH(E301)))+IF(AND(F300=1,F301=0),$Q$4,0))*IF(AND(F300=1,F301=0),1,0)</f>
      </c>
      <c r="J300" s="333">
        <f>(1+$M$5)^(D300/12)*(H300+IF(AND(F300=1,F301=0),$Q$4,0))</f>
      </c>
      <c r="K300" s="351"/>
      <c r="L300" s="333">
        <f>K300+J300</f>
      </c>
      <c r="M300" s="170"/>
      <c r="N300" s="7"/>
      <c r="O300" s="1"/>
      <c r="P300" s="331">
        <f>D300</f>
      </c>
      <c r="Q300" s="169"/>
      <c r="R300" s="1"/>
      <c r="S300" s="217">
        <f>(1+$M$5)^(D300/12)*(IF(E300=$C$6,$Q$4+$H$5*12,0))</f>
      </c>
      <c r="T300" s="217">
        <f>(1+$M$5)^(D300/12)*(IF(YEAR(E300)&gt;YEAR($C$6),L300,0)+IF(E300=$C$6,$H$5*12+$Q$4,0))</f>
      </c>
    </row>
    <row x14ac:dyDescent="0.25" r="301" customHeight="1" ht="18.75">
      <c r="A301" s="1"/>
      <c r="B301" s="7"/>
      <c r="C301" s="170"/>
      <c r="D301" s="331">
        <v>294</v>
      </c>
      <c r="E301" s="544">
        <f>+DATE(YEAR(E300),MONTH(E300)-1,DAY(E300))</f>
        <v>25569.041666666668</v>
      </c>
      <c r="F301" s="333">
        <f>IF(DATE(YEAR($B$6),MONTH($B$6)+1,DAY(1))=E301,1,IF(MONTH(E301)=1,F302*(1+$F$5),F302))</f>
      </c>
      <c r="G301" s="333">
        <f>IF('Simulador - 1º Pilar'!$E$99="Sí",IF('Aportaciones Flex'!$B$13&lt;'Aportaciones Flex'!E301,0,F301*$B$8/12),F301*$B$8/12)</f>
      </c>
      <c r="H301" s="333">
        <f>IF(G301&gt;0,1,0)*$H$5*IF(AND($I$5="NO",YEAR(E301)=YEAR($B$6)+1),1,IF($I$5="SI",1,0))</f>
      </c>
      <c r="I301" s="217">
        <f>(1+$M$5)^(D301/12)*(H301*(12-IF(MONTH(E302)=12,0,MONTH(E302)))+IF(AND(F301=1,F302=0),$Q$4,0))*IF(AND(F301=1,F302=0),1,0)</f>
      </c>
      <c r="J301" s="333">
        <f>(1+$M$5)^(D301/12)*(H301+IF(AND(F301=1,F302=0),$Q$4,0))</f>
      </c>
      <c r="K301" s="351"/>
      <c r="L301" s="333">
        <f>K301+J301</f>
      </c>
      <c r="M301" s="170"/>
      <c r="N301" s="7"/>
      <c r="O301" s="1"/>
      <c r="P301" s="331">
        <f>D301</f>
      </c>
      <c r="Q301" s="169"/>
      <c r="R301" s="1"/>
      <c r="S301" s="217">
        <f>(1+$M$5)^(D301/12)*(IF(E301=$C$6,$Q$4+$H$5*12,0))</f>
      </c>
      <c r="T301" s="217">
        <f>(1+$M$5)^(D301/12)*(IF(YEAR(E301)&gt;YEAR($C$6),L301,0)+IF(E301=$C$6,$H$5*12+$Q$4,0))</f>
      </c>
    </row>
    <row x14ac:dyDescent="0.25" r="302" customHeight="1" ht="18.75">
      <c r="A302" s="1"/>
      <c r="B302" s="7"/>
      <c r="C302" s="170"/>
      <c r="D302" s="331">
        <v>295</v>
      </c>
      <c r="E302" s="544">
        <f>+DATE(YEAR(E301),MONTH(E301)-1,DAY(E301))</f>
        <v>25569.041666666668</v>
      </c>
      <c r="F302" s="333">
        <f>IF(DATE(YEAR($B$6),MONTH($B$6)+1,DAY(1))=E302,1,IF(MONTH(E302)=1,F303*(1+$F$5),F303))</f>
      </c>
      <c r="G302" s="333">
        <f>IF('Simulador - 1º Pilar'!$E$99="Sí",IF('Aportaciones Flex'!$B$13&lt;'Aportaciones Flex'!E302,0,F302*$B$8/12),F302*$B$8/12)</f>
      </c>
      <c r="H302" s="333">
        <f>IF(G302&gt;0,1,0)*$H$5*IF(AND($I$5="NO",YEAR(E302)=YEAR($B$6)+1),1,IF($I$5="SI",1,0))</f>
      </c>
      <c r="I302" s="217">
        <f>(1+$M$5)^(D302/12)*(H302*(12-IF(MONTH(E303)=12,0,MONTH(E303)))+IF(AND(F302=1,F303=0),$Q$4,0))*IF(AND(F302=1,F303=0),1,0)</f>
      </c>
      <c r="J302" s="333">
        <f>(1+$M$5)^(D302/12)*(H302+IF(AND(F302=1,F303=0),$Q$4,0))</f>
      </c>
      <c r="K302" s="351"/>
      <c r="L302" s="333">
        <f>K302+J302</f>
      </c>
      <c r="M302" s="170"/>
      <c r="N302" s="7"/>
      <c r="O302" s="1"/>
      <c r="P302" s="331">
        <f>D302</f>
      </c>
      <c r="Q302" s="169"/>
      <c r="R302" s="1"/>
      <c r="S302" s="217">
        <f>(1+$M$5)^(D302/12)*(IF(E302=$C$6,$Q$4+$H$5*12,0))</f>
      </c>
      <c r="T302" s="217">
        <f>(1+$M$5)^(D302/12)*(IF(YEAR(E302)&gt;YEAR($C$6),L302,0)+IF(E302=$C$6,$H$5*12+$Q$4,0))</f>
      </c>
    </row>
    <row x14ac:dyDescent="0.25" r="303" customHeight="1" ht="18.75">
      <c r="A303" s="1"/>
      <c r="B303" s="7"/>
      <c r="C303" s="170"/>
      <c r="D303" s="331">
        <v>296</v>
      </c>
      <c r="E303" s="544">
        <f>+DATE(YEAR(E302),MONTH(E302)-1,DAY(E302))</f>
        <v>25569.041666666668</v>
      </c>
      <c r="F303" s="333">
        <f>IF(DATE(YEAR($B$6),MONTH($B$6)+1,DAY(1))=E303,1,IF(MONTH(E303)=1,F304*(1+$F$5),F304))</f>
      </c>
      <c r="G303" s="333">
        <f>IF('Simulador - 1º Pilar'!$E$99="Sí",IF('Aportaciones Flex'!$B$13&lt;'Aportaciones Flex'!E303,0,F303*$B$8/12),F303*$B$8/12)</f>
      </c>
      <c r="H303" s="333">
        <f>IF(G303&gt;0,1,0)*$H$5*IF(AND($I$5="NO",YEAR(E303)=YEAR($B$6)+1),1,IF($I$5="SI",1,0))</f>
      </c>
      <c r="I303" s="217">
        <f>(1+$M$5)^(D303/12)*(H303*(12-IF(MONTH(E304)=12,0,MONTH(E304)))+IF(AND(F303=1,F304=0),$Q$4,0))*IF(AND(F303=1,F304=0),1,0)</f>
      </c>
      <c r="J303" s="333">
        <f>(1+$M$5)^(D303/12)*(H303+IF(AND(F303=1,F304=0),$Q$4,0))</f>
      </c>
      <c r="K303" s="351"/>
      <c r="L303" s="333">
        <f>K303+J303</f>
      </c>
      <c r="M303" s="170"/>
      <c r="N303" s="7"/>
      <c r="O303" s="1"/>
      <c r="P303" s="331">
        <f>D303</f>
      </c>
      <c r="Q303" s="169"/>
      <c r="R303" s="1"/>
      <c r="S303" s="217">
        <f>(1+$M$5)^(D303/12)*(IF(E303=$C$6,$Q$4+$H$5*12,0))</f>
      </c>
      <c r="T303" s="217">
        <f>(1+$M$5)^(D303/12)*(IF(YEAR(E303)&gt;YEAR($C$6),L303,0)+IF(E303=$C$6,$H$5*12+$Q$4,0))</f>
      </c>
    </row>
    <row x14ac:dyDescent="0.25" r="304" customHeight="1" ht="18.75">
      <c r="A304" s="1"/>
      <c r="B304" s="7"/>
      <c r="C304" s="170"/>
      <c r="D304" s="331">
        <v>297</v>
      </c>
      <c r="E304" s="544">
        <f>+DATE(YEAR(E303),MONTH(E303)-1,DAY(E303))</f>
        <v>25569.041666666668</v>
      </c>
      <c r="F304" s="333">
        <f>IF(DATE(YEAR($B$6),MONTH($B$6)+1,DAY(1))=E304,1,IF(MONTH(E304)=1,F305*(1+$F$5),F305))</f>
      </c>
      <c r="G304" s="333">
        <f>IF('Simulador - 1º Pilar'!$E$99="Sí",IF('Aportaciones Flex'!$B$13&lt;'Aportaciones Flex'!E304,0,F304*$B$8/12),F304*$B$8/12)</f>
      </c>
      <c r="H304" s="333">
        <f>IF(G304&gt;0,1,0)*$H$5*IF(AND($I$5="NO",YEAR(E304)=YEAR($B$6)+1),1,IF($I$5="SI",1,0))</f>
      </c>
      <c r="I304" s="217">
        <f>(1+$M$5)^(D304/12)*(H304*(12-IF(MONTH(E305)=12,0,MONTH(E305)))+IF(AND(F304=1,F305=0),$Q$4,0))*IF(AND(F304=1,F305=0),1,0)</f>
      </c>
      <c r="J304" s="333">
        <f>(1+$M$5)^(D304/12)*(H304+IF(AND(F304=1,F305=0),$Q$4,0))</f>
      </c>
      <c r="K304" s="351"/>
      <c r="L304" s="333">
        <f>K304+J304</f>
      </c>
      <c r="M304" s="170"/>
      <c r="N304" s="7"/>
      <c r="O304" s="1"/>
      <c r="P304" s="331">
        <f>D304</f>
      </c>
      <c r="Q304" s="169"/>
      <c r="R304" s="1"/>
      <c r="S304" s="217">
        <f>(1+$M$5)^(D304/12)*(IF(E304=$C$6,$Q$4+$H$5*12,0))</f>
      </c>
      <c r="T304" s="217">
        <f>(1+$M$5)^(D304/12)*(IF(YEAR(E304)&gt;YEAR($C$6),L304,0)+IF(E304=$C$6,$H$5*12+$Q$4,0))</f>
      </c>
    </row>
    <row x14ac:dyDescent="0.25" r="305" customHeight="1" ht="18.75">
      <c r="A305" s="1"/>
      <c r="B305" s="7"/>
      <c r="C305" s="170"/>
      <c r="D305" s="331">
        <v>298</v>
      </c>
      <c r="E305" s="544">
        <f>+DATE(YEAR(E304),MONTH(E304)-1,DAY(E304))</f>
        <v>25569.041666666668</v>
      </c>
      <c r="F305" s="333">
        <f>IF(DATE(YEAR($B$6),MONTH($B$6)+1,DAY(1))=E305,1,IF(MONTH(E305)=1,F306*(1+$F$5),F306))</f>
      </c>
      <c r="G305" s="333">
        <f>IF('Simulador - 1º Pilar'!$E$99="Sí",IF('Aportaciones Flex'!$B$13&lt;'Aportaciones Flex'!E305,0,F305*$B$8/12),F305*$B$8/12)</f>
      </c>
      <c r="H305" s="333">
        <f>IF(G305&gt;0,1,0)*$H$5*IF(AND($I$5="NO",YEAR(E305)=YEAR($B$6)+1),1,IF($I$5="SI",1,0))</f>
      </c>
      <c r="I305" s="217">
        <f>(1+$M$5)^(D305/12)*(H305*(12-IF(MONTH(E306)=12,0,MONTH(E306)))+IF(AND(F305=1,F306=0),$Q$4,0))*IF(AND(F305=1,F306=0),1,0)</f>
      </c>
      <c r="J305" s="333">
        <f>(1+$M$5)^(D305/12)*(H305+IF(AND(F305=1,F306=0),$Q$4,0))</f>
      </c>
      <c r="K305" s="351"/>
      <c r="L305" s="333">
        <f>K305+J305</f>
      </c>
      <c r="M305" s="170"/>
      <c r="N305" s="7"/>
      <c r="O305" s="1"/>
      <c r="P305" s="331">
        <f>D305</f>
      </c>
      <c r="Q305" s="169"/>
      <c r="R305" s="1"/>
      <c r="S305" s="217">
        <f>(1+$M$5)^(D305/12)*(IF(E305=$C$6,$Q$4+$H$5*12,0))</f>
      </c>
      <c r="T305" s="217">
        <f>(1+$M$5)^(D305/12)*(IF(YEAR(E305)&gt;YEAR($C$6),L305,0)+IF(E305=$C$6,$H$5*12+$Q$4,0))</f>
      </c>
    </row>
    <row x14ac:dyDescent="0.25" r="306" customHeight="1" ht="18.75">
      <c r="A306" s="1"/>
      <c r="B306" s="7"/>
      <c r="C306" s="170"/>
      <c r="D306" s="331">
        <v>299</v>
      </c>
      <c r="E306" s="544">
        <f>+DATE(YEAR(E305),MONTH(E305)-1,DAY(E305))</f>
        <v>25569.041666666668</v>
      </c>
      <c r="F306" s="333">
        <f>IF(DATE(YEAR($B$6),MONTH($B$6)+1,DAY(1))=E306,1,IF(MONTH(E306)=1,F307*(1+$F$5),F307))</f>
      </c>
      <c r="G306" s="333">
        <f>IF('Simulador - 1º Pilar'!$E$99="Sí",IF('Aportaciones Flex'!$B$13&lt;'Aportaciones Flex'!E306,0,F306*$B$8/12),F306*$B$8/12)</f>
      </c>
      <c r="H306" s="333">
        <f>IF(G306&gt;0,1,0)*$H$5*IF(AND($I$5="NO",YEAR(E306)=YEAR($B$6)+1),1,IF($I$5="SI",1,0))</f>
      </c>
      <c r="I306" s="217">
        <f>(1+$M$5)^(D306/12)*(H306*(12-IF(MONTH(E307)=12,0,MONTH(E307)))+IF(AND(F306=1,F307=0),$Q$4,0))*IF(AND(F306=1,F307=0),1,0)</f>
      </c>
      <c r="J306" s="333">
        <f>(1+$M$5)^(D306/12)*(H306+IF(AND(F306=1,F307=0),$Q$4,0))</f>
      </c>
      <c r="K306" s="351"/>
      <c r="L306" s="333">
        <f>K306+J306</f>
      </c>
      <c r="M306" s="170"/>
      <c r="N306" s="7"/>
      <c r="O306" s="1"/>
      <c r="P306" s="331">
        <f>D306</f>
      </c>
      <c r="Q306" s="169"/>
      <c r="R306" s="1"/>
      <c r="S306" s="217">
        <f>(1+$M$5)^(D306/12)*(IF(E306=$C$6,$Q$4+$H$5*12,0))</f>
      </c>
      <c r="T306" s="217">
        <f>(1+$M$5)^(D306/12)*(IF(YEAR(E306)&gt;YEAR($C$6),L306,0)+IF(E306=$C$6,$H$5*12+$Q$4,0))</f>
      </c>
    </row>
    <row x14ac:dyDescent="0.25" r="307" customHeight="1" ht="18.75">
      <c r="A307" s="1"/>
      <c r="B307" s="7"/>
      <c r="C307" s="170"/>
      <c r="D307" s="331">
        <v>300</v>
      </c>
      <c r="E307" s="544">
        <f>+DATE(YEAR(E306),MONTH(E306)-1,DAY(E306))</f>
        <v>25569.041666666668</v>
      </c>
      <c r="F307" s="333">
        <f>IF(DATE(YEAR($B$6),MONTH($B$6)+1,DAY(1))=E307,1,IF(MONTH(E307)=1,F308*(1+$F$5),F308))</f>
      </c>
      <c r="G307" s="333">
        <f>IF('Simulador - 1º Pilar'!$E$99="Sí",IF('Aportaciones Flex'!$B$13&lt;'Aportaciones Flex'!E307,0,F307*$B$8/12),F307*$B$8/12)</f>
      </c>
      <c r="H307" s="333">
        <f>IF(G307&gt;0,1,0)*$H$5*IF(AND($I$5="NO",YEAR(E307)=YEAR($B$6)+1),1,IF($I$5="SI",1,0))</f>
      </c>
      <c r="I307" s="217">
        <f>(1+$M$5)^(D307/12)*(H307*(12-IF(MONTH(E308)=12,0,MONTH(E308)))+IF(AND(F307=1,F308=0),$Q$4,0))*IF(AND(F307=1,F308=0),1,0)</f>
      </c>
      <c r="J307" s="333">
        <f>(1+$M$5)^(D307/12)*(H307+IF(AND(F307=1,F308=0),$Q$4,0))</f>
      </c>
      <c r="K307" s="351"/>
      <c r="L307" s="333">
        <f>K307+J307</f>
      </c>
      <c r="M307" s="170"/>
      <c r="N307" s="7"/>
      <c r="O307" s="1"/>
      <c r="P307" s="331">
        <f>D307</f>
      </c>
      <c r="Q307" s="169"/>
      <c r="R307" s="1"/>
      <c r="S307" s="217">
        <f>(1+$M$5)^(D307/12)*(IF(E307=$C$6,$Q$4+$H$5*12,0))</f>
      </c>
      <c r="T307" s="217">
        <f>(1+$M$5)^(D307/12)*(IF(YEAR(E307)&gt;YEAR($C$6),L307,0)+IF(E307=$C$6,$H$5*12+$Q$4,0))</f>
      </c>
    </row>
    <row x14ac:dyDescent="0.25" r="308" customHeight="1" ht="18.75">
      <c r="A308" s="1"/>
      <c r="B308" s="7"/>
      <c r="C308" s="170"/>
      <c r="D308" s="331">
        <v>301</v>
      </c>
      <c r="E308" s="544">
        <f>+DATE(YEAR(E307),MONTH(E307)-1,DAY(E307))</f>
        <v>25569.041666666668</v>
      </c>
      <c r="F308" s="333">
        <f>IF(DATE(YEAR($B$6),MONTH($B$6)+1,DAY(1))=E308,1,IF(MONTH(E308)=1,F309*(1+$F$5),F309))</f>
      </c>
      <c r="G308" s="333">
        <f>IF('Simulador - 1º Pilar'!$E$99="Sí",IF('Aportaciones Flex'!$B$13&lt;'Aportaciones Flex'!E308,0,F308*$B$8/12),F308*$B$8/12)</f>
      </c>
      <c r="H308" s="333">
        <f>IF(G308&gt;0,1,0)*$H$5*IF(AND($I$5="NO",YEAR(E308)=YEAR($B$6)+1),1,IF($I$5="SI",1,0))</f>
      </c>
      <c r="I308" s="217">
        <f>(1+$M$5)^(D308/12)*(H308*(12-IF(MONTH(E309)=12,0,MONTH(E309)))+IF(AND(F308=1,F309=0),$Q$4,0))*IF(AND(F308=1,F309=0),1,0)</f>
      </c>
      <c r="J308" s="333">
        <f>(1+$M$5)^(D308/12)*(H308+IF(AND(F308=1,F309=0),$Q$4,0))</f>
      </c>
      <c r="K308" s="351"/>
      <c r="L308" s="333">
        <f>K308+J308</f>
      </c>
      <c r="M308" s="170"/>
      <c r="N308" s="7"/>
      <c r="O308" s="1"/>
      <c r="P308" s="331">
        <f>D308</f>
      </c>
      <c r="Q308" s="169"/>
      <c r="R308" s="1"/>
      <c r="S308" s="217">
        <f>(1+$M$5)^(D308/12)*(IF(E308=$C$6,$Q$4+$H$5*12,0))</f>
      </c>
      <c r="T308" s="217">
        <f>(1+$M$5)^(D308/12)*(IF(YEAR(E308)&gt;YEAR($C$6),L308,0)+IF(E308=$C$6,$H$5*12+$Q$4,0))</f>
      </c>
    </row>
    <row x14ac:dyDescent="0.25" r="309" customHeight="1" ht="18.75">
      <c r="A309" s="1"/>
      <c r="B309" s="7"/>
      <c r="C309" s="170"/>
      <c r="D309" s="331">
        <v>302</v>
      </c>
      <c r="E309" s="544">
        <f>+DATE(YEAR(E308),MONTH(E308)-1,DAY(E308))</f>
        <v>25569.041666666668</v>
      </c>
      <c r="F309" s="333">
        <f>IF(DATE(YEAR($B$6),MONTH($B$6)+1,DAY(1))=E309,1,IF(MONTH(E309)=1,F310*(1+$F$5),F310))</f>
      </c>
      <c r="G309" s="333">
        <f>IF('Simulador - 1º Pilar'!$E$99="Sí",IF('Aportaciones Flex'!$B$13&lt;'Aportaciones Flex'!E309,0,F309*$B$8/12),F309*$B$8/12)</f>
      </c>
      <c r="H309" s="333">
        <f>IF(G309&gt;0,1,0)*$H$5*IF(AND($I$5="NO",YEAR(E309)=YEAR($B$6)+1),1,IF($I$5="SI",1,0))</f>
      </c>
      <c r="I309" s="217">
        <f>(1+$M$5)^(D309/12)*(H309*(12-IF(MONTH(E310)=12,0,MONTH(E310)))+IF(AND(F309=1,F310=0),$Q$4,0))*IF(AND(F309=1,F310=0),1,0)</f>
      </c>
      <c r="J309" s="333">
        <f>(1+$M$5)^(D309/12)*(H309+IF(AND(F309=1,F310=0),$Q$4,0))</f>
      </c>
      <c r="K309" s="351"/>
      <c r="L309" s="333">
        <f>K309+J309</f>
      </c>
      <c r="M309" s="170"/>
      <c r="N309" s="7"/>
      <c r="O309" s="1"/>
      <c r="P309" s="331">
        <f>D309</f>
      </c>
      <c r="Q309" s="169"/>
      <c r="R309" s="1"/>
      <c r="S309" s="217">
        <f>(1+$M$5)^(D309/12)*(IF(E309=$C$6,$Q$4+$H$5*12,0))</f>
      </c>
      <c r="T309" s="217">
        <f>(1+$M$5)^(D309/12)*(IF(YEAR(E309)&gt;YEAR($C$6),L309,0)+IF(E309=$C$6,$H$5*12+$Q$4,0))</f>
      </c>
    </row>
    <row x14ac:dyDescent="0.25" r="310" customHeight="1" ht="18.75">
      <c r="A310" s="1"/>
      <c r="B310" s="7"/>
      <c r="C310" s="170"/>
      <c r="D310" s="331">
        <v>303</v>
      </c>
      <c r="E310" s="544">
        <f>+DATE(YEAR(E309),MONTH(E309)-1,DAY(E309))</f>
        <v>25569.041666666668</v>
      </c>
      <c r="F310" s="333">
        <f>IF(DATE(YEAR($B$6),MONTH($B$6)+1,DAY(1))=E310,1,IF(MONTH(E310)=1,F311*(1+$F$5),F311))</f>
      </c>
      <c r="G310" s="333">
        <f>IF('Simulador - 1º Pilar'!$E$99="Sí",IF('Aportaciones Flex'!$B$13&lt;'Aportaciones Flex'!E310,0,F310*$B$8/12),F310*$B$8/12)</f>
      </c>
      <c r="H310" s="333">
        <f>IF(G310&gt;0,1,0)*$H$5*IF(AND($I$5="NO",YEAR(E310)=YEAR($B$6)+1),1,IF($I$5="SI",1,0))</f>
      </c>
      <c r="I310" s="217">
        <f>(1+$M$5)^(D310/12)*(H310*(12-IF(MONTH(E311)=12,0,MONTH(E311)))+IF(AND(F310=1,F311=0),$Q$4,0))*IF(AND(F310=1,F311=0),1,0)</f>
      </c>
      <c r="J310" s="333">
        <f>(1+$M$5)^(D310/12)*(H310+IF(AND(F310=1,F311=0),$Q$4,0))</f>
      </c>
      <c r="K310" s="351"/>
      <c r="L310" s="333">
        <f>K310+J310</f>
      </c>
      <c r="M310" s="170"/>
      <c r="N310" s="7"/>
      <c r="O310" s="1"/>
      <c r="P310" s="331">
        <f>D310</f>
      </c>
      <c r="Q310" s="169"/>
      <c r="R310" s="1"/>
      <c r="S310" s="217">
        <f>(1+$M$5)^(D310/12)*(IF(E310=$C$6,$Q$4+$H$5*12,0))</f>
      </c>
      <c r="T310" s="217">
        <f>(1+$M$5)^(D310/12)*(IF(YEAR(E310)&gt;YEAR($C$6),L310,0)+IF(E310=$C$6,$H$5*12+$Q$4,0))</f>
      </c>
    </row>
    <row x14ac:dyDescent="0.25" r="311" customHeight="1" ht="18.75">
      <c r="A311" s="1"/>
      <c r="B311" s="7"/>
      <c r="C311" s="170"/>
      <c r="D311" s="331">
        <v>304</v>
      </c>
      <c r="E311" s="544">
        <f>+DATE(YEAR(E310),MONTH(E310)-1,DAY(E310))</f>
        <v>25569.041666666668</v>
      </c>
      <c r="F311" s="333">
        <f>IF(DATE(YEAR($B$6),MONTH($B$6)+1,DAY(1))=E311,1,IF(MONTH(E311)=1,F312*(1+$F$5),F312))</f>
      </c>
      <c r="G311" s="333">
        <f>IF('Simulador - 1º Pilar'!$E$99="Sí",IF('Aportaciones Flex'!$B$13&lt;'Aportaciones Flex'!E311,0,F311*$B$8/12),F311*$B$8/12)</f>
      </c>
      <c r="H311" s="333">
        <f>IF(G311&gt;0,1,0)*$H$5*IF(AND($I$5="NO",YEAR(E311)=YEAR($B$6)+1),1,IF($I$5="SI",1,0))</f>
      </c>
      <c r="I311" s="217">
        <f>(1+$M$5)^(D311/12)*(H311*(12-IF(MONTH(E312)=12,0,MONTH(E312)))+IF(AND(F311=1,F312=0),$Q$4,0))*IF(AND(F311=1,F312=0),1,0)</f>
      </c>
      <c r="J311" s="333">
        <f>(1+$M$5)^(D311/12)*(H311+IF(AND(F311=1,F312=0),$Q$4,0))</f>
      </c>
      <c r="K311" s="351"/>
      <c r="L311" s="333">
        <f>K311+J311</f>
      </c>
      <c r="M311" s="170"/>
      <c r="N311" s="7"/>
      <c r="O311" s="1"/>
      <c r="P311" s="331">
        <f>D311</f>
      </c>
      <c r="Q311" s="169"/>
      <c r="R311" s="1"/>
      <c r="S311" s="217">
        <f>(1+$M$5)^(D311/12)*(IF(E311=$C$6,$Q$4+$H$5*12,0))</f>
      </c>
      <c r="T311" s="217">
        <f>(1+$M$5)^(D311/12)*(IF(YEAR(E311)&gt;YEAR($C$6),L311,0)+IF(E311=$C$6,$H$5*12+$Q$4,0))</f>
      </c>
    </row>
    <row x14ac:dyDescent="0.25" r="312" customHeight="1" ht="18.75">
      <c r="A312" s="1"/>
      <c r="B312" s="7"/>
      <c r="C312" s="170"/>
      <c r="D312" s="331">
        <v>305</v>
      </c>
      <c r="E312" s="544">
        <f>+DATE(YEAR(E311),MONTH(E311)-1,DAY(E311))</f>
        <v>25569.041666666668</v>
      </c>
      <c r="F312" s="333">
        <f>IF(DATE(YEAR($B$6),MONTH($B$6)+1,DAY(1))=E312,1,IF(MONTH(E312)=1,F313*(1+$F$5),F313))</f>
      </c>
      <c r="G312" s="333">
        <f>IF('Simulador - 1º Pilar'!$E$99="Sí",IF('Aportaciones Flex'!$B$13&lt;'Aportaciones Flex'!E312,0,F312*$B$8/12),F312*$B$8/12)</f>
      </c>
      <c r="H312" s="333">
        <f>IF(G312&gt;0,1,0)*$H$5*IF(AND($I$5="NO",YEAR(E312)=YEAR($B$6)+1),1,IF($I$5="SI",1,0))</f>
      </c>
      <c r="I312" s="217">
        <f>(1+$M$5)^(D312/12)*(H312*(12-IF(MONTH(E313)=12,0,MONTH(E313)))+IF(AND(F312=1,F313=0),$Q$4,0))*IF(AND(F312=1,F313=0),1,0)</f>
      </c>
      <c r="J312" s="333">
        <f>(1+$M$5)^(D312/12)*(H312+IF(AND(F312=1,F313=0),$Q$4,0))</f>
      </c>
      <c r="K312" s="351"/>
      <c r="L312" s="333">
        <f>K312+J312</f>
      </c>
      <c r="M312" s="170"/>
      <c r="N312" s="7"/>
      <c r="O312" s="1"/>
      <c r="P312" s="331">
        <f>D312</f>
      </c>
      <c r="Q312" s="169"/>
      <c r="R312" s="1"/>
      <c r="S312" s="217">
        <f>(1+$M$5)^(D312/12)*(IF(E312=$C$6,$Q$4+$H$5*12,0))</f>
      </c>
      <c r="T312" s="217">
        <f>(1+$M$5)^(D312/12)*(IF(YEAR(E312)&gt;YEAR($C$6),L312,0)+IF(E312=$C$6,$H$5*12+$Q$4,0))</f>
      </c>
    </row>
    <row x14ac:dyDescent="0.25" r="313" customHeight="1" ht="18.75">
      <c r="A313" s="1"/>
      <c r="B313" s="7"/>
      <c r="C313" s="170"/>
      <c r="D313" s="331">
        <v>306</v>
      </c>
      <c r="E313" s="544">
        <f>+DATE(YEAR(E312),MONTH(E312)-1,DAY(E312))</f>
        <v>25569.041666666668</v>
      </c>
      <c r="F313" s="333">
        <f>IF(DATE(YEAR($B$6),MONTH($B$6)+1,DAY(1))=E313,1,IF(MONTH(E313)=1,F314*(1+$F$5),F314))</f>
      </c>
      <c r="G313" s="333">
        <f>IF('Simulador - 1º Pilar'!$E$99="Sí",IF('Aportaciones Flex'!$B$13&lt;'Aportaciones Flex'!E313,0,F313*$B$8/12),F313*$B$8/12)</f>
      </c>
      <c r="H313" s="333">
        <f>IF(G313&gt;0,1,0)*$H$5*IF(AND($I$5="NO",YEAR(E313)=YEAR($B$6)+1),1,IF($I$5="SI",1,0))</f>
      </c>
      <c r="I313" s="217">
        <f>(1+$M$5)^(D313/12)*(H313*(12-IF(MONTH(E314)=12,0,MONTH(E314)))+IF(AND(F313=1,F314=0),$Q$4,0))*IF(AND(F313=1,F314=0),1,0)</f>
      </c>
      <c r="J313" s="333">
        <f>(1+$M$5)^(D313/12)*(H313+IF(AND(F313=1,F314=0),$Q$4,0))</f>
      </c>
      <c r="K313" s="351"/>
      <c r="L313" s="333">
        <f>K313+J313</f>
      </c>
      <c r="M313" s="217"/>
      <c r="N313" s="7"/>
      <c r="O313" s="1"/>
      <c r="P313" s="331">
        <f>D313</f>
      </c>
      <c r="Q313" s="169"/>
      <c r="R313" s="1"/>
      <c r="S313" s="217">
        <f>(1+$M$5)^(D313/12)*(IF(E313=$C$6,$Q$4+$H$5*12,0))</f>
      </c>
      <c r="T313" s="217">
        <f>(1+$M$5)^(D313/12)*(IF(YEAR(E313)&gt;YEAR($C$6),L313,0)+IF(E313=$C$6,$H$5*12+$Q$4,0))</f>
      </c>
    </row>
    <row x14ac:dyDescent="0.25" r="314" customHeight="1" ht="18.75">
      <c r="A314" s="1"/>
      <c r="B314" s="7"/>
      <c r="C314" s="170"/>
      <c r="D314" s="331">
        <v>307</v>
      </c>
      <c r="E314" s="544">
        <f>+DATE(YEAR(E313),MONTH(E313)-1,DAY(E313))</f>
        <v>25569.041666666668</v>
      </c>
      <c r="F314" s="333">
        <f>IF(DATE(YEAR($B$6),MONTH($B$6)+1,DAY(1))=E314,1,IF(MONTH(E314)=1,F315*(1+$F$5),F315))</f>
      </c>
      <c r="G314" s="333">
        <f>IF('Simulador - 1º Pilar'!$E$99="Sí",IF('Aportaciones Flex'!$B$13&lt;'Aportaciones Flex'!E314,0,F314*$B$8/12),F314*$B$8/12)</f>
      </c>
      <c r="H314" s="333">
        <f>IF(G314&gt;0,1,0)*$H$5*IF(AND($I$5="NO",YEAR(E314)=YEAR($B$6)+1),1,IF($I$5="SI",1,0))</f>
      </c>
      <c r="I314" s="217">
        <f>(1+$M$5)^(D314/12)*(H314*(12-IF(MONTH(E315)=12,0,MONTH(E315)))+IF(AND(F314=1,F315=0),$Q$4,0))*IF(AND(F314=1,F315=0),1,0)</f>
      </c>
      <c r="J314" s="333">
        <f>(1+$M$5)^(D314/12)*(H314+IF(AND(F314=1,F315=0),$Q$4,0))</f>
      </c>
      <c r="K314" s="351"/>
      <c r="L314" s="333">
        <f>K314+J314</f>
      </c>
      <c r="M314" s="170"/>
      <c r="N314" s="7"/>
      <c r="O314" s="1"/>
      <c r="P314" s="331">
        <f>D314</f>
      </c>
      <c r="Q314" s="169"/>
      <c r="R314" s="1"/>
      <c r="S314" s="217">
        <f>(1+$M$5)^(D314/12)*(IF(E314=$C$6,$Q$4+$H$5*12,0))</f>
      </c>
      <c r="T314" s="217">
        <f>(1+$M$5)^(D314/12)*(IF(YEAR(E314)&gt;YEAR($C$6),L314,0)+IF(E314=$C$6,$H$5*12+$Q$4,0))</f>
      </c>
    </row>
    <row x14ac:dyDescent="0.25" r="315" customHeight="1" ht="18.75">
      <c r="A315" s="1"/>
      <c r="B315" s="7"/>
      <c r="C315" s="170"/>
      <c r="D315" s="331">
        <v>308</v>
      </c>
      <c r="E315" s="544">
        <f>+DATE(YEAR(E314),MONTH(E314)-1,DAY(E314))</f>
        <v>25569.041666666668</v>
      </c>
      <c r="F315" s="333">
        <f>IF(DATE(YEAR($B$6),MONTH($B$6)+1,DAY(1))=E315,1,IF(MONTH(E315)=1,F316*(1+$F$5),F316))</f>
      </c>
      <c r="G315" s="333">
        <f>IF('Simulador - 1º Pilar'!$E$99="Sí",IF('Aportaciones Flex'!$B$13&lt;'Aportaciones Flex'!E315,0,F315*$B$8/12),F315*$B$8/12)</f>
      </c>
      <c r="H315" s="333">
        <f>IF(G315&gt;0,1,0)*$H$5*IF(AND($I$5="NO",YEAR(E315)=YEAR($B$6)+1),1,IF($I$5="SI",1,0))</f>
      </c>
      <c r="I315" s="217">
        <f>(1+$M$5)^(D315/12)*(H315*(12-IF(MONTH(E316)=12,0,MONTH(E316)))+IF(AND(F315=1,F316=0),$Q$4,0))*IF(AND(F315=1,F316=0),1,0)</f>
      </c>
      <c r="J315" s="333">
        <f>(1+$M$5)^(D315/12)*(H315+IF(AND(F315=1,F316=0),$Q$4,0))</f>
      </c>
      <c r="K315" s="351"/>
      <c r="L315" s="333">
        <f>K315+J315</f>
      </c>
      <c r="M315" s="170"/>
      <c r="N315" s="7"/>
      <c r="O315" s="1"/>
      <c r="P315" s="331">
        <f>D315</f>
      </c>
      <c r="Q315" s="169"/>
      <c r="R315" s="1"/>
      <c r="S315" s="217">
        <f>(1+$M$5)^(D315/12)*(IF(E315=$C$6,$Q$4+$H$5*12,0))</f>
      </c>
      <c r="T315" s="217">
        <f>(1+$M$5)^(D315/12)*(IF(YEAR(E315)&gt;YEAR($C$6),L315,0)+IF(E315=$C$6,$H$5*12+$Q$4,0))</f>
      </c>
    </row>
    <row x14ac:dyDescent="0.25" r="316" customHeight="1" ht="18.75">
      <c r="A316" s="1"/>
      <c r="B316" s="7"/>
      <c r="C316" s="170"/>
      <c r="D316" s="331">
        <v>309</v>
      </c>
      <c r="E316" s="544">
        <f>+DATE(YEAR(E315),MONTH(E315)-1,DAY(E315))</f>
        <v>25569.041666666668</v>
      </c>
      <c r="F316" s="333">
        <f>IF(DATE(YEAR($B$6),MONTH($B$6)+1,DAY(1))=E316,1,IF(MONTH(E316)=1,F317*(1+$F$5),F317))</f>
      </c>
      <c r="G316" s="333">
        <f>IF('Simulador - 1º Pilar'!$E$99="Sí",IF('Aportaciones Flex'!$B$13&lt;'Aportaciones Flex'!E316,0,F316*$B$8/12),F316*$B$8/12)</f>
      </c>
      <c r="H316" s="333">
        <f>IF(G316&gt;0,1,0)*$H$5*IF(AND($I$5="NO",YEAR(E316)=YEAR($B$6)+1),1,IF($I$5="SI",1,0))</f>
      </c>
      <c r="I316" s="217">
        <f>(1+$M$5)^(D316/12)*(H316*(12-IF(MONTH(E317)=12,0,MONTH(E317)))+IF(AND(F316=1,F317=0),$Q$4,0))*IF(AND(F316=1,F317=0),1,0)</f>
      </c>
      <c r="J316" s="333">
        <f>(1+$M$5)^(D316/12)*(H316+IF(AND(F316=1,F317=0),$Q$4,0))</f>
      </c>
      <c r="K316" s="351"/>
      <c r="L316" s="333">
        <f>K316+J316</f>
      </c>
      <c r="M316" s="170"/>
      <c r="N316" s="7"/>
      <c r="O316" s="1"/>
      <c r="P316" s="331">
        <f>D316</f>
      </c>
      <c r="Q316" s="169"/>
      <c r="R316" s="1"/>
      <c r="S316" s="217">
        <f>(1+$M$5)^(D316/12)*(IF(E316=$C$6,$Q$4+$H$5*12,0))</f>
      </c>
      <c r="T316" s="217">
        <f>(1+$M$5)^(D316/12)*(IF(YEAR(E316)&gt;YEAR($C$6),L316,0)+IF(E316=$C$6,$H$5*12+$Q$4,0))</f>
      </c>
    </row>
    <row x14ac:dyDescent="0.25" r="317" customHeight="1" ht="18.75">
      <c r="A317" s="1"/>
      <c r="B317" s="7"/>
      <c r="C317" s="170"/>
      <c r="D317" s="331">
        <v>310</v>
      </c>
      <c r="E317" s="544">
        <f>+DATE(YEAR(E316),MONTH(E316)-1,DAY(E316))</f>
        <v>25569.041666666668</v>
      </c>
      <c r="F317" s="333">
        <f>IF(DATE(YEAR($B$6),MONTH($B$6)+1,DAY(1))=E317,1,IF(MONTH(E317)=1,F318*(1+$F$5),F318))</f>
      </c>
      <c r="G317" s="333">
        <f>IF('Simulador - 1º Pilar'!$E$99="Sí",IF('Aportaciones Flex'!$B$13&lt;'Aportaciones Flex'!E317,0,F317*$B$8/12),F317*$B$8/12)</f>
      </c>
      <c r="H317" s="333">
        <f>IF(G317&gt;0,1,0)*$H$5*IF(AND($I$5="NO",YEAR(E317)=YEAR($B$6)+1),1,IF($I$5="SI",1,0))</f>
      </c>
      <c r="I317" s="217">
        <f>(1+$M$5)^(D317/12)*(H317*(12-IF(MONTH(E318)=12,0,MONTH(E318)))+IF(AND(F317=1,F318=0),$Q$4,0))*IF(AND(F317=1,F318=0),1,0)</f>
      </c>
      <c r="J317" s="333">
        <f>(1+$M$5)^(D317/12)*(H317+IF(AND(F317=1,F318=0),$Q$4,0))</f>
      </c>
      <c r="K317" s="351"/>
      <c r="L317" s="333">
        <f>K317+J317</f>
      </c>
      <c r="M317" s="170"/>
      <c r="N317" s="7"/>
      <c r="O317" s="1"/>
      <c r="P317" s="331">
        <f>D317</f>
      </c>
      <c r="Q317" s="169"/>
      <c r="R317" s="1"/>
      <c r="S317" s="217">
        <f>(1+$M$5)^(D317/12)*(IF(E317=$C$6,$Q$4+$H$5*12,0))</f>
      </c>
      <c r="T317" s="217">
        <f>(1+$M$5)^(D317/12)*(IF(YEAR(E317)&gt;YEAR($C$6),L317,0)+IF(E317=$C$6,$H$5*12+$Q$4,0))</f>
      </c>
    </row>
    <row x14ac:dyDescent="0.25" r="318" customHeight="1" ht="18.75">
      <c r="A318" s="1"/>
      <c r="B318" s="7"/>
      <c r="C318" s="170"/>
      <c r="D318" s="331">
        <v>311</v>
      </c>
      <c r="E318" s="544">
        <f>+DATE(YEAR(E317),MONTH(E317)-1,DAY(E317))</f>
        <v>25569.041666666668</v>
      </c>
      <c r="F318" s="333">
        <f>IF(DATE(YEAR($B$6),MONTH($B$6)+1,DAY(1))=E318,1,IF(MONTH(E318)=1,F319*(1+$F$5),F319))</f>
      </c>
      <c r="G318" s="333">
        <f>IF('Simulador - 1º Pilar'!$E$99="Sí",IF('Aportaciones Flex'!$B$13&lt;'Aportaciones Flex'!E318,0,F318*$B$8/12),F318*$B$8/12)</f>
      </c>
      <c r="H318" s="333">
        <f>IF(G318&gt;0,1,0)*$H$5*IF(AND($I$5="NO",YEAR(E318)=YEAR($B$6)+1),1,IF($I$5="SI",1,0))</f>
      </c>
      <c r="I318" s="217">
        <f>(1+$M$5)^(D318/12)*(H318*(12-IF(MONTH(E319)=12,0,MONTH(E319)))+IF(AND(F318=1,F319=0),$Q$4,0))*IF(AND(F318=1,F319=0),1,0)</f>
      </c>
      <c r="J318" s="333">
        <f>(1+$M$5)^(D318/12)*(H318+IF(AND(F318=1,F319=0),$Q$4,0))</f>
      </c>
      <c r="K318" s="351"/>
      <c r="L318" s="333">
        <f>K318+J318</f>
      </c>
      <c r="M318" s="170"/>
      <c r="N318" s="7"/>
      <c r="O318" s="1"/>
      <c r="P318" s="331">
        <f>D318</f>
      </c>
      <c r="Q318" s="169"/>
      <c r="R318" s="1"/>
      <c r="S318" s="217">
        <f>(1+$M$5)^(D318/12)*(IF(E318=$C$6,$Q$4+$H$5*12,0))</f>
      </c>
      <c r="T318" s="217">
        <f>(1+$M$5)^(D318/12)*(IF(YEAR(E318)&gt;YEAR($C$6),L318,0)+IF(E318=$C$6,$H$5*12+$Q$4,0))</f>
      </c>
    </row>
    <row x14ac:dyDescent="0.25" r="319" customHeight="1" ht="18.75">
      <c r="A319" s="1"/>
      <c r="B319" s="7"/>
      <c r="C319" s="170"/>
      <c r="D319" s="331">
        <v>312</v>
      </c>
      <c r="E319" s="544">
        <f>+DATE(YEAR(E318),MONTH(E318)-1,DAY(E318))</f>
        <v>25569.041666666668</v>
      </c>
      <c r="F319" s="333">
        <f>IF(DATE(YEAR($B$6),MONTH($B$6)+1,DAY(1))=E319,1,IF(MONTH(E319)=1,F320*(1+$F$5),F320))</f>
      </c>
      <c r="G319" s="333">
        <f>IF('Simulador - 1º Pilar'!$E$99="Sí",IF('Aportaciones Flex'!$B$13&lt;'Aportaciones Flex'!E319,0,F319*$B$8/12),F319*$B$8/12)</f>
      </c>
      <c r="H319" s="333">
        <f>IF(G319&gt;0,1,0)*$H$5*IF(AND($I$5="NO",YEAR(E319)=YEAR($B$6)+1),1,IF($I$5="SI",1,0))</f>
      </c>
      <c r="I319" s="217">
        <f>(1+$M$5)^(D319/12)*(H319*(12-IF(MONTH(E320)=12,0,MONTH(E320)))+IF(AND(F319=1,F320=0),$Q$4,0))*IF(AND(F319=1,F320=0),1,0)</f>
      </c>
      <c r="J319" s="333">
        <f>(1+$M$5)^(D319/12)*(H319+IF(AND(F319=1,F320=0),$Q$4,0))</f>
      </c>
      <c r="K319" s="351"/>
      <c r="L319" s="333">
        <f>K319+J319</f>
      </c>
      <c r="M319" s="170"/>
      <c r="N319" s="7"/>
      <c r="O319" s="1"/>
      <c r="P319" s="331">
        <f>D319</f>
      </c>
      <c r="Q319" s="169"/>
      <c r="R319" s="1"/>
      <c r="S319" s="217">
        <f>(1+$M$5)^(D319/12)*(IF(E319=$C$6,$Q$4+$H$5*12,0))</f>
      </c>
      <c r="T319" s="217">
        <f>(1+$M$5)^(D319/12)*(IF(YEAR(E319)&gt;YEAR($C$6),L319,0)+IF(E319=$C$6,$H$5*12+$Q$4,0))</f>
      </c>
    </row>
    <row x14ac:dyDescent="0.25" r="320" customHeight="1" ht="18.75">
      <c r="A320" s="1"/>
      <c r="B320" s="7"/>
      <c r="C320" s="170"/>
      <c r="D320" s="331">
        <v>313</v>
      </c>
      <c r="E320" s="544">
        <f>+DATE(YEAR(E319),MONTH(E319)-1,DAY(E319))</f>
        <v>25569.041666666668</v>
      </c>
      <c r="F320" s="333">
        <f>IF(DATE(YEAR($B$6),MONTH($B$6)+1,DAY(1))=E320,1,IF(MONTH(E320)=1,F321*(1+$F$5),F321))</f>
      </c>
      <c r="G320" s="333">
        <f>IF('Simulador - 1º Pilar'!$E$99="Sí",IF('Aportaciones Flex'!$B$13&lt;'Aportaciones Flex'!E320,0,F320*$B$8/12),F320*$B$8/12)</f>
      </c>
      <c r="H320" s="333">
        <f>IF(G320&gt;0,1,0)*$H$5*IF(AND($I$5="NO",YEAR(E320)=YEAR($B$6)+1),1,IF($I$5="SI",1,0))</f>
      </c>
      <c r="I320" s="217">
        <f>(1+$M$5)^(D320/12)*(H320*(12-IF(MONTH(E321)=12,0,MONTH(E321)))+IF(AND(F320=1,F321=0),$Q$4,0))*IF(AND(F320=1,F321=0),1,0)</f>
      </c>
      <c r="J320" s="333">
        <f>(1+$M$5)^(D320/12)*(H320+IF(AND(F320=1,F321=0),$Q$4,0))</f>
      </c>
      <c r="K320" s="351"/>
      <c r="L320" s="333">
        <f>K320+J320</f>
      </c>
      <c r="M320" s="170"/>
      <c r="N320" s="7"/>
      <c r="O320" s="1"/>
      <c r="P320" s="331">
        <f>D320</f>
      </c>
      <c r="Q320" s="169"/>
      <c r="R320" s="1"/>
      <c r="S320" s="217">
        <f>(1+$M$5)^(D320/12)*(IF(E320=$C$6,$Q$4+$H$5*12,0))</f>
      </c>
      <c r="T320" s="217">
        <f>(1+$M$5)^(D320/12)*(IF(YEAR(E320)&gt;YEAR($C$6),L320,0)+IF(E320=$C$6,$H$5*12+$Q$4,0))</f>
      </c>
    </row>
    <row x14ac:dyDescent="0.25" r="321" customHeight="1" ht="18.75">
      <c r="A321" s="1"/>
      <c r="B321" s="7"/>
      <c r="C321" s="170"/>
      <c r="D321" s="331">
        <v>314</v>
      </c>
      <c r="E321" s="544">
        <f>+DATE(YEAR(E320),MONTH(E320)-1,DAY(E320))</f>
        <v>25569.041666666668</v>
      </c>
      <c r="F321" s="333">
        <f>IF(DATE(YEAR($B$6),MONTH($B$6)+1,DAY(1))=E321,1,IF(MONTH(E321)=1,F322*(1+$F$5),F322))</f>
      </c>
      <c r="G321" s="333">
        <f>IF('Simulador - 1º Pilar'!$E$99="Sí",IF('Aportaciones Flex'!$B$13&lt;'Aportaciones Flex'!E321,0,F321*$B$8/12),F321*$B$8/12)</f>
      </c>
      <c r="H321" s="333">
        <f>IF(G321&gt;0,1,0)*$H$5*IF(AND($I$5="NO",YEAR(E321)=YEAR($B$6)+1),1,IF($I$5="SI",1,0))</f>
      </c>
      <c r="I321" s="217">
        <f>(1+$M$5)^(D321/12)*(H321*(12-IF(MONTH(E322)=12,0,MONTH(E322)))+IF(AND(F321=1,F322=0),$Q$4,0))*IF(AND(F321=1,F322=0),1,0)</f>
      </c>
      <c r="J321" s="333">
        <f>(1+$M$5)^(D321/12)*(H321+IF(AND(F321=1,F322=0),$Q$4,0))</f>
      </c>
      <c r="K321" s="351"/>
      <c r="L321" s="333">
        <f>K321+J321</f>
      </c>
      <c r="M321" s="170"/>
      <c r="N321" s="7"/>
      <c r="O321" s="1"/>
      <c r="P321" s="331">
        <f>D321</f>
      </c>
      <c r="Q321" s="169"/>
      <c r="R321" s="1"/>
      <c r="S321" s="217">
        <f>(1+$M$5)^(D321/12)*(IF(E321=$C$6,$Q$4+$H$5*12,0))</f>
      </c>
      <c r="T321" s="217">
        <f>(1+$M$5)^(D321/12)*(IF(YEAR(E321)&gt;YEAR($C$6),L321,0)+IF(E321=$C$6,$H$5*12+$Q$4,0))</f>
      </c>
    </row>
    <row x14ac:dyDescent="0.25" r="322" customHeight="1" ht="18.75">
      <c r="A322" s="1"/>
      <c r="B322" s="7"/>
      <c r="C322" s="170"/>
      <c r="D322" s="331">
        <v>315</v>
      </c>
      <c r="E322" s="544">
        <f>+DATE(YEAR(E321),MONTH(E321)-1,DAY(E321))</f>
        <v>25569.041666666668</v>
      </c>
      <c r="F322" s="333">
        <f>IF(DATE(YEAR($B$6),MONTH($B$6)+1,DAY(1))=E322,1,IF(MONTH(E322)=1,F323*(1+$F$5),F323))</f>
      </c>
      <c r="G322" s="333">
        <f>IF('Simulador - 1º Pilar'!$E$99="Sí",IF('Aportaciones Flex'!$B$13&lt;'Aportaciones Flex'!E322,0,F322*$B$8/12),F322*$B$8/12)</f>
      </c>
      <c r="H322" s="333">
        <f>IF(G322&gt;0,1,0)*$H$5*IF(AND($I$5="NO",YEAR(E322)=YEAR($B$6)+1),1,IF($I$5="SI",1,0))</f>
      </c>
      <c r="I322" s="217">
        <f>(1+$M$5)^(D322/12)*(H322*(12-IF(MONTH(E323)=12,0,MONTH(E323)))+IF(AND(F322=1,F323=0),$Q$4,0))*IF(AND(F322=1,F323=0),1,0)</f>
      </c>
      <c r="J322" s="333">
        <f>(1+$M$5)^(D322/12)*(H322+IF(AND(F322=1,F323=0),$Q$4,0))</f>
      </c>
      <c r="K322" s="351"/>
      <c r="L322" s="333">
        <f>K322+J322</f>
      </c>
      <c r="M322" s="170"/>
      <c r="N322" s="7"/>
      <c r="O322" s="1"/>
      <c r="P322" s="331">
        <f>D322</f>
      </c>
      <c r="Q322" s="169"/>
      <c r="R322" s="1"/>
      <c r="S322" s="217">
        <f>(1+$M$5)^(D322/12)*(IF(E322=$C$6,$Q$4+$H$5*12,0))</f>
      </c>
      <c r="T322" s="217">
        <f>(1+$M$5)^(D322/12)*(IF(YEAR(E322)&gt;YEAR($C$6),L322,0)+IF(E322=$C$6,$H$5*12+$Q$4,0))</f>
      </c>
    </row>
    <row x14ac:dyDescent="0.25" r="323" customHeight="1" ht="18.75">
      <c r="A323" s="1"/>
      <c r="B323" s="7"/>
      <c r="C323" s="170"/>
      <c r="D323" s="331">
        <v>316</v>
      </c>
      <c r="E323" s="544">
        <f>+DATE(YEAR(E322),MONTH(E322)-1,DAY(E322))</f>
        <v>25569.041666666668</v>
      </c>
      <c r="F323" s="333">
        <f>IF(DATE(YEAR($B$6),MONTH($B$6)+1,DAY(1))=E323,1,IF(MONTH(E323)=1,F324*(1+$F$5),F324))</f>
      </c>
      <c r="G323" s="333">
        <f>IF('Simulador - 1º Pilar'!$E$99="Sí",IF('Aportaciones Flex'!$B$13&lt;'Aportaciones Flex'!E323,0,F323*$B$8/12),F323*$B$8/12)</f>
      </c>
      <c r="H323" s="333">
        <f>IF(G323&gt;0,1,0)*$H$5*IF(AND($I$5="NO",YEAR(E323)=YEAR($B$6)+1),1,IF($I$5="SI",1,0))</f>
      </c>
      <c r="I323" s="217">
        <f>(1+$M$5)^(D323/12)*(H323*(12-IF(MONTH(E324)=12,0,MONTH(E324)))+IF(AND(F323=1,F324=0),$Q$4,0))*IF(AND(F323=1,F324=0),1,0)</f>
      </c>
      <c r="J323" s="333">
        <f>(1+$M$5)^(D323/12)*(H323+IF(AND(F323=1,F324=0),$Q$4,0))</f>
      </c>
      <c r="K323" s="351"/>
      <c r="L323" s="333">
        <f>K323+J323</f>
      </c>
      <c r="M323" s="170"/>
      <c r="N323" s="7"/>
      <c r="O323" s="1"/>
      <c r="P323" s="331">
        <f>D323</f>
      </c>
      <c r="Q323" s="169"/>
      <c r="R323" s="1"/>
      <c r="S323" s="217">
        <f>(1+$M$5)^(D323/12)*(IF(E323=$C$6,$Q$4+$H$5*12,0))</f>
      </c>
      <c r="T323" s="217">
        <f>(1+$M$5)^(D323/12)*(IF(YEAR(E323)&gt;YEAR($C$6),L323,0)+IF(E323=$C$6,$H$5*12+$Q$4,0))</f>
      </c>
    </row>
    <row x14ac:dyDescent="0.25" r="324" customHeight="1" ht="18.75">
      <c r="A324" s="1"/>
      <c r="B324" s="7"/>
      <c r="C324" s="170"/>
      <c r="D324" s="331">
        <v>317</v>
      </c>
      <c r="E324" s="544">
        <f>+DATE(YEAR(E323),MONTH(E323)-1,DAY(E323))</f>
        <v>25569.041666666668</v>
      </c>
      <c r="F324" s="333">
        <f>IF(DATE(YEAR($B$6),MONTH($B$6)+1,DAY(1))=E324,1,IF(MONTH(E324)=1,F325*(1+$F$5),F325))</f>
      </c>
      <c r="G324" s="333">
        <f>IF('Simulador - 1º Pilar'!$E$99="Sí",IF('Aportaciones Flex'!$B$13&lt;'Aportaciones Flex'!E324,0,F324*$B$8/12),F324*$B$8/12)</f>
      </c>
      <c r="H324" s="333">
        <f>IF(G324&gt;0,1,0)*$H$5*IF(AND($I$5="NO",YEAR(E324)=YEAR($B$6)+1),1,IF($I$5="SI",1,0))</f>
      </c>
      <c r="I324" s="217">
        <f>(1+$M$5)^(D324/12)*(H324*(12-IF(MONTH(E325)=12,0,MONTH(E325)))+IF(AND(F324=1,F325=0),$Q$4,0))*IF(AND(F324=1,F325=0),1,0)</f>
      </c>
      <c r="J324" s="333">
        <f>(1+$M$5)^(D324/12)*(H324+IF(AND(F324=1,F325=0),$Q$4,0))</f>
      </c>
      <c r="K324" s="351"/>
      <c r="L324" s="333">
        <f>K324+J324</f>
      </c>
      <c r="M324" s="170"/>
      <c r="N324" s="7"/>
      <c r="O324" s="1"/>
      <c r="P324" s="331">
        <f>D324</f>
      </c>
      <c r="Q324" s="169"/>
      <c r="R324" s="1"/>
      <c r="S324" s="217">
        <f>(1+$M$5)^(D324/12)*(IF(E324=$C$6,$Q$4+$H$5*12,0))</f>
      </c>
      <c r="T324" s="217">
        <f>(1+$M$5)^(D324/12)*(IF(YEAR(E324)&gt;YEAR($C$6),L324,0)+IF(E324=$C$6,$H$5*12+$Q$4,0))</f>
      </c>
    </row>
    <row x14ac:dyDescent="0.25" r="325" customHeight="1" ht="18.75">
      <c r="A325" s="1"/>
      <c r="B325" s="7"/>
      <c r="C325" s="170"/>
      <c r="D325" s="331">
        <v>318</v>
      </c>
      <c r="E325" s="544">
        <f>+DATE(YEAR(E324),MONTH(E324)-1,DAY(E324))</f>
        <v>25569.041666666668</v>
      </c>
      <c r="F325" s="333">
        <f>IF(DATE(YEAR($B$6),MONTH($B$6)+1,DAY(1))=E325,1,IF(MONTH(E325)=1,F326*(1+$F$5),F326))</f>
      </c>
      <c r="G325" s="333">
        <f>IF('Simulador - 1º Pilar'!$E$99="Sí",IF('Aportaciones Flex'!$B$13&lt;'Aportaciones Flex'!E325,0,F325*$B$8/12),F325*$B$8/12)</f>
      </c>
      <c r="H325" s="333">
        <f>IF(G325&gt;0,1,0)*$H$5*IF(AND($I$5="NO",YEAR(E325)=YEAR($B$6)+1),1,IF($I$5="SI",1,0))</f>
      </c>
      <c r="I325" s="217">
        <f>(1+$M$5)^(D325/12)*(H325*(12-IF(MONTH(E326)=12,0,MONTH(E326)))+IF(AND(F325=1,F326=0),$Q$4,0))*IF(AND(F325=1,F326=0),1,0)</f>
      </c>
      <c r="J325" s="333">
        <f>(1+$M$5)^(D325/12)*(H325+IF(AND(F325=1,F326=0),$Q$4,0))</f>
      </c>
      <c r="K325" s="351"/>
      <c r="L325" s="333">
        <f>K325+J325</f>
      </c>
      <c r="M325" s="170"/>
      <c r="N325" s="7"/>
      <c r="O325" s="1"/>
      <c r="P325" s="331">
        <f>D325</f>
      </c>
      <c r="Q325" s="169"/>
      <c r="R325" s="1"/>
      <c r="S325" s="217">
        <f>(1+$M$5)^(D325/12)*(IF(E325=$C$6,$Q$4+$H$5*12,0))</f>
      </c>
      <c r="T325" s="217">
        <f>(1+$M$5)^(D325/12)*(IF(YEAR(E325)&gt;YEAR($C$6),L325,0)+IF(E325=$C$6,$H$5*12+$Q$4,0))</f>
      </c>
    </row>
    <row x14ac:dyDescent="0.25" r="326" customHeight="1" ht="18.75">
      <c r="A326" s="1"/>
      <c r="B326" s="7"/>
      <c r="C326" s="170"/>
      <c r="D326" s="331">
        <v>319</v>
      </c>
      <c r="E326" s="544">
        <f>+DATE(YEAR(E325),MONTH(E325)-1,DAY(E325))</f>
        <v>25569.041666666668</v>
      </c>
      <c r="F326" s="333">
        <f>IF(DATE(YEAR($B$6),MONTH($B$6)+1,DAY(1))=E326,1,IF(MONTH(E326)=1,F327*(1+$F$5),F327))</f>
      </c>
      <c r="G326" s="333">
        <f>IF('Simulador - 1º Pilar'!$E$99="Sí",IF('Aportaciones Flex'!$B$13&lt;'Aportaciones Flex'!E326,0,F326*$B$8/12),F326*$B$8/12)</f>
      </c>
      <c r="H326" s="333">
        <f>IF(G326&gt;0,1,0)*$H$5*IF(AND($I$5="NO",YEAR(E326)=YEAR($B$6)+1),1,IF($I$5="SI",1,0))</f>
      </c>
      <c r="I326" s="217">
        <f>(1+$M$5)^(D326/12)*(H326*(12-IF(MONTH(E327)=12,0,MONTH(E327)))+IF(AND(F326=1,F327=0),$Q$4,0))*IF(AND(F326=1,F327=0),1,0)</f>
      </c>
      <c r="J326" s="333">
        <f>(1+$M$5)^(D326/12)*(H326+IF(AND(F326=1,F327=0),$Q$4,0))</f>
      </c>
      <c r="K326" s="351"/>
      <c r="L326" s="333">
        <f>K326+J326</f>
      </c>
      <c r="M326" s="170"/>
      <c r="N326" s="7"/>
      <c r="O326" s="1"/>
      <c r="P326" s="331">
        <f>D326</f>
      </c>
      <c r="Q326" s="169"/>
      <c r="R326" s="1"/>
      <c r="S326" s="217">
        <f>(1+$M$5)^(D326/12)*(IF(E326=$C$6,$Q$4+$H$5*12,0))</f>
      </c>
      <c r="T326" s="217">
        <f>(1+$M$5)^(D326/12)*(IF(YEAR(E326)&gt;YEAR($C$6),L326,0)+IF(E326=$C$6,$H$5*12+$Q$4,0))</f>
      </c>
    </row>
    <row x14ac:dyDescent="0.25" r="327" customHeight="1" ht="18.75">
      <c r="A327" s="1"/>
      <c r="B327" s="7"/>
      <c r="C327" s="170"/>
      <c r="D327" s="331">
        <v>320</v>
      </c>
      <c r="E327" s="544">
        <f>+DATE(YEAR(E326),MONTH(E326)-1,DAY(E326))</f>
        <v>25569.041666666668</v>
      </c>
      <c r="F327" s="333">
        <f>IF(DATE(YEAR($B$6),MONTH($B$6)+1,DAY(1))=E327,1,IF(MONTH(E327)=1,F328*(1+$F$5),F328))</f>
      </c>
      <c r="G327" s="333">
        <f>IF('Simulador - 1º Pilar'!$E$99="Sí",IF('Aportaciones Flex'!$B$13&lt;'Aportaciones Flex'!E327,0,F327*$B$8/12),F327*$B$8/12)</f>
      </c>
      <c r="H327" s="333">
        <f>IF(G327&gt;0,1,0)*$H$5*IF(AND($I$5="NO",YEAR(E327)=YEAR($B$6)+1),1,IF($I$5="SI",1,0))</f>
      </c>
      <c r="I327" s="217">
        <f>(1+$M$5)^(D327/12)*(H327*(12-IF(MONTH(E328)=12,0,MONTH(E328)))+IF(AND(F327=1,F328=0),$Q$4,0))*IF(AND(F327=1,F328=0),1,0)</f>
      </c>
      <c r="J327" s="333">
        <f>(1+$M$5)^(D327/12)*(H327+IF(AND(F327=1,F328=0),$Q$4,0))</f>
      </c>
      <c r="K327" s="351"/>
      <c r="L327" s="333">
        <f>K327+J327</f>
      </c>
      <c r="M327" s="170"/>
      <c r="N327" s="7"/>
      <c r="O327" s="1"/>
      <c r="P327" s="331">
        <f>D327</f>
      </c>
      <c r="Q327" s="169"/>
      <c r="R327" s="1"/>
      <c r="S327" s="217">
        <f>(1+$M$5)^(D327/12)*(IF(E327=$C$6,$Q$4+$H$5*12,0))</f>
      </c>
      <c r="T327" s="217">
        <f>(1+$M$5)^(D327/12)*(IF(YEAR(E327)&gt;YEAR($C$6),L327,0)+IF(E327=$C$6,$H$5*12+$Q$4,0))</f>
      </c>
    </row>
    <row x14ac:dyDescent="0.25" r="328" customHeight="1" ht="18.75">
      <c r="A328" s="1"/>
      <c r="B328" s="7"/>
      <c r="C328" s="170"/>
      <c r="D328" s="331">
        <v>321</v>
      </c>
      <c r="E328" s="544">
        <f>+DATE(YEAR(E327),MONTH(E327)-1,DAY(E327))</f>
        <v>25569.041666666668</v>
      </c>
      <c r="F328" s="333">
        <f>IF(DATE(YEAR($B$6),MONTH($B$6)+1,DAY(1))=E328,1,IF(MONTH(E328)=1,F329*(1+$F$5),F329))</f>
      </c>
      <c r="G328" s="333">
        <f>IF('Simulador - 1º Pilar'!$E$99="Sí",IF('Aportaciones Flex'!$B$13&lt;'Aportaciones Flex'!E328,0,F328*$B$8/12),F328*$B$8/12)</f>
      </c>
      <c r="H328" s="333">
        <f>IF(G328&gt;0,1,0)*$H$5*IF(AND($I$5="NO",YEAR(E328)=YEAR($B$6)+1),1,IF($I$5="SI",1,0))</f>
      </c>
      <c r="I328" s="217">
        <f>(1+$M$5)^(D328/12)*(H328*(12-IF(MONTH(E329)=12,0,MONTH(E329)))+IF(AND(F328=1,F329=0),$Q$4,0))*IF(AND(F328=1,F329=0),1,0)</f>
      </c>
      <c r="J328" s="333">
        <f>(1+$M$5)^(D328/12)*(H328+IF(AND(F328=1,F329=0),$Q$4,0))</f>
      </c>
      <c r="K328" s="351"/>
      <c r="L328" s="333">
        <f>K328+J328</f>
      </c>
      <c r="M328" s="170"/>
      <c r="N328" s="7"/>
      <c r="O328" s="1"/>
      <c r="P328" s="331">
        <f>D328</f>
      </c>
      <c r="Q328" s="169"/>
      <c r="R328" s="1"/>
      <c r="S328" s="217">
        <f>(1+$M$5)^(D328/12)*(IF(E328=$C$6,$Q$4+$H$5*12,0))</f>
      </c>
      <c r="T328" s="217">
        <f>(1+$M$5)^(D328/12)*(IF(YEAR(E328)&gt;YEAR($C$6),L328,0)+IF(E328=$C$6,$H$5*12+$Q$4,0))</f>
      </c>
    </row>
    <row x14ac:dyDescent="0.25" r="329" customHeight="1" ht="18.75">
      <c r="A329" s="1"/>
      <c r="B329" s="7"/>
      <c r="C329" s="170"/>
      <c r="D329" s="331">
        <v>322</v>
      </c>
      <c r="E329" s="544">
        <f>+DATE(YEAR(E328),MONTH(E328)-1,DAY(E328))</f>
        <v>25569.041666666668</v>
      </c>
      <c r="F329" s="333">
        <f>IF(DATE(YEAR($B$6),MONTH($B$6)+1,DAY(1))=E329,1,IF(MONTH(E329)=1,F330*(1+$F$5),F330))</f>
      </c>
      <c r="G329" s="333">
        <f>IF('Simulador - 1º Pilar'!$E$99="Sí",IF('Aportaciones Flex'!$B$13&lt;'Aportaciones Flex'!E329,0,F329*$B$8/12),F329*$B$8/12)</f>
      </c>
      <c r="H329" s="333">
        <f>IF(G329&gt;0,1,0)*$H$5*IF(AND($I$5="NO",YEAR(E329)=YEAR($B$6)+1),1,IF($I$5="SI",1,0))</f>
      </c>
      <c r="I329" s="217">
        <f>(1+$M$5)^(D329/12)*(H329*(12-IF(MONTH(E330)=12,0,MONTH(E330)))+IF(AND(F329=1,F330=0),$Q$4,0))*IF(AND(F329=1,F330=0),1,0)</f>
      </c>
      <c r="J329" s="333">
        <f>(1+$M$5)^(D329/12)*(H329+IF(AND(F329=1,F330=0),$Q$4,0))</f>
      </c>
      <c r="K329" s="351"/>
      <c r="L329" s="333">
        <f>K329+J329</f>
      </c>
      <c r="M329" s="170"/>
      <c r="N329" s="7"/>
      <c r="O329" s="1"/>
      <c r="P329" s="331">
        <f>D329</f>
      </c>
      <c r="Q329" s="169"/>
      <c r="R329" s="1"/>
      <c r="S329" s="217">
        <f>(1+$M$5)^(D329/12)*(IF(E329=$C$6,$Q$4+$H$5*12,0))</f>
      </c>
      <c r="T329" s="217">
        <f>(1+$M$5)^(D329/12)*(IF(YEAR(E329)&gt;YEAR($C$6),L329,0)+IF(E329=$C$6,$H$5*12+$Q$4,0))</f>
      </c>
    </row>
    <row x14ac:dyDescent="0.25" r="330" customHeight="1" ht="18.75">
      <c r="A330" s="1"/>
      <c r="B330" s="7"/>
      <c r="C330" s="170"/>
      <c r="D330" s="331">
        <v>323</v>
      </c>
      <c r="E330" s="544">
        <f>+DATE(YEAR(E329),MONTH(E329)-1,DAY(E329))</f>
        <v>25569.041666666668</v>
      </c>
      <c r="F330" s="333">
        <f>IF(DATE(YEAR($B$6),MONTH($B$6)+1,DAY(1))=E330,1,IF(MONTH(E330)=1,F331*(1+$F$5),F331))</f>
      </c>
      <c r="G330" s="333">
        <f>IF('Simulador - 1º Pilar'!$E$99="Sí",IF('Aportaciones Flex'!$B$13&lt;'Aportaciones Flex'!E330,0,F330*$B$8/12),F330*$B$8/12)</f>
      </c>
      <c r="H330" s="333">
        <f>IF(G330&gt;0,1,0)*$H$5*IF(AND($I$5="NO",YEAR(E330)=YEAR($B$6)+1),1,IF($I$5="SI",1,0))</f>
      </c>
      <c r="I330" s="217">
        <f>(1+$M$5)^(D330/12)*(H330*(12-IF(MONTH(E331)=12,0,MONTH(E331)))+IF(AND(F330=1,F331=0),$Q$4,0))*IF(AND(F330=1,F331=0),1,0)</f>
      </c>
      <c r="J330" s="333">
        <f>(1+$M$5)^(D330/12)*(H330+IF(AND(F330=1,F331=0),$Q$4,0))</f>
      </c>
      <c r="K330" s="351"/>
      <c r="L330" s="333">
        <f>K330+J330</f>
      </c>
      <c r="M330" s="170"/>
      <c r="N330" s="7"/>
      <c r="O330" s="1"/>
      <c r="P330" s="331">
        <f>D330</f>
      </c>
      <c r="Q330" s="169"/>
      <c r="R330" s="1"/>
      <c r="S330" s="217">
        <f>(1+$M$5)^(D330/12)*(IF(E330=$C$6,$Q$4+$H$5*12,0))</f>
      </c>
      <c r="T330" s="217">
        <f>(1+$M$5)^(D330/12)*(IF(YEAR(E330)&gt;YEAR($C$6),L330,0)+IF(E330=$C$6,$H$5*12+$Q$4,0))</f>
      </c>
    </row>
    <row x14ac:dyDescent="0.25" r="331" customHeight="1" ht="18.75">
      <c r="A331" s="1"/>
      <c r="B331" s="7"/>
      <c r="C331" s="170"/>
      <c r="D331" s="331">
        <v>324</v>
      </c>
      <c r="E331" s="544">
        <f>+DATE(YEAR(E330),MONTH(E330)-1,DAY(E330))</f>
        <v>25569.041666666668</v>
      </c>
      <c r="F331" s="333">
        <f>IF(DATE(YEAR($B$6),MONTH($B$6)+1,DAY(1))=E331,1,IF(MONTH(E331)=1,F332*(1+$F$5),F332))</f>
      </c>
      <c r="G331" s="333">
        <f>IF('Simulador - 1º Pilar'!$E$99="Sí",IF('Aportaciones Flex'!$B$13&lt;'Aportaciones Flex'!E331,0,F331*$B$8/12),F331*$B$8/12)</f>
      </c>
      <c r="H331" s="333">
        <f>IF(G331&gt;0,1,0)*$H$5*IF(AND($I$5="NO",YEAR(E331)=YEAR($B$6)+1),1,IF($I$5="SI",1,0))</f>
      </c>
      <c r="I331" s="217">
        <f>(1+$M$5)^(D331/12)*(H331*(12-IF(MONTH(E332)=12,0,MONTH(E332)))+IF(AND(F331=1,F332=0),$Q$4,0))*IF(AND(F331=1,F332=0),1,0)</f>
      </c>
      <c r="J331" s="333">
        <f>(1+$M$5)^(D331/12)*(H331+IF(AND(F331=1,F332=0),$Q$4,0))</f>
      </c>
      <c r="K331" s="351"/>
      <c r="L331" s="333">
        <f>K331+J331</f>
      </c>
      <c r="M331" s="170"/>
      <c r="N331" s="7"/>
      <c r="O331" s="1"/>
      <c r="P331" s="331">
        <f>D331</f>
      </c>
      <c r="Q331" s="169"/>
      <c r="R331" s="1"/>
      <c r="S331" s="217">
        <f>(1+$M$5)^(D331/12)*(IF(E331=$C$6,$Q$4+$H$5*12,0))</f>
      </c>
      <c r="T331" s="217">
        <f>(1+$M$5)^(D331/12)*(IF(YEAR(E331)&gt;YEAR($C$6),L331,0)+IF(E331=$C$6,$H$5*12+$Q$4,0))</f>
      </c>
    </row>
    <row x14ac:dyDescent="0.25" r="332" customHeight="1" ht="18.75">
      <c r="A332" s="1"/>
      <c r="B332" s="7"/>
      <c r="C332" s="170"/>
      <c r="D332" s="331">
        <v>325</v>
      </c>
      <c r="E332" s="544">
        <f>+DATE(YEAR(E331),MONTH(E331)-1,DAY(E331))</f>
        <v>25569.041666666668</v>
      </c>
      <c r="F332" s="333">
        <f>IF(DATE(YEAR($B$6),MONTH($B$6)+1,DAY(1))=E332,1,IF(MONTH(E332)=1,F333*(1+$F$5),F333))</f>
      </c>
      <c r="G332" s="333">
        <f>IF('Simulador - 1º Pilar'!$E$99="Sí",IF('Aportaciones Flex'!$B$13&lt;'Aportaciones Flex'!E332,0,F332*$B$8/12),F332*$B$8/12)</f>
      </c>
      <c r="H332" s="333">
        <f>IF(G332&gt;0,1,0)*$H$5*IF(AND($I$5="NO",YEAR(E332)=YEAR($B$6)+1),1,IF($I$5="SI",1,0))</f>
      </c>
      <c r="I332" s="217">
        <f>(1+$M$5)^(D332/12)*(H332*(12-IF(MONTH(E333)=12,0,MONTH(E333)))+IF(AND(F332=1,F333=0),$Q$4,0))*IF(AND(F332=1,F333=0),1,0)</f>
      </c>
      <c r="J332" s="333">
        <f>(1+$M$5)^(D332/12)*(H332+IF(AND(F332=1,F333=0),$Q$4,0))</f>
      </c>
      <c r="K332" s="351"/>
      <c r="L332" s="333">
        <f>K332+J332</f>
      </c>
      <c r="M332" s="170"/>
      <c r="N332" s="7"/>
      <c r="O332" s="1"/>
      <c r="P332" s="331">
        <f>D332</f>
      </c>
      <c r="Q332" s="169"/>
      <c r="R332" s="1"/>
      <c r="S332" s="217">
        <f>(1+$M$5)^(D332/12)*(IF(E332=$C$6,$Q$4+$H$5*12,0))</f>
      </c>
      <c r="T332" s="217">
        <f>(1+$M$5)^(D332/12)*(IF(YEAR(E332)&gt;YEAR($C$6),L332,0)+IF(E332=$C$6,$H$5*12+$Q$4,0))</f>
      </c>
    </row>
    <row x14ac:dyDescent="0.25" r="333" customHeight="1" ht="18.75">
      <c r="A333" s="1"/>
      <c r="B333" s="7"/>
      <c r="C333" s="170"/>
      <c r="D333" s="331">
        <v>326</v>
      </c>
      <c r="E333" s="544">
        <f>+DATE(YEAR(E332),MONTH(E332)-1,DAY(E332))</f>
        <v>25569.041666666668</v>
      </c>
      <c r="F333" s="333">
        <f>IF(DATE(YEAR($B$6),MONTH($B$6)+1,DAY(1))=E333,1,IF(MONTH(E333)=1,F334*(1+$F$5),F334))</f>
      </c>
      <c r="G333" s="333">
        <f>IF('Simulador - 1º Pilar'!$E$99="Sí",IF('Aportaciones Flex'!$B$13&lt;'Aportaciones Flex'!E333,0,F333*$B$8/12),F333*$B$8/12)</f>
      </c>
      <c r="H333" s="333">
        <f>IF(G333&gt;0,1,0)*$H$5*IF(AND($I$5="NO",YEAR(E333)=YEAR($B$6)+1),1,IF($I$5="SI",1,0))</f>
      </c>
      <c r="I333" s="217">
        <f>(1+$M$5)^(D333/12)*(H333*(12-IF(MONTH(E334)=12,0,MONTH(E334)))+IF(AND(F333=1,F334=0),$Q$4,0))*IF(AND(F333=1,F334=0),1,0)</f>
      </c>
      <c r="J333" s="333">
        <f>(1+$M$5)^(D333/12)*(H333+IF(AND(F333=1,F334=0),$Q$4,0))</f>
      </c>
      <c r="K333" s="351"/>
      <c r="L333" s="333">
        <f>K333+J333</f>
      </c>
      <c r="M333" s="170"/>
      <c r="N333" s="7"/>
      <c r="O333" s="1"/>
      <c r="P333" s="331">
        <f>D333</f>
      </c>
      <c r="Q333" s="169"/>
      <c r="R333" s="1"/>
      <c r="S333" s="217">
        <f>(1+$M$5)^(D333/12)*(IF(E333=$C$6,$Q$4+$H$5*12,0))</f>
      </c>
      <c r="T333" s="217">
        <f>(1+$M$5)^(D333/12)*(IF(YEAR(E333)&gt;YEAR($C$6),L333,0)+IF(E333=$C$6,$H$5*12+$Q$4,0))</f>
      </c>
    </row>
    <row x14ac:dyDescent="0.25" r="334" customHeight="1" ht="18.75">
      <c r="A334" s="1"/>
      <c r="B334" s="7"/>
      <c r="C334" s="170"/>
      <c r="D334" s="331">
        <v>327</v>
      </c>
      <c r="E334" s="544">
        <f>+DATE(YEAR(E333),MONTH(E333)-1,DAY(E333))</f>
        <v>25569.041666666668</v>
      </c>
      <c r="F334" s="333">
        <f>IF(DATE(YEAR($B$6),MONTH($B$6)+1,DAY(1))=E334,1,IF(MONTH(E334)=1,F335*(1+$F$5),F335))</f>
      </c>
      <c r="G334" s="333">
        <f>IF('Simulador - 1º Pilar'!$E$99="Sí",IF('Aportaciones Flex'!$B$13&lt;'Aportaciones Flex'!E334,0,F334*$B$8/12),F334*$B$8/12)</f>
      </c>
      <c r="H334" s="333">
        <f>IF(G334&gt;0,1,0)*$H$5*IF(AND($I$5="NO",YEAR(E334)=YEAR($B$6)+1),1,IF($I$5="SI",1,0))</f>
      </c>
      <c r="I334" s="217">
        <f>(1+$M$5)^(D334/12)*(H334*(12-IF(MONTH(E335)=12,0,MONTH(E335)))+IF(AND(F334=1,F335=0),$Q$4,0))*IF(AND(F334=1,F335=0),1,0)</f>
      </c>
      <c r="J334" s="333">
        <f>(1+$M$5)^(D334/12)*(H334+IF(AND(F334=1,F335=0),$Q$4,0))</f>
      </c>
      <c r="K334" s="351"/>
      <c r="L334" s="333">
        <f>K334+J334</f>
      </c>
      <c r="M334" s="170"/>
      <c r="N334" s="7"/>
      <c r="O334" s="1"/>
      <c r="P334" s="331">
        <f>D334</f>
      </c>
      <c r="Q334" s="169"/>
      <c r="R334" s="1"/>
      <c r="S334" s="217">
        <f>(1+$M$5)^(D334/12)*(IF(E334=$C$6,$Q$4+$H$5*12,0))</f>
      </c>
      <c r="T334" s="217">
        <f>(1+$M$5)^(D334/12)*(IF(YEAR(E334)&gt;YEAR($C$6),L334,0)+IF(E334=$C$6,$H$5*12+$Q$4,0))</f>
      </c>
    </row>
    <row x14ac:dyDescent="0.25" r="335" customHeight="1" ht="18.75">
      <c r="A335" s="1"/>
      <c r="B335" s="7"/>
      <c r="C335" s="170"/>
      <c r="D335" s="331">
        <v>328</v>
      </c>
      <c r="E335" s="544">
        <f>+DATE(YEAR(E334),MONTH(E334)-1,DAY(E334))</f>
        <v>25569.041666666668</v>
      </c>
      <c r="F335" s="333">
        <f>IF(DATE(YEAR($B$6),MONTH($B$6)+1,DAY(1))=E335,1,IF(MONTH(E335)=1,F336*(1+$F$5),F336))</f>
      </c>
      <c r="G335" s="333">
        <f>IF('Simulador - 1º Pilar'!$E$99="Sí",IF('Aportaciones Flex'!$B$13&lt;'Aportaciones Flex'!E335,0,F335*$B$8/12),F335*$B$8/12)</f>
      </c>
      <c r="H335" s="333">
        <f>IF(G335&gt;0,1,0)*$H$5*IF(AND($I$5="NO",YEAR(E335)=YEAR($B$6)+1),1,IF($I$5="SI",1,0))</f>
      </c>
      <c r="I335" s="217">
        <f>(1+$M$5)^(D335/12)*(H335*(12-IF(MONTH(E336)=12,0,MONTH(E336)))+IF(AND(F335=1,F336=0),$Q$4,0))*IF(AND(F335=1,F336=0),1,0)</f>
      </c>
      <c r="J335" s="333">
        <f>(1+$M$5)^(D335/12)*(H335+IF(AND(F335=1,F336=0),$Q$4,0))</f>
      </c>
      <c r="K335" s="351"/>
      <c r="L335" s="333">
        <f>K335+J335</f>
      </c>
      <c r="M335" s="170"/>
      <c r="N335" s="7"/>
      <c r="O335" s="1"/>
      <c r="P335" s="331">
        <f>D335</f>
      </c>
      <c r="Q335" s="169"/>
      <c r="R335" s="1"/>
      <c r="S335" s="217">
        <f>(1+$M$5)^(D335/12)*(IF(E335=$C$6,$Q$4+$H$5*12,0))</f>
      </c>
      <c r="T335" s="217">
        <f>(1+$M$5)^(D335/12)*(IF(YEAR(E335)&gt;YEAR($C$6),L335,0)+IF(E335=$C$6,$H$5*12+$Q$4,0))</f>
      </c>
    </row>
    <row x14ac:dyDescent="0.25" r="336" customHeight="1" ht="18.75">
      <c r="A336" s="1"/>
      <c r="B336" s="7"/>
      <c r="C336" s="170"/>
      <c r="D336" s="331">
        <v>329</v>
      </c>
      <c r="E336" s="544">
        <f>+DATE(YEAR(E335),MONTH(E335)-1,DAY(E335))</f>
        <v>25569.041666666668</v>
      </c>
      <c r="F336" s="333">
        <f>IF(DATE(YEAR($B$6),MONTH($B$6)+1,DAY(1))=E336,1,IF(MONTH(E336)=1,F337*(1+$F$5),F337))</f>
      </c>
      <c r="G336" s="333">
        <f>IF('Simulador - 1º Pilar'!$E$99="Sí",IF('Aportaciones Flex'!$B$13&lt;'Aportaciones Flex'!E336,0,F336*$B$8/12),F336*$B$8/12)</f>
      </c>
      <c r="H336" s="333">
        <f>IF(G336&gt;0,1,0)*$H$5*IF(AND($I$5="NO",YEAR(E336)=YEAR($B$6)+1),1,IF($I$5="SI",1,0))</f>
      </c>
      <c r="I336" s="217">
        <f>(1+$M$5)^(D336/12)*(H336*(12-IF(MONTH(E337)=12,0,MONTH(E337)))+IF(AND(F336=1,F337=0),$Q$4,0))*IF(AND(F336=1,F337=0),1,0)</f>
      </c>
      <c r="J336" s="333">
        <f>(1+$M$5)^(D336/12)*(H336+IF(AND(F336=1,F337=0),$Q$4,0))</f>
      </c>
      <c r="K336" s="351"/>
      <c r="L336" s="333">
        <f>K336+J336</f>
      </c>
      <c r="M336" s="170"/>
      <c r="N336" s="7"/>
      <c r="O336" s="1"/>
      <c r="P336" s="331">
        <f>D336</f>
      </c>
      <c r="Q336" s="169"/>
      <c r="R336" s="1"/>
      <c r="S336" s="217">
        <f>(1+$M$5)^(D336/12)*(IF(E336=$C$6,$Q$4+$H$5*12,0))</f>
      </c>
      <c r="T336" s="217">
        <f>(1+$M$5)^(D336/12)*(IF(YEAR(E336)&gt;YEAR($C$6),L336,0)+IF(E336=$C$6,$H$5*12+$Q$4,0))</f>
      </c>
    </row>
    <row x14ac:dyDescent="0.25" r="337" customHeight="1" ht="18.75">
      <c r="A337" s="1"/>
      <c r="B337" s="7"/>
      <c r="C337" s="170"/>
      <c r="D337" s="331">
        <v>330</v>
      </c>
      <c r="E337" s="544">
        <f>+DATE(YEAR(E336),MONTH(E336)-1,DAY(E336))</f>
        <v>25569.041666666668</v>
      </c>
      <c r="F337" s="333">
        <f>IF(DATE(YEAR($B$6),MONTH($B$6)+1,DAY(1))=E337,1,IF(MONTH(E337)=1,F338*(1+$F$5),F338))</f>
      </c>
      <c r="G337" s="333">
        <f>IF('Simulador - 1º Pilar'!$E$99="Sí",IF('Aportaciones Flex'!$B$13&lt;'Aportaciones Flex'!E337,0,F337*$B$8/12),F337*$B$8/12)</f>
      </c>
      <c r="H337" s="333">
        <f>IF(G337&gt;0,1,0)*$H$5*IF(AND($I$5="NO",YEAR(E337)=YEAR($B$6)+1),1,IF($I$5="SI",1,0))</f>
      </c>
      <c r="I337" s="217">
        <f>(1+$M$5)^(D337/12)*(H337*(12-IF(MONTH(E338)=12,0,MONTH(E338)))+IF(AND(F337=1,F338=0),$Q$4,0))*IF(AND(F337=1,F338=0),1,0)</f>
      </c>
      <c r="J337" s="333">
        <f>(1+$M$5)^(D337/12)*(H337+IF(AND(F337=1,F338=0),$Q$4,0))</f>
      </c>
      <c r="K337" s="351"/>
      <c r="L337" s="333">
        <f>K337+J337</f>
      </c>
      <c r="M337" s="170"/>
      <c r="N337" s="7"/>
      <c r="O337" s="1"/>
      <c r="P337" s="331">
        <f>D337</f>
      </c>
      <c r="Q337" s="169"/>
      <c r="R337" s="1"/>
      <c r="S337" s="217">
        <f>(1+$M$5)^(D337/12)*(IF(E337=$C$6,$Q$4+$H$5*12,0))</f>
      </c>
      <c r="T337" s="217">
        <f>(1+$M$5)^(D337/12)*(IF(YEAR(E337)&gt;YEAR($C$6),L337,0)+IF(E337=$C$6,$H$5*12+$Q$4,0))</f>
      </c>
    </row>
    <row x14ac:dyDescent="0.25" r="338" customHeight="1" ht="18.75">
      <c r="A338" s="1"/>
      <c r="B338" s="7"/>
      <c r="C338" s="170"/>
      <c r="D338" s="331">
        <v>331</v>
      </c>
      <c r="E338" s="544">
        <f>+DATE(YEAR(E337),MONTH(E337)-1,DAY(E337))</f>
        <v>25569.041666666668</v>
      </c>
      <c r="F338" s="333">
        <f>IF(DATE(YEAR($B$6),MONTH($B$6)+1,DAY(1))=E338,1,IF(MONTH(E338)=1,F339*(1+$F$5),F339))</f>
      </c>
      <c r="G338" s="333">
        <f>IF('Simulador - 1º Pilar'!$E$99="Sí",IF('Aportaciones Flex'!$B$13&lt;'Aportaciones Flex'!E338,0,F338*$B$8/12),F338*$B$8/12)</f>
      </c>
      <c r="H338" s="333">
        <f>IF(G338&gt;0,1,0)*$H$5*IF(AND($I$5="NO",YEAR(E338)=YEAR($B$6)+1),1,IF($I$5="SI",1,0))</f>
      </c>
      <c r="I338" s="217">
        <f>(1+$M$5)^(D338/12)*(H338*(12-IF(MONTH(E339)=12,0,MONTH(E339)))+IF(AND(F338=1,F339=0),$Q$4,0))*IF(AND(F338=1,F339=0),1,0)</f>
      </c>
      <c r="J338" s="333">
        <f>(1+$M$5)^(D338/12)*(H338+IF(AND(F338=1,F339=0),$Q$4,0))</f>
      </c>
      <c r="K338" s="351"/>
      <c r="L338" s="333">
        <f>K338+J338</f>
      </c>
      <c r="M338" s="170"/>
      <c r="N338" s="7"/>
      <c r="O338" s="1"/>
      <c r="P338" s="331">
        <f>D338</f>
      </c>
      <c r="Q338" s="169"/>
      <c r="R338" s="1"/>
      <c r="S338" s="217">
        <f>(1+$M$5)^(D338/12)*(IF(E338=$C$6,$Q$4+$H$5*12,0))</f>
      </c>
      <c r="T338" s="217">
        <f>(1+$M$5)^(D338/12)*(IF(YEAR(E338)&gt;YEAR($C$6),L338,0)+IF(E338=$C$6,$H$5*12+$Q$4,0))</f>
      </c>
    </row>
    <row x14ac:dyDescent="0.25" r="339" customHeight="1" ht="18.75">
      <c r="A339" s="1"/>
      <c r="B339" s="7"/>
      <c r="C339" s="170"/>
      <c r="D339" s="331">
        <v>332</v>
      </c>
      <c r="E339" s="544">
        <f>+DATE(YEAR(E338),MONTH(E338)-1,DAY(E338))</f>
        <v>25569.041666666668</v>
      </c>
      <c r="F339" s="333">
        <f>IF(DATE(YEAR($B$6),MONTH($B$6)+1,DAY(1))=E339,1,IF(MONTH(E339)=1,F340*(1+$F$5),F340))</f>
      </c>
      <c r="G339" s="333">
        <f>IF('Simulador - 1º Pilar'!$E$99="Sí",IF('Aportaciones Flex'!$B$13&lt;'Aportaciones Flex'!E339,0,F339*$B$8/12),F339*$B$8/12)</f>
      </c>
      <c r="H339" s="333">
        <f>IF(G339&gt;0,1,0)*$H$5*IF(AND($I$5="NO",YEAR(E339)=YEAR($B$6)+1),1,IF($I$5="SI",1,0))</f>
      </c>
      <c r="I339" s="217">
        <f>(1+$M$5)^(D339/12)*(H339*(12-IF(MONTH(E340)=12,0,MONTH(E340)))+IF(AND(F339=1,F340=0),$Q$4,0))*IF(AND(F339=1,F340=0),1,0)</f>
      </c>
      <c r="J339" s="333">
        <f>(1+$M$5)^(D339/12)*(H339+IF(AND(F339=1,F340=0),$Q$4,0))</f>
      </c>
      <c r="K339" s="351"/>
      <c r="L339" s="333">
        <f>K339+J339</f>
      </c>
      <c r="M339" s="170"/>
      <c r="N339" s="7"/>
      <c r="O339" s="1"/>
      <c r="P339" s="331">
        <f>D339</f>
      </c>
      <c r="Q339" s="169"/>
      <c r="R339" s="1"/>
      <c r="S339" s="217">
        <f>(1+$M$5)^(D339/12)*(IF(E339=$C$6,$Q$4+$H$5*12,0))</f>
      </c>
      <c r="T339" s="217">
        <f>(1+$M$5)^(D339/12)*(IF(YEAR(E339)&gt;YEAR($C$6),L339,0)+IF(E339=$C$6,$H$5*12+$Q$4,0))</f>
      </c>
    </row>
    <row x14ac:dyDescent="0.25" r="340" customHeight="1" ht="18.75">
      <c r="A340" s="1"/>
      <c r="B340" s="7"/>
      <c r="C340" s="170"/>
      <c r="D340" s="331">
        <v>333</v>
      </c>
      <c r="E340" s="544">
        <f>+DATE(YEAR(E339),MONTH(E339)-1,DAY(E339))</f>
        <v>25569.041666666668</v>
      </c>
      <c r="F340" s="333">
        <f>IF(DATE(YEAR($B$6),MONTH($B$6)+1,DAY(1))=E340,1,IF(MONTH(E340)=1,F341*(1+$F$5),F341))</f>
      </c>
      <c r="G340" s="333">
        <f>IF('Simulador - 1º Pilar'!$E$99="Sí",IF('Aportaciones Flex'!$B$13&lt;'Aportaciones Flex'!E340,0,F340*$B$8/12),F340*$B$8/12)</f>
      </c>
      <c r="H340" s="333">
        <f>IF(G340&gt;0,1,0)*$H$5*IF(AND($I$5="NO",YEAR(E340)=YEAR($B$6)+1),1,IF($I$5="SI",1,0))</f>
      </c>
      <c r="I340" s="217">
        <f>(1+$M$5)^(D340/12)*(H340*(12-IF(MONTH(E341)=12,0,MONTH(E341)))+IF(AND(F340=1,F341=0),$Q$4,0))*IF(AND(F340=1,F341=0),1,0)</f>
      </c>
      <c r="J340" s="333">
        <f>(1+$M$5)^(D340/12)*(H340+IF(AND(F340=1,F341=0),$Q$4,0))</f>
      </c>
      <c r="K340" s="351"/>
      <c r="L340" s="333">
        <f>K340+J340</f>
      </c>
      <c r="M340" s="170"/>
      <c r="N340" s="7"/>
      <c r="O340" s="1"/>
      <c r="P340" s="331">
        <f>D340</f>
      </c>
      <c r="Q340" s="169"/>
      <c r="R340" s="1"/>
      <c r="S340" s="217">
        <f>(1+$M$5)^(D340/12)*(IF(E340=$C$6,$Q$4+$H$5*12,0))</f>
      </c>
      <c r="T340" s="217">
        <f>(1+$M$5)^(D340/12)*(IF(YEAR(E340)&gt;YEAR($C$6),L340,0)+IF(E340=$C$6,$H$5*12+$Q$4,0))</f>
      </c>
    </row>
    <row x14ac:dyDescent="0.25" r="341" customHeight="1" ht="18.75">
      <c r="A341" s="1"/>
      <c r="B341" s="7"/>
      <c r="C341" s="170"/>
      <c r="D341" s="331">
        <v>334</v>
      </c>
      <c r="E341" s="544">
        <f>+DATE(YEAR(E340),MONTH(E340)-1,DAY(E340))</f>
        <v>25569.041666666668</v>
      </c>
      <c r="F341" s="333">
        <f>IF(DATE(YEAR($B$6),MONTH($B$6)+1,DAY(1))=E341,1,IF(MONTH(E341)=1,F342*(1+$F$5),F342))</f>
      </c>
      <c r="G341" s="333">
        <f>IF('Simulador - 1º Pilar'!$E$99="Sí",IF('Aportaciones Flex'!$B$13&lt;'Aportaciones Flex'!E341,0,F341*$B$8/12),F341*$B$8/12)</f>
      </c>
      <c r="H341" s="333">
        <f>IF(G341&gt;0,1,0)*$H$5*IF(AND($I$5="NO",YEAR(E341)=YEAR($B$6)+1),1,IF($I$5="SI",1,0))</f>
      </c>
      <c r="I341" s="217">
        <f>(1+$M$5)^(D341/12)*(H341*(12-IF(MONTH(E342)=12,0,MONTH(E342)))+IF(AND(F341=1,F342=0),$Q$4,0))*IF(AND(F341=1,F342=0),1,0)</f>
      </c>
      <c r="J341" s="333">
        <f>(1+$M$5)^(D341/12)*(H341+IF(AND(F341=1,F342=0),$Q$4,0))</f>
      </c>
      <c r="K341" s="351"/>
      <c r="L341" s="333">
        <f>K341+J341</f>
      </c>
      <c r="M341" s="170"/>
      <c r="N341" s="7"/>
      <c r="O341" s="1"/>
      <c r="P341" s="331">
        <f>D341</f>
      </c>
      <c r="Q341" s="169"/>
      <c r="R341" s="1"/>
      <c r="S341" s="217">
        <f>(1+$M$5)^(D341/12)*(IF(E341=$C$6,$Q$4+$H$5*12,0))</f>
      </c>
      <c r="T341" s="217">
        <f>(1+$M$5)^(D341/12)*(IF(YEAR(E341)&gt;YEAR($C$6),L341,0)+IF(E341=$C$6,$H$5*12+$Q$4,0))</f>
      </c>
    </row>
    <row x14ac:dyDescent="0.25" r="342" customHeight="1" ht="18.75">
      <c r="A342" s="1"/>
      <c r="B342" s="7"/>
      <c r="C342" s="170"/>
      <c r="D342" s="331">
        <v>335</v>
      </c>
      <c r="E342" s="544">
        <f>+DATE(YEAR(E341),MONTH(E341)-1,DAY(E341))</f>
        <v>25569.041666666668</v>
      </c>
      <c r="F342" s="333">
        <f>IF(DATE(YEAR($B$6),MONTH($B$6)+1,DAY(1))=E342,1,IF(MONTH(E342)=1,F343*(1+$F$5),F343))</f>
      </c>
      <c r="G342" s="333">
        <f>IF('Simulador - 1º Pilar'!$E$99="Sí",IF('Aportaciones Flex'!$B$13&lt;'Aportaciones Flex'!E342,0,F342*$B$8/12),F342*$B$8/12)</f>
      </c>
      <c r="H342" s="333">
        <f>IF(G342&gt;0,1,0)*$H$5*IF(AND($I$5="NO",YEAR(E342)=YEAR($B$6)+1),1,IF($I$5="SI",1,0))</f>
      </c>
      <c r="I342" s="217">
        <f>(1+$M$5)^(D342/12)*(H342*(12-IF(MONTH(E343)=12,0,MONTH(E343)))+IF(AND(F342=1,F343=0),$Q$4,0))*IF(AND(F342=1,F343=0),1,0)</f>
      </c>
      <c r="J342" s="333">
        <f>(1+$M$5)^(D342/12)*(H342+IF(AND(F342=1,F343=0),$Q$4,0))</f>
      </c>
      <c r="K342" s="351"/>
      <c r="L342" s="333">
        <f>K342+J342</f>
      </c>
      <c r="M342" s="170"/>
      <c r="N342" s="7"/>
      <c r="O342" s="1"/>
      <c r="P342" s="331">
        <f>D342</f>
      </c>
      <c r="Q342" s="169"/>
      <c r="R342" s="1"/>
      <c r="S342" s="217">
        <f>(1+$M$5)^(D342/12)*(IF(E342=$C$6,$Q$4+$H$5*12,0))</f>
      </c>
      <c r="T342" s="217">
        <f>(1+$M$5)^(D342/12)*(IF(YEAR(E342)&gt;YEAR($C$6),L342,0)+IF(E342=$C$6,$H$5*12+$Q$4,0))</f>
      </c>
    </row>
    <row x14ac:dyDescent="0.25" r="343" customHeight="1" ht="18.75">
      <c r="A343" s="1"/>
      <c r="B343" s="7"/>
      <c r="C343" s="170"/>
      <c r="D343" s="331">
        <v>336</v>
      </c>
      <c r="E343" s="544">
        <f>+DATE(YEAR(E342),MONTH(E342)-1,DAY(E342))</f>
        <v>25569.041666666668</v>
      </c>
      <c r="F343" s="333">
        <f>IF(DATE(YEAR($B$6),MONTH($B$6)+1,DAY(1))=E343,1,IF(MONTH(E343)=1,F344*(1+$F$5),F344))</f>
      </c>
      <c r="G343" s="333">
        <f>IF('Simulador - 1º Pilar'!$E$99="Sí",IF('Aportaciones Flex'!$B$13&lt;'Aportaciones Flex'!E343,0,F343*$B$8/12),F343*$B$8/12)</f>
      </c>
      <c r="H343" s="333">
        <f>IF(G343&gt;0,1,0)*$H$5*IF(AND($I$5="NO",YEAR(E343)=YEAR($B$6)+1),1,IF($I$5="SI",1,0))</f>
      </c>
      <c r="I343" s="217">
        <f>(1+$M$5)^(D343/12)*(H343*(12-IF(MONTH(E344)=12,0,MONTH(E344)))+IF(AND(F343=1,F344=0),$Q$4,0))*IF(AND(F343=1,F344=0),1,0)</f>
      </c>
      <c r="J343" s="333">
        <f>(1+$M$5)^(D343/12)*(H343+IF(AND(F343=1,F344=0),$Q$4,0))</f>
      </c>
      <c r="K343" s="351"/>
      <c r="L343" s="333">
        <f>K343+J343</f>
      </c>
      <c r="M343" s="170"/>
      <c r="N343" s="7"/>
      <c r="O343" s="1"/>
      <c r="P343" s="331">
        <f>D343</f>
      </c>
      <c r="Q343" s="169"/>
      <c r="R343" s="1"/>
      <c r="S343" s="217">
        <f>(1+$M$5)^(D343/12)*(IF(E343=$C$6,$Q$4+$H$5*12,0))</f>
      </c>
      <c r="T343" s="217">
        <f>(1+$M$5)^(D343/12)*(IF(YEAR(E343)&gt;YEAR($C$6),L343,0)+IF(E343=$C$6,$H$5*12+$Q$4,0))</f>
      </c>
    </row>
    <row x14ac:dyDescent="0.25" r="344" customHeight="1" ht="18.75">
      <c r="A344" s="1"/>
      <c r="B344" s="7"/>
      <c r="C344" s="170"/>
      <c r="D344" s="331">
        <v>337</v>
      </c>
      <c r="E344" s="544">
        <f>+DATE(YEAR(E343),MONTH(E343)-1,DAY(E343))</f>
        <v>25569.041666666668</v>
      </c>
      <c r="F344" s="333">
        <f>IF(DATE(YEAR($B$6),MONTH($B$6)+1,DAY(1))=E344,1,IF(MONTH(E344)=1,F345*(1+$F$5),F345))</f>
      </c>
      <c r="G344" s="333">
        <f>IF('Simulador - 1º Pilar'!$E$99="Sí",IF('Aportaciones Flex'!$B$13&lt;'Aportaciones Flex'!E344,0,F344*$B$8/12),F344*$B$8/12)</f>
      </c>
      <c r="H344" s="333">
        <f>IF(G344&gt;0,1,0)*$H$5*IF(AND($I$5="NO",YEAR(E344)=YEAR($B$6)+1),1,IF($I$5="SI",1,0))</f>
      </c>
      <c r="I344" s="217">
        <f>(1+$M$5)^(D344/12)*(H344*(12-IF(MONTH(E345)=12,0,MONTH(E345)))+IF(AND(F344=1,F345=0),$Q$4,0))*IF(AND(F344=1,F345=0),1,0)</f>
      </c>
      <c r="J344" s="333">
        <f>(1+$M$5)^(D344/12)*(H344+IF(AND(F344=1,F345=0),$Q$4,0))</f>
      </c>
      <c r="K344" s="351"/>
      <c r="L344" s="333">
        <f>K344+J344</f>
      </c>
      <c r="M344" s="170"/>
      <c r="N344" s="7"/>
      <c r="O344" s="1"/>
      <c r="P344" s="331">
        <f>D344</f>
      </c>
      <c r="Q344" s="169"/>
      <c r="R344" s="1"/>
      <c r="S344" s="217">
        <f>(1+$M$5)^(D344/12)*(IF(E344=$C$6,$Q$4+$H$5*12,0))</f>
      </c>
      <c r="T344" s="217">
        <f>(1+$M$5)^(D344/12)*(IF(YEAR(E344)&gt;YEAR($C$6),L344,0)+IF(E344=$C$6,$H$5*12+$Q$4,0))</f>
      </c>
    </row>
    <row x14ac:dyDescent="0.25" r="345" customHeight="1" ht="18.75">
      <c r="A345" s="1"/>
      <c r="B345" s="7"/>
      <c r="C345" s="170"/>
      <c r="D345" s="331">
        <v>338</v>
      </c>
      <c r="E345" s="544">
        <f>+DATE(YEAR(E344),MONTH(E344)-1,DAY(E344))</f>
        <v>25569.041666666668</v>
      </c>
      <c r="F345" s="333">
        <f>IF(DATE(YEAR($B$6),MONTH($B$6)+1,DAY(1))=E345,1,IF(MONTH(E345)=1,F346*(1+$F$5),F346))</f>
      </c>
      <c r="G345" s="333">
        <f>IF('Simulador - 1º Pilar'!$E$99="Sí",IF('Aportaciones Flex'!$B$13&lt;'Aportaciones Flex'!E345,0,F345*$B$8/12),F345*$B$8/12)</f>
      </c>
      <c r="H345" s="333">
        <f>IF(G345&gt;0,1,0)*$H$5*IF(AND($I$5="NO",YEAR(E345)=YEAR($B$6)+1),1,IF($I$5="SI",1,0))</f>
      </c>
      <c r="I345" s="217">
        <f>(1+$M$5)^(D345/12)*(H345*(12-IF(MONTH(E346)=12,0,MONTH(E346)))+IF(AND(F345=1,F346=0),$Q$4,0))*IF(AND(F345=1,F346=0),1,0)</f>
      </c>
      <c r="J345" s="333">
        <f>(1+$M$5)^(D345/12)*(H345+IF(AND(F345=1,F346=0),$Q$4,0))</f>
      </c>
      <c r="K345" s="351"/>
      <c r="L345" s="333">
        <f>K345+J345</f>
      </c>
      <c r="M345" s="170"/>
      <c r="N345" s="7"/>
      <c r="O345" s="1"/>
      <c r="P345" s="331">
        <f>D345</f>
      </c>
      <c r="Q345" s="169"/>
      <c r="R345" s="1"/>
      <c r="S345" s="217">
        <f>(1+$M$5)^(D345/12)*(IF(E345=$C$6,$Q$4+$H$5*12,0))</f>
      </c>
      <c r="T345" s="217">
        <f>(1+$M$5)^(D345/12)*(IF(YEAR(E345)&gt;YEAR($C$6),L345,0)+IF(E345=$C$6,$H$5*12+$Q$4,0))</f>
      </c>
    </row>
    <row x14ac:dyDescent="0.25" r="346" customHeight="1" ht="18.75">
      <c r="A346" s="1"/>
      <c r="B346" s="7"/>
      <c r="C346" s="170"/>
      <c r="D346" s="331">
        <v>339</v>
      </c>
      <c r="E346" s="544">
        <f>+DATE(YEAR(E345),MONTH(E345)-1,DAY(E345))</f>
        <v>25569.041666666668</v>
      </c>
      <c r="F346" s="333">
        <f>IF(DATE(YEAR($B$6),MONTH($B$6)+1,DAY(1))=E346,1,IF(MONTH(E346)=1,F347*(1+$F$5),F347))</f>
      </c>
      <c r="G346" s="333">
        <f>IF('Simulador - 1º Pilar'!$E$99="Sí",IF('Aportaciones Flex'!$B$13&lt;'Aportaciones Flex'!E346,0,F346*$B$8/12),F346*$B$8/12)</f>
      </c>
      <c r="H346" s="333">
        <f>IF(G346&gt;0,1,0)*$H$5*IF(AND($I$5="NO",YEAR(E346)=YEAR($B$6)+1),1,IF($I$5="SI",1,0))</f>
      </c>
      <c r="I346" s="217">
        <f>(1+$M$5)^(D346/12)*(H346*(12-IF(MONTH(E347)=12,0,MONTH(E347)))+IF(AND(F346=1,F347=0),$Q$4,0))*IF(AND(F346=1,F347=0),1,0)</f>
      </c>
      <c r="J346" s="333">
        <f>(1+$M$5)^(D346/12)*(H346+IF(AND(F346=1,F347=0),$Q$4,0))</f>
      </c>
      <c r="K346" s="351"/>
      <c r="L346" s="333">
        <f>K346+J346</f>
      </c>
      <c r="M346" s="170"/>
      <c r="N346" s="7"/>
      <c r="O346" s="1"/>
      <c r="P346" s="331">
        <f>D346</f>
      </c>
      <c r="Q346" s="169"/>
      <c r="R346" s="1"/>
      <c r="S346" s="217">
        <f>(1+$M$5)^(D346/12)*(IF(E346=$C$6,$Q$4+$H$5*12,0))</f>
      </c>
      <c r="T346" s="217">
        <f>(1+$M$5)^(D346/12)*(IF(YEAR(E346)&gt;YEAR($C$6),L346,0)+IF(E346=$C$6,$H$5*12+$Q$4,0))</f>
      </c>
    </row>
    <row x14ac:dyDescent="0.25" r="347" customHeight="1" ht="18.75">
      <c r="A347" s="1"/>
      <c r="B347" s="7"/>
      <c r="C347" s="170"/>
      <c r="D347" s="331">
        <v>340</v>
      </c>
      <c r="E347" s="544">
        <f>+DATE(YEAR(E346),MONTH(E346)-1,DAY(E346))</f>
        <v>25569.041666666668</v>
      </c>
      <c r="F347" s="333">
        <f>IF(DATE(YEAR($B$6),MONTH($B$6)+1,DAY(1))=E347,1,IF(MONTH(E347)=1,F348*(1+$F$5),F348))</f>
      </c>
      <c r="G347" s="333">
        <f>IF('Simulador - 1º Pilar'!$E$99="Sí",IF('Aportaciones Flex'!$B$13&lt;'Aportaciones Flex'!E347,0,F347*$B$8/12),F347*$B$8/12)</f>
      </c>
      <c r="H347" s="333">
        <f>IF(G347&gt;0,1,0)*$H$5*IF(AND($I$5="NO",YEAR(E347)=YEAR($B$6)+1),1,IF($I$5="SI",1,0))</f>
      </c>
      <c r="I347" s="217">
        <f>(1+$M$5)^(D347/12)*(H347*(12-IF(MONTH(E348)=12,0,MONTH(E348)))+IF(AND(F347=1,F348=0),$Q$4,0))*IF(AND(F347=1,F348=0),1,0)</f>
      </c>
      <c r="J347" s="333">
        <f>(1+$M$5)^(D347/12)*(H347+IF(AND(F347=1,F348=0),$Q$4,0))</f>
      </c>
      <c r="K347" s="351"/>
      <c r="L347" s="333">
        <f>K347+J347</f>
      </c>
      <c r="M347" s="170"/>
      <c r="N347" s="7"/>
      <c r="O347" s="1"/>
      <c r="P347" s="331">
        <f>D347</f>
      </c>
      <c r="Q347" s="169"/>
      <c r="R347" s="1"/>
      <c r="S347" s="217">
        <f>(1+$M$5)^(D347/12)*(IF(E347=$C$6,$Q$4+$H$5*12,0))</f>
      </c>
      <c r="T347" s="217">
        <f>(1+$M$5)^(D347/12)*(IF(YEAR(E347)&gt;YEAR($C$6),L347,0)+IF(E347=$C$6,$H$5*12+$Q$4,0))</f>
      </c>
    </row>
    <row x14ac:dyDescent="0.25" r="348" customHeight="1" ht="18.75">
      <c r="A348" s="1"/>
      <c r="B348" s="7"/>
      <c r="C348" s="170"/>
      <c r="D348" s="331">
        <v>341</v>
      </c>
      <c r="E348" s="544">
        <f>+DATE(YEAR(E347),MONTH(E347)-1,DAY(E347))</f>
        <v>25569.041666666668</v>
      </c>
      <c r="F348" s="333">
        <f>IF(DATE(YEAR($B$6),MONTH($B$6)+1,DAY(1))=E348,1,IF(MONTH(E348)=1,F349*(1+$F$5),F349))</f>
      </c>
      <c r="G348" s="333">
        <f>IF('Simulador - 1º Pilar'!$E$99="Sí",IF('Aportaciones Flex'!$B$13&lt;'Aportaciones Flex'!E348,0,F348*$B$8/12),F348*$B$8/12)</f>
      </c>
      <c r="H348" s="333">
        <f>IF(G348&gt;0,1,0)*$H$5*IF(AND($I$5="NO",YEAR(E348)=YEAR($B$6)+1),1,IF($I$5="SI",1,0))</f>
      </c>
      <c r="I348" s="217">
        <f>(1+$M$5)^(D348/12)*(H348*(12-IF(MONTH(E349)=12,0,MONTH(E349)))+IF(AND(F348=1,F349=0),$Q$4,0))*IF(AND(F348=1,F349=0),1,0)</f>
      </c>
      <c r="J348" s="333">
        <f>(1+$M$5)^(D348/12)*(H348+IF(AND(F348=1,F349=0),$Q$4,0))</f>
      </c>
      <c r="K348" s="351"/>
      <c r="L348" s="333">
        <f>K348+J348</f>
      </c>
      <c r="M348" s="170"/>
      <c r="N348" s="7"/>
      <c r="O348" s="1"/>
      <c r="P348" s="331">
        <f>D348</f>
      </c>
      <c r="Q348" s="169"/>
      <c r="R348" s="1"/>
      <c r="S348" s="217">
        <f>(1+$M$5)^(D348/12)*(IF(E348=$C$6,$Q$4+$H$5*12,0))</f>
      </c>
      <c r="T348" s="217">
        <f>(1+$M$5)^(D348/12)*(IF(YEAR(E348)&gt;YEAR($C$6),L348,0)+IF(E348=$C$6,$H$5*12+$Q$4,0))</f>
      </c>
    </row>
    <row x14ac:dyDescent="0.25" r="349" customHeight="1" ht="18.75">
      <c r="A349" s="1"/>
      <c r="B349" s="7"/>
      <c r="C349" s="170"/>
      <c r="D349" s="331">
        <v>342</v>
      </c>
      <c r="E349" s="544">
        <f>+DATE(YEAR(E348),MONTH(E348)-1,DAY(E348))</f>
        <v>25569.041666666668</v>
      </c>
      <c r="F349" s="333">
        <f>IF(DATE(YEAR($B$6),MONTH($B$6)+1,DAY(1))=E349,1,IF(MONTH(E349)=1,F350*(1+$F$5),F350))</f>
      </c>
      <c r="G349" s="333">
        <f>IF('Simulador - 1º Pilar'!$E$99="Sí",IF('Aportaciones Flex'!$B$13&lt;'Aportaciones Flex'!E349,0,F349*$B$8/12),F349*$B$8/12)</f>
      </c>
      <c r="H349" s="333">
        <f>IF(G349&gt;0,1,0)*$H$5*IF(AND($I$5="NO",YEAR(E349)=YEAR($B$6)+1),1,IF($I$5="SI",1,0))</f>
      </c>
      <c r="I349" s="217">
        <f>(1+$M$5)^(D349/12)*(H349*(12-IF(MONTH(E350)=12,0,MONTH(E350)))+IF(AND(F349=1,F350=0),$Q$4,0))*IF(AND(F349=1,F350=0),1,0)</f>
      </c>
      <c r="J349" s="333">
        <f>(1+$M$5)^(D349/12)*(H349+IF(AND(F349=1,F350=0),$Q$4,0))</f>
      </c>
      <c r="K349" s="351"/>
      <c r="L349" s="333">
        <f>K349+J349</f>
      </c>
      <c r="M349" s="170"/>
      <c r="N349" s="7"/>
      <c r="O349" s="1"/>
      <c r="P349" s="331">
        <f>D349</f>
      </c>
      <c r="Q349" s="169"/>
      <c r="R349" s="1"/>
      <c r="S349" s="217">
        <f>(1+$M$5)^(D349/12)*(IF(E349=$C$6,$Q$4+$H$5*12,0))</f>
      </c>
      <c r="T349" s="217">
        <f>(1+$M$5)^(D349/12)*(IF(YEAR(E349)&gt;YEAR($C$6),L349,0)+IF(E349=$C$6,$H$5*12+$Q$4,0))</f>
      </c>
    </row>
    <row x14ac:dyDescent="0.25" r="350" customHeight="1" ht="18.75">
      <c r="A350" s="1"/>
      <c r="B350" s="7"/>
      <c r="C350" s="170"/>
      <c r="D350" s="331">
        <v>343</v>
      </c>
      <c r="E350" s="544">
        <f>+DATE(YEAR(E349),MONTH(E349)-1,DAY(E349))</f>
        <v>25569.041666666668</v>
      </c>
      <c r="F350" s="333">
        <f>IF(DATE(YEAR($B$6),MONTH($B$6)+1,DAY(1))=E350,1,IF(MONTH(E350)=1,F351*(1+$F$5),F351))</f>
      </c>
      <c r="G350" s="333">
        <f>IF('Simulador - 1º Pilar'!$E$99="Sí",IF('Aportaciones Flex'!$B$13&lt;'Aportaciones Flex'!E350,0,F350*$B$8/12),F350*$B$8/12)</f>
      </c>
      <c r="H350" s="333">
        <f>IF(G350&gt;0,1,0)*$H$5*IF(AND($I$5="NO",YEAR(E350)=YEAR($B$6)+1),1,IF($I$5="SI",1,0))</f>
      </c>
      <c r="I350" s="217">
        <f>(1+$M$5)^(D350/12)*(H350*(12-IF(MONTH(E351)=12,0,MONTH(E351)))+IF(AND(F350=1,F351=0),$Q$4,0))*IF(AND(F350=1,F351=0),1,0)</f>
      </c>
      <c r="J350" s="333">
        <f>(1+$M$5)^(D350/12)*(H350+IF(AND(F350=1,F351=0),$Q$4,0))</f>
      </c>
      <c r="K350" s="351"/>
      <c r="L350" s="333">
        <f>K350+J350</f>
      </c>
      <c r="M350" s="170"/>
      <c r="N350" s="7"/>
      <c r="O350" s="1"/>
      <c r="P350" s="331">
        <f>D350</f>
      </c>
      <c r="Q350" s="169"/>
      <c r="R350" s="1"/>
      <c r="S350" s="217">
        <f>(1+$M$5)^(D350/12)*(IF(E350=$C$6,$Q$4+$H$5*12,0))</f>
      </c>
      <c r="T350" s="217">
        <f>(1+$M$5)^(D350/12)*(IF(YEAR(E350)&gt;YEAR($C$6),L350,0)+IF(E350=$C$6,$H$5*12+$Q$4,0))</f>
      </c>
    </row>
    <row x14ac:dyDescent="0.25" r="351" customHeight="1" ht="18.75">
      <c r="A351" s="1"/>
      <c r="B351" s="7"/>
      <c r="C351" s="170"/>
      <c r="D351" s="331">
        <v>344</v>
      </c>
      <c r="E351" s="544">
        <f>+DATE(YEAR(E350),MONTH(E350)-1,DAY(E350))</f>
        <v>25569.041666666668</v>
      </c>
      <c r="F351" s="333">
        <f>IF(DATE(YEAR($B$6),MONTH($B$6)+1,DAY(1))=E351,1,IF(MONTH(E351)=1,F352*(1+$F$5),F352))</f>
      </c>
      <c r="G351" s="333">
        <f>IF('Simulador - 1º Pilar'!$E$99="Sí",IF('Aportaciones Flex'!$B$13&lt;'Aportaciones Flex'!E351,0,F351*$B$8/12),F351*$B$8/12)</f>
      </c>
      <c r="H351" s="333">
        <f>IF(G351&gt;0,1,0)*$H$5*IF(AND($I$5="NO",YEAR(E351)=YEAR($B$6)+1),1,IF($I$5="SI",1,0))</f>
      </c>
      <c r="I351" s="217">
        <f>(1+$M$5)^(D351/12)*(H351*(12-IF(MONTH(E352)=12,0,MONTH(E352)))+IF(AND(F351=1,F352=0),$Q$4,0))*IF(AND(F351=1,F352=0),1,0)</f>
      </c>
      <c r="J351" s="333">
        <f>(1+$M$5)^(D351/12)*(H351+IF(AND(F351=1,F352=0),$Q$4,0))</f>
      </c>
      <c r="K351" s="351"/>
      <c r="L351" s="333">
        <f>K351+J351</f>
      </c>
      <c r="M351" s="170"/>
      <c r="N351" s="7"/>
      <c r="O351" s="1"/>
      <c r="P351" s="331">
        <f>D351</f>
      </c>
      <c r="Q351" s="169"/>
      <c r="R351" s="1"/>
      <c r="S351" s="217">
        <f>(1+$M$5)^(D351/12)*(IF(E351=$C$6,$Q$4+$H$5*12,0))</f>
      </c>
      <c r="T351" s="217">
        <f>(1+$M$5)^(D351/12)*(IF(YEAR(E351)&gt;YEAR($C$6),L351,0)+IF(E351=$C$6,$H$5*12+$Q$4,0))</f>
      </c>
    </row>
    <row x14ac:dyDescent="0.25" r="352" customHeight="1" ht="18.75">
      <c r="A352" s="1"/>
      <c r="B352" s="7"/>
      <c r="C352" s="170"/>
      <c r="D352" s="331">
        <v>345</v>
      </c>
      <c r="E352" s="544">
        <f>+DATE(YEAR(E351),MONTH(E351)-1,DAY(E351))</f>
        <v>25569.041666666668</v>
      </c>
      <c r="F352" s="333">
        <f>IF(DATE(YEAR($B$6),MONTH($B$6)+1,DAY(1))=E352,1,IF(MONTH(E352)=1,F353*(1+$F$5),F353))</f>
      </c>
      <c r="G352" s="333">
        <f>IF('Simulador - 1º Pilar'!$E$99="Sí",IF('Aportaciones Flex'!$B$13&lt;'Aportaciones Flex'!E352,0,F352*$B$8/12),F352*$B$8/12)</f>
      </c>
      <c r="H352" s="333">
        <f>IF(G352&gt;0,1,0)*$H$5*IF(AND($I$5="NO",YEAR(E352)=YEAR($B$6)+1),1,IF($I$5="SI",1,0))</f>
      </c>
      <c r="I352" s="217">
        <f>(1+$M$5)^(D352/12)*(H352*(12-IF(MONTH(E353)=12,0,MONTH(E353)))+IF(AND(F352=1,F353=0),$Q$4,0))*IF(AND(F352=1,F353=0),1,0)</f>
      </c>
      <c r="J352" s="333">
        <f>(1+$M$5)^(D352/12)*(H352+IF(AND(F352=1,F353=0),$Q$4,0))</f>
      </c>
      <c r="K352" s="351"/>
      <c r="L352" s="333">
        <f>K352+J352</f>
      </c>
      <c r="M352" s="170"/>
      <c r="N352" s="7"/>
      <c r="O352" s="1"/>
      <c r="P352" s="331">
        <f>D352</f>
      </c>
      <c r="Q352" s="169"/>
      <c r="R352" s="1"/>
      <c r="S352" s="217">
        <f>(1+$M$5)^(D352/12)*(IF(E352=$C$6,$Q$4+$H$5*12,0))</f>
      </c>
      <c r="T352" s="217">
        <f>(1+$M$5)^(D352/12)*(IF(YEAR(E352)&gt;YEAR($C$6),L352,0)+IF(E352=$C$6,$H$5*12+$Q$4,0))</f>
      </c>
    </row>
    <row x14ac:dyDescent="0.25" r="353" customHeight="1" ht="18.75">
      <c r="A353" s="1"/>
      <c r="B353" s="7"/>
      <c r="C353" s="170"/>
      <c r="D353" s="331">
        <v>346</v>
      </c>
      <c r="E353" s="544">
        <f>+DATE(YEAR(E352),MONTH(E352)-1,DAY(E352))</f>
        <v>25569.041666666668</v>
      </c>
      <c r="F353" s="333">
        <f>IF(DATE(YEAR($B$6),MONTH($B$6)+1,DAY(1))=E353,1,IF(MONTH(E353)=1,F354*(1+$F$5),F354))</f>
      </c>
      <c r="G353" s="333">
        <f>IF('Simulador - 1º Pilar'!$E$99="Sí",IF('Aportaciones Flex'!$B$13&lt;'Aportaciones Flex'!E353,0,F353*$B$8/12),F353*$B$8/12)</f>
      </c>
      <c r="H353" s="333">
        <f>IF(G353&gt;0,1,0)*$H$5*IF(AND($I$5="NO",YEAR(E353)=YEAR($B$6)+1),1,IF($I$5="SI",1,0))</f>
      </c>
      <c r="I353" s="217">
        <f>(1+$M$5)^(D353/12)*(H353*(12-IF(MONTH(E354)=12,0,MONTH(E354)))+IF(AND(F353=1,F354=0),$Q$4,0))*IF(AND(F353=1,F354=0),1,0)</f>
      </c>
      <c r="J353" s="333">
        <f>(1+$M$5)^(D353/12)*(H353+IF(AND(F353=1,F354=0),$Q$4,0))</f>
      </c>
      <c r="K353" s="351"/>
      <c r="L353" s="333">
        <f>K353+J353</f>
      </c>
      <c r="M353" s="170"/>
      <c r="N353" s="7"/>
      <c r="O353" s="1"/>
      <c r="P353" s="331">
        <f>D353</f>
      </c>
      <c r="Q353" s="169"/>
      <c r="R353" s="1"/>
      <c r="S353" s="217">
        <f>(1+$M$5)^(D353/12)*(IF(E353=$C$6,$Q$4+$H$5*12,0))</f>
      </c>
      <c r="T353" s="217">
        <f>(1+$M$5)^(D353/12)*(IF(YEAR(E353)&gt;YEAR($C$6),L353,0)+IF(E353=$C$6,$H$5*12+$Q$4,0))</f>
      </c>
    </row>
    <row x14ac:dyDescent="0.25" r="354" customHeight="1" ht="18.75">
      <c r="A354" s="1"/>
      <c r="B354" s="7"/>
      <c r="C354" s="170"/>
      <c r="D354" s="331">
        <v>347</v>
      </c>
      <c r="E354" s="544">
        <f>+DATE(YEAR(E353),MONTH(E353)-1,DAY(E353))</f>
        <v>25569.041666666668</v>
      </c>
      <c r="F354" s="333">
        <f>IF(DATE(YEAR($B$6),MONTH($B$6)+1,DAY(1))=E354,1,IF(MONTH(E354)=1,F355*(1+$F$5),F355))</f>
      </c>
      <c r="G354" s="333">
        <f>IF('Simulador - 1º Pilar'!$E$99="Sí",IF('Aportaciones Flex'!$B$13&lt;'Aportaciones Flex'!E354,0,F354*$B$8/12),F354*$B$8/12)</f>
      </c>
      <c r="H354" s="333">
        <f>IF(G354&gt;0,1,0)*$H$5*IF(AND($I$5="NO",YEAR(E354)=YEAR($B$6)+1),1,IF($I$5="SI",1,0))</f>
      </c>
      <c r="I354" s="217">
        <f>(1+$M$5)^(D354/12)*(H354*(12-IF(MONTH(E355)=12,0,MONTH(E355)))+IF(AND(F354=1,F355=0),$Q$4,0))*IF(AND(F354=1,F355=0),1,0)</f>
      </c>
      <c r="J354" s="333">
        <f>(1+$M$5)^(D354/12)*(H354+IF(AND(F354=1,F355=0),$Q$4,0))</f>
      </c>
      <c r="K354" s="351"/>
      <c r="L354" s="333">
        <f>K354+J354</f>
      </c>
      <c r="M354" s="170"/>
      <c r="N354" s="7"/>
      <c r="O354" s="1"/>
      <c r="P354" s="331">
        <f>D354</f>
      </c>
      <c r="Q354" s="169"/>
      <c r="R354" s="1"/>
      <c r="S354" s="217">
        <f>(1+$M$5)^(D354/12)*(IF(E354=$C$6,$Q$4+$H$5*12,0))</f>
      </c>
      <c r="T354" s="217">
        <f>(1+$M$5)^(D354/12)*(IF(YEAR(E354)&gt;YEAR($C$6),L354,0)+IF(E354=$C$6,$H$5*12+$Q$4,0))</f>
      </c>
    </row>
    <row x14ac:dyDescent="0.25" r="355" customHeight="1" ht="18.75">
      <c r="A355" s="1"/>
      <c r="B355" s="7"/>
      <c r="C355" s="170"/>
      <c r="D355" s="331">
        <v>348</v>
      </c>
      <c r="E355" s="544">
        <f>+DATE(YEAR(E354),MONTH(E354)-1,DAY(E354))</f>
        <v>25569.041666666668</v>
      </c>
      <c r="F355" s="333">
        <f>IF(DATE(YEAR($B$6),MONTH($B$6)+1,DAY(1))=E355,1,IF(MONTH(E355)=1,F356*(1+$F$5),F356))</f>
      </c>
      <c r="G355" s="333">
        <f>IF('Simulador - 1º Pilar'!$E$99="Sí",IF('Aportaciones Flex'!$B$13&lt;'Aportaciones Flex'!E355,0,F355*$B$8/12),F355*$B$8/12)</f>
      </c>
      <c r="H355" s="333">
        <f>IF(G355&gt;0,1,0)*$H$5*IF(AND($I$5="NO",YEAR(E355)=YEAR($B$6)+1),1,IF($I$5="SI",1,0))</f>
      </c>
      <c r="I355" s="217">
        <f>(1+$M$5)^(D355/12)*(H355*(12-IF(MONTH(E356)=12,0,MONTH(E356)))+IF(AND(F355=1,F356=0),$Q$4,0))*IF(AND(F355=1,F356=0),1,0)</f>
      </c>
      <c r="J355" s="333">
        <f>(1+$M$5)^(D355/12)*(H355+IF(AND(F355=1,F356=0),$Q$4,0))</f>
      </c>
      <c r="K355" s="351"/>
      <c r="L355" s="333">
        <f>K355+J355</f>
      </c>
      <c r="M355" s="170"/>
      <c r="N355" s="7"/>
      <c r="O355" s="1"/>
      <c r="P355" s="331">
        <f>D355</f>
      </c>
      <c r="Q355" s="169"/>
      <c r="R355" s="1"/>
      <c r="S355" s="217">
        <f>(1+$M$5)^(D355/12)*(IF(E355=$C$6,$Q$4+$H$5*12,0))</f>
      </c>
      <c r="T355" s="217">
        <f>(1+$M$5)^(D355/12)*(IF(YEAR(E355)&gt;YEAR($C$6),L355,0)+IF(E355=$C$6,$H$5*12+$Q$4,0))</f>
      </c>
    </row>
    <row x14ac:dyDescent="0.25" r="356" customHeight="1" ht="18.75">
      <c r="A356" s="1"/>
      <c r="B356" s="7"/>
      <c r="C356" s="170"/>
      <c r="D356" s="331">
        <v>349</v>
      </c>
      <c r="E356" s="544">
        <f>+DATE(YEAR(E355),MONTH(E355)-1,DAY(E355))</f>
        <v>25569.041666666668</v>
      </c>
      <c r="F356" s="333">
        <f>IF(DATE(YEAR($B$6),MONTH($B$6)+1,DAY(1))=E356,1,IF(MONTH(E356)=1,F357*(1+$F$5),F357))</f>
      </c>
      <c r="G356" s="333">
        <f>IF('Simulador - 1º Pilar'!$E$99="Sí",IF('Aportaciones Flex'!$B$13&lt;'Aportaciones Flex'!E356,0,F356*$B$8/12),F356*$B$8/12)</f>
      </c>
      <c r="H356" s="333">
        <f>IF(G356&gt;0,1,0)*$H$5*IF(AND($I$5="NO",YEAR(E356)=YEAR($B$6)+1),1,IF($I$5="SI",1,0))</f>
      </c>
      <c r="I356" s="217">
        <f>(1+$M$5)^(D356/12)*(H356*(12-IF(MONTH(E357)=12,0,MONTH(E357)))+IF(AND(F356=1,F357=0),$Q$4,0))*IF(AND(F356=1,F357=0),1,0)</f>
      </c>
      <c r="J356" s="333">
        <f>(1+$M$5)^(D356/12)*(H356+IF(AND(F356=1,F357=0),$Q$4,0))</f>
      </c>
      <c r="K356" s="351"/>
      <c r="L356" s="333">
        <f>K356+J356</f>
      </c>
      <c r="M356" s="170"/>
      <c r="N356" s="7"/>
      <c r="O356" s="1"/>
      <c r="P356" s="331">
        <f>D356</f>
      </c>
      <c r="Q356" s="169"/>
      <c r="R356" s="1"/>
      <c r="S356" s="217">
        <f>(1+$M$5)^(D356/12)*(IF(E356=$C$6,$Q$4+$H$5*12,0))</f>
      </c>
      <c r="T356" s="217">
        <f>(1+$M$5)^(D356/12)*(IF(YEAR(E356)&gt;YEAR($C$6),L356,0)+IF(E356=$C$6,$H$5*12+$Q$4,0))</f>
      </c>
    </row>
    <row x14ac:dyDescent="0.25" r="357" customHeight="1" ht="18.75">
      <c r="A357" s="1"/>
      <c r="B357" s="7"/>
      <c r="C357" s="170"/>
      <c r="D357" s="331">
        <v>350</v>
      </c>
      <c r="E357" s="544">
        <f>+DATE(YEAR(E356),MONTH(E356)-1,DAY(E356))</f>
        <v>25569.041666666668</v>
      </c>
      <c r="F357" s="333">
        <f>IF(DATE(YEAR($B$6),MONTH($B$6)+1,DAY(1))=E357,1,IF(MONTH(E357)=1,F358*(1+$F$5),F358))</f>
      </c>
      <c r="G357" s="333">
        <f>IF('Simulador - 1º Pilar'!$E$99="Sí",IF('Aportaciones Flex'!$B$13&lt;'Aportaciones Flex'!E357,0,F357*$B$8/12),F357*$B$8/12)</f>
      </c>
      <c r="H357" s="333">
        <f>IF(G357&gt;0,1,0)*$H$5*IF(AND($I$5="NO",YEAR(E357)=YEAR($B$6)+1),1,IF($I$5="SI",1,0))</f>
      </c>
      <c r="I357" s="217">
        <f>(1+$M$5)^(D357/12)*(H357*(12-IF(MONTH(E358)=12,0,MONTH(E358)))+IF(AND(F357=1,F358=0),$Q$4,0))*IF(AND(F357=1,F358=0),1,0)</f>
      </c>
      <c r="J357" s="333">
        <f>(1+$M$5)^(D357/12)*(H357+IF(AND(F357=1,F358=0),$Q$4,0))</f>
      </c>
      <c r="K357" s="351"/>
      <c r="L357" s="333">
        <f>K357+J357</f>
      </c>
      <c r="M357" s="170"/>
      <c r="N357" s="7"/>
      <c r="O357" s="1"/>
      <c r="P357" s="331">
        <f>D357</f>
      </c>
      <c r="Q357" s="169"/>
      <c r="R357" s="1"/>
      <c r="S357" s="217">
        <f>(1+$M$5)^(D357/12)*(IF(E357=$C$6,$Q$4+$H$5*12,0))</f>
      </c>
      <c r="T357" s="217">
        <f>(1+$M$5)^(D357/12)*(IF(YEAR(E357)&gt;YEAR($C$6),L357,0)+IF(E357=$C$6,$H$5*12+$Q$4,0))</f>
      </c>
    </row>
    <row x14ac:dyDescent="0.25" r="358" customHeight="1" ht="18.75">
      <c r="A358" s="1"/>
      <c r="B358" s="7"/>
      <c r="C358" s="170"/>
      <c r="D358" s="331">
        <v>351</v>
      </c>
      <c r="E358" s="544">
        <f>+DATE(YEAR(E357),MONTH(E357)-1,DAY(E357))</f>
        <v>25569.041666666668</v>
      </c>
      <c r="F358" s="333">
        <f>IF(DATE(YEAR($B$6),MONTH($B$6)+1,DAY(1))=E358,1,IF(MONTH(E358)=1,F359*(1+$F$5),F359))</f>
      </c>
      <c r="G358" s="333">
        <f>IF('Simulador - 1º Pilar'!$E$99="Sí",IF('Aportaciones Flex'!$B$13&lt;'Aportaciones Flex'!E358,0,F358*$B$8/12),F358*$B$8/12)</f>
      </c>
      <c r="H358" s="333">
        <f>IF(G358&gt;0,1,0)*$H$5*IF(AND($I$5="NO",YEAR(E358)=YEAR($B$6)+1),1,IF($I$5="SI",1,0))</f>
      </c>
      <c r="I358" s="217">
        <f>(1+$M$5)^(D358/12)*(H358*(12-IF(MONTH(E359)=12,0,MONTH(E359)))+IF(AND(F358=1,F359=0),$Q$4,0))*IF(AND(F358=1,F359=0),1,0)</f>
      </c>
      <c r="J358" s="333">
        <f>(1+$M$5)^(D358/12)*(H358+IF(AND(F358=1,F359=0),$Q$4,0))</f>
      </c>
      <c r="K358" s="351"/>
      <c r="L358" s="333">
        <f>K358+J358</f>
      </c>
      <c r="M358" s="170"/>
      <c r="N358" s="7"/>
      <c r="O358" s="1"/>
      <c r="P358" s="331">
        <f>D358</f>
      </c>
      <c r="Q358" s="169"/>
      <c r="R358" s="1"/>
      <c r="S358" s="217">
        <f>(1+$M$5)^(D358/12)*(IF(E358=$C$6,$Q$4+$H$5*12,0))</f>
      </c>
      <c r="T358" s="217">
        <f>(1+$M$5)^(D358/12)*(IF(YEAR(E358)&gt;YEAR($C$6),L358,0)+IF(E358=$C$6,$H$5*12+$Q$4,0))</f>
      </c>
    </row>
    <row x14ac:dyDescent="0.25" r="359" customHeight="1" ht="18.75">
      <c r="A359" s="1"/>
      <c r="B359" s="7"/>
      <c r="C359" s="170"/>
      <c r="D359" s="331">
        <v>352</v>
      </c>
      <c r="E359" s="544">
        <f>+DATE(YEAR(E358),MONTH(E358)-1,DAY(E358))</f>
        <v>25569.041666666668</v>
      </c>
      <c r="F359" s="333">
        <f>IF(DATE(YEAR($B$6),MONTH($B$6)+1,DAY(1))=E359,1,IF(MONTH(E359)=1,F360*(1+$F$5),F360))</f>
      </c>
      <c r="G359" s="333">
        <f>IF('Simulador - 1º Pilar'!$E$99="Sí",IF('Aportaciones Flex'!$B$13&lt;'Aportaciones Flex'!E359,0,F359*$B$8/12),F359*$B$8/12)</f>
      </c>
      <c r="H359" s="333">
        <f>IF(G359&gt;0,1,0)*$H$5*IF(AND($I$5="NO",YEAR(E359)=YEAR($B$6)+1),1,IF($I$5="SI",1,0))</f>
      </c>
      <c r="I359" s="217">
        <f>(1+$M$5)^(D359/12)*(H359*(12-IF(MONTH(E360)=12,0,MONTH(E360)))+IF(AND(F359=1,F360=0),$Q$4,0))*IF(AND(F359=1,F360=0),1,0)</f>
      </c>
      <c r="J359" s="333">
        <f>(1+$M$5)^(D359/12)*(H359+IF(AND(F359=1,F360=0),$Q$4,0))</f>
      </c>
      <c r="K359" s="351"/>
      <c r="L359" s="333">
        <f>K359+J359</f>
      </c>
      <c r="M359" s="170"/>
      <c r="N359" s="7"/>
      <c r="O359" s="1"/>
      <c r="P359" s="331">
        <f>D359</f>
      </c>
      <c r="Q359" s="169"/>
      <c r="R359" s="1"/>
      <c r="S359" s="217">
        <f>(1+$M$5)^(D359/12)*(IF(E359=$C$6,$Q$4+$H$5*12,0))</f>
      </c>
      <c r="T359" s="217">
        <f>(1+$M$5)^(D359/12)*(IF(YEAR(E359)&gt;YEAR($C$6),L359,0)+IF(E359=$C$6,$H$5*12+$Q$4,0))</f>
      </c>
    </row>
    <row x14ac:dyDescent="0.25" r="360" customHeight="1" ht="18.75">
      <c r="A360" s="1"/>
      <c r="B360" s="7"/>
      <c r="C360" s="170"/>
      <c r="D360" s="331">
        <v>353</v>
      </c>
      <c r="E360" s="544">
        <f>+DATE(YEAR(E359),MONTH(E359)-1,DAY(E359))</f>
        <v>25569.041666666668</v>
      </c>
      <c r="F360" s="333">
        <f>IF(DATE(YEAR($B$6),MONTH($B$6)+1,DAY(1))=E360,1,IF(MONTH(E360)=1,F361*(1+$F$5),F361))</f>
      </c>
      <c r="G360" s="333">
        <f>IF('Simulador - 1º Pilar'!$E$99="Sí",IF('Aportaciones Flex'!$B$13&lt;'Aportaciones Flex'!E360,0,F360*$B$8/12),F360*$B$8/12)</f>
      </c>
      <c r="H360" s="333">
        <f>IF(G360&gt;0,1,0)*$H$5*IF(AND($I$5="NO",YEAR(E360)=YEAR($B$6)+1),1,IF($I$5="SI",1,0))</f>
      </c>
      <c r="I360" s="217">
        <f>(1+$M$5)^(D360/12)*(H360*(12-IF(MONTH(E361)=12,0,MONTH(E361)))+IF(AND(F360=1,F361=0),$Q$4,0))*IF(AND(F360=1,F361=0),1,0)</f>
      </c>
      <c r="J360" s="333">
        <f>(1+$M$5)^(D360/12)*(H360+IF(AND(F360=1,F361=0),$Q$4,0))</f>
      </c>
      <c r="K360" s="351"/>
      <c r="L360" s="333">
        <f>K360+J360</f>
      </c>
      <c r="M360" s="170"/>
      <c r="N360" s="7"/>
      <c r="O360" s="1"/>
      <c r="P360" s="331">
        <f>D360</f>
      </c>
      <c r="Q360" s="169"/>
      <c r="R360" s="1"/>
      <c r="S360" s="217">
        <f>(1+$M$5)^(D360/12)*(IF(E360=$C$6,$Q$4+$H$5*12,0))</f>
      </c>
      <c r="T360" s="217">
        <f>(1+$M$5)^(D360/12)*(IF(YEAR(E360)&gt;YEAR($C$6),L360,0)+IF(E360=$C$6,$H$5*12+$Q$4,0))</f>
      </c>
    </row>
    <row x14ac:dyDescent="0.25" r="361" customHeight="1" ht="18.75">
      <c r="A361" s="1"/>
      <c r="B361" s="7"/>
      <c r="C361" s="170"/>
      <c r="D361" s="331">
        <v>354</v>
      </c>
      <c r="E361" s="544">
        <f>+DATE(YEAR(E360),MONTH(E360)-1,DAY(E360))</f>
        <v>25569.041666666668</v>
      </c>
      <c r="F361" s="333">
        <f>IF(DATE(YEAR($B$6),MONTH($B$6)+1,DAY(1))=E361,1,IF(MONTH(E361)=1,F362*(1+$F$5),F362))</f>
      </c>
      <c r="G361" s="333">
        <f>IF('Simulador - 1º Pilar'!$E$99="Sí",IF('Aportaciones Flex'!$B$13&lt;'Aportaciones Flex'!E361,0,F361*$B$8/12),F361*$B$8/12)</f>
      </c>
      <c r="H361" s="333">
        <f>IF(G361&gt;0,1,0)*$H$5*IF(AND($I$5="NO",YEAR(E361)=YEAR($B$6)+1),1,IF($I$5="SI",1,0))</f>
      </c>
      <c r="I361" s="217">
        <f>(1+$M$5)^(D361/12)*(H361*(12-IF(MONTH(E362)=12,0,MONTH(E362)))+IF(AND(F361=1,F362=0),$Q$4,0))*IF(AND(F361=1,F362=0),1,0)</f>
      </c>
      <c r="J361" s="333">
        <f>(1+$M$5)^(D361/12)*(H361+IF(AND(F361=1,F362=0),$Q$4,0))</f>
      </c>
      <c r="K361" s="351"/>
      <c r="L361" s="333">
        <f>K361+J361</f>
      </c>
      <c r="M361" s="170"/>
      <c r="N361" s="7"/>
      <c r="O361" s="1"/>
      <c r="P361" s="331">
        <f>D361</f>
      </c>
      <c r="Q361" s="169"/>
      <c r="R361" s="1"/>
      <c r="S361" s="217">
        <f>(1+$M$5)^(D361/12)*(IF(E361=$C$6,$Q$4+$H$5*12,0))</f>
      </c>
      <c r="T361" s="217">
        <f>(1+$M$5)^(D361/12)*(IF(YEAR(E361)&gt;YEAR($C$6),L361,0)+IF(E361=$C$6,$H$5*12+$Q$4,0))</f>
      </c>
    </row>
    <row x14ac:dyDescent="0.25" r="362" customHeight="1" ht="18.75">
      <c r="A362" s="1"/>
      <c r="B362" s="7"/>
      <c r="C362" s="170"/>
      <c r="D362" s="331">
        <v>355</v>
      </c>
      <c r="E362" s="544">
        <f>+DATE(YEAR(E361),MONTH(E361)-1,DAY(E361))</f>
        <v>25569.041666666668</v>
      </c>
      <c r="F362" s="333">
        <f>IF(DATE(YEAR($B$6),MONTH($B$6)+1,DAY(1))=E362,1,IF(MONTH(E362)=1,F363*(1+$F$5),F363))</f>
      </c>
      <c r="G362" s="333">
        <f>IF('Simulador - 1º Pilar'!$E$99="Sí",IF('Aportaciones Flex'!$B$13&lt;'Aportaciones Flex'!E362,0,F362*$B$8/12),F362*$B$8/12)</f>
      </c>
      <c r="H362" s="333">
        <f>IF(G362&gt;0,1,0)*$H$5*IF(AND($I$5="NO",YEAR(E362)=YEAR($B$6)+1),1,IF($I$5="SI",1,0))</f>
      </c>
      <c r="I362" s="217">
        <f>(1+$M$5)^(D362/12)*(H362*(12-IF(MONTH(E363)=12,0,MONTH(E363)))+IF(AND(F362=1,F363=0),$Q$4,0))*IF(AND(F362=1,F363=0),1,0)</f>
      </c>
      <c r="J362" s="333">
        <f>(1+$M$5)^(D362/12)*(H362+IF(AND(F362=1,F363=0),$Q$4,0))</f>
      </c>
      <c r="K362" s="351"/>
      <c r="L362" s="333">
        <f>K362+J362</f>
      </c>
      <c r="M362" s="170"/>
      <c r="N362" s="7"/>
      <c r="O362" s="1"/>
      <c r="P362" s="331">
        <f>D362</f>
      </c>
      <c r="Q362" s="169"/>
      <c r="R362" s="1"/>
      <c r="S362" s="217">
        <f>(1+$M$5)^(D362/12)*(IF(E362=$C$6,$Q$4+$H$5*12,0))</f>
      </c>
      <c r="T362" s="217">
        <f>(1+$M$5)^(D362/12)*(IF(YEAR(E362)&gt;YEAR($C$6),L362,0)+IF(E362=$C$6,$H$5*12+$Q$4,0))</f>
      </c>
    </row>
    <row x14ac:dyDescent="0.25" r="363" customHeight="1" ht="18.75">
      <c r="A363" s="1"/>
      <c r="B363" s="7"/>
      <c r="C363" s="170"/>
      <c r="D363" s="331">
        <v>356</v>
      </c>
      <c r="E363" s="544">
        <f>+DATE(YEAR(E362),MONTH(E362)-1,DAY(E362))</f>
        <v>25569.041666666668</v>
      </c>
      <c r="F363" s="333">
        <f>IF(DATE(YEAR($B$6),MONTH($B$6)+1,DAY(1))=E363,1,IF(MONTH(E363)=1,F364*(1+$F$5),F364))</f>
      </c>
      <c r="G363" s="333">
        <f>IF('Simulador - 1º Pilar'!$E$99="Sí",IF('Aportaciones Flex'!$B$13&lt;'Aportaciones Flex'!E363,0,F363*$B$8/12),F363*$B$8/12)</f>
      </c>
      <c r="H363" s="333">
        <f>IF(G363&gt;0,1,0)*$H$5*IF(AND($I$5="NO",YEAR(E363)=YEAR($B$6)+1),1,IF($I$5="SI",1,0))</f>
      </c>
      <c r="I363" s="217">
        <f>(1+$M$5)^(D363/12)*(H363*(12-IF(MONTH(E364)=12,0,MONTH(E364)))+IF(AND(F363=1,F364=0),$Q$4,0))*IF(AND(F363=1,F364=0),1,0)</f>
      </c>
      <c r="J363" s="333">
        <f>(1+$M$5)^(D363/12)*(H363+IF(AND(F363=1,F364=0),$Q$4,0))</f>
      </c>
      <c r="K363" s="351"/>
      <c r="L363" s="333">
        <f>K363+J363</f>
      </c>
      <c r="M363" s="170"/>
      <c r="N363" s="7"/>
      <c r="O363" s="1"/>
      <c r="P363" s="331">
        <f>D363</f>
      </c>
      <c r="Q363" s="169"/>
      <c r="R363" s="1"/>
      <c r="S363" s="217">
        <f>(1+$M$5)^(D363/12)*(IF(E363=$C$6,$Q$4+$H$5*12,0))</f>
      </c>
      <c r="T363" s="217">
        <f>(1+$M$5)^(D363/12)*(IF(YEAR(E363)&gt;YEAR($C$6),L363,0)+IF(E363=$C$6,$H$5*12+$Q$4,0))</f>
      </c>
    </row>
    <row x14ac:dyDescent="0.25" r="364" customHeight="1" ht="18.75">
      <c r="A364" s="1"/>
      <c r="B364" s="7"/>
      <c r="C364" s="170"/>
      <c r="D364" s="331">
        <v>357</v>
      </c>
      <c r="E364" s="544">
        <f>+DATE(YEAR(E363),MONTH(E363)-1,DAY(E363))</f>
        <v>25569.041666666668</v>
      </c>
      <c r="F364" s="333">
        <f>IF(DATE(YEAR($B$6),MONTH($B$6)+1,DAY(1))=E364,1,IF(MONTH(E364)=1,F365*(1+$F$5),F365))</f>
      </c>
      <c r="G364" s="333">
        <f>IF('Simulador - 1º Pilar'!$E$99="Sí",IF('Aportaciones Flex'!$B$13&lt;'Aportaciones Flex'!E364,0,F364*$B$8/12),F364*$B$8/12)</f>
      </c>
      <c r="H364" s="333">
        <f>IF(G364&gt;0,1,0)*$H$5*IF(AND($I$5="NO",YEAR(E364)=YEAR($B$6)+1),1,IF($I$5="SI",1,0))</f>
      </c>
      <c r="I364" s="217">
        <f>(1+$M$5)^(D364/12)*(H364*(12-IF(MONTH(E365)=12,0,MONTH(E365)))+IF(AND(F364=1,F365=0),$Q$4,0))*IF(AND(F364=1,F365=0),1,0)</f>
      </c>
      <c r="J364" s="333">
        <f>(1+$M$5)^(D364/12)*(H364+IF(AND(F364=1,F365=0),$Q$4,0))</f>
      </c>
      <c r="K364" s="351"/>
      <c r="L364" s="333">
        <f>K364+J364</f>
      </c>
      <c r="M364" s="170"/>
      <c r="N364" s="7"/>
      <c r="O364" s="1"/>
      <c r="P364" s="331">
        <f>D364</f>
      </c>
      <c r="Q364" s="169"/>
      <c r="R364" s="1"/>
      <c r="S364" s="217">
        <f>(1+$M$5)^(D364/12)*(IF(E364=$C$6,$Q$4+$H$5*12,0))</f>
      </c>
      <c r="T364" s="217">
        <f>(1+$M$5)^(D364/12)*(IF(YEAR(E364)&gt;YEAR($C$6),L364,0)+IF(E364=$C$6,$H$5*12+$Q$4,0))</f>
      </c>
    </row>
    <row x14ac:dyDescent="0.25" r="365" customHeight="1" ht="18.75">
      <c r="A365" s="1"/>
      <c r="B365" s="7"/>
      <c r="C365" s="170"/>
      <c r="D365" s="331">
        <v>358</v>
      </c>
      <c r="E365" s="544">
        <f>+DATE(YEAR(E364),MONTH(E364)-1,DAY(E364))</f>
        <v>25569.041666666668</v>
      </c>
      <c r="F365" s="333">
        <f>IF(DATE(YEAR($B$6),MONTH($B$6)+1,DAY(1))=E365,1,IF(MONTH(E365)=1,F366*(1+$F$5),F366))</f>
      </c>
      <c r="G365" s="333">
        <f>IF('Simulador - 1º Pilar'!$E$99="Sí",IF('Aportaciones Flex'!$B$13&lt;'Aportaciones Flex'!E365,0,F365*$B$8/12),F365*$B$8/12)</f>
      </c>
      <c r="H365" s="333">
        <f>IF(G365&gt;0,1,0)*$H$5*IF(AND($I$5="NO",YEAR(E365)=YEAR($B$6)+1),1,IF($I$5="SI",1,0))</f>
      </c>
      <c r="I365" s="217">
        <f>(1+$M$5)^(D365/12)*(H365*(12-IF(MONTH(E366)=12,0,MONTH(E366)))+IF(AND(F365=1,F366=0),$Q$4,0))*IF(AND(F365=1,F366=0),1,0)</f>
      </c>
      <c r="J365" s="333">
        <f>(1+$M$5)^(D365/12)*(H365+IF(AND(F365=1,F366=0),$Q$4,0))</f>
      </c>
      <c r="K365" s="351"/>
      <c r="L365" s="333">
        <f>K365+J365</f>
      </c>
      <c r="M365" s="170"/>
      <c r="N365" s="7"/>
      <c r="O365" s="1"/>
      <c r="P365" s="331">
        <f>D365</f>
      </c>
      <c r="Q365" s="169"/>
      <c r="R365" s="1"/>
      <c r="S365" s="217">
        <f>(1+$M$5)^(D365/12)*(IF(E365=$C$6,$Q$4+$H$5*12,0))</f>
      </c>
      <c r="T365" s="217">
        <f>(1+$M$5)^(D365/12)*(IF(YEAR(E365)&gt;YEAR($C$6),L365,0)+IF(E365=$C$6,$H$5*12+$Q$4,0))</f>
      </c>
    </row>
    <row x14ac:dyDescent="0.25" r="366" customHeight="1" ht="18.75">
      <c r="A366" s="1"/>
      <c r="B366" s="7"/>
      <c r="C366" s="170"/>
      <c r="D366" s="331">
        <v>359</v>
      </c>
      <c r="E366" s="544">
        <f>+DATE(YEAR(E365),MONTH(E365)-1,DAY(E365))</f>
        <v>25569.041666666668</v>
      </c>
      <c r="F366" s="333">
        <f>IF(DATE(YEAR($B$6),MONTH($B$6)+1,DAY(1))=E366,1,IF(MONTH(E366)=1,F367*(1+$F$5),F367))</f>
      </c>
      <c r="G366" s="333">
        <f>IF('Simulador - 1º Pilar'!$E$99="Sí",IF('Aportaciones Flex'!$B$13&lt;'Aportaciones Flex'!E366,0,F366*$B$8/12),F366*$B$8/12)</f>
      </c>
      <c r="H366" s="333">
        <f>IF(G366&gt;0,1,0)*$H$5*IF(AND($I$5="NO",YEAR(E366)=YEAR($B$6)+1),1,IF($I$5="SI",1,0))</f>
      </c>
      <c r="I366" s="217">
        <f>(1+$M$5)^(D366/12)*(H366*(12-IF(MONTH(E367)=12,0,MONTH(E367)))+IF(AND(F366=1,F367=0),$Q$4,0))*IF(AND(F366=1,F367=0),1,0)</f>
      </c>
      <c r="J366" s="333">
        <f>(1+$M$5)^(D366/12)*(H366+IF(AND(F366=1,F367=0),$Q$4,0))</f>
      </c>
      <c r="K366" s="351"/>
      <c r="L366" s="333">
        <f>K366+J366</f>
      </c>
      <c r="M366" s="170"/>
      <c r="N366" s="7"/>
      <c r="O366" s="1"/>
      <c r="P366" s="331">
        <f>D366</f>
      </c>
      <c r="Q366" s="169"/>
      <c r="R366" s="1"/>
      <c r="S366" s="217">
        <f>(1+$M$5)^(D366/12)*(IF(E366=$C$6,$Q$4+$H$5*12,0))</f>
      </c>
      <c r="T366" s="217">
        <f>(1+$M$5)^(D366/12)*(IF(YEAR(E366)&gt;YEAR($C$6),L366,0)+IF(E366=$C$6,$H$5*12+$Q$4,0))</f>
      </c>
    </row>
    <row x14ac:dyDescent="0.25" r="367" customHeight="1" ht="18.75">
      <c r="A367" s="1"/>
      <c r="B367" s="7"/>
      <c r="C367" s="170"/>
      <c r="D367" s="331">
        <v>360</v>
      </c>
      <c r="E367" s="544">
        <f>+DATE(YEAR(E366),MONTH(E366)-1,DAY(E366))</f>
        <v>25569.041666666668</v>
      </c>
      <c r="F367" s="333">
        <f>IF(DATE(YEAR($B$6),MONTH($B$6)+1,DAY(1))=E367,1,IF(MONTH(E367)=1,F368*(1+$F$5),F368))</f>
      </c>
      <c r="G367" s="333">
        <f>IF('Simulador - 1º Pilar'!$E$99="Sí",IF('Aportaciones Flex'!$B$13&lt;'Aportaciones Flex'!E367,0,F367*$B$8/12),F367*$B$8/12)</f>
      </c>
      <c r="H367" s="333">
        <f>IF(G367&gt;0,1,0)*$H$5*IF(AND($I$5="NO",YEAR(E367)=YEAR($B$6)+1),1,IF($I$5="SI",1,0))</f>
      </c>
      <c r="I367" s="217">
        <f>(1+$M$5)^(D367/12)*(H367*(12-IF(MONTH(E368)=12,0,MONTH(E368)))+IF(AND(F367=1,F368=0),$Q$4,0))*IF(AND(F367=1,F368=0),1,0)</f>
      </c>
      <c r="J367" s="333">
        <f>(1+$M$5)^(D367/12)*(H367+IF(AND(F367=1,F368=0),$Q$4,0))</f>
      </c>
      <c r="K367" s="351"/>
      <c r="L367" s="333">
        <f>K367+J367</f>
      </c>
      <c r="M367" s="170"/>
      <c r="N367" s="7"/>
      <c r="O367" s="1"/>
      <c r="P367" s="331">
        <f>D367</f>
      </c>
      <c r="Q367" s="169"/>
      <c r="R367" s="1"/>
      <c r="S367" s="217">
        <f>(1+$M$5)^(D367/12)*(IF(E367=$C$6,$Q$4+$H$5*12,0))</f>
      </c>
      <c r="T367" s="217">
        <f>(1+$M$5)^(D367/12)*(IF(YEAR(E367)&gt;YEAR($C$6),L367,0)+IF(E367=$C$6,$H$5*12+$Q$4,0))</f>
      </c>
    </row>
    <row x14ac:dyDescent="0.25" r="368" customHeight="1" ht="18.75">
      <c r="A368" s="1"/>
      <c r="B368" s="7"/>
      <c r="C368" s="170"/>
      <c r="D368" s="331">
        <v>361</v>
      </c>
      <c r="E368" s="544">
        <f>+DATE(YEAR(E367),MONTH(E367)-1,DAY(E367))</f>
        <v>25569.041666666668</v>
      </c>
      <c r="F368" s="333">
        <f>IF(DATE(YEAR($B$6),MONTH($B$6)+1,DAY(1))=E368,1,IF(MONTH(E368)=1,F369*(1+$F$5),F369))</f>
      </c>
      <c r="G368" s="333">
        <f>IF('Simulador - 1º Pilar'!$E$99="Sí",IF('Aportaciones Flex'!$B$13&lt;'Aportaciones Flex'!E368,0,F368*$B$8/12),F368*$B$8/12)</f>
      </c>
      <c r="H368" s="333">
        <f>IF(G368&gt;0,1,0)*$H$5*IF(AND($I$5="NO",YEAR(E368)=YEAR($B$6)+1),1,IF($I$5="SI",1,0))</f>
      </c>
      <c r="I368" s="217">
        <f>(1+$M$5)^(D368/12)*(H368*(12-IF(MONTH(E369)=12,0,MONTH(E369)))+IF(AND(F368=1,F369=0),$Q$4,0))*IF(AND(F368=1,F369=0),1,0)</f>
      </c>
      <c r="J368" s="333">
        <f>(1+$M$5)^(D368/12)*(H368+IF(AND(F368=1,F369=0),$Q$4,0))</f>
      </c>
      <c r="K368" s="351"/>
      <c r="L368" s="333">
        <f>K368+J368</f>
      </c>
      <c r="M368" s="170"/>
      <c r="N368" s="7"/>
      <c r="O368" s="1"/>
      <c r="P368" s="331">
        <f>D368</f>
      </c>
      <c r="Q368" s="169"/>
      <c r="R368" s="1"/>
      <c r="S368" s="217">
        <f>(1+$M$5)^(D368/12)*(IF(E368=$C$6,$Q$4+$H$5*12,0))</f>
      </c>
      <c r="T368" s="217">
        <f>(1+$M$5)^(D368/12)*(IF(YEAR(E368)&gt;YEAR($C$6),L368,0)+IF(E368=$C$6,$H$5*12+$Q$4,0))</f>
      </c>
    </row>
    <row x14ac:dyDescent="0.25" r="369" customHeight="1" ht="18.75">
      <c r="A369" s="1"/>
      <c r="B369" s="7"/>
      <c r="C369" s="170"/>
      <c r="D369" s="331">
        <v>362</v>
      </c>
      <c r="E369" s="544">
        <f>+DATE(YEAR(E368),MONTH(E368)-1,DAY(E368))</f>
        <v>25569.041666666668</v>
      </c>
      <c r="F369" s="333">
        <f>IF(DATE(YEAR($B$6),MONTH($B$6)+1,DAY(1))=E369,1,IF(MONTH(E369)=1,F370*(1+$F$5),F370))</f>
      </c>
      <c r="G369" s="333">
        <f>IF('Simulador - 1º Pilar'!$E$99="Sí",IF('Aportaciones Flex'!$B$13&lt;'Aportaciones Flex'!E369,0,F369*$B$8/12),F369*$B$8/12)</f>
      </c>
      <c r="H369" s="333">
        <f>IF(G369&gt;0,1,0)*$H$5*IF(AND($I$5="NO",YEAR(E369)=YEAR($B$6)+1),1,IF($I$5="SI",1,0))</f>
      </c>
      <c r="I369" s="217">
        <f>(1+$M$5)^(D369/12)*(H369*(12-IF(MONTH(E370)=12,0,MONTH(E370)))+IF(AND(F369=1,F370=0),$Q$4,0))*IF(AND(F369=1,F370=0),1,0)</f>
      </c>
      <c r="J369" s="333">
        <f>(1+$M$5)^(D369/12)*(H369+IF(AND(F369=1,F370=0),$Q$4,0))</f>
      </c>
      <c r="K369" s="351"/>
      <c r="L369" s="333">
        <f>K369+J369</f>
      </c>
      <c r="M369" s="170"/>
      <c r="N369" s="7"/>
      <c r="O369" s="1"/>
      <c r="P369" s="331">
        <f>D369</f>
      </c>
      <c r="Q369" s="169"/>
      <c r="R369" s="1"/>
      <c r="S369" s="217">
        <f>(1+$M$5)^(D369/12)*(IF(E369=$C$6,$Q$4+$H$5*12,0))</f>
      </c>
      <c r="T369" s="217">
        <f>(1+$M$5)^(D369/12)*(IF(YEAR(E369)&gt;YEAR($C$6),L369,0)+IF(E369=$C$6,$H$5*12+$Q$4,0))</f>
      </c>
    </row>
    <row x14ac:dyDescent="0.25" r="370" customHeight="1" ht="18.75">
      <c r="A370" s="1"/>
      <c r="B370" s="7"/>
      <c r="C370" s="170"/>
      <c r="D370" s="331">
        <v>363</v>
      </c>
      <c r="E370" s="544">
        <f>+DATE(YEAR(E369),MONTH(E369)-1,DAY(E369))</f>
        <v>25569.041666666668</v>
      </c>
      <c r="F370" s="333">
        <f>IF(DATE(YEAR($B$6),MONTH($B$6)+1,DAY(1))=E370,1,IF(MONTH(E370)=1,F371*(1+$F$5),F371))</f>
      </c>
      <c r="G370" s="333">
        <f>IF('Simulador - 1º Pilar'!$E$99="Sí",IF('Aportaciones Flex'!$B$13&lt;'Aportaciones Flex'!E370,0,F370*$B$8/12),F370*$B$8/12)</f>
      </c>
      <c r="H370" s="333">
        <f>IF(G370&gt;0,1,0)*$H$5*IF(AND($I$5="NO",YEAR(E370)=YEAR($B$6)+1),1,IF($I$5="SI",1,0))</f>
      </c>
      <c r="I370" s="217">
        <f>(1+$M$5)^(D370/12)*(H370*(12-IF(MONTH(E371)=12,0,MONTH(E371)))+IF(AND(F370=1,F371=0),$Q$4,0))*IF(AND(F370=1,F371=0),1,0)</f>
      </c>
      <c r="J370" s="333">
        <f>(1+$M$5)^(D370/12)*(H370+IF(AND(F370=1,F371=0),$Q$4,0))</f>
      </c>
      <c r="K370" s="351"/>
      <c r="L370" s="333">
        <f>K370+J370</f>
      </c>
      <c r="M370" s="170"/>
      <c r="N370" s="7"/>
      <c r="O370" s="1"/>
      <c r="P370" s="331">
        <f>D370</f>
      </c>
      <c r="Q370" s="169"/>
      <c r="R370" s="1"/>
      <c r="S370" s="217">
        <f>(1+$M$5)^(D370/12)*(IF(E370=$C$6,$Q$4+$H$5*12,0))</f>
      </c>
      <c r="T370" s="217">
        <f>(1+$M$5)^(D370/12)*(IF(YEAR(E370)&gt;YEAR($C$6),L370,0)+IF(E370=$C$6,$H$5*12+$Q$4,0))</f>
      </c>
    </row>
    <row x14ac:dyDescent="0.25" r="371" customHeight="1" ht="18.75">
      <c r="A371" s="1"/>
      <c r="B371" s="7"/>
      <c r="C371" s="170"/>
      <c r="D371" s="331">
        <v>364</v>
      </c>
      <c r="E371" s="544">
        <f>+DATE(YEAR(E370),MONTH(E370)-1,DAY(E370))</f>
        <v>25569.041666666668</v>
      </c>
      <c r="F371" s="333">
        <f>IF(DATE(YEAR($B$6),MONTH($B$6)+1,DAY(1))=E371,1,IF(MONTH(E371)=1,F372*(1+$F$5),F372))</f>
      </c>
      <c r="G371" s="333">
        <f>IF('Simulador - 1º Pilar'!$E$99="Sí",IF('Aportaciones Flex'!$B$13&lt;'Aportaciones Flex'!E371,0,F371*$B$8/12),F371*$B$8/12)</f>
      </c>
      <c r="H371" s="333">
        <f>IF(G371&gt;0,1,0)*$H$5*IF(AND($I$5="NO",YEAR(E371)=YEAR($B$6)+1),1,IF($I$5="SI",1,0))</f>
      </c>
      <c r="I371" s="217">
        <f>(1+$M$5)^(D371/12)*(H371*(12-IF(MONTH(E372)=12,0,MONTH(E372)))+IF(AND(F371=1,F372=0),$Q$4,0))*IF(AND(F371=1,F372=0),1,0)</f>
      </c>
      <c r="J371" s="333">
        <f>(1+$M$5)^(D371/12)*(H371+IF(AND(F371=1,F372=0),$Q$4,0))</f>
      </c>
      <c r="K371" s="351"/>
      <c r="L371" s="333">
        <f>K371+J371</f>
      </c>
      <c r="M371" s="170"/>
      <c r="N371" s="7"/>
      <c r="O371" s="1"/>
      <c r="P371" s="331">
        <f>D371</f>
      </c>
      <c r="Q371" s="169"/>
      <c r="R371" s="1"/>
      <c r="S371" s="217">
        <f>(1+$M$5)^(D371/12)*(IF(E371=$C$6,$Q$4+$H$5*12,0))</f>
      </c>
      <c r="T371" s="217">
        <f>(1+$M$5)^(D371/12)*(IF(YEAR(E371)&gt;YEAR($C$6),L371,0)+IF(E371=$C$6,$H$5*12+$Q$4,0))</f>
      </c>
    </row>
    <row x14ac:dyDescent="0.25" r="372" customHeight="1" ht="18.75">
      <c r="A372" s="1"/>
      <c r="B372" s="7"/>
      <c r="C372" s="170"/>
      <c r="D372" s="331">
        <v>365</v>
      </c>
      <c r="E372" s="544">
        <f>+DATE(YEAR(E371),MONTH(E371)-1,DAY(E371))</f>
        <v>25569.041666666668</v>
      </c>
      <c r="F372" s="333">
        <f>IF(DATE(YEAR($B$6),MONTH($B$6)+1,DAY(1))=E372,1,IF(MONTH(E372)=1,F373*(1+$F$5),F373))</f>
      </c>
      <c r="G372" s="333">
        <f>IF('Simulador - 1º Pilar'!$E$99="Sí",IF('Aportaciones Flex'!$B$13&lt;'Aportaciones Flex'!E372,0,F372*$B$8/12),F372*$B$8/12)</f>
      </c>
      <c r="H372" s="333">
        <f>IF(G372&gt;0,1,0)*$H$5*IF(AND($I$5="NO",YEAR(E372)=YEAR($B$6)+1),1,IF($I$5="SI",1,0))</f>
      </c>
      <c r="I372" s="217">
        <f>(1+$M$5)^(D372/12)*(H372*(12-IF(MONTH(E373)=12,0,MONTH(E373)))+IF(AND(F372=1,F373=0),$Q$4,0))*IF(AND(F372=1,F373=0),1,0)</f>
      </c>
      <c r="J372" s="333">
        <f>(1+$M$5)^(D372/12)*(H372+IF(AND(F372=1,F373=0),$Q$4,0))</f>
      </c>
      <c r="K372" s="351"/>
      <c r="L372" s="333">
        <f>K372+J372</f>
      </c>
      <c r="M372" s="170"/>
      <c r="N372" s="7"/>
      <c r="O372" s="1"/>
      <c r="P372" s="331">
        <f>D372</f>
      </c>
      <c r="Q372" s="169"/>
      <c r="R372" s="1"/>
      <c r="S372" s="217">
        <f>(1+$M$5)^(D372/12)*(IF(E372=$C$6,$Q$4+$H$5*12,0))</f>
      </c>
      <c r="T372" s="217">
        <f>(1+$M$5)^(D372/12)*(IF(YEAR(E372)&gt;YEAR($C$6),L372,0)+IF(E372=$C$6,$H$5*12+$Q$4,0))</f>
      </c>
    </row>
    <row x14ac:dyDescent="0.25" r="373" customHeight="1" ht="18.75">
      <c r="A373" s="1"/>
      <c r="B373" s="7"/>
      <c r="C373" s="170"/>
      <c r="D373" s="331">
        <v>366</v>
      </c>
      <c r="E373" s="544">
        <f>+DATE(YEAR(E372),MONTH(E372)-1,DAY(E372))</f>
        <v>25569.041666666668</v>
      </c>
      <c r="F373" s="333">
        <f>IF(DATE(YEAR($B$6),MONTH($B$6)+1,DAY(1))=E373,1,IF(MONTH(E373)=1,F374*(1+$F$5),F374))</f>
      </c>
      <c r="G373" s="333">
        <f>IF('Simulador - 1º Pilar'!$E$99="Sí",IF('Aportaciones Flex'!$B$13&lt;'Aportaciones Flex'!E373,0,F373*$B$8/12),F373*$B$8/12)</f>
      </c>
      <c r="H373" s="333">
        <f>IF(G373&gt;0,1,0)*$H$5*IF(AND($I$5="NO",YEAR(E373)=YEAR($B$6)+1),1,IF($I$5="SI",1,0))</f>
      </c>
      <c r="I373" s="217">
        <f>(1+$M$5)^(D373/12)*(H373*(12-IF(MONTH(E374)=12,0,MONTH(E374)))+IF(AND(F373=1,F374=0),$Q$4,0))*IF(AND(F373=1,F374=0),1,0)</f>
      </c>
      <c r="J373" s="333">
        <f>(1+$M$5)^(D373/12)*(H373+IF(AND(F373=1,F374=0),$Q$4,0))</f>
      </c>
      <c r="K373" s="351"/>
      <c r="L373" s="333">
        <f>K373+J373</f>
      </c>
      <c r="M373" s="170"/>
      <c r="N373" s="7"/>
      <c r="O373" s="1"/>
      <c r="P373" s="331">
        <f>D373</f>
      </c>
      <c r="Q373" s="169"/>
      <c r="R373" s="1"/>
      <c r="S373" s="217">
        <f>(1+$M$5)^(D373/12)*(IF(E373=$C$6,$Q$4+$H$5*12,0))</f>
      </c>
      <c r="T373" s="217">
        <f>(1+$M$5)^(D373/12)*(IF(YEAR(E373)&gt;YEAR($C$6),L373,0)+IF(E373=$C$6,$H$5*12+$Q$4,0))</f>
      </c>
    </row>
    <row x14ac:dyDescent="0.25" r="374" customHeight="1" ht="18.75">
      <c r="A374" s="1"/>
      <c r="B374" s="7"/>
      <c r="C374" s="170"/>
      <c r="D374" s="331">
        <v>367</v>
      </c>
      <c r="E374" s="544">
        <f>+DATE(YEAR(E373),MONTH(E373)-1,DAY(E373))</f>
        <v>25569.041666666668</v>
      </c>
      <c r="F374" s="333">
        <f>IF(DATE(YEAR($B$6),MONTH($B$6)+1,DAY(1))=E374,1,IF(MONTH(E374)=1,F375*(1+$F$5),F375))</f>
      </c>
      <c r="G374" s="333">
        <f>IF('Simulador - 1º Pilar'!$E$99="Sí",IF('Aportaciones Flex'!$B$13&lt;'Aportaciones Flex'!E374,0,F374*$B$8/12),F374*$B$8/12)</f>
      </c>
      <c r="H374" s="333">
        <f>IF(G374&gt;0,1,0)*$H$5*IF(AND($I$5="NO",YEAR(E374)=YEAR($B$6)+1),1,IF($I$5="SI",1,0))</f>
      </c>
      <c r="I374" s="217">
        <f>(1+$M$5)^(D374/12)*(H374*(12-IF(MONTH(E375)=12,0,MONTH(E375)))+IF(AND(F374=1,F375=0),$Q$4,0))*IF(AND(F374=1,F375=0),1,0)</f>
      </c>
      <c r="J374" s="333">
        <f>(1+$M$5)^(D374/12)*(H374+IF(AND(F374=1,F375=0),$Q$4,0))</f>
      </c>
      <c r="K374" s="351"/>
      <c r="L374" s="333">
        <f>K374+J374</f>
      </c>
      <c r="M374" s="170"/>
      <c r="N374" s="7"/>
      <c r="O374" s="1"/>
      <c r="P374" s="331">
        <f>D374</f>
      </c>
      <c r="Q374" s="169"/>
      <c r="R374" s="1"/>
      <c r="S374" s="217">
        <f>(1+$M$5)^(D374/12)*(IF(E374=$C$6,$Q$4+$H$5*12,0))</f>
      </c>
      <c r="T374" s="217">
        <f>(1+$M$5)^(D374/12)*(IF(YEAR(E374)&gt;YEAR($C$6),L374,0)+IF(E374=$C$6,$H$5*12+$Q$4,0))</f>
      </c>
    </row>
    <row x14ac:dyDescent="0.25" r="375" customHeight="1" ht="18.75">
      <c r="A375" s="1"/>
      <c r="B375" s="7"/>
      <c r="C375" s="170"/>
      <c r="D375" s="331">
        <v>368</v>
      </c>
      <c r="E375" s="544">
        <f>+DATE(YEAR(E374),MONTH(E374)-1,DAY(E374))</f>
        <v>25569.041666666668</v>
      </c>
      <c r="F375" s="333">
        <f>IF(DATE(YEAR($B$6),MONTH($B$6)+1,DAY(1))=E375,1,IF(MONTH(E375)=1,F376*(1+$F$5),F376))</f>
      </c>
      <c r="G375" s="333">
        <f>IF('Simulador - 1º Pilar'!$E$99="Sí",IF('Aportaciones Flex'!$B$13&lt;'Aportaciones Flex'!E375,0,F375*$B$8/12),F375*$B$8/12)</f>
      </c>
      <c r="H375" s="333">
        <f>IF(G375&gt;0,1,0)*$H$5*IF(AND($I$5="NO",YEAR(E375)=YEAR($B$6)+1),1,IF($I$5="SI",1,0))</f>
      </c>
      <c r="I375" s="217">
        <f>(1+$M$5)^(D375/12)*(H375*(12-IF(MONTH(E376)=12,0,MONTH(E376)))+IF(AND(F375=1,F376=0),$Q$4,0))*IF(AND(F375=1,F376=0),1,0)</f>
      </c>
      <c r="J375" s="333">
        <f>(1+$M$5)^(D375/12)*(H375+IF(AND(F375=1,F376=0),$Q$4,0))</f>
      </c>
      <c r="K375" s="351"/>
      <c r="L375" s="333">
        <f>K375+J375</f>
      </c>
      <c r="M375" s="170"/>
      <c r="N375" s="7"/>
      <c r="O375" s="1"/>
      <c r="P375" s="331">
        <f>D375</f>
      </c>
      <c r="Q375" s="169"/>
      <c r="R375" s="1"/>
      <c r="S375" s="217">
        <f>(1+$M$5)^(D375/12)*(IF(E375=$C$6,$Q$4+$H$5*12,0))</f>
      </c>
      <c r="T375" s="217">
        <f>(1+$M$5)^(D375/12)*(IF(YEAR(E375)&gt;YEAR($C$6),L375,0)+IF(E375=$C$6,$H$5*12+$Q$4,0))</f>
      </c>
    </row>
    <row x14ac:dyDescent="0.25" r="376" customHeight="1" ht="18.75">
      <c r="A376" s="1"/>
      <c r="B376" s="7"/>
      <c r="C376" s="170"/>
      <c r="D376" s="331">
        <v>369</v>
      </c>
      <c r="E376" s="544">
        <f>+DATE(YEAR(E375),MONTH(E375)-1,DAY(E375))</f>
        <v>25569.041666666668</v>
      </c>
      <c r="F376" s="333">
        <f>IF(DATE(YEAR($B$6),MONTH($B$6)+1,DAY(1))=E376,1,IF(MONTH(E376)=1,F377*(1+$F$5),F377))</f>
      </c>
      <c r="G376" s="333">
        <f>IF('Simulador - 1º Pilar'!$E$99="Sí",IF('Aportaciones Flex'!$B$13&lt;'Aportaciones Flex'!E376,0,F376*$B$8/12),F376*$B$8/12)</f>
      </c>
      <c r="H376" s="333">
        <f>IF(G376&gt;0,1,0)*$H$5*IF(AND($I$5="NO",YEAR(E376)=YEAR($B$6)+1),1,IF($I$5="SI",1,0))</f>
      </c>
      <c r="I376" s="217">
        <f>(1+$M$5)^(D376/12)*(H376*(12-IF(MONTH(E377)=12,0,MONTH(E377)))+IF(AND(F376=1,F377=0),$Q$4,0))*IF(AND(F376=1,F377=0),1,0)</f>
      </c>
      <c r="J376" s="333">
        <f>(1+$M$5)^(D376/12)*(H376+IF(AND(F376=1,F377=0),$Q$4,0))</f>
      </c>
      <c r="K376" s="351"/>
      <c r="L376" s="333">
        <f>K376+J376</f>
      </c>
      <c r="M376" s="170"/>
      <c r="N376" s="7"/>
      <c r="O376" s="1"/>
      <c r="P376" s="331">
        <f>D376</f>
      </c>
      <c r="Q376" s="169"/>
      <c r="R376" s="1"/>
      <c r="S376" s="217">
        <f>(1+$M$5)^(D376/12)*(IF(E376=$C$6,$Q$4+$H$5*12,0))</f>
      </c>
      <c r="T376" s="217">
        <f>(1+$M$5)^(D376/12)*(IF(YEAR(E376)&gt;YEAR($C$6),L376,0)+IF(E376=$C$6,$H$5*12+$Q$4,0))</f>
      </c>
    </row>
    <row x14ac:dyDescent="0.25" r="377" customHeight="1" ht="18.75">
      <c r="A377" s="1"/>
      <c r="B377" s="7"/>
      <c r="C377" s="170"/>
      <c r="D377" s="331">
        <v>370</v>
      </c>
      <c r="E377" s="544">
        <f>+DATE(YEAR(E376),MONTH(E376)-1,DAY(E376))</f>
        <v>25569.041666666668</v>
      </c>
      <c r="F377" s="333">
        <f>IF(DATE(YEAR($B$6),MONTH($B$6)+1,DAY(1))=E377,1,IF(MONTH(E377)=1,F378*(1+$F$5),F378))</f>
      </c>
      <c r="G377" s="333">
        <f>IF('Simulador - 1º Pilar'!$E$99="Sí",IF('Aportaciones Flex'!$B$13&lt;'Aportaciones Flex'!E377,0,F377*$B$8/12),F377*$B$8/12)</f>
      </c>
      <c r="H377" s="333">
        <f>IF(G377&gt;0,1,0)*$H$5*IF(AND($I$5="NO",YEAR(E377)=YEAR($B$6)+1),1,IF($I$5="SI",1,0))</f>
      </c>
      <c r="I377" s="217">
        <f>(1+$M$5)^(D377/12)*(H377*(12-IF(MONTH(E378)=12,0,MONTH(E378)))+IF(AND(F377=1,F378=0),$Q$4,0))*IF(AND(F377=1,F378=0),1,0)</f>
      </c>
      <c r="J377" s="333">
        <f>(1+$M$5)^(D377/12)*(H377+IF(AND(F377=1,F378=0),$Q$4,0))</f>
      </c>
      <c r="K377" s="351"/>
      <c r="L377" s="333">
        <f>K377+J377</f>
      </c>
      <c r="M377" s="170"/>
      <c r="N377" s="7"/>
      <c r="O377" s="1"/>
      <c r="P377" s="331">
        <f>D377</f>
      </c>
      <c r="Q377" s="169"/>
      <c r="R377" s="1"/>
      <c r="S377" s="217">
        <f>(1+$M$5)^(D377/12)*(IF(E377=$C$6,$Q$4+$H$5*12,0))</f>
      </c>
      <c r="T377" s="217">
        <f>(1+$M$5)^(D377/12)*(IF(YEAR(E377)&gt;YEAR($C$6),L377,0)+IF(E377=$C$6,$H$5*12+$Q$4,0))</f>
      </c>
    </row>
    <row x14ac:dyDescent="0.25" r="378" customHeight="1" ht="18.75">
      <c r="A378" s="1"/>
      <c r="B378" s="7"/>
      <c r="C378" s="170"/>
      <c r="D378" s="331">
        <v>371</v>
      </c>
      <c r="E378" s="544">
        <f>+DATE(YEAR(E377),MONTH(E377)-1,DAY(E377))</f>
        <v>25569.041666666668</v>
      </c>
      <c r="F378" s="333">
        <f>IF(DATE(YEAR($B$6),MONTH($B$6)+1,DAY(1))=E378,1,IF(MONTH(E378)=1,F379*(1+$F$5),F379))</f>
      </c>
      <c r="G378" s="333">
        <f>IF('Simulador - 1º Pilar'!$E$99="Sí",IF('Aportaciones Flex'!$B$13&lt;'Aportaciones Flex'!E378,0,F378*$B$8/12),F378*$B$8/12)</f>
      </c>
      <c r="H378" s="333">
        <f>IF(G378&gt;0,1,0)*$H$5*IF(AND($I$5="NO",YEAR(E378)=YEAR($B$6)+1),1,IF($I$5="SI",1,0))</f>
      </c>
      <c r="I378" s="217">
        <f>(1+$M$5)^(D378/12)*(H378*(12-IF(MONTH(E379)=12,0,MONTH(E379)))+IF(AND(F378=1,F379=0),$Q$4,0))*IF(AND(F378=1,F379=0),1,0)</f>
      </c>
      <c r="J378" s="333">
        <f>(1+$M$5)^(D378/12)*(H378+IF(AND(F378=1,F379=0),$Q$4,0))</f>
      </c>
      <c r="K378" s="351"/>
      <c r="L378" s="333">
        <f>K378+J378</f>
      </c>
      <c r="M378" s="170"/>
      <c r="N378" s="7"/>
      <c r="O378" s="1"/>
      <c r="P378" s="331">
        <f>D378</f>
      </c>
      <c r="Q378" s="169"/>
      <c r="R378" s="1"/>
      <c r="S378" s="217">
        <f>(1+$M$5)^(D378/12)*(IF(E378=$C$6,$Q$4+$H$5*12,0))</f>
      </c>
      <c r="T378" s="217">
        <f>(1+$M$5)^(D378/12)*(IF(YEAR(E378)&gt;YEAR($C$6),L378,0)+IF(E378=$C$6,$H$5*12+$Q$4,0))</f>
      </c>
    </row>
    <row x14ac:dyDescent="0.25" r="379" customHeight="1" ht="18.75">
      <c r="A379" s="1"/>
      <c r="B379" s="7"/>
      <c r="C379" s="170"/>
      <c r="D379" s="331">
        <v>372</v>
      </c>
      <c r="E379" s="544">
        <f>+DATE(YEAR(E378),MONTH(E378)-1,DAY(E378))</f>
        <v>25569.041666666668</v>
      </c>
      <c r="F379" s="333">
        <f>IF(DATE(YEAR($B$6),MONTH($B$6)+1,DAY(1))=E379,1,IF(MONTH(E379)=1,F380*(1+$F$5),F380))</f>
      </c>
      <c r="G379" s="333">
        <f>IF('Simulador - 1º Pilar'!$E$99="Sí",IF('Aportaciones Flex'!$B$13&lt;'Aportaciones Flex'!E379,0,F379*$B$8/12),F379*$B$8/12)</f>
      </c>
      <c r="H379" s="333">
        <f>IF(G379&gt;0,1,0)*$H$5*IF(AND($I$5="NO",YEAR(E379)=YEAR($B$6)+1),1,IF($I$5="SI",1,0))</f>
      </c>
      <c r="I379" s="217">
        <f>(1+$M$5)^(D379/12)*(H379*(12-IF(MONTH(E380)=12,0,MONTH(E380)))+IF(AND(F379=1,F380=0),$Q$4,0))*IF(AND(F379=1,F380=0),1,0)</f>
      </c>
      <c r="J379" s="333">
        <f>(1+$M$5)^(D379/12)*(H379+IF(AND(F379=1,F380=0),$Q$4,0))</f>
      </c>
      <c r="K379" s="351"/>
      <c r="L379" s="333">
        <f>K379+J379</f>
      </c>
      <c r="M379" s="170"/>
      <c r="N379" s="7"/>
      <c r="O379" s="1"/>
      <c r="P379" s="331">
        <f>D379</f>
      </c>
      <c r="Q379" s="169"/>
      <c r="R379" s="1"/>
      <c r="S379" s="217">
        <f>(1+$M$5)^(D379/12)*(IF(E379=$C$6,$Q$4+$H$5*12,0))</f>
      </c>
      <c r="T379" s="217">
        <f>(1+$M$5)^(D379/12)*(IF(YEAR(E379)&gt;YEAR($C$6),L379,0)+IF(E379=$C$6,$H$5*12+$Q$4,0))</f>
      </c>
    </row>
    <row x14ac:dyDescent="0.25" r="380" customHeight="1" ht="18.75">
      <c r="A380" s="1"/>
      <c r="B380" s="7"/>
      <c r="C380" s="170"/>
      <c r="D380" s="331">
        <v>373</v>
      </c>
      <c r="E380" s="544">
        <f>+DATE(YEAR(E379),MONTH(E379)-1,DAY(E379))</f>
        <v>25569.041666666668</v>
      </c>
      <c r="F380" s="333">
        <f>IF(DATE(YEAR($B$6),MONTH($B$6)+1,DAY(1))=E380,1,IF(MONTH(E380)=1,F381*(1+$F$5),F381))</f>
      </c>
      <c r="G380" s="333">
        <f>IF('Simulador - 1º Pilar'!$E$99="Sí",IF('Aportaciones Flex'!$B$13&lt;'Aportaciones Flex'!E380,0,F380*$B$8/12),F380*$B$8/12)</f>
      </c>
      <c r="H380" s="333">
        <f>IF(G380&gt;0,1,0)*$H$5*IF(AND($I$5="NO",YEAR(E380)=YEAR($B$6)+1),1,IF($I$5="SI",1,0))</f>
      </c>
      <c r="I380" s="217">
        <f>(1+$M$5)^(D380/12)*(H380*(12-IF(MONTH(E381)=12,0,MONTH(E381)))+IF(AND(F380=1,F381=0),$Q$4,0))*IF(AND(F380=1,F381=0),1,0)</f>
      </c>
      <c r="J380" s="333">
        <f>(1+$M$5)^(D380/12)*(H380+IF(AND(F380=1,F381=0),$Q$4,0))</f>
      </c>
      <c r="K380" s="351"/>
      <c r="L380" s="333">
        <f>K380+J380</f>
      </c>
      <c r="M380" s="170"/>
      <c r="N380" s="7"/>
      <c r="O380" s="1"/>
      <c r="P380" s="331">
        <f>D380</f>
      </c>
      <c r="Q380" s="169"/>
      <c r="R380" s="1"/>
      <c r="S380" s="217">
        <f>(1+$M$5)^(D380/12)*(IF(E380=$C$6,$Q$4+$H$5*12,0))</f>
      </c>
      <c r="T380" s="217">
        <f>(1+$M$5)^(D380/12)*(IF(YEAR(E380)&gt;YEAR($C$6),L380,0)+IF(E380=$C$6,$H$5*12+$Q$4,0))</f>
      </c>
    </row>
    <row x14ac:dyDescent="0.25" r="381" customHeight="1" ht="18.75">
      <c r="A381" s="1"/>
      <c r="B381" s="7"/>
      <c r="C381" s="170"/>
      <c r="D381" s="331">
        <v>374</v>
      </c>
      <c r="E381" s="544">
        <f>+DATE(YEAR(E380),MONTH(E380)-1,DAY(E380))</f>
        <v>25569.041666666668</v>
      </c>
      <c r="F381" s="333">
        <f>IF(DATE(YEAR($B$6),MONTH($B$6)+1,DAY(1))=E381,1,IF(MONTH(E381)=1,F382*(1+$F$5),F382))</f>
      </c>
      <c r="G381" s="333">
        <f>IF('Simulador - 1º Pilar'!$E$99="Sí",IF('Aportaciones Flex'!$B$13&lt;'Aportaciones Flex'!E381,0,F381*$B$8/12),F381*$B$8/12)</f>
      </c>
      <c r="H381" s="333">
        <f>IF(G381&gt;0,1,0)*$H$5*IF(AND($I$5="NO",YEAR(E381)=YEAR($B$6)+1),1,IF($I$5="SI",1,0))</f>
      </c>
      <c r="I381" s="217">
        <f>(1+$M$5)^(D381/12)*(H381*(12-IF(MONTH(E382)=12,0,MONTH(E382)))+IF(AND(F381=1,F382=0),$Q$4,0))*IF(AND(F381=1,F382=0),1,0)</f>
      </c>
      <c r="J381" s="333">
        <f>(1+$M$5)^(D381/12)*(H381+IF(AND(F381=1,F382=0),$Q$4,0))</f>
      </c>
      <c r="K381" s="351"/>
      <c r="L381" s="333">
        <f>K381+J381</f>
      </c>
      <c r="M381" s="170"/>
      <c r="N381" s="7"/>
      <c r="O381" s="1"/>
      <c r="P381" s="331">
        <f>D381</f>
      </c>
      <c r="Q381" s="169"/>
      <c r="R381" s="1"/>
      <c r="S381" s="217">
        <f>(1+$M$5)^(D381/12)*(IF(E381=$C$6,$Q$4+$H$5*12,0))</f>
      </c>
      <c r="T381" s="217">
        <f>(1+$M$5)^(D381/12)*(IF(YEAR(E381)&gt;YEAR($C$6),L381,0)+IF(E381=$C$6,$H$5*12+$Q$4,0))</f>
      </c>
    </row>
    <row x14ac:dyDescent="0.25" r="382" customHeight="1" ht="18.75">
      <c r="A382" s="1"/>
      <c r="B382" s="7"/>
      <c r="C382" s="170"/>
      <c r="D382" s="331">
        <v>375</v>
      </c>
      <c r="E382" s="544">
        <f>+DATE(YEAR(E381),MONTH(E381)-1,DAY(E381))</f>
        <v>25569.041666666668</v>
      </c>
      <c r="F382" s="333">
        <f>IF(DATE(YEAR($B$6),MONTH($B$6)+1,DAY(1))=E382,1,IF(MONTH(E382)=1,F383*(1+$F$5),F383))</f>
      </c>
      <c r="G382" s="333">
        <f>IF('Simulador - 1º Pilar'!$E$99="Sí",IF('Aportaciones Flex'!$B$13&lt;'Aportaciones Flex'!E382,0,F382*$B$8/12),F382*$B$8/12)</f>
      </c>
      <c r="H382" s="333">
        <f>IF(G382&gt;0,1,0)*$H$5*IF(AND($I$5="NO",YEAR(E382)=YEAR($B$6)+1),1,IF($I$5="SI",1,0))</f>
      </c>
      <c r="I382" s="217">
        <f>(1+$M$5)^(D382/12)*(H382*(12-IF(MONTH(E383)=12,0,MONTH(E383)))+IF(AND(F382=1,F383=0),$Q$4,0))*IF(AND(F382=1,F383=0),1,0)</f>
      </c>
      <c r="J382" s="333">
        <f>(1+$M$5)^(D382/12)*(H382+IF(AND(F382=1,F383=0),$Q$4,0))</f>
      </c>
      <c r="K382" s="351"/>
      <c r="L382" s="333">
        <f>K382+J382</f>
      </c>
      <c r="M382" s="170"/>
      <c r="N382" s="7"/>
      <c r="O382" s="1"/>
      <c r="P382" s="331">
        <f>D382</f>
      </c>
      <c r="Q382" s="169"/>
      <c r="R382" s="1"/>
      <c r="S382" s="217">
        <f>(1+$M$5)^(D382/12)*(IF(E382=$C$6,$Q$4+$H$5*12,0))</f>
      </c>
      <c r="T382" s="217">
        <f>(1+$M$5)^(D382/12)*(IF(YEAR(E382)&gt;YEAR($C$6),L382,0)+IF(E382=$C$6,$H$5*12+$Q$4,0))</f>
      </c>
    </row>
    <row x14ac:dyDescent="0.25" r="383" customHeight="1" ht="18.75">
      <c r="A383" s="1"/>
      <c r="B383" s="7"/>
      <c r="C383" s="170"/>
      <c r="D383" s="331">
        <v>376</v>
      </c>
      <c r="E383" s="544">
        <f>+DATE(YEAR(E382),MONTH(E382)-1,DAY(E382))</f>
        <v>25569.041666666668</v>
      </c>
      <c r="F383" s="333">
        <f>IF(DATE(YEAR($B$6),MONTH($B$6)+1,DAY(1))=E383,1,IF(MONTH(E383)=1,F384*(1+$F$5),F384))</f>
      </c>
      <c r="G383" s="333">
        <f>IF('Simulador - 1º Pilar'!$E$99="Sí",IF('Aportaciones Flex'!$B$13&lt;'Aportaciones Flex'!E383,0,F383*$B$8/12),F383*$B$8/12)</f>
      </c>
      <c r="H383" s="333">
        <f>IF(G383&gt;0,1,0)*$H$5*IF(AND($I$5="NO",YEAR(E383)=YEAR($B$6)+1),1,IF($I$5="SI",1,0))</f>
      </c>
      <c r="I383" s="217">
        <f>(1+$M$5)^(D383/12)*(H383*(12-IF(MONTH(E384)=12,0,MONTH(E384)))+IF(AND(F383=1,F384=0),$Q$4,0))*IF(AND(F383=1,F384=0),1,0)</f>
      </c>
      <c r="J383" s="333">
        <f>(1+$M$5)^(D383/12)*(H383+IF(AND(F383=1,F384=0),$Q$4,0))</f>
      </c>
      <c r="K383" s="351"/>
      <c r="L383" s="333">
        <f>K383+J383</f>
      </c>
      <c r="M383" s="170"/>
      <c r="N383" s="7"/>
      <c r="O383" s="1"/>
      <c r="P383" s="331">
        <f>D383</f>
      </c>
      <c r="Q383" s="169"/>
      <c r="R383" s="1"/>
      <c r="S383" s="217">
        <f>(1+$M$5)^(D383/12)*(IF(E383=$C$6,$Q$4+$H$5*12,0))</f>
      </c>
      <c r="T383" s="217">
        <f>(1+$M$5)^(D383/12)*(IF(YEAR(E383)&gt;YEAR($C$6),L383,0)+IF(E383=$C$6,$H$5*12+$Q$4,0))</f>
      </c>
    </row>
    <row x14ac:dyDescent="0.25" r="384" customHeight="1" ht="18.75">
      <c r="A384" s="1"/>
      <c r="B384" s="7"/>
      <c r="C384" s="170"/>
      <c r="D384" s="331">
        <v>377</v>
      </c>
      <c r="E384" s="544">
        <f>+DATE(YEAR(E383),MONTH(E383)-1,DAY(E383))</f>
        <v>25569.041666666668</v>
      </c>
      <c r="F384" s="333">
        <f>IF(DATE(YEAR($B$6),MONTH($B$6)+1,DAY(1))=E384,1,IF(MONTH(E384)=1,F385*(1+$F$5),F385))</f>
      </c>
      <c r="G384" s="333">
        <f>IF('Simulador - 1º Pilar'!$E$99="Sí",IF('Aportaciones Flex'!$B$13&lt;'Aportaciones Flex'!E384,0,F384*$B$8/12),F384*$B$8/12)</f>
      </c>
      <c r="H384" s="333">
        <f>IF(G384&gt;0,1,0)*$H$5*IF(AND($I$5="NO",YEAR(E384)=YEAR($B$6)+1),1,IF($I$5="SI",1,0))</f>
      </c>
      <c r="I384" s="217">
        <f>(1+$M$5)^(D384/12)*(H384*(12-IF(MONTH(E385)=12,0,MONTH(E385)))+IF(AND(F384=1,F385=0),$Q$4,0))*IF(AND(F384=1,F385=0),1,0)</f>
      </c>
      <c r="J384" s="333">
        <f>(1+$M$5)^(D384/12)*(H384+IF(AND(F384=1,F385=0),$Q$4,0))</f>
      </c>
      <c r="K384" s="351"/>
      <c r="L384" s="333">
        <f>K384+J384</f>
      </c>
      <c r="M384" s="170"/>
      <c r="N384" s="7"/>
      <c r="O384" s="1"/>
      <c r="P384" s="331">
        <f>D384</f>
      </c>
      <c r="Q384" s="169"/>
      <c r="R384" s="1"/>
      <c r="S384" s="217">
        <f>(1+$M$5)^(D384/12)*(IF(E384=$C$6,$Q$4+$H$5*12,0))</f>
      </c>
      <c r="T384" s="217">
        <f>(1+$M$5)^(D384/12)*(IF(YEAR(E384)&gt;YEAR($C$6),L384,0)+IF(E384=$C$6,$H$5*12+$Q$4,0))</f>
      </c>
    </row>
    <row x14ac:dyDescent="0.25" r="385" customHeight="1" ht="18.75">
      <c r="A385" s="1"/>
      <c r="B385" s="7"/>
      <c r="C385" s="170"/>
      <c r="D385" s="331">
        <v>378</v>
      </c>
      <c r="E385" s="544">
        <f>+DATE(YEAR(E384),MONTH(E384)-1,DAY(E384))</f>
        <v>25569.041666666668</v>
      </c>
      <c r="F385" s="333">
        <f>IF(DATE(YEAR($B$6),MONTH($B$6)+1,DAY(1))=E385,1,IF(MONTH(E385)=1,F386*(1+$F$5),F386))</f>
      </c>
      <c r="G385" s="333">
        <f>IF('Simulador - 1º Pilar'!$E$99="Sí",IF('Aportaciones Flex'!$B$13&lt;'Aportaciones Flex'!E385,0,F385*$B$8/12),F385*$B$8/12)</f>
      </c>
      <c r="H385" s="333">
        <f>IF(G385&gt;0,1,0)*$H$5*IF(AND($I$5="NO",YEAR(E385)=YEAR($B$6)+1),1,IF($I$5="SI",1,0))</f>
      </c>
      <c r="I385" s="217">
        <f>(1+$M$5)^(D385/12)*(H385*(12-IF(MONTH(E386)=12,0,MONTH(E386)))+IF(AND(F385=1,F386=0),$Q$4,0))*IF(AND(F385=1,F386=0),1,0)</f>
      </c>
      <c r="J385" s="333">
        <f>(1+$M$5)^(D385/12)*(H385+IF(AND(F385=1,F386=0),$Q$4,0))</f>
      </c>
      <c r="K385" s="351"/>
      <c r="L385" s="333">
        <f>K385+J385</f>
      </c>
      <c r="M385" s="170"/>
      <c r="N385" s="7"/>
      <c r="O385" s="1"/>
      <c r="P385" s="331">
        <f>D385</f>
      </c>
      <c r="Q385" s="169"/>
      <c r="R385" s="1"/>
      <c r="S385" s="217">
        <f>(1+$M$5)^(D385/12)*(IF(E385=$C$6,$Q$4+$H$5*12,0))</f>
      </c>
      <c r="T385" s="217">
        <f>(1+$M$5)^(D385/12)*(IF(YEAR(E385)&gt;YEAR($C$6),L385,0)+IF(E385=$C$6,$H$5*12+$Q$4,0))</f>
      </c>
    </row>
    <row x14ac:dyDescent="0.25" r="386" customHeight="1" ht="18.75">
      <c r="A386" s="1"/>
      <c r="B386" s="7"/>
      <c r="C386" s="170"/>
      <c r="D386" s="331">
        <v>379</v>
      </c>
      <c r="E386" s="544">
        <f>+DATE(YEAR(E385),MONTH(E385)-1,DAY(E385))</f>
        <v>25569.041666666668</v>
      </c>
      <c r="F386" s="333">
        <f>IF(DATE(YEAR($B$6),MONTH($B$6)+1,DAY(1))=E386,1,IF(MONTH(E386)=1,F387*(1+$F$5),F387))</f>
      </c>
      <c r="G386" s="333">
        <f>IF('Simulador - 1º Pilar'!$E$99="Sí",IF('Aportaciones Flex'!$B$13&lt;'Aportaciones Flex'!E386,0,F386*$B$8/12),F386*$B$8/12)</f>
      </c>
      <c r="H386" s="333">
        <f>IF(G386&gt;0,1,0)*$H$5*IF(AND($I$5="NO",YEAR(E386)=YEAR($B$6)+1),1,IF($I$5="SI",1,0))</f>
      </c>
      <c r="I386" s="217">
        <f>(1+$M$5)^(D386/12)*(H386*(12-IF(MONTH(E387)=12,0,MONTH(E387)))+IF(AND(F386=1,F387=0),$Q$4,0))*IF(AND(F386=1,F387=0),1,0)</f>
      </c>
      <c r="J386" s="333">
        <f>(1+$M$5)^(D386/12)*(H386+IF(AND(F386=1,F387=0),$Q$4,0))</f>
      </c>
      <c r="K386" s="351"/>
      <c r="L386" s="333">
        <f>K386+J386</f>
      </c>
      <c r="M386" s="170"/>
      <c r="N386" s="7"/>
      <c r="O386" s="1"/>
      <c r="P386" s="331">
        <f>D386</f>
      </c>
      <c r="Q386" s="169"/>
      <c r="R386" s="1"/>
      <c r="S386" s="217">
        <f>(1+$M$5)^(D386/12)*(IF(E386=$C$6,$Q$4+$H$5*12,0))</f>
      </c>
      <c r="T386" s="217">
        <f>(1+$M$5)^(D386/12)*(IF(YEAR(E386)&gt;YEAR($C$6),L386,0)+IF(E386=$C$6,$H$5*12+$Q$4,0))</f>
      </c>
    </row>
    <row x14ac:dyDescent="0.25" r="387" customHeight="1" ht="18.75">
      <c r="A387" s="1"/>
      <c r="B387" s="7"/>
      <c r="C387" s="170"/>
      <c r="D387" s="331">
        <v>380</v>
      </c>
      <c r="E387" s="544">
        <f>+DATE(YEAR(E386),MONTH(E386)-1,DAY(E386))</f>
        <v>25569.041666666668</v>
      </c>
      <c r="F387" s="333">
        <f>IF(DATE(YEAR($B$6),MONTH($B$6)+1,DAY(1))=E387,1,IF(MONTH(E387)=1,F388*(1+$F$5),F388))</f>
      </c>
      <c r="G387" s="333">
        <f>IF('Simulador - 1º Pilar'!$E$99="Sí",IF('Aportaciones Flex'!$B$13&lt;'Aportaciones Flex'!E387,0,F387*$B$8/12),F387*$B$8/12)</f>
      </c>
      <c r="H387" s="333">
        <f>IF(G387&gt;0,1,0)*$H$5*IF(AND($I$5="NO",YEAR(E387)=YEAR($B$6)+1),1,IF($I$5="SI",1,0))</f>
      </c>
      <c r="I387" s="217">
        <f>(1+$M$5)^(D387/12)*(H387*(12-IF(MONTH(E388)=12,0,MONTH(E388)))+IF(AND(F387=1,F388=0),$Q$4,0))*IF(AND(F387=1,F388=0),1,0)</f>
      </c>
      <c r="J387" s="333">
        <f>(1+$M$5)^(D387/12)*(H387+IF(AND(F387=1,F388=0),$Q$4,0))</f>
      </c>
      <c r="K387" s="351"/>
      <c r="L387" s="333">
        <f>K387+J387</f>
      </c>
      <c r="M387" s="170"/>
      <c r="N387" s="7"/>
      <c r="O387" s="1"/>
      <c r="P387" s="331">
        <f>D387</f>
      </c>
      <c r="Q387" s="169"/>
      <c r="R387" s="1"/>
      <c r="S387" s="217">
        <f>(1+$M$5)^(D387/12)*(IF(E387=$C$6,$Q$4+$H$5*12,0))</f>
      </c>
      <c r="T387" s="217">
        <f>(1+$M$5)^(D387/12)*(IF(YEAR(E387)&gt;YEAR($C$6),L387,0)+IF(E387=$C$6,$H$5*12+$Q$4,0))</f>
      </c>
    </row>
    <row x14ac:dyDescent="0.25" r="388" customHeight="1" ht="18.75">
      <c r="A388" s="1"/>
      <c r="B388" s="7"/>
      <c r="C388" s="170"/>
      <c r="D388" s="331">
        <v>381</v>
      </c>
      <c r="E388" s="544">
        <f>+DATE(YEAR(E387),MONTH(E387)-1,DAY(E387))</f>
        <v>25569.041666666668</v>
      </c>
      <c r="F388" s="333">
        <f>IF(DATE(YEAR($B$6),MONTH($B$6)+1,DAY(1))=E388,1,IF(MONTH(E388)=1,F389*(1+$F$5),F389))</f>
      </c>
      <c r="G388" s="333">
        <f>IF('Simulador - 1º Pilar'!$E$99="Sí",IF('Aportaciones Flex'!$B$13&lt;'Aportaciones Flex'!E388,0,F388*$B$8/12),F388*$B$8/12)</f>
      </c>
      <c r="H388" s="333">
        <f>IF(G388&gt;0,1,0)*$H$5*IF(AND($I$5="NO",YEAR(E388)=YEAR($B$6)+1),1,IF($I$5="SI",1,0))</f>
      </c>
      <c r="I388" s="217">
        <f>(1+$M$5)^(D388/12)*(H388*(12-IF(MONTH(E389)=12,0,MONTH(E389)))+IF(AND(F388=1,F389=0),$Q$4,0))*IF(AND(F388=1,F389=0),1,0)</f>
      </c>
      <c r="J388" s="333">
        <f>(1+$M$5)^(D388/12)*(H388+IF(AND(F388=1,F389=0),$Q$4,0))</f>
      </c>
      <c r="K388" s="351"/>
      <c r="L388" s="333">
        <f>K388+J388</f>
      </c>
      <c r="M388" s="170"/>
      <c r="N388" s="7"/>
      <c r="O388" s="1"/>
      <c r="P388" s="331">
        <f>D388</f>
      </c>
      <c r="Q388" s="169"/>
      <c r="R388" s="1"/>
      <c r="S388" s="217">
        <f>(1+$M$5)^(D388/12)*(IF(E388=$C$6,$Q$4+$H$5*12,0))</f>
      </c>
      <c r="T388" s="217">
        <f>(1+$M$5)^(D388/12)*(IF(YEAR(E388)&gt;YEAR($C$6),L388,0)+IF(E388=$C$6,$H$5*12+$Q$4,0))</f>
      </c>
    </row>
    <row x14ac:dyDescent="0.25" r="389" customHeight="1" ht="18.75">
      <c r="A389" s="1"/>
      <c r="B389" s="7"/>
      <c r="C389" s="170"/>
      <c r="D389" s="331">
        <v>382</v>
      </c>
      <c r="E389" s="544">
        <f>+DATE(YEAR(E388),MONTH(E388)-1,DAY(E388))</f>
        <v>25569.041666666668</v>
      </c>
      <c r="F389" s="333">
        <f>IF(DATE(YEAR($B$6),MONTH($B$6)+1,DAY(1))=E389,1,IF(MONTH(E389)=1,F390*(1+$F$5),F390))</f>
      </c>
      <c r="G389" s="333">
        <f>IF('Simulador - 1º Pilar'!$E$99="Sí",IF('Aportaciones Flex'!$B$13&lt;'Aportaciones Flex'!E389,0,F389*$B$8/12),F389*$B$8/12)</f>
      </c>
      <c r="H389" s="333">
        <f>IF(G389&gt;0,1,0)*$H$5*IF(AND($I$5="NO",YEAR(E389)=YEAR($B$6)+1),1,IF($I$5="SI",1,0))</f>
      </c>
      <c r="I389" s="217">
        <f>(1+$M$5)^(D389/12)*(H389*(12-IF(MONTH(E390)=12,0,MONTH(E390)))+IF(AND(F389=1,F390=0),$Q$4,0))*IF(AND(F389=1,F390=0),1,0)</f>
      </c>
      <c r="J389" s="333">
        <f>(1+$M$5)^(D389/12)*(H389+IF(AND(F389=1,F390=0),$Q$4,0))</f>
      </c>
      <c r="K389" s="351"/>
      <c r="L389" s="333">
        <f>K389+J389</f>
      </c>
      <c r="M389" s="170"/>
      <c r="N389" s="7"/>
      <c r="O389" s="1"/>
      <c r="P389" s="331">
        <f>D389</f>
      </c>
      <c r="Q389" s="169"/>
      <c r="R389" s="1"/>
      <c r="S389" s="217">
        <f>(1+$M$5)^(D389/12)*(IF(E389=$C$6,$Q$4+$H$5*12,0))</f>
      </c>
      <c r="T389" s="217">
        <f>(1+$M$5)^(D389/12)*(IF(YEAR(E389)&gt;YEAR($C$6),L389,0)+IF(E389=$C$6,$H$5*12+$Q$4,0))</f>
      </c>
    </row>
    <row x14ac:dyDescent="0.25" r="390" customHeight="1" ht="18.75">
      <c r="A390" s="1"/>
      <c r="B390" s="7"/>
      <c r="C390" s="170"/>
      <c r="D390" s="331">
        <v>383</v>
      </c>
      <c r="E390" s="544">
        <f>+DATE(YEAR(E389),MONTH(E389)-1,DAY(E389))</f>
        <v>25569.041666666668</v>
      </c>
      <c r="F390" s="333">
        <f>IF(DATE(YEAR($B$6),MONTH($B$6)+1,DAY(1))=E390,1,IF(MONTH(E390)=1,F391*(1+$F$5),F391))</f>
      </c>
      <c r="G390" s="333">
        <f>IF('Simulador - 1º Pilar'!$E$99="Sí",IF('Aportaciones Flex'!$B$13&lt;'Aportaciones Flex'!E390,0,F390*$B$8/12),F390*$B$8/12)</f>
      </c>
      <c r="H390" s="333">
        <f>IF(G390&gt;0,1,0)*$H$5*IF(AND($I$5="NO",YEAR(E390)=YEAR($B$6)+1),1,IF($I$5="SI",1,0))</f>
      </c>
      <c r="I390" s="217">
        <f>(1+$M$5)^(D390/12)*(H390*(12-IF(MONTH(E391)=12,0,MONTH(E391)))+IF(AND(F390=1,F391=0),$Q$4,0))*IF(AND(F390=1,F391=0),1,0)</f>
      </c>
      <c r="J390" s="333">
        <f>(1+$M$5)^(D390/12)*(H390+IF(AND(F390=1,F391=0),$Q$4,0))</f>
      </c>
      <c r="K390" s="351"/>
      <c r="L390" s="333">
        <f>K390+J390</f>
      </c>
      <c r="M390" s="170"/>
      <c r="N390" s="7"/>
      <c r="O390" s="1"/>
      <c r="P390" s="331">
        <f>D390</f>
      </c>
      <c r="Q390" s="169"/>
      <c r="R390" s="1"/>
      <c r="S390" s="217">
        <f>(1+$M$5)^(D390/12)*(IF(E390=$C$6,$Q$4+$H$5*12,0))</f>
      </c>
      <c r="T390" s="217">
        <f>(1+$M$5)^(D390/12)*(IF(YEAR(E390)&gt;YEAR($C$6),L390,0)+IF(E390=$C$6,$H$5*12+$Q$4,0))</f>
      </c>
    </row>
    <row x14ac:dyDescent="0.25" r="391" customHeight="1" ht="18.75">
      <c r="A391" s="1"/>
      <c r="B391" s="7"/>
      <c r="C391" s="170"/>
      <c r="D391" s="331">
        <v>384</v>
      </c>
      <c r="E391" s="544">
        <f>+DATE(YEAR(E390),MONTH(E390)-1,DAY(E390))</f>
        <v>25569.041666666668</v>
      </c>
      <c r="F391" s="333">
        <f>IF(DATE(YEAR($B$6),MONTH($B$6)+1,DAY(1))=E391,1,IF(MONTH(E391)=1,F392*(1+$F$5),F392))</f>
      </c>
      <c r="G391" s="333">
        <f>IF('Simulador - 1º Pilar'!$E$99="Sí",IF('Aportaciones Flex'!$B$13&lt;'Aportaciones Flex'!E391,0,F391*$B$8/12),F391*$B$8/12)</f>
      </c>
      <c r="H391" s="333">
        <f>IF(G391&gt;0,1,0)*$H$5*IF(AND($I$5="NO",YEAR(E391)=YEAR($B$6)+1),1,IF($I$5="SI",1,0))</f>
      </c>
      <c r="I391" s="217">
        <f>(1+$M$5)^(D391/12)*(H391*(12-IF(MONTH(E392)=12,0,MONTH(E392)))+IF(AND(F391=1,F392=0),$Q$4,0))*IF(AND(F391=1,F392=0),1,0)</f>
      </c>
      <c r="J391" s="333">
        <f>(1+$M$5)^(D391/12)*(H391+IF(AND(F391=1,F392=0),$Q$4,0))</f>
      </c>
      <c r="K391" s="351"/>
      <c r="L391" s="333">
        <f>K391+J391</f>
      </c>
      <c r="M391" s="170"/>
      <c r="N391" s="7"/>
      <c r="O391" s="1"/>
      <c r="P391" s="331">
        <f>D391</f>
      </c>
      <c r="Q391" s="169"/>
      <c r="R391" s="1"/>
      <c r="S391" s="217">
        <f>(1+$M$5)^(D391/12)*(IF(E391=$C$6,$Q$4+$H$5*12,0))</f>
      </c>
      <c r="T391" s="217">
        <f>(1+$M$5)^(D391/12)*(IF(YEAR(E391)&gt;YEAR($C$6),L391,0)+IF(E391=$C$6,$H$5*12+$Q$4,0))</f>
      </c>
    </row>
    <row x14ac:dyDescent="0.25" r="392" customHeight="1" ht="18.75">
      <c r="A392" s="1"/>
      <c r="B392" s="7"/>
      <c r="C392" s="170"/>
      <c r="D392" s="331">
        <v>385</v>
      </c>
      <c r="E392" s="544">
        <f>+DATE(YEAR(E391),MONTH(E391)-1,DAY(E391))</f>
        <v>25569.041666666668</v>
      </c>
      <c r="F392" s="333">
        <f>IF(DATE(YEAR($B$6),MONTH($B$6)+1,DAY(1))=E392,1,IF(MONTH(E392)=1,F393*(1+$F$5),F393))</f>
      </c>
      <c r="G392" s="333">
        <f>IF('Simulador - 1º Pilar'!$E$99="Sí",IF('Aportaciones Flex'!$B$13&lt;'Aportaciones Flex'!E392,0,F392*$B$8/12),F392*$B$8/12)</f>
      </c>
      <c r="H392" s="333">
        <f>IF(G392&gt;0,1,0)*$H$5*IF(AND($I$5="NO",YEAR(E392)=YEAR($B$6)+1),1,IF($I$5="SI",1,0))</f>
      </c>
      <c r="I392" s="217">
        <f>(1+$M$5)^(D392/12)*(H392*(12-IF(MONTH(E393)=12,0,MONTH(E393)))+IF(AND(F392=1,F393=0),$Q$4,0))*IF(AND(F392=1,F393=0),1,0)</f>
      </c>
      <c r="J392" s="333">
        <f>(1+$M$5)^(D392/12)*(H392+IF(AND(F392=1,F393=0),$Q$4,0))</f>
      </c>
      <c r="K392" s="351"/>
      <c r="L392" s="333">
        <f>K392+J392</f>
      </c>
      <c r="M392" s="170"/>
      <c r="N392" s="7"/>
      <c r="O392" s="1"/>
      <c r="P392" s="331">
        <f>D392</f>
      </c>
      <c r="Q392" s="169"/>
      <c r="R392" s="1"/>
      <c r="S392" s="217">
        <f>(1+$M$5)^(D392/12)*(IF(E392=$C$6,$Q$4+$H$5*12,0))</f>
      </c>
      <c r="T392" s="217">
        <f>(1+$M$5)^(D392/12)*(IF(YEAR(E392)&gt;YEAR($C$6),L392,0)+IF(E392=$C$6,$H$5*12+$Q$4,0))</f>
      </c>
    </row>
    <row x14ac:dyDescent="0.25" r="393" customHeight="1" ht="18.75">
      <c r="A393" s="1"/>
      <c r="B393" s="7"/>
      <c r="C393" s="170"/>
      <c r="D393" s="331">
        <v>386</v>
      </c>
      <c r="E393" s="544">
        <f>+DATE(YEAR(E392),MONTH(E392)-1,DAY(E392))</f>
        <v>25569.041666666668</v>
      </c>
      <c r="F393" s="333">
        <f>IF(DATE(YEAR($B$6),MONTH($B$6)+1,DAY(1))=E393,1,IF(MONTH(E393)=1,F394*(1+$F$5),F394))</f>
      </c>
      <c r="G393" s="333">
        <f>IF('Simulador - 1º Pilar'!$E$99="Sí",IF('Aportaciones Flex'!$B$13&lt;'Aportaciones Flex'!E393,0,F393*$B$8/12),F393*$B$8/12)</f>
      </c>
      <c r="H393" s="333">
        <f>IF(G393&gt;0,1,0)*$H$5*IF(AND($I$5="NO",YEAR(E393)=YEAR($B$6)+1),1,IF($I$5="SI",1,0))</f>
      </c>
      <c r="I393" s="217">
        <f>(1+$M$5)^(D393/12)*(H393*(12-IF(MONTH(E394)=12,0,MONTH(E394)))+IF(AND(F393=1,F394=0),$Q$4,0))*IF(AND(F393=1,F394=0),1,0)</f>
      </c>
      <c r="J393" s="333">
        <f>(1+$M$5)^(D393/12)*(H393+IF(AND(F393=1,F394=0),$Q$4,0))</f>
      </c>
      <c r="K393" s="351"/>
      <c r="L393" s="333">
        <f>K393+J393</f>
      </c>
      <c r="M393" s="170"/>
      <c r="N393" s="7"/>
      <c r="O393" s="1"/>
      <c r="P393" s="331">
        <f>D393</f>
      </c>
      <c r="Q393" s="169"/>
      <c r="R393" s="1"/>
      <c r="S393" s="217">
        <f>(1+$M$5)^(D393/12)*(IF(E393=$C$6,$Q$4+$H$5*12,0))</f>
      </c>
      <c r="T393" s="217">
        <f>(1+$M$5)^(D393/12)*(IF(YEAR(E393)&gt;YEAR($C$6),L393,0)+IF(E393=$C$6,$H$5*12+$Q$4,0))</f>
      </c>
    </row>
    <row x14ac:dyDescent="0.25" r="394" customHeight="1" ht="18.75">
      <c r="A394" s="1"/>
      <c r="B394" s="7"/>
      <c r="C394" s="170"/>
      <c r="D394" s="331">
        <v>387</v>
      </c>
      <c r="E394" s="544">
        <f>+DATE(YEAR(E393),MONTH(E393)-1,DAY(E393))</f>
        <v>25569.041666666668</v>
      </c>
      <c r="F394" s="333">
        <f>IF(DATE(YEAR($B$6),MONTH($B$6)+1,DAY(1))=E394,1,IF(MONTH(E394)=1,F395*(1+$F$5),F395))</f>
      </c>
      <c r="G394" s="333">
        <f>IF('Simulador - 1º Pilar'!$E$99="Sí",IF('Aportaciones Flex'!$B$13&lt;'Aportaciones Flex'!E394,0,F394*$B$8/12),F394*$B$8/12)</f>
      </c>
      <c r="H394" s="333">
        <f>IF(G394&gt;0,1,0)*$H$5*IF(AND($I$5="NO",YEAR(E394)=YEAR($B$6)+1),1,IF($I$5="SI",1,0))</f>
      </c>
      <c r="I394" s="217">
        <f>(1+$M$5)^(D394/12)*(H394*(12-IF(MONTH(E395)=12,0,MONTH(E395)))+IF(AND(F394=1,F395=0),$Q$4,0))*IF(AND(F394=1,F395=0),1,0)</f>
      </c>
      <c r="J394" s="333">
        <f>(1+$M$5)^(D394/12)*(H394+IF(AND(F394=1,F395=0),$Q$4,0))</f>
      </c>
      <c r="K394" s="351"/>
      <c r="L394" s="333">
        <f>K394+J394</f>
      </c>
      <c r="M394" s="170"/>
      <c r="N394" s="7"/>
      <c r="O394" s="1"/>
      <c r="P394" s="331">
        <f>D394</f>
      </c>
      <c r="Q394" s="169"/>
      <c r="R394" s="1"/>
      <c r="S394" s="217">
        <f>(1+$M$5)^(D394/12)*(IF(E394=$C$6,$Q$4+$H$5*12,0))</f>
      </c>
      <c r="T394" s="217">
        <f>(1+$M$5)^(D394/12)*(IF(YEAR(E394)&gt;YEAR($C$6),L394,0)+IF(E394=$C$6,$H$5*12+$Q$4,0))</f>
      </c>
    </row>
    <row x14ac:dyDescent="0.25" r="395" customHeight="1" ht="18.75">
      <c r="A395" s="1"/>
      <c r="B395" s="7"/>
      <c r="C395" s="170"/>
      <c r="D395" s="331">
        <v>388</v>
      </c>
      <c r="E395" s="544">
        <f>+DATE(YEAR(E394),MONTH(E394)-1,DAY(E394))</f>
        <v>25569.041666666668</v>
      </c>
      <c r="F395" s="333">
        <f>IF(DATE(YEAR($B$6),MONTH($B$6)+1,DAY(1))=E395,1,IF(MONTH(E395)=1,F396*(1+$F$5),F396))</f>
      </c>
      <c r="G395" s="333">
        <f>IF('Simulador - 1º Pilar'!$E$99="Sí",IF('Aportaciones Flex'!$B$13&lt;'Aportaciones Flex'!E395,0,F395*$B$8/12),F395*$B$8/12)</f>
      </c>
      <c r="H395" s="333">
        <f>IF(G395&gt;0,1,0)*$H$5*IF(AND($I$5="NO",YEAR(E395)=YEAR($B$6)+1),1,IF($I$5="SI",1,0))</f>
      </c>
      <c r="I395" s="217">
        <f>(1+$M$5)^(D395/12)*(H395*(12-IF(MONTH(E396)=12,0,MONTH(E396)))+IF(AND(F395=1,F396=0),$Q$4,0))*IF(AND(F395=1,F396=0),1,0)</f>
      </c>
      <c r="J395" s="333">
        <f>(1+$M$5)^(D395/12)*(H395+IF(AND(F395=1,F396=0),$Q$4,0))</f>
      </c>
      <c r="K395" s="351"/>
      <c r="L395" s="333">
        <f>K395+J395</f>
      </c>
      <c r="M395" s="170"/>
      <c r="N395" s="7"/>
      <c r="O395" s="1"/>
      <c r="P395" s="331">
        <f>D395</f>
      </c>
      <c r="Q395" s="169"/>
      <c r="R395" s="1"/>
      <c r="S395" s="217">
        <f>(1+$M$5)^(D395/12)*(IF(E395=$C$6,$Q$4+$H$5*12,0))</f>
      </c>
      <c r="T395" s="217">
        <f>(1+$M$5)^(D395/12)*(IF(YEAR(E395)&gt;YEAR($C$6),L395,0)+IF(E395=$C$6,$H$5*12+$Q$4,0))</f>
      </c>
    </row>
    <row x14ac:dyDescent="0.25" r="396" customHeight="1" ht="18.75">
      <c r="A396" s="1"/>
      <c r="B396" s="7"/>
      <c r="C396" s="170"/>
      <c r="D396" s="331">
        <v>389</v>
      </c>
      <c r="E396" s="544">
        <f>+DATE(YEAR(E395),MONTH(E395)-1,DAY(E395))</f>
        <v>25569.041666666668</v>
      </c>
      <c r="F396" s="333">
        <f>IF(DATE(YEAR($B$6),MONTH($B$6)+1,DAY(1))=E396,1,IF(MONTH(E396)=1,F397*(1+$F$5),F397))</f>
      </c>
      <c r="G396" s="333">
        <f>IF('Simulador - 1º Pilar'!$E$99="Sí",IF('Aportaciones Flex'!$B$13&lt;'Aportaciones Flex'!E396,0,F396*$B$8/12),F396*$B$8/12)</f>
      </c>
      <c r="H396" s="333">
        <f>IF(G396&gt;0,1,0)*$H$5*IF(AND($I$5="NO",YEAR(E396)=YEAR($B$6)+1),1,IF($I$5="SI",1,0))</f>
      </c>
      <c r="I396" s="217">
        <f>(1+$M$5)^(D396/12)*(H396*(12-IF(MONTH(E397)=12,0,MONTH(E397)))+IF(AND(F396=1,F397=0),$Q$4,0))*IF(AND(F396=1,F397=0),1,0)</f>
      </c>
      <c r="J396" s="333">
        <f>(1+$M$5)^(D396/12)*(H396+IF(AND(F396=1,F397=0),$Q$4,0))</f>
      </c>
      <c r="K396" s="351"/>
      <c r="L396" s="333">
        <f>K396+J396</f>
      </c>
      <c r="M396" s="170"/>
      <c r="N396" s="7"/>
      <c r="O396" s="1"/>
      <c r="P396" s="331">
        <f>D396</f>
      </c>
      <c r="Q396" s="169"/>
      <c r="R396" s="1"/>
      <c r="S396" s="217">
        <f>(1+$M$5)^(D396/12)*(IF(E396=$C$6,$Q$4+$H$5*12,0))</f>
      </c>
      <c r="T396" s="217">
        <f>(1+$M$5)^(D396/12)*(IF(YEAR(E396)&gt;YEAR($C$6),L396,0)+IF(E396=$C$6,$H$5*12+$Q$4,0))</f>
      </c>
    </row>
    <row x14ac:dyDescent="0.25" r="397" customHeight="1" ht="18.75">
      <c r="A397" s="1"/>
      <c r="B397" s="7"/>
      <c r="C397" s="170"/>
      <c r="D397" s="331">
        <v>390</v>
      </c>
      <c r="E397" s="544">
        <f>+DATE(YEAR(E396),MONTH(E396)-1,DAY(E396))</f>
        <v>25569.041666666668</v>
      </c>
      <c r="F397" s="333">
        <f>IF(DATE(YEAR($B$6),MONTH($B$6)+1,DAY(1))=E397,1,IF(MONTH(E397)=1,F398*(1+$F$5),F398))</f>
      </c>
      <c r="G397" s="333">
        <f>IF('Simulador - 1º Pilar'!$E$99="Sí",IF('Aportaciones Flex'!$B$13&lt;'Aportaciones Flex'!E397,0,F397*$B$8/12),F397*$B$8/12)</f>
      </c>
      <c r="H397" s="333">
        <f>IF(G397&gt;0,1,0)*$H$5*IF(AND($I$5="NO",YEAR(E397)=YEAR($B$6)+1),1,IF($I$5="SI",1,0))</f>
      </c>
      <c r="I397" s="217">
        <f>(1+$M$5)^(D397/12)*(H397*(12-IF(MONTH(E398)=12,0,MONTH(E398)))+IF(AND(F397=1,F398=0),$Q$4,0))*IF(AND(F397=1,F398=0),1,0)</f>
      </c>
      <c r="J397" s="333">
        <f>(1+$M$5)^(D397/12)*(H397+IF(AND(F397=1,F398=0),$Q$4,0))</f>
      </c>
      <c r="K397" s="351"/>
      <c r="L397" s="333">
        <f>K397+J397</f>
      </c>
      <c r="M397" s="170"/>
      <c r="N397" s="7"/>
      <c r="O397" s="1"/>
      <c r="P397" s="331">
        <f>D397</f>
      </c>
      <c r="Q397" s="169"/>
      <c r="R397" s="1"/>
      <c r="S397" s="217">
        <f>(1+$M$5)^(D397/12)*(IF(E397=$C$6,$Q$4+$H$5*12,0))</f>
      </c>
      <c r="T397" s="217">
        <f>(1+$M$5)^(D397/12)*(IF(YEAR(E397)&gt;YEAR($C$6),L397,0)+IF(E397=$C$6,$H$5*12+$Q$4,0))</f>
      </c>
    </row>
    <row x14ac:dyDescent="0.25" r="398" customHeight="1" ht="18.75">
      <c r="A398" s="1"/>
      <c r="B398" s="7"/>
      <c r="C398" s="170"/>
      <c r="D398" s="331">
        <v>391</v>
      </c>
      <c r="E398" s="544">
        <f>+DATE(YEAR(E397),MONTH(E397)-1,DAY(E397))</f>
        <v>25569.041666666668</v>
      </c>
      <c r="F398" s="333">
        <f>IF(DATE(YEAR($B$6),MONTH($B$6)+1,DAY(1))=E398,1,IF(MONTH(E398)=1,F399*(1+$F$5),F399))</f>
      </c>
      <c r="G398" s="333">
        <f>IF('Simulador - 1º Pilar'!$E$99="Sí",IF('Aportaciones Flex'!$B$13&lt;'Aportaciones Flex'!E398,0,F398*$B$8/12),F398*$B$8/12)</f>
      </c>
      <c r="H398" s="333">
        <f>IF(G398&gt;0,1,0)*$H$5*IF(AND($I$5="NO",YEAR(E398)=YEAR($B$6)+1),1,IF($I$5="SI",1,0))</f>
      </c>
      <c r="I398" s="217">
        <f>(1+$M$5)^(D398/12)*(H398*(12-IF(MONTH(E399)=12,0,MONTH(E399)))+IF(AND(F398=1,F399=0),$Q$4,0))*IF(AND(F398=1,F399=0),1,0)</f>
      </c>
      <c r="J398" s="333">
        <f>(1+$M$5)^(D398/12)*(H398+IF(AND(F398=1,F399=0),$Q$4,0))</f>
      </c>
      <c r="K398" s="351"/>
      <c r="L398" s="333">
        <f>K398+J398</f>
      </c>
      <c r="M398" s="170"/>
      <c r="N398" s="7"/>
      <c r="O398" s="1"/>
      <c r="P398" s="331">
        <f>D398</f>
      </c>
      <c r="Q398" s="169"/>
      <c r="R398" s="1"/>
      <c r="S398" s="217">
        <f>(1+$M$5)^(D398/12)*(IF(E398=$C$6,$Q$4+$H$5*12,0))</f>
      </c>
      <c r="T398" s="217">
        <f>(1+$M$5)^(D398/12)*(IF(YEAR(E398)&gt;YEAR($C$6),L398,0)+IF(E398=$C$6,$H$5*12+$Q$4,0))</f>
      </c>
    </row>
    <row x14ac:dyDescent="0.25" r="399" customHeight="1" ht="18.75">
      <c r="A399" s="1"/>
      <c r="B399" s="7"/>
      <c r="C399" s="170"/>
      <c r="D399" s="331">
        <v>392</v>
      </c>
      <c r="E399" s="544">
        <f>+DATE(YEAR(E398),MONTH(E398)-1,DAY(E398))</f>
        <v>25569.041666666668</v>
      </c>
      <c r="F399" s="333">
        <f>IF(DATE(YEAR($B$6),MONTH($B$6)+1,DAY(1))=E399,1,IF(MONTH(E399)=1,F400*(1+$F$5),F400))</f>
      </c>
      <c r="G399" s="333">
        <f>IF('Simulador - 1º Pilar'!$E$99="Sí",IF('Aportaciones Flex'!$B$13&lt;'Aportaciones Flex'!E399,0,F399*$B$8/12),F399*$B$8/12)</f>
      </c>
      <c r="H399" s="333">
        <f>IF(G399&gt;0,1,0)*$H$5*IF(AND($I$5="NO",YEAR(E399)=YEAR($B$6)+1),1,IF($I$5="SI",1,0))</f>
      </c>
      <c r="I399" s="217">
        <f>(1+$M$5)^(D399/12)*(H399*(12-IF(MONTH(E400)=12,0,MONTH(E400)))+IF(AND(F399=1,F400=0),$Q$4,0))*IF(AND(F399=1,F400=0),1,0)</f>
      </c>
      <c r="J399" s="333">
        <f>(1+$M$5)^(D399/12)*(H399+IF(AND(F399=1,F400=0),$Q$4,0))</f>
      </c>
      <c r="K399" s="351"/>
      <c r="L399" s="333">
        <f>K399+J399</f>
      </c>
      <c r="M399" s="170"/>
      <c r="N399" s="7"/>
      <c r="O399" s="1"/>
      <c r="P399" s="331">
        <f>D399</f>
      </c>
      <c r="Q399" s="169"/>
      <c r="R399" s="1"/>
      <c r="S399" s="217">
        <f>(1+$M$5)^(D399/12)*(IF(E399=$C$6,$Q$4+$H$5*12,0))</f>
      </c>
      <c r="T399" s="217">
        <f>(1+$M$5)^(D399/12)*(IF(YEAR(E399)&gt;YEAR($C$6),L399,0)+IF(E399=$C$6,$H$5*12+$Q$4,0))</f>
      </c>
    </row>
    <row x14ac:dyDescent="0.25" r="400" customHeight="1" ht="18.75">
      <c r="A400" s="1"/>
      <c r="B400" s="7"/>
      <c r="C400" s="170"/>
      <c r="D400" s="331">
        <v>393</v>
      </c>
      <c r="E400" s="544">
        <f>+DATE(YEAR(E399),MONTH(E399)-1,DAY(E399))</f>
        <v>25569.041666666668</v>
      </c>
      <c r="F400" s="333">
        <f>IF(DATE(YEAR($B$6),MONTH($B$6)+1,DAY(1))=E400,1,IF(MONTH(E400)=1,F401*(1+$F$5),F401))</f>
      </c>
      <c r="G400" s="333">
        <f>IF('Simulador - 1º Pilar'!$E$99="Sí",IF('Aportaciones Flex'!$B$13&lt;'Aportaciones Flex'!E400,0,F400*$B$8/12),F400*$B$8/12)</f>
      </c>
      <c r="H400" s="333">
        <f>IF(G400&gt;0,1,0)*$H$5*IF(AND($I$5="NO",YEAR(E400)=YEAR($B$6)+1),1,IF($I$5="SI",1,0))</f>
      </c>
      <c r="I400" s="217">
        <f>(1+$M$5)^(D400/12)*(H400*(12-IF(MONTH(E401)=12,0,MONTH(E401)))+IF(AND(F400=1,F401=0),$Q$4,0))*IF(AND(F400=1,F401=0),1,0)</f>
      </c>
      <c r="J400" s="333">
        <f>(1+$M$5)^(D400/12)*(H400+IF(AND(F400=1,F401=0),$Q$4,0))</f>
      </c>
      <c r="K400" s="351"/>
      <c r="L400" s="333">
        <f>K400+J400</f>
      </c>
      <c r="M400" s="170"/>
      <c r="N400" s="7"/>
      <c r="O400" s="1"/>
      <c r="P400" s="331">
        <f>D400</f>
      </c>
      <c r="Q400" s="169"/>
      <c r="R400" s="1"/>
      <c r="S400" s="217">
        <f>(1+$M$5)^(D400/12)*(IF(E400=$C$6,$Q$4+$H$5*12,0))</f>
      </c>
      <c r="T400" s="217">
        <f>(1+$M$5)^(D400/12)*(IF(YEAR(E400)&gt;YEAR($C$6),L400,0)+IF(E400=$C$6,$H$5*12+$Q$4,0))</f>
      </c>
    </row>
    <row x14ac:dyDescent="0.25" r="401" customHeight="1" ht="18.75">
      <c r="A401" s="1"/>
      <c r="B401" s="7"/>
      <c r="C401" s="170"/>
      <c r="D401" s="331">
        <v>394</v>
      </c>
      <c r="E401" s="544">
        <f>+DATE(YEAR(E400),MONTH(E400)-1,DAY(E400))</f>
        <v>25569.041666666668</v>
      </c>
      <c r="F401" s="333">
        <f>IF(DATE(YEAR($B$6),MONTH($B$6)+1,DAY(1))=E401,1,IF(MONTH(E401)=1,F402*(1+$F$5),F402))</f>
      </c>
      <c r="G401" s="333">
        <f>IF('Simulador - 1º Pilar'!$E$99="Sí",IF('Aportaciones Flex'!$B$13&lt;'Aportaciones Flex'!E401,0,F401*$B$8/12),F401*$B$8/12)</f>
      </c>
      <c r="H401" s="333">
        <f>IF(G401&gt;0,1,0)*$H$5*IF(AND($I$5="NO",YEAR(E401)=YEAR($B$6)+1),1,IF($I$5="SI",1,0))</f>
      </c>
      <c r="I401" s="217">
        <f>(1+$M$5)^(D401/12)*(H401*(12-IF(MONTH(E402)=12,0,MONTH(E402)))+IF(AND(F401=1,F402=0),$Q$4,0))*IF(AND(F401=1,F402=0),1,0)</f>
      </c>
      <c r="J401" s="333">
        <f>(1+$M$5)^(D401/12)*(H401+IF(AND(F401=1,F402=0),$Q$4,0))</f>
      </c>
      <c r="K401" s="351"/>
      <c r="L401" s="333">
        <f>K401+J401</f>
      </c>
      <c r="M401" s="170"/>
      <c r="N401" s="7"/>
      <c r="O401" s="1"/>
      <c r="P401" s="331">
        <f>D401</f>
      </c>
      <c r="Q401" s="169"/>
      <c r="R401" s="1"/>
      <c r="S401" s="217">
        <f>(1+$M$5)^(D401/12)*(IF(E401=$C$6,$Q$4+$H$5*12,0))</f>
      </c>
      <c r="T401" s="217">
        <f>(1+$M$5)^(D401/12)*(IF(YEAR(E401)&gt;YEAR($C$6),L401,0)+IF(E401=$C$6,$H$5*12+$Q$4,0))</f>
      </c>
    </row>
    <row x14ac:dyDescent="0.25" r="402" customHeight="1" ht="18.75">
      <c r="A402" s="1"/>
      <c r="B402" s="7"/>
      <c r="C402" s="170"/>
      <c r="D402" s="331">
        <v>395</v>
      </c>
      <c r="E402" s="544">
        <f>+DATE(YEAR(E401),MONTH(E401)-1,DAY(E401))</f>
        <v>25569.041666666668</v>
      </c>
      <c r="F402" s="333">
        <f>IF(DATE(YEAR($B$6),MONTH($B$6)+1,DAY(1))=E402,1,IF(MONTH(E402)=1,F403*(1+$F$5),F403))</f>
      </c>
      <c r="G402" s="333">
        <f>IF('Simulador - 1º Pilar'!$E$99="Sí",IF('Aportaciones Flex'!$B$13&lt;'Aportaciones Flex'!E402,0,F402*$B$8/12),F402*$B$8/12)</f>
      </c>
      <c r="H402" s="333">
        <f>IF(G402&gt;0,1,0)*$H$5*IF(AND($I$5="NO",YEAR(E402)=YEAR($B$6)+1),1,IF($I$5="SI",1,0))</f>
      </c>
      <c r="I402" s="217">
        <f>(1+$M$5)^(D402/12)*(H402*(12-IF(MONTH(E403)=12,0,MONTH(E403)))+IF(AND(F402=1,F403=0),$Q$4,0))*IF(AND(F402=1,F403=0),1,0)</f>
      </c>
      <c r="J402" s="333">
        <f>(1+$M$5)^(D402/12)*(H402+IF(AND(F402=1,F403=0),$Q$4,0))</f>
      </c>
      <c r="K402" s="351"/>
      <c r="L402" s="333">
        <f>K402+J402</f>
      </c>
      <c r="M402" s="170"/>
      <c r="N402" s="7"/>
      <c r="O402" s="1"/>
      <c r="P402" s="331">
        <f>D402</f>
      </c>
      <c r="Q402" s="169"/>
      <c r="R402" s="1"/>
      <c r="S402" s="217">
        <f>(1+$M$5)^(D402/12)*(IF(E402=$C$6,$Q$4+$H$5*12,0))</f>
      </c>
      <c r="T402" s="217">
        <f>(1+$M$5)^(D402/12)*(IF(YEAR(E402)&gt;YEAR($C$6),L402,0)+IF(E402=$C$6,$H$5*12+$Q$4,0))</f>
      </c>
    </row>
    <row x14ac:dyDescent="0.25" r="403" customHeight="1" ht="18.75">
      <c r="A403" s="1"/>
      <c r="B403" s="7"/>
      <c r="C403" s="170"/>
      <c r="D403" s="331">
        <v>396</v>
      </c>
      <c r="E403" s="544">
        <f>+DATE(YEAR(E402),MONTH(E402)-1,DAY(E402))</f>
        <v>25569.041666666668</v>
      </c>
      <c r="F403" s="333">
        <f>IF(DATE(YEAR($B$6),MONTH($B$6)+1,DAY(1))=E403,1,IF(MONTH(E403)=1,F404*(1+$F$5),F404))</f>
      </c>
      <c r="G403" s="333">
        <f>IF('Simulador - 1º Pilar'!$E$99="Sí",IF('Aportaciones Flex'!$B$13&lt;'Aportaciones Flex'!E403,0,F403*$B$8/12),F403*$B$8/12)</f>
      </c>
      <c r="H403" s="333">
        <f>IF(G403&gt;0,1,0)*$H$5*IF(AND($I$5="NO",YEAR(E403)=YEAR($B$6)+1),1,IF($I$5="SI",1,0))</f>
      </c>
      <c r="I403" s="217">
        <f>(1+$M$5)^(D403/12)*(H403*(12-IF(MONTH(E404)=12,0,MONTH(E404)))+IF(AND(F403=1,F404=0),$Q$4,0))*IF(AND(F403=1,F404=0),1,0)</f>
      </c>
      <c r="J403" s="333">
        <f>(1+$M$5)^(D403/12)*(H403+IF(AND(F403=1,F404=0),$Q$4,0))</f>
      </c>
      <c r="K403" s="351"/>
      <c r="L403" s="333">
        <f>K403+J403</f>
      </c>
      <c r="M403" s="170"/>
      <c r="N403" s="7"/>
      <c r="O403" s="1"/>
      <c r="P403" s="331">
        <f>D403</f>
      </c>
      <c r="Q403" s="169"/>
      <c r="R403" s="1"/>
      <c r="S403" s="217">
        <f>(1+$M$5)^(D403/12)*(IF(E403=$C$6,$Q$4+$H$5*12,0))</f>
      </c>
      <c r="T403" s="217">
        <f>(1+$M$5)^(D403/12)*(IF(YEAR(E403)&gt;YEAR($C$6),L403,0)+IF(E403=$C$6,$H$5*12+$Q$4,0))</f>
      </c>
    </row>
    <row x14ac:dyDescent="0.25" r="404" customHeight="1" ht="18.75">
      <c r="A404" s="1"/>
      <c r="B404" s="7"/>
      <c r="C404" s="170"/>
      <c r="D404" s="331">
        <v>397</v>
      </c>
      <c r="E404" s="544">
        <f>+DATE(YEAR(E403),MONTH(E403)-1,DAY(E403))</f>
        <v>25569.041666666668</v>
      </c>
      <c r="F404" s="333">
        <f>IF(DATE(YEAR($B$6),MONTH($B$6)+1,DAY(1))=E404,1,IF(MONTH(E404)=1,F405*(1+$F$5),F405))</f>
      </c>
      <c r="G404" s="333">
        <f>IF('Simulador - 1º Pilar'!$E$99="Sí",IF('Aportaciones Flex'!$B$13&lt;'Aportaciones Flex'!E404,0,F404*$B$8/12),F404*$B$8/12)</f>
      </c>
      <c r="H404" s="333">
        <f>IF(G404&gt;0,1,0)*$H$5*IF(AND($I$5="NO",YEAR(E404)=YEAR($B$6)+1),1,IF($I$5="SI",1,0))</f>
      </c>
      <c r="I404" s="217">
        <f>(1+$M$5)^(D404/12)*(H404*(12-IF(MONTH(E405)=12,0,MONTH(E405)))+IF(AND(F404=1,F405=0),$Q$4,0))*IF(AND(F404=1,F405=0),1,0)</f>
      </c>
      <c r="J404" s="333">
        <f>(1+$M$5)^(D404/12)*(H404+IF(AND(F404=1,F405=0),$Q$4,0))</f>
      </c>
      <c r="K404" s="351"/>
      <c r="L404" s="333">
        <f>K404+J404</f>
      </c>
      <c r="M404" s="170"/>
      <c r="N404" s="7"/>
      <c r="O404" s="1"/>
      <c r="P404" s="331">
        <f>D404</f>
      </c>
      <c r="Q404" s="169"/>
      <c r="R404" s="1"/>
      <c r="S404" s="217">
        <f>(1+$M$5)^(D404/12)*(IF(E404=$C$6,$Q$4+$H$5*12,0))</f>
      </c>
      <c r="T404" s="217">
        <f>(1+$M$5)^(D404/12)*(IF(YEAR(E404)&gt;YEAR($C$6),L404,0)+IF(E404=$C$6,$H$5*12+$Q$4,0))</f>
      </c>
    </row>
    <row x14ac:dyDescent="0.25" r="405" customHeight="1" ht="18.75">
      <c r="A405" s="1"/>
      <c r="B405" s="7"/>
      <c r="C405" s="170"/>
      <c r="D405" s="331">
        <v>398</v>
      </c>
      <c r="E405" s="544">
        <f>+DATE(YEAR(E404),MONTH(E404)-1,DAY(E404))</f>
        <v>25569.041666666668</v>
      </c>
      <c r="F405" s="333">
        <f>IF(DATE(YEAR($B$6),MONTH($B$6)+1,DAY(1))=E405,1,IF(MONTH(E405)=1,F406*(1+$F$5),F406))</f>
      </c>
      <c r="G405" s="333">
        <f>IF('Simulador - 1º Pilar'!$E$99="Sí",IF('Aportaciones Flex'!$B$13&lt;'Aportaciones Flex'!E405,0,F405*$B$8/12),F405*$B$8/12)</f>
      </c>
      <c r="H405" s="333">
        <f>IF(G405&gt;0,1,0)*$H$5*IF(AND($I$5="NO",YEAR(E405)=YEAR($B$6)+1),1,IF($I$5="SI",1,0))</f>
      </c>
      <c r="I405" s="217">
        <f>(1+$M$5)^(D405/12)*(H405*(12-IF(MONTH(E406)=12,0,MONTH(E406)))+IF(AND(F405=1,F406=0),$Q$4,0))*IF(AND(F405=1,F406=0),1,0)</f>
      </c>
      <c r="J405" s="333">
        <f>(1+$M$5)^(D405/12)*(H405+IF(AND(F405=1,F406=0),$Q$4,0))</f>
      </c>
      <c r="K405" s="351"/>
      <c r="L405" s="333">
        <f>K405+J405</f>
      </c>
      <c r="M405" s="170"/>
      <c r="N405" s="7"/>
      <c r="O405" s="1"/>
      <c r="P405" s="331">
        <f>D405</f>
      </c>
      <c r="Q405" s="169"/>
      <c r="R405" s="1"/>
      <c r="S405" s="217">
        <f>(1+$M$5)^(D405/12)*(IF(E405=$C$6,$Q$4+$H$5*12,0))</f>
      </c>
      <c r="T405" s="217">
        <f>(1+$M$5)^(D405/12)*(IF(YEAR(E405)&gt;YEAR($C$6),L405,0)+IF(E405=$C$6,$H$5*12+$Q$4,0))</f>
      </c>
    </row>
    <row x14ac:dyDescent="0.25" r="406" customHeight="1" ht="18.75">
      <c r="A406" s="1"/>
      <c r="B406" s="7"/>
      <c r="C406" s="170"/>
      <c r="D406" s="331">
        <v>399</v>
      </c>
      <c r="E406" s="544">
        <f>+DATE(YEAR(E405),MONTH(E405)-1,DAY(E405))</f>
        <v>25569.041666666668</v>
      </c>
      <c r="F406" s="333">
        <f>IF(DATE(YEAR($B$6),MONTH($B$6)+1,DAY(1))=E406,1,IF(MONTH(E406)=1,F407*(1+$F$5),F407))</f>
      </c>
      <c r="G406" s="333">
        <f>IF('Simulador - 1º Pilar'!$E$99="Sí",IF('Aportaciones Flex'!$B$13&lt;'Aportaciones Flex'!E406,0,F406*$B$8/12),F406*$B$8/12)</f>
      </c>
      <c r="H406" s="333">
        <f>IF(G406&gt;0,1,0)*$H$5*IF(AND($I$5="NO",YEAR(E406)=YEAR($B$6)+1),1,IF($I$5="SI",1,0))</f>
      </c>
      <c r="I406" s="217">
        <f>(1+$M$5)^(D406/12)*(H406*(12-IF(MONTH(E407)=12,0,MONTH(E407)))+IF(AND(F406=1,F407=0),$Q$4,0))*IF(AND(F406=1,F407=0),1,0)</f>
      </c>
      <c r="J406" s="333">
        <f>(1+$M$5)^(D406/12)*(H406+IF(AND(F406=1,F407=0),$Q$4,0))</f>
      </c>
      <c r="K406" s="351"/>
      <c r="L406" s="333">
        <f>K406+J406</f>
      </c>
      <c r="M406" s="170"/>
      <c r="N406" s="7"/>
      <c r="O406" s="1"/>
      <c r="P406" s="331">
        <f>D406</f>
      </c>
      <c r="Q406" s="169"/>
      <c r="R406" s="1"/>
      <c r="S406" s="217">
        <f>(1+$M$5)^(D406/12)*(IF(E406=$C$6,$Q$4+$H$5*12,0))</f>
      </c>
      <c r="T406" s="217">
        <f>(1+$M$5)^(D406/12)*(IF(YEAR(E406)&gt;YEAR($C$6),L406,0)+IF(E406=$C$6,$H$5*12+$Q$4,0))</f>
      </c>
    </row>
    <row x14ac:dyDescent="0.25" r="407" customHeight="1" ht="18.75">
      <c r="A407" s="1"/>
      <c r="B407" s="7"/>
      <c r="C407" s="170"/>
      <c r="D407" s="331">
        <v>400</v>
      </c>
      <c r="E407" s="544">
        <f>+DATE(YEAR(E406),MONTH(E406)-1,DAY(E406))</f>
        <v>25569.041666666668</v>
      </c>
      <c r="F407" s="333">
        <f>IF(DATE(YEAR($B$6),MONTH($B$6)+1,DAY(1))=E407,1,IF(MONTH(E407)=1,F408*(1+$F$5),F408))</f>
      </c>
      <c r="G407" s="333">
        <f>IF('Simulador - 1º Pilar'!$E$99="Sí",IF('Aportaciones Flex'!$B$13&lt;'Aportaciones Flex'!E407,0,F407*$B$8/12),F407*$B$8/12)</f>
      </c>
      <c r="H407" s="333">
        <f>IF(G407&gt;0,1,0)*$H$5*IF(AND($I$5="NO",YEAR(E407)=YEAR($B$6)+1),1,IF($I$5="SI",1,0))</f>
      </c>
      <c r="I407" s="217">
        <f>(1+$M$5)^(D407/12)*(H407*(12-IF(MONTH(E408)=12,0,MONTH(E408)))+IF(AND(F407=1,F408=0),$Q$4,0))*IF(AND(F407=1,F408=0),1,0)</f>
      </c>
      <c r="J407" s="333">
        <f>(1+$M$5)^(D407/12)*(H407+IF(AND(F407=1,F408=0),$Q$4,0))</f>
      </c>
      <c r="K407" s="351"/>
      <c r="L407" s="333">
        <f>K407+J407</f>
      </c>
      <c r="M407" s="170"/>
      <c r="N407" s="7"/>
      <c r="O407" s="1"/>
      <c r="P407" s="331">
        <f>D407</f>
      </c>
      <c r="Q407" s="169"/>
      <c r="R407" s="1"/>
      <c r="S407" s="217">
        <f>(1+$M$5)^(D407/12)*(IF(E407=$C$6,$Q$4+$H$5*12,0))</f>
      </c>
      <c r="T407" s="217">
        <f>(1+$M$5)^(D407/12)*(IF(YEAR(E407)&gt;YEAR($C$6),L407,0)+IF(E407=$C$6,$H$5*12+$Q$4,0))</f>
      </c>
    </row>
    <row x14ac:dyDescent="0.25" r="408" customHeight="1" ht="18.75">
      <c r="A408" s="1"/>
      <c r="B408" s="7"/>
      <c r="C408" s="170"/>
      <c r="D408" s="331">
        <v>401</v>
      </c>
      <c r="E408" s="544">
        <f>+DATE(YEAR(E407),MONTH(E407)-1,DAY(E407))</f>
        <v>25569.041666666668</v>
      </c>
      <c r="F408" s="333">
        <f>IF(DATE(YEAR($B$6),MONTH($B$6)+1,DAY(1))=E408,1,IF(MONTH(E408)=1,F409*(1+$F$5),F409))</f>
      </c>
      <c r="G408" s="333">
        <f>IF('Simulador - 1º Pilar'!$E$99="Sí",IF('Aportaciones Flex'!$B$13&lt;'Aportaciones Flex'!E408,0,F408*$B$8/12),F408*$B$8/12)</f>
      </c>
      <c r="H408" s="333">
        <f>IF(G408&gt;0,1,0)*$H$5*IF(AND($I$5="NO",YEAR(E408)=YEAR($B$6)+1),1,IF($I$5="SI",1,0))</f>
      </c>
      <c r="I408" s="217">
        <f>(1+$M$5)^(D408/12)*(H408*(12-IF(MONTH(E409)=12,0,MONTH(E409)))+IF(AND(F408=1,F409=0),$Q$4,0))*IF(AND(F408=1,F409=0),1,0)</f>
      </c>
      <c r="J408" s="333">
        <f>(1+$M$5)^(D408/12)*(H408+IF(AND(F408=1,F409=0),$Q$4,0))</f>
      </c>
      <c r="K408" s="351"/>
      <c r="L408" s="333">
        <f>K408+J408</f>
      </c>
      <c r="M408" s="170"/>
      <c r="N408" s="7"/>
      <c r="O408" s="1"/>
      <c r="P408" s="331">
        <f>D408</f>
      </c>
      <c r="Q408" s="169"/>
      <c r="R408" s="1"/>
      <c r="S408" s="217">
        <f>(1+$M$5)^(D408/12)*(IF(E408=$C$6,$Q$4+$H$5*12,0))</f>
      </c>
      <c r="T408" s="217">
        <f>(1+$M$5)^(D408/12)*(IF(YEAR(E408)&gt;YEAR($C$6),L408,0)+IF(E408=$C$6,$H$5*12+$Q$4,0))</f>
      </c>
    </row>
    <row x14ac:dyDescent="0.25" r="409" customHeight="1" ht="18.75">
      <c r="A409" s="1"/>
      <c r="B409" s="7"/>
      <c r="C409" s="170"/>
      <c r="D409" s="331">
        <v>402</v>
      </c>
      <c r="E409" s="544">
        <f>+DATE(YEAR(E408),MONTH(E408)-1,DAY(E408))</f>
        <v>25569.041666666668</v>
      </c>
      <c r="F409" s="333">
        <f>IF(DATE(YEAR($B$6),MONTH($B$6)+1,DAY(1))=E409,1,IF(MONTH(E409)=1,F410*(1+$F$5),F410))</f>
      </c>
      <c r="G409" s="333">
        <f>IF('Simulador - 1º Pilar'!$E$99="Sí",IF('Aportaciones Flex'!$B$13&lt;'Aportaciones Flex'!E409,0,F409*$B$8/12),F409*$B$8/12)</f>
      </c>
      <c r="H409" s="333">
        <f>IF(G409&gt;0,1,0)*$H$5*IF(AND($I$5="NO",YEAR(E409)=YEAR($B$6)+1),1,IF($I$5="SI",1,0))</f>
      </c>
      <c r="I409" s="217">
        <f>(1+$M$5)^(D409/12)*(H409*(12-IF(MONTH(E410)=12,0,MONTH(E410)))+IF(AND(F409=1,F410=0),$Q$4,0))*IF(AND(F409=1,F410=0),1,0)</f>
      </c>
      <c r="J409" s="333">
        <f>(1+$M$5)^(D409/12)*(H409+IF(AND(F409=1,F410=0),$Q$4,0))</f>
      </c>
      <c r="K409" s="351"/>
      <c r="L409" s="333">
        <f>K409+J409</f>
      </c>
      <c r="M409" s="170"/>
      <c r="N409" s="7"/>
      <c r="O409" s="1"/>
      <c r="P409" s="331">
        <f>D409</f>
      </c>
      <c r="Q409" s="169"/>
      <c r="R409" s="1"/>
      <c r="S409" s="217">
        <f>(1+$M$5)^(D409/12)*(IF(E409=$C$6,$Q$4+$H$5*12,0))</f>
      </c>
      <c r="T409" s="217">
        <f>(1+$M$5)^(D409/12)*(IF(YEAR(E409)&gt;YEAR($C$6),L409,0)+IF(E409=$C$6,$H$5*12+$Q$4,0))</f>
      </c>
    </row>
    <row x14ac:dyDescent="0.25" r="410" customHeight="1" ht="18.75">
      <c r="A410" s="1"/>
      <c r="B410" s="7"/>
      <c r="C410" s="170"/>
      <c r="D410" s="331">
        <v>403</v>
      </c>
      <c r="E410" s="544">
        <f>+DATE(YEAR(E409),MONTH(E409)-1,DAY(E409))</f>
        <v>25569.041666666668</v>
      </c>
      <c r="F410" s="333">
        <f>IF(DATE(YEAR($B$6),MONTH($B$6)+1,DAY(1))=E410,1,IF(MONTH(E410)=1,F411*(1+$F$5),F411))</f>
      </c>
      <c r="G410" s="333">
        <f>IF('Simulador - 1º Pilar'!$E$99="Sí",IF('Aportaciones Flex'!$B$13&lt;'Aportaciones Flex'!E410,0,F410*$B$8/12),F410*$B$8/12)</f>
      </c>
      <c r="H410" s="333">
        <f>IF(G410&gt;0,1,0)*$H$5*IF(AND($I$5="NO",YEAR(E410)=YEAR($B$6)+1),1,IF($I$5="SI",1,0))</f>
      </c>
      <c r="I410" s="217">
        <f>(1+$M$5)^(D410/12)*(H410*(12-IF(MONTH(E411)=12,0,MONTH(E411)))+IF(AND(F410=1,F411=0),$Q$4,0))*IF(AND(F410=1,F411=0),1,0)</f>
      </c>
      <c r="J410" s="333">
        <f>(1+$M$5)^(D410/12)*(H410+IF(AND(F410=1,F411=0),$Q$4,0))</f>
      </c>
      <c r="K410" s="351"/>
      <c r="L410" s="333">
        <f>K410+J410</f>
      </c>
      <c r="M410" s="170"/>
      <c r="N410" s="7"/>
      <c r="O410" s="1"/>
      <c r="P410" s="331">
        <f>D410</f>
      </c>
      <c r="Q410" s="169"/>
      <c r="R410" s="1"/>
      <c r="S410" s="217">
        <f>(1+$M$5)^(D410/12)*(IF(E410=$C$6,$Q$4+$H$5*12,0))</f>
      </c>
      <c r="T410" s="217">
        <f>(1+$M$5)^(D410/12)*(IF(YEAR(E410)&gt;YEAR($C$6),L410,0)+IF(E410=$C$6,$H$5*12+$Q$4,0))</f>
      </c>
    </row>
    <row x14ac:dyDescent="0.25" r="411" customHeight="1" ht="18.75">
      <c r="A411" s="1"/>
      <c r="B411" s="7"/>
      <c r="C411" s="170"/>
      <c r="D411" s="331">
        <v>404</v>
      </c>
      <c r="E411" s="544">
        <f>+DATE(YEAR(E410),MONTH(E410)-1,DAY(E410))</f>
        <v>25569.041666666668</v>
      </c>
      <c r="F411" s="333">
        <f>IF(DATE(YEAR($B$6),MONTH($B$6)+1,DAY(1))=E411,1,IF(MONTH(E411)=1,F412*(1+$F$5),F412))</f>
      </c>
      <c r="G411" s="333">
        <f>IF('Simulador - 1º Pilar'!$E$99="Sí",IF('Aportaciones Flex'!$B$13&lt;'Aportaciones Flex'!E411,0,F411*$B$8/12),F411*$B$8/12)</f>
      </c>
      <c r="H411" s="333">
        <f>IF(G411&gt;0,1,0)*$H$5*IF(AND($I$5="NO",YEAR(E411)=YEAR($B$6)+1),1,IF($I$5="SI",1,0))</f>
      </c>
      <c r="I411" s="217">
        <f>(1+$M$5)^(D411/12)*(H411*(12-IF(MONTH(E412)=12,0,MONTH(E412)))+IF(AND(F411=1,F412=0),$Q$4,0))*IF(AND(F411=1,F412=0),1,0)</f>
      </c>
      <c r="J411" s="333">
        <f>(1+$M$5)^(D411/12)*(H411+IF(AND(F411=1,F412=0),$Q$4,0))</f>
      </c>
      <c r="K411" s="351"/>
      <c r="L411" s="333">
        <f>K411+J411</f>
      </c>
      <c r="M411" s="170"/>
      <c r="N411" s="7"/>
      <c r="O411" s="1"/>
      <c r="P411" s="331">
        <f>D411</f>
      </c>
      <c r="Q411" s="169"/>
      <c r="R411" s="1"/>
      <c r="S411" s="217">
        <f>(1+$M$5)^(D411/12)*(IF(E411=$C$6,$Q$4+$H$5*12,0))</f>
      </c>
      <c r="T411" s="217">
        <f>(1+$M$5)^(D411/12)*(IF(YEAR(E411)&gt;YEAR($C$6),L411,0)+IF(E411=$C$6,$H$5*12+$Q$4,0))</f>
      </c>
    </row>
    <row x14ac:dyDescent="0.25" r="412" customHeight="1" ht="18.75">
      <c r="A412" s="1"/>
      <c r="B412" s="7"/>
      <c r="C412" s="170"/>
      <c r="D412" s="331">
        <v>405</v>
      </c>
      <c r="E412" s="544">
        <f>+DATE(YEAR(E411),MONTH(E411)-1,DAY(E411))</f>
        <v>25569.041666666668</v>
      </c>
      <c r="F412" s="333">
        <f>IF(DATE(YEAR($B$6),MONTH($B$6)+1,DAY(1))=E412,1,IF(MONTH(E412)=1,F413*(1+$F$5),F413))</f>
      </c>
      <c r="G412" s="333">
        <f>IF('Simulador - 1º Pilar'!$E$99="Sí",IF('Aportaciones Flex'!$B$13&lt;'Aportaciones Flex'!E412,0,F412*$B$8/12),F412*$B$8/12)</f>
      </c>
      <c r="H412" s="333">
        <f>IF(G412&gt;0,1,0)*$H$5*IF(AND($I$5="NO",YEAR(E412)=YEAR($B$6)+1),1,IF($I$5="SI",1,0))</f>
      </c>
      <c r="I412" s="217">
        <f>(1+$M$5)^(D412/12)*(H412*(12-IF(MONTH(E413)=12,0,MONTH(E413)))+IF(AND(F412=1,F413=0),$Q$4,0))*IF(AND(F412=1,F413=0),1,0)</f>
      </c>
      <c r="J412" s="333">
        <f>(1+$M$5)^(D412/12)*(H412+IF(AND(F412=1,F413=0),$Q$4,0))</f>
      </c>
      <c r="K412" s="351"/>
      <c r="L412" s="333">
        <f>K412+J412</f>
      </c>
      <c r="M412" s="170"/>
      <c r="N412" s="7"/>
      <c r="O412" s="1"/>
      <c r="P412" s="331">
        <f>D412</f>
      </c>
      <c r="Q412" s="169"/>
      <c r="R412" s="1"/>
      <c r="S412" s="217">
        <f>(1+$M$5)^(D412/12)*(IF(E412=$C$6,$Q$4+$H$5*12,0))</f>
      </c>
      <c r="T412" s="217">
        <f>(1+$M$5)^(D412/12)*(IF(YEAR(E412)&gt;YEAR($C$6),L412,0)+IF(E412=$C$6,$H$5*12+$Q$4,0))</f>
      </c>
    </row>
    <row x14ac:dyDescent="0.25" r="413" customHeight="1" ht="18.75">
      <c r="A413" s="1"/>
      <c r="B413" s="7"/>
      <c r="C413" s="170"/>
      <c r="D413" s="331">
        <v>406</v>
      </c>
      <c r="E413" s="544">
        <f>+DATE(YEAR(E412),MONTH(E412)-1,DAY(E412))</f>
        <v>25569.041666666668</v>
      </c>
      <c r="F413" s="333">
        <f>IF(DATE(YEAR($B$6),MONTH($B$6)+1,DAY(1))=E413,1,IF(MONTH(E413)=1,F414*(1+$F$5),F414))</f>
      </c>
      <c r="G413" s="333">
        <f>IF('Simulador - 1º Pilar'!$E$99="Sí",IF('Aportaciones Flex'!$B$13&lt;'Aportaciones Flex'!E413,0,F413*$B$8/12),F413*$B$8/12)</f>
      </c>
      <c r="H413" s="333">
        <f>IF(G413&gt;0,1,0)*$H$5*IF(AND($I$5="NO",YEAR(E413)=YEAR($B$6)+1),1,IF($I$5="SI",1,0))</f>
      </c>
      <c r="I413" s="217">
        <f>(1+$M$5)^(D413/12)*(H413*(12-IF(MONTH(E414)=12,0,MONTH(E414)))+IF(AND(F413=1,F414=0),$Q$4,0))*IF(AND(F413=1,F414=0),1,0)</f>
      </c>
      <c r="J413" s="333">
        <f>(1+$M$5)^(D413/12)*(H413+IF(AND(F413=1,F414=0),$Q$4,0))</f>
      </c>
      <c r="K413" s="351"/>
      <c r="L413" s="333">
        <f>K413+J413</f>
      </c>
      <c r="M413" s="170"/>
      <c r="N413" s="7"/>
      <c r="O413" s="1"/>
      <c r="P413" s="331">
        <f>D413</f>
      </c>
      <c r="Q413" s="169"/>
      <c r="R413" s="1"/>
      <c r="S413" s="217">
        <f>(1+$M$5)^(D413/12)*(IF(E413=$C$6,$Q$4+$H$5*12,0))</f>
      </c>
      <c r="T413" s="217">
        <f>(1+$M$5)^(D413/12)*(IF(YEAR(E413)&gt;YEAR($C$6),L413,0)+IF(E413=$C$6,$H$5*12+$Q$4,0))</f>
      </c>
    </row>
    <row x14ac:dyDescent="0.25" r="414" customHeight="1" ht="18.75">
      <c r="A414" s="1"/>
      <c r="B414" s="7"/>
      <c r="C414" s="170"/>
      <c r="D414" s="331">
        <v>407</v>
      </c>
      <c r="E414" s="544">
        <f>+DATE(YEAR(E413),MONTH(E413)-1,DAY(E413))</f>
        <v>25569.041666666668</v>
      </c>
      <c r="F414" s="333">
        <f>IF(DATE(YEAR($B$6),MONTH($B$6)+1,DAY(1))=E414,1,IF(MONTH(E414)=1,F415*(1+$F$5),F415))</f>
      </c>
      <c r="G414" s="333">
        <f>IF('Simulador - 1º Pilar'!$E$99="Sí",IF('Aportaciones Flex'!$B$13&lt;'Aportaciones Flex'!E414,0,F414*$B$8/12),F414*$B$8/12)</f>
      </c>
      <c r="H414" s="333">
        <f>IF(G414&gt;0,1,0)*$H$5*IF(AND($I$5="NO",YEAR(E414)=YEAR($B$6)+1),1,IF($I$5="SI",1,0))</f>
      </c>
      <c r="I414" s="217">
        <f>(1+$M$5)^(D414/12)*(H414*(12-IF(MONTH(E415)=12,0,MONTH(E415)))+IF(AND(F414=1,F415=0),$Q$4,0))*IF(AND(F414=1,F415=0),1,0)</f>
      </c>
      <c r="J414" s="333">
        <f>(1+$M$5)^(D414/12)*(H414+IF(AND(F414=1,F415=0),$Q$4,0))</f>
      </c>
      <c r="K414" s="351"/>
      <c r="L414" s="333">
        <f>K414+J414</f>
      </c>
      <c r="M414" s="170"/>
      <c r="N414" s="7"/>
      <c r="O414" s="1"/>
      <c r="P414" s="331">
        <f>D414</f>
      </c>
      <c r="Q414" s="169"/>
      <c r="R414" s="1"/>
      <c r="S414" s="217">
        <f>(1+$M$5)^(D414/12)*(IF(E414=$C$6,$Q$4+$H$5*12,0))</f>
      </c>
      <c r="T414" s="217">
        <f>(1+$M$5)^(D414/12)*(IF(YEAR(E414)&gt;YEAR($C$6),L414,0)+IF(E414=$C$6,$H$5*12+$Q$4,0))</f>
      </c>
    </row>
    <row x14ac:dyDescent="0.25" r="415" customHeight="1" ht="18.75">
      <c r="A415" s="1"/>
      <c r="B415" s="7"/>
      <c r="C415" s="170"/>
      <c r="D415" s="331">
        <v>408</v>
      </c>
      <c r="E415" s="544">
        <f>+DATE(YEAR(E414),MONTH(E414)-1,DAY(E414))</f>
        <v>25569.041666666668</v>
      </c>
      <c r="F415" s="333">
        <f>IF(DATE(YEAR($B$6),MONTH($B$6)+1,DAY(1))=E415,1,IF(MONTH(E415)=1,F416*(1+$F$5),F416))</f>
      </c>
      <c r="G415" s="333">
        <f>IF('Simulador - 1º Pilar'!$E$99="Sí",IF('Aportaciones Flex'!$B$13&lt;'Aportaciones Flex'!E415,0,F415*$B$8/12),F415*$B$8/12)</f>
      </c>
      <c r="H415" s="333">
        <f>IF(G415&gt;0,1,0)*$H$5*IF(AND($I$5="NO",YEAR(E415)=YEAR($B$6)+1),1,IF($I$5="SI",1,0))</f>
      </c>
      <c r="I415" s="217">
        <f>(1+$M$5)^(D415/12)*(H415*(12-IF(MONTH(E416)=12,0,MONTH(E416)))+IF(AND(F415=1,F416=0),$Q$4,0))*IF(AND(F415=1,F416=0),1,0)</f>
      </c>
      <c r="J415" s="333">
        <f>(1+$M$5)^(D415/12)*(H415+IF(AND(F415=1,F416=0),$Q$4,0))</f>
      </c>
      <c r="K415" s="351"/>
      <c r="L415" s="333">
        <f>K415+J415</f>
      </c>
      <c r="M415" s="170"/>
      <c r="N415" s="7"/>
      <c r="O415" s="1"/>
      <c r="P415" s="331">
        <f>D415</f>
      </c>
      <c r="Q415" s="169"/>
      <c r="R415" s="1"/>
      <c r="S415" s="217">
        <f>(1+$M$5)^(D415/12)*(IF(E415=$C$6,$Q$4+$H$5*12,0))</f>
      </c>
      <c r="T415" s="217">
        <f>(1+$M$5)^(D415/12)*(IF(YEAR(E415)&gt;YEAR($C$6),L415,0)+IF(E415=$C$6,$H$5*12+$Q$4,0))</f>
      </c>
    </row>
    <row x14ac:dyDescent="0.25" r="416" customHeight="1" ht="18.75">
      <c r="A416" s="1"/>
      <c r="B416" s="7"/>
      <c r="C416" s="170"/>
      <c r="D416" s="331">
        <v>409</v>
      </c>
      <c r="E416" s="544">
        <f>+DATE(YEAR(E415),MONTH(E415)-1,DAY(E415))</f>
        <v>25569.041666666668</v>
      </c>
      <c r="F416" s="333">
        <f>IF(DATE(YEAR($B$6),MONTH($B$6)+1,DAY(1))=E416,1,IF(MONTH(E416)=1,F417*(1+$F$5),F417))</f>
      </c>
      <c r="G416" s="333">
        <f>IF('Simulador - 1º Pilar'!$E$99="Sí",IF('Aportaciones Flex'!$B$13&lt;'Aportaciones Flex'!E416,0,F416*$B$8/12),F416*$B$8/12)</f>
      </c>
      <c r="H416" s="333">
        <f>IF(G416&gt;0,1,0)*$H$5*IF(AND($I$5="NO",YEAR(E416)=YEAR($B$6)+1),1,IF($I$5="SI",1,0))</f>
      </c>
      <c r="I416" s="217">
        <f>(1+$M$5)^(D416/12)*(H416*(12-IF(MONTH(E417)=12,0,MONTH(E417)))+IF(AND(F416=1,F417=0),$Q$4,0))*IF(AND(F416=1,F417=0),1,0)</f>
      </c>
      <c r="J416" s="333">
        <f>(1+$M$5)^(D416/12)*(H416+IF(AND(F416=1,F417=0),$Q$4,0))</f>
      </c>
      <c r="K416" s="351"/>
      <c r="L416" s="333">
        <f>K416+J416</f>
      </c>
      <c r="M416" s="170"/>
      <c r="N416" s="7"/>
      <c r="O416" s="1"/>
      <c r="P416" s="331">
        <f>D416</f>
      </c>
      <c r="Q416" s="169"/>
      <c r="R416" s="1"/>
      <c r="S416" s="217">
        <f>(1+$M$5)^(D416/12)*(IF(E416=$C$6,$Q$4+$H$5*12,0))</f>
      </c>
      <c r="T416" s="217">
        <f>(1+$M$5)^(D416/12)*(IF(YEAR(E416)&gt;YEAR($C$6),L416,0)+IF(E416=$C$6,$H$5*12+$Q$4,0))</f>
      </c>
    </row>
    <row x14ac:dyDescent="0.25" r="417" customHeight="1" ht="18.75">
      <c r="A417" s="1"/>
      <c r="B417" s="7"/>
      <c r="C417" s="170"/>
      <c r="D417" s="331">
        <v>410</v>
      </c>
      <c r="E417" s="544">
        <f>+DATE(YEAR(E416),MONTH(E416)-1,DAY(E416))</f>
        <v>25569.041666666668</v>
      </c>
      <c r="F417" s="333">
        <f>IF(DATE(YEAR($B$6),MONTH($B$6)+1,DAY(1))=E417,1,IF(MONTH(E417)=1,F418*(1+$F$5),F418))</f>
      </c>
      <c r="G417" s="333">
        <f>IF('Simulador - 1º Pilar'!$E$99="Sí",IF('Aportaciones Flex'!$B$13&lt;'Aportaciones Flex'!E417,0,F417*$B$8/12),F417*$B$8/12)</f>
      </c>
      <c r="H417" s="333">
        <f>IF(G417&gt;0,1,0)*$H$5*IF(AND($I$5="NO",YEAR(E417)=YEAR($B$6)+1),1,IF($I$5="SI",1,0))</f>
      </c>
      <c r="I417" s="217">
        <f>(1+$M$5)^(D417/12)*(H417*(12-IF(MONTH(E418)=12,0,MONTH(E418)))+IF(AND(F417=1,F418=0),$Q$4,0))*IF(AND(F417=1,F418=0),1,0)</f>
      </c>
      <c r="J417" s="333">
        <f>(1+$M$5)^(D417/12)*(H417+IF(AND(F417=1,F418=0),$Q$4,0))</f>
      </c>
      <c r="K417" s="351"/>
      <c r="L417" s="333">
        <f>K417+J417</f>
      </c>
      <c r="M417" s="170"/>
      <c r="N417" s="7"/>
      <c r="O417" s="1"/>
      <c r="P417" s="331">
        <f>D417</f>
      </c>
      <c r="Q417" s="169"/>
      <c r="R417" s="1"/>
      <c r="S417" s="217">
        <f>(1+$M$5)^(D417/12)*(IF(E417=$C$6,$Q$4+$H$5*12,0))</f>
      </c>
      <c r="T417" s="217">
        <f>(1+$M$5)^(D417/12)*(IF(YEAR(E417)&gt;YEAR($C$6),L417,0)+IF(E417=$C$6,$H$5*12+$Q$4,0))</f>
      </c>
    </row>
    <row x14ac:dyDescent="0.25" r="418" customHeight="1" ht="18.75">
      <c r="A418" s="1"/>
      <c r="B418" s="7"/>
      <c r="C418" s="170"/>
      <c r="D418" s="331">
        <v>411</v>
      </c>
      <c r="E418" s="544">
        <f>+DATE(YEAR(E417),MONTH(E417)-1,DAY(E417))</f>
        <v>25569.041666666668</v>
      </c>
      <c r="F418" s="333">
        <f>IF(DATE(YEAR($B$6),MONTH($B$6)+1,DAY(1))=E418,1,IF(MONTH(E418)=1,F419*(1+$F$5),F419))</f>
      </c>
      <c r="G418" s="333">
        <f>IF('Simulador - 1º Pilar'!$E$99="Sí",IF('Aportaciones Flex'!$B$13&lt;'Aportaciones Flex'!E418,0,F418*$B$8/12),F418*$B$8/12)</f>
      </c>
      <c r="H418" s="333">
        <f>IF(G418&gt;0,1,0)*$H$5*IF(AND($I$5="NO",YEAR(E418)=YEAR($B$6)+1),1,IF($I$5="SI",1,0))</f>
      </c>
      <c r="I418" s="217">
        <f>(1+$M$5)^(D418/12)*(H418*(12-IF(MONTH(E419)=12,0,MONTH(E419)))+IF(AND(F418=1,F419=0),$Q$4,0))*IF(AND(F418=1,F419=0),1,0)</f>
      </c>
      <c r="J418" s="333">
        <f>(1+$M$5)^(D418/12)*(H418+IF(AND(F418=1,F419=0),$Q$4,0))</f>
      </c>
      <c r="K418" s="351"/>
      <c r="L418" s="333">
        <f>K418+J418</f>
      </c>
      <c r="M418" s="170"/>
      <c r="N418" s="7"/>
      <c r="O418" s="1"/>
      <c r="P418" s="331">
        <f>D418</f>
      </c>
      <c r="Q418" s="169"/>
      <c r="R418" s="1"/>
      <c r="S418" s="217">
        <f>(1+$M$5)^(D418/12)*(IF(E418=$C$6,$Q$4+$H$5*12,0))</f>
      </c>
      <c r="T418" s="217">
        <f>(1+$M$5)^(D418/12)*(IF(YEAR(E418)&gt;YEAR($C$6),L418,0)+IF(E418=$C$6,$H$5*12+$Q$4,0))</f>
      </c>
    </row>
    <row x14ac:dyDescent="0.25" r="419" customHeight="1" ht="18.75">
      <c r="A419" s="1"/>
      <c r="B419" s="7"/>
      <c r="C419" s="170"/>
      <c r="D419" s="331">
        <v>412</v>
      </c>
      <c r="E419" s="544">
        <f>+DATE(YEAR(E418),MONTH(E418)-1,DAY(E418))</f>
        <v>25569.041666666668</v>
      </c>
      <c r="F419" s="333">
        <f>IF(DATE(YEAR($B$6),MONTH($B$6)+1,DAY(1))=E419,1,IF(MONTH(E419)=1,F420*(1+$F$5),F420))</f>
      </c>
      <c r="G419" s="333">
        <f>IF('Simulador - 1º Pilar'!$E$99="Sí",IF('Aportaciones Flex'!$B$13&lt;'Aportaciones Flex'!E419,0,F419*$B$8/12),F419*$B$8/12)</f>
      </c>
      <c r="H419" s="333">
        <f>IF(G419&gt;0,1,0)*$H$5*IF(AND($I$5="NO",YEAR(E419)=YEAR($B$6)+1),1,IF($I$5="SI",1,0))</f>
      </c>
      <c r="I419" s="217">
        <f>(1+$M$5)^(D419/12)*(H419*(12-IF(MONTH(E420)=12,0,MONTH(E420)))+IF(AND(F419=1,F420=0),$Q$4,0))*IF(AND(F419=1,F420=0),1,0)</f>
      </c>
      <c r="J419" s="333">
        <f>(1+$M$5)^(D419/12)*(H419+IF(AND(F419=1,F420=0),$Q$4,0))</f>
      </c>
      <c r="K419" s="351"/>
      <c r="L419" s="333">
        <f>K419+J419</f>
      </c>
      <c r="M419" s="170"/>
      <c r="N419" s="7"/>
      <c r="O419" s="1"/>
      <c r="P419" s="331">
        <f>D419</f>
      </c>
      <c r="Q419" s="169"/>
      <c r="R419" s="1"/>
      <c r="S419" s="217">
        <f>(1+$M$5)^(D419/12)*(IF(E419=$C$6,$Q$4+$H$5*12,0))</f>
      </c>
      <c r="T419" s="217">
        <f>(1+$M$5)^(D419/12)*(IF(YEAR(E419)&gt;YEAR($C$6),L419,0)+IF(E419=$C$6,$H$5*12+$Q$4,0))</f>
      </c>
    </row>
    <row x14ac:dyDescent="0.25" r="420" customHeight="1" ht="18.75">
      <c r="A420" s="1"/>
      <c r="B420" s="7"/>
      <c r="C420" s="170"/>
      <c r="D420" s="331">
        <v>413</v>
      </c>
      <c r="E420" s="544">
        <f>+DATE(YEAR(E419),MONTH(E419)-1,DAY(E419))</f>
        <v>25569.041666666668</v>
      </c>
      <c r="F420" s="333">
        <f>IF(DATE(YEAR($B$6),MONTH($B$6)+1,DAY(1))=E420,1,IF(MONTH(E420)=1,F421*(1+$F$5),F421))</f>
      </c>
      <c r="G420" s="333">
        <f>IF('Simulador - 1º Pilar'!$E$99="Sí",IF('Aportaciones Flex'!$B$13&lt;'Aportaciones Flex'!E420,0,F420*$B$8/12),F420*$B$8/12)</f>
      </c>
      <c r="H420" s="333">
        <f>IF(G420&gt;0,1,0)*$H$5*IF(AND($I$5="NO",YEAR(E420)=YEAR($B$6)+1),1,IF($I$5="SI",1,0))</f>
      </c>
      <c r="I420" s="217">
        <f>(1+$M$5)^(D420/12)*(H420*(12-IF(MONTH(E421)=12,0,MONTH(E421)))+IF(AND(F420=1,F421=0),$Q$4,0))*IF(AND(F420=1,F421=0),1,0)</f>
      </c>
      <c r="J420" s="333">
        <f>(1+$M$5)^(D420/12)*(H420+IF(AND(F420=1,F421=0),$Q$4,0))</f>
      </c>
      <c r="K420" s="351"/>
      <c r="L420" s="333">
        <f>K420+J420</f>
      </c>
      <c r="M420" s="170"/>
      <c r="N420" s="7"/>
      <c r="O420" s="1"/>
      <c r="P420" s="331">
        <f>D420</f>
      </c>
      <c r="Q420" s="169"/>
      <c r="R420" s="1"/>
      <c r="S420" s="217">
        <f>(1+$M$5)^(D420/12)*(IF(E420=$C$6,$Q$4+$H$5*12,0))</f>
      </c>
      <c r="T420" s="217">
        <f>(1+$M$5)^(D420/12)*(IF(YEAR(E420)&gt;YEAR($C$6),L420,0)+IF(E420=$C$6,$H$5*12+$Q$4,0))</f>
      </c>
    </row>
    <row x14ac:dyDescent="0.25" r="421" customHeight="1" ht="18.75">
      <c r="A421" s="1"/>
      <c r="B421" s="7"/>
      <c r="C421" s="170"/>
      <c r="D421" s="331">
        <v>414</v>
      </c>
      <c r="E421" s="544">
        <f>+DATE(YEAR(E420),MONTH(E420)-1,DAY(E420))</f>
        <v>25569.041666666668</v>
      </c>
      <c r="F421" s="333">
        <f>IF(DATE(YEAR($B$6),MONTH($B$6)+1,DAY(1))=E421,1,IF(MONTH(E421)=1,F422*(1+$F$5),F422))</f>
      </c>
      <c r="G421" s="333">
        <f>IF('Simulador - 1º Pilar'!$E$99="Sí",IF('Aportaciones Flex'!$B$13&lt;'Aportaciones Flex'!E421,0,F421*$B$8/12),F421*$B$8/12)</f>
      </c>
      <c r="H421" s="333">
        <f>IF(G421&gt;0,1,0)*$H$5*IF(AND($I$5="NO",YEAR(E421)=YEAR($B$6)+1),1,IF($I$5="SI",1,0))</f>
      </c>
      <c r="I421" s="217">
        <f>(1+$M$5)^(D421/12)*(H421*(12-IF(MONTH(E422)=12,0,MONTH(E422)))+IF(AND(F421=1,F422=0),$Q$4,0))*IF(AND(F421=1,F422=0),1,0)</f>
      </c>
      <c r="J421" s="333">
        <f>(1+$M$5)^(D421/12)*(H421+IF(AND(F421=1,F422=0),$Q$4,0))</f>
      </c>
      <c r="K421" s="351"/>
      <c r="L421" s="333">
        <f>K421+J421</f>
      </c>
      <c r="M421" s="170"/>
      <c r="N421" s="7"/>
      <c r="O421" s="1"/>
      <c r="P421" s="331">
        <f>D421</f>
      </c>
      <c r="Q421" s="169"/>
      <c r="R421" s="1"/>
      <c r="S421" s="217">
        <f>(1+$M$5)^(D421/12)*(IF(E421=$C$6,$Q$4+$H$5*12,0))</f>
      </c>
      <c r="T421" s="217">
        <f>(1+$M$5)^(D421/12)*(IF(YEAR(E421)&gt;YEAR($C$6),L421,0)+IF(E421=$C$6,$H$5*12+$Q$4,0))</f>
      </c>
    </row>
    <row x14ac:dyDescent="0.25" r="422" customHeight="1" ht="18.75">
      <c r="A422" s="1"/>
      <c r="B422" s="7"/>
      <c r="C422" s="170"/>
      <c r="D422" s="331">
        <v>415</v>
      </c>
      <c r="E422" s="544">
        <f>+DATE(YEAR(E421),MONTH(E421)-1,DAY(E421))</f>
        <v>25569.041666666668</v>
      </c>
      <c r="F422" s="333">
        <f>IF(DATE(YEAR($B$6),MONTH($B$6)+1,DAY(1))=E422,1,IF(MONTH(E422)=1,F423*(1+$F$5),F423))</f>
      </c>
      <c r="G422" s="333">
        <f>IF('Simulador - 1º Pilar'!$E$99="Sí",IF('Aportaciones Flex'!$B$13&lt;'Aportaciones Flex'!E422,0,F422*$B$8/12),F422*$B$8/12)</f>
      </c>
      <c r="H422" s="333">
        <f>IF(G422&gt;0,1,0)*$H$5*IF(AND($I$5="NO",YEAR(E422)=YEAR($B$6)+1),1,IF($I$5="SI",1,0))</f>
      </c>
      <c r="I422" s="217">
        <f>(1+$M$5)^(D422/12)*(H422*(12-IF(MONTH(E423)=12,0,MONTH(E423)))+IF(AND(F422=1,F423=0),$Q$4,0))*IF(AND(F422=1,F423=0),1,0)</f>
      </c>
      <c r="J422" s="333">
        <f>(1+$M$5)^(D422/12)*(H422+IF(AND(F422=1,F423=0),$Q$4,0))</f>
      </c>
      <c r="K422" s="351"/>
      <c r="L422" s="333">
        <f>K422+J422</f>
      </c>
      <c r="M422" s="170"/>
      <c r="N422" s="7"/>
      <c r="O422" s="1"/>
      <c r="P422" s="331">
        <f>D422</f>
      </c>
      <c r="Q422" s="169"/>
      <c r="R422" s="1"/>
      <c r="S422" s="217">
        <f>(1+$M$5)^(D422/12)*(IF(E422=$C$6,$Q$4+$H$5*12,0))</f>
      </c>
      <c r="T422" s="217">
        <f>(1+$M$5)^(D422/12)*(IF(YEAR(E422)&gt;YEAR($C$6),L422,0)+IF(E422=$C$6,$H$5*12+$Q$4,0))</f>
      </c>
    </row>
    <row x14ac:dyDescent="0.25" r="423" customHeight="1" ht="18.75">
      <c r="A423" s="1"/>
      <c r="B423" s="7"/>
      <c r="C423" s="170"/>
      <c r="D423" s="331">
        <v>416</v>
      </c>
      <c r="E423" s="544">
        <f>+DATE(YEAR(E422),MONTH(E422)-1,DAY(E422))</f>
        <v>25569.041666666668</v>
      </c>
      <c r="F423" s="333">
        <f>IF(DATE(YEAR($B$6),MONTH($B$6)+1,DAY(1))=E423,1,IF(MONTH(E423)=1,F424*(1+$F$5),F424))</f>
      </c>
      <c r="G423" s="333">
        <f>IF('Simulador - 1º Pilar'!$E$99="Sí",IF('Aportaciones Flex'!$B$13&lt;'Aportaciones Flex'!E423,0,F423*$B$8/12),F423*$B$8/12)</f>
      </c>
      <c r="H423" s="333">
        <f>IF(G423&gt;0,1,0)*$H$5*IF(AND($I$5="NO",YEAR(E423)=YEAR($B$6)+1),1,IF($I$5="SI",1,0))</f>
      </c>
      <c r="I423" s="217">
        <f>(1+$M$5)^(D423/12)*(H423*(12-IF(MONTH(E424)=12,0,MONTH(E424)))+IF(AND(F423=1,F424=0),$Q$4,0))*IF(AND(F423=1,F424=0),1,0)</f>
      </c>
      <c r="J423" s="333">
        <f>(1+$M$5)^(D423/12)*(H423+IF(AND(F423=1,F424=0),$Q$4,0))</f>
      </c>
      <c r="K423" s="351"/>
      <c r="L423" s="333">
        <f>K423+J423</f>
      </c>
      <c r="M423" s="170"/>
      <c r="N423" s="7"/>
      <c r="O423" s="1"/>
      <c r="P423" s="331">
        <f>D423</f>
      </c>
      <c r="Q423" s="169"/>
      <c r="R423" s="1"/>
      <c r="S423" s="217">
        <f>(1+$M$5)^(D423/12)*(IF(E423=$C$6,$Q$4+$H$5*12,0))</f>
      </c>
      <c r="T423" s="217">
        <f>(1+$M$5)^(D423/12)*(IF(YEAR(E423)&gt;YEAR($C$6),L423,0)+IF(E423=$C$6,$H$5*12+$Q$4,0))</f>
      </c>
    </row>
    <row x14ac:dyDescent="0.25" r="424" customHeight="1" ht="18.75">
      <c r="A424" s="1"/>
      <c r="B424" s="7"/>
      <c r="C424" s="170"/>
      <c r="D424" s="331">
        <v>417</v>
      </c>
      <c r="E424" s="544">
        <f>+DATE(YEAR(E423),MONTH(E423)-1,DAY(E423))</f>
        <v>25569.041666666668</v>
      </c>
      <c r="F424" s="333">
        <f>IF(DATE(YEAR($B$6),MONTH($B$6)+1,DAY(1))=E424,1,IF(MONTH(E424)=1,F425*(1+$F$5),F425))</f>
      </c>
      <c r="G424" s="333">
        <f>IF('Simulador - 1º Pilar'!$E$99="Sí",IF('Aportaciones Flex'!$B$13&lt;'Aportaciones Flex'!E424,0,F424*$B$8/12),F424*$B$8/12)</f>
      </c>
      <c r="H424" s="333">
        <f>IF(G424&gt;0,1,0)*$H$5*IF(AND($I$5="NO",YEAR(E424)=YEAR($B$6)+1),1,IF($I$5="SI",1,0))</f>
      </c>
      <c r="I424" s="217">
        <f>(1+$M$5)^(D424/12)*(H424*(12-IF(MONTH(E425)=12,0,MONTH(E425)))+IF(AND(F424=1,F425=0),$Q$4,0))*IF(AND(F424=1,F425=0),1,0)</f>
      </c>
      <c r="J424" s="333">
        <f>(1+$M$5)^(D424/12)*(H424+IF(AND(F424=1,F425=0),$Q$4,0))</f>
      </c>
      <c r="K424" s="351"/>
      <c r="L424" s="333">
        <f>K424+J424</f>
      </c>
      <c r="M424" s="170"/>
      <c r="N424" s="7"/>
      <c r="O424" s="1"/>
      <c r="P424" s="331">
        <f>D424</f>
      </c>
      <c r="Q424" s="169"/>
      <c r="R424" s="1"/>
      <c r="S424" s="217">
        <f>(1+$M$5)^(D424/12)*(IF(E424=$C$6,$Q$4+$H$5*12,0))</f>
      </c>
      <c r="T424" s="217">
        <f>(1+$M$5)^(D424/12)*(IF(YEAR(E424)&gt;YEAR($C$6),L424,0)+IF(E424=$C$6,$H$5*12+$Q$4,0))</f>
      </c>
    </row>
    <row x14ac:dyDescent="0.25" r="425" customHeight="1" ht="18.75">
      <c r="A425" s="1"/>
      <c r="B425" s="7"/>
      <c r="C425" s="170"/>
      <c r="D425" s="331">
        <v>418</v>
      </c>
      <c r="E425" s="544">
        <f>+DATE(YEAR(E424),MONTH(E424)-1,DAY(E424))</f>
        <v>25569.041666666668</v>
      </c>
      <c r="F425" s="333">
        <f>IF(DATE(YEAR($B$6),MONTH($B$6)+1,DAY(1))=E425,1,IF(MONTH(E425)=1,F426*(1+$F$5),F426))</f>
      </c>
      <c r="G425" s="333">
        <f>IF('Simulador - 1º Pilar'!$E$99="Sí",IF('Aportaciones Flex'!$B$13&lt;'Aportaciones Flex'!E425,0,F425*$B$8/12),F425*$B$8/12)</f>
      </c>
      <c r="H425" s="333">
        <f>IF(G425&gt;0,1,0)*$H$5*IF(AND($I$5="NO",YEAR(E425)=YEAR($B$6)+1),1,IF($I$5="SI",1,0))</f>
      </c>
      <c r="I425" s="217">
        <f>(1+$M$5)^(D425/12)*(H425*(12-IF(MONTH(E426)=12,0,MONTH(E426)))+IF(AND(F425=1,F426=0),$Q$4,0))*IF(AND(F425=1,F426=0),1,0)</f>
      </c>
      <c r="J425" s="333">
        <f>(1+$M$5)^(D425/12)*(H425+IF(AND(F425=1,F426=0),$Q$4,0))</f>
      </c>
      <c r="K425" s="351"/>
      <c r="L425" s="333">
        <f>K425+J425</f>
      </c>
      <c r="M425" s="170"/>
      <c r="N425" s="7"/>
      <c r="O425" s="1"/>
      <c r="P425" s="331">
        <f>D425</f>
      </c>
      <c r="Q425" s="169"/>
      <c r="R425" s="1"/>
      <c r="S425" s="217">
        <f>(1+$M$5)^(D425/12)*(IF(E425=$C$6,$Q$4+$H$5*12,0))</f>
      </c>
      <c r="T425" s="217">
        <f>(1+$M$5)^(D425/12)*(IF(YEAR(E425)&gt;YEAR($C$6),L425,0)+IF(E425=$C$6,$H$5*12+$Q$4,0))</f>
      </c>
    </row>
    <row x14ac:dyDescent="0.25" r="426" customHeight="1" ht="18.75">
      <c r="A426" s="1"/>
      <c r="B426" s="7"/>
      <c r="C426" s="170"/>
      <c r="D426" s="331">
        <v>419</v>
      </c>
      <c r="E426" s="544">
        <f>+DATE(YEAR(E425),MONTH(E425)-1,DAY(E425))</f>
        <v>25569.041666666668</v>
      </c>
      <c r="F426" s="333">
        <f>IF(DATE(YEAR($B$6),MONTH($B$6)+1,DAY(1))=E426,1,IF(MONTH(E426)=1,F427*(1+$F$5),F427))</f>
      </c>
      <c r="G426" s="333">
        <f>IF('Simulador - 1º Pilar'!$E$99="Sí",IF('Aportaciones Flex'!$B$13&lt;'Aportaciones Flex'!E426,0,F426*$B$8/12),F426*$B$8/12)</f>
      </c>
      <c r="H426" s="333">
        <f>IF(G426&gt;0,1,0)*$H$5*IF(AND($I$5="NO",YEAR(E426)=YEAR($B$6)+1),1,IF($I$5="SI",1,0))</f>
      </c>
      <c r="I426" s="217">
        <f>(1+$M$5)^(D426/12)*(H426*(12-IF(MONTH(E427)=12,0,MONTH(E427)))+IF(AND(F426=1,F427=0),$Q$4,0))*IF(AND(F426=1,F427=0),1,0)</f>
      </c>
      <c r="J426" s="333">
        <f>(1+$M$5)^(D426/12)*(H426+IF(AND(F426=1,F427=0),$Q$4,0))</f>
      </c>
      <c r="K426" s="351"/>
      <c r="L426" s="333">
        <f>K426+J426</f>
      </c>
      <c r="M426" s="170"/>
      <c r="N426" s="7"/>
      <c r="O426" s="1"/>
      <c r="P426" s="331">
        <f>D426</f>
      </c>
      <c r="Q426" s="169"/>
      <c r="R426" s="1"/>
      <c r="S426" s="217">
        <f>(1+$M$5)^(D426/12)*(IF(E426=$C$6,$Q$4+$H$5*12,0))</f>
      </c>
      <c r="T426" s="217">
        <f>(1+$M$5)^(D426/12)*(IF(YEAR(E426)&gt;YEAR($C$6),L426,0)+IF(E426=$C$6,$H$5*12+$Q$4,0))</f>
      </c>
    </row>
    <row x14ac:dyDescent="0.25" r="427" customHeight="1" ht="18.75">
      <c r="A427" s="1"/>
      <c r="B427" s="7"/>
      <c r="C427" s="170"/>
      <c r="D427" s="331">
        <v>420</v>
      </c>
      <c r="E427" s="544">
        <f>+DATE(YEAR(E426),MONTH(E426)-1,DAY(E426))</f>
        <v>25569.041666666668</v>
      </c>
      <c r="F427" s="333">
        <f>IF(DATE(YEAR($B$6),MONTH($B$6)+1,DAY(1))=E427,1,IF(MONTH(E427)=1,F428*(1+$F$5),F428))</f>
      </c>
      <c r="G427" s="333">
        <f>IF('Simulador - 1º Pilar'!$E$99="Sí",IF('Aportaciones Flex'!$B$13&lt;'Aportaciones Flex'!E427,0,F427*$B$8/12),F427*$B$8/12)</f>
      </c>
      <c r="H427" s="333">
        <f>IF(G427&gt;0,1,0)*$H$5*IF(AND($I$5="NO",YEAR(E427)=YEAR($B$6)+1),1,IF($I$5="SI",1,0))</f>
      </c>
      <c r="I427" s="217">
        <f>(1+$M$5)^(D427/12)*(H427*(12-IF(MONTH(E428)=12,0,MONTH(E428)))+IF(AND(F427=1,F428=0),$Q$4,0))*IF(AND(F427=1,F428=0),1,0)</f>
      </c>
      <c r="J427" s="333">
        <f>(1+$M$5)^(D427/12)*(H427+IF(AND(F427=1,F428=0),$Q$4,0))</f>
      </c>
      <c r="K427" s="351"/>
      <c r="L427" s="333">
        <f>K427+J427</f>
      </c>
      <c r="M427" s="170"/>
      <c r="N427" s="7"/>
      <c r="O427" s="1"/>
      <c r="P427" s="331">
        <f>D427</f>
      </c>
      <c r="Q427" s="169"/>
      <c r="R427" s="1"/>
      <c r="S427" s="217">
        <f>(1+$M$5)^(D427/12)*(IF(E427=$C$6,$Q$4+$H$5*12,0))</f>
      </c>
      <c r="T427" s="217">
        <f>(1+$M$5)^(D427/12)*(IF(YEAR(E427)&gt;YEAR($C$6),L427,0)+IF(E427=$C$6,$H$5*12+$Q$4,0))</f>
      </c>
    </row>
    <row x14ac:dyDescent="0.25" r="428" customHeight="1" ht="18.75">
      <c r="A428" s="1"/>
      <c r="B428" s="7"/>
      <c r="C428" s="170"/>
      <c r="D428" s="331">
        <v>421</v>
      </c>
      <c r="E428" s="544">
        <f>+DATE(YEAR(E427),MONTH(E427)-1,DAY(E427))</f>
        <v>25569.041666666668</v>
      </c>
      <c r="F428" s="333">
        <f>IF(DATE(YEAR($B$6),MONTH($B$6)+1,DAY(1))=E428,1,IF(MONTH(E428)=1,F429*(1+$F$5),F429))</f>
      </c>
      <c r="G428" s="333">
        <f>IF('Simulador - 1º Pilar'!$E$99="Sí",IF('Aportaciones Flex'!$B$13&lt;'Aportaciones Flex'!E428,0,F428*$B$8/12),F428*$B$8/12)</f>
      </c>
      <c r="H428" s="333">
        <f>IF(G428&gt;0,1,0)*$H$5*IF(AND($I$5="NO",YEAR(E428)=YEAR($B$6)+1),1,IF($I$5="SI",1,0))</f>
      </c>
      <c r="I428" s="217">
        <f>(1+$M$5)^(D428/12)*(H428*(12-IF(MONTH(E429)=12,0,MONTH(E429)))+IF(AND(F428=1,F429=0),$Q$4,0))*IF(AND(F428=1,F429=0),1,0)</f>
      </c>
      <c r="J428" s="333">
        <f>(1+$M$5)^(D428/12)*(H428+IF(AND(F428=1,F429=0),$Q$4,0))</f>
      </c>
      <c r="K428" s="351"/>
      <c r="L428" s="333">
        <f>K428+J428</f>
      </c>
      <c r="M428" s="170"/>
      <c r="N428" s="7"/>
      <c r="O428" s="1"/>
      <c r="P428" s="331">
        <f>D428</f>
      </c>
      <c r="Q428" s="169"/>
      <c r="R428" s="1"/>
      <c r="S428" s="217">
        <f>(1+$M$5)^(D428/12)*(IF(E428=$C$6,$Q$4+$H$5*12,0))</f>
      </c>
      <c r="T428" s="217">
        <f>(1+$M$5)^(D428/12)*(IF(YEAR(E428)&gt;YEAR($C$6),L428,0)+IF(E428=$C$6,$H$5*12+$Q$4,0))</f>
      </c>
    </row>
    <row x14ac:dyDescent="0.25" r="429" customHeight="1" ht="18.75">
      <c r="A429" s="1"/>
      <c r="B429" s="7"/>
      <c r="C429" s="170"/>
      <c r="D429" s="331">
        <v>422</v>
      </c>
      <c r="E429" s="544">
        <f>+DATE(YEAR(E428),MONTH(E428)-1,DAY(E428))</f>
        <v>25569.041666666668</v>
      </c>
      <c r="F429" s="333">
        <f>IF(DATE(YEAR($B$6),MONTH($B$6)+1,DAY(1))=E429,1,IF(MONTH(E429)=1,F430*(1+$F$5),F430))</f>
      </c>
      <c r="G429" s="333">
        <f>IF('Simulador - 1º Pilar'!$E$99="Sí",IF('Aportaciones Flex'!$B$13&lt;'Aportaciones Flex'!E429,0,F429*$B$8/12),F429*$B$8/12)</f>
      </c>
      <c r="H429" s="333">
        <f>IF(G429&gt;0,1,0)*$H$5*IF(AND($I$5="NO",YEAR(E429)=YEAR($B$6)+1),1,IF($I$5="SI",1,0))</f>
      </c>
      <c r="I429" s="217">
        <f>(1+$M$5)^(D429/12)*(H429*(12-IF(MONTH(E430)=12,0,MONTH(E430)))+IF(AND(F429=1,F430=0),$Q$4,0))*IF(AND(F429=1,F430=0),1,0)</f>
      </c>
      <c r="J429" s="333">
        <f>(1+$M$5)^(D429/12)*(H429+IF(AND(F429=1,F430=0),$Q$4,0))</f>
      </c>
      <c r="K429" s="351"/>
      <c r="L429" s="333">
        <f>K429+J429</f>
      </c>
      <c r="M429" s="170"/>
      <c r="N429" s="7"/>
      <c r="O429" s="1"/>
      <c r="P429" s="331">
        <f>D429</f>
      </c>
      <c r="Q429" s="169"/>
      <c r="R429" s="1"/>
      <c r="S429" s="217">
        <f>(1+$M$5)^(D429/12)*(IF(E429=$C$6,$Q$4+$H$5*12,0))</f>
      </c>
      <c r="T429" s="217">
        <f>(1+$M$5)^(D429/12)*(IF(YEAR(E429)&gt;YEAR($C$6),L429,0)+IF(E429=$C$6,$H$5*12+$Q$4,0))</f>
      </c>
    </row>
    <row x14ac:dyDescent="0.25" r="430" customHeight="1" ht="18.75">
      <c r="A430" s="1"/>
      <c r="B430" s="7"/>
      <c r="C430" s="170"/>
      <c r="D430" s="331">
        <v>423</v>
      </c>
      <c r="E430" s="544">
        <f>+DATE(YEAR(E429),MONTH(E429)-1,DAY(E429))</f>
        <v>25569.041666666668</v>
      </c>
      <c r="F430" s="333">
        <f>IF(DATE(YEAR($B$6),MONTH($B$6)+1,DAY(1))=E430,1,IF(MONTH(E430)=1,F431*(1+$F$5),F431))</f>
      </c>
      <c r="G430" s="333">
        <f>IF('Simulador - 1º Pilar'!$E$99="Sí",IF('Aportaciones Flex'!$B$13&lt;'Aportaciones Flex'!E430,0,F430*$B$8/12),F430*$B$8/12)</f>
      </c>
      <c r="H430" s="333">
        <f>IF(G430&gt;0,1,0)*$H$5*IF(AND($I$5="NO",YEAR(E430)=YEAR($B$6)+1),1,IF($I$5="SI",1,0))</f>
      </c>
      <c r="I430" s="217">
        <f>(1+$M$5)^(D430/12)*(H430*(12-IF(MONTH(E431)=12,0,MONTH(E431)))+IF(AND(F430=1,F431=0),$Q$4,0))*IF(AND(F430=1,F431=0),1,0)</f>
      </c>
      <c r="J430" s="333">
        <f>(1+$M$5)^(D430/12)*(H430+IF(AND(F430=1,F431=0),$Q$4,0))</f>
      </c>
      <c r="K430" s="351"/>
      <c r="L430" s="333">
        <f>K430+J430</f>
      </c>
      <c r="M430" s="170"/>
      <c r="N430" s="7"/>
      <c r="O430" s="1"/>
      <c r="P430" s="331">
        <f>D430</f>
      </c>
      <c r="Q430" s="169"/>
      <c r="R430" s="1"/>
      <c r="S430" s="217">
        <f>(1+$M$5)^(D430/12)*(IF(E430=$C$6,$Q$4+$H$5*12,0))</f>
      </c>
      <c r="T430" s="217">
        <f>(1+$M$5)^(D430/12)*(IF(YEAR(E430)&gt;YEAR($C$6),L430,0)+IF(E430=$C$6,$H$5*12+$Q$4,0))</f>
      </c>
    </row>
    <row x14ac:dyDescent="0.25" r="431" customHeight="1" ht="18.75">
      <c r="A431" s="1"/>
      <c r="B431" s="7"/>
      <c r="C431" s="170"/>
      <c r="D431" s="331">
        <v>424</v>
      </c>
      <c r="E431" s="544">
        <f>+DATE(YEAR(E430),MONTH(E430)-1,DAY(E430))</f>
        <v>25569.041666666668</v>
      </c>
      <c r="F431" s="333">
        <f>IF(DATE(YEAR($B$6),MONTH($B$6)+1,DAY(1))=E431,1,IF(MONTH(E431)=1,F432*(1+$F$5),F432))</f>
      </c>
      <c r="G431" s="333">
        <f>IF('Simulador - 1º Pilar'!$E$99="Sí",IF('Aportaciones Flex'!$B$13&lt;'Aportaciones Flex'!E431,0,F431*$B$8/12),F431*$B$8/12)</f>
      </c>
      <c r="H431" s="333">
        <f>IF(G431&gt;0,1,0)*$H$5*IF(AND($I$5="NO",YEAR(E431)=YEAR($B$6)+1),1,IF($I$5="SI",1,0))</f>
      </c>
      <c r="I431" s="217">
        <f>(1+$M$5)^(D431/12)*(H431*(12-IF(MONTH(E432)=12,0,MONTH(E432)))+IF(AND(F431=1,F432=0),$Q$4,0))*IF(AND(F431=1,F432=0),1,0)</f>
      </c>
      <c r="J431" s="333">
        <f>(1+$M$5)^(D431/12)*(H431+IF(AND(F431=1,F432=0),$Q$4,0))</f>
      </c>
      <c r="K431" s="351"/>
      <c r="L431" s="333">
        <f>K431+J431</f>
      </c>
      <c r="M431" s="170"/>
      <c r="N431" s="7"/>
      <c r="O431" s="1"/>
      <c r="P431" s="331">
        <f>D431</f>
      </c>
      <c r="Q431" s="169"/>
      <c r="R431" s="1"/>
      <c r="S431" s="217">
        <f>(1+$M$5)^(D431/12)*(IF(E431=$C$6,$Q$4+$H$5*12,0))</f>
      </c>
      <c r="T431" s="217">
        <f>(1+$M$5)^(D431/12)*(IF(YEAR(E431)&gt;YEAR($C$6),L431,0)+IF(E431=$C$6,$H$5*12+$Q$4,0))</f>
      </c>
    </row>
    <row x14ac:dyDescent="0.25" r="432" customHeight="1" ht="18.75">
      <c r="A432" s="1"/>
      <c r="B432" s="7"/>
      <c r="C432" s="170"/>
      <c r="D432" s="331">
        <v>425</v>
      </c>
      <c r="E432" s="544">
        <f>+DATE(YEAR(E431),MONTH(E431)-1,DAY(E431))</f>
        <v>25569.041666666668</v>
      </c>
      <c r="F432" s="333">
        <f>IF(DATE(YEAR($B$6),MONTH($B$6)+1,DAY(1))=E432,1,IF(MONTH(E432)=1,F433*(1+$F$5),F433))</f>
      </c>
      <c r="G432" s="333">
        <f>IF('Simulador - 1º Pilar'!$E$99="Sí",IF('Aportaciones Flex'!$B$13&lt;'Aportaciones Flex'!E432,0,F432*$B$8/12),F432*$B$8/12)</f>
      </c>
      <c r="H432" s="333">
        <f>IF(G432&gt;0,1,0)*$H$5*IF(AND($I$5="NO",YEAR(E432)=YEAR($B$6)+1),1,IF($I$5="SI",1,0))</f>
      </c>
      <c r="I432" s="217">
        <f>(1+$M$5)^(D432/12)*(H432*(12-IF(MONTH(E433)=12,0,MONTH(E433)))+IF(AND(F432=1,F433=0),$Q$4,0))*IF(AND(F432=1,F433=0),1,0)</f>
      </c>
      <c r="J432" s="333">
        <f>(1+$M$5)^(D432/12)*(H432+IF(AND(F432=1,F433=0),$Q$4,0))</f>
      </c>
      <c r="K432" s="351"/>
      <c r="L432" s="333">
        <f>K432+J432</f>
      </c>
      <c r="M432" s="170"/>
      <c r="N432" s="7"/>
      <c r="O432" s="1"/>
      <c r="P432" s="331">
        <f>D432</f>
      </c>
      <c r="Q432" s="169"/>
      <c r="R432" s="1"/>
      <c r="S432" s="217">
        <f>(1+$M$5)^(D432/12)*(IF(E432=$C$6,$Q$4+$H$5*12,0))</f>
      </c>
      <c r="T432" s="217">
        <f>(1+$M$5)^(D432/12)*(IF(YEAR(E432)&gt;YEAR($C$6),L432,0)+IF(E432=$C$6,$H$5*12+$Q$4,0))</f>
      </c>
    </row>
    <row x14ac:dyDescent="0.25" r="433" customHeight="1" ht="18.75">
      <c r="A433" s="1"/>
      <c r="B433" s="7"/>
      <c r="C433" s="170"/>
      <c r="D433" s="331">
        <v>426</v>
      </c>
      <c r="E433" s="544">
        <f>+DATE(YEAR(E432),MONTH(E432)-1,DAY(E432))</f>
        <v>25569.041666666668</v>
      </c>
      <c r="F433" s="333">
        <f>IF(DATE(YEAR($B$6),MONTH($B$6)+1,DAY(1))=E433,1,IF(MONTH(E433)=1,F434*(1+$F$5),F434))</f>
      </c>
      <c r="G433" s="333">
        <f>IF('Simulador - 1º Pilar'!$E$99="Sí",IF('Aportaciones Flex'!$B$13&lt;'Aportaciones Flex'!E433,0,F433*$B$8/12),F433*$B$8/12)</f>
      </c>
      <c r="H433" s="333">
        <f>IF(G433&gt;0,1,0)*$H$5*IF(AND($I$5="NO",YEAR(E433)=YEAR($B$6)+1),1,IF($I$5="SI",1,0))</f>
      </c>
      <c r="I433" s="217">
        <f>(1+$M$5)^(D433/12)*(H433*(12-IF(MONTH(E434)=12,0,MONTH(E434)))+IF(AND(F433=1,F434=0),$Q$4,0))*IF(AND(F433=1,F434=0),1,0)</f>
      </c>
      <c r="J433" s="333">
        <f>(1+$M$5)^(D433/12)*(H433+IF(AND(F433=1,F434=0),$Q$4,0))</f>
      </c>
      <c r="K433" s="351"/>
      <c r="L433" s="333">
        <f>K433+J433</f>
      </c>
      <c r="M433" s="170"/>
      <c r="N433" s="7"/>
      <c r="O433" s="1"/>
      <c r="P433" s="331">
        <f>D433</f>
      </c>
      <c r="Q433" s="169"/>
      <c r="R433" s="1"/>
      <c r="S433" s="217">
        <f>(1+$M$5)^(D433/12)*(IF(E433=$C$6,$Q$4+$H$5*12,0))</f>
      </c>
      <c r="T433" s="217">
        <f>(1+$M$5)^(D433/12)*(IF(YEAR(E433)&gt;YEAR($C$6),L433,0)+IF(E433=$C$6,$H$5*12+$Q$4,0))</f>
      </c>
    </row>
    <row x14ac:dyDescent="0.25" r="434" customHeight="1" ht="18.75">
      <c r="A434" s="1"/>
      <c r="B434" s="7"/>
      <c r="C434" s="170"/>
      <c r="D434" s="331">
        <v>427</v>
      </c>
      <c r="E434" s="544">
        <f>+DATE(YEAR(E433),MONTH(E433)-1,DAY(E433))</f>
        <v>25569.041666666668</v>
      </c>
      <c r="F434" s="333">
        <f>IF(DATE(YEAR($B$6),MONTH($B$6)+1,DAY(1))=E434,1,IF(MONTH(E434)=1,F435*(1+$F$5),F435))</f>
      </c>
      <c r="G434" s="333">
        <f>IF('Simulador - 1º Pilar'!$E$99="Sí",IF('Aportaciones Flex'!$B$13&lt;'Aportaciones Flex'!E434,0,F434*$B$8/12),F434*$B$8/12)</f>
      </c>
      <c r="H434" s="333">
        <f>IF(G434&gt;0,1,0)*$H$5*IF(AND($I$5="NO",YEAR(E434)=YEAR($B$6)+1),1,IF($I$5="SI",1,0))</f>
      </c>
      <c r="I434" s="217">
        <f>(1+$M$5)^(D434/12)*(H434*(12-IF(MONTH(E435)=12,0,MONTH(E435)))+IF(AND(F434=1,F435=0),$Q$4,0))*IF(AND(F434=1,F435=0),1,0)</f>
      </c>
      <c r="J434" s="333">
        <f>(1+$M$5)^(D434/12)*(H434+IF(AND(F434=1,F435=0),$Q$4,0))</f>
      </c>
      <c r="K434" s="351"/>
      <c r="L434" s="333">
        <f>K434+J434</f>
      </c>
      <c r="M434" s="170"/>
      <c r="N434" s="7"/>
      <c r="O434" s="1"/>
      <c r="P434" s="331">
        <f>D434</f>
      </c>
      <c r="Q434" s="169"/>
      <c r="R434" s="1"/>
      <c r="S434" s="217">
        <f>(1+$M$5)^(D434/12)*(IF(E434=$C$6,$Q$4+$H$5*12,0))</f>
      </c>
      <c r="T434" s="217">
        <f>(1+$M$5)^(D434/12)*(IF(YEAR(E434)&gt;YEAR($C$6),L434,0)+IF(E434=$C$6,$H$5*12+$Q$4,0))</f>
      </c>
    </row>
    <row x14ac:dyDescent="0.25" r="435" customHeight="1" ht="18.75">
      <c r="A435" s="1"/>
      <c r="B435" s="7"/>
      <c r="C435" s="170"/>
      <c r="D435" s="331">
        <v>428</v>
      </c>
      <c r="E435" s="544">
        <f>+DATE(YEAR(E434),MONTH(E434)-1,DAY(E434))</f>
        <v>25569.041666666668</v>
      </c>
      <c r="F435" s="333">
        <f>IF(DATE(YEAR($B$6),MONTH($B$6)+1,DAY(1))=E435,1,IF(MONTH(E435)=1,F436*(1+$F$5),F436))</f>
      </c>
      <c r="G435" s="333">
        <f>IF('Simulador - 1º Pilar'!$E$99="Sí",IF('Aportaciones Flex'!$B$13&lt;'Aportaciones Flex'!E435,0,F435*$B$8/12),F435*$B$8/12)</f>
      </c>
      <c r="H435" s="333">
        <f>IF(G435&gt;0,1,0)*$H$5*IF(AND($I$5="NO",YEAR(E435)=YEAR($B$6)+1),1,IF($I$5="SI",1,0))</f>
      </c>
      <c r="I435" s="217">
        <f>(1+$M$5)^(D435/12)*(H435*(12-IF(MONTH(E436)=12,0,MONTH(E436)))+IF(AND(F435=1,F436=0),$Q$4,0))*IF(AND(F435=1,F436=0),1,0)</f>
      </c>
      <c r="J435" s="333">
        <f>(1+$M$5)^(D435/12)*(H435+IF(AND(F435=1,F436=0),$Q$4,0))</f>
      </c>
      <c r="K435" s="351"/>
      <c r="L435" s="333">
        <f>K435+J435</f>
      </c>
      <c r="M435" s="170"/>
      <c r="N435" s="7"/>
      <c r="O435" s="1"/>
      <c r="P435" s="331">
        <f>D435</f>
      </c>
      <c r="Q435" s="169"/>
      <c r="R435" s="1"/>
      <c r="S435" s="217">
        <f>(1+$M$5)^(D435/12)*(IF(E435=$C$6,$Q$4+$H$5*12,0))</f>
      </c>
      <c r="T435" s="217">
        <f>(1+$M$5)^(D435/12)*(IF(YEAR(E435)&gt;YEAR($C$6),L435,0)+IF(E435=$C$6,$H$5*12+$Q$4,0))</f>
      </c>
    </row>
    <row x14ac:dyDescent="0.25" r="436" customHeight="1" ht="18.75">
      <c r="A436" s="1"/>
      <c r="B436" s="7"/>
      <c r="C436" s="170"/>
      <c r="D436" s="331">
        <v>429</v>
      </c>
      <c r="E436" s="544">
        <f>+DATE(YEAR(E435),MONTH(E435)-1,DAY(E435))</f>
        <v>25569.041666666668</v>
      </c>
      <c r="F436" s="333">
        <f>IF(DATE(YEAR($B$6),MONTH($B$6)+1,DAY(1))=E436,1,IF(MONTH(E436)=1,F437*(1+$F$5),F437))</f>
      </c>
      <c r="G436" s="333">
        <f>IF('Simulador - 1º Pilar'!$E$99="Sí",IF('Aportaciones Flex'!$B$13&lt;'Aportaciones Flex'!E436,0,F436*$B$8/12),F436*$B$8/12)</f>
      </c>
      <c r="H436" s="333">
        <f>IF(G436&gt;0,1,0)*$H$5*IF(AND($I$5="NO",YEAR(E436)=YEAR($B$6)+1),1,IF($I$5="SI",1,0))</f>
      </c>
      <c r="I436" s="217">
        <f>(1+$M$5)^(D436/12)*(H436*(12-IF(MONTH(E437)=12,0,MONTH(E437)))+IF(AND(F436=1,F437=0),$Q$4,0))*IF(AND(F436=1,F437=0),1,0)</f>
      </c>
      <c r="J436" s="333">
        <f>(1+$M$5)^(D436/12)*(H436+IF(AND(F436=1,F437=0),$Q$4,0))</f>
      </c>
      <c r="K436" s="351"/>
      <c r="L436" s="333">
        <f>K436+J436</f>
      </c>
      <c r="M436" s="170"/>
      <c r="N436" s="7"/>
      <c r="O436" s="1"/>
      <c r="P436" s="331">
        <f>D436</f>
      </c>
      <c r="Q436" s="169"/>
      <c r="R436" s="1"/>
      <c r="S436" s="217">
        <f>(1+$M$5)^(D436/12)*(IF(E436=$C$6,$Q$4+$H$5*12,0))</f>
      </c>
      <c r="T436" s="217">
        <f>(1+$M$5)^(D436/12)*(IF(YEAR(E436)&gt;YEAR($C$6),L436,0)+IF(E436=$C$6,$H$5*12+$Q$4,0))</f>
      </c>
    </row>
    <row x14ac:dyDescent="0.25" r="437" customHeight="1" ht="18.75">
      <c r="A437" s="1"/>
      <c r="B437" s="7"/>
      <c r="C437" s="170"/>
      <c r="D437" s="331">
        <v>430</v>
      </c>
      <c r="E437" s="544">
        <f>+DATE(YEAR(E436),MONTH(E436)-1,DAY(E436))</f>
        <v>25569.041666666668</v>
      </c>
      <c r="F437" s="333">
        <f>IF(DATE(YEAR($B$6),MONTH($B$6)+1,DAY(1))=E437,1,IF(MONTH(E437)=1,F438*(1+$F$5),F438))</f>
      </c>
      <c r="G437" s="333">
        <f>IF('Simulador - 1º Pilar'!$E$99="Sí",IF('Aportaciones Flex'!$B$13&lt;'Aportaciones Flex'!E437,0,F437*$B$8/12),F437*$B$8/12)</f>
      </c>
      <c r="H437" s="333">
        <f>IF(G437&gt;0,1,0)*$H$5*IF(AND($I$5="NO",YEAR(E437)=YEAR($B$6)+1),1,IF($I$5="SI",1,0))</f>
      </c>
      <c r="I437" s="217">
        <f>(1+$M$5)^(D437/12)*(H437*(12-IF(MONTH(E438)=12,0,MONTH(E438)))+IF(AND(F437=1,F438=0),$Q$4,0))*IF(AND(F437=1,F438=0),1,0)</f>
      </c>
      <c r="J437" s="333">
        <f>(1+$M$5)^(D437/12)*(H437+IF(AND(F437=1,F438=0),$Q$4,0))</f>
      </c>
      <c r="K437" s="351"/>
      <c r="L437" s="333">
        <f>K437+J437</f>
      </c>
      <c r="M437" s="170"/>
      <c r="N437" s="7"/>
      <c r="O437" s="1"/>
      <c r="P437" s="331">
        <f>D437</f>
      </c>
      <c r="Q437" s="169"/>
      <c r="R437" s="1"/>
      <c r="S437" s="217">
        <f>(1+$M$5)^(D437/12)*(IF(E437=$C$6,$Q$4+$H$5*12,0))</f>
      </c>
      <c r="T437" s="217">
        <f>(1+$M$5)^(D437/12)*(IF(YEAR(E437)&gt;YEAR($C$6),L437,0)+IF(E437=$C$6,$H$5*12+$Q$4,0))</f>
      </c>
    </row>
    <row x14ac:dyDescent="0.25" r="438" customHeight="1" ht="18.75">
      <c r="A438" s="1"/>
      <c r="B438" s="7"/>
      <c r="C438" s="170"/>
      <c r="D438" s="331">
        <v>431</v>
      </c>
      <c r="E438" s="544">
        <f>+DATE(YEAR(E437),MONTH(E437)-1,DAY(E437))</f>
        <v>25569.041666666668</v>
      </c>
      <c r="F438" s="333">
        <f>IF(DATE(YEAR($B$6),MONTH($B$6)+1,DAY(1))=E438,1,IF(MONTH(E438)=1,F439*(1+$F$5),F439))</f>
      </c>
      <c r="G438" s="333">
        <f>IF('Simulador - 1º Pilar'!$E$99="Sí",IF('Aportaciones Flex'!$B$13&lt;'Aportaciones Flex'!E438,0,F438*$B$8/12),F438*$B$8/12)</f>
      </c>
      <c r="H438" s="333">
        <f>IF(G438&gt;0,1,0)*$H$5*IF(AND($I$5="NO",YEAR(E438)=YEAR($B$6)+1),1,IF($I$5="SI",1,0))</f>
      </c>
      <c r="I438" s="217">
        <f>(1+$M$5)^(D438/12)*(H438*(12-IF(MONTH(E439)=12,0,MONTH(E439)))+IF(AND(F438=1,F439=0),$Q$4,0))*IF(AND(F438=1,F439=0),1,0)</f>
      </c>
      <c r="J438" s="333">
        <f>(1+$M$5)^(D438/12)*(H438+IF(AND(F438=1,F439=0),$Q$4,0))</f>
      </c>
      <c r="K438" s="351"/>
      <c r="L438" s="333">
        <f>K438+J438</f>
      </c>
      <c r="M438" s="170"/>
      <c r="N438" s="7"/>
      <c r="O438" s="1"/>
      <c r="P438" s="331">
        <f>D438</f>
      </c>
      <c r="Q438" s="169"/>
      <c r="R438" s="1"/>
      <c r="S438" s="217">
        <f>(1+$M$5)^(D438/12)*(IF(E438=$C$6,$Q$4+$H$5*12,0))</f>
      </c>
      <c r="T438" s="217">
        <f>(1+$M$5)^(D438/12)*(IF(YEAR(E438)&gt;YEAR($C$6),L438,0)+IF(E438=$C$6,$H$5*12+$Q$4,0))</f>
      </c>
    </row>
    <row x14ac:dyDescent="0.25" r="439" customHeight="1" ht="18.75">
      <c r="A439" s="1"/>
      <c r="B439" s="7"/>
      <c r="C439" s="170"/>
      <c r="D439" s="331">
        <v>432</v>
      </c>
      <c r="E439" s="544">
        <f>+DATE(YEAR(E438),MONTH(E438)-1,DAY(E438))</f>
        <v>25569.041666666668</v>
      </c>
      <c r="F439" s="333">
        <f>IF(DATE(YEAR($B$6),MONTH($B$6)+1,DAY(1))=E439,1,IF(MONTH(E439)=1,F440*(1+$F$5),F440))</f>
      </c>
      <c r="G439" s="333">
        <f>IF('Simulador - 1º Pilar'!$E$99="Sí",IF('Aportaciones Flex'!$B$13&lt;'Aportaciones Flex'!E439,0,F439*$B$8/12),F439*$B$8/12)</f>
      </c>
      <c r="H439" s="333">
        <f>IF(G439&gt;0,1,0)*$H$5*IF(AND($I$5="NO",YEAR(E439)=YEAR($B$6)+1),1,IF($I$5="SI",1,0))</f>
      </c>
      <c r="I439" s="217">
        <f>(1+$M$5)^(D439/12)*(H439*(12-IF(MONTH(E440)=12,0,MONTH(E440)))+IF(AND(F439=1,F440=0),$Q$4,0))*IF(AND(F439=1,F440=0),1,0)</f>
      </c>
      <c r="J439" s="333">
        <f>(1+$M$5)^(D439/12)*(H439+IF(AND(F439=1,F440=0),$Q$4,0))</f>
      </c>
      <c r="K439" s="351"/>
      <c r="L439" s="333">
        <f>K439+J439</f>
      </c>
      <c r="M439" s="170"/>
      <c r="N439" s="7"/>
      <c r="O439" s="1"/>
      <c r="P439" s="331">
        <f>D439</f>
      </c>
      <c r="Q439" s="169"/>
      <c r="R439" s="1"/>
      <c r="S439" s="217">
        <f>(1+$M$5)^(D439/12)*(IF(E439=$C$6,$Q$4+$H$5*12,0))</f>
      </c>
      <c r="T439" s="217">
        <f>(1+$M$5)^(D439/12)*(IF(YEAR(E439)&gt;YEAR($C$6),L439,0)+IF(E439=$C$6,$H$5*12+$Q$4,0))</f>
      </c>
    </row>
    <row x14ac:dyDescent="0.25" r="440" customHeight="1" ht="18.75">
      <c r="A440" s="1"/>
      <c r="B440" s="7"/>
      <c r="C440" s="170"/>
      <c r="D440" s="331">
        <v>433</v>
      </c>
      <c r="E440" s="544">
        <f>+DATE(YEAR(E439),MONTH(E439)-1,DAY(E439))</f>
        <v>25569.041666666668</v>
      </c>
      <c r="F440" s="333">
        <f>IF(DATE(YEAR($B$6),MONTH($B$6)+1,DAY(1))=E440,1,IF(MONTH(E440)=1,F441*(1+$F$5),F441))</f>
      </c>
      <c r="G440" s="333">
        <f>IF('Simulador - 1º Pilar'!$E$99="Sí",IF('Aportaciones Flex'!$B$13&lt;'Aportaciones Flex'!E440,0,F440*$B$8/12),F440*$B$8/12)</f>
      </c>
      <c r="H440" s="333">
        <f>IF(G440&gt;0,1,0)*$H$5*IF(AND($I$5="NO",YEAR(E440)=YEAR($B$6)+1),1,IF($I$5="SI",1,0))</f>
      </c>
      <c r="I440" s="217">
        <f>(1+$M$5)^(D440/12)*(H440*(12-IF(MONTH(E441)=12,0,MONTH(E441)))+IF(AND(F440=1,F441=0),$Q$4,0))*IF(AND(F440=1,F441=0),1,0)</f>
      </c>
      <c r="J440" s="333">
        <f>(1+$M$5)^(D440/12)*(H440+IF(AND(F440=1,F441=0),$Q$4,0))</f>
      </c>
      <c r="K440" s="351"/>
      <c r="L440" s="333">
        <f>K440+J440</f>
      </c>
      <c r="M440" s="170"/>
      <c r="N440" s="7"/>
      <c r="O440" s="1"/>
      <c r="P440" s="331">
        <f>D440</f>
      </c>
      <c r="Q440" s="169"/>
      <c r="R440" s="1"/>
      <c r="S440" s="217">
        <f>(1+$M$5)^(D440/12)*(IF(E440=$C$6,$Q$4+$H$5*12,0))</f>
      </c>
      <c r="T440" s="217">
        <f>(1+$M$5)^(D440/12)*(IF(YEAR(E440)&gt;YEAR($C$6),L440,0)+IF(E440=$C$6,$H$5*12+$Q$4,0))</f>
      </c>
    </row>
    <row x14ac:dyDescent="0.25" r="441" customHeight="1" ht="18.75">
      <c r="A441" s="1"/>
      <c r="B441" s="7"/>
      <c r="C441" s="170"/>
      <c r="D441" s="331">
        <v>434</v>
      </c>
      <c r="E441" s="544">
        <f>+DATE(YEAR(E440),MONTH(E440)-1,DAY(E440))</f>
        <v>25569.041666666668</v>
      </c>
      <c r="F441" s="333">
        <f>IF(DATE(YEAR($B$6),MONTH($B$6)+1,DAY(1))=E441,1,IF(MONTH(E441)=1,F442*(1+$F$5),F442))</f>
      </c>
      <c r="G441" s="333">
        <f>IF('Simulador - 1º Pilar'!$E$99="Sí",IF('Aportaciones Flex'!$B$13&lt;'Aportaciones Flex'!E441,0,F441*$B$8/12),F441*$B$8/12)</f>
      </c>
      <c r="H441" s="333">
        <f>IF(G441&gt;0,1,0)*$H$5*IF(AND($I$5="NO",YEAR(E441)=YEAR($B$6)+1),1,IF($I$5="SI",1,0))</f>
      </c>
      <c r="I441" s="217">
        <f>(1+$M$5)^(D441/12)*(H441*(12-IF(MONTH(E442)=12,0,MONTH(E442)))+IF(AND(F441=1,F442=0),$Q$4,0))*IF(AND(F441=1,F442=0),1,0)</f>
      </c>
      <c r="J441" s="333">
        <f>(1+$M$5)^(D441/12)*(H441+IF(AND(F441=1,F442=0),$Q$4,0))</f>
      </c>
      <c r="K441" s="351"/>
      <c r="L441" s="333">
        <f>K441+J441</f>
      </c>
      <c r="M441" s="170"/>
      <c r="N441" s="7"/>
      <c r="O441" s="1"/>
      <c r="P441" s="331">
        <f>D441</f>
      </c>
      <c r="Q441" s="169"/>
      <c r="R441" s="1"/>
      <c r="S441" s="217">
        <f>(1+$M$5)^(D441/12)*(IF(E441=$C$6,$Q$4+$H$5*12,0))</f>
      </c>
      <c r="T441" s="217">
        <f>(1+$M$5)^(D441/12)*(IF(YEAR(E441)&gt;YEAR($C$6),L441,0)+IF(E441=$C$6,$H$5*12+$Q$4,0))</f>
      </c>
    </row>
    <row x14ac:dyDescent="0.25" r="442" customHeight="1" ht="18.75">
      <c r="A442" s="1"/>
      <c r="B442" s="7"/>
      <c r="C442" s="170"/>
      <c r="D442" s="331">
        <v>435</v>
      </c>
      <c r="E442" s="544">
        <f>+DATE(YEAR(E441),MONTH(E441)-1,DAY(E441))</f>
        <v>25569.041666666668</v>
      </c>
      <c r="F442" s="333">
        <f>IF(DATE(YEAR($B$6),MONTH($B$6)+1,DAY(1))=E442,1,IF(MONTH(E442)=1,F443*(1+$F$5),F443))</f>
      </c>
      <c r="G442" s="333">
        <f>IF('Simulador - 1º Pilar'!$E$99="Sí",IF('Aportaciones Flex'!$B$13&lt;'Aportaciones Flex'!E442,0,F442*$B$8/12),F442*$B$8/12)</f>
      </c>
      <c r="H442" s="333">
        <f>IF(G442&gt;0,1,0)*$H$5*IF(AND($I$5="NO",YEAR(E442)=YEAR($B$6)+1),1,IF($I$5="SI",1,0))</f>
      </c>
      <c r="I442" s="217">
        <f>(1+$M$5)^(D442/12)*(H442*(12-IF(MONTH(E443)=12,0,MONTH(E443)))+IF(AND(F442=1,F443=0),$Q$4,0))*IF(AND(F442=1,F443=0),1,0)</f>
      </c>
      <c r="J442" s="333">
        <f>(1+$M$5)^(D442/12)*(H442+IF(AND(F442=1,F443=0),$Q$4,0))</f>
      </c>
      <c r="K442" s="351"/>
      <c r="L442" s="333">
        <f>K442+J442</f>
      </c>
      <c r="M442" s="170"/>
      <c r="N442" s="7"/>
      <c r="O442" s="1"/>
      <c r="P442" s="331">
        <f>D442</f>
      </c>
      <c r="Q442" s="169"/>
      <c r="R442" s="1"/>
      <c r="S442" s="217">
        <f>(1+$M$5)^(D442/12)*(IF(E442=$C$6,$Q$4+$H$5*12,0))</f>
      </c>
      <c r="T442" s="217">
        <f>(1+$M$5)^(D442/12)*(IF(YEAR(E442)&gt;YEAR($C$6),L442,0)+IF(E442=$C$6,$H$5*12+$Q$4,0))</f>
      </c>
    </row>
    <row x14ac:dyDescent="0.25" r="443" customHeight="1" ht="18.75">
      <c r="A443" s="1"/>
      <c r="B443" s="7"/>
      <c r="C443" s="170"/>
      <c r="D443" s="331">
        <v>436</v>
      </c>
      <c r="E443" s="544">
        <f>+DATE(YEAR(E442),MONTH(E442)-1,DAY(E442))</f>
        <v>25569.041666666668</v>
      </c>
      <c r="F443" s="333">
        <f>IF(DATE(YEAR($B$6),MONTH($B$6)+1,DAY(1))=E443,1,IF(MONTH(E443)=1,F444*(1+$F$5),F444))</f>
      </c>
      <c r="G443" s="333">
        <f>IF('Simulador - 1º Pilar'!$E$99="Sí",IF('Aportaciones Flex'!$B$13&lt;'Aportaciones Flex'!E443,0,F443*$B$8/12),F443*$B$8/12)</f>
      </c>
      <c r="H443" s="333">
        <f>IF(G443&gt;0,1,0)*$H$5*IF(AND($I$5="NO",YEAR(E443)=YEAR($B$6)+1),1,IF($I$5="SI",1,0))</f>
      </c>
      <c r="I443" s="217">
        <f>(1+$M$5)^(D443/12)*(H443*(12-IF(MONTH(E444)=12,0,MONTH(E444)))+IF(AND(F443=1,F444=0),$Q$4,0))*IF(AND(F443=1,F444=0),1,0)</f>
      </c>
      <c r="J443" s="333">
        <f>(1+$M$5)^(D443/12)*(H443+IF(AND(F443=1,F444=0),$Q$4,0))</f>
      </c>
      <c r="K443" s="351"/>
      <c r="L443" s="333">
        <f>K443+J443</f>
      </c>
      <c r="M443" s="170"/>
      <c r="N443" s="7"/>
      <c r="O443" s="1"/>
      <c r="P443" s="331">
        <f>D443</f>
      </c>
      <c r="Q443" s="169"/>
      <c r="R443" s="1"/>
      <c r="S443" s="217">
        <f>(1+$M$5)^(D443/12)*(IF(E443=$C$6,$Q$4+$H$5*12,0))</f>
      </c>
      <c r="T443" s="217">
        <f>(1+$M$5)^(D443/12)*(IF(YEAR(E443)&gt;YEAR($C$6),L443,0)+IF(E443=$C$6,$H$5*12+$Q$4,0))</f>
      </c>
    </row>
    <row x14ac:dyDescent="0.25" r="444" customHeight="1" ht="18.75">
      <c r="A444" s="1"/>
      <c r="B444" s="7"/>
      <c r="C444" s="170"/>
      <c r="D444" s="331">
        <v>437</v>
      </c>
      <c r="E444" s="544">
        <f>+DATE(YEAR(E443),MONTH(E443)-1,DAY(E443))</f>
        <v>25569.041666666668</v>
      </c>
      <c r="F444" s="333">
        <f>IF(DATE(YEAR($B$6),MONTH($B$6)+1,DAY(1))=E444,1,IF(MONTH(E444)=1,F445*(1+$F$5),F445))</f>
      </c>
      <c r="G444" s="333">
        <f>IF('Simulador - 1º Pilar'!$E$99="Sí",IF('Aportaciones Flex'!$B$13&lt;'Aportaciones Flex'!E444,0,F444*$B$8/12),F444*$B$8/12)</f>
      </c>
      <c r="H444" s="333">
        <f>IF(G444&gt;0,1,0)*$H$5*IF(AND($I$5="NO",YEAR(E444)=YEAR($B$6)+1),1,IF($I$5="SI",1,0))</f>
      </c>
      <c r="I444" s="217">
        <f>(1+$M$5)^(D444/12)*(H444*(12-IF(MONTH(E445)=12,0,MONTH(E445)))+IF(AND(F444=1,F445=0),$Q$4,0))*IF(AND(F444=1,F445=0),1,0)</f>
      </c>
      <c r="J444" s="333">
        <f>(1+$M$5)^(D444/12)*(H444+IF(AND(F444=1,F445=0),$Q$4,0))</f>
      </c>
      <c r="K444" s="351"/>
      <c r="L444" s="333">
        <f>K444+J444</f>
      </c>
      <c r="M444" s="170"/>
      <c r="N444" s="7"/>
      <c r="O444" s="1"/>
      <c r="P444" s="331">
        <f>D444</f>
      </c>
      <c r="Q444" s="169"/>
      <c r="R444" s="1"/>
      <c r="S444" s="217">
        <f>(1+$M$5)^(D444/12)*(IF(E444=$C$6,$Q$4+$H$5*12,0))</f>
      </c>
      <c r="T444" s="217">
        <f>(1+$M$5)^(D444/12)*(IF(YEAR(E444)&gt;YEAR($C$6),L444,0)+IF(E444=$C$6,$H$5*12+$Q$4,0))</f>
      </c>
    </row>
    <row x14ac:dyDescent="0.25" r="445" customHeight="1" ht="18.75">
      <c r="A445" s="1"/>
      <c r="B445" s="7"/>
      <c r="C445" s="170"/>
      <c r="D445" s="331">
        <v>438</v>
      </c>
      <c r="E445" s="544">
        <f>+DATE(YEAR(E444),MONTH(E444)-1,DAY(E444))</f>
        <v>25569.041666666668</v>
      </c>
      <c r="F445" s="333">
        <f>IF(DATE(YEAR($B$6),MONTH($B$6)+1,DAY(1))=E445,1,IF(MONTH(E445)=1,F446*(1+$F$5),F446))</f>
      </c>
      <c r="G445" s="333">
        <f>IF('Simulador - 1º Pilar'!$E$99="Sí",IF('Aportaciones Flex'!$B$13&lt;'Aportaciones Flex'!E445,0,F445*$B$8/12),F445*$B$8/12)</f>
      </c>
      <c r="H445" s="333">
        <f>IF(G445&gt;0,1,0)*$H$5*IF(AND($I$5="NO",YEAR(E445)=YEAR($B$6)+1),1,IF($I$5="SI",1,0))</f>
      </c>
      <c r="I445" s="217">
        <f>(1+$M$5)^(D445/12)*(H445*(12-IF(MONTH(E446)=12,0,MONTH(E446)))+IF(AND(F445=1,F446=0),$Q$4,0))*IF(AND(F445=1,F446=0),1,0)</f>
      </c>
      <c r="J445" s="333">
        <f>(1+$M$5)^(D445/12)*(H445+IF(AND(F445=1,F446=0),$Q$4,0))</f>
      </c>
      <c r="K445" s="351"/>
      <c r="L445" s="333">
        <f>K445+J445</f>
      </c>
      <c r="M445" s="170"/>
      <c r="N445" s="7"/>
      <c r="O445" s="1"/>
      <c r="P445" s="331">
        <f>D445</f>
      </c>
      <c r="Q445" s="169"/>
      <c r="R445" s="1"/>
      <c r="S445" s="217">
        <f>(1+$M$5)^(D445/12)*(IF(E445=$C$6,$Q$4+$H$5*12,0))</f>
      </c>
      <c r="T445" s="217">
        <f>(1+$M$5)^(D445/12)*(IF(YEAR(E445)&gt;YEAR($C$6),L445,0)+IF(E445=$C$6,$H$5*12+$Q$4,0))</f>
      </c>
    </row>
    <row x14ac:dyDescent="0.25" r="446" customHeight="1" ht="18.75">
      <c r="A446" s="1"/>
      <c r="B446" s="7"/>
      <c r="C446" s="170"/>
      <c r="D446" s="331">
        <v>439</v>
      </c>
      <c r="E446" s="544">
        <f>+DATE(YEAR(E445),MONTH(E445)-1,DAY(E445))</f>
        <v>25569.041666666668</v>
      </c>
      <c r="F446" s="333">
        <f>IF(DATE(YEAR($B$6),MONTH($B$6)+1,DAY(1))=E446,1,IF(MONTH(E446)=1,F447*(1+$F$5),F447))</f>
      </c>
      <c r="G446" s="333">
        <f>IF('Simulador - 1º Pilar'!$E$99="Sí",IF('Aportaciones Flex'!$B$13&lt;'Aportaciones Flex'!E446,0,F446*$B$8/12),F446*$B$8/12)</f>
      </c>
      <c r="H446" s="333">
        <f>IF(G446&gt;0,1,0)*$H$5*IF(AND($I$5="NO",YEAR(E446)=YEAR($B$6)+1),1,IF($I$5="SI",1,0))</f>
      </c>
      <c r="I446" s="217">
        <f>(1+$M$5)^(D446/12)*(H446*(12-IF(MONTH(E447)=12,0,MONTH(E447)))+IF(AND(F446=1,F447=0),$Q$4,0))*IF(AND(F446=1,F447=0),1,0)</f>
      </c>
      <c r="J446" s="333">
        <f>(1+$M$5)^(D446/12)*(H446+IF(AND(F446=1,F447=0),$Q$4,0))</f>
      </c>
      <c r="K446" s="351"/>
      <c r="L446" s="333">
        <f>K446+J446</f>
      </c>
      <c r="M446" s="170"/>
      <c r="N446" s="7"/>
      <c r="O446" s="1"/>
      <c r="P446" s="331">
        <f>D446</f>
      </c>
      <c r="Q446" s="169"/>
      <c r="R446" s="1"/>
      <c r="S446" s="217">
        <f>(1+$M$5)^(D446/12)*(IF(E446=$C$6,$Q$4+$H$5*12,0))</f>
      </c>
      <c r="T446" s="217">
        <f>(1+$M$5)^(D446/12)*(IF(YEAR(E446)&gt;YEAR($C$6),L446,0)+IF(E446=$C$6,$H$5*12+$Q$4,0))</f>
      </c>
    </row>
    <row x14ac:dyDescent="0.25" r="447" customHeight="1" ht="18.75">
      <c r="A447" s="1"/>
      <c r="B447" s="7"/>
      <c r="C447" s="170"/>
      <c r="D447" s="331">
        <v>440</v>
      </c>
      <c r="E447" s="544">
        <f>+DATE(YEAR(E446),MONTH(E446)-1,DAY(E446))</f>
        <v>25569.041666666668</v>
      </c>
      <c r="F447" s="333">
        <f>IF(DATE(YEAR($B$6),MONTH($B$6)+1,DAY(1))=E447,1,IF(MONTH(E447)=1,F448*(1+$F$5),F448))</f>
      </c>
      <c r="G447" s="333">
        <f>IF('Simulador - 1º Pilar'!$E$99="Sí",IF('Aportaciones Flex'!$B$13&lt;'Aportaciones Flex'!E447,0,F447*$B$8/12),F447*$B$8/12)</f>
      </c>
      <c r="H447" s="333">
        <f>IF(G447&gt;0,1,0)*$H$5*IF(AND($I$5="NO",YEAR(E447)=YEAR($B$6)+1),1,IF($I$5="SI",1,0))</f>
      </c>
      <c r="I447" s="217">
        <f>(1+$M$5)^(D447/12)*(H447*(12-IF(MONTH(E448)=12,0,MONTH(E448)))+IF(AND(F447=1,F448=0),$Q$4,0))*IF(AND(F447=1,F448=0),1,0)</f>
      </c>
      <c r="J447" s="333">
        <f>(1+$M$5)^(D447/12)*(H447+IF(AND(F447=1,F448=0),$Q$4,0))</f>
      </c>
      <c r="K447" s="351"/>
      <c r="L447" s="333">
        <f>K447+J447</f>
      </c>
      <c r="M447" s="170"/>
      <c r="N447" s="7"/>
      <c r="O447" s="1"/>
      <c r="P447" s="331">
        <f>D447</f>
      </c>
      <c r="Q447" s="169"/>
      <c r="R447" s="1"/>
      <c r="S447" s="217">
        <f>(1+$M$5)^(D447/12)*(IF(E447=$C$6,$Q$4+$H$5*12,0))</f>
      </c>
      <c r="T447" s="217">
        <f>(1+$M$5)^(D447/12)*(IF(YEAR(E447)&gt;YEAR($C$6),L447,0)+IF(E447=$C$6,$H$5*12+$Q$4,0))</f>
      </c>
    </row>
    <row x14ac:dyDescent="0.25" r="448" customHeight="1" ht="18.75">
      <c r="A448" s="1"/>
      <c r="B448" s="7"/>
      <c r="C448" s="170"/>
      <c r="D448" s="331">
        <v>441</v>
      </c>
      <c r="E448" s="544">
        <f>+DATE(YEAR(E447),MONTH(E447)-1,DAY(E447))</f>
        <v>25569.041666666668</v>
      </c>
      <c r="F448" s="333">
        <f>IF(DATE(YEAR($B$6),MONTH($B$6)+1,DAY(1))=E448,1,IF(MONTH(E448)=1,F449*(1+$F$5),F449))</f>
      </c>
      <c r="G448" s="333">
        <f>IF('Simulador - 1º Pilar'!$E$99="Sí",IF('Aportaciones Flex'!$B$13&lt;'Aportaciones Flex'!E448,0,F448*$B$8/12),F448*$B$8/12)</f>
      </c>
      <c r="H448" s="333">
        <f>IF(G448&gt;0,1,0)*$H$5*IF(AND($I$5="NO",YEAR(E448)=YEAR($B$6)+1),1,IF($I$5="SI",1,0))</f>
      </c>
      <c r="I448" s="217">
        <f>(1+$M$5)^(D448/12)*(H448*(12-IF(MONTH(E449)=12,0,MONTH(E449)))+IF(AND(F448=1,F449=0),$Q$4,0))*IF(AND(F448=1,F449=0),1,0)</f>
      </c>
      <c r="J448" s="333">
        <f>(1+$M$5)^(D448/12)*(H448+IF(AND(F448=1,F449=0),$Q$4,0))</f>
      </c>
      <c r="K448" s="351"/>
      <c r="L448" s="333">
        <f>K448+J448</f>
      </c>
      <c r="M448" s="170"/>
      <c r="N448" s="7"/>
      <c r="O448" s="1"/>
      <c r="P448" s="331">
        <f>D448</f>
      </c>
      <c r="Q448" s="169"/>
      <c r="R448" s="1"/>
      <c r="S448" s="217">
        <f>(1+$M$5)^(D448/12)*(IF(E448=$C$6,$Q$4+$H$5*12,0))</f>
      </c>
      <c r="T448" s="217">
        <f>(1+$M$5)^(D448/12)*(IF(YEAR(E448)&gt;YEAR($C$6),L448,0)+IF(E448=$C$6,$H$5*12+$Q$4,0))</f>
      </c>
    </row>
    <row x14ac:dyDescent="0.25" r="449" customHeight="1" ht="18.75">
      <c r="A449" s="1"/>
      <c r="B449" s="7"/>
      <c r="C449" s="170"/>
      <c r="D449" s="331">
        <v>442</v>
      </c>
      <c r="E449" s="544">
        <f>+DATE(YEAR(E448),MONTH(E448)-1,DAY(E448))</f>
        <v>25569.041666666668</v>
      </c>
      <c r="F449" s="333">
        <f>IF(DATE(YEAR($B$6),MONTH($B$6)+1,DAY(1))=E449,1,IF(MONTH(E449)=1,F450*(1+$F$5),F450))</f>
      </c>
      <c r="G449" s="333">
        <f>IF('Simulador - 1º Pilar'!$E$99="Sí",IF('Aportaciones Flex'!$B$13&lt;'Aportaciones Flex'!E449,0,F449*$B$8/12),F449*$B$8/12)</f>
      </c>
      <c r="H449" s="333">
        <f>IF(G449&gt;0,1,0)*$H$5*IF(AND($I$5="NO",YEAR(E449)=YEAR($B$6)+1),1,IF($I$5="SI",1,0))</f>
      </c>
      <c r="I449" s="217">
        <f>(1+$M$5)^(D449/12)*(H449*(12-IF(MONTH(E450)=12,0,MONTH(E450)))+IF(AND(F449=1,F450=0),$Q$4,0))*IF(AND(F449=1,F450=0),1,0)</f>
      </c>
      <c r="J449" s="333">
        <f>(1+$M$5)^(D449/12)*(H449+IF(AND(F449=1,F450=0),$Q$4,0))</f>
      </c>
      <c r="K449" s="351"/>
      <c r="L449" s="333">
        <f>K449+J449</f>
      </c>
      <c r="M449" s="170"/>
      <c r="N449" s="7"/>
      <c r="O449" s="1"/>
      <c r="P449" s="331">
        <f>D449</f>
      </c>
      <c r="Q449" s="169"/>
      <c r="R449" s="1"/>
      <c r="S449" s="217">
        <f>(1+$M$5)^(D449/12)*(IF(E449=$C$6,$Q$4+$H$5*12,0))</f>
      </c>
      <c r="T449" s="217">
        <f>(1+$M$5)^(D449/12)*(IF(YEAR(E449)&gt;YEAR($C$6),L449,0)+IF(E449=$C$6,$H$5*12+$Q$4,0))</f>
      </c>
    </row>
    <row x14ac:dyDescent="0.25" r="450" customHeight="1" ht="18.75">
      <c r="A450" s="1"/>
      <c r="B450" s="7"/>
      <c r="C450" s="170"/>
      <c r="D450" s="331">
        <v>443</v>
      </c>
      <c r="E450" s="544">
        <f>+DATE(YEAR(E449),MONTH(E449)-1,DAY(E449))</f>
        <v>25569.041666666668</v>
      </c>
      <c r="F450" s="333">
        <f>IF(DATE(YEAR($B$6),MONTH($B$6)+1,DAY(1))=E450,1,IF(MONTH(E450)=1,F451*(1+$F$5),F451))</f>
      </c>
      <c r="G450" s="333">
        <f>IF('Simulador - 1º Pilar'!$E$99="Sí",IF('Aportaciones Flex'!$B$13&lt;'Aportaciones Flex'!E450,0,F450*$B$8/12),F450*$B$8/12)</f>
      </c>
      <c r="H450" s="333">
        <f>IF(G450&gt;0,1,0)*$H$5*IF(AND($I$5="NO",YEAR(E450)=YEAR($B$6)+1),1,IF($I$5="SI",1,0))</f>
      </c>
      <c r="I450" s="217">
        <f>(1+$M$5)^(D450/12)*(H450*(12-IF(MONTH(E451)=12,0,MONTH(E451)))+IF(AND(F450=1,F451=0),$Q$4,0))*IF(AND(F450=1,F451=0),1,0)</f>
      </c>
      <c r="J450" s="333">
        <f>(1+$M$5)^(D450/12)*(H450+IF(AND(F450=1,F451=0),$Q$4,0))</f>
      </c>
      <c r="K450" s="351"/>
      <c r="L450" s="333">
        <f>K450+J450</f>
      </c>
      <c r="M450" s="170"/>
      <c r="N450" s="7"/>
      <c r="O450" s="1"/>
      <c r="P450" s="331">
        <f>D450</f>
      </c>
      <c r="Q450" s="169"/>
      <c r="R450" s="1"/>
      <c r="S450" s="217">
        <f>(1+$M$5)^(D450/12)*(IF(E450=$C$6,$Q$4+$H$5*12,0))</f>
      </c>
      <c r="T450" s="217">
        <f>(1+$M$5)^(D450/12)*(IF(YEAR(E450)&gt;YEAR($C$6),L450,0)+IF(E450=$C$6,$H$5*12+$Q$4,0))</f>
      </c>
    </row>
    <row x14ac:dyDescent="0.25" r="451" customHeight="1" ht="18.75">
      <c r="A451" s="1"/>
      <c r="B451" s="7"/>
      <c r="C451" s="170"/>
      <c r="D451" s="331">
        <v>444</v>
      </c>
      <c r="E451" s="544">
        <f>+DATE(YEAR(E450),MONTH(E450)-1,DAY(E450))</f>
        <v>25569.041666666668</v>
      </c>
      <c r="F451" s="333">
        <f>IF(DATE(YEAR($B$6),MONTH($B$6)+1,DAY(1))=E451,1,IF(MONTH(E451)=1,F452*(1+$F$5),F452))</f>
      </c>
      <c r="G451" s="333">
        <f>IF('Simulador - 1º Pilar'!$E$99="Sí",IF('Aportaciones Flex'!$B$13&lt;'Aportaciones Flex'!E451,0,F451*$B$8/12),F451*$B$8/12)</f>
      </c>
      <c r="H451" s="333">
        <f>IF(G451&gt;0,1,0)*$H$5*IF(AND($I$5="NO",YEAR(E451)=YEAR($B$6)+1),1,IF($I$5="SI",1,0))</f>
      </c>
      <c r="I451" s="217">
        <f>(1+$M$5)^(D451/12)*(H451*(12-IF(MONTH(E452)=12,0,MONTH(E452)))+IF(AND(F451=1,F452=0),$Q$4,0))*IF(AND(F451=1,F452=0),1,0)</f>
      </c>
      <c r="J451" s="333">
        <f>(1+$M$5)^(D451/12)*(H451+IF(AND(F451=1,F452=0),$Q$4,0))</f>
      </c>
      <c r="K451" s="351"/>
      <c r="L451" s="333">
        <f>K451+J451</f>
      </c>
      <c r="M451" s="170"/>
      <c r="N451" s="7"/>
      <c r="O451" s="1"/>
      <c r="P451" s="331">
        <f>D451</f>
      </c>
      <c r="Q451" s="169"/>
      <c r="R451" s="1"/>
      <c r="S451" s="217">
        <f>(1+$M$5)^(D451/12)*(IF(E451=$C$6,$Q$4+$H$5*12,0))</f>
      </c>
      <c r="T451" s="217">
        <f>(1+$M$5)^(D451/12)*(IF(YEAR(E451)&gt;YEAR($C$6),L451,0)+IF(E451=$C$6,$H$5*12+$Q$4,0))</f>
      </c>
    </row>
    <row x14ac:dyDescent="0.25" r="452" customHeight="1" ht="18.75">
      <c r="A452" s="1"/>
      <c r="B452" s="7"/>
      <c r="C452" s="170"/>
      <c r="D452" s="331">
        <v>445</v>
      </c>
      <c r="E452" s="544">
        <f>+DATE(YEAR(E451),MONTH(E451)-1,DAY(E451))</f>
        <v>25569.041666666668</v>
      </c>
      <c r="F452" s="333">
        <f>IF(DATE(YEAR($B$6),MONTH($B$6)+1,DAY(1))=E452,1,IF(MONTH(E452)=1,F453*(1+$F$5),F453))</f>
      </c>
      <c r="G452" s="333">
        <f>IF('Simulador - 1º Pilar'!$E$99="Sí",IF('Aportaciones Flex'!$B$13&lt;'Aportaciones Flex'!E452,0,F452*$B$8/12),F452*$B$8/12)</f>
      </c>
      <c r="H452" s="333">
        <f>IF(G452&gt;0,1,0)*$H$5*IF(AND($I$5="NO",YEAR(E452)=YEAR($B$6)+1),1,IF($I$5="SI",1,0))</f>
      </c>
      <c r="I452" s="217">
        <f>(1+$M$5)^(D452/12)*(H452*(12-IF(MONTH(E453)=12,0,MONTH(E453)))+IF(AND(F452=1,F453=0),$Q$4,0))*IF(AND(F452=1,F453=0),1,0)</f>
      </c>
      <c r="J452" s="333">
        <f>(1+$M$5)^(D452/12)*(H452+IF(AND(F452=1,F453=0),$Q$4,0))</f>
      </c>
      <c r="K452" s="351"/>
      <c r="L452" s="333">
        <f>K452+J452</f>
      </c>
      <c r="M452" s="170"/>
      <c r="N452" s="7"/>
      <c r="O452" s="1"/>
      <c r="P452" s="331">
        <f>D452</f>
      </c>
      <c r="Q452" s="169"/>
      <c r="R452" s="1"/>
      <c r="S452" s="217">
        <f>(1+$M$5)^(D452/12)*(IF(E452=$C$6,$Q$4+$H$5*12,0))</f>
      </c>
      <c r="T452" s="217">
        <f>(1+$M$5)^(D452/12)*(IF(YEAR(E452)&gt;YEAR($C$6),L452,0)+IF(E452=$C$6,$H$5*12+$Q$4,0))</f>
      </c>
    </row>
    <row x14ac:dyDescent="0.25" r="453" customHeight="1" ht="18.75">
      <c r="A453" s="1"/>
      <c r="B453" s="7"/>
      <c r="C453" s="170"/>
      <c r="D453" s="331">
        <v>446</v>
      </c>
      <c r="E453" s="544">
        <f>+DATE(YEAR(E452),MONTH(E452)-1,DAY(E452))</f>
        <v>25569.041666666668</v>
      </c>
      <c r="F453" s="333">
        <f>IF(DATE(YEAR($B$6),MONTH($B$6)+1,DAY(1))=E453,1,IF(MONTH(E453)=1,F454*(1+$F$5),F454))</f>
      </c>
      <c r="G453" s="333">
        <f>IF('Simulador - 1º Pilar'!$E$99="Sí",IF('Aportaciones Flex'!$B$13&lt;'Aportaciones Flex'!E453,0,F453*$B$8/12),F453*$B$8/12)</f>
      </c>
      <c r="H453" s="333">
        <f>IF(G453&gt;0,1,0)*$H$5*IF(AND($I$5="NO",YEAR(E453)=YEAR($B$6)+1),1,IF($I$5="SI",1,0))</f>
      </c>
      <c r="I453" s="217">
        <f>(1+$M$5)^(D453/12)*(H453*(12-IF(MONTH(E454)=12,0,MONTH(E454)))+IF(AND(F453=1,F454=0),$Q$4,0))*IF(AND(F453=1,F454=0),1,0)</f>
      </c>
      <c r="J453" s="333">
        <f>(1+$M$5)^(D453/12)*(H453+IF(AND(F453=1,F454=0),$Q$4,0))</f>
      </c>
      <c r="K453" s="351"/>
      <c r="L453" s="333">
        <f>K453+J453</f>
      </c>
      <c r="M453" s="170"/>
      <c r="N453" s="7"/>
      <c r="O453" s="1"/>
      <c r="P453" s="331">
        <f>D453</f>
      </c>
      <c r="Q453" s="169"/>
      <c r="R453" s="1"/>
      <c r="S453" s="217">
        <f>(1+$M$5)^(D453/12)*(IF(E453=$C$6,$Q$4+$H$5*12,0))</f>
      </c>
      <c r="T453" s="217">
        <f>(1+$M$5)^(D453/12)*(IF(YEAR(E453)&gt;YEAR($C$6),L453,0)+IF(E453=$C$6,$H$5*12+$Q$4,0))</f>
      </c>
    </row>
    <row x14ac:dyDescent="0.25" r="454" customHeight="1" ht="18.75">
      <c r="A454" s="1"/>
      <c r="B454" s="7"/>
      <c r="C454" s="170"/>
      <c r="D454" s="331">
        <v>447</v>
      </c>
      <c r="E454" s="544">
        <f>+DATE(YEAR(E453),MONTH(E453)-1,DAY(E453))</f>
        <v>25569.041666666668</v>
      </c>
      <c r="F454" s="333">
        <f>IF(DATE(YEAR($B$6),MONTH($B$6)+1,DAY(1))=E454,1,IF(MONTH(E454)=1,F455*(1+$F$5),F455))</f>
      </c>
      <c r="G454" s="333">
        <f>IF('Simulador - 1º Pilar'!$E$99="Sí",IF('Aportaciones Flex'!$B$13&lt;'Aportaciones Flex'!E454,0,F454*$B$8/12),F454*$B$8/12)</f>
      </c>
      <c r="H454" s="333">
        <f>IF(G454&gt;0,1,0)*$H$5*IF(AND($I$5="NO",YEAR(E454)=YEAR($B$6)+1),1,IF($I$5="SI",1,0))</f>
      </c>
      <c r="I454" s="217">
        <f>(1+$M$5)^(D454/12)*(H454*(12-IF(MONTH(E455)=12,0,MONTH(E455)))+IF(AND(F454=1,F455=0),$Q$4,0))*IF(AND(F454=1,F455=0),1,0)</f>
      </c>
      <c r="J454" s="333">
        <f>(1+$M$5)^(D454/12)*(H454+IF(AND(F454=1,F455=0),$Q$4,0))</f>
      </c>
      <c r="K454" s="351"/>
      <c r="L454" s="333">
        <f>K454+J454</f>
      </c>
      <c r="M454" s="170"/>
      <c r="N454" s="7"/>
      <c r="O454" s="1"/>
      <c r="P454" s="331">
        <f>D454</f>
      </c>
      <c r="Q454" s="169"/>
      <c r="R454" s="1"/>
      <c r="S454" s="217">
        <f>(1+$M$5)^(D454/12)*(IF(E454=$C$6,$Q$4+$H$5*12,0))</f>
      </c>
      <c r="T454" s="217">
        <f>(1+$M$5)^(D454/12)*(IF(YEAR(E454)&gt;YEAR($C$6),L454,0)+IF(E454=$C$6,$H$5*12+$Q$4,0))</f>
      </c>
    </row>
    <row x14ac:dyDescent="0.25" r="455" customHeight="1" ht="18.75">
      <c r="A455" s="1"/>
      <c r="B455" s="7"/>
      <c r="C455" s="170"/>
      <c r="D455" s="331">
        <v>448</v>
      </c>
      <c r="E455" s="544">
        <f>+DATE(YEAR(E454),MONTH(E454)-1,DAY(E454))</f>
        <v>25569.041666666668</v>
      </c>
      <c r="F455" s="333">
        <f>IF(DATE(YEAR($B$6),MONTH($B$6)+1,DAY(1))=E455,1,IF(MONTH(E455)=1,F456*(1+$F$5),F456))</f>
      </c>
      <c r="G455" s="333">
        <f>IF('Simulador - 1º Pilar'!$E$99="Sí",IF('Aportaciones Flex'!$B$13&lt;'Aportaciones Flex'!E455,0,F455*$B$8/12),F455*$B$8/12)</f>
      </c>
      <c r="H455" s="333">
        <f>IF(G455&gt;0,1,0)*$H$5*IF(AND($I$5="NO",YEAR(E455)=YEAR($B$6)+1),1,IF($I$5="SI",1,0))</f>
      </c>
      <c r="I455" s="217">
        <f>(1+$M$5)^(D455/12)*(H455*(12-IF(MONTH(E456)=12,0,MONTH(E456)))+IF(AND(F455=1,F456=0),$Q$4,0))*IF(AND(F455=1,F456=0),1,0)</f>
      </c>
      <c r="J455" s="333">
        <f>(1+$M$5)^(D455/12)*(H455+IF(AND(F455=1,F456=0),$Q$4,0))</f>
      </c>
      <c r="K455" s="351"/>
      <c r="L455" s="333">
        <f>K455+J455</f>
      </c>
      <c r="M455" s="170"/>
      <c r="N455" s="7"/>
      <c r="O455" s="1"/>
      <c r="P455" s="331">
        <f>D455</f>
      </c>
      <c r="Q455" s="169"/>
      <c r="R455" s="1"/>
      <c r="S455" s="217">
        <f>(1+$M$5)^(D455/12)*(IF(E455=$C$6,$Q$4+$H$5*12,0))</f>
      </c>
      <c r="T455" s="217">
        <f>(1+$M$5)^(D455/12)*(IF(YEAR(E455)&gt;YEAR($C$6),L455,0)+IF(E455=$C$6,$H$5*12+$Q$4,0))</f>
      </c>
    </row>
    <row x14ac:dyDescent="0.25" r="456" customHeight="1" ht="18.75">
      <c r="A456" s="1"/>
      <c r="B456" s="7"/>
      <c r="C456" s="170"/>
      <c r="D456" s="331">
        <v>449</v>
      </c>
      <c r="E456" s="544">
        <f>+DATE(YEAR(E455),MONTH(E455)-1,DAY(E455))</f>
        <v>25569.041666666668</v>
      </c>
      <c r="F456" s="333">
        <f>IF(DATE(YEAR($B$6),MONTH($B$6)+1,DAY(1))=E456,1,IF(MONTH(E456)=1,F457*(1+$F$5),F457))</f>
      </c>
      <c r="G456" s="333">
        <f>IF('Simulador - 1º Pilar'!$E$99="Sí",IF('Aportaciones Flex'!$B$13&lt;'Aportaciones Flex'!E456,0,F456*$B$8/12),F456*$B$8/12)</f>
      </c>
      <c r="H456" s="333">
        <f>IF(G456&gt;0,1,0)*$H$5*IF(AND($I$5="NO",YEAR(E456)=YEAR($B$6)+1),1,IF($I$5="SI",1,0))</f>
      </c>
      <c r="I456" s="217">
        <f>(1+$M$5)^(D456/12)*(H456*(12-IF(MONTH(E457)=12,0,MONTH(E457)))+IF(AND(F456=1,F457=0),$Q$4,0))*IF(AND(F456=1,F457=0),1,0)</f>
      </c>
      <c r="J456" s="333">
        <f>(1+$M$5)^(D456/12)*(H456+IF(AND(F456=1,F457=0),$Q$4,0))</f>
      </c>
      <c r="K456" s="351"/>
      <c r="L456" s="333">
        <f>K456+J456</f>
      </c>
      <c r="M456" s="170"/>
      <c r="N456" s="7"/>
      <c r="O456" s="1"/>
      <c r="P456" s="331">
        <f>D456</f>
      </c>
      <c r="Q456" s="169"/>
      <c r="R456" s="1"/>
      <c r="S456" s="217">
        <f>(1+$M$5)^(D456/12)*(IF(E456=$C$6,$Q$4+$H$5*12,0))</f>
      </c>
      <c r="T456" s="217">
        <f>(1+$M$5)^(D456/12)*(IF(YEAR(E456)&gt;YEAR($C$6),L456,0)+IF(E456=$C$6,$H$5*12+$Q$4,0))</f>
      </c>
    </row>
    <row x14ac:dyDescent="0.25" r="457" customHeight="1" ht="18.75">
      <c r="A457" s="1"/>
      <c r="B457" s="7"/>
      <c r="C457" s="170"/>
      <c r="D457" s="331">
        <v>450</v>
      </c>
      <c r="E457" s="544">
        <f>+DATE(YEAR(E456),MONTH(E456)-1,DAY(E456))</f>
        <v>25569.041666666668</v>
      </c>
      <c r="F457" s="333">
        <f>IF(DATE(YEAR($B$6),MONTH($B$6)+1,DAY(1))=E457,1,IF(MONTH(E457)=1,F458*(1+$F$5),F458))</f>
      </c>
      <c r="G457" s="333">
        <f>IF('Simulador - 1º Pilar'!$E$99="Sí",IF('Aportaciones Flex'!$B$13&lt;'Aportaciones Flex'!E457,0,F457*$B$8/12),F457*$B$8/12)</f>
      </c>
      <c r="H457" s="333">
        <f>IF(G457&gt;0,1,0)*$H$5*IF(AND($I$5="NO",YEAR(E457)=YEAR($B$6)+1),1,IF($I$5="SI",1,0))</f>
      </c>
      <c r="I457" s="217">
        <f>(1+$M$5)^(D457/12)*(H457*(12-IF(MONTH(E458)=12,0,MONTH(E458)))+IF(AND(F457=1,F458=0),$Q$4,0))*IF(AND(F457=1,F458=0),1,0)</f>
      </c>
      <c r="J457" s="333">
        <f>(1+$M$5)^(D457/12)*(H457+IF(AND(F457=1,F458=0),$Q$4,0))</f>
      </c>
      <c r="K457" s="351"/>
      <c r="L457" s="333">
        <f>K457+J457</f>
      </c>
      <c r="M457" s="170"/>
      <c r="N457" s="7"/>
      <c r="O457" s="1"/>
      <c r="P457" s="331">
        <f>D457</f>
      </c>
      <c r="Q457" s="169"/>
      <c r="R457" s="1"/>
      <c r="S457" s="217">
        <f>(1+$M$5)^(D457/12)*(IF(E457=$C$6,$Q$4+$H$5*12,0))</f>
      </c>
      <c r="T457" s="217">
        <f>(1+$M$5)^(D457/12)*(IF(YEAR(E457)&gt;YEAR($C$6),L457,0)+IF(E457=$C$6,$H$5*12+$Q$4,0))</f>
      </c>
    </row>
    <row x14ac:dyDescent="0.25" r="458" customHeight="1" ht="18.75">
      <c r="A458" s="1"/>
      <c r="B458" s="7"/>
      <c r="C458" s="170"/>
      <c r="D458" s="331">
        <v>451</v>
      </c>
      <c r="E458" s="544">
        <f>+DATE(YEAR(E457),MONTH(E457)-1,DAY(E457))</f>
        <v>25569.041666666668</v>
      </c>
      <c r="F458" s="333">
        <f>IF(DATE(YEAR($B$6),MONTH($B$6)+1,DAY(1))=E458,1,IF(MONTH(E458)=1,F459*(1+$F$5),F459))</f>
      </c>
      <c r="G458" s="333">
        <f>IF('Simulador - 1º Pilar'!$E$99="Sí",IF('Aportaciones Flex'!$B$13&lt;'Aportaciones Flex'!E458,0,F458*$B$8/12),F458*$B$8/12)</f>
      </c>
      <c r="H458" s="333">
        <f>IF(G458&gt;0,1,0)*$H$5*IF(AND($I$5="NO",YEAR(E458)=YEAR($B$6)+1),1,IF($I$5="SI",1,0))</f>
      </c>
      <c r="I458" s="217">
        <f>(1+$M$5)^(D458/12)*(H458*(12-IF(MONTH(E459)=12,0,MONTH(E459)))+IF(AND(F458=1,F459=0),$Q$4,0))*IF(AND(F458=1,F459=0),1,0)</f>
      </c>
      <c r="J458" s="333">
        <f>(1+$M$5)^(D458/12)*(H458+IF(AND(F458=1,F459=0),$Q$4,0))</f>
      </c>
      <c r="K458" s="351"/>
      <c r="L458" s="333">
        <f>K458+J458</f>
      </c>
      <c r="M458" s="170"/>
      <c r="N458" s="7"/>
      <c r="O458" s="1"/>
      <c r="P458" s="331">
        <f>D458</f>
      </c>
      <c r="Q458" s="169"/>
      <c r="R458" s="1"/>
      <c r="S458" s="217">
        <f>(1+$M$5)^(D458/12)*(IF(E458=$C$6,$Q$4+$H$5*12,0))</f>
      </c>
      <c r="T458" s="217">
        <f>(1+$M$5)^(D458/12)*(IF(YEAR(E458)&gt;YEAR($C$6),L458,0)+IF(E458=$C$6,$H$5*12+$Q$4,0))</f>
      </c>
    </row>
    <row x14ac:dyDescent="0.25" r="459" customHeight="1" ht="18.75">
      <c r="A459" s="1"/>
      <c r="B459" s="7"/>
      <c r="C459" s="170"/>
      <c r="D459" s="331">
        <v>452</v>
      </c>
      <c r="E459" s="544">
        <f>+DATE(YEAR(E458),MONTH(E458)-1,DAY(E458))</f>
        <v>25569.041666666668</v>
      </c>
      <c r="F459" s="333">
        <f>IF(DATE(YEAR($B$6),MONTH($B$6)+1,DAY(1))=E459,1,IF(MONTH(E459)=1,F460*(1+$F$5),F460))</f>
      </c>
      <c r="G459" s="333">
        <f>IF('Simulador - 1º Pilar'!$E$99="Sí",IF('Aportaciones Flex'!$B$13&lt;'Aportaciones Flex'!E459,0,F459*$B$8/12),F459*$B$8/12)</f>
      </c>
      <c r="H459" s="333">
        <f>IF(G459&gt;0,1,0)*$H$5*IF(AND($I$5="NO",YEAR(E459)=YEAR($B$6)+1),1,IF($I$5="SI",1,0))</f>
      </c>
      <c r="I459" s="217">
        <f>(1+$M$5)^(D459/12)*(H459*(12-IF(MONTH(E460)=12,0,MONTH(E460)))+IF(AND(F459=1,F460=0),$Q$4,0))*IF(AND(F459=1,F460=0),1,0)</f>
      </c>
      <c r="J459" s="333">
        <f>(1+$M$5)^(D459/12)*(H459+IF(AND(F459=1,F460=0),$Q$4,0))</f>
      </c>
      <c r="K459" s="351"/>
      <c r="L459" s="333">
        <f>K459+J459</f>
      </c>
      <c r="M459" s="170"/>
      <c r="N459" s="7"/>
      <c r="O459" s="1"/>
      <c r="P459" s="331">
        <f>D459</f>
      </c>
      <c r="Q459" s="169"/>
      <c r="R459" s="1"/>
      <c r="S459" s="217">
        <f>(1+$M$5)^(D459/12)*(IF(E459=$C$6,$Q$4+$H$5*12,0))</f>
      </c>
      <c r="T459" s="217">
        <f>(1+$M$5)^(D459/12)*(IF(YEAR(E459)&gt;YEAR($C$6),L459,0)+IF(E459=$C$6,$H$5*12+$Q$4,0))</f>
      </c>
    </row>
    <row x14ac:dyDescent="0.25" r="460" customHeight="1" ht="18.75">
      <c r="A460" s="1"/>
      <c r="B460" s="7"/>
      <c r="C460" s="170"/>
      <c r="D460" s="331">
        <v>453</v>
      </c>
      <c r="E460" s="544">
        <f>+DATE(YEAR(E459),MONTH(E459)-1,DAY(E459))</f>
        <v>25569.041666666668</v>
      </c>
      <c r="F460" s="333">
        <f>IF(DATE(YEAR($B$6),MONTH($B$6)+1,DAY(1))=E460,1,IF(MONTH(E460)=1,F461*(1+$F$5),F461))</f>
      </c>
      <c r="G460" s="333">
        <f>IF('Simulador - 1º Pilar'!$E$99="Sí",IF('Aportaciones Flex'!$B$13&lt;'Aportaciones Flex'!E460,0,F460*$B$8/12),F460*$B$8/12)</f>
      </c>
      <c r="H460" s="333">
        <f>IF(G460&gt;0,1,0)*$H$5*IF(AND($I$5="NO",YEAR(E460)=YEAR($B$6)+1),1,IF($I$5="SI",1,0))</f>
      </c>
      <c r="I460" s="217">
        <f>(1+$M$5)^(D460/12)*(H460*(12-IF(MONTH(E461)=12,0,MONTH(E461)))+IF(AND(F460=1,F461=0),$Q$4,0))*IF(AND(F460=1,F461=0),1,0)</f>
      </c>
      <c r="J460" s="333">
        <f>(1+$M$5)^(D460/12)*(H460+IF(AND(F460=1,F461=0),$Q$4,0))</f>
      </c>
      <c r="K460" s="351"/>
      <c r="L460" s="333">
        <f>K460+J460</f>
      </c>
      <c r="M460" s="170"/>
      <c r="N460" s="7"/>
      <c r="O460" s="1"/>
      <c r="P460" s="331">
        <f>D460</f>
      </c>
      <c r="Q460" s="169"/>
      <c r="R460" s="1"/>
      <c r="S460" s="217">
        <f>(1+$M$5)^(D460/12)*(IF(E460=$C$6,$Q$4+$H$5*12,0))</f>
      </c>
      <c r="T460" s="217">
        <f>(1+$M$5)^(D460/12)*(IF(YEAR(E460)&gt;YEAR($C$6),L460,0)+IF(E460=$C$6,$H$5*12+$Q$4,0))</f>
      </c>
    </row>
    <row x14ac:dyDescent="0.25" r="461" customHeight="1" ht="18.75">
      <c r="A461" s="1"/>
      <c r="B461" s="7"/>
      <c r="C461" s="170"/>
      <c r="D461" s="331">
        <v>454</v>
      </c>
      <c r="E461" s="544">
        <f>+DATE(YEAR(E460),MONTH(E460)-1,DAY(E460))</f>
        <v>25569.041666666668</v>
      </c>
      <c r="F461" s="333">
        <f>IF(DATE(YEAR($B$6),MONTH($B$6)+1,DAY(1))=E461,1,IF(MONTH(E461)=1,F462*(1+$F$5),F462))</f>
      </c>
      <c r="G461" s="333">
        <f>IF('Simulador - 1º Pilar'!$E$99="Sí",IF('Aportaciones Flex'!$B$13&lt;'Aportaciones Flex'!E461,0,F461*$B$8/12),F461*$B$8/12)</f>
      </c>
      <c r="H461" s="333">
        <f>IF(G461&gt;0,1,0)*$H$5*IF(AND($I$5="NO",YEAR(E461)=YEAR($B$6)+1),1,IF($I$5="SI",1,0))</f>
      </c>
      <c r="I461" s="217">
        <f>(1+$M$5)^(D461/12)*(H461*(12-IF(MONTH(E462)=12,0,MONTH(E462)))+IF(AND(F461=1,F462=0),$Q$4,0))*IF(AND(F461=1,F462=0),1,0)</f>
      </c>
      <c r="J461" s="333">
        <f>(1+$M$5)^(D461/12)*(H461+IF(AND(F461=1,F462=0),$Q$4,0))</f>
      </c>
      <c r="K461" s="351"/>
      <c r="L461" s="333">
        <f>K461+J461</f>
      </c>
      <c r="M461" s="170"/>
      <c r="N461" s="7"/>
      <c r="O461" s="1"/>
      <c r="P461" s="331">
        <f>D461</f>
      </c>
      <c r="Q461" s="169"/>
      <c r="R461" s="1"/>
      <c r="S461" s="217">
        <f>(1+$M$5)^(D461/12)*(IF(E461=$C$6,$Q$4+$H$5*12,0))</f>
      </c>
      <c r="T461" s="217">
        <f>(1+$M$5)^(D461/12)*(IF(YEAR(E461)&gt;YEAR($C$6),L461,0)+IF(E461=$C$6,$H$5*12+$Q$4,0))</f>
      </c>
    </row>
    <row x14ac:dyDescent="0.25" r="462" customHeight="1" ht="18.75">
      <c r="A462" s="1"/>
      <c r="B462" s="7"/>
      <c r="C462" s="170"/>
      <c r="D462" s="331">
        <v>455</v>
      </c>
      <c r="E462" s="544">
        <f>+DATE(YEAR(E461),MONTH(E461)-1,DAY(E461))</f>
        <v>25569.041666666668</v>
      </c>
      <c r="F462" s="333">
        <f>IF(DATE(YEAR($B$6),MONTH($B$6)+1,DAY(1))=E462,1,IF(MONTH(E462)=1,F463*(1+$F$5),F463))</f>
      </c>
      <c r="G462" s="333">
        <f>IF('Simulador - 1º Pilar'!$E$99="Sí",IF('Aportaciones Flex'!$B$13&lt;'Aportaciones Flex'!E462,0,F462*$B$8/12),F462*$B$8/12)</f>
      </c>
      <c r="H462" s="333">
        <f>IF(G462&gt;0,1,0)*$H$5*IF(AND($I$5="NO",YEAR(E462)=YEAR($B$6)+1),1,IF($I$5="SI",1,0))</f>
      </c>
      <c r="I462" s="217">
        <f>(1+$M$5)^(D462/12)*(H462*(12-IF(MONTH(E463)=12,0,MONTH(E463)))+IF(AND(F462=1,F463=0),$Q$4,0))*IF(AND(F462=1,F463=0),1,0)</f>
      </c>
      <c r="J462" s="333">
        <f>(1+$M$5)^(D462/12)*(H462+IF(AND(F462=1,F463=0),$Q$4,0))</f>
      </c>
      <c r="K462" s="351"/>
      <c r="L462" s="333">
        <f>K462+J462</f>
      </c>
      <c r="M462" s="170"/>
      <c r="N462" s="7"/>
      <c r="O462" s="1"/>
      <c r="P462" s="331">
        <f>D462</f>
      </c>
      <c r="Q462" s="169"/>
      <c r="R462" s="1"/>
      <c r="S462" s="217">
        <f>(1+$M$5)^(D462/12)*(IF(E462=$C$6,$Q$4+$H$5*12,0))</f>
      </c>
      <c r="T462" s="217">
        <f>(1+$M$5)^(D462/12)*(IF(YEAR(E462)&gt;YEAR($C$6),L462,0)+IF(E462=$C$6,$H$5*12+$Q$4,0))</f>
      </c>
    </row>
    <row x14ac:dyDescent="0.25" r="463" customHeight="1" ht="18.75">
      <c r="A463" s="1"/>
      <c r="B463" s="7"/>
      <c r="C463" s="170"/>
      <c r="D463" s="331">
        <v>456</v>
      </c>
      <c r="E463" s="544">
        <f>+DATE(YEAR(E462),MONTH(E462)-1,DAY(E462))</f>
        <v>25569.041666666668</v>
      </c>
      <c r="F463" s="333">
        <f>IF(DATE(YEAR($B$6),MONTH($B$6)+1,DAY(1))=E463,1,IF(MONTH(E463)=1,F464*(1+$F$5),F464))</f>
      </c>
      <c r="G463" s="333">
        <f>IF('Simulador - 1º Pilar'!$E$99="Sí",IF('Aportaciones Flex'!$B$13&lt;'Aportaciones Flex'!E463,0,F463*$B$8/12),F463*$B$8/12)</f>
      </c>
      <c r="H463" s="333">
        <f>IF(G463&gt;0,1,0)*$H$5*IF(AND($I$5="NO",YEAR(E463)=YEAR($B$6)+1),1,IF($I$5="SI",1,0))</f>
      </c>
      <c r="I463" s="217">
        <f>(1+$M$5)^(D463/12)*(H463*(12-IF(MONTH(E464)=12,0,MONTH(E464)))+IF(AND(F463=1,F464=0),$Q$4,0))*IF(AND(F463=1,F464=0),1,0)</f>
      </c>
      <c r="J463" s="333">
        <f>(1+$M$5)^(D463/12)*(H463+IF(AND(F463=1,F464=0),$Q$4,0))</f>
      </c>
      <c r="K463" s="351"/>
      <c r="L463" s="333">
        <f>K463+J463</f>
      </c>
      <c r="M463" s="170"/>
      <c r="N463" s="7"/>
      <c r="O463" s="1"/>
      <c r="P463" s="331">
        <f>D463</f>
      </c>
      <c r="Q463" s="169"/>
      <c r="R463" s="1"/>
      <c r="S463" s="217">
        <f>(1+$M$5)^(D463/12)*(IF(E463=$C$6,$Q$4+$H$5*12,0))</f>
      </c>
      <c r="T463" s="217">
        <f>(1+$M$5)^(D463/12)*(IF(YEAR(E463)&gt;YEAR($C$6),L463,0)+IF(E463=$C$6,$H$5*12+$Q$4,0))</f>
      </c>
    </row>
    <row x14ac:dyDescent="0.25" r="464" customHeight="1" ht="18.75">
      <c r="A464" s="1"/>
      <c r="B464" s="7"/>
      <c r="C464" s="170"/>
      <c r="D464" s="331">
        <v>457</v>
      </c>
      <c r="E464" s="544">
        <f>+DATE(YEAR(E463),MONTH(E463)-1,DAY(E463))</f>
        <v>25569.041666666668</v>
      </c>
      <c r="F464" s="333">
        <f>IF(DATE(YEAR($B$6),MONTH($B$6)+1,DAY(1))=E464,1,IF(MONTH(E464)=1,F465*(1+$F$5),F465))</f>
      </c>
      <c r="G464" s="333">
        <f>IF('Simulador - 1º Pilar'!$E$99="Sí",IF('Aportaciones Flex'!$B$13&lt;'Aportaciones Flex'!E464,0,F464*$B$8/12),F464*$B$8/12)</f>
      </c>
      <c r="H464" s="333">
        <f>IF(G464&gt;0,1,0)*$H$5*IF(AND($I$5="NO",YEAR(E464)=YEAR($B$6)+1),1,IF($I$5="SI",1,0))</f>
      </c>
      <c r="I464" s="217">
        <f>(1+$M$5)^(D464/12)*(H464*(12-IF(MONTH(E465)=12,0,MONTH(E465)))+IF(AND(F464=1,F465=0),$Q$4,0))*IF(AND(F464=1,F465=0),1,0)</f>
      </c>
      <c r="J464" s="333">
        <f>(1+$M$5)^(D464/12)*(H464+IF(AND(F464=1,F465=0),$Q$4,0))</f>
      </c>
      <c r="K464" s="351"/>
      <c r="L464" s="333">
        <f>K464+J464</f>
      </c>
      <c r="M464" s="170"/>
      <c r="N464" s="7"/>
      <c r="O464" s="1"/>
      <c r="P464" s="331">
        <f>D464</f>
      </c>
      <c r="Q464" s="169"/>
      <c r="R464" s="1"/>
      <c r="S464" s="217">
        <f>(1+$M$5)^(D464/12)*(IF(E464=$C$6,$Q$4+$H$5*12,0))</f>
      </c>
      <c r="T464" s="217">
        <f>(1+$M$5)^(D464/12)*(IF(YEAR(E464)&gt;YEAR($C$6),L464,0)+IF(E464=$C$6,$H$5*12+$Q$4,0))</f>
      </c>
    </row>
    <row x14ac:dyDescent="0.25" r="465" customHeight="1" ht="18.75">
      <c r="A465" s="1"/>
      <c r="B465" s="7"/>
      <c r="C465" s="170"/>
      <c r="D465" s="331">
        <v>458</v>
      </c>
      <c r="E465" s="544">
        <f>+DATE(YEAR(E464),MONTH(E464)-1,DAY(E464))</f>
        <v>25569.041666666668</v>
      </c>
      <c r="F465" s="333">
        <f>IF(DATE(YEAR($B$6),MONTH($B$6)+1,DAY(1))=E465,1,IF(MONTH(E465)=1,F466*(1+$F$5),F466))</f>
      </c>
      <c r="G465" s="333">
        <f>IF('Simulador - 1º Pilar'!$E$99="Sí",IF('Aportaciones Flex'!$B$13&lt;'Aportaciones Flex'!E465,0,F465*$B$8/12),F465*$B$8/12)</f>
      </c>
      <c r="H465" s="333">
        <f>IF(G465&gt;0,1,0)*$H$5*IF(AND($I$5="NO",YEAR(E465)=YEAR($B$6)+1),1,IF($I$5="SI",1,0))</f>
      </c>
      <c r="I465" s="217">
        <f>(1+$M$5)^(D465/12)*(H465*(12-IF(MONTH(E466)=12,0,MONTH(E466)))+IF(AND(F465=1,F466=0),$Q$4,0))*IF(AND(F465=1,F466=0),1,0)</f>
      </c>
      <c r="J465" s="333">
        <f>(1+$M$5)^(D465/12)*(H465+IF(AND(F465=1,F466=0),$Q$4,0))</f>
      </c>
      <c r="K465" s="351"/>
      <c r="L465" s="333">
        <f>K465+J465</f>
      </c>
      <c r="M465" s="170"/>
      <c r="N465" s="7"/>
      <c r="O465" s="1"/>
      <c r="P465" s="331">
        <f>D465</f>
      </c>
      <c r="Q465" s="169"/>
      <c r="R465" s="1"/>
      <c r="S465" s="217">
        <f>(1+$M$5)^(D465/12)*(IF(E465=$C$6,$Q$4+$H$5*12,0))</f>
      </c>
      <c r="T465" s="217">
        <f>(1+$M$5)^(D465/12)*(IF(YEAR(E465)&gt;YEAR($C$6),L465,0)+IF(E465=$C$6,$H$5*12+$Q$4,0))</f>
      </c>
    </row>
    <row x14ac:dyDescent="0.25" r="466" customHeight="1" ht="18.75">
      <c r="A466" s="1"/>
      <c r="B466" s="7"/>
      <c r="C466" s="170"/>
      <c r="D466" s="331">
        <v>459</v>
      </c>
      <c r="E466" s="544">
        <f>+DATE(YEAR(E465),MONTH(E465)-1,DAY(E465))</f>
        <v>25569.041666666668</v>
      </c>
      <c r="F466" s="333">
        <f>IF(DATE(YEAR($B$6),MONTH($B$6)+1,DAY(1))=E466,1,IF(MONTH(E466)=1,F467*(1+$F$5),F467))</f>
      </c>
      <c r="G466" s="333">
        <f>IF('Simulador - 1º Pilar'!$E$99="Sí",IF('Aportaciones Flex'!$B$13&lt;'Aportaciones Flex'!E466,0,F466*$B$8/12),F466*$B$8/12)</f>
      </c>
      <c r="H466" s="333">
        <f>IF(G466&gt;0,1,0)*$H$5*IF(AND($I$5="NO",YEAR(E466)=YEAR($B$6)+1),1,IF($I$5="SI",1,0))</f>
      </c>
      <c r="I466" s="217">
        <f>(1+$M$5)^(D466/12)*(H466*(12-IF(MONTH(E467)=12,0,MONTH(E467)))+IF(AND(F466=1,F467=0),$Q$4,0))*IF(AND(F466=1,F467=0),1,0)</f>
      </c>
      <c r="J466" s="333">
        <f>(1+$M$5)^(D466/12)*(H466+IF(AND(F466=1,F467=0),$Q$4,0))</f>
      </c>
      <c r="K466" s="351"/>
      <c r="L466" s="333">
        <f>K466+J466</f>
      </c>
      <c r="M466" s="170"/>
      <c r="N466" s="7"/>
      <c r="O466" s="1"/>
      <c r="P466" s="331">
        <f>D466</f>
      </c>
      <c r="Q466" s="169"/>
      <c r="R466" s="1"/>
      <c r="S466" s="217">
        <f>(1+$M$5)^(D466/12)*(IF(E466=$C$6,$Q$4+$H$5*12,0))</f>
      </c>
      <c r="T466" s="217">
        <f>(1+$M$5)^(D466/12)*(IF(YEAR(E466)&gt;YEAR($C$6),L466,0)+IF(E466=$C$6,$H$5*12+$Q$4,0))</f>
      </c>
    </row>
    <row x14ac:dyDescent="0.25" r="467" customHeight="1" ht="18.75">
      <c r="A467" s="1"/>
      <c r="B467" s="7"/>
      <c r="C467" s="170"/>
      <c r="D467" s="331">
        <v>460</v>
      </c>
      <c r="E467" s="544">
        <f>+DATE(YEAR(E466),MONTH(E466)-1,DAY(E466))</f>
        <v>25569.041666666668</v>
      </c>
      <c r="F467" s="333">
        <f>IF(DATE(YEAR($B$6),MONTH($B$6)+1,DAY(1))=E467,1,IF(MONTH(E467)=1,F468*(1+$F$5),F468))</f>
      </c>
      <c r="G467" s="333">
        <f>IF('Simulador - 1º Pilar'!$E$99="Sí",IF('Aportaciones Flex'!$B$13&lt;'Aportaciones Flex'!E467,0,F467*$B$8/12),F467*$B$8/12)</f>
      </c>
      <c r="H467" s="333">
        <f>IF(G467&gt;0,1,0)*$H$5*IF(AND($I$5="NO",YEAR(E467)=YEAR($B$6)+1),1,IF($I$5="SI",1,0))</f>
      </c>
      <c r="I467" s="217">
        <f>(1+$M$5)^(D467/12)*(H467*(12-IF(MONTH(E468)=12,0,MONTH(E468)))+IF(AND(F467=1,F468=0),$Q$4,0))*IF(AND(F467=1,F468=0),1,0)</f>
      </c>
      <c r="J467" s="333">
        <f>(1+$M$5)^(D467/12)*(H467+IF(AND(F467=1,F468=0),$Q$4,0))</f>
      </c>
      <c r="K467" s="351"/>
      <c r="L467" s="333">
        <f>K467+J467</f>
      </c>
      <c r="M467" s="170"/>
      <c r="N467" s="7"/>
      <c r="O467" s="1"/>
      <c r="P467" s="331">
        <f>D467</f>
      </c>
      <c r="Q467" s="169"/>
      <c r="R467" s="1"/>
      <c r="S467" s="217">
        <f>(1+$M$5)^(D467/12)*(IF(E467=$C$6,$Q$4+$H$5*12,0))</f>
      </c>
      <c r="T467" s="217">
        <f>(1+$M$5)^(D467/12)*(IF(YEAR(E467)&gt;YEAR($C$6),L467,0)+IF(E467=$C$6,$H$5*12+$Q$4,0))</f>
      </c>
    </row>
    <row x14ac:dyDescent="0.25" r="468" customHeight="1" ht="18.75">
      <c r="A468" s="1"/>
      <c r="B468" s="7"/>
      <c r="C468" s="170"/>
      <c r="D468" s="331">
        <v>461</v>
      </c>
      <c r="E468" s="544">
        <f>+DATE(YEAR(E467),MONTH(E467)-1,DAY(E467))</f>
        <v>25569.041666666668</v>
      </c>
      <c r="F468" s="333">
        <f>IF(DATE(YEAR($B$6),MONTH($B$6)+1,DAY(1))=E468,1,IF(MONTH(E468)=1,F469*(1+$F$5),F469))</f>
      </c>
      <c r="G468" s="333">
        <f>IF('Simulador - 1º Pilar'!$E$99="Sí",IF('Aportaciones Flex'!$B$13&lt;'Aportaciones Flex'!E468,0,F468*$B$8/12),F468*$B$8/12)</f>
      </c>
      <c r="H468" s="333">
        <f>IF(G468&gt;0,1,0)*$H$5*IF(AND($I$5="NO",YEAR(E468)=YEAR($B$6)+1),1,IF($I$5="SI",1,0))</f>
      </c>
      <c r="I468" s="217">
        <f>(1+$M$5)^(D468/12)*(H468*(12-IF(MONTH(E469)=12,0,MONTH(E469)))+IF(AND(F468=1,F469=0),$Q$4,0))*IF(AND(F468=1,F469=0),1,0)</f>
      </c>
      <c r="J468" s="333">
        <f>(1+$M$5)^(D468/12)*(H468+IF(AND(F468=1,F469=0),$Q$4,0))</f>
      </c>
      <c r="K468" s="351"/>
      <c r="L468" s="333">
        <f>K468+J468</f>
      </c>
      <c r="M468" s="170"/>
      <c r="N468" s="7"/>
      <c r="O468" s="1"/>
      <c r="P468" s="331">
        <f>D468</f>
      </c>
      <c r="Q468" s="169"/>
      <c r="R468" s="1"/>
      <c r="S468" s="217">
        <f>(1+$M$5)^(D468/12)*(IF(E468=$C$6,$Q$4+$H$5*12,0))</f>
      </c>
      <c r="T468" s="217">
        <f>(1+$M$5)^(D468/12)*(IF(YEAR(E468)&gt;YEAR($C$6),L468,0)+IF(E468=$C$6,$H$5*12+$Q$4,0))</f>
      </c>
    </row>
    <row x14ac:dyDescent="0.25" r="469" customHeight="1" ht="18.75">
      <c r="A469" s="1"/>
      <c r="B469" s="7"/>
      <c r="C469" s="170"/>
      <c r="D469" s="331">
        <v>462</v>
      </c>
      <c r="E469" s="544">
        <f>+DATE(YEAR(E468),MONTH(E468)-1,DAY(E468))</f>
        <v>25569.041666666668</v>
      </c>
      <c r="F469" s="333">
        <f>IF(DATE(YEAR($B$6),MONTH($B$6)+1,DAY(1))=E469,1,IF(MONTH(E469)=1,F470*(1+$F$5),F470))</f>
      </c>
      <c r="G469" s="333">
        <f>IF('Simulador - 1º Pilar'!$E$99="Sí",IF('Aportaciones Flex'!$B$13&lt;'Aportaciones Flex'!E469,0,F469*$B$8/12),F469*$B$8/12)</f>
      </c>
      <c r="H469" s="333">
        <f>IF(G469&gt;0,1,0)*$H$5*IF(AND($I$5="NO",YEAR(E469)=YEAR($B$6)+1),1,IF($I$5="SI",1,0))</f>
      </c>
      <c r="I469" s="217">
        <f>(1+$M$5)^(D469/12)*(H469*(12-IF(MONTH(E470)=12,0,MONTH(E470)))+IF(AND(F469=1,F470=0),$Q$4,0))*IF(AND(F469=1,F470=0),1,0)</f>
      </c>
      <c r="J469" s="333">
        <f>(1+$M$5)^(D469/12)*(H469+IF(AND(F469=1,F470=0),$Q$4,0))</f>
      </c>
      <c r="K469" s="351"/>
      <c r="L469" s="333">
        <f>K469+J469</f>
      </c>
      <c r="M469" s="170"/>
      <c r="N469" s="7"/>
      <c r="O469" s="1"/>
      <c r="P469" s="331">
        <f>D469</f>
      </c>
      <c r="Q469" s="169"/>
      <c r="R469" s="1"/>
      <c r="S469" s="217">
        <f>(1+$M$5)^(D469/12)*(IF(E469=$C$6,$Q$4+$H$5*12,0))</f>
      </c>
      <c r="T469" s="217">
        <f>(1+$M$5)^(D469/12)*(IF(YEAR(E469)&gt;YEAR($C$6),L469,0)+IF(E469=$C$6,$H$5*12+$Q$4,0))</f>
      </c>
    </row>
    <row x14ac:dyDescent="0.25" r="470" customHeight="1" ht="18.75">
      <c r="A470" s="1"/>
      <c r="B470" s="7"/>
      <c r="C470" s="170"/>
      <c r="D470" s="331">
        <v>463</v>
      </c>
      <c r="E470" s="544">
        <f>+DATE(YEAR(E469),MONTH(E469)-1,DAY(E469))</f>
        <v>25569.041666666668</v>
      </c>
      <c r="F470" s="333">
        <f>IF(DATE(YEAR($B$6),MONTH($B$6)+1,DAY(1))=E470,1,IF(MONTH(E470)=1,F471*(1+$F$5),F471))</f>
      </c>
      <c r="G470" s="333">
        <f>IF('Simulador - 1º Pilar'!$E$99="Sí",IF('Aportaciones Flex'!$B$13&lt;'Aportaciones Flex'!E470,0,F470*$B$8/12),F470*$B$8/12)</f>
      </c>
      <c r="H470" s="333">
        <f>IF(G470&gt;0,1,0)*$H$5*IF(AND($I$5="NO",YEAR(E470)=YEAR($B$6)+1),1,IF($I$5="SI",1,0))</f>
      </c>
      <c r="I470" s="217">
        <f>(1+$M$5)^(D470/12)*(H470*(12-IF(MONTH(E471)=12,0,MONTH(E471)))+IF(AND(F470=1,F471=0),$Q$4,0))*IF(AND(F470=1,F471=0),1,0)</f>
      </c>
      <c r="J470" s="333">
        <f>(1+$M$5)^(D470/12)*(H470+IF(AND(F470=1,F471=0),$Q$4,0))</f>
      </c>
      <c r="K470" s="351"/>
      <c r="L470" s="333">
        <f>K470+J470</f>
      </c>
      <c r="M470" s="170"/>
      <c r="N470" s="7"/>
      <c r="O470" s="1"/>
      <c r="P470" s="331">
        <f>D470</f>
      </c>
      <c r="Q470" s="169"/>
      <c r="R470" s="1"/>
      <c r="S470" s="217">
        <f>(1+$M$5)^(D470/12)*(IF(E470=$C$6,$Q$4+$H$5*12,0))</f>
      </c>
      <c r="T470" s="217">
        <f>(1+$M$5)^(D470/12)*(IF(YEAR(E470)&gt;YEAR($C$6),L470,0)+IF(E470=$C$6,$H$5*12+$Q$4,0))</f>
      </c>
    </row>
    <row x14ac:dyDescent="0.25" r="471" customHeight="1" ht="18.75">
      <c r="A471" s="1"/>
      <c r="B471" s="7"/>
      <c r="C471" s="170"/>
      <c r="D471" s="331">
        <v>464</v>
      </c>
      <c r="E471" s="544">
        <f>+DATE(YEAR(E470),MONTH(E470)-1,DAY(E470))</f>
        <v>25569.041666666668</v>
      </c>
      <c r="F471" s="333">
        <f>IF(DATE(YEAR($B$6),MONTH($B$6)+1,DAY(1))=E471,1,IF(MONTH(E471)=1,F472*(1+$F$5),F472))</f>
      </c>
      <c r="G471" s="333">
        <f>IF('Simulador - 1º Pilar'!$E$99="Sí",IF('Aportaciones Flex'!$B$13&lt;'Aportaciones Flex'!E471,0,F471*$B$8/12),F471*$B$8/12)</f>
      </c>
      <c r="H471" s="333">
        <f>IF(G471&gt;0,1,0)*$H$5*IF(AND($I$5="NO",YEAR(E471)=YEAR($B$6)+1),1,IF($I$5="SI",1,0))</f>
      </c>
      <c r="I471" s="217">
        <f>(1+$M$5)^(D471/12)*(H471*(12-IF(MONTH(E472)=12,0,MONTH(E472)))+IF(AND(F471=1,F472=0),$Q$4,0))*IF(AND(F471=1,F472=0),1,0)</f>
      </c>
      <c r="J471" s="333">
        <f>(1+$M$5)^(D471/12)*(H471+IF(AND(F471=1,F472=0),$Q$4,0))</f>
      </c>
      <c r="K471" s="351"/>
      <c r="L471" s="333">
        <f>K471+J471</f>
      </c>
      <c r="M471" s="170"/>
      <c r="N471" s="7"/>
      <c r="O471" s="1"/>
      <c r="P471" s="331">
        <f>D471</f>
      </c>
      <c r="Q471" s="169"/>
      <c r="R471" s="1"/>
      <c r="S471" s="217">
        <f>(1+$M$5)^(D471/12)*(IF(E471=$C$6,$Q$4+$H$5*12,0))</f>
      </c>
      <c r="T471" s="217">
        <f>(1+$M$5)^(D471/12)*(IF(YEAR(E471)&gt;YEAR($C$6),L471,0)+IF(E471=$C$6,$H$5*12+$Q$4,0))</f>
      </c>
    </row>
    <row x14ac:dyDescent="0.25" r="472" customHeight="1" ht="18.75">
      <c r="A472" s="1"/>
      <c r="B472" s="7"/>
      <c r="C472" s="170"/>
      <c r="D472" s="331">
        <v>465</v>
      </c>
      <c r="E472" s="544">
        <f>+DATE(YEAR(E471),MONTH(E471)-1,DAY(E471))</f>
        <v>25569.041666666668</v>
      </c>
      <c r="F472" s="333">
        <f>IF(DATE(YEAR($B$6),MONTH($B$6)+1,DAY(1))=E472,1,IF(MONTH(E472)=1,F473*(1+$F$5),F473))</f>
      </c>
      <c r="G472" s="333">
        <f>IF('Simulador - 1º Pilar'!$E$99="Sí",IF('Aportaciones Flex'!$B$13&lt;'Aportaciones Flex'!E472,0,F472*$B$8/12),F472*$B$8/12)</f>
      </c>
      <c r="H472" s="333">
        <f>IF(G472&gt;0,1,0)*$H$5*IF(AND($I$5="NO",YEAR(E472)=YEAR($B$6)+1),1,IF($I$5="SI",1,0))</f>
      </c>
      <c r="I472" s="217">
        <f>(1+$M$5)^(D472/12)*(H472*(12-IF(MONTH(E473)=12,0,MONTH(E473)))+IF(AND(F472=1,F473=0),$Q$4,0))*IF(AND(F472=1,F473=0),1,0)</f>
      </c>
      <c r="J472" s="333">
        <f>(1+$M$5)^(D472/12)*(H472+IF(AND(F472=1,F473=0),$Q$4,0))</f>
      </c>
      <c r="K472" s="351"/>
      <c r="L472" s="333">
        <f>K472+J472</f>
      </c>
      <c r="M472" s="170"/>
      <c r="N472" s="7"/>
      <c r="O472" s="1"/>
      <c r="P472" s="331">
        <f>D472</f>
      </c>
      <c r="Q472" s="169"/>
      <c r="R472" s="1"/>
      <c r="S472" s="217">
        <f>(1+$M$5)^(D472/12)*(IF(E472=$C$6,$Q$4+$H$5*12,0))</f>
      </c>
      <c r="T472" s="217">
        <f>(1+$M$5)^(D472/12)*(IF(YEAR(E472)&gt;YEAR($C$6),L472,0)+IF(E472=$C$6,$H$5*12+$Q$4,0))</f>
      </c>
    </row>
    <row x14ac:dyDescent="0.25" r="473" customHeight="1" ht="18.75">
      <c r="A473" s="1"/>
      <c r="B473" s="7"/>
      <c r="C473" s="170"/>
      <c r="D473" s="331">
        <v>466</v>
      </c>
      <c r="E473" s="544">
        <f>+DATE(YEAR(E472),MONTH(E472)-1,DAY(E472))</f>
        <v>25569.041666666668</v>
      </c>
      <c r="F473" s="333">
        <f>IF(DATE(YEAR($B$6),MONTH($B$6)+1,DAY(1))=E473,1,IF(MONTH(E473)=1,F474*(1+$F$5),F474))</f>
      </c>
      <c r="G473" s="333">
        <f>IF('Simulador - 1º Pilar'!$E$99="Sí",IF('Aportaciones Flex'!$B$13&lt;'Aportaciones Flex'!E473,0,F473*$B$8/12),F473*$B$8/12)</f>
      </c>
      <c r="H473" s="333">
        <f>IF(G473&gt;0,1,0)*$H$5*IF(AND($I$5="NO",YEAR(E473)=YEAR($B$6)+1),1,IF($I$5="SI",1,0))</f>
      </c>
      <c r="I473" s="217">
        <f>(1+$M$5)^(D473/12)*(H473*(12-IF(MONTH(E474)=12,0,MONTH(E474)))+IF(AND(F473=1,F474=0),$Q$4,0))*IF(AND(F473=1,F474=0),1,0)</f>
      </c>
      <c r="J473" s="333">
        <f>(1+$M$5)^(D473/12)*(H473+IF(AND(F473=1,F474=0),$Q$4,0))</f>
      </c>
      <c r="K473" s="351"/>
      <c r="L473" s="333">
        <f>K473+J473</f>
      </c>
      <c r="M473" s="170"/>
      <c r="N473" s="7"/>
      <c r="O473" s="1"/>
      <c r="P473" s="331">
        <f>D473</f>
      </c>
      <c r="Q473" s="169"/>
      <c r="R473" s="1"/>
      <c r="S473" s="217">
        <f>(1+$M$5)^(D473/12)*(IF(E473=$C$6,$Q$4+$H$5*12,0))</f>
      </c>
      <c r="T473" s="217">
        <f>(1+$M$5)^(D473/12)*(IF(YEAR(E473)&gt;YEAR($C$6),L473,0)+IF(E473=$C$6,$H$5*12+$Q$4,0))</f>
      </c>
    </row>
    <row x14ac:dyDescent="0.25" r="474" customHeight="1" ht="18.75">
      <c r="A474" s="1"/>
      <c r="B474" s="7"/>
      <c r="C474" s="170"/>
      <c r="D474" s="331">
        <v>467</v>
      </c>
      <c r="E474" s="544">
        <f>+DATE(YEAR(E473),MONTH(E473)-1,DAY(E473))</f>
        <v>25569.041666666668</v>
      </c>
      <c r="F474" s="333">
        <f>IF(DATE(YEAR($B$6),MONTH($B$6)+1,DAY(1))=E474,1,IF(MONTH(E474)=1,F475*(1+$F$5),F475))</f>
      </c>
      <c r="G474" s="333">
        <f>IF('Simulador - 1º Pilar'!$E$99="Sí",IF('Aportaciones Flex'!$B$13&lt;'Aportaciones Flex'!E474,0,F474*$B$8/12),F474*$B$8/12)</f>
      </c>
      <c r="H474" s="333">
        <f>IF(G474&gt;0,1,0)*$H$5*IF(AND($I$5="NO",YEAR(E474)=YEAR($B$6)+1),1,IF($I$5="SI",1,0))</f>
      </c>
      <c r="I474" s="217">
        <f>(1+$M$5)^(D474/12)*(H474*(12-IF(MONTH(E475)=12,0,MONTH(E475)))+IF(AND(F474=1,F475=0),$Q$4,0))*IF(AND(F474=1,F475=0),1,0)</f>
      </c>
      <c r="J474" s="333">
        <f>(1+$M$5)^(D474/12)*(H474+IF(AND(F474=1,F475=0),$Q$4,0))</f>
      </c>
      <c r="K474" s="351"/>
      <c r="L474" s="333">
        <f>K474+J474</f>
      </c>
      <c r="M474" s="170"/>
      <c r="N474" s="7"/>
      <c r="O474" s="1"/>
      <c r="P474" s="331">
        <f>D474</f>
      </c>
      <c r="Q474" s="169"/>
      <c r="R474" s="1"/>
      <c r="S474" s="217">
        <f>(1+$M$5)^(D474/12)*(IF(E474=$C$6,$Q$4+$H$5*12,0))</f>
      </c>
      <c r="T474" s="217">
        <f>(1+$M$5)^(D474/12)*(IF(YEAR(E474)&gt;YEAR($C$6),L474,0)+IF(E474=$C$6,$H$5*12+$Q$4,0))</f>
      </c>
    </row>
    <row x14ac:dyDescent="0.25" r="475" customHeight="1" ht="18.75">
      <c r="A475" s="1"/>
      <c r="B475" s="7"/>
      <c r="C475" s="170"/>
      <c r="D475" s="331">
        <v>468</v>
      </c>
      <c r="E475" s="544">
        <f>+DATE(YEAR(E474),MONTH(E474)-1,DAY(E474))</f>
        <v>25569.041666666668</v>
      </c>
      <c r="F475" s="333">
        <f>IF(DATE(YEAR($B$6),MONTH($B$6)+1,DAY(1))=E475,1,IF(MONTH(E475)=1,F476*(1+$F$5),F476))</f>
      </c>
      <c r="G475" s="333">
        <f>IF('Simulador - 1º Pilar'!$E$99="Sí",IF('Aportaciones Flex'!$B$13&lt;'Aportaciones Flex'!E475,0,F475*$B$8/12),F475*$B$8/12)</f>
      </c>
      <c r="H475" s="333">
        <f>IF(G475&gt;0,1,0)*$H$5*IF(AND($I$5="NO",YEAR(E475)=YEAR($B$6)+1),1,IF($I$5="SI",1,0))</f>
      </c>
      <c r="I475" s="217">
        <f>(1+$M$5)^(D475/12)*(H475*(12-IF(MONTH(E476)=12,0,MONTH(E476)))+IF(AND(F475=1,F476=0),$Q$4,0))*IF(AND(F475=1,F476=0),1,0)</f>
      </c>
      <c r="J475" s="333">
        <f>(1+$M$5)^(D475/12)*(H475+IF(AND(F475=1,F476=0),$Q$4,0))</f>
      </c>
      <c r="K475" s="351"/>
      <c r="L475" s="333">
        <f>K475+J475</f>
      </c>
      <c r="M475" s="170"/>
      <c r="N475" s="7"/>
      <c r="O475" s="1"/>
      <c r="P475" s="331">
        <f>D475</f>
      </c>
      <c r="Q475" s="169"/>
      <c r="R475" s="1"/>
      <c r="S475" s="217">
        <f>(1+$M$5)^(D475/12)*(IF(E475=$C$6,$Q$4+$H$5*12,0))</f>
      </c>
      <c r="T475" s="217">
        <f>(1+$M$5)^(D475/12)*(IF(YEAR(E475)&gt;YEAR($C$6),L475,0)+IF(E475=$C$6,$H$5*12+$Q$4,0))</f>
      </c>
    </row>
    <row x14ac:dyDescent="0.25" r="476" customHeight="1" ht="18.75">
      <c r="A476" s="1"/>
      <c r="B476" s="7"/>
      <c r="C476" s="170"/>
      <c r="D476" s="331">
        <v>469</v>
      </c>
      <c r="E476" s="544">
        <f>+DATE(YEAR(E475),MONTH(E475)-1,DAY(E475))</f>
        <v>25569.041666666668</v>
      </c>
      <c r="F476" s="333">
        <f>IF(DATE(YEAR($B$6),MONTH($B$6)+1,DAY(1))=E476,1,IF(MONTH(E476)=1,F477*(1+$F$5),F477))</f>
      </c>
      <c r="G476" s="333">
        <f>IF('Simulador - 1º Pilar'!$E$99="Sí",IF('Aportaciones Flex'!$B$13&lt;'Aportaciones Flex'!E476,0,F476*$B$8/12),F476*$B$8/12)</f>
      </c>
      <c r="H476" s="333">
        <f>IF(G476&gt;0,1,0)*$H$5*IF(AND($I$5="NO",YEAR(E476)=YEAR($B$6)+1),1,IF($I$5="SI",1,0))</f>
      </c>
      <c r="I476" s="217">
        <f>(1+$M$5)^(D476/12)*(H476*(12-IF(MONTH(E477)=12,0,MONTH(E477)))+IF(AND(F476=1,F477=0),$Q$4,0))*IF(AND(F476=1,F477=0),1,0)</f>
      </c>
      <c r="J476" s="333">
        <f>(1+$M$5)^(D476/12)*(H476+IF(AND(F476=1,F477=0),$Q$4,0))</f>
      </c>
      <c r="K476" s="351"/>
      <c r="L476" s="333">
        <f>K476+J476</f>
      </c>
      <c r="M476" s="170"/>
      <c r="N476" s="7"/>
      <c r="O476" s="1"/>
      <c r="P476" s="331">
        <f>D476</f>
      </c>
      <c r="Q476" s="169"/>
      <c r="R476" s="1"/>
      <c r="S476" s="217">
        <f>(1+$M$5)^(D476/12)*(IF(E476=$C$6,$Q$4+$H$5*12,0))</f>
      </c>
      <c r="T476" s="217">
        <f>(1+$M$5)^(D476/12)*(IF(YEAR(E476)&gt;YEAR($C$6),L476,0)+IF(E476=$C$6,$H$5*12+$Q$4,0))</f>
      </c>
    </row>
    <row x14ac:dyDescent="0.25" r="477" customHeight="1" ht="18.75">
      <c r="A477" s="1"/>
      <c r="B477" s="7"/>
      <c r="C477" s="170"/>
      <c r="D477" s="331">
        <v>470</v>
      </c>
      <c r="E477" s="544">
        <f>+DATE(YEAR(E476),MONTH(E476)-1,DAY(E476))</f>
        <v>25569.041666666668</v>
      </c>
      <c r="F477" s="333">
        <f>IF(DATE(YEAR($B$6),MONTH($B$6)+1,DAY(1))=E477,1,IF(MONTH(E477)=1,F478*(1+$F$5),F478))</f>
      </c>
      <c r="G477" s="333">
        <f>IF('Simulador - 1º Pilar'!$E$99="Sí",IF('Aportaciones Flex'!$B$13&lt;'Aportaciones Flex'!E477,0,F477*$B$8/12),F477*$B$8/12)</f>
      </c>
      <c r="H477" s="333">
        <f>IF(G477&gt;0,1,0)*$H$5*IF(AND($I$5="NO",YEAR(E477)=YEAR($B$6)+1),1,IF($I$5="SI",1,0))</f>
      </c>
      <c r="I477" s="217">
        <f>(1+$M$5)^(D477/12)*(H477*(12-IF(MONTH(E478)=12,0,MONTH(E478)))+IF(AND(F477=1,F478=0),$Q$4,0))*IF(AND(F477=1,F478=0),1,0)</f>
      </c>
      <c r="J477" s="333">
        <f>(1+$M$5)^(D477/12)*(H477+IF(AND(F477=1,F478=0),$Q$4,0))</f>
      </c>
      <c r="K477" s="351"/>
      <c r="L477" s="333">
        <f>K477+J477</f>
      </c>
      <c r="M477" s="170"/>
      <c r="N477" s="7"/>
      <c r="O477" s="1"/>
      <c r="P477" s="331">
        <f>D477</f>
      </c>
      <c r="Q477" s="169"/>
      <c r="R477" s="1"/>
      <c r="S477" s="217">
        <f>(1+$M$5)^(D477/12)*(IF(E477=$C$6,$Q$4+$H$5*12,0))</f>
      </c>
      <c r="T477" s="217">
        <f>(1+$M$5)^(D477/12)*(IF(YEAR(E477)&gt;YEAR($C$6),L477,0)+IF(E477=$C$6,$H$5*12+$Q$4,0))</f>
      </c>
    </row>
    <row x14ac:dyDescent="0.25" r="478" customHeight="1" ht="18.75">
      <c r="A478" s="1"/>
      <c r="B478" s="7"/>
      <c r="C478" s="170"/>
      <c r="D478" s="331">
        <v>471</v>
      </c>
      <c r="E478" s="544">
        <f>+DATE(YEAR(E477),MONTH(E477)-1,DAY(E477))</f>
        <v>25569.041666666668</v>
      </c>
      <c r="F478" s="333">
        <f>IF(DATE(YEAR($B$6),MONTH($B$6)+1,DAY(1))=E478,1,IF(MONTH(E478)=1,F479*(1+$F$5),F479))</f>
      </c>
      <c r="G478" s="333">
        <f>IF('Simulador - 1º Pilar'!$E$99="Sí",IF('Aportaciones Flex'!$B$13&lt;'Aportaciones Flex'!E478,0,F478*$B$8/12),F478*$B$8/12)</f>
      </c>
      <c r="H478" s="333">
        <f>IF(G478&gt;0,1,0)*$H$5*IF(AND($I$5="NO",YEAR(E478)=YEAR($B$6)+1),1,IF($I$5="SI",1,0))</f>
      </c>
      <c r="I478" s="217">
        <f>(1+$M$5)^(D478/12)*(H478*(12-IF(MONTH(E479)=12,0,MONTH(E479)))+IF(AND(F478=1,F479=0),$Q$4,0))*IF(AND(F478=1,F479=0),1,0)</f>
      </c>
      <c r="J478" s="333">
        <f>(1+$M$5)^(D478/12)*(H478+IF(AND(F478=1,F479=0),$Q$4,0))</f>
      </c>
      <c r="K478" s="351"/>
      <c r="L478" s="333">
        <f>K478+J478</f>
      </c>
      <c r="M478" s="170"/>
      <c r="N478" s="7"/>
      <c r="O478" s="1"/>
      <c r="P478" s="331">
        <f>D478</f>
      </c>
      <c r="Q478" s="169"/>
      <c r="R478" s="1"/>
      <c r="S478" s="217">
        <f>(1+$M$5)^(D478/12)*(IF(E478=$C$6,$Q$4+$H$5*12,0))</f>
      </c>
      <c r="T478" s="217">
        <f>(1+$M$5)^(D478/12)*(IF(YEAR(E478)&gt;YEAR($C$6),L478,0)+IF(E478=$C$6,$H$5*12+$Q$4,0))</f>
      </c>
    </row>
    <row x14ac:dyDescent="0.25" r="479" customHeight="1" ht="18.75">
      <c r="A479" s="1"/>
      <c r="B479" s="7"/>
      <c r="C479" s="170"/>
      <c r="D479" s="331">
        <v>472</v>
      </c>
      <c r="E479" s="544">
        <f>+DATE(YEAR(E478),MONTH(E478)-1,DAY(E478))</f>
        <v>25569.041666666668</v>
      </c>
      <c r="F479" s="333">
        <f>IF(DATE(YEAR($B$6),MONTH($B$6)+1,DAY(1))=E479,1,IF(MONTH(E479)=1,F480*(1+$F$5),F480))</f>
      </c>
      <c r="G479" s="333">
        <f>IF('Simulador - 1º Pilar'!$E$99="Sí",IF('Aportaciones Flex'!$B$13&lt;'Aportaciones Flex'!E479,0,F479*$B$8/12),F479*$B$8/12)</f>
      </c>
      <c r="H479" s="333">
        <f>IF(G479&gt;0,1,0)*$H$5*IF(AND($I$5="NO",YEAR(E479)=YEAR($B$6)+1),1,IF($I$5="SI",1,0))</f>
      </c>
      <c r="I479" s="217">
        <f>(1+$M$5)^(D479/12)*(H479*(12-IF(MONTH(E480)=12,0,MONTH(E480)))+IF(AND(F479=1,F480=0),$Q$4,0))*IF(AND(F479=1,F480=0),1,0)</f>
      </c>
      <c r="J479" s="333">
        <f>(1+$M$5)^(D479/12)*(H479+IF(AND(F479=1,F480=0),$Q$4,0))</f>
      </c>
      <c r="K479" s="351"/>
      <c r="L479" s="333">
        <f>K479+J479</f>
      </c>
      <c r="M479" s="170"/>
      <c r="N479" s="7"/>
      <c r="O479" s="1"/>
      <c r="P479" s="331">
        <f>D479</f>
      </c>
      <c r="Q479" s="169"/>
      <c r="R479" s="1"/>
      <c r="S479" s="217">
        <f>(1+$M$5)^(D479/12)*(IF(E479=$C$6,$Q$4+$H$5*12,0))</f>
      </c>
      <c r="T479" s="217">
        <f>(1+$M$5)^(D479/12)*(IF(YEAR(E479)&gt;YEAR($C$6),L479,0)+IF(E479=$C$6,$H$5*12+$Q$4,0))</f>
      </c>
    </row>
    <row x14ac:dyDescent="0.25" r="480" customHeight="1" ht="18.75">
      <c r="A480" s="1"/>
      <c r="B480" s="7"/>
      <c r="C480" s="170"/>
      <c r="D480" s="331">
        <v>473</v>
      </c>
      <c r="E480" s="544">
        <f>+DATE(YEAR(E479),MONTH(E479)-1,DAY(E479))</f>
        <v>25569.041666666668</v>
      </c>
      <c r="F480" s="333">
        <f>IF(DATE(YEAR($B$6),MONTH($B$6)+1,DAY(1))=E480,1,IF(MONTH(E480)=1,F481*(1+$F$5),F481))</f>
      </c>
      <c r="G480" s="333">
        <f>IF('Simulador - 1º Pilar'!$E$99="Sí",IF('Aportaciones Flex'!$B$13&lt;'Aportaciones Flex'!E480,0,F480*$B$8/12),F480*$B$8/12)</f>
      </c>
      <c r="H480" s="333">
        <f>IF(G480&gt;0,1,0)*$H$5*IF(AND($I$5="NO",YEAR(E480)=YEAR($B$6)+1),1,IF($I$5="SI",1,0))</f>
      </c>
      <c r="I480" s="217">
        <f>(1+$M$5)^(D480/12)*(H480*(12-IF(MONTH(E481)=12,0,MONTH(E481)))+IF(AND(F480=1,F481=0),$Q$4,0))*IF(AND(F480=1,F481=0),1,0)</f>
      </c>
      <c r="J480" s="333">
        <f>(1+$M$5)^(D480/12)*(H480+IF(AND(F480=1,F481=0),$Q$4,0))</f>
      </c>
      <c r="K480" s="351"/>
      <c r="L480" s="333">
        <f>K480+J480</f>
      </c>
      <c r="M480" s="170"/>
      <c r="N480" s="7"/>
      <c r="O480" s="1"/>
      <c r="P480" s="331">
        <f>D480</f>
      </c>
      <c r="Q480" s="169"/>
      <c r="R480" s="1"/>
      <c r="S480" s="217">
        <f>(1+$M$5)^(D480/12)*(IF(E480=$C$6,$Q$4+$H$5*12,0))</f>
      </c>
      <c r="T480" s="217">
        <f>(1+$M$5)^(D480/12)*(IF(YEAR(E480)&gt;YEAR($C$6),L480,0)+IF(E480=$C$6,$H$5*12+$Q$4,0))</f>
      </c>
    </row>
    <row x14ac:dyDescent="0.25" r="481" customHeight="1" ht="18.75">
      <c r="A481" s="1"/>
      <c r="B481" s="7"/>
      <c r="C481" s="170"/>
      <c r="D481" s="331">
        <v>474</v>
      </c>
      <c r="E481" s="544">
        <f>+DATE(YEAR(E480),MONTH(E480)-1,DAY(E480))</f>
        <v>25569.041666666668</v>
      </c>
      <c r="F481" s="333">
        <f>IF(DATE(YEAR($B$6),MONTH($B$6)+1,DAY(1))=E481,1,IF(MONTH(E481)=1,F482*(1+$F$5),F482))</f>
      </c>
      <c r="G481" s="333">
        <f>IF('Simulador - 1º Pilar'!$E$99="Sí",IF('Aportaciones Flex'!$B$13&lt;'Aportaciones Flex'!E481,0,F481*$B$8/12),F481*$B$8/12)</f>
      </c>
      <c r="H481" s="333">
        <f>IF(G481&gt;0,1,0)*$H$5*IF(AND($I$5="NO",YEAR(E481)=YEAR($B$6)+1),1,IF($I$5="SI",1,0))</f>
      </c>
      <c r="I481" s="217">
        <f>(1+$M$5)^(D481/12)*(H481*(12-IF(MONTH(E482)=12,0,MONTH(E482)))+IF(AND(F481=1,F482=0),$Q$4,0))*IF(AND(F481=1,F482=0),1,0)</f>
      </c>
      <c r="J481" s="333">
        <f>(1+$M$5)^(D481/12)*(H481+IF(AND(F481=1,F482=0),$Q$4,0))</f>
      </c>
      <c r="K481" s="351"/>
      <c r="L481" s="333">
        <f>K481+J481</f>
      </c>
      <c r="M481" s="170"/>
      <c r="N481" s="7"/>
      <c r="O481" s="1"/>
      <c r="P481" s="331">
        <f>D481</f>
      </c>
      <c r="Q481" s="169"/>
      <c r="R481" s="1"/>
      <c r="S481" s="217">
        <f>(1+$M$5)^(D481/12)*(IF(E481=$C$6,$Q$4+$H$5*12,0))</f>
      </c>
      <c r="T481" s="217">
        <f>(1+$M$5)^(D481/12)*(IF(YEAR(E481)&gt;YEAR($C$6),L481,0)+IF(E481=$C$6,$H$5*12+$Q$4,0))</f>
      </c>
    </row>
    <row x14ac:dyDescent="0.25" r="482" customHeight="1" ht="18.75">
      <c r="A482" s="1"/>
      <c r="B482" s="7"/>
      <c r="C482" s="170"/>
      <c r="D482" s="331">
        <v>475</v>
      </c>
      <c r="E482" s="544">
        <f>+DATE(YEAR(E481),MONTH(E481)-1,DAY(E481))</f>
        <v>25569.041666666668</v>
      </c>
      <c r="F482" s="333">
        <f>IF(DATE(YEAR($B$6),MONTH($B$6)+1,DAY(1))=E482,1,IF(MONTH(E482)=1,F483*(1+$F$5),F483))</f>
      </c>
      <c r="G482" s="333">
        <f>IF('Simulador - 1º Pilar'!$E$99="Sí",IF('Aportaciones Flex'!$B$13&lt;'Aportaciones Flex'!E482,0,F482*$B$8/12),F482*$B$8/12)</f>
      </c>
      <c r="H482" s="333">
        <f>IF(G482&gt;0,1,0)*$H$5*IF(AND($I$5="NO",YEAR(E482)=YEAR($B$6)+1),1,IF($I$5="SI",1,0))</f>
      </c>
      <c r="I482" s="217">
        <f>(1+$M$5)^(D482/12)*(H482*(12-IF(MONTH(E483)=12,0,MONTH(E483)))+IF(AND(F482=1,F483=0),$Q$4,0))*IF(AND(F482=1,F483=0),1,0)</f>
      </c>
      <c r="J482" s="333">
        <f>(1+$M$5)^(D482/12)*(H482+IF(AND(F482=1,F483=0),$Q$4,0))</f>
      </c>
      <c r="K482" s="351"/>
      <c r="L482" s="333">
        <f>K482+J482</f>
      </c>
      <c r="M482" s="170"/>
      <c r="N482" s="7"/>
      <c r="O482" s="1"/>
      <c r="P482" s="331">
        <f>D482</f>
      </c>
      <c r="Q482" s="169"/>
      <c r="R482" s="1"/>
      <c r="S482" s="217">
        <f>(1+$M$5)^(D482/12)*(IF(E482=$C$6,$Q$4+$H$5*12,0))</f>
      </c>
      <c r="T482" s="217">
        <f>(1+$M$5)^(D482/12)*(IF(YEAR(E482)&gt;YEAR($C$6),L482,0)+IF(E482=$C$6,$H$5*12+$Q$4,0))</f>
      </c>
    </row>
    <row x14ac:dyDescent="0.25" r="483" customHeight="1" ht="18.75">
      <c r="A483" s="1"/>
      <c r="B483" s="7"/>
      <c r="C483" s="170"/>
      <c r="D483" s="331">
        <v>476</v>
      </c>
      <c r="E483" s="544">
        <f>+DATE(YEAR(E482),MONTH(E482)-1,DAY(E482))</f>
        <v>25569.041666666668</v>
      </c>
      <c r="F483" s="333">
        <f>IF(DATE(YEAR($B$6),MONTH($B$6)+1,DAY(1))=E483,1,IF(MONTH(E483)=1,F484*(1+$F$5),F484))</f>
      </c>
      <c r="G483" s="333">
        <f>IF('Simulador - 1º Pilar'!$E$99="Sí",IF('Aportaciones Flex'!$B$13&lt;'Aportaciones Flex'!E483,0,F483*$B$8/12),F483*$B$8/12)</f>
      </c>
      <c r="H483" s="333">
        <f>IF(G483&gt;0,1,0)*$H$5*IF(AND($I$5="NO",YEAR(E483)=YEAR($B$6)+1),1,IF($I$5="SI",1,0))</f>
      </c>
      <c r="I483" s="217">
        <f>(1+$M$5)^(D483/12)*(H483*(12-IF(MONTH(E484)=12,0,MONTH(E484)))+IF(AND(F483=1,F484=0),$Q$4,0))*IF(AND(F483=1,F484=0),1,0)</f>
      </c>
      <c r="J483" s="333">
        <f>(1+$M$5)^(D483/12)*(H483+IF(AND(F483=1,F484=0),$Q$4,0))</f>
      </c>
      <c r="K483" s="351"/>
      <c r="L483" s="333">
        <f>K483+J483</f>
      </c>
      <c r="M483" s="170"/>
      <c r="N483" s="7"/>
      <c r="O483" s="1"/>
      <c r="P483" s="331">
        <f>D483</f>
      </c>
      <c r="Q483" s="169"/>
      <c r="R483" s="1"/>
      <c r="S483" s="217">
        <f>(1+$M$5)^(D483/12)*(IF(E483=$C$6,$Q$4+$H$5*12,0))</f>
      </c>
      <c r="T483" s="217">
        <f>(1+$M$5)^(D483/12)*(IF(YEAR(E483)&gt;YEAR($C$6),L483,0)+IF(E483=$C$6,$H$5*12+$Q$4,0))</f>
      </c>
    </row>
    <row x14ac:dyDescent="0.25" r="484" customHeight="1" ht="18.75">
      <c r="A484" s="1"/>
      <c r="B484" s="7"/>
      <c r="C484" s="170"/>
      <c r="D484" s="331">
        <v>477</v>
      </c>
      <c r="E484" s="544">
        <f>+DATE(YEAR(E483),MONTH(E483)-1,DAY(E483))</f>
        <v>25569.041666666668</v>
      </c>
      <c r="F484" s="333">
        <f>IF(DATE(YEAR($B$6),MONTH($B$6)+1,DAY(1))=E484,1,IF(MONTH(E484)=1,F485*(1+$F$5),F485))</f>
      </c>
      <c r="G484" s="333">
        <f>IF('Simulador - 1º Pilar'!$E$99="Sí",IF('Aportaciones Flex'!$B$13&lt;'Aportaciones Flex'!E484,0,F484*$B$8/12),F484*$B$8/12)</f>
      </c>
      <c r="H484" s="333">
        <f>IF(G484&gt;0,1,0)*$H$5*IF(AND($I$5="NO",YEAR(E484)=YEAR($B$6)+1),1,IF($I$5="SI",1,0))</f>
      </c>
      <c r="I484" s="217">
        <f>(1+$M$5)^(D484/12)*(H484*(12-IF(MONTH(E485)=12,0,MONTH(E485)))+IF(AND(F484=1,F485=0),$Q$4,0))*IF(AND(F484=1,F485=0),1,0)</f>
      </c>
      <c r="J484" s="333">
        <f>(1+$M$5)^(D484/12)*(H484+IF(AND(F484=1,F485=0),$Q$4,0))</f>
      </c>
      <c r="K484" s="351"/>
      <c r="L484" s="333">
        <f>K484+J484</f>
      </c>
      <c r="M484" s="170"/>
      <c r="N484" s="7"/>
      <c r="O484" s="1"/>
      <c r="P484" s="331">
        <f>D484</f>
      </c>
      <c r="Q484" s="169"/>
      <c r="R484" s="1"/>
      <c r="S484" s="217">
        <f>(1+$M$5)^(D484/12)*(IF(E484=$C$6,$Q$4+$H$5*12,0))</f>
      </c>
      <c r="T484" s="217">
        <f>(1+$M$5)^(D484/12)*(IF(YEAR(E484)&gt;YEAR($C$6),L484,0)+IF(E484=$C$6,$H$5*12+$Q$4,0))</f>
      </c>
    </row>
    <row x14ac:dyDescent="0.25" r="485" customHeight="1" ht="18.75">
      <c r="A485" s="1"/>
      <c r="B485" s="7"/>
      <c r="C485" s="170"/>
      <c r="D485" s="331">
        <v>478</v>
      </c>
      <c r="E485" s="544">
        <f>+DATE(YEAR(E484),MONTH(E484)-1,DAY(E484))</f>
        <v>25569.041666666668</v>
      </c>
      <c r="F485" s="333">
        <f>IF(DATE(YEAR($B$6),MONTH($B$6)+1,DAY(1))=E485,1,IF(MONTH(E485)=1,F486*(1+$F$5),F486))</f>
      </c>
      <c r="G485" s="333">
        <f>IF('Simulador - 1º Pilar'!$E$99="Sí",IF('Aportaciones Flex'!$B$13&lt;'Aportaciones Flex'!E485,0,F485*$B$8/12),F485*$B$8/12)</f>
      </c>
      <c r="H485" s="333">
        <f>IF(G485&gt;0,1,0)*$H$5*IF(AND($I$5="NO",YEAR(E485)=YEAR($B$6)+1),1,IF($I$5="SI",1,0))</f>
      </c>
      <c r="I485" s="217">
        <f>(1+$M$5)^(D485/12)*(H485*(12-IF(MONTH(E486)=12,0,MONTH(E486)))+IF(AND(F485=1,F486=0),$Q$4,0))*IF(AND(F485=1,F486=0),1,0)</f>
      </c>
      <c r="J485" s="333">
        <f>(1+$M$5)^(D485/12)*(H485+IF(AND(F485=1,F486=0),$Q$4,0))</f>
      </c>
      <c r="K485" s="351"/>
      <c r="L485" s="333">
        <f>K485+J485</f>
      </c>
      <c r="M485" s="170"/>
      <c r="N485" s="7"/>
      <c r="O485" s="1"/>
      <c r="P485" s="331">
        <f>D485</f>
      </c>
      <c r="Q485" s="169"/>
      <c r="R485" s="1"/>
      <c r="S485" s="217">
        <f>(1+$M$5)^(D485/12)*(IF(E485=$C$6,$Q$4+$H$5*12,0))</f>
      </c>
      <c r="T485" s="217">
        <f>(1+$M$5)^(D485/12)*(IF(YEAR(E485)&gt;YEAR($C$6),L485,0)+IF(E485=$C$6,$H$5*12+$Q$4,0))</f>
      </c>
    </row>
    <row x14ac:dyDescent="0.25" r="486" customHeight="1" ht="18.75">
      <c r="A486" s="1"/>
      <c r="B486" s="7"/>
      <c r="C486" s="170"/>
      <c r="D486" s="331">
        <v>479</v>
      </c>
      <c r="E486" s="544">
        <f>+DATE(YEAR(E485),MONTH(E485)-1,DAY(E485))</f>
        <v>25569.041666666668</v>
      </c>
      <c r="F486" s="333">
        <f>IF(DATE(YEAR($B$6),MONTH($B$6)+1,DAY(1))=E486,1,IF(MONTH(E486)=1,F487*(1+$F$5),F487))</f>
      </c>
      <c r="G486" s="333">
        <f>IF('Simulador - 1º Pilar'!$E$99="Sí",IF('Aportaciones Flex'!$B$13&lt;'Aportaciones Flex'!E486,0,F486*$B$8/12),F486*$B$8/12)</f>
      </c>
      <c r="H486" s="333">
        <f>IF(G486&gt;0,1,0)*$H$5*IF(AND($I$5="NO",YEAR(E486)=YEAR($B$6)+1),1,IF($I$5="SI",1,0))</f>
      </c>
      <c r="I486" s="217">
        <f>(1+$M$5)^(D486/12)*(H486*(12-IF(MONTH(E487)=12,0,MONTH(E487)))+IF(AND(F486=1,F487=0),$Q$4,0))*IF(AND(F486=1,F487=0),1,0)</f>
      </c>
      <c r="J486" s="333">
        <f>(1+$M$5)^(D486/12)*(H486+IF(AND(F486=1,F487=0),$Q$4,0))</f>
      </c>
      <c r="K486" s="351"/>
      <c r="L486" s="333">
        <f>K486+J486</f>
      </c>
      <c r="M486" s="170"/>
      <c r="N486" s="7"/>
      <c r="O486" s="1"/>
      <c r="P486" s="331">
        <f>D486</f>
      </c>
      <c r="Q486" s="169"/>
      <c r="R486" s="1"/>
      <c r="S486" s="217">
        <f>(1+$M$5)^(D486/12)*(IF(E486=$C$6,$Q$4+$H$5*12,0))</f>
      </c>
      <c r="T486" s="217">
        <f>(1+$M$5)^(D486/12)*(IF(YEAR(E486)&gt;YEAR($C$6),L486,0)+IF(E486=$C$6,$H$5*12+$Q$4,0))</f>
      </c>
    </row>
    <row x14ac:dyDescent="0.25" r="487" customHeight="1" ht="18.75">
      <c r="A487" s="1"/>
      <c r="B487" s="7"/>
      <c r="C487" s="170"/>
      <c r="D487" s="331">
        <v>480</v>
      </c>
      <c r="E487" s="544">
        <f>+DATE(YEAR(E486),MONTH(E486)-1,DAY(E486))</f>
        <v>25569.041666666668</v>
      </c>
      <c r="F487" s="333">
        <f>IF(DATE(YEAR($B$6),MONTH($B$6)+1,DAY(1))=E487,1,IF(MONTH(E487)=1,F488*(1+$F$5),F488))</f>
      </c>
      <c r="G487" s="333">
        <f>IF('Simulador - 1º Pilar'!$E$99="Sí",IF('Aportaciones Flex'!$B$13&lt;'Aportaciones Flex'!E487,0,F487*$B$8/12),F487*$B$8/12)</f>
      </c>
      <c r="H487" s="333">
        <f>IF(G487&gt;0,1,0)*$H$5*IF(AND($I$5="NO",YEAR(E487)=YEAR($B$6)+1),1,IF($I$5="SI",1,0))</f>
      </c>
      <c r="I487" s="217">
        <f>(1+$M$5)^(D487/12)*(H487*(12-IF(MONTH(E488)=12,0,MONTH(E488)))+IF(AND(F487=1,F488=0),$Q$4,0))*IF(AND(F487=1,F488=0),1,0)</f>
      </c>
      <c r="J487" s="333">
        <f>(1+$M$5)^(D487/12)*(H487+IF(AND(F487=1,F488=0),$Q$4,0))</f>
      </c>
      <c r="K487" s="351"/>
      <c r="L487" s="333">
        <f>K487+J487</f>
      </c>
      <c r="M487" s="170"/>
      <c r="N487" s="7"/>
      <c r="O487" s="1"/>
      <c r="P487" s="331">
        <f>D487</f>
      </c>
      <c r="Q487" s="169"/>
      <c r="R487" s="1"/>
      <c r="S487" s="217">
        <f>(1+$M$5)^(D487/12)*(IF(E487=$C$6,$Q$4+$H$5*12,0))</f>
      </c>
      <c r="T487" s="217">
        <f>(1+$M$5)^(D487/12)*(IF(YEAR(E487)&gt;YEAR($C$6),L487,0)+IF(E487=$C$6,$H$5*12+$Q$4,0))</f>
      </c>
    </row>
    <row x14ac:dyDescent="0.25" r="488" customHeight="1" ht="18.75">
      <c r="A488" s="1"/>
      <c r="B488" s="7"/>
      <c r="C488" s="170"/>
      <c r="D488" s="331">
        <v>481</v>
      </c>
      <c r="E488" s="544">
        <f>+DATE(YEAR(E487),MONTH(E487)-1,DAY(E487))</f>
        <v>25569.041666666668</v>
      </c>
      <c r="F488" s="333">
        <f>IF(DATE(YEAR($B$6),MONTH($B$6)+1,DAY(1))=E488,1,IF(MONTH(E488)=1,F489*(1+$F$5),F489))</f>
      </c>
      <c r="G488" s="333">
        <f>IF('Simulador - 1º Pilar'!$E$99="Sí",IF('Aportaciones Flex'!$B$13&lt;'Aportaciones Flex'!E488,0,F488*$B$8/12),F488*$B$8/12)</f>
      </c>
      <c r="H488" s="333">
        <f>IF(G488&gt;0,1,0)*$H$5*IF(AND($I$5="NO",YEAR(E488)=YEAR($B$6)+1),1,IF($I$5="SI",1,0))</f>
      </c>
      <c r="I488" s="217">
        <f>(1+$M$5)^(D488/12)*(H488*(12-IF(MONTH(E489)=12,0,MONTH(E489)))+IF(AND(F488=1,F489=0),$Q$4,0))*IF(AND(F488=1,F489=0),1,0)</f>
      </c>
      <c r="J488" s="333">
        <f>(1+$M$5)^(D488/12)*(H488+IF(AND(F488=1,F489=0),$Q$4,0))</f>
      </c>
      <c r="K488" s="351"/>
      <c r="L488" s="333">
        <f>K488+J488</f>
      </c>
      <c r="M488" s="170"/>
      <c r="N488" s="7"/>
      <c r="O488" s="1"/>
      <c r="P488" s="331">
        <f>D488</f>
      </c>
      <c r="Q488" s="169"/>
      <c r="R488" s="1"/>
      <c r="S488" s="217">
        <f>(1+$M$5)^(D488/12)*(IF(E488=$C$6,$Q$4+$H$5*12,0))</f>
      </c>
      <c r="T488" s="217">
        <f>(1+$M$5)^(D488/12)*(IF(YEAR(E488)&gt;YEAR($C$6),L488,0)+IF(E488=$C$6,$H$5*12+$Q$4,0))</f>
      </c>
    </row>
    <row x14ac:dyDescent="0.25" r="489" customHeight="1" ht="18.75">
      <c r="A489" s="1"/>
      <c r="B489" s="7"/>
      <c r="C489" s="170"/>
      <c r="D489" s="331">
        <v>482</v>
      </c>
      <c r="E489" s="544">
        <f>+DATE(YEAR(E488),MONTH(E488)-1,DAY(E488))</f>
        <v>25569.041666666668</v>
      </c>
      <c r="F489" s="333">
        <f>IF(DATE(YEAR($B$6),MONTH($B$6)+1,DAY(1))=E489,1,IF(MONTH(E489)=1,F490*(1+$F$5),F490))</f>
      </c>
      <c r="G489" s="333">
        <f>IF('Simulador - 1º Pilar'!$E$99="Sí",IF('Aportaciones Flex'!$B$13&lt;'Aportaciones Flex'!E489,0,F489*$B$8/12),F489*$B$8/12)</f>
      </c>
      <c r="H489" s="333">
        <f>IF(G489&gt;0,1,0)*$H$5*IF(AND($I$5="NO",YEAR(E489)=YEAR($B$6)+1),1,IF($I$5="SI",1,0))</f>
      </c>
      <c r="I489" s="217">
        <f>(1+$M$5)^(D489/12)*(H489*(12-IF(MONTH(E490)=12,0,MONTH(E490)))+IF(AND(F489=1,F490=0),$Q$4,0))*IF(AND(F489=1,F490=0),1,0)</f>
      </c>
      <c r="J489" s="333">
        <f>(1+$M$5)^(D489/12)*(H489+IF(AND(F489=1,F490=0),$Q$4,0))</f>
      </c>
      <c r="K489" s="351"/>
      <c r="L489" s="333">
        <f>K489+J489</f>
      </c>
      <c r="M489" s="170"/>
      <c r="N489" s="7"/>
      <c r="O489" s="1"/>
      <c r="P489" s="331">
        <f>D489</f>
      </c>
      <c r="Q489" s="169"/>
      <c r="R489" s="1"/>
      <c r="S489" s="217">
        <f>(1+$M$5)^(D489/12)*(IF(E489=$C$6,$Q$4+$H$5*12,0))</f>
      </c>
      <c r="T489" s="217">
        <f>(1+$M$5)^(D489/12)*(IF(YEAR(E489)&gt;YEAR($C$6),L489,0)+IF(E489=$C$6,$H$5*12+$Q$4,0))</f>
      </c>
    </row>
    <row x14ac:dyDescent="0.25" r="490" customHeight="1" ht="18.75">
      <c r="A490" s="1"/>
      <c r="B490" s="7"/>
      <c r="C490" s="170"/>
      <c r="D490" s="331">
        <v>483</v>
      </c>
      <c r="E490" s="544">
        <f>+DATE(YEAR(E489),MONTH(E489)-1,DAY(E489))</f>
        <v>25569.041666666668</v>
      </c>
      <c r="F490" s="333">
        <f>IF(DATE(YEAR($B$6),MONTH($B$6)+1,DAY(1))=E490,1,IF(MONTH(E490)=1,F491*(1+$F$5),F491))</f>
      </c>
      <c r="G490" s="333">
        <f>IF('Simulador - 1º Pilar'!$E$99="Sí",IF('Aportaciones Flex'!$B$13&lt;'Aportaciones Flex'!E490,0,F490*$B$8/12),F490*$B$8/12)</f>
      </c>
      <c r="H490" s="333">
        <f>IF(G490&gt;0,1,0)*$H$5*IF(AND($I$5="NO",YEAR(E490)=YEAR($B$6)+1),1,IF($I$5="SI",1,0))</f>
      </c>
      <c r="I490" s="217">
        <f>(1+$M$5)^(D490/12)*(H490*(12-IF(MONTH(E491)=12,0,MONTH(E491)))+IF(AND(F490=1,F491=0),$Q$4,0))*IF(AND(F490=1,F491=0),1,0)</f>
      </c>
      <c r="J490" s="333">
        <f>(1+$M$5)^(D490/12)*(H490+IF(AND(F490=1,F491=0),$Q$4,0))</f>
      </c>
      <c r="K490" s="351"/>
      <c r="L490" s="333">
        <f>K490+J490</f>
      </c>
      <c r="M490" s="170"/>
      <c r="N490" s="7"/>
      <c r="O490" s="1"/>
      <c r="P490" s="331">
        <f>D490</f>
      </c>
      <c r="Q490" s="169"/>
      <c r="R490" s="1"/>
      <c r="S490" s="217">
        <f>(1+$M$5)^(D490/12)*(IF(E490=$C$6,$Q$4+$H$5*12,0))</f>
      </c>
      <c r="T490" s="217">
        <f>(1+$M$5)^(D490/12)*(IF(YEAR(E490)&gt;YEAR($C$6),L490,0)+IF(E490=$C$6,$H$5*12+$Q$4,0))</f>
      </c>
    </row>
    <row x14ac:dyDescent="0.25" r="491" customHeight="1" ht="18.75">
      <c r="A491" s="1"/>
      <c r="B491" s="7"/>
      <c r="C491" s="170"/>
      <c r="D491" s="331">
        <v>484</v>
      </c>
      <c r="E491" s="544">
        <f>+DATE(YEAR(E490),MONTH(E490)-1,DAY(E490))</f>
        <v>25569.041666666668</v>
      </c>
      <c r="F491" s="333">
        <f>IF(DATE(YEAR($B$6),MONTH($B$6)+1,DAY(1))=E491,1,IF(MONTH(E491)=1,F492*(1+$F$5),F492))</f>
      </c>
      <c r="G491" s="333">
        <f>IF('Simulador - 1º Pilar'!$E$99="Sí",IF('Aportaciones Flex'!$B$13&lt;'Aportaciones Flex'!E491,0,F491*$B$8/12),F491*$B$8/12)</f>
      </c>
      <c r="H491" s="333">
        <f>IF(G491&gt;0,1,0)*$H$5*IF(AND($I$5="NO",YEAR(E491)=YEAR($B$6)+1),1,IF($I$5="SI",1,0))</f>
      </c>
      <c r="I491" s="217">
        <f>(1+$M$5)^(D491/12)*(H491*(12-IF(MONTH(E492)=12,0,MONTH(E492)))+IF(AND(F491=1,F492=0),$Q$4,0))*IF(AND(F491=1,F492=0),1,0)</f>
      </c>
      <c r="J491" s="333">
        <f>(1+$M$5)^(D491/12)*(H491+IF(AND(F491=1,F492=0),$Q$4,0))</f>
      </c>
      <c r="K491" s="351"/>
      <c r="L491" s="333">
        <f>K491+J491</f>
      </c>
      <c r="M491" s="170"/>
      <c r="N491" s="7"/>
      <c r="O491" s="1"/>
      <c r="P491" s="331">
        <f>D491</f>
      </c>
      <c r="Q491" s="169"/>
      <c r="R491" s="1"/>
      <c r="S491" s="217">
        <f>(1+$M$5)^(D491/12)*(IF(E491=$C$6,$Q$4+$H$5*12,0))</f>
      </c>
      <c r="T491" s="217">
        <f>(1+$M$5)^(D491/12)*(IF(YEAR(E491)&gt;YEAR($C$6),L491,0)+IF(E491=$C$6,$H$5*12+$Q$4,0))</f>
      </c>
    </row>
    <row x14ac:dyDescent="0.25" r="492" customHeight="1" ht="18.75">
      <c r="A492" s="1"/>
      <c r="B492" s="7"/>
      <c r="C492" s="170"/>
      <c r="D492" s="331">
        <v>485</v>
      </c>
      <c r="E492" s="544">
        <f>+DATE(YEAR(E491),MONTH(E491)-1,DAY(E491))</f>
        <v>25569.041666666668</v>
      </c>
      <c r="F492" s="333">
        <f>IF(DATE(YEAR($B$6),MONTH($B$6)+1,DAY(1))=E492,1,IF(MONTH(E492)=1,F493*(1+$F$5),F493))</f>
      </c>
      <c r="G492" s="333">
        <f>IF('Simulador - 1º Pilar'!$E$99="Sí",IF('Aportaciones Flex'!$B$13&lt;'Aportaciones Flex'!E492,0,F492*$B$8/12),F492*$B$8/12)</f>
      </c>
      <c r="H492" s="333">
        <f>IF(G492&gt;0,1,0)*$H$5*IF(AND($I$5="NO",YEAR(E492)=YEAR($B$6)+1),1,IF($I$5="SI",1,0))</f>
      </c>
      <c r="I492" s="217">
        <f>(1+$M$5)^(D492/12)*(H492*(12-IF(MONTH(E493)=12,0,MONTH(E493)))+IF(AND(F492=1,F493=0),$Q$4,0))*IF(AND(F492=1,F493=0),1,0)</f>
      </c>
      <c r="J492" s="333">
        <f>(1+$M$5)^(D492/12)*(H492+IF(AND(F492=1,F493=0),$Q$4,0))</f>
      </c>
      <c r="K492" s="351"/>
      <c r="L492" s="333">
        <f>K492+J492</f>
      </c>
      <c r="M492" s="170"/>
      <c r="N492" s="7"/>
      <c r="O492" s="1"/>
      <c r="P492" s="331">
        <f>D492</f>
      </c>
      <c r="Q492" s="169"/>
      <c r="R492" s="1"/>
      <c r="S492" s="217">
        <f>(1+$M$5)^(D492/12)*(IF(E492=$C$6,$Q$4+$H$5*12,0))</f>
      </c>
      <c r="T492" s="217">
        <f>(1+$M$5)^(D492/12)*(IF(YEAR(E492)&gt;YEAR($C$6),L492,0)+IF(E492=$C$6,$H$5*12+$Q$4,0))</f>
      </c>
    </row>
    <row x14ac:dyDescent="0.25" r="493" customHeight="1" ht="18.75">
      <c r="A493" s="1"/>
      <c r="B493" s="7"/>
      <c r="C493" s="170"/>
      <c r="D493" s="331">
        <v>486</v>
      </c>
      <c r="E493" s="544">
        <f>+DATE(YEAR(E492),MONTH(E492)-1,DAY(E492))</f>
        <v>25569.041666666668</v>
      </c>
      <c r="F493" s="333">
        <f>IF(DATE(YEAR($B$6),MONTH($B$6)+1,DAY(1))=E493,1,IF(MONTH(E493)=1,F494*(1+$F$5),F494))</f>
      </c>
      <c r="G493" s="333">
        <f>IF('Simulador - 1º Pilar'!$E$99="Sí",IF('Aportaciones Flex'!$B$13&lt;'Aportaciones Flex'!E493,0,F493*$B$8/12),F493*$B$8/12)</f>
      </c>
      <c r="H493" s="333">
        <f>IF(G493&gt;0,1,0)*$H$5*IF(AND($I$5="NO",YEAR(E493)=YEAR($B$6)+1),1,IF($I$5="SI",1,0))</f>
      </c>
      <c r="I493" s="217">
        <f>(1+$M$5)^(D493/12)*(H493*(12-IF(MONTH(E494)=12,0,MONTH(E494)))+IF(AND(F493=1,F494=0),$Q$4,0))*IF(AND(F493=1,F494=0),1,0)</f>
      </c>
      <c r="J493" s="333">
        <f>(1+$M$5)^(D493/12)*(H493+IF(AND(F493=1,F494=0),$Q$4,0))</f>
      </c>
      <c r="K493" s="351"/>
      <c r="L493" s="333">
        <f>K493+J493</f>
      </c>
      <c r="M493" s="170"/>
      <c r="N493" s="7"/>
      <c r="O493" s="1"/>
      <c r="P493" s="331">
        <f>D493</f>
      </c>
      <c r="Q493" s="169"/>
      <c r="R493" s="1"/>
      <c r="S493" s="217">
        <f>(1+$M$5)^(D493/12)*(IF(E493=$C$6,$Q$4+$H$5*12,0))</f>
      </c>
      <c r="T493" s="217">
        <f>(1+$M$5)^(D493/12)*(IF(YEAR(E493)&gt;YEAR($C$6),L493,0)+IF(E493=$C$6,$H$5*12+$Q$4,0))</f>
      </c>
    </row>
    <row x14ac:dyDescent="0.25" r="494" customHeight="1" ht="18.75">
      <c r="A494" s="1"/>
      <c r="B494" s="7"/>
      <c r="C494" s="170"/>
      <c r="D494" s="331">
        <v>487</v>
      </c>
      <c r="E494" s="544">
        <f>+DATE(YEAR(E493),MONTH(E493)-1,DAY(E493))</f>
        <v>25569.041666666668</v>
      </c>
      <c r="F494" s="333">
        <f>IF(DATE(YEAR($B$6),MONTH($B$6)+1,DAY(1))=E494,1,IF(MONTH(E494)=1,F495*(1+$F$5),F495))</f>
      </c>
      <c r="G494" s="333">
        <f>IF('Simulador - 1º Pilar'!$E$99="Sí",IF('Aportaciones Flex'!$B$13&lt;'Aportaciones Flex'!E494,0,F494*$B$8/12),F494*$B$8/12)</f>
      </c>
      <c r="H494" s="333">
        <f>IF(G494&gt;0,1,0)*$H$5*IF(AND($I$5="NO",YEAR(E494)=YEAR($B$6)+1),1,IF($I$5="SI",1,0))</f>
      </c>
      <c r="I494" s="217">
        <f>(1+$M$5)^(D494/12)*(H494*(12-IF(MONTH(E495)=12,0,MONTH(E495)))+IF(AND(F494=1,F495=0),$Q$4,0))*IF(AND(F494=1,F495=0),1,0)</f>
      </c>
      <c r="J494" s="333">
        <f>(1+$M$5)^(D494/12)*(H494+IF(AND(F494=1,F495=0),$Q$4,0))</f>
      </c>
      <c r="K494" s="351"/>
      <c r="L494" s="333">
        <f>K494+J494</f>
      </c>
      <c r="M494" s="170"/>
      <c r="N494" s="7"/>
      <c r="O494" s="1"/>
      <c r="P494" s="331">
        <f>D494</f>
      </c>
      <c r="Q494" s="169"/>
      <c r="R494" s="1"/>
      <c r="S494" s="217">
        <f>(1+$M$5)^(D494/12)*(IF(E494=$C$6,$Q$4+$H$5*12,0))</f>
      </c>
      <c r="T494" s="217">
        <f>(1+$M$5)^(D494/12)*(IF(YEAR(E494)&gt;YEAR($C$6),L494,0)+IF(E494=$C$6,$H$5*12+$Q$4,0))</f>
      </c>
    </row>
    <row x14ac:dyDescent="0.25" r="495" customHeight="1" ht="18.75">
      <c r="A495" s="1"/>
      <c r="B495" s="7"/>
      <c r="C495" s="170"/>
      <c r="D495" s="331">
        <v>488</v>
      </c>
      <c r="E495" s="544">
        <f>+DATE(YEAR(E494),MONTH(E494)-1,DAY(E494))</f>
        <v>25569.041666666668</v>
      </c>
      <c r="F495" s="333">
        <f>IF(DATE(YEAR($B$6),MONTH($B$6)+1,DAY(1))=E495,1,IF(MONTH(E495)=1,F496*(1+$F$5),F496))</f>
      </c>
      <c r="G495" s="333">
        <f>IF('Simulador - 1º Pilar'!$E$99="Sí",IF('Aportaciones Flex'!$B$13&lt;'Aportaciones Flex'!E495,0,F495*$B$8/12),F495*$B$8/12)</f>
      </c>
      <c r="H495" s="333">
        <f>IF(G495&gt;0,1,0)*$H$5*IF(AND($I$5="NO",YEAR(E495)=YEAR($B$6)+1),1,IF($I$5="SI",1,0))</f>
      </c>
      <c r="I495" s="217">
        <f>(1+$M$5)^(D495/12)*(H495*(12-IF(MONTH(E496)=12,0,MONTH(E496)))+IF(AND(F495=1,F496=0),$Q$4,0))*IF(AND(F495=1,F496=0),1,0)</f>
      </c>
      <c r="J495" s="333">
        <f>(1+$M$5)^(D495/12)*(H495+IF(AND(F495=1,F496=0),$Q$4,0))</f>
      </c>
      <c r="K495" s="351"/>
      <c r="L495" s="333">
        <f>K495+J495</f>
      </c>
      <c r="M495" s="170"/>
      <c r="N495" s="7"/>
      <c r="O495" s="1"/>
      <c r="P495" s="331">
        <f>D495</f>
      </c>
      <c r="Q495" s="169"/>
      <c r="R495" s="1"/>
      <c r="S495" s="217">
        <f>(1+$M$5)^(D495/12)*(IF(E495=$C$6,$Q$4+$H$5*12,0))</f>
      </c>
      <c r="T495" s="217">
        <f>(1+$M$5)^(D495/12)*(IF(YEAR(E495)&gt;YEAR($C$6),L495,0)+IF(E495=$C$6,$H$5*12+$Q$4,0))</f>
      </c>
    </row>
    <row x14ac:dyDescent="0.25" r="496" customHeight="1" ht="18.75">
      <c r="A496" s="1"/>
      <c r="B496" s="7"/>
      <c r="C496" s="170"/>
      <c r="D496" s="331">
        <v>489</v>
      </c>
      <c r="E496" s="544">
        <f>+DATE(YEAR(E495),MONTH(E495)-1,DAY(E495))</f>
        <v>25569.041666666668</v>
      </c>
      <c r="F496" s="333">
        <f>IF(DATE(YEAR($B$6),MONTH($B$6)+1,DAY(1))=E496,1,IF(MONTH(E496)=1,F497*(1+$F$5),F497))</f>
      </c>
      <c r="G496" s="333">
        <f>IF('Simulador - 1º Pilar'!$E$99="Sí",IF('Aportaciones Flex'!$B$13&lt;'Aportaciones Flex'!E496,0,F496*$B$8/12),F496*$B$8/12)</f>
      </c>
      <c r="H496" s="333">
        <f>IF(G496&gt;0,1,0)*$H$5*IF(AND($I$5="NO",YEAR(E496)=YEAR($B$6)+1),1,IF($I$5="SI",1,0))</f>
      </c>
      <c r="I496" s="217">
        <f>(1+$M$5)^(D496/12)*(H496*(12-IF(MONTH(E497)=12,0,MONTH(E497)))+IF(AND(F496=1,F497=0),$Q$4,0))*IF(AND(F496=1,F497=0),1,0)</f>
      </c>
      <c r="J496" s="333">
        <f>(1+$M$5)^(D496/12)*(H496+IF(AND(F496=1,F497=0),$Q$4,0))</f>
      </c>
      <c r="K496" s="351"/>
      <c r="L496" s="333">
        <f>K496+J496</f>
      </c>
      <c r="M496" s="170"/>
      <c r="N496" s="7"/>
      <c r="O496" s="1"/>
      <c r="P496" s="331">
        <f>D496</f>
      </c>
      <c r="Q496" s="169"/>
      <c r="R496" s="1"/>
      <c r="S496" s="217">
        <f>(1+$M$5)^(D496/12)*(IF(E496=$C$6,$Q$4+$H$5*12,0))</f>
      </c>
      <c r="T496" s="217">
        <f>(1+$M$5)^(D496/12)*(IF(YEAR(E496)&gt;YEAR($C$6),L496,0)+IF(E496=$C$6,$H$5*12+$Q$4,0))</f>
      </c>
    </row>
    <row x14ac:dyDescent="0.25" r="497" customHeight="1" ht="18.75">
      <c r="A497" s="1"/>
      <c r="B497" s="7"/>
      <c r="C497" s="170"/>
      <c r="D497" s="331">
        <v>490</v>
      </c>
      <c r="E497" s="544">
        <f>+DATE(YEAR(E496),MONTH(E496)-1,DAY(E496))</f>
        <v>25569.041666666668</v>
      </c>
      <c r="F497" s="333">
        <f>IF(DATE(YEAR($B$6),MONTH($B$6)+1,DAY(1))=E497,1,IF(MONTH(E497)=1,F498*(1+$F$5),F498))</f>
      </c>
      <c r="G497" s="333">
        <f>IF('Simulador - 1º Pilar'!$E$99="Sí",IF('Aportaciones Flex'!$B$13&lt;'Aportaciones Flex'!E497,0,F497*$B$8/12),F497*$B$8/12)</f>
      </c>
      <c r="H497" s="333">
        <f>IF(G497&gt;0,1,0)*$H$5*IF(AND($I$5="NO",YEAR(E497)=YEAR($B$6)+1),1,IF($I$5="SI",1,0))</f>
      </c>
      <c r="I497" s="217">
        <f>(1+$M$5)^(D497/12)*(H497*(12-IF(MONTH(E498)=12,0,MONTH(E498)))+IF(AND(F497=1,F498=0),$Q$4,0))*IF(AND(F497=1,F498=0),1,0)</f>
      </c>
      <c r="J497" s="333">
        <f>(1+$M$5)^(D497/12)*(H497+IF(AND(F497=1,F498=0),$Q$4,0))</f>
      </c>
      <c r="K497" s="351"/>
      <c r="L497" s="333">
        <f>K497+J497</f>
      </c>
      <c r="M497" s="170"/>
      <c r="N497" s="7"/>
      <c r="O497" s="1"/>
      <c r="P497" s="331">
        <f>D497</f>
      </c>
      <c r="Q497" s="169"/>
      <c r="R497" s="1"/>
      <c r="S497" s="217">
        <f>(1+$M$5)^(D497/12)*(IF(E497=$C$6,$Q$4+$H$5*12,0))</f>
      </c>
      <c r="T497" s="217">
        <f>(1+$M$5)^(D497/12)*(IF(YEAR(E497)&gt;YEAR($C$6),L497,0)+IF(E497=$C$6,$H$5*12+$Q$4,0))</f>
      </c>
    </row>
    <row x14ac:dyDescent="0.25" r="498" customHeight="1" ht="18.75">
      <c r="A498" s="1"/>
      <c r="B498" s="7"/>
      <c r="C498" s="170"/>
      <c r="D498" s="331">
        <v>491</v>
      </c>
      <c r="E498" s="544">
        <f>+DATE(YEAR(E497),MONTH(E497)-1,DAY(E497))</f>
        <v>25569.041666666668</v>
      </c>
      <c r="F498" s="333">
        <f>IF(DATE(YEAR($B$6),MONTH($B$6)+1,DAY(1))=E498,1,IF(MONTH(E498)=1,F499*(1+$F$5),F499))</f>
      </c>
      <c r="G498" s="333">
        <f>IF('Simulador - 1º Pilar'!$E$99="Sí",IF('Aportaciones Flex'!$B$13&lt;'Aportaciones Flex'!E498,0,F498*$B$8/12),F498*$B$8/12)</f>
      </c>
      <c r="H498" s="333">
        <f>IF(G498&gt;0,1,0)*$H$5*IF(AND($I$5="NO",YEAR(E498)=YEAR($B$6)+1),1,IF($I$5="SI",1,0))</f>
      </c>
      <c r="I498" s="217">
        <f>(1+$M$5)^(D498/12)*(H498*(12-IF(MONTH(E499)=12,0,MONTH(E499)))+IF(AND(F498=1,F499=0),$Q$4,0))*IF(AND(F498=1,F499=0),1,0)</f>
      </c>
      <c r="J498" s="333">
        <f>(1+$M$5)^(D498/12)*(H498+IF(AND(F498=1,F499=0),$Q$4,0))</f>
      </c>
      <c r="K498" s="351"/>
      <c r="L498" s="333">
        <f>K498+J498</f>
      </c>
      <c r="M498" s="170"/>
      <c r="N498" s="7"/>
      <c r="O498" s="1"/>
      <c r="P498" s="331">
        <f>D498</f>
      </c>
      <c r="Q498" s="169"/>
      <c r="R498" s="1"/>
      <c r="S498" s="217">
        <f>(1+$M$5)^(D498/12)*(IF(E498=$C$6,$Q$4+$H$5*12,0))</f>
      </c>
      <c r="T498" s="217">
        <f>(1+$M$5)^(D498/12)*(IF(YEAR(E498)&gt;YEAR($C$6),L498,0)+IF(E498=$C$6,$H$5*12+$Q$4,0))</f>
      </c>
    </row>
    <row x14ac:dyDescent="0.25" r="499" customHeight="1" ht="18.75">
      <c r="A499" s="1"/>
      <c r="B499" s="7"/>
      <c r="C499" s="170"/>
      <c r="D499" s="331">
        <v>492</v>
      </c>
      <c r="E499" s="544">
        <f>+DATE(YEAR(E498),MONTH(E498)-1,DAY(E498))</f>
        <v>25569.041666666668</v>
      </c>
      <c r="F499" s="333">
        <f>IF(DATE(YEAR($B$6),MONTH($B$6)+1,DAY(1))=E499,1,IF(MONTH(E499)=1,F500*(1+$F$5),F500))</f>
      </c>
      <c r="G499" s="333">
        <f>IF('Simulador - 1º Pilar'!$E$99="Sí",IF('Aportaciones Flex'!$B$13&lt;'Aportaciones Flex'!E499,0,F499*$B$8/12),F499*$B$8/12)</f>
      </c>
      <c r="H499" s="333">
        <f>IF(G499&gt;0,1,0)*$H$5*IF(AND($I$5="NO",YEAR(E499)=YEAR($B$6)+1),1,IF($I$5="SI",1,0))</f>
      </c>
      <c r="I499" s="217">
        <f>(1+$M$5)^(D499/12)*(H499*(12-IF(MONTH(E500)=12,0,MONTH(E500)))+IF(AND(F499=1,F500=0),$Q$4,0))*IF(AND(F499=1,F500=0),1,0)</f>
      </c>
      <c r="J499" s="333">
        <f>(1+$M$5)^(D499/12)*(H499+IF(AND(F499=1,F500=0),$Q$4,0))</f>
      </c>
      <c r="K499" s="351"/>
      <c r="L499" s="333">
        <f>K499+J499</f>
      </c>
      <c r="M499" s="170"/>
      <c r="N499" s="7"/>
      <c r="O499" s="1"/>
      <c r="P499" s="331">
        <f>D499</f>
      </c>
      <c r="Q499" s="169"/>
      <c r="R499" s="1"/>
      <c r="S499" s="217">
        <f>(1+$M$5)^(D499/12)*(IF(E499=$C$6,$Q$4+$H$5*12,0))</f>
      </c>
      <c r="T499" s="217">
        <f>(1+$M$5)^(D499/12)*(IF(YEAR(E499)&gt;YEAR($C$6),L499,0)+IF(E499=$C$6,$H$5*12+$Q$4,0))</f>
      </c>
    </row>
    <row x14ac:dyDescent="0.25" r="500" customHeight="1" ht="18.75">
      <c r="A500" s="1"/>
      <c r="B500" s="7"/>
      <c r="C500" s="170"/>
      <c r="D500" s="331">
        <v>493</v>
      </c>
      <c r="E500" s="544">
        <f>+DATE(YEAR(E499),MONTH(E499)-1,DAY(E499))</f>
        <v>25569.041666666668</v>
      </c>
      <c r="F500" s="333">
        <f>IF(DATE(YEAR($B$6),MONTH($B$6)+1,DAY(1))=E500,1,IF(MONTH(E500)=1,F501*(1+$F$5),F501))</f>
      </c>
      <c r="G500" s="333">
        <f>IF('Simulador - 1º Pilar'!$E$99="Sí",IF('Aportaciones Flex'!$B$13&lt;'Aportaciones Flex'!E500,0,F500*$B$8/12),F500*$B$8/12)</f>
      </c>
      <c r="H500" s="333">
        <f>IF(G500&gt;0,1,0)*$H$5*IF(AND($I$5="NO",YEAR(E500)=YEAR($B$6)+1),1,IF($I$5="SI",1,0))</f>
      </c>
      <c r="I500" s="217">
        <f>(1+$M$5)^(D500/12)*(H500*(12-IF(MONTH(E501)=12,0,MONTH(E501)))+IF(AND(F500=1,F501=0),$Q$4,0))*IF(AND(F500=1,F501=0),1,0)</f>
      </c>
      <c r="J500" s="333">
        <f>(1+$M$5)^(D500/12)*(H500+IF(AND(F500=1,F501=0),$Q$4,0))</f>
      </c>
      <c r="K500" s="351"/>
      <c r="L500" s="333">
        <f>K500+J500</f>
      </c>
      <c r="M500" s="170"/>
      <c r="N500" s="7"/>
      <c r="O500" s="1"/>
      <c r="P500" s="331">
        <f>D500</f>
      </c>
      <c r="Q500" s="169"/>
      <c r="R500" s="1"/>
      <c r="S500" s="217">
        <f>(1+$M$5)^(D500/12)*(IF(E500=$C$6,$Q$4+$H$5*12,0))</f>
      </c>
      <c r="T500" s="217">
        <f>(1+$M$5)^(D500/12)*(IF(YEAR(E500)&gt;YEAR($C$6),L500,0)+IF(E500=$C$6,$H$5*12+$Q$4,0))</f>
      </c>
    </row>
    <row x14ac:dyDescent="0.25" r="501" customHeight="1" ht="18.75">
      <c r="A501" s="1"/>
      <c r="B501" s="7"/>
      <c r="C501" s="170"/>
      <c r="D501" s="331">
        <v>494</v>
      </c>
      <c r="E501" s="544">
        <f>+DATE(YEAR(E500),MONTH(E500)-1,DAY(E500))</f>
        <v>25569.041666666668</v>
      </c>
      <c r="F501" s="333">
        <f>IF(DATE(YEAR($B$6),MONTH($B$6)+1,DAY(1))=E501,1,IF(MONTH(E501)=1,F502*(1+$F$5),F502))</f>
      </c>
      <c r="G501" s="333">
        <f>IF('Simulador - 1º Pilar'!$E$99="Sí",IF('Aportaciones Flex'!$B$13&lt;'Aportaciones Flex'!E501,0,F501*$B$8/12),F501*$B$8/12)</f>
      </c>
      <c r="H501" s="333">
        <f>IF(G501&gt;0,1,0)*$H$5*IF(AND($I$5="NO",YEAR(E501)=YEAR($B$6)+1),1,IF($I$5="SI",1,0))</f>
      </c>
      <c r="I501" s="217">
        <f>(1+$M$5)^(D501/12)*(H501*(12-IF(MONTH(E502)=12,0,MONTH(E502)))+IF(AND(F501=1,F502=0),$Q$4,0))*IF(AND(F501=1,F502=0),1,0)</f>
      </c>
      <c r="J501" s="333">
        <f>(1+$M$5)^(D501/12)*(H501+IF(AND(F501=1,F502=0),$Q$4,0))</f>
      </c>
      <c r="K501" s="351"/>
      <c r="L501" s="333">
        <f>K501+J501</f>
      </c>
      <c r="M501" s="170"/>
      <c r="N501" s="7"/>
      <c r="O501" s="1"/>
      <c r="P501" s="331">
        <f>D501</f>
      </c>
      <c r="Q501" s="169"/>
      <c r="R501" s="1"/>
      <c r="S501" s="217">
        <f>(1+$M$5)^(D501/12)*(IF(E501=$C$6,$Q$4+$H$5*12,0))</f>
      </c>
      <c r="T501" s="217">
        <f>(1+$M$5)^(D501/12)*(IF(YEAR(E501)&gt;YEAR($C$6),L501,0)+IF(E501=$C$6,$H$5*12+$Q$4,0))</f>
      </c>
    </row>
    <row x14ac:dyDescent="0.25" r="502" customHeight="1" ht="18.75">
      <c r="A502" s="1"/>
      <c r="B502" s="7"/>
      <c r="C502" s="170"/>
      <c r="D502" s="331">
        <v>495</v>
      </c>
      <c r="E502" s="544">
        <f>+DATE(YEAR(E501),MONTH(E501)-1,DAY(E501))</f>
        <v>25569.041666666668</v>
      </c>
      <c r="F502" s="333">
        <f>IF(DATE(YEAR($B$6),MONTH($B$6)+1,DAY(1))=E502,1,IF(MONTH(E502)=1,F503*(1+$F$5),F503))</f>
      </c>
      <c r="G502" s="333">
        <f>IF('Simulador - 1º Pilar'!$E$99="Sí",IF('Aportaciones Flex'!$B$13&lt;'Aportaciones Flex'!E502,0,F502*$B$8/12),F502*$B$8/12)</f>
      </c>
      <c r="H502" s="333">
        <f>IF(G502&gt;0,1,0)*$H$5*IF(AND($I$5="NO",YEAR(E502)=YEAR($B$6)+1),1,IF($I$5="SI",1,0))</f>
      </c>
      <c r="I502" s="217">
        <f>(1+$M$5)^(D502/12)*(H502*(12-IF(MONTH(E503)=12,0,MONTH(E503)))+IF(AND(F502=1,F503=0),$Q$4,0))*IF(AND(F502=1,F503=0),1,0)</f>
      </c>
      <c r="J502" s="333">
        <f>(1+$M$5)^(D502/12)*(H502+IF(AND(F502=1,F503=0),$Q$4,0))</f>
      </c>
      <c r="K502" s="351"/>
      <c r="L502" s="333">
        <f>K502+J502</f>
      </c>
      <c r="M502" s="170"/>
      <c r="N502" s="7"/>
      <c r="O502" s="1"/>
      <c r="P502" s="331">
        <f>D502</f>
      </c>
      <c r="Q502" s="169"/>
      <c r="R502" s="1"/>
      <c r="S502" s="217">
        <f>(1+$M$5)^(D502/12)*(IF(E502=$C$6,$Q$4+$H$5*12,0))</f>
      </c>
      <c r="T502" s="217">
        <f>(1+$M$5)^(D502/12)*(IF(YEAR(E502)&gt;YEAR($C$6),L502,0)+IF(E502=$C$6,$H$5*12+$Q$4,0))</f>
      </c>
    </row>
    <row x14ac:dyDescent="0.25" r="503" customHeight="1" ht="18.75">
      <c r="A503" s="1"/>
      <c r="B503" s="7"/>
      <c r="C503" s="170"/>
      <c r="D503" s="331">
        <v>496</v>
      </c>
      <c r="E503" s="544">
        <f>+DATE(YEAR(E502),MONTH(E502)-1,DAY(E502))</f>
        <v>25569.041666666668</v>
      </c>
      <c r="F503" s="333">
        <f>IF(DATE(YEAR($B$6),MONTH($B$6)+1,DAY(1))=E503,1,IF(MONTH(E503)=1,F504*(1+$F$5),F504))</f>
      </c>
      <c r="G503" s="333">
        <f>IF('Simulador - 1º Pilar'!$E$99="Sí",IF('Aportaciones Flex'!$B$13&lt;'Aportaciones Flex'!E503,0,F503*$B$8/12),F503*$B$8/12)</f>
      </c>
      <c r="H503" s="333">
        <f>IF(G503&gt;0,1,0)*$H$5*IF(AND($I$5="NO",YEAR(E503)=YEAR($B$6)+1),1,IF($I$5="SI",1,0))</f>
      </c>
      <c r="I503" s="217">
        <f>(1+$M$5)^(D503/12)*(H503*(12-IF(MONTH(E504)=12,0,MONTH(E504)))+IF(AND(F503=1,F504=0),$Q$4,0))*IF(AND(F503=1,F504=0),1,0)</f>
      </c>
      <c r="J503" s="333">
        <f>(1+$M$5)^(D503/12)*(H503+IF(AND(F503=1,F504=0),$Q$4,0))</f>
      </c>
      <c r="K503" s="351"/>
      <c r="L503" s="333">
        <f>K503+J503</f>
      </c>
      <c r="M503" s="170"/>
      <c r="N503" s="7"/>
      <c r="O503" s="1"/>
      <c r="P503" s="331">
        <f>D503</f>
      </c>
      <c r="Q503" s="169"/>
      <c r="R503" s="1"/>
      <c r="S503" s="217">
        <f>(1+$M$5)^(D503/12)*(IF(E503=$C$6,$Q$4+$H$5*12,0))</f>
      </c>
      <c r="T503" s="217">
        <f>(1+$M$5)^(D503/12)*(IF(YEAR(E503)&gt;YEAR($C$6),L503,0)+IF(E503=$C$6,$H$5*12+$Q$4,0))</f>
      </c>
    </row>
    <row x14ac:dyDescent="0.25" r="504" customHeight="1" ht="18.75">
      <c r="A504" s="1"/>
      <c r="B504" s="7"/>
      <c r="C504" s="170"/>
      <c r="D504" s="331">
        <v>497</v>
      </c>
      <c r="E504" s="544">
        <f>+DATE(YEAR(E503),MONTH(E503)-1,DAY(E503))</f>
        <v>25569.041666666668</v>
      </c>
      <c r="F504" s="333">
        <f>IF(DATE(YEAR($B$6),MONTH($B$6)+1,DAY(1))=E504,1,IF(MONTH(E504)=1,F505*(1+$F$5),F505))</f>
      </c>
      <c r="G504" s="333">
        <f>IF('Simulador - 1º Pilar'!$E$99="Sí",IF('Aportaciones Flex'!$B$13&lt;'Aportaciones Flex'!E504,0,F504*$B$8/12),F504*$B$8/12)</f>
      </c>
      <c r="H504" s="333">
        <f>IF(G504&gt;0,1,0)*$H$5*IF(AND($I$5="NO",YEAR(E504)=YEAR($B$6)+1),1,IF($I$5="SI",1,0))</f>
      </c>
      <c r="I504" s="217">
        <f>(1+$M$5)^(D504/12)*(H504*(12-IF(MONTH(E505)=12,0,MONTH(E505)))+IF(AND(F504=1,F505=0),$Q$4,0))*IF(AND(F504=1,F505=0),1,0)</f>
      </c>
      <c r="J504" s="333">
        <f>(1+$M$5)^(D504/12)*(H504+IF(AND(F504=1,F505=0),$Q$4,0))</f>
      </c>
      <c r="K504" s="351"/>
      <c r="L504" s="333">
        <f>K504+J504</f>
      </c>
      <c r="M504" s="170"/>
      <c r="N504" s="7"/>
      <c r="O504" s="1"/>
      <c r="P504" s="331">
        <f>D504</f>
      </c>
      <c r="Q504" s="169"/>
      <c r="R504" s="1"/>
      <c r="S504" s="217">
        <f>(1+$M$5)^(D504/12)*(IF(E504=$C$6,$Q$4+$H$5*12,0))</f>
      </c>
      <c r="T504" s="217">
        <f>(1+$M$5)^(D504/12)*(IF(YEAR(E504)&gt;YEAR($C$6),L504,0)+IF(E504=$C$6,$H$5*12+$Q$4,0))</f>
      </c>
    </row>
    <row x14ac:dyDescent="0.25" r="505" customHeight="1" ht="18.75">
      <c r="A505" s="1"/>
      <c r="B505" s="7"/>
      <c r="C505" s="170"/>
      <c r="D505" s="331">
        <v>498</v>
      </c>
      <c r="E505" s="544">
        <f>+DATE(YEAR(E504),MONTH(E504)-1,DAY(E504))</f>
        <v>25569.041666666668</v>
      </c>
      <c r="F505" s="333">
        <f>IF(DATE(YEAR($B$6),MONTH($B$6)+1,DAY(1))=E505,1,IF(MONTH(E505)=1,F506*(1+$F$5),F506))</f>
      </c>
      <c r="G505" s="333">
        <f>IF('Simulador - 1º Pilar'!$E$99="Sí",IF('Aportaciones Flex'!$B$13&lt;'Aportaciones Flex'!E505,0,F505*$B$8/12),F505*$B$8/12)</f>
      </c>
      <c r="H505" s="333">
        <f>IF(G505&gt;0,1,0)*$H$5*IF(AND($I$5="NO",YEAR(E505)=YEAR($B$6)+1),1,IF($I$5="SI",1,0))</f>
      </c>
      <c r="I505" s="217">
        <f>(1+$M$5)^(D505/12)*(H505*(12-IF(MONTH(E506)=12,0,MONTH(E506)))+IF(AND(F505=1,F506=0),$Q$4,0))*IF(AND(F505=1,F506=0),1,0)</f>
      </c>
      <c r="J505" s="333">
        <f>(1+$M$5)^(D505/12)*(H505+IF(AND(F505=1,F506=0),$Q$4,0))</f>
      </c>
      <c r="K505" s="351"/>
      <c r="L505" s="333">
        <f>K505+J505</f>
      </c>
      <c r="M505" s="170"/>
      <c r="N505" s="7"/>
      <c r="O505" s="1"/>
      <c r="P505" s="331">
        <f>D505</f>
      </c>
      <c r="Q505" s="169"/>
      <c r="R505" s="1"/>
      <c r="S505" s="217">
        <f>(1+$M$5)^(D505/12)*(IF(E505=$C$6,$Q$4+$H$5*12,0))</f>
      </c>
      <c r="T505" s="217">
        <f>(1+$M$5)^(D505/12)*(IF(YEAR(E505)&gt;YEAR($C$6),L505,0)+IF(E505=$C$6,$H$5*12+$Q$4,0))</f>
      </c>
    </row>
    <row x14ac:dyDescent="0.25" r="506" customHeight="1" ht="18.75">
      <c r="A506" s="1"/>
      <c r="B506" s="7"/>
      <c r="C506" s="170"/>
      <c r="D506" s="331">
        <v>499</v>
      </c>
      <c r="E506" s="544">
        <f>+DATE(YEAR(E505),MONTH(E505)-1,DAY(E505))</f>
        <v>25569.041666666668</v>
      </c>
      <c r="F506" s="333">
        <f>IF(DATE(YEAR($B$6),MONTH($B$6)+1,DAY(1))=E506,1,IF(MONTH(E506)=1,F507*(1+$F$5),F507))</f>
      </c>
      <c r="G506" s="333">
        <f>IF('Simulador - 1º Pilar'!$E$99="Sí",IF('Aportaciones Flex'!$B$13&lt;'Aportaciones Flex'!E506,0,F506*$B$8/12),F506*$B$8/12)</f>
      </c>
      <c r="H506" s="333">
        <f>IF(G506&gt;0,1,0)*$H$5*IF(AND($I$5="NO",YEAR(E506)=YEAR($B$6)+1),1,IF($I$5="SI",1,0))</f>
      </c>
      <c r="I506" s="217">
        <f>(1+$M$5)^(D506/12)*(H506*(12-IF(MONTH(E507)=12,0,MONTH(E507)))+IF(AND(F506=1,F507=0),$Q$4,0))*IF(AND(F506=1,F507=0),1,0)</f>
      </c>
      <c r="J506" s="333">
        <f>(1+$M$5)^(D506/12)*(H506+IF(AND(F506=1,F507=0),$Q$4,0))</f>
      </c>
      <c r="K506" s="351"/>
      <c r="L506" s="333">
        <f>K506+J506</f>
      </c>
      <c r="M506" s="170"/>
      <c r="N506" s="7"/>
      <c r="O506" s="1"/>
      <c r="P506" s="331">
        <f>D506</f>
      </c>
      <c r="Q506" s="169"/>
      <c r="R506" s="1"/>
      <c r="S506" s="217">
        <f>(1+$M$5)^(D506/12)*(IF(E506=$C$6,$Q$4+$H$5*12,0))</f>
      </c>
      <c r="T506" s="217">
        <f>(1+$M$5)^(D506/12)*(IF(YEAR(E506)&gt;YEAR($C$6),L506,0)+IF(E506=$C$6,$H$5*12+$Q$4,0))</f>
      </c>
    </row>
    <row x14ac:dyDescent="0.25" r="507" customHeight="1" ht="18.75">
      <c r="A507" s="1"/>
      <c r="B507" s="7"/>
      <c r="C507" s="170"/>
      <c r="D507" s="331">
        <v>500</v>
      </c>
      <c r="E507" s="544">
        <f>+DATE(YEAR(E506),MONTH(E506)-1,DAY(E506))</f>
        <v>25569.041666666668</v>
      </c>
      <c r="F507" s="333">
        <f>IF(DATE(YEAR($B$6),MONTH($B$6)+1,DAY(1))=E507,1,IF(MONTH(E507)=1,F508*(1+$F$5),F508))</f>
      </c>
      <c r="G507" s="333">
        <f>IF('Simulador - 1º Pilar'!$E$99="Sí",IF('Aportaciones Flex'!$B$13&lt;'Aportaciones Flex'!E507,0,F507*$B$8/12),F507*$B$8/12)</f>
      </c>
      <c r="H507" s="333">
        <f>IF(G507&gt;0,1,0)*$H$5*IF(AND($I$5="NO",YEAR(E507)=YEAR($B$6)+1),1,IF($I$5="SI",1,0))</f>
      </c>
      <c r="I507" s="217">
        <f>(1+$M$5)^(D507/12)*(H507*(12-IF(MONTH(E508)=12,0,MONTH(E508)))+IF(AND(F507=1,F508=0),$Q$4,0))*IF(AND(F507=1,F508=0),1,0)</f>
      </c>
      <c r="J507" s="333">
        <f>(1+$M$5)^(D507/12)*(H507+IF(AND(F507=1,F508=0),$Q$4,0))</f>
      </c>
      <c r="K507" s="351"/>
      <c r="L507" s="333">
        <f>K507+J507</f>
      </c>
      <c r="M507" s="170"/>
      <c r="N507" s="7"/>
      <c r="O507" s="1"/>
      <c r="P507" s="331">
        <f>D507</f>
      </c>
      <c r="Q507" s="169"/>
      <c r="R507" s="1"/>
      <c r="S507" s="217">
        <f>(1+$M$5)^(D507/12)*(IF(E507=$C$6,$Q$4+$H$5*12,0))</f>
      </c>
      <c r="T507" s="217">
        <f>(1+$M$5)^(D507/12)*(IF(YEAR(E507)&gt;YEAR($C$6),L507,0)+IF(E507=$C$6,$H$5*12+$Q$4,0))</f>
      </c>
    </row>
    <row x14ac:dyDescent="0.25" r="508" customHeight="1" ht="18.75">
      <c r="A508" s="1"/>
      <c r="B508" s="7"/>
      <c r="C508" s="170"/>
      <c r="D508" s="331">
        <v>501</v>
      </c>
      <c r="E508" s="544">
        <f>+DATE(YEAR(E507),MONTH(E507)-1,DAY(E507))</f>
        <v>25569.041666666668</v>
      </c>
      <c r="F508" s="333">
        <f>IF(DATE(YEAR($B$6),MONTH($B$6)+1,DAY(1))=E508,1,IF(MONTH(E508)=1,F509*(1+$F$5),F509))</f>
      </c>
      <c r="G508" s="333">
        <f>IF('Simulador - 1º Pilar'!$E$99="Sí",IF('Aportaciones Flex'!$B$13&lt;'Aportaciones Flex'!E508,0,F508*$B$8/12),F508*$B$8/12)</f>
      </c>
      <c r="H508" s="333">
        <f>IF(G508&gt;0,1,0)*$H$5*IF(AND($I$5="NO",YEAR(E508)=YEAR($B$6)+1),1,IF($I$5="SI",1,0))</f>
      </c>
      <c r="I508" s="217">
        <f>(1+$M$5)^(D508/12)*(H508*(12-IF(MONTH(E509)=12,0,MONTH(E509)))+IF(AND(F508=1,F509=0),$Q$4,0))*IF(AND(F508=1,F509=0),1,0)</f>
      </c>
      <c r="J508" s="333">
        <f>(1+$M$5)^(D508/12)*(H508+IF(AND(F508=1,F509=0),$Q$4,0))</f>
      </c>
      <c r="K508" s="351"/>
      <c r="L508" s="333">
        <f>K508+J508</f>
      </c>
      <c r="M508" s="170"/>
      <c r="N508" s="7"/>
      <c r="O508" s="1"/>
      <c r="P508" s="331">
        <f>D508</f>
      </c>
      <c r="Q508" s="169"/>
      <c r="R508" s="1"/>
      <c r="S508" s="217">
        <f>(1+$M$5)^(D508/12)*(IF(E508=$C$6,$Q$4+$H$5*12,0))</f>
      </c>
      <c r="T508" s="217">
        <f>(1+$M$5)^(D508/12)*(IF(YEAR(E508)&gt;YEAR($C$6),L508,0)+IF(E508=$C$6,$H$5*12+$Q$4,0))</f>
      </c>
    </row>
    <row x14ac:dyDescent="0.25" r="509" customHeight="1" ht="18.75">
      <c r="A509" s="1"/>
      <c r="B509" s="7"/>
      <c r="C509" s="170"/>
      <c r="D509" s="331">
        <v>502</v>
      </c>
      <c r="E509" s="544">
        <f>+DATE(YEAR(E508),MONTH(E508)-1,DAY(E508))</f>
        <v>25569.041666666668</v>
      </c>
      <c r="F509" s="333">
        <f>IF(DATE(YEAR($B$6),MONTH($B$6)+1,DAY(1))=E509,1,IF(MONTH(E509)=1,F510*(1+$F$5),F510))</f>
      </c>
      <c r="G509" s="333">
        <f>IF('Simulador - 1º Pilar'!$E$99="Sí",IF('Aportaciones Flex'!$B$13&lt;'Aportaciones Flex'!E509,0,F509*$B$8/12),F509*$B$8/12)</f>
      </c>
      <c r="H509" s="333">
        <f>IF(G509&gt;0,1,0)*$H$5*IF(AND($I$5="NO",YEAR(E509)=YEAR($B$6)+1),1,IF($I$5="SI",1,0))</f>
      </c>
      <c r="I509" s="217">
        <f>(1+$M$5)^(D509/12)*(H509*(12-IF(MONTH(E510)=12,0,MONTH(E510)))+IF(AND(F509=1,F510=0),$Q$4,0))*IF(AND(F509=1,F510=0),1,0)</f>
      </c>
      <c r="J509" s="333">
        <f>(1+$M$5)^(D509/12)*(H509+IF(AND(F509=1,F510=0),$Q$4,0))</f>
      </c>
      <c r="K509" s="351"/>
      <c r="L509" s="333">
        <f>K509+J509</f>
      </c>
      <c r="M509" s="170"/>
      <c r="N509" s="7"/>
      <c r="O509" s="1"/>
      <c r="P509" s="331">
        <f>D509</f>
      </c>
      <c r="Q509" s="169"/>
      <c r="R509" s="1"/>
      <c r="S509" s="217">
        <f>(1+$M$5)^(D509/12)*(IF(E509=$C$6,$Q$4+$H$5*12,0))</f>
      </c>
      <c r="T509" s="217">
        <f>(1+$M$5)^(D509/12)*(IF(YEAR(E509)&gt;YEAR($C$6),L509,0)+IF(E509=$C$6,$H$5*12+$Q$4,0))</f>
      </c>
    </row>
    <row x14ac:dyDescent="0.25" r="510" customHeight="1" ht="18.75">
      <c r="A510" s="1"/>
      <c r="B510" s="7"/>
      <c r="C510" s="170"/>
      <c r="D510" s="331">
        <v>503</v>
      </c>
      <c r="E510" s="544">
        <f>+DATE(YEAR(E509),MONTH(E509)-1,DAY(E509))</f>
        <v>25569.041666666668</v>
      </c>
      <c r="F510" s="333">
        <f>IF(DATE(YEAR($B$6),MONTH($B$6)+1,DAY(1))=E510,1,IF(MONTH(E510)=1,F511*(1+$F$5),F511))</f>
      </c>
      <c r="G510" s="333">
        <f>IF('Simulador - 1º Pilar'!$E$99="Sí",IF('Aportaciones Flex'!$B$13&lt;'Aportaciones Flex'!E510,0,F510*$B$8/12),F510*$B$8/12)</f>
      </c>
      <c r="H510" s="333">
        <f>IF(G510&gt;0,1,0)*$H$5*IF(AND($I$5="NO",YEAR(E510)=YEAR($B$6)+1),1,IF($I$5="SI",1,0))</f>
      </c>
      <c r="I510" s="217">
        <f>(1+$M$5)^(D510/12)*(H510*(12-IF(MONTH(E511)=12,0,MONTH(E511)))+IF(AND(F510=1,F511=0),$Q$4,0))*IF(AND(F510=1,F511=0),1,0)</f>
      </c>
      <c r="J510" s="333">
        <f>(1+$M$5)^(D510/12)*(H510+IF(AND(F510=1,F511=0),$Q$4,0))</f>
      </c>
      <c r="K510" s="351"/>
      <c r="L510" s="333">
        <f>K510+J510</f>
      </c>
      <c r="M510" s="170"/>
      <c r="N510" s="7"/>
      <c r="O510" s="1"/>
      <c r="P510" s="331">
        <f>D510</f>
      </c>
      <c r="Q510" s="169"/>
      <c r="R510" s="1"/>
      <c r="S510" s="217">
        <f>(1+$M$5)^(D510/12)*(IF(E510=$C$6,$Q$4+$H$5*12,0))</f>
      </c>
      <c r="T510" s="217">
        <f>(1+$M$5)^(D510/12)*(IF(YEAR(E510)&gt;YEAR($C$6),L510,0)+IF(E510=$C$6,$H$5*12+$Q$4,0))</f>
      </c>
    </row>
    <row x14ac:dyDescent="0.25" r="511" customHeight="1" ht="18.75">
      <c r="A511" s="1"/>
      <c r="B511" s="7"/>
      <c r="C511" s="170"/>
      <c r="D511" s="331">
        <v>504</v>
      </c>
      <c r="E511" s="544">
        <f>+DATE(YEAR(E510),MONTH(E510)-1,DAY(E510))</f>
        <v>25569.041666666668</v>
      </c>
      <c r="F511" s="333">
        <f>IF(DATE(YEAR($B$6),MONTH($B$6)+1,DAY(1))=E511,1,IF(MONTH(E511)=1,F512*(1+$F$5),F512))</f>
      </c>
      <c r="G511" s="333">
        <f>IF('Simulador - 1º Pilar'!$E$99="Sí",IF('Aportaciones Flex'!$B$13&lt;'Aportaciones Flex'!E511,0,F511*$B$8/12),F511*$B$8/12)</f>
      </c>
      <c r="H511" s="333">
        <f>IF(G511&gt;0,1,0)*$H$5*IF(AND($I$5="NO",YEAR(E511)=YEAR($B$6)+1),1,IF($I$5="SI",1,0))</f>
      </c>
      <c r="I511" s="217">
        <f>(1+$M$5)^(D511/12)*(H511*(12-IF(MONTH(E512)=12,0,MONTH(E512)))+IF(AND(F511=1,F512=0),$Q$4,0))*IF(AND(F511=1,F512=0),1,0)</f>
      </c>
      <c r="J511" s="333">
        <f>(1+$M$5)^(D511/12)*(H511+IF(AND(F511=1,F512=0),$Q$4,0))</f>
      </c>
      <c r="K511" s="351"/>
      <c r="L511" s="333">
        <f>K511+J511</f>
      </c>
      <c r="M511" s="170"/>
      <c r="N511" s="7"/>
      <c r="O511" s="1"/>
      <c r="P511" s="331">
        <f>D511</f>
      </c>
      <c r="Q511" s="169"/>
      <c r="R511" s="1"/>
      <c r="S511" s="217">
        <f>(1+$M$5)^(D511/12)*(IF(E511=$C$6,$Q$4+$H$5*12,0))</f>
      </c>
      <c r="T511" s="217">
        <f>(1+$M$5)^(D511/12)*(IF(YEAR(E511)&gt;YEAR($C$6),L511,0)+IF(E511=$C$6,$H$5*12+$Q$4,0))</f>
      </c>
    </row>
    <row x14ac:dyDescent="0.25" r="512" customHeight="1" ht="18.75">
      <c r="A512" s="1"/>
      <c r="B512" s="7"/>
      <c r="C512" s="170"/>
      <c r="D512" s="331">
        <v>505</v>
      </c>
      <c r="E512" s="544">
        <f>+DATE(YEAR(E511),MONTH(E511)-1,DAY(E511))</f>
        <v>25569.041666666668</v>
      </c>
      <c r="F512" s="333">
        <f>IF(DATE(YEAR($B$6),MONTH($B$6)+1,DAY(1))=E512,1,IF(MONTH(E512)=1,F513*(1+$F$5),F513))</f>
      </c>
      <c r="G512" s="333">
        <f>IF('Simulador - 1º Pilar'!$E$99="Sí",IF('Aportaciones Flex'!$B$13&lt;'Aportaciones Flex'!E512,0,F512*$B$8/12),F512*$B$8/12)</f>
      </c>
      <c r="H512" s="333">
        <f>IF(G512&gt;0,1,0)*$H$5*IF(AND($I$5="NO",YEAR(E512)=YEAR($B$6)+1),1,IF($I$5="SI",1,0))</f>
      </c>
      <c r="I512" s="217">
        <f>(1+$M$5)^(D512/12)*(H512*(12-IF(MONTH(E513)=12,0,MONTH(E513)))+IF(AND(F512=1,F513=0),$Q$4,0))*IF(AND(F512=1,F513=0),1,0)</f>
      </c>
      <c r="J512" s="333">
        <f>(1+$M$5)^(D512/12)*(H512+IF(AND(F512=1,F513=0),$Q$4,0))</f>
      </c>
      <c r="K512" s="351"/>
      <c r="L512" s="333">
        <f>K512+J512</f>
      </c>
      <c r="M512" s="170"/>
      <c r="N512" s="7"/>
      <c r="O512" s="1"/>
      <c r="P512" s="331">
        <f>D512</f>
      </c>
      <c r="Q512" s="169"/>
      <c r="R512" s="1"/>
      <c r="S512" s="217">
        <f>(1+$M$5)^(D512/12)*(IF(E512=$C$6,$Q$4+$H$5*12,0))</f>
      </c>
      <c r="T512" s="217">
        <f>(1+$M$5)^(D512/12)*(IF(YEAR(E512)&gt;YEAR($C$6),L512,0)+IF(E512=$C$6,$H$5*12+$Q$4,0))</f>
      </c>
    </row>
    <row x14ac:dyDescent="0.25" r="513" customHeight="1" ht="18.75">
      <c r="A513" s="1"/>
      <c r="B513" s="7"/>
      <c r="C513" s="170"/>
      <c r="D513" s="331">
        <v>506</v>
      </c>
      <c r="E513" s="544">
        <f>+DATE(YEAR(E512),MONTH(E512)-1,DAY(E512))</f>
        <v>25569.041666666668</v>
      </c>
      <c r="F513" s="333">
        <f>IF(DATE(YEAR($B$6),MONTH($B$6)+1,DAY(1))=E513,1,IF(MONTH(E513)=1,F514*(1+$F$5),F514))</f>
      </c>
      <c r="G513" s="333">
        <f>IF('Simulador - 1º Pilar'!$E$99="Sí",IF('Aportaciones Flex'!$B$13&lt;'Aportaciones Flex'!E513,0,F513*$B$8/12),F513*$B$8/12)</f>
      </c>
      <c r="H513" s="333">
        <f>IF(G513&gt;0,1,0)*$H$5*IF(AND($I$5="NO",YEAR(E513)=YEAR($B$6)+1),1,IF($I$5="SI",1,0))</f>
      </c>
      <c r="I513" s="217">
        <f>(1+$M$5)^(D513/12)*(H513*(12-IF(MONTH(E514)=12,0,MONTH(E514)))+IF(AND(F513=1,F514=0),$Q$4,0))*IF(AND(F513=1,F514=0),1,0)</f>
      </c>
      <c r="J513" s="333">
        <f>(1+$M$5)^(D513/12)*(H513+IF(AND(F513=1,F514=0),$Q$4,0))</f>
      </c>
      <c r="K513" s="351"/>
      <c r="L513" s="333">
        <f>K513+J513</f>
      </c>
      <c r="M513" s="170"/>
      <c r="N513" s="7"/>
      <c r="O513" s="1"/>
      <c r="P513" s="331">
        <f>D513</f>
      </c>
      <c r="Q513" s="169"/>
      <c r="R513" s="1"/>
      <c r="S513" s="217">
        <f>(1+$M$5)^(D513/12)*(IF(E513=$C$6,$Q$4+$H$5*12,0))</f>
      </c>
      <c r="T513" s="217">
        <f>(1+$M$5)^(D513/12)*(IF(YEAR(E513)&gt;YEAR($C$6),L513,0)+IF(E513=$C$6,$H$5*12+$Q$4,0))</f>
      </c>
    </row>
    <row x14ac:dyDescent="0.25" r="514" customHeight="1" ht="18.75">
      <c r="A514" s="1"/>
      <c r="B514" s="7"/>
      <c r="C514" s="170"/>
      <c r="D514" s="331">
        <v>507</v>
      </c>
      <c r="E514" s="544">
        <f>+DATE(YEAR(E513),MONTH(E513)-1,DAY(E513))</f>
        <v>25569.041666666668</v>
      </c>
      <c r="F514" s="333">
        <f>IF(DATE(YEAR($B$6),MONTH($B$6)+1,DAY(1))=E514,1,IF(MONTH(E514)=1,F515*(1+$F$5),F515))</f>
      </c>
      <c r="G514" s="333">
        <f>IF('Simulador - 1º Pilar'!$E$99="Sí",IF('Aportaciones Flex'!$B$13&lt;'Aportaciones Flex'!E514,0,F514*$B$8/12),F514*$B$8/12)</f>
      </c>
      <c r="H514" s="333">
        <f>IF(G514&gt;0,1,0)*$H$5*IF(AND($I$5="NO",YEAR(E514)=YEAR($B$6)+1),1,IF($I$5="SI",1,0))</f>
      </c>
      <c r="I514" s="217">
        <f>(1+$M$5)^(D514/12)*(H514*(12-IF(MONTH(E515)=12,0,MONTH(E515)))+IF(AND(F514=1,F515=0),$Q$4,0))*IF(AND(F514=1,F515=0),1,0)</f>
      </c>
      <c r="J514" s="333">
        <f>(1+$M$5)^(D514/12)*(H514+IF(AND(F514=1,F515=0),$Q$4,0))</f>
      </c>
      <c r="K514" s="351"/>
      <c r="L514" s="333">
        <f>K514+J514</f>
      </c>
      <c r="M514" s="170"/>
      <c r="N514" s="7"/>
      <c r="O514" s="1"/>
      <c r="P514" s="331">
        <f>D514</f>
      </c>
      <c r="Q514" s="169"/>
      <c r="R514" s="1"/>
      <c r="S514" s="217">
        <f>(1+$M$5)^(D514/12)*(IF(E514=$C$6,$Q$4+$H$5*12,0))</f>
      </c>
      <c r="T514" s="217">
        <f>(1+$M$5)^(D514/12)*(IF(YEAR(E514)&gt;YEAR($C$6),L514,0)+IF(E514=$C$6,$H$5*12+$Q$4,0))</f>
      </c>
    </row>
    <row x14ac:dyDescent="0.25" r="515" customHeight="1" ht="18.75">
      <c r="A515" s="1"/>
      <c r="B515" s="7"/>
      <c r="C515" s="170"/>
      <c r="D515" s="331">
        <v>508</v>
      </c>
      <c r="E515" s="544">
        <f>+DATE(YEAR(E514),MONTH(E514)-1,DAY(E514))</f>
        <v>25569.041666666668</v>
      </c>
      <c r="F515" s="333">
        <f>IF(DATE(YEAR($B$6),MONTH($B$6)+1,DAY(1))=E515,1,IF(MONTH(E515)=1,F516*(1+$F$5),F516))</f>
      </c>
      <c r="G515" s="333">
        <f>IF('Simulador - 1º Pilar'!$E$99="Sí",IF('Aportaciones Flex'!$B$13&lt;'Aportaciones Flex'!E515,0,F515*$B$8/12),F515*$B$8/12)</f>
      </c>
      <c r="H515" s="333">
        <f>IF(G515&gt;0,1,0)*$H$5*IF(AND($I$5="NO",YEAR(E515)=YEAR($B$6)+1),1,IF($I$5="SI",1,0))</f>
      </c>
      <c r="I515" s="217">
        <f>(1+$M$5)^(D515/12)*(H515*(12-IF(MONTH(E516)=12,0,MONTH(E516)))+IF(AND(F515=1,F516=0),$Q$4,0))*IF(AND(F515=1,F516=0),1,0)</f>
      </c>
      <c r="J515" s="333">
        <f>(1+$M$5)^(D515/12)*(H515+IF(AND(F515=1,F516=0),$Q$4,0))</f>
      </c>
      <c r="K515" s="351"/>
      <c r="L515" s="333">
        <f>K515+J515</f>
      </c>
      <c r="M515" s="170"/>
      <c r="N515" s="7"/>
      <c r="O515" s="1"/>
      <c r="P515" s="331">
        <f>D515</f>
      </c>
      <c r="Q515" s="169"/>
      <c r="R515" s="1"/>
      <c r="S515" s="217">
        <f>(1+$M$5)^(D515/12)*(IF(E515=$C$6,$Q$4+$H$5*12,0))</f>
      </c>
      <c r="T515" s="217">
        <f>(1+$M$5)^(D515/12)*(IF(YEAR(E515)&gt;YEAR($C$6),L515,0)+IF(E515=$C$6,$H$5*12+$Q$4,0))</f>
      </c>
    </row>
    <row x14ac:dyDescent="0.25" r="516" customHeight="1" ht="18.75">
      <c r="A516" s="1"/>
      <c r="B516" s="7"/>
      <c r="C516" s="170"/>
      <c r="D516" s="331">
        <v>509</v>
      </c>
      <c r="E516" s="544">
        <f>+DATE(YEAR(E515),MONTH(E515)-1,DAY(E515))</f>
        <v>25569.041666666668</v>
      </c>
      <c r="F516" s="333">
        <f>IF(DATE(YEAR($B$6),MONTH($B$6)+1,DAY(1))=E516,1,IF(MONTH(E516)=1,F517*(1+$F$5),F517))</f>
      </c>
      <c r="G516" s="333">
        <f>IF('Simulador - 1º Pilar'!$E$99="Sí",IF('Aportaciones Flex'!$B$13&lt;'Aportaciones Flex'!E516,0,F516*$B$8/12),F516*$B$8/12)</f>
      </c>
      <c r="H516" s="333">
        <f>IF(G516&gt;0,1,0)*$H$5*IF(AND($I$5="NO",YEAR(E516)=YEAR($B$6)+1),1,IF($I$5="SI",1,0))</f>
      </c>
      <c r="I516" s="217">
        <f>(1+$M$5)^(D516/12)*(H516*(12-IF(MONTH(E517)=12,0,MONTH(E517)))+IF(AND(F516=1,F517=0),$Q$4,0))*IF(AND(F516=1,F517=0),1,0)</f>
      </c>
      <c r="J516" s="333">
        <f>(1+$M$5)^(D516/12)*(H516+IF(AND(F516=1,F517=0),$Q$4,0))</f>
      </c>
      <c r="K516" s="351"/>
      <c r="L516" s="333">
        <f>K516+J516</f>
      </c>
      <c r="M516" s="170"/>
      <c r="N516" s="7"/>
      <c r="O516" s="1"/>
      <c r="P516" s="331">
        <f>D516</f>
      </c>
      <c r="Q516" s="169"/>
      <c r="R516" s="1"/>
      <c r="S516" s="217">
        <f>(1+$M$5)^(D516/12)*(IF(E516=$C$6,$Q$4+$H$5*12,0))</f>
      </c>
      <c r="T516" s="217">
        <f>(1+$M$5)^(D516/12)*(IF(YEAR(E516)&gt;YEAR($C$6),L516,0)+IF(E516=$C$6,$H$5*12+$Q$4,0))</f>
      </c>
    </row>
    <row x14ac:dyDescent="0.25" r="517" customHeight="1" ht="18.75">
      <c r="A517" s="1"/>
      <c r="B517" s="7"/>
      <c r="C517" s="170"/>
      <c r="D517" s="331">
        <v>510</v>
      </c>
      <c r="E517" s="544">
        <f>+DATE(YEAR(E516),MONTH(E516)-1,DAY(E516))</f>
        <v>25569.041666666668</v>
      </c>
      <c r="F517" s="333">
        <f>IF(DATE(YEAR($B$6),MONTH($B$6)+1,DAY(1))=E517,1,IF(MONTH(E517)=1,F518*(1+$F$5),F518))</f>
      </c>
      <c r="G517" s="333">
        <f>IF('Simulador - 1º Pilar'!$E$99="Sí",IF('Aportaciones Flex'!$B$13&lt;'Aportaciones Flex'!E517,0,F517*$B$8/12),F517*$B$8/12)</f>
      </c>
      <c r="H517" s="333">
        <f>IF(G517&gt;0,1,0)*$H$5*IF(AND($I$5="NO",YEAR(E517)=YEAR($B$6)+1),1,IF($I$5="SI",1,0))</f>
      </c>
      <c r="I517" s="217">
        <f>(1+$M$5)^(D517/12)*(H517*(12-IF(MONTH(E518)=12,0,MONTH(E518)))+IF(AND(F517=1,F518=0),$Q$4,0))*IF(AND(F517=1,F518=0),1,0)</f>
      </c>
      <c r="J517" s="333">
        <f>(1+$M$5)^(D517/12)*(H517+IF(AND(F517=1,F518=0),$Q$4,0))</f>
      </c>
      <c r="K517" s="351"/>
      <c r="L517" s="333">
        <f>K517+J517</f>
      </c>
      <c r="M517" s="170"/>
      <c r="N517" s="7"/>
      <c r="O517" s="1"/>
      <c r="P517" s="331">
        <f>D517</f>
      </c>
      <c r="Q517" s="169"/>
      <c r="R517" s="1"/>
      <c r="S517" s="217">
        <f>(1+$M$5)^(D517/12)*(IF(E517=$C$6,$Q$4+$H$5*12,0))</f>
      </c>
      <c r="T517" s="217">
        <f>(1+$M$5)^(D517/12)*(IF(YEAR(E517)&gt;YEAR($C$6),L517,0)+IF(E517=$C$6,$H$5*12+$Q$4,0))</f>
      </c>
    </row>
    <row x14ac:dyDescent="0.25" r="518" customHeight="1" ht="18.75">
      <c r="A518" s="1"/>
      <c r="B518" s="7"/>
      <c r="C518" s="170"/>
      <c r="D518" s="331">
        <v>511</v>
      </c>
      <c r="E518" s="544">
        <f>+DATE(YEAR(E517),MONTH(E517)-1,DAY(E517))</f>
        <v>25569.041666666668</v>
      </c>
      <c r="F518" s="333">
        <f>IF(DATE(YEAR($B$6),MONTH($B$6)+1,DAY(1))=E518,1,IF(MONTH(E518)=1,F519*(1+$F$5),F519))</f>
      </c>
      <c r="G518" s="333">
        <f>IF('Simulador - 1º Pilar'!$E$99="Sí",IF('Aportaciones Flex'!$B$13&lt;'Aportaciones Flex'!E518,0,F518*$B$8/12),F518*$B$8/12)</f>
      </c>
      <c r="H518" s="333">
        <f>IF(G518&gt;0,1,0)*$H$5*IF(AND($I$5="NO",YEAR(E518)=YEAR($B$6)+1),1,IF($I$5="SI",1,0))</f>
      </c>
      <c r="I518" s="217">
        <f>(1+$M$5)^(D518/12)*(H518*(12-IF(MONTH(E519)=12,0,MONTH(E519)))+IF(AND(F518=1,F519=0),$Q$4,0))*IF(AND(F518=1,F519=0),1,0)</f>
      </c>
      <c r="J518" s="333">
        <f>(1+$M$5)^(D518/12)*(H518+IF(AND(F518=1,F519=0),$Q$4,0))</f>
      </c>
      <c r="K518" s="351"/>
      <c r="L518" s="333">
        <f>K518+J518</f>
      </c>
      <c r="M518" s="170"/>
      <c r="N518" s="7"/>
      <c r="O518" s="1"/>
      <c r="P518" s="331">
        <f>D518</f>
      </c>
      <c r="Q518" s="169"/>
      <c r="R518" s="1"/>
      <c r="S518" s="217">
        <f>(1+$M$5)^(D518/12)*(IF(E518=$C$6,$Q$4+$H$5*12,0))</f>
      </c>
      <c r="T518" s="217">
        <f>(1+$M$5)^(D518/12)*(IF(YEAR(E518)&gt;YEAR($C$6),L518,0)+IF(E518=$C$6,$H$5*12+$Q$4,0))</f>
      </c>
    </row>
    <row x14ac:dyDescent="0.25" r="519" customHeight="1" ht="18.75">
      <c r="A519" s="1"/>
      <c r="B519" s="7"/>
      <c r="C519" s="170"/>
      <c r="D519" s="331">
        <v>512</v>
      </c>
      <c r="E519" s="544">
        <f>+DATE(YEAR(E518),MONTH(E518)-1,DAY(E518))</f>
        <v>25569.041666666668</v>
      </c>
      <c r="F519" s="333">
        <f>IF(DATE(YEAR($B$6),MONTH($B$6)+1,DAY(1))=E519,1,IF(MONTH(E519)=1,F520*(1+$F$5),F520))</f>
      </c>
      <c r="G519" s="333">
        <f>IF('Simulador - 1º Pilar'!$E$99="Sí",IF('Aportaciones Flex'!$B$13&lt;'Aportaciones Flex'!E519,0,F519*$B$8/12),F519*$B$8/12)</f>
      </c>
      <c r="H519" s="333">
        <f>IF(G519&gt;0,1,0)*$H$5*IF(AND($I$5="NO",YEAR(E519)=YEAR($B$6)+1),1,IF($I$5="SI",1,0))</f>
      </c>
      <c r="I519" s="217">
        <f>(1+$M$5)^(D519/12)*(H519*(12-IF(MONTH(E520)=12,0,MONTH(E520)))+IF(AND(F519=1,F520=0),$Q$4,0))*IF(AND(F519=1,F520=0),1,0)</f>
      </c>
      <c r="J519" s="333">
        <f>(1+$M$5)^(D519/12)*(H519+IF(AND(F519=1,F520=0),$Q$4,0))</f>
      </c>
      <c r="K519" s="351"/>
      <c r="L519" s="333">
        <f>K519+J519</f>
      </c>
      <c r="M519" s="170"/>
      <c r="N519" s="7"/>
      <c r="O519" s="1"/>
      <c r="P519" s="331">
        <f>D519</f>
      </c>
      <c r="Q519" s="169"/>
      <c r="R519" s="1"/>
      <c r="S519" s="217">
        <f>(1+$M$5)^(D519/12)*(IF(E519=$C$6,$Q$4+$H$5*12,0))</f>
      </c>
      <c r="T519" s="217">
        <f>(1+$M$5)^(D519/12)*(IF(YEAR(E519)&gt;YEAR($C$6),L519,0)+IF(E519=$C$6,$H$5*12+$Q$4,0))</f>
      </c>
    </row>
    <row x14ac:dyDescent="0.25" r="520" customHeight="1" ht="18.75">
      <c r="A520" s="1"/>
      <c r="B520" s="7"/>
      <c r="C520" s="170"/>
      <c r="D520" s="331">
        <v>513</v>
      </c>
      <c r="E520" s="544">
        <f>+DATE(YEAR(E519),MONTH(E519)-1,DAY(E519))</f>
        <v>25569.041666666668</v>
      </c>
      <c r="F520" s="333">
        <f>IF(DATE(YEAR($B$6),MONTH($B$6)+1,DAY(1))=E520,1,IF(MONTH(E520)=1,F521*(1+$F$5),F521))</f>
      </c>
      <c r="G520" s="333">
        <f>IF('Simulador - 1º Pilar'!$E$99="Sí",IF('Aportaciones Flex'!$B$13&lt;'Aportaciones Flex'!E520,0,F520*$B$8/12),F520*$B$8/12)</f>
      </c>
      <c r="H520" s="333">
        <f>IF(G520&gt;0,1,0)*$H$5*IF(AND($I$5="NO",YEAR(E520)=YEAR($B$6)+1),1,IF($I$5="SI",1,0))</f>
      </c>
      <c r="I520" s="217">
        <f>(1+$M$5)^(D520/12)*(H520*(12-IF(MONTH(E521)=12,0,MONTH(E521)))+IF(AND(F520=1,F521=0),$Q$4,0))*IF(AND(F520=1,F521=0),1,0)</f>
      </c>
      <c r="J520" s="333">
        <f>(1+$M$5)^(D520/12)*(H520+IF(AND(F520=1,F521=0),$Q$4,0))</f>
      </c>
      <c r="K520" s="351"/>
      <c r="L520" s="333">
        <f>K520+J520</f>
      </c>
      <c r="M520" s="170"/>
      <c r="N520" s="7"/>
      <c r="O520" s="1"/>
      <c r="P520" s="331">
        <f>D520</f>
      </c>
      <c r="Q520" s="169"/>
      <c r="R520" s="1"/>
      <c r="S520" s="217">
        <f>(1+$M$5)^(D520/12)*(IF(E520=$C$6,$Q$4+$H$5*12,0))</f>
      </c>
      <c r="T520" s="217">
        <f>(1+$M$5)^(D520/12)*(IF(YEAR(E520)&gt;YEAR($C$6),L520,0)+IF(E520=$C$6,$H$5*12+$Q$4,0))</f>
      </c>
    </row>
    <row x14ac:dyDescent="0.25" r="521" customHeight="1" ht="18.75">
      <c r="A521" s="1"/>
      <c r="B521" s="7"/>
      <c r="C521" s="170"/>
      <c r="D521" s="331">
        <v>514</v>
      </c>
      <c r="E521" s="544">
        <f>+DATE(YEAR(E520),MONTH(E520)-1,DAY(E520))</f>
        <v>25569.041666666668</v>
      </c>
      <c r="F521" s="333">
        <f>IF(DATE(YEAR($B$6),MONTH($B$6)+1,DAY(1))=E521,1,IF(MONTH(E521)=1,F522*(1+$F$5),F522))</f>
      </c>
      <c r="G521" s="333">
        <f>IF('Simulador - 1º Pilar'!$E$99="Sí",IF('Aportaciones Flex'!$B$13&lt;'Aportaciones Flex'!E521,0,F521*$B$8/12),F521*$B$8/12)</f>
      </c>
      <c r="H521" s="333">
        <f>IF(G521&gt;0,1,0)*$H$5*IF(AND($I$5="NO",YEAR(E521)=YEAR($B$6)+1),1,IF($I$5="SI",1,0))</f>
      </c>
      <c r="I521" s="217">
        <f>(1+$M$5)^(D521/12)*(H521*(12-IF(MONTH(E522)=12,0,MONTH(E522)))+IF(AND(F521=1,F522=0),$Q$4,0))*IF(AND(F521=1,F522=0),1,0)</f>
      </c>
      <c r="J521" s="333">
        <f>(1+$M$5)^(D521/12)*(H521+IF(AND(F521=1,F522=0),$Q$4,0))</f>
      </c>
      <c r="K521" s="351"/>
      <c r="L521" s="333">
        <f>K521+J521</f>
      </c>
      <c r="M521" s="170"/>
      <c r="N521" s="7"/>
      <c r="O521" s="1"/>
      <c r="P521" s="331">
        <f>D521</f>
      </c>
      <c r="Q521" s="169"/>
      <c r="R521" s="1"/>
      <c r="S521" s="217">
        <f>(1+$M$5)^(D521/12)*(IF(E521=$C$6,$Q$4+$H$5*12,0))</f>
      </c>
      <c r="T521" s="217">
        <f>(1+$M$5)^(D521/12)*(IF(YEAR(E521)&gt;YEAR($C$6),L521,0)+IF(E521=$C$6,$H$5*12+$Q$4,0))</f>
      </c>
    </row>
    <row x14ac:dyDescent="0.25" r="522" customHeight="1" ht="18.75">
      <c r="A522" s="1"/>
      <c r="B522" s="7"/>
      <c r="C522" s="170"/>
      <c r="D522" s="331">
        <v>515</v>
      </c>
      <c r="E522" s="544">
        <f>+DATE(YEAR(E521),MONTH(E521)-1,DAY(E521))</f>
        <v>25569.041666666668</v>
      </c>
      <c r="F522" s="333">
        <f>IF(DATE(YEAR($B$6),MONTH($B$6)+1,DAY(1))=E522,1,IF(MONTH(E522)=1,F523*(1+$F$5),F523))</f>
      </c>
      <c r="G522" s="333">
        <f>IF('Simulador - 1º Pilar'!$E$99="Sí",IF('Aportaciones Flex'!$B$13&lt;'Aportaciones Flex'!E522,0,F522*$B$8/12),F522*$B$8/12)</f>
      </c>
      <c r="H522" s="333">
        <f>IF(G522&gt;0,1,0)*$H$5*IF(AND($I$5="NO",YEAR(E522)=YEAR($B$6)+1),1,IF($I$5="SI",1,0))</f>
      </c>
      <c r="I522" s="217">
        <f>(1+$M$5)^(D522/12)*(H522*(12-IF(MONTH(E523)=12,0,MONTH(E523)))+IF(AND(F522=1,F523=0),$Q$4,0))*IF(AND(F522=1,F523=0),1,0)</f>
      </c>
      <c r="J522" s="333">
        <f>(1+$M$5)^(D522/12)*(H522+IF(AND(F522=1,F523=0),$Q$4,0))</f>
      </c>
      <c r="K522" s="351"/>
      <c r="L522" s="333">
        <f>K522+J522</f>
      </c>
      <c r="M522" s="170"/>
      <c r="N522" s="7"/>
      <c r="O522" s="1"/>
      <c r="P522" s="331">
        <f>D522</f>
      </c>
      <c r="Q522" s="169"/>
      <c r="R522" s="1"/>
      <c r="S522" s="217">
        <f>(1+$M$5)^(D522/12)*(IF(E522=$C$6,$Q$4+$H$5*12,0))</f>
      </c>
      <c r="T522" s="217">
        <f>(1+$M$5)^(D522/12)*(IF(YEAR(E522)&gt;YEAR($C$6),L522,0)+IF(E522=$C$6,$H$5*12+$Q$4,0))</f>
      </c>
    </row>
    <row x14ac:dyDescent="0.25" r="523" customHeight="1" ht="18.75">
      <c r="A523" s="1"/>
      <c r="B523" s="7"/>
      <c r="C523" s="170"/>
      <c r="D523" s="331">
        <v>516</v>
      </c>
      <c r="E523" s="544">
        <f>+DATE(YEAR(E522),MONTH(E522)-1,DAY(E522))</f>
        <v>25569.041666666668</v>
      </c>
      <c r="F523" s="333">
        <f>IF(DATE(YEAR($B$6),MONTH($B$6)+1,DAY(1))=E523,1,IF(MONTH(E523)=1,F524*(1+$F$5),F524))</f>
      </c>
      <c r="G523" s="333">
        <f>IF('Simulador - 1º Pilar'!$E$99="Sí",IF('Aportaciones Flex'!$B$13&lt;'Aportaciones Flex'!E523,0,F523*$B$8/12),F523*$B$8/12)</f>
      </c>
      <c r="H523" s="333">
        <f>IF(G523&gt;0,1,0)*$H$5*IF(AND($I$5="NO",YEAR(E523)=YEAR($B$6)+1),1,IF($I$5="SI",1,0))</f>
      </c>
      <c r="I523" s="217">
        <f>(1+$M$5)^(D523/12)*(H523*(12-IF(MONTH(E524)=12,0,MONTH(E524)))+IF(AND(F523=1,F524=0),$Q$4,0))*IF(AND(F523=1,F524=0),1,0)</f>
      </c>
      <c r="J523" s="333">
        <f>(1+$M$5)^(D523/12)*(H523+IF(AND(F523=1,F524=0),$Q$4,0))</f>
      </c>
      <c r="K523" s="351"/>
      <c r="L523" s="333">
        <f>K523+J523</f>
      </c>
      <c r="M523" s="170"/>
      <c r="N523" s="7"/>
      <c r="O523" s="1"/>
      <c r="P523" s="331">
        <f>D523</f>
      </c>
      <c r="Q523" s="169"/>
      <c r="R523" s="1"/>
      <c r="S523" s="217">
        <f>(1+$M$5)^(D523/12)*(IF(E523=$C$6,$Q$4+$H$5*12,0))</f>
      </c>
      <c r="T523" s="217">
        <f>(1+$M$5)^(D523/12)*(IF(YEAR(E523)&gt;YEAR($C$6),L523,0)+IF(E523=$C$6,$H$5*12+$Q$4,0))</f>
      </c>
    </row>
    <row x14ac:dyDescent="0.25" r="524" customHeight="1" ht="18.75">
      <c r="A524" s="1"/>
      <c r="B524" s="7"/>
      <c r="C524" s="170"/>
      <c r="D524" s="331">
        <v>517</v>
      </c>
      <c r="E524" s="544">
        <f>+DATE(YEAR(E523),MONTH(E523)-1,DAY(E523))</f>
        <v>25569.041666666668</v>
      </c>
      <c r="F524" s="333">
        <f>IF(DATE(YEAR($B$6),MONTH($B$6)+1,DAY(1))=E524,1,IF(MONTH(E524)=1,F525*(1+$F$5),F525))</f>
      </c>
      <c r="G524" s="333">
        <f>IF('Simulador - 1º Pilar'!$E$99="Sí",IF('Aportaciones Flex'!$B$13&lt;'Aportaciones Flex'!E524,0,F524*$B$8/12),F524*$B$8/12)</f>
      </c>
      <c r="H524" s="333">
        <f>IF(G524&gt;0,1,0)*$H$5*IF(AND($I$5="NO",YEAR(E524)=YEAR($B$6)+1),1,IF($I$5="SI",1,0))</f>
      </c>
      <c r="I524" s="217">
        <f>(1+$M$5)^(D524/12)*(H524*(12-IF(MONTH(E525)=12,0,MONTH(E525)))+IF(AND(F524=1,F525=0),$Q$4,0))*IF(AND(F524=1,F525=0),1,0)</f>
      </c>
      <c r="J524" s="333">
        <f>(1+$M$5)^(D524/12)*(H524+IF(AND(F524=1,F525=0),$Q$4,0))</f>
      </c>
      <c r="K524" s="351"/>
      <c r="L524" s="333">
        <f>K524+J524</f>
      </c>
      <c r="M524" s="170"/>
      <c r="N524" s="7"/>
      <c r="O524" s="1"/>
      <c r="P524" s="331">
        <f>D524</f>
      </c>
      <c r="Q524" s="169"/>
      <c r="R524" s="1"/>
      <c r="S524" s="217">
        <f>(1+$M$5)^(D524/12)*(IF(E524=$C$6,$Q$4+$H$5*12,0))</f>
      </c>
      <c r="T524" s="217">
        <f>(1+$M$5)^(D524/12)*(IF(YEAR(E524)&gt;YEAR($C$6),L524,0)+IF(E524=$C$6,$H$5*12+$Q$4,0))</f>
      </c>
    </row>
    <row x14ac:dyDescent="0.25" r="525" customHeight="1" ht="18.75">
      <c r="A525" s="1"/>
      <c r="B525" s="7"/>
      <c r="C525" s="170"/>
      <c r="D525" s="331">
        <v>518</v>
      </c>
      <c r="E525" s="544">
        <f>+DATE(YEAR(E524),MONTH(E524)-1,DAY(E524))</f>
        <v>25569.041666666668</v>
      </c>
      <c r="F525" s="333">
        <f>IF(DATE(YEAR($B$6),MONTH($B$6)+1,DAY(1))=E525,1,IF(MONTH(E525)=1,F526*(1+$F$5),F526))</f>
      </c>
      <c r="G525" s="333">
        <f>IF('Simulador - 1º Pilar'!$E$99="Sí",IF('Aportaciones Flex'!$B$13&lt;'Aportaciones Flex'!E525,0,F525*$B$8/12),F525*$B$8/12)</f>
      </c>
      <c r="H525" s="333">
        <f>IF(G525&gt;0,1,0)*$H$5*IF(AND($I$5="NO",YEAR(E525)=YEAR($B$6)+1),1,IF($I$5="SI",1,0))</f>
      </c>
      <c r="I525" s="217">
        <f>(1+$M$5)^(D525/12)*(H525*(12-IF(MONTH(E526)=12,0,MONTH(E526)))+IF(AND(F525=1,F526=0),$Q$4,0))*IF(AND(F525=1,F526=0),1,0)</f>
      </c>
      <c r="J525" s="333">
        <f>(1+$M$5)^(D525/12)*(H525+IF(AND(F525=1,F526=0),$Q$4,0))</f>
      </c>
      <c r="K525" s="351"/>
      <c r="L525" s="333">
        <f>K525+J525</f>
      </c>
      <c r="M525" s="170"/>
      <c r="N525" s="7"/>
      <c r="O525" s="1"/>
      <c r="P525" s="331">
        <f>D525</f>
      </c>
      <c r="Q525" s="169"/>
      <c r="R525" s="1"/>
      <c r="S525" s="217">
        <f>(1+$M$5)^(D525/12)*(IF(E525=$C$6,$Q$4+$H$5*12,0))</f>
      </c>
      <c r="T525" s="217">
        <f>(1+$M$5)^(D525/12)*(IF(YEAR(E525)&gt;YEAR($C$6),L525,0)+IF(E525=$C$6,$H$5*12+$Q$4,0))</f>
      </c>
    </row>
    <row x14ac:dyDescent="0.25" r="526" customHeight="1" ht="18.75">
      <c r="A526" s="1"/>
      <c r="B526" s="7"/>
      <c r="C526" s="170"/>
      <c r="D526" s="331">
        <v>519</v>
      </c>
      <c r="E526" s="544">
        <f>+DATE(YEAR(E525),MONTH(E525)-1,DAY(E525))</f>
        <v>25569.041666666668</v>
      </c>
      <c r="F526" s="333">
        <f>IF(DATE(YEAR($B$6),MONTH($B$6)+1,DAY(1))=E526,1,IF(MONTH(E526)=1,F527*(1+$F$5),F527))</f>
      </c>
      <c r="G526" s="333">
        <f>IF('Simulador - 1º Pilar'!$E$99="Sí",IF('Aportaciones Flex'!$B$13&lt;'Aportaciones Flex'!E526,0,F526*$B$8/12),F526*$B$8/12)</f>
      </c>
      <c r="H526" s="333">
        <f>IF(G526&gt;0,1,0)*$H$5*IF(AND($I$5="NO",YEAR(E526)=YEAR($B$6)+1),1,IF($I$5="SI",1,0))</f>
      </c>
      <c r="I526" s="217">
        <f>(1+$M$5)^(D526/12)*(H526*(12-IF(MONTH(E527)=12,0,MONTH(E527)))+IF(AND(F526=1,F527=0),$Q$4,0))*IF(AND(F526=1,F527=0),1,0)</f>
      </c>
      <c r="J526" s="333">
        <f>(1+$M$5)^(D526/12)*(H526+IF(AND(F526=1,F527=0),$Q$4,0))</f>
      </c>
      <c r="K526" s="351"/>
      <c r="L526" s="333">
        <f>K526+J526</f>
      </c>
      <c r="M526" s="170"/>
      <c r="N526" s="7"/>
      <c r="O526" s="1"/>
      <c r="P526" s="331">
        <f>D526</f>
      </c>
      <c r="Q526" s="169"/>
      <c r="R526" s="1"/>
      <c r="S526" s="217">
        <f>(1+$M$5)^(D526/12)*(IF(E526=$C$6,$Q$4+$H$5*12,0))</f>
      </c>
      <c r="T526" s="217">
        <f>(1+$M$5)^(D526/12)*(IF(YEAR(E526)&gt;YEAR($C$6),L526,0)+IF(E526=$C$6,$H$5*12+$Q$4,0))</f>
      </c>
    </row>
    <row x14ac:dyDescent="0.25" r="527" customHeight="1" ht="18.75">
      <c r="A527" s="1"/>
      <c r="B527" s="7"/>
      <c r="C527" s="170"/>
      <c r="D527" s="331">
        <v>520</v>
      </c>
      <c r="E527" s="544">
        <f>+DATE(YEAR(E526),MONTH(E526)-1,DAY(E526))</f>
        <v>25569.041666666668</v>
      </c>
      <c r="F527" s="333">
        <f>IF(DATE(YEAR($B$6),MONTH($B$6)+1,DAY(1))=E527,1,IF(MONTH(E527)=1,F528*(1+$F$5),F528))</f>
      </c>
      <c r="G527" s="333">
        <f>IF('Simulador - 1º Pilar'!$E$99="Sí",IF('Aportaciones Flex'!$B$13&lt;'Aportaciones Flex'!E527,0,F527*$B$8/12),F527*$B$8/12)</f>
      </c>
      <c r="H527" s="333">
        <f>IF(G527&gt;0,1,0)*$H$5*IF(AND($I$5="NO",YEAR(E527)=YEAR($B$6)+1),1,IF($I$5="SI",1,0))</f>
      </c>
      <c r="I527" s="217">
        <f>(1+$M$5)^(D527/12)*(H527*(12-IF(MONTH(E528)=12,0,MONTH(E528)))+IF(AND(F527=1,F528=0),$Q$4,0))*IF(AND(F527=1,F528=0),1,0)</f>
      </c>
      <c r="J527" s="333">
        <f>(1+$M$5)^(D527/12)*(H527+IF(AND(F527=1,F528=0),$Q$4,0))</f>
      </c>
      <c r="K527" s="351"/>
      <c r="L527" s="333">
        <f>K527+J527</f>
      </c>
      <c r="M527" s="170"/>
      <c r="N527" s="7"/>
      <c r="O527" s="1"/>
      <c r="P527" s="331">
        <f>D527</f>
      </c>
      <c r="Q527" s="169"/>
      <c r="R527" s="1"/>
      <c r="S527" s="217">
        <f>(1+$M$5)^(D527/12)*(IF(E527=$C$6,$Q$4+$H$5*12,0))</f>
      </c>
      <c r="T527" s="217">
        <f>(1+$M$5)^(D527/12)*(IF(YEAR(E527)&gt;YEAR($C$6),L527,0)+IF(E527=$C$6,$H$5*12+$Q$4,0))</f>
      </c>
    </row>
    <row x14ac:dyDescent="0.25" r="528" customHeight="1" ht="18.75">
      <c r="A528" s="1"/>
      <c r="B528" s="7"/>
      <c r="C528" s="170"/>
      <c r="D528" s="331">
        <v>521</v>
      </c>
      <c r="E528" s="544">
        <f>+DATE(YEAR(E527),MONTH(E527)-1,DAY(E527))</f>
        <v>25569.041666666668</v>
      </c>
      <c r="F528" s="333">
        <f>IF(DATE(YEAR($B$6),MONTH($B$6)+1,DAY(1))=E528,1,IF(MONTH(E528)=1,F529*(1+$F$5),F529))</f>
      </c>
      <c r="G528" s="333">
        <f>IF('Simulador - 1º Pilar'!$E$99="Sí",IF('Aportaciones Flex'!$B$13&lt;'Aportaciones Flex'!E528,0,F528*$B$8/12),F528*$B$8/12)</f>
      </c>
      <c r="H528" s="333">
        <f>IF(G528&gt;0,1,0)*$H$5*IF(AND($I$5="NO",YEAR(E528)=YEAR($B$6)+1),1,IF($I$5="SI",1,0))</f>
      </c>
      <c r="I528" s="217">
        <f>(1+$M$5)^(D528/12)*(H528*(12-IF(MONTH(E529)=12,0,MONTH(E529)))+IF(AND(F528=1,F529=0),$Q$4,0))*IF(AND(F528=1,F529=0),1,0)</f>
      </c>
      <c r="J528" s="333">
        <f>(1+$M$5)^(D528/12)*(H528+IF(AND(F528=1,F529=0),$Q$4,0))</f>
      </c>
      <c r="K528" s="351"/>
      <c r="L528" s="333">
        <f>K528+J528</f>
      </c>
      <c r="M528" s="170"/>
      <c r="N528" s="7"/>
      <c r="O528" s="1"/>
      <c r="P528" s="331">
        <f>D528</f>
      </c>
      <c r="Q528" s="169"/>
      <c r="R528" s="1"/>
      <c r="S528" s="217">
        <f>(1+$M$5)^(D528/12)*(IF(E528=$C$6,$Q$4+$H$5*12,0))</f>
      </c>
      <c r="T528" s="217">
        <f>(1+$M$5)^(D528/12)*(IF(YEAR(E528)&gt;YEAR($C$6),L528,0)+IF(E528=$C$6,$H$5*12+$Q$4,0))</f>
      </c>
    </row>
    <row x14ac:dyDescent="0.25" r="529" customHeight="1" ht="18.75">
      <c r="A529" s="1"/>
      <c r="B529" s="7"/>
      <c r="C529" s="170"/>
      <c r="D529" s="331">
        <v>522</v>
      </c>
      <c r="E529" s="544">
        <f>+DATE(YEAR(E528),MONTH(E528)-1,DAY(E528))</f>
        <v>25569.041666666668</v>
      </c>
      <c r="F529" s="333">
        <f>IF(DATE(YEAR($B$6),MONTH($B$6)+1,DAY(1))=E529,1,IF(MONTH(E529)=1,F530*(1+$F$5),F530))</f>
      </c>
      <c r="G529" s="333">
        <f>IF('Simulador - 1º Pilar'!$E$99="Sí",IF('Aportaciones Flex'!$B$13&lt;'Aportaciones Flex'!E529,0,F529*$B$8/12),F529*$B$8/12)</f>
      </c>
      <c r="H529" s="333">
        <f>IF(G529&gt;0,1,0)*$H$5*IF(AND($I$5="NO",YEAR(E529)=YEAR($B$6)+1),1,IF($I$5="SI",1,0))</f>
      </c>
      <c r="I529" s="217">
        <f>(1+$M$5)^(D529/12)*(H529*(12-IF(MONTH(E530)=12,0,MONTH(E530)))+IF(AND(F529=1,F530=0),$Q$4,0))*IF(AND(F529=1,F530=0),1,0)</f>
      </c>
      <c r="J529" s="333">
        <f>(1+$M$5)^(D529/12)*(H529+IF(AND(F529=1,F530=0),$Q$4,0))</f>
      </c>
      <c r="K529" s="351"/>
      <c r="L529" s="333">
        <f>K529+J529</f>
      </c>
      <c r="M529" s="170"/>
      <c r="N529" s="7"/>
      <c r="O529" s="1"/>
      <c r="P529" s="331">
        <f>D529</f>
      </c>
      <c r="Q529" s="169"/>
      <c r="R529" s="1"/>
      <c r="S529" s="217">
        <f>(1+$M$5)^(D529/12)*(IF(E529=$C$6,$Q$4+$H$5*12,0))</f>
      </c>
      <c r="T529" s="217">
        <f>(1+$M$5)^(D529/12)*(IF(YEAR(E529)&gt;YEAR($C$6),L529,0)+IF(E529=$C$6,$H$5*12+$Q$4,0))</f>
      </c>
    </row>
    <row x14ac:dyDescent="0.25" r="530" customHeight="1" ht="18.75">
      <c r="A530" s="1"/>
      <c r="B530" s="7"/>
      <c r="C530" s="170"/>
      <c r="D530" s="331">
        <v>523</v>
      </c>
      <c r="E530" s="544">
        <f>+DATE(YEAR(E529),MONTH(E529)-1,DAY(E529))</f>
        <v>25569.041666666668</v>
      </c>
      <c r="F530" s="333">
        <f>IF(DATE(YEAR($B$6),MONTH($B$6)+1,DAY(1))=E530,1,IF(MONTH(E530)=1,F531*(1+$F$5),F531))</f>
      </c>
      <c r="G530" s="333">
        <f>IF('Simulador - 1º Pilar'!$E$99="Sí",IF('Aportaciones Flex'!$B$13&lt;'Aportaciones Flex'!E530,0,F530*$B$8/12),F530*$B$8/12)</f>
      </c>
      <c r="H530" s="333">
        <f>IF(G530&gt;0,1,0)*$H$5*IF(AND($I$5="NO",YEAR(E530)=YEAR($B$6)+1),1,IF($I$5="SI",1,0))</f>
      </c>
      <c r="I530" s="217">
        <f>(1+$M$5)^(D530/12)*(H530*(12-IF(MONTH(E531)=12,0,MONTH(E531)))+IF(AND(F530=1,F531=0),$Q$4,0))*IF(AND(F530=1,F531=0),1,0)</f>
      </c>
      <c r="J530" s="333">
        <f>(1+$M$5)^(D530/12)*(H530+IF(AND(F530=1,F531=0),$Q$4,0))</f>
      </c>
      <c r="K530" s="351"/>
      <c r="L530" s="333">
        <f>K530+J530</f>
      </c>
      <c r="M530" s="170"/>
      <c r="N530" s="7"/>
      <c r="O530" s="1"/>
      <c r="P530" s="331">
        <f>D530</f>
      </c>
      <c r="Q530" s="169"/>
      <c r="R530" s="1"/>
      <c r="S530" s="217">
        <f>(1+$M$5)^(D530/12)*(IF(E530=$C$6,$Q$4+$H$5*12,0))</f>
      </c>
      <c r="T530" s="217">
        <f>(1+$M$5)^(D530/12)*(IF(YEAR(E530)&gt;YEAR($C$6),L530,0)+IF(E530=$C$6,$H$5*12+$Q$4,0))</f>
      </c>
    </row>
    <row x14ac:dyDescent="0.25" r="531" customHeight="1" ht="18.75">
      <c r="A531" s="1"/>
      <c r="B531" s="7"/>
      <c r="C531" s="170"/>
      <c r="D531" s="331">
        <v>524</v>
      </c>
      <c r="E531" s="544">
        <f>+DATE(YEAR(E530),MONTH(E530)-1,DAY(E530))</f>
        <v>25569.041666666668</v>
      </c>
      <c r="F531" s="333">
        <f>IF(DATE(YEAR($B$6),MONTH($B$6)+1,DAY(1))=E531,1,IF(MONTH(E531)=1,F532*(1+$F$5),F532))</f>
      </c>
      <c r="G531" s="333">
        <f>IF('Simulador - 1º Pilar'!$E$99="Sí",IF('Aportaciones Flex'!$B$13&lt;'Aportaciones Flex'!E531,0,F531*$B$8/12),F531*$B$8/12)</f>
      </c>
      <c r="H531" s="333">
        <f>IF(G531&gt;0,1,0)*$H$5*IF(AND($I$5="NO",YEAR(E531)=YEAR($B$6)+1),1,IF($I$5="SI",1,0))</f>
      </c>
      <c r="I531" s="217">
        <f>(1+$M$5)^(D531/12)*(H531*(12-IF(MONTH(E532)=12,0,MONTH(E532)))+IF(AND(F531=1,F532=0),$Q$4,0))*IF(AND(F531=1,F532=0),1,0)</f>
      </c>
      <c r="J531" s="333">
        <f>(1+$M$5)^(D531/12)*(H531+IF(AND(F531=1,F532=0),$Q$4,0))</f>
      </c>
      <c r="K531" s="351"/>
      <c r="L531" s="333">
        <f>K531+J531</f>
      </c>
      <c r="M531" s="170"/>
      <c r="N531" s="7"/>
      <c r="O531" s="1"/>
      <c r="P531" s="331">
        <f>D531</f>
      </c>
      <c r="Q531" s="169"/>
      <c r="R531" s="1"/>
      <c r="S531" s="217">
        <f>(1+$M$5)^(D531/12)*(IF(E531=$C$6,$Q$4+$H$5*12,0))</f>
      </c>
      <c r="T531" s="217">
        <f>(1+$M$5)^(D531/12)*(IF(YEAR(E531)&gt;YEAR($C$6),L531,0)+IF(E531=$C$6,$H$5*12+$Q$4,0))</f>
      </c>
    </row>
    <row x14ac:dyDescent="0.25" r="532" customHeight="1" ht="18.75">
      <c r="A532" s="1"/>
      <c r="B532" s="7"/>
      <c r="C532" s="170"/>
      <c r="D532" s="331">
        <v>525</v>
      </c>
      <c r="E532" s="544">
        <f>+DATE(YEAR(E531),MONTH(E531)-1,DAY(E531))</f>
        <v>25569.041666666668</v>
      </c>
      <c r="F532" s="333">
        <f>IF(DATE(YEAR($B$6),MONTH($B$6)+1,DAY(1))=E532,1,IF(MONTH(E532)=1,F533*(1+$F$5),F533))</f>
      </c>
      <c r="G532" s="333">
        <f>IF('Simulador - 1º Pilar'!$E$99="Sí",IF('Aportaciones Flex'!$B$13&lt;'Aportaciones Flex'!E532,0,F532*$B$8/12),F532*$B$8/12)</f>
      </c>
      <c r="H532" s="333">
        <f>IF(G532&gt;0,1,0)*$H$5*IF(AND($I$5="NO",YEAR(E532)=YEAR($B$6)+1),1,IF($I$5="SI",1,0))</f>
      </c>
      <c r="I532" s="217">
        <f>(1+$M$5)^(D532/12)*(H532*(12-IF(MONTH(E533)=12,0,MONTH(E533)))+IF(AND(F532=1,F533=0),$Q$4,0))*IF(AND(F532=1,F533=0),1,0)</f>
      </c>
      <c r="J532" s="333">
        <f>(1+$M$5)^(D532/12)*(H532+IF(AND(F532=1,F533=0),$Q$4,0))</f>
      </c>
      <c r="K532" s="351"/>
      <c r="L532" s="333">
        <f>K532+J532</f>
      </c>
      <c r="M532" s="170"/>
      <c r="N532" s="7"/>
      <c r="O532" s="1"/>
      <c r="P532" s="331">
        <f>D532</f>
      </c>
      <c r="Q532" s="169"/>
      <c r="R532" s="1"/>
      <c r="S532" s="217">
        <f>(1+$M$5)^(D532/12)*(IF(E532=$C$6,$Q$4+$H$5*12,0))</f>
      </c>
      <c r="T532" s="217">
        <f>(1+$M$5)^(D532/12)*(IF(YEAR(E532)&gt;YEAR($C$6),L532,0)+IF(E532=$C$6,$H$5*12+$Q$4,0))</f>
      </c>
    </row>
    <row x14ac:dyDescent="0.25" r="533" customHeight="1" ht="18.75">
      <c r="A533" s="1"/>
      <c r="B533" s="7"/>
      <c r="C533" s="170"/>
      <c r="D533" s="331">
        <v>526</v>
      </c>
      <c r="E533" s="544">
        <f>+DATE(YEAR(E532),MONTH(E532)-1,DAY(E532))</f>
        <v>25569.041666666668</v>
      </c>
      <c r="F533" s="333">
        <f>IF(DATE(YEAR($B$6),MONTH($B$6)+1,DAY(1))=E533,1,IF(MONTH(E533)=1,F534*(1+$F$5),F534))</f>
      </c>
      <c r="G533" s="333">
        <f>IF('Simulador - 1º Pilar'!$E$99="Sí",IF('Aportaciones Flex'!$B$13&lt;'Aportaciones Flex'!E533,0,F533*$B$8/12),F533*$B$8/12)</f>
      </c>
      <c r="H533" s="333">
        <f>IF(G533&gt;0,1,0)*$H$5*IF(AND($I$5="NO",YEAR(E533)=YEAR($B$6)+1),1,IF($I$5="SI",1,0))</f>
      </c>
      <c r="I533" s="217">
        <f>(1+$M$5)^(D533/12)*(H533*(12-IF(MONTH(E534)=12,0,MONTH(E534)))+IF(AND(F533=1,F534=0),$Q$4,0))*IF(AND(F533=1,F534=0),1,0)</f>
      </c>
      <c r="J533" s="333">
        <f>(1+$M$5)^(D533/12)*(H533+IF(AND(F533=1,F534=0),$Q$4,0))</f>
      </c>
      <c r="K533" s="351"/>
      <c r="L533" s="333">
        <f>K533+J533</f>
      </c>
      <c r="M533" s="170"/>
      <c r="N533" s="7"/>
      <c r="O533" s="1"/>
      <c r="P533" s="331">
        <f>D533</f>
      </c>
      <c r="Q533" s="169"/>
      <c r="R533" s="1"/>
      <c r="S533" s="217">
        <f>(1+$M$5)^(D533/12)*(IF(E533=$C$6,$Q$4+$H$5*12,0))</f>
      </c>
      <c r="T533" s="217">
        <f>(1+$M$5)^(D533/12)*(IF(YEAR(E533)&gt;YEAR($C$6),L533,0)+IF(E533=$C$6,$H$5*12+$Q$4,0))</f>
      </c>
    </row>
    <row x14ac:dyDescent="0.25" r="534" customHeight="1" ht="18.75">
      <c r="A534" s="1"/>
      <c r="B534" s="7"/>
      <c r="C534" s="170"/>
      <c r="D534" s="331">
        <v>527</v>
      </c>
      <c r="E534" s="544">
        <f>+DATE(YEAR(E533),MONTH(E533)-1,DAY(E533))</f>
        <v>25569.041666666668</v>
      </c>
      <c r="F534" s="333">
        <f>IF(DATE(YEAR($B$6),MONTH($B$6)+1,DAY(1))=E534,1,IF(MONTH(E534)=1,F535*(1+$F$5),F535))</f>
      </c>
      <c r="G534" s="333">
        <f>IF('Simulador - 1º Pilar'!$E$99="Sí",IF('Aportaciones Flex'!$B$13&lt;'Aportaciones Flex'!E534,0,F534*$B$8/12),F534*$B$8/12)</f>
      </c>
      <c r="H534" s="333">
        <f>IF(G534&gt;0,1,0)*$H$5*IF(AND($I$5="NO",YEAR(E534)=YEAR($B$6)+1),1,IF($I$5="SI",1,0))</f>
      </c>
      <c r="I534" s="217">
        <f>(1+$M$5)^(D534/12)*(H534*(12-IF(MONTH(E535)=12,0,MONTH(E535)))+IF(AND(F534=1,F535=0),$Q$4,0))*IF(AND(F534=1,F535=0),1,0)</f>
      </c>
      <c r="J534" s="333">
        <f>(1+$M$5)^(D534/12)*(H534+IF(AND(F534=1,F535=0),$Q$4,0))</f>
      </c>
      <c r="K534" s="351"/>
      <c r="L534" s="333">
        <f>K534+J534</f>
      </c>
      <c r="M534" s="170"/>
      <c r="N534" s="7"/>
      <c r="O534" s="1"/>
      <c r="P534" s="331">
        <f>D534</f>
      </c>
      <c r="Q534" s="169"/>
      <c r="R534" s="1"/>
      <c r="S534" s="217">
        <f>(1+$M$5)^(D534/12)*(IF(E534=$C$6,$Q$4+$H$5*12,0))</f>
      </c>
      <c r="T534" s="217">
        <f>(1+$M$5)^(D534/12)*(IF(YEAR(E534)&gt;YEAR($C$6),L534,0)+IF(E534=$C$6,$H$5*12+$Q$4,0))</f>
      </c>
    </row>
    <row x14ac:dyDescent="0.25" r="535" customHeight="1" ht="18.75">
      <c r="A535" s="1"/>
      <c r="B535" s="7"/>
      <c r="C535" s="170"/>
      <c r="D535" s="331">
        <v>528</v>
      </c>
      <c r="E535" s="544">
        <f>+DATE(YEAR(E534),MONTH(E534)-1,DAY(E534))</f>
        <v>25569.041666666668</v>
      </c>
      <c r="F535" s="333">
        <f>IF(DATE(YEAR($B$6),MONTH($B$6)+1,DAY(1))=E535,1,IF(MONTH(E535)=1,F536*(1+$F$5),F536))</f>
      </c>
      <c r="G535" s="333">
        <f>IF('Simulador - 1º Pilar'!$E$99="Sí",IF('Aportaciones Flex'!$B$13&lt;'Aportaciones Flex'!E535,0,F535*$B$8/12),F535*$B$8/12)</f>
      </c>
      <c r="H535" s="333">
        <f>IF(G535&gt;0,1,0)*$H$5*IF(AND($I$5="NO",YEAR(E535)=YEAR($B$6)+1),1,IF($I$5="SI",1,0))</f>
      </c>
      <c r="I535" s="217">
        <f>(1+$M$5)^(D535/12)*(H535*(12-IF(MONTH(E536)=12,0,MONTH(E536)))+IF(AND(F535=1,F536=0),$Q$4,0))*IF(AND(F535=1,F536=0),1,0)</f>
      </c>
      <c r="J535" s="333">
        <f>(1+$M$5)^(D535/12)*(H535+IF(AND(F535=1,F536=0),$Q$4,0))</f>
      </c>
      <c r="K535" s="351"/>
      <c r="L535" s="333">
        <f>K535+J535</f>
      </c>
      <c r="M535" s="170"/>
      <c r="N535" s="7"/>
      <c r="O535" s="1"/>
      <c r="P535" s="331">
        <f>D535</f>
      </c>
      <c r="Q535" s="169"/>
      <c r="R535" s="1"/>
      <c r="S535" s="217">
        <f>(1+$M$5)^(D535/12)*(IF(E535=$C$6,$Q$4+$H$5*12,0))</f>
      </c>
      <c r="T535" s="217">
        <f>(1+$M$5)^(D535/12)*(IF(YEAR(E535)&gt;YEAR($C$6),L535,0)+IF(E535=$C$6,$H$5*12+$Q$4,0))</f>
      </c>
    </row>
    <row x14ac:dyDescent="0.25" r="536" customHeight="1" ht="18.75">
      <c r="A536" s="1"/>
      <c r="B536" s="7"/>
      <c r="C536" s="170"/>
      <c r="D536" s="331">
        <v>529</v>
      </c>
      <c r="E536" s="544">
        <f>+DATE(YEAR(E535),MONTH(E535)-1,DAY(E535))</f>
        <v>25569.041666666668</v>
      </c>
      <c r="F536" s="333">
        <f>IF(DATE(YEAR($B$6),MONTH($B$6)+1,DAY(1))=E536,1,IF(MONTH(E536)=1,F537*(1+$F$5),F537))</f>
      </c>
      <c r="G536" s="333">
        <f>IF('Simulador - 1º Pilar'!$E$99="Sí",IF('Aportaciones Flex'!$B$13&lt;'Aportaciones Flex'!E536,0,F536*$B$8/12),F536*$B$8/12)</f>
      </c>
      <c r="H536" s="333">
        <f>IF(G536&gt;0,1,0)*$H$5*IF(AND($I$5="NO",YEAR(E536)=YEAR($B$6)+1),1,IF($I$5="SI",1,0))</f>
      </c>
      <c r="I536" s="217">
        <f>(1+$M$5)^(D536/12)*(H536*(12-IF(MONTH(E537)=12,0,MONTH(E537)))+IF(AND(F536=1,F537=0),$Q$4,0))*IF(AND(F536=1,F537=0),1,0)</f>
      </c>
      <c r="J536" s="333">
        <f>(1+$M$5)^(D536/12)*(H536+IF(AND(F536=1,F537=0),$Q$4,0))</f>
      </c>
      <c r="K536" s="351"/>
      <c r="L536" s="333">
        <f>K536+J536</f>
      </c>
      <c r="M536" s="170"/>
      <c r="N536" s="7"/>
      <c r="O536" s="1"/>
      <c r="P536" s="331">
        <f>D536</f>
      </c>
      <c r="Q536" s="169"/>
      <c r="R536" s="1"/>
      <c r="S536" s="217">
        <f>(1+$M$5)^(D536/12)*(IF(E536=$C$6,$Q$4+$H$5*12,0))</f>
      </c>
      <c r="T536" s="217">
        <f>(1+$M$5)^(D536/12)*(IF(YEAR(E536)&gt;YEAR($C$6),L536,0)+IF(E536=$C$6,$H$5*12+$Q$4,0))</f>
      </c>
    </row>
    <row x14ac:dyDescent="0.25" r="537" customHeight="1" ht="18.75">
      <c r="A537" s="1"/>
      <c r="B537" s="7"/>
      <c r="C537" s="170"/>
      <c r="D537" s="331">
        <v>530</v>
      </c>
      <c r="E537" s="544">
        <f>+DATE(YEAR(E536),MONTH(E536)-1,DAY(E536))</f>
        <v>25569.041666666668</v>
      </c>
      <c r="F537" s="333">
        <f>IF(DATE(YEAR($B$6),MONTH($B$6)+1,DAY(1))=E537,1,IF(MONTH(E537)=1,F538*(1+$F$5),F538))</f>
      </c>
      <c r="G537" s="333">
        <f>IF('Simulador - 1º Pilar'!$E$99="Sí",IF('Aportaciones Flex'!$B$13&lt;'Aportaciones Flex'!E537,0,F537*$B$8/12),F537*$B$8/12)</f>
      </c>
      <c r="H537" s="333">
        <f>IF(G537&gt;0,1,0)*$H$5*IF(AND($I$5="NO",YEAR(E537)=YEAR($B$6)+1),1,IF($I$5="SI",1,0))</f>
      </c>
      <c r="I537" s="217">
        <f>(1+$M$5)^(D537/12)*(H537*(12-IF(MONTH(E538)=12,0,MONTH(E538)))+IF(AND(F537=1,F538=0),$Q$4,0))*IF(AND(F537=1,F538=0),1,0)</f>
      </c>
      <c r="J537" s="333">
        <f>(1+$M$5)^(D537/12)*(H537+IF(AND(F537=1,F538=0),$Q$4,0))</f>
      </c>
      <c r="K537" s="351"/>
      <c r="L537" s="333">
        <f>K537+J537</f>
      </c>
      <c r="M537" s="170"/>
      <c r="N537" s="7"/>
      <c r="O537" s="1"/>
      <c r="P537" s="331">
        <f>D537</f>
      </c>
      <c r="Q537" s="169"/>
      <c r="R537" s="1"/>
      <c r="S537" s="217">
        <f>(1+$M$5)^(D537/12)*(IF(E537=$C$6,$Q$4+$H$5*12,0))</f>
      </c>
      <c r="T537" s="217">
        <f>(1+$M$5)^(D537/12)*(IF(YEAR(E537)&gt;YEAR($C$6),L537,0)+IF(E537=$C$6,$H$5*12+$Q$4,0))</f>
      </c>
    </row>
    <row x14ac:dyDescent="0.25" r="538" customHeight="1" ht="18.75">
      <c r="A538" s="1"/>
      <c r="B538" s="7"/>
      <c r="C538" s="170"/>
      <c r="D538" s="331">
        <v>531</v>
      </c>
      <c r="E538" s="544">
        <f>+DATE(YEAR(E537),MONTH(E537)-1,DAY(E537))</f>
        <v>25569.041666666668</v>
      </c>
      <c r="F538" s="333">
        <f>IF(DATE(YEAR($B$6),MONTH($B$6)+1,DAY(1))=E538,1,IF(MONTH(E538)=1,F539*(1+$F$5),F539))</f>
      </c>
      <c r="G538" s="333">
        <f>IF('Simulador - 1º Pilar'!$E$99="Sí",IF('Aportaciones Flex'!$B$13&lt;'Aportaciones Flex'!E538,0,F538*$B$8/12),F538*$B$8/12)</f>
      </c>
      <c r="H538" s="333">
        <f>IF(G538&gt;0,1,0)*$H$5*IF(AND($I$5="NO",YEAR(E538)=YEAR($B$6)+1),1,IF($I$5="SI",1,0))</f>
      </c>
      <c r="I538" s="217">
        <f>(1+$M$5)^(D538/12)*(H538*(12-IF(MONTH(E539)=12,0,MONTH(E539)))+IF(AND(F538=1,F539=0),$Q$4,0))*IF(AND(F538=1,F539=0),1,0)</f>
      </c>
      <c r="J538" s="333">
        <f>(1+$M$5)^(D538/12)*(H538+IF(AND(F538=1,F539=0),$Q$4,0))</f>
      </c>
      <c r="K538" s="351"/>
      <c r="L538" s="333">
        <f>K538+J538</f>
      </c>
      <c r="M538" s="170"/>
      <c r="N538" s="7"/>
      <c r="O538" s="1"/>
      <c r="P538" s="331">
        <f>D538</f>
      </c>
      <c r="Q538" s="169"/>
      <c r="R538" s="1"/>
      <c r="S538" s="217">
        <f>(1+$M$5)^(D538/12)*(IF(E538=$C$6,$Q$4+$H$5*12,0))</f>
      </c>
      <c r="T538" s="217">
        <f>(1+$M$5)^(D538/12)*(IF(YEAR(E538)&gt;YEAR($C$6),L538,0)+IF(E538=$C$6,$H$5*12+$Q$4,0))</f>
      </c>
    </row>
    <row x14ac:dyDescent="0.25" r="539" customHeight="1" ht="18.75">
      <c r="A539" s="1"/>
      <c r="B539" s="7"/>
      <c r="C539" s="170"/>
      <c r="D539" s="331">
        <v>532</v>
      </c>
      <c r="E539" s="544">
        <f>+DATE(YEAR(E538),MONTH(E538)-1,DAY(E538))</f>
        <v>25569.041666666668</v>
      </c>
      <c r="F539" s="333">
        <f>IF(DATE(YEAR($B$6),MONTH($B$6)+1,DAY(1))=E539,1,IF(MONTH(E539)=1,F540*(1+$F$5),F540))</f>
      </c>
      <c r="G539" s="333">
        <f>IF('Simulador - 1º Pilar'!$E$99="Sí",IF('Aportaciones Flex'!$B$13&lt;'Aportaciones Flex'!E539,0,F539*$B$8/12),F539*$B$8/12)</f>
      </c>
      <c r="H539" s="333">
        <f>IF(G539&gt;0,1,0)*$H$5*IF(AND($I$5="NO",YEAR(E539)=YEAR($B$6)+1),1,IF($I$5="SI",1,0))</f>
      </c>
      <c r="I539" s="217">
        <f>(1+$M$5)^(D539/12)*(H539*(12-IF(MONTH(E540)=12,0,MONTH(E540)))+IF(AND(F539=1,F540=0),$Q$4,0))*IF(AND(F539=1,F540=0),1,0)</f>
      </c>
      <c r="J539" s="333">
        <f>(1+$M$5)^(D539/12)*(H539+IF(AND(F539=1,F540=0),$Q$4,0))</f>
      </c>
      <c r="K539" s="351"/>
      <c r="L539" s="333">
        <f>K539+J539</f>
      </c>
      <c r="M539" s="170"/>
      <c r="N539" s="7"/>
      <c r="O539" s="1"/>
      <c r="P539" s="331">
        <f>D539</f>
      </c>
      <c r="Q539" s="169"/>
      <c r="R539" s="1"/>
      <c r="S539" s="217">
        <f>(1+$M$5)^(D539/12)*(IF(E539=$C$6,$Q$4+$H$5*12,0))</f>
      </c>
      <c r="T539" s="217">
        <f>(1+$M$5)^(D539/12)*(IF(YEAR(E539)&gt;YEAR($C$6),L539,0)+IF(E539=$C$6,$H$5*12+$Q$4,0))</f>
      </c>
    </row>
    <row x14ac:dyDescent="0.25" r="540" customHeight="1" ht="18.75">
      <c r="A540" s="1"/>
      <c r="B540" s="7"/>
      <c r="C540" s="170"/>
      <c r="D540" s="331">
        <v>533</v>
      </c>
      <c r="E540" s="544">
        <f>+DATE(YEAR(E539),MONTH(E539)-1,DAY(E539))</f>
        <v>25569.041666666668</v>
      </c>
      <c r="F540" s="333">
        <f>IF(DATE(YEAR($B$6),MONTH($B$6)+1,DAY(1))=E540,1,IF(MONTH(E540)=1,F541*(1+$F$5),F541))</f>
      </c>
      <c r="G540" s="333">
        <f>IF('Simulador - 1º Pilar'!$E$99="Sí",IF('Aportaciones Flex'!$B$13&lt;'Aportaciones Flex'!E540,0,F540*$B$8/12),F540*$B$8/12)</f>
      </c>
      <c r="H540" s="333">
        <f>IF(G540&gt;0,1,0)*$H$5*IF(AND($I$5="NO",YEAR(E540)=YEAR($B$6)+1),1,IF($I$5="SI",1,0))</f>
      </c>
      <c r="I540" s="217">
        <f>(1+$M$5)^(D540/12)*(H540*(12-IF(MONTH(E541)=12,0,MONTH(E541)))+IF(AND(F540=1,F541=0),$Q$4,0))*IF(AND(F540=1,F541=0),1,0)</f>
      </c>
      <c r="J540" s="333">
        <f>(1+$M$5)^(D540/12)*(H540+IF(AND(F540=1,F541=0),$Q$4,0))</f>
      </c>
      <c r="K540" s="351"/>
      <c r="L540" s="333">
        <f>K540+J540</f>
      </c>
      <c r="M540" s="170"/>
      <c r="N540" s="7"/>
      <c r="O540" s="1"/>
      <c r="P540" s="331">
        <f>D540</f>
      </c>
      <c r="Q540" s="169"/>
      <c r="R540" s="1"/>
      <c r="S540" s="217">
        <f>(1+$M$5)^(D540/12)*(IF(E540=$C$6,$Q$4+$H$5*12,0))</f>
      </c>
      <c r="T540" s="217">
        <f>(1+$M$5)^(D540/12)*(IF(YEAR(E540)&gt;YEAR($C$6),L540,0)+IF(E540=$C$6,$H$5*12+$Q$4,0))</f>
      </c>
    </row>
    <row x14ac:dyDescent="0.25" r="541" customHeight="1" ht="18.75">
      <c r="A541" s="1"/>
      <c r="B541" s="7"/>
      <c r="C541" s="170"/>
      <c r="D541" s="331">
        <v>534</v>
      </c>
      <c r="E541" s="544">
        <f>+DATE(YEAR(E540),MONTH(E540)-1,DAY(E540))</f>
        <v>25569.041666666668</v>
      </c>
      <c r="F541" s="333">
        <f>IF(DATE(YEAR($B$6),MONTH($B$6)+1,DAY(1))=E541,1,IF(MONTH(E541)=1,F542*(1+$F$5),F542))</f>
      </c>
      <c r="G541" s="333">
        <f>IF('Simulador - 1º Pilar'!$E$99="Sí",IF('Aportaciones Flex'!$B$13&lt;'Aportaciones Flex'!E541,0,F541*$B$8/12),F541*$B$8/12)</f>
      </c>
      <c r="H541" s="333">
        <f>IF(G541&gt;0,1,0)*$H$5*IF(AND($I$5="NO",YEAR(E541)=YEAR($B$6)+1),1,IF($I$5="SI",1,0))</f>
      </c>
      <c r="I541" s="217">
        <f>(1+$M$5)^(D541/12)*(H541*(12-IF(MONTH(E542)=12,0,MONTH(E542)))+IF(AND(F541=1,F542=0),$Q$4,0))*IF(AND(F541=1,F542=0),1,0)</f>
      </c>
      <c r="J541" s="333">
        <f>(1+$M$5)^(D541/12)*(H541+IF(AND(F541=1,F542=0),$Q$4,0))</f>
      </c>
      <c r="K541" s="351"/>
      <c r="L541" s="333">
        <f>K541+J541</f>
      </c>
      <c r="M541" s="170"/>
      <c r="N541" s="7"/>
      <c r="O541" s="1"/>
      <c r="P541" s="331">
        <f>D541</f>
      </c>
      <c r="Q541" s="169"/>
      <c r="R541" s="1"/>
      <c r="S541" s="217">
        <f>(1+$M$5)^(D541/12)*(IF(E541=$C$6,$Q$4+$H$5*12,0))</f>
      </c>
      <c r="T541" s="217">
        <f>(1+$M$5)^(D541/12)*(IF(YEAR(E541)&gt;YEAR($C$6),L541,0)+IF(E541=$C$6,$H$5*12+$Q$4,0))</f>
      </c>
    </row>
    <row x14ac:dyDescent="0.25" r="542" customHeight="1" ht="18.75">
      <c r="A542" s="1"/>
      <c r="B542" s="7"/>
      <c r="C542" s="170"/>
      <c r="D542" s="331">
        <v>535</v>
      </c>
      <c r="E542" s="544">
        <f>+DATE(YEAR(E541),MONTH(E541)-1,DAY(E541))</f>
        <v>25569.041666666668</v>
      </c>
      <c r="F542" s="333">
        <f>IF(DATE(YEAR($B$6),MONTH($B$6)+1,DAY(1))=E542,1,IF(MONTH(E542)=1,F543*(1+$F$5),F543))</f>
      </c>
      <c r="G542" s="333">
        <f>IF('Simulador - 1º Pilar'!$E$99="Sí",IF('Aportaciones Flex'!$B$13&lt;'Aportaciones Flex'!E542,0,F542*$B$8/12),F542*$B$8/12)</f>
      </c>
      <c r="H542" s="333">
        <f>IF(G542&gt;0,1,0)*$H$5*IF(AND($I$5="NO",YEAR(E542)=YEAR($B$6)+1),1,IF($I$5="SI",1,0))</f>
      </c>
      <c r="I542" s="217">
        <f>(1+$M$5)^(D542/12)*(H542*(12-IF(MONTH(E543)=12,0,MONTH(E543)))+IF(AND(F542=1,F543=0),$Q$4,0))*IF(AND(F542=1,F543=0),1,0)</f>
      </c>
      <c r="J542" s="333">
        <f>(1+$M$5)^(D542/12)*(H542+IF(AND(F542=1,F543=0),$Q$4,0))</f>
      </c>
      <c r="K542" s="351"/>
      <c r="L542" s="333">
        <f>K542+J542</f>
      </c>
      <c r="M542" s="170"/>
      <c r="N542" s="7"/>
      <c r="O542" s="1"/>
      <c r="P542" s="331">
        <f>D542</f>
      </c>
      <c r="Q542" s="169"/>
      <c r="R542" s="1"/>
      <c r="S542" s="217">
        <f>(1+$M$5)^(D542/12)*(IF(E542=$C$6,$Q$4+$H$5*12,0))</f>
      </c>
      <c r="T542" s="217">
        <f>(1+$M$5)^(D542/12)*(IF(YEAR(E542)&gt;YEAR($C$6),L542,0)+IF(E542=$C$6,$H$5*12+$Q$4,0))</f>
      </c>
    </row>
    <row x14ac:dyDescent="0.25" r="543" customHeight="1" ht="18.75">
      <c r="A543" s="1"/>
      <c r="B543" s="7"/>
      <c r="C543" s="170"/>
      <c r="D543" s="331">
        <v>536</v>
      </c>
      <c r="E543" s="544">
        <f>+DATE(YEAR(E542),MONTH(E542)-1,DAY(E542))</f>
        <v>25569.041666666668</v>
      </c>
      <c r="F543" s="333">
        <f>IF(DATE(YEAR($B$6),MONTH($B$6)+1,DAY(1))=E543,1,IF(MONTH(E543)=1,F544*(1+$F$5),F544))</f>
      </c>
      <c r="G543" s="333">
        <f>IF('Simulador - 1º Pilar'!$E$99="Sí",IF('Aportaciones Flex'!$B$13&lt;'Aportaciones Flex'!E543,0,F543*$B$8/12),F543*$B$8/12)</f>
      </c>
      <c r="H543" s="333">
        <f>IF(G543&gt;0,1,0)*$H$5*IF(AND($I$5="NO",YEAR(E543)=YEAR($B$6)+1),1,IF($I$5="SI",1,0))</f>
      </c>
      <c r="I543" s="217">
        <f>(1+$M$5)^(D543/12)*(H543*(12-IF(MONTH(E544)=12,0,MONTH(E544)))+IF(AND(F543=1,F544=0),$Q$4,0))*IF(AND(F543=1,F544=0),1,0)</f>
      </c>
      <c r="J543" s="333">
        <f>(1+$M$5)^(D543/12)*(H543+IF(AND(F543=1,F544=0),$Q$4,0))</f>
      </c>
      <c r="K543" s="351"/>
      <c r="L543" s="333">
        <f>K543+J543</f>
      </c>
      <c r="M543" s="170"/>
      <c r="N543" s="7"/>
      <c r="O543" s="1"/>
      <c r="P543" s="331">
        <f>D543</f>
      </c>
      <c r="Q543" s="169"/>
      <c r="R543" s="1"/>
      <c r="S543" s="217">
        <f>(1+$M$5)^(D543/12)*(IF(E543=$C$6,$Q$4+$H$5*12,0))</f>
      </c>
      <c r="T543" s="217">
        <f>(1+$M$5)^(D543/12)*(IF(YEAR(E543)&gt;YEAR($C$6),L543,0)+IF(E543=$C$6,$H$5*12+$Q$4,0))</f>
      </c>
    </row>
    <row x14ac:dyDescent="0.25" r="544" customHeight="1" ht="18.75">
      <c r="A544" s="1"/>
      <c r="B544" s="7"/>
      <c r="C544" s="170"/>
      <c r="D544" s="331">
        <v>537</v>
      </c>
      <c r="E544" s="544">
        <f>+DATE(YEAR(E543),MONTH(E543)-1,DAY(E543))</f>
        <v>25569.041666666668</v>
      </c>
      <c r="F544" s="333">
        <f>IF(DATE(YEAR($B$6),MONTH($B$6)+1,DAY(1))=E544,1,IF(MONTH(E544)=1,F545*(1+$F$5),F545))</f>
      </c>
      <c r="G544" s="333">
        <f>IF('Simulador - 1º Pilar'!$E$99="Sí",IF('Aportaciones Flex'!$B$13&lt;'Aportaciones Flex'!E544,0,F544*$B$8/12),F544*$B$8/12)</f>
      </c>
      <c r="H544" s="333">
        <f>IF(G544&gt;0,1,0)*$H$5*IF(AND($I$5="NO",YEAR(E544)=YEAR($B$6)+1),1,IF($I$5="SI",1,0))</f>
      </c>
      <c r="I544" s="217">
        <f>(1+$M$5)^(D544/12)*(H544*(12-IF(MONTH(E545)=12,0,MONTH(E545)))+IF(AND(F544=1,F545=0),$Q$4,0))*IF(AND(F544=1,F545=0),1,0)</f>
      </c>
      <c r="J544" s="333">
        <f>(1+$M$5)^(D544/12)*(H544+IF(AND(F544=1,F545=0),$Q$4,0))</f>
      </c>
      <c r="K544" s="351"/>
      <c r="L544" s="333">
        <f>K544+J544</f>
      </c>
      <c r="M544" s="170"/>
      <c r="N544" s="7"/>
      <c r="O544" s="1"/>
      <c r="P544" s="331">
        <f>D544</f>
      </c>
      <c r="Q544" s="169"/>
      <c r="R544" s="1"/>
      <c r="S544" s="217">
        <f>(1+$M$5)^(D544/12)*(IF(E544=$C$6,$Q$4+$H$5*12,0))</f>
      </c>
      <c r="T544" s="217">
        <f>(1+$M$5)^(D544/12)*(IF(YEAR(E544)&gt;YEAR($C$6),L544,0)+IF(E544=$C$6,$H$5*12+$Q$4,0))</f>
      </c>
    </row>
    <row x14ac:dyDescent="0.25" r="545" customHeight="1" ht="18.75">
      <c r="A545" s="1"/>
      <c r="B545" s="7"/>
      <c r="C545" s="170"/>
      <c r="D545" s="331">
        <v>538</v>
      </c>
      <c r="E545" s="544">
        <f>+DATE(YEAR(E544),MONTH(E544)-1,DAY(E544))</f>
        <v>25569.041666666668</v>
      </c>
      <c r="F545" s="333">
        <f>IF(DATE(YEAR($B$6),MONTH($B$6)+1,DAY(1))=E545,1,IF(MONTH(E545)=1,F546*(1+$F$5),F546))</f>
      </c>
      <c r="G545" s="333">
        <f>IF('Simulador - 1º Pilar'!$E$99="Sí",IF('Aportaciones Flex'!$B$13&lt;'Aportaciones Flex'!E545,0,F545*$B$8/12),F545*$B$8/12)</f>
      </c>
      <c r="H545" s="333">
        <f>IF(G545&gt;0,1,0)*$H$5*IF(AND($I$5="NO",YEAR(E545)=YEAR($B$6)+1),1,IF($I$5="SI",1,0))</f>
      </c>
      <c r="I545" s="217">
        <f>(1+$M$5)^(D545/12)*(H545*(12-IF(MONTH(E546)=12,0,MONTH(E546)))+IF(AND(F545=1,F546=0),$Q$4,0))*IF(AND(F545=1,F546=0),1,0)</f>
      </c>
      <c r="J545" s="333">
        <f>(1+$M$5)^(D545/12)*(H545+IF(AND(F545=1,F546=0),$Q$4,0))</f>
      </c>
      <c r="K545" s="351"/>
      <c r="L545" s="333">
        <f>K545+J545</f>
      </c>
      <c r="M545" s="170"/>
      <c r="N545" s="7"/>
      <c r="O545" s="1"/>
      <c r="P545" s="331">
        <f>D545</f>
      </c>
      <c r="Q545" s="169"/>
      <c r="R545" s="1"/>
      <c r="S545" s="217">
        <f>(1+$M$5)^(D545/12)*(IF(E545=$C$6,$Q$4+$H$5*12,0))</f>
      </c>
      <c r="T545" s="217">
        <f>(1+$M$5)^(D545/12)*(IF(YEAR(E545)&gt;YEAR($C$6),L545,0)+IF(E545=$C$6,$H$5*12+$Q$4,0))</f>
      </c>
    </row>
    <row x14ac:dyDescent="0.25" r="546" customHeight="1" ht="18.75">
      <c r="A546" s="1"/>
      <c r="B546" s="7"/>
      <c r="C546" s="170"/>
      <c r="D546" s="331">
        <v>539</v>
      </c>
      <c r="E546" s="544">
        <f>+DATE(YEAR(E545),MONTH(E545)-1,DAY(E545))</f>
        <v>25569.041666666668</v>
      </c>
      <c r="F546" s="333">
        <f>IF(DATE(YEAR($B$6),MONTH($B$6)+1,DAY(1))=E546,1,IF(MONTH(E546)=1,F547*(1+$F$5),F547))</f>
      </c>
      <c r="G546" s="333">
        <f>IF('Simulador - 1º Pilar'!$E$99="Sí",IF('Aportaciones Flex'!$B$13&lt;'Aportaciones Flex'!E546,0,F546*$B$8/12),F546*$B$8/12)</f>
      </c>
      <c r="H546" s="333">
        <f>IF(G546&gt;0,1,0)*$H$5*IF(AND($I$5="NO",YEAR(E546)=YEAR($B$6)+1),1,IF($I$5="SI",1,0))</f>
      </c>
      <c r="I546" s="217">
        <f>(1+$M$5)^(D546/12)*(H546*(12-IF(MONTH(E547)=12,0,MONTH(E547)))+IF(AND(F546=1,F547=0),$Q$4,0))*IF(AND(F546=1,F547=0),1,0)</f>
      </c>
      <c r="J546" s="333">
        <f>(1+$M$5)^(D546/12)*(H546+IF(AND(F546=1,F547=0),$Q$4,0))</f>
      </c>
      <c r="K546" s="351"/>
      <c r="L546" s="333">
        <f>K546+J546</f>
      </c>
      <c r="M546" s="170"/>
      <c r="N546" s="7"/>
      <c r="O546" s="1"/>
      <c r="P546" s="331">
        <f>D546</f>
      </c>
      <c r="Q546" s="169"/>
      <c r="R546" s="1"/>
      <c r="S546" s="217">
        <f>(1+$M$5)^(D546/12)*(IF(E546=$C$6,$Q$4+$H$5*12,0))</f>
      </c>
      <c r="T546" s="217">
        <f>(1+$M$5)^(D546/12)*(IF(YEAR(E546)&gt;YEAR($C$6),L546,0)+IF(E546=$C$6,$H$5*12+$Q$4,0))</f>
      </c>
    </row>
    <row x14ac:dyDescent="0.25" r="547" customHeight="1" ht="18.75">
      <c r="A547" s="1"/>
      <c r="B547" s="7"/>
      <c r="C547" s="170"/>
      <c r="D547" s="331">
        <v>540</v>
      </c>
      <c r="E547" s="544">
        <f>+DATE(YEAR(E546),MONTH(E546)-1,DAY(E546))</f>
        <v>25569.041666666668</v>
      </c>
      <c r="F547" s="333">
        <f>IF(DATE(YEAR($B$6),MONTH($B$6)+1,DAY(1))=E547,1,IF(MONTH(E547)=1,F548*(1+$F$5),F548))</f>
      </c>
      <c r="G547" s="333">
        <f>IF('Simulador - 1º Pilar'!$E$99="Sí",IF('Aportaciones Flex'!$B$13&lt;'Aportaciones Flex'!E547,0,F547*$B$8/12),F547*$B$8/12)</f>
      </c>
      <c r="H547" s="333">
        <f>IF(G547&gt;0,1,0)*$H$5*IF(AND($I$5="NO",YEAR(E547)=YEAR($B$6)+1),1,IF($I$5="SI",1,0))</f>
      </c>
      <c r="I547" s="217">
        <f>(1+$M$5)^(D547/12)*(H547*(12-IF(MONTH(E548)=12,0,MONTH(E548)))+IF(AND(F547=1,F548=0),$Q$4,0))*IF(AND(F547=1,F548=0),1,0)</f>
      </c>
      <c r="J547" s="333">
        <f>(1+$M$5)^(D547/12)*(H547+IF(AND(F547=1,F548=0),$Q$4,0))</f>
      </c>
      <c r="K547" s="351"/>
      <c r="L547" s="333">
        <f>K547+J547</f>
      </c>
      <c r="M547" s="170"/>
      <c r="N547" s="7"/>
      <c r="O547" s="1"/>
      <c r="P547" s="331">
        <f>D547</f>
      </c>
      <c r="Q547" s="169"/>
      <c r="R547" s="1"/>
      <c r="S547" s="217">
        <f>(1+$M$5)^(D547/12)*(IF(E547=$C$6,$Q$4+$H$5*12,0))</f>
      </c>
      <c r="T547" s="217">
        <f>(1+$M$5)^(D547/12)*(IF(YEAR(E547)&gt;YEAR($C$6),L547,0)+IF(E547=$C$6,$H$5*12+$Q$4,0))</f>
      </c>
    </row>
    <row x14ac:dyDescent="0.25" r="548" customHeight="1" ht="18.75">
      <c r="A548" s="1"/>
      <c r="B548" s="7"/>
      <c r="C548" s="170"/>
      <c r="D548" s="331">
        <v>541</v>
      </c>
      <c r="E548" s="544">
        <f>+DATE(YEAR(E547),MONTH(E547)-1,DAY(E547))</f>
        <v>25569.041666666668</v>
      </c>
      <c r="F548" s="333">
        <f>IF(DATE(YEAR($B$6),MONTH($B$6)+1,DAY(1))=E548,1,IF(MONTH(E548)=1,F549*(1+$F$5),F549))</f>
      </c>
      <c r="G548" s="333">
        <f>IF('Simulador - 1º Pilar'!$E$99="Sí",IF('Aportaciones Flex'!$B$13&lt;'Aportaciones Flex'!E548,0,F548*$B$8/12),F548*$B$8/12)</f>
      </c>
      <c r="H548" s="333">
        <f>IF(G548&gt;0,1,0)*$H$5*IF(AND($I$5="NO",YEAR(E548)=YEAR($B$6)+1),1,IF($I$5="SI",1,0))</f>
      </c>
      <c r="I548" s="217">
        <f>(1+$M$5)^(D548/12)*(H548*(12-IF(MONTH(E549)=12,0,MONTH(E549)))+IF(AND(F548=1,F549=0),$Q$4,0))*IF(AND(F548=1,F549=0),1,0)</f>
      </c>
      <c r="J548" s="333">
        <f>(1+$M$5)^(D548/12)*(H548+IF(AND(F548=1,F549=0),$Q$4,0))</f>
      </c>
      <c r="K548" s="351"/>
      <c r="L548" s="333">
        <f>K548+J548</f>
      </c>
      <c r="M548" s="170"/>
      <c r="N548" s="7"/>
      <c r="O548" s="1"/>
      <c r="P548" s="331">
        <f>D548</f>
      </c>
      <c r="Q548" s="169"/>
      <c r="R548" s="1"/>
      <c r="S548" s="217">
        <f>(1+$M$5)^(D548/12)*(IF(E548=$C$6,$Q$4+$H$5*12,0))</f>
      </c>
      <c r="T548" s="217">
        <f>(1+$M$5)^(D548/12)*(IF(YEAR(E548)&gt;YEAR($C$6),L548,0)+IF(E548=$C$6,$H$5*12+$Q$4,0))</f>
      </c>
    </row>
    <row x14ac:dyDescent="0.25" r="549" customHeight="1" ht="18.75">
      <c r="A549" s="1"/>
      <c r="B549" s="7"/>
      <c r="C549" s="170"/>
      <c r="D549" s="331">
        <v>542</v>
      </c>
      <c r="E549" s="544">
        <f>+DATE(YEAR(E548),MONTH(E548)-1,DAY(E548))</f>
        <v>25569.041666666668</v>
      </c>
      <c r="F549" s="333">
        <f>IF(DATE(YEAR($B$6),MONTH($B$6)+1,DAY(1))=E549,1,IF(MONTH(E549)=1,F550*(1+$F$5),F550))</f>
      </c>
      <c r="G549" s="333">
        <f>IF('Simulador - 1º Pilar'!$E$99="Sí",IF('Aportaciones Flex'!$B$13&lt;'Aportaciones Flex'!E549,0,F549*$B$8/12),F549*$B$8/12)</f>
      </c>
      <c r="H549" s="333">
        <f>IF(G549&gt;0,1,0)*$H$5*IF(AND($I$5="NO",YEAR(E549)=YEAR($B$6)+1),1,IF($I$5="SI",1,0))</f>
      </c>
      <c r="I549" s="217">
        <f>(1+$M$5)^(D549/12)*(H549*(12-IF(MONTH(E550)=12,0,MONTH(E550)))+IF(AND(F549=1,F550=0),$Q$4,0))*IF(AND(F549=1,F550=0),1,0)</f>
      </c>
      <c r="J549" s="333">
        <f>(1+$M$5)^(D549/12)*(H549+IF(AND(F549=1,F550=0),$Q$4,0))</f>
      </c>
      <c r="K549" s="351"/>
      <c r="L549" s="333">
        <f>K549+J549</f>
      </c>
      <c r="M549" s="170"/>
      <c r="N549" s="7"/>
      <c r="O549" s="1"/>
      <c r="P549" s="331">
        <f>D549</f>
      </c>
      <c r="Q549" s="169"/>
      <c r="R549" s="1"/>
      <c r="S549" s="217">
        <f>(1+$M$5)^(D549/12)*(IF(E549=$C$6,$Q$4+$H$5*12,0))</f>
      </c>
      <c r="T549" s="217">
        <f>(1+$M$5)^(D549/12)*(IF(YEAR(E549)&gt;YEAR($C$6),L549,0)+IF(E549=$C$6,$H$5*12+$Q$4,0))</f>
      </c>
    </row>
    <row x14ac:dyDescent="0.25" r="550" customHeight="1" ht="18.75">
      <c r="A550" s="1"/>
      <c r="B550" s="7"/>
      <c r="C550" s="170"/>
      <c r="D550" s="331">
        <v>543</v>
      </c>
      <c r="E550" s="544">
        <f>+DATE(YEAR(E549),MONTH(E549)-1,DAY(E549))</f>
        <v>25569.041666666668</v>
      </c>
      <c r="F550" s="333">
        <f>IF(DATE(YEAR($B$6),MONTH($B$6)+1,DAY(1))=E550,1,IF(MONTH(E550)=1,F551*(1+$F$5),F551))</f>
      </c>
      <c r="G550" s="333">
        <f>IF('Simulador - 1º Pilar'!$E$99="Sí",IF('Aportaciones Flex'!$B$13&lt;'Aportaciones Flex'!E550,0,F550*$B$8/12),F550*$B$8/12)</f>
      </c>
      <c r="H550" s="333">
        <f>IF(G550&gt;0,1,0)*$H$5*IF(AND($I$5="NO",YEAR(E550)=YEAR($B$6)+1),1,IF($I$5="SI",1,0))</f>
      </c>
      <c r="I550" s="217">
        <f>(1+$M$5)^(D550/12)*(H550*(12-IF(MONTH(E551)=12,0,MONTH(E551)))+IF(AND(F550=1,F551=0),$Q$4,0))*IF(AND(F550=1,F551=0),1,0)</f>
      </c>
      <c r="J550" s="333">
        <f>(1+$M$5)^(D550/12)*(H550+IF(AND(F550=1,F551=0),$Q$4,0))</f>
      </c>
      <c r="K550" s="351"/>
      <c r="L550" s="333">
        <f>K550+J550</f>
      </c>
      <c r="M550" s="170"/>
      <c r="N550" s="7"/>
      <c r="O550" s="1"/>
      <c r="P550" s="331">
        <f>D550</f>
      </c>
      <c r="Q550" s="169"/>
      <c r="R550" s="1"/>
      <c r="S550" s="217">
        <f>(1+$M$5)^(D550/12)*(IF(E550=$C$6,$Q$4+$H$5*12,0))</f>
      </c>
      <c r="T550" s="217">
        <f>(1+$M$5)^(D550/12)*(IF(YEAR(E550)&gt;YEAR($C$6),L550,0)+IF(E550=$C$6,$H$5*12+$Q$4,0))</f>
      </c>
    </row>
    <row x14ac:dyDescent="0.25" r="551" customHeight="1" ht="18.75">
      <c r="A551" s="1"/>
      <c r="B551" s="7"/>
      <c r="C551" s="170"/>
      <c r="D551" s="331">
        <v>544</v>
      </c>
      <c r="E551" s="544">
        <f>+DATE(YEAR(E550),MONTH(E550)-1,DAY(E550))</f>
        <v>25569.041666666668</v>
      </c>
      <c r="F551" s="333">
        <f>IF(DATE(YEAR($B$6),MONTH($B$6)+1,DAY(1))=E551,1,IF(MONTH(E551)=1,F552*(1+$F$5),F552))</f>
      </c>
      <c r="G551" s="333">
        <f>IF('Simulador - 1º Pilar'!$E$99="Sí",IF('Aportaciones Flex'!$B$13&lt;'Aportaciones Flex'!E551,0,F551*$B$8/12),F551*$B$8/12)</f>
      </c>
      <c r="H551" s="333">
        <f>IF(G551&gt;0,1,0)*$H$5*IF(AND($I$5="NO",YEAR(E551)=YEAR($B$6)+1),1,IF($I$5="SI",1,0))</f>
      </c>
      <c r="I551" s="217">
        <f>(1+$M$5)^(D551/12)*(H551*(12-IF(MONTH(E552)=12,0,MONTH(E552)))+IF(AND(F551=1,F552=0),$Q$4,0))*IF(AND(F551=1,F552=0),1,0)</f>
      </c>
      <c r="J551" s="333">
        <f>(1+$M$5)^(D551/12)*(H551+IF(AND(F551=1,F552=0),$Q$4,0))</f>
      </c>
      <c r="K551" s="351"/>
      <c r="L551" s="333">
        <f>K551+J551</f>
      </c>
      <c r="M551" s="170"/>
      <c r="N551" s="7"/>
      <c r="O551" s="1"/>
      <c r="P551" s="331">
        <f>D551</f>
      </c>
      <c r="Q551" s="169"/>
      <c r="R551" s="1"/>
      <c r="S551" s="217">
        <f>(1+$M$5)^(D551/12)*(IF(E551=$C$6,$Q$4+$H$5*12,0))</f>
      </c>
      <c r="T551" s="217">
        <f>(1+$M$5)^(D551/12)*(IF(YEAR(E551)&gt;YEAR($C$6),L551,0)+IF(E551=$C$6,$H$5*12+$Q$4,0))</f>
      </c>
    </row>
    <row x14ac:dyDescent="0.25" r="552" customHeight="1" ht="18.75">
      <c r="A552" s="1"/>
      <c r="B552" s="7"/>
      <c r="C552" s="170"/>
      <c r="D552" s="331">
        <v>545</v>
      </c>
      <c r="E552" s="544">
        <f>+DATE(YEAR(E551),MONTH(E551)-1,DAY(E551))</f>
        <v>25569.041666666668</v>
      </c>
      <c r="F552" s="333">
        <f>IF(DATE(YEAR($B$6),MONTH($B$6)+1,DAY(1))=E552,1,IF(MONTH(E552)=1,F553*(1+$F$5),F553))</f>
      </c>
      <c r="G552" s="333">
        <f>IF('Simulador - 1º Pilar'!$E$99="Sí",IF('Aportaciones Flex'!$B$13&lt;'Aportaciones Flex'!E552,0,F552*$B$8/12),F552*$B$8/12)</f>
      </c>
      <c r="H552" s="333">
        <f>IF(G552&gt;0,1,0)*$H$5*IF(AND($I$5="NO",YEAR(E552)=YEAR($B$6)+1),1,IF($I$5="SI",1,0))</f>
      </c>
      <c r="I552" s="217">
        <f>(1+$M$5)^(D552/12)*(H552*(12-IF(MONTH(E553)=12,0,MONTH(E553)))+IF(AND(F552=1,F553=0),$Q$4,0))*IF(AND(F552=1,F553=0),1,0)</f>
      </c>
      <c r="J552" s="333">
        <f>(1+$M$5)^(D552/12)*(H552+IF(AND(F552=1,F553=0),$Q$4,0))</f>
      </c>
      <c r="K552" s="351"/>
      <c r="L552" s="333">
        <f>K552+J552</f>
      </c>
      <c r="M552" s="170"/>
      <c r="N552" s="7"/>
      <c r="O552" s="1"/>
      <c r="P552" s="331">
        <f>D552</f>
      </c>
      <c r="Q552" s="169"/>
      <c r="R552" s="1"/>
      <c r="S552" s="217">
        <f>(1+$M$5)^(D552/12)*(IF(E552=$C$6,$Q$4+$H$5*12,0))</f>
      </c>
      <c r="T552" s="217">
        <f>(1+$M$5)^(D552/12)*(IF(YEAR(E552)&gt;YEAR($C$6),L552,0)+IF(E552=$C$6,$H$5*12+$Q$4,0))</f>
      </c>
    </row>
    <row x14ac:dyDescent="0.25" r="553" customHeight="1" ht="18.75">
      <c r="A553" s="1"/>
      <c r="B553" s="7"/>
      <c r="C553" s="170"/>
      <c r="D553" s="331">
        <v>546</v>
      </c>
      <c r="E553" s="544">
        <f>+DATE(YEAR(E552),MONTH(E552)-1,DAY(E552))</f>
        <v>25569.041666666668</v>
      </c>
      <c r="F553" s="333">
        <f>IF(DATE(YEAR($B$6),MONTH($B$6)+1,DAY(1))=E553,1,IF(MONTH(E553)=1,F554*(1+$F$5),F554))</f>
      </c>
      <c r="G553" s="333">
        <f>IF('Simulador - 1º Pilar'!$E$99="Sí",IF('Aportaciones Flex'!$B$13&lt;'Aportaciones Flex'!E553,0,F553*$B$8/12),F553*$B$8/12)</f>
      </c>
      <c r="H553" s="333">
        <f>IF(G553&gt;0,1,0)*$H$5*IF(AND($I$5="NO",YEAR(E553)=YEAR($B$6)+1),1,IF($I$5="SI",1,0))</f>
      </c>
      <c r="I553" s="217">
        <f>(1+$M$5)^(D553/12)*(H553*(12-IF(MONTH(E554)=12,0,MONTH(E554)))+IF(AND(F553=1,F554=0),$Q$4,0))*IF(AND(F553=1,F554=0),1,0)</f>
      </c>
      <c r="J553" s="333">
        <f>(1+$M$5)^(D553/12)*(H553+IF(AND(F553=1,F554=0),$Q$4,0))</f>
      </c>
      <c r="K553" s="351"/>
      <c r="L553" s="333">
        <f>K553+J553</f>
      </c>
      <c r="M553" s="170"/>
      <c r="N553" s="7"/>
      <c r="O553" s="1"/>
      <c r="P553" s="331">
        <f>D553</f>
      </c>
      <c r="Q553" s="169"/>
      <c r="R553" s="1"/>
      <c r="S553" s="217">
        <f>(1+$M$5)^(D553/12)*(IF(E553=$C$6,$Q$4+$H$5*12,0))</f>
      </c>
      <c r="T553" s="217">
        <f>(1+$M$5)^(D553/12)*(IF(YEAR(E553)&gt;YEAR($C$6),L553,0)+IF(E553=$C$6,$H$5*12+$Q$4,0))</f>
      </c>
    </row>
    <row x14ac:dyDescent="0.25" r="554" customHeight="1" ht="18.75">
      <c r="A554" s="1"/>
      <c r="B554" s="7"/>
      <c r="C554" s="170"/>
      <c r="D554" s="331">
        <v>547</v>
      </c>
      <c r="E554" s="544">
        <f>+DATE(YEAR(E553),MONTH(E553)-1,DAY(E553))</f>
        <v>25569.041666666668</v>
      </c>
      <c r="F554" s="333">
        <f>IF(DATE(YEAR($B$6),MONTH($B$6)+1,DAY(1))=E554,1,IF(MONTH(E554)=1,F555*(1+$F$5),F555))</f>
      </c>
      <c r="G554" s="333">
        <f>IF('Simulador - 1º Pilar'!$E$99="Sí",IF('Aportaciones Flex'!$B$13&lt;'Aportaciones Flex'!E554,0,F554*$B$8/12),F554*$B$8/12)</f>
      </c>
      <c r="H554" s="333">
        <f>IF(G554&gt;0,1,0)*$H$5*IF(AND($I$5="NO",YEAR(E554)=YEAR($B$6)+1),1,IF($I$5="SI",1,0))</f>
      </c>
      <c r="I554" s="217">
        <f>(1+$M$5)^(D554/12)*(H554*(12-IF(MONTH(E555)=12,0,MONTH(E555)))+IF(AND(F554=1,F555=0),$Q$4,0))*IF(AND(F554=1,F555=0),1,0)</f>
      </c>
      <c r="J554" s="333">
        <f>(1+$M$5)^(D554/12)*(H554+IF(AND(F554=1,F555=0),$Q$4,0))</f>
      </c>
      <c r="K554" s="351"/>
      <c r="L554" s="333">
        <f>K554+J554</f>
      </c>
      <c r="M554" s="170"/>
      <c r="N554" s="7"/>
      <c r="O554" s="1"/>
      <c r="P554" s="331">
        <f>D554</f>
      </c>
      <c r="Q554" s="169"/>
      <c r="R554" s="1"/>
      <c r="S554" s="217">
        <f>(1+$M$5)^(D554/12)*(IF(E554=$C$6,$Q$4+$H$5*12,0))</f>
      </c>
      <c r="T554" s="217">
        <f>(1+$M$5)^(D554/12)*(IF(YEAR(E554)&gt;YEAR($C$6),L554,0)+IF(E554=$C$6,$H$5*12+$Q$4,0))</f>
      </c>
    </row>
    <row x14ac:dyDescent="0.25" r="555" customHeight="1" ht="18.75">
      <c r="A555" s="1"/>
      <c r="B555" s="7"/>
      <c r="C555" s="170"/>
      <c r="D555" s="331">
        <v>548</v>
      </c>
      <c r="E555" s="544">
        <f>+DATE(YEAR(E554),MONTH(E554)-1,DAY(E554))</f>
        <v>25569.041666666668</v>
      </c>
      <c r="F555" s="333">
        <f>IF(DATE(YEAR($B$6),MONTH($B$6)+1,DAY(1))=E555,1,IF(MONTH(E555)=1,F556*(1+$F$5),F556))</f>
      </c>
      <c r="G555" s="333">
        <f>IF('Simulador - 1º Pilar'!$E$99="Sí",IF('Aportaciones Flex'!$B$13&lt;'Aportaciones Flex'!E555,0,F555*$B$8/12),F555*$B$8/12)</f>
      </c>
      <c r="H555" s="333">
        <f>IF(G555&gt;0,1,0)*$H$5*IF(AND($I$5="NO",YEAR(E555)=YEAR($B$6)+1),1,IF($I$5="SI",1,0))</f>
      </c>
      <c r="I555" s="217">
        <f>(1+$M$5)^(D555/12)*(H555*(12-IF(MONTH(E556)=12,0,MONTH(E556)))+IF(AND(F555=1,F556=0),$Q$4,0))*IF(AND(F555=1,F556=0),1,0)</f>
      </c>
      <c r="J555" s="333">
        <f>(1+$M$5)^(D555/12)*(H555+IF(AND(F555=1,F556=0),$Q$4,0))</f>
      </c>
      <c r="K555" s="351"/>
      <c r="L555" s="333">
        <f>K555+J555</f>
      </c>
      <c r="M555" s="170"/>
      <c r="N555" s="7"/>
      <c r="O555" s="1"/>
      <c r="P555" s="331">
        <f>D555</f>
      </c>
      <c r="Q555" s="169"/>
      <c r="R555" s="1"/>
      <c r="S555" s="217">
        <f>(1+$M$5)^(D555/12)*(IF(E555=$C$6,$Q$4+$H$5*12,0))</f>
      </c>
      <c r="T555" s="217">
        <f>(1+$M$5)^(D555/12)*(IF(YEAR(E555)&gt;YEAR($C$6),L555,0)+IF(E555=$C$6,$H$5*12+$Q$4,0))</f>
      </c>
    </row>
    <row x14ac:dyDescent="0.25" r="556" customHeight="1" ht="18.75">
      <c r="A556" s="1"/>
      <c r="B556" s="7"/>
      <c r="C556" s="170"/>
      <c r="D556" s="331">
        <v>549</v>
      </c>
      <c r="E556" s="544">
        <f>+DATE(YEAR(E555),MONTH(E555)-1,DAY(E555))</f>
        <v>25569.041666666668</v>
      </c>
      <c r="F556" s="333">
        <f>IF(DATE(YEAR($B$6),MONTH($B$6)+1,DAY(1))=E556,1,IF(MONTH(E556)=1,F557*(1+$F$5),F557))</f>
      </c>
      <c r="G556" s="333">
        <f>IF('Simulador - 1º Pilar'!$E$99="Sí",IF('Aportaciones Flex'!$B$13&lt;'Aportaciones Flex'!E556,0,F556*$B$8/12),F556*$B$8/12)</f>
      </c>
      <c r="H556" s="333">
        <f>IF(G556&gt;0,1,0)*$H$5*IF(AND($I$5="NO",YEAR(E556)=YEAR($B$6)+1),1,IF($I$5="SI",1,0))</f>
      </c>
      <c r="I556" s="217">
        <f>(1+$M$5)^(D556/12)*(H556*(12-IF(MONTH(E557)=12,0,MONTH(E557)))+IF(AND(F556=1,F557=0),$Q$4,0))*IF(AND(F556=1,F557=0),1,0)</f>
      </c>
      <c r="J556" s="333">
        <f>(1+$M$5)^(D556/12)*(H556+IF(AND(F556=1,F557=0),$Q$4,0))</f>
      </c>
      <c r="K556" s="351"/>
      <c r="L556" s="333">
        <f>K556+J556</f>
      </c>
      <c r="M556" s="170"/>
      <c r="N556" s="7"/>
      <c r="O556" s="1"/>
      <c r="P556" s="331">
        <f>D556</f>
      </c>
      <c r="Q556" s="169"/>
      <c r="R556" s="1"/>
      <c r="S556" s="217">
        <f>(1+$M$5)^(D556/12)*(IF(E556=$C$6,$Q$4+$H$5*12,0))</f>
      </c>
      <c r="T556" s="217">
        <f>(1+$M$5)^(D556/12)*(IF(YEAR(E556)&gt;YEAR($C$6),L556,0)+IF(E556=$C$6,$H$5*12+$Q$4,0))</f>
      </c>
    </row>
    <row x14ac:dyDescent="0.25" r="557" customHeight="1" ht="18.75">
      <c r="A557" s="1"/>
      <c r="B557" s="7"/>
      <c r="C557" s="170"/>
      <c r="D557" s="331">
        <v>550</v>
      </c>
      <c r="E557" s="544">
        <f>+DATE(YEAR(E556),MONTH(E556)-1,DAY(E556))</f>
        <v>25569.041666666668</v>
      </c>
      <c r="F557" s="333">
        <f>IF(DATE(YEAR($B$6),MONTH($B$6)+1,DAY(1))=E557,1,IF(MONTH(E557)=1,F558*(1+$F$5),F558))</f>
      </c>
      <c r="G557" s="333">
        <f>IF('Simulador - 1º Pilar'!$E$99="Sí",IF('Aportaciones Flex'!$B$13&lt;'Aportaciones Flex'!E557,0,F557*$B$8/12),F557*$B$8/12)</f>
      </c>
      <c r="H557" s="333">
        <f>IF(G557&gt;0,1,0)*$H$5*IF(AND($I$5="NO",YEAR(E557)=YEAR($B$6)+1),1,IF($I$5="SI",1,0))</f>
      </c>
      <c r="I557" s="217">
        <f>(1+$M$5)^(D557/12)*(H557*(12-IF(MONTH(E558)=12,0,MONTH(E558)))+IF(AND(F557=1,F558=0),$Q$4,0))*IF(AND(F557=1,F558=0),1,0)</f>
      </c>
      <c r="J557" s="333">
        <f>(1+$M$5)^(D557/12)*(H557+IF(AND(F557=1,F558=0),$Q$4,0))</f>
      </c>
      <c r="K557" s="351"/>
      <c r="L557" s="333">
        <f>K557+J557</f>
      </c>
      <c r="M557" s="170"/>
      <c r="N557" s="7"/>
      <c r="O557" s="1"/>
      <c r="P557" s="331">
        <f>D557</f>
      </c>
      <c r="Q557" s="169"/>
      <c r="R557" s="1"/>
      <c r="S557" s="217">
        <f>(1+$M$5)^(D557/12)*(IF(E557=$C$6,$Q$4+$H$5*12,0))</f>
      </c>
      <c r="T557" s="217">
        <f>(1+$M$5)^(D557/12)*(IF(YEAR(E557)&gt;YEAR($C$6),L557,0)+IF(E557=$C$6,$H$5*12+$Q$4,0))</f>
      </c>
    </row>
    <row x14ac:dyDescent="0.25" r="558" customHeight="1" ht="18.75">
      <c r="A558" s="1"/>
      <c r="B558" s="7"/>
      <c r="C558" s="170"/>
      <c r="D558" s="331">
        <v>551</v>
      </c>
      <c r="E558" s="544">
        <f>+DATE(YEAR(E557),MONTH(E557)-1,DAY(E557))</f>
        <v>25569.041666666668</v>
      </c>
      <c r="F558" s="333">
        <f>IF(DATE(YEAR($B$6),MONTH($B$6)+1,DAY(1))=E558,1,IF(MONTH(E558)=1,F559*(1+$F$5),F559))</f>
      </c>
      <c r="G558" s="333">
        <f>IF('Simulador - 1º Pilar'!$E$99="Sí",IF('Aportaciones Flex'!$B$13&lt;'Aportaciones Flex'!E558,0,F558*$B$8/12),F558*$B$8/12)</f>
      </c>
      <c r="H558" s="333">
        <f>IF(G558&gt;0,1,0)*$H$5*IF(AND($I$5="NO",YEAR(E558)=YEAR($B$6)+1),1,IF($I$5="SI",1,0))</f>
      </c>
      <c r="I558" s="217">
        <f>(1+$M$5)^(D558/12)*(H558*(12-IF(MONTH(E559)=12,0,MONTH(E559)))+IF(AND(F558=1,F559=0),$Q$4,0))*IF(AND(F558=1,F559=0),1,0)</f>
      </c>
      <c r="J558" s="333">
        <f>(1+$M$5)^(D558/12)*(H558+IF(AND(F558=1,F559=0),$Q$4,0))</f>
      </c>
      <c r="K558" s="351"/>
      <c r="L558" s="333">
        <f>K558+J558</f>
      </c>
      <c r="M558" s="170"/>
      <c r="N558" s="7"/>
      <c r="O558" s="1"/>
      <c r="P558" s="331">
        <f>D558</f>
      </c>
      <c r="Q558" s="169"/>
      <c r="R558" s="1"/>
      <c r="S558" s="217">
        <f>(1+$M$5)^(D558/12)*(IF(E558=$C$6,$Q$4+$H$5*12,0))</f>
      </c>
      <c r="T558" s="217">
        <f>(1+$M$5)^(D558/12)*(IF(YEAR(E558)&gt;YEAR($C$6),L558,0)+IF(E558=$C$6,$H$5*12+$Q$4,0))</f>
      </c>
    </row>
    <row x14ac:dyDescent="0.25" r="559" customHeight="1" ht="18.75">
      <c r="A559" s="1"/>
      <c r="B559" s="7"/>
      <c r="C559" s="170"/>
      <c r="D559" s="331">
        <v>552</v>
      </c>
      <c r="E559" s="544">
        <f>+DATE(YEAR(E558),MONTH(E558)-1,DAY(E558))</f>
        <v>25569.041666666668</v>
      </c>
      <c r="F559" s="333">
        <f>IF(DATE(YEAR($B$6),MONTH($B$6)+1,DAY(1))=E559,1,IF(MONTH(E559)=1,F560*(1+$F$5),F560))</f>
      </c>
      <c r="G559" s="333">
        <f>IF('Simulador - 1º Pilar'!$E$99="Sí",IF('Aportaciones Flex'!$B$13&lt;'Aportaciones Flex'!E559,0,F559*$B$8/12),F559*$B$8/12)</f>
      </c>
      <c r="H559" s="333">
        <f>IF(G559&gt;0,1,0)*$H$5*IF(AND($I$5="NO",YEAR(E559)=YEAR($B$6)+1),1,IF($I$5="SI",1,0))</f>
      </c>
      <c r="I559" s="217">
        <f>(1+$M$5)^(D559/12)*(H559*(12-IF(MONTH(E560)=12,0,MONTH(E560)))+IF(AND(F559=1,F560=0),$Q$4,0))*IF(AND(F559=1,F560=0),1,0)</f>
      </c>
      <c r="J559" s="333">
        <f>(1+$M$5)^(D559/12)*(H559+IF(AND(F559=1,F560=0),$Q$4,0))</f>
      </c>
      <c r="K559" s="351"/>
      <c r="L559" s="333">
        <f>K559+J559</f>
      </c>
      <c r="M559" s="170"/>
      <c r="N559" s="7"/>
      <c r="O559" s="1"/>
      <c r="P559" s="331">
        <f>D559</f>
      </c>
      <c r="Q559" s="169"/>
      <c r="R559" s="1"/>
      <c r="S559" s="217">
        <f>(1+$M$5)^(D559/12)*(IF(E559=$C$6,$Q$4+$H$5*12,0))</f>
      </c>
      <c r="T559" s="217">
        <f>(1+$M$5)^(D559/12)*(IF(YEAR(E559)&gt;YEAR($C$6),L559,0)+IF(E559=$C$6,$H$5*12+$Q$4,0))</f>
      </c>
    </row>
    <row x14ac:dyDescent="0.25" r="560" customHeight="1" ht="18.75">
      <c r="A560" s="1"/>
      <c r="B560" s="7"/>
      <c r="C560" s="170"/>
      <c r="D560" s="331">
        <v>553</v>
      </c>
      <c r="E560" s="544">
        <f>+DATE(YEAR(E559),MONTH(E559)-1,DAY(E559))</f>
        <v>25569.041666666668</v>
      </c>
      <c r="F560" s="333">
        <f>IF(DATE(YEAR($B$6),MONTH($B$6)+1,DAY(1))=E560,1,IF(MONTH(E560)=1,F561*(1+$F$5),F561))</f>
      </c>
      <c r="G560" s="333">
        <f>IF('Simulador - 1º Pilar'!$E$99="Sí",IF('Aportaciones Flex'!$B$13&lt;'Aportaciones Flex'!E560,0,F560*$B$8/12),F560*$B$8/12)</f>
      </c>
      <c r="H560" s="333">
        <f>IF(G560&gt;0,1,0)*$H$5*IF(AND($I$5="NO",YEAR(E560)=YEAR($B$6)+1),1,IF($I$5="SI",1,0))</f>
      </c>
      <c r="I560" s="217">
        <f>(1+$M$5)^(D560/12)*(H560*(12-IF(MONTH(E561)=12,0,MONTH(E561)))+IF(AND(F560=1,F561=0),$Q$4,0))*IF(AND(F560=1,F561=0),1,0)</f>
      </c>
      <c r="J560" s="333">
        <f>(1+$M$5)^(D560/12)*(H560+IF(AND(F560=1,F561=0),$Q$4,0))</f>
      </c>
      <c r="K560" s="351"/>
      <c r="L560" s="333">
        <f>K560+J560</f>
      </c>
      <c r="M560" s="170"/>
      <c r="N560" s="7"/>
      <c r="O560" s="1"/>
      <c r="P560" s="331">
        <f>D560</f>
      </c>
      <c r="Q560" s="169"/>
      <c r="R560" s="1"/>
      <c r="S560" s="217">
        <f>(1+$M$5)^(D560/12)*(IF(E560=$C$6,$Q$4+$H$5*12,0))</f>
      </c>
      <c r="T560" s="217">
        <f>(1+$M$5)^(D560/12)*(IF(YEAR(E560)&gt;YEAR($C$6),L560,0)+IF(E560=$C$6,$H$5*12+$Q$4,0))</f>
      </c>
    </row>
    <row x14ac:dyDescent="0.25" r="561" customHeight="1" ht="18.75">
      <c r="A561" s="1"/>
      <c r="B561" s="7"/>
      <c r="C561" s="170"/>
      <c r="D561" s="331">
        <v>554</v>
      </c>
      <c r="E561" s="544">
        <f>+DATE(YEAR(E560),MONTH(E560)-1,DAY(E560))</f>
        <v>25569.041666666668</v>
      </c>
      <c r="F561" s="333">
        <f>IF(DATE(YEAR($B$6),MONTH($B$6)+1,DAY(1))=E561,1,IF(MONTH(E561)=1,F562*(1+$F$5),F562))</f>
      </c>
      <c r="G561" s="333">
        <f>IF('Simulador - 1º Pilar'!$E$99="Sí",IF('Aportaciones Flex'!$B$13&lt;'Aportaciones Flex'!E561,0,F561*$B$8/12),F561*$B$8/12)</f>
      </c>
      <c r="H561" s="333">
        <f>IF(G561&gt;0,1,0)*$H$5*IF(AND($I$5="NO",YEAR(E561)=YEAR($B$6)+1),1,IF($I$5="SI",1,0))</f>
      </c>
      <c r="I561" s="217">
        <f>(1+$M$5)^(D561/12)*(H561*(12-IF(MONTH(E562)=12,0,MONTH(E562)))+IF(AND(F561=1,F562=0),$Q$4,0))*IF(AND(F561=1,F562=0),1,0)</f>
      </c>
      <c r="J561" s="333">
        <f>(1+$M$5)^(D561/12)*(H561+IF(AND(F561=1,F562=0),$Q$4,0))</f>
      </c>
      <c r="K561" s="351"/>
      <c r="L561" s="333">
        <f>K561+J561</f>
      </c>
      <c r="M561" s="170"/>
      <c r="N561" s="7"/>
      <c r="O561" s="1"/>
      <c r="P561" s="331">
        <f>D561</f>
      </c>
      <c r="Q561" s="169"/>
      <c r="R561" s="1"/>
      <c r="S561" s="217">
        <f>(1+$M$5)^(D561/12)*(IF(E561=$C$6,$Q$4+$H$5*12,0))</f>
      </c>
      <c r="T561" s="217">
        <f>(1+$M$5)^(D561/12)*(IF(YEAR(E561)&gt;YEAR($C$6),L561,0)+IF(E561=$C$6,$H$5*12+$Q$4,0))</f>
      </c>
    </row>
    <row x14ac:dyDescent="0.25" r="562" customHeight="1" ht="18.75">
      <c r="A562" s="1"/>
      <c r="B562" s="7"/>
      <c r="C562" s="170"/>
      <c r="D562" s="331">
        <v>555</v>
      </c>
      <c r="E562" s="544">
        <f>+DATE(YEAR(E561),MONTH(E561)-1,DAY(E561))</f>
        <v>25569.041666666668</v>
      </c>
      <c r="F562" s="333">
        <f>IF(DATE(YEAR($B$6),MONTH($B$6)+1,DAY(1))=E562,1,IF(MONTH(E562)=1,F563*(1+$F$5),F563))</f>
      </c>
      <c r="G562" s="333">
        <f>IF('Simulador - 1º Pilar'!$E$99="Sí",IF('Aportaciones Flex'!$B$13&lt;'Aportaciones Flex'!E562,0,F562*$B$8/12),F562*$B$8/12)</f>
      </c>
      <c r="H562" s="333">
        <f>IF(G562&gt;0,1,0)*$H$5*IF(AND($I$5="NO",YEAR(E562)=YEAR($B$6)+1),1,IF($I$5="SI",1,0))</f>
      </c>
      <c r="I562" s="217">
        <f>(1+$M$5)^(D562/12)*(H562*(12-IF(MONTH(E563)=12,0,MONTH(E563)))+IF(AND(F562=1,F563=0),$Q$4,0))*IF(AND(F562=1,F563=0),1,0)</f>
      </c>
      <c r="J562" s="333">
        <f>(1+$M$5)^(D562/12)*(H562+IF(AND(F562=1,F563=0),$Q$4,0))</f>
      </c>
      <c r="K562" s="351"/>
      <c r="L562" s="333">
        <f>K562+J562</f>
      </c>
      <c r="M562" s="170"/>
      <c r="N562" s="7"/>
      <c r="O562" s="1"/>
      <c r="P562" s="331">
        <f>D562</f>
      </c>
      <c r="Q562" s="169"/>
      <c r="R562" s="1"/>
      <c r="S562" s="217">
        <f>(1+$M$5)^(D562/12)*(IF(E562=$C$6,$Q$4+$H$5*12,0))</f>
      </c>
      <c r="T562" s="217">
        <f>(1+$M$5)^(D562/12)*(IF(YEAR(E562)&gt;YEAR($C$6),L562,0)+IF(E562=$C$6,$H$5*12+$Q$4,0))</f>
      </c>
    </row>
    <row x14ac:dyDescent="0.25" r="563" customHeight="1" ht="18.75">
      <c r="A563" s="1"/>
      <c r="B563" s="7"/>
      <c r="C563" s="170"/>
      <c r="D563" s="331">
        <v>556</v>
      </c>
      <c r="E563" s="544">
        <f>+DATE(YEAR(E562),MONTH(E562)-1,DAY(E562))</f>
        <v>25569.041666666668</v>
      </c>
      <c r="F563" s="333">
        <f>IF(DATE(YEAR($B$6),MONTH($B$6)+1,DAY(1))=E563,1,IF(MONTH(E563)=1,F564*(1+$F$5),F564))</f>
      </c>
      <c r="G563" s="333">
        <f>IF('Simulador - 1º Pilar'!$E$99="Sí",IF('Aportaciones Flex'!$B$13&lt;'Aportaciones Flex'!E563,0,F563*$B$8/12),F563*$B$8/12)</f>
      </c>
      <c r="H563" s="333">
        <f>IF(G563&gt;0,1,0)*$H$5*IF(AND($I$5="NO",YEAR(E563)=YEAR($B$6)+1),1,IF($I$5="SI",1,0))</f>
      </c>
      <c r="I563" s="217">
        <f>(1+$M$5)^(D563/12)*(H563*(12-IF(MONTH(E564)=12,0,MONTH(E564)))+IF(AND(F563=1,F564=0),$Q$4,0))*IF(AND(F563=1,F564=0),1,0)</f>
      </c>
      <c r="J563" s="333">
        <f>(1+$M$5)^(D563/12)*(H563+IF(AND(F563=1,F564=0),$Q$4,0))</f>
      </c>
      <c r="K563" s="351"/>
      <c r="L563" s="333">
        <f>K563+J563</f>
      </c>
      <c r="M563" s="170"/>
      <c r="N563" s="7"/>
      <c r="O563" s="1"/>
      <c r="P563" s="331">
        <f>D563</f>
      </c>
      <c r="Q563" s="169"/>
      <c r="R563" s="1"/>
      <c r="S563" s="217">
        <f>(1+$M$5)^(D563/12)*(IF(E563=$C$6,$Q$4+$H$5*12,0))</f>
      </c>
      <c r="T563" s="217">
        <f>(1+$M$5)^(D563/12)*(IF(YEAR(E563)&gt;YEAR($C$6),L563,0)+IF(E563=$C$6,$H$5*12+$Q$4,0))</f>
      </c>
    </row>
    <row x14ac:dyDescent="0.25" r="564" customHeight="1" ht="18.75">
      <c r="A564" s="1"/>
      <c r="B564" s="7"/>
      <c r="C564" s="170"/>
      <c r="D564" s="331">
        <v>557</v>
      </c>
      <c r="E564" s="544">
        <f>+DATE(YEAR(E563),MONTH(E563)-1,DAY(E563))</f>
        <v>25569.041666666668</v>
      </c>
      <c r="F564" s="333">
        <f>IF(DATE(YEAR($B$6),MONTH($B$6)+1,DAY(1))=E564,1,IF(MONTH(E564)=1,F565*(1+$F$5),F565))</f>
      </c>
      <c r="G564" s="333">
        <f>IF('Simulador - 1º Pilar'!$E$99="Sí",IF('Aportaciones Flex'!$B$13&lt;'Aportaciones Flex'!E564,0,F564*$B$8/12),F564*$B$8/12)</f>
      </c>
      <c r="H564" s="333">
        <f>IF(G564&gt;0,1,0)*$H$5*IF(AND($I$5="NO",YEAR(E564)=YEAR($B$6)+1),1,IF($I$5="SI",1,0))</f>
      </c>
      <c r="I564" s="217">
        <f>(1+$M$5)^(D564/12)*(H564*(12-IF(MONTH(E565)=12,0,MONTH(E565)))+IF(AND(F564=1,F565=0),$Q$4,0))*IF(AND(F564=1,F565=0),1,0)</f>
      </c>
      <c r="J564" s="333">
        <f>(1+$M$5)^(D564/12)*(H564+IF(AND(F564=1,F565=0),$Q$4,0))</f>
      </c>
      <c r="K564" s="351"/>
      <c r="L564" s="333">
        <f>K564+J564</f>
      </c>
      <c r="M564" s="170"/>
      <c r="N564" s="7"/>
      <c r="O564" s="1"/>
      <c r="P564" s="331">
        <f>D564</f>
      </c>
      <c r="Q564" s="169"/>
      <c r="R564" s="1"/>
      <c r="S564" s="217">
        <f>(1+$M$5)^(D564/12)*(IF(E564=$C$6,$Q$4+$H$5*12,0))</f>
      </c>
      <c r="T564" s="217">
        <f>(1+$M$5)^(D564/12)*(IF(YEAR(E564)&gt;YEAR($C$6),L564,0)+IF(E564=$C$6,$H$5*12+$Q$4,0))</f>
      </c>
    </row>
    <row x14ac:dyDescent="0.25" r="565" customHeight="1" ht="18.75">
      <c r="A565" s="1"/>
      <c r="B565" s="7"/>
      <c r="C565" s="170"/>
      <c r="D565" s="331">
        <v>558</v>
      </c>
      <c r="E565" s="544">
        <f>+DATE(YEAR(E564),MONTH(E564)-1,DAY(E564))</f>
        <v>25569.041666666668</v>
      </c>
      <c r="F565" s="333">
        <f>IF(DATE(YEAR($B$6),MONTH($B$6)+1,DAY(1))=E565,1,IF(MONTH(E565)=1,F566*(1+$F$5),F566))</f>
      </c>
      <c r="G565" s="333">
        <f>IF('Simulador - 1º Pilar'!$E$99="Sí",IF('Aportaciones Flex'!$B$13&lt;'Aportaciones Flex'!E565,0,F565*$B$8/12),F565*$B$8/12)</f>
      </c>
      <c r="H565" s="333">
        <f>IF(G565&gt;0,1,0)*$H$5*IF(AND($I$5="NO",YEAR(E565)=YEAR($B$6)+1),1,IF($I$5="SI",1,0))</f>
      </c>
      <c r="I565" s="217">
        <f>(1+$M$5)^(D565/12)*(H565*(12-IF(MONTH(E566)=12,0,MONTH(E566)))+IF(AND(F565=1,F566=0),$Q$4,0))*IF(AND(F565=1,F566=0),1,0)</f>
      </c>
      <c r="J565" s="333">
        <f>(1+$M$5)^(D565/12)*(H565+IF(AND(F565=1,F566=0),$Q$4,0))</f>
      </c>
      <c r="K565" s="351"/>
      <c r="L565" s="333">
        <f>K565+J565</f>
      </c>
      <c r="M565" s="170"/>
      <c r="N565" s="7"/>
      <c r="O565" s="1"/>
      <c r="P565" s="331">
        <f>D565</f>
      </c>
      <c r="Q565" s="169"/>
      <c r="R565" s="1"/>
      <c r="S565" s="217">
        <f>(1+$M$5)^(D565/12)*(IF(E565=$C$6,$Q$4+$H$5*12,0))</f>
      </c>
      <c r="T565" s="217">
        <f>(1+$M$5)^(D565/12)*(IF(YEAR(E565)&gt;YEAR($C$6),L565,0)+IF(E565=$C$6,$H$5*12+$Q$4,0))</f>
      </c>
    </row>
    <row x14ac:dyDescent="0.25" r="566" customHeight="1" ht="18.75">
      <c r="A566" s="1"/>
      <c r="B566" s="7"/>
      <c r="C566" s="170"/>
      <c r="D566" s="331">
        <v>559</v>
      </c>
      <c r="E566" s="544">
        <f>+DATE(YEAR(E565),MONTH(E565)-1,DAY(E565))</f>
        <v>25569.041666666668</v>
      </c>
      <c r="F566" s="333">
        <f>IF(DATE(YEAR($B$6),MONTH($B$6)+1,DAY(1))=E566,1,IF(MONTH(E566)=1,F567*(1+$F$5),F567))</f>
      </c>
      <c r="G566" s="333">
        <f>IF('Simulador - 1º Pilar'!$E$99="Sí",IF('Aportaciones Flex'!$B$13&lt;'Aportaciones Flex'!E566,0,F566*$B$8/12),F566*$B$8/12)</f>
      </c>
      <c r="H566" s="333">
        <f>IF(G566&gt;0,1,0)*$H$5*IF(AND($I$5="NO",YEAR(E566)=YEAR($B$6)+1),1,IF($I$5="SI",1,0))</f>
      </c>
      <c r="I566" s="217">
        <f>(1+$M$5)^(D566/12)*(H566*(12-IF(MONTH(E567)=12,0,MONTH(E567)))+IF(AND(F566=1,F567=0),$Q$4,0))*IF(AND(F566=1,F567=0),1,0)</f>
      </c>
      <c r="J566" s="333">
        <f>(1+$M$5)^(D566/12)*(H566+IF(AND(F566=1,F567=0),$Q$4,0))</f>
      </c>
      <c r="K566" s="351"/>
      <c r="L566" s="333">
        <f>K566+J566</f>
      </c>
      <c r="M566" s="170"/>
      <c r="N566" s="7"/>
      <c r="O566" s="1"/>
      <c r="P566" s="331">
        <f>D566</f>
      </c>
      <c r="Q566" s="169"/>
      <c r="R566" s="1"/>
      <c r="S566" s="217">
        <f>(1+$M$5)^(D566/12)*(IF(E566=$C$6,$Q$4+$H$5*12,0))</f>
      </c>
      <c r="T566" s="217">
        <f>(1+$M$5)^(D566/12)*(IF(YEAR(E566)&gt;YEAR($C$6),L566,0)+IF(E566=$C$6,$H$5*12+$Q$4,0))</f>
      </c>
    </row>
    <row x14ac:dyDescent="0.25" r="567" customHeight="1" ht="18.75">
      <c r="A567" s="1"/>
      <c r="B567" s="7"/>
      <c r="C567" s="170"/>
      <c r="D567" s="331">
        <v>560</v>
      </c>
      <c r="E567" s="544">
        <f>+DATE(YEAR(E566),MONTH(E566)-1,DAY(E566))</f>
        <v>25569.041666666668</v>
      </c>
      <c r="F567" s="333">
        <f>IF(DATE(YEAR($B$6),MONTH($B$6)+1,DAY(1))=E567,1,IF(MONTH(E567)=1,F568*(1+$F$5),F568))</f>
      </c>
      <c r="G567" s="333">
        <f>IF('Simulador - 1º Pilar'!$E$99="Sí",IF('Aportaciones Flex'!$B$13&lt;'Aportaciones Flex'!E567,0,F567*$B$8/12),F567*$B$8/12)</f>
      </c>
      <c r="H567" s="333">
        <f>IF(G567&gt;0,1,0)*$H$5*IF(AND($I$5="NO",YEAR(E567)=YEAR($B$6)+1),1,IF($I$5="SI",1,0))</f>
      </c>
      <c r="I567" s="217">
        <f>(1+$M$5)^(D567/12)*(H567*(12-IF(MONTH(E568)=12,0,MONTH(E568)))+IF(AND(F567=1,F568=0),$Q$4,0))*IF(AND(F567=1,F568=0),1,0)</f>
      </c>
      <c r="J567" s="333">
        <f>(1+$M$5)^(D567/12)*(H567+IF(AND(F567=1,F568=0),$Q$4,0))</f>
      </c>
      <c r="K567" s="351"/>
      <c r="L567" s="333">
        <f>K567+J567</f>
      </c>
      <c r="M567" s="170"/>
      <c r="N567" s="7"/>
      <c r="O567" s="1"/>
      <c r="P567" s="331">
        <f>D567</f>
      </c>
      <c r="Q567" s="169"/>
      <c r="R567" s="1"/>
      <c r="S567" s="217">
        <f>(1+$M$5)^(D567/12)*(IF(E567=$C$6,$Q$4+$H$5*12,0))</f>
      </c>
      <c r="T567" s="217">
        <f>(1+$M$5)^(D567/12)*(IF(YEAR(E567)&gt;YEAR($C$6),L567,0)+IF(E567=$C$6,$H$5*12+$Q$4,0))</f>
      </c>
    </row>
    <row x14ac:dyDescent="0.25" r="568" customHeight="1" ht="18.75">
      <c r="A568" s="1"/>
      <c r="B568" s="7"/>
      <c r="C568" s="170"/>
      <c r="D568" s="331">
        <v>561</v>
      </c>
      <c r="E568" s="544">
        <f>+DATE(YEAR(E567),MONTH(E567)-1,DAY(E567))</f>
        <v>25569.041666666668</v>
      </c>
      <c r="F568" s="333">
        <f>IF(DATE(YEAR($B$6),MONTH($B$6)+1,DAY(1))=E568,1,IF(MONTH(E568)=1,F569*(1+$F$5),F569))</f>
      </c>
      <c r="G568" s="333">
        <f>IF('Simulador - 1º Pilar'!$E$99="Sí",IF('Aportaciones Flex'!$B$13&lt;'Aportaciones Flex'!E568,0,F568*$B$8/12),F568*$B$8/12)</f>
      </c>
      <c r="H568" s="333">
        <f>IF(G568&gt;0,1,0)*$H$5*IF(AND($I$5="NO",YEAR(E568)=YEAR($B$6)+1),1,IF($I$5="SI",1,0))</f>
      </c>
      <c r="I568" s="217">
        <f>(1+$M$5)^(D568/12)*(H568*(12-IF(MONTH(E569)=12,0,MONTH(E569)))+IF(AND(F568=1,F569=0),$Q$4,0))*IF(AND(F568=1,F569=0),1,0)</f>
      </c>
      <c r="J568" s="333">
        <f>(1+$M$5)^(D568/12)*(H568+IF(AND(F568=1,F569=0),$Q$4,0))</f>
      </c>
      <c r="K568" s="351"/>
      <c r="L568" s="333">
        <f>K568+J568</f>
      </c>
      <c r="M568" s="170"/>
      <c r="N568" s="7"/>
      <c r="O568" s="1"/>
      <c r="P568" s="331">
        <f>D568</f>
      </c>
      <c r="Q568" s="169"/>
      <c r="R568" s="1"/>
      <c r="S568" s="217">
        <f>(1+$M$5)^(D568/12)*(IF(E568=$C$6,$Q$4+$H$5*12,0))</f>
      </c>
      <c r="T568" s="217">
        <f>(1+$M$5)^(D568/12)*(IF(YEAR(E568)&gt;YEAR($C$6),L568,0)+IF(E568=$C$6,$H$5*12+$Q$4,0))</f>
      </c>
    </row>
    <row x14ac:dyDescent="0.25" r="569" customHeight="1" ht="18.75">
      <c r="A569" s="1"/>
      <c r="B569" s="7"/>
      <c r="C569" s="170"/>
      <c r="D569" s="331">
        <v>562</v>
      </c>
      <c r="E569" s="544">
        <f>+DATE(YEAR(E568),MONTH(E568)-1,DAY(E568))</f>
        <v>25569.041666666668</v>
      </c>
      <c r="F569" s="333">
        <f>IF(DATE(YEAR($B$6),MONTH($B$6)+1,DAY(1))=E569,1,IF(MONTH(E569)=1,F570*(1+$F$5),F570))</f>
      </c>
      <c r="G569" s="333">
        <f>IF('Simulador - 1º Pilar'!$E$99="Sí",IF('Aportaciones Flex'!$B$13&lt;'Aportaciones Flex'!E569,0,F569*$B$8/12),F569*$B$8/12)</f>
      </c>
      <c r="H569" s="333">
        <f>IF(G569&gt;0,1,0)*$H$5*IF(AND($I$5="NO",YEAR(E569)=YEAR($B$6)+1),1,IF($I$5="SI",1,0))</f>
      </c>
      <c r="I569" s="217">
        <f>(1+$M$5)^(D569/12)*(H569*(12-IF(MONTH(E570)=12,0,MONTH(E570)))+IF(AND(F569=1,F570=0),$Q$4,0))*IF(AND(F569=1,F570=0),1,0)</f>
      </c>
      <c r="J569" s="333">
        <f>(1+$M$5)^(D569/12)*(H569+IF(AND(F569=1,F570=0),$Q$4,0))</f>
      </c>
      <c r="K569" s="351"/>
      <c r="L569" s="333">
        <f>K569+J569</f>
      </c>
      <c r="M569" s="170"/>
      <c r="N569" s="7"/>
      <c r="O569" s="1"/>
      <c r="P569" s="331">
        <f>D569</f>
      </c>
      <c r="Q569" s="169"/>
      <c r="R569" s="1"/>
      <c r="S569" s="217">
        <f>(1+$M$5)^(D569/12)*(IF(E569=$C$6,$Q$4+$H$5*12,0))</f>
      </c>
      <c r="T569" s="217">
        <f>(1+$M$5)^(D569/12)*(IF(YEAR(E569)&gt;YEAR($C$6),L569,0)+IF(E569=$C$6,$H$5*12+$Q$4,0))</f>
      </c>
    </row>
    <row x14ac:dyDescent="0.25" r="570" customHeight="1" ht="18.75">
      <c r="A570" s="1"/>
      <c r="B570" s="7"/>
      <c r="C570" s="170"/>
      <c r="D570" s="331">
        <v>563</v>
      </c>
      <c r="E570" s="544">
        <f>+DATE(YEAR(E569),MONTH(E569)-1,DAY(E569))</f>
        <v>25569.041666666668</v>
      </c>
      <c r="F570" s="333">
        <f>IF(DATE(YEAR($B$6),MONTH($B$6)+1,DAY(1))=E570,1,IF(MONTH(E570)=1,F571*(1+$F$5),F571))</f>
      </c>
      <c r="G570" s="333">
        <f>IF('Simulador - 1º Pilar'!$E$99="Sí",IF('Aportaciones Flex'!$B$13&lt;'Aportaciones Flex'!E570,0,F570*$B$8/12),F570*$B$8/12)</f>
      </c>
      <c r="H570" s="333">
        <f>IF(G570&gt;0,1,0)*$H$5*IF(AND($I$5="NO",YEAR(E570)=YEAR($B$6)+1),1,IF($I$5="SI",1,0))</f>
      </c>
      <c r="I570" s="217">
        <f>(1+$M$5)^(D570/12)*(H570*(12-IF(MONTH(E571)=12,0,MONTH(E571)))+IF(AND(F570=1,F571=0),$Q$4,0))*IF(AND(F570=1,F571=0),1,0)</f>
      </c>
      <c r="J570" s="333">
        <f>(1+$M$5)^(D570/12)*(H570+IF(AND(F570=1,F571=0),$Q$4,0))</f>
      </c>
      <c r="K570" s="351"/>
      <c r="L570" s="333">
        <f>K570+J570</f>
      </c>
      <c r="M570" s="170"/>
      <c r="N570" s="7"/>
      <c r="O570" s="1"/>
      <c r="P570" s="331">
        <f>D570</f>
      </c>
      <c r="Q570" s="169"/>
      <c r="R570" s="1"/>
      <c r="S570" s="217">
        <f>(1+$M$5)^(D570/12)*(IF(E570=$C$6,$Q$4+$H$5*12,0))</f>
      </c>
      <c r="T570" s="217">
        <f>(1+$M$5)^(D570/12)*(IF(YEAR(E570)&gt;YEAR($C$6),L570,0)+IF(E570=$C$6,$H$5*12+$Q$4,0))</f>
      </c>
    </row>
    <row x14ac:dyDescent="0.25" r="571" customHeight="1" ht="18.75">
      <c r="A571" s="1"/>
      <c r="B571" s="7"/>
      <c r="C571" s="170"/>
      <c r="D571" s="331">
        <v>564</v>
      </c>
      <c r="E571" s="544">
        <f>+DATE(YEAR(E570),MONTH(E570)-1,DAY(E570))</f>
        <v>25569.041666666668</v>
      </c>
      <c r="F571" s="333">
        <f>IF(DATE(YEAR($B$6),MONTH($B$6)+1,DAY(1))=E571,1,IF(MONTH(E571)=1,F572*(1+$F$5),F572))</f>
      </c>
      <c r="G571" s="333">
        <f>IF('Simulador - 1º Pilar'!$E$99="Sí",IF('Aportaciones Flex'!$B$13&lt;'Aportaciones Flex'!E571,0,F571*$B$8/12),F571*$B$8/12)</f>
      </c>
      <c r="H571" s="333">
        <f>IF(G571&gt;0,1,0)*$H$5*IF(AND($I$5="NO",YEAR(E571)=YEAR($B$6)+1),1,IF($I$5="SI",1,0))</f>
      </c>
      <c r="I571" s="217">
        <f>(1+$M$5)^(D571/12)*(H571*(12-IF(MONTH(E572)=12,0,MONTH(E572)))+IF(AND(F571=1,F572=0),$Q$4,0))*IF(AND(F571=1,F572=0),1,0)</f>
      </c>
      <c r="J571" s="333">
        <f>(1+$M$5)^(D571/12)*(H571+IF(AND(F571=1,F572=0),$Q$4,0))</f>
      </c>
      <c r="K571" s="351"/>
      <c r="L571" s="333">
        <f>K571+J571</f>
      </c>
      <c r="M571" s="170"/>
      <c r="N571" s="7"/>
      <c r="O571" s="1"/>
      <c r="P571" s="331">
        <f>D571</f>
      </c>
      <c r="Q571" s="169"/>
      <c r="R571" s="1"/>
      <c r="S571" s="217">
        <f>(1+$M$5)^(D571/12)*(IF(E571=$C$6,$Q$4+$H$5*12,0))</f>
      </c>
      <c r="T571" s="217">
        <f>(1+$M$5)^(D571/12)*(IF(YEAR(E571)&gt;YEAR($C$6),L571,0)+IF(E571=$C$6,$H$5*12+$Q$4,0))</f>
      </c>
    </row>
    <row x14ac:dyDescent="0.25" r="572" customHeight="1" ht="18.75">
      <c r="A572" s="1"/>
      <c r="B572" s="7"/>
      <c r="C572" s="170"/>
      <c r="D572" s="331">
        <v>565</v>
      </c>
      <c r="E572" s="544">
        <f>+DATE(YEAR(E571),MONTH(E571)-1,DAY(E571))</f>
        <v>25569.041666666668</v>
      </c>
      <c r="F572" s="333">
        <f>IF(DATE(YEAR($B$6),MONTH($B$6)+1,DAY(1))=E572,1,IF(MONTH(E572)=1,F573*(1+$F$5),F573))</f>
      </c>
      <c r="G572" s="333">
        <f>IF('Simulador - 1º Pilar'!$E$99="Sí",IF('Aportaciones Flex'!$B$13&lt;'Aportaciones Flex'!E572,0,F572*$B$8/12),F572*$B$8/12)</f>
      </c>
      <c r="H572" s="333">
        <f>IF(G572&gt;0,1,0)*$H$5*IF(AND($I$5="NO",YEAR(E572)=YEAR($B$6)+1),1,IF($I$5="SI",1,0))</f>
      </c>
      <c r="I572" s="217">
        <f>(1+$M$5)^(D572/12)*(H572*(12-IF(MONTH(E573)=12,0,MONTH(E573)))+IF(AND(F572=1,F573=0),$Q$4,0))*IF(AND(F572=1,F573=0),1,0)</f>
      </c>
      <c r="J572" s="333">
        <f>(1+$M$5)^(D572/12)*(H572+IF(AND(F572=1,F573=0),$Q$4,0))</f>
      </c>
      <c r="K572" s="351"/>
      <c r="L572" s="333">
        <f>K572+J572</f>
      </c>
      <c r="M572" s="170"/>
      <c r="N572" s="7"/>
      <c r="O572" s="1"/>
      <c r="P572" s="331">
        <f>D572</f>
      </c>
      <c r="Q572" s="169"/>
      <c r="R572" s="1"/>
      <c r="S572" s="217">
        <f>(1+$M$5)^(D572/12)*(IF(E572=$C$6,$Q$4+$H$5*12,0))</f>
      </c>
      <c r="T572" s="217">
        <f>(1+$M$5)^(D572/12)*(IF(YEAR(E572)&gt;YEAR($C$6),L572,0)+IF(E572=$C$6,$H$5*12+$Q$4,0))</f>
      </c>
    </row>
    <row x14ac:dyDescent="0.25" r="573" customHeight="1" ht="18.75">
      <c r="A573" s="1"/>
      <c r="B573" s="7"/>
      <c r="C573" s="170"/>
      <c r="D573" s="331">
        <v>566</v>
      </c>
      <c r="E573" s="544">
        <f>+DATE(YEAR(E572),MONTH(E572)-1,DAY(E572))</f>
        <v>25569.041666666668</v>
      </c>
      <c r="F573" s="333">
        <f>IF(DATE(YEAR($B$6),MONTH($B$6)+1,DAY(1))=E573,1,IF(MONTH(E573)=1,F574*(1+$F$5),F574))</f>
      </c>
      <c r="G573" s="333">
        <f>IF('Simulador - 1º Pilar'!$E$99="Sí",IF('Aportaciones Flex'!$B$13&lt;'Aportaciones Flex'!E573,0,F573*$B$8/12),F573*$B$8/12)</f>
      </c>
      <c r="H573" s="333">
        <f>IF(G573&gt;0,1,0)*$H$5*IF(AND($I$5="NO",YEAR(E573)=YEAR($B$6)+1),1,IF($I$5="SI",1,0))</f>
      </c>
      <c r="I573" s="217">
        <f>(1+$M$5)^(D573/12)*(H573*(12-IF(MONTH(E574)=12,0,MONTH(E574)))+IF(AND(F573=1,F574=0),$Q$4,0))*IF(AND(F573=1,F574=0),1,0)</f>
      </c>
      <c r="J573" s="333">
        <f>(1+$M$5)^(D573/12)*(H573+IF(AND(F573=1,F574=0),$Q$4,0))</f>
      </c>
      <c r="K573" s="351"/>
      <c r="L573" s="333">
        <f>K573+J573</f>
      </c>
      <c r="M573" s="170"/>
      <c r="N573" s="7"/>
      <c r="O573" s="1"/>
      <c r="P573" s="331">
        <f>D573</f>
      </c>
      <c r="Q573" s="169"/>
      <c r="R573" s="1"/>
      <c r="S573" s="217">
        <f>(1+$M$5)^(D573/12)*(IF(E573=$C$6,$Q$4+$H$5*12,0))</f>
      </c>
      <c r="T573" s="217">
        <f>(1+$M$5)^(D573/12)*(IF(YEAR(E573)&gt;YEAR($C$6),L573,0)+IF(E573=$C$6,$H$5*12+$Q$4,0))</f>
      </c>
    </row>
    <row x14ac:dyDescent="0.25" r="574" customHeight="1" ht="18.75">
      <c r="A574" s="1"/>
      <c r="B574" s="7"/>
      <c r="C574" s="170"/>
      <c r="D574" s="331">
        <v>567</v>
      </c>
      <c r="E574" s="544">
        <f>+DATE(YEAR(E573),MONTH(E573)-1,DAY(E573))</f>
        <v>25569.041666666668</v>
      </c>
      <c r="F574" s="333">
        <f>IF(DATE(YEAR($B$6),MONTH($B$6)+1,DAY(1))=E574,1,IF(MONTH(E574)=1,F575*(1+$F$5),F575))</f>
      </c>
      <c r="G574" s="333">
        <f>IF('Simulador - 1º Pilar'!$E$99="Sí",IF('Aportaciones Flex'!$B$13&lt;'Aportaciones Flex'!E574,0,F574*$B$8/12),F574*$B$8/12)</f>
      </c>
      <c r="H574" s="333">
        <f>IF(G574&gt;0,1,0)*$H$5*IF(AND($I$5="NO",YEAR(E574)=YEAR($B$6)+1),1,IF($I$5="SI",1,0))</f>
      </c>
      <c r="I574" s="217">
        <f>(1+$M$5)^(D574/12)*(H574*(12-IF(MONTH(E575)=12,0,MONTH(E575)))+IF(AND(F574=1,F575=0),$Q$4,0))*IF(AND(F574=1,F575=0),1,0)</f>
      </c>
      <c r="J574" s="333">
        <f>(1+$M$5)^(D574/12)*(H574+IF(AND(F574=1,F575=0),$Q$4,0))</f>
      </c>
      <c r="K574" s="351"/>
      <c r="L574" s="333">
        <f>K574+J574</f>
      </c>
      <c r="M574" s="170"/>
      <c r="N574" s="7"/>
      <c r="O574" s="1"/>
      <c r="P574" s="331">
        <f>D574</f>
      </c>
      <c r="Q574" s="169"/>
      <c r="R574" s="1"/>
      <c r="S574" s="217">
        <f>(1+$M$5)^(D574/12)*(IF(E574=$C$6,$Q$4+$H$5*12,0))</f>
      </c>
      <c r="T574" s="217">
        <f>(1+$M$5)^(D574/12)*(IF(YEAR(E574)&gt;YEAR($C$6),L574,0)+IF(E574=$C$6,$H$5*12+$Q$4,0))</f>
      </c>
    </row>
    <row x14ac:dyDescent="0.25" r="575" customHeight="1" ht="18.75">
      <c r="A575" s="1"/>
      <c r="B575" s="7"/>
      <c r="C575" s="170"/>
      <c r="D575" s="331">
        <v>568</v>
      </c>
      <c r="E575" s="544">
        <f>+DATE(YEAR(E574),MONTH(E574)-1,DAY(E574))</f>
        <v>25569.041666666668</v>
      </c>
      <c r="F575" s="333">
        <f>IF(DATE(YEAR($B$6),MONTH($B$6)+1,DAY(1))=E575,1,IF(MONTH(E575)=1,F576*(1+$F$5),F576))</f>
      </c>
      <c r="G575" s="333">
        <f>IF('Simulador - 1º Pilar'!$E$99="Sí",IF('Aportaciones Flex'!$B$13&lt;'Aportaciones Flex'!E575,0,F575*$B$8/12),F575*$B$8/12)</f>
      </c>
      <c r="H575" s="333">
        <f>IF(G575&gt;0,1,0)*$H$5*IF(AND($I$5="NO",YEAR(E575)=YEAR($B$6)+1),1,IF($I$5="SI",1,0))</f>
      </c>
      <c r="I575" s="217">
        <f>(1+$M$5)^(D575/12)*(H575*(12-IF(MONTH(E576)=12,0,MONTH(E576)))+IF(AND(F575=1,F576=0),$Q$4,0))*IF(AND(F575=1,F576=0),1,0)</f>
      </c>
      <c r="J575" s="333">
        <f>(1+$M$5)^(D575/12)*(H575+IF(AND(F575=1,F576=0),$Q$4,0))</f>
      </c>
      <c r="K575" s="351"/>
      <c r="L575" s="333">
        <f>K575+J575</f>
      </c>
      <c r="M575" s="170"/>
      <c r="N575" s="7"/>
      <c r="O575" s="1"/>
      <c r="P575" s="331">
        <f>D575</f>
      </c>
      <c r="Q575" s="169"/>
      <c r="R575" s="1"/>
      <c r="S575" s="217">
        <f>(1+$M$5)^(D575/12)*(IF(E575=$C$6,$Q$4+$H$5*12,0))</f>
      </c>
      <c r="T575" s="217">
        <f>(1+$M$5)^(D575/12)*(IF(YEAR(E575)&gt;YEAR($C$6),L575,0)+IF(E575=$C$6,$H$5*12+$Q$4,0))</f>
      </c>
    </row>
    <row x14ac:dyDescent="0.25" r="576" customHeight="1" ht="18.75">
      <c r="A576" s="1"/>
      <c r="B576" s="7"/>
      <c r="C576" s="170"/>
      <c r="D576" s="331">
        <v>569</v>
      </c>
      <c r="E576" s="544">
        <f>+DATE(YEAR(E575),MONTH(E575)-1,DAY(E575))</f>
        <v>25569.041666666668</v>
      </c>
      <c r="F576" s="333">
        <f>IF(DATE(YEAR($B$6),MONTH($B$6)+1,DAY(1))=E576,1,IF(MONTH(E576)=1,F577*(1+$F$5),F577))</f>
      </c>
      <c r="G576" s="333">
        <f>IF('Simulador - 1º Pilar'!$E$99="Sí",IF('Aportaciones Flex'!$B$13&lt;'Aportaciones Flex'!E576,0,F576*$B$8/12),F576*$B$8/12)</f>
      </c>
      <c r="H576" s="333">
        <f>IF(G576&gt;0,1,0)*$H$5*IF(AND($I$5="NO",YEAR(E576)=YEAR($B$6)+1),1,IF($I$5="SI",1,0))</f>
      </c>
      <c r="I576" s="217">
        <f>(1+$M$5)^(D576/12)*(H576*(12-IF(MONTH(E577)=12,0,MONTH(E577)))+IF(AND(F576=1,F577=0),$Q$4,0))*IF(AND(F576=1,F577=0),1,0)</f>
      </c>
      <c r="J576" s="333">
        <f>(1+$M$5)^(D576/12)*(H576+IF(AND(F576=1,F577=0),$Q$4,0))</f>
      </c>
      <c r="K576" s="351"/>
      <c r="L576" s="333">
        <f>K576+J576</f>
      </c>
      <c r="M576" s="170"/>
      <c r="N576" s="7"/>
      <c r="O576" s="1"/>
      <c r="P576" s="331">
        <f>D576</f>
      </c>
      <c r="Q576" s="169"/>
      <c r="R576" s="1"/>
      <c r="S576" s="217">
        <f>(1+$M$5)^(D576/12)*(IF(E576=$C$6,$Q$4+$H$5*12,0))</f>
      </c>
      <c r="T576" s="217">
        <f>(1+$M$5)^(D576/12)*(IF(YEAR(E576)&gt;YEAR($C$6),L576,0)+IF(E576=$C$6,$H$5*12+$Q$4,0))</f>
      </c>
    </row>
    <row x14ac:dyDescent="0.25" r="577" customHeight="1" ht="18.75">
      <c r="A577" s="1"/>
      <c r="B577" s="7"/>
      <c r="C577" s="170"/>
      <c r="D577" s="331">
        <v>570</v>
      </c>
      <c r="E577" s="544">
        <f>+DATE(YEAR(E576),MONTH(E576)-1,DAY(E576))</f>
        <v>25569.041666666668</v>
      </c>
      <c r="F577" s="333">
        <f>IF(DATE(YEAR($B$6),MONTH($B$6)+1,DAY(1))=E577,1,IF(MONTH(E577)=1,F578*(1+$F$5),F578))</f>
      </c>
      <c r="G577" s="333">
        <f>IF('Simulador - 1º Pilar'!$E$99="Sí",IF('Aportaciones Flex'!$B$13&lt;'Aportaciones Flex'!E577,0,F577*$B$8/12),F577*$B$8/12)</f>
      </c>
      <c r="H577" s="333">
        <f>IF(G577&gt;0,1,0)*$H$5*IF(AND($I$5="NO",YEAR(E577)=YEAR($B$6)+1),1,IF($I$5="SI",1,0))</f>
      </c>
      <c r="I577" s="217">
        <f>(1+$M$5)^(D577/12)*(H577*(12-IF(MONTH(E578)=12,0,MONTH(E578)))+IF(AND(F577=1,F578=0),$Q$4,0))*IF(AND(F577=1,F578=0),1,0)</f>
      </c>
      <c r="J577" s="333">
        <f>(1+$M$5)^(D577/12)*(H577+IF(AND(F577=1,F578=0),$Q$4,0))</f>
      </c>
      <c r="K577" s="351"/>
      <c r="L577" s="333">
        <f>K577+J577</f>
      </c>
      <c r="M577" s="170"/>
      <c r="N577" s="7"/>
      <c r="O577" s="1"/>
      <c r="P577" s="331">
        <f>D577</f>
      </c>
      <c r="Q577" s="169"/>
      <c r="R577" s="1"/>
      <c r="S577" s="217">
        <f>(1+$M$5)^(D577/12)*(IF(E577=$C$6,$Q$4+$H$5*12,0))</f>
      </c>
      <c r="T577" s="217">
        <f>(1+$M$5)^(D577/12)*(IF(YEAR(E577)&gt;YEAR($C$6),L577,0)+IF(E577=$C$6,$H$5*12+$Q$4,0))</f>
      </c>
    </row>
    <row x14ac:dyDescent="0.25" r="578" customHeight="1" ht="18.75">
      <c r="A578" s="1"/>
      <c r="B578" s="7"/>
      <c r="C578" s="170"/>
      <c r="D578" s="331">
        <v>571</v>
      </c>
      <c r="E578" s="544">
        <f>+DATE(YEAR(E577),MONTH(E577)-1,DAY(E577))</f>
        <v>25569.041666666668</v>
      </c>
      <c r="F578" s="333">
        <f>IF(DATE(YEAR($B$6),MONTH($B$6)+1,DAY(1))=E578,1,IF(MONTH(E578)=1,F579*(1+$F$5),F579))</f>
      </c>
      <c r="G578" s="333">
        <f>IF('Simulador - 1º Pilar'!$E$99="Sí",IF('Aportaciones Flex'!$B$13&lt;'Aportaciones Flex'!E578,0,F578*$B$8/12),F578*$B$8/12)</f>
      </c>
      <c r="H578" s="333">
        <f>IF(G578&gt;0,1,0)*$H$5*IF(AND($I$5="NO",YEAR(E578)=YEAR($B$6)+1),1,IF($I$5="SI",1,0))</f>
      </c>
      <c r="I578" s="217">
        <f>(1+$M$5)^(D578/12)*(H578*(12-IF(MONTH(E579)=12,0,MONTH(E579)))+IF(AND(F578=1,F579=0),$Q$4,0))*IF(AND(F578=1,F579=0),1,0)</f>
      </c>
      <c r="J578" s="333">
        <f>(1+$M$5)^(D578/12)*(H578+IF(AND(F578=1,F579=0),$Q$4,0))</f>
      </c>
      <c r="K578" s="351"/>
      <c r="L578" s="333">
        <f>K578+J578</f>
      </c>
      <c r="M578" s="170"/>
      <c r="N578" s="7"/>
      <c r="O578" s="1"/>
      <c r="P578" s="331">
        <f>D578</f>
      </c>
      <c r="Q578" s="169"/>
      <c r="R578" s="1"/>
      <c r="S578" s="217">
        <f>(1+$M$5)^(D578/12)*(IF(E578=$C$6,$Q$4+$H$5*12,0))</f>
      </c>
      <c r="T578" s="217">
        <f>(1+$M$5)^(D578/12)*(IF(YEAR(E578)&gt;YEAR($C$6),L578,0)+IF(E578=$C$6,$H$5*12+$Q$4,0))</f>
      </c>
    </row>
    <row x14ac:dyDescent="0.25" r="579" customHeight="1" ht="18.75">
      <c r="A579" s="1"/>
      <c r="B579" s="7"/>
      <c r="C579" s="170"/>
      <c r="D579" s="331">
        <v>572</v>
      </c>
      <c r="E579" s="544">
        <f>+DATE(YEAR(E578),MONTH(E578)-1,DAY(E578))</f>
        <v>25569.041666666668</v>
      </c>
      <c r="F579" s="333">
        <f>IF(DATE(YEAR($B$6),MONTH($B$6)+1,DAY(1))=E579,1,IF(MONTH(E579)=1,F580*(1+$F$5),F580))</f>
      </c>
      <c r="G579" s="333">
        <f>IF('Simulador - 1º Pilar'!$E$99="Sí",IF('Aportaciones Flex'!$B$13&lt;'Aportaciones Flex'!E579,0,F579*$B$8/12),F579*$B$8/12)</f>
      </c>
      <c r="H579" s="333">
        <f>IF(G579&gt;0,1,0)*$H$5*IF(AND($I$5="NO",YEAR(E579)=YEAR($B$6)+1),1,IF($I$5="SI",1,0))</f>
      </c>
      <c r="I579" s="217">
        <f>(1+$M$5)^(D579/12)*(H579*(12-IF(MONTH(E580)=12,0,MONTH(E580)))+IF(AND(F579=1,F580=0),$Q$4,0))*IF(AND(F579=1,F580=0),1,0)</f>
      </c>
      <c r="J579" s="333">
        <f>(1+$M$5)^(D579/12)*(H579+IF(AND(F579=1,F580=0),$Q$4,0))</f>
      </c>
      <c r="K579" s="351"/>
      <c r="L579" s="333">
        <f>K579+J579</f>
      </c>
      <c r="M579" s="170"/>
      <c r="N579" s="7"/>
      <c r="O579" s="1"/>
      <c r="P579" s="331">
        <f>D579</f>
      </c>
      <c r="Q579" s="169"/>
      <c r="R579" s="1"/>
      <c r="S579" s="217">
        <f>(1+$M$5)^(D579/12)*(IF(E579=$C$6,$Q$4+$H$5*12,0))</f>
      </c>
      <c r="T579" s="217">
        <f>(1+$M$5)^(D579/12)*(IF(YEAR(E579)&gt;YEAR($C$6),L579,0)+IF(E579=$C$6,$H$5*12+$Q$4,0))</f>
      </c>
    </row>
    <row x14ac:dyDescent="0.25" r="580" customHeight="1" ht="18.75">
      <c r="A580" s="1"/>
      <c r="B580" s="7"/>
      <c r="C580" s="170"/>
      <c r="D580" s="331">
        <v>573</v>
      </c>
      <c r="E580" s="544">
        <f>+DATE(YEAR(E579),MONTH(E579)-1,DAY(E579))</f>
        <v>25569.041666666668</v>
      </c>
      <c r="F580" s="333">
        <f>IF(DATE(YEAR($B$6),MONTH($B$6)+1,DAY(1))=E580,1,IF(MONTH(E580)=1,F581*(1+$F$5),F581))</f>
      </c>
      <c r="G580" s="333">
        <f>IF('Simulador - 1º Pilar'!$E$99="Sí",IF('Aportaciones Flex'!$B$13&lt;'Aportaciones Flex'!E580,0,F580*$B$8/12),F580*$B$8/12)</f>
      </c>
      <c r="H580" s="333">
        <f>IF(G580&gt;0,1,0)*$H$5*IF(AND($I$5="NO",YEAR(E580)=YEAR($B$6)+1),1,IF($I$5="SI",1,0))</f>
      </c>
      <c r="I580" s="217">
        <f>(1+$M$5)^(D580/12)*(H580*(12-IF(MONTH(E581)=12,0,MONTH(E581)))+IF(AND(F580=1,F581=0),$Q$4,0))*IF(AND(F580=1,F581=0),1,0)</f>
      </c>
      <c r="J580" s="333">
        <f>(1+$M$5)^(D580/12)*(H580+IF(AND(F580=1,F581=0),$Q$4,0))</f>
      </c>
      <c r="K580" s="351"/>
      <c r="L580" s="333">
        <f>K580+J580</f>
      </c>
      <c r="M580" s="170"/>
      <c r="N580" s="7"/>
      <c r="O580" s="1"/>
      <c r="P580" s="331">
        <f>D580</f>
      </c>
      <c r="Q580" s="169"/>
      <c r="R580" s="1"/>
      <c r="S580" s="217">
        <f>(1+$M$5)^(D580/12)*(IF(E580=$C$6,$Q$4+$H$5*12,0))</f>
      </c>
      <c r="T580" s="217">
        <f>(1+$M$5)^(D580/12)*(IF(YEAR(E580)&gt;YEAR($C$6),L580,0)+IF(E580=$C$6,$H$5*12+$Q$4,0))</f>
      </c>
    </row>
    <row x14ac:dyDescent="0.25" r="581" customHeight="1" ht="18.75">
      <c r="A581" s="1"/>
      <c r="B581" s="7"/>
      <c r="C581" s="170"/>
      <c r="D581" s="331">
        <v>574</v>
      </c>
      <c r="E581" s="544">
        <f>+DATE(YEAR(E580),MONTH(E580)-1,DAY(E580))</f>
        <v>25569.041666666668</v>
      </c>
      <c r="F581" s="333">
        <f>IF(DATE(YEAR($B$6),MONTH($B$6)+1,DAY(1))=E581,1,IF(MONTH(E581)=1,F582*(1+$F$5),F582))</f>
      </c>
      <c r="G581" s="333">
        <f>IF('Simulador - 1º Pilar'!$E$99="Sí",IF('Aportaciones Flex'!$B$13&lt;'Aportaciones Flex'!E581,0,F581*$B$8/12),F581*$B$8/12)</f>
      </c>
      <c r="H581" s="333">
        <f>IF(G581&gt;0,1,0)*$H$5*IF(AND($I$5="NO",YEAR(E581)=YEAR($B$6)+1),1,IF($I$5="SI",1,0))</f>
      </c>
      <c r="I581" s="217">
        <f>(1+$M$5)^(D581/12)*(H581*(12-IF(MONTH(E582)=12,0,MONTH(E582)))+IF(AND(F581=1,F582=0),$Q$4,0))*IF(AND(F581=1,F582=0),1,0)</f>
      </c>
      <c r="J581" s="333">
        <f>(1+$M$5)^(D581/12)*(H581+IF(AND(F581=1,F582=0),$Q$4,0))</f>
      </c>
      <c r="K581" s="351"/>
      <c r="L581" s="333">
        <f>K581+J581</f>
      </c>
      <c r="M581" s="170"/>
      <c r="N581" s="7"/>
      <c r="O581" s="1"/>
      <c r="P581" s="331">
        <f>D581</f>
      </c>
      <c r="Q581" s="169"/>
      <c r="R581" s="1"/>
      <c r="S581" s="217">
        <f>(1+$M$5)^(D581/12)*(IF(E581=$C$6,$Q$4+$H$5*12,0))</f>
      </c>
      <c r="T581" s="217">
        <f>(1+$M$5)^(D581/12)*(IF(YEAR(E581)&gt;YEAR($C$6),L581,0)+IF(E581=$C$6,$H$5*12+$Q$4,0))</f>
      </c>
    </row>
    <row x14ac:dyDescent="0.25" r="582" customHeight="1" ht="18.75">
      <c r="A582" s="1"/>
      <c r="B582" s="7"/>
      <c r="C582" s="170"/>
      <c r="D582" s="331">
        <v>575</v>
      </c>
      <c r="E582" s="544">
        <f>+DATE(YEAR(E581),MONTH(E581)-1,DAY(E581))</f>
        <v>25569.041666666668</v>
      </c>
      <c r="F582" s="333">
        <f>IF(DATE(YEAR($B$6),MONTH($B$6)+1,DAY(1))=E582,1,IF(MONTH(E582)=1,F583*(1+$F$5),F583))</f>
      </c>
      <c r="G582" s="333">
        <f>IF('Simulador - 1º Pilar'!$E$99="Sí",IF('Aportaciones Flex'!$B$13&lt;'Aportaciones Flex'!E582,0,F582*$B$8/12),F582*$B$8/12)</f>
      </c>
      <c r="H582" s="333">
        <f>IF(G582&gt;0,1,0)*$H$5*IF(AND($I$5="NO",YEAR(E582)=YEAR($B$6)+1),1,IF($I$5="SI",1,0))</f>
      </c>
      <c r="I582" s="217">
        <f>(1+$M$5)^(D582/12)*(H582*(12-IF(MONTH(E583)=12,0,MONTH(E583)))+IF(AND(F582=1,F583=0),$Q$4,0))*IF(AND(F582=1,F583=0),1,0)</f>
      </c>
      <c r="J582" s="333">
        <f>(1+$M$5)^(D582/12)*(H582+IF(AND(F582=1,F583=0),$Q$4,0))</f>
      </c>
      <c r="K582" s="351"/>
      <c r="L582" s="333">
        <f>K582+J582</f>
      </c>
      <c r="M582" s="170"/>
      <c r="N582" s="7"/>
      <c r="O582" s="1"/>
      <c r="P582" s="331">
        <f>D582</f>
      </c>
      <c r="Q582" s="169"/>
      <c r="R582" s="1"/>
      <c r="S582" s="217">
        <f>(1+$M$5)^(D582/12)*(IF(E582=$C$6,$Q$4+$H$5*12,0))</f>
      </c>
      <c r="T582" s="217">
        <f>(1+$M$5)^(D582/12)*(IF(YEAR(E582)&gt;YEAR($C$6),L582,0)+IF(E582=$C$6,$H$5*12+$Q$4,0))</f>
      </c>
    </row>
    <row x14ac:dyDescent="0.25" r="583" customHeight="1" ht="18.75">
      <c r="A583" s="1"/>
      <c r="B583" s="7"/>
      <c r="C583" s="170"/>
      <c r="D583" s="331">
        <v>576</v>
      </c>
      <c r="E583" s="544">
        <f>+DATE(YEAR(E582),MONTH(E582)-1,DAY(E582))</f>
        <v>25569.041666666668</v>
      </c>
      <c r="F583" s="333">
        <f>IF(DATE(YEAR($B$6),MONTH($B$6)+1,DAY(1))=E583,1,IF(MONTH(E583)=1,F584*(1+$F$5),F584))</f>
      </c>
      <c r="G583" s="333">
        <f>IF('Simulador - 1º Pilar'!$E$99="Sí",IF('Aportaciones Flex'!$B$13&lt;'Aportaciones Flex'!E583,0,F583*$B$8/12),F583*$B$8/12)</f>
      </c>
      <c r="H583" s="333">
        <f>IF(G583&gt;0,1,0)*$H$5*IF(AND($I$5="NO",YEAR(E583)=YEAR($B$6)+1),1,IF($I$5="SI",1,0))</f>
      </c>
      <c r="I583" s="217">
        <f>(1+$M$5)^(D583/12)*(H583*(12-IF(MONTH(E584)=12,0,MONTH(E584)))+IF(AND(F583=1,F584=0),$Q$4,0))*IF(AND(F583=1,F584=0),1,0)</f>
      </c>
      <c r="J583" s="333">
        <f>(1+$M$5)^(D583/12)*(H583+IF(AND(F583=1,F584=0),$Q$4,0))</f>
      </c>
      <c r="K583" s="351"/>
      <c r="L583" s="333">
        <f>K583+J583</f>
      </c>
      <c r="M583" s="170"/>
      <c r="N583" s="7"/>
      <c r="O583" s="1"/>
      <c r="P583" s="331">
        <f>D583</f>
      </c>
      <c r="Q583" s="169"/>
      <c r="R583" s="1"/>
      <c r="S583" s="217">
        <f>(1+$M$5)^(D583/12)*(IF(E583=$C$6,$Q$4+$H$5*12,0))</f>
      </c>
      <c r="T583" s="217">
        <f>(1+$M$5)^(D583/12)*(IF(YEAR(E583)&gt;YEAR($C$6),L583,0)+IF(E583=$C$6,$H$5*12+$Q$4,0))</f>
      </c>
    </row>
    <row x14ac:dyDescent="0.25" r="584" customHeight="1" ht="18.75">
      <c r="A584" s="1"/>
      <c r="B584" s="7"/>
      <c r="C584" s="170"/>
      <c r="D584" s="331">
        <v>577</v>
      </c>
      <c r="E584" s="544">
        <f>+DATE(YEAR(E583),MONTH(E583)-1,DAY(E583))</f>
        <v>25569.041666666668</v>
      </c>
      <c r="F584" s="333">
        <f>IF(DATE(YEAR($B$6),MONTH($B$6)+1,DAY(1))=E584,1,IF(MONTH(E584)=1,F585*(1+$F$5),F585))</f>
      </c>
      <c r="G584" s="333">
        <f>IF('Simulador - 1º Pilar'!$E$99="Sí",IF('Aportaciones Flex'!$B$13&lt;'Aportaciones Flex'!E584,0,F584*$B$8/12),F584*$B$8/12)</f>
      </c>
      <c r="H584" s="333">
        <f>IF(G584&gt;0,1,0)*$H$5*IF(AND($I$5="NO",YEAR(E584)=YEAR($B$6)+1),1,IF($I$5="SI",1,0))</f>
      </c>
      <c r="I584" s="217">
        <f>(1+$M$5)^(D584/12)*(H584*(12-IF(MONTH(E585)=12,0,MONTH(E585)))+IF(AND(F584=1,F585=0),$Q$4,0))*IF(AND(F584=1,F585=0),1,0)</f>
      </c>
      <c r="J584" s="333">
        <f>(1+$M$5)^(D584/12)*(H584+IF(AND(F584=1,F585=0),$Q$4,0))</f>
      </c>
      <c r="K584" s="351"/>
      <c r="L584" s="333">
        <f>K584+J584</f>
      </c>
      <c r="M584" s="170"/>
      <c r="N584" s="7"/>
      <c r="O584" s="1"/>
      <c r="P584" s="331">
        <f>D584</f>
      </c>
      <c r="Q584" s="169"/>
      <c r="R584" s="1"/>
      <c r="S584" s="217">
        <f>(1+$M$5)^(D584/12)*(IF(E584=$C$6,$Q$4+$H$5*12,0))</f>
      </c>
      <c r="T584" s="217">
        <f>(1+$M$5)^(D584/12)*(IF(YEAR(E584)&gt;YEAR($C$6),L584,0)+IF(E584=$C$6,$H$5*12+$Q$4,0))</f>
      </c>
    </row>
    <row x14ac:dyDescent="0.25" r="585" customHeight="1" ht="18.75">
      <c r="A585" s="1"/>
      <c r="B585" s="7"/>
      <c r="C585" s="170"/>
      <c r="D585" s="331">
        <v>578</v>
      </c>
      <c r="E585" s="544">
        <f>+DATE(YEAR(E584),MONTH(E584)-1,DAY(E584))</f>
        <v>25569.041666666668</v>
      </c>
      <c r="F585" s="333">
        <f>IF(DATE(YEAR($B$6),MONTH($B$6)+1,DAY(1))=E585,1,IF(MONTH(E585)=1,F586*(1+$F$5),F586))</f>
      </c>
      <c r="G585" s="333">
        <f>IF('Simulador - 1º Pilar'!$E$99="Sí",IF('Aportaciones Flex'!$B$13&lt;'Aportaciones Flex'!E585,0,F585*$B$8/12),F585*$B$8/12)</f>
      </c>
      <c r="H585" s="333">
        <f>IF(G585&gt;0,1,0)*$H$5*IF(AND($I$5="NO",YEAR(E585)=YEAR($B$6)+1),1,IF($I$5="SI",1,0))</f>
      </c>
      <c r="I585" s="217">
        <f>(1+$M$5)^(D585/12)*(H585*(12-IF(MONTH(E586)=12,0,MONTH(E586)))+IF(AND(F585=1,F586=0),$Q$4,0))*IF(AND(F585=1,F586=0),1,0)</f>
      </c>
      <c r="J585" s="333">
        <f>(1+$M$5)^(D585/12)*(H585+IF(AND(F585=1,F586=0),$Q$4,0))</f>
      </c>
      <c r="K585" s="351"/>
      <c r="L585" s="333">
        <f>K585+J585</f>
      </c>
      <c r="M585" s="170"/>
      <c r="N585" s="7"/>
      <c r="O585" s="1"/>
      <c r="P585" s="331">
        <f>D585</f>
      </c>
      <c r="Q585" s="169"/>
      <c r="R585" s="1"/>
      <c r="S585" s="217">
        <f>(1+$M$5)^(D585/12)*(IF(E585=$C$6,$Q$4+$H$5*12,0))</f>
      </c>
      <c r="T585" s="217">
        <f>(1+$M$5)^(D585/12)*(IF(YEAR(E585)&gt;YEAR($C$6),L585,0)+IF(E585=$C$6,$H$5*12+$Q$4,0))</f>
      </c>
    </row>
    <row x14ac:dyDescent="0.25" r="586" customHeight="1" ht="18.75">
      <c r="A586" s="1"/>
      <c r="B586" s="7"/>
      <c r="C586" s="170"/>
      <c r="D586" s="331">
        <v>579</v>
      </c>
      <c r="E586" s="544">
        <f>+DATE(YEAR(E585),MONTH(E585)-1,DAY(E585))</f>
        <v>25569.041666666668</v>
      </c>
      <c r="F586" s="333">
        <f>IF(DATE(YEAR($B$6),MONTH($B$6)+1,DAY(1))=E586,1,IF(MONTH(E586)=1,F587*(1+$F$5),F587))</f>
      </c>
      <c r="G586" s="333">
        <f>IF('Simulador - 1º Pilar'!$E$99="Sí",IF('Aportaciones Flex'!$B$13&lt;'Aportaciones Flex'!E586,0,F586*$B$8/12),F586*$B$8/12)</f>
      </c>
      <c r="H586" s="333">
        <f>IF(G586&gt;0,1,0)*$H$5*IF(AND($I$5="NO",YEAR(E586)=YEAR($B$6)+1),1,IF($I$5="SI",1,0))</f>
      </c>
      <c r="I586" s="217">
        <f>(1+$M$5)^(D586/12)*(H586*(12-IF(MONTH(E587)=12,0,MONTH(E587)))+IF(AND(F586=1,F587=0),$Q$4,0))*IF(AND(F586=1,F587=0),1,0)</f>
      </c>
      <c r="J586" s="333">
        <f>(1+$M$5)^(D586/12)*(H586+IF(AND(F586=1,F587=0),$Q$4,0))</f>
      </c>
      <c r="K586" s="351"/>
      <c r="L586" s="333">
        <f>K586+J586</f>
      </c>
      <c r="M586" s="170"/>
      <c r="N586" s="7"/>
      <c r="O586" s="1"/>
      <c r="P586" s="331">
        <f>D586</f>
      </c>
      <c r="Q586" s="169"/>
      <c r="R586" s="1"/>
      <c r="S586" s="217">
        <f>(1+$M$5)^(D586/12)*(IF(E586=$C$6,$Q$4+$H$5*12,0))</f>
      </c>
      <c r="T586" s="217">
        <f>(1+$M$5)^(D586/12)*(IF(YEAR(E586)&gt;YEAR($C$6),L586,0)+IF(E586=$C$6,$H$5*12+$Q$4,0))</f>
      </c>
    </row>
    <row x14ac:dyDescent="0.25" r="587" customHeight="1" ht="18.75">
      <c r="A587" s="1"/>
      <c r="B587" s="7"/>
      <c r="C587" s="170"/>
      <c r="D587" s="331">
        <v>580</v>
      </c>
      <c r="E587" s="544">
        <f>+DATE(YEAR(E586),MONTH(E586)-1,DAY(E586))</f>
        <v>25569.041666666668</v>
      </c>
      <c r="F587" s="333">
        <f>IF(DATE(YEAR($B$6),MONTH($B$6)+1,DAY(1))=E587,1,IF(MONTH(E587)=1,F588*(1+$F$5),F588))</f>
      </c>
      <c r="G587" s="333">
        <f>IF('Simulador - 1º Pilar'!$E$99="Sí",IF('Aportaciones Flex'!$B$13&lt;'Aportaciones Flex'!E587,0,F587*$B$8/12),F587*$B$8/12)</f>
      </c>
      <c r="H587" s="333">
        <f>IF(G587&gt;0,1,0)*$H$5*IF(AND($I$5="NO",YEAR(E587)=YEAR($B$6)+1),1,IF($I$5="SI",1,0))</f>
      </c>
      <c r="I587" s="217">
        <f>(1+$M$5)^(D587/12)*(H587*(12-IF(MONTH(E588)=12,0,MONTH(E588)))+IF(AND(F587=1,F588=0),$Q$4,0))*IF(AND(F587=1,F588=0),1,0)</f>
      </c>
      <c r="J587" s="333">
        <f>(1+$M$5)^(D587/12)*(H587+IF(AND(F587=1,F588=0),$Q$4,0))</f>
      </c>
      <c r="K587" s="351"/>
      <c r="L587" s="333">
        <f>K587+J587</f>
      </c>
      <c r="M587" s="170"/>
      <c r="N587" s="7"/>
      <c r="O587" s="1"/>
      <c r="P587" s="331">
        <f>D587</f>
      </c>
      <c r="Q587" s="169"/>
      <c r="R587" s="1"/>
      <c r="S587" s="217">
        <f>(1+$M$5)^(D587/12)*(IF(E587=$C$6,$Q$4+$H$5*12,0))</f>
      </c>
      <c r="T587" s="217">
        <f>(1+$M$5)^(D587/12)*(IF(YEAR(E587)&gt;YEAR($C$6),L587,0)+IF(E587=$C$6,$H$5*12+$Q$4,0))</f>
      </c>
    </row>
    <row x14ac:dyDescent="0.25" r="588" customHeight="1" ht="18.75">
      <c r="A588" s="1"/>
      <c r="B588" s="7"/>
      <c r="C588" s="170"/>
      <c r="D588" s="331">
        <v>581</v>
      </c>
      <c r="E588" s="544">
        <f>+DATE(YEAR(E587),MONTH(E587)-1,DAY(E587))</f>
        <v>25569.041666666668</v>
      </c>
      <c r="F588" s="333">
        <f>IF(DATE(YEAR($B$6),MONTH($B$6)+1,DAY(1))=E588,1,IF(MONTH(E588)=1,F589*(1+$F$5),F589))</f>
      </c>
      <c r="G588" s="333">
        <f>IF('Simulador - 1º Pilar'!$E$99="Sí",IF('Aportaciones Flex'!$B$13&lt;'Aportaciones Flex'!E588,0,F588*$B$8/12),F588*$B$8/12)</f>
      </c>
      <c r="H588" s="333">
        <f>IF(G588&gt;0,1,0)*$H$5*IF(AND($I$5="NO",YEAR(E588)=YEAR($B$6)+1),1,IF($I$5="SI",1,0))</f>
      </c>
      <c r="I588" s="217">
        <f>(1+$M$5)^(D588/12)*(H588*(12-IF(MONTH(E589)=12,0,MONTH(E589)))+IF(AND(F588=1,F589=0),$Q$4,0))*IF(AND(F588=1,F589=0),1,0)</f>
      </c>
      <c r="J588" s="333">
        <f>(1+$M$5)^(D588/12)*(H588+IF(AND(F588=1,F589=0),$Q$4,0))</f>
      </c>
      <c r="K588" s="351"/>
      <c r="L588" s="333">
        <f>K588+J588</f>
      </c>
      <c r="M588" s="170"/>
      <c r="N588" s="7"/>
      <c r="O588" s="1"/>
      <c r="P588" s="331">
        <f>D588</f>
      </c>
      <c r="Q588" s="169"/>
      <c r="R588" s="1"/>
      <c r="S588" s="217">
        <f>(1+$M$5)^(D588/12)*(IF(E588=$C$6,$Q$4+$H$5*12,0))</f>
      </c>
      <c r="T588" s="217">
        <f>(1+$M$5)^(D588/12)*(IF(YEAR(E588)&gt;YEAR($C$6),L588,0)+IF(E588=$C$6,$H$5*12+$Q$4,0))</f>
      </c>
    </row>
    <row x14ac:dyDescent="0.25" r="589" customHeight="1" ht="18.75">
      <c r="A589" s="1"/>
      <c r="B589" s="7"/>
      <c r="C589" s="170"/>
      <c r="D589" s="331">
        <v>582</v>
      </c>
      <c r="E589" s="544">
        <f>+DATE(YEAR(E588),MONTH(E588)-1,DAY(E588))</f>
        <v>25569.041666666668</v>
      </c>
      <c r="F589" s="333">
        <f>IF(DATE(YEAR($B$6),MONTH($B$6)+1,DAY(1))=E589,1,IF(MONTH(E589)=1,F590*(1+$F$5),F590))</f>
      </c>
      <c r="G589" s="333">
        <f>IF('Simulador - 1º Pilar'!$E$99="Sí",IF('Aportaciones Flex'!$B$13&lt;'Aportaciones Flex'!E589,0,F589*$B$8/12),F589*$B$8/12)</f>
      </c>
      <c r="H589" s="333">
        <f>IF(G589&gt;0,1,0)*$H$5*IF(AND($I$5="NO",YEAR(E589)=YEAR($B$6)+1),1,IF($I$5="SI",1,0))</f>
      </c>
      <c r="I589" s="217">
        <f>(1+$M$5)^(D589/12)*(H589*(12-IF(MONTH(E590)=12,0,MONTH(E590)))+IF(AND(F589=1,F590=0),$Q$4,0))*IF(AND(F589=1,F590=0),1,0)</f>
      </c>
      <c r="J589" s="333">
        <f>(1+$M$5)^(D589/12)*(H589+IF(AND(F589=1,F590=0),$Q$4,0))</f>
      </c>
      <c r="K589" s="351"/>
      <c r="L589" s="333">
        <f>K589+J589</f>
      </c>
      <c r="M589" s="170"/>
      <c r="N589" s="7"/>
      <c r="O589" s="1"/>
      <c r="P589" s="331">
        <f>D589</f>
      </c>
      <c r="Q589" s="169"/>
      <c r="R589" s="1"/>
      <c r="S589" s="217">
        <f>(1+$M$5)^(D589/12)*(IF(E589=$C$6,$Q$4+$H$5*12,0))</f>
      </c>
      <c r="T589" s="217">
        <f>(1+$M$5)^(D589/12)*(IF(YEAR(E589)&gt;YEAR($C$6),L589,0)+IF(E589=$C$6,$H$5*12+$Q$4,0))</f>
      </c>
    </row>
    <row x14ac:dyDescent="0.25" r="590" customHeight="1" ht="18.75">
      <c r="A590" s="1"/>
      <c r="B590" s="7"/>
      <c r="C590" s="170"/>
      <c r="D590" s="331">
        <v>583</v>
      </c>
      <c r="E590" s="544">
        <f>+DATE(YEAR(E589),MONTH(E589)-1,DAY(E589))</f>
        <v>25569.041666666668</v>
      </c>
      <c r="F590" s="333">
        <f>IF(DATE(YEAR($B$6),MONTH($B$6)+1,DAY(1))=E590,1,IF(MONTH(E590)=1,F591*(1+$F$5),F591))</f>
      </c>
      <c r="G590" s="333">
        <f>IF('Simulador - 1º Pilar'!$E$99="Sí",IF('Aportaciones Flex'!$B$13&lt;'Aportaciones Flex'!E590,0,F590*$B$8/12),F590*$B$8/12)</f>
      </c>
      <c r="H590" s="333">
        <f>IF(G590&gt;0,1,0)*$H$5*IF(AND($I$5="NO",YEAR(E590)=YEAR($B$6)+1),1,IF($I$5="SI",1,0))</f>
      </c>
      <c r="I590" s="217">
        <f>(1+$M$5)^(D590/12)*(H590*(12-IF(MONTH(E591)=12,0,MONTH(E591)))+IF(AND(F590=1,F591=0),$Q$4,0))*IF(AND(F590=1,F591=0),1,0)</f>
      </c>
      <c r="J590" s="333">
        <f>(1+$M$5)^(D590/12)*(H590+IF(AND(F590=1,F591=0),$Q$4,0))</f>
      </c>
      <c r="K590" s="351"/>
      <c r="L590" s="333">
        <f>K590+J590</f>
      </c>
      <c r="M590" s="170"/>
      <c r="N590" s="7"/>
      <c r="O590" s="1"/>
      <c r="P590" s="331">
        <f>D590</f>
      </c>
      <c r="Q590" s="169"/>
      <c r="R590" s="1"/>
      <c r="S590" s="217">
        <f>(1+$M$5)^(D590/12)*(IF(E590=$C$6,$Q$4+$H$5*12,0))</f>
      </c>
      <c r="T590" s="217">
        <f>(1+$M$5)^(D590/12)*(IF(YEAR(E590)&gt;YEAR($C$6),L590,0)+IF(E590=$C$6,$H$5*12+$Q$4,0))</f>
      </c>
    </row>
    <row x14ac:dyDescent="0.25" r="591" customHeight="1" ht="18.75">
      <c r="A591" s="1"/>
      <c r="B591" s="7"/>
      <c r="C591" s="170"/>
      <c r="D591" s="331">
        <v>584</v>
      </c>
      <c r="E591" s="544">
        <f>+DATE(YEAR(E590),MONTH(E590)-1,DAY(E590))</f>
        <v>25569.041666666668</v>
      </c>
      <c r="F591" s="333">
        <f>IF(DATE(YEAR($B$6),MONTH($B$6)+1,DAY(1))=E591,1,IF(MONTH(E591)=1,F592*(1+$F$5),F592))</f>
      </c>
      <c r="G591" s="333">
        <f>IF('Simulador - 1º Pilar'!$E$99="Sí",IF('Aportaciones Flex'!$B$13&lt;'Aportaciones Flex'!E591,0,F591*$B$8/12),F591*$B$8/12)</f>
      </c>
      <c r="H591" s="333">
        <f>IF(G591&gt;0,1,0)*$H$5*IF(AND($I$5="NO",YEAR(E591)=YEAR($B$6)+1),1,IF($I$5="SI",1,0))</f>
      </c>
      <c r="I591" s="217">
        <f>(1+$M$5)^(D591/12)*(H591*(12-IF(MONTH(E592)=12,0,MONTH(E592)))+IF(AND(F591=1,F592=0),$Q$4,0))*IF(AND(F591=1,F592=0),1,0)</f>
      </c>
      <c r="J591" s="333">
        <f>(1+$M$5)^(D591/12)*(H591+IF(AND(F591=1,F592=0),$Q$4,0))</f>
      </c>
      <c r="K591" s="351"/>
      <c r="L591" s="333">
        <f>K591+J591</f>
      </c>
      <c r="M591" s="170"/>
      <c r="N591" s="7"/>
      <c r="O591" s="1"/>
      <c r="P591" s="331">
        <f>D591</f>
      </c>
      <c r="Q591" s="169"/>
      <c r="R591" s="1"/>
      <c r="S591" s="217">
        <f>(1+$M$5)^(D591/12)*(IF(E591=$C$6,$Q$4+$H$5*12,0))</f>
      </c>
      <c r="T591" s="217">
        <f>(1+$M$5)^(D591/12)*(IF(YEAR(E591)&gt;YEAR($C$6),L591,0)+IF(E591=$C$6,$H$5*12+$Q$4,0))</f>
      </c>
    </row>
    <row x14ac:dyDescent="0.25" r="592" customHeight="1" ht="18.75">
      <c r="A592" s="1"/>
      <c r="B592" s="7"/>
      <c r="C592" s="170"/>
      <c r="D592" s="331">
        <v>585</v>
      </c>
      <c r="E592" s="544">
        <f>+DATE(YEAR(E591),MONTH(E591)-1,DAY(E591))</f>
        <v>25569.041666666668</v>
      </c>
      <c r="F592" s="333">
        <f>IF(DATE(YEAR($B$6),MONTH($B$6)+1,DAY(1))=E592,1,IF(MONTH(E592)=1,F593*(1+$F$5),F593))</f>
      </c>
      <c r="G592" s="333">
        <f>IF('Simulador - 1º Pilar'!$E$99="Sí",IF('Aportaciones Flex'!$B$13&lt;'Aportaciones Flex'!E592,0,F592*$B$8/12),F592*$B$8/12)</f>
      </c>
      <c r="H592" s="333">
        <f>IF(G592&gt;0,1,0)*$H$5*IF(AND($I$5="NO",YEAR(E592)=YEAR($B$6)+1),1,IF($I$5="SI",1,0))</f>
      </c>
      <c r="I592" s="217">
        <f>(1+$M$5)^(D592/12)*(H592*(12-IF(MONTH(E593)=12,0,MONTH(E593)))+IF(AND(F592=1,F593=0),$Q$4,0))*IF(AND(F592=1,F593=0),1,0)</f>
      </c>
      <c r="J592" s="333">
        <f>(1+$M$5)^(D592/12)*(H592+IF(AND(F592=1,F593=0),$Q$4,0))</f>
      </c>
      <c r="K592" s="351"/>
      <c r="L592" s="333">
        <f>K592+J592</f>
      </c>
      <c r="M592" s="170"/>
      <c r="N592" s="7"/>
      <c r="O592" s="1"/>
      <c r="P592" s="331">
        <f>D592</f>
      </c>
      <c r="Q592" s="169"/>
      <c r="R592" s="1"/>
      <c r="S592" s="217">
        <f>(1+$M$5)^(D592/12)*(IF(E592=$C$6,$Q$4+$H$5*12,0))</f>
      </c>
      <c r="T592" s="217">
        <f>(1+$M$5)^(D592/12)*(IF(YEAR(E592)&gt;YEAR($C$6),L592,0)+IF(E592=$C$6,$H$5*12+$Q$4,0))</f>
      </c>
    </row>
    <row x14ac:dyDescent="0.25" r="593" customHeight="1" ht="18.75">
      <c r="A593" s="1"/>
      <c r="B593" s="7"/>
      <c r="C593" s="170"/>
      <c r="D593" s="331">
        <v>586</v>
      </c>
      <c r="E593" s="544">
        <f>+DATE(YEAR(E592),MONTH(E592)-1,DAY(E592))</f>
        <v>25569.041666666668</v>
      </c>
      <c r="F593" s="333">
        <f>IF(DATE(YEAR($B$6),MONTH($B$6)+1,DAY(1))=E593,1,IF(MONTH(E593)=1,F594*(1+$F$5),F594))</f>
      </c>
      <c r="G593" s="333">
        <f>IF('Simulador - 1º Pilar'!$E$99="Sí",IF('Aportaciones Flex'!$B$13&lt;'Aportaciones Flex'!E593,0,F593*$B$8/12),F593*$B$8/12)</f>
      </c>
      <c r="H593" s="333">
        <f>IF(G593&gt;0,1,0)*$H$5*IF(AND($I$5="NO",YEAR(E593)=YEAR($B$6)+1),1,IF($I$5="SI",1,0))</f>
      </c>
      <c r="I593" s="217">
        <f>(1+$M$5)^(D593/12)*(H593*(12-IF(MONTH(E594)=12,0,MONTH(E594)))+IF(AND(F593=1,F594=0),$Q$4,0))*IF(AND(F593=1,F594=0),1,0)</f>
      </c>
      <c r="J593" s="333">
        <f>(1+$M$5)^(D593/12)*(H593+IF(AND(F593=1,F594=0),$Q$4,0))</f>
      </c>
      <c r="K593" s="351"/>
      <c r="L593" s="333">
        <f>K593+J593</f>
      </c>
      <c r="M593" s="170"/>
      <c r="N593" s="7"/>
      <c r="O593" s="1"/>
      <c r="P593" s="331">
        <f>D593</f>
      </c>
      <c r="Q593" s="169"/>
      <c r="R593" s="1"/>
      <c r="S593" s="217">
        <f>(1+$M$5)^(D593/12)*(IF(E593=$C$6,$Q$4+$H$5*12,0))</f>
      </c>
      <c r="T593" s="217">
        <f>(1+$M$5)^(D593/12)*(IF(YEAR(E593)&gt;YEAR($C$6),L593,0)+IF(E593=$C$6,$H$5*12+$Q$4,0))</f>
      </c>
    </row>
    <row x14ac:dyDescent="0.25" r="594" customHeight="1" ht="18.75">
      <c r="A594" s="1"/>
      <c r="B594" s="7"/>
      <c r="C594" s="170"/>
      <c r="D594" s="331">
        <v>587</v>
      </c>
      <c r="E594" s="544">
        <f>+DATE(YEAR(E593),MONTH(E593)-1,DAY(E593))</f>
        <v>25569.041666666668</v>
      </c>
      <c r="F594" s="333">
        <f>IF(DATE(YEAR($B$6),MONTH($B$6)+1,DAY(1))=E594,1,IF(MONTH(E594)=1,F595*(1+$F$5),F595))</f>
      </c>
      <c r="G594" s="333">
        <f>IF('Simulador - 1º Pilar'!$E$99="Sí",IF('Aportaciones Flex'!$B$13&lt;'Aportaciones Flex'!E594,0,F594*$B$8/12),F594*$B$8/12)</f>
      </c>
      <c r="H594" s="333">
        <f>IF(G594&gt;0,1,0)*$H$5*IF(AND($I$5="NO",YEAR(E594)=YEAR($B$6)+1),1,IF($I$5="SI",1,0))</f>
      </c>
      <c r="I594" s="217">
        <f>(1+$M$5)^(D594/12)*(H594*(12-IF(MONTH(E595)=12,0,MONTH(E595)))+IF(AND(F594=1,F595=0),$Q$4,0))*IF(AND(F594=1,F595=0),1,0)</f>
      </c>
      <c r="J594" s="333">
        <f>(1+$M$5)^(D594/12)*(H594+IF(AND(F594=1,F595=0),$Q$4,0))</f>
      </c>
      <c r="K594" s="351"/>
      <c r="L594" s="333">
        <f>K594+J594</f>
      </c>
      <c r="M594" s="170"/>
      <c r="N594" s="7"/>
      <c r="O594" s="1"/>
      <c r="P594" s="331">
        <f>D594</f>
      </c>
      <c r="Q594" s="169"/>
      <c r="R594" s="1"/>
      <c r="S594" s="217">
        <f>(1+$M$5)^(D594/12)*(IF(E594=$C$6,$Q$4+$H$5*12,0))</f>
      </c>
      <c r="T594" s="217">
        <f>(1+$M$5)^(D594/12)*(IF(YEAR(E594)&gt;YEAR($C$6),L594,0)+IF(E594=$C$6,$H$5*12+$Q$4,0))</f>
      </c>
    </row>
    <row x14ac:dyDescent="0.25" r="595" customHeight="1" ht="18.75">
      <c r="A595" s="1"/>
      <c r="B595" s="7"/>
      <c r="C595" s="170"/>
      <c r="D595" s="331">
        <v>588</v>
      </c>
      <c r="E595" s="544">
        <f>+DATE(YEAR(E594),MONTH(E594)-1,DAY(E594))</f>
        <v>25569.041666666668</v>
      </c>
      <c r="F595" s="333">
        <f>IF(DATE(YEAR($B$6),MONTH($B$6)+1,DAY(1))=E595,1,IF(MONTH(E595)=1,F596*(1+$F$5),F596))</f>
      </c>
      <c r="G595" s="333">
        <f>IF('Simulador - 1º Pilar'!$E$99="Sí",IF('Aportaciones Flex'!$B$13&lt;'Aportaciones Flex'!E595,0,F595*$B$8/12),F595*$B$8/12)</f>
      </c>
      <c r="H595" s="333">
        <f>IF(G595&gt;0,1,0)*$H$5*IF(AND($I$5="NO",YEAR(E595)=YEAR($B$6)+1),1,IF($I$5="SI",1,0))</f>
      </c>
      <c r="I595" s="217">
        <f>(1+$M$5)^(D595/12)*(H595*(12-IF(MONTH(E596)=12,0,MONTH(E596)))+IF(AND(F595=1,F596=0),$Q$4,0))*IF(AND(F595=1,F596=0),1,0)</f>
      </c>
      <c r="J595" s="333">
        <f>(1+$M$5)^(D595/12)*(H595+IF(AND(F595=1,F596=0),$Q$4,0))</f>
      </c>
      <c r="K595" s="351"/>
      <c r="L595" s="333">
        <f>K595+J595</f>
      </c>
      <c r="M595" s="170"/>
      <c r="N595" s="7"/>
      <c r="O595" s="1"/>
      <c r="P595" s="331">
        <f>D595</f>
      </c>
      <c r="Q595" s="169"/>
      <c r="R595" s="1"/>
      <c r="S595" s="217">
        <f>(1+$M$5)^(D595/12)*(IF(E595=$C$6,$Q$4+$H$5*12,0))</f>
      </c>
      <c r="T595" s="217">
        <f>(1+$M$5)^(D595/12)*(IF(YEAR(E595)&gt;YEAR($C$6),L595,0)+IF(E595=$C$6,$H$5*12+$Q$4,0))</f>
      </c>
    </row>
    <row x14ac:dyDescent="0.25" r="596" customHeight="1" ht="18.75">
      <c r="A596" s="1"/>
      <c r="B596" s="7"/>
      <c r="C596" s="170"/>
      <c r="D596" s="331">
        <v>589</v>
      </c>
      <c r="E596" s="544">
        <f>+DATE(YEAR(E595),MONTH(E595)-1,DAY(E595))</f>
        <v>25569.041666666668</v>
      </c>
      <c r="F596" s="333">
        <f>IF(DATE(YEAR($B$6),MONTH($B$6)+1,DAY(1))=E596,1,IF(MONTH(E596)=1,F597*(1+$F$5),F597))</f>
      </c>
      <c r="G596" s="333">
        <f>IF('Simulador - 1º Pilar'!$E$99="Sí",IF('Aportaciones Flex'!$B$13&lt;'Aportaciones Flex'!E596,0,F596*$B$8/12),F596*$B$8/12)</f>
      </c>
      <c r="H596" s="333">
        <f>IF(G596&gt;0,1,0)*$H$5*IF(AND($I$5="NO",YEAR(E596)=YEAR($B$6)+1),1,IF($I$5="SI",1,0))</f>
      </c>
      <c r="I596" s="217">
        <f>(1+$M$5)^(D596/12)*(H596*(12-IF(MONTH(E597)=12,0,MONTH(E597)))+IF(AND(F596=1,F597=0),$Q$4,0))*IF(AND(F596=1,F597=0),1,0)</f>
      </c>
      <c r="J596" s="333">
        <f>(1+$M$5)^(D596/12)*(H596+IF(AND(F596=1,F597=0),$Q$4,0))</f>
      </c>
      <c r="K596" s="351"/>
      <c r="L596" s="333">
        <f>K596+J596</f>
      </c>
      <c r="M596" s="170"/>
      <c r="N596" s="7"/>
      <c r="O596" s="1"/>
      <c r="P596" s="331">
        <f>D596</f>
      </c>
      <c r="Q596" s="169"/>
      <c r="R596" s="1"/>
      <c r="S596" s="217">
        <f>(1+$M$5)^(D596/12)*(IF(E596=$C$6,$Q$4+$H$5*12,0))</f>
      </c>
      <c r="T596" s="217">
        <f>(1+$M$5)^(D596/12)*(IF(YEAR(E596)&gt;YEAR($C$6),L596,0)+IF(E596=$C$6,$H$5*12+$Q$4,0))</f>
      </c>
    </row>
    <row x14ac:dyDescent="0.25" r="597" customHeight="1" ht="18.75">
      <c r="A597" s="1"/>
      <c r="B597" s="7"/>
      <c r="C597" s="170"/>
      <c r="D597" s="331">
        <v>590</v>
      </c>
      <c r="E597" s="544">
        <f>+DATE(YEAR(E596),MONTH(E596)-1,DAY(E596))</f>
        <v>25569.041666666668</v>
      </c>
      <c r="F597" s="333">
        <f>IF(DATE(YEAR($B$6),MONTH($B$6)+1,DAY(1))=E597,1,IF(MONTH(E597)=1,F598*(1+$F$5),F598))</f>
      </c>
      <c r="G597" s="333">
        <f>IF('Simulador - 1º Pilar'!$E$99="Sí",IF('Aportaciones Flex'!$B$13&lt;'Aportaciones Flex'!E597,0,F597*$B$8/12),F597*$B$8/12)</f>
      </c>
      <c r="H597" s="333">
        <f>IF(G597&gt;0,1,0)*$H$5*IF(AND($I$5="NO",YEAR(E597)=YEAR($B$6)+1),1,IF($I$5="SI",1,0))</f>
      </c>
      <c r="I597" s="217">
        <f>(1+$M$5)^(D597/12)*(H597*(12-IF(MONTH(E598)=12,0,MONTH(E598)))+IF(AND(F597=1,F598=0),$Q$4,0))*IF(AND(F597=1,F598=0),1,0)</f>
      </c>
      <c r="J597" s="333">
        <f>(1+$M$5)^(D597/12)*(H597+IF(AND(F597=1,F598=0),$Q$4,0))</f>
      </c>
      <c r="K597" s="351"/>
      <c r="L597" s="333">
        <f>K597+J597</f>
      </c>
      <c r="M597" s="170"/>
      <c r="N597" s="7"/>
      <c r="O597" s="1"/>
      <c r="P597" s="331">
        <f>D597</f>
      </c>
      <c r="Q597" s="169"/>
      <c r="R597" s="1"/>
      <c r="S597" s="217">
        <f>(1+$M$5)^(D597/12)*(IF(E597=$C$6,$Q$4+$H$5*12,0))</f>
      </c>
      <c r="T597" s="217">
        <f>(1+$M$5)^(D597/12)*(IF(YEAR(E597)&gt;YEAR($C$6),L597,0)+IF(E597=$C$6,$H$5*12+$Q$4,0))</f>
      </c>
    </row>
    <row x14ac:dyDescent="0.25" r="598" customHeight="1" ht="18.75">
      <c r="A598" s="1"/>
      <c r="B598" s="7"/>
      <c r="C598" s="170"/>
      <c r="D598" s="331">
        <v>591</v>
      </c>
      <c r="E598" s="544">
        <f>+DATE(YEAR(E597),MONTH(E597)-1,DAY(E597))</f>
        <v>25569.041666666668</v>
      </c>
      <c r="F598" s="333">
        <f>IF(DATE(YEAR($B$6),MONTH($B$6)+1,DAY(1))=E598,1,IF(MONTH(E598)=1,F599*(1+$F$5),F599))</f>
      </c>
      <c r="G598" s="333">
        <f>IF('Simulador - 1º Pilar'!$E$99="Sí",IF('Aportaciones Flex'!$B$13&lt;'Aportaciones Flex'!E598,0,F598*$B$8/12),F598*$B$8/12)</f>
      </c>
      <c r="H598" s="333">
        <f>IF(G598&gt;0,1,0)*$H$5*IF(AND($I$5="NO",YEAR(E598)=YEAR($B$6)+1),1,IF($I$5="SI",1,0))</f>
      </c>
      <c r="I598" s="217">
        <f>(1+$M$5)^(D598/12)*(H598*(12-IF(MONTH(E599)=12,0,MONTH(E599)))+IF(AND(F598=1,F599=0),$Q$4,0))*IF(AND(F598=1,F599=0),1,0)</f>
      </c>
      <c r="J598" s="333">
        <f>(1+$M$5)^(D598/12)*(H598+IF(AND(F598=1,F599=0),$Q$4,0))</f>
      </c>
      <c r="K598" s="351"/>
      <c r="L598" s="333">
        <f>K598+J598</f>
      </c>
      <c r="M598" s="170"/>
      <c r="N598" s="7"/>
      <c r="O598" s="1"/>
      <c r="P598" s="331">
        <f>D598</f>
      </c>
      <c r="Q598" s="169"/>
      <c r="R598" s="1"/>
      <c r="S598" s="217">
        <f>(1+$M$5)^(D598/12)*(IF(E598=$C$6,$Q$4+$H$5*12,0))</f>
      </c>
      <c r="T598" s="217">
        <f>(1+$M$5)^(D598/12)*(IF(YEAR(E598)&gt;YEAR($C$6),L598,0)+IF(E598=$C$6,$H$5*12+$Q$4,0))</f>
      </c>
    </row>
    <row x14ac:dyDescent="0.25" r="599" customHeight="1" ht="18.75">
      <c r="A599" s="1"/>
      <c r="B599" s="7"/>
      <c r="C599" s="170"/>
      <c r="D599" s="331">
        <v>592</v>
      </c>
      <c r="E599" s="544">
        <f>+DATE(YEAR(E598),MONTH(E598)-1,DAY(E598))</f>
        <v>25569.041666666668</v>
      </c>
      <c r="F599" s="333">
        <f>IF(DATE(YEAR($B$6),MONTH($B$6)+1,DAY(1))=E599,1,IF(MONTH(E599)=1,F600*(1+$F$5),F600))</f>
      </c>
      <c r="G599" s="333">
        <f>IF('Simulador - 1º Pilar'!$E$99="Sí",IF('Aportaciones Flex'!$B$13&lt;'Aportaciones Flex'!E599,0,F599*$B$8/12),F599*$B$8/12)</f>
      </c>
      <c r="H599" s="333">
        <f>IF(G599&gt;0,1,0)*$H$5*IF(AND($I$5="NO",YEAR(E599)=YEAR($B$6)+1),1,IF($I$5="SI",1,0))</f>
      </c>
      <c r="I599" s="217">
        <f>(1+$M$5)^(D599/12)*(H599*(12-IF(MONTH(E600)=12,0,MONTH(E600)))+IF(AND(F599=1,F600=0),$Q$4,0))*IF(AND(F599=1,F600=0),1,0)</f>
      </c>
      <c r="J599" s="333">
        <f>(1+$M$5)^(D599/12)*(H599+IF(AND(F599=1,F600=0),$Q$4,0))</f>
      </c>
      <c r="K599" s="351"/>
      <c r="L599" s="333">
        <f>K599+J599</f>
      </c>
      <c r="M599" s="170"/>
      <c r="N599" s="7"/>
      <c r="O599" s="1"/>
      <c r="P599" s="331">
        <f>D599</f>
      </c>
      <c r="Q599" s="169"/>
      <c r="R599" s="1"/>
      <c r="S599" s="217">
        <f>(1+$M$5)^(D599/12)*(IF(E599=$C$6,$Q$4+$H$5*12,0))</f>
      </c>
      <c r="T599" s="217">
        <f>(1+$M$5)^(D599/12)*(IF(YEAR(E599)&gt;YEAR($C$6),L599,0)+IF(E599=$C$6,$H$5*12+$Q$4,0))</f>
      </c>
    </row>
    <row x14ac:dyDescent="0.25" r="600" customHeight="1" ht="18.75">
      <c r="A600" s="1"/>
      <c r="B600" s="7"/>
      <c r="C600" s="170"/>
      <c r="D600" s="331">
        <v>593</v>
      </c>
      <c r="E600" s="544">
        <f>+DATE(YEAR(E599),MONTH(E599)-1,DAY(E599))</f>
        <v>25569.041666666668</v>
      </c>
      <c r="F600" s="333">
        <f>IF(DATE(YEAR($B$6),MONTH($B$6)+1,DAY(1))=E600,1,IF(MONTH(E600)=1,F601*(1+$F$5),F601))</f>
      </c>
      <c r="G600" s="333">
        <f>IF('Simulador - 1º Pilar'!$E$99="Sí",IF('Aportaciones Flex'!$B$13&lt;'Aportaciones Flex'!E600,0,F600*$B$8/12),F600*$B$8/12)</f>
      </c>
      <c r="H600" s="333">
        <f>IF(G600&gt;0,1,0)*$H$5*IF(AND($I$5="NO",YEAR(E600)=YEAR($B$6)+1),1,IF($I$5="SI",1,0))</f>
      </c>
      <c r="I600" s="217">
        <f>(1+$M$5)^(D600/12)*(H600*(12-IF(MONTH(E601)=12,0,MONTH(E601)))+IF(AND(F600=1,F601=0),$Q$4,0))*IF(AND(F600=1,F601=0),1,0)</f>
      </c>
      <c r="J600" s="333">
        <f>(1+$M$5)^(D600/12)*(H600+IF(AND(F600=1,F601=0),$Q$4,0))</f>
      </c>
      <c r="K600" s="351"/>
      <c r="L600" s="333">
        <f>K600+J600</f>
      </c>
      <c r="M600" s="170"/>
      <c r="N600" s="7"/>
      <c r="O600" s="1"/>
      <c r="P600" s="331">
        <f>D600</f>
      </c>
      <c r="Q600" s="169"/>
      <c r="R600" s="1"/>
      <c r="S600" s="217">
        <f>(1+$M$5)^(D600/12)*(IF(E600=$C$6,$Q$4+$H$5*12,0))</f>
      </c>
      <c r="T600" s="217">
        <f>(1+$M$5)^(D600/12)*(IF(YEAR(E600)&gt;YEAR($C$6),L600,0)+IF(E600=$C$6,$H$5*12+$Q$4,0))</f>
      </c>
    </row>
    <row x14ac:dyDescent="0.25" r="601" customHeight="1" ht="18.75">
      <c r="A601" s="1"/>
      <c r="B601" s="7"/>
      <c r="C601" s="170"/>
      <c r="D601" s="331">
        <v>594</v>
      </c>
      <c r="E601" s="544">
        <f>+DATE(YEAR(E600),MONTH(E600)-1,DAY(E600))</f>
        <v>25569.041666666668</v>
      </c>
      <c r="F601" s="333">
        <f>IF(DATE(YEAR($B$6),MONTH($B$6)+1,DAY(1))=E601,1,IF(MONTH(E601)=1,F602*(1+$F$5),F602))</f>
      </c>
      <c r="G601" s="333">
        <f>IF('Simulador - 1º Pilar'!$E$99="Sí",IF('Aportaciones Flex'!$B$13&lt;'Aportaciones Flex'!E601,0,F601*$B$8/12),F601*$B$8/12)</f>
      </c>
      <c r="H601" s="333">
        <f>IF(G601&gt;0,1,0)*$H$5*IF(AND($I$5="NO",YEAR(E601)=YEAR($B$6)+1),1,IF($I$5="SI",1,0))</f>
      </c>
      <c r="I601" s="217">
        <f>(1+$M$5)^(D601/12)*(H601*(12-IF(MONTH(E602)=12,0,MONTH(E602)))+IF(AND(F601=1,F602=0),$Q$4,0))*IF(AND(F601=1,F602=0),1,0)</f>
      </c>
      <c r="J601" s="333">
        <f>(1+$M$5)^(D601/12)*(H601+IF(AND(F601=1,F602=0),$Q$4,0))</f>
      </c>
      <c r="K601" s="351"/>
      <c r="L601" s="333">
        <f>K601+J601</f>
      </c>
      <c r="M601" s="170"/>
      <c r="N601" s="7"/>
      <c r="O601" s="1"/>
      <c r="P601" s="331">
        <f>D601</f>
      </c>
      <c r="Q601" s="169"/>
      <c r="R601" s="1"/>
      <c r="S601" s="217">
        <f>(1+$M$5)^(D601/12)*(IF(E601=$C$6,$Q$4+$H$5*12,0))</f>
      </c>
      <c r="T601" s="217">
        <f>(1+$M$5)^(D601/12)*(IF(YEAR(E601)&gt;YEAR($C$6),L601,0)+IF(E601=$C$6,$H$5*12+$Q$4,0))</f>
      </c>
    </row>
    <row x14ac:dyDescent="0.25" r="602" customHeight="1" ht="18.75">
      <c r="A602" s="1"/>
      <c r="B602" s="7"/>
      <c r="C602" s="170"/>
      <c r="D602" s="331">
        <v>595</v>
      </c>
      <c r="E602" s="544">
        <f>+DATE(YEAR(E601),MONTH(E601)-1,DAY(E601))</f>
        <v>25569.041666666668</v>
      </c>
      <c r="F602" s="333">
        <f>IF(DATE(YEAR($B$6),MONTH($B$6)+1,DAY(1))=E602,1,IF(MONTH(E602)=1,F603*(1+$F$5),F603))</f>
      </c>
      <c r="G602" s="333">
        <f>IF('Simulador - 1º Pilar'!$E$99="Sí",IF('Aportaciones Flex'!$B$13&lt;'Aportaciones Flex'!E602,0,F602*$B$8/12),F602*$B$8/12)</f>
      </c>
      <c r="H602" s="333">
        <f>IF(G602&gt;0,1,0)*$H$5*IF(AND($I$5="NO",YEAR(E602)=YEAR($B$6)+1),1,IF($I$5="SI",1,0))</f>
      </c>
      <c r="I602" s="217">
        <f>(1+$M$5)^(D602/12)*(H602*(12-IF(MONTH(E603)=12,0,MONTH(E603)))+IF(AND(F602=1,F603=0),$Q$4,0))*IF(AND(F602=1,F603=0),1,0)</f>
      </c>
      <c r="J602" s="333">
        <f>(1+$M$5)^(D602/12)*(H602+IF(AND(F602=1,F603=0),$Q$4,0))</f>
      </c>
      <c r="K602" s="351"/>
      <c r="L602" s="333">
        <f>K602+J602</f>
      </c>
      <c r="M602" s="170"/>
      <c r="N602" s="7"/>
      <c r="O602" s="1"/>
      <c r="P602" s="331">
        <f>D602</f>
      </c>
      <c r="Q602" s="169"/>
      <c r="R602" s="1"/>
      <c r="S602" s="217">
        <f>(1+$M$5)^(D602/12)*(IF(E602=$C$6,$Q$4+$H$5*12,0))</f>
      </c>
      <c r="T602" s="217">
        <f>(1+$M$5)^(D602/12)*(IF(YEAR(E602)&gt;YEAR($C$6),L602,0)+IF(E602=$C$6,$H$5*12+$Q$4,0))</f>
      </c>
    </row>
    <row x14ac:dyDescent="0.25" r="603" customHeight="1" ht="18.75">
      <c r="A603" s="1"/>
      <c r="B603" s="7"/>
      <c r="C603" s="170"/>
      <c r="D603" s="331">
        <v>596</v>
      </c>
      <c r="E603" s="544">
        <f>+DATE(YEAR(E602),MONTH(E602)-1,DAY(E602))</f>
        <v>25569.041666666668</v>
      </c>
      <c r="F603" s="333">
        <f>IF(DATE(YEAR($B$6),MONTH($B$6)+1,DAY(1))=E603,1,IF(MONTH(E603)=1,F604*(1+$F$5),F604))</f>
      </c>
      <c r="G603" s="333">
        <f>IF('Simulador - 1º Pilar'!$E$99="Sí",IF('Aportaciones Flex'!$B$13&lt;'Aportaciones Flex'!E603,0,F603*$B$8/12),F603*$B$8/12)</f>
      </c>
      <c r="H603" s="333">
        <f>IF(G603&gt;0,1,0)*$H$5*IF(AND($I$5="NO",YEAR(E603)=YEAR($B$6)+1),1,IF($I$5="SI",1,0))</f>
      </c>
      <c r="I603" s="217">
        <f>(1+$M$5)^(D603/12)*(H603*(12-IF(MONTH(E604)=12,0,MONTH(E604)))+IF(AND(F603=1,F604=0),$Q$4,0))*IF(AND(F603=1,F604=0),1,0)</f>
      </c>
      <c r="J603" s="333">
        <f>(1+$M$5)^(D603/12)*(H603+IF(AND(F603=1,F604=0),$Q$4,0))</f>
      </c>
      <c r="K603" s="351"/>
      <c r="L603" s="333">
        <f>K603+J603</f>
      </c>
      <c r="M603" s="170"/>
      <c r="N603" s="7"/>
      <c r="O603" s="1"/>
      <c r="P603" s="331">
        <f>D603</f>
      </c>
      <c r="Q603" s="169"/>
      <c r="R603" s="1"/>
      <c r="S603" s="217">
        <f>(1+$M$5)^(D603/12)*(IF(E603=$C$6,$Q$4+$H$5*12,0))</f>
      </c>
      <c r="T603" s="217">
        <f>(1+$M$5)^(D603/12)*(IF(YEAR(E603)&gt;YEAR($C$6),L603,0)+IF(E603=$C$6,$H$5*12+$Q$4,0))</f>
      </c>
    </row>
    <row x14ac:dyDescent="0.25" r="604" customHeight="1" ht="18.75">
      <c r="A604" s="1"/>
      <c r="B604" s="7"/>
      <c r="C604" s="170"/>
      <c r="D604" s="331">
        <v>597</v>
      </c>
      <c r="E604" s="544">
        <f>+DATE(YEAR(E603),MONTH(E603)-1,DAY(E603))</f>
        <v>25569.041666666668</v>
      </c>
      <c r="F604" s="333">
        <f>IF(DATE(YEAR($B$6),MONTH($B$6)+1,DAY(1))=E604,1,IF(MONTH(E604)=1,F605*(1+$F$5),F605))</f>
      </c>
      <c r="G604" s="333">
        <f>IF('Simulador - 1º Pilar'!$E$99="Sí",IF('Aportaciones Flex'!$B$13&lt;'Aportaciones Flex'!E604,0,F604*$B$8/12),F604*$B$8/12)</f>
      </c>
      <c r="H604" s="333">
        <f>IF(G604&gt;0,1,0)*$H$5*IF(AND($I$5="NO",YEAR(E604)=YEAR($B$6)+1),1,IF($I$5="SI",1,0))</f>
      </c>
      <c r="I604" s="217">
        <f>(1+$M$5)^(D604/12)*(H604*(12-IF(MONTH(E605)=12,0,MONTH(E605)))+IF(AND(F604=1,F605=0),$Q$4,0))*IF(AND(F604=1,F605=0),1,0)</f>
      </c>
      <c r="J604" s="333">
        <f>(1+$M$5)^(D604/12)*(H604+IF(AND(F604=1,F605=0),$Q$4,0))</f>
      </c>
      <c r="K604" s="351"/>
      <c r="L604" s="333">
        <f>K604+J604</f>
      </c>
      <c r="M604" s="170"/>
      <c r="N604" s="7"/>
      <c r="O604" s="1"/>
      <c r="P604" s="331">
        <f>D604</f>
      </c>
      <c r="Q604" s="169"/>
      <c r="R604" s="1"/>
      <c r="S604" s="217">
        <f>(1+$M$5)^(D604/12)*(IF(E604=$C$6,$Q$4+$H$5*12,0))</f>
      </c>
      <c r="T604" s="217">
        <f>(1+$M$5)^(D604/12)*(IF(YEAR(E604)&gt;YEAR($C$6),L604,0)+IF(E604=$C$6,$H$5*12+$Q$4,0))</f>
      </c>
    </row>
    <row x14ac:dyDescent="0.25" r="605" customHeight="1" ht="18.75">
      <c r="A605" s="1"/>
      <c r="B605" s="7"/>
      <c r="C605" s="170"/>
      <c r="D605" s="331">
        <v>598</v>
      </c>
      <c r="E605" s="544">
        <f>+DATE(YEAR(E604),MONTH(E604)-1,DAY(E604))</f>
        <v>25569.041666666668</v>
      </c>
      <c r="F605" s="333">
        <f>IF(DATE(YEAR($B$6),MONTH($B$6)+1,DAY(1))=E605,1,IF(MONTH(E605)=1,F606*(1+$F$5),F606))</f>
      </c>
      <c r="G605" s="333">
        <f>IF('Simulador - 1º Pilar'!$E$99="Sí",IF('Aportaciones Flex'!$B$13&lt;'Aportaciones Flex'!E605,0,F605*$B$8/12),F605*$B$8/12)</f>
      </c>
      <c r="H605" s="333">
        <f>IF(G605&gt;0,1,0)*$H$5*IF(AND($I$5="NO",YEAR(E605)=YEAR($B$6)+1),1,IF($I$5="SI",1,0))</f>
      </c>
      <c r="I605" s="217">
        <f>(1+$M$5)^(D605/12)*(H605*(12-IF(MONTH(E606)=12,0,MONTH(E606)))+IF(AND(F605=1,F606=0),$Q$4,0))*IF(AND(F605=1,F606=0),1,0)</f>
      </c>
      <c r="J605" s="333">
        <f>(1+$M$5)^(D605/12)*(H605+IF(AND(F605=1,F606=0),$Q$4,0))</f>
      </c>
      <c r="K605" s="351"/>
      <c r="L605" s="333">
        <f>K605+J605</f>
      </c>
      <c r="M605" s="170"/>
      <c r="N605" s="7"/>
      <c r="O605" s="1"/>
      <c r="P605" s="331">
        <f>D605</f>
      </c>
      <c r="Q605" s="169"/>
      <c r="R605" s="1"/>
      <c r="S605" s="217">
        <f>(1+$M$5)^(D605/12)*(IF(E605=$C$6,$Q$4+$H$5*12,0))</f>
      </c>
      <c r="T605" s="217">
        <f>(1+$M$5)^(D605/12)*(IF(YEAR(E605)&gt;YEAR($C$6),L605,0)+IF(E605=$C$6,$H$5*12+$Q$4,0))</f>
      </c>
    </row>
    <row x14ac:dyDescent="0.25" r="606" customHeight="1" ht="18.75">
      <c r="A606" s="1"/>
      <c r="B606" s="7"/>
      <c r="C606" s="170"/>
      <c r="D606" s="331">
        <v>599</v>
      </c>
      <c r="E606" s="544">
        <f>+DATE(YEAR(E605),MONTH(E605)-1,DAY(E605))</f>
        <v>25569.041666666668</v>
      </c>
      <c r="F606" s="333">
        <f>IF(DATE(YEAR($B$6),MONTH($B$6)+1,DAY(1))=E606,1,IF(MONTH(E606)=1,F607*(1+$F$5),F607))</f>
      </c>
      <c r="G606" s="333">
        <f>IF('Simulador - 1º Pilar'!$E$99="Sí",IF('Aportaciones Flex'!$B$13&lt;'Aportaciones Flex'!E606,0,F606*$B$8/12),F606*$B$8/12)</f>
      </c>
      <c r="H606" s="333">
        <f>IF(G606&gt;0,1,0)*$H$5*IF(AND($I$5="NO",YEAR(E606)=YEAR($B$6)+1),1,IF($I$5="SI",1,0))</f>
      </c>
      <c r="I606" s="217">
        <f>(1+$M$5)^(D606/12)*(H606*(12-IF(MONTH(E607)=12,0,MONTH(E607)))+IF(AND(F606=1,F607=0),$Q$4,0))*IF(AND(F606=1,F607=0),1,0)</f>
      </c>
      <c r="J606" s="333">
        <f>(1+$M$5)^(D606/12)*(H606+IF(AND(F606=1,F607=0),$Q$4,0))</f>
      </c>
      <c r="K606" s="351"/>
      <c r="L606" s="333">
        <f>K606+J606</f>
      </c>
      <c r="M606" s="170"/>
      <c r="N606" s="7"/>
      <c r="O606" s="1"/>
      <c r="P606" s="331">
        <f>D606</f>
      </c>
      <c r="Q606" s="169"/>
      <c r="R606" s="1"/>
      <c r="S606" s="217">
        <f>(1+$M$5)^(D606/12)*(IF(E606=$C$6,$Q$4+$H$5*12,0))</f>
      </c>
      <c r="T606" s="217">
        <f>(1+$M$5)^(D606/12)*(IF(YEAR(E606)&gt;YEAR($C$6),L606,0)+IF(E606=$C$6,$H$5*12+$Q$4,0))</f>
      </c>
    </row>
    <row x14ac:dyDescent="0.25" r="607" customHeight="1" ht="18.75">
      <c r="A607" s="1"/>
      <c r="B607" s="7"/>
      <c r="C607" s="170"/>
      <c r="D607" s="331">
        <v>600</v>
      </c>
      <c r="E607" s="544">
        <f>+DATE(YEAR(E606),MONTH(E606)-1,DAY(E606))</f>
        <v>25569.041666666668</v>
      </c>
      <c r="F607" s="333">
        <f>IF(DATE(YEAR($B$6),MONTH($B$6)+1,DAY(1))=E607,1,IF(MONTH(E607)=1,F608*(1+$F$5),F608))</f>
      </c>
      <c r="G607" s="333">
        <f>IF('Simulador - 1º Pilar'!$E$99="Sí",IF('Aportaciones Flex'!$B$13&lt;'Aportaciones Flex'!E607,0,F607*$B$8/12),F607*$B$8/12)</f>
      </c>
      <c r="H607" s="333">
        <f>IF(G607&gt;0,1,0)*$H$5*IF(AND($I$5="NO",YEAR(E607)=YEAR($B$6)+1),1,IF($I$5="SI",1,0))</f>
      </c>
      <c r="I607" s="217">
        <f>(1+$M$5)^(D607/12)*(H607*(12-IF(MONTH(E608)=12,0,MONTH(E608)))+IF(AND(F607=1,F608=0),$Q$4,0))*IF(AND(F607=1,F608=0),1,0)</f>
      </c>
      <c r="J607" s="333">
        <f>(1+$M$5)^(D607/12)*(H607+IF(AND(F607=1,F608=0),$Q$4,0))</f>
      </c>
      <c r="K607" s="351"/>
      <c r="L607" s="333">
        <f>K607+J607</f>
      </c>
      <c r="M607" s="170"/>
      <c r="N607" s="7"/>
      <c r="O607" s="1"/>
      <c r="P607" s="331">
        <f>D607</f>
      </c>
      <c r="Q607" s="169"/>
      <c r="R607" s="1"/>
      <c r="S607" s="217">
        <f>(1+$M$5)^(D607/12)*(IF(E607=$C$6,$Q$4+$H$5*12,0))</f>
      </c>
      <c r="T607" s="217">
        <f>(1+$M$5)^(D607/12)*(IF(YEAR(E607)&gt;YEAR($C$6),L607,0)+IF(E607=$C$6,$H$5*12+$Q$4,0))</f>
      </c>
    </row>
    <row x14ac:dyDescent="0.25" r="608" customHeight="1" ht="18.75">
      <c r="A608" s="1"/>
      <c r="B608" s="7"/>
      <c r="C608" s="170"/>
      <c r="D608" s="331">
        <v>601</v>
      </c>
      <c r="E608" s="544">
        <f>+DATE(YEAR(E607),MONTH(E607)-1,DAY(E607))</f>
        <v>25569.041666666668</v>
      </c>
      <c r="F608" s="333">
        <f>IF(DATE(YEAR($B$6),MONTH($B$6)+1,DAY(1))=E608,1,IF(MONTH(E608)=1,F609*(1+$F$5),F609))</f>
      </c>
      <c r="G608" s="333">
        <f>IF('Simulador - 1º Pilar'!$E$99="Sí",IF('Aportaciones Flex'!$B$13&lt;'Aportaciones Flex'!E608,0,F608*$B$8/12),F608*$B$8/12)</f>
      </c>
      <c r="H608" s="333">
        <f>IF(G608&gt;0,1,0)*$H$5*IF(AND($I$5="NO",YEAR(E608)=YEAR($B$6)+1),1,IF($I$5="SI",1,0))</f>
      </c>
      <c r="I608" s="217">
        <f>(1+$M$5)^(D608/12)*(H608*(12-IF(MONTH(E609)=12,0,MONTH(E609)))+IF(AND(F608=1,F609=0),$Q$4,0))*IF(AND(F608=1,F609=0),1,0)</f>
      </c>
      <c r="J608" s="333">
        <f>(1+$M$5)^(D608/12)*(H608+IF(AND(F608=1,F609=0),$Q$4,0))</f>
      </c>
      <c r="K608" s="351"/>
      <c r="L608" s="333">
        <f>K608+J608</f>
      </c>
      <c r="M608" s="170"/>
      <c r="N608" s="7"/>
      <c r="O608" s="1"/>
      <c r="P608" s="331">
        <f>D608</f>
      </c>
      <c r="Q608" s="169"/>
      <c r="R608" s="1"/>
      <c r="S608" s="217">
        <f>(1+$M$5)^(D608/12)*(IF(E608=$C$6,$Q$4+$H$5*12,0))</f>
      </c>
      <c r="T608" s="217">
        <f>(1+$M$5)^(D608/12)*(IF(YEAR(E608)&gt;YEAR($C$6),L608,0)+IF(E608=$C$6,$H$5*12+$Q$4,0))</f>
      </c>
    </row>
    <row x14ac:dyDescent="0.25" r="609" customHeight="1" ht="18.75">
      <c r="A609" s="1"/>
      <c r="B609" s="7"/>
      <c r="C609" s="170"/>
      <c r="D609" s="331">
        <v>602</v>
      </c>
      <c r="E609" s="544">
        <f>+DATE(YEAR(E608),MONTH(E608)-1,DAY(E608))</f>
        <v>25569.041666666668</v>
      </c>
      <c r="F609" s="333">
        <f>IF(DATE(YEAR($B$6),MONTH($B$6)+1,DAY(1))=E609,1,IF(MONTH(E609)=1,F610*(1+$F$5),F610))</f>
      </c>
      <c r="G609" s="333">
        <f>IF('Simulador - 1º Pilar'!$E$99="Sí",IF('Aportaciones Flex'!$B$13&lt;'Aportaciones Flex'!E609,0,F609*$B$8/12),F609*$B$8/12)</f>
      </c>
      <c r="H609" s="333">
        <f>IF(G609&gt;0,1,0)*$H$5*IF(AND($I$5="NO",YEAR(E609)=YEAR($B$6)+1),1,IF($I$5="SI",1,0))</f>
      </c>
      <c r="I609" s="217">
        <f>(1+$M$5)^(D609/12)*(H609*(12-IF(MONTH(E610)=12,0,MONTH(E610)))+IF(AND(F609=1,F610=0),$Q$4,0))*IF(AND(F609=1,F610=0),1,0)</f>
      </c>
      <c r="J609" s="333">
        <f>(1+$M$5)^(D609/12)*(H609+IF(AND(F609=1,F610=0),$Q$4,0))</f>
      </c>
      <c r="K609" s="351"/>
      <c r="L609" s="333">
        <f>K609+J609</f>
      </c>
      <c r="M609" s="170"/>
      <c r="N609" s="7"/>
      <c r="O609" s="1"/>
      <c r="P609" s="331">
        <f>D609</f>
      </c>
      <c r="Q609" s="169"/>
      <c r="R609" s="1"/>
      <c r="S609" s="217">
        <f>(1+$M$5)^(D609/12)*(IF(E609=$C$6,$Q$4+$H$5*12,0))</f>
      </c>
      <c r="T609" s="217">
        <f>(1+$M$5)^(D609/12)*(IF(YEAR(E609)&gt;YEAR($C$6),L609,0)+IF(E609=$C$6,$H$5*12+$Q$4,0))</f>
      </c>
    </row>
    <row x14ac:dyDescent="0.25" r="610" customHeight="1" ht="18.75">
      <c r="A610" s="1"/>
      <c r="B610" s="7"/>
      <c r="C610" s="170"/>
      <c r="D610" s="331">
        <v>603</v>
      </c>
      <c r="E610" s="544">
        <f>+DATE(YEAR(E609),MONTH(E609)-1,DAY(E609))</f>
        <v>25569.041666666668</v>
      </c>
      <c r="F610" s="333">
        <f>IF(DATE(YEAR($B$6),MONTH($B$6)+1,DAY(1))=E610,1,IF(MONTH(E610)=1,F611*(1+$F$5),F611))</f>
      </c>
      <c r="G610" s="333">
        <f>IF('Simulador - 1º Pilar'!$E$99="Sí",IF('Aportaciones Flex'!$B$13&lt;'Aportaciones Flex'!E610,0,F610*$B$8/12),F610*$B$8/12)</f>
      </c>
      <c r="H610" s="333">
        <f>IF(G610&gt;0,1,0)*$H$5*IF(AND($I$5="NO",YEAR(E610)=YEAR($B$6)+1),1,IF($I$5="SI",1,0))</f>
      </c>
      <c r="I610" s="217">
        <f>(1+$M$5)^(D610/12)*(H610*(12-IF(MONTH(E611)=12,0,MONTH(E611)))+IF(AND(F610=1,F611=0),$Q$4,0))*IF(AND(F610=1,F611=0),1,0)</f>
      </c>
      <c r="J610" s="333">
        <f>(1+$M$5)^(D610/12)*(H610+IF(AND(F610=1,F611=0),$Q$4,0))</f>
      </c>
      <c r="K610" s="351"/>
      <c r="L610" s="333">
        <f>K610+J610</f>
      </c>
      <c r="M610" s="170"/>
      <c r="N610" s="7"/>
      <c r="O610" s="1"/>
      <c r="P610" s="331">
        <f>D610</f>
      </c>
      <c r="Q610" s="169"/>
      <c r="R610" s="1"/>
      <c r="S610" s="217">
        <f>(1+$M$5)^(D610/12)*(IF(E610=$C$6,$Q$4+$H$5*12,0))</f>
      </c>
      <c r="T610" s="217">
        <f>(1+$M$5)^(D610/12)*(IF(YEAR(E610)&gt;YEAR($C$6),L610,0)+IF(E610=$C$6,$H$5*12+$Q$4,0))</f>
      </c>
    </row>
    <row x14ac:dyDescent="0.25" r="611" customHeight="1" ht="18.75">
      <c r="A611" s="1"/>
      <c r="B611" s="7"/>
      <c r="C611" s="170"/>
      <c r="D611" s="331">
        <v>604</v>
      </c>
      <c r="E611" s="544">
        <f>+DATE(YEAR(E610),MONTH(E610)-1,DAY(E610))</f>
        <v>25569.041666666668</v>
      </c>
      <c r="F611" s="333">
        <f>IF(DATE(YEAR($B$6),MONTH($B$6)+1,DAY(1))=E611,1,IF(MONTH(E611)=1,F612*(1+$F$5),F612))</f>
      </c>
      <c r="G611" s="333">
        <f>IF('Simulador - 1º Pilar'!$E$99="Sí",IF('Aportaciones Flex'!$B$13&lt;'Aportaciones Flex'!E611,0,F611*$B$8/12),F611*$B$8/12)</f>
      </c>
      <c r="H611" s="333">
        <f>IF(G611&gt;0,1,0)*$H$5*IF(AND($I$5="NO",YEAR(E611)=YEAR($B$6)+1),1,IF($I$5="SI",1,0))</f>
      </c>
      <c r="I611" s="217">
        <f>(1+$M$5)^(D611/12)*(H611*(12-IF(MONTH(E612)=12,0,MONTH(E612)))+IF(AND(F611=1,F612=0),$Q$4,0))*IF(AND(F611=1,F612=0),1,0)</f>
      </c>
      <c r="J611" s="333">
        <f>(1+$M$5)^(D611/12)*(H611+IF(AND(F611=1,F612=0),$Q$4,0))</f>
      </c>
      <c r="K611" s="351"/>
      <c r="L611" s="333">
        <f>K611+J611</f>
      </c>
      <c r="M611" s="170"/>
      <c r="N611" s="7"/>
      <c r="O611" s="1"/>
      <c r="P611" s="331">
        <f>D611</f>
      </c>
      <c r="Q611" s="169"/>
      <c r="R611" s="1"/>
      <c r="S611" s="217">
        <f>(1+$M$5)^(D611/12)*(IF(E611=$C$6,$Q$4+$H$5*12,0))</f>
      </c>
      <c r="T611" s="217">
        <f>(1+$M$5)^(D611/12)*(IF(YEAR(E611)&gt;YEAR($C$6),L611,0)+IF(E611=$C$6,$H$5*12+$Q$4,0))</f>
      </c>
    </row>
    <row x14ac:dyDescent="0.25" r="612" customHeight="1" ht="18.75">
      <c r="A612" s="1"/>
      <c r="B612" s="7"/>
      <c r="C612" s="170"/>
      <c r="D612" s="331">
        <v>605</v>
      </c>
      <c r="E612" s="544">
        <f>+DATE(YEAR(E611),MONTH(E611)-1,DAY(E611))</f>
        <v>25569.041666666668</v>
      </c>
      <c r="F612" s="333">
        <f>IF(DATE(YEAR($B$6),MONTH($B$6)+1,DAY(1))=E612,1,IF(MONTH(E612)=1,F613*(1+$F$5),F613))</f>
      </c>
      <c r="G612" s="333">
        <f>IF('Simulador - 1º Pilar'!$E$99="Sí",IF('Aportaciones Flex'!$B$13&lt;'Aportaciones Flex'!E612,0,F612*$B$8/12),F612*$B$8/12)</f>
      </c>
      <c r="H612" s="333">
        <f>IF(G612&gt;0,1,0)*$H$5*IF(AND($I$5="NO",YEAR(E612)=YEAR($B$6)+1),1,IF($I$5="SI",1,0))</f>
      </c>
      <c r="I612" s="217">
        <f>(1+$M$5)^(D612/12)*(H612*(12-IF(MONTH(E613)=12,0,MONTH(E613)))+IF(AND(F612=1,F613=0),$Q$4,0))*IF(AND(F612=1,F613=0),1,0)</f>
      </c>
      <c r="J612" s="333">
        <f>(1+$M$5)^(D612/12)*(H612+IF(AND(F612=1,F613=0),$Q$4,0))</f>
      </c>
      <c r="K612" s="351"/>
      <c r="L612" s="333">
        <f>K612+J612</f>
      </c>
      <c r="M612" s="170"/>
      <c r="N612" s="7"/>
      <c r="O612" s="1"/>
      <c r="P612" s="331">
        <f>D612</f>
      </c>
      <c r="Q612" s="169"/>
      <c r="R612" s="1"/>
      <c r="S612" s="217">
        <f>(1+$M$5)^(D612/12)*(IF(E612=$C$6,$Q$4+$H$5*12,0))</f>
      </c>
      <c r="T612" s="217">
        <f>(1+$M$5)^(D612/12)*(IF(YEAR(E612)&gt;YEAR($C$6),L612,0)+IF(E612=$C$6,$H$5*12+$Q$4,0))</f>
      </c>
    </row>
    <row x14ac:dyDescent="0.25" r="613" customHeight="1" ht="18.75">
      <c r="A613" s="1"/>
      <c r="B613" s="7"/>
      <c r="C613" s="170"/>
      <c r="D613" s="331">
        <v>606</v>
      </c>
      <c r="E613" s="544">
        <f>+DATE(YEAR(E612),MONTH(E612)-1,DAY(E612))</f>
        <v>25569.041666666668</v>
      </c>
      <c r="F613" s="333">
        <f>IF(DATE(YEAR($B$6),MONTH($B$6)+1,DAY(1))=E613,1,IF(MONTH(E613)=1,F614*(1+$F$5),F614))</f>
      </c>
      <c r="G613" s="333">
        <f>IF('Simulador - 1º Pilar'!$E$99="Sí",IF('Aportaciones Flex'!$B$13&lt;'Aportaciones Flex'!E613,0,F613*$B$8/12),F613*$B$8/12)</f>
      </c>
      <c r="H613" s="333">
        <f>IF(G613&gt;0,1,0)*$H$5*IF(AND($I$5="NO",YEAR(E613)=YEAR($B$6)+1),1,IF($I$5="SI",1,0))</f>
      </c>
      <c r="I613" s="217">
        <f>(1+$M$5)^(D613/12)*(H613*(12-IF(MONTH(E614)=12,0,MONTH(E614)))+IF(AND(F613=1,F614=0),$Q$4,0))*IF(AND(F613=1,F614=0),1,0)</f>
      </c>
      <c r="J613" s="333">
        <f>(1+$M$5)^(D613/12)*(H613+IF(AND(F613=1,F614=0),$Q$4,0))</f>
      </c>
      <c r="K613" s="351"/>
      <c r="L613" s="333">
        <f>K613+J613</f>
      </c>
      <c r="M613" s="170"/>
      <c r="N613" s="7"/>
      <c r="O613" s="1"/>
      <c r="P613" s="331">
        <f>D613</f>
      </c>
      <c r="Q613" s="169"/>
      <c r="R613" s="1"/>
      <c r="S613" s="217">
        <f>(1+$M$5)^(D613/12)*(IF(E613=$C$6,$Q$4+$H$5*12,0))</f>
      </c>
      <c r="T613" s="217">
        <f>(1+$M$5)^(D613/12)*(IF(YEAR(E613)&gt;YEAR($C$6),L613,0)+IF(E613=$C$6,$H$5*12+$Q$4,0))</f>
      </c>
    </row>
    <row x14ac:dyDescent="0.25" r="614" customHeight="1" ht="18.75">
      <c r="A614" s="1"/>
      <c r="B614" s="7"/>
      <c r="C614" s="170"/>
      <c r="D614" s="331">
        <v>607</v>
      </c>
      <c r="E614" s="544">
        <f>+DATE(YEAR(E613),MONTH(E613)-1,DAY(E613))</f>
        <v>25569.041666666668</v>
      </c>
      <c r="F614" s="333">
        <f>IF(DATE(YEAR($B$6),MONTH($B$6)+1,DAY(1))=E614,1,IF(MONTH(E614)=1,F615*(1+$F$5),F615))</f>
      </c>
      <c r="G614" s="333">
        <f>IF('Simulador - 1º Pilar'!$E$99="Sí",IF('Aportaciones Flex'!$B$13&lt;'Aportaciones Flex'!E614,0,F614*$B$8/12),F614*$B$8/12)</f>
      </c>
      <c r="H614" s="333">
        <f>IF(G614&gt;0,1,0)*$H$5*IF(AND($I$5="NO",YEAR(E614)=YEAR($B$6)+1),1,IF($I$5="SI",1,0))</f>
      </c>
      <c r="I614" s="217">
        <f>(1+$M$5)^(D614/12)*(H614*(12-IF(MONTH(E615)=12,0,MONTH(E615)))+IF(AND(F614=1,F615=0),$Q$4,0))*IF(AND(F614=1,F615=0),1,0)</f>
      </c>
      <c r="J614" s="333">
        <f>(1+$M$5)^(D614/12)*(H614+IF(AND(F614=1,F615=0),$Q$4,0))</f>
      </c>
      <c r="K614" s="351"/>
      <c r="L614" s="333">
        <f>K614+J614</f>
      </c>
      <c r="M614" s="170"/>
      <c r="N614" s="7"/>
      <c r="O614" s="1"/>
      <c r="P614" s="331">
        <f>D614</f>
      </c>
      <c r="Q614" s="169"/>
      <c r="R614" s="1"/>
      <c r="S614" s="217">
        <f>(1+$M$5)^(D614/12)*(IF(E614=$C$6,$Q$4+$H$5*12,0))</f>
      </c>
      <c r="T614" s="217">
        <f>(1+$M$5)^(D614/12)*(IF(YEAR(E614)&gt;YEAR($C$6),L614,0)+IF(E614=$C$6,$H$5*12+$Q$4,0))</f>
      </c>
    </row>
    <row x14ac:dyDescent="0.25" r="615" customHeight="1" ht="18.75">
      <c r="A615" s="1"/>
      <c r="B615" s="7"/>
      <c r="C615" s="170"/>
      <c r="D615" s="331">
        <v>608</v>
      </c>
      <c r="E615" s="544">
        <f>+DATE(YEAR(E614),MONTH(E614)-1,DAY(E614))</f>
        <v>25569.041666666668</v>
      </c>
      <c r="F615" s="333">
        <f>IF(DATE(YEAR($B$6),MONTH($B$6)+1,DAY(1))=E615,1,IF(MONTH(E615)=1,F616*(1+$F$5),F616))</f>
      </c>
      <c r="G615" s="333">
        <f>IF('Simulador - 1º Pilar'!$E$99="Sí",IF('Aportaciones Flex'!$B$13&lt;'Aportaciones Flex'!E615,0,F615*$B$8/12),F615*$B$8/12)</f>
      </c>
      <c r="H615" s="333">
        <f>IF(G615&gt;0,1,0)*$H$5*IF(AND($I$5="NO",YEAR(E615)=YEAR($B$6)+1),1,IF($I$5="SI",1,0))</f>
      </c>
      <c r="I615" s="217">
        <f>(1+$M$5)^(D615/12)*(H615*(12-IF(MONTH(E616)=12,0,MONTH(E616)))+IF(AND(F615=1,F616=0),$Q$4,0))*IF(AND(F615=1,F616=0),1,0)</f>
      </c>
      <c r="J615" s="333">
        <f>(1+$M$5)^(D615/12)*(H615+IF(AND(F615=1,F616=0),$Q$4,0))</f>
      </c>
      <c r="K615" s="351"/>
      <c r="L615" s="333">
        <f>K615+J615</f>
      </c>
      <c r="M615" s="170"/>
      <c r="N615" s="7"/>
      <c r="O615" s="1"/>
      <c r="P615" s="331">
        <f>D615</f>
      </c>
      <c r="Q615" s="169"/>
      <c r="R615" s="1"/>
      <c r="S615" s="217">
        <f>(1+$M$5)^(D615/12)*(IF(E615=$C$6,$Q$4+$H$5*12,0))</f>
      </c>
      <c r="T615" s="217">
        <f>(1+$M$5)^(D615/12)*(IF(YEAR(E615)&gt;YEAR($C$6),L615,0)+IF(E615=$C$6,$H$5*12+$Q$4,0))</f>
      </c>
    </row>
    <row x14ac:dyDescent="0.25" r="616" customHeight="1" ht="18.75">
      <c r="A616" s="1"/>
      <c r="B616" s="7"/>
      <c r="C616" s="170"/>
      <c r="D616" s="331">
        <v>609</v>
      </c>
      <c r="E616" s="544">
        <f>+DATE(YEAR(E615),MONTH(E615)-1,DAY(E615))</f>
        <v>25569.041666666668</v>
      </c>
      <c r="F616" s="333">
        <f>IF(DATE(YEAR($B$6),MONTH($B$6)+1,DAY(1))=E616,1,IF(MONTH(E616)=1,F617*(1+$F$5),F617))</f>
      </c>
      <c r="G616" s="333">
        <f>IF('Simulador - 1º Pilar'!$E$99="Sí",IF('Aportaciones Flex'!$B$13&lt;'Aportaciones Flex'!E616,0,F616*$B$8/12),F616*$B$8/12)</f>
      </c>
      <c r="H616" s="333">
        <f>IF(G616&gt;0,1,0)*$H$5*IF(AND($I$5="NO",YEAR(E616)=YEAR($B$6)+1),1,IF($I$5="SI",1,0))</f>
      </c>
      <c r="I616" s="217">
        <f>(1+$M$5)^(D616/12)*(H616*(12-IF(MONTH(E617)=12,0,MONTH(E617)))+IF(AND(F616=1,F617=0),$Q$4,0))*IF(AND(F616=1,F617=0),1,0)</f>
      </c>
      <c r="J616" s="333">
        <f>(1+$M$5)^(D616/12)*(H616+IF(AND(F616=1,F617=0),$Q$4,0))</f>
      </c>
      <c r="K616" s="351"/>
      <c r="L616" s="333">
        <f>K616+J616</f>
      </c>
      <c r="M616" s="170"/>
      <c r="N616" s="7"/>
      <c r="O616" s="1"/>
      <c r="P616" s="331">
        <f>D616</f>
      </c>
      <c r="Q616" s="169"/>
      <c r="R616" s="1"/>
      <c r="S616" s="217">
        <f>(1+$M$5)^(D616/12)*(IF(E616=$C$6,$Q$4+$H$5*12,0))</f>
      </c>
      <c r="T616" s="217">
        <f>(1+$M$5)^(D616/12)*(IF(YEAR(E616)&gt;YEAR($C$6),L616,0)+IF(E616=$C$6,$H$5*12+$Q$4,0))</f>
      </c>
    </row>
    <row x14ac:dyDescent="0.25" r="617" customHeight="1" ht="18.75">
      <c r="A617" s="1"/>
      <c r="B617" s="7"/>
      <c r="C617" s="170"/>
      <c r="D617" s="331">
        <v>610</v>
      </c>
      <c r="E617" s="544">
        <f>+DATE(YEAR(E616),MONTH(E616)-1,DAY(E616))</f>
        <v>25569.041666666668</v>
      </c>
      <c r="F617" s="333">
        <f>IF(DATE(YEAR($B$6),MONTH($B$6)+1,DAY(1))=E617,1,IF(MONTH(E617)=1,F618*(1+$F$5),F618))</f>
      </c>
      <c r="G617" s="333">
        <f>IF('Simulador - 1º Pilar'!$E$99="Sí",IF('Aportaciones Flex'!$B$13&lt;'Aportaciones Flex'!E617,0,F617*$B$8/12),F617*$B$8/12)</f>
      </c>
      <c r="H617" s="333">
        <f>IF(G617&gt;0,1,0)*$H$5*IF(AND($I$5="NO",YEAR(E617)=YEAR($B$6)+1),1,IF($I$5="SI",1,0))</f>
      </c>
      <c r="I617" s="217">
        <f>(1+$M$5)^(D617/12)*(H617*(12-IF(MONTH(E618)=12,0,MONTH(E618)))+IF(AND(F617=1,F618=0),$Q$4,0))*IF(AND(F617=1,F618=0),1,0)</f>
      </c>
      <c r="J617" s="333">
        <f>(1+$M$5)^(D617/12)*(H617+IF(AND(F617=1,F618=0),$Q$4,0))</f>
      </c>
      <c r="K617" s="351"/>
      <c r="L617" s="333">
        <f>K617+J617</f>
      </c>
      <c r="M617" s="170"/>
      <c r="N617" s="7"/>
      <c r="O617" s="1"/>
      <c r="P617" s="331">
        <f>D617</f>
      </c>
      <c r="Q617" s="169"/>
      <c r="R617" s="1"/>
      <c r="S617" s="217">
        <f>(1+$M$5)^(D617/12)*(IF(E617=$C$6,$Q$4+$H$5*12,0))</f>
      </c>
      <c r="T617" s="217">
        <f>(1+$M$5)^(D617/12)*(IF(YEAR(E617)&gt;YEAR($C$6),L617,0)+IF(E617=$C$6,$H$5*12+$Q$4,0))</f>
      </c>
    </row>
    <row x14ac:dyDescent="0.25" r="618" customHeight="1" ht="18.75">
      <c r="A618" s="1"/>
      <c r="B618" s="7"/>
      <c r="C618" s="170"/>
      <c r="D618" s="331">
        <v>611</v>
      </c>
      <c r="E618" s="544">
        <f>+DATE(YEAR(E617),MONTH(E617)-1,DAY(E617))</f>
        <v>25569.041666666668</v>
      </c>
      <c r="F618" s="333">
        <f>IF(DATE(YEAR($B$6),MONTH($B$6)+1,DAY(1))=E618,1,IF(MONTH(E618)=1,F619*(1+$F$5),F619))</f>
      </c>
      <c r="G618" s="333">
        <f>IF('Simulador - 1º Pilar'!$E$99="Sí",IF('Aportaciones Flex'!$B$13&lt;'Aportaciones Flex'!E618,0,F618*$B$8/12),F618*$B$8/12)</f>
      </c>
      <c r="H618" s="333">
        <f>IF(G618&gt;0,1,0)*$H$5*IF(AND($I$5="NO",YEAR(E618)=YEAR($B$6)+1),1,IF($I$5="SI",1,0))</f>
      </c>
      <c r="I618" s="217">
        <f>(1+$M$5)^(D618/12)*(H618*(12-IF(MONTH(E619)=12,0,MONTH(E619)))+IF(AND(F618=1,F619=0),$Q$4,0))*IF(AND(F618=1,F619=0),1,0)</f>
      </c>
      <c r="J618" s="333">
        <f>(1+$M$5)^(D618/12)*(H618+IF(AND(F618=1,F619=0),$Q$4,0))</f>
      </c>
      <c r="K618" s="351"/>
      <c r="L618" s="333">
        <f>K618+J618</f>
      </c>
      <c r="M618" s="170"/>
      <c r="N618" s="7"/>
      <c r="O618" s="1"/>
      <c r="P618" s="331">
        <f>D618</f>
      </c>
      <c r="Q618" s="169"/>
      <c r="R618" s="1"/>
      <c r="S618" s="217">
        <f>(1+$M$5)^(D618/12)*(IF(E618=$C$6,$Q$4+$H$5*12,0))</f>
      </c>
      <c r="T618" s="217">
        <f>(1+$M$5)^(D618/12)*(IF(YEAR(E618)&gt;YEAR($C$6),L618,0)+IF(E618=$C$6,$H$5*12+$Q$4,0))</f>
      </c>
    </row>
    <row x14ac:dyDescent="0.25" r="619" customHeight="1" ht="18.75">
      <c r="A619" s="1"/>
      <c r="B619" s="7"/>
      <c r="C619" s="170"/>
      <c r="D619" s="331">
        <v>612</v>
      </c>
      <c r="E619" s="544">
        <f>+DATE(YEAR(E618),MONTH(E618)-1,DAY(E618))</f>
        <v>25569.041666666668</v>
      </c>
      <c r="F619" s="333">
        <f>IF(DATE(YEAR($B$6),MONTH($B$6)+1,DAY(1))=E619,1,IF(MONTH(E619)=1,F620*(1+$F$5),F620))</f>
      </c>
      <c r="G619" s="333">
        <f>IF('Simulador - 1º Pilar'!$E$99="Sí",IF('Aportaciones Flex'!$B$13&lt;'Aportaciones Flex'!E619,0,F619*$B$8/12),F619*$B$8/12)</f>
      </c>
      <c r="H619" s="333">
        <f>IF(G619&gt;0,1,0)*$H$5*IF(AND($I$5="NO",YEAR(E619)=YEAR($B$6)+1),1,IF($I$5="SI",1,0))</f>
      </c>
      <c r="I619" s="217">
        <f>(1+$M$5)^(D619/12)*(H619*(12-IF(MONTH(E620)=12,0,MONTH(E620)))+IF(AND(F619=1,F620=0),$Q$4,0))*IF(AND(F619=1,F620=0),1,0)</f>
      </c>
      <c r="J619" s="333">
        <f>(1+$M$5)^(D619/12)*(H619+IF(AND(F619=1,F620=0),$Q$4,0))</f>
      </c>
      <c r="K619" s="351"/>
      <c r="L619" s="333">
        <f>K619+J619</f>
      </c>
      <c r="M619" s="170"/>
      <c r="N619" s="7"/>
      <c r="O619" s="1"/>
      <c r="P619" s="331">
        <f>D619</f>
      </c>
      <c r="Q619" s="169"/>
      <c r="R619" s="1"/>
      <c r="S619" s="217">
        <f>(1+$M$5)^(D619/12)*(IF(E619=$C$6,$Q$4+$H$5*12,0))</f>
      </c>
      <c r="T619" s="217">
        <f>(1+$M$5)^(D619/12)*(IF(YEAR(E619)&gt;YEAR($C$6),L619,0)+IF(E619=$C$6,$H$5*12+$Q$4,0))</f>
      </c>
    </row>
    <row x14ac:dyDescent="0.25" r="620" customHeight="1" ht="18.75">
      <c r="A620" s="1"/>
      <c r="B620" s="7"/>
      <c r="C620" s="170"/>
      <c r="D620" s="331">
        <v>613</v>
      </c>
      <c r="E620" s="544">
        <f>+DATE(YEAR(E619),MONTH(E619)-1,DAY(E619))</f>
        <v>25569.041666666668</v>
      </c>
      <c r="F620" s="333">
        <f>IF(DATE(YEAR($B$6),MONTH($B$6)+1,DAY(1))=E620,1,IF(MONTH(E620)=1,F621*(1+$F$5),F621))</f>
      </c>
      <c r="G620" s="333">
        <f>IF('Simulador - 1º Pilar'!$E$99="Sí",IF('Aportaciones Flex'!$B$13&lt;'Aportaciones Flex'!E620,0,F620*$B$8/12),F620*$B$8/12)</f>
      </c>
      <c r="H620" s="333">
        <f>IF(G620&gt;0,1,0)*$H$5*IF(AND($I$5="NO",YEAR(E620)=YEAR($B$6)+1),1,IF($I$5="SI",1,0))</f>
      </c>
      <c r="I620" s="217">
        <f>(1+$M$5)^(D620/12)*(H620*(12-IF(MONTH(E621)=12,0,MONTH(E621)))+IF(AND(F620=1,F621=0),$Q$4,0))*IF(AND(F620=1,F621=0),1,0)</f>
      </c>
      <c r="J620" s="333">
        <f>(1+$M$5)^(D620/12)*(H620+IF(AND(F620=1,F621=0),$Q$4,0))</f>
      </c>
      <c r="K620" s="351"/>
      <c r="L620" s="333">
        <f>K620+J620</f>
      </c>
      <c r="M620" s="170"/>
      <c r="N620" s="7"/>
      <c r="O620" s="1"/>
      <c r="P620" s="331">
        <f>D620</f>
      </c>
      <c r="Q620" s="169"/>
      <c r="R620" s="1"/>
      <c r="S620" s="217">
        <f>(1+$M$5)^(D620/12)*(IF(E620=$C$6,$Q$4+$H$5*12,0))</f>
      </c>
      <c r="T620" s="217">
        <f>(1+$M$5)^(D620/12)*(IF(YEAR(E620)&gt;YEAR($C$6),L620,0)+IF(E620=$C$6,$H$5*12+$Q$4,0))</f>
      </c>
    </row>
    <row x14ac:dyDescent="0.25" r="621" customHeight="1" ht="18.75">
      <c r="A621" s="1"/>
      <c r="B621" s="7"/>
      <c r="C621" s="170"/>
      <c r="D621" s="331">
        <v>614</v>
      </c>
      <c r="E621" s="544">
        <f>+DATE(YEAR(E620),MONTH(E620)-1,DAY(E620))</f>
        <v>25569.041666666668</v>
      </c>
      <c r="F621" s="333">
        <f>IF(DATE(YEAR($B$6),MONTH($B$6)+1,DAY(1))=E621,1,IF(MONTH(E621)=1,F622*(1+$F$5),F622))</f>
      </c>
      <c r="G621" s="333">
        <f>IF('Simulador - 1º Pilar'!$E$99="Sí",IF('Aportaciones Flex'!$B$13&lt;'Aportaciones Flex'!E621,0,F621*$B$8/12),F621*$B$8/12)</f>
      </c>
      <c r="H621" s="333">
        <f>IF(G621&gt;0,1,0)*$H$5*IF(AND($I$5="NO",YEAR(E621)=YEAR($B$6)+1),1,IF($I$5="SI",1,0))</f>
      </c>
      <c r="I621" s="217">
        <f>(1+$M$5)^(D621/12)*(H621*(12-IF(MONTH(E622)=12,0,MONTH(E622)))+IF(AND(F621=1,F622=0),$Q$4,0))*IF(AND(F621=1,F622=0),1,0)</f>
      </c>
      <c r="J621" s="333">
        <f>(1+$M$5)^(D621/12)*(H621+IF(AND(F621=1,F622=0),$Q$4,0))</f>
      </c>
      <c r="K621" s="351"/>
      <c r="L621" s="333">
        <f>K621+J621</f>
      </c>
      <c r="M621" s="170"/>
      <c r="N621" s="7"/>
      <c r="O621" s="1"/>
      <c r="P621" s="331">
        <f>D621</f>
      </c>
      <c r="Q621" s="169"/>
      <c r="R621" s="1"/>
      <c r="S621" s="217">
        <f>(1+$M$5)^(D621/12)*(IF(E621=$C$6,$Q$4+$H$5*12,0))</f>
      </c>
      <c r="T621" s="217">
        <f>(1+$M$5)^(D621/12)*(IF(YEAR(E621)&gt;YEAR($C$6),L621,0)+IF(E621=$C$6,$H$5*12+$Q$4,0))</f>
      </c>
    </row>
    <row x14ac:dyDescent="0.25" r="622" customHeight="1" ht="18.75">
      <c r="A622" s="1"/>
      <c r="B622" s="7"/>
      <c r="C622" s="170"/>
      <c r="D622" s="331">
        <v>615</v>
      </c>
      <c r="E622" s="544">
        <f>+DATE(YEAR(E621),MONTH(E621)-1,DAY(E621))</f>
        <v>25569.041666666668</v>
      </c>
      <c r="F622" s="333">
        <f>IF(DATE(YEAR($B$6),MONTH($B$6)+1,DAY(1))=E622,1,IF(MONTH(E622)=1,F623*(1+$F$5),F623))</f>
      </c>
      <c r="G622" s="333">
        <f>IF('Simulador - 1º Pilar'!$E$99="Sí",IF('Aportaciones Flex'!$B$13&lt;'Aportaciones Flex'!E622,0,F622*$B$8/12),F622*$B$8/12)</f>
      </c>
      <c r="H622" s="333">
        <f>IF(G622&gt;0,1,0)*$H$5*IF(AND($I$5="NO",YEAR(E622)=YEAR($B$6)+1),1,IF($I$5="SI",1,0))</f>
      </c>
      <c r="I622" s="217">
        <f>(1+$M$5)^(D622/12)*(H622*(12-IF(MONTH(E623)=12,0,MONTH(E623)))+IF(AND(F622=1,F623=0),$Q$4,0))*IF(AND(F622=1,F623=0),1,0)</f>
      </c>
      <c r="J622" s="333">
        <f>(1+$M$5)^(D622/12)*(H622+IF(AND(F622=1,F623=0),$Q$4,0))</f>
      </c>
      <c r="K622" s="351"/>
      <c r="L622" s="333">
        <f>K622+J622</f>
      </c>
      <c r="M622" s="170"/>
      <c r="N622" s="7"/>
      <c r="O622" s="1"/>
      <c r="P622" s="331">
        <f>D622</f>
      </c>
      <c r="Q622" s="169"/>
      <c r="R622" s="1"/>
      <c r="S622" s="217">
        <f>(1+$M$5)^(D622/12)*(IF(E622=$C$6,$Q$4+$H$5*12,0))</f>
      </c>
      <c r="T622" s="217">
        <f>(1+$M$5)^(D622/12)*(IF(YEAR(E622)&gt;YEAR($C$6),L622,0)+IF(E622=$C$6,$H$5*12+$Q$4,0))</f>
      </c>
    </row>
    <row x14ac:dyDescent="0.25" r="623" customHeight="1" ht="18.75">
      <c r="A623" s="1"/>
      <c r="B623" s="7"/>
      <c r="C623" s="170"/>
      <c r="D623" s="331">
        <v>616</v>
      </c>
      <c r="E623" s="544">
        <f>+DATE(YEAR(E622),MONTH(E622)-1,DAY(E622))</f>
        <v>25569.041666666668</v>
      </c>
      <c r="F623" s="333">
        <f>IF(DATE(YEAR($B$6),MONTH($B$6)+1,DAY(1))=E623,1,IF(MONTH(E623)=1,F624*(1+$F$5),F624))</f>
      </c>
      <c r="G623" s="333">
        <f>IF('Simulador - 1º Pilar'!$E$99="Sí",IF('Aportaciones Flex'!$B$13&lt;'Aportaciones Flex'!E623,0,F623*$B$8/12),F623*$B$8/12)</f>
      </c>
      <c r="H623" s="333">
        <f>IF(G623&gt;0,1,0)*$H$5*IF(AND($I$5="NO",YEAR(E623)=YEAR($B$6)+1),1,IF($I$5="SI",1,0))</f>
      </c>
      <c r="I623" s="217">
        <f>(1+$M$5)^(D623/12)*(H623*(12-IF(MONTH(E624)=12,0,MONTH(E624)))+IF(AND(F623=1,F624=0),$Q$4,0))*IF(AND(F623=1,F624=0),1,0)</f>
      </c>
      <c r="J623" s="333">
        <f>(1+$M$5)^(D623/12)*(H623+IF(AND(F623=1,F624=0),$Q$4,0))</f>
      </c>
      <c r="K623" s="351"/>
      <c r="L623" s="333">
        <f>K623+J623</f>
      </c>
      <c r="M623" s="170"/>
      <c r="N623" s="7"/>
      <c r="O623" s="1"/>
      <c r="P623" s="331">
        <f>D623</f>
      </c>
      <c r="Q623" s="169"/>
      <c r="R623" s="1"/>
      <c r="S623" s="217">
        <f>(1+$M$5)^(D623/12)*(IF(E623=$C$6,$Q$4+$H$5*12,0))</f>
      </c>
      <c r="T623" s="217">
        <f>(1+$M$5)^(D623/12)*(IF(YEAR(E623)&gt;YEAR($C$6),L623,0)+IF(E623=$C$6,$H$5*12+$Q$4,0))</f>
      </c>
    </row>
    <row x14ac:dyDescent="0.25" r="624" customHeight="1" ht="18.75">
      <c r="A624" s="1"/>
      <c r="B624" s="7"/>
      <c r="C624" s="170"/>
      <c r="D624" s="331">
        <v>617</v>
      </c>
      <c r="E624" s="544">
        <f>+DATE(YEAR(E623),MONTH(E623)-1,DAY(E623))</f>
        <v>25569.041666666668</v>
      </c>
      <c r="F624" s="333">
        <f>IF(DATE(YEAR($B$6),MONTH($B$6)+1,DAY(1))=E624,1,IF(MONTH(E624)=1,F625*(1+$F$5),F625))</f>
      </c>
      <c r="G624" s="333">
        <f>IF('Simulador - 1º Pilar'!$E$99="Sí",IF('Aportaciones Flex'!$B$13&lt;'Aportaciones Flex'!E624,0,F624*$B$8/12),F624*$B$8/12)</f>
      </c>
      <c r="H624" s="333">
        <f>IF(G624&gt;0,1,0)*$H$5*IF(AND($I$5="NO",YEAR(E624)=YEAR($B$6)+1),1,IF($I$5="SI",1,0))</f>
      </c>
      <c r="I624" s="217">
        <f>(1+$M$5)^(D624/12)*(H624*(12-IF(MONTH(E625)=12,0,MONTH(E625)))+IF(AND(F624=1,F625=0),$Q$4,0))*IF(AND(F624=1,F625=0),1,0)</f>
      </c>
      <c r="J624" s="333">
        <f>(1+$M$5)^(D624/12)*(H624+IF(AND(F624=1,F625=0),$Q$4,0))</f>
      </c>
      <c r="K624" s="351"/>
      <c r="L624" s="333">
        <f>K624+J624</f>
      </c>
      <c r="M624" s="170"/>
      <c r="N624" s="7"/>
      <c r="O624" s="1"/>
      <c r="P624" s="331">
        <f>D624</f>
      </c>
      <c r="Q624" s="169"/>
      <c r="R624" s="1"/>
      <c r="S624" s="217">
        <f>(1+$M$5)^(D624/12)*(IF(E624=$C$6,$Q$4+$H$5*12,0))</f>
      </c>
      <c r="T624" s="217">
        <f>(1+$M$5)^(D624/12)*(IF(YEAR(E624)&gt;YEAR($C$6),L624,0)+IF(E624=$C$6,$H$5*12+$Q$4,0))</f>
      </c>
    </row>
    <row x14ac:dyDescent="0.25" r="625" customHeight="1" ht="18.75">
      <c r="A625" s="1"/>
      <c r="B625" s="7"/>
      <c r="C625" s="170"/>
      <c r="D625" s="331">
        <v>618</v>
      </c>
      <c r="E625" s="544">
        <f>+DATE(YEAR(E624),MONTH(E624)-1,DAY(E624))</f>
        <v>25569.041666666668</v>
      </c>
      <c r="F625" s="333">
        <f>IF(DATE(YEAR($B$6),MONTH($B$6)+1,DAY(1))=E625,1,IF(MONTH(E625)=1,F626*(1+$F$5),F626))</f>
      </c>
      <c r="G625" s="333">
        <f>IF('Simulador - 1º Pilar'!$E$99="Sí",IF('Aportaciones Flex'!$B$13&lt;'Aportaciones Flex'!E625,0,F625*$B$8/12),F625*$B$8/12)</f>
      </c>
      <c r="H625" s="333">
        <f>IF(G625&gt;0,1,0)*$H$5*IF(AND($I$5="NO",YEAR(E625)=YEAR($B$6)+1),1,IF($I$5="SI",1,0))</f>
      </c>
      <c r="I625" s="217">
        <f>(1+$M$5)^(D625/12)*(H625*(12-IF(MONTH(E626)=12,0,MONTH(E626)))+IF(AND(F625=1,F626=0),$Q$4,0))*IF(AND(F625=1,F626=0),1,0)</f>
      </c>
      <c r="J625" s="333">
        <f>(1+$M$5)^(D625/12)*(H625+IF(AND(F625=1,F626=0),$Q$4,0))</f>
      </c>
      <c r="K625" s="351"/>
      <c r="L625" s="333">
        <f>K625+J625</f>
      </c>
      <c r="M625" s="170"/>
      <c r="N625" s="7"/>
      <c r="O625" s="1"/>
      <c r="P625" s="331">
        <f>D625</f>
      </c>
      <c r="Q625" s="169"/>
      <c r="R625" s="1"/>
      <c r="S625" s="217">
        <f>(1+$M$5)^(D625/12)*(IF(E625=$C$6,$Q$4+$H$5*12,0))</f>
      </c>
      <c r="T625" s="217">
        <f>(1+$M$5)^(D625/12)*(IF(YEAR(E625)&gt;YEAR($C$6),L625,0)+IF(E625=$C$6,$H$5*12+$Q$4,0))</f>
      </c>
    </row>
    <row x14ac:dyDescent="0.25" r="626" customHeight="1" ht="18.75">
      <c r="A626" s="1"/>
      <c r="B626" s="7"/>
      <c r="C626" s="170"/>
      <c r="D626" s="331">
        <v>619</v>
      </c>
      <c r="E626" s="544">
        <f>+DATE(YEAR(E625),MONTH(E625)-1,DAY(E625))</f>
        <v>25569.041666666668</v>
      </c>
      <c r="F626" s="333">
        <f>IF(DATE(YEAR($B$6),MONTH($B$6)+1,DAY(1))=E626,1,IF(MONTH(E626)=1,F627*(1+$F$5),F627))</f>
      </c>
      <c r="G626" s="333">
        <f>IF('Simulador - 1º Pilar'!$E$99="Sí",IF('Aportaciones Flex'!$B$13&lt;'Aportaciones Flex'!E626,0,F626*$B$8/12),F626*$B$8/12)</f>
      </c>
      <c r="H626" s="333">
        <f>IF(G626&gt;0,1,0)*$H$5*IF(AND($I$5="NO",YEAR(E626)=YEAR($B$6)+1),1,IF($I$5="SI",1,0))</f>
      </c>
      <c r="I626" s="217">
        <f>(1+$M$5)^(D626/12)*(H626*(12-IF(MONTH(E627)=12,0,MONTH(E627)))+IF(AND(F626=1,F627=0),$Q$4,0))*IF(AND(F626=1,F627=0),1,0)</f>
      </c>
      <c r="J626" s="333">
        <f>(1+$M$5)^(D626/12)*(H626+IF(AND(F626=1,F627=0),$Q$4,0))</f>
      </c>
      <c r="K626" s="351"/>
      <c r="L626" s="333">
        <f>K626+J626</f>
      </c>
      <c r="M626" s="170"/>
      <c r="N626" s="7"/>
      <c r="O626" s="1"/>
      <c r="P626" s="331">
        <f>D626</f>
      </c>
      <c r="Q626" s="169"/>
      <c r="R626" s="1"/>
      <c r="S626" s="217">
        <f>(1+$M$5)^(D626/12)*(IF(E626=$C$6,$Q$4+$H$5*12,0))</f>
      </c>
      <c r="T626" s="217">
        <f>(1+$M$5)^(D626/12)*(IF(YEAR(E626)&gt;YEAR($C$6),L626,0)+IF(E626=$C$6,$H$5*12+$Q$4,0))</f>
      </c>
    </row>
    <row x14ac:dyDescent="0.25" r="627" customHeight="1" ht="18.75">
      <c r="A627" s="1"/>
      <c r="B627" s="7"/>
      <c r="C627" s="170"/>
      <c r="D627" s="331">
        <v>620</v>
      </c>
      <c r="E627" s="544">
        <f>+DATE(YEAR(E626),MONTH(E626)-1,DAY(E626))</f>
        <v>25569.041666666668</v>
      </c>
      <c r="F627" s="333">
        <f>IF(DATE(YEAR($B$6),MONTH($B$6)+1,DAY(1))=E627,1,IF(MONTH(E627)=1,F628*(1+$F$5),F628))</f>
      </c>
      <c r="G627" s="333">
        <f>IF('Simulador - 1º Pilar'!$E$99="Sí",IF('Aportaciones Flex'!$B$13&lt;'Aportaciones Flex'!E627,0,F627*$B$8/12),F627*$B$8/12)</f>
      </c>
      <c r="H627" s="333">
        <f>IF(G627&gt;0,1,0)*$H$5*IF(AND($I$5="NO",YEAR(E627)=YEAR($B$6)+1),1,IF($I$5="SI",1,0))</f>
      </c>
      <c r="I627" s="217">
        <f>(1+$M$5)^(D627/12)*(H627*(12-IF(MONTH(E628)=12,0,MONTH(E628)))+IF(AND(F627=1,F628=0),$Q$4,0))*IF(AND(F627=1,F628=0),1,0)</f>
      </c>
      <c r="J627" s="333">
        <f>(1+$M$5)^(D627/12)*(H627+IF(AND(F627=1,F628=0),$Q$4,0))</f>
      </c>
      <c r="K627" s="351"/>
      <c r="L627" s="333">
        <f>K627+J627</f>
      </c>
      <c r="M627" s="170"/>
      <c r="N627" s="7"/>
      <c r="O627" s="1"/>
      <c r="P627" s="331">
        <f>D627</f>
      </c>
      <c r="Q627" s="169"/>
      <c r="R627" s="1"/>
      <c r="S627" s="217">
        <f>(1+$M$5)^(D627/12)*(IF(E627=$C$6,$Q$4+$H$5*12,0))</f>
      </c>
      <c r="T627" s="217">
        <f>(1+$M$5)^(D627/12)*(IF(YEAR(E627)&gt;YEAR($C$6),L627,0)+IF(E627=$C$6,$H$5*12+$Q$4,0))</f>
      </c>
    </row>
    <row x14ac:dyDescent="0.25" r="628" customHeight="1" ht="18.75">
      <c r="A628" s="1"/>
      <c r="B628" s="7"/>
      <c r="C628" s="170"/>
      <c r="D628" s="331">
        <v>621</v>
      </c>
      <c r="E628" s="544">
        <f>+DATE(YEAR(E627),MONTH(E627)-1,DAY(E627))</f>
        <v>25569.041666666668</v>
      </c>
      <c r="F628" s="333">
        <f>IF(DATE(YEAR($B$6),MONTH($B$6)+1,DAY(1))=E628,1,IF(MONTH(E628)=1,F629*(1+$F$5),F629))</f>
      </c>
      <c r="G628" s="333">
        <f>IF('Simulador - 1º Pilar'!$E$99="Sí",IF('Aportaciones Flex'!$B$13&lt;'Aportaciones Flex'!E628,0,F628*$B$8/12),F628*$B$8/12)</f>
      </c>
      <c r="H628" s="333">
        <f>IF(G628&gt;0,1,0)*$H$5*IF(AND($I$5="NO",YEAR(E628)=YEAR($B$6)+1),1,IF($I$5="SI",1,0))</f>
      </c>
      <c r="I628" s="217">
        <f>(1+$M$5)^(D628/12)*(H628*(12-IF(MONTH(E629)=12,0,MONTH(E629)))+IF(AND(F628=1,F629=0),$Q$4,0))*IF(AND(F628=1,F629=0),1,0)</f>
      </c>
      <c r="J628" s="333">
        <f>(1+$M$5)^(D628/12)*(H628+IF(AND(F628=1,F629=0),$Q$4,0))</f>
      </c>
      <c r="K628" s="351"/>
      <c r="L628" s="333">
        <f>K628+J628</f>
      </c>
      <c r="M628" s="170"/>
      <c r="N628" s="7"/>
      <c r="O628" s="1"/>
      <c r="P628" s="331">
        <f>D628</f>
      </c>
      <c r="Q628" s="169"/>
      <c r="R628" s="1"/>
      <c r="S628" s="217">
        <f>(1+$M$5)^(D628/12)*(IF(E628=$C$6,$Q$4+$H$5*12,0))</f>
      </c>
      <c r="T628" s="217">
        <f>(1+$M$5)^(D628/12)*(IF(YEAR(E628)&gt;YEAR($C$6),L628,0)+IF(E628=$C$6,$H$5*12+$Q$4,0))</f>
      </c>
    </row>
    <row x14ac:dyDescent="0.25" r="629" customHeight="1" ht="18.75">
      <c r="A629" s="1"/>
      <c r="B629" s="7"/>
      <c r="C629" s="170"/>
      <c r="D629" s="331">
        <v>622</v>
      </c>
      <c r="E629" s="544">
        <f>+DATE(YEAR(E628),MONTH(E628)-1,DAY(E628))</f>
        <v>25569.041666666668</v>
      </c>
      <c r="F629" s="333">
        <f>IF(DATE(YEAR($B$6),MONTH($B$6)+1,DAY(1))=E629,1,IF(MONTH(E629)=1,F630*(1+$F$5),F630))</f>
      </c>
      <c r="G629" s="333">
        <f>IF('Simulador - 1º Pilar'!$E$99="Sí",IF('Aportaciones Flex'!$B$13&lt;'Aportaciones Flex'!E629,0,F629*$B$8/12),F629*$B$8/12)</f>
      </c>
      <c r="H629" s="333">
        <f>IF(G629&gt;0,1,0)*$H$5*IF(AND($I$5="NO",YEAR(E629)=YEAR($B$6)+1),1,IF($I$5="SI",1,0))</f>
      </c>
      <c r="I629" s="217">
        <f>(1+$M$5)^(D629/12)*(H629*(12-IF(MONTH(E630)=12,0,MONTH(E630)))+IF(AND(F629=1,F630=0),$Q$4,0))*IF(AND(F629=1,F630=0),1,0)</f>
      </c>
      <c r="J629" s="333">
        <f>(1+$M$5)^(D629/12)*(H629+IF(AND(F629=1,F630=0),$Q$4,0))</f>
      </c>
      <c r="K629" s="351"/>
      <c r="L629" s="333">
        <f>K629+J629</f>
      </c>
      <c r="M629" s="170"/>
      <c r="N629" s="7"/>
      <c r="O629" s="1"/>
      <c r="P629" s="331">
        <f>D629</f>
      </c>
      <c r="Q629" s="169"/>
      <c r="R629" s="1"/>
      <c r="S629" s="217">
        <f>(1+$M$5)^(D629/12)*(IF(E629=$C$6,$Q$4+$H$5*12,0))</f>
      </c>
      <c r="T629" s="217">
        <f>(1+$M$5)^(D629/12)*(IF(YEAR(E629)&gt;YEAR($C$6),L629,0)+IF(E629=$C$6,$H$5*12+$Q$4,0))</f>
      </c>
    </row>
    <row x14ac:dyDescent="0.25" r="630" customHeight="1" ht="18.75">
      <c r="A630" s="1"/>
      <c r="B630" s="7"/>
      <c r="C630" s="170"/>
      <c r="D630" s="331">
        <v>623</v>
      </c>
      <c r="E630" s="544">
        <f>+DATE(YEAR(E629),MONTH(E629)-1,DAY(E629))</f>
        <v>25569.041666666668</v>
      </c>
      <c r="F630" s="333">
        <f>IF(DATE(YEAR($B$6),MONTH($B$6)+1,DAY(1))=E630,1,IF(MONTH(E630)=1,F631*(1+$F$5),F631))</f>
      </c>
      <c r="G630" s="333">
        <f>IF('Simulador - 1º Pilar'!$E$99="Sí",IF('Aportaciones Flex'!$B$13&lt;'Aportaciones Flex'!E630,0,F630*$B$8/12),F630*$B$8/12)</f>
      </c>
      <c r="H630" s="333">
        <f>IF(G630&gt;0,1,0)*$H$5*IF(AND($I$5="NO",YEAR(E630)=YEAR($B$6)+1),1,IF($I$5="SI",1,0))</f>
      </c>
      <c r="I630" s="217">
        <f>(1+$M$5)^(D630/12)*(H630*(12-IF(MONTH(E631)=12,0,MONTH(E631)))+IF(AND(F630=1,F631=0),$Q$4,0))*IF(AND(F630=1,F631=0),1,0)</f>
      </c>
      <c r="J630" s="333">
        <f>(1+$M$5)^(D630/12)*(H630+IF(AND(F630=1,F631=0),$Q$4,0))</f>
      </c>
      <c r="K630" s="351"/>
      <c r="L630" s="333">
        <f>K630+J630</f>
      </c>
      <c r="M630" s="170"/>
      <c r="N630" s="7"/>
      <c r="O630" s="1"/>
      <c r="P630" s="331">
        <f>D630</f>
      </c>
      <c r="Q630" s="169"/>
      <c r="R630" s="1"/>
      <c r="S630" s="217">
        <f>(1+$M$5)^(D630/12)*(IF(E630=$C$6,$Q$4+$H$5*12,0))</f>
      </c>
      <c r="T630" s="217">
        <f>(1+$M$5)^(D630/12)*(IF(YEAR(E630)&gt;YEAR($C$6),L630,0)+IF(E630=$C$6,$H$5*12+$Q$4,0))</f>
      </c>
    </row>
    <row x14ac:dyDescent="0.25" r="631" customHeight="1" ht="18.75">
      <c r="A631" s="1"/>
      <c r="B631" s="7"/>
      <c r="C631" s="170"/>
      <c r="D631" s="331">
        <v>624</v>
      </c>
      <c r="E631" s="544">
        <f>+DATE(YEAR(E630),MONTH(E630)-1,DAY(E630))</f>
        <v>25569.041666666668</v>
      </c>
      <c r="F631" s="333">
        <f>IF(DATE(YEAR($B$6),MONTH($B$6)+1,DAY(1))=E631,1,IF(MONTH(E631)=1,F632*(1+$F$5),F632))</f>
      </c>
      <c r="G631" s="333">
        <f>IF('Simulador - 1º Pilar'!$E$99="Sí",IF('Aportaciones Flex'!$B$13&lt;'Aportaciones Flex'!E631,0,F631*$B$8/12),F631*$B$8/12)</f>
      </c>
      <c r="H631" s="333">
        <f>IF(G631&gt;0,1,0)*$H$5*IF(AND($I$5="NO",YEAR(E631)=YEAR($B$6)+1),1,IF($I$5="SI",1,0))</f>
      </c>
      <c r="I631" s="217">
        <f>(1+$M$5)^(D631/12)*(H631*(12-IF(MONTH(E632)=12,0,MONTH(E632)))+IF(AND(F631=1,F632=0),$Q$4,0))*IF(AND(F631=1,F632=0),1,0)</f>
      </c>
      <c r="J631" s="333">
        <f>(1+$M$5)^(D631/12)*(H631+IF(AND(F631=1,F632=0),$Q$4,0))</f>
      </c>
      <c r="K631" s="351"/>
      <c r="L631" s="333">
        <f>K631+J631</f>
      </c>
      <c r="M631" s="170"/>
      <c r="N631" s="7"/>
      <c r="O631" s="1"/>
      <c r="P631" s="331">
        <f>D631</f>
      </c>
      <c r="Q631" s="169"/>
      <c r="R631" s="1"/>
      <c r="S631" s="217">
        <f>(1+$M$5)^(D631/12)*(IF(E631=$C$6,$Q$4+$H$5*12,0))</f>
      </c>
      <c r="T631" s="217">
        <f>(1+$M$5)^(D631/12)*(IF(YEAR(E631)&gt;YEAR($C$6),L631,0)+IF(E631=$C$6,$H$5*12+$Q$4,0))</f>
      </c>
    </row>
    <row x14ac:dyDescent="0.25" r="632" customHeight="1" ht="18.75">
      <c r="A632" s="1"/>
      <c r="B632" s="7"/>
      <c r="C632" s="170"/>
      <c r="D632" s="331">
        <v>625</v>
      </c>
      <c r="E632" s="544">
        <f>+DATE(YEAR(E631),MONTH(E631)-1,DAY(E631))</f>
        <v>25569.041666666668</v>
      </c>
      <c r="F632" s="333">
        <f>IF(DATE(YEAR($B$6),MONTH($B$6)+1,DAY(1))=E632,1,IF(MONTH(E632)=1,F633*(1+$F$5),F633))</f>
      </c>
      <c r="G632" s="333">
        <f>IF('Simulador - 1º Pilar'!$E$99="Sí",IF('Aportaciones Flex'!$B$13&lt;'Aportaciones Flex'!E632,0,F632*$B$8/12),F632*$B$8/12)</f>
      </c>
      <c r="H632" s="333">
        <f>IF(G632&gt;0,1,0)*$H$5*IF(AND($I$5="NO",YEAR(E632)=YEAR($B$6)+1),1,IF($I$5="SI",1,0))</f>
      </c>
      <c r="I632" s="217">
        <f>(1+$M$5)^(D632/12)*(H632*(12-IF(MONTH(E633)=12,0,MONTH(E633)))+IF(AND(F632=1,F633=0),$Q$4,0))*IF(AND(F632=1,F633=0),1,0)</f>
      </c>
      <c r="J632" s="333">
        <f>(1+$M$5)^(D632/12)*(H632+IF(AND(F632=1,F633=0),$Q$4,0))</f>
      </c>
      <c r="K632" s="351"/>
      <c r="L632" s="333">
        <f>K632+J632</f>
      </c>
      <c r="M632" s="170"/>
      <c r="N632" s="7"/>
      <c r="O632" s="1"/>
      <c r="P632" s="331">
        <f>D632</f>
      </c>
      <c r="Q632" s="169"/>
      <c r="R632" s="1"/>
      <c r="S632" s="217">
        <f>(1+$M$5)^(D632/12)*(IF(E632=$C$6,$Q$4+$H$5*12,0))</f>
      </c>
      <c r="T632" s="217">
        <f>(1+$M$5)^(D632/12)*(IF(YEAR(E632)&gt;YEAR($C$6),L632,0)+IF(E632=$C$6,$H$5*12+$Q$4,0))</f>
      </c>
    </row>
    <row x14ac:dyDescent="0.25" r="633" customHeight="1" ht="18.75">
      <c r="A633" s="1"/>
      <c r="B633" s="7"/>
      <c r="C633" s="170"/>
      <c r="D633" s="331">
        <v>626</v>
      </c>
      <c r="E633" s="544">
        <f>+DATE(YEAR(E632),MONTH(E632)-1,DAY(E632))</f>
        <v>25569.041666666668</v>
      </c>
      <c r="F633" s="333">
        <f>IF(DATE(YEAR($B$6),MONTH($B$6)+1,DAY(1))=E633,1,IF(MONTH(E633)=1,F634*(1+$F$5),F634))</f>
      </c>
      <c r="G633" s="333">
        <f>IF('Simulador - 1º Pilar'!$E$99="Sí",IF('Aportaciones Flex'!$B$13&lt;'Aportaciones Flex'!E633,0,F633*$B$8/12),F633*$B$8/12)</f>
      </c>
      <c r="H633" s="333">
        <f>IF(G633&gt;0,1,0)*$H$5*IF(AND($I$5="NO",YEAR(E633)=YEAR($B$6)+1),1,IF($I$5="SI",1,0))</f>
      </c>
      <c r="I633" s="217">
        <f>(1+$M$5)^(D633/12)*(H633*(12-IF(MONTH(E634)=12,0,MONTH(E634)))+IF(AND(F633=1,F634=0),$Q$4,0))*IF(AND(F633=1,F634=0),1,0)</f>
      </c>
      <c r="J633" s="333">
        <f>(1+$M$5)^(D633/12)*(H633+IF(AND(F633=1,F634=0),$Q$4,0))</f>
      </c>
      <c r="K633" s="351"/>
      <c r="L633" s="333">
        <f>K633+J633</f>
      </c>
      <c r="M633" s="170"/>
      <c r="N633" s="7"/>
      <c r="O633" s="1"/>
      <c r="P633" s="331">
        <f>D633</f>
      </c>
      <c r="Q633" s="169"/>
      <c r="R633" s="1"/>
      <c r="S633" s="217">
        <f>(1+$M$5)^(D633/12)*(IF(E633=$C$6,$Q$4+$H$5*12,0))</f>
      </c>
      <c r="T633" s="217">
        <f>(1+$M$5)^(D633/12)*(IF(YEAR(E633)&gt;YEAR($C$6),L633,0)+IF(E633=$C$6,$H$5*12+$Q$4,0))</f>
      </c>
    </row>
    <row x14ac:dyDescent="0.25" r="634" customHeight="1" ht="18.75">
      <c r="A634" s="1"/>
      <c r="B634" s="7"/>
      <c r="C634" s="170"/>
      <c r="D634" s="331">
        <v>627</v>
      </c>
      <c r="E634" s="544">
        <f>+DATE(YEAR(E633),MONTH(E633)-1,DAY(E633))</f>
        <v>25569.041666666668</v>
      </c>
      <c r="F634" s="333">
        <f>IF(DATE(YEAR($B$6),MONTH($B$6)+1,DAY(1))=E634,1,IF(MONTH(E634)=1,F635*(1+$F$5),F635))</f>
      </c>
      <c r="G634" s="333">
        <f>IF('Simulador - 1º Pilar'!$E$99="Sí",IF('Aportaciones Flex'!$B$13&lt;'Aportaciones Flex'!E634,0,F634*$B$8/12),F634*$B$8/12)</f>
      </c>
      <c r="H634" s="333">
        <f>IF(G634&gt;0,1,0)*$H$5*IF(AND($I$5="NO",YEAR(E634)=YEAR($B$6)+1),1,IF($I$5="SI",1,0))</f>
      </c>
      <c r="I634" s="217">
        <f>(1+$M$5)^(D634/12)*(H634*(12-IF(MONTH(E635)=12,0,MONTH(E635)))+IF(AND(F634=1,F635=0),$Q$4,0))*IF(AND(F634=1,F635=0),1,0)</f>
      </c>
      <c r="J634" s="333">
        <f>(1+$M$5)^(D634/12)*(H634+IF(AND(F634=1,F635=0),$Q$4,0))</f>
      </c>
      <c r="K634" s="351"/>
      <c r="L634" s="333">
        <f>K634+J634</f>
      </c>
      <c r="M634" s="170"/>
      <c r="N634" s="7"/>
      <c r="O634" s="1"/>
      <c r="P634" s="331">
        <f>D634</f>
      </c>
      <c r="Q634" s="169"/>
      <c r="R634" s="1"/>
      <c r="S634" s="217">
        <f>(1+$M$5)^(D634/12)*(IF(E634=$C$6,$Q$4+$H$5*12,0))</f>
      </c>
      <c r="T634" s="217">
        <f>(1+$M$5)^(D634/12)*(IF(YEAR(E634)&gt;YEAR($C$6),L634,0)+IF(E634=$C$6,$H$5*12+$Q$4,0))</f>
      </c>
    </row>
    <row x14ac:dyDescent="0.25" r="635" customHeight="1" ht="18.75">
      <c r="A635" s="1"/>
      <c r="B635" s="7"/>
      <c r="C635" s="170"/>
      <c r="D635" s="331">
        <v>628</v>
      </c>
      <c r="E635" s="544">
        <f>+DATE(YEAR(E634),MONTH(E634)-1,DAY(E634))</f>
        <v>25569.041666666668</v>
      </c>
      <c r="F635" s="333">
        <f>IF(DATE(YEAR($B$6),MONTH($B$6)+1,DAY(1))=E635,1,IF(MONTH(E635)=1,F636*(1+$F$5),F636))</f>
      </c>
      <c r="G635" s="333">
        <f>IF('Simulador - 1º Pilar'!$E$99="Sí",IF('Aportaciones Flex'!$B$13&lt;'Aportaciones Flex'!E635,0,F635*$B$8/12),F635*$B$8/12)</f>
      </c>
      <c r="H635" s="333">
        <f>IF(G635&gt;0,1,0)*$H$5*IF(AND($I$5="NO",YEAR(E635)=YEAR($B$6)+1),1,IF($I$5="SI",1,0))</f>
      </c>
      <c r="I635" s="217">
        <f>(1+$M$5)^(D635/12)*(H635*(12-IF(MONTH(E636)=12,0,MONTH(E636)))+IF(AND(F635=1,F636=0),$Q$4,0))*IF(AND(F635=1,F636=0),1,0)</f>
      </c>
      <c r="J635" s="333">
        <f>(1+$M$5)^(D635/12)*(H635+IF(AND(F635=1,F636=0),$Q$4,0))</f>
      </c>
      <c r="K635" s="351"/>
      <c r="L635" s="333">
        <f>K635+J635</f>
      </c>
      <c r="M635" s="170"/>
      <c r="N635" s="7"/>
      <c r="O635" s="1"/>
      <c r="P635" s="331">
        <f>D635</f>
      </c>
      <c r="Q635" s="169"/>
      <c r="R635" s="1"/>
      <c r="S635" s="217">
        <f>(1+$M$5)^(D635/12)*(IF(E635=$C$6,$Q$4+$H$5*12,0))</f>
      </c>
      <c r="T635" s="217">
        <f>(1+$M$5)^(D635/12)*(IF(YEAR(E635)&gt;YEAR($C$6),L635,0)+IF(E635=$C$6,$H$5*12+$Q$4,0))</f>
      </c>
    </row>
    <row x14ac:dyDescent="0.25" r="636" customHeight="1" ht="18.75">
      <c r="A636" s="1"/>
      <c r="B636" s="7"/>
      <c r="C636" s="170"/>
      <c r="D636" s="331">
        <v>629</v>
      </c>
      <c r="E636" s="544">
        <f>+DATE(YEAR(E635),MONTH(E635)-1,DAY(E635))</f>
        <v>25569.041666666668</v>
      </c>
      <c r="F636" s="333">
        <f>IF(DATE(YEAR($B$6),MONTH($B$6)+1,DAY(1))=E636,1,IF(MONTH(E636)=1,F637*(1+$F$5),F637))</f>
      </c>
      <c r="G636" s="333">
        <f>IF('Simulador - 1º Pilar'!$E$99="Sí",IF('Aportaciones Flex'!$B$13&lt;'Aportaciones Flex'!E636,0,F636*$B$8/12),F636*$B$8/12)</f>
      </c>
      <c r="H636" s="333">
        <f>IF(G636&gt;0,1,0)*$H$5*IF(AND($I$5="NO",YEAR(E636)=YEAR($B$6)+1),1,IF($I$5="SI",1,0))</f>
      </c>
      <c r="I636" s="217">
        <f>(1+$M$5)^(D636/12)*(H636*(12-IF(MONTH(E637)=12,0,MONTH(E637)))+IF(AND(F636=1,F637=0),$Q$4,0))*IF(AND(F636=1,F637=0),1,0)</f>
      </c>
      <c r="J636" s="333">
        <f>(1+$M$5)^(D636/12)*(H636+IF(AND(F636=1,F637=0),$Q$4,0))</f>
      </c>
      <c r="K636" s="351"/>
      <c r="L636" s="333">
        <f>K636+J636</f>
      </c>
      <c r="M636" s="170"/>
      <c r="N636" s="7"/>
      <c r="O636" s="1"/>
      <c r="P636" s="331">
        <f>D636</f>
      </c>
      <c r="Q636" s="169"/>
      <c r="R636" s="1"/>
      <c r="S636" s="217">
        <f>(1+$M$5)^(D636/12)*(IF(E636=$C$6,$Q$4+$H$5*12,0))</f>
      </c>
      <c r="T636" s="217">
        <f>(1+$M$5)^(D636/12)*(IF(YEAR(E636)&gt;YEAR($C$6),L636,0)+IF(E636=$C$6,$H$5*12+$Q$4,0))</f>
      </c>
    </row>
    <row x14ac:dyDescent="0.25" r="637" customHeight="1" ht="18.75">
      <c r="A637" s="1"/>
      <c r="B637" s="7"/>
      <c r="C637" s="170"/>
      <c r="D637" s="331">
        <v>630</v>
      </c>
      <c r="E637" s="544">
        <f>+DATE(YEAR(E636),MONTH(E636)-1,DAY(E636))</f>
        <v>25569.041666666668</v>
      </c>
      <c r="F637" s="333">
        <f>IF(DATE(YEAR($B$6),MONTH($B$6)+1,DAY(1))=E637,1,IF(MONTH(E637)=1,F638*(1+$F$5),F638))</f>
      </c>
      <c r="G637" s="333">
        <f>IF('Simulador - 1º Pilar'!$E$99="Sí",IF('Aportaciones Flex'!$B$13&lt;'Aportaciones Flex'!E637,0,F637*$B$8/12),F637*$B$8/12)</f>
      </c>
      <c r="H637" s="333">
        <f>IF(G637&gt;0,1,0)*$H$5*IF(AND($I$5="NO",YEAR(E637)=YEAR($B$6)+1),1,IF($I$5="SI",1,0))</f>
      </c>
      <c r="I637" s="217">
        <f>(1+$M$5)^(D637/12)*(H637*(12-IF(MONTH(E638)=12,0,MONTH(E638)))+IF(AND(F637=1,F638=0),$Q$4,0))*IF(AND(F637=1,F638=0),1,0)</f>
      </c>
      <c r="J637" s="333">
        <f>(1+$M$5)^(D637/12)*(H637+IF(AND(F637=1,F638=0),$Q$4,0))</f>
      </c>
      <c r="K637" s="351"/>
      <c r="L637" s="333">
        <f>K637+J637</f>
      </c>
      <c r="M637" s="170"/>
      <c r="N637" s="7"/>
      <c r="O637" s="1"/>
      <c r="P637" s="331">
        <f>D637</f>
      </c>
      <c r="Q637" s="169"/>
      <c r="R637" s="1"/>
      <c r="S637" s="217">
        <f>(1+$M$5)^(D637/12)*(IF(E637=$C$6,$Q$4+$H$5*12,0))</f>
      </c>
      <c r="T637" s="217">
        <f>(1+$M$5)^(D637/12)*(IF(YEAR(E637)&gt;YEAR($C$6),L637,0)+IF(E637=$C$6,$H$5*12+$Q$4,0))</f>
      </c>
    </row>
    <row x14ac:dyDescent="0.25" r="638" customHeight="1" ht="18.75">
      <c r="A638" s="1"/>
      <c r="B638" s="7"/>
      <c r="C638" s="170"/>
      <c r="D638" s="331">
        <v>631</v>
      </c>
      <c r="E638" s="544">
        <f>+DATE(YEAR(E637),MONTH(E637)-1,DAY(E637))</f>
        <v>25569.041666666668</v>
      </c>
      <c r="F638" s="333">
        <f>IF(DATE(YEAR($B$6),MONTH($B$6)+1,DAY(1))=E638,1,IF(MONTH(E638)=1,F639*(1+$F$5),F639))</f>
      </c>
      <c r="G638" s="333">
        <f>IF('Simulador - 1º Pilar'!$E$99="Sí",IF('Aportaciones Flex'!$B$13&lt;'Aportaciones Flex'!E638,0,F638*$B$8/12),F638*$B$8/12)</f>
      </c>
      <c r="H638" s="333">
        <f>IF(G638&gt;0,1,0)*$H$5*IF(AND($I$5="NO",YEAR(E638)=YEAR($B$6)+1),1,IF($I$5="SI",1,0))</f>
      </c>
      <c r="I638" s="217">
        <f>(1+$M$5)^(D638/12)*(H638*(12-IF(MONTH(E639)=12,0,MONTH(E639)))+IF(AND(F638=1,F639=0),$Q$4,0))*IF(AND(F638=1,F639=0),1,0)</f>
      </c>
      <c r="J638" s="333">
        <f>(1+$M$5)^(D638/12)*(H638+IF(AND(F638=1,F639=0),$Q$4,0))</f>
      </c>
      <c r="K638" s="351"/>
      <c r="L638" s="333">
        <f>K638+J638</f>
      </c>
      <c r="M638" s="170"/>
      <c r="N638" s="7"/>
      <c r="O638" s="1"/>
      <c r="P638" s="331">
        <f>D638</f>
      </c>
      <c r="Q638" s="169"/>
      <c r="R638" s="1"/>
      <c r="S638" s="217">
        <f>(1+$M$5)^(D638/12)*(IF(E638=$C$6,$Q$4+$H$5*12,0))</f>
      </c>
      <c r="T638" s="217">
        <f>(1+$M$5)^(D638/12)*(IF(YEAR(E638)&gt;YEAR($C$6),L638,0)+IF(E638=$C$6,$H$5*12+$Q$4,0))</f>
      </c>
    </row>
    <row x14ac:dyDescent="0.25" r="639" customHeight="1" ht="18.75">
      <c r="A639" s="1"/>
      <c r="B639" s="7"/>
      <c r="C639" s="170"/>
      <c r="D639" s="331">
        <v>632</v>
      </c>
      <c r="E639" s="544">
        <f>+DATE(YEAR(E638),MONTH(E638)-1,DAY(E638))</f>
        <v>25569.041666666668</v>
      </c>
      <c r="F639" s="333">
        <f>IF(DATE(YEAR($B$6),MONTH($B$6)+1,DAY(1))=E639,1,IF(MONTH(E639)=1,F640*(1+$F$5),F640))</f>
      </c>
      <c r="G639" s="333">
        <f>IF('Simulador - 1º Pilar'!$E$99="Sí",IF('Aportaciones Flex'!$B$13&lt;'Aportaciones Flex'!E639,0,F639*$B$8/12),F639*$B$8/12)</f>
      </c>
      <c r="H639" s="333">
        <f>IF(G639&gt;0,1,0)*$H$5*IF(AND($I$5="NO",YEAR(E639)=YEAR($B$6)+1),1,IF($I$5="SI",1,0))</f>
      </c>
      <c r="I639" s="217">
        <f>(1+$M$5)^(D639/12)*(H639*(12-IF(MONTH(E640)=12,0,MONTH(E640)))+IF(AND(F639=1,F640=0),$Q$4,0))*IF(AND(F639=1,F640=0),1,0)</f>
      </c>
      <c r="J639" s="333">
        <f>(1+$M$5)^(D639/12)*(H639+IF(AND(F639=1,F640=0),$Q$4,0))</f>
      </c>
      <c r="K639" s="351"/>
      <c r="L639" s="333">
        <f>K639+J639</f>
      </c>
      <c r="M639" s="170"/>
      <c r="N639" s="7"/>
      <c r="O639" s="1"/>
      <c r="P639" s="331">
        <f>D639</f>
      </c>
      <c r="Q639" s="169"/>
      <c r="R639" s="1"/>
      <c r="S639" s="217">
        <f>(1+$M$5)^(D639/12)*(IF(E639=$C$6,$Q$4+$H$5*12,0))</f>
      </c>
      <c r="T639" s="217">
        <f>(1+$M$5)^(D639/12)*(IF(YEAR(E639)&gt;YEAR($C$6),L639,0)+IF(E639=$C$6,$H$5*12+$Q$4,0))</f>
      </c>
    </row>
    <row x14ac:dyDescent="0.25" r="640" customHeight="1" ht="18.75">
      <c r="A640" s="1"/>
      <c r="B640" s="7"/>
      <c r="C640" s="170"/>
      <c r="D640" s="331">
        <v>633</v>
      </c>
      <c r="E640" s="544">
        <f>+DATE(YEAR(E639),MONTH(E639)-1,DAY(E639))</f>
        <v>25569.041666666668</v>
      </c>
      <c r="F640" s="333">
        <f>IF(DATE(YEAR($B$6),MONTH($B$6)+1,DAY(1))=E640,1,IF(MONTH(E640)=1,F641*(1+$F$5),F641))</f>
      </c>
      <c r="G640" s="333">
        <f>IF('Simulador - 1º Pilar'!$E$99="Sí",IF('Aportaciones Flex'!$B$13&lt;'Aportaciones Flex'!E640,0,F640*$B$8/12),F640*$B$8/12)</f>
      </c>
      <c r="H640" s="333">
        <f>IF(G640&gt;0,1,0)*$H$5*IF(AND($I$5="NO",YEAR(E640)=YEAR($B$6)+1),1,IF($I$5="SI",1,0))</f>
      </c>
      <c r="I640" s="217">
        <f>(1+$M$5)^(D640/12)*(H640*(12-IF(MONTH(E641)=12,0,MONTH(E641)))+IF(AND(F640=1,F641=0),$Q$4,0))*IF(AND(F640=1,F641=0),1,0)</f>
      </c>
      <c r="J640" s="333">
        <f>(1+$M$5)^(D640/12)*(H640+IF(AND(F640=1,F641=0),$Q$4,0))</f>
      </c>
      <c r="K640" s="351"/>
      <c r="L640" s="333">
        <f>K640+J640</f>
      </c>
      <c r="M640" s="170"/>
      <c r="N640" s="7"/>
      <c r="O640" s="1"/>
      <c r="P640" s="331">
        <f>D640</f>
      </c>
      <c r="Q640" s="169"/>
      <c r="R640" s="1"/>
      <c r="S640" s="217">
        <f>(1+$M$5)^(D640/12)*(IF(E640=$C$6,$Q$4+$H$5*12,0))</f>
      </c>
      <c r="T640" s="217">
        <f>(1+$M$5)^(D640/12)*(IF(YEAR(E640)&gt;YEAR($C$6),L640,0)+IF(E640=$C$6,$H$5*12+$Q$4,0))</f>
      </c>
    </row>
    <row x14ac:dyDescent="0.25" r="641" customHeight="1" ht="18.75">
      <c r="A641" s="1"/>
      <c r="B641" s="7"/>
      <c r="C641" s="170"/>
      <c r="D641" s="331">
        <v>634</v>
      </c>
      <c r="E641" s="544">
        <f>+DATE(YEAR(E640),MONTH(E640)-1,DAY(E640))</f>
        <v>25569.041666666668</v>
      </c>
      <c r="F641" s="333">
        <f>IF(DATE(YEAR($B$6),MONTH($B$6)+1,DAY(1))=E641,1,IF(MONTH(E641)=1,F642*(1+$F$5),F642))</f>
      </c>
      <c r="G641" s="333">
        <f>IF('Simulador - 1º Pilar'!$E$99="Sí",IF('Aportaciones Flex'!$B$13&lt;'Aportaciones Flex'!E641,0,F641*$B$8/12),F641*$B$8/12)</f>
      </c>
      <c r="H641" s="333">
        <f>IF(G641&gt;0,1,0)*$H$5*IF(AND($I$5="NO",YEAR(E641)=YEAR($B$6)+1),1,IF($I$5="SI",1,0))</f>
      </c>
      <c r="I641" s="217">
        <f>(1+$M$5)^(D641/12)*(H641*(12-IF(MONTH(E642)=12,0,MONTH(E642)))+IF(AND(F641=1,F642=0),$Q$4,0))*IF(AND(F641=1,F642=0),1,0)</f>
      </c>
      <c r="J641" s="333">
        <f>(1+$M$5)^(D641/12)*(H641+IF(AND(F641=1,F642=0),$Q$4,0))</f>
      </c>
      <c r="K641" s="351"/>
      <c r="L641" s="333">
        <f>K641+J641</f>
      </c>
      <c r="M641" s="170"/>
      <c r="N641" s="7"/>
      <c r="O641" s="1"/>
      <c r="P641" s="331">
        <f>D641</f>
      </c>
      <c r="Q641" s="169"/>
      <c r="R641" s="1"/>
      <c r="S641" s="217">
        <f>(1+$M$5)^(D641/12)*(IF(E641=$C$6,$Q$4+$H$5*12,0))</f>
      </c>
      <c r="T641" s="217">
        <f>(1+$M$5)^(D641/12)*(IF(YEAR(E641)&gt;YEAR($C$6),L641,0)+IF(E641=$C$6,$H$5*12+$Q$4,0))</f>
      </c>
    </row>
    <row x14ac:dyDescent="0.25" r="642" customHeight="1" ht="18.75">
      <c r="A642" s="1"/>
      <c r="B642" s="7"/>
      <c r="C642" s="170"/>
      <c r="D642" s="331">
        <v>635</v>
      </c>
      <c r="E642" s="544">
        <f>+DATE(YEAR(E641),MONTH(E641)-1,DAY(E641))</f>
        <v>25569.041666666668</v>
      </c>
      <c r="F642" s="333">
        <f>IF(DATE(YEAR($B$6),MONTH($B$6)+1,DAY(1))=E642,1,IF(MONTH(E642)=1,F643*(1+$F$5),F643))</f>
      </c>
      <c r="G642" s="333">
        <f>IF('Simulador - 1º Pilar'!$E$99="Sí",IF('Aportaciones Flex'!$B$13&lt;'Aportaciones Flex'!E642,0,F642*$B$8/12),F642*$B$8/12)</f>
      </c>
      <c r="H642" s="333">
        <f>IF(G642&gt;0,1,0)*$H$5*IF(AND($I$5="NO",YEAR(E642)=YEAR($B$6)+1),1,IF($I$5="SI",1,0))</f>
      </c>
      <c r="I642" s="217">
        <f>(1+$M$5)^(D642/12)*(H642*(12-IF(MONTH(E643)=12,0,MONTH(E643)))+IF(AND(F642=1,F643=0),$Q$4,0))*IF(AND(F642=1,F643=0),1,0)</f>
      </c>
      <c r="J642" s="333">
        <f>(1+$M$5)^(D642/12)*(H642+IF(AND(F642=1,F643=0),$Q$4,0))</f>
      </c>
      <c r="K642" s="351"/>
      <c r="L642" s="333">
        <f>K642+J642</f>
      </c>
      <c r="M642" s="170"/>
      <c r="N642" s="7"/>
      <c r="O642" s="1"/>
      <c r="P642" s="331">
        <f>D642</f>
      </c>
      <c r="Q642" s="169"/>
      <c r="R642" s="1"/>
      <c r="S642" s="217">
        <f>(1+$M$5)^(D642/12)*(IF(E642=$C$6,$Q$4+$H$5*12,0))</f>
      </c>
      <c r="T642" s="217">
        <f>(1+$M$5)^(D642/12)*(IF(YEAR(E642)&gt;YEAR($C$6),L642,0)+IF(E642=$C$6,$H$5*12+$Q$4,0))</f>
      </c>
    </row>
    <row x14ac:dyDescent="0.25" r="643" customHeight="1" ht="18.75">
      <c r="A643" s="1"/>
      <c r="B643" s="7"/>
      <c r="C643" s="170"/>
      <c r="D643" s="331">
        <v>636</v>
      </c>
      <c r="E643" s="544">
        <f>+DATE(YEAR(E642),MONTH(E642)-1,DAY(E642))</f>
        <v>25569.041666666668</v>
      </c>
      <c r="F643" s="333">
        <f>IF(DATE(YEAR($B$6),MONTH($B$6)+1,DAY(1))=E643,1,IF(MONTH(E643)=1,F644*(1+$F$5),F644))</f>
      </c>
      <c r="G643" s="333">
        <f>IF('Simulador - 1º Pilar'!$E$99="Sí",IF('Aportaciones Flex'!$B$13&lt;'Aportaciones Flex'!E643,0,F643*$B$8/12),F643*$B$8/12)</f>
      </c>
      <c r="H643" s="333">
        <f>IF(G643&gt;0,1,0)*$H$5*IF(AND($I$5="NO",YEAR(E643)=YEAR($B$6)+1),1,IF($I$5="SI",1,0))</f>
      </c>
      <c r="I643" s="217">
        <f>(1+$M$5)^(D643/12)*(H643*(12-IF(MONTH(E644)=12,0,MONTH(E644)))+IF(AND(F643=1,F644=0),$Q$4,0))*IF(AND(F643=1,F644=0),1,0)</f>
      </c>
      <c r="J643" s="333">
        <f>(1+$M$5)^(D643/12)*(H643+IF(AND(F643=1,F644=0),$Q$4,0))</f>
      </c>
      <c r="K643" s="351"/>
      <c r="L643" s="333">
        <f>K643+J643</f>
      </c>
      <c r="M643" s="170"/>
      <c r="N643" s="7"/>
      <c r="O643" s="1"/>
      <c r="P643" s="331">
        <f>D643</f>
      </c>
      <c r="Q643" s="169"/>
      <c r="R643" s="1"/>
      <c r="S643" s="217">
        <f>(1+$M$5)^(D643/12)*(IF(E643=$C$6,$Q$4+$H$5*12,0))</f>
      </c>
      <c r="T643" s="217">
        <f>(1+$M$5)^(D643/12)*(IF(YEAR(E643)&gt;YEAR($C$6),L643,0)+IF(E643=$C$6,$H$5*12+$Q$4,0))</f>
      </c>
    </row>
    <row x14ac:dyDescent="0.25" r="644" customHeight="1" ht="18.75">
      <c r="A644" s="1"/>
      <c r="B644" s="7"/>
      <c r="C644" s="170"/>
      <c r="D644" s="331">
        <v>637</v>
      </c>
      <c r="E644" s="544">
        <f>+DATE(YEAR(E643),MONTH(E643)-1,DAY(E643))</f>
        <v>25569.041666666668</v>
      </c>
      <c r="F644" s="333">
        <f>IF(DATE(YEAR($B$6),MONTH($B$6)+1,DAY(1))=E644,1,IF(MONTH(E644)=1,F645*(1+$F$5),F645))</f>
      </c>
      <c r="G644" s="333">
        <f>IF('Simulador - 1º Pilar'!$E$99="Sí",IF('Aportaciones Flex'!$B$13&lt;'Aportaciones Flex'!E644,0,F644*$B$8/12),F644*$B$8/12)</f>
      </c>
      <c r="H644" s="333">
        <f>IF(G644&gt;0,1,0)*$H$5*IF(AND($I$5="NO",YEAR(E644)=YEAR($B$6)+1),1,IF($I$5="SI",1,0))</f>
      </c>
      <c r="I644" s="217">
        <f>(1+$M$5)^(D644/12)*(H644*(12-IF(MONTH(E645)=12,0,MONTH(E645)))+IF(AND(F644=1,F645=0),$Q$4,0))*IF(AND(F644=1,F645=0),1,0)</f>
      </c>
      <c r="J644" s="333">
        <f>(1+$M$5)^(D644/12)*(H644+IF(AND(F644=1,F645=0),$Q$4,0))</f>
      </c>
      <c r="K644" s="351"/>
      <c r="L644" s="333">
        <f>K644+J644</f>
      </c>
      <c r="M644" s="170"/>
      <c r="N644" s="7"/>
      <c r="O644" s="1"/>
      <c r="P644" s="331">
        <f>D644</f>
      </c>
      <c r="Q644" s="169"/>
      <c r="R644" s="1"/>
      <c r="S644" s="217">
        <f>(1+$M$5)^(D644/12)*(IF(E644=$C$6,$Q$4+$H$5*12,0))</f>
      </c>
      <c r="T644" s="217">
        <f>(1+$M$5)^(D644/12)*(IF(YEAR(E644)&gt;YEAR($C$6),L644,0)+IF(E644=$C$6,$H$5*12+$Q$4,0))</f>
      </c>
    </row>
    <row x14ac:dyDescent="0.25" r="645" customHeight="1" ht="18.75">
      <c r="A645" s="1"/>
      <c r="B645" s="7"/>
      <c r="C645" s="170"/>
      <c r="D645" s="331">
        <v>638</v>
      </c>
      <c r="E645" s="544">
        <f>+DATE(YEAR(E644),MONTH(E644)-1,DAY(E644))</f>
        <v>25569.041666666668</v>
      </c>
      <c r="F645" s="333">
        <f>IF(DATE(YEAR($B$6),MONTH($B$6)+1,DAY(1))=E645,1,IF(MONTH(E645)=1,F646*(1+$F$5),F646))</f>
      </c>
      <c r="G645" s="333">
        <f>IF('Simulador - 1º Pilar'!$E$99="Sí",IF('Aportaciones Flex'!$B$13&lt;'Aportaciones Flex'!E645,0,F645*$B$8/12),F645*$B$8/12)</f>
      </c>
      <c r="H645" s="333">
        <f>IF(G645&gt;0,1,0)*$H$5*IF(AND($I$5="NO",YEAR(E645)=YEAR($B$6)+1),1,IF($I$5="SI",1,0))</f>
      </c>
      <c r="I645" s="217">
        <f>(1+$M$5)^(D645/12)*(H645*(12-IF(MONTH(E646)=12,0,MONTH(E646)))+IF(AND(F645=1,F646=0),$Q$4,0))*IF(AND(F645=1,F646=0),1,0)</f>
      </c>
      <c r="J645" s="333">
        <f>(1+$M$5)^(D645/12)*(H645+IF(AND(F645=1,F646=0),$Q$4,0))</f>
      </c>
      <c r="K645" s="351"/>
      <c r="L645" s="333">
        <f>K645+J645</f>
      </c>
      <c r="M645" s="170"/>
      <c r="N645" s="7"/>
      <c r="O645" s="1"/>
      <c r="P645" s="331">
        <f>D645</f>
      </c>
      <c r="Q645" s="169"/>
      <c r="R645" s="1"/>
      <c r="S645" s="217">
        <f>(1+$M$5)^(D645/12)*(IF(E645=$C$6,$Q$4+$H$5*12,0))</f>
      </c>
      <c r="T645" s="217">
        <f>(1+$M$5)^(D645/12)*(IF(YEAR(E645)&gt;YEAR($C$6),L645,0)+IF(E645=$C$6,$H$5*12+$Q$4,0))</f>
      </c>
    </row>
    <row x14ac:dyDescent="0.25" r="646" customHeight="1" ht="18.75">
      <c r="A646" s="1"/>
      <c r="B646" s="7"/>
      <c r="C646" s="170"/>
      <c r="D646" s="331">
        <v>639</v>
      </c>
      <c r="E646" s="544">
        <f>+DATE(YEAR(E645),MONTH(E645)-1,DAY(E645))</f>
        <v>25569.041666666668</v>
      </c>
      <c r="F646" s="333">
        <f>IF(DATE(YEAR($B$6),MONTH($B$6)+1,DAY(1))=E646,1,IF(MONTH(E646)=1,F647*(1+$F$5),F647))</f>
      </c>
      <c r="G646" s="333">
        <f>IF('Simulador - 1º Pilar'!$E$99="Sí",IF('Aportaciones Flex'!$B$13&lt;'Aportaciones Flex'!E646,0,F646*$B$8/12),F646*$B$8/12)</f>
      </c>
      <c r="H646" s="333">
        <f>IF(G646&gt;0,1,0)*$H$5*IF(AND($I$5="NO",YEAR(E646)=YEAR($B$6)+1),1,IF($I$5="SI",1,0))</f>
      </c>
      <c r="I646" s="217">
        <f>(1+$M$5)^(D646/12)*(H646*(12-IF(MONTH(E647)=12,0,MONTH(E647)))+IF(AND(F646=1,F647=0),$Q$4,0))*IF(AND(F646=1,F647=0),1,0)</f>
      </c>
      <c r="J646" s="333">
        <f>(1+$M$5)^(D646/12)*(H646+IF(AND(F646=1,F647=0),$Q$4,0))</f>
      </c>
      <c r="K646" s="351"/>
      <c r="L646" s="333">
        <f>K646+J646</f>
      </c>
      <c r="M646" s="170"/>
      <c r="N646" s="7"/>
      <c r="O646" s="1"/>
      <c r="P646" s="331">
        <f>D646</f>
      </c>
      <c r="Q646" s="169"/>
      <c r="R646" s="1"/>
      <c r="S646" s="217">
        <f>(1+$M$5)^(D646/12)*(IF(E646=$C$6,$Q$4+$H$5*12,0))</f>
      </c>
      <c r="T646" s="217">
        <f>(1+$M$5)^(D646/12)*(IF(YEAR(E646)&gt;YEAR($C$6),L646,0)+IF(E646=$C$6,$H$5*12+$Q$4,0))</f>
      </c>
    </row>
    <row x14ac:dyDescent="0.25" r="647" customHeight="1" ht="18.75">
      <c r="A647" s="1"/>
      <c r="B647" s="7"/>
      <c r="C647" s="170"/>
      <c r="D647" s="331">
        <v>640</v>
      </c>
      <c r="E647" s="544">
        <f>+DATE(YEAR(E646),MONTH(E646)-1,DAY(E646))</f>
        <v>25569.041666666668</v>
      </c>
      <c r="F647" s="333">
        <f>IF(DATE(YEAR($B$6),MONTH($B$6)+1,DAY(1))=E647,1,IF(MONTH(E647)=1,F648*(1+$F$5),F648))</f>
      </c>
      <c r="G647" s="333">
        <f>IF('Simulador - 1º Pilar'!$E$99="Sí",IF('Aportaciones Flex'!$B$13&lt;'Aportaciones Flex'!E647,0,F647*$B$8/12),F647*$B$8/12)</f>
      </c>
      <c r="H647" s="333">
        <f>IF(G647&gt;0,1,0)*$H$5*IF(AND($I$5="NO",YEAR(E647)=YEAR($B$6)+1),1,IF($I$5="SI",1,0))</f>
      </c>
      <c r="I647" s="217">
        <f>(1+$M$5)^(D647/12)*(H647*(12-IF(MONTH(E648)=12,0,MONTH(E648)))+IF(AND(F647=1,F648=0),$Q$4,0))*IF(AND(F647=1,F648=0),1,0)</f>
      </c>
      <c r="J647" s="333">
        <f>(1+$M$5)^(D647/12)*(H647+IF(AND(F647=1,F648=0),$Q$4,0))</f>
      </c>
      <c r="K647" s="351"/>
      <c r="L647" s="333">
        <f>K647+J647</f>
      </c>
      <c r="M647" s="170"/>
      <c r="N647" s="7"/>
      <c r="O647" s="1"/>
      <c r="P647" s="331">
        <f>D647</f>
      </c>
      <c r="Q647" s="169"/>
      <c r="R647" s="1"/>
      <c r="S647" s="217">
        <f>(1+$M$5)^(D647/12)*(IF(E647=$C$6,$Q$4+$H$5*12,0))</f>
      </c>
      <c r="T647" s="217">
        <f>(1+$M$5)^(D647/12)*(IF(YEAR(E647)&gt;YEAR($C$6),L647,0)+IF(E647=$C$6,$H$5*12+$Q$4,0))</f>
      </c>
    </row>
    <row x14ac:dyDescent="0.25" r="648" customHeight="1" ht="18.75">
      <c r="A648" s="1"/>
      <c r="B648" s="7"/>
      <c r="C648" s="170"/>
      <c r="D648" s="331">
        <v>641</v>
      </c>
      <c r="E648" s="544">
        <f>+DATE(YEAR(E647),MONTH(E647)-1,DAY(E647))</f>
        <v>25569.041666666668</v>
      </c>
      <c r="F648" s="333">
        <f>IF(DATE(YEAR($B$6),MONTH($B$6)+1,DAY(1))=E648,1,IF(MONTH(E648)=1,F649*(1+$F$5),F649))</f>
      </c>
      <c r="G648" s="333">
        <f>IF('Simulador - 1º Pilar'!$E$99="Sí",IF('Aportaciones Flex'!$B$13&lt;'Aportaciones Flex'!E648,0,F648*$B$8/12),F648*$B$8/12)</f>
      </c>
      <c r="H648" s="333">
        <f>IF(G648&gt;0,1,0)*$H$5*IF(AND($I$5="NO",YEAR(E648)=YEAR($B$6)+1),1,IF($I$5="SI",1,0))</f>
      </c>
      <c r="I648" s="217">
        <f>(1+$M$5)^(D648/12)*(H648*(12-IF(MONTH(E649)=12,0,MONTH(E649)))+IF(AND(F648=1,F649=0),$Q$4,0))*IF(AND(F648=1,F649=0),1,0)</f>
      </c>
      <c r="J648" s="333">
        <f>(1+$M$5)^(D648/12)*(H648+IF(AND(F648=1,F649=0),$Q$4,0))</f>
      </c>
      <c r="K648" s="351"/>
      <c r="L648" s="333">
        <f>K648+J648</f>
      </c>
      <c r="M648" s="170"/>
      <c r="N648" s="7"/>
      <c r="O648" s="1"/>
      <c r="P648" s="331">
        <f>D648</f>
      </c>
      <c r="Q648" s="169"/>
      <c r="R648" s="1"/>
      <c r="S648" s="217">
        <f>(1+$M$5)^(D648/12)*(IF(E648=$C$6,$Q$4+$H$5*12,0))</f>
      </c>
      <c r="T648" s="217">
        <f>(1+$M$5)^(D648/12)*(IF(YEAR(E648)&gt;YEAR($C$6),L648,0)+IF(E648=$C$6,$H$5*12+$Q$4,0))</f>
      </c>
    </row>
    <row x14ac:dyDescent="0.25" r="649" customHeight="1" ht="18.75">
      <c r="A649" s="1"/>
      <c r="B649" s="7"/>
      <c r="C649" s="170"/>
      <c r="D649" s="331">
        <v>642</v>
      </c>
      <c r="E649" s="544">
        <f>+DATE(YEAR(E648),MONTH(E648)-1,DAY(E648))</f>
        <v>25569.041666666668</v>
      </c>
      <c r="F649" s="333">
        <f>IF(DATE(YEAR($B$6),MONTH($B$6)+1,DAY(1))=E649,1,IF(MONTH(E649)=1,F650*(1+$F$5),F650))</f>
      </c>
      <c r="G649" s="333">
        <f>IF('Simulador - 1º Pilar'!$E$99="Sí",IF('Aportaciones Flex'!$B$13&lt;'Aportaciones Flex'!E649,0,F649*$B$8/12),F649*$B$8/12)</f>
      </c>
      <c r="H649" s="333">
        <f>IF(G649&gt;0,1,0)*$H$5*IF(AND($I$5="NO",YEAR(E649)=YEAR($B$6)+1),1,IF($I$5="SI",1,0))</f>
      </c>
      <c r="I649" s="217">
        <f>(1+$M$5)^(D649/12)*(H649*(12-IF(MONTH(E650)=12,0,MONTH(E650)))+IF(AND(F649=1,F650=0),$Q$4,0))*IF(AND(F649=1,F650=0),1,0)</f>
      </c>
      <c r="J649" s="333">
        <f>(1+$M$5)^(D649/12)*(H649+IF(AND(F649=1,F650=0),$Q$4,0))</f>
      </c>
      <c r="K649" s="351"/>
      <c r="L649" s="333">
        <f>K649+J649</f>
      </c>
      <c r="M649" s="170"/>
      <c r="N649" s="7"/>
      <c r="O649" s="1"/>
      <c r="P649" s="331">
        <f>D649</f>
      </c>
      <c r="Q649" s="169"/>
      <c r="R649" s="1"/>
      <c r="S649" s="217">
        <f>(1+$M$5)^(D649/12)*(IF(E649=$C$6,$Q$4+$H$5*12,0))</f>
      </c>
      <c r="T649" s="217">
        <f>(1+$M$5)^(D649/12)*(IF(YEAR(E649)&gt;YEAR($C$6),L649,0)+IF(E649=$C$6,$H$5*12+$Q$4,0))</f>
      </c>
    </row>
    <row x14ac:dyDescent="0.25" r="650" customHeight="1" ht="18.75">
      <c r="A650" s="1"/>
      <c r="B650" s="7"/>
      <c r="C650" s="170"/>
      <c r="D650" s="331">
        <v>643</v>
      </c>
      <c r="E650" s="544">
        <f>+DATE(YEAR(E649),MONTH(E649)-1,DAY(E649))</f>
        <v>25569.041666666668</v>
      </c>
      <c r="F650" s="333">
        <f>IF(DATE(YEAR($B$6),MONTH($B$6)+1,DAY(1))=E650,1,IF(MONTH(E650)=1,F651*(1+$F$5),F651))</f>
      </c>
      <c r="G650" s="333">
        <f>IF('Simulador - 1º Pilar'!$E$99="Sí",IF('Aportaciones Flex'!$B$13&lt;'Aportaciones Flex'!E650,0,F650*$B$8/12),F650*$B$8/12)</f>
      </c>
      <c r="H650" s="333">
        <f>IF(G650&gt;0,1,0)*$H$5*IF(AND($I$5="NO",YEAR(E650)=YEAR($B$6)+1),1,IF($I$5="SI",1,0))</f>
      </c>
      <c r="I650" s="217">
        <f>(1+$M$5)^(D650/12)*(H650*(12-IF(MONTH(E651)=12,0,MONTH(E651)))+IF(AND(F650=1,F651=0),$Q$4,0))*IF(AND(F650=1,F651=0),1,0)</f>
      </c>
      <c r="J650" s="333">
        <f>(1+$M$5)^(D650/12)*(H650+IF(AND(F650=1,F651=0),$Q$4,0))</f>
      </c>
      <c r="K650" s="351"/>
      <c r="L650" s="333">
        <f>K650+J650</f>
      </c>
      <c r="M650" s="170"/>
      <c r="N650" s="7"/>
      <c r="O650" s="1"/>
      <c r="P650" s="331">
        <f>D650</f>
      </c>
      <c r="Q650" s="169"/>
      <c r="R650" s="1"/>
      <c r="S650" s="217">
        <f>(1+$M$5)^(D650/12)*(IF(E650=$C$6,$Q$4+$H$5*12,0))</f>
      </c>
      <c r="T650" s="217">
        <f>(1+$M$5)^(D650/12)*(IF(YEAR(E650)&gt;YEAR($C$6),L650,0)+IF(E650=$C$6,$H$5*12+$Q$4,0))</f>
      </c>
    </row>
    <row x14ac:dyDescent="0.25" r="651" customHeight="1" ht="18.75">
      <c r="A651" s="1"/>
      <c r="B651" s="7"/>
      <c r="C651" s="170"/>
      <c r="D651" s="331">
        <v>644</v>
      </c>
      <c r="E651" s="544">
        <f>+DATE(YEAR(E650),MONTH(E650)-1,DAY(E650))</f>
        <v>25569.041666666668</v>
      </c>
      <c r="F651" s="333">
        <f>IF(DATE(YEAR($B$6),MONTH($B$6)+1,DAY(1))=E651,1,IF(MONTH(E651)=1,F652*(1+$F$5),F652))</f>
      </c>
      <c r="G651" s="333">
        <f>IF('Simulador - 1º Pilar'!$E$99="Sí",IF('Aportaciones Flex'!$B$13&lt;'Aportaciones Flex'!E651,0,F651*$B$8/12),F651*$B$8/12)</f>
      </c>
      <c r="H651" s="333">
        <f>IF(G651&gt;0,1,0)*$H$5*IF(AND($I$5="NO",YEAR(E651)=YEAR($B$6)+1),1,IF($I$5="SI",1,0))</f>
      </c>
      <c r="I651" s="217">
        <f>(1+$M$5)^(D651/12)*(H651*(12-IF(MONTH(E652)=12,0,MONTH(E652)))+IF(AND(F651=1,F652=0),$Q$4,0))*IF(AND(F651=1,F652=0),1,0)</f>
      </c>
      <c r="J651" s="333">
        <f>(1+$M$5)^(D651/12)*(H651+IF(AND(F651=1,F652=0),$Q$4,0))</f>
      </c>
      <c r="K651" s="351"/>
      <c r="L651" s="333">
        <f>K651+J651</f>
      </c>
      <c r="M651" s="170"/>
      <c r="N651" s="7"/>
      <c r="O651" s="1"/>
      <c r="P651" s="331">
        <f>D651</f>
      </c>
      <c r="Q651" s="169"/>
      <c r="R651" s="1"/>
      <c r="S651" s="217">
        <f>(1+$M$5)^(D651/12)*(IF(E651=$C$6,$Q$4+$H$5*12,0))</f>
      </c>
      <c r="T651" s="217">
        <f>(1+$M$5)^(D651/12)*(IF(YEAR(E651)&gt;YEAR($C$6),L651,0)+IF(E651=$C$6,$H$5*12+$Q$4,0))</f>
      </c>
    </row>
    <row x14ac:dyDescent="0.25" r="652" customHeight="1" ht="18.75">
      <c r="A652" s="1"/>
      <c r="B652" s="7"/>
      <c r="C652" s="170"/>
      <c r="D652" s="331">
        <v>645</v>
      </c>
      <c r="E652" s="544">
        <f>+DATE(YEAR(E651),MONTH(E651)-1,DAY(E651))</f>
        <v>25569.041666666668</v>
      </c>
      <c r="F652" s="333">
        <f>IF(DATE(YEAR($B$6),MONTH($B$6)+1,DAY(1))=E652,1,IF(MONTH(E652)=1,F653*(1+$F$5),F653))</f>
      </c>
      <c r="G652" s="333">
        <f>IF('Simulador - 1º Pilar'!$E$99="Sí",IF('Aportaciones Flex'!$B$13&lt;'Aportaciones Flex'!E652,0,F652*$B$8/12),F652*$B$8/12)</f>
      </c>
      <c r="H652" s="333">
        <f>IF(G652&gt;0,1,0)*$H$5*IF(AND($I$5="NO",YEAR(E652)=YEAR($B$6)+1),1,IF($I$5="SI",1,0))</f>
      </c>
      <c r="I652" s="217">
        <f>(1+$M$5)^(D652/12)*(H652*(12-IF(MONTH(E653)=12,0,MONTH(E653)))+IF(AND(F652=1,F653=0),$Q$4,0))*IF(AND(F652=1,F653=0),1,0)</f>
      </c>
      <c r="J652" s="333">
        <f>(1+$M$5)^(D652/12)*(H652+IF(AND(F652=1,F653=0),$Q$4,0))</f>
      </c>
      <c r="K652" s="351"/>
      <c r="L652" s="333">
        <f>K652+J652</f>
      </c>
      <c r="M652" s="170"/>
      <c r="N652" s="7"/>
      <c r="O652" s="1"/>
      <c r="P652" s="331">
        <f>D652</f>
      </c>
      <c r="Q652" s="169"/>
      <c r="R652" s="1"/>
      <c r="S652" s="217">
        <f>(1+$M$5)^(D652/12)*(IF(E652=$C$6,$Q$4+$H$5*12,0))</f>
      </c>
      <c r="T652" s="217">
        <f>(1+$M$5)^(D652/12)*(IF(YEAR(E652)&gt;YEAR($C$6),L652,0)+IF(E652=$C$6,$H$5*12+$Q$4,0))</f>
      </c>
    </row>
    <row x14ac:dyDescent="0.25" r="653" customHeight="1" ht="18.75">
      <c r="A653" s="1"/>
      <c r="B653" s="7"/>
      <c r="C653" s="170"/>
      <c r="D653" s="331">
        <v>646</v>
      </c>
      <c r="E653" s="544">
        <f>+DATE(YEAR(E652),MONTH(E652)-1,DAY(E652))</f>
        <v>25569.041666666668</v>
      </c>
      <c r="F653" s="333">
        <f>IF(DATE(YEAR($B$6),MONTH($B$6)+1,DAY(1))=E653,1,IF(MONTH(E653)=1,F654*(1+$F$5),F654))</f>
      </c>
      <c r="G653" s="333">
        <f>IF('Simulador - 1º Pilar'!$E$99="Sí",IF('Aportaciones Flex'!$B$13&lt;'Aportaciones Flex'!E653,0,F653*$B$8/12),F653*$B$8/12)</f>
      </c>
      <c r="H653" s="333">
        <f>IF(G653&gt;0,1,0)*$H$5*IF(AND($I$5="NO",YEAR(E653)=YEAR($B$6)+1),1,IF($I$5="SI",1,0))</f>
      </c>
      <c r="I653" s="217">
        <f>(1+$M$5)^(D653/12)*(H653*(12-IF(MONTH(E654)=12,0,MONTH(E654)))+IF(AND(F653=1,F654=0),$Q$4,0))*IF(AND(F653=1,F654=0),1,0)</f>
      </c>
      <c r="J653" s="333">
        <f>(1+$M$5)^(D653/12)*(H653+IF(AND(F653=1,F654=0),$Q$4,0))</f>
      </c>
      <c r="K653" s="351"/>
      <c r="L653" s="333">
        <f>K653+J653</f>
      </c>
      <c r="M653" s="170"/>
      <c r="N653" s="7"/>
      <c r="O653" s="1"/>
      <c r="P653" s="331">
        <f>D653</f>
      </c>
      <c r="Q653" s="169"/>
      <c r="R653" s="1"/>
      <c r="S653" s="217">
        <f>(1+$M$5)^(D653/12)*(IF(E653=$C$6,$Q$4+$H$5*12,0))</f>
      </c>
      <c r="T653" s="217">
        <f>(1+$M$5)^(D653/12)*(IF(YEAR(E653)&gt;YEAR($C$6),L653,0)+IF(E653=$C$6,$H$5*12+$Q$4,0))</f>
      </c>
    </row>
    <row x14ac:dyDescent="0.25" r="654" customHeight="1" ht="18.75">
      <c r="A654" s="1"/>
      <c r="B654" s="7"/>
      <c r="C654" s="170"/>
      <c r="D654" s="331">
        <v>647</v>
      </c>
      <c r="E654" s="544">
        <f>+DATE(YEAR(E653),MONTH(E653)-1,DAY(E653))</f>
        <v>25569.041666666668</v>
      </c>
      <c r="F654" s="333">
        <f>IF(DATE(YEAR($B$6),MONTH($B$6)+1,DAY(1))=E654,1,IF(MONTH(E654)=1,F655*(1+$F$5),F655))</f>
      </c>
      <c r="G654" s="333">
        <f>IF('Simulador - 1º Pilar'!$E$99="Sí",IF('Aportaciones Flex'!$B$13&lt;'Aportaciones Flex'!E654,0,F654*$B$8/12),F654*$B$8/12)</f>
      </c>
      <c r="H654" s="333">
        <f>IF(G654&gt;0,1,0)*$H$5*IF(AND($I$5="NO",YEAR(E654)=YEAR($B$6)+1),1,IF($I$5="SI",1,0))</f>
      </c>
      <c r="I654" s="217">
        <f>(1+$M$5)^(D654/12)*(H654*(12-IF(MONTH(E655)=12,0,MONTH(E655)))+IF(AND(F654=1,F655=0),$Q$4,0))*IF(AND(F654=1,F655=0),1,0)</f>
      </c>
      <c r="J654" s="333">
        <f>(1+$M$5)^(D654/12)*(H654+IF(AND(F654=1,F655=0),$Q$4,0))</f>
      </c>
      <c r="K654" s="351"/>
      <c r="L654" s="333">
        <f>K654+J654</f>
      </c>
      <c r="M654" s="170"/>
      <c r="N654" s="7"/>
      <c r="O654" s="1"/>
      <c r="P654" s="331">
        <f>D654</f>
      </c>
      <c r="Q654" s="169"/>
      <c r="R654" s="1"/>
      <c r="S654" s="217">
        <f>(1+$M$5)^(D654/12)*(IF(E654=$C$6,$Q$4+$H$5*12,0))</f>
      </c>
      <c r="T654" s="217">
        <f>(1+$M$5)^(D654/12)*(IF(YEAR(E654)&gt;YEAR($C$6),L654,0)+IF(E654=$C$6,$H$5*12+$Q$4,0))</f>
      </c>
    </row>
    <row x14ac:dyDescent="0.25" r="655" customHeight="1" ht="18.75">
      <c r="A655" s="1"/>
      <c r="B655" s="7"/>
      <c r="C655" s="170"/>
      <c r="D655" s="331">
        <v>648</v>
      </c>
      <c r="E655" s="544">
        <f>+DATE(YEAR(E654),MONTH(E654)-1,DAY(E654))</f>
        <v>25569.041666666668</v>
      </c>
      <c r="F655" s="333">
        <f>IF(DATE(YEAR($B$6),MONTH($B$6)+1,DAY(1))=E655,1,IF(MONTH(E655)=1,F656*(1+$F$5),F656))</f>
      </c>
      <c r="G655" s="333">
        <f>IF('Simulador - 1º Pilar'!$E$99="Sí",IF('Aportaciones Flex'!$B$13&lt;'Aportaciones Flex'!E655,0,F655*$B$8/12),F655*$B$8/12)</f>
      </c>
      <c r="H655" s="333">
        <f>IF(G655&gt;0,1,0)*$H$5*IF(AND($I$5="NO",YEAR(E655)=YEAR($B$6)+1),1,IF($I$5="SI",1,0))</f>
      </c>
      <c r="I655" s="217">
        <f>(1+$M$5)^(D655/12)*(H655*(12-IF(MONTH(E656)=12,0,MONTH(E656)))+IF(AND(F655=1,F656=0),$Q$4,0))*IF(AND(F655=1,F656=0),1,0)</f>
      </c>
      <c r="J655" s="333">
        <f>(1+$M$5)^(D655/12)*(H655+IF(AND(F655=1,F656=0),$Q$4,0))</f>
      </c>
      <c r="K655" s="351"/>
      <c r="L655" s="333">
        <f>K655+J655</f>
      </c>
      <c r="M655" s="170"/>
      <c r="N655" s="7"/>
      <c r="O655" s="1"/>
      <c r="P655" s="331">
        <f>D655</f>
      </c>
      <c r="Q655" s="169"/>
      <c r="R655" s="1"/>
      <c r="S655" s="217">
        <f>(1+$M$5)^(D655/12)*(IF(E655=$C$6,$Q$4+$H$5*12,0))</f>
      </c>
      <c r="T655" s="217">
        <f>(1+$M$5)^(D655/12)*(IF(YEAR(E655)&gt;YEAR($C$6),L655,0)+IF(E655=$C$6,$H$5*12+$Q$4,0))</f>
      </c>
    </row>
    <row x14ac:dyDescent="0.25" r="656" customHeight="1" ht="18.75">
      <c r="A656" s="1"/>
      <c r="B656" s="7"/>
      <c r="C656" s="170"/>
      <c r="D656" s="331">
        <v>649</v>
      </c>
      <c r="E656" s="544">
        <f>+DATE(YEAR(E655),MONTH(E655)-1,DAY(E655))</f>
        <v>25569.041666666668</v>
      </c>
      <c r="F656" s="333">
        <f>IF(DATE(YEAR($B$6),MONTH($B$6)+1,DAY(1))=E656,1,IF(MONTH(E656)=1,F657*(1+$F$5),F657))</f>
      </c>
      <c r="G656" s="333">
        <f>IF('Simulador - 1º Pilar'!$E$99="Sí",IF('Aportaciones Flex'!$B$13&lt;'Aportaciones Flex'!E656,0,F656*$B$8/12),F656*$B$8/12)</f>
      </c>
      <c r="H656" s="333">
        <f>IF(G656&gt;0,1,0)*$H$5*IF(AND($I$5="NO",YEAR(E656)=YEAR($B$6)+1),1,IF($I$5="SI",1,0))</f>
      </c>
      <c r="I656" s="217">
        <f>(1+$M$5)^(D656/12)*(H656*(12-IF(MONTH(E657)=12,0,MONTH(E657)))+IF(AND(F656=1,F657=0),$Q$4,0))*IF(AND(F656=1,F657=0),1,0)</f>
      </c>
      <c r="J656" s="333">
        <f>(1+$M$5)^(D656/12)*(H656+IF(AND(F656=1,F657=0),$Q$4,0))</f>
      </c>
      <c r="K656" s="351"/>
      <c r="L656" s="333">
        <f>K656+J656</f>
      </c>
      <c r="M656" s="170"/>
      <c r="N656" s="7"/>
      <c r="O656" s="1"/>
      <c r="P656" s="331">
        <f>D656</f>
      </c>
      <c r="Q656" s="169"/>
      <c r="R656" s="1"/>
      <c r="S656" s="217">
        <f>(1+$M$5)^(D656/12)*(IF(E656=$C$6,$Q$4+$H$5*12,0))</f>
      </c>
      <c r="T656" s="217">
        <f>(1+$M$5)^(D656/12)*(IF(YEAR(E656)&gt;YEAR($C$6),L656,0)+IF(E656=$C$6,$H$5*12+$Q$4,0))</f>
      </c>
    </row>
    <row x14ac:dyDescent="0.25" r="657" customHeight="1" ht="18.75">
      <c r="A657" s="1"/>
      <c r="B657" s="7"/>
      <c r="C657" s="170"/>
      <c r="D657" s="331">
        <v>650</v>
      </c>
      <c r="E657" s="544">
        <f>+DATE(YEAR(E656),MONTH(E656)-1,DAY(E656))</f>
        <v>25569.041666666668</v>
      </c>
      <c r="F657" s="333">
        <f>IF(DATE(YEAR($B$6),MONTH($B$6)+1,DAY(1))=E657,1,IF(MONTH(E657)=1,F658*(1+$F$5),F658))</f>
      </c>
      <c r="G657" s="333">
        <f>IF('Simulador - 1º Pilar'!$E$99="Sí",IF('Aportaciones Flex'!$B$13&lt;'Aportaciones Flex'!E657,0,F657*$B$8/12),F657*$B$8/12)</f>
      </c>
      <c r="H657" s="333">
        <f>IF(G657&gt;0,1,0)*$H$5*IF(AND($I$5="NO",YEAR(E657)=YEAR($B$6)+1),1,IF($I$5="SI",1,0))</f>
      </c>
      <c r="I657" s="217">
        <f>(1+$M$5)^(D657/12)*(H657*(12-IF(MONTH(E658)=12,0,MONTH(E658)))+IF(AND(F657=1,F658=0),$Q$4,0))*IF(AND(F657=1,F658=0),1,0)</f>
      </c>
      <c r="J657" s="333">
        <f>(1+$M$5)^(D657/12)*(H657+IF(AND(F657=1,F658=0),$Q$4,0))</f>
      </c>
      <c r="K657" s="351"/>
      <c r="L657" s="333">
        <f>K657+J657</f>
      </c>
      <c r="M657" s="170"/>
      <c r="N657" s="7"/>
      <c r="O657" s="1"/>
      <c r="P657" s="331">
        <f>D657</f>
      </c>
      <c r="Q657" s="169"/>
      <c r="R657" s="1"/>
      <c r="S657" s="217">
        <f>(1+$M$5)^(D657/12)*(IF(E657=$C$6,$Q$4+$H$5*12,0))</f>
      </c>
      <c r="T657" s="217">
        <f>(1+$M$5)^(D657/12)*(IF(YEAR(E657)&gt;YEAR($C$6),L657,0)+IF(E657=$C$6,$H$5*12+$Q$4,0))</f>
      </c>
    </row>
    <row x14ac:dyDescent="0.25" r="658" customHeight="1" ht="18.75">
      <c r="A658" s="1"/>
      <c r="B658" s="7"/>
      <c r="C658" s="170"/>
      <c r="D658" s="331">
        <v>651</v>
      </c>
      <c r="E658" s="544">
        <f>+DATE(YEAR(E657),MONTH(E657)-1,DAY(E657))</f>
        <v>25569.041666666668</v>
      </c>
      <c r="F658" s="333">
        <f>IF(DATE(YEAR($B$6),MONTH($B$6)+1,DAY(1))=E658,1,IF(MONTH(E658)=1,F659*(1+$F$5),F659))</f>
      </c>
      <c r="G658" s="333">
        <f>IF('Simulador - 1º Pilar'!$E$99="Sí",IF('Aportaciones Flex'!$B$13&lt;'Aportaciones Flex'!E658,0,F658*$B$8/12),F658*$B$8/12)</f>
      </c>
      <c r="H658" s="333">
        <f>IF(G658&gt;0,1,0)*$H$5*IF(AND($I$5="NO",YEAR(E658)=YEAR($B$6)+1),1,IF($I$5="SI",1,0))</f>
      </c>
      <c r="I658" s="217">
        <f>(1+$M$5)^(D658/12)*(H658*(12-IF(MONTH(E659)=12,0,MONTH(E659)))+IF(AND(F658=1,F659=0),$Q$4,0))*IF(AND(F658=1,F659=0),1,0)</f>
      </c>
      <c r="J658" s="333">
        <f>(1+$M$5)^(D658/12)*(H658+IF(AND(F658=1,F659=0),$Q$4,0))</f>
      </c>
      <c r="K658" s="351"/>
      <c r="L658" s="333">
        <f>K658+J658</f>
      </c>
      <c r="M658" s="170"/>
      <c r="N658" s="7"/>
      <c r="O658" s="1"/>
      <c r="P658" s="331">
        <f>D658</f>
      </c>
      <c r="Q658" s="169"/>
      <c r="R658" s="1"/>
      <c r="S658" s="217">
        <f>(1+$M$5)^(D658/12)*(IF(E658=$C$6,$Q$4+$H$5*12,0))</f>
      </c>
      <c r="T658" s="217">
        <f>(1+$M$5)^(D658/12)*(IF(YEAR(E658)&gt;YEAR($C$6),L658,0)+IF(E658=$C$6,$H$5*12+$Q$4,0))</f>
      </c>
    </row>
    <row x14ac:dyDescent="0.25" r="659" customHeight="1" ht="18.75">
      <c r="A659" s="1"/>
      <c r="B659" s="7"/>
      <c r="C659" s="170"/>
      <c r="D659" s="331">
        <v>652</v>
      </c>
      <c r="E659" s="544">
        <f>+DATE(YEAR(E658),MONTH(E658)-1,DAY(E658))</f>
        <v>25569.041666666668</v>
      </c>
      <c r="F659" s="333">
        <f>IF(DATE(YEAR($B$6),MONTH($B$6)+1,DAY(1))=E659,1,IF(MONTH(E659)=1,F660*(1+$F$5),F660))</f>
      </c>
      <c r="G659" s="333">
        <f>IF('Simulador - 1º Pilar'!$E$99="Sí",IF('Aportaciones Flex'!$B$13&lt;'Aportaciones Flex'!E659,0,F659*$B$8/12),F659*$B$8/12)</f>
      </c>
      <c r="H659" s="333">
        <f>IF(G659&gt;0,1,0)*$H$5*IF(AND($I$5="NO",YEAR(E659)=YEAR($B$6)+1),1,IF($I$5="SI",1,0))</f>
      </c>
      <c r="I659" s="217">
        <f>(1+$M$5)^(D659/12)*(H659*(12-IF(MONTH(E660)=12,0,MONTH(E660)))+IF(AND(F659=1,F660=0),$Q$4,0))*IF(AND(F659=1,F660=0),1,0)</f>
      </c>
      <c r="J659" s="333">
        <f>(1+$M$5)^(D659/12)*(H659+IF(AND(F659=1,F660=0),$Q$4,0))</f>
      </c>
      <c r="K659" s="351"/>
      <c r="L659" s="333">
        <f>K659+J659</f>
      </c>
      <c r="M659" s="170"/>
      <c r="N659" s="7"/>
      <c r="O659" s="1"/>
      <c r="P659" s="331">
        <f>D659</f>
      </c>
      <c r="Q659" s="169"/>
      <c r="R659" s="1"/>
      <c r="S659" s="217">
        <f>(1+$M$5)^(D659/12)*(IF(E659=$C$6,$Q$4+$H$5*12,0))</f>
      </c>
      <c r="T659" s="217">
        <f>(1+$M$5)^(D659/12)*(IF(YEAR(E659)&gt;YEAR($C$6),L659,0)+IF(E659=$C$6,$H$5*12+$Q$4,0))</f>
      </c>
    </row>
    <row x14ac:dyDescent="0.25" r="660" customHeight="1" ht="18.75">
      <c r="A660" s="1"/>
      <c r="B660" s="7"/>
      <c r="C660" s="170"/>
      <c r="D660" s="331">
        <v>653</v>
      </c>
      <c r="E660" s="544">
        <f>+DATE(YEAR(E659),MONTH(E659)-1,DAY(E659))</f>
        <v>25569.041666666668</v>
      </c>
      <c r="F660" s="333">
        <f>IF(DATE(YEAR($B$6),MONTH($B$6)+1,DAY(1))=E660,1,IF(MONTH(E660)=1,F661*(1+$F$5),F661))</f>
      </c>
      <c r="G660" s="333">
        <f>IF('Simulador - 1º Pilar'!$E$99="Sí",IF('Aportaciones Flex'!$B$13&lt;'Aportaciones Flex'!E660,0,F660*$B$8/12),F660*$B$8/12)</f>
      </c>
      <c r="H660" s="333">
        <f>IF(G660&gt;0,1,0)*$H$5*IF(AND($I$5="NO",YEAR(E660)=YEAR($B$6)+1),1,IF($I$5="SI",1,0))</f>
      </c>
      <c r="I660" s="217">
        <f>(1+$M$5)^(D660/12)*(H660*(12-IF(MONTH(E661)=12,0,MONTH(E661)))+IF(AND(F660=1,F661=0),$Q$4,0))*IF(AND(F660=1,F661=0),1,0)</f>
      </c>
      <c r="J660" s="333">
        <f>(1+$M$5)^(D660/12)*(H660+IF(AND(F660=1,F661=0),$Q$4,0))</f>
      </c>
      <c r="K660" s="351"/>
      <c r="L660" s="333">
        <f>K660+J660</f>
      </c>
      <c r="M660" s="170"/>
      <c r="N660" s="7"/>
      <c r="O660" s="1"/>
      <c r="P660" s="331">
        <f>D660</f>
      </c>
      <c r="Q660" s="169"/>
      <c r="R660" s="1"/>
      <c r="S660" s="217">
        <f>(1+$M$5)^(D660/12)*(IF(E660=$C$6,$Q$4+$H$5*12,0))</f>
      </c>
      <c r="T660" s="217">
        <f>(1+$M$5)^(D660/12)*(IF(YEAR(E660)&gt;YEAR($C$6),L660,0)+IF(E660=$C$6,$H$5*12+$Q$4,0))</f>
      </c>
    </row>
    <row x14ac:dyDescent="0.25" r="661" customHeight="1" ht="18.75">
      <c r="A661" s="1"/>
      <c r="B661" s="7"/>
      <c r="C661" s="170"/>
      <c r="D661" s="331">
        <v>654</v>
      </c>
      <c r="E661" s="544">
        <f>+DATE(YEAR(E660),MONTH(E660)-1,DAY(E660))</f>
        <v>25569.041666666668</v>
      </c>
      <c r="F661" s="333">
        <f>IF(DATE(YEAR($B$6),MONTH($B$6)+1,DAY(1))=E661,1,IF(MONTH(E661)=1,F662*(1+$F$5),F662))</f>
      </c>
      <c r="G661" s="333">
        <f>IF('Simulador - 1º Pilar'!$E$99="Sí",IF('Aportaciones Flex'!$B$13&lt;'Aportaciones Flex'!E661,0,F661*$B$8/12),F661*$B$8/12)</f>
      </c>
      <c r="H661" s="333">
        <f>IF(G661&gt;0,1,0)*$H$5*IF(AND($I$5="NO",YEAR(E661)=YEAR($B$6)+1),1,IF($I$5="SI",1,0))</f>
      </c>
      <c r="I661" s="217">
        <f>(1+$M$5)^(D661/12)*(H661*(12-IF(MONTH(E662)=12,0,MONTH(E662)))+IF(AND(F661=1,F662=0),$Q$4,0))*IF(AND(F661=1,F662=0),1,0)</f>
      </c>
      <c r="J661" s="333">
        <f>(1+$M$5)^(D661/12)*(H661+IF(AND(F661=1,F662=0),$Q$4,0))</f>
      </c>
      <c r="K661" s="351"/>
      <c r="L661" s="333">
        <f>K661+J661</f>
      </c>
      <c r="M661" s="170"/>
      <c r="N661" s="7"/>
      <c r="O661" s="1"/>
      <c r="P661" s="331">
        <f>D661</f>
      </c>
      <c r="Q661" s="169"/>
      <c r="R661" s="1"/>
      <c r="S661" s="217">
        <f>(1+$M$5)^(D661/12)*(IF(E661=$C$6,$Q$4+$H$5*12,0))</f>
      </c>
      <c r="T661" s="217">
        <f>(1+$M$5)^(D661/12)*(IF(YEAR(E661)&gt;YEAR($C$6),L661,0)+IF(E661=$C$6,$H$5*12+$Q$4,0))</f>
      </c>
    </row>
    <row x14ac:dyDescent="0.25" r="662" customHeight="1" ht="18.75">
      <c r="A662" s="1"/>
      <c r="B662" s="7"/>
      <c r="C662" s="170"/>
      <c r="D662" s="331">
        <v>655</v>
      </c>
      <c r="E662" s="544">
        <f>+DATE(YEAR(E661),MONTH(E661)-1,DAY(E661))</f>
        <v>25569.041666666668</v>
      </c>
      <c r="F662" s="333">
        <f>IF(DATE(YEAR($B$6),MONTH($B$6)+1,DAY(1))=E662,1,IF(MONTH(E662)=1,F663*(1+$F$5),F663))</f>
      </c>
      <c r="G662" s="333">
        <f>IF('Simulador - 1º Pilar'!$E$99="Sí",IF('Aportaciones Flex'!$B$13&lt;'Aportaciones Flex'!E662,0,F662*$B$8/12),F662*$B$8/12)</f>
      </c>
      <c r="H662" s="333">
        <f>IF(G662&gt;0,1,0)*$H$5*IF(AND($I$5="NO",YEAR(E662)=YEAR($B$6)+1),1,IF($I$5="SI",1,0))</f>
      </c>
      <c r="I662" s="217">
        <f>(1+$M$5)^(D662/12)*(H662*(12-IF(MONTH(E663)=12,0,MONTH(E663)))+IF(AND(F662=1,F663=0),$Q$4,0))*IF(AND(F662=1,F663=0),1,0)</f>
      </c>
      <c r="J662" s="333">
        <f>(1+$M$5)^(D662/12)*(H662+IF(AND(F662=1,F663=0),$Q$4,0))</f>
      </c>
      <c r="K662" s="351"/>
      <c r="L662" s="333">
        <f>K662+J662</f>
      </c>
      <c r="M662" s="170"/>
      <c r="N662" s="7"/>
      <c r="O662" s="1"/>
      <c r="P662" s="331">
        <f>D662</f>
      </c>
      <c r="Q662" s="169"/>
      <c r="R662" s="1"/>
      <c r="S662" s="217">
        <f>(1+$M$5)^(D662/12)*(IF(E662=$C$6,$Q$4+$H$5*12,0))</f>
      </c>
      <c r="T662" s="217">
        <f>(1+$M$5)^(D662/12)*(IF(YEAR(E662)&gt;YEAR($C$6),L662,0)+IF(E662=$C$6,$H$5*12+$Q$4,0))</f>
      </c>
    </row>
    <row x14ac:dyDescent="0.25" r="663" customHeight="1" ht="18.75">
      <c r="A663" s="1"/>
      <c r="B663" s="7"/>
      <c r="C663" s="170"/>
      <c r="D663" s="331">
        <v>656</v>
      </c>
      <c r="E663" s="544">
        <f>+DATE(YEAR(E662),MONTH(E662)-1,DAY(E662))</f>
        <v>25569.041666666668</v>
      </c>
      <c r="F663" s="333">
        <f>IF(DATE(YEAR($B$6),MONTH($B$6)+1,DAY(1))=E663,1,IF(MONTH(E663)=1,F664*(1+$F$5),F664))</f>
      </c>
      <c r="G663" s="333">
        <f>IF('Simulador - 1º Pilar'!$E$99="Sí",IF('Aportaciones Flex'!$B$13&lt;'Aportaciones Flex'!E663,0,F663*$B$8/12),F663*$B$8/12)</f>
      </c>
      <c r="H663" s="333">
        <f>IF(G663&gt;0,1,0)*$H$5*IF(AND($I$5="NO",YEAR(E663)=YEAR($B$6)+1),1,IF($I$5="SI",1,0))</f>
      </c>
      <c r="I663" s="217">
        <f>(1+$M$5)^(D663/12)*(H663*(12-IF(MONTH(E664)=12,0,MONTH(E664)))+IF(AND(F663=1,F664=0),$Q$4,0))*IF(AND(F663=1,F664=0),1,0)</f>
      </c>
      <c r="J663" s="333">
        <f>(1+$M$5)^(D663/12)*(H663+IF(AND(F663=1,F664=0),$Q$4,0))</f>
      </c>
      <c r="K663" s="351"/>
      <c r="L663" s="333">
        <f>K663+J663</f>
      </c>
      <c r="M663" s="170"/>
      <c r="N663" s="7"/>
      <c r="O663" s="1"/>
      <c r="P663" s="331">
        <f>D663</f>
      </c>
      <c r="Q663" s="169"/>
      <c r="R663" s="1"/>
      <c r="S663" s="217">
        <f>(1+$M$5)^(D663/12)*(IF(E663=$C$6,$Q$4+$H$5*12,0))</f>
      </c>
      <c r="T663" s="217">
        <f>(1+$M$5)^(D663/12)*(IF(YEAR(E663)&gt;YEAR($C$6),L663,0)+IF(E663=$C$6,$H$5*12+$Q$4,0))</f>
      </c>
    </row>
    <row x14ac:dyDescent="0.25" r="664" customHeight="1" ht="18.75">
      <c r="A664" s="1"/>
      <c r="B664" s="7"/>
      <c r="C664" s="170"/>
      <c r="D664" s="331">
        <v>657</v>
      </c>
      <c r="E664" s="544">
        <f>+DATE(YEAR(E663),MONTH(E663)-1,DAY(E663))</f>
        <v>25569.041666666668</v>
      </c>
      <c r="F664" s="333">
        <f>IF(DATE(YEAR($B$6),MONTH($B$6)+1,DAY(1))=E664,1,IF(MONTH(E664)=1,F665*(1+$F$5),F665))</f>
      </c>
      <c r="G664" s="333">
        <f>IF('Simulador - 1º Pilar'!$E$99="Sí",IF('Aportaciones Flex'!$B$13&lt;'Aportaciones Flex'!E664,0,F664*$B$8/12),F664*$B$8/12)</f>
      </c>
      <c r="H664" s="333">
        <f>IF(G664&gt;0,1,0)*$H$5*IF(AND($I$5="NO",YEAR(E664)=YEAR($B$6)+1),1,IF($I$5="SI",1,0))</f>
      </c>
      <c r="I664" s="217">
        <f>(1+$M$5)^(D664/12)*(H664*(12-IF(MONTH(E665)=12,0,MONTH(E665)))+IF(AND(F664=1,F665=0),$Q$4,0))*IF(AND(F664=1,F665=0),1,0)</f>
      </c>
      <c r="J664" s="333">
        <f>(1+$M$5)^(D664/12)*(H664+IF(AND(F664=1,F665=0),$Q$4,0))</f>
      </c>
      <c r="K664" s="351"/>
      <c r="L664" s="333">
        <f>K664+J664</f>
      </c>
      <c r="M664" s="170"/>
      <c r="N664" s="7"/>
      <c r="O664" s="1"/>
      <c r="P664" s="331">
        <f>D664</f>
      </c>
      <c r="Q664" s="169"/>
      <c r="R664" s="1"/>
      <c r="S664" s="217">
        <f>(1+$M$5)^(D664/12)*(IF(E664=$C$6,$Q$4+$H$5*12,0))</f>
      </c>
      <c r="T664" s="217">
        <f>(1+$M$5)^(D664/12)*(IF(YEAR(E664)&gt;YEAR($C$6),L664,0)+IF(E664=$C$6,$H$5*12+$Q$4,0))</f>
      </c>
    </row>
    <row x14ac:dyDescent="0.25" r="665" customHeight="1" ht="18.75">
      <c r="A665" s="1"/>
      <c r="B665" s="7"/>
      <c r="C665" s="170"/>
      <c r="D665" s="331">
        <v>658</v>
      </c>
      <c r="E665" s="544">
        <f>+DATE(YEAR(E664),MONTH(E664)-1,DAY(E664))</f>
        <v>25569.041666666668</v>
      </c>
      <c r="F665" s="333">
        <f>IF(DATE(YEAR($B$6),MONTH($B$6)+1,DAY(1))=E665,1,IF(MONTH(E665)=1,F666*(1+$F$5),F666))</f>
      </c>
      <c r="G665" s="333">
        <f>IF('Simulador - 1º Pilar'!$E$99="Sí",IF('Aportaciones Flex'!$B$13&lt;'Aportaciones Flex'!E665,0,F665*$B$8/12),F665*$B$8/12)</f>
      </c>
      <c r="H665" s="333">
        <f>IF(G665&gt;0,1,0)*$H$5*IF(AND($I$5="NO",YEAR(E665)=YEAR($B$6)+1),1,IF($I$5="SI",1,0))</f>
      </c>
      <c r="I665" s="217">
        <f>(1+$M$5)^(D665/12)*(H665*(12-IF(MONTH(E666)=12,0,MONTH(E666)))+IF(AND(F665=1,F666=0),$Q$4,0))*IF(AND(F665=1,F666=0),1,0)</f>
      </c>
      <c r="J665" s="333">
        <f>(1+$M$5)^(D665/12)*(H665+IF(AND(F665=1,F666=0),$Q$4,0))</f>
      </c>
      <c r="K665" s="351"/>
      <c r="L665" s="333">
        <f>K665+J665</f>
      </c>
      <c r="M665" s="170"/>
      <c r="N665" s="7"/>
      <c r="O665" s="1"/>
      <c r="P665" s="331">
        <f>D665</f>
      </c>
      <c r="Q665" s="169"/>
      <c r="R665" s="1"/>
      <c r="S665" s="217">
        <f>(1+$M$5)^(D665/12)*(IF(E665=$C$6,$Q$4+$H$5*12,0))</f>
      </c>
      <c r="T665" s="217">
        <f>(1+$M$5)^(D665/12)*(IF(YEAR(E665)&gt;YEAR($C$6),L665,0)+IF(E665=$C$6,$H$5*12+$Q$4,0))</f>
      </c>
    </row>
    <row x14ac:dyDescent="0.25" r="666" customHeight="1" ht="18.75">
      <c r="A666" s="1"/>
      <c r="B666" s="7"/>
      <c r="C666" s="170"/>
      <c r="D666" s="331">
        <v>659</v>
      </c>
      <c r="E666" s="544">
        <f>+DATE(YEAR(E665),MONTH(E665)-1,DAY(E665))</f>
        <v>25569.041666666668</v>
      </c>
      <c r="F666" s="333">
        <f>IF(DATE(YEAR($B$6),MONTH($B$6)+1,DAY(1))=E666,1,IF(MONTH(E666)=1,F667*(1+$F$5),F667))</f>
      </c>
      <c r="G666" s="333">
        <f>IF('Simulador - 1º Pilar'!$E$99="Sí",IF('Aportaciones Flex'!$B$13&lt;'Aportaciones Flex'!E666,0,F666*$B$8/12),F666*$B$8/12)</f>
      </c>
      <c r="H666" s="333">
        <f>IF(G666&gt;0,1,0)*$H$5*IF(AND($I$5="NO",YEAR(E666)=YEAR($B$6)+1),1,IF($I$5="SI",1,0))</f>
      </c>
      <c r="I666" s="217">
        <f>(1+$M$5)^(D666/12)*(H666*(12-IF(MONTH(E667)=12,0,MONTH(E667)))+IF(AND(F666=1,F667=0),$Q$4,0))*IF(AND(F666=1,F667=0),1,0)</f>
      </c>
      <c r="J666" s="333">
        <f>(1+$M$5)^(D666/12)*(H666+IF(AND(F666=1,F667=0),$Q$4,0))</f>
      </c>
      <c r="K666" s="351"/>
      <c r="L666" s="333">
        <f>K666+J666</f>
      </c>
      <c r="M666" s="170"/>
      <c r="N666" s="7"/>
      <c r="O666" s="1"/>
      <c r="P666" s="331">
        <f>D666</f>
      </c>
      <c r="Q666" s="169"/>
      <c r="R666" s="1"/>
      <c r="S666" s="217">
        <f>(1+$M$5)^(D666/12)*(IF(E666=$C$6,$Q$4+$H$5*12,0))</f>
      </c>
      <c r="T666" s="217">
        <f>(1+$M$5)^(D666/12)*(IF(YEAR(E666)&gt;YEAR($C$6),L666,0)+IF(E666=$C$6,$H$5*12+$Q$4,0))</f>
      </c>
    </row>
    <row x14ac:dyDescent="0.25" r="667" customHeight="1" ht="18.75">
      <c r="A667" s="1"/>
      <c r="B667" s="7"/>
      <c r="C667" s="170"/>
      <c r="D667" s="331">
        <v>660</v>
      </c>
      <c r="E667" s="544">
        <f>+DATE(YEAR(E666),MONTH(E666)-1,DAY(E666))</f>
        <v>25569.041666666668</v>
      </c>
      <c r="F667" s="333">
        <f>IF(DATE(YEAR($B$6),MONTH($B$6)+1,DAY(1))=E667,1,IF(MONTH(E667)=1,F668*(1+$F$5),F668))</f>
      </c>
      <c r="G667" s="333">
        <f>IF('Simulador - 1º Pilar'!$E$99="Sí",IF('Aportaciones Flex'!$B$13&lt;'Aportaciones Flex'!E667,0,F667*$B$8/12),F667*$B$8/12)</f>
      </c>
      <c r="H667" s="333">
        <f>IF(G667&gt;0,1,0)*$H$5*IF(AND($I$5="NO",YEAR(E667)=YEAR($B$6)+1),1,IF($I$5="SI",1,0))</f>
      </c>
      <c r="I667" s="217">
        <f>(1+$M$5)^(D667/12)*(H667*(12-IF(MONTH(E668)=12,0,MONTH(E668)))+IF(AND(F667=1,F668=0),$Q$4,0))*IF(AND(F667=1,F668=0),1,0)</f>
      </c>
      <c r="J667" s="333">
        <f>(1+$M$5)^(D667/12)*(H667+IF(AND(F667=1,F668=0),$Q$4,0))</f>
      </c>
      <c r="K667" s="351"/>
      <c r="L667" s="333">
        <f>K667+J667</f>
      </c>
      <c r="M667" s="170"/>
      <c r="N667" s="7"/>
      <c r="O667" s="1"/>
      <c r="P667" s="331">
        <f>D667</f>
      </c>
      <c r="Q667" s="169"/>
      <c r="R667" s="1"/>
      <c r="S667" s="217">
        <f>(1+$M$5)^(D667/12)*(IF(E667=$C$6,$Q$4+$H$5*12,0))</f>
      </c>
      <c r="T667" s="217">
        <f>(1+$M$5)^(D667/12)*(IF(YEAR(E667)&gt;YEAR($C$6),L667,0)+IF(E667=$C$6,$H$5*12+$Q$4,0))</f>
      </c>
    </row>
    <row x14ac:dyDescent="0.25" r="668" customHeight="1" ht="18.75">
      <c r="A668" s="1"/>
      <c r="B668" s="7"/>
      <c r="C668" s="170"/>
      <c r="D668" s="331">
        <v>661</v>
      </c>
      <c r="E668" s="544">
        <f>+DATE(YEAR(E667),MONTH(E667)-1,DAY(E667))</f>
        <v>25569.041666666668</v>
      </c>
      <c r="F668" s="333">
        <f>IF(DATE(YEAR($B$6),MONTH($B$6)+1,DAY(1))=E668,1,IF(MONTH(E668)=1,F669*(1+$F$5),F669))</f>
      </c>
      <c r="G668" s="333">
        <f>IF('Simulador - 1º Pilar'!$E$99="Sí",IF('Aportaciones Flex'!$B$13&lt;'Aportaciones Flex'!E668,0,F668*$B$8/12),F668*$B$8/12)</f>
      </c>
      <c r="H668" s="333">
        <f>IF(G668&gt;0,1,0)*$H$5*IF(AND($I$5="NO",YEAR(E668)=YEAR($B$6)+1),1,IF($I$5="SI",1,0))</f>
      </c>
      <c r="I668" s="217">
        <f>(1+$M$5)^(D668/12)*(H668*(12-IF(MONTH(E669)=12,0,MONTH(E669)))+IF(AND(F668=1,F669=0),$Q$4,0))*IF(AND(F668=1,F669=0),1,0)</f>
      </c>
      <c r="J668" s="333">
        <f>(1+$M$5)^(D668/12)*(H668+IF(AND(F668=1,F669=0),$Q$4,0))</f>
      </c>
      <c r="K668" s="351"/>
      <c r="L668" s="333">
        <f>K668+J668</f>
      </c>
      <c r="M668" s="170"/>
      <c r="N668" s="7"/>
      <c r="O668" s="1"/>
      <c r="P668" s="331">
        <f>D668</f>
      </c>
      <c r="Q668" s="169"/>
      <c r="R668" s="1"/>
      <c r="S668" s="217">
        <f>(1+$M$5)^(D668/12)*(IF(E668=$C$6,$Q$4+$H$5*12,0))</f>
      </c>
      <c r="T668" s="217">
        <f>(1+$M$5)^(D668/12)*(IF(YEAR(E668)&gt;YEAR($C$6),L668,0)+IF(E668=$C$6,$H$5*12+$Q$4,0))</f>
      </c>
    </row>
    <row x14ac:dyDescent="0.25" r="669" customHeight="1" ht="18.75">
      <c r="A669" s="1"/>
      <c r="B669" s="7"/>
      <c r="C669" s="170"/>
      <c r="D669" s="331">
        <v>662</v>
      </c>
      <c r="E669" s="544">
        <f>+DATE(YEAR(E668),MONTH(E668)-1,DAY(E668))</f>
        <v>25569.041666666668</v>
      </c>
      <c r="F669" s="333">
        <f>IF(DATE(YEAR($B$6),MONTH($B$6)+1,DAY(1))=E669,1,IF(MONTH(E669)=1,F670*(1+$F$5),F670))</f>
      </c>
      <c r="G669" s="333">
        <f>IF('Simulador - 1º Pilar'!$E$99="Sí",IF('Aportaciones Flex'!$B$13&lt;'Aportaciones Flex'!E669,0,F669*$B$8/12),F669*$B$8/12)</f>
      </c>
      <c r="H669" s="333">
        <f>IF(G669&gt;0,1,0)*$H$5*IF(AND($I$5="NO",YEAR(E669)=YEAR($B$6)+1),1,IF($I$5="SI",1,0))</f>
      </c>
      <c r="I669" s="217">
        <f>(1+$M$5)^(D669/12)*(H669*(12-IF(MONTH(E670)=12,0,MONTH(E670)))+IF(AND(F669=1,F670=0),$Q$4,0))*IF(AND(F669=1,F670=0),1,0)</f>
      </c>
      <c r="J669" s="333">
        <f>(1+$M$5)^(D669/12)*(H669+IF(AND(F669=1,F670=0),$Q$4,0))</f>
      </c>
      <c r="K669" s="351"/>
      <c r="L669" s="333">
        <f>K669+J669</f>
      </c>
      <c r="M669" s="170"/>
      <c r="N669" s="7"/>
      <c r="O669" s="1"/>
      <c r="P669" s="331">
        <f>D669</f>
      </c>
      <c r="Q669" s="169"/>
      <c r="R669" s="1"/>
      <c r="S669" s="217">
        <f>(1+$M$5)^(D669/12)*(IF(E669=$C$6,$Q$4+$H$5*12,0))</f>
      </c>
      <c r="T669" s="217">
        <f>(1+$M$5)^(D669/12)*(IF(YEAR(E669)&gt;YEAR($C$6),L669,0)+IF(E669=$C$6,$H$5*12+$Q$4,0))</f>
      </c>
    </row>
    <row x14ac:dyDescent="0.25" r="670" customHeight="1" ht="18.75">
      <c r="A670" s="1"/>
      <c r="B670" s="7"/>
      <c r="C670" s="170"/>
      <c r="D670" s="331">
        <v>663</v>
      </c>
      <c r="E670" s="544">
        <f>+DATE(YEAR(E669),MONTH(E669)-1,DAY(E669))</f>
        <v>25569.041666666668</v>
      </c>
      <c r="F670" s="333">
        <f>IF(DATE(YEAR($B$6),MONTH($B$6)+1,DAY(1))=E670,1,IF(MONTH(E670)=1,F671*(1+$F$5),F671))</f>
      </c>
      <c r="G670" s="333">
        <f>IF('Simulador - 1º Pilar'!$E$99="Sí",IF('Aportaciones Flex'!$B$13&lt;'Aportaciones Flex'!E670,0,F670*$B$8/12),F670*$B$8/12)</f>
      </c>
      <c r="H670" s="333">
        <f>IF(G670&gt;0,1,0)*$H$5*IF(AND($I$5="NO",YEAR(E670)=YEAR($B$6)+1),1,IF($I$5="SI",1,0))</f>
      </c>
      <c r="I670" s="217">
        <f>(1+$M$5)^(D670/12)*(H670*(12-IF(MONTH(E671)=12,0,MONTH(E671)))+IF(AND(F670=1,F671=0),$Q$4,0))*IF(AND(F670=1,F671=0),1,0)</f>
      </c>
      <c r="J670" s="333">
        <f>(1+$M$5)^(D670/12)*(H670+IF(AND(F670=1,F671=0),$Q$4,0))</f>
      </c>
      <c r="K670" s="351"/>
      <c r="L670" s="333">
        <f>K670+J670</f>
      </c>
      <c r="M670" s="170"/>
      <c r="N670" s="7"/>
      <c r="O670" s="1"/>
      <c r="P670" s="331">
        <f>D670</f>
      </c>
      <c r="Q670" s="169"/>
      <c r="R670" s="1"/>
      <c r="S670" s="217">
        <f>(1+$M$5)^(D670/12)*(IF(E670=$C$6,$Q$4+$H$5*12,0))</f>
      </c>
      <c r="T670" s="217">
        <f>(1+$M$5)^(D670/12)*(IF(YEAR(E670)&gt;YEAR($C$6),L670,0)+IF(E670=$C$6,$H$5*12+$Q$4,0))</f>
      </c>
    </row>
    <row x14ac:dyDescent="0.25" r="671" customHeight="1" ht="18.75">
      <c r="A671" s="1"/>
      <c r="B671" s="7"/>
      <c r="C671" s="170"/>
      <c r="D671" s="331">
        <v>664</v>
      </c>
      <c r="E671" s="544">
        <f>+DATE(YEAR(E670),MONTH(E670)-1,DAY(E670))</f>
        <v>25569.041666666668</v>
      </c>
      <c r="F671" s="333">
        <f>IF(DATE(YEAR($B$6),MONTH($B$6)+1,DAY(1))=E671,1,IF(MONTH(E671)=1,F672*(1+$F$5),F672))</f>
      </c>
      <c r="G671" s="333">
        <f>IF('Simulador - 1º Pilar'!$E$99="Sí",IF('Aportaciones Flex'!$B$13&lt;'Aportaciones Flex'!E671,0,F671*$B$8/12),F671*$B$8/12)</f>
      </c>
      <c r="H671" s="333">
        <f>IF(G671&gt;0,1,0)*$H$5*IF(AND($I$5="NO",YEAR(E671)=YEAR($B$6)+1),1,IF($I$5="SI",1,0))</f>
      </c>
      <c r="I671" s="217">
        <f>(1+$M$5)^(D671/12)*(H671*(12-IF(MONTH(E672)=12,0,MONTH(E672)))+IF(AND(F671=1,F672=0),$Q$4,0))*IF(AND(F671=1,F672=0),1,0)</f>
      </c>
      <c r="J671" s="333">
        <f>(1+$M$5)^(D671/12)*(H671+IF(AND(F671=1,F672=0),$Q$4,0))</f>
      </c>
      <c r="K671" s="351"/>
      <c r="L671" s="333">
        <f>K671+J671</f>
      </c>
      <c r="M671" s="170"/>
      <c r="N671" s="7"/>
      <c r="O671" s="1"/>
      <c r="P671" s="331">
        <f>D671</f>
      </c>
      <c r="Q671" s="169"/>
      <c r="R671" s="1"/>
      <c r="S671" s="217">
        <f>(1+$M$5)^(D671/12)*(IF(E671=$C$6,$Q$4+$H$5*12,0))</f>
      </c>
      <c r="T671" s="217">
        <f>(1+$M$5)^(D671/12)*(IF(YEAR(E671)&gt;YEAR($C$6),L671,0)+IF(E671=$C$6,$H$5*12+$Q$4,0))</f>
      </c>
    </row>
    <row x14ac:dyDescent="0.25" r="672" customHeight="1" ht="18.75">
      <c r="A672" s="1"/>
      <c r="B672" s="7"/>
      <c r="C672" s="170"/>
      <c r="D672" s="331">
        <v>665</v>
      </c>
      <c r="E672" s="544">
        <f>+DATE(YEAR(E671),MONTH(E671)-1,DAY(E671))</f>
        <v>25569.041666666668</v>
      </c>
      <c r="F672" s="333">
        <f>IF(DATE(YEAR($B$6),MONTH($B$6)+1,DAY(1))=E672,1,IF(MONTH(E672)=1,F673*(1+$F$5),F673))</f>
      </c>
      <c r="G672" s="333">
        <f>IF('Simulador - 1º Pilar'!$E$99="Sí",IF('Aportaciones Flex'!$B$13&lt;'Aportaciones Flex'!E672,0,F672*$B$8/12),F672*$B$8/12)</f>
      </c>
      <c r="H672" s="333">
        <f>IF(G672&gt;0,1,0)*$H$5*IF(AND($I$5="NO",YEAR(E672)=YEAR($B$6)+1),1,IF($I$5="SI",1,0))</f>
      </c>
      <c r="I672" s="217">
        <f>(1+$M$5)^(D672/12)*(H672*(12-IF(MONTH(E673)=12,0,MONTH(E673)))+IF(AND(F672=1,F673=0),$Q$4,0))*IF(AND(F672=1,F673=0),1,0)</f>
      </c>
      <c r="J672" s="333">
        <f>(1+$M$5)^(D672/12)*(H672+IF(AND(F672=1,F673=0),$Q$4,0))</f>
      </c>
      <c r="K672" s="351"/>
      <c r="L672" s="333">
        <f>K672+J672</f>
      </c>
      <c r="M672" s="170"/>
      <c r="N672" s="7"/>
      <c r="O672" s="1"/>
      <c r="P672" s="331">
        <f>D672</f>
      </c>
      <c r="Q672" s="169"/>
      <c r="R672" s="1"/>
      <c r="S672" s="217">
        <f>(1+$M$5)^(D672/12)*(IF(E672=$C$6,$Q$4+$H$5*12,0))</f>
      </c>
      <c r="T672" s="217">
        <f>(1+$M$5)^(D672/12)*(IF(YEAR(E672)&gt;YEAR($C$6),L672,0)+IF(E672=$C$6,$H$5*12+$Q$4,0))</f>
      </c>
    </row>
    <row x14ac:dyDescent="0.25" r="673" customHeight="1" ht="18.75">
      <c r="A673" s="1"/>
      <c r="B673" s="7"/>
      <c r="C673" s="170"/>
      <c r="D673" s="331">
        <v>666</v>
      </c>
      <c r="E673" s="544">
        <f>+DATE(YEAR(E672),MONTH(E672)-1,DAY(E672))</f>
        <v>25569.041666666668</v>
      </c>
      <c r="F673" s="333">
        <f>IF(DATE(YEAR($B$6),MONTH($B$6)+1,DAY(1))=E673,1,IF(MONTH(E673)=1,F674*(1+$F$5),F674))</f>
      </c>
      <c r="G673" s="333">
        <f>IF('Simulador - 1º Pilar'!$E$99="Sí",IF('Aportaciones Flex'!$B$13&lt;'Aportaciones Flex'!E673,0,F673*$B$8/12),F673*$B$8/12)</f>
      </c>
      <c r="H673" s="333">
        <f>IF(G673&gt;0,1,0)*$H$5*IF(AND($I$5="NO",YEAR(E673)=YEAR($B$6)+1),1,IF($I$5="SI",1,0))</f>
      </c>
      <c r="I673" s="217">
        <f>(1+$M$5)^(D673/12)*(H673*(12-IF(MONTH(E674)=12,0,MONTH(E674)))+IF(AND(F673=1,F674=0),$Q$4,0))*IF(AND(F673=1,F674=0),1,0)</f>
      </c>
      <c r="J673" s="333">
        <f>(1+$M$5)^(D673/12)*(H673+IF(AND(F673=1,F674=0),$Q$4,0))</f>
      </c>
      <c r="K673" s="351"/>
      <c r="L673" s="333">
        <f>K673+J673</f>
      </c>
      <c r="M673" s="170"/>
      <c r="N673" s="7"/>
      <c r="O673" s="1"/>
      <c r="P673" s="331">
        <f>D673</f>
      </c>
      <c r="Q673" s="169"/>
      <c r="R673" s="1"/>
      <c r="S673" s="217">
        <f>(1+$M$5)^(D673/12)*(IF(E673=$C$6,$Q$4+$H$5*12,0))</f>
      </c>
      <c r="T673" s="217">
        <f>(1+$M$5)^(D673/12)*(IF(YEAR(E673)&gt;YEAR($C$6),L673,0)+IF(E673=$C$6,$H$5*12+$Q$4,0))</f>
      </c>
    </row>
    <row x14ac:dyDescent="0.25" r="674" customHeight="1" ht="18.75">
      <c r="A674" s="1"/>
      <c r="B674" s="7"/>
      <c r="C674" s="170"/>
      <c r="D674" s="331">
        <v>667</v>
      </c>
      <c r="E674" s="544">
        <f>+DATE(YEAR(E673),MONTH(E673)-1,DAY(E673))</f>
        <v>25569.041666666668</v>
      </c>
      <c r="F674" s="333">
        <f>IF(DATE(YEAR($B$6),MONTH($B$6)+1,DAY(1))=E674,1,IF(MONTH(E674)=1,F675*(1+$F$5),F675))</f>
      </c>
      <c r="G674" s="333">
        <f>IF('Simulador - 1º Pilar'!$E$99="Sí",IF('Aportaciones Flex'!$B$13&lt;'Aportaciones Flex'!E674,0,F674*$B$8/12),F674*$B$8/12)</f>
      </c>
      <c r="H674" s="333">
        <f>IF(G674&gt;0,1,0)*$H$5*IF(AND($I$5="NO",YEAR(E674)=YEAR($B$6)+1),1,IF($I$5="SI",1,0))</f>
      </c>
      <c r="I674" s="217">
        <f>(1+$M$5)^(D674/12)*(H674*(12-IF(MONTH(E675)=12,0,MONTH(E675)))+IF(AND(F674=1,F675=0),$Q$4,0))*IF(AND(F674=1,F675=0),1,0)</f>
      </c>
      <c r="J674" s="333">
        <f>(1+$M$5)^(D674/12)*(H674+IF(AND(F674=1,F675=0),$Q$4,0))</f>
      </c>
      <c r="K674" s="351"/>
      <c r="L674" s="333">
        <f>K674+J674</f>
      </c>
      <c r="M674" s="170"/>
      <c r="N674" s="7"/>
      <c r="O674" s="1"/>
      <c r="P674" s="331">
        <f>D674</f>
      </c>
      <c r="Q674" s="169"/>
      <c r="R674" s="1"/>
      <c r="S674" s="217">
        <f>(1+$M$5)^(D674/12)*(IF(E674=$C$6,$Q$4+$H$5*12,0))</f>
      </c>
      <c r="T674" s="217">
        <f>(1+$M$5)^(D674/12)*(IF(YEAR(E674)&gt;YEAR($C$6),L674,0)+IF(E674=$C$6,$H$5*12+$Q$4,0))</f>
      </c>
    </row>
    <row x14ac:dyDescent="0.25" r="675" customHeight="1" ht="18.75">
      <c r="A675" s="1"/>
      <c r="B675" s="7"/>
      <c r="C675" s="170"/>
      <c r="D675" s="331">
        <v>668</v>
      </c>
      <c r="E675" s="544">
        <f>+DATE(YEAR(E674),MONTH(E674)-1,DAY(E674))</f>
        <v>25569.041666666668</v>
      </c>
      <c r="F675" s="333">
        <f>IF(DATE(YEAR($B$6),MONTH($B$6)+1,DAY(1))=E675,1,IF(MONTH(E675)=1,F676*(1+$F$5),F676))</f>
      </c>
      <c r="G675" s="333">
        <f>IF('Simulador - 1º Pilar'!$E$99="Sí",IF('Aportaciones Flex'!$B$13&lt;'Aportaciones Flex'!E675,0,F675*$B$8/12),F675*$B$8/12)</f>
      </c>
      <c r="H675" s="333">
        <f>IF(G675&gt;0,1,0)*$H$5*IF(AND($I$5="NO",YEAR(E675)=YEAR($B$6)+1),1,IF($I$5="SI",1,0))</f>
      </c>
      <c r="I675" s="217">
        <f>(1+$M$5)^(D675/12)*(H675*(12-IF(MONTH(E676)=12,0,MONTH(E676)))+IF(AND(F675=1,F676=0),$Q$4,0))*IF(AND(F675=1,F676=0),1,0)</f>
      </c>
      <c r="J675" s="333">
        <f>(1+$M$5)^(D675/12)*(H675+IF(AND(F675=1,F676=0),$Q$4,0))</f>
      </c>
      <c r="K675" s="351"/>
      <c r="L675" s="333">
        <f>K675+J675</f>
      </c>
      <c r="M675" s="170"/>
      <c r="N675" s="7"/>
      <c r="O675" s="1"/>
      <c r="P675" s="331">
        <f>D675</f>
      </c>
      <c r="Q675" s="169"/>
      <c r="R675" s="1"/>
      <c r="S675" s="217">
        <f>(1+$M$5)^(D675/12)*(IF(E675=$C$6,$Q$4+$H$5*12,0))</f>
      </c>
      <c r="T675" s="217">
        <f>(1+$M$5)^(D675/12)*(IF(YEAR(E675)&gt;YEAR($C$6),L675,0)+IF(E675=$C$6,$H$5*12+$Q$4,0))</f>
      </c>
    </row>
    <row x14ac:dyDescent="0.25" r="676" customHeight="1" ht="18.75">
      <c r="A676" s="1"/>
      <c r="B676" s="7"/>
      <c r="C676" s="170"/>
      <c r="D676" s="331">
        <v>669</v>
      </c>
      <c r="E676" s="544">
        <f>+DATE(YEAR(E675),MONTH(E675)-1,DAY(E675))</f>
        <v>25569.041666666668</v>
      </c>
      <c r="F676" s="333">
        <f>IF(DATE(YEAR($B$6),MONTH($B$6)+1,DAY(1))=E676,1,IF(MONTH(E676)=1,F677*(1+$F$5),F677))</f>
      </c>
      <c r="G676" s="333">
        <f>IF('Simulador - 1º Pilar'!$E$99="Sí",IF('Aportaciones Flex'!$B$13&lt;'Aportaciones Flex'!E676,0,F676*$B$8/12),F676*$B$8/12)</f>
      </c>
      <c r="H676" s="333">
        <f>IF(G676&gt;0,1,0)*$H$5*IF(AND($I$5="NO",YEAR(E676)=YEAR($B$6)+1),1,IF($I$5="SI",1,0))</f>
      </c>
      <c r="I676" s="217">
        <f>(1+$M$5)^(D676/12)*(H676*(12-IF(MONTH(E677)=12,0,MONTH(E677)))+IF(AND(F676=1,F677=0),$Q$4,0))*IF(AND(F676=1,F677=0),1,0)</f>
      </c>
      <c r="J676" s="333">
        <f>(1+$M$5)^(D676/12)*(H676+IF(AND(F676=1,F677=0),$Q$4,0))</f>
      </c>
      <c r="K676" s="351"/>
      <c r="L676" s="333">
        <f>K676+J676</f>
      </c>
      <c r="M676" s="170"/>
      <c r="N676" s="7"/>
      <c r="O676" s="1"/>
      <c r="P676" s="331">
        <f>D676</f>
      </c>
      <c r="Q676" s="169"/>
      <c r="R676" s="1"/>
      <c r="S676" s="217">
        <f>(1+$M$5)^(D676/12)*(IF(E676=$C$6,$Q$4+$H$5*12,0))</f>
      </c>
      <c r="T676" s="217">
        <f>(1+$M$5)^(D676/12)*(IF(YEAR(E676)&gt;YEAR($C$6),L676,0)+IF(E676=$C$6,$H$5*12+$Q$4,0))</f>
      </c>
    </row>
    <row x14ac:dyDescent="0.25" r="677" customHeight="1" ht="18.75">
      <c r="A677" s="1"/>
      <c r="B677" s="7"/>
      <c r="C677" s="170"/>
      <c r="D677" s="331">
        <v>670</v>
      </c>
      <c r="E677" s="544">
        <f>+DATE(YEAR(E676),MONTH(E676)-1,DAY(E676))</f>
        <v>25569.041666666668</v>
      </c>
      <c r="F677" s="333">
        <f>IF(DATE(YEAR($B$6),MONTH($B$6)+1,DAY(1))=E677,1,IF(MONTH(E677)=1,F678*(1+$F$5),F678))</f>
      </c>
      <c r="G677" s="333">
        <f>IF('Simulador - 1º Pilar'!$E$99="Sí",IF('Aportaciones Flex'!$B$13&lt;'Aportaciones Flex'!E677,0,F677*$B$8/12),F677*$B$8/12)</f>
      </c>
      <c r="H677" s="333">
        <f>IF(G677&gt;0,1,0)*$H$5*IF(AND($I$5="NO",YEAR(E677)=YEAR($B$6)+1),1,IF($I$5="SI",1,0))</f>
      </c>
      <c r="I677" s="217">
        <f>(1+$M$5)^(D677/12)*(H677*(12-IF(MONTH(E678)=12,0,MONTH(E678)))+IF(AND(F677=1,F678=0),$Q$4,0))*IF(AND(F677=1,F678=0),1,0)</f>
      </c>
      <c r="J677" s="333">
        <f>(1+$M$5)^(D677/12)*(H677+IF(AND(F677=1,F678=0),$Q$4,0))</f>
      </c>
      <c r="K677" s="351"/>
      <c r="L677" s="333">
        <f>K677+J677</f>
      </c>
      <c r="M677" s="170"/>
      <c r="N677" s="7"/>
      <c r="O677" s="1"/>
      <c r="P677" s="331">
        <f>D677</f>
      </c>
      <c r="Q677" s="169"/>
      <c r="R677" s="1"/>
      <c r="S677" s="217">
        <f>(1+$M$5)^(D677/12)*(IF(E677=$C$6,$Q$4+$H$5*12,0))</f>
      </c>
      <c r="T677" s="217">
        <f>(1+$M$5)^(D677/12)*(IF(YEAR(E677)&gt;YEAR($C$6),L677,0)+IF(E677=$C$6,$H$5*12+$Q$4,0))</f>
      </c>
    </row>
    <row x14ac:dyDescent="0.25" r="678" customHeight="1" ht="18.75">
      <c r="A678" s="1"/>
      <c r="B678" s="7"/>
      <c r="C678" s="170"/>
      <c r="D678" s="331">
        <v>671</v>
      </c>
      <c r="E678" s="544">
        <f>+DATE(YEAR(E677),MONTH(E677)-1,DAY(E677))</f>
        <v>25569.041666666668</v>
      </c>
      <c r="F678" s="333">
        <f>IF(DATE(YEAR($B$6),MONTH($B$6)+1,DAY(1))=E678,1,IF(MONTH(E678)=1,F679*(1+$F$5),F679))</f>
      </c>
      <c r="G678" s="333">
        <f>IF('Simulador - 1º Pilar'!$E$99="Sí",IF('Aportaciones Flex'!$B$13&lt;'Aportaciones Flex'!E678,0,F678*$B$8/12),F678*$B$8/12)</f>
      </c>
      <c r="H678" s="333">
        <f>IF(G678&gt;0,1,0)*$H$5*IF(AND($I$5="NO",YEAR(E678)=YEAR($B$6)+1),1,IF($I$5="SI",1,0))</f>
      </c>
      <c r="I678" s="217">
        <f>(1+$M$5)^(D678/12)*(H678*(12-IF(MONTH(E679)=12,0,MONTH(E679)))+IF(AND(F678=1,F679=0),$Q$4,0))*IF(AND(F678=1,F679=0),1,0)</f>
      </c>
      <c r="J678" s="333">
        <f>(1+$M$5)^(D678/12)*(H678+IF(AND(F678=1,F679=0),$Q$4,0))</f>
      </c>
      <c r="K678" s="351"/>
      <c r="L678" s="333">
        <f>K678+J678</f>
      </c>
      <c r="M678" s="170"/>
      <c r="N678" s="7"/>
      <c r="O678" s="1"/>
      <c r="P678" s="331">
        <f>D678</f>
      </c>
      <c r="Q678" s="169"/>
      <c r="R678" s="1"/>
      <c r="S678" s="217">
        <f>(1+$M$5)^(D678/12)*(IF(E678=$C$6,$Q$4+$H$5*12,0))</f>
      </c>
      <c r="T678" s="217">
        <f>(1+$M$5)^(D678/12)*(IF(YEAR(E678)&gt;YEAR($C$6),L678,0)+IF(E678=$C$6,$H$5*12+$Q$4,0))</f>
      </c>
    </row>
    <row x14ac:dyDescent="0.25" r="679" customHeight="1" ht="18.75">
      <c r="A679" s="1"/>
      <c r="B679" s="7"/>
      <c r="C679" s="170"/>
      <c r="D679" s="331">
        <v>672</v>
      </c>
      <c r="E679" s="544">
        <f>+DATE(YEAR(E678),MONTH(E678)-1,DAY(E678))</f>
        <v>25569.041666666668</v>
      </c>
      <c r="F679" s="333">
        <f>IF(DATE(YEAR($B$6),MONTH($B$6)+1,DAY(1))=E679,1,IF(MONTH(E679)=1,F680*(1+$F$5),F680))</f>
      </c>
      <c r="G679" s="333">
        <f>IF('Simulador - 1º Pilar'!$E$99="Sí",IF('Aportaciones Flex'!$B$13&lt;'Aportaciones Flex'!E679,0,F679*$B$8/12),F679*$B$8/12)</f>
      </c>
      <c r="H679" s="333">
        <f>IF(G679&gt;0,1,0)*$H$5*IF(AND($I$5="NO",YEAR(E679)=YEAR($B$6)+1),1,IF($I$5="SI",1,0))</f>
      </c>
      <c r="I679" s="217">
        <f>(1+$M$5)^(D679/12)*(H679*(12-IF(MONTH(E680)=12,0,MONTH(E680)))+IF(AND(F679=1,F680=0),$Q$4,0))*IF(AND(F679=1,F680=0),1,0)</f>
      </c>
      <c r="J679" s="333">
        <f>(1+$M$5)^(D679/12)*(H679+IF(AND(F679=1,F680=0),$Q$4,0))</f>
      </c>
      <c r="K679" s="351"/>
      <c r="L679" s="333">
        <f>K679+J679</f>
      </c>
      <c r="M679" s="170"/>
      <c r="N679" s="7"/>
      <c r="O679" s="1"/>
      <c r="P679" s="331">
        <f>D679</f>
      </c>
      <c r="Q679" s="169"/>
      <c r="R679" s="1"/>
      <c r="S679" s="217">
        <f>(1+$M$5)^(D679/12)*(IF(E679=$C$6,$Q$4+$H$5*12,0))</f>
      </c>
      <c r="T679" s="217">
        <f>(1+$M$5)^(D679/12)*(IF(YEAR(E679)&gt;YEAR($C$6),L679,0)+IF(E679=$C$6,$H$5*12+$Q$4,0))</f>
      </c>
    </row>
    <row x14ac:dyDescent="0.25" r="680" customHeight="1" ht="18.75">
      <c r="A680" s="1"/>
      <c r="B680" s="7"/>
      <c r="C680" s="170"/>
      <c r="D680" s="331">
        <v>673</v>
      </c>
      <c r="E680" s="544">
        <f>+DATE(YEAR(E679),MONTH(E679)-1,DAY(E679))</f>
        <v>25569.041666666668</v>
      </c>
      <c r="F680" s="333">
        <f>IF(DATE(YEAR($B$6),MONTH($B$6)+1,DAY(1))=E680,1,IF(MONTH(E680)=1,F681*(1+$F$5),F681))</f>
      </c>
      <c r="G680" s="333">
        <f>IF('Simulador - 1º Pilar'!$E$99="Sí",IF('Aportaciones Flex'!$B$13&lt;'Aportaciones Flex'!E680,0,F680*$B$8/12),F680*$B$8/12)</f>
      </c>
      <c r="H680" s="333">
        <f>IF(G680&gt;0,1,0)*$H$5*IF(AND($I$5="NO",YEAR(E680)=YEAR($B$6)+1),1,IF($I$5="SI",1,0))</f>
      </c>
      <c r="I680" s="217">
        <f>(1+$M$5)^(D680/12)*(H680*(12-IF(MONTH(E681)=12,0,MONTH(E681)))+IF(AND(F680=1,F681=0),$Q$4,0))*IF(AND(F680=1,F681=0),1,0)</f>
      </c>
      <c r="J680" s="333">
        <f>(1+$M$5)^(D680/12)*(H680+IF(AND(F680=1,F681=0),$Q$4,0))</f>
      </c>
      <c r="K680" s="351"/>
      <c r="L680" s="333">
        <f>K680+J680</f>
      </c>
      <c r="M680" s="170"/>
      <c r="N680" s="7"/>
      <c r="O680" s="1"/>
      <c r="P680" s="331">
        <f>D680</f>
      </c>
      <c r="Q680" s="169"/>
      <c r="R680" s="1"/>
      <c r="S680" s="217">
        <f>(1+$M$5)^(D680/12)*(IF(E680=$C$6,$Q$4+$H$5*12,0))</f>
      </c>
      <c r="T680" s="217">
        <f>(1+$M$5)^(D680/12)*(IF(YEAR(E680)&gt;YEAR($C$6),L680,0)+IF(E680=$C$6,$H$5*12+$Q$4,0))</f>
      </c>
    </row>
    <row x14ac:dyDescent="0.25" r="681" customHeight="1" ht="18.75">
      <c r="A681" s="1"/>
      <c r="B681" s="7"/>
      <c r="C681" s="170"/>
      <c r="D681" s="331">
        <v>674</v>
      </c>
      <c r="E681" s="544">
        <f>+DATE(YEAR(E680),MONTH(E680)-1,DAY(E680))</f>
        <v>25569.041666666668</v>
      </c>
      <c r="F681" s="333">
        <f>IF(DATE(YEAR($B$6),MONTH($B$6)+1,DAY(1))=E681,1,IF(MONTH(E681)=1,F682*(1+$F$5),F682))</f>
      </c>
      <c r="G681" s="333">
        <f>IF('Simulador - 1º Pilar'!$E$99="Sí",IF('Aportaciones Flex'!$B$13&lt;'Aportaciones Flex'!E681,0,F681*$B$8/12),F681*$B$8/12)</f>
      </c>
      <c r="H681" s="333">
        <f>IF(G681&gt;0,1,0)*$H$5*IF(AND($I$5="NO",YEAR(E681)=YEAR($B$6)+1),1,IF($I$5="SI",1,0))</f>
      </c>
      <c r="I681" s="217">
        <f>(1+$M$5)^(D681/12)*(H681*(12-IF(MONTH(E682)=12,0,MONTH(E682)))+IF(AND(F681=1,F682=0),$Q$4,0))*IF(AND(F681=1,F682=0),1,0)</f>
      </c>
      <c r="J681" s="333">
        <f>(1+$M$5)^(D681/12)*(H681+IF(AND(F681=1,F682=0),$Q$4,0))</f>
      </c>
      <c r="K681" s="351"/>
      <c r="L681" s="333">
        <f>K681+J681</f>
      </c>
      <c r="M681" s="170"/>
      <c r="N681" s="7"/>
      <c r="O681" s="1"/>
      <c r="P681" s="331">
        <f>D681</f>
      </c>
      <c r="Q681" s="169"/>
      <c r="R681" s="1"/>
      <c r="S681" s="217">
        <f>(1+$M$5)^(D681/12)*(IF(E681=$C$6,$Q$4+$H$5*12,0))</f>
      </c>
      <c r="T681" s="217">
        <f>(1+$M$5)^(D681/12)*(IF(YEAR(E681)&gt;YEAR($C$6),L681,0)+IF(E681=$C$6,$H$5*12+$Q$4,0))</f>
      </c>
    </row>
    <row x14ac:dyDescent="0.25" r="682" customHeight="1" ht="18.75">
      <c r="A682" s="1"/>
      <c r="B682" s="7"/>
      <c r="C682" s="170"/>
      <c r="D682" s="331">
        <v>675</v>
      </c>
      <c r="E682" s="544">
        <f>+DATE(YEAR(E681),MONTH(E681)-1,DAY(E681))</f>
        <v>25569.041666666668</v>
      </c>
      <c r="F682" s="333">
        <f>IF(DATE(YEAR($B$6),MONTH($B$6)+1,DAY(1))=E682,1,IF(MONTH(E682)=1,F683*(1+$F$5),F683))</f>
      </c>
      <c r="G682" s="333">
        <f>IF('Simulador - 1º Pilar'!$E$99="Sí",IF('Aportaciones Flex'!$B$13&lt;'Aportaciones Flex'!E682,0,F682*$B$8/12),F682*$B$8/12)</f>
      </c>
      <c r="H682" s="333">
        <f>IF(G682&gt;0,1,0)*$H$5*IF(AND($I$5="NO",YEAR(E682)=YEAR($B$6)+1),1,IF($I$5="SI",1,0))</f>
      </c>
      <c r="I682" s="217">
        <f>(1+$M$5)^(D682/12)*(H682*(12-IF(MONTH(E683)=12,0,MONTH(E683)))+IF(AND(F682=1,F683=0),$Q$4,0))*IF(AND(F682=1,F683=0),1,0)</f>
      </c>
      <c r="J682" s="333">
        <f>(1+$M$5)^(D682/12)*(H682+IF(AND(F682=1,F683=0),$Q$4,0))</f>
      </c>
      <c r="K682" s="351"/>
      <c r="L682" s="333">
        <f>K682+J682</f>
      </c>
      <c r="M682" s="170"/>
      <c r="N682" s="7"/>
      <c r="O682" s="1"/>
      <c r="P682" s="331">
        <f>D682</f>
      </c>
      <c r="Q682" s="169"/>
      <c r="R682" s="1"/>
      <c r="S682" s="217">
        <f>(1+$M$5)^(D682/12)*(IF(E682=$C$6,$Q$4+$H$5*12,0))</f>
      </c>
      <c r="T682" s="217">
        <f>(1+$M$5)^(D682/12)*(IF(YEAR(E682)&gt;YEAR($C$6),L682,0)+IF(E682=$C$6,$H$5*12+$Q$4,0))</f>
      </c>
    </row>
    <row x14ac:dyDescent="0.25" r="683" customHeight="1" ht="18.75">
      <c r="A683" s="1"/>
      <c r="B683" s="7"/>
      <c r="C683" s="170"/>
      <c r="D683" s="331">
        <v>676</v>
      </c>
      <c r="E683" s="544">
        <f>+DATE(YEAR(E682),MONTH(E682)-1,DAY(E682))</f>
        <v>25569.041666666668</v>
      </c>
      <c r="F683" s="333">
        <f>IF(DATE(YEAR($B$6),MONTH($B$6)+1,DAY(1))=E683,1,IF(MONTH(E683)=1,F684*(1+$F$5),F684))</f>
      </c>
      <c r="G683" s="333">
        <f>IF('Simulador - 1º Pilar'!$E$99="Sí",IF('Aportaciones Flex'!$B$13&lt;'Aportaciones Flex'!E683,0,F683*$B$8/12),F683*$B$8/12)</f>
      </c>
      <c r="H683" s="333">
        <f>IF(G683&gt;0,1,0)*$H$5*IF(AND($I$5="NO",YEAR(E683)=YEAR($B$6)+1),1,IF($I$5="SI",1,0))</f>
      </c>
      <c r="I683" s="217">
        <f>(1+$M$5)^(D683/12)*(H683*(12-IF(MONTH(E684)=12,0,MONTH(E684)))+IF(AND(F683=1,F684=0),$Q$4,0))*IF(AND(F683=1,F684=0),1,0)</f>
      </c>
      <c r="J683" s="333">
        <f>(1+$M$5)^(D683/12)*(H683+IF(AND(F683=1,F684=0),$Q$4,0))</f>
      </c>
      <c r="K683" s="351"/>
      <c r="L683" s="333">
        <f>K683+J683</f>
      </c>
      <c r="M683" s="170"/>
      <c r="N683" s="7"/>
      <c r="O683" s="1"/>
      <c r="P683" s="331">
        <f>D683</f>
      </c>
      <c r="Q683" s="169"/>
      <c r="R683" s="1"/>
      <c r="S683" s="217">
        <f>(1+$M$5)^(D683/12)*(IF(E683=$C$6,$Q$4+$H$5*12,0))</f>
      </c>
      <c r="T683" s="217">
        <f>(1+$M$5)^(D683/12)*(IF(YEAR(E683)&gt;YEAR($C$6),L683,0)+IF(E683=$C$6,$H$5*12+$Q$4,0))</f>
      </c>
    </row>
    <row x14ac:dyDescent="0.25" r="684" customHeight="1" ht="18.75">
      <c r="A684" s="1"/>
      <c r="B684" s="7"/>
      <c r="C684" s="170"/>
      <c r="D684" s="331">
        <v>677</v>
      </c>
      <c r="E684" s="544">
        <f>+DATE(YEAR(E683),MONTH(E683)-1,DAY(E683))</f>
        <v>25569.041666666668</v>
      </c>
      <c r="F684" s="333">
        <f>IF(DATE(YEAR($B$6),MONTH($B$6)+1,DAY(1))=E684,1,IF(MONTH(E684)=1,F685*(1+$F$5),F685))</f>
      </c>
      <c r="G684" s="333">
        <f>IF('Simulador - 1º Pilar'!$E$99="Sí",IF('Aportaciones Flex'!$B$13&lt;'Aportaciones Flex'!E684,0,F684*$B$8/12),F684*$B$8/12)</f>
      </c>
      <c r="H684" s="333">
        <f>IF(G684&gt;0,1,0)*$H$5*IF(AND($I$5="NO",YEAR(E684)=YEAR($B$6)+1),1,IF($I$5="SI",1,0))</f>
      </c>
      <c r="I684" s="217">
        <f>(1+$M$5)^(D684/12)*(H684*(12-IF(MONTH(E685)=12,0,MONTH(E685)))+IF(AND(F684=1,F685=0),$Q$4,0))*IF(AND(F684=1,F685=0),1,0)</f>
      </c>
      <c r="J684" s="333">
        <f>(1+$M$5)^(D684/12)*(H684+IF(AND(F684=1,F685=0),$Q$4,0))</f>
      </c>
      <c r="K684" s="351"/>
      <c r="L684" s="333">
        <f>K684+J684</f>
      </c>
      <c r="M684" s="170"/>
      <c r="N684" s="7"/>
      <c r="O684" s="1"/>
      <c r="P684" s="331">
        <f>D684</f>
      </c>
      <c r="Q684" s="169"/>
      <c r="R684" s="1"/>
      <c r="S684" s="217">
        <f>(1+$M$5)^(D684/12)*(IF(E684=$C$6,$Q$4+$H$5*12,0))</f>
      </c>
      <c r="T684" s="217">
        <f>(1+$M$5)^(D684/12)*(IF(YEAR(E684)&gt;YEAR($C$6),L684,0)+IF(E684=$C$6,$H$5*12+$Q$4,0))</f>
      </c>
    </row>
    <row x14ac:dyDescent="0.25" r="685" customHeight="1" ht="18.75">
      <c r="A685" s="1"/>
      <c r="B685" s="7"/>
      <c r="C685" s="170"/>
      <c r="D685" s="331">
        <v>678</v>
      </c>
      <c r="E685" s="544">
        <f>+DATE(YEAR(E684),MONTH(E684)-1,DAY(E684))</f>
        <v>25569.041666666668</v>
      </c>
      <c r="F685" s="333">
        <f>IF(DATE(YEAR($B$6),MONTH($B$6)+1,DAY(1))=E685,1,IF(MONTH(E685)=1,F686*(1+$F$5),F686))</f>
      </c>
      <c r="G685" s="333">
        <f>IF('Simulador - 1º Pilar'!$E$99="Sí",IF('Aportaciones Flex'!$B$13&lt;'Aportaciones Flex'!E685,0,F685*$B$8/12),F685*$B$8/12)</f>
      </c>
      <c r="H685" s="333">
        <f>IF(G685&gt;0,1,0)*$H$5*IF(AND($I$5="NO",YEAR(E685)=YEAR($B$6)+1),1,IF($I$5="SI",1,0))</f>
      </c>
      <c r="I685" s="217">
        <f>(1+$M$5)^(D685/12)*(H685*(12-IF(MONTH(E686)=12,0,MONTH(E686)))+IF(AND(F685=1,F686=0),$Q$4,0))*IF(AND(F685=1,F686=0),1,0)</f>
      </c>
      <c r="J685" s="333">
        <f>(1+$M$5)^(D685/12)*(H685+IF(AND(F685=1,F686=0),$Q$4,0))</f>
      </c>
      <c r="K685" s="351"/>
      <c r="L685" s="333">
        <f>K685+J685</f>
      </c>
      <c r="M685" s="170"/>
      <c r="N685" s="7"/>
      <c r="O685" s="1"/>
      <c r="P685" s="331">
        <f>D685</f>
      </c>
      <c r="Q685" s="169"/>
      <c r="R685" s="1"/>
      <c r="S685" s="217">
        <f>(1+$M$5)^(D685/12)*(IF(E685=$C$6,$Q$4+$H$5*12,0))</f>
      </c>
      <c r="T685" s="217">
        <f>(1+$M$5)^(D685/12)*(IF(YEAR(E685)&gt;YEAR($C$6),L685,0)+IF(E685=$C$6,$H$5*12+$Q$4,0))</f>
      </c>
    </row>
    <row x14ac:dyDescent="0.25" r="686" customHeight="1" ht="18.75">
      <c r="A686" s="1"/>
      <c r="B686" s="7"/>
      <c r="C686" s="170"/>
      <c r="D686" s="331">
        <v>679</v>
      </c>
      <c r="E686" s="544">
        <f>+DATE(YEAR(E685),MONTH(E685)-1,DAY(E685))</f>
        <v>25569.041666666668</v>
      </c>
      <c r="F686" s="333">
        <f>IF(DATE(YEAR($B$6),MONTH($B$6)+1,DAY(1))=E686,1,IF(MONTH(E686)=1,F687*(1+$F$5),F687))</f>
      </c>
      <c r="G686" s="333">
        <f>IF('Simulador - 1º Pilar'!$E$99="Sí",IF('Aportaciones Flex'!$B$13&lt;'Aportaciones Flex'!E686,0,F686*$B$8/12),F686*$B$8/12)</f>
      </c>
      <c r="H686" s="333">
        <f>IF(G686&gt;0,1,0)*$H$5*IF(AND($I$5="NO",YEAR(E686)=YEAR($B$6)+1),1,IF($I$5="SI",1,0))</f>
      </c>
      <c r="I686" s="217">
        <f>(1+$M$5)^(D686/12)*(H686*(12-IF(MONTH(E687)=12,0,MONTH(E687)))+IF(AND(F686=1,F687=0),$Q$4,0))*IF(AND(F686=1,F687=0),1,0)</f>
      </c>
      <c r="J686" s="333">
        <f>(1+$M$5)^(D686/12)*(H686+IF(AND(F686=1,F687=0),$Q$4,0))</f>
      </c>
      <c r="K686" s="351"/>
      <c r="L686" s="333">
        <f>K686+J686</f>
      </c>
      <c r="M686" s="170"/>
      <c r="N686" s="7"/>
      <c r="O686" s="1"/>
      <c r="P686" s="331">
        <f>D686</f>
      </c>
      <c r="Q686" s="169"/>
      <c r="R686" s="1"/>
      <c r="S686" s="217">
        <f>(1+$M$5)^(D686/12)*(IF(E686=$C$6,$Q$4+$H$5*12,0))</f>
      </c>
      <c r="T686" s="217">
        <f>(1+$M$5)^(D686/12)*(IF(YEAR(E686)&gt;YEAR($C$6),L686,0)+IF(E686=$C$6,$H$5*12+$Q$4,0))</f>
      </c>
    </row>
    <row x14ac:dyDescent="0.25" r="687" customHeight="1" ht="18.75">
      <c r="A687" s="1"/>
      <c r="B687" s="7"/>
      <c r="C687" s="170"/>
      <c r="D687" s="331">
        <v>680</v>
      </c>
      <c r="E687" s="544">
        <f>+DATE(YEAR(E686),MONTH(E686)-1,DAY(E686))</f>
        <v>25569.041666666668</v>
      </c>
      <c r="F687" s="333">
        <f>IF(DATE(YEAR($B$6),MONTH($B$6)+1,DAY(1))=E687,1,IF(MONTH(E687)=1,F688*(1+$F$5),F688))</f>
      </c>
      <c r="G687" s="333">
        <f>IF('Simulador - 1º Pilar'!$E$99="Sí",IF('Aportaciones Flex'!$B$13&lt;'Aportaciones Flex'!E687,0,F687*$B$8/12),F687*$B$8/12)</f>
      </c>
      <c r="H687" s="333">
        <f>IF(G687&gt;0,1,0)*$H$5*IF(AND($I$5="NO",YEAR(E687)=YEAR($B$6)+1),1,IF($I$5="SI",1,0))</f>
      </c>
      <c r="I687" s="217">
        <f>(1+$M$5)^(D687/12)*(H687*(12-IF(MONTH(E688)=12,0,MONTH(E688)))+IF(AND(F687=1,F688=0),$Q$4,0))*IF(AND(F687=1,F688=0),1,0)</f>
      </c>
      <c r="J687" s="333">
        <f>(1+$M$5)^(D687/12)*(H687+IF(AND(F687=1,F688=0),$Q$4,0))</f>
      </c>
      <c r="K687" s="351"/>
      <c r="L687" s="333">
        <f>K687+J687</f>
      </c>
      <c r="M687" s="170"/>
      <c r="N687" s="7"/>
      <c r="O687" s="1"/>
      <c r="P687" s="331">
        <f>D687</f>
      </c>
      <c r="Q687" s="169"/>
      <c r="R687" s="1"/>
      <c r="S687" s="217">
        <f>(1+$M$5)^(D687/12)*(IF(E687=$C$6,$Q$4+$H$5*12,0))</f>
      </c>
      <c r="T687" s="217">
        <f>(1+$M$5)^(D687/12)*(IF(YEAR(E687)&gt;YEAR($C$6),L687,0)+IF(E687=$C$6,$H$5*12+$Q$4,0))</f>
      </c>
    </row>
    <row x14ac:dyDescent="0.25" r="688" customHeight="1" ht="18.75">
      <c r="A688" s="1"/>
      <c r="B688" s="7"/>
      <c r="C688" s="170"/>
      <c r="D688" s="331">
        <v>681</v>
      </c>
      <c r="E688" s="544">
        <f>+DATE(YEAR(E687),MONTH(E687)-1,DAY(E687))</f>
        <v>25569.041666666668</v>
      </c>
      <c r="F688" s="333">
        <f>IF(DATE(YEAR($B$6),MONTH($B$6)+1,DAY(1))=E688,1,IF(MONTH(E688)=1,F689*(1+$F$5),F689))</f>
      </c>
      <c r="G688" s="333">
        <f>IF('Simulador - 1º Pilar'!$E$99="Sí",IF('Aportaciones Flex'!$B$13&lt;'Aportaciones Flex'!E688,0,F688*$B$8/12),F688*$B$8/12)</f>
      </c>
      <c r="H688" s="333">
        <f>IF(G688&gt;0,1,0)*$H$5*IF(AND($I$5="NO",YEAR(E688)=YEAR($B$6)+1),1,IF($I$5="SI",1,0))</f>
      </c>
      <c r="I688" s="217">
        <f>(1+$M$5)^(D688/12)*(H688*(12-IF(MONTH(E689)=12,0,MONTH(E689)))+IF(AND(F688=1,F689=0),$Q$4,0))*IF(AND(F688=1,F689=0),1,0)</f>
      </c>
      <c r="J688" s="333">
        <f>(1+$M$5)^(D688/12)*(H688+IF(AND(F688=1,F689=0),$Q$4,0))</f>
      </c>
      <c r="K688" s="351"/>
      <c r="L688" s="333">
        <f>K688+J688</f>
      </c>
      <c r="M688" s="170"/>
      <c r="N688" s="7"/>
      <c r="O688" s="1"/>
      <c r="P688" s="331">
        <f>D688</f>
      </c>
      <c r="Q688" s="169"/>
      <c r="R688" s="1"/>
      <c r="S688" s="217">
        <f>(1+$M$5)^(D688/12)*(IF(E688=$C$6,$Q$4+$H$5*12,0))</f>
      </c>
      <c r="T688" s="217">
        <f>(1+$M$5)^(D688/12)*(IF(YEAR(E688)&gt;YEAR($C$6),L688,0)+IF(E688=$C$6,$H$5*12+$Q$4,0))</f>
      </c>
    </row>
    <row x14ac:dyDescent="0.25" r="689" customHeight="1" ht="18.75">
      <c r="A689" s="1"/>
      <c r="B689" s="7"/>
      <c r="C689" s="170"/>
      <c r="D689" s="331">
        <v>682</v>
      </c>
      <c r="E689" s="544">
        <f>+DATE(YEAR(E688),MONTH(E688)-1,DAY(E688))</f>
        <v>25569.041666666668</v>
      </c>
      <c r="F689" s="333">
        <f>IF(DATE(YEAR($B$6),MONTH($B$6)+1,DAY(1))=E689,1,IF(MONTH(E689)=1,F690*(1+$F$5),F690))</f>
      </c>
      <c r="G689" s="333">
        <f>IF('Simulador - 1º Pilar'!$E$99="Sí",IF('Aportaciones Flex'!$B$13&lt;'Aportaciones Flex'!E689,0,F689*$B$8/12),F689*$B$8/12)</f>
      </c>
      <c r="H689" s="333">
        <f>IF(G689&gt;0,1,0)*$H$5*IF(AND($I$5="NO",YEAR(E689)=YEAR($B$6)+1),1,IF($I$5="SI",1,0))</f>
      </c>
      <c r="I689" s="217">
        <f>(1+$M$5)^(D689/12)*(H689*(12-IF(MONTH(E690)=12,0,MONTH(E690)))+IF(AND(F689=1,F690=0),$Q$4,0))*IF(AND(F689=1,F690=0),1,0)</f>
      </c>
      <c r="J689" s="333">
        <f>(1+$M$5)^(D689/12)*(H689+IF(AND(F689=1,F690=0),$Q$4,0))</f>
      </c>
      <c r="K689" s="351"/>
      <c r="L689" s="333">
        <f>K689+J689</f>
      </c>
      <c r="M689" s="170"/>
      <c r="N689" s="7"/>
      <c r="O689" s="1"/>
      <c r="P689" s="331">
        <f>D689</f>
      </c>
      <c r="Q689" s="169"/>
      <c r="R689" s="1"/>
      <c r="S689" s="217">
        <f>(1+$M$5)^(D689/12)*(IF(E689=$C$6,$Q$4+$H$5*12,0))</f>
      </c>
      <c r="T689" s="217">
        <f>(1+$M$5)^(D689/12)*(IF(YEAR(E689)&gt;YEAR($C$6),L689,0)+IF(E689=$C$6,$H$5*12+$Q$4,0))</f>
      </c>
    </row>
    <row x14ac:dyDescent="0.25" r="690" customHeight="1" ht="18.75">
      <c r="A690" s="1"/>
      <c r="B690" s="7"/>
      <c r="C690" s="170"/>
      <c r="D690" s="331">
        <v>683</v>
      </c>
      <c r="E690" s="544">
        <f>+DATE(YEAR(E689),MONTH(E689)-1,DAY(E689))</f>
        <v>25569.041666666668</v>
      </c>
      <c r="F690" s="333">
        <f>IF(DATE(YEAR($B$6),MONTH($B$6)+1,DAY(1))=E690,1,IF(MONTH(E690)=1,F691*(1+$F$5),F691))</f>
      </c>
      <c r="G690" s="333">
        <f>IF('Simulador - 1º Pilar'!$E$99="Sí",IF('Aportaciones Flex'!$B$13&lt;'Aportaciones Flex'!E690,0,F690*$B$8/12),F690*$B$8/12)</f>
      </c>
      <c r="H690" s="333">
        <f>IF(G690&gt;0,1,0)*$H$5*IF(AND($I$5="NO",YEAR(E690)=YEAR($B$6)+1),1,IF($I$5="SI",1,0))</f>
      </c>
      <c r="I690" s="217">
        <f>(1+$M$5)^(D690/12)*(H690*(12-IF(MONTH(E691)=12,0,MONTH(E691)))+IF(AND(F690=1,F691=0),$Q$4,0))*IF(AND(F690=1,F691=0),1,0)</f>
      </c>
      <c r="J690" s="333">
        <f>(1+$M$5)^(D690/12)*(H690+IF(AND(F690=1,F691=0),$Q$4,0))</f>
      </c>
      <c r="K690" s="351"/>
      <c r="L690" s="333">
        <f>K690+J690</f>
      </c>
      <c r="M690" s="170"/>
      <c r="N690" s="7"/>
      <c r="O690" s="1"/>
      <c r="P690" s="331">
        <f>D690</f>
      </c>
      <c r="Q690" s="169"/>
      <c r="R690" s="1"/>
      <c r="S690" s="217">
        <f>(1+$M$5)^(D690/12)*(IF(E690=$C$6,$Q$4+$H$5*12,0))</f>
      </c>
      <c r="T690" s="217">
        <f>(1+$M$5)^(D690/12)*(IF(YEAR(E690)&gt;YEAR($C$6),L690,0)+IF(E690=$C$6,$H$5*12+$Q$4,0))</f>
      </c>
    </row>
    <row x14ac:dyDescent="0.25" r="691" customHeight="1" ht="18.75">
      <c r="A691" s="1"/>
      <c r="B691" s="7"/>
      <c r="C691" s="170"/>
      <c r="D691" s="331">
        <v>684</v>
      </c>
      <c r="E691" s="544">
        <f>+DATE(YEAR(E690),MONTH(E690)-1,DAY(E690))</f>
        <v>25569.041666666668</v>
      </c>
      <c r="F691" s="333">
        <f>IF(DATE(YEAR($B$6),MONTH($B$6)+1,DAY(1))=E691,1,IF(MONTH(E691)=1,F692*(1+$F$5),F692))</f>
      </c>
      <c r="G691" s="333">
        <f>IF('Simulador - 1º Pilar'!$E$99="Sí",IF('Aportaciones Flex'!$B$13&lt;'Aportaciones Flex'!E691,0,F691*$B$8/12),F691*$B$8/12)</f>
      </c>
      <c r="H691" s="333">
        <f>IF(G691&gt;0,1,0)*$H$5*IF(AND($I$5="NO",YEAR(E691)=YEAR($B$6)+1),1,IF($I$5="SI",1,0))</f>
      </c>
      <c r="I691" s="217">
        <f>(1+$M$5)^(D691/12)*(H691*(12-IF(MONTH(E692)=12,0,MONTH(E692)))+IF(AND(F691=1,F692=0),$Q$4,0))*IF(AND(F691=1,F692=0),1,0)</f>
      </c>
      <c r="J691" s="333">
        <f>(1+$M$5)^(D691/12)*(H691+IF(AND(F691=1,F692=0),$Q$4,0))</f>
      </c>
      <c r="K691" s="351"/>
      <c r="L691" s="333">
        <f>K691+J691</f>
      </c>
      <c r="M691" s="170"/>
      <c r="N691" s="7"/>
      <c r="O691" s="1"/>
      <c r="P691" s="331">
        <f>D691</f>
      </c>
      <c r="Q691" s="169"/>
      <c r="R691" s="1"/>
      <c r="S691" s="217">
        <f>(1+$M$5)^(D691/12)*(IF(E691=$C$6,$Q$4+$H$5*12,0))</f>
      </c>
      <c r="T691" s="217">
        <f>(1+$M$5)^(D691/12)*(IF(YEAR(E691)&gt;YEAR($C$6),L691,0)+IF(E691=$C$6,$H$5*12+$Q$4,0))</f>
      </c>
    </row>
    <row x14ac:dyDescent="0.25" r="692" customHeight="1" ht="18.75">
      <c r="A692" s="1"/>
      <c r="B692" s="7"/>
      <c r="C692" s="170"/>
      <c r="D692" s="331">
        <v>685</v>
      </c>
      <c r="E692" s="544">
        <f>+DATE(YEAR(E691),MONTH(E691)-1,DAY(E691))</f>
        <v>25569.041666666668</v>
      </c>
      <c r="F692" s="333">
        <f>IF(DATE(YEAR($B$6),MONTH($B$6)+1,DAY(1))=E692,1,IF(MONTH(E692)=1,F693*(1+$F$5),F693))</f>
      </c>
      <c r="G692" s="333">
        <f>IF('Simulador - 1º Pilar'!$E$99="Sí",IF('Aportaciones Flex'!$B$13&lt;'Aportaciones Flex'!E692,0,F692*$B$8/12),F692*$B$8/12)</f>
      </c>
      <c r="H692" s="333">
        <f>IF(G692&gt;0,1,0)*$H$5*IF(AND($I$5="NO",YEAR(E692)=YEAR($B$6)+1),1,IF($I$5="SI",1,0))</f>
      </c>
      <c r="I692" s="217">
        <f>(1+$M$5)^(D692/12)*(H692*(12-IF(MONTH(E693)=12,0,MONTH(E693)))+IF(AND(F692=1,F693=0),$Q$4,0))*IF(AND(F692=1,F693=0),1,0)</f>
      </c>
      <c r="J692" s="333">
        <f>(1+$M$5)^(D692/12)*(H692+IF(AND(F692=1,F693=0),$Q$4,0))</f>
      </c>
      <c r="K692" s="351"/>
      <c r="L692" s="333">
        <f>K692+J692</f>
      </c>
      <c r="M692" s="170"/>
      <c r="N692" s="7"/>
      <c r="O692" s="1"/>
      <c r="P692" s="331">
        <f>D692</f>
      </c>
      <c r="Q692" s="169"/>
      <c r="R692" s="1"/>
      <c r="S692" s="217">
        <f>(1+$M$5)^(D692/12)*(IF(E692=$C$6,$Q$4+$H$5*12,0))</f>
      </c>
      <c r="T692" s="217">
        <f>(1+$M$5)^(D692/12)*(IF(YEAR(E692)&gt;YEAR($C$6),L692,0)+IF(E692=$C$6,$H$5*12+$Q$4,0))</f>
      </c>
    </row>
    <row x14ac:dyDescent="0.25" r="693" customHeight="1" ht="18.75">
      <c r="A693" s="1"/>
      <c r="B693" s="7"/>
      <c r="C693" s="170"/>
      <c r="D693" s="331">
        <v>686</v>
      </c>
      <c r="E693" s="544">
        <f>+DATE(YEAR(E692),MONTH(E692)-1,DAY(E692))</f>
        <v>25569.041666666668</v>
      </c>
      <c r="F693" s="333">
        <f>IF(DATE(YEAR($B$6),MONTH($B$6)+1,DAY(1))=E693,1,IF(MONTH(E693)=1,F694*(1+$F$5),F694))</f>
      </c>
      <c r="G693" s="333">
        <f>IF('Simulador - 1º Pilar'!$E$99="Sí",IF('Aportaciones Flex'!$B$13&lt;'Aportaciones Flex'!E693,0,F693*$B$8/12),F693*$B$8/12)</f>
      </c>
      <c r="H693" s="333">
        <f>IF(G693&gt;0,1,0)*$H$5*IF(AND($I$5="NO",YEAR(E693)=YEAR($B$6)+1),1,IF($I$5="SI",1,0))</f>
      </c>
      <c r="I693" s="217">
        <f>(1+$M$5)^(D693/12)*(H693*(12-IF(MONTH(E694)=12,0,MONTH(E694)))+IF(AND(F693=1,F694=0),$Q$4,0))*IF(AND(F693=1,F694=0),1,0)</f>
      </c>
      <c r="J693" s="333">
        <f>(1+$M$5)^(D693/12)*(H693+IF(AND(F693=1,F694=0),$Q$4,0))</f>
      </c>
      <c r="K693" s="351"/>
      <c r="L693" s="333">
        <f>K693+J693</f>
      </c>
      <c r="M693" s="170"/>
      <c r="N693" s="7"/>
      <c r="O693" s="1"/>
      <c r="P693" s="331">
        <f>D693</f>
      </c>
      <c r="Q693" s="169"/>
      <c r="R693" s="1"/>
      <c r="S693" s="217">
        <f>(1+$M$5)^(D693/12)*(IF(E693=$C$6,$Q$4+$H$5*12,0))</f>
      </c>
      <c r="T693" s="217">
        <f>(1+$M$5)^(D693/12)*(IF(YEAR(E693)&gt;YEAR($C$6),L693,0)+IF(E693=$C$6,$H$5*12+$Q$4,0))</f>
      </c>
    </row>
    <row x14ac:dyDescent="0.25" r="694" customHeight="1" ht="18.75">
      <c r="A694" s="1"/>
      <c r="B694" s="7"/>
      <c r="C694" s="170"/>
      <c r="D694" s="331">
        <v>687</v>
      </c>
      <c r="E694" s="544">
        <f>+DATE(YEAR(E693),MONTH(E693)-1,DAY(E693))</f>
        <v>25569.041666666668</v>
      </c>
      <c r="F694" s="333">
        <f>IF(DATE(YEAR($B$6),MONTH($B$6)+1,DAY(1))=E694,1,IF(MONTH(E694)=1,F695*(1+$F$5),F695))</f>
      </c>
      <c r="G694" s="333">
        <f>IF('Simulador - 1º Pilar'!$E$99="Sí",IF('Aportaciones Flex'!$B$13&lt;'Aportaciones Flex'!E694,0,F694*$B$8/12),F694*$B$8/12)</f>
      </c>
      <c r="H694" s="333">
        <f>IF(G694&gt;0,1,0)*$H$5*IF(AND($I$5="NO",YEAR(E694)=YEAR($B$6)+1),1,IF($I$5="SI",1,0))</f>
      </c>
      <c r="I694" s="217">
        <f>(1+$M$5)^(D694/12)*(H694*(12-IF(MONTH(E695)=12,0,MONTH(E695)))+IF(AND(F694=1,F695=0),$Q$4,0))*IF(AND(F694=1,F695=0),1,0)</f>
      </c>
      <c r="J694" s="333">
        <f>(1+$M$5)^(D694/12)*(H694+IF(AND(F694=1,F695=0),$Q$4,0))</f>
      </c>
      <c r="K694" s="351"/>
      <c r="L694" s="333">
        <f>K694+J694</f>
      </c>
      <c r="M694" s="170"/>
      <c r="N694" s="7"/>
      <c r="O694" s="1"/>
      <c r="P694" s="331">
        <f>D694</f>
      </c>
      <c r="Q694" s="169"/>
      <c r="R694" s="1"/>
      <c r="S694" s="217">
        <f>(1+$M$5)^(D694/12)*(IF(E694=$C$6,$Q$4+$H$5*12,0))</f>
      </c>
      <c r="T694" s="217">
        <f>(1+$M$5)^(D694/12)*(IF(YEAR(E694)&gt;YEAR($C$6),L694,0)+IF(E694=$C$6,$H$5*12+$Q$4,0))</f>
      </c>
    </row>
    <row x14ac:dyDescent="0.25" r="695" customHeight="1" ht="18.75">
      <c r="A695" s="1"/>
      <c r="B695" s="7"/>
      <c r="C695" s="170"/>
      <c r="D695" s="331">
        <v>688</v>
      </c>
      <c r="E695" s="544">
        <f>+DATE(YEAR(E694),MONTH(E694)-1,DAY(E694))</f>
        <v>25569.041666666668</v>
      </c>
      <c r="F695" s="333">
        <f>IF(DATE(YEAR($B$6),MONTH($B$6)+1,DAY(1))=E695,1,IF(MONTH(E695)=1,F696*(1+$F$5),F696))</f>
      </c>
      <c r="G695" s="333">
        <f>IF('Simulador - 1º Pilar'!$E$99="Sí",IF('Aportaciones Flex'!$B$13&lt;'Aportaciones Flex'!E695,0,F695*$B$8/12),F695*$B$8/12)</f>
      </c>
      <c r="H695" s="333">
        <f>IF(G695&gt;0,1,0)*$H$5*IF(AND($I$5="NO",YEAR(E695)=YEAR($B$6)+1),1,IF($I$5="SI",1,0))</f>
      </c>
      <c r="I695" s="217">
        <f>(1+$M$5)^(D695/12)*(H695*(12-IF(MONTH(E696)=12,0,MONTH(E696)))+IF(AND(F695=1,F696=0),$Q$4,0))*IF(AND(F695=1,F696=0),1,0)</f>
      </c>
      <c r="J695" s="333">
        <f>(1+$M$5)^(D695/12)*(H695+IF(AND(F695=1,F696=0),$Q$4,0))</f>
      </c>
      <c r="K695" s="351"/>
      <c r="L695" s="333">
        <f>K695+J695</f>
      </c>
      <c r="M695" s="170"/>
      <c r="N695" s="7"/>
      <c r="O695" s="1"/>
      <c r="P695" s="331">
        <f>D695</f>
      </c>
      <c r="Q695" s="169"/>
      <c r="R695" s="1"/>
      <c r="S695" s="217">
        <f>(1+$M$5)^(D695/12)*(IF(E695=$C$6,$Q$4+$H$5*12,0))</f>
      </c>
      <c r="T695" s="217">
        <f>(1+$M$5)^(D695/12)*(IF(YEAR(E695)&gt;YEAR($C$6),L695,0)+IF(E695=$C$6,$H$5*12+$Q$4,0))</f>
      </c>
    </row>
    <row x14ac:dyDescent="0.25" r="696" customHeight="1" ht="18.75">
      <c r="A696" s="1"/>
      <c r="B696" s="7"/>
      <c r="C696" s="170"/>
      <c r="D696" s="331">
        <v>689</v>
      </c>
      <c r="E696" s="544">
        <f>+DATE(YEAR(E695),MONTH(E695)-1,DAY(E695))</f>
        <v>25569.041666666668</v>
      </c>
      <c r="F696" s="333">
        <f>IF(DATE(YEAR($B$6),MONTH($B$6)+1,DAY(1))=E696,1,IF(MONTH(E696)=1,F697*(1+$F$5),F697))</f>
      </c>
      <c r="G696" s="333">
        <f>IF('Simulador - 1º Pilar'!$E$99="Sí",IF('Aportaciones Flex'!$B$13&lt;'Aportaciones Flex'!E696,0,F696*$B$8/12),F696*$B$8/12)</f>
      </c>
      <c r="H696" s="333">
        <f>IF(G696&gt;0,1,0)*$H$5*IF(AND($I$5="NO",YEAR(E696)=YEAR($B$6)+1),1,IF($I$5="SI",1,0))</f>
      </c>
      <c r="I696" s="217">
        <f>(1+$M$5)^(D696/12)*(H696*(12-IF(MONTH(E697)=12,0,MONTH(E697)))+IF(AND(F696=1,F697=0),$Q$4,0))*IF(AND(F696=1,F697=0),1,0)</f>
      </c>
      <c r="J696" s="333">
        <f>(1+$M$5)^(D696/12)*(H696+IF(AND(F696=1,F697=0),$Q$4,0))</f>
      </c>
      <c r="K696" s="351"/>
      <c r="L696" s="333">
        <f>K696+J696</f>
      </c>
      <c r="M696" s="170"/>
      <c r="N696" s="7"/>
      <c r="O696" s="1"/>
      <c r="P696" s="331">
        <f>D696</f>
      </c>
      <c r="Q696" s="169"/>
      <c r="R696" s="1"/>
      <c r="S696" s="217">
        <f>(1+$M$5)^(D696/12)*(IF(E696=$C$6,$Q$4+$H$5*12,0))</f>
      </c>
      <c r="T696" s="217">
        <f>(1+$M$5)^(D696/12)*(IF(YEAR(E696)&gt;YEAR($C$6),L696,0)+IF(E696=$C$6,$H$5*12+$Q$4,0))</f>
      </c>
    </row>
    <row x14ac:dyDescent="0.25" r="697" customHeight="1" ht="18.75">
      <c r="A697" s="1"/>
      <c r="B697" s="7"/>
      <c r="C697" s="170"/>
      <c r="D697" s="331">
        <v>690</v>
      </c>
      <c r="E697" s="544">
        <f>+DATE(YEAR(E696),MONTH(E696)-1,DAY(E696))</f>
        <v>25569.041666666668</v>
      </c>
      <c r="F697" s="333">
        <f>IF(DATE(YEAR($B$6),MONTH($B$6)+1,DAY(1))=E697,1,IF(MONTH(E697)=1,F698*(1+$F$5),F698))</f>
      </c>
      <c r="G697" s="333">
        <f>IF('Simulador - 1º Pilar'!$E$99="Sí",IF('Aportaciones Flex'!$B$13&lt;'Aportaciones Flex'!E697,0,F697*$B$8/12),F697*$B$8/12)</f>
      </c>
      <c r="H697" s="333">
        <f>IF(G697&gt;0,1,0)*$H$5*IF(AND($I$5="NO",YEAR(E697)=YEAR($B$6)+1),1,IF($I$5="SI",1,0))</f>
      </c>
      <c r="I697" s="217">
        <f>(1+$M$5)^(D697/12)*(H697*(12-IF(MONTH(E698)=12,0,MONTH(E698)))+IF(AND(F697=1,F698=0),$Q$4,0))*IF(AND(F697=1,F698=0),1,0)</f>
      </c>
      <c r="J697" s="333">
        <f>(1+$M$5)^(D697/12)*(H697+IF(AND(F697=1,F698=0),$Q$4,0))</f>
      </c>
      <c r="K697" s="351"/>
      <c r="L697" s="333">
        <f>K697+J697</f>
      </c>
      <c r="M697" s="170"/>
      <c r="N697" s="7"/>
      <c r="O697" s="1"/>
      <c r="P697" s="331">
        <f>D697</f>
      </c>
      <c r="Q697" s="169"/>
      <c r="R697" s="1"/>
      <c r="S697" s="217">
        <f>(1+$M$5)^(D697/12)*(IF(E697=$C$6,$Q$4+$H$5*12,0))</f>
      </c>
      <c r="T697" s="217">
        <f>(1+$M$5)^(D697/12)*(IF(YEAR(E697)&gt;YEAR($C$6),L697,0)+IF(E697=$C$6,$H$5*12+$Q$4,0))</f>
      </c>
    </row>
    <row x14ac:dyDescent="0.25" r="698" customHeight="1" ht="18.75">
      <c r="A698" s="1"/>
      <c r="B698" s="7"/>
      <c r="C698" s="170"/>
      <c r="D698" s="331">
        <v>691</v>
      </c>
      <c r="E698" s="544">
        <f>+DATE(YEAR(E697),MONTH(E697)-1,DAY(E697))</f>
        <v>25569.041666666668</v>
      </c>
      <c r="F698" s="333">
        <f>IF(DATE(YEAR($B$6),MONTH($B$6)+1,DAY(1))=E698,1,IF(MONTH(E698)=1,F699*(1+$F$5),F699))</f>
      </c>
      <c r="G698" s="333">
        <f>IF('Simulador - 1º Pilar'!$E$99="Sí",IF('Aportaciones Flex'!$B$13&lt;'Aportaciones Flex'!E698,0,F698*$B$8/12),F698*$B$8/12)</f>
      </c>
      <c r="H698" s="333">
        <f>IF(G698&gt;0,1,0)*$H$5*IF(AND($I$5="NO",YEAR(E698)=YEAR($B$6)+1),1,IF($I$5="SI",1,0))</f>
      </c>
      <c r="I698" s="217">
        <f>(1+$M$5)^(D698/12)*(H698*(12-IF(MONTH(E699)=12,0,MONTH(E699)))+IF(AND(F698=1,F699=0),$Q$4,0))*IF(AND(F698=1,F699=0),1,0)</f>
      </c>
      <c r="J698" s="333">
        <f>(1+$M$5)^(D698/12)*(H698+IF(AND(F698=1,F699=0),$Q$4,0))</f>
      </c>
      <c r="K698" s="351"/>
      <c r="L698" s="333">
        <f>K698+J698</f>
      </c>
      <c r="M698" s="170"/>
      <c r="N698" s="7"/>
      <c r="O698" s="1"/>
      <c r="P698" s="331">
        <f>D698</f>
      </c>
      <c r="Q698" s="169"/>
      <c r="R698" s="1"/>
      <c r="S698" s="217">
        <f>(1+$M$5)^(D698/12)*(IF(E698=$C$6,$Q$4+$H$5*12,0))</f>
      </c>
      <c r="T698" s="217">
        <f>(1+$M$5)^(D698/12)*(IF(YEAR(E698)&gt;YEAR($C$6),L698,0)+IF(E698=$C$6,$H$5*12+$Q$4,0))</f>
      </c>
    </row>
    <row x14ac:dyDescent="0.25" r="699" customHeight="1" ht="18.75">
      <c r="A699" s="1"/>
      <c r="B699" s="7"/>
      <c r="C699" s="170"/>
      <c r="D699" s="331">
        <v>692</v>
      </c>
      <c r="E699" s="544">
        <f>+DATE(YEAR(E698),MONTH(E698)-1,DAY(E698))</f>
        <v>25569.041666666668</v>
      </c>
      <c r="F699" s="333">
        <f>IF(DATE(YEAR($B$6),MONTH($B$6)+1,DAY(1))=E699,1,IF(MONTH(E699)=1,F700*(1+$F$5),F700))</f>
      </c>
      <c r="G699" s="333">
        <f>IF('Simulador - 1º Pilar'!$E$99="Sí",IF('Aportaciones Flex'!$B$13&lt;'Aportaciones Flex'!E699,0,F699*$B$8/12),F699*$B$8/12)</f>
      </c>
      <c r="H699" s="333">
        <f>IF(G699&gt;0,1,0)*$H$5*IF(AND($I$5="NO",YEAR(E699)=YEAR($B$6)+1),1,IF($I$5="SI",1,0))</f>
      </c>
      <c r="I699" s="217">
        <f>(1+$M$5)^(D699/12)*(H699*(12-IF(MONTH(E700)=12,0,MONTH(E700)))+IF(AND(F699=1,F700=0),$Q$4,0))*IF(AND(F699=1,F700=0),1,0)</f>
      </c>
      <c r="J699" s="333">
        <f>(1+$M$5)^(D699/12)*(H699+IF(AND(F699=1,F700=0),$Q$4,0))</f>
      </c>
      <c r="K699" s="351"/>
      <c r="L699" s="333">
        <f>K699+J699</f>
      </c>
      <c r="M699" s="170"/>
      <c r="N699" s="7"/>
      <c r="O699" s="1"/>
      <c r="P699" s="331">
        <f>D699</f>
      </c>
      <c r="Q699" s="169"/>
      <c r="R699" s="1"/>
      <c r="S699" s="217">
        <f>(1+$M$5)^(D699/12)*(IF(E699=$C$6,$Q$4+$H$5*12,0))</f>
      </c>
      <c r="T699" s="217">
        <f>(1+$M$5)^(D699/12)*(IF(YEAR(E699)&gt;YEAR($C$6),L699,0)+IF(E699=$C$6,$H$5*12+$Q$4,0))</f>
      </c>
    </row>
    <row x14ac:dyDescent="0.25" r="700" customHeight="1" ht="18.75">
      <c r="A700" s="1"/>
      <c r="B700" s="7"/>
      <c r="C700" s="170"/>
      <c r="D700" s="331">
        <v>693</v>
      </c>
      <c r="E700" s="544">
        <f>+DATE(YEAR(E699),MONTH(E699)-1,DAY(E699))</f>
        <v>25569.041666666668</v>
      </c>
      <c r="F700" s="333">
        <f>IF(DATE(YEAR($B$6),MONTH($B$6)+1,DAY(1))=E700,1,IF(MONTH(E700)=1,F701*(1+$F$5),F701))</f>
      </c>
      <c r="G700" s="333">
        <f>IF('Simulador - 1º Pilar'!$E$99="Sí",IF('Aportaciones Flex'!$B$13&lt;'Aportaciones Flex'!E700,0,F700*$B$8/12),F700*$B$8/12)</f>
      </c>
      <c r="H700" s="333">
        <f>IF(G700&gt;0,1,0)*$H$5*IF(AND($I$5="NO",YEAR(E700)=YEAR($B$6)+1),1,IF($I$5="SI",1,0))</f>
      </c>
      <c r="I700" s="217">
        <f>(1+$M$5)^(D700/12)*(H700*(12-IF(MONTH(E701)=12,0,MONTH(E701)))+IF(AND(F700=1,F701=0),$Q$4,0))*IF(AND(F700=1,F701=0),1,0)</f>
      </c>
      <c r="J700" s="333">
        <f>(1+$M$5)^(D700/12)*(H700+IF(AND(F700=1,F701=0),$Q$4,0))</f>
      </c>
      <c r="K700" s="351"/>
      <c r="L700" s="333">
        <f>K700+J700</f>
      </c>
      <c r="M700" s="170"/>
      <c r="N700" s="7"/>
      <c r="O700" s="1"/>
      <c r="P700" s="331">
        <f>D700</f>
      </c>
      <c r="Q700" s="169"/>
      <c r="R700" s="1"/>
      <c r="S700" s="217">
        <f>(1+$M$5)^(D700/12)*(IF(E700=$C$6,$Q$4+$H$5*12,0))</f>
      </c>
      <c r="T700" s="217">
        <f>(1+$M$5)^(D700/12)*(IF(YEAR(E700)&gt;YEAR($C$6),L700,0)+IF(E700=$C$6,$H$5*12+$Q$4,0))</f>
      </c>
    </row>
    <row x14ac:dyDescent="0.25" r="701" customHeight="1" ht="18.75">
      <c r="A701" s="1"/>
      <c r="B701" s="7"/>
      <c r="C701" s="170"/>
      <c r="D701" s="331">
        <v>694</v>
      </c>
      <c r="E701" s="544">
        <f>+DATE(YEAR(E700),MONTH(E700)-1,DAY(E700))</f>
        <v>25569.041666666668</v>
      </c>
      <c r="F701" s="333">
        <f>IF(DATE(YEAR($B$6),MONTH($B$6)+1,DAY(1))=E701,1,IF(MONTH(E701)=1,F702*(1+$F$5),F702))</f>
      </c>
      <c r="G701" s="333">
        <f>IF('Simulador - 1º Pilar'!$E$99="Sí",IF('Aportaciones Flex'!$B$13&lt;'Aportaciones Flex'!E701,0,F701*$B$8/12),F701*$B$8/12)</f>
      </c>
      <c r="H701" s="333">
        <f>IF(G701&gt;0,1,0)*$H$5*IF(AND($I$5="NO",YEAR(E701)=YEAR($B$6)+1),1,IF($I$5="SI",1,0))</f>
      </c>
      <c r="I701" s="217">
        <f>(1+$M$5)^(D701/12)*(H701*(12-IF(MONTH(E702)=12,0,MONTH(E702)))+IF(AND(F701=1,F702=0),$Q$4,0))*IF(AND(F701=1,F702=0),1,0)</f>
      </c>
      <c r="J701" s="333">
        <f>(1+$M$5)^(D701/12)*(H701+IF(AND(F701=1,F702=0),$Q$4,0))</f>
      </c>
      <c r="K701" s="351"/>
      <c r="L701" s="333">
        <f>K701+J701</f>
      </c>
      <c r="M701" s="170"/>
      <c r="N701" s="7"/>
      <c r="O701" s="1"/>
      <c r="P701" s="331">
        <f>D701</f>
      </c>
      <c r="Q701" s="169"/>
      <c r="R701" s="1"/>
      <c r="S701" s="217">
        <f>(1+$M$5)^(D701/12)*(IF(E701=$C$6,$Q$4+$H$5*12,0))</f>
      </c>
      <c r="T701" s="217">
        <f>(1+$M$5)^(D701/12)*(IF(YEAR(E701)&gt;YEAR($C$6),L701,0)+IF(E701=$C$6,$H$5*12+$Q$4,0))</f>
      </c>
    </row>
    <row x14ac:dyDescent="0.25" r="702" customHeight="1" ht="18.75">
      <c r="A702" s="1"/>
      <c r="B702" s="7"/>
      <c r="C702" s="170"/>
      <c r="D702" s="331">
        <v>695</v>
      </c>
      <c r="E702" s="544">
        <f>+DATE(YEAR(E701),MONTH(E701)-1,DAY(E701))</f>
        <v>25569.041666666668</v>
      </c>
      <c r="F702" s="333">
        <f>IF(DATE(YEAR($B$6),MONTH($B$6)+1,DAY(1))=E702,1,IF(MONTH(E702)=1,F703*(1+$F$5),F703))</f>
      </c>
      <c r="G702" s="333">
        <f>IF('Simulador - 1º Pilar'!$E$99="Sí",IF('Aportaciones Flex'!$B$13&lt;'Aportaciones Flex'!E702,0,F702*$B$8/12),F702*$B$8/12)</f>
      </c>
      <c r="H702" s="333">
        <f>IF(G702&gt;0,1,0)*$H$5*IF(AND($I$5="NO",YEAR(E702)=YEAR($B$6)+1),1,IF($I$5="SI",1,0))</f>
      </c>
      <c r="I702" s="217">
        <f>(1+$M$5)^(D702/12)*(H702*(12-IF(MONTH(E703)=12,0,MONTH(E703)))+IF(AND(F702=1,F703=0),$Q$4,0))*IF(AND(F702=1,F703=0),1,0)</f>
      </c>
      <c r="J702" s="333">
        <f>(1+$M$5)^(D702/12)*(H702+IF(AND(F702=1,F703=0),$Q$4,0))</f>
      </c>
      <c r="K702" s="351"/>
      <c r="L702" s="333">
        <f>K702+J702</f>
      </c>
      <c r="M702" s="170"/>
      <c r="N702" s="7"/>
      <c r="O702" s="1"/>
      <c r="P702" s="331">
        <f>D702</f>
      </c>
      <c r="Q702" s="169"/>
      <c r="R702" s="1"/>
      <c r="S702" s="217">
        <f>(1+$M$5)^(D702/12)*(IF(E702=$C$6,$Q$4+$H$5*12,0))</f>
      </c>
      <c r="T702" s="217">
        <f>(1+$M$5)^(D702/12)*(IF(YEAR(E702)&gt;YEAR($C$6),L702,0)+IF(E702=$C$6,$H$5*12+$Q$4,0))</f>
      </c>
    </row>
    <row x14ac:dyDescent="0.25" r="703" customHeight="1" ht="18.75">
      <c r="A703" s="1"/>
      <c r="B703" s="7"/>
      <c r="C703" s="170"/>
      <c r="D703" s="331">
        <v>696</v>
      </c>
      <c r="E703" s="544">
        <f>+DATE(YEAR(E702),MONTH(E702)-1,DAY(E702))</f>
        <v>25569.041666666668</v>
      </c>
      <c r="F703" s="333">
        <f>IF(DATE(YEAR($B$6),MONTH($B$6)+1,DAY(1))=E703,1,IF(MONTH(E703)=1,F704*(1+$F$5),F704))</f>
      </c>
      <c r="G703" s="333">
        <f>IF('Simulador - 1º Pilar'!$E$99="Sí",IF('Aportaciones Flex'!$B$13&lt;'Aportaciones Flex'!E703,0,F703*$B$8/12),F703*$B$8/12)</f>
      </c>
      <c r="H703" s="333">
        <f>IF(G703&gt;0,1,0)*$H$5*IF(AND($I$5="NO",YEAR(E703)=YEAR($B$6)+1),1,IF($I$5="SI",1,0))</f>
      </c>
      <c r="I703" s="217">
        <f>(1+$M$5)^(D703/12)*(H703*(12-IF(MONTH(E704)=12,0,MONTH(E704)))+IF(AND(F703=1,F704=0),$Q$4,0))*IF(AND(F703=1,F704=0),1,0)</f>
      </c>
      <c r="J703" s="333">
        <f>(1+$M$5)^(D703/12)*(H703+IF(AND(F703=1,F704=0),$Q$4,0))</f>
      </c>
      <c r="K703" s="351"/>
      <c r="L703" s="333">
        <f>K703+J703</f>
      </c>
      <c r="M703" s="170"/>
      <c r="N703" s="7"/>
      <c r="O703" s="1"/>
      <c r="P703" s="331">
        <f>D703</f>
      </c>
      <c r="Q703" s="169"/>
      <c r="R703" s="1"/>
      <c r="S703" s="217">
        <f>(1+$M$5)^(D703/12)*(IF(E703=$C$6,$Q$4+$H$5*12,0))</f>
      </c>
      <c r="T703" s="217">
        <f>(1+$M$5)^(D703/12)*(IF(YEAR(E703)&gt;YEAR($C$6),L703,0)+IF(E703=$C$6,$H$5*12+$Q$4,0))</f>
      </c>
    </row>
    <row x14ac:dyDescent="0.25" r="704" customHeight="1" ht="18.75">
      <c r="A704" s="1"/>
      <c r="B704" s="7"/>
      <c r="C704" s="170"/>
      <c r="D704" s="331">
        <v>697</v>
      </c>
      <c r="E704" s="544">
        <f>+DATE(YEAR(E703),MONTH(E703)-1,DAY(E703))</f>
        <v>25569.041666666668</v>
      </c>
      <c r="F704" s="333">
        <f>IF(DATE(YEAR($B$6),MONTH($B$6)+1,DAY(1))=E704,1,IF(MONTH(E704)=1,F705*(1+$F$5),F705))</f>
      </c>
      <c r="G704" s="333">
        <f>IF('Simulador - 1º Pilar'!$E$99="Sí",IF('Aportaciones Flex'!$B$13&lt;'Aportaciones Flex'!E704,0,F704*$B$8/12),F704*$B$8/12)</f>
      </c>
      <c r="H704" s="333">
        <f>IF(G704&gt;0,1,0)*$H$5*IF(AND($I$5="NO",YEAR(E704)=YEAR($B$6)+1),1,IF($I$5="SI",1,0))</f>
      </c>
      <c r="I704" s="217">
        <f>(1+$M$5)^(D704/12)*(H704*(12-IF(MONTH(E705)=12,0,MONTH(E705)))+IF(AND(F704=1,F705=0),$Q$4,0))*IF(AND(F704=1,F705=0),1,0)</f>
      </c>
      <c r="J704" s="333">
        <f>(1+$M$5)^(D704/12)*(H704+IF(AND(F704=1,F705=0),$Q$4,0))</f>
      </c>
      <c r="K704" s="351"/>
      <c r="L704" s="333">
        <f>K704+J704</f>
      </c>
      <c r="M704" s="170"/>
      <c r="N704" s="7"/>
      <c r="O704" s="1"/>
      <c r="P704" s="331">
        <f>D704</f>
      </c>
      <c r="Q704" s="169"/>
      <c r="R704" s="1"/>
      <c r="S704" s="217">
        <f>(1+$M$5)^(D704/12)*(IF(E704=$C$6,$Q$4+$H$5*12,0))</f>
      </c>
      <c r="T704" s="217">
        <f>(1+$M$5)^(D704/12)*(IF(YEAR(E704)&gt;YEAR($C$6),L704,0)+IF(E704=$C$6,$H$5*12+$Q$4,0))</f>
      </c>
    </row>
    <row x14ac:dyDescent="0.25" r="705" customHeight="1" ht="18.75">
      <c r="A705" s="1"/>
      <c r="B705" s="7"/>
      <c r="C705" s="170"/>
      <c r="D705" s="331">
        <v>698</v>
      </c>
      <c r="E705" s="544">
        <f>+DATE(YEAR(E704),MONTH(E704)-1,DAY(E704))</f>
        <v>25569.041666666668</v>
      </c>
      <c r="F705" s="333">
        <f>IF(DATE(YEAR($B$6),MONTH($B$6)+1,DAY(1))=E705,1,IF(MONTH(E705)=1,F706*(1+$F$5),F706))</f>
      </c>
      <c r="G705" s="333">
        <f>IF('Simulador - 1º Pilar'!$E$99="Sí",IF('Aportaciones Flex'!$B$13&lt;'Aportaciones Flex'!E705,0,F705*$B$8/12),F705*$B$8/12)</f>
      </c>
      <c r="H705" s="333">
        <f>IF(G705&gt;0,1,0)*$H$5*IF(AND($I$5="NO",YEAR(E705)=YEAR($B$6)+1),1,IF($I$5="SI",1,0))</f>
      </c>
      <c r="I705" s="217">
        <f>(1+$M$5)^(D705/12)*(H705*(12-IF(MONTH(E706)=12,0,MONTH(E706)))+IF(AND(F705=1,F706=0),$Q$4,0))*IF(AND(F705=1,F706=0),1,0)</f>
      </c>
      <c r="J705" s="333">
        <f>(1+$M$5)^(D705/12)*(H705+IF(AND(F705=1,F706=0),$Q$4,0))</f>
      </c>
      <c r="K705" s="351"/>
      <c r="L705" s="333">
        <f>K705+J705</f>
      </c>
      <c r="M705" s="170"/>
      <c r="N705" s="7"/>
      <c r="O705" s="1"/>
      <c r="P705" s="331">
        <f>D705</f>
      </c>
      <c r="Q705" s="169"/>
      <c r="R705" s="1"/>
      <c r="S705" s="217">
        <f>(1+$M$5)^(D705/12)*(IF(E705=$C$6,$Q$4+$H$5*12,0))</f>
      </c>
      <c r="T705" s="217">
        <f>(1+$M$5)^(D705/12)*(IF(YEAR(E705)&gt;YEAR($C$6),L705,0)+IF(E705=$C$6,$H$5*12+$Q$4,0))</f>
      </c>
    </row>
    <row x14ac:dyDescent="0.25" r="706" customHeight="1" ht="18.75">
      <c r="A706" s="1"/>
      <c r="B706" s="7"/>
      <c r="C706" s="170"/>
      <c r="D706" s="331">
        <v>699</v>
      </c>
      <c r="E706" s="544">
        <f>+DATE(YEAR(E705),MONTH(E705)-1,DAY(E705))</f>
        <v>25569.041666666668</v>
      </c>
      <c r="F706" s="333">
        <f>IF(DATE(YEAR($B$6),MONTH($B$6)+1,DAY(1))=E706,1,IF(MONTH(E706)=1,F707*(1+$F$5),F707))</f>
      </c>
      <c r="G706" s="333">
        <f>IF('Simulador - 1º Pilar'!$E$99="Sí",IF('Aportaciones Flex'!$B$13&lt;'Aportaciones Flex'!E706,0,F706*$B$8/12),F706*$B$8/12)</f>
      </c>
      <c r="H706" s="333">
        <f>IF(G706&gt;0,1,0)*$H$5*IF(AND($I$5="NO",YEAR(E706)=YEAR($B$6)+1),1,IF($I$5="SI",1,0))</f>
      </c>
      <c r="I706" s="217">
        <f>(1+$M$5)^(D706/12)*(H706*(12-IF(MONTH(E707)=12,0,MONTH(E707)))+IF(AND(F706=1,F707=0),$Q$4,0))*IF(AND(F706=1,F707=0),1,0)</f>
      </c>
      <c r="J706" s="333">
        <f>(1+$M$5)^(D706/12)*(H706+IF(AND(F706=1,F707=0),$Q$4,0))</f>
      </c>
      <c r="K706" s="351"/>
      <c r="L706" s="333">
        <f>K706+J706</f>
      </c>
      <c r="M706" s="170"/>
      <c r="N706" s="7"/>
      <c r="O706" s="1"/>
      <c r="P706" s="331">
        <f>D706</f>
      </c>
      <c r="Q706" s="169"/>
      <c r="R706" s="1"/>
      <c r="S706" s="217">
        <f>(1+$M$5)^(D706/12)*(IF(E706=$C$6,$Q$4+$H$5*12,0))</f>
      </c>
      <c r="T706" s="217">
        <f>(1+$M$5)^(D706/12)*(IF(YEAR(E706)&gt;YEAR($C$6),L706,0)+IF(E706=$C$6,$H$5*12+$Q$4,0))</f>
      </c>
    </row>
    <row x14ac:dyDescent="0.25" r="707" customHeight="1" ht="18.75">
      <c r="A707" s="1"/>
      <c r="B707" s="7"/>
      <c r="C707" s="170"/>
      <c r="D707" s="331">
        <v>700</v>
      </c>
      <c r="E707" s="544">
        <f>+DATE(YEAR(E706),MONTH(E706)-1,DAY(E706))</f>
        <v>25569.041666666668</v>
      </c>
      <c r="F707" s="333">
        <f>IF(DATE(YEAR($B$6),MONTH($B$6)+1,DAY(1))=E707,1,IF(MONTH(E707)=1,F708*(1+$F$5),F708))</f>
      </c>
      <c r="G707" s="333">
        <f>IF('Simulador - 1º Pilar'!$E$99="Sí",IF('Aportaciones Flex'!$B$13&lt;'Aportaciones Flex'!E707,0,F707*$B$8/12),F707*$B$8/12)</f>
      </c>
      <c r="H707" s="333">
        <f>IF(G707&gt;0,1,0)*$H$5*IF(AND($I$5="NO",YEAR(E707)=YEAR($B$6)+1),1,IF($I$5="SI",1,0))</f>
      </c>
      <c r="I707" s="217">
        <f>(1+$M$5)^(D707/12)*(H707*(12-IF(MONTH(E708)=12,0,MONTH(E708)))+IF(AND(F707=1,F708=0),$Q$4,0))*IF(AND(F707=1,F708=0),1,0)</f>
      </c>
      <c r="J707" s="333">
        <f>(1+$M$5)^(D707/12)*(H707+IF(AND(F707=1,F708=0),$Q$4,0))</f>
      </c>
      <c r="K707" s="351"/>
      <c r="L707" s="333">
        <f>K707+J707</f>
      </c>
      <c r="M707" s="170"/>
      <c r="N707" s="7"/>
      <c r="O707" s="1"/>
      <c r="P707" s="331">
        <f>D707</f>
      </c>
      <c r="Q707" s="169"/>
      <c r="R707" s="1"/>
      <c r="S707" s="217">
        <f>(1+$M$5)^(D707/12)*(IF(E707=$C$6,$Q$4+$H$5*12,0))</f>
      </c>
      <c r="T707" s="217">
        <f>(1+$M$5)^(D707/12)*(IF(YEAR(E707)&gt;YEAR($C$6),L707,0)+IF(E707=$C$6,$H$5*12+$Q$4,0))</f>
      </c>
    </row>
    <row x14ac:dyDescent="0.25" r="708" customHeight="1" ht="18.75">
      <c r="A708" s="1"/>
      <c r="B708" s="7"/>
      <c r="C708" s="170"/>
      <c r="D708" s="331">
        <v>701</v>
      </c>
      <c r="E708" s="544">
        <f>+DATE(YEAR(E707),MONTH(E707)-1,DAY(E707))</f>
        <v>25569.041666666668</v>
      </c>
      <c r="F708" s="333">
        <f>IF(DATE(YEAR($B$6),MONTH($B$6)+1,DAY(1))=E708,1,IF(MONTH(E708)=1,F709*(1+$F$5),F709))</f>
      </c>
      <c r="G708" s="333">
        <f>IF('Simulador - 1º Pilar'!$E$99="Sí",IF('Aportaciones Flex'!$B$13&lt;'Aportaciones Flex'!E708,0,F708*$B$8/12),F708*$B$8/12)</f>
      </c>
      <c r="H708" s="333">
        <f>IF(G708&gt;0,1,0)*$H$5*IF(AND($I$5="NO",YEAR(E708)=YEAR($B$6)+1),1,IF($I$5="SI",1,0))</f>
      </c>
      <c r="I708" s="217">
        <f>(1+$M$5)^(D708/12)*(H708*(12-IF(MONTH(E709)=12,0,MONTH(E709)))+IF(AND(F708=1,F709=0),$Q$4,0))*IF(AND(F708=1,F709=0),1,0)</f>
      </c>
      <c r="J708" s="333">
        <f>(1+$M$5)^(D708/12)*(H708+IF(AND(F708=1,F709=0),$Q$4,0))</f>
      </c>
      <c r="K708" s="351"/>
      <c r="L708" s="333">
        <f>K708+J708</f>
      </c>
      <c r="M708" s="170"/>
      <c r="N708" s="7"/>
      <c r="O708" s="1"/>
      <c r="P708" s="331">
        <f>D708</f>
      </c>
      <c r="Q708" s="169"/>
      <c r="R708" s="1"/>
      <c r="S708" s="217">
        <f>(1+$M$5)^(D708/12)*(IF(E708=$C$6,$Q$4+$H$5*12,0))</f>
      </c>
      <c r="T708" s="217">
        <f>(1+$M$5)^(D708/12)*(IF(YEAR(E708)&gt;YEAR($C$6),L708,0)+IF(E708=$C$6,$H$5*12+$Q$4,0))</f>
      </c>
    </row>
    <row x14ac:dyDescent="0.25" r="709" customHeight="1" ht="18.75">
      <c r="A709" s="1"/>
      <c r="B709" s="7"/>
      <c r="C709" s="170"/>
      <c r="D709" s="331">
        <v>702</v>
      </c>
      <c r="E709" s="544">
        <f>+DATE(YEAR(E708),MONTH(E708)-1,DAY(E708))</f>
        <v>25569.041666666668</v>
      </c>
      <c r="F709" s="333">
        <f>IF(DATE(YEAR($B$6),MONTH($B$6)+1,DAY(1))=E709,1,IF(MONTH(E709)=1,F710*(1+$F$5),F710))</f>
      </c>
      <c r="G709" s="333">
        <f>IF('Simulador - 1º Pilar'!$E$99="Sí",IF('Aportaciones Flex'!$B$13&lt;'Aportaciones Flex'!E709,0,F709*$B$8/12),F709*$B$8/12)</f>
      </c>
      <c r="H709" s="333">
        <f>IF(G709&gt;0,1,0)*$H$5*IF(AND($I$5="NO",YEAR(E709)=YEAR($B$6)+1),1,IF($I$5="SI",1,0))</f>
      </c>
      <c r="I709" s="217">
        <f>(1+$M$5)^(D709/12)*(H709*(12-IF(MONTH(E710)=12,0,MONTH(E710)))+IF(AND(F709=1,F710=0),$Q$4,0))*IF(AND(F709=1,F710=0),1,0)</f>
      </c>
      <c r="J709" s="333">
        <f>(1+$M$5)^(D709/12)*(H709+IF(AND(F709=1,F710=0),$Q$4,0))</f>
      </c>
      <c r="K709" s="351"/>
      <c r="L709" s="333">
        <f>K709+J709</f>
      </c>
      <c r="M709" s="170"/>
      <c r="N709" s="7"/>
      <c r="O709" s="1"/>
      <c r="P709" s="331">
        <f>D709</f>
      </c>
      <c r="Q709" s="169"/>
      <c r="R709" s="1"/>
      <c r="S709" s="217">
        <f>(1+$M$5)^(D709/12)*(IF(E709=$C$6,$Q$4+$H$5*12,0))</f>
      </c>
      <c r="T709" s="217">
        <f>(1+$M$5)^(D709/12)*(IF(YEAR(E709)&gt;YEAR($C$6),L709,0)+IF(E709=$C$6,$H$5*12+$Q$4,0))</f>
      </c>
    </row>
    <row x14ac:dyDescent="0.25" r="710" customHeight="1" ht="18.75">
      <c r="A710" s="1"/>
      <c r="B710" s="7"/>
      <c r="C710" s="170"/>
      <c r="D710" s="331">
        <v>703</v>
      </c>
      <c r="E710" s="544">
        <f>+DATE(YEAR(E709),MONTH(E709)-1,DAY(E709))</f>
        <v>25569.041666666668</v>
      </c>
      <c r="F710" s="333">
        <f>IF(DATE(YEAR($B$6),MONTH($B$6)+1,DAY(1))=E710,1,IF(MONTH(E710)=1,F711*(1+$F$5),F711))</f>
      </c>
      <c r="G710" s="333">
        <f>IF('Simulador - 1º Pilar'!$E$99="Sí",IF('Aportaciones Flex'!$B$13&lt;'Aportaciones Flex'!E710,0,F710*$B$8/12),F710*$B$8/12)</f>
      </c>
      <c r="H710" s="333">
        <f>IF(G710&gt;0,1,0)*$H$5*IF(AND($I$5="NO",YEAR(E710)=YEAR($B$6)+1),1,IF($I$5="SI",1,0))</f>
      </c>
      <c r="I710" s="217">
        <f>(1+$M$5)^(D710/12)*(H710*(12-IF(MONTH(E711)=12,0,MONTH(E711)))+IF(AND(F710=1,F711=0),$Q$4,0))*IF(AND(F710=1,F711=0),1,0)</f>
      </c>
      <c r="J710" s="333">
        <f>(1+$M$5)^(D710/12)*(H710+IF(AND(F710=1,F711=0),$Q$4,0))</f>
      </c>
      <c r="K710" s="351"/>
      <c r="L710" s="333">
        <f>K710+J710</f>
      </c>
      <c r="M710" s="170"/>
      <c r="N710" s="7"/>
      <c r="O710" s="1"/>
      <c r="P710" s="331">
        <f>D710</f>
      </c>
      <c r="Q710" s="169"/>
      <c r="R710" s="1"/>
      <c r="S710" s="217">
        <f>(1+$M$5)^(D710/12)*(IF(E710=$C$6,$Q$4+$H$5*12,0))</f>
      </c>
      <c r="T710" s="217">
        <f>(1+$M$5)^(D710/12)*(IF(YEAR(E710)&gt;YEAR($C$6),L710,0)+IF(E710=$C$6,$H$5*12+$Q$4,0))</f>
      </c>
    </row>
    <row x14ac:dyDescent="0.25" r="711" customHeight="1" ht="18.75">
      <c r="A711" s="1"/>
      <c r="B711" s="7"/>
      <c r="C711" s="170"/>
      <c r="D711" s="331">
        <v>704</v>
      </c>
      <c r="E711" s="544">
        <f>+DATE(YEAR(E710),MONTH(E710)-1,DAY(E710))</f>
        <v>25569.041666666668</v>
      </c>
      <c r="F711" s="333">
        <f>IF(DATE(YEAR($B$6),MONTH($B$6)+1,DAY(1))=E711,1,IF(MONTH(E711)=1,F712*(1+$F$5),F712))</f>
      </c>
      <c r="G711" s="333">
        <f>IF('Simulador - 1º Pilar'!$E$99="Sí",IF('Aportaciones Flex'!$B$13&lt;'Aportaciones Flex'!E711,0,F711*$B$8/12),F711*$B$8/12)</f>
      </c>
      <c r="H711" s="333">
        <f>IF(G711&gt;0,1,0)*$H$5*IF(AND($I$5="NO",YEAR(E711)=YEAR($B$6)+1),1,IF($I$5="SI",1,0))</f>
      </c>
      <c r="I711" s="217">
        <f>(1+$M$5)^(D711/12)*(H711*(12-IF(MONTH(E712)=12,0,MONTH(E712)))+IF(AND(F711=1,F712=0),$Q$4,0))*IF(AND(F711=1,F712=0),1,0)</f>
      </c>
      <c r="J711" s="333">
        <f>(1+$M$5)^(D711/12)*(H711+IF(AND(F711=1,F712=0),$Q$4,0))</f>
      </c>
      <c r="K711" s="351"/>
      <c r="L711" s="333">
        <f>K711+J711</f>
      </c>
      <c r="M711" s="170"/>
      <c r="N711" s="7"/>
      <c r="O711" s="1"/>
      <c r="P711" s="331">
        <f>D711</f>
      </c>
      <c r="Q711" s="169"/>
      <c r="R711" s="1"/>
      <c r="S711" s="217">
        <f>(1+$M$5)^(D711/12)*(IF(E711=$C$6,$Q$4+$H$5*12,0))</f>
      </c>
      <c r="T711" s="217">
        <f>(1+$M$5)^(D711/12)*(IF(YEAR(E711)&gt;YEAR($C$6),L711,0)+IF(E711=$C$6,$H$5*12+$Q$4,0))</f>
      </c>
    </row>
    <row x14ac:dyDescent="0.25" r="712" customHeight="1" ht="18.75">
      <c r="A712" s="1"/>
      <c r="B712" s="7"/>
      <c r="C712" s="170"/>
      <c r="D712" s="331">
        <v>705</v>
      </c>
      <c r="E712" s="544">
        <f>+DATE(YEAR(E711),MONTH(E711)-1,DAY(E711))</f>
        <v>25569.041666666668</v>
      </c>
      <c r="F712" s="333">
        <f>IF(DATE(YEAR($B$6),MONTH($B$6)+1,DAY(1))=E712,1,IF(MONTH(E712)=1,F713*(1+$F$5),F713))</f>
      </c>
      <c r="G712" s="333">
        <f>IF('Simulador - 1º Pilar'!$E$99="Sí",IF('Aportaciones Flex'!$B$13&lt;'Aportaciones Flex'!E712,0,F712*$B$8/12),F712*$B$8/12)</f>
      </c>
      <c r="H712" s="333">
        <f>IF(G712&gt;0,1,0)*$H$5*IF(AND($I$5="NO",YEAR(E712)=YEAR($B$6)+1),1,IF($I$5="SI",1,0))</f>
      </c>
      <c r="I712" s="217">
        <f>(1+$M$5)^(D712/12)*(H712*(12-IF(MONTH(E713)=12,0,MONTH(E713)))+IF(AND(F712=1,F713=0),$Q$4,0))*IF(AND(F712=1,F713=0),1,0)</f>
      </c>
      <c r="J712" s="333">
        <f>(1+$M$5)^(D712/12)*(H712+IF(AND(F712=1,F713=0),$Q$4,0))</f>
      </c>
      <c r="K712" s="351"/>
      <c r="L712" s="333">
        <f>K712+J712</f>
      </c>
      <c r="M712" s="170"/>
      <c r="N712" s="7"/>
      <c r="O712" s="1"/>
      <c r="P712" s="331">
        <f>D712</f>
      </c>
      <c r="Q712" s="169"/>
      <c r="R712" s="1"/>
      <c r="S712" s="217">
        <f>(1+$M$5)^(D712/12)*(IF(E712=$C$6,$Q$4+$H$5*12,0))</f>
      </c>
      <c r="T712" s="217">
        <f>(1+$M$5)^(D712/12)*(IF(YEAR(E712)&gt;YEAR($C$6),L712,0)+IF(E712=$C$6,$H$5*12+$Q$4,0))</f>
      </c>
    </row>
    <row x14ac:dyDescent="0.25" r="713" customHeight="1" ht="18.75">
      <c r="A713" s="1"/>
      <c r="B713" s="7"/>
      <c r="C713" s="170"/>
      <c r="D713" s="331">
        <v>706</v>
      </c>
      <c r="E713" s="544">
        <f>+DATE(YEAR(E712),MONTH(E712)-1,DAY(E712))</f>
        <v>25569.041666666668</v>
      </c>
      <c r="F713" s="333">
        <f>IF(DATE(YEAR($B$6),MONTH($B$6)+1,DAY(1))=E713,1,IF(MONTH(E713)=1,F714*(1+$F$5),F714))</f>
      </c>
      <c r="G713" s="333">
        <f>IF('Simulador - 1º Pilar'!$E$99="Sí",IF('Aportaciones Flex'!$B$13&lt;'Aportaciones Flex'!E713,0,F713*$B$8/12),F713*$B$8/12)</f>
      </c>
      <c r="H713" s="333">
        <f>IF(G713&gt;0,1,0)*$H$5*IF(AND($I$5="NO",YEAR(E713)=YEAR($B$6)+1),1,IF($I$5="SI",1,0))</f>
      </c>
      <c r="I713" s="217">
        <f>(1+$M$5)^(D713/12)*(H713*(12-IF(MONTH(E714)=12,0,MONTH(E714)))+IF(AND(F713=1,F714=0),$Q$4,0))*IF(AND(F713=1,F714=0),1,0)</f>
      </c>
      <c r="J713" s="333">
        <f>(1+$M$5)^(D713/12)*(H713+IF(AND(F713=1,F714=0),$Q$4,0))</f>
      </c>
      <c r="K713" s="351"/>
      <c r="L713" s="333">
        <f>K713+J713</f>
      </c>
      <c r="M713" s="170"/>
      <c r="N713" s="7"/>
      <c r="O713" s="1"/>
      <c r="P713" s="331">
        <f>D713</f>
      </c>
      <c r="Q713" s="169"/>
      <c r="R713" s="1"/>
      <c r="S713" s="217">
        <f>(1+$M$5)^(D713/12)*(IF(E713=$C$6,$Q$4+$H$5*12,0))</f>
      </c>
      <c r="T713" s="217">
        <f>(1+$M$5)^(D713/12)*(IF(YEAR(E713)&gt;YEAR($C$6),L713,0)+IF(E713=$C$6,$H$5*12+$Q$4,0))</f>
      </c>
    </row>
    <row x14ac:dyDescent="0.25" r="714" customHeight="1" ht="18.75">
      <c r="A714" s="1"/>
      <c r="B714" s="7"/>
      <c r="C714" s="170"/>
      <c r="D714" s="331">
        <v>707</v>
      </c>
      <c r="E714" s="544">
        <f>+DATE(YEAR(E713),MONTH(E713)-1,DAY(E713))</f>
        <v>25569.041666666668</v>
      </c>
      <c r="F714" s="333">
        <f>IF(DATE(YEAR($B$6),MONTH($B$6)+1,DAY(1))=E714,1,IF(MONTH(E714)=1,F715*(1+$F$5),F715))</f>
      </c>
      <c r="G714" s="333">
        <f>IF('Simulador - 1º Pilar'!$E$99="Sí",IF('Aportaciones Flex'!$B$13&lt;'Aportaciones Flex'!E714,0,F714*$B$8/12),F714*$B$8/12)</f>
      </c>
      <c r="H714" s="333">
        <f>IF(G714&gt;0,1,0)*$H$5*IF(AND($I$5="NO",YEAR(E714)=YEAR($B$6)+1),1,IF($I$5="SI",1,0))</f>
      </c>
      <c r="I714" s="217">
        <f>(1+$M$5)^(D714/12)*(H714*(12-IF(MONTH(E715)=12,0,MONTH(E715)))+IF(AND(F714=1,F715=0),$Q$4,0))*IF(AND(F714=1,F715=0),1,0)</f>
      </c>
      <c r="J714" s="333">
        <f>(1+$M$5)^(D714/12)*(H714+IF(AND(F714=1,F715=0),$Q$4,0))</f>
      </c>
      <c r="K714" s="351"/>
      <c r="L714" s="333">
        <f>K714+J714</f>
      </c>
      <c r="M714" s="170"/>
      <c r="N714" s="7"/>
      <c r="O714" s="1"/>
      <c r="P714" s="331">
        <f>D714</f>
      </c>
      <c r="Q714" s="169"/>
      <c r="R714" s="1"/>
      <c r="S714" s="217">
        <f>(1+$M$5)^(D714/12)*(IF(E714=$C$6,$Q$4+$H$5*12,0))</f>
      </c>
      <c r="T714" s="217">
        <f>(1+$M$5)^(D714/12)*(IF(YEAR(E714)&gt;YEAR($C$6),L714,0)+IF(E714=$C$6,$H$5*12+$Q$4,0))</f>
      </c>
    </row>
    <row x14ac:dyDescent="0.25" r="715" customHeight="1" ht="18.75">
      <c r="A715" s="1"/>
      <c r="B715" s="7"/>
      <c r="C715" s="170"/>
      <c r="D715" s="331">
        <v>708</v>
      </c>
      <c r="E715" s="544">
        <f>+DATE(YEAR(E714),MONTH(E714)-1,DAY(E714))</f>
        <v>25569.041666666668</v>
      </c>
      <c r="F715" s="333">
        <f>IF(DATE(YEAR($B$6),MONTH($B$6)+1,DAY(1))=E715,1,IF(MONTH(E715)=1,F716*(1+$F$5),F716))</f>
      </c>
      <c r="G715" s="333">
        <f>IF('Simulador - 1º Pilar'!$E$99="Sí",IF('Aportaciones Flex'!$B$13&lt;'Aportaciones Flex'!E715,0,F715*$B$8/12),F715*$B$8/12)</f>
      </c>
      <c r="H715" s="333">
        <f>IF(G715&gt;0,1,0)*$H$5*IF(AND($I$5="NO",YEAR(E715)=YEAR($B$6)+1),1,IF($I$5="SI",1,0))</f>
      </c>
      <c r="I715" s="217">
        <f>(1+$M$5)^(D715/12)*(H715*(12-IF(MONTH(E716)=12,0,MONTH(E716)))+IF(AND(F715=1,F716=0),$Q$4,0))*IF(AND(F715=1,F716=0),1,0)</f>
      </c>
      <c r="J715" s="333">
        <f>(1+$M$5)^(D715/12)*(H715+IF(AND(F715=1,F716=0),$Q$4,0))</f>
      </c>
      <c r="K715" s="351"/>
      <c r="L715" s="333">
        <f>K715+J715</f>
      </c>
      <c r="M715" s="170"/>
      <c r="N715" s="7"/>
      <c r="O715" s="1"/>
      <c r="P715" s="331">
        <f>D715</f>
      </c>
      <c r="Q715" s="169"/>
      <c r="R715" s="1"/>
      <c r="S715" s="217">
        <f>(1+$M$5)^(D715/12)*(IF(E715=$C$6,$Q$4+$H$5*12,0))</f>
      </c>
      <c r="T715" s="217">
        <f>(1+$M$5)^(D715/12)*(IF(YEAR(E715)&gt;YEAR($C$6),L715,0)+IF(E715=$C$6,$H$5*12+$Q$4,0))</f>
      </c>
    </row>
    <row x14ac:dyDescent="0.25" r="716" customHeight="1" ht="18.75">
      <c r="A716" s="1"/>
      <c r="B716" s="7"/>
      <c r="C716" s="170"/>
      <c r="D716" s="331">
        <v>709</v>
      </c>
      <c r="E716" s="544">
        <f>+DATE(YEAR(E715),MONTH(E715)-1,DAY(E715))</f>
        <v>25569.041666666668</v>
      </c>
      <c r="F716" s="333">
        <f>IF(DATE(YEAR($B$6),MONTH($B$6)+1,DAY(1))=E716,1,IF(MONTH(E716)=1,F717*(1+$F$5),F717))</f>
      </c>
      <c r="G716" s="333">
        <f>IF('Simulador - 1º Pilar'!$E$99="Sí",IF('Aportaciones Flex'!$B$13&lt;'Aportaciones Flex'!E716,0,F716*$B$8/12),F716*$B$8/12)</f>
      </c>
      <c r="H716" s="333">
        <f>IF(G716&gt;0,1,0)*$H$5*IF(AND($I$5="NO",YEAR(E716)=YEAR($B$6)+1),1,IF($I$5="SI",1,0))</f>
      </c>
      <c r="I716" s="217">
        <f>(1+$M$5)^(D716/12)*(H716*(12-IF(MONTH(E717)=12,0,MONTH(E717)))+IF(AND(F716=1,F717=0),$Q$4,0))*IF(AND(F716=1,F717=0),1,0)</f>
      </c>
      <c r="J716" s="333">
        <f>(1+$M$5)^(D716/12)*(H716+IF(AND(F716=1,F717=0),$Q$4,0))</f>
      </c>
      <c r="K716" s="351"/>
      <c r="L716" s="333">
        <f>K716+J716</f>
      </c>
      <c r="M716" s="170"/>
      <c r="N716" s="7"/>
      <c r="O716" s="1"/>
      <c r="P716" s="331">
        <f>D716</f>
      </c>
      <c r="Q716" s="169"/>
      <c r="R716" s="1"/>
      <c r="S716" s="217">
        <f>(1+$M$5)^(D716/12)*(IF(E716=$C$6,$Q$4+$H$5*12,0))</f>
      </c>
      <c r="T716" s="217">
        <f>(1+$M$5)^(D716/12)*(IF(YEAR(E716)&gt;YEAR($C$6),L716,0)+IF(E716=$C$6,$H$5*12+$Q$4,0))</f>
      </c>
    </row>
    <row x14ac:dyDescent="0.25" r="717" customHeight="1" ht="18.75">
      <c r="A717" s="1"/>
      <c r="B717" s="7"/>
      <c r="C717" s="170"/>
      <c r="D717" s="331">
        <v>710</v>
      </c>
      <c r="E717" s="544">
        <f>+DATE(YEAR(E716),MONTH(E716)-1,DAY(E716))</f>
        <v>25569.041666666668</v>
      </c>
      <c r="F717" s="333">
        <f>IF(DATE(YEAR($B$6),MONTH($B$6)+1,DAY(1))=E717,1,IF(MONTH(E717)=1,F718*(1+$F$5),F718))</f>
      </c>
      <c r="G717" s="333">
        <f>IF('Simulador - 1º Pilar'!$E$99="Sí",IF('Aportaciones Flex'!$B$13&lt;'Aportaciones Flex'!E717,0,F717*$B$8/12),F717*$B$8/12)</f>
      </c>
      <c r="H717" s="333">
        <f>IF(G717&gt;0,1,0)*$H$5*IF(AND($I$5="NO",YEAR(E717)=YEAR($B$6)+1),1,IF($I$5="SI",1,0))</f>
      </c>
      <c r="I717" s="217">
        <f>(1+$M$5)^(D717/12)*(H717*(12-IF(MONTH(E718)=12,0,MONTH(E718)))+IF(AND(F717=1,F718=0),$Q$4,0))*IF(AND(F717=1,F718=0),1,0)</f>
      </c>
      <c r="J717" s="333">
        <f>(1+$M$5)^(D717/12)*(H717+IF(AND(F717=1,F718=0),$Q$4,0))</f>
      </c>
      <c r="K717" s="351"/>
      <c r="L717" s="333">
        <f>K717+J717</f>
      </c>
      <c r="M717" s="170"/>
      <c r="N717" s="7"/>
      <c r="O717" s="1"/>
      <c r="P717" s="331">
        <f>D717</f>
      </c>
      <c r="Q717" s="169"/>
      <c r="R717" s="1"/>
      <c r="S717" s="217">
        <f>(1+$M$5)^(D717/12)*(IF(E717=$C$6,$Q$4+$H$5*12,0))</f>
      </c>
      <c r="T717" s="217">
        <f>(1+$M$5)^(D717/12)*(IF(YEAR(E717)&gt;YEAR($C$6),L717,0)+IF(E717=$C$6,$H$5*12+$Q$4,0))</f>
      </c>
    </row>
    <row x14ac:dyDescent="0.25" r="718" customHeight="1" ht="18.75">
      <c r="A718" s="1"/>
      <c r="B718" s="7"/>
      <c r="C718" s="170"/>
      <c r="D718" s="331">
        <v>711</v>
      </c>
      <c r="E718" s="544">
        <f>+DATE(YEAR(E717),MONTH(E717)-1,DAY(E717))</f>
        <v>25569.041666666668</v>
      </c>
      <c r="F718" s="333">
        <f>IF(DATE(YEAR($B$6),MONTH($B$6)+1,DAY(1))=E718,1,IF(MONTH(E718)=1,F719*(1+$F$5),F719))</f>
      </c>
      <c r="G718" s="333">
        <f>IF('Simulador - 1º Pilar'!$E$99="Sí",IF('Aportaciones Flex'!$B$13&lt;'Aportaciones Flex'!E718,0,F718*$B$8/12),F718*$B$8/12)</f>
      </c>
      <c r="H718" s="333">
        <f>IF(G718&gt;0,1,0)*$H$5*IF(AND($I$5="NO",YEAR(E718)=YEAR($B$6)+1),1,IF($I$5="SI",1,0))</f>
      </c>
      <c r="I718" s="217">
        <f>(1+$M$5)^(D718/12)*(H718*(12-IF(MONTH(E719)=12,0,MONTH(E719)))+IF(AND(F718=1,F719=0),$Q$4,0))*IF(AND(F718=1,F719=0),1,0)</f>
      </c>
      <c r="J718" s="333">
        <f>(1+$M$5)^(D718/12)*(H718+IF(AND(F718=1,F719=0),$Q$4,0))</f>
      </c>
      <c r="K718" s="351"/>
      <c r="L718" s="333">
        <f>K718+J718</f>
      </c>
      <c r="M718" s="170"/>
      <c r="N718" s="7"/>
      <c r="O718" s="1"/>
      <c r="P718" s="331">
        <f>D718</f>
      </c>
      <c r="Q718" s="169"/>
      <c r="R718" s="1"/>
      <c r="S718" s="217">
        <f>(1+$M$5)^(D718/12)*(IF(E718=$C$6,$Q$4+$H$5*12,0))</f>
      </c>
      <c r="T718" s="217">
        <f>(1+$M$5)^(D718/12)*(IF(YEAR(E718)&gt;YEAR($C$6),L718,0)+IF(E718=$C$6,$H$5*12+$Q$4,0))</f>
      </c>
    </row>
    <row x14ac:dyDescent="0.25" r="719" customHeight="1" ht="18.75">
      <c r="A719" s="1"/>
      <c r="B719" s="7"/>
      <c r="C719" s="170"/>
      <c r="D719" s="331">
        <v>712</v>
      </c>
      <c r="E719" s="544">
        <f>+DATE(YEAR(E718),MONTH(E718)-1,DAY(E718))</f>
        <v>25569.041666666668</v>
      </c>
      <c r="F719" s="333">
        <f>IF(DATE(YEAR($B$6),MONTH($B$6)+1,DAY(1))=E719,1,IF(MONTH(E719)=1,F720*(1+$F$5),F720))</f>
      </c>
      <c r="G719" s="333">
        <f>IF('Simulador - 1º Pilar'!$E$99="Sí",IF('Aportaciones Flex'!$B$13&lt;'Aportaciones Flex'!E719,0,F719*$B$8/12),F719*$B$8/12)</f>
      </c>
      <c r="H719" s="333">
        <f>IF(G719&gt;0,1,0)*$H$5*IF(AND($I$5="NO",YEAR(E719)=YEAR($B$6)+1),1,IF($I$5="SI",1,0))</f>
      </c>
      <c r="I719" s="217">
        <f>(1+$M$5)^(D719/12)*(H719*(12-IF(MONTH(E720)=12,0,MONTH(E720)))+IF(AND(F719=1,F720=0),$Q$4,0))*IF(AND(F719=1,F720=0),1,0)</f>
      </c>
      <c r="J719" s="333">
        <f>(1+$M$5)^(D719/12)*(H719+IF(AND(F719=1,F720=0),$Q$4,0))</f>
      </c>
      <c r="K719" s="351"/>
      <c r="L719" s="333">
        <f>K719+J719</f>
      </c>
      <c r="M719" s="170"/>
      <c r="N719" s="7"/>
      <c r="O719" s="1"/>
      <c r="P719" s="331">
        <f>D719</f>
      </c>
      <c r="Q719" s="169"/>
      <c r="R719" s="1"/>
      <c r="S719" s="217">
        <f>(1+$M$5)^(D719/12)*(IF(E719=$C$6,$Q$4+$H$5*12,0))</f>
      </c>
      <c r="T719" s="217">
        <f>(1+$M$5)^(D719/12)*(IF(YEAR(E719)&gt;YEAR($C$6),L719,0)+IF(E719=$C$6,$H$5*12+$Q$4,0))</f>
      </c>
    </row>
    <row x14ac:dyDescent="0.25" r="720" customHeight="1" ht="18.75">
      <c r="A720" s="1"/>
      <c r="B720" s="7"/>
      <c r="C720" s="170"/>
      <c r="D720" s="331">
        <v>713</v>
      </c>
      <c r="E720" s="544">
        <f>+DATE(YEAR(E719),MONTH(E719)-1,DAY(E719))</f>
        <v>25569.041666666668</v>
      </c>
      <c r="F720" s="333">
        <f>IF(DATE(YEAR($B$6),MONTH($B$6)+1,DAY(1))=E720,1,IF(MONTH(E720)=1,F721*(1+$F$5),F721))</f>
      </c>
      <c r="G720" s="333">
        <f>IF('Simulador - 1º Pilar'!$E$99="Sí",IF('Aportaciones Flex'!$B$13&lt;'Aportaciones Flex'!E720,0,F720*$B$8/12),F720*$B$8/12)</f>
      </c>
      <c r="H720" s="333">
        <f>IF(G720&gt;0,1,0)*$H$5*IF(AND($I$5="NO",YEAR(E720)=YEAR($B$6)+1),1,IF($I$5="SI",1,0))</f>
      </c>
      <c r="I720" s="217">
        <f>(1+$M$5)^(D720/12)*(H720*(12-IF(MONTH(E721)=12,0,MONTH(E721)))+IF(AND(F720=1,F721=0),$Q$4,0))*IF(AND(F720=1,F721=0),1,0)</f>
      </c>
      <c r="J720" s="333">
        <f>(1+$M$5)^(D720/12)*(H720+IF(AND(F720=1,F721=0),$Q$4,0))</f>
      </c>
      <c r="K720" s="351"/>
      <c r="L720" s="333">
        <f>K720+J720</f>
      </c>
      <c r="M720" s="170"/>
      <c r="N720" s="7"/>
      <c r="O720" s="1"/>
      <c r="P720" s="331">
        <f>D720</f>
      </c>
      <c r="Q720" s="169"/>
      <c r="R720" s="1"/>
      <c r="S720" s="217">
        <f>(1+$M$5)^(D720/12)*(IF(E720=$C$6,$Q$4+$H$5*12,0))</f>
      </c>
      <c r="T720" s="217">
        <f>(1+$M$5)^(D720/12)*(IF(YEAR(E720)&gt;YEAR($C$6),L720,0)+IF(E720=$C$6,$H$5*12+$Q$4,0))</f>
      </c>
    </row>
    <row x14ac:dyDescent="0.25" r="721" customHeight="1" ht="18.75">
      <c r="A721" s="1"/>
      <c r="B721" s="7"/>
      <c r="C721" s="170"/>
      <c r="D721" s="331">
        <v>714</v>
      </c>
      <c r="E721" s="544">
        <f>+DATE(YEAR(E720),MONTH(E720)-1,DAY(E720))</f>
        <v>25569.041666666668</v>
      </c>
      <c r="F721" s="333">
        <f>IF(DATE(YEAR($B$6),MONTH($B$6)+1,DAY(1))=E721,1,IF(MONTH(E721)=1,F722*(1+$F$5),F722))</f>
      </c>
      <c r="G721" s="333">
        <f>IF('Simulador - 1º Pilar'!$E$99="Sí",IF('Aportaciones Flex'!$B$13&lt;'Aportaciones Flex'!E721,0,F721*$B$8/12),F721*$B$8/12)</f>
      </c>
      <c r="H721" s="333">
        <f>IF(G721&gt;0,1,0)*$H$5*IF(AND($I$5="NO",YEAR(E721)=YEAR($B$6)+1),1,IF($I$5="SI",1,0))</f>
      </c>
      <c r="I721" s="217">
        <f>(1+$M$5)^(D721/12)*(H721*(12-IF(MONTH(E722)=12,0,MONTH(E722)))+IF(AND(F721=1,F722=0),$Q$4,0))*IF(AND(F721=1,F722=0),1,0)</f>
      </c>
      <c r="J721" s="333">
        <f>(1+$M$5)^(D721/12)*(H721+IF(AND(F721=1,F722=0),$Q$4,0))</f>
      </c>
      <c r="K721" s="351"/>
      <c r="L721" s="333">
        <f>K721+J721</f>
      </c>
      <c r="M721" s="170"/>
      <c r="N721" s="7"/>
      <c r="O721" s="1"/>
      <c r="P721" s="331">
        <f>D721</f>
      </c>
      <c r="Q721" s="169"/>
      <c r="R721" s="1"/>
      <c r="S721" s="217">
        <f>(1+$M$5)^(D721/12)*(IF(E721=$C$6,$Q$4+$H$5*12,0))</f>
      </c>
      <c r="T721" s="217">
        <f>(1+$M$5)^(D721/12)*(IF(YEAR(E721)&gt;YEAR($C$6),L721,0)+IF(E721=$C$6,$H$5*12+$Q$4,0))</f>
      </c>
    </row>
    <row x14ac:dyDescent="0.25" r="722" customHeight="1" ht="18.75">
      <c r="A722" s="1"/>
      <c r="B722" s="7"/>
      <c r="C722" s="170"/>
      <c r="D722" s="331">
        <v>715</v>
      </c>
      <c r="E722" s="544">
        <f>+DATE(YEAR(E721),MONTH(E721)-1,DAY(E721))</f>
        <v>25569.041666666668</v>
      </c>
      <c r="F722" s="333">
        <f>IF(DATE(YEAR($B$6),MONTH($B$6)+1,DAY(1))=E722,1,IF(MONTH(E722)=1,F723*(1+$F$5),F723))</f>
      </c>
      <c r="G722" s="333">
        <f>IF('Simulador - 1º Pilar'!$E$99="Sí",IF('Aportaciones Flex'!$B$13&lt;'Aportaciones Flex'!E722,0,F722*$B$8/12),F722*$B$8/12)</f>
      </c>
      <c r="H722" s="333">
        <f>IF(G722&gt;0,1,0)*$H$5*IF(AND($I$5="NO",YEAR(E722)=YEAR($B$6)+1),1,IF($I$5="SI",1,0))</f>
      </c>
      <c r="I722" s="217">
        <f>(1+$M$5)^(D722/12)*(H722*(12-IF(MONTH(E723)=12,0,MONTH(E723)))+IF(AND(F722=1,F723=0),$Q$4,0))*IF(AND(F722=1,F723=0),1,0)</f>
      </c>
      <c r="J722" s="333">
        <f>(1+$M$5)^(D722/12)*(H722+IF(AND(F722=1,F723=0),$Q$4,0))</f>
      </c>
      <c r="K722" s="351"/>
      <c r="L722" s="333">
        <f>K722+J722</f>
      </c>
      <c r="M722" s="170"/>
      <c r="N722" s="7"/>
      <c r="O722" s="1"/>
      <c r="P722" s="331">
        <f>D722</f>
      </c>
      <c r="Q722" s="169"/>
      <c r="R722" s="1"/>
      <c r="S722" s="217">
        <f>(1+$M$5)^(D722/12)*(IF(E722=$C$6,$Q$4+$H$5*12,0))</f>
      </c>
      <c r="T722" s="217">
        <f>(1+$M$5)^(D722/12)*(IF(YEAR(E722)&gt;YEAR($C$6),L722,0)+IF(E722=$C$6,$H$5*12+$Q$4,0))</f>
      </c>
    </row>
    <row x14ac:dyDescent="0.25" r="723" customHeight="1" ht="18.75">
      <c r="A723" s="1"/>
      <c r="B723" s="7"/>
      <c r="C723" s="170"/>
      <c r="D723" s="331">
        <v>716</v>
      </c>
      <c r="E723" s="544">
        <f>+DATE(YEAR(E722),MONTH(E722)-1,DAY(E722))</f>
        <v>25569.041666666668</v>
      </c>
      <c r="F723" s="333">
        <f>IF(DATE(YEAR($B$6),MONTH($B$6)+1,DAY(1))=E723,1,IF(MONTH(E723)=1,F724*(1+$F$5),F724))</f>
      </c>
      <c r="G723" s="333">
        <f>IF('Simulador - 1º Pilar'!$E$99="Sí",IF('Aportaciones Flex'!$B$13&lt;'Aportaciones Flex'!E723,0,F723*$B$8/12),F723*$B$8/12)</f>
      </c>
      <c r="H723" s="333">
        <f>IF(G723&gt;0,1,0)*$H$5*IF(AND($I$5="NO",YEAR(E723)=YEAR($B$6)+1),1,IF($I$5="SI",1,0))</f>
      </c>
      <c r="I723" s="217">
        <f>(1+$M$5)^(D723/12)*(H723*(12-IF(MONTH(E724)=12,0,MONTH(E724)))+IF(AND(F723=1,F724=0),$Q$4,0))*IF(AND(F723=1,F724=0),1,0)</f>
      </c>
      <c r="J723" s="333">
        <f>(1+$M$5)^(D723/12)*(H723+IF(AND(F723=1,F724=0),$Q$4,0))</f>
      </c>
      <c r="K723" s="351"/>
      <c r="L723" s="333">
        <f>K723+J723</f>
      </c>
      <c r="M723" s="170"/>
      <c r="N723" s="7"/>
      <c r="O723" s="1"/>
      <c r="P723" s="331">
        <f>D723</f>
      </c>
      <c r="Q723" s="169"/>
      <c r="R723" s="1"/>
      <c r="S723" s="217">
        <f>(1+$M$5)^(D723/12)*(IF(E723=$C$6,$Q$4+$H$5*12,0))</f>
      </c>
      <c r="T723" s="217">
        <f>(1+$M$5)^(D723/12)*(IF(YEAR(E723)&gt;YEAR($C$6),L723,0)+IF(E723=$C$6,$H$5*12+$Q$4,0))</f>
      </c>
    </row>
    <row x14ac:dyDescent="0.25" r="724" customHeight="1" ht="18.75">
      <c r="A724" s="1"/>
      <c r="B724" s="7"/>
      <c r="C724" s="170"/>
      <c r="D724" s="331">
        <v>717</v>
      </c>
      <c r="E724" s="544">
        <f>+DATE(YEAR(E723),MONTH(E723)-1,DAY(E723))</f>
        <v>25569.041666666668</v>
      </c>
      <c r="F724" s="333">
        <f>IF(DATE(YEAR($B$6),MONTH($B$6)+1,DAY(1))=E724,1,IF(MONTH(E724)=1,F725*(1+$F$5),F725))</f>
      </c>
      <c r="G724" s="333">
        <f>IF('Simulador - 1º Pilar'!$E$99="Sí",IF('Aportaciones Flex'!$B$13&lt;'Aportaciones Flex'!E724,0,F724*$B$8/12),F724*$B$8/12)</f>
      </c>
      <c r="H724" s="333">
        <f>IF(G724&gt;0,1,0)*$H$5*IF(AND($I$5="NO",YEAR(E724)=YEAR($B$6)+1),1,IF($I$5="SI",1,0))</f>
      </c>
      <c r="I724" s="217">
        <f>(1+$M$5)^(D724/12)*(H724*(12-IF(MONTH(E725)=12,0,MONTH(E725)))+IF(AND(F724=1,F725=0),$Q$4,0))*IF(AND(F724=1,F725=0),1,0)</f>
      </c>
      <c r="J724" s="333">
        <f>(1+$M$5)^(D724/12)*(H724+IF(AND(F724=1,F725=0),$Q$4,0))</f>
      </c>
      <c r="K724" s="351"/>
      <c r="L724" s="333">
        <f>K724+J724</f>
      </c>
      <c r="M724" s="170"/>
      <c r="N724" s="7"/>
      <c r="O724" s="1"/>
      <c r="P724" s="331">
        <f>D724</f>
      </c>
      <c r="Q724" s="169"/>
      <c r="R724" s="1"/>
      <c r="S724" s="217">
        <f>(1+$M$5)^(D724/12)*(IF(E724=$C$6,$Q$4+$H$5*12,0))</f>
      </c>
      <c r="T724" s="217">
        <f>(1+$M$5)^(D724/12)*(IF(YEAR(E724)&gt;YEAR($C$6),L724,0)+IF(E724=$C$6,$H$5*12+$Q$4,0))</f>
      </c>
    </row>
    <row x14ac:dyDescent="0.25" r="725" customHeight="1" ht="18.75">
      <c r="A725" s="1"/>
      <c r="B725" s="7"/>
      <c r="C725" s="170"/>
      <c r="D725" s="331">
        <v>718</v>
      </c>
      <c r="E725" s="544">
        <f>+DATE(YEAR(E724),MONTH(E724)-1,DAY(E724))</f>
        <v>25569.041666666668</v>
      </c>
      <c r="F725" s="333">
        <f>IF(DATE(YEAR($B$6),MONTH($B$6)+1,DAY(1))=E725,1,IF(MONTH(E725)=1,F726*(1+$F$5),F726))</f>
      </c>
      <c r="G725" s="333">
        <f>IF('Simulador - 1º Pilar'!$E$99="Sí",IF('Aportaciones Flex'!$B$13&lt;'Aportaciones Flex'!E725,0,F725*$B$8/12),F725*$B$8/12)</f>
      </c>
      <c r="H725" s="333">
        <f>IF(G725&gt;0,1,0)*$H$5*IF(AND($I$5="NO",YEAR(E725)=YEAR($B$6)+1),1,IF($I$5="SI",1,0))</f>
      </c>
      <c r="I725" s="217">
        <f>(1+$M$5)^(D725/12)*(H725*(12-IF(MONTH(E726)=12,0,MONTH(E726)))+IF(AND(F725=1,F726=0),$Q$4,0))*IF(AND(F725=1,F726=0),1,0)</f>
      </c>
      <c r="J725" s="333">
        <f>(1+$M$5)^(D725/12)*(H725+IF(AND(F725=1,F726=0),$Q$4,0))</f>
      </c>
      <c r="K725" s="351"/>
      <c r="L725" s="333">
        <f>K725+J725</f>
      </c>
      <c r="M725" s="170"/>
      <c r="N725" s="7"/>
      <c r="O725" s="1"/>
      <c r="P725" s="331">
        <f>D725</f>
      </c>
      <c r="Q725" s="169"/>
      <c r="R725" s="1"/>
      <c r="S725" s="217">
        <f>(1+$M$5)^(D725/12)*(IF(E725=$C$6,$Q$4+$H$5*12,0))</f>
      </c>
      <c r="T725" s="217">
        <f>(1+$M$5)^(D725/12)*(IF(YEAR(E725)&gt;YEAR($C$6),L725,0)+IF(E725=$C$6,$H$5*12+$Q$4,0))</f>
      </c>
    </row>
    <row x14ac:dyDescent="0.25" r="726" customHeight="1" ht="18.75">
      <c r="A726" s="1"/>
      <c r="B726" s="7"/>
      <c r="C726" s="170"/>
      <c r="D726" s="331">
        <v>719</v>
      </c>
      <c r="E726" s="544">
        <f>+DATE(YEAR(E725),MONTH(E725)-1,DAY(E725))</f>
        <v>25569.041666666668</v>
      </c>
      <c r="F726" s="333">
        <f>IF(DATE(YEAR($B$6),MONTH($B$6)+1,DAY(1))=E726,1,IF(MONTH(E726)=1,F727*(1+$F$5),F727))</f>
      </c>
      <c r="G726" s="333">
        <f>IF('Simulador - 1º Pilar'!$E$99="Sí",IF('Aportaciones Flex'!$B$13&lt;'Aportaciones Flex'!E726,0,F726*$B$8/12),F726*$B$8/12)</f>
      </c>
      <c r="H726" s="333">
        <f>IF(G726&gt;0,1,0)*$H$5*IF(AND($I$5="NO",YEAR(E726)=YEAR($B$6)+1),1,IF($I$5="SI",1,0))</f>
      </c>
      <c r="I726" s="217">
        <f>(1+$M$5)^(D726/12)*(H726*(12-IF(MONTH(E727)=12,0,MONTH(E727)))+IF(AND(F726=1,F727=0),$Q$4,0))*IF(AND(F726=1,F727=0),1,0)</f>
      </c>
      <c r="J726" s="333">
        <f>(1+$M$5)^(D726/12)*(H726+IF(AND(F726=1,F727=0),$Q$4,0))</f>
      </c>
      <c r="K726" s="351"/>
      <c r="L726" s="333">
        <f>K726+J726</f>
      </c>
      <c r="M726" s="170"/>
      <c r="N726" s="7"/>
      <c r="O726" s="1"/>
      <c r="P726" s="331">
        <f>D726</f>
      </c>
      <c r="Q726" s="169"/>
      <c r="R726" s="1"/>
      <c r="S726" s="217">
        <f>(1+$M$5)^(D726/12)*(IF(E726=$C$6,$Q$4+$H$5*12,0))</f>
      </c>
      <c r="T726" s="217">
        <f>(1+$M$5)^(D726/12)*(IF(YEAR(E726)&gt;YEAR($C$6),L726,0)+IF(E726=$C$6,$H$5*12+$Q$4,0))</f>
      </c>
    </row>
    <row x14ac:dyDescent="0.25" r="727" customHeight="1" ht="18.75">
      <c r="A727" s="1"/>
      <c r="B727" s="7"/>
      <c r="C727" s="170"/>
      <c r="D727" s="331">
        <v>720</v>
      </c>
      <c r="E727" s="544">
        <f>+DATE(YEAR(E726),MONTH(E726)-1,DAY(E726))</f>
        <v>25569.041666666668</v>
      </c>
      <c r="F727" s="333">
        <f>IF(DATE(YEAR($B$6),MONTH($B$6)+1,DAY(1))=E727,1,IF(MONTH(E727)=1,F728*(1+$F$5),F728))</f>
      </c>
      <c r="G727" s="333">
        <f>IF('Simulador - 1º Pilar'!$E$99="Sí",IF('Aportaciones Flex'!$B$13&lt;'Aportaciones Flex'!E727,0,F727*$B$8/12),F727*$B$8/12)</f>
      </c>
      <c r="H727" s="333">
        <f>IF(G727&gt;0,1,0)*$H$5*IF(AND($I$5="NO",YEAR(E727)=YEAR($B$6)+1),1,IF($I$5="SI",1,0))</f>
      </c>
      <c r="I727" s="217">
        <f>(1+$M$5)^(D727/12)*(H727*(12-IF(MONTH(E728)=12,0,MONTH(E728)))+IF(AND(F727=1,F728=0),$Q$4,0))*IF(AND(F727=1,F728=0),1,0)</f>
      </c>
      <c r="J727" s="333">
        <f>(1+$M$5)^(D727/12)*(H727+IF(AND(F727=1,F728=0),$Q$4,0))</f>
      </c>
      <c r="K727" s="351"/>
      <c r="L727" s="333">
        <f>K727+J727</f>
      </c>
      <c r="M727" s="170"/>
      <c r="N727" s="7"/>
      <c r="O727" s="1"/>
      <c r="P727" s="331">
        <f>D727</f>
      </c>
      <c r="Q727" s="169"/>
      <c r="R727" s="1"/>
      <c r="S727" s="217">
        <f>(1+$M$5)^(D727/12)*(IF(E727=$C$6,$Q$4+$H$5*12,0))</f>
      </c>
      <c r="T727" s="217">
        <f>(1+$M$5)^(D727/12)*(IF(YEAR(E727)&gt;YEAR($C$6),L727,0)+IF(E727=$C$6,$H$5*12+$Q$4,0))</f>
      </c>
    </row>
    <row x14ac:dyDescent="0.25" r="728" customHeight="1" ht="18.75">
      <c r="A728" s="1"/>
      <c r="B728" s="7"/>
      <c r="C728" s="170"/>
      <c r="D728" s="331">
        <v>721</v>
      </c>
      <c r="E728" s="544">
        <f>+DATE(YEAR(E727),MONTH(E727)-1,DAY(E727))</f>
        <v>25569.041666666668</v>
      </c>
      <c r="F728" s="333">
        <f>IF(DATE(YEAR($B$6),MONTH($B$6)+1,DAY(1))=E728,1,IF(MONTH(E728)=1,F729*(1+$F$5),F729))</f>
      </c>
      <c r="G728" s="333">
        <f>IF('Simulador - 1º Pilar'!$E$99="Sí",IF('Aportaciones Flex'!$B$13&lt;'Aportaciones Flex'!E728,0,F728*$B$8/12),F728*$B$8/12)</f>
      </c>
      <c r="H728" s="333">
        <f>IF(G728&gt;0,1,0)*$H$5*IF(AND($I$5="NO",YEAR(E728)=YEAR($B$6)+1),1,IF($I$5="SI",1,0))</f>
      </c>
      <c r="I728" s="217">
        <f>(1+$M$5)^(D728/12)*(H728*(12-IF(MONTH(E729)=12,0,MONTH(E729)))+IF(AND(F728=1,F729=0),$Q$4,0))*IF(AND(F728=1,F729=0),1,0)</f>
      </c>
      <c r="J728" s="333">
        <f>(1+$M$5)^(D728/12)*(H728+IF(AND(F728=1,F729=0),$Q$4,0))</f>
      </c>
      <c r="K728" s="351"/>
      <c r="L728" s="333">
        <f>K728+J728</f>
      </c>
      <c r="M728" s="170"/>
      <c r="N728" s="7"/>
      <c r="O728" s="1"/>
      <c r="P728" s="331">
        <f>D728</f>
      </c>
      <c r="Q728" s="169"/>
      <c r="R728" s="1"/>
      <c r="S728" s="217">
        <f>(1+$M$5)^(D728/12)*(IF(E728=$C$6,$Q$4+$H$5*12,0))</f>
      </c>
      <c r="T728" s="217">
        <f>(1+$M$5)^(D728/12)*(IF(YEAR(E728)&gt;YEAR($C$6),L728,0)+IF(E728=$C$6,$H$5*12+$Q$4,0))</f>
      </c>
    </row>
    <row x14ac:dyDescent="0.25" r="729" customHeight="1" ht="18.75">
      <c r="A729" s="1"/>
      <c r="B729" s="7"/>
      <c r="C729" s="170"/>
      <c r="D729" s="331">
        <v>722</v>
      </c>
      <c r="E729" s="544">
        <f>+DATE(YEAR(E728),MONTH(E728)-1,DAY(E728))</f>
        <v>25569.041666666668</v>
      </c>
      <c r="F729" s="333">
        <f>IF(DATE(YEAR($B$6),MONTH($B$6)+1,DAY(1))=E729,1,IF(MONTH(E729)=1,F730*(1+$F$5),F730))</f>
      </c>
      <c r="G729" s="333">
        <f>IF('Simulador - 1º Pilar'!$E$99="Sí",IF('Aportaciones Flex'!$B$13&lt;'Aportaciones Flex'!E729,0,F729*$B$8/12),F729*$B$8/12)</f>
      </c>
      <c r="H729" s="333">
        <f>IF(G729&gt;0,1,0)*$H$5*IF(AND($I$5="NO",YEAR(E729)=YEAR($B$6)+1),1,IF($I$5="SI",1,0))</f>
      </c>
      <c r="I729" s="217">
        <f>(1+$M$5)^(D729/12)*(H729*(12-IF(MONTH(E730)=12,0,MONTH(E730)))+IF(AND(F729=1,F730=0),$Q$4,0))*IF(AND(F729=1,F730=0),1,0)</f>
      </c>
      <c r="J729" s="333">
        <f>(1+$M$5)^(D729/12)*(H729+IF(AND(F729=1,F730=0),$Q$4,0))</f>
      </c>
      <c r="K729" s="351"/>
      <c r="L729" s="333">
        <f>K729+J729</f>
      </c>
      <c r="M729" s="170"/>
      <c r="N729" s="7"/>
      <c r="O729" s="1"/>
      <c r="P729" s="331">
        <f>D729</f>
      </c>
      <c r="Q729" s="169"/>
      <c r="R729" s="1"/>
      <c r="S729" s="217">
        <f>(1+$M$5)^(D729/12)*(IF(E729=$C$6,$Q$4+$H$5*12,0))</f>
      </c>
      <c r="T729" s="217">
        <f>(1+$M$5)^(D729/12)*(IF(YEAR(E729)&gt;YEAR($C$6),L729,0)+IF(E729=$C$6,$H$5*12+$Q$4,0))</f>
      </c>
    </row>
    <row x14ac:dyDescent="0.25" r="730" customHeight="1" ht="18.75">
      <c r="A730" s="1"/>
      <c r="B730" s="7"/>
      <c r="C730" s="170"/>
      <c r="D730" s="331">
        <v>723</v>
      </c>
      <c r="E730" s="544">
        <f>+DATE(YEAR(E729),MONTH(E729)-1,DAY(E729))</f>
        <v>25569.041666666668</v>
      </c>
      <c r="F730" s="333">
        <f>IF(DATE(YEAR($B$6),MONTH($B$6)+1,DAY(1))=E730,1,IF(MONTH(E730)=1,F731*(1+$F$5),F731))</f>
      </c>
      <c r="G730" s="333">
        <f>IF('Simulador - 1º Pilar'!$E$99="Sí",IF('Aportaciones Flex'!$B$13&lt;'Aportaciones Flex'!E730,0,F730*$B$8/12),F730*$B$8/12)</f>
      </c>
      <c r="H730" s="333">
        <f>IF(G730&gt;0,1,0)*$H$5*IF(AND($I$5="NO",YEAR(E730)=YEAR($B$6)+1),1,IF($I$5="SI",1,0))</f>
      </c>
      <c r="I730" s="217">
        <f>(1+$M$5)^(D730/12)*(H730*(12-IF(MONTH(E731)=12,0,MONTH(E731)))+IF(AND(F730=1,F731=0),$Q$4,0))*IF(AND(F730=1,F731=0),1,0)</f>
      </c>
      <c r="J730" s="333">
        <f>(1+$M$5)^(D730/12)*(H730+IF(AND(F730=1,F731=0),$Q$4,0))</f>
      </c>
      <c r="K730" s="351"/>
      <c r="L730" s="333">
        <f>K730+J730</f>
      </c>
      <c r="M730" s="170"/>
      <c r="N730" s="7"/>
      <c r="O730" s="1"/>
      <c r="P730" s="331">
        <f>D730</f>
      </c>
      <c r="Q730" s="169"/>
      <c r="R730" s="1"/>
      <c r="S730" s="217">
        <f>(1+$M$5)^(D730/12)*(IF(E730=$C$6,$Q$4+$H$5*12,0))</f>
      </c>
      <c r="T730" s="217">
        <f>(1+$M$5)^(D730/12)*(IF(YEAR(E730)&gt;YEAR($C$6),L730,0)+IF(E730=$C$6,$H$5*12+$Q$4,0))</f>
      </c>
    </row>
    <row x14ac:dyDescent="0.25" r="731" customHeight="1" ht="18.75">
      <c r="A731" s="1"/>
      <c r="B731" s="7"/>
      <c r="C731" s="170"/>
      <c r="D731" s="331">
        <v>724</v>
      </c>
      <c r="E731" s="544">
        <f>+DATE(YEAR(E730),MONTH(E730)-1,DAY(E730))</f>
        <v>25569.041666666668</v>
      </c>
      <c r="F731" s="333">
        <f>IF(DATE(YEAR($B$6),MONTH($B$6)+1,DAY(1))=E731,1,IF(MONTH(E731)=1,F732*(1+$F$5),F732))</f>
      </c>
      <c r="G731" s="333">
        <f>IF('Simulador - 1º Pilar'!$E$99="Sí",IF('Aportaciones Flex'!$B$13&lt;'Aportaciones Flex'!E731,0,F731*$B$8/12),F731*$B$8/12)</f>
      </c>
      <c r="H731" s="333">
        <f>IF(G731&gt;0,1,0)*$H$5*IF(AND($I$5="NO",YEAR(E731)=YEAR($B$6)+1),1,IF($I$5="SI",1,0))</f>
      </c>
      <c r="I731" s="217">
        <f>(1+$M$5)^(D731/12)*(H731*(12-IF(MONTH(E732)=12,0,MONTH(E732)))+IF(AND(F731=1,F732=0),$Q$4,0))*IF(AND(F731=1,F732=0),1,0)</f>
      </c>
      <c r="J731" s="333">
        <f>(1+$M$5)^(D731/12)*(H731+IF(AND(F731=1,F732=0),$Q$4,0))</f>
      </c>
      <c r="K731" s="351"/>
      <c r="L731" s="333">
        <f>K731+J731</f>
      </c>
      <c r="M731" s="170"/>
      <c r="N731" s="7"/>
      <c r="O731" s="1"/>
      <c r="P731" s="331">
        <f>D731</f>
      </c>
      <c r="Q731" s="169"/>
      <c r="R731" s="1"/>
      <c r="S731" s="217">
        <f>(1+$M$5)^(D731/12)*(IF(E731=$C$6,$Q$4+$H$5*12,0))</f>
      </c>
      <c r="T731" s="217">
        <f>(1+$M$5)^(D731/12)*(IF(YEAR(E731)&gt;YEAR($C$6),L731,0)+IF(E731=$C$6,$H$5*12+$Q$4,0))</f>
      </c>
    </row>
    <row x14ac:dyDescent="0.25" r="732" customHeight="1" ht="18.75">
      <c r="A732" s="1"/>
      <c r="B732" s="7"/>
      <c r="C732" s="170"/>
      <c r="D732" s="331">
        <v>725</v>
      </c>
      <c r="E732" s="544">
        <f>+DATE(YEAR(E731),MONTH(E731)-1,DAY(E731))</f>
        <v>25569.041666666668</v>
      </c>
      <c r="F732" s="333">
        <f>IF(DATE(YEAR($B$6),MONTH($B$6)+1,DAY(1))=E732,1,IF(MONTH(E732)=1,F733*(1+$F$5),F733))</f>
      </c>
      <c r="G732" s="333">
        <f>IF('Simulador - 1º Pilar'!$E$99="Sí",IF('Aportaciones Flex'!$B$13&lt;'Aportaciones Flex'!E732,0,F732*$B$8/12),F732*$B$8/12)</f>
      </c>
      <c r="H732" s="333">
        <f>IF(G732&gt;0,1,0)*$H$5*IF(AND($I$5="NO",YEAR(E732)=YEAR($B$6)+1),1,IF($I$5="SI",1,0))</f>
      </c>
      <c r="I732" s="217">
        <f>(1+$M$5)^(D732/12)*(H732*(12-IF(MONTH(E733)=12,0,MONTH(E733)))+IF(AND(F732=1,F733=0),$Q$4,0))*IF(AND(F732=1,F733=0),1,0)</f>
      </c>
      <c r="J732" s="333">
        <f>(1+$M$5)^(D732/12)*(H732+IF(AND(F732=1,F733=0),$Q$4,0))</f>
      </c>
      <c r="K732" s="351"/>
      <c r="L732" s="333">
        <f>K732+J732</f>
      </c>
      <c r="M732" s="170"/>
      <c r="N732" s="7"/>
      <c r="O732" s="1"/>
      <c r="P732" s="331">
        <f>D732</f>
      </c>
      <c r="Q732" s="169"/>
      <c r="R732" s="1"/>
      <c r="S732" s="217">
        <f>(1+$M$5)^(D732/12)*(IF(E732=$C$6,$Q$4+$H$5*12,0))</f>
      </c>
      <c r="T732" s="217">
        <f>(1+$M$5)^(D732/12)*(IF(YEAR(E732)&gt;YEAR($C$6),L732,0)+IF(E732=$C$6,$H$5*12+$Q$4,0))</f>
      </c>
    </row>
    <row x14ac:dyDescent="0.25" r="733" customHeight="1" ht="18.75">
      <c r="A733" s="1"/>
      <c r="B733" s="7"/>
      <c r="C733" s="170"/>
      <c r="D733" s="331">
        <v>726</v>
      </c>
      <c r="E733" s="544">
        <f>+DATE(YEAR(E732),MONTH(E732)-1,DAY(E732))</f>
        <v>25569.041666666668</v>
      </c>
      <c r="F733" s="333">
        <f>IF(DATE(YEAR($B$6),MONTH($B$6)+1,DAY(1))=E733,1,IF(MONTH(E733)=1,F734*(1+$F$5),F734))</f>
      </c>
      <c r="G733" s="333">
        <f>IF('Simulador - 1º Pilar'!$E$99="Sí",IF('Aportaciones Flex'!$B$13&lt;'Aportaciones Flex'!E733,0,F733*$B$8/12),F733*$B$8/12)</f>
      </c>
      <c r="H733" s="333">
        <f>IF(G733&gt;0,1,0)*$H$5*IF(AND($I$5="NO",YEAR(E733)=YEAR($B$6)+1),1,IF($I$5="SI",1,0))</f>
      </c>
      <c r="I733" s="217">
        <f>(1+$M$5)^(D733/12)*(H733*(12-IF(MONTH(E734)=12,0,MONTH(E734)))+IF(AND(F733=1,F734=0),$Q$4,0))*IF(AND(F733=1,F734=0),1,0)</f>
      </c>
      <c r="J733" s="333">
        <f>(1+$M$5)^(D733/12)*(H733+IF(AND(F733=1,F734=0),$Q$4,0))</f>
      </c>
      <c r="K733" s="351"/>
      <c r="L733" s="333">
        <f>K733+J733</f>
      </c>
      <c r="M733" s="170"/>
      <c r="N733" s="7"/>
      <c r="O733" s="1"/>
      <c r="P733" s="331">
        <f>D733</f>
      </c>
      <c r="Q733" s="169"/>
      <c r="R733" s="1"/>
      <c r="S733" s="217">
        <f>(1+$M$5)^(D733/12)*(IF(E733=$C$6,$Q$4+$H$5*12,0))</f>
      </c>
      <c r="T733" s="217">
        <f>(1+$M$5)^(D733/12)*(IF(YEAR(E733)&gt;YEAR($C$6),L733,0)+IF(E733=$C$6,$H$5*12+$Q$4,0))</f>
      </c>
    </row>
    <row x14ac:dyDescent="0.25" r="734" customHeight="1" ht="18.75">
      <c r="A734" s="1"/>
      <c r="B734" s="7"/>
      <c r="C734" s="170"/>
      <c r="D734" s="331">
        <v>727</v>
      </c>
      <c r="E734" s="544">
        <f>+DATE(YEAR(E733),MONTH(E733)-1,DAY(E733))</f>
        <v>25569.041666666668</v>
      </c>
      <c r="F734" s="333">
        <f>IF(DATE(YEAR($B$6),MONTH($B$6)+1,DAY(1))=E734,1,IF(MONTH(E734)=1,F735*(1+$F$5),F735))</f>
      </c>
      <c r="G734" s="333">
        <f>IF('Simulador - 1º Pilar'!$E$99="Sí",IF('Aportaciones Flex'!$B$13&lt;'Aportaciones Flex'!E734,0,F734*$B$8/12),F734*$B$8/12)</f>
      </c>
      <c r="H734" s="333">
        <f>IF(G734&gt;0,1,0)*$H$5*IF(AND($I$5="NO",YEAR(E734)=YEAR($B$6)+1),1,IF($I$5="SI",1,0))</f>
      </c>
      <c r="I734" s="217">
        <f>(1+$M$5)^(D734/12)*(H734*(12-IF(MONTH(E735)=12,0,MONTH(E735)))+IF(AND(F734=1,F735=0),$Q$4,0))*IF(AND(F734=1,F735=0),1,0)</f>
      </c>
      <c r="J734" s="333">
        <f>(1+$M$5)^(D734/12)*(H734+IF(AND(F734=1,F735=0),$Q$4,0))</f>
      </c>
      <c r="K734" s="351"/>
      <c r="L734" s="333">
        <f>K734+J734</f>
      </c>
      <c r="M734" s="170"/>
      <c r="N734" s="7"/>
      <c r="O734" s="1"/>
      <c r="P734" s="331">
        <f>D734</f>
      </c>
      <c r="Q734" s="169"/>
      <c r="R734" s="1"/>
      <c r="S734" s="217">
        <f>(1+$M$5)^(D734/12)*(IF(E734=$C$6,$Q$4+$H$5*12,0))</f>
      </c>
      <c r="T734" s="217">
        <f>(1+$M$5)^(D734/12)*(IF(YEAR(E734)&gt;YEAR($C$6),L734,0)+IF(E734=$C$6,$H$5*12+$Q$4,0))</f>
      </c>
    </row>
    <row x14ac:dyDescent="0.25" r="735" customHeight="1" ht="18.75">
      <c r="A735" s="1"/>
      <c r="B735" s="7"/>
      <c r="C735" s="170"/>
      <c r="D735" s="331">
        <v>728</v>
      </c>
      <c r="E735" s="544">
        <f>+DATE(YEAR(E734),MONTH(E734)-1,DAY(E734))</f>
        <v>25569.041666666668</v>
      </c>
      <c r="F735" s="333">
        <f>IF(DATE(YEAR($B$6),MONTH($B$6)+1,DAY(1))=E735,1,IF(MONTH(E735)=1,F736*(1+$F$5),F736))</f>
      </c>
      <c r="G735" s="333">
        <f>IF('Simulador - 1º Pilar'!$E$99="Sí",IF('Aportaciones Flex'!$B$13&lt;'Aportaciones Flex'!E735,0,F735*$B$8/12),F735*$B$8/12)</f>
      </c>
      <c r="H735" s="333">
        <f>IF(G735&gt;0,1,0)*$H$5*IF(AND($I$5="NO",YEAR(E735)=YEAR($B$6)+1),1,IF($I$5="SI",1,0))</f>
      </c>
      <c r="I735" s="217">
        <f>(1+$M$5)^(D735/12)*(H735*(12-IF(MONTH(E736)=12,0,MONTH(E736)))+IF(AND(F735=1,F736=0),$Q$4,0))*IF(AND(F735=1,F736=0),1,0)</f>
      </c>
      <c r="J735" s="333">
        <f>(1+$M$5)^(D735/12)*(H735+IF(AND(F735=1,F736=0),$Q$4,0))</f>
      </c>
      <c r="K735" s="351"/>
      <c r="L735" s="333">
        <f>K735+J735</f>
      </c>
      <c r="M735" s="170"/>
      <c r="N735" s="7"/>
      <c r="O735" s="1"/>
      <c r="P735" s="331">
        <f>D735</f>
      </c>
      <c r="Q735" s="169"/>
      <c r="R735" s="1"/>
      <c r="S735" s="217">
        <f>(1+$M$5)^(D735/12)*(IF(E735=$C$6,$Q$4+$H$5*12,0))</f>
      </c>
      <c r="T735" s="217">
        <f>(1+$M$5)^(D735/12)*(IF(YEAR(E735)&gt;YEAR($C$6),L735,0)+IF(E735=$C$6,$H$5*12+$Q$4,0))</f>
      </c>
    </row>
    <row x14ac:dyDescent="0.25" r="736" customHeight="1" ht="18.75">
      <c r="A736" s="1"/>
      <c r="B736" s="7"/>
      <c r="C736" s="170"/>
      <c r="D736" s="331">
        <v>729</v>
      </c>
      <c r="E736" s="544">
        <f>+DATE(YEAR(E735),MONTH(E735)-1,DAY(E735))</f>
        <v>25569.041666666668</v>
      </c>
      <c r="F736" s="333">
        <f>IF(DATE(YEAR($B$6),MONTH($B$6)+1,DAY(1))=E736,1,IF(MONTH(E736)=1,F737*(1+$F$5),F737))</f>
      </c>
      <c r="G736" s="333">
        <f>IF('Simulador - 1º Pilar'!$E$99="Sí",IF('Aportaciones Flex'!$B$13&lt;'Aportaciones Flex'!E736,0,F736*$B$8/12),F736*$B$8/12)</f>
      </c>
      <c r="H736" s="333">
        <f>IF(G736&gt;0,1,0)*$H$5*IF(AND($I$5="NO",YEAR(E736)=YEAR($B$6)+1),1,IF($I$5="SI",1,0))</f>
      </c>
      <c r="I736" s="217">
        <f>(1+$M$5)^(D736/12)*(H736*(12-IF(MONTH(E737)=12,0,MONTH(E737)))+IF(AND(F736=1,F737=0),$Q$4,0))*IF(AND(F736=1,F737=0),1,0)</f>
      </c>
      <c r="J736" s="333">
        <f>(1+$M$5)^(D736/12)*(H736+IF(AND(F736=1,F737=0),$Q$4,0))</f>
      </c>
      <c r="K736" s="351"/>
      <c r="L736" s="333">
        <f>K736+J736</f>
      </c>
      <c r="M736" s="170"/>
      <c r="N736" s="7"/>
      <c r="O736" s="1"/>
      <c r="P736" s="331">
        <f>D736</f>
      </c>
      <c r="Q736" s="169"/>
      <c r="R736" s="1"/>
      <c r="S736" s="217">
        <f>(1+$M$5)^(D736/12)*(IF(E736=$C$6,$Q$4+$H$5*12,0))</f>
      </c>
      <c r="T736" s="217">
        <f>(1+$M$5)^(D736/12)*(IF(YEAR(E736)&gt;YEAR($C$6),L736,0)+IF(E736=$C$6,$H$5*12+$Q$4,0))</f>
      </c>
    </row>
    <row x14ac:dyDescent="0.25" r="737" customHeight="1" ht="18.75">
      <c r="A737" s="1"/>
      <c r="B737" s="7"/>
      <c r="C737" s="170"/>
      <c r="D737" s="331">
        <v>730</v>
      </c>
      <c r="E737" s="544">
        <f>+DATE(YEAR(E736),MONTH(E736)-1,DAY(E736))</f>
        <v>25569.041666666668</v>
      </c>
      <c r="F737" s="333">
        <f>IF(DATE(YEAR($B$6),MONTH($B$6)+1,DAY(1))=E737,1,IF(MONTH(E737)=1,F738*(1+$F$5),F738))</f>
      </c>
      <c r="G737" s="333">
        <f>IF('Simulador - 1º Pilar'!$E$99="Sí",IF('Aportaciones Flex'!$B$13&lt;'Aportaciones Flex'!E737,0,F737*$B$8/12),F737*$B$8/12)</f>
      </c>
      <c r="H737" s="333">
        <f>IF(G737&gt;0,1,0)*$H$5*IF(AND($I$5="NO",YEAR(E737)=YEAR($B$6)+1),1,IF($I$5="SI",1,0))</f>
      </c>
      <c r="I737" s="217">
        <f>(1+$M$5)^(D737/12)*(H737*(12-IF(MONTH(E738)=12,0,MONTH(E738)))+IF(AND(F737=1,F738=0),$Q$4,0))*IF(AND(F737=1,F738=0),1,0)</f>
      </c>
      <c r="J737" s="333">
        <f>(1+$M$5)^(D737/12)*(H737+IF(AND(F737=1,F738=0),$Q$4,0))</f>
      </c>
      <c r="K737" s="351"/>
      <c r="L737" s="333">
        <f>K737+J737</f>
      </c>
      <c r="M737" s="170"/>
      <c r="N737" s="7"/>
      <c r="O737" s="1"/>
      <c r="P737" s="331">
        <f>D737</f>
      </c>
      <c r="Q737" s="169"/>
      <c r="R737" s="1"/>
      <c r="S737" s="217">
        <f>(1+$M$5)^(D737/12)*(IF(E737=$C$6,$Q$4+$H$5*12,0))</f>
      </c>
      <c r="T737" s="217">
        <f>(1+$M$5)^(D737/12)*(IF(YEAR(E737)&gt;YEAR($C$6),L737,0)+IF(E737=$C$6,$H$5*12+$Q$4,0))</f>
      </c>
    </row>
    <row x14ac:dyDescent="0.25" r="738" customHeight="1" ht="18.75">
      <c r="A738" s="1"/>
      <c r="B738" s="7"/>
      <c r="C738" s="170"/>
      <c r="D738" s="331">
        <v>731</v>
      </c>
      <c r="E738" s="544">
        <f>+DATE(YEAR(E737),MONTH(E737)-1,DAY(E737))</f>
        <v>25569.041666666668</v>
      </c>
      <c r="F738" s="333">
        <f>IF(DATE(YEAR($B$6),MONTH($B$6)+1,DAY(1))=E738,1,IF(MONTH(E738)=1,F739*(1+$F$5),F739))</f>
      </c>
      <c r="G738" s="333">
        <f>IF('Simulador - 1º Pilar'!$E$99="Sí",IF('Aportaciones Flex'!$B$13&lt;'Aportaciones Flex'!E738,0,F738*$B$8/12),F738*$B$8/12)</f>
      </c>
      <c r="H738" s="333">
        <f>IF(G738&gt;0,1,0)*$H$5*IF(AND($I$5="NO",YEAR(E738)=YEAR($B$6)+1),1,IF($I$5="SI",1,0))</f>
      </c>
      <c r="I738" s="217">
        <f>(1+$M$5)^(D738/12)*(H738*(12-IF(MONTH(E739)=12,0,MONTH(E739)))+IF(AND(F738=1,F739=0),$Q$4,0))*IF(AND(F738=1,F739=0),1,0)</f>
      </c>
      <c r="J738" s="333">
        <f>(1+$M$5)^(D738/12)*(H738+IF(AND(F738=1,F739=0),$Q$4,0))</f>
      </c>
      <c r="K738" s="351"/>
      <c r="L738" s="333">
        <f>K738+J738</f>
      </c>
      <c r="M738" s="170"/>
      <c r="N738" s="7"/>
      <c r="O738" s="1"/>
      <c r="P738" s="331">
        <f>D738</f>
      </c>
      <c r="Q738" s="169"/>
      <c r="R738" s="1"/>
      <c r="S738" s="217">
        <f>(1+$M$5)^(D738/12)*(IF(E738=$C$6,$Q$4+$H$5*12,0))</f>
      </c>
      <c r="T738" s="217">
        <f>(1+$M$5)^(D738/12)*(IF(YEAR(E738)&gt;YEAR($C$6),L738,0)+IF(E738=$C$6,$H$5*12+$Q$4,0))</f>
      </c>
    </row>
    <row x14ac:dyDescent="0.25" r="739" customHeight="1" ht="18.75">
      <c r="A739" s="1"/>
      <c r="B739" s="7"/>
      <c r="C739" s="170"/>
      <c r="D739" s="331">
        <v>732</v>
      </c>
      <c r="E739" s="544">
        <f>+DATE(YEAR(E738),MONTH(E738)-1,DAY(E738))</f>
        <v>25569.041666666668</v>
      </c>
      <c r="F739" s="333">
        <f>IF(DATE(YEAR($B$6),MONTH($B$6)+1,DAY(1))=E739,1,IF(MONTH(E739)=1,F740*(1+$F$5),F740))</f>
      </c>
      <c r="G739" s="333">
        <f>IF('Simulador - 1º Pilar'!$E$99="Sí",IF('Aportaciones Flex'!$B$13&lt;'Aportaciones Flex'!E739,0,F739*$B$8/12),F739*$B$8/12)</f>
      </c>
      <c r="H739" s="333">
        <f>IF(G739&gt;0,1,0)*$H$5*IF(AND($I$5="NO",YEAR(E739)=YEAR($B$6)+1),1,IF($I$5="SI",1,0))</f>
      </c>
      <c r="I739" s="217">
        <f>(1+$M$5)^(D739/12)*(H739*(12-IF(MONTH(E740)=12,0,MONTH(E740)))+IF(AND(F739=1,F740=0),$Q$4,0))*IF(AND(F739=1,F740=0),1,0)</f>
      </c>
      <c r="J739" s="333">
        <f>(1+$M$5)^(D739/12)*(H739+IF(AND(F739=1,F740=0),$Q$4,0))</f>
      </c>
      <c r="K739" s="351"/>
      <c r="L739" s="333">
        <f>K739+J739</f>
      </c>
      <c r="M739" s="170"/>
      <c r="N739" s="7"/>
      <c r="O739" s="1"/>
      <c r="P739" s="331">
        <f>D739</f>
      </c>
      <c r="Q739" s="169"/>
      <c r="R739" s="1"/>
      <c r="S739" s="217">
        <f>(1+$M$5)^(D739/12)*(IF(E739=$C$6,$Q$4+$H$5*12,0))</f>
      </c>
      <c r="T739" s="217">
        <f>(1+$M$5)^(D739/12)*(IF(YEAR(E739)&gt;YEAR($C$6),L739,0)+IF(E739=$C$6,$H$5*12+$Q$4,0))</f>
      </c>
    </row>
    <row x14ac:dyDescent="0.25" r="740" customHeight="1" ht="18.75">
      <c r="A740" s="1"/>
      <c r="B740" s="7"/>
      <c r="C740" s="170"/>
      <c r="D740" s="331">
        <v>733</v>
      </c>
      <c r="E740" s="544">
        <f>+DATE(YEAR(E739),MONTH(E739)-1,DAY(E739))</f>
        <v>25569.041666666668</v>
      </c>
      <c r="F740" s="333">
        <f>IF(DATE(YEAR($B$6),MONTH($B$6)+1,DAY(1))=E740,1,IF(MONTH(E740)=1,F741*(1+$F$5),F741))</f>
      </c>
      <c r="G740" s="333">
        <f>IF('Simulador - 1º Pilar'!$E$99="Sí",IF('Aportaciones Flex'!$B$13&lt;'Aportaciones Flex'!E740,0,F740*$B$8/12),F740*$B$8/12)</f>
      </c>
      <c r="H740" s="333">
        <f>IF(G740&gt;0,1,0)*$H$5*IF(AND($I$5="NO",YEAR(E740)=YEAR($B$6)+1),1,IF($I$5="SI",1,0))</f>
      </c>
      <c r="I740" s="217">
        <f>(1+$M$5)^(D740/12)*(H740*(12-IF(MONTH(E741)=12,0,MONTH(E741)))+IF(AND(F740=1,F741=0),$Q$4,0))*IF(AND(F740=1,F741=0),1,0)</f>
      </c>
      <c r="J740" s="333">
        <f>(1+$M$5)^(D740/12)*(H740+IF(AND(F740=1,F741=0),$Q$4,0))</f>
      </c>
      <c r="K740" s="351"/>
      <c r="L740" s="333">
        <f>K740+J740</f>
      </c>
      <c r="M740" s="170"/>
      <c r="N740" s="7"/>
      <c r="O740" s="1"/>
      <c r="P740" s="331">
        <f>D740</f>
      </c>
      <c r="Q740" s="169"/>
      <c r="R740" s="1"/>
      <c r="S740" s="217">
        <f>(1+$M$5)^(D740/12)*(IF(E740=$C$6,$Q$4+$H$5*12,0))</f>
      </c>
      <c r="T740" s="217">
        <f>(1+$M$5)^(D740/12)*(IF(YEAR(E740)&gt;YEAR($C$6),L740,0)+IF(E740=$C$6,$H$5*12+$Q$4,0))</f>
      </c>
    </row>
    <row x14ac:dyDescent="0.25" r="741" customHeight="1" ht="18.75">
      <c r="A741" s="1"/>
      <c r="B741" s="7"/>
      <c r="C741" s="170"/>
      <c r="D741" s="331">
        <v>734</v>
      </c>
      <c r="E741" s="544">
        <f>+DATE(YEAR(E740),MONTH(E740)-1,DAY(E740))</f>
        <v>25569.041666666668</v>
      </c>
      <c r="F741" s="333">
        <f>IF(DATE(YEAR($B$6),MONTH($B$6)+1,DAY(1))=E741,1,IF(MONTH(E741)=1,F742*(1+$F$5),F742))</f>
      </c>
      <c r="G741" s="333">
        <f>IF('Simulador - 1º Pilar'!$E$99="Sí",IF('Aportaciones Flex'!$B$13&lt;'Aportaciones Flex'!E741,0,F741*$B$8/12),F741*$B$8/12)</f>
      </c>
      <c r="H741" s="333">
        <f>IF(G741&gt;0,1,0)*$H$5*IF(AND($I$5="NO",YEAR(E741)=YEAR($B$6)+1),1,IF($I$5="SI",1,0))</f>
      </c>
      <c r="I741" s="217">
        <f>(1+$M$5)^(D741/12)*(H741*(12-IF(MONTH(E742)=12,0,MONTH(E742)))+IF(AND(F741=1,F742=0),$Q$4,0))*IF(AND(F741=1,F742=0),1,0)</f>
      </c>
      <c r="J741" s="333">
        <f>(1+$M$5)^(D741/12)*(H741+IF(AND(F741=1,F742=0),$Q$4,0))</f>
      </c>
      <c r="K741" s="351"/>
      <c r="L741" s="333">
        <f>K741+J741</f>
      </c>
      <c r="M741" s="170"/>
      <c r="N741" s="7"/>
      <c r="O741" s="1"/>
      <c r="P741" s="331">
        <f>D741</f>
      </c>
      <c r="Q741" s="169"/>
      <c r="R741" s="1"/>
      <c r="S741" s="217">
        <f>(1+$M$5)^(D741/12)*(IF(E741=$C$6,$Q$4+$H$5*12,0))</f>
      </c>
      <c r="T741" s="217">
        <f>(1+$M$5)^(D741/12)*(IF(YEAR(E741)&gt;YEAR($C$6),L741,0)+IF(E741=$C$6,$H$5*12+$Q$4,0))</f>
      </c>
    </row>
    <row x14ac:dyDescent="0.25" r="742" customHeight="1" ht="18.75">
      <c r="A742" s="1"/>
      <c r="B742" s="7"/>
      <c r="C742" s="170"/>
      <c r="D742" s="331">
        <v>735</v>
      </c>
      <c r="E742" s="544">
        <f>+DATE(YEAR(E741),MONTH(E741)-1,DAY(E741))</f>
        <v>25569.041666666668</v>
      </c>
      <c r="F742" s="333">
        <f>IF(DATE(YEAR($B$6),MONTH($B$6)+1,DAY(1))=E742,1,IF(MONTH(E742)=1,F743*(1+$F$5),F743))</f>
      </c>
      <c r="G742" s="333">
        <f>IF('Simulador - 1º Pilar'!$E$99="Sí",IF('Aportaciones Flex'!$B$13&lt;'Aportaciones Flex'!E742,0,F742*$B$8/12),F742*$B$8/12)</f>
      </c>
      <c r="H742" s="333">
        <f>IF(G742&gt;0,1,0)*$H$5*IF(AND($I$5="NO",YEAR(E742)=YEAR($B$6)+1),1,IF($I$5="SI",1,0))</f>
      </c>
      <c r="I742" s="217">
        <f>(1+$M$5)^(D742/12)*(H742*(12-IF(MONTH(E743)=12,0,MONTH(E743)))+IF(AND(F742=1,F743=0),$Q$4,0))*IF(AND(F742=1,F743=0),1,0)</f>
      </c>
      <c r="J742" s="333">
        <f>(1+$M$5)^(D742/12)*(H742+IF(AND(F742=1,F743=0),$Q$4,0))</f>
      </c>
      <c r="K742" s="351"/>
      <c r="L742" s="333">
        <f>K742+J742</f>
      </c>
      <c r="M742" s="170"/>
      <c r="N742" s="7"/>
      <c r="O742" s="1"/>
      <c r="P742" s="331">
        <f>D742</f>
      </c>
      <c r="Q742" s="169"/>
      <c r="R742" s="1"/>
      <c r="S742" s="217">
        <f>(1+$M$5)^(D742/12)*(IF(E742=$C$6,$Q$4+$H$5*12,0))</f>
      </c>
      <c r="T742" s="217">
        <f>(1+$M$5)^(D742/12)*(IF(YEAR(E742)&gt;YEAR($C$6),L742,0)+IF(E742=$C$6,$H$5*12+$Q$4,0))</f>
      </c>
    </row>
    <row x14ac:dyDescent="0.25" r="743" customHeight="1" ht="18.75">
      <c r="A743" s="1"/>
      <c r="B743" s="7"/>
      <c r="C743" s="170"/>
      <c r="D743" s="331">
        <v>736</v>
      </c>
      <c r="E743" s="544">
        <f>+DATE(YEAR(E742),MONTH(E742)-1,DAY(E742))</f>
        <v>25569.041666666668</v>
      </c>
      <c r="F743" s="333">
        <f>IF(DATE(YEAR($B$6),MONTH($B$6)+1,DAY(1))=E743,1,IF(MONTH(E743)=1,F744*(1+$F$5),F744))</f>
      </c>
      <c r="G743" s="333">
        <f>IF('Simulador - 1º Pilar'!$E$99="Sí",IF('Aportaciones Flex'!$B$13&lt;'Aportaciones Flex'!E743,0,F743*$B$8/12),F743*$B$8/12)</f>
      </c>
      <c r="H743" s="333">
        <f>IF(G743&gt;0,1,0)*$H$5*IF(AND($I$5="NO",YEAR(E743)=YEAR($B$6)+1),1,IF($I$5="SI",1,0))</f>
      </c>
      <c r="I743" s="217">
        <f>(1+$M$5)^(D743/12)*(H743*(12-IF(MONTH(E744)=12,0,MONTH(E744)))+IF(AND(F743=1,F744=0),$Q$4,0))*IF(AND(F743=1,F744=0),1,0)</f>
      </c>
      <c r="J743" s="333">
        <f>(1+$M$5)^(D743/12)*(H743+IF(AND(F743=1,F744=0),$Q$4,0))</f>
      </c>
      <c r="K743" s="351"/>
      <c r="L743" s="333">
        <f>K743+J743</f>
      </c>
      <c r="M743" s="170"/>
      <c r="N743" s="7"/>
      <c r="O743" s="1"/>
      <c r="P743" s="331">
        <f>D743</f>
      </c>
      <c r="Q743" s="169"/>
      <c r="R743" s="1"/>
      <c r="S743" s="217">
        <f>(1+$M$5)^(D743/12)*(IF(E743=$C$6,$Q$4+$H$5*12,0))</f>
      </c>
      <c r="T743" s="217">
        <f>(1+$M$5)^(D743/12)*(IF(YEAR(E743)&gt;YEAR($C$6),L743,0)+IF(E743=$C$6,$H$5*12+$Q$4,0))</f>
      </c>
    </row>
    <row x14ac:dyDescent="0.25" r="744" customHeight="1" ht="18.75">
      <c r="A744" s="1"/>
      <c r="B744" s="7"/>
      <c r="C744" s="170"/>
      <c r="D744" s="331">
        <v>737</v>
      </c>
      <c r="E744" s="544">
        <f>+DATE(YEAR(E743),MONTH(E743)-1,DAY(E743))</f>
        <v>25569.041666666668</v>
      </c>
      <c r="F744" s="333">
        <f>IF(DATE(YEAR($B$6),MONTH($B$6)+1,DAY(1))=E744,1,IF(MONTH(E744)=1,F745*(1+$F$5),F745))</f>
      </c>
      <c r="G744" s="333">
        <f>IF('Simulador - 1º Pilar'!$E$99="Sí",IF('Aportaciones Flex'!$B$13&lt;'Aportaciones Flex'!E744,0,F744*$B$8/12),F744*$B$8/12)</f>
      </c>
      <c r="H744" s="333">
        <f>IF(G744&gt;0,1,0)*$H$5*IF(AND($I$5="NO",YEAR(E744)=YEAR($B$6)+1),1,IF($I$5="SI",1,0))</f>
      </c>
      <c r="I744" s="217">
        <f>(1+$M$5)^(D744/12)*(H744*(12-IF(MONTH(E745)=12,0,MONTH(E745)))+IF(AND(F744=1,F745=0),$Q$4,0))*IF(AND(F744=1,F745=0),1,0)</f>
      </c>
      <c r="J744" s="333">
        <f>(1+$M$5)^(D744/12)*(H744+IF(AND(F744=1,F745=0),$Q$4,0))</f>
      </c>
      <c r="K744" s="351"/>
      <c r="L744" s="333">
        <f>K744+J744</f>
      </c>
      <c r="M744" s="170"/>
      <c r="N744" s="7"/>
      <c r="O744" s="1"/>
      <c r="P744" s="331">
        <f>D744</f>
      </c>
      <c r="Q744" s="169"/>
      <c r="R744" s="1"/>
      <c r="S744" s="217">
        <f>(1+$M$5)^(D744/12)*(IF(E744=$C$6,$Q$4+$H$5*12,0))</f>
      </c>
      <c r="T744" s="217">
        <f>(1+$M$5)^(D744/12)*(IF(YEAR(E744)&gt;YEAR($C$6),L744,0)+IF(E744=$C$6,$H$5*12+$Q$4,0))</f>
      </c>
    </row>
    <row x14ac:dyDescent="0.25" r="745" customHeight="1" ht="18.75">
      <c r="A745" s="1"/>
      <c r="B745" s="7"/>
      <c r="C745" s="170"/>
      <c r="D745" s="331">
        <v>738</v>
      </c>
      <c r="E745" s="544">
        <f>+DATE(YEAR(E744),MONTH(E744)-1,DAY(E744))</f>
        <v>25569.041666666668</v>
      </c>
      <c r="F745" s="333">
        <f>IF(DATE(YEAR($B$6),MONTH($B$6)+1,DAY(1))=E745,1,IF(MONTH(E745)=1,F746*(1+$F$5),F746))</f>
      </c>
      <c r="G745" s="333">
        <f>IF('Simulador - 1º Pilar'!$E$99="Sí",IF('Aportaciones Flex'!$B$13&lt;'Aportaciones Flex'!E745,0,F745*$B$8/12),F745*$B$8/12)</f>
      </c>
      <c r="H745" s="333">
        <f>IF(G745&gt;0,1,0)*$H$5*IF(AND($I$5="NO",YEAR(E745)=YEAR($B$6)+1),1,IF($I$5="SI",1,0))</f>
      </c>
      <c r="I745" s="217">
        <f>(1+$M$5)^(D745/12)*(H745*(12-IF(MONTH(E746)=12,0,MONTH(E746)))+IF(AND(F745=1,F746=0),$Q$4,0))*IF(AND(F745=1,F746=0),1,0)</f>
      </c>
      <c r="J745" s="333">
        <f>(1+$M$5)^(D745/12)*(H745+IF(AND(F745=1,F746=0),$Q$4,0))</f>
      </c>
      <c r="K745" s="351"/>
      <c r="L745" s="333">
        <f>K745+J745</f>
      </c>
      <c r="M745" s="170"/>
      <c r="N745" s="7"/>
      <c r="O745" s="1"/>
      <c r="P745" s="331">
        <f>D745</f>
      </c>
      <c r="Q745" s="169"/>
      <c r="R745" s="1"/>
      <c r="S745" s="217">
        <f>(1+$M$5)^(D745/12)*(IF(E745=$C$6,$Q$4+$H$5*12,0))</f>
      </c>
      <c r="T745" s="217">
        <f>(1+$M$5)^(D745/12)*(IF(YEAR(E745)&gt;YEAR($C$6),L745,0)+IF(E745=$C$6,$H$5*12+$Q$4,0))</f>
      </c>
    </row>
    <row x14ac:dyDescent="0.25" r="746" customHeight="1" ht="18.75">
      <c r="A746" s="1"/>
      <c r="B746" s="7"/>
      <c r="C746" s="170"/>
      <c r="D746" s="331">
        <v>739</v>
      </c>
      <c r="E746" s="544">
        <f>+DATE(YEAR(E745),MONTH(E745)-1,DAY(E745))</f>
        <v>25569.041666666668</v>
      </c>
      <c r="F746" s="333">
        <f>IF(DATE(YEAR($B$6),MONTH($B$6)+1,DAY(1))=E746,1,IF(MONTH(E746)=1,F747*(1+$F$5),F747))</f>
      </c>
      <c r="G746" s="333">
        <f>IF('Simulador - 1º Pilar'!$E$99="Sí",IF('Aportaciones Flex'!$B$13&lt;'Aportaciones Flex'!E746,0,F746*$B$8/12),F746*$B$8/12)</f>
      </c>
      <c r="H746" s="333">
        <f>IF(G746&gt;0,1,0)*$H$5*IF(AND($I$5="NO",YEAR(E746)=YEAR($B$6)+1),1,IF($I$5="SI",1,0))</f>
      </c>
      <c r="I746" s="217">
        <f>(1+$M$5)^(D746/12)*(H746*(12-IF(MONTH(E747)=12,0,MONTH(E747)))+IF(AND(F746=1,F747=0),$Q$4,0))*IF(AND(F746=1,F747=0),1,0)</f>
      </c>
      <c r="J746" s="333">
        <f>(1+$M$5)^(D746/12)*(H746+IF(AND(F746=1,F747=0),$Q$4,0))</f>
      </c>
      <c r="K746" s="351"/>
      <c r="L746" s="333">
        <f>K746+J746</f>
      </c>
      <c r="M746" s="170"/>
      <c r="N746" s="7"/>
      <c r="O746" s="1"/>
      <c r="P746" s="331">
        <f>D746</f>
      </c>
      <c r="Q746" s="169"/>
      <c r="R746" s="1"/>
      <c r="S746" s="217">
        <f>(1+$M$5)^(D746/12)*(IF(E746=$C$6,$Q$4+$H$5*12,0))</f>
      </c>
      <c r="T746" s="217">
        <f>(1+$M$5)^(D746/12)*(IF(YEAR(E746)&gt;YEAR($C$6),L746,0)+IF(E746=$C$6,$H$5*12+$Q$4,0))</f>
      </c>
    </row>
    <row x14ac:dyDescent="0.25" r="747" customHeight="1" ht="18.75">
      <c r="A747" s="1"/>
      <c r="B747" s="7"/>
      <c r="C747" s="170"/>
      <c r="D747" s="331">
        <v>740</v>
      </c>
      <c r="E747" s="544">
        <f>+DATE(YEAR(E746),MONTH(E746)-1,DAY(E746))</f>
        <v>25569.041666666668</v>
      </c>
      <c r="F747" s="333">
        <f>IF(DATE(YEAR($B$6),MONTH($B$6)+1,DAY(1))=E747,1,IF(MONTH(E747)=1,F748*(1+$F$5),F748))</f>
      </c>
      <c r="G747" s="333">
        <f>IF('Simulador - 1º Pilar'!$E$99="Sí",IF('Aportaciones Flex'!$B$13&lt;'Aportaciones Flex'!E747,0,F747*$B$8/12),F747*$B$8/12)</f>
      </c>
      <c r="H747" s="333">
        <f>IF(G747&gt;0,1,0)*$H$5*IF(AND($I$5="NO",YEAR(E747)=YEAR($B$6)+1),1,IF($I$5="SI",1,0))</f>
      </c>
      <c r="I747" s="217">
        <f>(1+$M$5)^(D747/12)*(H747*(12-IF(MONTH(E748)=12,0,MONTH(E748)))+IF(AND(F747=1,F748=0),$Q$4,0))*IF(AND(F747=1,F748=0),1,0)</f>
      </c>
      <c r="J747" s="333">
        <f>(1+$M$5)^(D747/12)*(H747+IF(AND(F747=1,F748=0),$Q$4,0))</f>
      </c>
      <c r="K747" s="351"/>
      <c r="L747" s="333">
        <f>K747+J747</f>
      </c>
      <c r="M747" s="170"/>
      <c r="N747" s="7"/>
      <c r="O747" s="1"/>
      <c r="P747" s="331">
        <f>D747</f>
      </c>
      <c r="Q747" s="169"/>
      <c r="R747" s="1"/>
      <c r="S747" s="217">
        <f>(1+$M$5)^(D747/12)*(IF(E747=$C$6,$Q$4+$H$5*12,0))</f>
      </c>
      <c r="T747" s="217">
        <f>(1+$M$5)^(D747/12)*(IF(YEAR(E747)&gt;YEAR($C$6),L747,0)+IF(E747=$C$6,$H$5*12+$Q$4,0))</f>
      </c>
    </row>
    <row x14ac:dyDescent="0.25" r="748" customHeight="1" ht="18.75">
      <c r="A748" s="1"/>
      <c r="B748" s="7"/>
      <c r="C748" s="170"/>
      <c r="D748" s="331">
        <v>741</v>
      </c>
      <c r="E748" s="544">
        <f>+DATE(YEAR(E747),MONTH(E747)-1,DAY(E747))</f>
        <v>25569.041666666668</v>
      </c>
      <c r="F748" s="333">
        <f>IF(DATE(YEAR($B$6),MONTH($B$6)+1,DAY(1))=E748,1,IF(MONTH(E748)=1,F749*(1+$F$5),F749))</f>
      </c>
      <c r="G748" s="333">
        <f>IF('Simulador - 1º Pilar'!$E$99="Sí",IF('Aportaciones Flex'!$B$13&lt;'Aportaciones Flex'!E748,0,F748*$B$8/12),F748*$B$8/12)</f>
      </c>
      <c r="H748" s="333">
        <f>IF(G748&gt;0,1,0)*$H$5*IF(AND($I$5="NO",YEAR(E748)=YEAR($B$6)+1),1,IF($I$5="SI",1,0))</f>
      </c>
      <c r="I748" s="217">
        <f>(1+$M$5)^(D748/12)*(H748*(12-IF(MONTH(E749)=12,0,MONTH(E749)))+IF(AND(F748=1,F749=0),$Q$4,0))*IF(AND(F748=1,F749=0),1,0)</f>
      </c>
      <c r="J748" s="333">
        <f>(1+$M$5)^(D748/12)*(H748+IF(AND(F748=1,F749=0),$Q$4,0))</f>
      </c>
      <c r="K748" s="351"/>
      <c r="L748" s="333">
        <f>K748+J748</f>
      </c>
      <c r="M748" s="170"/>
      <c r="N748" s="7"/>
      <c r="O748" s="1"/>
      <c r="P748" s="331">
        <f>D748</f>
      </c>
      <c r="Q748" s="169"/>
      <c r="R748" s="1"/>
      <c r="S748" s="217">
        <f>(1+$M$5)^(D748/12)*(IF(E748=$C$6,$Q$4+$H$5*12,0))</f>
      </c>
      <c r="T748" s="217">
        <f>(1+$M$5)^(D748/12)*(IF(YEAR(E748)&gt;YEAR($C$6),L748,0)+IF(E748=$C$6,$H$5*12+$Q$4,0))</f>
      </c>
    </row>
    <row x14ac:dyDescent="0.25" r="749" customHeight="1" ht="18.75">
      <c r="A749" s="1"/>
      <c r="B749" s="7"/>
      <c r="C749" s="170"/>
      <c r="D749" s="331">
        <v>742</v>
      </c>
      <c r="E749" s="544">
        <f>+DATE(YEAR(E748),MONTH(E748)-1,DAY(E748))</f>
        <v>25569.041666666668</v>
      </c>
      <c r="F749" s="333">
        <f>IF(DATE(YEAR($B$6),MONTH($B$6)+1,DAY(1))=E749,1,IF(MONTH(E749)=1,F750*(1+$F$5),F750))</f>
      </c>
      <c r="G749" s="333">
        <f>IF('Simulador - 1º Pilar'!$E$99="Sí",IF('Aportaciones Flex'!$B$13&lt;'Aportaciones Flex'!E749,0,F749*$B$8/12),F749*$B$8/12)</f>
      </c>
      <c r="H749" s="333">
        <f>IF(G749&gt;0,1,0)*$H$5*IF(AND($I$5="NO",YEAR(E749)=YEAR($B$6)+1),1,IF($I$5="SI",1,0))</f>
      </c>
      <c r="I749" s="217">
        <f>(1+$M$5)^(D749/12)*(H749*(12-IF(MONTH(E750)=12,0,MONTH(E750)))+IF(AND(F749=1,F750=0),$Q$4,0))*IF(AND(F749=1,F750=0),1,0)</f>
      </c>
      <c r="J749" s="333">
        <f>(1+$M$5)^(D749/12)*(H749+IF(AND(F749=1,F750=0),$Q$4,0))</f>
      </c>
      <c r="K749" s="351"/>
      <c r="L749" s="333">
        <f>K749+J749</f>
      </c>
      <c r="M749" s="170"/>
      <c r="N749" s="7"/>
      <c r="O749" s="1"/>
      <c r="P749" s="331">
        <f>D749</f>
      </c>
      <c r="Q749" s="169"/>
      <c r="R749" s="1"/>
      <c r="S749" s="217">
        <f>(1+$M$5)^(D749/12)*(IF(E749=$C$6,$Q$4+$H$5*12,0))</f>
      </c>
      <c r="T749" s="217">
        <f>(1+$M$5)^(D749/12)*(IF(YEAR(E749)&gt;YEAR($C$6),L749,0)+IF(E749=$C$6,$H$5*12+$Q$4,0))</f>
      </c>
    </row>
    <row x14ac:dyDescent="0.25" r="750" customHeight="1" ht="18.75">
      <c r="A750" s="1"/>
      <c r="B750" s="7"/>
      <c r="C750" s="170"/>
      <c r="D750" s="331">
        <v>743</v>
      </c>
      <c r="E750" s="544">
        <f>+DATE(YEAR(E749),MONTH(E749)-1,DAY(E749))</f>
        <v>25569.041666666668</v>
      </c>
      <c r="F750" s="333">
        <f>IF(DATE(YEAR($B$6),MONTH($B$6)+1,DAY(1))=E750,1,IF(MONTH(E750)=1,F751*(1+$F$5),F751))</f>
      </c>
      <c r="G750" s="333">
        <f>IF('Simulador - 1º Pilar'!$E$99="Sí",IF('Aportaciones Flex'!$B$13&lt;'Aportaciones Flex'!E750,0,F750*$B$8/12),F750*$B$8/12)</f>
      </c>
      <c r="H750" s="333">
        <f>IF(G750&gt;0,1,0)*$H$5*IF(AND($I$5="NO",YEAR(E750)=YEAR($B$6)+1),1,IF($I$5="SI",1,0))</f>
      </c>
      <c r="I750" s="217">
        <f>(1+$M$5)^(D750/12)*(H750*(12-IF(MONTH(E751)=12,0,MONTH(E751)))+IF(AND(F750=1,F751=0),$Q$4,0))*IF(AND(F750=1,F751=0),1,0)</f>
      </c>
      <c r="J750" s="333">
        <f>(1+$M$5)^(D750/12)*(H750+IF(AND(F750=1,F751=0),$Q$4,0))</f>
      </c>
      <c r="K750" s="351"/>
      <c r="L750" s="333">
        <f>K750+J750</f>
      </c>
      <c r="M750" s="170"/>
      <c r="N750" s="7"/>
      <c r="O750" s="1"/>
      <c r="P750" s="331">
        <f>D750</f>
      </c>
      <c r="Q750" s="169"/>
      <c r="R750" s="1"/>
      <c r="S750" s="217">
        <f>(1+$M$5)^(D750/12)*(IF(E750=$C$6,$Q$4+$H$5*12,0))</f>
      </c>
      <c r="T750" s="217">
        <f>(1+$M$5)^(D750/12)*(IF(YEAR(E750)&gt;YEAR($C$6),L750,0)+IF(E750=$C$6,$H$5*12+$Q$4,0))</f>
      </c>
    </row>
    <row x14ac:dyDescent="0.25" r="751" customHeight="1" ht="18.75">
      <c r="A751" s="1"/>
      <c r="B751" s="7"/>
      <c r="C751" s="170"/>
      <c r="D751" s="331">
        <v>744</v>
      </c>
      <c r="E751" s="544">
        <f>+DATE(YEAR(E750),MONTH(E750)-1,DAY(E750))</f>
        <v>25569.041666666668</v>
      </c>
      <c r="F751" s="333">
        <f>IF(DATE(YEAR($B$6),MONTH($B$6)+1,DAY(1))=E751,1,IF(MONTH(E751)=1,F752*(1+$F$5),F752))</f>
      </c>
      <c r="G751" s="333">
        <f>IF('Simulador - 1º Pilar'!$E$99="Sí",IF('Aportaciones Flex'!$B$13&lt;'Aportaciones Flex'!E751,0,F751*$B$8/12),F751*$B$8/12)</f>
      </c>
      <c r="H751" s="333">
        <f>IF(G751&gt;0,1,0)*$H$5*IF(AND($I$5="NO",YEAR(E751)=YEAR($B$6)+1),1,IF($I$5="SI",1,0))</f>
      </c>
      <c r="I751" s="217">
        <f>(1+$M$5)^(D751/12)*(H751*(12-IF(MONTH(E752)=12,0,MONTH(E752)))+IF(AND(F751=1,F752=0),$Q$4,0))*IF(AND(F751=1,F752=0),1,0)</f>
      </c>
      <c r="J751" s="333">
        <f>(1+$M$5)^(D751/12)*(H751+IF(AND(F751=1,F752=0),$Q$4,0))</f>
      </c>
      <c r="K751" s="351"/>
      <c r="L751" s="333">
        <f>K751+J751</f>
      </c>
      <c r="M751" s="170"/>
      <c r="N751" s="7"/>
      <c r="O751" s="1"/>
      <c r="P751" s="331">
        <f>D751</f>
      </c>
      <c r="Q751" s="169"/>
      <c r="R751" s="1"/>
      <c r="S751" s="217">
        <f>(1+$M$5)^(D751/12)*(IF(E751=$C$6,$Q$4+$H$5*12,0))</f>
      </c>
      <c r="T751" s="217">
        <f>(1+$M$5)^(D751/12)*(IF(YEAR(E751)&gt;YEAR($C$6),L751,0)+IF(E751=$C$6,$H$5*12+$Q$4,0))</f>
      </c>
    </row>
    <row x14ac:dyDescent="0.25" r="752" customHeight="1" ht="18.75">
      <c r="A752" s="1"/>
      <c r="B752" s="7"/>
      <c r="C752" s="170"/>
      <c r="D752" s="331">
        <v>745</v>
      </c>
      <c r="E752" s="544">
        <f>+DATE(YEAR(E751),MONTH(E751)-1,DAY(E751))</f>
        <v>25569.041666666668</v>
      </c>
      <c r="F752" s="333">
        <f>IF(DATE(YEAR($B$6),MONTH($B$6)+1,DAY(1))=E752,1,IF(MONTH(E752)=1,F753*(1+$F$5),F753))</f>
      </c>
      <c r="G752" s="333">
        <f>IF('Simulador - 1º Pilar'!$E$99="Sí",IF('Aportaciones Flex'!$B$13&lt;'Aportaciones Flex'!E752,0,F752*$B$8/12),F752*$B$8/12)</f>
      </c>
      <c r="H752" s="333">
        <f>IF(G752&gt;0,1,0)*$H$5*IF(AND($I$5="NO",YEAR(E752)=YEAR($B$6)+1),1,IF($I$5="SI",1,0))</f>
      </c>
      <c r="I752" s="217">
        <f>(1+$M$5)^(D752/12)*(H752*(12-IF(MONTH(E753)=12,0,MONTH(E753)))+IF(AND(F752=1,F753=0),$Q$4,0))*IF(AND(F752=1,F753=0),1,0)</f>
      </c>
      <c r="J752" s="333">
        <f>(1+$M$5)^(D752/12)*(H752+IF(AND(F752=1,F753=0),$Q$4,0))</f>
      </c>
      <c r="K752" s="351"/>
      <c r="L752" s="333">
        <f>K752+J752</f>
      </c>
      <c r="M752" s="170"/>
      <c r="N752" s="7"/>
      <c r="O752" s="1"/>
      <c r="P752" s="331">
        <f>D752</f>
      </c>
      <c r="Q752" s="169"/>
      <c r="R752" s="1"/>
      <c r="S752" s="217">
        <f>(1+$M$5)^(D752/12)*(IF(E752=$C$6,$Q$4+$H$5*12,0))</f>
      </c>
      <c r="T752" s="217">
        <f>(1+$M$5)^(D752/12)*(IF(YEAR(E752)&gt;YEAR($C$6),L752,0)+IF(E752=$C$6,$H$5*12+$Q$4,0))</f>
      </c>
    </row>
    <row x14ac:dyDescent="0.25" r="753" customHeight="1" ht="18.75">
      <c r="A753" s="1"/>
      <c r="B753" s="7"/>
      <c r="C753" s="170"/>
      <c r="D753" s="331">
        <v>746</v>
      </c>
      <c r="E753" s="544">
        <f>+DATE(YEAR(E752),MONTH(E752)-1,DAY(E752))</f>
        <v>25569.041666666668</v>
      </c>
      <c r="F753" s="333">
        <f>IF(DATE(YEAR($B$6),MONTH($B$6)+1,DAY(1))=E753,1,IF(MONTH(E753)=1,F754*(1+$F$5),F754))</f>
      </c>
      <c r="G753" s="333">
        <f>IF('Simulador - 1º Pilar'!$E$99="Sí",IF('Aportaciones Flex'!$B$13&lt;'Aportaciones Flex'!E753,0,F753*$B$8/12),F753*$B$8/12)</f>
      </c>
      <c r="H753" s="333">
        <f>IF(G753&gt;0,1,0)*$H$5*IF(AND($I$5="NO",YEAR(E753)=YEAR($B$6)+1),1,IF($I$5="SI",1,0))</f>
      </c>
      <c r="I753" s="217">
        <f>(1+$M$5)^(D753/12)*(H753*(12-IF(MONTH(E754)=12,0,MONTH(E754)))+IF(AND(F753=1,F754=0),$Q$4,0))*IF(AND(F753=1,F754=0),1,0)</f>
      </c>
      <c r="J753" s="333">
        <f>(1+$M$5)^(D753/12)*(H753+IF(AND(F753=1,F754=0),$Q$4,0))</f>
      </c>
      <c r="K753" s="351"/>
      <c r="L753" s="333">
        <f>K753+J753</f>
      </c>
      <c r="M753" s="170"/>
      <c r="N753" s="7"/>
      <c r="O753" s="1"/>
      <c r="P753" s="331">
        <f>D753</f>
      </c>
      <c r="Q753" s="169"/>
      <c r="R753" s="1"/>
      <c r="S753" s="217">
        <f>(1+$M$5)^(D753/12)*(IF(E753=$C$6,$Q$4+$H$5*12,0))</f>
      </c>
      <c r="T753" s="217">
        <f>(1+$M$5)^(D753/12)*(IF(YEAR(E753)&gt;YEAR($C$6),L753,0)+IF(E753=$C$6,$H$5*12+$Q$4,0))</f>
      </c>
    </row>
    <row x14ac:dyDescent="0.25" r="754" customHeight="1" ht="18.75">
      <c r="A754" s="1"/>
      <c r="B754" s="7"/>
      <c r="C754" s="170"/>
      <c r="D754" s="331">
        <v>747</v>
      </c>
      <c r="E754" s="544">
        <f>+DATE(YEAR(E753),MONTH(E753)-1,DAY(E753))</f>
        <v>25569.041666666668</v>
      </c>
      <c r="F754" s="333">
        <f>IF(DATE(YEAR($B$6),MONTH($B$6)+1,DAY(1))=E754,1,IF(MONTH(E754)=1,F755*(1+$F$5),F755))</f>
      </c>
      <c r="G754" s="333">
        <f>IF('Simulador - 1º Pilar'!$E$99="Sí",IF('Aportaciones Flex'!$B$13&lt;'Aportaciones Flex'!E754,0,F754*$B$8/12),F754*$B$8/12)</f>
      </c>
      <c r="H754" s="333">
        <f>IF(G754&gt;0,1,0)*$H$5*IF(AND($I$5="NO",YEAR(E754)=YEAR($B$6)+1),1,IF($I$5="SI",1,0))</f>
      </c>
      <c r="I754" s="217">
        <f>(1+$M$5)^(D754/12)*(H754*(12-IF(MONTH(E755)=12,0,MONTH(E755)))+IF(AND(F754=1,F755=0),$Q$4,0))*IF(AND(F754=1,F755=0),1,0)</f>
      </c>
      <c r="J754" s="333">
        <f>(1+$M$5)^(D754/12)*(H754+IF(AND(F754=1,F755=0),$Q$4,0))</f>
      </c>
      <c r="K754" s="351"/>
      <c r="L754" s="333">
        <f>K754+J754</f>
      </c>
      <c r="M754" s="170"/>
      <c r="N754" s="7"/>
      <c r="O754" s="1"/>
      <c r="P754" s="331">
        <f>D754</f>
      </c>
      <c r="Q754" s="169"/>
      <c r="R754" s="1"/>
      <c r="S754" s="217">
        <f>(1+$M$5)^(D754/12)*(IF(E754=$C$6,$Q$4+$H$5*12,0))</f>
      </c>
      <c r="T754" s="217">
        <f>(1+$M$5)^(D754/12)*(IF(YEAR(E754)&gt;YEAR($C$6),L754,0)+IF(E754=$C$6,$H$5*12+$Q$4,0))</f>
      </c>
    </row>
    <row x14ac:dyDescent="0.25" r="755" customHeight="1" ht="18.75">
      <c r="A755" s="1"/>
      <c r="B755" s="7"/>
      <c r="C755" s="170"/>
      <c r="D755" s="331">
        <v>748</v>
      </c>
      <c r="E755" s="544">
        <f>+DATE(YEAR(E754),MONTH(E754)-1,DAY(E754))</f>
        <v>25569.041666666668</v>
      </c>
      <c r="F755" s="333">
        <f>IF(DATE(YEAR($B$6),MONTH($B$6)+1,DAY(1))=E755,1,IF(MONTH(E755)=1,F756*(1+$F$5),F756))</f>
      </c>
      <c r="G755" s="333">
        <f>IF('Simulador - 1º Pilar'!$E$99="Sí",IF('Aportaciones Flex'!$B$13&lt;'Aportaciones Flex'!E755,0,F755*$B$8/12),F755*$B$8/12)</f>
      </c>
      <c r="H755" s="333">
        <f>IF(G755&gt;0,1,0)*$H$5*IF(AND($I$5="NO",YEAR(E755)=YEAR($B$6)+1),1,IF($I$5="SI",1,0))</f>
      </c>
      <c r="I755" s="217">
        <f>(1+$M$5)^(D755/12)*(H755*(12-IF(MONTH(E756)=12,0,MONTH(E756)))+IF(AND(F755=1,F756=0),$Q$4,0))*IF(AND(F755=1,F756=0),1,0)</f>
      </c>
      <c r="J755" s="333">
        <f>(1+$M$5)^(D755/12)*(H755+IF(AND(F755=1,F756=0),$Q$4,0))</f>
      </c>
      <c r="K755" s="351"/>
      <c r="L755" s="333">
        <f>K755+J755</f>
      </c>
      <c r="M755" s="170"/>
      <c r="N755" s="7"/>
      <c r="O755" s="1"/>
      <c r="P755" s="331">
        <f>D755</f>
      </c>
      <c r="Q755" s="169"/>
      <c r="R755" s="1"/>
      <c r="S755" s="217">
        <f>(1+$M$5)^(D755/12)*(IF(E755=$C$6,$Q$4+$H$5*12,0))</f>
      </c>
      <c r="T755" s="217">
        <f>(1+$M$5)^(D755/12)*(IF(YEAR(E755)&gt;YEAR($C$6),L755,0)+IF(E755=$C$6,$H$5*12+$Q$4,0))</f>
      </c>
    </row>
    <row x14ac:dyDescent="0.25" r="756" customHeight="1" ht="18.75">
      <c r="A756" s="1"/>
      <c r="B756" s="7"/>
      <c r="C756" s="170"/>
      <c r="D756" s="331">
        <v>749</v>
      </c>
      <c r="E756" s="544">
        <f>+DATE(YEAR(E755),MONTH(E755)-1,DAY(E755))</f>
        <v>25569.041666666668</v>
      </c>
      <c r="F756" s="333">
        <f>IF(DATE(YEAR($B$6),MONTH($B$6)+1,DAY(1))=E756,1,IF(MONTH(E756)=1,F757*(1+$F$5),F757))</f>
      </c>
      <c r="G756" s="333">
        <f>IF('Simulador - 1º Pilar'!$E$99="Sí",IF('Aportaciones Flex'!$B$13&lt;'Aportaciones Flex'!E756,0,F756*$B$8/12),F756*$B$8/12)</f>
      </c>
      <c r="H756" s="333">
        <f>IF(G756&gt;0,1,0)*$H$5*IF(AND($I$5="NO",YEAR(E756)=YEAR($B$6)+1),1,IF($I$5="SI",1,0))</f>
      </c>
      <c r="I756" s="217">
        <f>(1+$M$5)^(D756/12)*(H756*(12-IF(MONTH(E757)=12,0,MONTH(E757)))+IF(AND(F756=1,F757=0),$Q$4,0))*IF(AND(F756=1,F757=0),1,0)</f>
      </c>
      <c r="J756" s="333">
        <f>(1+$M$5)^(D756/12)*(H756+IF(AND(F756=1,F757=0),$Q$4,0))</f>
      </c>
      <c r="K756" s="351"/>
      <c r="L756" s="333">
        <f>K756+J756</f>
      </c>
      <c r="M756" s="170"/>
      <c r="N756" s="7"/>
      <c r="O756" s="1"/>
      <c r="P756" s="331">
        <f>D756</f>
      </c>
      <c r="Q756" s="169"/>
      <c r="R756" s="1"/>
      <c r="S756" s="217">
        <f>(1+$M$5)^(D756/12)*(IF(E756=$C$6,$Q$4+$H$5*12,0))</f>
      </c>
      <c r="T756" s="217">
        <f>(1+$M$5)^(D756/12)*(IF(YEAR(E756)&gt;YEAR($C$6),L756,0)+IF(E756=$C$6,$H$5*12+$Q$4,0))</f>
      </c>
    </row>
    <row x14ac:dyDescent="0.25" r="757" customHeight="1" ht="18.75">
      <c r="A757" s="1"/>
      <c r="B757" s="7"/>
      <c r="C757" s="170"/>
      <c r="D757" s="331">
        <v>750</v>
      </c>
      <c r="E757" s="544">
        <f>+DATE(YEAR(E756),MONTH(E756)-1,DAY(E756))</f>
        <v>25569.041666666668</v>
      </c>
      <c r="F757" s="333">
        <f>IF(DATE(YEAR($B$6),MONTH($B$6)+1,DAY(1))=E757,1,IF(MONTH(E757)=1,F758*(1+$F$5),F758))</f>
      </c>
      <c r="G757" s="333">
        <f>IF('Simulador - 1º Pilar'!$E$99="Sí",IF('Aportaciones Flex'!$B$13&lt;'Aportaciones Flex'!E757,0,F757*$B$8/12),F757*$B$8/12)</f>
      </c>
      <c r="H757" s="333">
        <f>IF(G757&gt;0,1,0)*$H$5*IF(AND($I$5="NO",YEAR(E757)=YEAR($B$6)+1),1,IF($I$5="SI",1,0))</f>
      </c>
      <c r="I757" s="217">
        <f>(1+$M$5)^(D757/12)*(H757*(12-IF(MONTH(E758)=12,0,MONTH(E758)))+IF(AND(F757=1,F758=0),$Q$4,0))*IF(AND(F757=1,F758=0),1,0)</f>
      </c>
      <c r="J757" s="333">
        <f>(1+$M$5)^(D757/12)*(H757+IF(AND(F757=1,F758=0),$Q$4,0))</f>
      </c>
      <c r="K757" s="351"/>
      <c r="L757" s="333">
        <f>K757+J757</f>
      </c>
      <c r="M757" s="170"/>
      <c r="N757" s="7"/>
      <c r="O757" s="1"/>
      <c r="P757" s="331">
        <f>D757</f>
      </c>
      <c r="Q757" s="169"/>
      <c r="R757" s="1"/>
      <c r="S757" s="217">
        <f>(1+$M$5)^(D757/12)*(IF(E757=$C$6,$Q$4+$H$5*12,0))</f>
      </c>
      <c r="T757" s="217">
        <f>(1+$M$5)^(D757/12)*(IF(YEAR(E757)&gt;YEAR($C$6),L757,0)+IF(E757=$C$6,$H$5*12+$Q$4,0))</f>
      </c>
    </row>
    <row x14ac:dyDescent="0.25" r="758" customHeight="1" ht="18.75">
      <c r="A758" s="1"/>
      <c r="B758" s="7"/>
      <c r="C758" s="170"/>
      <c r="D758" s="331">
        <v>751</v>
      </c>
      <c r="E758" s="544">
        <f>+DATE(YEAR(E757),MONTH(E757)-1,DAY(E757))</f>
        <v>25569.041666666668</v>
      </c>
      <c r="F758" s="333">
        <f>IF(DATE(YEAR($B$6),MONTH($B$6)+1,DAY(1))=E758,1,IF(MONTH(E758)=1,F759*(1+$F$5),F759))</f>
      </c>
      <c r="G758" s="333">
        <f>IF('Simulador - 1º Pilar'!$E$99="Sí",IF('Aportaciones Flex'!$B$13&lt;'Aportaciones Flex'!E758,0,F758*$B$8/12),F758*$B$8/12)</f>
      </c>
      <c r="H758" s="333">
        <f>IF(G758&gt;0,1,0)*$H$5*IF(AND($I$5="NO",YEAR(E758)=YEAR($B$6)+1),1,IF($I$5="SI",1,0))</f>
      </c>
      <c r="I758" s="217">
        <f>(1+$M$5)^(D758/12)*(H758*(12-IF(MONTH(E759)=12,0,MONTH(E759)))+IF(AND(F758=1,F759=0),$Q$4,0))*IF(AND(F758=1,F759=0),1,0)</f>
      </c>
      <c r="J758" s="333">
        <f>(1+$M$5)^(D758/12)*(H758+IF(AND(F758=1,F759=0),$Q$4,0))</f>
      </c>
      <c r="K758" s="351"/>
      <c r="L758" s="333">
        <f>K758+J758</f>
      </c>
      <c r="M758" s="170"/>
      <c r="N758" s="7"/>
      <c r="O758" s="1"/>
      <c r="P758" s="331">
        <f>D758</f>
      </c>
      <c r="Q758" s="169"/>
      <c r="R758" s="1"/>
      <c r="S758" s="217">
        <f>(1+$M$5)^(D758/12)*(IF(E758=$C$6,$Q$4+$H$5*12,0))</f>
      </c>
      <c r="T758" s="217">
        <f>(1+$M$5)^(D758/12)*(IF(YEAR(E758)&gt;YEAR($C$6),L758,0)+IF(E758=$C$6,$H$5*12+$Q$4,0))</f>
      </c>
    </row>
    <row x14ac:dyDescent="0.25" r="759" customHeight="1" ht="18.75">
      <c r="A759" s="1"/>
      <c r="B759" s="7"/>
      <c r="C759" s="170"/>
      <c r="D759" s="331">
        <v>752</v>
      </c>
      <c r="E759" s="544">
        <f>+DATE(YEAR(E758),MONTH(E758)-1,DAY(E758))</f>
        <v>25569.041666666668</v>
      </c>
      <c r="F759" s="333">
        <f>IF(DATE(YEAR($B$6),MONTH($B$6)+1,DAY(1))=E759,1,IF(MONTH(E759)=1,F760*(1+$F$5),F760))</f>
      </c>
      <c r="G759" s="333">
        <f>IF('Simulador - 1º Pilar'!$E$99="Sí",IF('Aportaciones Flex'!$B$13&lt;'Aportaciones Flex'!E759,0,F759*$B$8/12),F759*$B$8/12)</f>
      </c>
      <c r="H759" s="333">
        <f>IF(G759&gt;0,1,0)*$H$5*IF(AND($I$5="NO",YEAR(E759)=YEAR($B$6)+1),1,IF($I$5="SI",1,0))</f>
      </c>
      <c r="I759" s="217">
        <f>(1+$M$5)^(D759/12)*(H759*(12-IF(MONTH(E760)=12,0,MONTH(E760)))+IF(AND(F759=1,F760=0),$Q$4,0))*IF(AND(F759=1,F760=0),1,0)</f>
      </c>
      <c r="J759" s="333">
        <f>(1+$M$5)^(D759/12)*(H759+IF(AND(F759=1,F760=0),$Q$4,0))</f>
      </c>
      <c r="K759" s="351"/>
      <c r="L759" s="333">
        <f>K759+J759</f>
      </c>
      <c r="M759" s="170"/>
      <c r="N759" s="7"/>
      <c r="O759" s="1"/>
      <c r="P759" s="331">
        <f>D759</f>
      </c>
      <c r="Q759" s="169"/>
      <c r="R759" s="1"/>
      <c r="S759" s="217">
        <f>(1+$M$5)^(D759/12)*(IF(E759=$C$6,$Q$4+$H$5*12,0))</f>
      </c>
      <c r="T759" s="217">
        <f>(1+$M$5)^(D759/12)*(IF(YEAR(E759)&gt;YEAR($C$6),L759,0)+IF(E759=$C$6,$H$5*12+$Q$4,0))</f>
      </c>
    </row>
    <row x14ac:dyDescent="0.25" r="760" customHeight="1" ht="18.75">
      <c r="A760" s="1"/>
      <c r="B760" s="7"/>
      <c r="C760" s="170"/>
      <c r="D760" s="331">
        <v>753</v>
      </c>
      <c r="E760" s="544">
        <f>+DATE(YEAR(E759),MONTH(E759)-1,DAY(E759))</f>
        <v>25569.041666666668</v>
      </c>
      <c r="F760" s="333">
        <f>IF(DATE(YEAR($B$6),MONTH($B$6)+1,DAY(1))=E760,1,IF(MONTH(E760)=1,F761*(1+$F$5),F761))</f>
      </c>
      <c r="G760" s="333">
        <f>IF('Simulador - 1º Pilar'!$E$99="Sí",IF('Aportaciones Flex'!$B$13&lt;'Aportaciones Flex'!E760,0,F760*$B$8/12),F760*$B$8/12)</f>
      </c>
      <c r="H760" s="333">
        <f>IF(G760&gt;0,1,0)*$H$5*IF(AND($I$5="NO",YEAR(E760)=YEAR($B$6)+1),1,IF($I$5="SI",1,0))</f>
      </c>
      <c r="I760" s="217">
        <f>(1+$M$5)^(D760/12)*(H760*(12-IF(MONTH(E761)=12,0,MONTH(E761)))+IF(AND(F760=1,F761=0),$Q$4,0))*IF(AND(F760=1,F761=0),1,0)</f>
      </c>
      <c r="J760" s="333">
        <f>(1+$M$5)^(D760/12)*(H760+IF(AND(F760=1,F761=0),$Q$4,0))</f>
      </c>
      <c r="K760" s="351"/>
      <c r="L760" s="333">
        <f>K760+J760</f>
      </c>
      <c r="M760" s="170"/>
      <c r="N760" s="7"/>
      <c r="O760" s="1"/>
      <c r="P760" s="331">
        <f>D760</f>
      </c>
      <c r="Q760" s="169"/>
      <c r="R760" s="1"/>
      <c r="S760" s="217">
        <f>(1+$M$5)^(D760/12)*(IF(E760=$C$6,$Q$4+$H$5*12,0))</f>
      </c>
      <c r="T760" s="217">
        <f>(1+$M$5)^(D760/12)*(IF(YEAR(E760)&gt;YEAR($C$6),L760,0)+IF(E760=$C$6,$H$5*12+$Q$4,0))</f>
      </c>
    </row>
    <row x14ac:dyDescent="0.25" r="761" customHeight="1" ht="18.75">
      <c r="A761" s="1"/>
      <c r="B761" s="7"/>
      <c r="C761" s="170"/>
      <c r="D761" s="331">
        <v>754</v>
      </c>
      <c r="E761" s="544">
        <f>+DATE(YEAR(E760),MONTH(E760)-1,DAY(E760))</f>
        <v>25569.041666666668</v>
      </c>
      <c r="F761" s="333">
        <f>IF(DATE(YEAR($B$6),MONTH($B$6)+1,DAY(1))=E761,1,IF(MONTH(E761)=1,F762*(1+$F$5),F762))</f>
      </c>
      <c r="G761" s="333">
        <f>IF('Simulador - 1º Pilar'!$E$99="Sí",IF('Aportaciones Flex'!$B$13&lt;'Aportaciones Flex'!E761,0,F761*$B$8/12),F761*$B$8/12)</f>
      </c>
      <c r="H761" s="333">
        <f>IF(G761&gt;0,1,0)*$H$5*IF(AND($I$5="NO",YEAR(E761)=YEAR($B$6)+1),1,IF($I$5="SI",1,0))</f>
      </c>
      <c r="I761" s="217">
        <f>(1+$M$5)^(D761/12)*(H761*(12-IF(MONTH(E762)=12,0,MONTH(E762)))+IF(AND(F761=1,F762=0),$Q$4,0))*IF(AND(F761=1,F762=0),1,0)</f>
      </c>
      <c r="J761" s="333">
        <f>(1+$M$5)^(D761/12)*(H761+IF(AND(F761=1,F762=0),$Q$4,0))</f>
      </c>
      <c r="K761" s="351"/>
      <c r="L761" s="333">
        <f>K761+J761</f>
      </c>
      <c r="M761" s="170"/>
      <c r="N761" s="7"/>
      <c r="O761" s="1"/>
      <c r="P761" s="331">
        <f>D761</f>
      </c>
      <c r="Q761" s="169"/>
      <c r="R761" s="1"/>
      <c r="S761" s="217">
        <f>(1+$M$5)^(D761/12)*(IF(E761=$C$6,$Q$4+$H$5*12,0))</f>
      </c>
      <c r="T761" s="217">
        <f>(1+$M$5)^(D761/12)*(IF(YEAR(E761)&gt;YEAR($C$6),L761,0)+IF(E761=$C$6,$H$5*12+$Q$4,0))</f>
      </c>
    </row>
    <row x14ac:dyDescent="0.25" r="762" customHeight="1" ht="18.75">
      <c r="A762" s="1"/>
      <c r="B762" s="7"/>
      <c r="C762" s="170"/>
      <c r="D762" s="331">
        <v>755</v>
      </c>
      <c r="E762" s="544">
        <f>+DATE(YEAR(E761),MONTH(E761)-1,DAY(E761))</f>
        <v>25569.041666666668</v>
      </c>
      <c r="F762" s="333">
        <f>IF(DATE(YEAR($B$6),MONTH($B$6)+1,DAY(1))=E762,1,IF(MONTH(E762)=1,F763*(1+$F$5),F763))</f>
      </c>
      <c r="G762" s="333">
        <f>IF('Simulador - 1º Pilar'!$E$99="Sí",IF('Aportaciones Flex'!$B$13&lt;'Aportaciones Flex'!E762,0,F762*$B$8/12),F762*$B$8/12)</f>
      </c>
      <c r="H762" s="333">
        <f>IF(G762&gt;0,1,0)*$H$5*IF(AND($I$5="NO",YEAR(E762)=YEAR($B$6)+1),1,IF($I$5="SI",1,0))</f>
      </c>
      <c r="I762" s="217">
        <f>(1+$M$5)^(D762/12)*(H762*(12-IF(MONTH(E763)=12,0,MONTH(E763)))+IF(AND(F762=1,F763=0),$Q$4,0))*IF(AND(F762=1,F763=0),1,0)</f>
      </c>
      <c r="J762" s="333">
        <f>(1+$M$5)^(D762/12)*(H762+IF(AND(F762=1,F763=0),$Q$4,0))</f>
      </c>
      <c r="K762" s="351"/>
      <c r="L762" s="333">
        <f>K762+J762</f>
      </c>
      <c r="M762" s="170"/>
      <c r="N762" s="7"/>
      <c r="O762" s="1"/>
      <c r="P762" s="331">
        <f>D762</f>
      </c>
      <c r="Q762" s="169"/>
      <c r="R762" s="1"/>
      <c r="S762" s="217">
        <f>(1+$M$5)^(D762/12)*(IF(E762=$C$6,$Q$4+$H$5*12,0))</f>
      </c>
      <c r="T762" s="217">
        <f>(1+$M$5)^(D762/12)*(IF(YEAR(E762)&gt;YEAR($C$6),L762,0)+IF(E762=$C$6,$H$5*12+$Q$4,0))</f>
      </c>
    </row>
    <row x14ac:dyDescent="0.25" r="763" customHeight="1" ht="18.75">
      <c r="A763" s="1"/>
      <c r="B763" s="7"/>
      <c r="C763" s="170"/>
      <c r="D763" s="331">
        <v>756</v>
      </c>
      <c r="E763" s="544">
        <f>+DATE(YEAR(E762),MONTH(E762)-1,DAY(E762))</f>
        <v>25569.041666666668</v>
      </c>
      <c r="F763" s="333">
        <f>IF(DATE(YEAR($B$6),MONTH($B$6)+1,DAY(1))=E763,1,IF(MONTH(E763)=1,F764*(1+$F$5),F764))</f>
      </c>
      <c r="G763" s="333">
        <f>IF('Simulador - 1º Pilar'!$E$99="Sí",IF('Aportaciones Flex'!$B$13&lt;'Aportaciones Flex'!E763,0,F763*$B$8/12),F763*$B$8/12)</f>
      </c>
      <c r="H763" s="333">
        <f>IF(G763&gt;0,1,0)*$H$5*IF(AND($I$5="NO",YEAR(E763)=YEAR($B$6)+1),1,IF($I$5="SI",1,0))</f>
      </c>
      <c r="I763" s="217">
        <f>(1+$M$5)^(D763/12)*(H763*(12-IF(MONTH(E764)=12,0,MONTH(E764)))+IF(AND(F763=1,F764=0),$Q$4,0))*IF(AND(F763=1,F764=0),1,0)</f>
      </c>
      <c r="J763" s="333">
        <f>(1+$M$5)^(D763/12)*(H763+IF(AND(F763=1,F764=0),$Q$4,0))</f>
      </c>
      <c r="K763" s="351"/>
      <c r="L763" s="333">
        <f>K763+J763</f>
      </c>
      <c r="M763" s="170"/>
      <c r="N763" s="7"/>
      <c r="O763" s="1"/>
      <c r="P763" s="331">
        <f>D763</f>
      </c>
      <c r="Q763" s="169"/>
      <c r="R763" s="1"/>
      <c r="S763" s="217">
        <f>(1+$M$5)^(D763/12)*(IF(E763=$C$6,$Q$4+$H$5*12,0))</f>
      </c>
      <c r="T763" s="217">
        <f>(1+$M$5)^(D763/12)*(IF(YEAR(E763)&gt;YEAR($C$6),L763,0)+IF(E763=$C$6,$H$5*12+$Q$4,0))</f>
      </c>
    </row>
    <row x14ac:dyDescent="0.25" r="764" customHeight="1" ht="18.75">
      <c r="A764" s="1"/>
      <c r="B764" s="7"/>
      <c r="C764" s="170"/>
      <c r="D764" s="331">
        <v>757</v>
      </c>
      <c r="E764" s="544">
        <f>+DATE(YEAR(E763),MONTH(E763)-1,DAY(E763))</f>
        <v>25569.041666666668</v>
      </c>
      <c r="F764" s="333">
        <f>IF(DATE(YEAR($B$6),MONTH($B$6)+1,DAY(1))=E764,1,IF(MONTH(E764)=1,F765*(1+$F$5),F765))</f>
      </c>
      <c r="G764" s="333">
        <f>IF('Simulador - 1º Pilar'!$E$99="Sí",IF('Aportaciones Flex'!$B$13&lt;'Aportaciones Flex'!E764,0,F764*$B$8/12),F764*$B$8/12)</f>
      </c>
      <c r="H764" s="333">
        <f>IF(G764&gt;0,1,0)*$H$5*IF(AND($I$5="NO",YEAR(E764)=YEAR($B$6)+1),1,IF($I$5="SI",1,0))</f>
      </c>
      <c r="I764" s="217">
        <f>(1+$M$5)^(D764/12)*(H764*(12-IF(MONTH(E765)=12,0,MONTH(E765)))+IF(AND(F764=1,F765=0),$Q$4,0))*IF(AND(F764=1,F765=0),1,0)</f>
      </c>
      <c r="J764" s="333">
        <f>(1+$M$5)^(D764/12)*(H764+IF(AND(F764=1,F765=0),$Q$4,0))</f>
      </c>
      <c r="K764" s="351"/>
      <c r="L764" s="333">
        <f>K764+J764</f>
      </c>
      <c r="M764" s="170"/>
      <c r="N764" s="7"/>
      <c r="O764" s="1"/>
      <c r="P764" s="331">
        <f>D764</f>
      </c>
      <c r="Q764" s="169"/>
      <c r="R764" s="1"/>
      <c r="S764" s="217">
        <f>(1+$M$5)^(D764/12)*(IF(E764=$C$6,$Q$4+$H$5*12,0))</f>
      </c>
      <c r="T764" s="217">
        <f>(1+$M$5)^(D764/12)*(IF(YEAR(E764)&gt;YEAR($C$6),L764,0)+IF(E764=$C$6,$H$5*12+$Q$4,0))</f>
      </c>
    </row>
    <row x14ac:dyDescent="0.25" r="765" customHeight="1" ht="18.75">
      <c r="A765" s="1"/>
      <c r="B765" s="7"/>
      <c r="C765" s="170"/>
      <c r="D765" s="331">
        <v>758</v>
      </c>
      <c r="E765" s="544">
        <f>+DATE(YEAR(E764),MONTH(E764)-1,DAY(E764))</f>
        <v>25569.041666666668</v>
      </c>
      <c r="F765" s="333">
        <f>IF(DATE(YEAR($B$6),MONTH($B$6)+1,DAY(1))=E765,1,IF(MONTH(E765)=1,F766*(1+$F$5),F766))</f>
      </c>
      <c r="G765" s="333">
        <f>IF('Simulador - 1º Pilar'!$E$99="Sí",IF('Aportaciones Flex'!$B$13&lt;'Aportaciones Flex'!E765,0,F765*$B$8/12),F765*$B$8/12)</f>
      </c>
      <c r="H765" s="333">
        <f>IF(G765&gt;0,1,0)*$H$5*IF(AND($I$5="NO",YEAR(E765)=YEAR($B$6)+1),1,IF($I$5="SI",1,0))</f>
      </c>
      <c r="I765" s="217">
        <f>(1+$M$5)^(D765/12)*(H765*(12-IF(MONTH(E766)=12,0,MONTH(E766)))+IF(AND(F765=1,F766=0),$Q$4,0))*IF(AND(F765=1,F766=0),1,0)</f>
      </c>
      <c r="J765" s="333">
        <f>(1+$M$5)^(D765/12)*(H765+IF(AND(F765=1,F766=0),$Q$4,0))</f>
      </c>
      <c r="K765" s="351"/>
      <c r="L765" s="333">
        <f>K765+J765</f>
      </c>
      <c r="M765" s="170"/>
      <c r="N765" s="7"/>
      <c r="O765" s="1"/>
      <c r="P765" s="331">
        <f>D765</f>
      </c>
      <c r="Q765" s="169"/>
      <c r="R765" s="1"/>
      <c r="S765" s="217">
        <f>(1+$M$5)^(D765/12)*(IF(E765=$C$6,$Q$4+$H$5*12,0))</f>
      </c>
      <c r="T765" s="217">
        <f>(1+$M$5)^(D765/12)*(IF(YEAR(E765)&gt;YEAR($C$6),L765,0)+IF(E765=$C$6,$H$5*12+$Q$4,0))</f>
      </c>
    </row>
    <row x14ac:dyDescent="0.25" r="766" customHeight="1" ht="18.75">
      <c r="A766" s="1"/>
      <c r="B766" s="7"/>
      <c r="C766" s="170"/>
      <c r="D766" s="331">
        <v>759</v>
      </c>
      <c r="E766" s="544">
        <f>+DATE(YEAR(E765),MONTH(E765)-1,DAY(E765))</f>
        <v>25569.041666666668</v>
      </c>
      <c r="F766" s="333">
        <f>IF(DATE(YEAR($B$6),MONTH($B$6)+1,DAY(1))=E766,1,IF(MONTH(E766)=1,F767*(1+$F$5),F767))</f>
      </c>
      <c r="G766" s="333">
        <f>IF('Simulador - 1º Pilar'!$E$99="Sí",IF('Aportaciones Flex'!$B$13&lt;'Aportaciones Flex'!E766,0,F766*$B$8/12),F766*$B$8/12)</f>
      </c>
      <c r="H766" s="333">
        <f>IF(G766&gt;0,1,0)*$H$5*IF(AND($I$5="NO",YEAR(E766)=YEAR($B$6)+1),1,IF($I$5="SI",1,0))</f>
      </c>
      <c r="I766" s="217">
        <f>(1+$M$5)^(D766/12)*(H766*(12-IF(MONTH(E767)=12,0,MONTH(E767)))+IF(AND(F766=1,F767=0),$Q$4,0))*IF(AND(F766=1,F767=0),1,0)</f>
      </c>
      <c r="J766" s="333">
        <f>(1+$M$5)^(D766/12)*(H766+IF(AND(F766=1,F767=0),$Q$4,0))</f>
      </c>
      <c r="K766" s="351"/>
      <c r="L766" s="333">
        <f>K766+J766</f>
      </c>
      <c r="M766" s="170"/>
      <c r="N766" s="7"/>
      <c r="O766" s="1"/>
      <c r="P766" s="331">
        <f>D766</f>
      </c>
      <c r="Q766" s="169"/>
      <c r="R766" s="1"/>
      <c r="S766" s="217">
        <f>(1+$M$5)^(D766/12)*(IF(E766=$C$6,$Q$4+$H$5*12,0))</f>
      </c>
      <c r="T766" s="217">
        <f>(1+$M$5)^(D766/12)*(IF(YEAR(E766)&gt;YEAR($C$6),L766,0)+IF(E766=$C$6,$H$5*12+$Q$4,0))</f>
      </c>
    </row>
    <row x14ac:dyDescent="0.25" r="767" customHeight="1" ht="18.75">
      <c r="A767" s="1"/>
      <c r="B767" s="7"/>
      <c r="C767" s="170"/>
      <c r="D767" s="331">
        <v>760</v>
      </c>
      <c r="E767" s="544">
        <f>+DATE(YEAR(E766),MONTH(E766)-1,DAY(E766))</f>
        <v>25569.041666666668</v>
      </c>
      <c r="F767" s="333">
        <f>IF(DATE(YEAR($B$6),MONTH($B$6)+1,DAY(1))=E767,1,IF(MONTH(E767)=1,F768*(1+$F$5),F768))</f>
      </c>
      <c r="G767" s="333">
        <f>IF('Simulador - 1º Pilar'!$E$99="Sí",IF('Aportaciones Flex'!$B$13&lt;'Aportaciones Flex'!E767,0,F767*$B$8/12),F767*$B$8/12)</f>
      </c>
      <c r="H767" s="333">
        <f>IF(G767&gt;0,1,0)*$H$5*IF(AND($I$5="NO",YEAR(E767)=YEAR($B$6)+1),1,IF($I$5="SI",1,0))</f>
      </c>
      <c r="I767" s="217">
        <f>(1+$M$5)^(D767/12)*(H767*(12-IF(MONTH(E768)=12,0,MONTH(E768)))+IF(AND(F767=1,F768=0),$Q$4,0))*IF(AND(F767=1,F768=0),1,0)</f>
      </c>
      <c r="J767" s="333">
        <f>(1+$M$5)^(D767/12)*(H767+IF(AND(F767=1,F768=0),$Q$4,0))</f>
      </c>
      <c r="K767" s="351"/>
      <c r="L767" s="333">
        <f>K767+J767</f>
      </c>
      <c r="M767" s="170"/>
      <c r="N767" s="7"/>
      <c r="O767" s="1"/>
      <c r="P767" s="331">
        <f>D767</f>
      </c>
      <c r="Q767" s="169"/>
      <c r="R767" s="1"/>
      <c r="S767" s="217">
        <f>(1+$M$5)^(D767/12)*(IF(E767=$C$6,$Q$4+$H$5*12,0))</f>
      </c>
      <c r="T767" s="217">
        <f>(1+$M$5)^(D767/12)*(IF(YEAR(E767)&gt;YEAR($C$6),L767,0)+IF(E767=$C$6,$H$5*12+$Q$4,0))</f>
      </c>
    </row>
    <row x14ac:dyDescent="0.25" r="768" customHeight="1" ht="18.75">
      <c r="A768" s="1"/>
      <c r="B768" s="7"/>
      <c r="C768" s="170"/>
      <c r="D768" s="331">
        <v>761</v>
      </c>
      <c r="E768" s="544">
        <f>+DATE(YEAR(E767),MONTH(E767)-1,DAY(E767))</f>
        <v>25569.041666666668</v>
      </c>
      <c r="F768" s="333">
        <f>IF(DATE(YEAR($B$6),MONTH($B$6)+1,DAY(1))=E768,1,IF(MONTH(E768)=1,F769*(1+$F$5),F769))</f>
      </c>
      <c r="G768" s="333">
        <f>IF('Simulador - 1º Pilar'!$E$99="Sí",IF('Aportaciones Flex'!$B$13&lt;'Aportaciones Flex'!E768,0,F768*$B$8/12),F768*$B$8/12)</f>
      </c>
      <c r="H768" s="333">
        <f>IF(G768&gt;0,1,0)*$H$5*IF(AND($I$5="NO",YEAR(E768)=YEAR($B$6)+1),1,IF($I$5="SI",1,0))</f>
      </c>
      <c r="I768" s="217">
        <f>(1+$M$5)^(D768/12)*(H768*(12-IF(MONTH(E769)=12,0,MONTH(E769)))+IF(AND(F768=1,F769=0),$Q$4,0))*IF(AND(F768=1,F769=0),1,0)</f>
      </c>
      <c r="J768" s="333">
        <f>(1+$M$5)^(D768/12)*(H768+IF(AND(F768=1,F769=0),$Q$4,0))</f>
      </c>
      <c r="K768" s="351"/>
      <c r="L768" s="333">
        <f>K768+J768</f>
      </c>
      <c r="M768" s="170"/>
      <c r="N768" s="7"/>
      <c r="O768" s="1"/>
      <c r="P768" s="331">
        <f>D768</f>
      </c>
      <c r="Q768" s="169"/>
      <c r="R768" s="1"/>
      <c r="S768" s="217">
        <f>(1+$M$5)^(D768/12)*(IF(E768=$C$6,$Q$4+$H$5*12,0))</f>
      </c>
      <c r="T768" s="217">
        <f>(1+$M$5)^(D768/12)*(IF(YEAR(E768)&gt;YEAR($C$6),L768,0)+IF(E768=$C$6,$H$5*12+$Q$4,0))</f>
      </c>
    </row>
    <row x14ac:dyDescent="0.25" r="769" customHeight="1" ht="18.75">
      <c r="A769" s="1"/>
      <c r="B769" s="7"/>
      <c r="C769" s="170"/>
      <c r="D769" s="331">
        <v>762</v>
      </c>
      <c r="E769" s="544">
        <f>+DATE(YEAR(E768),MONTH(E768)-1,DAY(E768))</f>
        <v>25569.041666666668</v>
      </c>
      <c r="F769" s="333">
        <f>IF(DATE(YEAR($B$6),MONTH($B$6)+1,DAY(1))=E769,1,IF(MONTH(E769)=1,F770*(1+$F$5),F770))</f>
      </c>
      <c r="G769" s="333">
        <f>IF('Simulador - 1º Pilar'!$E$99="Sí",IF('Aportaciones Flex'!$B$13&lt;'Aportaciones Flex'!E769,0,F769*$B$8/12),F769*$B$8/12)</f>
      </c>
      <c r="H769" s="333">
        <f>IF(G769&gt;0,1,0)*$H$5*IF(AND($I$5="NO",YEAR(E769)=YEAR($B$6)+1),1,IF($I$5="SI",1,0))</f>
      </c>
      <c r="I769" s="217">
        <f>(1+$M$5)^(D769/12)*(H769*(12-IF(MONTH(E770)=12,0,MONTH(E770)))+IF(AND(F769=1,F770=0),$Q$4,0))*IF(AND(F769=1,F770=0),1,0)</f>
      </c>
      <c r="J769" s="333">
        <f>(1+$M$5)^(D769/12)*(H769+IF(AND(F769=1,F770=0),$Q$4,0))</f>
      </c>
      <c r="K769" s="351"/>
      <c r="L769" s="333">
        <f>K769+J769</f>
      </c>
      <c r="M769" s="170"/>
      <c r="N769" s="7"/>
      <c r="O769" s="1"/>
      <c r="P769" s="331">
        <f>D769</f>
      </c>
      <c r="Q769" s="169"/>
      <c r="R769" s="1"/>
      <c r="S769" s="217">
        <f>(1+$M$5)^(D769/12)*(IF(E769=$C$6,$Q$4+$H$5*12,0))</f>
      </c>
      <c r="T769" s="217">
        <f>(1+$M$5)^(D769/12)*(IF(YEAR(E769)&gt;YEAR($C$6),L769,0)+IF(E769=$C$6,$H$5*12+$Q$4,0))</f>
      </c>
    </row>
    <row x14ac:dyDescent="0.25" r="770" customHeight="1" ht="18.75">
      <c r="A770" s="1"/>
      <c r="B770" s="7"/>
      <c r="C770" s="170"/>
      <c r="D770" s="331">
        <v>763</v>
      </c>
      <c r="E770" s="544">
        <f>+DATE(YEAR(E769),MONTH(E769)-1,DAY(E769))</f>
        <v>25569.041666666668</v>
      </c>
      <c r="F770" s="333">
        <f>IF(DATE(YEAR($B$6),MONTH($B$6)+1,DAY(1))=E770,1,IF(MONTH(E770)=1,F771*(1+$F$5),F771))</f>
      </c>
      <c r="G770" s="333">
        <f>IF('Simulador - 1º Pilar'!$E$99="Sí",IF('Aportaciones Flex'!$B$13&lt;'Aportaciones Flex'!E770,0,F770*$B$8/12),F770*$B$8/12)</f>
      </c>
      <c r="H770" s="333">
        <f>IF(G770&gt;0,1,0)*$H$5*IF(AND($I$5="NO",YEAR(E770)=YEAR($B$6)+1),1,IF($I$5="SI",1,0))</f>
      </c>
      <c r="I770" s="217">
        <f>(1+$M$5)^(D770/12)*(H770*(12-IF(MONTH(E771)=12,0,MONTH(E771)))+IF(AND(F770=1,F771=0),$Q$4,0))*IF(AND(F770=1,F771=0),1,0)</f>
      </c>
      <c r="J770" s="333">
        <f>(1+$M$5)^(D770/12)*(H770+IF(AND(F770=1,F771=0),$Q$4,0))</f>
      </c>
      <c r="K770" s="351"/>
      <c r="L770" s="333">
        <f>K770+J770</f>
      </c>
      <c r="M770" s="170"/>
      <c r="N770" s="7"/>
      <c r="O770" s="1"/>
      <c r="P770" s="331">
        <f>D770</f>
      </c>
      <c r="Q770" s="169"/>
      <c r="R770" s="1"/>
      <c r="S770" s="217">
        <f>(1+$M$5)^(D770/12)*(IF(E770=$C$6,$Q$4+$H$5*12,0))</f>
      </c>
      <c r="T770" s="217">
        <f>(1+$M$5)^(D770/12)*(IF(YEAR(E770)&gt;YEAR($C$6),L770,0)+IF(E770=$C$6,$H$5*12+$Q$4,0))</f>
      </c>
    </row>
    <row x14ac:dyDescent="0.25" r="771" customHeight="1" ht="18.75">
      <c r="A771" s="1"/>
      <c r="B771" s="7"/>
      <c r="C771" s="170"/>
      <c r="D771" s="331">
        <v>764</v>
      </c>
      <c r="E771" s="544">
        <f>+DATE(YEAR(E770),MONTH(E770)-1,DAY(E770))</f>
        <v>25569.041666666668</v>
      </c>
      <c r="F771" s="333">
        <f>IF(DATE(YEAR($B$6),MONTH($B$6)+1,DAY(1))=E771,1,IF(MONTH(E771)=1,F772*(1+$F$5),F772))</f>
      </c>
      <c r="G771" s="333">
        <f>IF('Simulador - 1º Pilar'!$E$99="Sí",IF('Aportaciones Flex'!$B$13&lt;'Aportaciones Flex'!E771,0,F771*$B$8/12),F771*$B$8/12)</f>
      </c>
      <c r="H771" s="333">
        <f>IF(G771&gt;0,1,0)*$H$5*IF(AND($I$5="NO",YEAR(E771)=YEAR($B$6)+1),1,IF($I$5="SI",1,0))</f>
      </c>
      <c r="I771" s="217">
        <f>(1+$M$5)^(D771/12)*(H771*(12-IF(MONTH(E772)=12,0,MONTH(E772)))+IF(AND(F771=1,F772=0),$Q$4,0))*IF(AND(F771=1,F772=0),1,0)</f>
      </c>
      <c r="J771" s="333">
        <f>(1+$M$5)^(D771/12)*(H771+IF(AND(F771=1,F772=0),$Q$4,0))</f>
      </c>
      <c r="K771" s="351"/>
      <c r="L771" s="333">
        <f>K771+J771</f>
      </c>
      <c r="M771" s="170"/>
      <c r="N771" s="7"/>
      <c r="O771" s="1"/>
      <c r="P771" s="331">
        <f>D771</f>
      </c>
      <c r="Q771" s="169"/>
      <c r="R771" s="1"/>
      <c r="S771" s="217">
        <f>(1+$M$5)^(D771/12)*(IF(E771=$C$6,$Q$4+$H$5*12,0))</f>
      </c>
      <c r="T771" s="217">
        <f>(1+$M$5)^(D771/12)*(IF(YEAR(E771)&gt;YEAR($C$6),L771,0)+IF(E771=$C$6,$H$5*12+$Q$4,0))</f>
      </c>
    </row>
    <row x14ac:dyDescent="0.25" r="772" customHeight="1" ht="18.75">
      <c r="A772" s="1"/>
      <c r="B772" s="7"/>
      <c r="C772" s="170"/>
      <c r="D772" s="331">
        <v>765</v>
      </c>
      <c r="E772" s="544">
        <f>+DATE(YEAR(E771),MONTH(E771)-1,DAY(E771))</f>
        <v>25569.041666666668</v>
      </c>
      <c r="F772" s="333">
        <f>IF(DATE(YEAR($B$6),MONTH($B$6)+1,DAY(1))=E772,1,IF(MONTH(E772)=1,F773*(1+$F$5),F773))</f>
      </c>
      <c r="G772" s="333">
        <f>IF('Simulador - 1º Pilar'!$E$99="Sí",IF('Aportaciones Flex'!$B$13&lt;'Aportaciones Flex'!E772,0,F772*$B$8/12),F772*$B$8/12)</f>
      </c>
      <c r="H772" s="333">
        <f>IF(G772&gt;0,1,0)*$H$5*IF(AND($I$5="NO",YEAR(E772)=YEAR($B$6)+1),1,IF($I$5="SI",1,0))</f>
      </c>
      <c r="I772" s="217">
        <f>(1+$M$5)^(D772/12)*(H772*(12-IF(MONTH(E773)=12,0,MONTH(E773)))+IF(AND(F772=1,F773=0),$Q$4,0))*IF(AND(F772=1,F773=0),1,0)</f>
      </c>
      <c r="J772" s="333">
        <f>(1+$M$5)^(D772/12)*(H772+IF(AND(F772=1,F773=0),$Q$4,0))</f>
      </c>
      <c r="K772" s="351"/>
      <c r="L772" s="333">
        <f>K772+J772</f>
      </c>
      <c r="M772" s="170"/>
      <c r="N772" s="7"/>
      <c r="O772" s="1"/>
      <c r="P772" s="331">
        <f>D772</f>
      </c>
      <c r="Q772" s="169"/>
      <c r="R772" s="1"/>
      <c r="S772" s="217">
        <f>(1+$M$5)^(D772/12)*(IF(E772=$C$6,$Q$4+$H$5*12,0))</f>
      </c>
      <c r="T772" s="217">
        <f>(1+$M$5)^(D772/12)*(IF(YEAR(E772)&gt;YEAR($C$6),L772,0)+IF(E772=$C$6,$H$5*12+$Q$4,0))</f>
      </c>
    </row>
    <row x14ac:dyDescent="0.25" r="773" customHeight="1" ht="18.75">
      <c r="A773" s="1"/>
      <c r="B773" s="7"/>
      <c r="C773" s="170"/>
      <c r="D773" s="331">
        <v>766</v>
      </c>
      <c r="E773" s="544">
        <f>+DATE(YEAR(E772),MONTH(E772)-1,DAY(E772))</f>
        <v>25569.041666666668</v>
      </c>
      <c r="F773" s="333">
        <f>IF(DATE(YEAR($B$6),MONTH($B$6)+1,DAY(1))=E773,1,IF(MONTH(E773)=1,F774*(1+$F$5),F774))</f>
      </c>
      <c r="G773" s="333">
        <f>IF('Simulador - 1º Pilar'!$E$99="Sí",IF('Aportaciones Flex'!$B$13&lt;'Aportaciones Flex'!E773,0,F773*$B$8/12),F773*$B$8/12)</f>
      </c>
      <c r="H773" s="333">
        <f>IF(G773&gt;0,1,0)*$H$5*IF(AND($I$5="NO",YEAR(E773)=YEAR($B$6)+1),1,IF($I$5="SI",1,0))</f>
      </c>
      <c r="I773" s="217">
        <f>(1+$M$5)^(D773/12)*(H773*(12-IF(MONTH(E774)=12,0,MONTH(E774)))+IF(AND(F773=1,F774=0),$Q$4,0))*IF(AND(F773=1,F774=0),1,0)</f>
      </c>
      <c r="J773" s="333">
        <f>(1+$M$5)^(D773/12)*(H773+IF(AND(F773=1,F774=0),$Q$4,0))</f>
      </c>
      <c r="K773" s="351"/>
      <c r="L773" s="333">
        <f>K773+J773</f>
      </c>
      <c r="M773" s="170"/>
      <c r="N773" s="7"/>
      <c r="O773" s="1"/>
      <c r="P773" s="331">
        <f>D773</f>
      </c>
      <c r="Q773" s="169"/>
      <c r="R773" s="1"/>
      <c r="S773" s="217">
        <f>(1+$M$5)^(D773/12)*(IF(E773=$C$6,$Q$4+$H$5*12,0))</f>
      </c>
      <c r="T773" s="217">
        <f>(1+$M$5)^(D773/12)*(IF(YEAR(E773)&gt;YEAR($C$6),L773,0)+IF(E773=$C$6,$H$5*12+$Q$4,0))</f>
      </c>
    </row>
    <row x14ac:dyDescent="0.25" r="774" customHeight="1" ht="18.75">
      <c r="A774" s="1"/>
      <c r="B774" s="7"/>
      <c r="C774" s="170"/>
      <c r="D774" s="331">
        <v>767</v>
      </c>
      <c r="E774" s="544">
        <f>+DATE(YEAR(E773),MONTH(E773)-1,DAY(E773))</f>
        <v>25569.041666666668</v>
      </c>
      <c r="F774" s="333">
        <f>IF(DATE(YEAR($B$6),MONTH($B$6)+1,DAY(1))=E774,1,IF(MONTH(E774)=1,F775*(1+$F$5),F775))</f>
      </c>
      <c r="G774" s="333">
        <f>IF('Simulador - 1º Pilar'!$E$99="Sí",IF('Aportaciones Flex'!$B$13&lt;'Aportaciones Flex'!E774,0,F774*$B$8/12),F774*$B$8/12)</f>
      </c>
      <c r="H774" s="333">
        <f>IF(G774&gt;0,1,0)*$H$5*IF(AND($I$5="NO",YEAR(E774)=YEAR($B$6)+1),1,IF($I$5="SI",1,0))</f>
      </c>
      <c r="I774" s="217">
        <f>(1+$M$5)^(D774/12)*(H774*(12-IF(MONTH(E775)=12,0,MONTH(E775)))+IF(AND(F774=1,F775=0),$Q$4,0))*IF(AND(F774=1,F775=0),1,0)</f>
      </c>
      <c r="J774" s="333">
        <f>(1+$M$5)^(D774/12)*(H774+IF(AND(F774=1,F775=0),$Q$4,0))</f>
      </c>
      <c r="K774" s="351"/>
      <c r="L774" s="333">
        <f>K774+J774</f>
      </c>
      <c r="M774" s="170"/>
      <c r="N774" s="7"/>
      <c r="O774" s="1"/>
      <c r="P774" s="331">
        <f>D774</f>
      </c>
      <c r="Q774" s="169"/>
      <c r="R774" s="1"/>
      <c r="S774" s="217">
        <f>(1+$M$5)^(D774/12)*(IF(E774=$C$6,$Q$4+$H$5*12,0))</f>
      </c>
      <c r="T774" s="217">
        <f>(1+$M$5)^(D774/12)*(IF(YEAR(E774)&gt;YEAR($C$6),L774,0)+IF(E774=$C$6,$H$5*12+$Q$4,0))</f>
      </c>
    </row>
    <row x14ac:dyDescent="0.25" r="775" customHeight="1" ht="18.75">
      <c r="A775" s="1"/>
      <c r="B775" s="7"/>
      <c r="C775" s="170"/>
      <c r="D775" s="331">
        <v>768</v>
      </c>
      <c r="E775" s="544">
        <f>+DATE(YEAR(E774),MONTH(E774)-1,DAY(E774))</f>
        <v>25569.041666666668</v>
      </c>
      <c r="F775" s="333">
        <f>IF(DATE(YEAR($B$6),MONTH($B$6)+1,DAY(1))=E775,1,IF(MONTH(E775)=1,F776*(1+$F$5),F776))</f>
      </c>
      <c r="G775" s="333">
        <f>IF('Simulador - 1º Pilar'!$E$99="Sí",IF('Aportaciones Flex'!$B$13&lt;'Aportaciones Flex'!E775,0,F775*$B$8/12),F775*$B$8/12)</f>
      </c>
      <c r="H775" s="333">
        <f>IF(G775&gt;0,1,0)*$H$5*IF(AND($I$5="NO",YEAR(E775)=YEAR($B$6)+1),1,IF($I$5="SI",1,0))</f>
      </c>
      <c r="I775" s="217">
        <f>(1+$M$5)^(D775/12)*(H775*(12-IF(MONTH(E776)=12,0,MONTH(E776)))+IF(AND(F775=1,F776=0),$Q$4,0))*IF(AND(F775=1,F776=0),1,0)</f>
      </c>
      <c r="J775" s="333">
        <f>(1+$M$5)^(D775/12)*(H775+IF(AND(F775=1,F776=0),$Q$4,0))</f>
      </c>
      <c r="K775" s="351"/>
      <c r="L775" s="333">
        <f>K775+J775</f>
      </c>
      <c r="M775" s="170"/>
      <c r="N775" s="7"/>
      <c r="O775" s="1"/>
      <c r="P775" s="331">
        <f>D775</f>
      </c>
      <c r="Q775" s="169"/>
      <c r="R775" s="1"/>
      <c r="S775" s="217">
        <f>(1+$M$5)^(D775/12)*(IF(E775=$C$6,$Q$4+$H$5*12,0))</f>
      </c>
      <c r="T775" s="217">
        <f>(1+$M$5)^(D775/12)*(IF(YEAR(E775)&gt;YEAR($C$6),L775,0)+IF(E775=$C$6,$H$5*12+$Q$4,0))</f>
      </c>
    </row>
    <row x14ac:dyDescent="0.25" r="776" customHeight="1" ht="18.75">
      <c r="A776" s="1"/>
      <c r="B776" s="7"/>
      <c r="C776" s="170"/>
      <c r="D776" s="331">
        <v>769</v>
      </c>
      <c r="E776" s="544">
        <f>+DATE(YEAR(E775),MONTH(E775)-1,DAY(E775))</f>
        <v>25569.041666666668</v>
      </c>
      <c r="F776" s="333">
        <f>IF(DATE(YEAR($B$6),MONTH($B$6)+1,DAY(1))=E776,1,IF(MONTH(E776)=1,F777*(1+$F$5),F777))</f>
      </c>
      <c r="G776" s="333">
        <f>IF('Simulador - 1º Pilar'!$E$99="Sí",IF('Aportaciones Flex'!$B$13&lt;'Aportaciones Flex'!E776,0,F776*$B$8/12),F776*$B$8/12)</f>
      </c>
      <c r="H776" s="333">
        <f>IF(G776&gt;0,1,0)*$H$5*IF(AND($I$5="NO",YEAR(E776)=YEAR($B$6)+1),1,IF($I$5="SI",1,0))</f>
      </c>
      <c r="I776" s="217">
        <f>(1+$M$5)^(D776/12)*(H776*(12-IF(MONTH(E777)=12,0,MONTH(E777)))+IF(AND(F776=1,F777=0),$Q$4,0))*IF(AND(F776=1,F777=0),1,0)</f>
      </c>
      <c r="J776" s="333">
        <f>(1+$M$5)^(D776/12)*(H776+IF(AND(F776=1,F777=0),$Q$4,0))</f>
      </c>
      <c r="K776" s="351"/>
      <c r="L776" s="333">
        <f>K776+J776</f>
      </c>
      <c r="M776" s="170"/>
      <c r="N776" s="7"/>
      <c r="O776" s="1"/>
      <c r="P776" s="331">
        <f>D776</f>
      </c>
      <c r="Q776" s="169"/>
      <c r="R776" s="1"/>
      <c r="S776" s="217">
        <f>(1+$M$5)^(D776/12)*(IF(E776=$C$6,$Q$4+$H$5*12,0))</f>
      </c>
      <c r="T776" s="217">
        <f>(1+$M$5)^(D776/12)*(IF(YEAR(E776)&gt;YEAR($C$6),L776,0)+IF(E776=$C$6,$H$5*12+$Q$4,0))</f>
      </c>
    </row>
    <row x14ac:dyDescent="0.25" r="777" customHeight="1" ht="18.75">
      <c r="A777" s="1"/>
      <c r="B777" s="7"/>
      <c r="C777" s="170"/>
      <c r="D777" s="331">
        <v>770</v>
      </c>
      <c r="E777" s="544">
        <f>+DATE(YEAR(E776),MONTH(E776)-1,DAY(E776))</f>
        <v>25569.041666666668</v>
      </c>
      <c r="F777" s="333">
        <f>IF(DATE(YEAR($B$6),MONTH($B$6)+1,DAY(1))=E777,1,IF(MONTH(E777)=1,F778*(1+$F$5),F778))</f>
      </c>
      <c r="G777" s="333">
        <f>IF('Simulador - 1º Pilar'!$E$99="Sí",IF('Aportaciones Flex'!$B$13&lt;'Aportaciones Flex'!E777,0,F777*$B$8/12),F777*$B$8/12)</f>
      </c>
      <c r="H777" s="333">
        <f>IF(G777&gt;0,1,0)*$H$5*IF(AND($I$5="NO",YEAR(E777)=YEAR($B$6)+1),1,IF($I$5="SI",1,0))</f>
      </c>
      <c r="I777" s="217">
        <f>(1+$M$5)^(D777/12)*(H777*(12-IF(MONTH(E778)=12,0,MONTH(E778)))+IF(AND(F777=1,F778=0),$Q$4,0))*IF(AND(F777=1,F778=0),1,0)</f>
      </c>
      <c r="J777" s="333">
        <f>(1+$M$5)^(D777/12)*(H777+IF(AND(F777=1,F778=0),$Q$4,0))</f>
      </c>
      <c r="K777" s="351"/>
      <c r="L777" s="333">
        <f>K777+J777</f>
      </c>
      <c r="M777" s="170"/>
      <c r="N777" s="7"/>
      <c r="O777" s="1"/>
      <c r="P777" s="331">
        <f>D777</f>
      </c>
      <c r="Q777" s="169"/>
      <c r="R777" s="1"/>
      <c r="S777" s="217">
        <f>(1+$M$5)^(D777/12)*(IF(E777=$C$6,$Q$4+$H$5*12,0))</f>
      </c>
      <c r="T777" s="217">
        <f>(1+$M$5)^(D777/12)*(IF(YEAR(E777)&gt;YEAR($C$6),L777,0)+IF(E777=$C$6,$H$5*12+$Q$4,0))</f>
      </c>
    </row>
    <row x14ac:dyDescent="0.25" r="778" customHeight="1" ht="18.75">
      <c r="A778" s="1"/>
      <c r="B778" s="7"/>
      <c r="C778" s="170"/>
      <c r="D778" s="331">
        <v>771</v>
      </c>
      <c r="E778" s="544">
        <f>+DATE(YEAR(E777),MONTH(E777)-1,DAY(E777))</f>
        <v>25569.041666666668</v>
      </c>
      <c r="F778" s="333">
        <f>IF(DATE(YEAR($B$6),MONTH($B$6)+1,DAY(1))=E778,1,IF(MONTH(E778)=1,F779*(1+$F$5),F779))</f>
      </c>
      <c r="G778" s="333">
        <f>IF('Simulador - 1º Pilar'!$E$99="Sí",IF('Aportaciones Flex'!$B$13&lt;'Aportaciones Flex'!E778,0,F778*$B$8/12),F778*$B$8/12)</f>
      </c>
      <c r="H778" s="333">
        <f>IF(G778&gt;0,1,0)*$H$5*IF(AND($I$5="NO",YEAR(E778)=YEAR($B$6)+1),1,IF($I$5="SI",1,0))</f>
      </c>
      <c r="I778" s="217">
        <f>(1+$M$5)^(D778/12)*(H778*(12-IF(MONTH(E779)=12,0,MONTH(E779)))+IF(AND(F778=1,F779=0),$Q$4,0))*IF(AND(F778=1,F779=0),1,0)</f>
      </c>
      <c r="J778" s="333">
        <f>(1+$M$5)^(D778/12)*(H778+IF(AND(F778=1,F779=0),$Q$4,0))</f>
      </c>
      <c r="K778" s="351"/>
      <c r="L778" s="333">
        <f>K778+J778</f>
      </c>
      <c r="M778" s="170"/>
      <c r="N778" s="7"/>
      <c r="O778" s="1"/>
      <c r="P778" s="331">
        <f>D778</f>
      </c>
      <c r="Q778" s="169"/>
      <c r="R778" s="1"/>
      <c r="S778" s="217">
        <f>(1+$M$5)^(D778/12)*(IF(E778=$C$6,$Q$4+$H$5*12,0))</f>
      </c>
      <c r="T778" s="217">
        <f>(1+$M$5)^(D778/12)*(IF(YEAR(E778)&gt;YEAR($C$6),L778,0)+IF(E778=$C$6,$H$5*12+$Q$4,0))</f>
      </c>
    </row>
    <row x14ac:dyDescent="0.25" r="779" customHeight="1" ht="18.75">
      <c r="A779" s="1"/>
      <c r="B779" s="7"/>
      <c r="C779" s="170"/>
      <c r="D779" s="331">
        <v>772</v>
      </c>
      <c r="E779" s="544">
        <f>+DATE(YEAR(E778),MONTH(E778)-1,DAY(E778))</f>
        <v>25569.041666666668</v>
      </c>
      <c r="F779" s="333">
        <f>IF(DATE(YEAR($B$6),MONTH($B$6)+1,DAY(1))=E779,1,IF(MONTH(E779)=1,F780*(1+$F$5),F780))</f>
      </c>
      <c r="G779" s="333">
        <f>IF('Simulador - 1º Pilar'!$E$99="Sí",IF('Aportaciones Flex'!$B$13&lt;'Aportaciones Flex'!E779,0,F779*$B$8/12),F779*$B$8/12)</f>
      </c>
      <c r="H779" s="333">
        <f>IF(G779&gt;0,1,0)*$H$5*IF(AND($I$5="NO",YEAR(E779)=YEAR($B$6)+1),1,IF($I$5="SI",1,0))</f>
      </c>
      <c r="I779" s="217">
        <f>(1+$M$5)^(D779/12)*(H779*(12-IF(MONTH(E780)=12,0,MONTH(E780)))+IF(AND(F779=1,F780=0),$Q$4,0))*IF(AND(F779=1,F780=0),1,0)</f>
      </c>
      <c r="J779" s="333">
        <f>(1+$M$5)^(D779/12)*(H779+IF(AND(F779=1,F780=0),$Q$4,0))</f>
      </c>
      <c r="K779" s="351"/>
      <c r="L779" s="333">
        <f>K779+J779</f>
      </c>
      <c r="M779" s="170"/>
      <c r="N779" s="7"/>
      <c r="O779" s="1"/>
      <c r="P779" s="331">
        <f>D779</f>
      </c>
      <c r="Q779" s="169"/>
      <c r="R779" s="1"/>
      <c r="S779" s="217">
        <f>(1+$M$5)^(D779/12)*(IF(E779=$C$6,$Q$4+$H$5*12,0))</f>
      </c>
      <c r="T779" s="217">
        <f>(1+$M$5)^(D779/12)*(IF(YEAR(E779)&gt;YEAR($C$6),L779,0)+IF(E779=$C$6,$H$5*12+$Q$4,0))</f>
      </c>
    </row>
    <row x14ac:dyDescent="0.25" r="780" customHeight="1" ht="18.75">
      <c r="A780" s="1"/>
      <c r="B780" s="7"/>
      <c r="C780" s="170"/>
      <c r="D780" s="331">
        <v>773</v>
      </c>
      <c r="E780" s="544">
        <f>+DATE(YEAR(E779),MONTH(E779)-1,DAY(E779))</f>
        <v>25569.041666666668</v>
      </c>
      <c r="F780" s="333">
        <f>IF(DATE(YEAR($B$6),MONTH($B$6)+1,DAY(1))=E780,1,IF(MONTH(E780)=1,F781*(1+$F$5),F781))</f>
      </c>
      <c r="G780" s="333">
        <f>IF('Simulador - 1º Pilar'!$E$99="Sí",IF('Aportaciones Flex'!$B$13&lt;'Aportaciones Flex'!E780,0,F780*$B$8/12),F780*$B$8/12)</f>
      </c>
      <c r="H780" s="333">
        <f>IF(G780&gt;0,1,0)*$H$5*IF(AND($I$5="NO",YEAR(E780)=YEAR($B$6)+1),1,IF($I$5="SI",1,0))</f>
      </c>
      <c r="I780" s="217">
        <f>(1+$M$5)^(D780/12)*(H780*(12-IF(MONTH(E781)=12,0,MONTH(E781)))+IF(AND(F780=1,F781=0),$Q$4,0))*IF(AND(F780=1,F781=0),1,0)</f>
      </c>
      <c r="J780" s="333">
        <f>(1+$M$5)^(D780/12)*(H780+IF(AND(F780=1,F781=0),$Q$4,0))</f>
      </c>
      <c r="K780" s="351"/>
      <c r="L780" s="333">
        <f>K780+J780</f>
      </c>
      <c r="M780" s="170"/>
      <c r="N780" s="7"/>
      <c r="O780" s="1"/>
      <c r="P780" s="331">
        <f>D780</f>
      </c>
      <c r="Q780" s="169"/>
      <c r="R780" s="1"/>
      <c r="S780" s="217">
        <f>(1+$M$5)^(D780/12)*(IF(E780=$C$6,$Q$4+$H$5*12,0))</f>
      </c>
      <c r="T780" s="217">
        <f>(1+$M$5)^(D780/12)*(IF(YEAR(E780)&gt;YEAR($C$6),L780,0)+IF(E780=$C$6,$H$5*12+$Q$4,0))</f>
      </c>
    </row>
    <row x14ac:dyDescent="0.25" r="781" customHeight="1" ht="18.75">
      <c r="A781" s="1"/>
      <c r="B781" s="7"/>
      <c r="C781" s="170"/>
      <c r="D781" s="331">
        <v>774</v>
      </c>
      <c r="E781" s="544">
        <f>+DATE(YEAR(E780),MONTH(E780)-1,DAY(E780))</f>
        <v>25569.041666666668</v>
      </c>
      <c r="F781" s="333">
        <f>IF(DATE(YEAR($B$6),MONTH($B$6)+1,DAY(1))=E781,1,IF(MONTH(E781)=1,F782*(1+$F$5),F782))</f>
      </c>
      <c r="G781" s="333">
        <f>IF('Simulador - 1º Pilar'!$E$99="Sí",IF('Aportaciones Flex'!$B$13&lt;'Aportaciones Flex'!E781,0,F781*$B$8/12),F781*$B$8/12)</f>
      </c>
      <c r="H781" s="333">
        <f>IF(G781&gt;0,1,0)*$H$5*IF(AND($I$5="NO",YEAR(E781)=YEAR($B$6)+1),1,IF($I$5="SI",1,0))</f>
      </c>
      <c r="I781" s="217">
        <f>(1+$M$5)^(D781/12)*(H781*(12-IF(MONTH(E782)=12,0,MONTH(E782)))+IF(AND(F781=1,F782=0),$Q$4,0))*IF(AND(F781=1,F782=0),1,0)</f>
      </c>
      <c r="J781" s="333">
        <f>(1+$M$5)^(D781/12)*(H781+IF(AND(F781=1,F782=0),$Q$4,0))</f>
      </c>
      <c r="K781" s="351"/>
      <c r="L781" s="333">
        <f>K781+J781</f>
      </c>
      <c r="M781" s="170"/>
      <c r="N781" s="7"/>
      <c r="O781" s="1"/>
      <c r="P781" s="331">
        <f>D781</f>
      </c>
      <c r="Q781" s="169"/>
      <c r="R781" s="1"/>
      <c r="S781" s="217">
        <f>(1+$M$5)^(D781/12)*(IF(E781=$C$6,$Q$4+$H$5*12,0))</f>
      </c>
      <c r="T781" s="217">
        <f>(1+$M$5)^(D781/12)*(IF(YEAR(E781)&gt;YEAR($C$6),L781,0)+IF(E781=$C$6,$H$5*12+$Q$4,0))</f>
      </c>
    </row>
    <row x14ac:dyDescent="0.25" r="782" customHeight="1" ht="18.75">
      <c r="A782" s="1"/>
      <c r="B782" s="7"/>
      <c r="C782" s="170"/>
      <c r="D782" s="331">
        <v>775</v>
      </c>
      <c r="E782" s="544">
        <f>+DATE(YEAR(E781),MONTH(E781)-1,DAY(E781))</f>
        <v>25569.041666666668</v>
      </c>
      <c r="F782" s="333">
        <f>IF(DATE(YEAR($B$6),MONTH($B$6)+1,DAY(1))=E782,1,IF(MONTH(E782)=1,F783*(1+$F$5),F783))</f>
      </c>
      <c r="G782" s="333">
        <f>IF('Simulador - 1º Pilar'!$E$99="Sí",IF('Aportaciones Flex'!$B$13&lt;'Aportaciones Flex'!E782,0,F782*$B$8/12),F782*$B$8/12)</f>
      </c>
      <c r="H782" s="333">
        <f>IF(G782&gt;0,1,0)*$H$5*IF(AND($I$5="NO",YEAR(E782)=YEAR($B$6)+1),1,IF($I$5="SI",1,0))</f>
      </c>
      <c r="I782" s="217">
        <f>(1+$M$5)^(D782/12)*(H782*(12-IF(MONTH(E783)=12,0,MONTH(E783)))+IF(AND(F782=1,F783=0),$Q$4,0))*IF(AND(F782=1,F783=0),1,0)</f>
      </c>
      <c r="J782" s="333">
        <f>(1+$M$5)^(D782/12)*(H782+IF(AND(F782=1,F783=0),$Q$4,0))</f>
      </c>
      <c r="K782" s="351"/>
      <c r="L782" s="333">
        <f>K782+J782</f>
      </c>
      <c r="M782" s="170"/>
      <c r="N782" s="7"/>
      <c r="O782" s="1"/>
      <c r="P782" s="331">
        <f>D782</f>
      </c>
      <c r="Q782" s="169"/>
      <c r="R782" s="1"/>
      <c r="S782" s="217">
        <f>(1+$M$5)^(D782/12)*(IF(E782=$C$6,$Q$4+$H$5*12,0))</f>
      </c>
      <c r="T782" s="217">
        <f>(1+$M$5)^(D782/12)*(IF(YEAR(E782)&gt;YEAR($C$6),L782,0)+IF(E782=$C$6,$H$5*12+$Q$4,0))</f>
      </c>
    </row>
    <row x14ac:dyDescent="0.25" r="783" customHeight="1" ht="18.75">
      <c r="A783" s="1"/>
      <c r="B783" s="7"/>
      <c r="C783" s="170"/>
      <c r="D783" s="331">
        <v>776</v>
      </c>
      <c r="E783" s="544">
        <f>+DATE(YEAR(E782),MONTH(E782)-1,DAY(E782))</f>
        <v>25569.041666666668</v>
      </c>
      <c r="F783" s="333">
        <f>IF(DATE(YEAR($B$6),MONTH($B$6)+1,DAY(1))=E783,1,IF(MONTH(E783)=1,F784*(1+$F$5),F784))</f>
      </c>
      <c r="G783" s="333">
        <f>IF('Simulador - 1º Pilar'!$E$99="Sí",IF('Aportaciones Flex'!$B$13&lt;'Aportaciones Flex'!E783,0,F783*$B$8/12),F783*$B$8/12)</f>
      </c>
      <c r="H783" s="333">
        <f>IF(G783&gt;0,1,0)*$H$5*IF(AND($I$5="NO",YEAR(E783)=YEAR($B$6)+1),1,IF($I$5="SI",1,0))</f>
      </c>
      <c r="I783" s="217">
        <f>(1+$M$5)^(D783/12)*(H783*(12-IF(MONTH(E784)=12,0,MONTH(E784)))+IF(AND(F783=1,F784=0),$Q$4,0))*IF(AND(F783=1,F784=0),1,0)</f>
      </c>
      <c r="J783" s="333">
        <f>(1+$M$5)^(D783/12)*(H783+IF(AND(F783=1,F784=0),$Q$4,0))</f>
      </c>
      <c r="K783" s="351"/>
      <c r="L783" s="333">
        <f>K783+J783</f>
      </c>
      <c r="M783" s="170"/>
      <c r="N783" s="7"/>
      <c r="O783" s="1"/>
      <c r="P783" s="331">
        <f>D783</f>
      </c>
      <c r="Q783" s="169"/>
      <c r="R783" s="1"/>
      <c r="S783" s="217">
        <f>(1+$M$5)^(D783/12)*(IF(E783=$C$6,$Q$4+$H$5*12,0))</f>
      </c>
      <c r="T783" s="217">
        <f>(1+$M$5)^(D783/12)*(IF(YEAR(E783)&gt;YEAR($C$6),L783,0)+IF(E783=$C$6,$H$5*12+$Q$4,0))</f>
      </c>
    </row>
    <row x14ac:dyDescent="0.25" r="784" customHeight="1" ht="18.75">
      <c r="A784" s="1"/>
      <c r="B784" s="7"/>
      <c r="C784" s="170"/>
      <c r="D784" s="331">
        <v>777</v>
      </c>
      <c r="E784" s="544">
        <f>+DATE(YEAR(E783),MONTH(E783)-1,DAY(E783))</f>
        <v>25569.041666666668</v>
      </c>
      <c r="F784" s="333">
        <f>IF(DATE(YEAR($B$6),MONTH($B$6)+1,DAY(1))=E784,1,IF(MONTH(E784)=1,F785*(1+$F$5),F785))</f>
      </c>
      <c r="G784" s="333">
        <f>IF('Simulador - 1º Pilar'!$E$99="Sí",IF('Aportaciones Flex'!$B$13&lt;'Aportaciones Flex'!E784,0,F784*$B$8/12),F784*$B$8/12)</f>
      </c>
      <c r="H784" s="333">
        <f>IF(G784&gt;0,1,0)*$H$5*IF(AND($I$5="NO",YEAR(E784)=YEAR($B$6)+1),1,IF($I$5="SI",1,0))</f>
      </c>
      <c r="I784" s="217">
        <f>(1+$M$5)^(D784/12)*(H784*(12-IF(MONTH(E785)=12,0,MONTH(E785)))+IF(AND(F784=1,F785=0),$Q$4,0))*IF(AND(F784=1,F785=0),1,0)</f>
      </c>
      <c r="J784" s="333">
        <f>(1+$M$5)^(D784/12)*(H784+IF(AND(F784=1,F785=0),$Q$4,0))</f>
      </c>
      <c r="K784" s="351"/>
      <c r="L784" s="333">
        <f>K784+J784</f>
      </c>
      <c r="M784" s="170"/>
      <c r="N784" s="7"/>
      <c r="O784" s="1"/>
      <c r="P784" s="331">
        <f>D784</f>
      </c>
      <c r="Q784" s="169"/>
      <c r="R784" s="1"/>
      <c r="S784" s="217">
        <f>(1+$M$5)^(D784/12)*(IF(E784=$C$6,$Q$4+$H$5*12,0))</f>
      </c>
      <c r="T784" s="217">
        <f>(1+$M$5)^(D784/12)*(IF(YEAR(E784)&gt;YEAR($C$6),L784,0)+IF(E784=$C$6,$H$5*12+$Q$4,0))</f>
      </c>
    </row>
    <row x14ac:dyDescent="0.25" r="785" customHeight="1" ht="18.75">
      <c r="A785" s="1"/>
      <c r="B785" s="7"/>
      <c r="C785" s="170"/>
      <c r="D785" s="331">
        <v>778</v>
      </c>
      <c r="E785" s="544">
        <f>+DATE(YEAR(E784),MONTH(E784)-1,DAY(E784))</f>
        <v>25569.041666666668</v>
      </c>
      <c r="F785" s="333">
        <f>IF(DATE(YEAR($B$6),MONTH($B$6)+1,DAY(1))=E785,1,IF(MONTH(E785)=1,F786*(1+$F$5),F786))</f>
      </c>
      <c r="G785" s="333">
        <f>IF('Simulador - 1º Pilar'!$E$99="Sí",IF('Aportaciones Flex'!$B$13&lt;'Aportaciones Flex'!E785,0,F785*$B$8/12),F785*$B$8/12)</f>
      </c>
      <c r="H785" s="333">
        <f>IF(G785&gt;0,1,0)*$H$5*IF(AND($I$5="NO",YEAR(E785)=YEAR($B$6)+1),1,IF($I$5="SI",1,0))</f>
      </c>
      <c r="I785" s="217">
        <f>(1+$M$5)^(D785/12)*(H785*(12-IF(MONTH(E786)=12,0,MONTH(E786)))+IF(AND(F785=1,F786=0),$Q$4,0))*IF(AND(F785=1,F786=0),1,0)</f>
      </c>
      <c r="J785" s="333">
        <f>(1+$M$5)^(D785/12)*(H785+IF(AND(F785=1,F786=0),$Q$4,0))</f>
      </c>
      <c r="K785" s="351"/>
      <c r="L785" s="333">
        <f>K785+J785</f>
      </c>
      <c r="M785" s="170"/>
      <c r="N785" s="7"/>
      <c r="O785" s="1"/>
      <c r="P785" s="331">
        <f>D785</f>
      </c>
      <c r="Q785" s="169"/>
      <c r="R785" s="1"/>
      <c r="S785" s="217">
        <f>(1+$M$5)^(D785/12)*(IF(E785=$C$6,$Q$4+$H$5*12,0))</f>
      </c>
      <c r="T785" s="217">
        <f>(1+$M$5)^(D785/12)*(IF(YEAR(E785)&gt;YEAR($C$6),L785,0)+IF(E785=$C$6,$H$5*12+$Q$4,0))</f>
      </c>
    </row>
    <row x14ac:dyDescent="0.25" r="786" customHeight="1" ht="18.75">
      <c r="A786" s="1"/>
      <c r="B786" s="7"/>
      <c r="C786" s="170"/>
      <c r="D786" s="331">
        <v>779</v>
      </c>
      <c r="E786" s="544">
        <f>+DATE(YEAR(E785),MONTH(E785)-1,DAY(E785))</f>
        <v>25569.041666666668</v>
      </c>
      <c r="F786" s="333">
        <f>IF(DATE(YEAR($B$6),MONTH($B$6)+1,DAY(1))=E786,1,IF(MONTH(E786)=1,F787*(1+$F$5),F787))</f>
      </c>
      <c r="G786" s="333">
        <f>IF('Simulador - 1º Pilar'!$E$99="Sí",IF('Aportaciones Flex'!$B$13&lt;'Aportaciones Flex'!E786,0,F786*$B$8/12),F786*$B$8/12)</f>
      </c>
      <c r="H786" s="333">
        <f>IF(G786&gt;0,1,0)*$H$5*IF(AND($I$5="NO",YEAR(E786)=YEAR($B$6)+1),1,IF($I$5="SI",1,0))</f>
      </c>
      <c r="I786" s="217">
        <f>(1+$M$5)^(D786/12)*(H786*(12-IF(MONTH(E787)=12,0,MONTH(E787)))+IF(AND(F786=1,F787=0),$Q$4,0))*IF(AND(F786=1,F787=0),1,0)</f>
      </c>
      <c r="J786" s="333">
        <f>(1+$M$5)^(D786/12)*(H786+IF(AND(F786=1,F787=0),$Q$4,0))</f>
      </c>
      <c r="K786" s="351"/>
      <c r="L786" s="333">
        <f>K786+J786</f>
      </c>
      <c r="M786" s="170"/>
      <c r="N786" s="7"/>
      <c r="O786" s="1"/>
      <c r="P786" s="331">
        <f>D786</f>
      </c>
      <c r="Q786" s="169"/>
      <c r="R786" s="1"/>
      <c r="S786" s="217">
        <f>(1+$M$5)^(D786/12)*(IF(E786=$C$6,$Q$4+$H$5*12,0))</f>
      </c>
      <c r="T786" s="217">
        <f>(1+$M$5)^(D786/12)*(IF(YEAR(E786)&gt;YEAR($C$6),L786,0)+IF(E786=$C$6,$H$5*12+$Q$4,0))</f>
      </c>
    </row>
    <row x14ac:dyDescent="0.25" r="787" customHeight="1" ht="18.75">
      <c r="A787" s="1"/>
      <c r="B787" s="7"/>
      <c r="C787" s="170"/>
      <c r="D787" s="331">
        <v>780</v>
      </c>
      <c r="E787" s="544">
        <f>+DATE(YEAR(E786),MONTH(E786)-1,DAY(E786))</f>
        <v>25569.041666666668</v>
      </c>
      <c r="F787" s="333">
        <f>IF(DATE(YEAR($B$6),MONTH($B$6)+1,DAY(1))=E787,1,IF(MONTH(E787)=1,F788*(1+$F$5),F788))</f>
      </c>
      <c r="G787" s="333">
        <f>IF('Simulador - 1º Pilar'!$E$99="Sí",IF('Aportaciones Flex'!$B$13&lt;'Aportaciones Flex'!E787,0,F787*$B$8/12),F787*$B$8/12)</f>
      </c>
      <c r="H787" s="333">
        <f>IF(G787&gt;0,1,0)*$H$5*IF(AND($I$5="NO",YEAR(E787)=YEAR($B$6)+1),1,IF($I$5="SI",1,0))</f>
      </c>
      <c r="I787" s="217">
        <f>(1+$M$5)^(D787/12)*(H787*(12-IF(MONTH(E788)=12,0,MONTH(E788)))+IF(AND(F787=1,F788=0),$Q$4,0))*IF(AND(F787=1,F788=0),1,0)</f>
      </c>
      <c r="J787" s="333">
        <f>(1+$M$5)^(D787/12)*(H787+IF(AND(F787=1,F788=0),$Q$4,0))</f>
      </c>
      <c r="K787" s="351"/>
      <c r="L787" s="333">
        <f>K787+J787</f>
      </c>
      <c r="M787" s="170"/>
      <c r="N787" s="7"/>
      <c r="O787" s="1"/>
      <c r="P787" s="331">
        <f>D787</f>
      </c>
      <c r="Q787" s="169"/>
      <c r="R787" s="1"/>
      <c r="S787" s="217">
        <f>(1+$M$5)^(D787/12)*(IF(E787=$C$6,$Q$4+$H$5*12,0))</f>
      </c>
      <c r="T787" s="217">
        <f>(1+$M$5)^(D787/12)*(IF(YEAR(E787)&gt;YEAR($C$6),L787,0)+IF(E787=$C$6,$H$5*12+$Q$4,0))</f>
      </c>
    </row>
    <row x14ac:dyDescent="0.25" r="788" customHeight="1" ht="18.75">
      <c r="A788" s="1"/>
      <c r="B788" s="7"/>
      <c r="C788" s="170"/>
      <c r="D788" s="331">
        <v>781</v>
      </c>
      <c r="E788" s="544">
        <f>+DATE(YEAR(E787),MONTH(E787)-1,DAY(E787))</f>
        <v>25569.041666666668</v>
      </c>
      <c r="F788" s="333">
        <f>IF(DATE(YEAR($B$6),MONTH($B$6)+1,DAY(1))=E788,1,IF(MONTH(E788)=1,F789*(1+$F$5),F789))</f>
      </c>
      <c r="G788" s="333">
        <f>IF('Simulador - 1º Pilar'!$E$99="Sí",IF('Aportaciones Flex'!$B$13&lt;'Aportaciones Flex'!E788,0,F788*$B$8/12),F788*$B$8/12)</f>
      </c>
      <c r="H788" s="333">
        <f>IF(G788&gt;0,1,0)*$H$5*IF(AND($I$5="NO",YEAR(E788)=YEAR($B$6)+1),1,IF($I$5="SI",1,0))</f>
      </c>
      <c r="I788" s="217">
        <f>(1+$M$5)^(D788/12)*(H788*(12-IF(MONTH(E789)=12,0,MONTH(E789)))+IF(AND(F788=1,F789=0),$Q$4,0))*IF(AND(F788=1,F789=0),1,0)</f>
      </c>
      <c r="J788" s="333">
        <f>(1+$M$5)^(D788/12)*(H788+IF(AND(F788=1,F789=0),$Q$4,0))</f>
      </c>
      <c r="K788" s="351"/>
      <c r="L788" s="333">
        <f>K788+J788</f>
      </c>
      <c r="M788" s="170"/>
      <c r="N788" s="7"/>
      <c r="O788" s="1"/>
      <c r="P788" s="331">
        <f>D788</f>
      </c>
      <c r="Q788" s="169"/>
      <c r="R788" s="1"/>
      <c r="S788" s="217">
        <f>(1+$M$5)^(D788/12)*(IF(E788=$C$6,$Q$4+$H$5*12,0))</f>
      </c>
      <c r="T788" s="217">
        <f>(1+$M$5)^(D788/12)*(IF(YEAR(E788)&gt;YEAR($C$6),L788,0)+IF(E788=$C$6,$H$5*12+$Q$4,0))</f>
      </c>
    </row>
    <row x14ac:dyDescent="0.25" r="789" customHeight="1" ht="18.75">
      <c r="A789" s="1"/>
      <c r="B789" s="7"/>
      <c r="C789" s="170"/>
      <c r="D789" s="331">
        <v>782</v>
      </c>
      <c r="E789" s="544">
        <f>+DATE(YEAR(E788),MONTH(E788)-1,DAY(E788))</f>
        <v>25569.041666666668</v>
      </c>
      <c r="F789" s="333">
        <f>IF(DATE(YEAR($B$6),MONTH($B$6)+1,DAY(1))=E789,1,IF(MONTH(E789)=1,F790*(1+$F$5),F790))</f>
      </c>
      <c r="G789" s="333">
        <f>IF('Simulador - 1º Pilar'!$E$99="Sí",IF('Aportaciones Flex'!$B$13&lt;'Aportaciones Flex'!E789,0,F789*$B$8/12),F789*$B$8/12)</f>
      </c>
      <c r="H789" s="333">
        <f>IF(G789&gt;0,1,0)*$H$5*IF(AND($I$5="NO",YEAR(E789)=YEAR($B$6)+1),1,IF($I$5="SI",1,0))</f>
      </c>
      <c r="I789" s="217">
        <f>(1+$M$5)^(D789/12)*(H789*(12-IF(MONTH(E790)=12,0,MONTH(E790)))+IF(AND(F789=1,F790=0),$Q$4,0))*IF(AND(F789=1,F790=0),1,0)</f>
      </c>
      <c r="J789" s="333">
        <f>(1+$M$5)^(D789/12)*(H789+IF(AND(F789=1,F790=0),$Q$4,0))</f>
      </c>
      <c r="K789" s="351"/>
      <c r="L789" s="333">
        <f>K789+J789</f>
      </c>
      <c r="M789" s="170"/>
      <c r="N789" s="7"/>
      <c r="O789" s="1"/>
      <c r="P789" s="331">
        <f>D789</f>
      </c>
      <c r="Q789" s="169"/>
      <c r="R789" s="1"/>
      <c r="S789" s="217">
        <f>(1+$M$5)^(D789/12)*(IF(E789=$C$6,$Q$4+$H$5*12,0))</f>
      </c>
      <c r="T789" s="217">
        <f>(1+$M$5)^(D789/12)*(IF(YEAR(E789)&gt;YEAR($C$6),L789,0)+IF(E789=$C$6,$H$5*12+$Q$4,0))</f>
      </c>
    </row>
    <row x14ac:dyDescent="0.25" r="790" customHeight="1" ht="18.75">
      <c r="A790" s="1"/>
      <c r="B790" s="7"/>
      <c r="C790" s="170"/>
      <c r="D790" s="331">
        <v>783</v>
      </c>
      <c r="E790" s="544">
        <f>+DATE(YEAR(E789),MONTH(E789)-1,DAY(E789))</f>
        <v>25569.041666666668</v>
      </c>
      <c r="F790" s="333">
        <f>IF(DATE(YEAR($B$6),MONTH($B$6)+1,DAY(1))=E790,1,IF(MONTH(E790)=1,F791*(1+$F$5),F791))</f>
      </c>
      <c r="G790" s="333">
        <f>IF('Simulador - 1º Pilar'!$E$99="Sí",IF('Aportaciones Flex'!$B$13&lt;'Aportaciones Flex'!E790,0,F790*$B$8/12),F790*$B$8/12)</f>
      </c>
      <c r="H790" s="333">
        <f>IF(G790&gt;0,1,0)*$H$5*IF(AND($I$5="NO",YEAR(E790)=YEAR($B$6)+1),1,IF($I$5="SI",1,0))</f>
      </c>
      <c r="I790" s="217">
        <f>(1+$M$5)^(D790/12)*(H790*(12-IF(MONTH(E791)=12,0,MONTH(E791)))+IF(AND(F790=1,F791=0),$Q$4,0))*IF(AND(F790=1,F791=0),1,0)</f>
      </c>
      <c r="J790" s="333">
        <f>(1+$M$5)^(D790/12)*(H790+IF(AND(F790=1,F791=0),$Q$4,0))</f>
      </c>
      <c r="K790" s="351"/>
      <c r="L790" s="333">
        <f>K790+J790</f>
      </c>
      <c r="M790" s="170"/>
      <c r="N790" s="7"/>
      <c r="O790" s="1"/>
      <c r="P790" s="331">
        <f>D790</f>
      </c>
      <c r="Q790" s="169"/>
      <c r="R790" s="1"/>
      <c r="S790" s="217">
        <f>(1+$M$5)^(D790/12)*(IF(E790=$C$6,$Q$4+$H$5*12,0))</f>
      </c>
      <c r="T790" s="217">
        <f>(1+$M$5)^(D790/12)*(IF(YEAR(E790)&gt;YEAR($C$6),L790,0)+IF(E790=$C$6,$H$5*12+$Q$4,0))</f>
      </c>
    </row>
    <row x14ac:dyDescent="0.25" r="791" customHeight="1" ht="18.75">
      <c r="A791" s="1"/>
      <c r="B791" s="7"/>
      <c r="C791" s="170"/>
      <c r="D791" s="331">
        <v>784</v>
      </c>
      <c r="E791" s="544">
        <f>+DATE(YEAR(E790),MONTH(E790)-1,DAY(E790))</f>
        <v>25569.041666666668</v>
      </c>
      <c r="F791" s="333">
        <f>IF(DATE(YEAR($B$6),MONTH($B$6)+1,DAY(1))=E791,1,IF(MONTH(E791)=1,F792*(1+$F$5),F792))</f>
      </c>
      <c r="G791" s="333">
        <f>IF('Simulador - 1º Pilar'!$E$99="Sí",IF('Aportaciones Flex'!$B$13&lt;'Aportaciones Flex'!E791,0,F791*$B$8/12),F791*$B$8/12)</f>
      </c>
      <c r="H791" s="333">
        <f>IF(G791&gt;0,1,0)*$H$5*IF(AND($I$5="NO",YEAR(E791)=YEAR($B$6)+1),1,IF($I$5="SI",1,0))</f>
      </c>
      <c r="I791" s="217">
        <f>(1+$M$5)^(D791/12)*(H791*(12-IF(MONTH(E792)=12,0,MONTH(E792)))+IF(AND(F791=1,F792=0),$Q$4,0))*IF(AND(F791=1,F792=0),1,0)</f>
      </c>
      <c r="J791" s="333">
        <f>(1+$M$5)^(D791/12)*(H791+IF(AND(F791=1,F792=0),$Q$4,0))</f>
      </c>
      <c r="K791" s="351"/>
      <c r="L791" s="333">
        <f>K791+J791</f>
      </c>
      <c r="M791" s="170"/>
      <c r="N791" s="7"/>
      <c r="O791" s="1"/>
      <c r="P791" s="331">
        <f>D791</f>
      </c>
      <c r="Q791" s="169"/>
      <c r="R791" s="1"/>
      <c r="S791" s="217">
        <f>(1+$M$5)^(D791/12)*(IF(E791=$C$6,$Q$4+$H$5*12,0))</f>
      </c>
      <c r="T791" s="217">
        <f>(1+$M$5)^(D791/12)*(IF(YEAR(E791)&gt;YEAR($C$6),L791,0)+IF(E791=$C$6,$H$5*12+$Q$4,0))</f>
      </c>
    </row>
    <row x14ac:dyDescent="0.25" r="792" customHeight="1" ht="18.75">
      <c r="A792" s="1"/>
      <c r="B792" s="7"/>
      <c r="C792" s="170"/>
      <c r="D792" s="331">
        <v>785</v>
      </c>
      <c r="E792" s="544">
        <f>+DATE(YEAR(E791),MONTH(E791)-1,DAY(E791))</f>
        <v>25569.041666666668</v>
      </c>
      <c r="F792" s="333">
        <f>IF(DATE(YEAR($B$6),MONTH($B$6)+1,DAY(1))=E792,1,IF(MONTH(E792)=1,F793*(1+$F$5),F793))</f>
      </c>
      <c r="G792" s="333">
        <f>IF('Simulador - 1º Pilar'!$E$99="Sí",IF('Aportaciones Flex'!$B$13&lt;'Aportaciones Flex'!E792,0,F792*$B$8/12),F792*$B$8/12)</f>
      </c>
      <c r="H792" s="333">
        <f>IF(G792&gt;0,1,0)*$H$5*IF(AND($I$5="NO",YEAR(E792)=YEAR($B$6)+1),1,IF($I$5="SI",1,0))</f>
      </c>
      <c r="I792" s="217">
        <f>(1+$M$5)^(D792/12)*(H792*(12-IF(MONTH(E793)=12,0,MONTH(E793)))+IF(AND(F792=1,F793=0),$Q$4,0))*IF(AND(F792=1,F793=0),1,0)</f>
      </c>
      <c r="J792" s="333">
        <f>(1+$M$5)^(D792/12)*(H792+IF(AND(F792=1,F793=0),$Q$4,0))</f>
      </c>
      <c r="K792" s="351"/>
      <c r="L792" s="333">
        <f>K792+J792</f>
      </c>
      <c r="M792" s="170"/>
      <c r="N792" s="7"/>
      <c r="O792" s="1"/>
      <c r="P792" s="331">
        <f>D792</f>
      </c>
      <c r="Q792" s="169"/>
      <c r="R792" s="1"/>
      <c r="S792" s="217">
        <f>(1+$M$5)^(D792/12)*(IF(E792=$C$6,$Q$4+$H$5*12,0))</f>
      </c>
      <c r="T792" s="217">
        <f>(1+$M$5)^(D792/12)*(IF(YEAR(E792)&gt;YEAR($C$6),L792,0)+IF(E792=$C$6,$H$5*12+$Q$4,0))</f>
      </c>
    </row>
    <row x14ac:dyDescent="0.25" r="793" customHeight="1" ht="18.75">
      <c r="A793" s="1"/>
      <c r="B793" s="7"/>
      <c r="C793" s="170"/>
      <c r="D793" s="331">
        <v>786</v>
      </c>
      <c r="E793" s="544">
        <f>+DATE(YEAR(E792),MONTH(E792)-1,DAY(E792))</f>
        <v>25569.041666666668</v>
      </c>
      <c r="F793" s="333">
        <f>IF(DATE(YEAR($B$6),MONTH($B$6)+1,DAY(1))=E793,1,IF(MONTH(E793)=1,F794*(1+$F$5),F794))</f>
      </c>
      <c r="G793" s="333">
        <f>IF('Simulador - 1º Pilar'!$E$99="Sí",IF('Aportaciones Flex'!$B$13&lt;'Aportaciones Flex'!E793,0,F793*$B$8/12),F793*$B$8/12)</f>
      </c>
      <c r="H793" s="333">
        <f>IF(G793&gt;0,1,0)*$H$5*IF(AND($I$5="NO",YEAR(E793)=YEAR($B$6)+1),1,IF($I$5="SI",1,0))</f>
      </c>
      <c r="I793" s="217">
        <f>(1+$M$5)^(D793/12)*(H793*(12-IF(MONTH(E794)=12,0,MONTH(E794)))+IF(AND(F793=1,F794=0),$Q$4,0))*IF(AND(F793=1,F794=0),1,0)</f>
      </c>
      <c r="J793" s="333">
        <f>(1+$M$5)^(D793/12)*(H793+IF(AND(F793=1,F794=0),$Q$4,0))</f>
      </c>
      <c r="K793" s="351"/>
      <c r="L793" s="333">
        <f>K793+J793</f>
      </c>
      <c r="M793" s="170"/>
      <c r="N793" s="7"/>
      <c r="O793" s="1"/>
      <c r="P793" s="331">
        <f>D793</f>
      </c>
      <c r="Q793" s="169"/>
      <c r="R793" s="1"/>
      <c r="S793" s="217">
        <f>(1+$M$5)^(D793/12)*(IF(E793=$C$6,$Q$4+$H$5*12,0))</f>
      </c>
      <c r="T793" s="217">
        <f>(1+$M$5)^(D793/12)*(IF(YEAR(E793)&gt;YEAR($C$6),L793,0)+IF(E793=$C$6,$H$5*12+$Q$4,0))</f>
      </c>
    </row>
    <row x14ac:dyDescent="0.25" r="794" customHeight="1" ht="18.75">
      <c r="A794" s="1"/>
      <c r="B794" s="7"/>
      <c r="C794" s="170"/>
      <c r="D794" s="331">
        <v>787</v>
      </c>
      <c r="E794" s="544">
        <f>+DATE(YEAR(E793),MONTH(E793)-1,DAY(E793))</f>
        <v>25569.041666666668</v>
      </c>
      <c r="F794" s="333">
        <f>IF(DATE(YEAR($B$6),MONTH($B$6)+1,DAY(1))=E794,1,IF(MONTH(E794)=1,F795*(1+$F$5),F795))</f>
      </c>
      <c r="G794" s="333">
        <f>IF('Simulador - 1º Pilar'!$E$99="Sí",IF('Aportaciones Flex'!$B$13&lt;'Aportaciones Flex'!E794,0,F794*$B$8/12),F794*$B$8/12)</f>
      </c>
      <c r="H794" s="333">
        <f>IF(G794&gt;0,1,0)*$H$5*IF(AND($I$5="NO",YEAR(E794)=YEAR($B$6)+1),1,IF($I$5="SI",1,0))</f>
      </c>
      <c r="I794" s="217">
        <f>(1+$M$5)^(D794/12)*(H794*(12-IF(MONTH(E795)=12,0,MONTH(E795)))+IF(AND(F794=1,F795=0),$Q$4,0))*IF(AND(F794=1,F795=0),1,0)</f>
      </c>
      <c r="J794" s="333">
        <f>(1+$M$5)^(D794/12)*(H794+IF(AND(F794=1,F795=0),$Q$4,0))</f>
      </c>
      <c r="K794" s="351"/>
      <c r="L794" s="333">
        <f>K794+J794</f>
      </c>
      <c r="M794" s="170"/>
      <c r="N794" s="7"/>
      <c r="O794" s="1"/>
      <c r="P794" s="331">
        <f>D794</f>
      </c>
      <c r="Q794" s="169"/>
      <c r="R794" s="1"/>
      <c r="S794" s="217">
        <f>(1+$M$5)^(D794/12)*(IF(E794=$C$6,$Q$4+$H$5*12,0))</f>
      </c>
      <c r="T794" s="217">
        <f>(1+$M$5)^(D794/12)*(IF(YEAR(E794)&gt;YEAR($C$6),L794,0)+IF(E794=$C$6,$H$5*12+$Q$4,0))</f>
      </c>
    </row>
    <row x14ac:dyDescent="0.25" r="795" customHeight="1" ht="18.75">
      <c r="A795" s="1"/>
      <c r="B795" s="7"/>
      <c r="C795" s="170"/>
      <c r="D795" s="331">
        <v>788</v>
      </c>
      <c r="E795" s="544">
        <f>+DATE(YEAR(E794),MONTH(E794)-1,DAY(E794))</f>
        <v>25569.041666666668</v>
      </c>
      <c r="F795" s="333">
        <f>IF(DATE(YEAR($B$6),MONTH($B$6)+1,DAY(1))=E795,1,IF(MONTH(E795)=1,F796*(1+$F$5),F796))</f>
      </c>
      <c r="G795" s="333">
        <f>IF('Simulador - 1º Pilar'!$E$99="Sí",IF('Aportaciones Flex'!$B$13&lt;'Aportaciones Flex'!E795,0,F795*$B$8/12),F795*$B$8/12)</f>
      </c>
      <c r="H795" s="333">
        <f>IF(G795&gt;0,1,0)*$H$5*IF(AND($I$5="NO",YEAR(E795)=YEAR($B$6)+1),1,IF($I$5="SI",1,0))</f>
      </c>
      <c r="I795" s="217">
        <f>(1+$M$5)^(D795/12)*(H795*(12-IF(MONTH(E796)=12,0,MONTH(E796)))+IF(AND(F795=1,F796=0),$Q$4,0))*IF(AND(F795=1,F796=0),1,0)</f>
      </c>
      <c r="J795" s="333">
        <f>(1+$M$5)^(D795/12)*(H795+IF(AND(F795=1,F796=0),$Q$4,0))</f>
      </c>
      <c r="K795" s="351"/>
      <c r="L795" s="333">
        <f>K795+J795</f>
      </c>
      <c r="M795" s="170"/>
      <c r="N795" s="7"/>
      <c r="O795" s="1"/>
      <c r="P795" s="331">
        <f>D795</f>
      </c>
      <c r="Q795" s="169"/>
      <c r="R795" s="1"/>
      <c r="S795" s="217">
        <f>(1+$M$5)^(D795/12)*(IF(E795=$C$6,$Q$4+$H$5*12,0))</f>
      </c>
      <c r="T795" s="217">
        <f>(1+$M$5)^(D795/12)*(IF(YEAR(E795)&gt;YEAR($C$6),L795,0)+IF(E795=$C$6,$H$5*12+$Q$4,0))</f>
      </c>
    </row>
    <row x14ac:dyDescent="0.25" r="796" customHeight="1" ht="18.75">
      <c r="A796" s="1"/>
      <c r="B796" s="7"/>
      <c r="C796" s="170"/>
      <c r="D796" s="331">
        <v>789</v>
      </c>
      <c r="E796" s="544">
        <f>+DATE(YEAR(E795),MONTH(E795)-1,DAY(E795))</f>
        <v>25569.041666666668</v>
      </c>
      <c r="F796" s="333">
        <f>IF(DATE(YEAR($B$6),MONTH($B$6)+1,DAY(1))=E796,1,IF(MONTH(E796)=1,F797*(1+$F$5),F797))</f>
      </c>
      <c r="G796" s="333">
        <f>IF('Simulador - 1º Pilar'!$E$99="Sí",IF('Aportaciones Flex'!$B$13&lt;'Aportaciones Flex'!E796,0,F796*$B$8/12),F796*$B$8/12)</f>
      </c>
      <c r="H796" s="333">
        <f>IF(G796&gt;0,1,0)*$H$5*IF(AND($I$5="NO",YEAR(E796)=YEAR($B$6)+1),1,IF($I$5="SI",1,0))</f>
      </c>
      <c r="I796" s="217">
        <f>(1+$M$5)^(D796/12)*(H796*(12-IF(MONTH(E797)=12,0,MONTH(E797)))+IF(AND(F796=1,F797=0),$Q$4,0))*IF(AND(F796=1,F797=0),1,0)</f>
      </c>
      <c r="J796" s="333">
        <f>(1+$M$5)^(D796/12)*(H796+IF(AND(F796=1,F797=0),$Q$4,0))</f>
      </c>
      <c r="K796" s="351"/>
      <c r="L796" s="333">
        <f>K796+J796</f>
      </c>
      <c r="M796" s="170"/>
      <c r="N796" s="7"/>
      <c r="O796" s="1"/>
      <c r="P796" s="331">
        <f>D796</f>
      </c>
      <c r="Q796" s="169"/>
      <c r="R796" s="1"/>
      <c r="S796" s="217">
        <f>(1+$M$5)^(D796/12)*(IF(E796=$C$6,$Q$4+$H$5*12,0))</f>
      </c>
      <c r="T796" s="217">
        <f>(1+$M$5)^(D796/12)*(IF(YEAR(E796)&gt;YEAR($C$6),L796,0)+IF(E796=$C$6,$H$5*12+$Q$4,0))</f>
      </c>
    </row>
    <row x14ac:dyDescent="0.25" r="797" customHeight="1" ht="18.75">
      <c r="A797" s="1"/>
      <c r="B797" s="7"/>
      <c r="C797" s="170"/>
      <c r="D797" s="331">
        <v>790</v>
      </c>
      <c r="E797" s="544">
        <f>+DATE(YEAR(E796),MONTH(E796)-1,DAY(E796))</f>
        <v>25569.041666666668</v>
      </c>
      <c r="F797" s="333">
        <f>IF(DATE(YEAR($B$6),MONTH($B$6)+1,DAY(1))=E797,1,IF(MONTH(E797)=1,F798*(1+$F$5),F798))</f>
      </c>
      <c r="G797" s="333">
        <f>IF('Simulador - 1º Pilar'!$E$99="Sí",IF('Aportaciones Flex'!$B$13&lt;'Aportaciones Flex'!E797,0,F797*$B$8/12),F797*$B$8/12)</f>
      </c>
      <c r="H797" s="333">
        <f>IF(G797&gt;0,1,0)*$H$5*IF(AND($I$5="NO",YEAR(E797)=YEAR($B$6)+1),1,IF($I$5="SI",1,0))</f>
      </c>
      <c r="I797" s="217">
        <f>(1+$M$5)^(D797/12)*(H797*(12-IF(MONTH(E798)=12,0,MONTH(E798)))+IF(AND(F797=1,F798=0),$Q$4,0))*IF(AND(F797=1,F798=0),1,0)</f>
      </c>
      <c r="J797" s="333">
        <f>(1+$M$5)^(D797/12)*(H797+IF(AND(F797=1,F798=0),$Q$4,0))</f>
      </c>
      <c r="K797" s="351"/>
      <c r="L797" s="333">
        <f>K797+J797</f>
      </c>
      <c r="M797" s="170"/>
      <c r="N797" s="7"/>
      <c r="O797" s="1"/>
      <c r="P797" s="331">
        <f>D797</f>
      </c>
      <c r="Q797" s="169"/>
      <c r="R797" s="1"/>
      <c r="S797" s="217">
        <f>(1+$M$5)^(D797/12)*(IF(E797=$C$6,$Q$4+$H$5*12,0))</f>
      </c>
      <c r="T797" s="217">
        <f>(1+$M$5)^(D797/12)*(IF(YEAR(E797)&gt;YEAR($C$6),L797,0)+IF(E797=$C$6,$H$5*12+$Q$4,0))</f>
      </c>
    </row>
    <row x14ac:dyDescent="0.25" r="798" customHeight="1" ht="18.75">
      <c r="A798" s="1"/>
      <c r="B798" s="7"/>
      <c r="C798" s="170"/>
      <c r="D798" s="331">
        <v>791</v>
      </c>
      <c r="E798" s="544">
        <f>+DATE(YEAR(E797),MONTH(E797)-1,DAY(E797))</f>
        <v>25569.041666666668</v>
      </c>
      <c r="F798" s="333">
        <f>IF(DATE(YEAR($B$6),MONTH($B$6)+1,DAY(1))=E798,1,IF(MONTH(E798)=1,F799*(1+$F$5),F799))</f>
      </c>
      <c r="G798" s="333">
        <f>IF('Simulador - 1º Pilar'!$E$99="Sí",IF('Aportaciones Flex'!$B$13&lt;'Aportaciones Flex'!E798,0,F798*$B$8/12),F798*$B$8/12)</f>
      </c>
      <c r="H798" s="333">
        <f>IF(G798&gt;0,1,0)*$H$5*IF(AND($I$5="NO",YEAR(E798)=YEAR($B$6)+1),1,IF($I$5="SI",1,0))</f>
      </c>
      <c r="I798" s="217">
        <f>(1+$M$5)^(D798/12)*(H798*(12-IF(MONTH(E799)=12,0,MONTH(E799)))+IF(AND(F798=1,F799=0),$Q$4,0))*IF(AND(F798=1,F799=0),1,0)</f>
      </c>
      <c r="J798" s="333">
        <f>(1+$M$5)^(D798/12)*(H798+IF(AND(F798=1,F799=0),$Q$4,0))</f>
      </c>
      <c r="K798" s="351"/>
      <c r="L798" s="333">
        <f>K798+J798</f>
      </c>
      <c r="M798" s="170"/>
      <c r="N798" s="7"/>
      <c r="O798" s="1"/>
      <c r="P798" s="331">
        <f>D798</f>
      </c>
      <c r="Q798" s="169"/>
      <c r="R798" s="1"/>
      <c r="S798" s="217">
        <f>(1+$M$5)^(D798/12)*(IF(E798=$C$6,$Q$4+$H$5*12,0))</f>
      </c>
      <c r="T798" s="217">
        <f>(1+$M$5)^(D798/12)*(IF(YEAR(E798)&gt;YEAR($C$6),L798,0)+IF(E798=$C$6,$H$5*12+$Q$4,0))</f>
      </c>
    </row>
    <row x14ac:dyDescent="0.25" r="799" customHeight="1" ht="18.75">
      <c r="A799" s="1"/>
      <c r="B799" s="7"/>
      <c r="C799" s="170"/>
      <c r="D799" s="331">
        <v>792</v>
      </c>
      <c r="E799" s="544">
        <f>+DATE(YEAR(E798),MONTH(E798)-1,DAY(E798))</f>
        <v>25569.041666666668</v>
      </c>
      <c r="F799" s="333">
        <f>IF(DATE(YEAR($B$6),MONTH($B$6)+1,DAY(1))=E799,1,IF(MONTH(E799)=1,F800*(1+$F$5),F800))</f>
      </c>
      <c r="G799" s="333">
        <f>IF('Simulador - 1º Pilar'!$E$99="Sí",IF('Aportaciones Flex'!$B$13&lt;'Aportaciones Flex'!E799,0,F799*$B$8/12),F799*$B$8/12)</f>
      </c>
      <c r="H799" s="333">
        <f>IF(G799&gt;0,1,0)*$H$5*IF(AND($I$5="NO",YEAR(E799)=YEAR($B$6)+1),1,IF($I$5="SI",1,0))</f>
      </c>
      <c r="I799" s="217">
        <f>(1+$M$5)^(D799/12)*(H799*(12-IF(MONTH(E800)=12,0,MONTH(E800)))+IF(AND(F799=1,F800=0),$Q$4,0))*IF(AND(F799=1,F800=0),1,0)</f>
      </c>
      <c r="J799" s="333">
        <f>(1+$M$5)^(D799/12)*(H799+IF(AND(F799=1,F800=0),$Q$4,0))</f>
      </c>
      <c r="K799" s="351"/>
      <c r="L799" s="333">
        <f>K799+J799</f>
      </c>
      <c r="M799" s="170"/>
      <c r="N799" s="7"/>
      <c r="O799" s="1"/>
      <c r="P799" s="331">
        <f>D799</f>
      </c>
      <c r="Q799" s="169"/>
      <c r="R799" s="1"/>
      <c r="S799" s="217">
        <f>(1+$M$5)^(D799/12)*(IF(E799=$C$6,$Q$4+$H$5*12,0))</f>
      </c>
      <c r="T799" s="217">
        <f>(1+$M$5)^(D799/12)*(IF(YEAR(E799)&gt;YEAR($C$6),L799,0)+IF(E799=$C$6,$H$5*12+$Q$4,0))</f>
      </c>
    </row>
    <row x14ac:dyDescent="0.25" r="800" customHeight="1" ht="18.75">
      <c r="A800" s="1"/>
      <c r="B800" s="7"/>
      <c r="C800" s="170"/>
      <c r="D800" s="331">
        <v>793</v>
      </c>
      <c r="E800" s="544">
        <f>+DATE(YEAR(E799),MONTH(E799)-1,DAY(E799))</f>
        <v>25569.041666666668</v>
      </c>
      <c r="F800" s="333">
        <f>IF(DATE(YEAR($B$6),MONTH($B$6)+1,DAY(1))=E800,1,IF(MONTH(E800)=1,F801*(1+$F$5),F801))</f>
      </c>
      <c r="G800" s="333">
        <f>IF('Simulador - 1º Pilar'!$E$99="Sí",IF('Aportaciones Flex'!$B$13&lt;'Aportaciones Flex'!E800,0,F800*$B$8/12),F800*$B$8/12)</f>
      </c>
      <c r="H800" s="333">
        <f>IF(G800&gt;0,1,0)*$H$5*IF(AND($I$5="NO",YEAR(E800)=YEAR($B$6)+1),1,IF($I$5="SI",1,0))</f>
      </c>
      <c r="I800" s="217">
        <f>(1+$M$5)^(D800/12)*(H800*(12-IF(MONTH(E801)=12,0,MONTH(E801)))+IF(AND(F800=1,F801=0),$Q$4,0))*IF(AND(F800=1,F801=0),1,0)</f>
      </c>
      <c r="J800" s="333">
        <f>(1+$M$5)^(D800/12)*(H800+IF(AND(F800=1,F801=0),$Q$4,0))</f>
      </c>
      <c r="K800" s="351"/>
      <c r="L800" s="333">
        <f>K800+J800</f>
      </c>
      <c r="M800" s="170"/>
      <c r="N800" s="7"/>
      <c r="O800" s="1"/>
      <c r="P800" s="331">
        <f>D800</f>
      </c>
      <c r="Q800" s="169"/>
      <c r="R800" s="1"/>
      <c r="S800" s="217">
        <f>(1+$M$5)^(D800/12)*(IF(E800=$C$6,$Q$4+$H$5*12,0))</f>
      </c>
      <c r="T800" s="217">
        <f>(1+$M$5)^(D800/12)*(IF(YEAR(E800)&gt;YEAR($C$6),L800,0)+IF(E800=$C$6,$H$5*12+$Q$4,0))</f>
      </c>
    </row>
    <row x14ac:dyDescent="0.25" r="801" customHeight="1" ht="18.75">
      <c r="A801" s="1"/>
      <c r="B801" s="7"/>
      <c r="C801" s="170"/>
      <c r="D801" s="331">
        <v>794</v>
      </c>
      <c r="E801" s="544">
        <f>+DATE(YEAR(E800),MONTH(E800)-1,DAY(E800))</f>
        <v>25569.041666666668</v>
      </c>
      <c r="F801" s="333">
        <f>IF(DATE(YEAR($B$6),MONTH($B$6)+1,DAY(1))=E801,1,IF(MONTH(E801)=1,F802*(1+$F$5),F802))</f>
      </c>
      <c r="G801" s="333">
        <f>IF('Simulador - 1º Pilar'!$E$99="Sí",IF('Aportaciones Flex'!$B$13&lt;'Aportaciones Flex'!E801,0,F801*$B$8/12),F801*$B$8/12)</f>
      </c>
      <c r="H801" s="333">
        <f>IF(G801&gt;0,1,0)*$H$5*IF(AND($I$5="NO",YEAR(E801)=YEAR($B$6)+1),1,IF($I$5="SI",1,0))</f>
      </c>
      <c r="I801" s="217">
        <f>(1+$M$5)^(D801/12)*(H801*(12-IF(MONTH(E802)=12,0,MONTH(E802)))+IF(AND(F801=1,F802=0),$Q$4,0))*IF(AND(F801=1,F802=0),1,0)</f>
      </c>
      <c r="J801" s="333">
        <f>(1+$M$5)^(D801/12)*(H801+IF(AND(F801=1,F802=0),$Q$4,0))</f>
      </c>
      <c r="K801" s="351"/>
      <c r="L801" s="333">
        <f>K801+J801</f>
      </c>
      <c r="M801" s="170"/>
      <c r="N801" s="7"/>
      <c r="O801" s="1"/>
      <c r="P801" s="331">
        <f>D801</f>
      </c>
      <c r="Q801" s="169"/>
      <c r="R801" s="1"/>
      <c r="S801" s="217">
        <f>(1+$M$5)^(D801/12)*(IF(E801=$C$6,$Q$4+$H$5*12,0))</f>
      </c>
      <c r="T801" s="217">
        <f>(1+$M$5)^(D801/12)*(IF(YEAR(E801)&gt;YEAR($C$6),L801,0)+IF(E801=$C$6,$H$5*12+$Q$4,0))</f>
      </c>
    </row>
    <row x14ac:dyDescent="0.25" r="802" customHeight="1" ht="18.75">
      <c r="A802" s="1"/>
      <c r="B802" s="7"/>
      <c r="C802" s="170"/>
      <c r="D802" s="331">
        <v>795</v>
      </c>
      <c r="E802" s="544">
        <f>+DATE(YEAR(E801),MONTH(E801)-1,DAY(E801))</f>
        <v>25569.041666666668</v>
      </c>
      <c r="F802" s="333">
        <f>IF(DATE(YEAR($B$6),MONTH($B$6)+1,DAY(1))=E802,1,IF(MONTH(E802)=1,F803*(1+$F$5),F803))</f>
      </c>
      <c r="G802" s="333">
        <f>IF('Simulador - 1º Pilar'!$E$99="Sí",IF('Aportaciones Flex'!$B$13&lt;'Aportaciones Flex'!E802,0,F802*$B$8/12),F802*$B$8/12)</f>
      </c>
      <c r="H802" s="333">
        <f>IF(G802&gt;0,1,0)*$H$5*IF(AND($I$5="NO",YEAR(E802)=YEAR($B$6)+1),1,IF($I$5="SI",1,0))</f>
      </c>
      <c r="I802" s="217">
        <f>(1+$M$5)^(D802/12)*(H802*(12-IF(MONTH(E803)=12,0,MONTH(E803)))+IF(AND(F802=1,F803=0),$Q$4,0))*IF(AND(F802=1,F803=0),1,0)</f>
      </c>
      <c r="J802" s="333">
        <f>(1+$M$5)^(D802/12)*(H802+IF(AND(F802=1,F803=0),$Q$4,0))</f>
      </c>
      <c r="K802" s="351"/>
      <c r="L802" s="333">
        <f>K802+J802</f>
      </c>
      <c r="M802" s="170"/>
      <c r="N802" s="7"/>
      <c r="O802" s="1"/>
      <c r="P802" s="331">
        <f>D802</f>
      </c>
      <c r="Q802" s="169"/>
      <c r="R802" s="1"/>
      <c r="S802" s="217">
        <f>(1+$M$5)^(D802/12)*(IF(E802=$C$6,$Q$4+$H$5*12,0))</f>
      </c>
      <c r="T802" s="217">
        <f>(1+$M$5)^(D802/12)*(IF(YEAR(E802)&gt;YEAR($C$6),L802,0)+IF(E802=$C$6,$H$5*12+$Q$4,0))</f>
      </c>
    </row>
    <row x14ac:dyDescent="0.25" r="803" customHeight="1" ht="18.75">
      <c r="A803" s="1"/>
      <c r="B803" s="7"/>
      <c r="C803" s="170"/>
      <c r="D803" s="331">
        <v>796</v>
      </c>
      <c r="E803" s="544">
        <f>+DATE(YEAR(E802),MONTH(E802)-1,DAY(E802))</f>
        <v>25569.041666666668</v>
      </c>
      <c r="F803" s="333">
        <f>IF(DATE(YEAR($B$6),MONTH($B$6)+1,DAY(1))=E803,1,IF(MONTH(E803)=1,F804*(1+$F$5),F804))</f>
      </c>
      <c r="G803" s="333">
        <f>IF('Simulador - 1º Pilar'!$E$99="Sí",IF('Aportaciones Flex'!$B$13&lt;'Aportaciones Flex'!E803,0,F803*$B$8/12),F803*$B$8/12)</f>
      </c>
      <c r="H803" s="333">
        <f>IF(G803&gt;0,1,0)*$H$5*IF(AND($I$5="NO",YEAR(E803)=YEAR($B$6)+1),1,IF($I$5="SI",1,0))</f>
      </c>
      <c r="I803" s="217">
        <f>(1+$M$5)^(D803/12)*(H803*(12-IF(MONTH(E804)=12,0,MONTH(E804)))+IF(AND(F803=1,F804=0),$Q$4,0))*IF(AND(F803=1,F804=0),1,0)</f>
      </c>
      <c r="J803" s="333">
        <f>(1+$M$5)^(D803/12)*(H803+IF(AND(F803=1,F804=0),$Q$4,0))</f>
      </c>
      <c r="K803" s="351"/>
      <c r="L803" s="333">
        <f>K803+J803</f>
      </c>
      <c r="M803" s="170"/>
      <c r="N803" s="7"/>
      <c r="O803" s="1"/>
      <c r="P803" s="331">
        <f>D803</f>
      </c>
      <c r="Q803" s="169"/>
      <c r="R803" s="1"/>
      <c r="S803" s="217">
        <f>(1+$M$5)^(D803/12)*(IF(E803=$C$6,$Q$4+$H$5*12,0))</f>
      </c>
      <c r="T803" s="217">
        <f>(1+$M$5)^(D803/12)*(IF(YEAR(E803)&gt;YEAR($C$6),L803,0)+IF(E803=$C$6,$H$5*12+$Q$4,0))</f>
      </c>
    </row>
    <row x14ac:dyDescent="0.25" r="804" customHeight="1" ht="18.75">
      <c r="A804" s="1"/>
      <c r="B804" s="7"/>
      <c r="C804" s="170"/>
      <c r="D804" s="331">
        <v>797</v>
      </c>
      <c r="E804" s="544">
        <f>+DATE(YEAR(E803),MONTH(E803)-1,DAY(E803))</f>
        <v>25569.041666666668</v>
      </c>
      <c r="F804" s="333">
        <f>IF(DATE(YEAR($B$6),MONTH($B$6)+1,DAY(1))=E804,1,IF(MONTH(E804)=1,F805*(1+$F$5),F805))</f>
      </c>
      <c r="G804" s="333">
        <f>IF('Simulador - 1º Pilar'!$E$99="Sí",IF('Aportaciones Flex'!$B$13&lt;'Aportaciones Flex'!E804,0,F804*$B$8/12),F804*$B$8/12)</f>
      </c>
      <c r="H804" s="333">
        <f>IF(G804&gt;0,1,0)*$H$5*IF(AND($I$5="NO",YEAR(E804)=YEAR($B$6)+1),1,IF($I$5="SI",1,0))</f>
      </c>
      <c r="I804" s="217">
        <f>(1+$M$5)^(D804/12)*(H804*(12-IF(MONTH(E805)=12,0,MONTH(E805)))+IF(AND(F804=1,F805=0),$Q$4,0))*IF(AND(F804=1,F805=0),1,0)</f>
      </c>
      <c r="J804" s="333">
        <f>(1+$M$5)^(D804/12)*(H804+IF(AND(F804=1,F805=0),$Q$4,0))</f>
      </c>
      <c r="K804" s="351"/>
      <c r="L804" s="333">
        <f>K804+J804</f>
      </c>
      <c r="M804" s="170"/>
      <c r="N804" s="7"/>
      <c r="O804" s="1"/>
      <c r="P804" s="331">
        <f>D804</f>
      </c>
      <c r="Q804" s="169"/>
      <c r="R804" s="1"/>
      <c r="S804" s="217">
        <f>(1+$M$5)^(D804/12)*(IF(E804=$C$6,$Q$4+$H$5*12,0))</f>
      </c>
      <c r="T804" s="217">
        <f>(1+$M$5)^(D804/12)*(IF(YEAR(E804)&gt;YEAR($C$6),L804,0)+IF(E804=$C$6,$H$5*12+$Q$4,0))</f>
      </c>
    </row>
    <row x14ac:dyDescent="0.25" r="805" customHeight="1" ht="18.75">
      <c r="A805" s="1"/>
      <c r="B805" s="7"/>
      <c r="C805" s="170"/>
      <c r="D805" s="331">
        <v>798</v>
      </c>
      <c r="E805" s="544">
        <f>+DATE(YEAR(E804),MONTH(E804)-1,DAY(E804))</f>
        <v>25569.041666666668</v>
      </c>
      <c r="F805" s="333">
        <f>IF(DATE(YEAR($B$6),MONTH($B$6)+1,DAY(1))=E805,1,IF(MONTH(E805)=1,F806*(1+$F$5),F806))</f>
      </c>
      <c r="G805" s="333">
        <f>IF('Simulador - 1º Pilar'!$E$99="Sí",IF('Aportaciones Flex'!$B$13&lt;'Aportaciones Flex'!E805,0,F805*$B$8/12),F805*$B$8/12)</f>
      </c>
      <c r="H805" s="333">
        <f>IF(G805&gt;0,1,0)*$H$5*IF(AND($I$5="NO",YEAR(E805)=YEAR($B$6)+1),1,IF($I$5="SI",1,0))</f>
      </c>
      <c r="I805" s="217">
        <f>(1+$M$5)^(D805/12)*(H805*(12-IF(MONTH(E806)=12,0,MONTH(E806)))+IF(AND(F805=1,F806=0),$Q$4,0))*IF(AND(F805=1,F806=0),1,0)</f>
      </c>
      <c r="J805" s="333">
        <f>(1+$M$5)^(D805/12)*(H805+IF(AND(F805=1,F806=0),$Q$4,0))</f>
      </c>
      <c r="K805" s="351"/>
      <c r="L805" s="333">
        <f>K805+J805</f>
      </c>
      <c r="M805" s="170"/>
      <c r="N805" s="7"/>
      <c r="O805" s="1"/>
      <c r="P805" s="331">
        <f>D805</f>
      </c>
      <c r="Q805" s="169"/>
      <c r="R805" s="1"/>
      <c r="S805" s="217">
        <f>(1+$M$5)^(D805/12)*(IF(E805=$C$6,$Q$4+$H$5*12,0))</f>
      </c>
      <c r="T805" s="217">
        <f>(1+$M$5)^(D805/12)*(IF(YEAR(E805)&gt;YEAR($C$6),L805,0)+IF(E805=$C$6,$H$5*12+$Q$4,0))</f>
      </c>
    </row>
    <row x14ac:dyDescent="0.25" r="806" customHeight="1" ht="18.75">
      <c r="A806" s="1"/>
      <c r="B806" s="7"/>
      <c r="C806" s="170"/>
      <c r="D806" s="331">
        <v>799</v>
      </c>
      <c r="E806" s="544">
        <f>+DATE(YEAR(E805),MONTH(E805)-1,DAY(E805))</f>
        <v>25569.041666666668</v>
      </c>
      <c r="F806" s="333">
        <f>IF(DATE(YEAR($B$6),MONTH($B$6)+1,DAY(1))=E806,1,IF(MONTH(E806)=1,F807*(1+$F$5),F807))</f>
      </c>
      <c r="G806" s="333">
        <f>IF('Simulador - 1º Pilar'!$E$99="Sí",IF('Aportaciones Flex'!$B$13&lt;'Aportaciones Flex'!E806,0,F806*$B$8/12),F806*$B$8/12)</f>
      </c>
      <c r="H806" s="333">
        <f>IF(G806&gt;0,1,0)*$H$5*IF(AND($I$5="NO",YEAR(E806)=YEAR($B$6)+1),1,IF($I$5="SI",1,0))</f>
      </c>
      <c r="I806" s="217">
        <f>(1+$M$5)^(D806/12)*(H806*(12-IF(MONTH(E807)=12,0,MONTH(E807)))+IF(AND(F806=1,F807=0),$Q$4,0))*IF(AND(F806=1,F807=0),1,0)</f>
      </c>
      <c r="J806" s="333">
        <f>(1+$M$5)^(D806/12)*(H806+IF(AND(F806=1,F807=0),$Q$4,0))</f>
      </c>
      <c r="K806" s="351"/>
      <c r="L806" s="333">
        <f>K806+J806</f>
      </c>
      <c r="M806" s="170"/>
      <c r="N806" s="7"/>
      <c r="O806" s="1"/>
      <c r="P806" s="331">
        <f>D806</f>
      </c>
      <c r="Q806" s="169"/>
      <c r="R806" s="1"/>
      <c r="S806" s="217">
        <f>(1+$M$5)^(D806/12)*(IF(E806=$C$6,$Q$4+$H$5*12,0))</f>
      </c>
      <c r="T806" s="217">
        <f>(1+$M$5)^(D806/12)*(IF(YEAR(E806)&gt;YEAR($C$6),L806,0)+IF(E806=$C$6,$H$5*12+$Q$4,0))</f>
      </c>
    </row>
    <row x14ac:dyDescent="0.25" r="807" customHeight="1" ht="18.75">
      <c r="A807" s="1"/>
      <c r="B807" s="7"/>
      <c r="C807" s="170"/>
      <c r="D807" s="331">
        <v>800</v>
      </c>
      <c r="E807" s="544">
        <f>+DATE(YEAR(E806),MONTH(E806)-1,DAY(E806))</f>
        <v>25569.041666666668</v>
      </c>
      <c r="F807" s="333">
        <f>IF(DATE(YEAR($B$6),MONTH($B$6)+1,DAY(1))=E807,1,IF(MONTH(E807)=1,F808*(1+$F$5),F808))</f>
      </c>
      <c r="G807" s="333">
        <f>IF('Simulador - 1º Pilar'!$E$99="Sí",IF('Aportaciones Flex'!$B$13&lt;'Aportaciones Flex'!E807,0,F807*$B$8/12),F807*$B$8/12)</f>
      </c>
      <c r="H807" s="333">
        <f>IF(G807&gt;0,1,0)*$H$5*IF(AND($I$5="NO",YEAR(E807)=YEAR($B$6)+1),1,IF($I$5="SI",1,0))</f>
      </c>
      <c r="I807" s="217">
        <f>(1+$M$5)^(D807/12)*(H807*(12-IF(MONTH(E808)=12,0,MONTH(E808)))+IF(AND(F807=1,F808=0),$Q$4,0))*IF(AND(F807=1,F808=0),1,0)</f>
      </c>
      <c r="J807" s="333">
        <f>(1+$M$5)^(D807/12)*(H807+IF(AND(F807=1,F808=0),$Q$4,0))</f>
      </c>
      <c r="K807" s="351"/>
      <c r="L807" s="333">
        <f>K807+J807</f>
      </c>
      <c r="M807" s="170"/>
      <c r="N807" s="7"/>
      <c r="O807" s="1"/>
      <c r="P807" s="331">
        <f>D807</f>
      </c>
      <c r="Q807" s="169"/>
      <c r="R807" s="1"/>
      <c r="S807" s="217">
        <f>(1+$M$5)^(D807/12)*(IF(E807=$C$6,$Q$4+$H$5*12,0))</f>
      </c>
      <c r="T807" s="217">
        <f>(1+$M$5)^(D807/12)*(IF(YEAR(E807)&gt;YEAR($C$6),L807,0)+IF(E807=$C$6,$H$5*12+$Q$4,0))</f>
      </c>
    </row>
    <row x14ac:dyDescent="0.25" r="808" customHeight="1" ht="18.75">
      <c r="A808" s="1"/>
      <c r="B808" s="7"/>
      <c r="C808" s="170"/>
      <c r="D808" s="331">
        <v>801</v>
      </c>
      <c r="E808" s="544">
        <f>+DATE(YEAR(E807),MONTH(E807)-1,DAY(E807))</f>
        <v>25569.041666666668</v>
      </c>
      <c r="F808" s="333">
        <f>IF(DATE(YEAR($B$6),MONTH($B$6)+1,DAY(1))=E808,1,IF(MONTH(E808)=1,F809*(1+$F$5),F809))</f>
      </c>
      <c r="G808" s="333">
        <f>IF('Simulador - 1º Pilar'!$E$99="Sí",IF('Aportaciones Flex'!$B$13&lt;'Aportaciones Flex'!E808,0,F808*$B$8/12),F808*$B$8/12)</f>
      </c>
      <c r="H808" s="333">
        <f>IF(G808&gt;0,1,0)*$H$5*IF(AND($I$5="NO",YEAR(E808)=YEAR($B$6)+1),1,IF($I$5="SI",1,0))</f>
      </c>
      <c r="I808" s="217">
        <f>(1+$M$5)^(D808/12)*(H808*(12-IF(MONTH(E809)=12,0,MONTH(E809)))+IF(AND(F808=1,F809=0),$Q$4,0))*IF(AND(F808=1,F809=0),1,0)</f>
      </c>
      <c r="J808" s="333">
        <f>(1+$M$5)^(D808/12)*(H808+IF(AND(F808=1,F809=0),$Q$4,0))</f>
      </c>
      <c r="K808" s="351"/>
      <c r="L808" s="333">
        <f>K808+J808</f>
      </c>
      <c r="M808" s="170"/>
      <c r="N808" s="7"/>
      <c r="O808" s="1"/>
      <c r="P808" s="331">
        <f>D808</f>
      </c>
      <c r="Q808" s="169"/>
      <c r="R808" s="1"/>
      <c r="S808" s="217">
        <f>(1+$M$5)^(D808/12)*(IF(E808=$C$6,$Q$4+$H$5*12,0))</f>
      </c>
      <c r="T808" s="217">
        <f>(1+$M$5)^(D808/12)*(IF(YEAR(E808)&gt;YEAR($C$6),L808,0)+IF(E808=$C$6,$H$5*12+$Q$4,0))</f>
      </c>
    </row>
    <row x14ac:dyDescent="0.25" r="809" customHeight="1" ht="18.75">
      <c r="A809" s="1"/>
      <c r="B809" s="7"/>
      <c r="C809" s="170"/>
      <c r="D809" s="331">
        <v>802</v>
      </c>
      <c r="E809" s="544">
        <f>+DATE(YEAR(E808),MONTH(E808)-1,DAY(E808))</f>
        <v>25569.041666666668</v>
      </c>
      <c r="F809" s="333">
        <f>IF(DATE(YEAR($B$6),MONTH($B$6)+1,DAY(1))=E809,1,IF(MONTH(E809)=1,F810*(1+$F$5),F810))</f>
      </c>
      <c r="G809" s="333">
        <f>IF('Simulador - 1º Pilar'!$E$99="Sí",IF('Aportaciones Flex'!$B$13&lt;'Aportaciones Flex'!E809,0,F809*$B$8/12),F809*$B$8/12)</f>
      </c>
      <c r="H809" s="333">
        <f>IF(G809&gt;0,1,0)*$H$5*IF(AND($I$5="NO",YEAR(E809)=YEAR($B$6)+1),1,IF($I$5="SI",1,0))</f>
      </c>
      <c r="I809" s="217">
        <f>(1+$M$5)^(D809/12)*(H809*(12-IF(MONTH(E810)=12,0,MONTH(E810)))+IF(AND(F809=1,F810=0),$Q$4,0))*IF(AND(F809=1,F810=0),1,0)</f>
      </c>
      <c r="J809" s="333">
        <f>(1+$M$5)^(D809/12)*(H809+IF(AND(F809=1,F810=0),$Q$4,0))</f>
      </c>
      <c r="K809" s="351"/>
      <c r="L809" s="333">
        <f>K809+J809</f>
      </c>
      <c r="M809" s="170"/>
      <c r="N809" s="7"/>
      <c r="O809" s="1"/>
      <c r="P809" s="331">
        <f>D809</f>
      </c>
      <c r="Q809" s="169"/>
      <c r="R809" s="1"/>
      <c r="S809" s="217">
        <f>(1+$M$5)^(D809/12)*(IF(E809=$C$6,$Q$4+$H$5*12,0))</f>
      </c>
      <c r="T809" s="217">
        <f>(1+$M$5)^(D809/12)*(IF(YEAR(E809)&gt;YEAR($C$6),L809,0)+IF(E809=$C$6,$H$5*12+$Q$4,0))</f>
      </c>
    </row>
    <row x14ac:dyDescent="0.25" r="810" customHeight="1" ht="18.75">
      <c r="A810" s="1"/>
      <c r="B810" s="7"/>
      <c r="C810" s="170"/>
      <c r="D810" s="331">
        <v>803</v>
      </c>
      <c r="E810" s="544">
        <f>+DATE(YEAR(E809),MONTH(E809)-1,DAY(E809))</f>
        <v>25569.041666666668</v>
      </c>
      <c r="F810" s="333">
        <f>IF(DATE(YEAR($B$6),MONTH($B$6)+1,DAY(1))=E810,1,IF(MONTH(E810)=1,F811*(1+$F$5),F811))</f>
      </c>
      <c r="G810" s="333">
        <f>IF('Simulador - 1º Pilar'!$E$99="Sí",IF('Aportaciones Flex'!$B$13&lt;'Aportaciones Flex'!E810,0,F810*$B$8/12),F810*$B$8/12)</f>
      </c>
      <c r="H810" s="333">
        <f>IF(G810&gt;0,1,0)*$H$5*IF(AND($I$5="NO",YEAR(E810)=YEAR($B$6)+1),1,IF($I$5="SI",1,0))</f>
      </c>
      <c r="I810" s="217">
        <f>(1+$M$5)^(D810/12)*(H810*(12-IF(MONTH(E811)=12,0,MONTH(E811)))+IF(AND(F810=1,F811=0),$Q$4,0))*IF(AND(F810=1,F811=0),1,0)</f>
      </c>
      <c r="J810" s="333">
        <f>(1+$M$5)^(D810/12)*(H810+IF(AND(F810=1,F811=0),$Q$4,0))</f>
      </c>
      <c r="K810" s="351"/>
      <c r="L810" s="333">
        <f>K810+J810</f>
      </c>
      <c r="M810" s="170"/>
      <c r="N810" s="7"/>
      <c r="O810" s="1"/>
      <c r="P810" s="331">
        <f>D810</f>
      </c>
      <c r="Q810" s="169"/>
      <c r="R810" s="1"/>
      <c r="S810" s="217">
        <f>(1+$M$5)^(D810/12)*(IF(E810=$C$6,$Q$4+$H$5*12,0))</f>
      </c>
      <c r="T810" s="217">
        <f>(1+$M$5)^(D810/12)*(IF(YEAR(E810)&gt;YEAR($C$6),L810,0)+IF(E810=$C$6,$H$5*12+$Q$4,0))</f>
      </c>
    </row>
    <row x14ac:dyDescent="0.25" r="811" customHeight="1" ht="18.75">
      <c r="A811" s="1"/>
      <c r="B811" s="7"/>
      <c r="C811" s="170"/>
      <c r="D811" s="331">
        <v>804</v>
      </c>
      <c r="E811" s="544">
        <f>+DATE(YEAR(E810),MONTH(E810)-1,DAY(E810))</f>
        <v>25569.041666666668</v>
      </c>
      <c r="F811" s="333">
        <f>IF(DATE(YEAR($B$6),MONTH($B$6)+1,DAY(1))=E811,1,IF(MONTH(E811)=1,F812*(1+$F$5),F812))</f>
      </c>
      <c r="G811" s="333">
        <f>IF('Simulador - 1º Pilar'!$E$99="Sí",IF('Aportaciones Flex'!$B$13&lt;'Aportaciones Flex'!E811,0,F811*$B$8/12),F811*$B$8/12)</f>
      </c>
      <c r="H811" s="333">
        <f>IF(G811&gt;0,1,0)*$H$5*IF(AND($I$5="NO",YEAR(E811)=YEAR($B$6)+1),1,IF($I$5="SI",1,0))</f>
      </c>
      <c r="I811" s="217">
        <f>(1+$M$5)^(D811/12)*(H811*(12-IF(MONTH(E812)=12,0,MONTH(E812)))+IF(AND(F811=1,F812=0),$Q$4,0))*IF(AND(F811=1,F812=0),1,0)</f>
      </c>
      <c r="J811" s="333">
        <f>(1+$M$5)^(D811/12)*(H811+IF(AND(F811=1,F812=0),$Q$4,0))</f>
      </c>
      <c r="K811" s="351"/>
      <c r="L811" s="333">
        <f>K811+J811</f>
      </c>
      <c r="M811" s="170"/>
      <c r="N811" s="7"/>
      <c r="O811" s="1"/>
      <c r="P811" s="331">
        <f>D811</f>
      </c>
      <c r="Q811" s="169"/>
      <c r="R811" s="1"/>
      <c r="S811" s="217">
        <f>(1+$M$5)^(D811/12)*(IF(E811=$C$6,$Q$4+$H$5*12,0))</f>
      </c>
      <c r="T811" s="217">
        <f>(1+$M$5)^(D811/12)*(IF(YEAR(E811)&gt;YEAR($C$6),L811,0)+IF(E811=$C$6,$H$5*12+$Q$4,0))</f>
      </c>
    </row>
    <row x14ac:dyDescent="0.25" r="812" customHeight="1" ht="18.75">
      <c r="A812" s="1"/>
      <c r="B812" s="7"/>
      <c r="C812" s="170"/>
      <c r="D812" s="331">
        <v>805</v>
      </c>
      <c r="E812" s="544">
        <f>+DATE(YEAR(E811),MONTH(E811)-1,DAY(E811))</f>
        <v>25569.041666666668</v>
      </c>
      <c r="F812" s="333">
        <f>IF(DATE(YEAR($B$6),MONTH($B$6)+1,DAY(1))=E812,1,IF(MONTH(E812)=1,F813*(1+$F$5),F813))</f>
      </c>
      <c r="G812" s="333">
        <f>IF('Simulador - 1º Pilar'!$E$99="Sí",IF('Aportaciones Flex'!$B$13&lt;'Aportaciones Flex'!E812,0,F812*$B$8/12),F812*$B$8/12)</f>
      </c>
      <c r="H812" s="333">
        <f>IF(G812&gt;0,1,0)*$H$5*IF(AND($I$5="NO",YEAR(E812)=YEAR($B$6)+1),1,IF($I$5="SI",1,0))</f>
      </c>
      <c r="I812" s="217">
        <f>(1+$M$5)^(D812/12)*(H812*(12-IF(MONTH(E813)=12,0,MONTH(E813)))+IF(AND(F812=1,F813=0),$Q$4,0))*IF(AND(F812=1,F813=0),1,0)</f>
      </c>
      <c r="J812" s="333">
        <f>(1+$M$5)^(D812/12)*(H812+IF(AND(F812=1,F813=0),$Q$4,0))</f>
      </c>
      <c r="K812" s="351"/>
      <c r="L812" s="333">
        <f>K812+J812</f>
      </c>
      <c r="M812" s="170"/>
      <c r="N812" s="7"/>
      <c r="O812" s="1"/>
      <c r="P812" s="331">
        <f>D812</f>
      </c>
      <c r="Q812" s="169"/>
      <c r="R812" s="1"/>
      <c r="S812" s="217">
        <f>(1+$M$5)^(D812/12)*(IF(E812=$C$6,$Q$4+$H$5*12,0))</f>
      </c>
      <c r="T812" s="217">
        <f>(1+$M$5)^(D812/12)*(IF(YEAR(E812)&gt;YEAR($C$6),L812,0)+IF(E812=$C$6,$H$5*12+$Q$4,0))</f>
      </c>
    </row>
    <row x14ac:dyDescent="0.25" r="813" customHeight="1" ht="18.75">
      <c r="A813" s="1"/>
      <c r="B813" s="7"/>
      <c r="C813" s="170"/>
      <c r="D813" s="331">
        <v>806</v>
      </c>
      <c r="E813" s="544">
        <f>+DATE(YEAR(E812),MONTH(E812)-1,DAY(E812))</f>
        <v>25569.041666666668</v>
      </c>
      <c r="F813" s="333">
        <f>IF(DATE(YEAR($B$6),MONTH($B$6)+1,DAY(1))=E813,1,IF(MONTH(E813)=1,F814*(1+$F$5),F814))</f>
      </c>
      <c r="G813" s="333">
        <f>IF('Simulador - 1º Pilar'!$E$99="Sí",IF('Aportaciones Flex'!$B$13&lt;'Aportaciones Flex'!E813,0,F813*$B$8/12),F813*$B$8/12)</f>
      </c>
      <c r="H813" s="333">
        <f>IF(G813&gt;0,1,0)*$H$5*IF(AND($I$5="NO",YEAR(E813)=YEAR($B$6)+1),1,IF($I$5="SI",1,0))</f>
      </c>
      <c r="I813" s="217">
        <f>(1+$M$5)^(D813/12)*(H813*(12-IF(MONTH(E814)=12,0,MONTH(E814)))+IF(AND(F813=1,F814=0),$Q$4,0))*IF(AND(F813=1,F814=0),1,0)</f>
      </c>
      <c r="J813" s="333">
        <f>(1+$M$5)^(D813/12)*(H813+IF(AND(F813=1,F814=0),$Q$4,0))</f>
      </c>
      <c r="K813" s="351"/>
      <c r="L813" s="333">
        <f>K813+J813</f>
      </c>
      <c r="M813" s="170"/>
      <c r="N813" s="7"/>
      <c r="O813" s="1"/>
      <c r="P813" s="331">
        <f>D813</f>
      </c>
      <c r="Q813" s="169"/>
      <c r="R813" s="1"/>
      <c r="S813" s="217">
        <f>(1+$M$5)^(D813/12)*(IF(E813=$C$6,$Q$4+$H$5*12,0))</f>
      </c>
      <c r="T813" s="217">
        <f>(1+$M$5)^(D813/12)*(IF(YEAR(E813)&gt;YEAR($C$6),L813,0)+IF(E813=$C$6,$H$5*12+$Q$4,0))</f>
      </c>
    </row>
    <row x14ac:dyDescent="0.25" r="814" customHeight="1" ht="18.75">
      <c r="A814" s="1"/>
      <c r="B814" s="7"/>
      <c r="C814" s="170"/>
      <c r="D814" s="331">
        <v>807</v>
      </c>
      <c r="E814" s="544">
        <f>+DATE(YEAR(E813),MONTH(E813)-1,DAY(E813))</f>
        <v>25569.041666666668</v>
      </c>
      <c r="F814" s="333">
        <f>IF(DATE(YEAR($B$6),MONTH($B$6)+1,DAY(1))=E814,1,IF(MONTH(E814)=1,F815*(1+$F$5),F815))</f>
      </c>
      <c r="G814" s="333">
        <f>IF('Simulador - 1º Pilar'!$E$99="Sí",IF('Aportaciones Flex'!$B$13&lt;'Aportaciones Flex'!E814,0,F814*$B$8/12),F814*$B$8/12)</f>
      </c>
      <c r="H814" s="333">
        <f>IF(G814&gt;0,1,0)*$H$5*IF(AND($I$5="NO",YEAR(E814)=YEAR($B$6)+1),1,IF($I$5="SI",1,0))</f>
      </c>
      <c r="I814" s="217">
        <f>(1+$M$5)^(D814/12)*(H814*(12-IF(MONTH(E815)=12,0,MONTH(E815)))+IF(AND(F814=1,F815=0),$Q$4,0))*IF(AND(F814=1,F815=0),1,0)</f>
      </c>
      <c r="J814" s="333">
        <f>(1+$M$5)^(D814/12)*(H814+IF(AND(F814=1,F815=0),$Q$4,0))</f>
      </c>
      <c r="K814" s="351"/>
      <c r="L814" s="333">
        <f>K814+J814</f>
      </c>
      <c r="M814" s="170"/>
      <c r="N814" s="7"/>
      <c r="O814" s="1"/>
      <c r="P814" s="331">
        <f>D814</f>
      </c>
      <c r="Q814" s="169"/>
      <c r="R814" s="1"/>
      <c r="S814" s="217">
        <f>(1+$M$5)^(D814/12)*(IF(E814=$C$6,$Q$4+$H$5*12,0))</f>
      </c>
      <c r="T814" s="217">
        <f>(1+$M$5)^(D814/12)*(IF(YEAR(E814)&gt;YEAR($C$6),L814,0)+IF(E814=$C$6,$H$5*12+$Q$4,0))</f>
      </c>
    </row>
    <row x14ac:dyDescent="0.25" r="815" customHeight="1" ht="18.75">
      <c r="A815" s="1"/>
      <c r="B815" s="7"/>
      <c r="C815" s="170"/>
      <c r="D815" s="331">
        <v>808</v>
      </c>
      <c r="E815" s="544">
        <f>+DATE(YEAR(E814),MONTH(E814)-1,DAY(E814))</f>
        <v>25569.041666666668</v>
      </c>
      <c r="F815" s="333">
        <f>IF(DATE(YEAR($B$6),MONTH($B$6)+1,DAY(1))=E815,1,IF(MONTH(E815)=1,F816*(1+$F$5),F816))</f>
      </c>
      <c r="G815" s="333">
        <f>IF('Simulador - 1º Pilar'!$E$99="Sí",IF('Aportaciones Flex'!$B$13&lt;'Aportaciones Flex'!E815,0,F815*$B$8/12),F815*$B$8/12)</f>
      </c>
      <c r="H815" s="333">
        <f>IF(G815&gt;0,1,0)*$H$5*IF(AND($I$5="NO",YEAR(E815)=YEAR($B$6)+1),1,IF($I$5="SI",1,0))</f>
      </c>
      <c r="I815" s="217">
        <f>(1+$M$5)^(D815/12)*(H815*(12-IF(MONTH(E816)=12,0,MONTH(E816)))+IF(AND(F815=1,F816=0),$Q$4,0))*IF(AND(F815=1,F816=0),1,0)</f>
      </c>
      <c r="J815" s="333">
        <f>(1+$M$5)^(D815/12)*(H815+IF(AND(F815=1,F816=0),$Q$4,0))</f>
      </c>
      <c r="K815" s="351"/>
      <c r="L815" s="333">
        <f>K815+J815</f>
      </c>
      <c r="M815" s="170"/>
      <c r="N815" s="7"/>
      <c r="O815" s="1"/>
      <c r="P815" s="331">
        <f>D815</f>
      </c>
      <c r="Q815" s="169"/>
      <c r="R815" s="1"/>
      <c r="S815" s="217">
        <f>(1+$M$5)^(D815/12)*(IF(E815=$C$6,$Q$4+$H$5*12,0))</f>
      </c>
      <c r="T815" s="217">
        <f>(1+$M$5)^(D815/12)*(IF(YEAR(E815)&gt;YEAR($C$6),L815,0)+IF(E815=$C$6,$H$5*12+$Q$4,0))</f>
      </c>
    </row>
    <row x14ac:dyDescent="0.25" r="816" customHeight="1" ht="18.75">
      <c r="A816" s="1"/>
      <c r="B816" s="7"/>
      <c r="C816" s="170"/>
      <c r="D816" s="331">
        <v>809</v>
      </c>
      <c r="E816" s="544">
        <f>+DATE(YEAR(E815),MONTH(E815)-1,DAY(E815))</f>
        <v>25569.041666666668</v>
      </c>
      <c r="F816" s="333">
        <f>IF(DATE(YEAR($B$6),MONTH($B$6)+1,DAY(1))=E816,1,IF(MONTH(E816)=1,F817*(1+$F$5),F817))</f>
      </c>
      <c r="G816" s="333">
        <f>IF('Simulador - 1º Pilar'!$E$99="Sí",IF('Aportaciones Flex'!$B$13&lt;'Aportaciones Flex'!E816,0,F816*$B$8/12),F816*$B$8/12)</f>
      </c>
      <c r="H816" s="333">
        <f>IF(G816&gt;0,1,0)*$H$5*IF(AND($I$5="NO",YEAR(E816)=YEAR($B$6)+1),1,IF($I$5="SI",1,0))</f>
      </c>
      <c r="I816" s="217">
        <f>(1+$M$5)^(D816/12)*(H816*(12-IF(MONTH(E817)=12,0,MONTH(E817)))+IF(AND(F816=1,F817=0),$Q$4,0))*IF(AND(F816=1,F817=0),1,0)</f>
      </c>
      <c r="J816" s="333">
        <f>(1+$M$5)^(D816/12)*(H816+IF(AND(F816=1,F817=0),$Q$4,0))</f>
      </c>
      <c r="K816" s="351"/>
      <c r="L816" s="333">
        <f>K816+J816</f>
      </c>
      <c r="M816" s="170"/>
      <c r="N816" s="7"/>
      <c r="O816" s="1"/>
      <c r="P816" s="331">
        <f>D816</f>
      </c>
      <c r="Q816" s="169"/>
      <c r="R816" s="1"/>
      <c r="S816" s="217">
        <f>(1+$M$5)^(D816/12)*(IF(E816=$C$6,$Q$4+$H$5*12,0))</f>
      </c>
      <c r="T816" s="217">
        <f>(1+$M$5)^(D816/12)*(IF(YEAR(E816)&gt;YEAR($C$6),L816,0)+IF(E816=$C$6,$H$5*12+$Q$4,0))</f>
      </c>
    </row>
    <row x14ac:dyDescent="0.25" r="817" customHeight="1" ht="18.75">
      <c r="A817" s="1"/>
      <c r="B817" s="7"/>
      <c r="C817" s="170"/>
      <c r="D817" s="331">
        <v>810</v>
      </c>
      <c r="E817" s="544">
        <f>+DATE(YEAR(E816),MONTH(E816)-1,DAY(E816))</f>
        <v>25569.041666666668</v>
      </c>
      <c r="F817" s="333">
        <f>IF(DATE(YEAR($B$6),MONTH($B$6)+1,DAY(1))=E817,1,IF(MONTH(E817)=1,F818*(1+$F$5),F818))</f>
      </c>
      <c r="G817" s="333">
        <f>IF('Simulador - 1º Pilar'!$E$99="Sí",IF('Aportaciones Flex'!$B$13&lt;'Aportaciones Flex'!E817,0,F817*$B$8/12),F817*$B$8/12)</f>
      </c>
      <c r="H817" s="333">
        <f>IF(G817&gt;0,1,0)*$H$5*IF(AND($I$5="NO",YEAR(E817)=YEAR($B$6)+1),1,IF($I$5="SI",1,0))</f>
      </c>
      <c r="I817" s="217">
        <f>(1+$M$5)^(D817/12)*(H817*(12-IF(MONTH(E818)=12,0,MONTH(E818)))+IF(AND(F817=1,F818=0),$Q$4,0))*IF(AND(F817=1,F818=0),1,0)</f>
      </c>
      <c r="J817" s="333">
        <f>(1+$M$5)^(D817/12)*(H817+IF(AND(F817=1,F818=0),$Q$4,0))</f>
      </c>
      <c r="K817" s="351"/>
      <c r="L817" s="333">
        <f>K817+J817</f>
      </c>
      <c r="M817" s="170"/>
      <c r="N817" s="7"/>
      <c r="O817" s="1"/>
      <c r="P817" s="331">
        <f>D817</f>
      </c>
      <c r="Q817" s="169"/>
      <c r="R817" s="1"/>
      <c r="S817" s="217">
        <f>(1+$M$5)^(D817/12)*(IF(E817=$C$6,$Q$4+$H$5*12,0))</f>
      </c>
      <c r="T817" s="217">
        <f>(1+$M$5)^(D817/12)*(IF(YEAR(E817)&gt;YEAR($C$6),L817,0)+IF(E817=$C$6,$H$5*12+$Q$4,0))</f>
      </c>
    </row>
    <row x14ac:dyDescent="0.25" r="818" customHeight="1" ht="18.75">
      <c r="A818" s="1"/>
      <c r="B818" s="7"/>
      <c r="C818" s="170"/>
      <c r="D818" s="331">
        <v>811</v>
      </c>
      <c r="E818" s="544">
        <f>+DATE(YEAR(E817),MONTH(E817)-1,DAY(E817))</f>
        <v>25569.041666666668</v>
      </c>
      <c r="F818" s="333">
        <f>IF(DATE(YEAR($B$6),MONTH($B$6)+1,DAY(1))=E818,1,IF(MONTH(E818)=1,F819*(1+$F$5),F819))</f>
      </c>
      <c r="G818" s="333">
        <f>IF('Simulador - 1º Pilar'!$E$99="Sí",IF('Aportaciones Flex'!$B$13&lt;'Aportaciones Flex'!E818,0,F818*$B$8/12),F818*$B$8/12)</f>
      </c>
      <c r="H818" s="333">
        <f>IF(G818&gt;0,1,0)*$H$5*IF(AND($I$5="NO",YEAR(E818)=YEAR($B$6)+1),1,IF($I$5="SI",1,0))</f>
      </c>
      <c r="I818" s="217">
        <f>(1+$M$5)^(D818/12)*(H818*(12-IF(MONTH(E819)=12,0,MONTH(E819)))+IF(AND(F818=1,F819=0),$Q$4,0))*IF(AND(F818=1,F819=0),1,0)</f>
      </c>
      <c r="J818" s="333">
        <f>(1+$M$5)^(D818/12)*(H818+IF(AND(F818=1,F819=0),$Q$4,0))</f>
      </c>
      <c r="K818" s="351"/>
      <c r="L818" s="333">
        <f>K818+J818</f>
      </c>
      <c r="M818" s="170"/>
      <c r="N818" s="7"/>
      <c r="O818" s="1"/>
      <c r="P818" s="331">
        <f>D818</f>
      </c>
      <c r="Q818" s="169"/>
      <c r="R818" s="1"/>
      <c r="S818" s="217">
        <f>(1+$M$5)^(D818/12)*(IF(E818=$C$6,$Q$4+$H$5*12,0))</f>
      </c>
      <c r="T818" s="217">
        <f>(1+$M$5)^(D818/12)*(IF(YEAR(E818)&gt;YEAR($C$6),L818,0)+IF(E818=$C$6,$H$5*12+$Q$4,0))</f>
      </c>
    </row>
    <row x14ac:dyDescent="0.25" r="819" customHeight="1" ht="18.75">
      <c r="A819" s="1"/>
      <c r="B819" s="7"/>
      <c r="C819" s="170"/>
      <c r="D819" s="331">
        <v>812</v>
      </c>
      <c r="E819" s="544">
        <f>+DATE(YEAR(E818),MONTH(E818)-1,DAY(E818))</f>
        <v>25569.041666666668</v>
      </c>
      <c r="F819" s="333">
        <f>IF(DATE(YEAR($B$6),MONTH($B$6)+1,DAY(1))=E819,1,IF(MONTH(E819)=1,F820*(1+$F$5),F820))</f>
      </c>
      <c r="G819" s="333">
        <f>IF('Simulador - 1º Pilar'!$E$99="Sí",IF('Aportaciones Flex'!$B$13&lt;'Aportaciones Flex'!E819,0,F819*$B$8/12),F819*$B$8/12)</f>
      </c>
      <c r="H819" s="333">
        <f>IF(G819&gt;0,1,0)*$H$5*IF(AND($I$5="NO",YEAR(E819)=YEAR($B$6)+1),1,IF($I$5="SI",1,0))</f>
      </c>
      <c r="I819" s="217">
        <f>(1+$M$5)^(D819/12)*(H819*(12-IF(MONTH(E820)=12,0,MONTH(E820)))+IF(AND(F819=1,F820=0),$Q$4,0))*IF(AND(F819=1,F820=0),1,0)</f>
      </c>
      <c r="J819" s="333">
        <f>(1+$M$5)^(D819/12)*(H819+IF(AND(F819=1,F820=0),$Q$4,0))</f>
      </c>
      <c r="K819" s="351"/>
      <c r="L819" s="333">
        <f>K819+J819</f>
      </c>
      <c r="M819" s="170"/>
      <c r="N819" s="7"/>
      <c r="O819" s="1"/>
      <c r="P819" s="331">
        <f>D819</f>
      </c>
      <c r="Q819" s="169"/>
      <c r="R819" s="1"/>
      <c r="S819" s="217">
        <f>(1+$M$5)^(D819/12)*(IF(E819=$C$6,$Q$4+$H$5*12,0))</f>
      </c>
      <c r="T819" s="217">
        <f>(1+$M$5)^(D819/12)*(IF(YEAR(E819)&gt;YEAR($C$6),L819,0)+IF(E819=$C$6,$H$5*12+$Q$4,0))</f>
      </c>
    </row>
    <row x14ac:dyDescent="0.25" r="820" customHeight="1" ht="18.75">
      <c r="A820" s="1"/>
      <c r="B820" s="7"/>
      <c r="C820" s="170"/>
      <c r="D820" s="331">
        <v>813</v>
      </c>
      <c r="E820" s="544">
        <f>+DATE(YEAR(E819),MONTH(E819)-1,DAY(E819))</f>
        <v>25569.041666666668</v>
      </c>
      <c r="F820" s="333">
        <f>IF(DATE(YEAR($B$6),MONTH($B$6)+1,DAY(1))=E820,1,IF(MONTH(E820)=1,F821*(1+$F$5),F821))</f>
      </c>
      <c r="G820" s="333">
        <f>IF('Simulador - 1º Pilar'!$E$99="Sí",IF('Aportaciones Flex'!$B$13&lt;'Aportaciones Flex'!E820,0,F820*$B$8/12),F820*$B$8/12)</f>
      </c>
      <c r="H820" s="333">
        <f>IF(G820&gt;0,1,0)*$H$5*IF(AND($I$5="NO",YEAR(E820)=YEAR($B$6)+1),1,IF($I$5="SI",1,0))</f>
      </c>
      <c r="I820" s="217">
        <f>(1+$M$5)^(D820/12)*(H820*(12-IF(MONTH(E821)=12,0,MONTH(E821)))+IF(AND(F820=1,F821=0),$Q$4,0))*IF(AND(F820=1,F821=0),1,0)</f>
      </c>
      <c r="J820" s="333">
        <f>(1+$M$5)^(D820/12)*(H820+IF(AND(F820=1,F821=0),$Q$4,0))</f>
      </c>
      <c r="K820" s="351"/>
      <c r="L820" s="333">
        <f>K820+J820</f>
      </c>
      <c r="M820" s="170"/>
      <c r="N820" s="7"/>
      <c r="O820" s="1"/>
      <c r="P820" s="331">
        <f>D820</f>
      </c>
      <c r="Q820" s="169"/>
      <c r="R820" s="1"/>
      <c r="S820" s="217">
        <f>(1+$M$5)^(D820/12)*(IF(E820=$C$6,$Q$4+$H$5*12,0))</f>
      </c>
      <c r="T820" s="217">
        <f>(1+$M$5)^(D820/12)*(IF(YEAR(E820)&gt;YEAR($C$6),L820,0)+IF(E820=$C$6,$H$5*12+$Q$4,0))</f>
      </c>
    </row>
    <row x14ac:dyDescent="0.25" r="821" customHeight="1" ht="18.75">
      <c r="A821" s="1"/>
      <c r="B821" s="7"/>
      <c r="C821" s="170"/>
      <c r="D821" s="331">
        <v>814</v>
      </c>
      <c r="E821" s="544">
        <f>+DATE(YEAR(E820),MONTH(E820)-1,DAY(E820))</f>
        <v>25569.041666666668</v>
      </c>
      <c r="F821" s="333">
        <f>IF(DATE(YEAR($B$6),MONTH($B$6)+1,DAY(1))=E821,1,IF(MONTH(E821)=1,F822*(1+$F$5),F822))</f>
      </c>
      <c r="G821" s="333">
        <f>IF('Simulador - 1º Pilar'!$E$99="Sí",IF('Aportaciones Flex'!$B$13&lt;'Aportaciones Flex'!E821,0,F821*$B$8/12),F821*$B$8/12)</f>
      </c>
      <c r="H821" s="333">
        <f>IF(G821&gt;0,1,0)*$H$5*IF(AND($I$5="NO",YEAR(E821)=YEAR($B$6)+1),1,IF($I$5="SI",1,0))</f>
      </c>
      <c r="I821" s="217">
        <f>(1+$M$5)^(D821/12)*(H821*(12-IF(MONTH(E822)=12,0,MONTH(E822)))+IF(AND(F821=1,F822=0),$Q$4,0))*IF(AND(F821=1,F822=0),1,0)</f>
      </c>
      <c r="J821" s="333">
        <f>(1+$M$5)^(D821/12)*(H821+IF(AND(F821=1,F822=0),$Q$4,0))</f>
      </c>
      <c r="K821" s="351"/>
      <c r="L821" s="333">
        <f>K821+J821</f>
      </c>
      <c r="M821" s="170"/>
      <c r="N821" s="7"/>
      <c r="O821" s="1"/>
      <c r="P821" s="331">
        <f>D821</f>
      </c>
      <c r="Q821" s="169"/>
      <c r="R821" s="1"/>
      <c r="S821" s="217">
        <f>(1+$M$5)^(D821/12)*(IF(E821=$C$6,$Q$4+$H$5*12,0))</f>
      </c>
      <c r="T821" s="217">
        <f>(1+$M$5)^(D821/12)*(IF(YEAR(E821)&gt;YEAR($C$6),L821,0)+IF(E821=$C$6,$H$5*12+$Q$4,0))</f>
      </c>
    </row>
    <row x14ac:dyDescent="0.25" r="822" customHeight="1" ht="18.75">
      <c r="A822" s="1"/>
      <c r="B822" s="7"/>
      <c r="C822" s="170"/>
      <c r="D822" s="331">
        <v>815</v>
      </c>
      <c r="E822" s="544">
        <f>+DATE(YEAR(E821),MONTH(E821)-1,DAY(E821))</f>
        <v>25569.041666666668</v>
      </c>
      <c r="F822" s="333">
        <f>IF(DATE(YEAR($B$6),MONTH($B$6)+1,DAY(1))=E822,1,IF(MONTH(E822)=1,F823*(1+$F$5),F823))</f>
      </c>
      <c r="G822" s="333">
        <f>IF('Simulador - 1º Pilar'!$E$99="Sí",IF('Aportaciones Flex'!$B$13&lt;'Aportaciones Flex'!E822,0,F822*$B$8/12),F822*$B$8/12)</f>
      </c>
      <c r="H822" s="333">
        <f>IF(G822&gt;0,1,0)*$H$5*IF(AND($I$5="NO",YEAR(E822)=YEAR($B$6)+1),1,IF($I$5="SI",1,0))</f>
      </c>
      <c r="I822" s="217">
        <f>(1+$M$5)^(D822/12)*(H822*(12-IF(MONTH(E823)=12,0,MONTH(E823)))+IF(AND(F822=1,F823=0),$Q$4,0))*IF(AND(F822=1,F823=0),1,0)</f>
      </c>
      <c r="J822" s="333">
        <f>(1+$M$5)^(D822/12)*(H822+IF(AND(F822=1,F823=0),$Q$4,0))</f>
      </c>
      <c r="K822" s="351"/>
      <c r="L822" s="333">
        <f>K822+J822</f>
      </c>
      <c r="M822" s="170"/>
      <c r="N822" s="7"/>
      <c r="O822" s="1"/>
      <c r="P822" s="331">
        <f>D822</f>
      </c>
      <c r="Q822" s="169"/>
      <c r="R822" s="1"/>
      <c r="S822" s="217">
        <f>(1+$M$5)^(D822/12)*(IF(E822=$C$6,$Q$4+$H$5*12,0))</f>
      </c>
      <c r="T822" s="217">
        <f>(1+$M$5)^(D822/12)*(IF(YEAR(E822)&gt;YEAR($C$6),L822,0)+IF(E822=$C$6,$H$5*12+$Q$4,0))</f>
      </c>
    </row>
    <row x14ac:dyDescent="0.25" r="823" customHeight="1" ht="18.75">
      <c r="A823" s="1"/>
      <c r="B823" s="7"/>
      <c r="C823" s="170"/>
      <c r="D823" s="331">
        <v>816</v>
      </c>
      <c r="E823" s="544">
        <f>+DATE(YEAR(E822),MONTH(E822)-1,DAY(E822))</f>
        <v>25569.041666666668</v>
      </c>
      <c r="F823" s="333">
        <f>IF(DATE(YEAR($B$6),MONTH($B$6)+1,DAY(1))=E823,1,IF(MONTH(E823)=1,F824*(1+$F$5),F824))</f>
      </c>
      <c r="G823" s="333">
        <f>IF('Simulador - 1º Pilar'!$E$99="Sí",IF('Aportaciones Flex'!$B$13&lt;'Aportaciones Flex'!E823,0,F823*$B$8/12),F823*$B$8/12)</f>
      </c>
      <c r="H823" s="333">
        <f>IF(G823&gt;0,1,0)*$H$5*IF(AND($I$5="NO",YEAR(E823)=YEAR($B$6)+1),1,IF($I$5="SI",1,0))</f>
      </c>
      <c r="I823" s="217">
        <f>(1+$M$5)^(D823/12)*(H823*(12-IF(MONTH(E824)=12,0,MONTH(E824)))+IF(AND(F823=1,F824=0),$Q$4,0))*IF(AND(F823=1,F824=0),1,0)</f>
      </c>
      <c r="J823" s="333">
        <f>(1+$M$5)^(D823/12)*(H823+IF(AND(F823=1,F824=0),$Q$4,0))</f>
      </c>
      <c r="K823" s="351"/>
      <c r="L823" s="333">
        <f>K823+J823</f>
      </c>
      <c r="M823" s="170"/>
      <c r="N823" s="7"/>
      <c r="O823" s="1"/>
      <c r="P823" s="331">
        <f>D823</f>
      </c>
      <c r="Q823" s="169"/>
      <c r="R823" s="1"/>
      <c r="S823" s="217">
        <f>(1+$M$5)^(D823/12)*(IF(E823=$C$6,$Q$4+$H$5*12,0))</f>
      </c>
      <c r="T823" s="217">
        <f>(1+$M$5)^(D823/12)*(IF(YEAR(E823)&gt;YEAR($C$6),L823,0)+IF(E823=$C$6,$H$5*12+$Q$4,0))</f>
      </c>
    </row>
    <row x14ac:dyDescent="0.25" r="824" customHeight="1" ht="18.75">
      <c r="A824" s="1"/>
      <c r="B824" s="7"/>
      <c r="C824" s="170"/>
      <c r="D824" s="331">
        <v>817</v>
      </c>
      <c r="E824" s="544">
        <f>+DATE(YEAR(E823),MONTH(E823)-1,DAY(E823))</f>
        <v>25569.041666666668</v>
      </c>
      <c r="F824" s="333">
        <f>IF(DATE(YEAR($B$6),MONTH($B$6)+1,DAY(1))=E824,1,IF(MONTH(E824)=1,F825*(1+$F$5),F825))</f>
      </c>
      <c r="G824" s="333">
        <f>IF('Simulador - 1º Pilar'!$E$99="Sí",IF('Aportaciones Flex'!$B$13&lt;'Aportaciones Flex'!E824,0,F824*$B$8/12),F824*$B$8/12)</f>
      </c>
      <c r="H824" s="333">
        <f>IF(G824&gt;0,1,0)*$H$5*IF(AND($I$5="NO",YEAR(E824)=YEAR($B$6)+1),1,IF($I$5="SI",1,0))</f>
      </c>
      <c r="I824" s="217">
        <f>(1+$M$5)^(D824/12)*(H824*(12-IF(MONTH(E825)=12,0,MONTH(E825)))+IF(AND(F824=1,F825=0),$Q$4,0))*IF(AND(F824=1,F825=0),1,0)</f>
      </c>
      <c r="J824" s="333">
        <f>(1+$M$5)^(D824/12)*(H824+IF(AND(F824=1,F825=0),$Q$4,0))</f>
      </c>
      <c r="K824" s="351"/>
      <c r="L824" s="333">
        <f>K824+J824</f>
      </c>
      <c r="M824" s="170"/>
      <c r="N824" s="7"/>
      <c r="O824" s="1"/>
      <c r="P824" s="331">
        <f>D824</f>
      </c>
      <c r="Q824" s="169"/>
      <c r="R824" s="1"/>
      <c r="S824" s="217">
        <f>(1+$M$5)^(D824/12)*(IF(E824=$C$6,$Q$4+$H$5*12,0))</f>
      </c>
      <c r="T824" s="217">
        <f>(1+$M$5)^(D824/12)*(IF(YEAR(E824)&gt;YEAR($C$6),L824,0)+IF(E824=$C$6,$H$5*12+$Q$4,0))</f>
      </c>
    </row>
    <row x14ac:dyDescent="0.25" r="825" customHeight="1" ht="18.75">
      <c r="A825" s="1"/>
      <c r="B825" s="7"/>
      <c r="C825" s="170"/>
      <c r="D825" s="331">
        <v>818</v>
      </c>
      <c r="E825" s="544">
        <f>+DATE(YEAR(E824),MONTH(E824)-1,DAY(E824))</f>
        <v>25569.041666666668</v>
      </c>
      <c r="F825" s="333">
        <f>IF(DATE(YEAR($B$6),MONTH($B$6)+1,DAY(1))=E825,1,IF(MONTH(E825)=1,F826*(1+$F$5),F826))</f>
      </c>
      <c r="G825" s="333">
        <f>IF('Simulador - 1º Pilar'!$E$99="Sí",IF('Aportaciones Flex'!$B$13&lt;'Aportaciones Flex'!E825,0,F825*$B$8/12),F825*$B$8/12)</f>
      </c>
      <c r="H825" s="333">
        <f>IF(G825&gt;0,1,0)*$H$5*IF(AND($I$5="NO",YEAR(E825)=YEAR($B$6)+1),1,IF($I$5="SI",1,0))</f>
      </c>
      <c r="I825" s="217">
        <f>(1+$M$5)^(D825/12)*(H825*(12-IF(MONTH(E826)=12,0,MONTH(E826)))+IF(AND(F825=1,F826=0),$Q$4,0))*IF(AND(F825=1,F826=0),1,0)</f>
      </c>
      <c r="J825" s="333">
        <f>(1+$M$5)^(D825/12)*(H825+IF(AND(F825=1,F826=0),$Q$4,0))</f>
      </c>
      <c r="K825" s="351"/>
      <c r="L825" s="333">
        <f>K825+J825</f>
      </c>
      <c r="M825" s="170"/>
      <c r="N825" s="7"/>
      <c r="O825" s="1"/>
      <c r="P825" s="331">
        <f>D825</f>
      </c>
      <c r="Q825" s="169"/>
      <c r="R825" s="1"/>
      <c r="S825" s="217">
        <f>(1+$M$5)^(D825/12)*(IF(E825=$C$6,$Q$4+$H$5*12,0))</f>
      </c>
      <c r="T825" s="217">
        <f>(1+$M$5)^(D825/12)*(IF(YEAR(E825)&gt;YEAR($C$6),L825,0)+IF(E825=$C$6,$H$5*12+$Q$4,0))</f>
      </c>
    </row>
    <row x14ac:dyDescent="0.25" r="826" customHeight="1" ht="18.75">
      <c r="A826" s="1"/>
      <c r="B826" s="7"/>
      <c r="C826" s="170"/>
      <c r="D826" s="331">
        <v>819</v>
      </c>
      <c r="E826" s="544">
        <f>+DATE(YEAR(E825),MONTH(E825)-1,DAY(E825))</f>
        <v>25569.041666666668</v>
      </c>
      <c r="F826" s="333">
        <f>IF(DATE(YEAR($B$6),MONTH($B$6)+1,DAY(1))=E826,1,IF(MONTH(E826)=1,F827*(1+$F$5),F827))</f>
      </c>
      <c r="G826" s="333">
        <f>IF('Simulador - 1º Pilar'!$E$99="Sí",IF('Aportaciones Flex'!$B$13&lt;'Aportaciones Flex'!E826,0,F826*$B$8/12),F826*$B$8/12)</f>
      </c>
      <c r="H826" s="333">
        <f>IF(G826&gt;0,1,0)*$H$5*IF(AND($I$5="NO",YEAR(E826)=YEAR($B$6)+1),1,IF($I$5="SI",1,0))</f>
      </c>
      <c r="I826" s="217">
        <f>(1+$M$5)^(D826/12)*(H826*(12-IF(MONTH(E827)=12,0,MONTH(E827)))+IF(AND(F826=1,F827=0),$Q$4,0))*IF(AND(F826=1,F827=0),1,0)</f>
      </c>
      <c r="J826" s="333">
        <f>(1+$M$5)^(D826/12)*(H826+IF(AND(F826=1,F827=0),$Q$4,0))</f>
      </c>
      <c r="K826" s="351"/>
      <c r="L826" s="333">
        <f>K826+J826</f>
      </c>
      <c r="M826" s="170"/>
      <c r="N826" s="7"/>
      <c r="O826" s="1"/>
      <c r="P826" s="331">
        <f>D826</f>
      </c>
      <c r="Q826" s="169"/>
      <c r="R826" s="1"/>
      <c r="S826" s="217">
        <f>(1+$M$5)^(D826/12)*(IF(E826=$C$6,$Q$4+$H$5*12,0))</f>
      </c>
      <c r="T826" s="217">
        <f>(1+$M$5)^(D826/12)*(IF(YEAR(E826)&gt;YEAR($C$6),L826,0)+IF(E826=$C$6,$H$5*12+$Q$4,0))</f>
      </c>
    </row>
    <row x14ac:dyDescent="0.25" r="827" customHeight="1" ht="18.75">
      <c r="A827" s="1"/>
      <c r="B827" s="7"/>
      <c r="C827" s="170"/>
      <c r="D827" s="331">
        <v>820</v>
      </c>
      <c r="E827" s="544">
        <f>+DATE(YEAR(E826),MONTH(E826)-1,DAY(E826))</f>
        <v>25569.041666666668</v>
      </c>
      <c r="F827" s="333">
        <f>IF(DATE(YEAR($B$6),MONTH($B$6)+1,DAY(1))=E827,1,IF(MONTH(E827)=1,F828*(1+$F$5),F828))</f>
      </c>
      <c r="G827" s="333">
        <f>IF('Simulador - 1º Pilar'!$E$99="Sí",IF('Aportaciones Flex'!$B$13&lt;'Aportaciones Flex'!E827,0,F827*$B$8/12),F827*$B$8/12)</f>
      </c>
      <c r="H827" s="333">
        <f>IF(G827&gt;0,1,0)*$H$5*IF(AND($I$5="NO",YEAR(E827)=YEAR($B$6)+1),1,IF($I$5="SI",1,0))</f>
      </c>
      <c r="I827" s="217">
        <f>(1+$M$5)^(D827/12)*(H827*(12-IF(MONTH(E828)=12,0,MONTH(E828)))+IF(AND(F827=1,F828=0),$Q$4,0))*IF(AND(F827=1,F828=0),1,0)</f>
      </c>
      <c r="J827" s="333">
        <f>(1+$M$5)^(D827/12)*(H827+IF(AND(F827=1,F828=0),$Q$4,0))</f>
      </c>
      <c r="K827" s="351"/>
      <c r="L827" s="333">
        <f>K827+J827</f>
      </c>
      <c r="M827" s="170"/>
      <c r="N827" s="7"/>
      <c r="O827" s="1"/>
      <c r="P827" s="331">
        <f>D827</f>
      </c>
      <c r="Q827" s="169"/>
      <c r="R827" s="1"/>
      <c r="S827" s="217">
        <f>(1+$M$5)^(D827/12)*(IF(E827=$C$6,$Q$4+$H$5*12,0))</f>
      </c>
      <c r="T827" s="217">
        <f>(1+$M$5)^(D827/12)*(IF(YEAR(E827)&gt;YEAR($C$6),L827,0)+IF(E827=$C$6,$H$5*12+$Q$4,0))</f>
      </c>
    </row>
    <row x14ac:dyDescent="0.25" r="828" customHeight="1" ht="18.75">
      <c r="A828" s="1"/>
      <c r="B828" s="7"/>
      <c r="C828" s="170"/>
      <c r="D828" s="331">
        <v>821</v>
      </c>
      <c r="E828" s="544">
        <f>+DATE(YEAR(E827),MONTH(E827)-1,DAY(E827))</f>
        <v>25569.041666666668</v>
      </c>
      <c r="F828" s="333">
        <f>IF(DATE(YEAR($B$6),MONTH($B$6)+1,DAY(1))=E828,1,IF(MONTH(E828)=1,F829*(1+$F$5),F829))</f>
      </c>
      <c r="G828" s="333">
        <f>IF('Simulador - 1º Pilar'!$E$99="Sí",IF('Aportaciones Flex'!$B$13&lt;'Aportaciones Flex'!E828,0,F828*$B$8/12),F828*$B$8/12)</f>
      </c>
      <c r="H828" s="333">
        <f>IF(G828&gt;0,1,0)*$H$5*IF(AND($I$5="NO",YEAR(E828)=YEAR($B$6)+1),1,IF($I$5="SI",1,0))</f>
      </c>
      <c r="I828" s="217">
        <f>(1+$M$5)^(D828/12)*(H828*(12-IF(MONTH(E829)=12,0,MONTH(E829)))+IF(AND(F828=1,F829=0),$Q$4,0))*IF(AND(F828=1,F829=0),1,0)</f>
      </c>
      <c r="J828" s="333">
        <f>(1+$M$5)^(D828/12)*(H828+IF(AND(F828=1,F829=0),$Q$4,0))</f>
      </c>
      <c r="K828" s="351"/>
      <c r="L828" s="333">
        <f>K828+J828</f>
      </c>
      <c r="M828" s="170"/>
      <c r="N828" s="7"/>
      <c r="O828" s="1"/>
      <c r="P828" s="331">
        <f>D828</f>
      </c>
      <c r="Q828" s="169"/>
      <c r="R828" s="1"/>
      <c r="S828" s="217">
        <f>(1+$M$5)^(D828/12)*(IF(E828=$C$6,$Q$4+$H$5*12,0))</f>
      </c>
      <c r="T828" s="217">
        <f>(1+$M$5)^(D828/12)*(IF(YEAR(E828)&gt;YEAR($C$6),L828,0)+IF(E828=$C$6,$H$5*12+$Q$4,0))</f>
      </c>
    </row>
    <row x14ac:dyDescent="0.25" r="829" customHeight="1" ht="18.75">
      <c r="A829" s="1"/>
      <c r="B829" s="7"/>
      <c r="C829" s="170"/>
      <c r="D829" s="331">
        <v>822</v>
      </c>
      <c r="E829" s="544">
        <f>+DATE(YEAR(E828),MONTH(E828)-1,DAY(E828))</f>
        <v>25569.041666666668</v>
      </c>
      <c r="F829" s="333">
        <f>IF(DATE(YEAR($B$6),MONTH($B$6)+1,DAY(1))=E829,1,IF(MONTH(E829)=1,F830*(1+$F$5),F830))</f>
      </c>
      <c r="G829" s="333">
        <f>IF('Simulador - 1º Pilar'!$E$99="Sí",IF('Aportaciones Flex'!$B$13&lt;'Aportaciones Flex'!E829,0,F829*$B$8/12),F829*$B$8/12)</f>
      </c>
      <c r="H829" s="333">
        <f>IF(G829&gt;0,1,0)*$H$5*IF(AND($I$5="NO",YEAR(E829)=YEAR($B$6)+1),1,IF($I$5="SI",1,0))</f>
      </c>
      <c r="I829" s="217">
        <f>(1+$M$5)^(D829/12)*(H829*(12-IF(MONTH(E830)=12,0,MONTH(E830)))+IF(AND(F829=1,F830=0),$Q$4,0))*IF(AND(F829=1,F830=0),1,0)</f>
      </c>
      <c r="J829" s="333">
        <f>(1+$M$5)^(D829/12)*(H829+IF(AND(F829=1,F830=0),$Q$4,0))</f>
      </c>
      <c r="K829" s="351"/>
      <c r="L829" s="333">
        <f>K829+J829</f>
      </c>
      <c r="M829" s="170"/>
      <c r="N829" s="7"/>
      <c r="O829" s="1"/>
      <c r="P829" s="331">
        <f>D829</f>
      </c>
      <c r="Q829" s="169"/>
      <c r="R829" s="1"/>
      <c r="S829" s="217">
        <f>(1+$M$5)^(D829/12)*(IF(E829=$C$6,$Q$4+$H$5*12,0))</f>
      </c>
      <c r="T829" s="217">
        <f>(1+$M$5)^(D829/12)*(IF(YEAR(E829)&gt;YEAR($C$6),L829,0)+IF(E829=$C$6,$H$5*12+$Q$4,0))</f>
      </c>
    </row>
    <row x14ac:dyDescent="0.25" r="830" customHeight="1" ht="18.75">
      <c r="A830" s="1"/>
      <c r="B830" s="7"/>
      <c r="C830" s="170"/>
      <c r="D830" s="331">
        <v>823</v>
      </c>
      <c r="E830" s="544">
        <f>+DATE(YEAR(E829),MONTH(E829)-1,DAY(E829))</f>
        <v>25569.041666666668</v>
      </c>
      <c r="F830" s="333">
        <f>IF(DATE(YEAR($B$6),MONTH($B$6)+1,DAY(1))=E830,1,IF(MONTH(E830)=1,F831*(1+$F$5),F831))</f>
      </c>
      <c r="G830" s="333">
        <f>IF('Simulador - 1º Pilar'!$E$99="Sí",IF('Aportaciones Flex'!$B$13&lt;'Aportaciones Flex'!E830,0,F830*$B$8/12),F830*$B$8/12)</f>
      </c>
      <c r="H830" s="333">
        <f>IF(G830&gt;0,1,0)*$H$5*IF(AND($I$5="NO",YEAR(E830)=YEAR($B$6)+1),1,IF($I$5="SI",1,0))</f>
      </c>
      <c r="I830" s="217">
        <f>(1+$M$5)^(D830/12)*(H830*(12-IF(MONTH(E831)=12,0,MONTH(E831)))+IF(AND(F830=1,F831=0),$Q$4,0))*IF(AND(F830=1,F831=0),1,0)</f>
      </c>
      <c r="J830" s="333">
        <f>(1+$M$5)^(D830/12)*(H830+IF(AND(F830=1,F831=0),$Q$4,0))</f>
      </c>
      <c r="K830" s="351"/>
      <c r="L830" s="333">
        <f>K830+J830</f>
      </c>
      <c r="M830" s="170"/>
      <c r="N830" s="7"/>
      <c r="O830" s="1"/>
      <c r="P830" s="331">
        <f>D830</f>
      </c>
      <c r="Q830" s="169"/>
      <c r="R830" s="1"/>
      <c r="S830" s="217">
        <f>(1+$M$5)^(D830/12)*(IF(E830=$C$6,$Q$4+$H$5*12,0))</f>
      </c>
      <c r="T830" s="217">
        <f>(1+$M$5)^(D830/12)*(IF(YEAR(E830)&gt;YEAR($C$6),L830,0)+IF(E830=$C$6,$H$5*12+$Q$4,0))</f>
      </c>
    </row>
    <row x14ac:dyDescent="0.25" r="831" customHeight="1" ht="18.75">
      <c r="A831" s="1"/>
      <c r="B831" s="7"/>
      <c r="C831" s="170"/>
      <c r="D831" s="331">
        <v>824</v>
      </c>
      <c r="E831" s="544">
        <f>+DATE(YEAR(E830),MONTH(E830)-1,DAY(E830))</f>
        <v>25569.041666666668</v>
      </c>
      <c r="F831" s="333">
        <f>IF(DATE(YEAR($B$6),MONTH($B$6)+1,DAY(1))=E831,1,IF(MONTH(E831)=1,F832*(1+$F$5),F832))</f>
      </c>
      <c r="G831" s="333">
        <f>IF('Simulador - 1º Pilar'!$E$99="Sí",IF('Aportaciones Flex'!$B$13&lt;'Aportaciones Flex'!E831,0,F831*$B$8/12),F831*$B$8/12)</f>
      </c>
      <c r="H831" s="333">
        <f>IF(G831&gt;0,1,0)*$H$5*IF(AND($I$5="NO",YEAR(E831)=YEAR($B$6)+1),1,IF($I$5="SI",1,0))</f>
      </c>
      <c r="I831" s="217">
        <f>(1+$M$5)^(D831/12)*(H831*(12-IF(MONTH(E832)=12,0,MONTH(E832)))+IF(AND(F831=1,F832=0),$Q$4,0))*IF(AND(F831=1,F832=0),1,0)</f>
      </c>
      <c r="J831" s="333">
        <f>(1+$M$5)^(D831/12)*(H831+IF(AND(F831=1,F832=0),$Q$4,0))</f>
      </c>
      <c r="K831" s="351"/>
      <c r="L831" s="333">
        <f>K831+J831</f>
      </c>
      <c r="M831" s="170"/>
      <c r="N831" s="7"/>
      <c r="O831" s="1"/>
      <c r="P831" s="331">
        <f>D831</f>
      </c>
      <c r="Q831" s="169"/>
      <c r="R831" s="1"/>
      <c r="S831" s="217">
        <f>(1+$M$5)^(D831/12)*(IF(E831=$C$6,$Q$4+$H$5*12,0))</f>
      </c>
      <c r="T831" s="217">
        <f>(1+$M$5)^(D831/12)*(IF(YEAR(E831)&gt;YEAR($C$6),L831,0)+IF(E831=$C$6,$H$5*12+$Q$4,0))</f>
      </c>
    </row>
    <row x14ac:dyDescent="0.25" r="832" customHeight="1" ht="18.75">
      <c r="A832" s="1"/>
      <c r="B832" s="7"/>
      <c r="C832" s="170"/>
      <c r="D832" s="331">
        <v>825</v>
      </c>
      <c r="E832" s="544">
        <f>+DATE(YEAR(E831),MONTH(E831)-1,DAY(E831))</f>
        <v>25569.041666666668</v>
      </c>
      <c r="F832" s="333">
        <f>IF(DATE(YEAR($B$6),MONTH($B$6)+1,DAY(1))=E832,1,IF(MONTH(E832)=1,F833*(1+$F$5),F833))</f>
      </c>
      <c r="G832" s="333">
        <f>IF('Simulador - 1º Pilar'!$E$99="Sí",IF('Aportaciones Flex'!$B$13&lt;'Aportaciones Flex'!E832,0,F832*$B$8/12),F832*$B$8/12)</f>
      </c>
      <c r="H832" s="333">
        <f>IF(G832&gt;0,1,0)*$H$5*IF(AND($I$5="NO",YEAR(E832)=YEAR($B$6)+1),1,IF($I$5="SI",1,0))</f>
      </c>
      <c r="I832" s="217">
        <f>(1+$M$5)^(D832/12)*(H832*(12-IF(MONTH(E833)=12,0,MONTH(E833)))+IF(AND(F832=1,F833=0),$Q$4,0))*IF(AND(F832=1,F833=0),1,0)</f>
      </c>
      <c r="J832" s="333">
        <f>(1+$M$5)^(D832/12)*(H832+IF(AND(F832=1,F833=0),$Q$4,0))</f>
      </c>
      <c r="K832" s="351"/>
      <c r="L832" s="333">
        <f>K832+J832</f>
      </c>
      <c r="M832" s="170"/>
      <c r="N832" s="7"/>
      <c r="O832" s="1"/>
      <c r="P832" s="331">
        <f>D832</f>
      </c>
      <c r="Q832" s="169"/>
      <c r="R832" s="1"/>
      <c r="S832" s="217">
        <f>(1+$M$5)^(D832/12)*(IF(E832=$C$6,$Q$4+$H$5*12,0))</f>
      </c>
      <c r="T832" s="217">
        <f>(1+$M$5)^(D832/12)*(IF(YEAR(E832)&gt;YEAR($C$6),L832,0)+IF(E832=$C$6,$H$5*12+$Q$4,0))</f>
      </c>
    </row>
    <row x14ac:dyDescent="0.25" r="833" customHeight="1" ht="18.75">
      <c r="A833" s="1"/>
      <c r="B833" s="7"/>
      <c r="C833" s="170"/>
      <c r="D833" s="331">
        <v>826</v>
      </c>
      <c r="E833" s="544">
        <f>+DATE(YEAR(E832),MONTH(E832)-1,DAY(E832))</f>
        <v>25569.041666666668</v>
      </c>
      <c r="F833" s="333">
        <f>IF(DATE(YEAR($B$6),MONTH($B$6)+1,DAY(1))=E833,1,IF(MONTH(E833)=1,F834*(1+$F$5),F834))</f>
      </c>
      <c r="G833" s="333">
        <f>IF('Simulador - 1º Pilar'!$E$99="Sí",IF('Aportaciones Flex'!$B$13&lt;'Aportaciones Flex'!E833,0,F833*$B$8/12),F833*$B$8/12)</f>
      </c>
      <c r="H833" s="333">
        <f>IF(G833&gt;0,1,0)*$H$5*IF(AND($I$5="NO",YEAR(E833)=YEAR($B$6)+1),1,IF($I$5="SI",1,0))</f>
      </c>
      <c r="I833" s="217">
        <f>(1+$M$5)^(D833/12)*(H833*(12-IF(MONTH(E834)=12,0,MONTH(E834)))+IF(AND(F833=1,F834=0),$Q$4,0))*IF(AND(F833=1,F834=0),1,0)</f>
      </c>
      <c r="J833" s="333">
        <f>(1+$M$5)^(D833/12)*(H833+IF(AND(F833=1,F834=0),$Q$4,0))</f>
      </c>
      <c r="K833" s="351"/>
      <c r="L833" s="333">
        <f>K833+J833</f>
      </c>
      <c r="M833" s="170"/>
      <c r="N833" s="7"/>
      <c r="O833" s="1"/>
      <c r="P833" s="331">
        <f>D833</f>
      </c>
      <c r="Q833" s="169"/>
      <c r="R833" s="1"/>
      <c r="S833" s="217">
        <f>(1+$M$5)^(D833/12)*(IF(E833=$C$6,$Q$4+$H$5*12,0))</f>
      </c>
      <c r="T833" s="217">
        <f>(1+$M$5)^(D833/12)*(IF(YEAR(E833)&gt;YEAR($C$6),L833,0)+IF(E833=$C$6,$H$5*12+$Q$4,0))</f>
      </c>
    </row>
    <row x14ac:dyDescent="0.25" r="834" customHeight="1" ht="18.75">
      <c r="A834" s="1"/>
      <c r="B834" s="7"/>
      <c r="C834" s="170"/>
      <c r="D834" s="331">
        <v>827</v>
      </c>
      <c r="E834" s="544">
        <f>+DATE(YEAR(E833),MONTH(E833)-1,DAY(E833))</f>
        <v>25569.041666666668</v>
      </c>
      <c r="F834" s="333">
        <f>IF(DATE(YEAR($B$6),MONTH($B$6)+1,DAY(1))=E834,1,IF(MONTH(E834)=1,F835*(1+$F$5),F835))</f>
      </c>
      <c r="G834" s="333">
        <f>IF('Simulador - 1º Pilar'!$E$99="Sí",IF('Aportaciones Flex'!$B$13&lt;'Aportaciones Flex'!E834,0,F834*$B$8/12),F834*$B$8/12)</f>
      </c>
      <c r="H834" s="333">
        <f>IF(G834&gt;0,1,0)*$H$5*IF(AND($I$5="NO",YEAR(E834)=YEAR($B$6)+1),1,IF($I$5="SI",1,0))</f>
      </c>
      <c r="I834" s="217">
        <f>(1+$M$5)^(D834/12)*(H834*(12-IF(MONTH(E835)=12,0,MONTH(E835)))+IF(AND(F834=1,F835=0),$Q$4,0))*IF(AND(F834=1,F835=0),1,0)</f>
      </c>
      <c r="J834" s="333">
        <f>(1+$M$5)^(D834/12)*(H834+IF(AND(F834=1,F835=0),$Q$4,0))</f>
      </c>
      <c r="K834" s="351"/>
      <c r="L834" s="333">
        <f>K834+J834</f>
      </c>
      <c r="M834" s="170"/>
      <c r="N834" s="7"/>
      <c r="O834" s="1"/>
      <c r="P834" s="331">
        <f>D834</f>
      </c>
      <c r="Q834" s="169"/>
      <c r="R834" s="1"/>
      <c r="S834" s="217">
        <f>(1+$M$5)^(D834/12)*(IF(E834=$C$6,$Q$4+$H$5*12,0))</f>
      </c>
      <c r="T834" s="217">
        <f>(1+$M$5)^(D834/12)*(IF(YEAR(E834)&gt;YEAR($C$6),L834,0)+IF(E834=$C$6,$H$5*12+$Q$4,0))</f>
      </c>
    </row>
    <row x14ac:dyDescent="0.25" r="835" customHeight="1" ht="18.75">
      <c r="A835" s="1"/>
      <c r="B835" s="7"/>
      <c r="C835" s="170"/>
      <c r="D835" s="331">
        <v>828</v>
      </c>
      <c r="E835" s="544">
        <f>+DATE(YEAR(E834),MONTH(E834)-1,DAY(E834))</f>
        <v>25569.041666666668</v>
      </c>
      <c r="F835" s="333">
        <f>IF(DATE(YEAR($B$6),MONTH($B$6)+1,DAY(1))=E835,1,IF(MONTH(E835)=1,F836*(1+$F$5),F836))</f>
      </c>
      <c r="G835" s="333">
        <f>IF('Simulador - 1º Pilar'!$E$99="Sí",IF('Aportaciones Flex'!$B$13&lt;'Aportaciones Flex'!E835,0,F835*$B$8/12),F835*$B$8/12)</f>
      </c>
      <c r="H835" s="333">
        <f>IF(G835&gt;0,1,0)*$H$5*IF(AND($I$5="NO",YEAR(E835)=YEAR($B$6)+1),1,IF($I$5="SI",1,0))</f>
      </c>
      <c r="I835" s="217">
        <f>(1+$M$5)^(D835/12)*(H835*(12-IF(MONTH(E836)=12,0,MONTH(E836)))+IF(AND(F835=1,F836=0),$Q$4,0))*IF(AND(F835=1,F836=0),1,0)</f>
      </c>
      <c r="J835" s="333">
        <f>(1+$M$5)^(D835/12)*(H835+IF(AND(F835=1,F836=0),$Q$4,0))</f>
      </c>
      <c r="K835" s="351"/>
      <c r="L835" s="333">
        <f>K835+J835</f>
      </c>
      <c r="M835" s="170"/>
      <c r="N835" s="7"/>
      <c r="O835" s="1"/>
      <c r="P835" s="331">
        <f>D835</f>
      </c>
      <c r="Q835" s="169"/>
      <c r="R835" s="1"/>
      <c r="S835" s="217">
        <f>(1+$M$5)^(D835/12)*(IF(E835=$C$6,$Q$4+$H$5*12,0))</f>
      </c>
      <c r="T835" s="217">
        <f>(1+$M$5)^(D835/12)*(IF(YEAR(E835)&gt;YEAR($C$6),L835,0)+IF(E835=$C$6,$H$5*12+$Q$4,0))</f>
      </c>
    </row>
    <row x14ac:dyDescent="0.25" r="836" customHeight="1" ht="18.75">
      <c r="A836" s="1"/>
      <c r="B836" s="7"/>
      <c r="C836" s="170"/>
      <c r="D836" s="331">
        <v>829</v>
      </c>
      <c r="E836" s="544">
        <f>+DATE(YEAR(E835),MONTH(E835)-1,DAY(E835))</f>
        <v>25569.041666666668</v>
      </c>
      <c r="F836" s="333">
        <f>IF(DATE(YEAR($B$6),MONTH($B$6)+1,DAY(1))=E836,1,IF(MONTH(E836)=1,F837*(1+$F$5),F837))</f>
      </c>
      <c r="G836" s="333">
        <f>IF('Simulador - 1º Pilar'!$E$99="Sí",IF('Aportaciones Flex'!$B$13&lt;'Aportaciones Flex'!E836,0,F836*$B$8/12),F836*$B$8/12)</f>
      </c>
      <c r="H836" s="333">
        <f>IF(G836&gt;0,1,0)*$H$5*IF(AND($I$5="NO",YEAR(E836)=YEAR($B$6)+1),1,IF($I$5="SI",1,0))</f>
      </c>
      <c r="I836" s="217">
        <f>(1+$M$5)^(D836/12)*(H836*(12-IF(MONTH(E837)=12,0,MONTH(E837)))+IF(AND(F836=1,F837=0),$Q$4,0))*IF(AND(F836=1,F837=0),1,0)</f>
      </c>
      <c r="J836" s="333">
        <f>(1+$M$5)^(D836/12)*(H836+IF(AND(F836=1,F837=0),$Q$4,0))</f>
      </c>
      <c r="K836" s="351"/>
      <c r="L836" s="333">
        <f>K836+J836</f>
      </c>
      <c r="M836" s="170"/>
      <c r="N836" s="7"/>
      <c r="O836" s="1"/>
      <c r="P836" s="331">
        <f>D836</f>
      </c>
      <c r="Q836" s="169"/>
      <c r="R836" s="1"/>
      <c r="S836" s="217">
        <f>(1+$M$5)^(D836/12)*(IF(E836=$C$6,$Q$4+$H$5*12,0))</f>
      </c>
      <c r="T836" s="217">
        <f>(1+$M$5)^(D836/12)*(IF(YEAR(E836)&gt;YEAR($C$6),L836,0)+IF(E836=$C$6,$H$5*12+$Q$4,0))</f>
      </c>
    </row>
    <row x14ac:dyDescent="0.25" r="837" customHeight="1" ht="18.75">
      <c r="A837" s="1"/>
      <c r="B837" s="7"/>
      <c r="C837" s="170"/>
      <c r="D837" s="331">
        <v>830</v>
      </c>
      <c r="E837" s="544">
        <f>+DATE(YEAR(E836),MONTH(E836)-1,DAY(E836))</f>
        <v>25569.041666666668</v>
      </c>
      <c r="F837" s="333">
        <f>IF(DATE(YEAR($B$6),MONTH($B$6)+1,DAY(1))=E837,1,IF(MONTH(E837)=1,F838*(1+$F$5),F838))</f>
      </c>
      <c r="G837" s="333">
        <f>IF('Simulador - 1º Pilar'!$E$99="Sí",IF('Aportaciones Flex'!$B$13&lt;'Aportaciones Flex'!E837,0,F837*$B$8/12),F837*$B$8/12)</f>
      </c>
      <c r="H837" s="333">
        <f>IF(G837&gt;0,1,0)*$H$5*IF(AND($I$5="NO",YEAR(E837)=YEAR($B$6)+1),1,IF($I$5="SI",1,0))</f>
      </c>
      <c r="I837" s="217">
        <f>(1+$M$5)^(D837/12)*(H837*(12-IF(MONTH(E838)=12,0,MONTH(E838)))+IF(AND(F837=1,F838=0),$Q$4,0))*IF(AND(F837=1,F838=0),1,0)</f>
      </c>
      <c r="J837" s="333">
        <f>(1+$M$5)^(D837/12)*(H837+IF(AND(F837=1,F838=0),$Q$4,0))</f>
      </c>
      <c r="K837" s="351"/>
      <c r="L837" s="333">
        <f>K837+J837</f>
      </c>
      <c r="M837" s="170"/>
      <c r="N837" s="7"/>
      <c r="O837" s="1"/>
      <c r="P837" s="331">
        <f>D837</f>
      </c>
      <c r="Q837" s="169"/>
      <c r="R837" s="1"/>
      <c r="S837" s="217">
        <f>(1+$M$5)^(D837/12)*(IF(E837=$C$6,$Q$4+$H$5*12,0))</f>
      </c>
      <c r="T837" s="217">
        <f>(1+$M$5)^(D837/12)*(IF(YEAR(E837)&gt;YEAR($C$6),L837,0)+IF(E837=$C$6,$H$5*12+$Q$4,0))</f>
      </c>
    </row>
    <row x14ac:dyDescent="0.25" r="838" customHeight="1" ht="18.75">
      <c r="A838" s="1"/>
      <c r="B838" s="7"/>
      <c r="C838" s="170"/>
      <c r="D838" s="331">
        <v>831</v>
      </c>
      <c r="E838" s="544">
        <f>+DATE(YEAR(E837),MONTH(E837)-1,DAY(E837))</f>
        <v>25569.041666666668</v>
      </c>
      <c r="F838" s="333">
        <f>IF(DATE(YEAR($B$6),MONTH($B$6)+1,DAY(1))=E838,1,IF(MONTH(E838)=1,F839*(1+$F$5),F839))</f>
      </c>
      <c r="G838" s="333">
        <f>IF('Simulador - 1º Pilar'!$E$99="Sí",IF('Aportaciones Flex'!$B$13&lt;'Aportaciones Flex'!E838,0,F838*$B$8/12),F838*$B$8/12)</f>
      </c>
      <c r="H838" s="333">
        <f>IF(G838&gt;0,1,0)*$H$5*IF(AND($I$5="NO",YEAR(E838)=YEAR($B$6)+1),1,IF($I$5="SI",1,0))</f>
      </c>
      <c r="I838" s="217">
        <f>(1+$M$5)^(D838/12)*(H838*(12-IF(MONTH(E839)=12,0,MONTH(E839)))+IF(AND(F838=1,F839=0),$Q$4,0))*IF(AND(F838=1,F839=0),1,0)</f>
      </c>
      <c r="J838" s="333">
        <f>(1+$M$5)^(D838/12)*(H838+IF(AND(F838=1,F839=0),$Q$4,0))</f>
      </c>
      <c r="K838" s="351"/>
      <c r="L838" s="333">
        <f>K838+J838</f>
      </c>
      <c r="M838" s="170"/>
      <c r="N838" s="7"/>
      <c r="O838" s="1"/>
      <c r="P838" s="331">
        <f>D838</f>
      </c>
      <c r="Q838" s="169"/>
      <c r="R838" s="1"/>
      <c r="S838" s="217">
        <f>(1+$M$5)^(D838/12)*(IF(E838=$C$6,$Q$4+$H$5*12,0))</f>
      </c>
      <c r="T838" s="217">
        <f>(1+$M$5)^(D838/12)*(IF(YEAR(E838)&gt;YEAR($C$6),L838,0)+IF(E838=$C$6,$H$5*12+$Q$4,0))</f>
      </c>
    </row>
    <row x14ac:dyDescent="0.25" r="839" customHeight="1" ht="18.75">
      <c r="A839" s="1"/>
      <c r="B839" s="7"/>
      <c r="C839" s="170"/>
      <c r="D839" s="331">
        <v>832</v>
      </c>
      <c r="E839" s="544">
        <f>+DATE(YEAR(E838),MONTH(E838)-1,DAY(E838))</f>
        <v>25569.041666666668</v>
      </c>
      <c r="F839" s="333">
        <f>IF(DATE(YEAR($B$6),MONTH($B$6)+1,DAY(1))=E839,1,IF(MONTH(E839)=1,F840*(1+$F$5),F840))</f>
      </c>
      <c r="G839" s="333">
        <f>IF('Simulador - 1º Pilar'!$E$99="Sí",IF('Aportaciones Flex'!$B$13&lt;'Aportaciones Flex'!E839,0,F839*$B$8/12),F839*$B$8/12)</f>
      </c>
      <c r="H839" s="333">
        <f>IF(G839&gt;0,1,0)*$H$5*IF(AND($I$5="NO",YEAR(E839)=YEAR($B$6)+1),1,IF($I$5="SI",1,0))</f>
      </c>
      <c r="I839" s="217">
        <f>(1+$M$5)^(D839/12)*(H839*(12-IF(MONTH(E840)=12,0,MONTH(E840)))+IF(AND(F839=1,F840=0),$Q$4,0))*IF(AND(F839=1,F840=0),1,0)</f>
      </c>
      <c r="J839" s="333">
        <f>(1+$M$5)^(D839/12)*(H839+IF(AND(F839=1,F840=0),$Q$4,0))</f>
      </c>
      <c r="K839" s="351"/>
      <c r="L839" s="333">
        <f>K839+J839</f>
      </c>
      <c r="M839" s="170"/>
      <c r="N839" s="7"/>
      <c r="O839" s="1"/>
      <c r="P839" s="331">
        <f>D839</f>
      </c>
      <c r="Q839" s="169"/>
      <c r="R839" s="1"/>
      <c r="S839" s="217">
        <f>(1+$M$5)^(D839/12)*(IF(E839=$C$6,$Q$4+$H$5*12,0))</f>
      </c>
      <c r="T839" s="217">
        <f>(1+$M$5)^(D839/12)*(IF(YEAR(E839)&gt;YEAR($C$6),L839,0)+IF(E839=$C$6,$H$5*12+$Q$4,0))</f>
      </c>
    </row>
    <row x14ac:dyDescent="0.25" r="840" customHeight="1" ht="18.75">
      <c r="A840" s="1"/>
      <c r="B840" s="7"/>
      <c r="C840" s="170"/>
      <c r="D840" s="331">
        <v>833</v>
      </c>
      <c r="E840" s="544">
        <f>+DATE(YEAR(E839),MONTH(E839)-1,DAY(E839))</f>
        <v>25569.041666666668</v>
      </c>
      <c r="F840" s="333">
        <f>IF(DATE(YEAR($B$6),MONTH($B$6)+1,DAY(1))=E840,1,IF(MONTH(E840)=1,F841*(1+$F$5),F841))</f>
      </c>
      <c r="G840" s="333">
        <f>IF('Simulador - 1º Pilar'!$E$99="Sí",IF('Aportaciones Flex'!$B$13&lt;'Aportaciones Flex'!E840,0,F840*$B$8/12),F840*$B$8/12)</f>
      </c>
      <c r="H840" s="333">
        <f>IF(G840&gt;0,1,0)*$H$5*IF(AND($I$5="NO",YEAR(E840)=YEAR($B$6)+1),1,IF($I$5="SI",1,0))</f>
      </c>
      <c r="I840" s="217">
        <f>(1+$M$5)^(D840/12)*(H840*(12-IF(MONTH(E841)=12,0,MONTH(E841)))+IF(AND(F840=1,F841=0),$Q$4,0))*IF(AND(F840=1,F841=0),1,0)</f>
      </c>
      <c r="J840" s="333">
        <f>(1+$M$5)^(D840/12)*(H840+IF(AND(F840=1,F841=0),$Q$4,0))</f>
      </c>
      <c r="K840" s="351"/>
      <c r="L840" s="333">
        <f>K840+J840</f>
      </c>
      <c r="M840" s="170"/>
      <c r="N840" s="7"/>
      <c r="O840" s="1"/>
      <c r="P840" s="331">
        <f>D840</f>
      </c>
      <c r="Q840" s="169"/>
      <c r="R840" s="1"/>
      <c r="S840" s="217">
        <f>(1+$M$5)^(D840/12)*(IF(E840=$C$6,$Q$4+$H$5*12,0))</f>
      </c>
      <c r="T840" s="217">
        <f>(1+$M$5)^(D840/12)*(IF(YEAR(E840)&gt;YEAR($C$6),L840,0)+IF(E840=$C$6,$H$5*12+$Q$4,0))</f>
      </c>
    </row>
    <row x14ac:dyDescent="0.25" r="841" customHeight="1" ht="18.75">
      <c r="A841" s="1"/>
      <c r="B841" s="7"/>
      <c r="C841" s="170"/>
      <c r="D841" s="331">
        <v>834</v>
      </c>
      <c r="E841" s="544">
        <f>+DATE(YEAR(E840),MONTH(E840)-1,DAY(E840))</f>
        <v>25569.041666666668</v>
      </c>
      <c r="F841" s="333">
        <f>IF(DATE(YEAR($B$6),MONTH($B$6)+1,DAY(1))=E841,1,IF(MONTH(E841)=1,F842*(1+$F$5),F842))</f>
      </c>
      <c r="G841" s="333">
        <f>IF('Simulador - 1º Pilar'!$E$99="Sí",IF('Aportaciones Flex'!$B$13&lt;'Aportaciones Flex'!E841,0,F841*$B$8/12),F841*$B$8/12)</f>
      </c>
      <c r="H841" s="333">
        <f>IF(G841&gt;0,1,0)*$H$5*IF(AND($I$5="NO",YEAR(E841)=YEAR($B$6)+1),1,IF($I$5="SI",1,0))</f>
      </c>
      <c r="I841" s="217">
        <f>(1+$M$5)^(D841/12)*(H841*(12-IF(MONTH(E842)=12,0,MONTH(E842)))+IF(AND(F841=1,F842=0),$Q$4,0))*IF(AND(F841=1,F842=0),1,0)</f>
      </c>
      <c r="J841" s="333">
        <f>(1+$M$5)^(D841/12)*(H841+IF(AND(F841=1,F842=0),$Q$4,0))</f>
      </c>
      <c r="K841" s="351"/>
      <c r="L841" s="333">
        <f>K841+J841</f>
      </c>
      <c r="M841" s="170"/>
      <c r="N841" s="7"/>
      <c r="O841" s="1"/>
      <c r="P841" s="331">
        <f>D841</f>
      </c>
      <c r="Q841" s="169"/>
      <c r="R841" s="1"/>
      <c r="S841" s="217">
        <f>(1+$M$5)^(D841/12)*(IF(E841=$C$6,$Q$4+$H$5*12,0))</f>
      </c>
      <c r="T841" s="217">
        <f>(1+$M$5)^(D841/12)*(IF(YEAR(E841)&gt;YEAR($C$6),L841,0)+IF(E841=$C$6,$H$5*12+$Q$4,0))</f>
      </c>
    </row>
    <row x14ac:dyDescent="0.25" r="842" customHeight="1" ht="18.75">
      <c r="A842" s="1"/>
      <c r="B842" s="7"/>
      <c r="C842" s="170"/>
      <c r="D842" s="331">
        <v>835</v>
      </c>
      <c r="E842" s="544">
        <f>+DATE(YEAR(E841),MONTH(E841)-1,DAY(E841))</f>
        <v>25569.041666666668</v>
      </c>
      <c r="F842" s="333">
        <f>IF(DATE(YEAR($B$6),MONTH($B$6)+1,DAY(1))=E842,1,IF(MONTH(E842)=1,F843*(1+$F$5),F843))</f>
      </c>
      <c r="G842" s="333">
        <f>IF('Simulador - 1º Pilar'!$E$99="Sí",IF('Aportaciones Flex'!$B$13&lt;'Aportaciones Flex'!E842,0,F842*$B$8/12),F842*$B$8/12)</f>
      </c>
      <c r="H842" s="333">
        <f>IF(G842&gt;0,1,0)*$H$5*IF(AND($I$5="NO",YEAR(E842)=YEAR($B$6)+1),1,IF($I$5="SI",1,0))</f>
      </c>
      <c r="I842" s="217">
        <f>(1+$M$5)^(D842/12)*(H842*(12-IF(MONTH(E843)=12,0,MONTH(E843)))+IF(AND(F842=1,F843=0),$Q$4,0))*IF(AND(F842=1,F843=0),1,0)</f>
      </c>
      <c r="J842" s="333">
        <f>(1+$M$5)^(D842/12)*(H842+IF(AND(F842=1,F843=0),$Q$4,0))</f>
      </c>
      <c r="K842" s="351"/>
      <c r="L842" s="333">
        <f>K842+J842</f>
      </c>
      <c r="M842" s="170"/>
      <c r="N842" s="7"/>
      <c r="O842" s="1"/>
      <c r="P842" s="331">
        <f>D842</f>
      </c>
      <c r="Q842" s="169"/>
      <c r="R842" s="1"/>
      <c r="S842" s="217">
        <f>(1+$M$5)^(D842/12)*(IF(E842=$C$6,$Q$4+$H$5*12,0))</f>
      </c>
      <c r="T842" s="217">
        <f>(1+$M$5)^(D842/12)*(IF(YEAR(E842)&gt;YEAR($C$6),L842,0)+IF(E842=$C$6,$H$5*12+$Q$4,0))</f>
      </c>
    </row>
    <row x14ac:dyDescent="0.25" r="843" customHeight="1" ht="18.75">
      <c r="A843" s="1"/>
      <c r="B843" s="7"/>
      <c r="C843" s="170"/>
      <c r="D843" s="331">
        <v>836</v>
      </c>
      <c r="E843" s="544">
        <f>+DATE(YEAR(E842),MONTH(E842)-1,DAY(E842))</f>
        <v>25569.041666666668</v>
      </c>
      <c r="F843" s="333">
        <f>IF(DATE(YEAR($B$6),MONTH($B$6)+1,DAY(1))=E843,1,IF(MONTH(E843)=1,F844*(1+$F$5),F844))</f>
      </c>
      <c r="G843" s="333">
        <f>IF('Simulador - 1º Pilar'!$E$99="Sí",IF('Aportaciones Flex'!$B$13&lt;'Aportaciones Flex'!E843,0,F843*$B$8/12),F843*$B$8/12)</f>
      </c>
      <c r="H843" s="333">
        <f>IF(G843&gt;0,1,0)*$H$5*IF(AND($I$5="NO",YEAR(E843)=YEAR($B$6)+1),1,IF($I$5="SI",1,0))</f>
      </c>
      <c r="I843" s="217">
        <f>(1+$M$5)^(D843/12)*(H843*(12-IF(MONTH(E844)=12,0,MONTH(E844)))+IF(AND(F843=1,F844=0),$Q$4,0))*IF(AND(F843=1,F844=0),1,0)</f>
      </c>
      <c r="J843" s="333">
        <f>(1+$M$5)^(D843/12)*(H843+IF(AND(F843=1,F844=0),$Q$4,0))</f>
      </c>
      <c r="K843" s="351"/>
      <c r="L843" s="333">
        <f>K843+J843</f>
      </c>
      <c r="M843" s="170"/>
      <c r="N843" s="7"/>
      <c r="O843" s="1"/>
      <c r="P843" s="331">
        <f>D843</f>
      </c>
      <c r="Q843" s="169"/>
      <c r="R843" s="1"/>
      <c r="S843" s="217">
        <f>(1+$M$5)^(D843/12)*(IF(E843=$C$6,$Q$4+$H$5*12,0))</f>
      </c>
      <c r="T843" s="217">
        <f>(1+$M$5)^(D843/12)*(IF(YEAR(E843)&gt;YEAR($C$6),L843,0)+IF(E843=$C$6,$H$5*12+$Q$4,0))</f>
      </c>
    </row>
    <row x14ac:dyDescent="0.25" r="844" customHeight="1" ht="18.75">
      <c r="A844" s="1"/>
      <c r="B844" s="7"/>
      <c r="C844" s="170"/>
      <c r="D844" s="331">
        <v>837</v>
      </c>
      <c r="E844" s="544">
        <f>+DATE(YEAR(E843),MONTH(E843)-1,DAY(E843))</f>
        <v>25569.041666666668</v>
      </c>
      <c r="F844" s="333">
        <f>IF(DATE(YEAR($B$6),MONTH($B$6)+1,DAY(1))=E844,1,IF(MONTH(E844)=1,F845*(1+$F$5),F845))</f>
      </c>
      <c r="G844" s="333">
        <f>IF('Simulador - 1º Pilar'!$E$99="Sí",IF('Aportaciones Flex'!$B$13&lt;'Aportaciones Flex'!E844,0,F844*$B$8/12),F844*$B$8/12)</f>
      </c>
      <c r="H844" s="333">
        <f>IF(G844&gt;0,1,0)*$H$5*IF(AND($I$5="NO",YEAR(E844)=YEAR($B$6)+1),1,IF($I$5="SI",1,0))</f>
      </c>
      <c r="I844" s="217">
        <f>(1+$M$5)^(D844/12)*(H844*(12-IF(MONTH(E845)=12,0,MONTH(E845)))+IF(AND(F844=1,F845=0),$Q$4,0))*IF(AND(F844=1,F845=0),1,0)</f>
      </c>
      <c r="J844" s="333">
        <f>(1+$M$5)^(D844/12)*(H844+IF(AND(F844=1,F845=0),$Q$4,0))</f>
      </c>
      <c r="K844" s="351"/>
      <c r="L844" s="333">
        <f>K844+J844</f>
      </c>
      <c r="M844" s="170"/>
      <c r="N844" s="7"/>
      <c r="O844" s="1"/>
      <c r="P844" s="331">
        <f>D844</f>
      </c>
      <c r="Q844" s="169"/>
      <c r="R844" s="1"/>
      <c r="S844" s="217">
        <f>(1+$M$5)^(D844/12)*(IF(E844=$C$6,$Q$4+$H$5*12,0))</f>
      </c>
      <c r="T844" s="217">
        <f>(1+$M$5)^(D844/12)*(IF(YEAR(E844)&gt;YEAR($C$6),L844,0)+IF(E844=$C$6,$H$5*12+$Q$4,0))</f>
      </c>
    </row>
    <row x14ac:dyDescent="0.25" r="845" customHeight="1" ht="18.75">
      <c r="A845" s="1"/>
      <c r="B845" s="7"/>
      <c r="C845" s="170"/>
      <c r="D845" s="331">
        <v>838</v>
      </c>
      <c r="E845" s="544">
        <f>+DATE(YEAR(E844),MONTH(E844)-1,DAY(E844))</f>
        <v>25569.041666666668</v>
      </c>
      <c r="F845" s="333">
        <f>IF(DATE(YEAR($B$6),MONTH($B$6)+1,DAY(1))=E845,1,IF(MONTH(E845)=1,F846*(1+$F$5),F846))</f>
      </c>
      <c r="G845" s="333">
        <f>IF('Simulador - 1º Pilar'!$E$99="Sí",IF('Aportaciones Flex'!$B$13&lt;'Aportaciones Flex'!E845,0,F845*$B$8/12),F845*$B$8/12)</f>
      </c>
      <c r="H845" s="333">
        <f>IF(G845&gt;0,1,0)*$H$5*IF(AND($I$5="NO",YEAR(E845)=YEAR($B$6)+1),1,IF($I$5="SI",1,0))</f>
      </c>
      <c r="I845" s="217">
        <f>(1+$M$5)^(D845/12)*(H845*(12-IF(MONTH(E846)=12,0,MONTH(E846)))+IF(AND(F845=1,F846=0),$Q$4,0))*IF(AND(F845=1,F846=0),1,0)</f>
      </c>
      <c r="J845" s="333">
        <f>(1+$M$5)^(D845/12)*(H845+IF(AND(F845=1,F846=0),$Q$4,0))</f>
      </c>
      <c r="K845" s="351"/>
      <c r="L845" s="333">
        <f>K845+J845</f>
      </c>
      <c r="M845" s="170"/>
      <c r="N845" s="7"/>
      <c r="O845" s="1"/>
      <c r="P845" s="331">
        <f>D845</f>
      </c>
      <c r="Q845" s="169"/>
      <c r="R845" s="1"/>
      <c r="S845" s="217">
        <f>(1+$M$5)^(D845/12)*(IF(E845=$C$6,$Q$4+$H$5*12,0))</f>
      </c>
      <c r="T845" s="217">
        <f>(1+$M$5)^(D845/12)*(IF(YEAR(E845)&gt;YEAR($C$6),L845,0)+IF(E845=$C$6,$H$5*12+$Q$4,0))</f>
      </c>
    </row>
    <row x14ac:dyDescent="0.25" r="846" customHeight="1" ht="18.75">
      <c r="A846" s="1"/>
      <c r="B846" s="7"/>
      <c r="C846" s="170"/>
      <c r="D846" s="331">
        <v>839</v>
      </c>
      <c r="E846" s="544">
        <f>+DATE(YEAR(E845),MONTH(E845)-1,DAY(E845))</f>
        <v>25569.041666666668</v>
      </c>
      <c r="F846" s="333">
        <f>IF(DATE(YEAR($B$6),MONTH($B$6)+1,DAY(1))=E846,1,IF(MONTH(E846)=1,F847*(1+$F$5),F847))</f>
      </c>
      <c r="G846" s="333">
        <f>IF('Simulador - 1º Pilar'!$E$99="Sí",IF('Aportaciones Flex'!$B$13&lt;'Aportaciones Flex'!E846,0,F846*$B$8/12),F846*$B$8/12)</f>
      </c>
      <c r="H846" s="333">
        <f>IF(G846&gt;0,1,0)*$H$5*IF(AND($I$5="NO",YEAR(E846)=YEAR($B$6)+1),1,IF($I$5="SI",1,0))</f>
      </c>
      <c r="I846" s="217">
        <f>(1+$M$5)^(D846/12)*(H846*(12-IF(MONTH(E847)=12,0,MONTH(E847)))+IF(AND(F846=1,F847=0),$Q$4,0))*IF(AND(F846=1,F847=0),1,0)</f>
      </c>
      <c r="J846" s="333">
        <f>(1+$M$5)^(D846/12)*(H846+IF(AND(F846=1,F847=0),$Q$4,0))</f>
      </c>
      <c r="K846" s="351"/>
      <c r="L846" s="333">
        <f>K846+J846</f>
      </c>
      <c r="M846" s="170"/>
      <c r="N846" s="7"/>
      <c r="O846" s="1"/>
      <c r="P846" s="331">
        <f>D846</f>
      </c>
      <c r="Q846" s="169"/>
      <c r="R846" s="1"/>
      <c r="S846" s="217">
        <f>(1+$M$5)^(D846/12)*(IF(E846=$C$6,$Q$4+$H$5*12,0))</f>
      </c>
      <c r="T846" s="217">
        <f>(1+$M$5)^(D846/12)*(IF(YEAR(E846)&gt;YEAR($C$6),L846,0)+IF(E846=$C$6,$H$5*12+$Q$4,0))</f>
      </c>
    </row>
    <row x14ac:dyDescent="0.25" r="847" customHeight="1" ht="18.75">
      <c r="A847" s="1"/>
      <c r="B847" s="7"/>
      <c r="C847" s="170"/>
      <c r="D847" s="331">
        <v>840</v>
      </c>
      <c r="E847" s="544">
        <f>+DATE(YEAR(E846),MONTH(E846)-1,DAY(E846))</f>
        <v>25569.041666666668</v>
      </c>
      <c r="F847" s="333">
        <f>IF(DATE(YEAR($B$6),MONTH($B$6)+1,DAY(1))=E847,1,IF(MONTH(E847)=1,F848*(1+$F$5),F848))</f>
      </c>
      <c r="G847" s="333">
        <f>IF('Simulador - 1º Pilar'!$E$99="Sí",IF('Aportaciones Flex'!$B$13&lt;'Aportaciones Flex'!E847,0,F847*$B$8/12),F847*$B$8/12)</f>
      </c>
      <c r="H847" s="333">
        <f>IF(G847&gt;0,1,0)*$H$5*IF(AND($I$5="NO",YEAR(E847)=YEAR($B$6)+1),1,IF($I$5="SI",1,0))</f>
      </c>
      <c r="I847" s="217">
        <f>(1+$M$5)^(D847/12)*(H847*(12-IF(MONTH(E848)=12,0,MONTH(E848)))+IF(AND(F847=1,F848=0),$Q$4,0))*IF(AND(F847=1,F848=0),1,0)</f>
      </c>
      <c r="J847" s="333">
        <f>(1+$M$5)^(D847/12)*(H847+IF(AND(F847=1,F848=0),$Q$4,0))</f>
      </c>
      <c r="K847" s="351"/>
      <c r="L847" s="333">
        <f>K847+J847</f>
      </c>
      <c r="M847" s="170"/>
      <c r="N847" s="7"/>
      <c r="O847" s="1"/>
      <c r="P847" s="331">
        <f>D847</f>
      </c>
      <c r="Q847" s="169"/>
      <c r="R847" s="1"/>
      <c r="S847" s="217">
        <f>(1+$M$5)^(D847/12)*(IF(E847=$C$6,$Q$4+$H$5*12,0))</f>
      </c>
      <c r="T847" s="217">
        <f>(1+$M$5)^(D847/12)*(IF(YEAR(E847)&gt;YEAR($C$6),L847,0)+IF(E847=$C$6,$H$5*12+$Q$4,0))</f>
      </c>
    </row>
    <row x14ac:dyDescent="0.25" r="848" customHeight="1" ht="18.75">
      <c r="A848" s="1"/>
      <c r="B848" s="7"/>
      <c r="C848" s="170"/>
      <c r="D848" s="331">
        <v>841</v>
      </c>
      <c r="E848" s="544">
        <f>+DATE(YEAR(E847),MONTH(E847)-1,DAY(E847))</f>
        <v>25569.041666666668</v>
      </c>
      <c r="F848" s="333">
        <f>IF(DATE(YEAR($B$6),MONTH($B$6)+1,DAY(1))=E848,1,IF(MONTH(E848)=1,F849*(1+$F$5),F849))</f>
      </c>
      <c r="G848" s="333">
        <f>IF('Simulador - 1º Pilar'!$E$99="Sí",IF('Aportaciones Flex'!$B$13&lt;'Aportaciones Flex'!E848,0,F848*$B$8/12),F848*$B$8/12)</f>
      </c>
      <c r="H848" s="333">
        <f>IF(G848&gt;0,1,0)*$H$5*IF(AND($I$5="NO",YEAR(E848)=YEAR($B$6)+1),1,IF($I$5="SI",1,0))</f>
      </c>
      <c r="I848" s="217">
        <f>(1+$M$5)^(D848/12)*(H848*(12-IF(MONTH(E849)=12,0,MONTH(E849)))+IF(AND(F848=1,F849=0),$Q$4,0))*IF(AND(F848=1,F849=0),1,0)</f>
      </c>
      <c r="J848" s="333">
        <f>(1+$M$5)^(D848/12)*(H848+IF(AND(F848=1,F849=0),$Q$4,0))</f>
      </c>
      <c r="K848" s="351"/>
      <c r="L848" s="333">
        <f>K848+J848</f>
      </c>
      <c r="M848" s="170"/>
      <c r="N848" s="7"/>
      <c r="O848" s="1"/>
      <c r="P848" s="331">
        <f>D848</f>
      </c>
      <c r="Q848" s="169"/>
      <c r="R848" s="1"/>
      <c r="S848" s="217">
        <f>(1+$M$5)^(D848/12)*(IF(E848=$C$6,$Q$4+$H$5*12,0))</f>
      </c>
      <c r="T848" s="217">
        <f>(1+$M$5)^(D848/12)*(IF(YEAR(E848)&gt;YEAR($C$6),L848,0)+IF(E848=$C$6,$H$5*12+$Q$4,0))</f>
      </c>
    </row>
    <row x14ac:dyDescent="0.25" r="849" customHeight="1" ht="18.75">
      <c r="A849" s="1"/>
      <c r="B849" s="7"/>
      <c r="C849" s="170"/>
      <c r="D849" s="331">
        <v>842</v>
      </c>
      <c r="E849" s="544">
        <f>+DATE(YEAR(E848),MONTH(E848)-1,DAY(E848))</f>
        <v>25569.041666666668</v>
      </c>
      <c r="F849" s="333">
        <f>IF(DATE(YEAR($B$6),MONTH($B$6)+1,DAY(1))=E849,1,IF(MONTH(E849)=1,F850*(1+$F$5),F850))</f>
      </c>
      <c r="G849" s="333">
        <f>IF('Simulador - 1º Pilar'!$E$99="Sí",IF('Aportaciones Flex'!$B$13&lt;'Aportaciones Flex'!E849,0,F849*$B$8/12),F849*$B$8/12)</f>
      </c>
      <c r="H849" s="333">
        <f>IF(G849&gt;0,1,0)*$H$5*IF(AND($I$5="NO",YEAR(E849)=YEAR($B$6)+1),1,IF($I$5="SI",1,0))</f>
      </c>
      <c r="I849" s="217">
        <f>(1+$M$5)^(D849/12)*(H849*(12-IF(MONTH(E850)=12,0,MONTH(E850)))+IF(AND(F849=1,F850=0),$Q$4,0))*IF(AND(F849=1,F850=0),1,0)</f>
      </c>
      <c r="J849" s="333">
        <f>(1+$M$5)^(D849/12)*(H849+IF(AND(F849=1,F850=0),$Q$4,0))</f>
      </c>
      <c r="K849" s="351"/>
      <c r="L849" s="333">
        <f>K849+J849</f>
      </c>
      <c r="M849" s="170"/>
      <c r="N849" s="7"/>
      <c r="O849" s="1"/>
      <c r="P849" s="331">
        <f>D849</f>
      </c>
      <c r="Q849" s="169"/>
      <c r="R849" s="1"/>
      <c r="S849" s="217">
        <f>(1+$M$5)^(D849/12)*(IF(E849=$C$6,$Q$4+$H$5*12,0))</f>
      </c>
      <c r="T849" s="217">
        <f>(1+$M$5)^(D849/12)*(IF(YEAR(E849)&gt;YEAR($C$6),L849,0)+IF(E849=$C$6,$H$5*12+$Q$4,0))</f>
      </c>
    </row>
    <row x14ac:dyDescent="0.25" r="850" customHeight="1" ht="18.75">
      <c r="A850" s="1"/>
      <c r="B850" s="7"/>
      <c r="C850" s="170"/>
      <c r="D850" s="331">
        <v>843</v>
      </c>
      <c r="E850" s="544">
        <f>+DATE(YEAR(E849),MONTH(E849)-1,DAY(E849))</f>
        <v>25569.041666666668</v>
      </c>
      <c r="F850" s="333">
        <f>IF(DATE(YEAR($B$6),MONTH($B$6)+1,DAY(1))=E850,1,IF(MONTH(E850)=1,F851*(1+$F$5),F851))</f>
      </c>
      <c r="G850" s="333">
        <f>IF('Simulador - 1º Pilar'!$E$99="Sí",IF('Aportaciones Flex'!$B$13&lt;'Aportaciones Flex'!E850,0,F850*$B$8/12),F850*$B$8/12)</f>
      </c>
      <c r="H850" s="333">
        <f>IF(G850&gt;0,1,0)*$H$5*IF(AND($I$5="NO",YEAR(E850)=YEAR($B$6)+1),1,IF($I$5="SI",1,0))</f>
      </c>
      <c r="I850" s="217">
        <f>(1+$M$5)^(D850/12)*(H850*(12-IF(MONTH(E851)=12,0,MONTH(E851)))+IF(AND(F850=1,F851=0),$Q$4,0))*IF(AND(F850=1,F851=0),1,0)</f>
      </c>
      <c r="J850" s="333">
        <f>(1+$M$5)^(D850/12)*(H850+IF(AND(F850=1,F851=0),$Q$4,0))</f>
      </c>
      <c r="K850" s="351"/>
      <c r="L850" s="333">
        <f>K850+J850</f>
      </c>
      <c r="M850" s="170"/>
      <c r="N850" s="7"/>
      <c r="O850" s="1"/>
      <c r="P850" s="331">
        <f>D850</f>
      </c>
      <c r="Q850" s="169"/>
      <c r="R850" s="1"/>
      <c r="S850" s="217">
        <f>(1+$M$5)^(D850/12)*(IF(E850=$C$6,$Q$4+$H$5*12,0))</f>
      </c>
      <c r="T850" s="217">
        <f>(1+$M$5)^(D850/12)*(IF(YEAR(E850)&gt;YEAR($C$6),L850,0)+IF(E850=$C$6,$H$5*12+$Q$4,0))</f>
      </c>
    </row>
    <row x14ac:dyDescent="0.25" r="851" customHeight="1" ht="18.75">
      <c r="A851" s="1"/>
      <c r="B851" s="7"/>
      <c r="C851" s="170"/>
      <c r="D851" s="331">
        <v>844</v>
      </c>
      <c r="E851" s="544">
        <f>+DATE(YEAR(E850),MONTH(E850)-1,DAY(E850))</f>
        <v>25569.041666666668</v>
      </c>
      <c r="F851" s="333">
        <f>IF(DATE(YEAR($B$6),MONTH($B$6)+1,DAY(1))=E851,1,IF(MONTH(E851)=1,F852*(1+$F$5),F852))</f>
      </c>
      <c r="G851" s="333">
        <f>IF('Simulador - 1º Pilar'!$E$99="Sí",IF('Aportaciones Flex'!$B$13&lt;'Aportaciones Flex'!E851,0,F851*$B$8/12),F851*$B$8/12)</f>
      </c>
      <c r="H851" s="333">
        <f>IF(G851&gt;0,1,0)*$H$5*IF(AND($I$5="NO",YEAR(E851)=YEAR($B$6)+1),1,IF($I$5="SI",1,0))</f>
      </c>
      <c r="I851" s="217">
        <f>(1+$M$5)^(D851/12)*(H851*(12-IF(MONTH(E852)=12,0,MONTH(E852)))+IF(AND(F851=1,F852=0),$Q$4,0))*IF(AND(F851=1,F852=0),1,0)</f>
      </c>
      <c r="J851" s="333">
        <f>(1+$M$5)^(D851/12)*(H851+IF(AND(F851=1,F852=0),$Q$4,0))</f>
      </c>
      <c r="K851" s="351"/>
      <c r="L851" s="333">
        <f>K851+J851</f>
      </c>
      <c r="M851" s="170"/>
      <c r="N851" s="7"/>
      <c r="O851" s="1"/>
      <c r="P851" s="331">
        <f>D851</f>
      </c>
      <c r="Q851" s="169"/>
      <c r="R851" s="1"/>
      <c r="S851" s="217">
        <f>(1+$M$5)^(D851/12)*(IF(E851=$C$6,$Q$4+$H$5*12,0))</f>
      </c>
      <c r="T851" s="217">
        <f>(1+$M$5)^(D851/12)*(IF(YEAR(E851)&gt;YEAR($C$6),L851,0)+IF(E851=$C$6,$H$5*12+$Q$4,0))</f>
      </c>
    </row>
    <row x14ac:dyDescent="0.25" r="852" customHeight="1" ht="18.75">
      <c r="A852" s="1"/>
      <c r="B852" s="7"/>
      <c r="C852" s="170"/>
      <c r="D852" s="331">
        <v>845</v>
      </c>
      <c r="E852" s="544">
        <f>+DATE(YEAR(E851),MONTH(E851)-1,DAY(E851))</f>
        <v>25569.041666666668</v>
      </c>
      <c r="F852" s="333">
        <f>IF(DATE(YEAR($B$6),MONTH($B$6)+1,DAY(1))=E852,1,IF(MONTH(E852)=1,F853*(1+$F$5),F853))</f>
      </c>
      <c r="G852" s="333">
        <f>IF('Simulador - 1º Pilar'!$E$99="Sí",IF('Aportaciones Flex'!$B$13&lt;'Aportaciones Flex'!E852,0,F852*$B$8/12),F852*$B$8/12)</f>
      </c>
      <c r="H852" s="333">
        <f>IF(G852&gt;0,1,0)*$H$5*IF(AND($I$5="NO",YEAR(E852)=YEAR($B$6)+1),1,IF($I$5="SI",1,0))</f>
      </c>
      <c r="I852" s="217">
        <f>(1+$M$5)^(D852/12)*(H852*(12-IF(MONTH(E853)=12,0,MONTH(E853)))+IF(AND(F852=1,F853=0),$Q$4,0))*IF(AND(F852=1,F853=0),1,0)</f>
      </c>
      <c r="J852" s="333">
        <f>(1+$M$5)^(D852/12)*(H852+IF(AND(F852=1,F853=0),$Q$4,0))</f>
      </c>
      <c r="K852" s="351"/>
      <c r="L852" s="333">
        <f>K852+J852</f>
      </c>
      <c r="M852" s="170"/>
      <c r="N852" s="7"/>
      <c r="O852" s="1"/>
      <c r="P852" s="331">
        <f>D852</f>
      </c>
      <c r="Q852" s="169"/>
      <c r="R852" s="1"/>
      <c r="S852" s="217">
        <f>(1+$M$5)^(D852/12)*(IF(E852=$C$6,$Q$4+$H$5*12,0))</f>
      </c>
      <c r="T852" s="217">
        <f>(1+$M$5)^(D852/12)*(IF(YEAR(E852)&gt;YEAR($C$6),L852,0)+IF(E852=$C$6,$H$5*12+$Q$4,0))</f>
      </c>
    </row>
    <row x14ac:dyDescent="0.25" r="853" customHeight="1" ht="18.75">
      <c r="A853" s="1"/>
      <c r="B853" s="7"/>
      <c r="C853" s="170"/>
      <c r="D853" s="331">
        <v>846</v>
      </c>
      <c r="E853" s="544">
        <f>+DATE(YEAR(E852),MONTH(E852)-1,DAY(E852))</f>
        <v>25569.041666666668</v>
      </c>
      <c r="F853" s="333">
        <f>IF(DATE(YEAR($B$6),MONTH($B$6)+1,DAY(1))=E853,1,IF(MONTH(E853)=1,F854*(1+$F$5),F854))</f>
      </c>
      <c r="G853" s="333">
        <f>IF('Simulador - 1º Pilar'!$E$99="Sí",IF('Aportaciones Flex'!$B$13&lt;'Aportaciones Flex'!E853,0,F853*$B$8/12),F853*$B$8/12)</f>
      </c>
      <c r="H853" s="333">
        <f>IF(G853&gt;0,1,0)*$H$5*IF(AND($I$5="NO",YEAR(E853)=YEAR($B$6)+1),1,IF($I$5="SI",1,0))</f>
      </c>
      <c r="I853" s="217">
        <f>(1+$M$5)^(D853/12)*(H853*(12-IF(MONTH(E854)=12,0,MONTH(E854)))+IF(AND(F853=1,F854=0),$Q$4,0))*IF(AND(F853=1,F854=0),1,0)</f>
      </c>
      <c r="J853" s="333">
        <f>(1+$M$5)^(D853/12)*(H853+IF(AND(F853=1,F854=0),$Q$4,0))</f>
      </c>
      <c r="K853" s="351"/>
      <c r="L853" s="333">
        <f>K853+J853</f>
      </c>
      <c r="M853" s="170"/>
      <c r="N853" s="7"/>
      <c r="O853" s="1"/>
      <c r="P853" s="331">
        <f>D853</f>
      </c>
      <c r="Q853" s="169"/>
      <c r="R853" s="1"/>
      <c r="S853" s="217">
        <f>(1+$M$5)^(D853/12)*(IF(E853=$C$6,$Q$4+$H$5*12,0))</f>
      </c>
      <c r="T853" s="217">
        <f>(1+$M$5)^(D853/12)*(IF(YEAR(E853)&gt;YEAR($C$6),L853,0)+IF(E853=$C$6,$H$5*12+$Q$4,0))</f>
      </c>
    </row>
    <row x14ac:dyDescent="0.25" r="854" customHeight="1" ht="18.75">
      <c r="A854" s="1"/>
      <c r="B854" s="7"/>
      <c r="C854" s="170"/>
      <c r="D854" s="331">
        <v>847</v>
      </c>
      <c r="E854" s="544">
        <f>+DATE(YEAR(E853),MONTH(E853)-1,DAY(E853))</f>
        <v>25569.041666666668</v>
      </c>
      <c r="F854" s="333">
        <f>IF(DATE(YEAR($B$6),MONTH($B$6)+1,DAY(1))=E854,1,IF(MONTH(E854)=1,F855*(1+$F$5),F855))</f>
      </c>
      <c r="G854" s="333">
        <f>IF('Simulador - 1º Pilar'!$E$99="Sí",IF('Aportaciones Flex'!$B$13&lt;'Aportaciones Flex'!E854,0,F854*$B$8/12),F854*$B$8/12)</f>
      </c>
      <c r="H854" s="333">
        <f>IF(G854&gt;0,1,0)*$H$5*IF(AND($I$5="NO",YEAR(E854)=YEAR($B$6)+1),1,IF($I$5="SI",1,0))</f>
      </c>
      <c r="I854" s="217">
        <f>(1+$M$5)^(D854/12)*(H854*(12-IF(MONTH(E855)=12,0,MONTH(E855)))+IF(AND(F854=1,F855=0),$Q$4,0))*IF(AND(F854=1,F855=0),1,0)</f>
      </c>
      <c r="J854" s="333">
        <f>(1+$M$5)^(D854/12)*(H854+IF(AND(F854=1,F855=0),$Q$4,0))</f>
      </c>
      <c r="K854" s="351"/>
      <c r="L854" s="333">
        <f>K854+J854</f>
      </c>
      <c r="M854" s="170"/>
      <c r="N854" s="7"/>
      <c r="O854" s="1"/>
      <c r="P854" s="331">
        <f>D854</f>
      </c>
      <c r="Q854" s="169"/>
      <c r="R854" s="1"/>
      <c r="S854" s="217">
        <f>(1+$M$5)^(D854/12)*(IF(E854=$C$6,$Q$4+$H$5*12,0))</f>
      </c>
      <c r="T854" s="217">
        <f>(1+$M$5)^(D854/12)*(IF(YEAR(E854)&gt;YEAR($C$6),L854,0)+IF(E854=$C$6,$H$5*12+$Q$4,0))</f>
      </c>
    </row>
    <row x14ac:dyDescent="0.25" r="855" customHeight="1" ht="18.75">
      <c r="A855" s="1"/>
      <c r="B855" s="7"/>
      <c r="C855" s="170"/>
      <c r="D855" s="331">
        <v>848</v>
      </c>
      <c r="E855" s="544">
        <f>+DATE(YEAR(E854),MONTH(E854)-1,DAY(E854))</f>
        <v>25569.041666666668</v>
      </c>
      <c r="F855" s="333">
        <f>IF(DATE(YEAR($B$6),MONTH($B$6)+1,DAY(1))=E855,1,IF(MONTH(E855)=1,F856*(1+$F$5),F856))</f>
      </c>
      <c r="G855" s="333">
        <f>IF('Simulador - 1º Pilar'!$E$99="Sí",IF('Aportaciones Flex'!$B$13&lt;'Aportaciones Flex'!E855,0,F855*$B$8/12),F855*$B$8/12)</f>
      </c>
      <c r="H855" s="333">
        <f>IF(G855&gt;0,1,0)*$H$5*IF(AND($I$5="NO",YEAR(E855)=YEAR($B$6)+1),1,IF($I$5="SI",1,0))</f>
      </c>
      <c r="I855" s="217">
        <f>(1+$M$5)^(D855/12)*(H855*(12-IF(MONTH(E856)=12,0,MONTH(E856)))+IF(AND(F855=1,F856=0),$Q$4,0))*IF(AND(F855=1,F856=0),1,0)</f>
      </c>
      <c r="J855" s="333">
        <f>(1+$M$5)^(D855/12)*(H855+IF(AND(F855=1,F856=0),$Q$4,0))</f>
      </c>
      <c r="K855" s="351"/>
      <c r="L855" s="333">
        <f>K855+J855</f>
      </c>
      <c r="M855" s="170"/>
      <c r="N855" s="7"/>
      <c r="O855" s="1"/>
      <c r="P855" s="331">
        <f>D855</f>
      </c>
      <c r="Q855" s="169"/>
      <c r="R855" s="1"/>
      <c r="S855" s="217">
        <f>(1+$M$5)^(D855/12)*(IF(E855=$C$6,$Q$4+$H$5*12,0))</f>
      </c>
      <c r="T855" s="217">
        <f>(1+$M$5)^(D855/12)*(IF(YEAR(E855)&gt;YEAR($C$6),L855,0)+IF(E855=$C$6,$H$5*12+$Q$4,0))</f>
      </c>
    </row>
    <row x14ac:dyDescent="0.25" r="856" customHeight="1" ht="18.75">
      <c r="A856" s="1"/>
      <c r="B856" s="7"/>
      <c r="C856" s="170"/>
      <c r="D856" s="331">
        <v>849</v>
      </c>
      <c r="E856" s="544">
        <f>+DATE(YEAR(E855),MONTH(E855)-1,DAY(E855))</f>
        <v>25569.041666666668</v>
      </c>
      <c r="F856" s="333">
        <f>IF(DATE(YEAR($B$6),MONTH($B$6)+1,DAY(1))=E856,1,IF(MONTH(E856)=1,F857*(1+$F$5),F857))</f>
      </c>
      <c r="G856" s="333">
        <f>IF('Simulador - 1º Pilar'!$E$99="Sí",IF('Aportaciones Flex'!$B$13&lt;'Aportaciones Flex'!E856,0,F856*$B$8/12),F856*$B$8/12)</f>
      </c>
      <c r="H856" s="333">
        <f>IF(G856&gt;0,1,0)*$H$5*IF(AND($I$5="NO",YEAR(E856)=YEAR($B$6)+1),1,IF($I$5="SI",1,0))</f>
      </c>
      <c r="I856" s="217">
        <f>(1+$M$5)^(D856/12)*(H856*(12-IF(MONTH(E857)=12,0,MONTH(E857)))+IF(AND(F856=1,F857=0),$Q$4,0))*IF(AND(F856=1,F857=0),1,0)</f>
      </c>
      <c r="J856" s="333">
        <f>(1+$M$5)^(D856/12)*(H856+IF(AND(F856=1,F857=0),$Q$4,0))</f>
      </c>
      <c r="K856" s="351"/>
      <c r="L856" s="333">
        <f>K856+J856</f>
      </c>
      <c r="M856" s="170"/>
      <c r="N856" s="7"/>
      <c r="O856" s="1"/>
      <c r="P856" s="331">
        <f>D856</f>
      </c>
      <c r="Q856" s="169"/>
      <c r="R856" s="1"/>
      <c r="S856" s="217">
        <f>(1+$M$5)^(D856/12)*(IF(E856=$C$6,$Q$4+$H$5*12,0))</f>
      </c>
      <c r="T856" s="217">
        <f>(1+$M$5)^(D856/12)*(IF(YEAR(E856)&gt;YEAR($C$6),L856,0)+IF(E856=$C$6,$H$5*12+$Q$4,0))</f>
      </c>
    </row>
    <row x14ac:dyDescent="0.25" r="857" customHeight="1" ht="18.75">
      <c r="A857" s="1"/>
      <c r="B857" s="7"/>
      <c r="C857" s="170"/>
      <c r="D857" s="331">
        <v>850</v>
      </c>
      <c r="E857" s="544">
        <f>+DATE(YEAR(E856),MONTH(E856)-1,DAY(E856))</f>
        <v>25569.041666666668</v>
      </c>
      <c r="F857" s="333">
        <f>IF(DATE(YEAR($B$6),MONTH($B$6)+1,DAY(1))=E857,1,IF(MONTH(E857)=1,F858*(1+$F$5),F858))</f>
      </c>
      <c r="G857" s="333">
        <f>IF('Simulador - 1º Pilar'!$E$99="Sí",IF('Aportaciones Flex'!$B$13&lt;'Aportaciones Flex'!E857,0,F857*$B$8/12),F857*$B$8/12)</f>
      </c>
      <c r="H857" s="333">
        <f>IF(G857&gt;0,1,0)*$H$5*IF(AND($I$5="NO",YEAR(E857)=YEAR($B$6)+1),1,IF($I$5="SI",1,0))</f>
      </c>
      <c r="I857" s="217">
        <f>(1+$M$5)^(D857/12)*(H857*(12-IF(MONTH(E858)=12,0,MONTH(E858)))+IF(AND(F857=1,F858=0),$Q$4,0))*IF(AND(F857=1,F858=0),1,0)</f>
      </c>
      <c r="J857" s="333">
        <f>(1+$M$5)^(D857/12)*(H857+IF(AND(F857=1,F858=0),$Q$4,0))</f>
      </c>
      <c r="K857" s="351"/>
      <c r="L857" s="333">
        <f>K857+J857</f>
      </c>
      <c r="M857" s="170"/>
      <c r="N857" s="7"/>
      <c r="O857" s="1"/>
      <c r="P857" s="331">
        <f>D857</f>
      </c>
      <c r="Q857" s="169"/>
      <c r="R857" s="1"/>
      <c r="S857" s="217">
        <f>(1+$M$5)^(D857/12)*(IF(E857=$C$6,$Q$4+$H$5*12,0))</f>
      </c>
      <c r="T857" s="217">
        <f>(1+$M$5)^(D857/12)*(IF(YEAR(E857)&gt;YEAR($C$6),L857,0)+IF(E857=$C$6,$H$5*12+$Q$4,0))</f>
      </c>
    </row>
    <row x14ac:dyDescent="0.25" r="858" customHeight="1" ht="18.75">
      <c r="A858" s="1"/>
      <c r="B858" s="7"/>
      <c r="C858" s="170"/>
      <c r="D858" s="331">
        <v>851</v>
      </c>
      <c r="E858" s="544">
        <f>+DATE(YEAR(E857),MONTH(E857)-1,DAY(E857))</f>
        <v>25569.041666666668</v>
      </c>
      <c r="F858" s="333">
        <f>IF(DATE(YEAR($B$6),MONTH($B$6)+1,DAY(1))=E858,1,IF(MONTH(E858)=1,F859*(1+$F$5),F859))</f>
      </c>
      <c r="G858" s="333">
        <f>IF('Simulador - 1º Pilar'!$E$99="Sí",IF('Aportaciones Flex'!$B$13&lt;'Aportaciones Flex'!E858,0,F858*$B$8/12),F858*$B$8/12)</f>
      </c>
      <c r="H858" s="333">
        <f>IF(G858&gt;0,1,0)*$H$5*IF(AND($I$5="NO",YEAR(E858)=YEAR($B$6)+1),1,IF($I$5="SI",1,0))</f>
      </c>
      <c r="I858" s="217">
        <f>(1+$M$5)^(D858/12)*(H858*(12-IF(MONTH(E859)=12,0,MONTH(E859)))+IF(AND(F858=1,F859=0),$Q$4,0))*IF(AND(F858=1,F859=0),1,0)</f>
      </c>
      <c r="J858" s="333">
        <f>(1+$M$5)^(D858/12)*(H858+IF(AND(F858=1,F859=0),$Q$4,0))</f>
      </c>
      <c r="K858" s="351"/>
      <c r="L858" s="333">
        <f>K858+J858</f>
      </c>
      <c r="M858" s="170"/>
      <c r="N858" s="7"/>
      <c r="O858" s="1"/>
      <c r="P858" s="331">
        <f>D858</f>
      </c>
      <c r="Q858" s="169"/>
      <c r="R858" s="1"/>
      <c r="S858" s="217">
        <f>(1+$M$5)^(D858/12)*(IF(E858=$C$6,$Q$4+$H$5*12,0))</f>
      </c>
      <c r="T858" s="217">
        <f>(1+$M$5)^(D858/12)*(IF(YEAR(E858)&gt;YEAR($C$6),L858,0)+IF(E858=$C$6,$H$5*12+$Q$4,0))</f>
      </c>
    </row>
    <row x14ac:dyDescent="0.25" r="859" customHeight="1" ht="18.75">
      <c r="A859" s="1"/>
      <c r="B859" s="7"/>
      <c r="C859" s="170"/>
      <c r="D859" s="331">
        <v>852</v>
      </c>
      <c r="E859" s="544">
        <f>+DATE(YEAR(E858),MONTH(E858)-1,DAY(E858))</f>
        <v>25569.041666666668</v>
      </c>
      <c r="F859" s="333">
        <f>IF(DATE(YEAR($B$6),MONTH($B$6)+1,DAY(1))=E859,1,IF(MONTH(E859)=1,F860*(1+$F$5),F860))</f>
      </c>
      <c r="G859" s="333">
        <f>IF('Simulador - 1º Pilar'!$E$99="Sí",IF('Aportaciones Flex'!$B$13&lt;'Aportaciones Flex'!E859,0,F859*$B$8/12),F859*$B$8/12)</f>
      </c>
      <c r="H859" s="333">
        <f>IF(G859&gt;0,1,0)*$H$5*IF(AND($I$5="NO",YEAR(E859)=YEAR($B$6)+1),1,IF($I$5="SI",1,0))</f>
      </c>
      <c r="I859" s="217">
        <f>(1+$M$5)^(D859/12)*(H859*(12-IF(MONTH(E860)=12,0,MONTH(E860)))+IF(AND(F859=1,F860=0),$Q$4,0))*IF(AND(F859=1,F860=0),1,0)</f>
      </c>
      <c r="J859" s="333">
        <f>(1+$M$5)^(D859/12)*(H859+IF(AND(F859=1,F860=0),$Q$4,0))</f>
      </c>
      <c r="K859" s="351"/>
      <c r="L859" s="333">
        <f>K859+J859</f>
      </c>
      <c r="M859" s="170"/>
      <c r="N859" s="7"/>
      <c r="O859" s="1"/>
      <c r="P859" s="331">
        <f>D859</f>
      </c>
      <c r="Q859" s="169"/>
      <c r="R859" s="1"/>
      <c r="S859" s="217">
        <f>(1+$M$5)^(D859/12)*(IF(E859=$C$6,$Q$4+$H$5*12,0))</f>
      </c>
      <c r="T859" s="217">
        <f>(1+$M$5)^(D859/12)*(IF(YEAR(E859)&gt;YEAR($C$6),L859,0)+IF(E859=$C$6,$H$5*12+$Q$4,0))</f>
      </c>
    </row>
    <row x14ac:dyDescent="0.25" r="860" customHeight="1" ht="18.75">
      <c r="A860" s="1"/>
      <c r="B860" s="7"/>
      <c r="C860" s="170"/>
      <c r="D860" s="331">
        <v>853</v>
      </c>
      <c r="E860" s="544">
        <f>+DATE(YEAR(E859),MONTH(E859)-1,DAY(E859))</f>
        <v>25569.041666666668</v>
      </c>
      <c r="F860" s="333">
        <f>IF(DATE(YEAR($B$6),MONTH($B$6)+1,DAY(1))=E860,1,IF(MONTH(E860)=1,F861*(1+$F$5),F861))</f>
      </c>
      <c r="G860" s="333">
        <f>IF('Simulador - 1º Pilar'!$E$99="Sí",IF('Aportaciones Flex'!$B$13&lt;'Aportaciones Flex'!E860,0,F860*$B$8/12),F860*$B$8/12)</f>
      </c>
      <c r="H860" s="333">
        <f>IF(G860&gt;0,1,0)*$H$5*IF(AND($I$5="NO",YEAR(E860)=YEAR($B$6)+1),1,IF($I$5="SI",1,0))</f>
      </c>
      <c r="I860" s="217">
        <f>(1+$M$5)^(D860/12)*(H860*(12-IF(MONTH(E861)=12,0,MONTH(E861)))+IF(AND(F860=1,F861=0),$Q$4,0))*IF(AND(F860=1,F861=0),1,0)</f>
      </c>
      <c r="J860" s="333">
        <f>(1+$M$5)^(D860/12)*(H860+IF(AND(F860=1,F861=0),$Q$4,0))</f>
      </c>
      <c r="K860" s="351"/>
      <c r="L860" s="333">
        <f>K860+J860</f>
      </c>
      <c r="M860" s="170"/>
      <c r="N860" s="7"/>
      <c r="O860" s="1"/>
      <c r="P860" s="331">
        <f>D860</f>
      </c>
      <c r="Q860" s="169"/>
      <c r="R860" s="1"/>
      <c r="S860" s="217">
        <f>(1+$M$5)^(D860/12)*(IF(E860=$C$6,$Q$4+$H$5*12,0))</f>
      </c>
      <c r="T860" s="217">
        <f>(1+$M$5)^(D860/12)*(IF(YEAR(E860)&gt;YEAR($C$6),L860,0)+IF(E860=$C$6,$H$5*12+$Q$4,0))</f>
      </c>
    </row>
    <row x14ac:dyDescent="0.25" r="861" customHeight="1" ht="18.75">
      <c r="A861" s="1"/>
      <c r="B861" s="7"/>
      <c r="C861" s="170"/>
      <c r="D861" s="331">
        <v>854</v>
      </c>
      <c r="E861" s="544">
        <f>+DATE(YEAR(E860),MONTH(E860)-1,DAY(E860))</f>
        <v>25569.041666666668</v>
      </c>
      <c r="F861" s="333">
        <f>IF(DATE(YEAR($B$6),MONTH($B$6)+1,DAY(1))=E861,1,IF(MONTH(E861)=1,F862*(1+$F$5),F862))</f>
      </c>
      <c r="G861" s="333">
        <f>IF('Simulador - 1º Pilar'!$E$99="Sí",IF('Aportaciones Flex'!$B$13&lt;'Aportaciones Flex'!E861,0,F861*$B$8/12),F861*$B$8/12)</f>
      </c>
      <c r="H861" s="333">
        <f>IF(G861&gt;0,1,0)*$H$5*IF(AND($I$5="NO",YEAR(E861)=YEAR($B$6)+1),1,IF($I$5="SI",1,0))</f>
      </c>
      <c r="I861" s="217">
        <f>(1+$M$5)^(D861/12)*(H861*(12-IF(MONTH(E862)=12,0,MONTH(E862)))+IF(AND(F861=1,F862=0),$Q$4,0))*IF(AND(F861=1,F862=0),1,0)</f>
      </c>
      <c r="J861" s="333">
        <f>(1+$M$5)^(D861/12)*(H861+IF(AND(F861=1,F862=0),$Q$4,0))</f>
      </c>
      <c r="K861" s="351"/>
      <c r="L861" s="333">
        <f>K861+J861</f>
      </c>
      <c r="M861" s="170"/>
      <c r="N861" s="7"/>
      <c r="O861" s="1"/>
      <c r="P861" s="331">
        <f>D861</f>
      </c>
      <c r="Q861" s="169"/>
      <c r="R861" s="1"/>
      <c r="S861" s="217">
        <f>(1+$M$5)^(D861/12)*(IF(E861=$C$6,$Q$4+$H$5*12,0))</f>
      </c>
      <c r="T861" s="217">
        <f>(1+$M$5)^(D861/12)*(IF(YEAR(E861)&gt;YEAR($C$6),L861,0)+IF(E861=$C$6,$H$5*12+$Q$4,0))</f>
      </c>
    </row>
    <row x14ac:dyDescent="0.25" r="862" customHeight="1" ht="18.75">
      <c r="A862" s="1"/>
      <c r="B862" s="7"/>
      <c r="C862" s="170"/>
      <c r="D862" s="331">
        <v>855</v>
      </c>
      <c r="E862" s="544">
        <f>+DATE(YEAR(E861),MONTH(E861)-1,DAY(E861))</f>
        <v>25569.041666666668</v>
      </c>
      <c r="F862" s="333">
        <f>IF(DATE(YEAR($B$6),MONTH($B$6)+1,DAY(1))=E862,1,IF(MONTH(E862)=1,F863*(1+$F$5),F863))</f>
      </c>
      <c r="G862" s="333">
        <f>IF('Simulador - 1º Pilar'!$E$99="Sí",IF('Aportaciones Flex'!$B$13&lt;'Aportaciones Flex'!E862,0,F862*$B$8/12),F862*$B$8/12)</f>
      </c>
      <c r="H862" s="333">
        <f>IF(G862&gt;0,1,0)*$H$5*IF(AND($I$5="NO",YEAR(E862)=YEAR($B$6)+1),1,IF($I$5="SI",1,0))</f>
      </c>
      <c r="I862" s="217">
        <f>(1+$M$5)^(D862/12)*(H862*(12-IF(MONTH(E863)=12,0,MONTH(E863)))+IF(AND(F862=1,F863=0),$Q$4,0))*IF(AND(F862=1,F863=0),1,0)</f>
      </c>
      <c r="J862" s="333">
        <f>(1+$M$5)^(D862/12)*(H862+IF(AND(F862=1,F863=0),$Q$4,0))</f>
      </c>
      <c r="K862" s="351"/>
      <c r="L862" s="333">
        <f>K862+J862</f>
      </c>
      <c r="M862" s="170"/>
      <c r="N862" s="7"/>
      <c r="O862" s="1"/>
      <c r="P862" s="331">
        <f>D862</f>
      </c>
      <c r="Q862" s="169"/>
      <c r="R862" s="1"/>
      <c r="S862" s="217">
        <f>(1+$M$5)^(D862/12)*(IF(E862=$C$6,$Q$4+$H$5*12,0))</f>
      </c>
      <c r="T862" s="217">
        <f>(1+$M$5)^(D862/12)*(IF(YEAR(E862)&gt;YEAR($C$6),L862,0)+IF(E862=$C$6,$H$5*12+$Q$4,0))</f>
      </c>
    </row>
    <row x14ac:dyDescent="0.25" r="863" customHeight="1" ht="18.75">
      <c r="A863" s="1"/>
      <c r="B863" s="7"/>
      <c r="C863" s="170"/>
      <c r="D863" s="331">
        <v>856</v>
      </c>
      <c r="E863" s="544">
        <f>+DATE(YEAR(E862),MONTH(E862)-1,DAY(E862))</f>
        <v>25569.041666666668</v>
      </c>
      <c r="F863" s="333">
        <f>IF(DATE(YEAR($B$6),MONTH($B$6)+1,DAY(1))=E863,1,IF(MONTH(E863)=1,F864*(1+$F$5),F864))</f>
      </c>
      <c r="G863" s="333">
        <f>IF('Simulador - 1º Pilar'!$E$99="Sí",IF('Aportaciones Flex'!$B$13&lt;'Aportaciones Flex'!E863,0,F863*$B$8/12),F863*$B$8/12)</f>
      </c>
      <c r="H863" s="333">
        <f>IF(G863&gt;0,1,0)*$H$5*IF(AND($I$5="NO",YEAR(E863)=YEAR($B$6)+1),1,IF($I$5="SI",1,0))</f>
      </c>
      <c r="I863" s="217">
        <f>(1+$M$5)^(D863/12)*(H863*(12-IF(MONTH(E864)=12,0,MONTH(E864)))+IF(AND(F863=1,F864=0),$Q$4,0))*IF(AND(F863=1,F864=0),1,0)</f>
      </c>
      <c r="J863" s="333">
        <f>(1+$M$5)^(D863/12)*(H863+IF(AND(F863=1,F864=0),$Q$4,0))</f>
      </c>
      <c r="K863" s="351"/>
      <c r="L863" s="333">
        <f>K863+J863</f>
      </c>
      <c r="M863" s="170"/>
      <c r="N863" s="7"/>
      <c r="O863" s="1"/>
      <c r="P863" s="331">
        <f>D863</f>
      </c>
      <c r="Q863" s="169"/>
      <c r="R863" s="1"/>
      <c r="S863" s="217">
        <f>(1+$M$5)^(D863/12)*(IF(E863=$C$6,$Q$4+$H$5*12,0))</f>
      </c>
      <c r="T863" s="217">
        <f>(1+$M$5)^(D863/12)*(IF(YEAR(E863)&gt;YEAR($C$6),L863,0)+IF(E863=$C$6,$H$5*12+$Q$4,0))</f>
      </c>
    </row>
    <row x14ac:dyDescent="0.25" r="864" customHeight="1" ht="18.75">
      <c r="A864" s="1"/>
      <c r="B864" s="7"/>
      <c r="C864" s="170"/>
      <c r="D864" s="331">
        <v>857</v>
      </c>
      <c r="E864" s="544">
        <f>+DATE(YEAR(E863),MONTH(E863)-1,DAY(E863))</f>
        <v>25569.041666666668</v>
      </c>
      <c r="F864" s="333">
        <f>IF(DATE(YEAR($B$6),MONTH($B$6)+1,DAY(1))=E864,1,IF(MONTH(E864)=1,F865*(1+$F$5),F865))</f>
      </c>
      <c r="G864" s="333">
        <f>IF('Simulador - 1º Pilar'!$E$99="Sí",IF('Aportaciones Flex'!$B$13&lt;'Aportaciones Flex'!E864,0,F864*$B$8/12),F864*$B$8/12)</f>
      </c>
      <c r="H864" s="333">
        <f>IF(G864&gt;0,1,0)*$H$5*IF(AND($I$5="NO",YEAR(E864)=YEAR($B$6)+1),1,IF($I$5="SI",1,0))</f>
      </c>
      <c r="I864" s="217">
        <f>(1+$M$5)^(D864/12)*(H864*(12-IF(MONTH(E865)=12,0,MONTH(E865)))+IF(AND(F864=1,F865=0),$Q$4,0))*IF(AND(F864=1,F865=0),1,0)</f>
      </c>
      <c r="J864" s="333">
        <f>(1+$M$5)^(D864/12)*(H864+IF(AND(F864=1,F865=0),$Q$4,0))</f>
      </c>
      <c r="K864" s="351"/>
      <c r="L864" s="333">
        <f>K864+J864</f>
      </c>
      <c r="M864" s="170"/>
      <c r="N864" s="7"/>
      <c r="O864" s="1"/>
      <c r="P864" s="331">
        <f>D864</f>
      </c>
      <c r="Q864" s="169"/>
      <c r="R864" s="1"/>
      <c r="S864" s="217">
        <f>(1+$M$5)^(D864/12)*(IF(E864=$C$6,$Q$4+$H$5*12,0))</f>
      </c>
      <c r="T864" s="217">
        <f>(1+$M$5)^(D864/12)*(IF(YEAR(E864)&gt;YEAR($C$6),L864,0)+IF(E864=$C$6,$H$5*12+$Q$4,0))</f>
      </c>
    </row>
    <row x14ac:dyDescent="0.25" r="865" customHeight="1" ht="18.75">
      <c r="A865" s="1"/>
      <c r="B865" s="7"/>
      <c r="C865" s="170"/>
      <c r="D865" s="331">
        <v>858</v>
      </c>
      <c r="E865" s="544">
        <f>+DATE(YEAR(E864),MONTH(E864)-1,DAY(E864))</f>
        <v>25569.041666666668</v>
      </c>
      <c r="F865" s="333">
        <f>IF(DATE(YEAR($B$6),MONTH($B$6)+1,DAY(1))=E865,1,IF(MONTH(E865)=1,F866*(1+$F$5),F866))</f>
      </c>
      <c r="G865" s="333">
        <f>IF('Simulador - 1º Pilar'!$E$99="Sí",IF('Aportaciones Flex'!$B$13&lt;'Aportaciones Flex'!E865,0,F865*$B$8/12),F865*$B$8/12)</f>
      </c>
      <c r="H865" s="333">
        <f>IF(G865&gt;0,1,0)*$H$5*IF(AND($I$5="NO",YEAR(E865)=YEAR($B$6)+1),1,IF($I$5="SI",1,0))</f>
      </c>
      <c r="I865" s="217">
        <f>(1+$M$5)^(D865/12)*(H865*(12-IF(MONTH(E866)=12,0,MONTH(E866)))+IF(AND(F865=1,F866=0),$Q$4,0))*IF(AND(F865=1,F866=0),1,0)</f>
      </c>
      <c r="J865" s="333">
        <f>(1+$M$5)^(D865/12)*(H865+IF(AND(F865=1,F866=0),$Q$4,0))</f>
      </c>
      <c r="K865" s="351"/>
      <c r="L865" s="333">
        <f>K865+J865</f>
      </c>
      <c r="M865" s="170"/>
      <c r="N865" s="7"/>
      <c r="O865" s="1"/>
      <c r="P865" s="331">
        <f>D865</f>
      </c>
      <c r="Q865" s="169"/>
      <c r="R865" s="1"/>
      <c r="S865" s="217">
        <f>(1+$M$5)^(D865/12)*(IF(E865=$C$6,$Q$4+$H$5*12,0))</f>
      </c>
      <c r="T865" s="217">
        <f>(1+$M$5)^(D865/12)*(IF(YEAR(E865)&gt;YEAR($C$6),L865,0)+IF(E865=$C$6,$H$5*12+$Q$4,0))</f>
      </c>
    </row>
    <row x14ac:dyDescent="0.25" r="866" customHeight="1" ht="18.75">
      <c r="A866" s="1"/>
      <c r="B866" s="7"/>
      <c r="C866" s="170"/>
      <c r="D866" s="331">
        <v>859</v>
      </c>
      <c r="E866" s="544">
        <f>+DATE(YEAR(E865),MONTH(E865)-1,DAY(E865))</f>
        <v>25569.041666666668</v>
      </c>
      <c r="F866" s="333">
        <f>IF(DATE(YEAR($B$6),MONTH($B$6)+1,DAY(1))=E866,1,IF(MONTH(E866)=1,F867*(1+$F$5),F867))</f>
      </c>
      <c r="G866" s="333">
        <f>IF('Simulador - 1º Pilar'!$E$99="Sí",IF('Aportaciones Flex'!$B$13&lt;'Aportaciones Flex'!E866,0,F866*$B$8/12),F866*$B$8/12)</f>
      </c>
      <c r="H866" s="333">
        <f>IF(G866&gt;0,1,0)*$H$5*IF(AND($I$5="NO",YEAR(E866)=YEAR($B$6)+1),1,IF($I$5="SI",1,0))</f>
      </c>
      <c r="I866" s="217">
        <f>(1+$M$5)^(D866/12)*(H866*(12-IF(MONTH(E867)=12,0,MONTH(E867)))+IF(AND(F866=1,F867=0),$Q$4,0))*IF(AND(F866=1,F867=0),1,0)</f>
      </c>
      <c r="J866" s="333">
        <f>(1+$M$5)^(D866/12)*(H866+IF(AND(F866=1,F867=0),$Q$4,0))</f>
      </c>
      <c r="K866" s="351"/>
      <c r="L866" s="333">
        <f>K866+J866</f>
      </c>
      <c r="M866" s="170"/>
      <c r="N866" s="7"/>
      <c r="O866" s="1"/>
      <c r="P866" s="331">
        <f>D866</f>
      </c>
      <c r="Q866" s="169"/>
      <c r="R866" s="1"/>
      <c r="S866" s="217">
        <f>(1+$M$5)^(D866/12)*(IF(E866=$C$6,$Q$4+$H$5*12,0))</f>
      </c>
      <c r="T866" s="217">
        <f>(1+$M$5)^(D866/12)*(IF(YEAR(E866)&gt;YEAR($C$6),L866,0)+IF(E866=$C$6,$H$5*12+$Q$4,0))</f>
      </c>
    </row>
    <row x14ac:dyDescent="0.25" r="867" customHeight="1" ht="18.75">
      <c r="A867" s="1"/>
      <c r="B867" s="7"/>
      <c r="C867" s="170"/>
      <c r="D867" s="331">
        <v>860</v>
      </c>
      <c r="E867" s="544">
        <f>+DATE(YEAR(E866),MONTH(E866)-1,DAY(E866))</f>
        <v>25569.041666666668</v>
      </c>
      <c r="F867" s="333">
        <f>IF(DATE(YEAR($B$6),MONTH($B$6)+1,DAY(1))=E867,1,IF(MONTH(E867)=1,F868*(1+$F$5),F868))</f>
      </c>
      <c r="G867" s="333">
        <f>IF('Simulador - 1º Pilar'!$E$99="Sí",IF('Aportaciones Flex'!$B$13&lt;'Aportaciones Flex'!E867,0,F867*$B$8/12),F867*$B$8/12)</f>
      </c>
      <c r="H867" s="333">
        <f>IF(G867&gt;0,1,0)*$H$5*IF(AND($I$5="NO",YEAR(E867)=YEAR($B$6)+1),1,IF($I$5="SI",1,0))</f>
      </c>
      <c r="I867" s="217">
        <f>(1+$M$5)^(D867/12)*(H867*(12-IF(MONTH(E868)=12,0,MONTH(E868)))+IF(AND(F867=1,F868=0),$Q$4,0))*IF(AND(F867=1,F868=0),1,0)</f>
      </c>
      <c r="J867" s="333">
        <f>(1+$M$5)^(D867/12)*(H867+IF(AND(F867=1,F868=0),$Q$4,0))</f>
      </c>
      <c r="K867" s="351"/>
      <c r="L867" s="333">
        <f>K867+J867</f>
      </c>
      <c r="M867" s="170"/>
      <c r="N867" s="7"/>
      <c r="O867" s="1"/>
      <c r="P867" s="331">
        <f>D867</f>
      </c>
      <c r="Q867" s="169"/>
      <c r="R867" s="1"/>
      <c r="S867" s="217">
        <f>(1+$M$5)^(D867/12)*(IF(E867=$C$6,$Q$4+$H$5*12,0))</f>
      </c>
      <c r="T867" s="217">
        <f>(1+$M$5)^(D867/12)*(IF(YEAR(E867)&gt;YEAR($C$6),L867,0)+IF(E867=$C$6,$H$5*12+$Q$4,0))</f>
      </c>
    </row>
    <row x14ac:dyDescent="0.25" r="868" customHeight="1" ht="18.75">
      <c r="A868" s="1"/>
      <c r="B868" s="7"/>
      <c r="C868" s="170"/>
      <c r="D868" s="331">
        <v>861</v>
      </c>
      <c r="E868" s="544">
        <f>+DATE(YEAR(E867),MONTH(E867)-1,DAY(E867))</f>
        <v>25569.041666666668</v>
      </c>
      <c r="F868" s="333">
        <f>IF(DATE(YEAR($B$6),MONTH($B$6)+1,DAY(1))=E868,1,IF(MONTH(E868)=1,F869*(1+$F$5),F869))</f>
      </c>
      <c r="G868" s="333">
        <f>IF('Simulador - 1º Pilar'!$E$99="Sí",IF('Aportaciones Flex'!$B$13&lt;'Aportaciones Flex'!E868,0,F868*$B$8/12),F868*$B$8/12)</f>
      </c>
      <c r="H868" s="333">
        <f>IF(G868&gt;0,1,0)*$H$5*IF(AND($I$5="NO",YEAR(E868)=YEAR($B$6)+1),1,IF($I$5="SI",1,0))</f>
      </c>
      <c r="I868" s="217">
        <f>(1+$M$5)^(D868/12)*(H868*(12-IF(MONTH(E869)=12,0,MONTH(E869)))+IF(AND(F868=1,F869=0),$Q$4,0))*IF(AND(F868=1,F869=0),1,0)</f>
      </c>
      <c r="J868" s="333">
        <f>(1+$M$5)^(D868/12)*(H868+IF(AND(F868=1,F869=0),$Q$4,0))</f>
      </c>
      <c r="K868" s="351"/>
      <c r="L868" s="333">
        <f>K868+J868</f>
      </c>
      <c r="M868" s="170"/>
      <c r="N868" s="7"/>
      <c r="O868" s="1"/>
      <c r="P868" s="331">
        <f>D868</f>
      </c>
      <c r="Q868" s="169"/>
      <c r="R868" s="1"/>
      <c r="S868" s="217">
        <f>(1+$M$5)^(D868/12)*(IF(E868=$C$6,$Q$4+$H$5*12,0))</f>
      </c>
      <c r="T868" s="217">
        <f>(1+$M$5)^(D868/12)*(IF(YEAR(E868)&gt;YEAR($C$6),L868,0)+IF(E868=$C$6,$H$5*12+$Q$4,0))</f>
      </c>
    </row>
    <row x14ac:dyDescent="0.25" r="869" customHeight="1" ht="18.75">
      <c r="A869" s="1"/>
      <c r="B869" s="7"/>
      <c r="C869" s="170"/>
      <c r="D869" s="331">
        <v>862</v>
      </c>
      <c r="E869" s="544">
        <f>+DATE(YEAR(E868),MONTH(E868)-1,DAY(E868))</f>
        <v>25569.041666666668</v>
      </c>
      <c r="F869" s="333">
        <f>IF(DATE(YEAR($B$6),MONTH($B$6)+1,DAY(1))=E869,1,IF(MONTH(E869)=1,F870*(1+$F$5),F870))</f>
      </c>
      <c r="G869" s="333">
        <f>IF('Simulador - 1º Pilar'!$E$99="Sí",IF('Aportaciones Flex'!$B$13&lt;'Aportaciones Flex'!E869,0,F869*$B$8/12),F869*$B$8/12)</f>
      </c>
      <c r="H869" s="333">
        <f>IF(G869&gt;0,1,0)*$H$5*IF(AND($I$5="NO",YEAR(E869)=YEAR($B$6)+1),1,IF($I$5="SI",1,0))</f>
      </c>
      <c r="I869" s="217">
        <f>(1+$M$5)^(D869/12)*(H869*(12-IF(MONTH(E870)=12,0,MONTH(E870)))+IF(AND(F869=1,F870=0),$Q$4,0))*IF(AND(F869=1,F870=0),1,0)</f>
      </c>
      <c r="J869" s="333">
        <f>(1+$M$5)^(D869/12)*(H869+IF(AND(F869=1,F870=0),$Q$4,0))</f>
      </c>
      <c r="K869" s="351"/>
      <c r="L869" s="333">
        <f>K869+J869</f>
      </c>
      <c r="M869" s="170"/>
      <c r="N869" s="7"/>
      <c r="O869" s="1"/>
      <c r="P869" s="331">
        <f>D869</f>
      </c>
      <c r="Q869" s="169"/>
      <c r="R869" s="1"/>
      <c r="S869" s="217">
        <f>(1+$M$5)^(D869/12)*(IF(E869=$C$6,$Q$4+$H$5*12,0))</f>
      </c>
      <c r="T869" s="217">
        <f>(1+$M$5)^(D869/12)*(IF(YEAR(E869)&gt;YEAR($C$6),L869,0)+IF(E869=$C$6,$H$5*12+$Q$4,0))</f>
      </c>
    </row>
    <row x14ac:dyDescent="0.25" r="870" customHeight="1" ht="18.75">
      <c r="A870" s="1"/>
      <c r="B870" s="7"/>
      <c r="C870" s="170"/>
      <c r="D870" s="331">
        <v>863</v>
      </c>
      <c r="E870" s="544">
        <f>+DATE(YEAR(E869),MONTH(E869)-1,DAY(E869))</f>
        <v>25569.041666666668</v>
      </c>
      <c r="F870" s="333">
        <f>IF(DATE(YEAR($B$6),MONTH($B$6)+1,DAY(1))=E870,1,IF(MONTH(E870)=1,F871*(1+$F$5),F871))</f>
      </c>
      <c r="G870" s="333">
        <f>IF('Simulador - 1º Pilar'!$E$99="Sí",IF('Aportaciones Flex'!$B$13&lt;'Aportaciones Flex'!E870,0,F870*$B$8/12),F870*$B$8/12)</f>
      </c>
      <c r="H870" s="333">
        <f>IF(G870&gt;0,1,0)*$H$5*IF(AND($I$5="NO",YEAR(E870)=YEAR($B$6)+1),1,IF($I$5="SI",1,0))</f>
      </c>
      <c r="I870" s="217">
        <f>(1+$M$5)^(D870/12)*(H870*(12-IF(MONTH(E871)=12,0,MONTH(E871)))+IF(AND(F870=1,F871=0),$Q$4,0))*IF(AND(F870=1,F871=0),1,0)</f>
      </c>
      <c r="J870" s="333">
        <f>(1+$M$5)^(D870/12)*(H870+IF(AND(F870=1,F871=0),$Q$4,0))</f>
      </c>
      <c r="K870" s="351"/>
      <c r="L870" s="333">
        <f>K870+J870</f>
      </c>
      <c r="M870" s="170"/>
      <c r="N870" s="7"/>
      <c r="O870" s="1"/>
      <c r="P870" s="331">
        <f>D870</f>
      </c>
      <c r="Q870" s="169"/>
      <c r="R870" s="1"/>
      <c r="S870" s="217">
        <f>(1+$M$5)^(D870/12)*(IF(E870=$C$6,$Q$4+$H$5*12,0))</f>
      </c>
      <c r="T870" s="217">
        <f>(1+$M$5)^(D870/12)*(IF(YEAR(E870)&gt;YEAR($C$6),L870,0)+IF(E870=$C$6,$H$5*12+$Q$4,0))</f>
      </c>
    </row>
    <row x14ac:dyDescent="0.25" r="871" customHeight="1" ht="18.75">
      <c r="A871" s="1"/>
      <c r="B871" s="7"/>
      <c r="C871" s="170"/>
      <c r="D871" s="331">
        <v>864</v>
      </c>
      <c r="E871" s="544">
        <f>+DATE(YEAR(E870),MONTH(E870)-1,DAY(E870))</f>
        <v>25569.041666666668</v>
      </c>
      <c r="F871" s="333">
        <f>IF(DATE(YEAR($B$6),MONTH($B$6)+1,DAY(1))=E871,1,IF(MONTH(E871)=1,F872*(1+$F$5),F872))</f>
      </c>
      <c r="G871" s="333">
        <f>IF('Simulador - 1º Pilar'!$E$99="Sí",IF('Aportaciones Flex'!$B$13&lt;'Aportaciones Flex'!E871,0,F871*$B$8/12),F871*$B$8/12)</f>
      </c>
      <c r="H871" s="333">
        <f>IF(G871&gt;0,1,0)*$H$5*IF(AND($I$5="NO",YEAR(E871)=YEAR($B$6)+1),1,IF($I$5="SI",1,0))</f>
      </c>
      <c r="I871" s="217">
        <f>(1+$M$5)^(D871/12)*(H871*(12-IF(MONTH(E872)=12,0,MONTH(E872)))+IF(AND(F871=1,F872=0),$Q$4,0))*IF(AND(F871=1,F872=0),1,0)</f>
      </c>
      <c r="J871" s="333">
        <f>(1+$M$5)^(D871/12)*(H871+IF(AND(F871=1,F872=0),$Q$4,0))</f>
      </c>
      <c r="K871" s="351"/>
      <c r="L871" s="333">
        <f>K871+J871</f>
      </c>
      <c r="M871" s="170"/>
      <c r="N871" s="7"/>
      <c r="O871" s="1"/>
      <c r="P871" s="331">
        <f>D871</f>
      </c>
      <c r="Q871" s="169"/>
      <c r="R871" s="1"/>
      <c r="S871" s="217">
        <f>(1+$M$5)^(D871/12)*(IF(E871=$C$6,$Q$4+$H$5*12,0))</f>
      </c>
      <c r="T871" s="217">
        <f>(1+$M$5)^(D871/12)*(IF(YEAR(E871)&gt;YEAR($C$6),L871,0)+IF(E871=$C$6,$H$5*12+$Q$4,0))</f>
      </c>
    </row>
    <row x14ac:dyDescent="0.25" r="872" customHeight="1" ht="18.75">
      <c r="A872" s="1"/>
      <c r="B872" s="7"/>
      <c r="C872" s="170"/>
      <c r="D872" s="331">
        <v>865</v>
      </c>
      <c r="E872" s="544">
        <f>+DATE(YEAR(E871),MONTH(E871)-1,DAY(E871))</f>
        <v>25569.041666666668</v>
      </c>
      <c r="F872" s="333">
        <f>IF(DATE(YEAR($B$6),MONTH($B$6)+1,DAY(1))=E872,1,IF(MONTH(E872)=1,F873*(1+$F$5),F873))</f>
      </c>
      <c r="G872" s="333">
        <f>IF('Simulador - 1º Pilar'!$E$99="Sí",IF('Aportaciones Flex'!$B$13&lt;'Aportaciones Flex'!E872,0,F872*$B$8/12),F872*$B$8/12)</f>
      </c>
      <c r="H872" s="333">
        <f>IF(G872&gt;0,1,0)*$H$5*IF(AND($I$5="NO",YEAR(E872)=YEAR($B$6)+1),1,IF($I$5="SI",1,0))</f>
      </c>
      <c r="I872" s="217">
        <f>(1+$M$5)^(D872/12)*(H872*(12-IF(MONTH(E873)=12,0,MONTH(E873)))+IF(AND(F872=1,F873=0),$Q$4,0))*IF(AND(F872=1,F873=0),1,0)</f>
      </c>
      <c r="J872" s="333">
        <f>(1+$M$5)^(D872/12)*(H872+IF(AND(F872=1,F873=0),$Q$4,0))</f>
      </c>
      <c r="K872" s="351"/>
      <c r="L872" s="333">
        <f>K872+J872</f>
      </c>
      <c r="M872" s="170"/>
      <c r="N872" s="7"/>
      <c r="O872" s="1"/>
      <c r="P872" s="331">
        <f>D872</f>
      </c>
      <c r="Q872" s="169"/>
      <c r="R872" s="1"/>
      <c r="S872" s="217">
        <f>(1+$M$5)^(D872/12)*(IF(E872=$C$6,$Q$4+$H$5*12,0))</f>
      </c>
      <c r="T872" s="217">
        <f>(1+$M$5)^(D872/12)*(IF(YEAR(E872)&gt;YEAR($C$6),L872,0)+IF(E872=$C$6,$H$5*12+$Q$4,0))</f>
      </c>
    </row>
    <row x14ac:dyDescent="0.25" r="873" customHeight="1" ht="18.75">
      <c r="A873" s="1"/>
      <c r="B873" s="7"/>
      <c r="C873" s="170"/>
      <c r="D873" s="331">
        <v>866</v>
      </c>
      <c r="E873" s="544">
        <f>+DATE(YEAR(E872),MONTH(E872)-1,DAY(E872))</f>
        <v>25569.041666666668</v>
      </c>
      <c r="F873" s="333">
        <f>IF(DATE(YEAR($B$6),MONTH($B$6)+1,DAY(1))=E873,1,IF(MONTH(E873)=1,F874*(1+$F$5),F874))</f>
      </c>
      <c r="G873" s="333">
        <f>IF('Simulador - 1º Pilar'!$E$99="Sí",IF('Aportaciones Flex'!$B$13&lt;'Aportaciones Flex'!E873,0,F873*$B$8/12),F873*$B$8/12)</f>
      </c>
      <c r="H873" s="333">
        <f>IF(G873&gt;0,1,0)*$H$5*IF(AND($I$5="NO",YEAR(E873)=YEAR($B$6)+1),1,IF($I$5="SI",1,0))</f>
      </c>
      <c r="I873" s="217">
        <f>(1+$M$5)^(D873/12)*(H873*(12-IF(MONTH(E874)=12,0,MONTH(E874)))+IF(AND(F873=1,F874=0),$Q$4,0))*IF(AND(F873=1,F874=0),1,0)</f>
      </c>
      <c r="J873" s="333">
        <f>(1+$M$5)^(D873/12)*(H873+IF(AND(F873=1,F874=0),$Q$4,0))</f>
      </c>
      <c r="K873" s="351"/>
      <c r="L873" s="333">
        <f>K873+J873</f>
      </c>
      <c r="M873" s="170"/>
      <c r="N873" s="7"/>
      <c r="O873" s="1"/>
      <c r="P873" s="331">
        <f>D873</f>
      </c>
      <c r="Q873" s="169"/>
      <c r="R873" s="1"/>
      <c r="S873" s="217">
        <f>(1+$M$5)^(D873/12)*(IF(E873=$C$6,$Q$4+$H$5*12,0))</f>
      </c>
      <c r="T873" s="217">
        <f>(1+$M$5)^(D873/12)*(IF(YEAR(E873)&gt;YEAR($C$6),L873,0)+IF(E873=$C$6,$H$5*12+$Q$4,0))</f>
      </c>
    </row>
    <row x14ac:dyDescent="0.25" r="874" customHeight="1" ht="18.75">
      <c r="A874" s="1"/>
      <c r="B874" s="7"/>
      <c r="C874" s="170"/>
      <c r="D874" s="331">
        <v>867</v>
      </c>
      <c r="E874" s="544">
        <f>+DATE(YEAR(E873),MONTH(E873)-1,DAY(E873))</f>
        <v>25569.041666666668</v>
      </c>
      <c r="F874" s="333">
        <f>IF(DATE(YEAR($B$6),MONTH($B$6)+1,DAY(1))=E874,1,IF(MONTH(E874)=1,F875*(1+$F$5),F875))</f>
      </c>
      <c r="G874" s="333">
        <f>IF('Simulador - 1º Pilar'!$E$99="Sí",IF('Aportaciones Flex'!$B$13&lt;'Aportaciones Flex'!E874,0,F874*$B$8/12),F874*$B$8/12)</f>
      </c>
      <c r="H874" s="333">
        <f>IF(G874&gt;0,1,0)*$H$5*IF(AND($I$5="NO",YEAR(E874)=YEAR($B$6)+1),1,IF($I$5="SI",1,0))</f>
      </c>
      <c r="I874" s="217">
        <f>(1+$M$5)^(D874/12)*(H874*(12-IF(MONTH(E875)=12,0,MONTH(E875)))+IF(AND(F874=1,F875=0),$Q$4,0))*IF(AND(F874=1,F875=0),1,0)</f>
      </c>
      <c r="J874" s="333">
        <f>(1+$M$5)^(D874/12)*(H874+IF(AND(F874=1,F875=0),$Q$4,0))</f>
      </c>
      <c r="K874" s="351"/>
      <c r="L874" s="333">
        <f>K874+J874</f>
      </c>
      <c r="M874" s="170"/>
      <c r="N874" s="7"/>
      <c r="O874" s="1"/>
      <c r="P874" s="331">
        <f>D874</f>
      </c>
      <c r="Q874" s="169"/>
      <c r="R874" s="1"/>
      <c r="S874" s="217">
        <f>(1+$M$5)^(D874/12)*(IF(E874=$C$6,$Q$4+$H$5*12,0))</f>
      </c>
      <c r="T874" s="217">
        <f>(1+$M$5)^(D874/12)*(IF(YEAR(E874)&gt;YEAR($C$6),L874,0)+IF(E874=$C$6,$H$5*12+$Q$4,0))</f>
      </c>
    </row>
    <row x14ac:dyDescent="0.25" r="875" customHeight="1" ht="18.75">
      <c r="A875" s="1"/>
      <c r="B875" s="7"/>
      <c r="C875" s="170"/>
      <c r="D875" s="331">
        <v>868</v>
      </c>
      <c r="E875" s="544">
        <f>+DATE(YEAR(E874),MONTH(E874)-1,DAY(E874))</f>
        <v>25569.041666666668</v>
      </c>
      <c r="F875" s="333">
        <f>IF(DATE(YEAR($B$6),MONTH($B$6)+1,DAY(1))=E875,1,IF(MONTH(E875)=1,F876*(1+$F$5),F876))</f>
      </c>
      <c r="G875" s="333">
        <f>IF('Simulador - 1º Pilar'!$E$99="Sí",IF('Aportaciones Flex'!$B$13&lt;'Aportaciones Flex'!E875,0,F875*$B$8/12),F875*$B$8/12)</f>
      </c>
      <c r="H875" s="333">
        <f>IF(G875&gt;0,1,0)*$H$5*IF(AND($I$5="NO",YEAR(E875)=YEAR($B$6)+1),1,IF($I$5="SI",1,0))</f>
      </c>
      <c r="I875" s="217">
        <f>(1+$M$5)^(D875/12)*(H875*(12-IF(MONTH(E876)=12,0,MONTH(E876)))+IF(AND(F875=1,F876=0),$Q$4,0))*IF(AND(F875=1,F876=0),1,0)</f>
      </c>
      <c r="J875" s="333">
        <f>(1+$M$5)^(D875/12)*(H875+IF(AND(F875=1,F876=0),$Q$4,0))</f>
      </c>
      <c r="K875" s="351"/>
      <c r="L875" s="333">
        <f>K875+J875</f>
      </c>
      <c r="M875" s="170"/>
      <c r="N875" s="7"/>
      <c r="O875" s="1"/>
      <c r="P875" s="331">
        <f>D875</f>
      </c>
      <c r="Q875" s="169"/>
      <c r="R875" s="1"/>
      <c r="S875" s="217">
        <f>(1+$M$5)^(D875/12)*(IF(E875=$C$6,$Q$4+$H$5*12,0))</f>
      </c>
      <c r="T875" s="217">
        <f>(1+$M$5)^(D875/12)*(IF(YEAR(E875)&gt;YEAR($C$6),L875,0)+IF(E875=$C$6,$H$5*12+$Q$4,0))</f>
      </c>
    </row>
    <row x14ac:dyDescent="0.25" r="876" customHeight="1" ht="18.75">
      <c r="A876" s="1"/>
      <c r="B876" s="7"/>
      <c r="C876" s="170"/>
      <c r="D876" s="331">
        <v>869</v>
      </c>
      <c r="E876" s="544">
        <f>+DATE(YEAR(E875),MONTH(E875)-1,DAY(E875))</f>
        <v>25569.041666666668</v>
      </c>
      <c r="F876" s="333">
        <f>IF(DATE(YEAR($B$6),MONTH($B$6)+1,DAY(1))=E876,1,IF(MONTH(E876)=1,F877*(1+$F$5),F877))</f>
      </c>
      <c r="G876" s="333">
        <f>IF('Simulador - 1º Pilar'!$E$99="Sí",IF('Aportaciones Flex'!$B$13&lt;'Aportaciones Flex'!E876,0,F876*$B$8/12),F876*$B$8/12)</f>
      </c>
      <c r="H876" s="333">
        <f>IF(G876&gt;0,1,0)*$H$5*IF(AND($I$5="NO",YEAR(E876)=YEAR($B$6)+1),1,IF($I$5="SI",1,0))</f>
      </c>
      <c r="I876" s="217">
        <f>(1+$M$5)^(D876/12)*(H876*(12-IF(MONTH(E877)=12,0,MONTH(E877)))+IF(AND(F876=1,F877=0),$Q$4,0))*IF(AND(F876=1,F877=0),1,0)</f>
      </c>
      <c r="J876" s="333">
        <f>(1+$M$5)^(D876/12)*(H876+IF(AND(F876=1,F877=0),$Q$4,0))</f>
      </c>
      <c r="K876" s="351"/>
      <c r="L876" s="333">
        <f>K876+J876</f>
      </c>
      <c r="M876" s="170"/>
      <c r="N876" s="7"/>
      <c r="O876" s="1"/>
      <c r="P876" s="331">
        <f>D876</f>
      </c>
      <c r="Q876" s="169"/>
      <c r="R876" s="1"/>
      <c r="S876" s="217">
        <f>(1+$M$5)^(D876/12)*(IF(E876=$C$6,$Q$4+$H$5*12,0))</f>
      </c>
      <c r="T876" s="217">
        <f>(1+$M$5)^(D876/12)*(IF(YEAR(E876)&gt;YEAR($C$6),L876,0)+IF(E876=$C$6,$H$5*12+$Q$4,0))</f>
      </c>
    </row>
    <row x14ac:dyDescent="0.25" r="877" customHeight="1" ht="18.75">
      <c r="A877" s="1"/>
      <c r="B877" s="7"/>
      <c r="C877" s="170"/>
      <c r="D877" s="331">
        <v>870</v>
      </c>
      <c r="E877" s="544">
        <f>+DATE(YEAR(E876),MONTH(E876)-1,DAY(E876))</f>
        <v>25569.041666666668</v>
      </c>
      <c r="F877" s="333">
        <f>IF(DATE(YEAR($B$6),MONTH($B$6)+1,DAY(1))=E877,1,IF(MONTH(E877)=1,F878*(1+$F$5),F878))</f>
      </c>
      <c r="G877" s="333">
        <f>IF('Simulador - 1º Pilar'!$E$99="Sí",IF('Aportaciones Flex'!$B$13&lt;'Aportaciones Flex'!E877,0,F877*$B$8/12),F877*$B$8/12)</f>
      </c>
      <c r="H877" s="333">
        <f>IF(G877&gt;0,1,0)*$H$5*IF(AND($I$5="NO",YEAR(E877)=YEAR($B$6)+1),1,IF($I$5="SI",1,0))</f>
      </c>
      <c r="I877" s="217">
        <f>(1+$M$5)^(D877/12)*(H877*(12-IF(MONTH(E878)=12,0,MONTH(E878)))+IF(AND(F877=1,F878=0),$Q$4,0))*IF(AND(F877=1,F878=0),1,0)</f>
      </c>
      <c r="J877" s="333">
        <f>(1+$M$5)^(D877/12)*(H877+IF(AND(F877=1,F878=0),$Q$4,0))</f>
      </c>
      <c r="K877" s="351"/>
      <c r="L877" s="333">
        <f>K877+J877</f>
      </c>
      <c r="M877" s="170"/>
      <c r="N877" s="7"/>
      <c r="O877" s="1"/>
      <c r="P877" s="331">
        <f>D877</f>
      </c>
      <c r="Q877" s="169"/>
      <c r="R877" s="1"/>
      <c r="S877" s="217">
        <f>(1+$M$5)^(D877/12)*(IF(E877=$C$6,$Q$4+$H$5*12,0))</f>
      </c>
      <c r="T877" s="217">
        <f>(1+$M$5)^(D877/12)*(IF(YEAR(E877)&gt;YEAR($C$6),L877,0)+IF(E877=$C$6,$H$5*12+$Q$4,0))</f>
      </c>
    </row>
    <row x14ac:dyDescent="0.25" r="878" customHeight="1" ht="18.75">
      <c r="A878" s="1"/>
      <c r="B878" s="7"/>
      <c r="C878" s="170"/>
      <c r="D878" s="331">
        <v>871</v>
      </c>
      <c r="E878" s="544">
        <f>+DATE(YEAR(E877),MONTH(E877)-1,DAY(E877))</f>
        <v>25569.041666666668</v>
      </c>
      <c r="F878" s="333">
        <f>IF(DATE(YEAR($B$6),MONTH($B$6)+1,DAY(1))=E878,1,IF(MONTH(E878)=1,F879*(1+$F$5),F879))</f>
      </c>
      <c r="G878" s="333">
        <f>IF('Simulador - 1º Pilar'!$E$99="Sí",IF('Aportaciones Flex'!$B$13&lt;'Aportaciones Flex'!E878,0,F878*$B$8/12),F878*$B$8/12)</f>
      </c>
      <c r="H878" s="333">
        <f>IF(G878&gt;0,1,0)*$H$5*IF(AND($I$5="NO",YEAR(E878)=YEAR($B$6)+1),1,IF($I$5="SI",1,0))</f>
      </c>
      <c r="I878" s="217">
        <f>(1+$M$5)^(D878/12)*(H878*(12-IF(MONTH(E879)=12,0,MONTH(E879)))+IF(AND(F878=1,F879=0),$Q$4,0))*IF(AND(F878=1,F879=0),1,0)</f>
      </c>
      <c r="J878" s="333">
        <f>(1+$M$5)^(D878/12)*(H878+IF(AND(F878=1,F879=0),$Q$4,0))</f>
      </c>
      <c r="K878" s="351"/>
      <c r="L878" s="333">
        <f>K878+J878</f>
      </c>
      <c r="M878" s="170"/>
      <c r="N878" s="7"/>
      <c r="O878" s="1"/>
      <c r="P878" s="331">
        <f>D878</f>
      </c>
      <c r="Q878" s="169"/>
      <c r="R878" s="1"/>
      <c r="S878" s="217">
        <f>(1+$M$5)^(D878/12)*(IF(E878=$C$6,$Q$4+$H$5*12,0))</f>
      </c>
      <c r="T878" s="217">
        <f>(1+$M$5)^(D878/12)*(IF(YEAR(E878)&gt;YEAR($C$6),L878,0)+IF(E878=$C$6,$H$5*12+$Q$4,0))</f>
      </c>
    </row>
    <row x14ac:dyDescent="0.25" r="879" customHeight="1" ht="18.75">
      <c r="A879" s="1"/>
      <c r="B879" s="7"/>
      <c r="C879" s="170"/>
      <c r="D879" s="331">
        <v>872</v>
      </c>
      <c r="E879" s="544">
        <f>+DATE(YEAR(E878),MONTH(E878)-1,DAY(E878))</f>
        <v>25569.041666666668</v>
      </c>
      <c r="F879" s="333">
        <f>IF(DATE(YEAR($B$6),MONTH($B$6)+1,DAY(1))=E879,1,IF(MONTH(E879)=1,F880*(1+$F$5),F880))</f>
      </c>
      <c r="G879" s="333">
        <f>IF('Simulador - 1º Pilar'!$E$99="Sí",IF('Aportaciones Flex'!$B$13&lt;'Aportaciones Flex'!E879,0,F879*$B$8/12),F879*$B$8/12)</f>
      </c>
      <c r="H879" s="333">
        <f>IF(G879&gt;0,1,0)*$H$5*IF(AND($I$5="NO",YEAR(E879)=YEAR($B$6)+1),1,IF($I$5="SI",1,0))</f>
      </c>
      <c r="I879" s="217">
        <f>(1+$M$5)^(D879/12)*(H879*(12-IF(MONTH(E880)=12,0,MONTH(E880)))+IF(AND(F879=1,F880=0),$Q$4,0))*IF(AND(F879=1,F880=0),1,0)</f>
      </c>
      <c r="J879" s="333">
        <f>(1+$M$5)^(D879/12)*(H879+IF(AND(F879=1,F880=0),$Q$4,0))</f>
      </c>
      <c r="K879" s="351"/>
      <c r="L879" s="333">
        <f>K879+J879</f>
      </c>
      <c r="M879" s="170"/>
      <c r="N879" s="7"/>
      <c r="O879" s="1"/>
      <c r="P879" s="331">
        <f>D879</f>
      </c>
      <c r="Q879" s="169"/>
      <c r="R879" s="1"/>
      <c r="S879" s="217">
        <f>(1+$M$5)^(D879/12)*(IF(E879=$C$6,$Q$4+$H$5*12,0))</f>
      </c>
      <c r="T879" s="217">
        <f>(1+$M$5)^(D879/12)*(IF(YEAR(E879)&gt;YEAR($C$6),L879,0)+IF(E879=$C$6,$H$5*12+$Q$4,0))</f>
      </c>
    </row>
    <row x14ac:dyDescent="0.25" r="880" customHeight="1" ht="18.75">
      <c r="A880" s="1"/>
      <c r="B880" s="7"/>
      <c r="C880" s="170"/>
      <c r="D880" s="331">
        <v>873</v>
      </c>
      <c r="E880" s="544">
        <f>+DATE(YEAR(E879),MONTH(E879)-1,DAY(E879))</f>
        <v>25569.041666666668</v>
      </c>
      <c r="F880" s="333">
        <f>IF(DATE(YEAR($B$6),MONTH($B$6)+1,DAY(1))=E880,1,IF(MONTH(E880)=1,F881*(1+$F$5),F881))</f>
      </c>
      <c r="G880" s="333">
        <f>IF('Simulador - 1º Pilar'!$E$99="Sí",IF('Aportaciones Flex'!$B$13&lt;'Aportaciones Flex'!E880,0,F880*$B$8/12),F880*$B$8/12)</f>
      </c>
      <c r="H880" s="333">
        <f>IF(G880&gt;0,1,0)*$H$5*IF(AND($I$5="NO",YEAR(E880)=YEAR($B$6)+1),1,IF($I$5="SI",1,0))</f>
      </c>
      <c r="I880" s="217">
        <f>(1+$M$5)^(D880/12)*(H880*(12-IF(MONTH(E881)=12,0,MONTH(E881)))+IF(AND(F880=1,F881=0),$Q$4,0))*IF(AND(F880=1,F881=0),1,0)</f>
      </c>
      <c r="J880" s="333">
        <f>(1+$M$5)^(D880/12)*(H880+IF(AND(F880=1,F881=0),$Q$4,0))</f>
      </c>
      <c r="K880" s="351"/>
      <c r="L880" s="333">
        <f>K880+J880</f>
      </c>
      <c r="M880" s="170"/>
      <c r="N880" s="7"/>
      <c r="O880" s="1"/>
      <c r="P880" s="331">
        <f>D880</f>
      </c>
      <c r="Q880" s="169"/>
      <c r="R880" s="1"/>
      <c r="S880" s="217">
        <f>(1+$M$5)^(D880/12)*(IF(E880=$C$6,$Q$4+$H$5*12,0))</f>
      </c>
      <c r="T880" s="217">
        <f>(1+$M$5)^(D880/12)*(IF(YEAR(E880)&gt;YEAR($C$6),L880,0)+IF(E880=$C$6,$H$5*12+$Q$4,0))</f>
      </c>
    </row>
    <row x14ac:dyDescent="0.25" r="881" customHeight="1" ht="18.75">
      <c r="A881" s="1"/>
      <c r="B881" s="7"/>
      <c r="C881" s="170"/>
      <c r="D881" s="331">
        <v>874</v>
      </c>
      <c r="E881" s="544">
        <f>+DATE(YEAR(E880),MONTH(E880)-1,DAY(E880))</f>
        <v>25569.041666666668</v>
      </c>
      <c r="F881" s="333">
        <f>IF(DATE(YEAR($B$6),MONTH($B$6)+1,DAY(1))=E881,1,IF(MONTH(E881)=1,F882*(1+$F$5),F882))</f>
      </c>
      <c r="G881" s="333">
        <f>IF('Simulador - 1º Pilar'!$E$99="Sí",IF('Aportaciones Flex'!$B$13&lt;'Aportaciones Flex'!E881,0,F881*$B$8/12),F881*$B$8/12)</f>
      </c>
      <c r="H881" s="333">
        <f>IF(G881&gt;0,1,0)*$H$5*IF(AND($I$5="NO",YEAR(E881)=YEAR($B$6)+1),1,IF($I$5="SI",1,0))</f>
      </c>
      <c r="I881" s="217">
        <f>(1+$M$5)^(D881/12)*(H881*(12-IF(MONTH(E882)=12,0,MONTH(E882)))+IF(AND(F881=1,F882=0),$Q$4,0))*IF(AND(F881=1,F882=0),1,0)</f>
      </c>
      <c r="J881" s="333">
        <f>(1+$M$5)^(D881/12)*(H881+IF(AND(F881=1,F882=0),$Q$4,0))</f>
      </c>
      <c r="K881" s="351"/>
      <c r="L881" s="333">
        <f>K881+J881</f>
      </c>
      <c r="M881" s="170"/>
      <c r="N881" s="7"/>
      <c r="O881" s="1"/>
      <c r="P881" s="331">
        <f>D881</f>
      </c>
      <c r="Q881" s="169"/>
      <c r="R881" s="1"/>
      <c r="S881" s="217">
        <f>(1+$M$5)^(D881/12)*(IF(E881=$C$6,$Q$4+$H$5*12,0))</f>
      </c>
      <c r="T881" s="217">
        <f>(1+$M$5)^(D881/12)*(IF(YEAR(E881)&gt;YEAR($C$6),L881,0)+IF(E881=$C$6,$H$5*12+$Q$4,0))</f>
      </c>
    </row>
    <row x14ac:dyDescent="0.25" r="882" customHeight="1" ht="18.75">
      <c r="A882" s="1"/>
      <c r="B882" s="7"/>
      <c r="C882" s="170"/>
      <c r="D882" s="331">
        <v>875</v>
      </c>
      <c r="E882" s="544">
        <f>+DATE(YEAR(E881),MONTH(E881)-1,DAY(E881))</f>
        <v>25569.041666666668</v>
      </c>
      <c r="F882" s="333">
        <f>IF(DATE(YEAR($B$6),MONTH($B$6)+1,DAY(1))=E882,1,IF(MONTH(E882)=1,F883*(1+$F$5),F883))</f>
      </c>
      <c r="G882" s="333">
        <f>IF('Simulador - 1º Pilar'!$E$99="Sí",IF('Aportaciones Flex'!$B$13&lt;'Aportaciones Flex'!E882,0,F882*$B$8/12),F882*$B$8/12)</f>
      </c>
      <c r="H882" s="333">
        <f>IF(G882&gt;0,1,0)*$H$5*IF(AND($I$5="NO",YEAR(E882)=YEAR($B$6)+1),1,IF($I$5="SI",1,0))</f>
      </c>
      <c r="I882" s="217">
        <f>(1+$M$5)^(D882/12)*(H882*(12-IF(MONTH(E883)=12,0,MONTH(E883)))+IF(AND(F882=1,F883=0),$Q$4,0))*IF(AND(F882=1,F883=0),1,0)</f>
      </c>
      <c r="J882" s="333">
        <f>(1+$M$5)^(D882/12)*(H882+IF(AND(F882=1,F883=0),$Q$4,0))</f>
      </c>
      <c r="K882" s="351"/>
      <c r="L882" s="333">
        <f>K882+J882</f>
      </c>
      <c r="M882" s="170"/>
      <c r="N882" s="7"/>
      <c r="O882" s="1"/>
      <c r="P882" s="331">
        <f>D882</f>
      </c>
      <c r="Q882" s="169"/>
      <c r="R882" s="1"/>
      <c r="S882" s="217">
        <f>(1+$M$5)^(D882/12)*(IF(E882=$C$6,$Q$4+$H$5*12,0))</f>
      </c>
      <c r="T882" s="217">
        <f>(1+$M$5)^(D882/12)*(IF(YEAR(E882)&gt;YEAR($C$6),L882,0)+IF(E882=$C$6,$H$5*12+$Q$4,0))</f>
      </c>
    </row>
    <row x14ac:dyDescent="0.25" r="883" customHeight="1" ht="18.75">
      <c r="A883" s="1"/>
      <c r="B883" s="7"/>
      <c r="C883" s="170"/>
      <c r="D883" s="331">
        <v>876</v>
      </c>
      <c r="E883" s="544">
        <f>+DATE(YEAR(E882),MONTH(E882)-1,DAY(E882))</f>
        <v>25569.041666666668</v>
      </c>
      <c r="F883" s="333">
        <f>IF(DATE(YEAR($B$6),MONTH($B$6)+1,DAY(1))=E883,1,IF(MONTH(E883)=1,F884*(1+$F$5),F884))</f>
      </c>
      <c r="G883" s="333">
        <f>IF('Simulador - 1º Pilar'!$E$99="Sí",IF('Aportaciones Flex'!$B$13&lt;'Aportaciones Flex'!E883,0,F883*$B$8/12),F883*$B$8/12)</f>
      </c>
      <c r="H883" s="333">
        <f>IF(G883&gt;0,1,0)*$H$5*IF(AND($I$5="NO",YEAR(E883)=YEAR($B$6)+1),1,IF($I$5="SI",1,0))</f>
      </c>
      <c r="I883" s="217">
        <f>(1+$M$5)^(D883/12)*(H883*(12-IF(MONTH(E884)=12,0,MONTH(E884)))+IF(AND(F883=1,F884=0),$Q$4,0))*IF(AND(F883=1,F884=0),1,0)</f>
      </c>
      <c r="J883" s="333">
        <f>(1+$M$5)^(D883/12)*(H883+IF(AND(F883=1,F884=0),$Q$4,0))</f>
      </c>
      <c r="K883" s="351"/>
      <c r="L883" s="333">
        <f>K883+J883</f>
      </c>
      <c r="M883" s="170"/>
      <c r="N883" s="7"/>
      <c r="O883" s="1"/>
      <c r="P883" s="331">
        <f>D883</f>
      </c>
      <c r="Q883" s="169"/>
      <c r="R883" s="1"/>
      <c r="S883" s="217">
        <f>(1+$M$5)^(D883/12)*(IF(E883=$C$6,$Q$4+$H$5*12,0))</f>
      </c>
      <c r="T883" s="217">
        <f>(1+$M$5)^(D883/12)*(IF(YEAR(E883)&gt;YEAR($C$6),L883,0)+IF(E883=$C$6,$H$5*12+$Q$4,0))</f>
      </c>
    </row>
    <row x14ac:dyDescent="0.25" r="884" customHeight="1" ht="18.75">
      <c r="A884" s="1"/>
      <c r="B884" s="7"/>
      <c r="C884" s="170"/>
      <c r="D884" s="331">
        <v>877</v>
      </c>
      <c r="E884" s="544">
        <f>+DATE(YEAR(E883),MONTH(E883)-1,DAY(E883))</f>
        <v>25569.041666666668</v>
      </c>
      <c r="F884" s="333">
        <f>IF(DATE(YEAR($B$6),MONTH($B$6)+1,DAY(1))=E884,1,IF(MONTH(E884)=1,F885*(1+$F$5),F885))</f>
      </c>
      <c r="G884" s="333">
        <f>IF('Simulador - 1º Pilar'!$E$99="Sí",IF('Aportaciones Flex'!$B$13&lt;'Aportaciones Flex'!E884,0,F884*$B$8/12),F884*$B$8/12)</f>
      </c>
      <c r="H884" s="333">
        <f>IF(G884&gt;0,1,0)*$H$5*IF(AND($I$5="NO",YEAR(E884)=YEAR($B$6)+1),1,IF($I$5="SI",1,0))</f>
      </c>
      <c r="I884" s="217">
        <f>(1+$M$5)^(D884/12)*(H884*(12-IF(MONTH(E885)=12,0,MONTH(E885)))+IF(AND(F884=1,F885=0),$Q$4,0))*IF(AND(F884=1,F885=0),1,0)</f>
      </c>
      <c r="J884" s="333">
        <f>(1+$M$5)^(D884/12)*(H884+IF(AND(F884=1,F885=0),$Q$4,0))</f>
      </c>
      <c r="K884" s="351"/>
      <c r="L884" s="333">
        <f>K884+J884</f>
      </c>
      <c r="M884" s="170"/>
      <c r="N884" s="7"/>
      <c r="O884" s="1"/>
      <c r="P884" s="331">
        <f>D884</f>
      </c>
      <c r="Q884" s="169"/>
      <c r="R884" s="1"/>
      <c r="S884" s="217">
        <f>(1+$M$5)^(D884/12)*(IF(E884=$C$6,$Q$4+$H$5*12,0))</f>
      </c>
      <c r="T884" s="217">
        <f>(1+$M$5)^(D884/12)*(IF(YEAR(E884)&gt;YEAR($C$6),L884,0)+IF(E884=$C$6,$H$5*12+$Q$4,0))</f>
      </c>
    </row>
    <row x14ac:dyDescent="0.25" r="885" customHeight="1" ht="18.75">
      <c r="A885" s="1"/>
      <c r="B885" s="7"/>
      <c r="C885" s="170"/>
      <c r="D885" s="331">
        <v>878</v>
      </c>
      <c r="E885" s="544">
        <f>+DATE(YEAR(E884),MONTH(E884)-1,DAY(E884))</f>
        <v>25569.041666666668</v>
      </c>
      <c r="F885" s="333">
        <f>IF(DATE(YEAR($B$6),MONTH($B$6)+1,DAY(1))=E885,1,IF(MONTH(E885)=1,F886*(1+$F$5),F886))</f>
      </c>
      <c r="G885" s="333">
        <f>IF('Simulador - 1º Pilar'!$E$99="Sí",IF('Aportaciones Flex'!$B$13&lt;'Aportaciones Flex'!E885,0,F885*$B$8/12),F885*$B$8/12)</f>
      </c>
      <c r="H885" s="333">
        <f>IF(G885&gt;0,1,0)*$H$5*IF(AND($I$5="NO",YEAR(E885)=YEAR($B$6)+1),1,IF($I$5="SI",1,0))</f>
      </c>
      <c r="I885" s="217">
        <f>(1+$M$5)^(D885/12)*(H885*(12-IF(MONTH(E886)=12,0,MONTH(E886)))+IF(AND(F885=1,F886=0),$Q$4,0))*IF(AND(F885=1,F886=0),1,0)</f>
      </c>
      <c r="J885" s="333">
        <f>(1+$M$5)^(D885/12)*(H885+IF(AND(F885=1,F886=0),$Q$4,0))</f>
      </c>
      <c r="K885" s="351"/>
      <c r="L885" s="333">
        <f>K885+J885</f>
      </c>
      <c r="M885" s="170"/>
      <c r="N885" s="7"/>
      <c r="O885" s="1"/>
      <c r="P885" s="331">
        <f>D885</f>
      </c>
      <c r="Q885" s="169"/>
      <c r="R885" s="1"/>
      <c r="S885" s="217">
        <f>(1+$M$5)^(D885/12)*(IF(E885=$C$6,$Q$4+$H$5*12,0))</f>
      </c>
      <c r="T885" s="217">
        <f>(1+$M$5)^(D885/12)*(IF(YEAR(E885)&gt;YEAR($C$6),L885,0)+IF(E885=$C$6,$H$5*12+$Q$4,0))</f>
      </c>
    </row>
    <row x14ac:dyDescent="0.25" r="886" customHeight="1" ht="18.75">
      <c r="A886" s="1"/>
      <c r="B886" s="7"/>
      <c r="C886" s="170"/>
      <c r="D886" s="331">
        <v>879</v>
      </c>
      <c r="E886" s="544">
        <f>+DATE(YEAR(E885),MONTH(E885)-1,DAY(E885))</f>
        <v>25569.041666666668</v>
      </c>
      <c r="F886" s="333">
        <f>IF(DATE(YEAR($B$6),MONTH($B$6)+1,DAY(1))=E886,1,IF(MONTH(E886)=1,F887*(1+$F$5),F887))</f>
      </c>
      <c r="G886" s="333">
        <f>IF('Simulador - 1º Pilar'!$E$99="Sí",IF('Aportaciones Flex'!$B$13&lt;'Aportaciones Flex'!E886,0,F886*$B$8/12),F886*$B$8/12)</f>
      </c>
      <c r="H886" s="333">
        <f>IF(G886&gt;0,1,0)*$H$5*IF(AND($I$5="NO",YEAR(E886)=YEAR($B$6)+1),1,IF($I$5="SI",1,0))</f>
      </c>
      <c r="I886" s="217">
        <f>(1+$M$5)^(D886/12)*(H886*(12-IF(MONTH(E887)=12,0,MONTH(E887)))+IF(AND(F886=1,F887=0),$Q$4,0))*IF(AND(F886=1,F887=0),1,0)</f>
      </c>
      <c r="J886" s="333">
        <f>(1+$M$5)^(D886/12)*(H886+IF(AND(F886=1,F887=0),$Q$4,0))</f>
      </c>
      <c r="K886" s="351"/>
      <c r="L886" s="333">
        <f>K886+J886</f>
      </c>
      <c r="M886" s="170"/>
      <c r="N886" s="7"/>
      <c r="O886" s="1"/>
      <c r="P886" s="331">
        <f>D886</f>
      </c>
      <c r="Q886" s="169"/>
      <c r="R886" s="1"/>
      <c r="S886" s="217">
        <f>(1+$M$5)^(D886/12)*(IF(E886=$C$6,$Q$4+$H$5*12,0))</f>
      </c>
      <c r="T886" s="217">
        <f>(1+$M$5)^(D886/12)*(IF(YEAR(E886)&gt;YEAR($C$6),L886,0)+IF(E886=$C$6,$H$5*12+$Q$4,0))</f>
      </c>
    </row>
    <row x14ac:dyDescent="0.25" r="887" customHeight="1" ht="18.75">
      <c r="A887" s="1"/>
      <c r="B887" s="7"/>
      <c r="C887" s="170"/>
      <c r="D887" s="331">
        <v>880</v>
      </c>
      <c r="E887" s="544">
        <f>+DATE(YEAR(E886),MONTH(E886)-1,DAY(E886))</f>
        <v>25569.041666666668</v>
      </c>
      <c r="F887" s="333">
        <f>IF(DATE(YEAR($B$6),MONTH($B$6)+1,DAY(1))=E887,1,IF(MONTH(E887)=1,F888*(1+$F$5),F888))</f>
      </c>
      <c r="G887" s="333">
        <f>IF('Simulador - 1º Pilar'!$E$99="Sí",IF('Aportaciones Flex'!$B$13&lt;'Aportaciones Flex'!E887,0,F887*$B$8/12),F887*$B$8/12)</f>
      </c>
      <c r="H887" s="333">
        <f>IF(G887&gt;0,1,0)*$H$5*IF(AND($I$5="NO",YEAR(E887)=YEAR($B$6)+1),1,IF($I$5="SI",1,0))</f>
      </c>
      <c r="I887" s="217">
        <f>(1+$M$5)^(D887/12)*(H887*(12-IF(MONTH(E888)=12,0,MONTH(E888)))+IF(AND(F887=1,F888=0),$Q$4,0))*IF(AND(F887=1,F888=0),1,0)</f>
      </c>
      <c r="J887" s="333">
        <f>(1+$M$5)^(D887/12)*(H887+IF(AND(F887=1,F888=0),$Q$4,0))</f>
      </c>
      <c r="K887" s="351"/>
      <c r="L887" s="333">
        <f>K887+J887</f>
      </c>
      <c r="M887" s="170"/>
      <c r="N887" s="7"/>
      <c r="O887" s="1"/>
      <c r="P887" s="331">
        <f>D887</f>
      </c>
      <c r="Q887" s="169"/>
      <c r="R887" s="1"/>
      <c r="S887" s="217">
        <f>(1+$M$5)^(D887/12)*(IF(E887=$C$6,$Q$4+$H$5*12,0))</f>
      </c>
      <c r="T887" s="217">
        <f>(1+$M$5)^(D887/12)*(IF(YEAR(E887)&gt;YEAR($C$6),L887,0)+IF(E887=$C$6,$H$5*12+$Q$4,0))</f>
      </c>
    </row>
    <row x14ac:dyDescent="0.25" r="888" customHeight="1" ht="18.75">
      <c r="A888" s="1"/>
      <c r="B888" s="7"/>
      <c r="C888" s="170"/>
      <c r="D888" s="331">
        <v>881</v>
      </c>
      <c r="E888" s="544">
        <f>+DATE(YEAR(E887),MONTH(E887)-1,DAY(E887))</f>
        <v>25569.041666666668</v>
      </c>
      <c r="F888" s="333">
        <f>IF(DATE(YEAR($B$6),MONTH($B$6)+1,DAY(1))=E888,1,IF(MONTH(E888)=1,F889*(1+$F$5),F889))</f>
      </c>
      <c r="G888" s="333">
        <f>IF('Simulador - 1º Pilar'!$E$99="Sí",IF('Aportaciones Flex'!$B$13&lt;'Aportaciones Flex'!E888,0,F888*$B$8/12),F888*$B$8/12)</f>
      </c>
      <c r="H888" s="333">
        <f>IF(G888&gt;0,1,0)*$H$5*IF(AND($I$5="NO",YEAR(E888)=YEAR($B$6)+1),1,IF($I$5="SI",1,0))</f>
      </c>
      <c r="I888" s="217">
        <f>(1+$M$5)^(D888/12)*(H888*(12-IF(MONTH(E889)=12,0,MONTH(E889)))+IF(AND(F888=1,F889=0),$Q$4,0))*IF(AND(F888=1,F889=0),1,0)</f>
      </c>
      <c r="J888" s="333">
        <f>(1+$M$5)^(D888/12)*(H888+IF(AND(F888=1,F889=0),$Q$4,0))</f>
      </c>
      <c r="K888" s="351"/>
      <c r="L888" s="333">
        <f>K888+J888</f>
      </c>
      <c r="M888" s="170"/>
      <c r="N888" s="7"/>
      <c r="O888" s="1"/>
      <c r="P888" s="331">
        <f>D888</f>
      </c>
      <c r="Q888" s="169"/>
      <c r="R888" s="1"/>
      <c r="S888" s="217">
        <f>(1+$M$5)^(D888/12)*(IF(E888=$C$6,$Q$4+$H$5*12,0))</f>
      </c>
      <c r="T888" s="217">
        <f>(1+$M$5)^(D888/12)*(IF(YEAR(E888)&gt;YEAR($C$6),L888,0)+IF(E888=$C$6,$H$5*12+$Q$4,0))</f>
      </c>
    </row>
    <row x14ac:dyDescent="0.25" r="889" customHeight="1" ht="18.75">
      <c r="A889" s="1"/>
      <c r="B889" s="7"/>
      <c r="C889" s="170"/>
      <c r="D889" s="331">
        <v>882</v>
      </c>
      <c r="E889" s="544">
        <f>+DATE(YEAR(E888),MONTH(E888)-1,DAY(E888))</f>
        <v>25569.041666666668</v>
      </c>
      <c r="F889" s="333">
        <f>IF(DATE(YEAR($B$6),MONTH($B$6)+1,DAY(1))=E889,1,IF(MONTH(E889)=1,F890*(1+$F$5),F890))</f>
      </c>
      <c r="G889" s="333">
        <f>IF('Simulador - 1º Pilar'!$E$99="Sí",IF('Aportaciones Flex'!$B$13&lt;'Aportaciones Flex'!E889,0,F889*$B$8/12),F889*$B$8/12)</f>
      </c>
      <c r="H889" s="333">
        <f>IF(G889&gt;0,1,0)*$H$5*IF(AND($I$5="NO",YEAR(E889)=YEAR($B$6)+1),1,IF($I$5="SI",1,0))</f>
      </c>
      <c r="I889" s="217">
        <f>(1+$M$5)^(D889/12)*(H889*(12-IF(MONTH(E890)=12,0,MONTH(E890)))+IF(AND(F889=1,F890=0),$Q$4,0))*IF(AND(F889=1,F890=0),1,0)</f>
      </c>
      <c r="J889" s="333">
        <f>(1+$M$5)^(D889/12)*(H889+IF(AND(F889=1,F890=0),$Q$4,0))</f>
      </c>
      <c r="K889" s="351"/>
      <c r="L889" s="333">
        <f>K889+J889</f>
      </c>
      <c r="M889" s="170"/>
      <c r="N889" s="7"/>
      <c r="O889" s="1"/>
      <c r="P889" s="331">
        <f>D889</f>
      </c>
      <c r="Q889" s="169"/>
      <c r="R889" s="1"/>
      <c r="S889" s="217">
        <f>(1+$M$5)^(D889/12)*(IF(E889=$C$6,$Q$4+$H$5*12,0))</f>
      </c>
      <c r="T889" s="217">
        <f>(1+$M$5)^(D889/12)*(IF(YEAR(E889)&gt;YEAR($C$6),L889,0)+IF(E889=$C$6,$H$5*12+$Q$4,0))</f>
      </c>
    </row>
    <row x14ac:dyDescent="0.25" r="890" customHeight="1" ht="18.75">
      <c r="A890" s="1"/>
      <c r="B890" s="7"/>
      <c r="C890" s="170"/>
      <c r="D890" s="331">
        <v>883</v>
      </c>
      <c r="E890" s="544">
        <f>+DATE(YEAR(E889),MONTH(E889)-1,DAY(E889))</f>
        <v>25569.041666666668</v>
      </c>
      <c r="F890" s="333">
        <f>IF(DATE(YEAR($B$6),MONTH($B$6)+1,DAY(1))=E890,1,IF(MONTH(E890)=1,F891*(1+$F$5),F891))</f>
      </c>
      <c r="G890" s="333">
        <f>IF('Simulador - 1º Pilar'!$E$99="Sí",IF('Aportaciones Flex'!$B$13&lt;'Aportaciones Flex'!E890,0,F890*$B$8/12),F890*$B$8/12)</f>
      </c>
      <c r="H890" s="333">
        <f>IF(G890&gt;0,1,0)*$H$5*IF(AND($I$5="NO",YEAR(E890)=YEAR($B$6)+1),1,IF($I$5="SI",1,0))</f>
      </c>
      <c r="I890" s="217">
        <f>(1+$M$5)^(D890/12)*(H890*(12-IF(MONTH(E891)=12,0,MONTH(E891)))+IF(AND(F890=1,F891=0),$Q$4,0))*IF(AND(F890=1,F891=0),1,0)</f>
      </c>
      <c r="J890" s="333">
        <f>(1+$M$5)^(D890/12)*(H890+IF(AND(F890=1,F891=0),$Q$4,0))</f>
      </c>
      <c r="K890" s="351"/>
      <c r="L890" s="333">
        <f>K890+J890</f>
      </c>
      <c r="M890" s="170"/>
      <c r="N890" s="7"/>
      <c r="O890" s="1"/>
      <c r="P890" s="331">
        <f>D890</f>
      </c>
      <c r="Q890" s="169"/>
      <c r="R890" s="1"/>
      <c r="S890" s="217">
        <f>(1+$M$5)^(D890/12)*(IF(E890=$C$6,$Q$4+$H$5*12,0))</f>
      </c>
      <c r="T890" s="217">
        <f>(1+$M$5)^(D890/12)*(IF(YEAR(E890)&gt;YEAR($C$6),L890,0)+IF(E890=$C$6,$H$5*12+$Q$4,0))</f>
      </c>
    </row>
    <row x14ac:dyDescent="0.25" r="891" customHeight="1" ht="18.75">
      <c r="A891" s="1"/>
      <c r="B891" s="7"/>
      <c r="C891" s="170"/>
      <c r="D891" s="331">
        <v>884</v>
      </c>
      <c r="E891" s="544">
        <f>+DATE(YEAR(E890),MONTH(E890)-1,DAY(E890))</f>
        <v>25569.041666666668</v>
      </c>
      <c r="F891" s="333">
        <f>IF(DATE(YEAR($B$6),MONTH($B$6)+1,DAY(1))=E891,1,IF(MONTH(E891)=1,F892*(1+$F$5),F892))</f>
      </c>
      <c r="G891" s="333">
        <f>IF('Simulador - 1º Pilar'!$E$99="Sí",IF('Aportaciones Flex'!$B$13&lt;'Aportaciones Flex'!E891,0,F891*$B$8/12),F891*$B$8/12)</f>
      </c>
      <c r="H891" s="333">
        <f>IF(G891&gt;0,1,0)*$H$5*IF(AND($I$5="NO",YEAR(E891)=YEAR($B$6)+1),1,IF($I$5="SI",1,0))</f>
      </c>
      <c r="I891" s="217">
        <f>(1+$M$5)^(D891/12)*(H891*(12-IF(MONTH(E892)=12,0,MONTH(E892)))+IF(AND(F891=1,F892=0),$Q$4,0))*IF(AND(F891=1,F892=0),1,0)</f>
      </c>
      <c r="J891" s="333">
        <f>(1+$M$5)^(D891/12)*(H891+IF(AND(F891=1,F892=0),$Q$4,0))</f>
      </c>
      <c r="K891" s="351"/>
      <c r="L891" s="333">
        <f>K891+J891</f>
      </c>
      <c r="M891" s="170"/>
      <c r="N891" s="7"/>
      <c r="O891" s="1"/>
      <c r="P891" s="331">
        <f>D891</f>
      </c>
      <c r="Q891" s="169"/>
      <c r="R891" s="1"/>
      <c r="S891" s="217">
        <f>(1+$M$5)^(D891/12)*(IF(E891=$C$6,$Q$4+$H$5*12,0))</f>
      </c>
      <c r="T891" s="217">
        <f>(1+$M$5)^(D891/12)*(IF(YEAR(E891)&gt;YEAR($C$6),L891,0)+IF(E891=$C$6,$H$5*12+$Q$4,0))</f>
      </c>
    </row>
    <row x14ac:dyDescent="0.25" r="892" customHeight="1" ht="18.75">
      <c r="A892" s="1"/>
      <c r="B892" s="7"/>
      <c r="C892" s="170"/>
      <c r="D892" s="331">
        <v>885</v>
      </c>
      <c r="E892" s="544">
        <f>+DATE(YEAR(E891),MONTH(E891)-1,DAY(E891))</f>
        <v>25569.041666666668</v>
      </c>
      <c r="F892" s="333">
        <f>IF(DATE(YEAR($B$6),MONTH($B$6)+1,DAY(1))=E892,1,IF(MONTH(E892)=1,F893*(1+$F$5),F893))</f>
      </c>
      <c r="G892" s="333">
        <f>IF('Simulador - 1º Pilar'!$E$99="Sí",IF('Aportaciones Flex'!$B$13&lt;'Aportaciones Flex'!E892,0,F892*$B$8/12),F892*$B$8/12)</f>
      </c>
      <c r="H892" s="333">
        <f>IF(G892&gt;0,1,0)*$H$5*IF(AND($I$5="NO",YEAR(E892)=YEAR($B$6)+1),1,IF($I$5="SI",1,0))</f>
      </c>
      <c r="I892" s="217">
        <f>(1+$M$5)^(D892/12)*(H892*(12-IF(MONTH(E893)=12,0,MONTH(E893)))+IF(AND(F892=1,F893=0),$Q$4,0))*IF(AND(F892=1,F893=0),1,0)</f>
      </c>
      <c r="J892" s="333">
        <f>(1+$M$5)^(D892/12)*(H892+IF(AND(F892=1,F893=0),$Q$4,0))</f>
      </c>
      <c r="K892" s="351"/>
      <c r="L892" s="333">
        <f>K892+J892</f>
      </c>
      <c r="M892" s="170"/>
      <c r="N892" s="7"/>
      <c r="O892" s="1"/>
      <c r="P892" s="331">
        <f>D892</f>
      </c>
      <c r="Q892" s="169"/>
      <c r="R892" s="1"/>
      <c r="S892" s="217">
        <f>(1+$M$5)^(D892/12)*(IF(E892=$C$6,$Q$4+$H$5*12,0))</f>
      </c>
      <c r="T892" s="217">
        <f>(1+$M$5)^(D892/12)*(IF(YEAR(E892)&gt;YEAR($C$6),L892,0)+IF(E892=$C$6,$H$5*12+$Q$4,0))</f>
      </c>
    </row>
    <row x14ac:dyDescent="0.25" r="893" customHeight="1" ht="18.75">
      <c r="A893" s="1"/>
      <c r="B893" s="7"/>
      <c r="C893" s="170"/>
      <c r="D893" s="331">
        <v>886</v>
      </c>
      <c r="E893" s="544">
        <f>+DATE(YEAR(E892),MONTH(E892)-1,DAY(E892))</f>
        <v>25569.041666666668</v>
      </c>
      <c r="F893" s="333">
        <f>IF(DATE(YEAR($B$6),MONTH($B$6)+1,DAY(1))=E893,1,IF(MONTH(E893)=1,F894*(1+$F$5),F894))</f>
      </c>
      <c r="G893" s="333">
        <f>IF('Simulador - 1º Pilar'!$E$99="Sí",IF('Aportaciones Flex'!$B$13&lt;'Aportaciones Flex'!E893,0,F893*$B$8/12),F893*$B$8/12)</f>
      </c>
      <c r="H893" s="333">
        <f>IF(G893&gt;0,1,0)*$H$5*IF(AND($I$5="NO",YEAR(E893)=YEAR($B$6)+1),1,IF($I$5="SI",1,0))</f>
      </c>
      <c r="I893" s="217">
        <f>(1+$M$5)^(D893/12)*(H893*(12-IF(MONTH(E894)=12,0,MONTH(E894)))+IF(AND(F893=1,F894=0),$Q$4,0))*IF(AND(F893=1,F894=0),1,0)</f>
      </c>
      <c r="J893" s="333">
        <f>(1+$M$5)^(D893/12)*(H893+IF(AND(F893=1,F894=0),$Q$4,0))</f>
      </c>
      <c r="K893" s="351"/>
      <c r="L893" s="333">
        <f>K893+J893</f>
      </c>
      <c r="M893" s="170"/>
      <c r="N893" s="7"/>
      <c r="O893" s="1"/>
      <c r="P893" s="331">
        <f>D893</f>
      </c>
      <c r="Q893" s="169"/>
      <c r="R893" s="1"/>
      <c r="S893" s="217">
        <f>(1+$M$5)^(D893/12)*(IF(E893=$C$6,$Q$4+$H$5*12,0))</f>
      </c>
      <c r="T893" s="217">
        <f>(1+$M$5)^(D893/12)*(IF(YEAR(E893)&gt;YEAR($C$6),L893,0)+IF(E893=$C$6,$H$5*12+$Q$4,0))</f>
      </c>
    </row>
    <row x14ac:dyDescent="0.25" r="894" customHeight="1" ht="18.75">
      <c r="A894" s="1"/>
      <c r="B894" s="7"/>
      <c r="C894" s="170"/>
      <c r="D894" s="331">
        <v>887</v>
      </c>
      <c r="E894" s="544">
        <f>+DATE(YEAR(E893),MONTH(E893)-1,DAY(E893))</f>
        <v>25569.041666666668</v>
      </c>
      <c r="F894" s="333">
        <f>IF(DATE(YEAR($B$6),MONTH($B$6)+1,DAY(1))=E894,1,IF(MONTH(E894)=1,F895*(1+$F$5),F895))</f>
      </c>
      <c r="G894" s="333">
        <f>IF('Simulador - 1º Pilar'!$E$99="Sí",IF('Aportaciones Flex'!$B$13&lt;'Aportaciones Flex'!E894,0,F894*$B$8/12),F894*$B$8/12)</f>
      </c>
      <c r="H894" s="333">
        <f>IF(G894&gt;0,1,0)*$H$5*IF(AND($I$5="NO",YEAR(E894)=YEAR($B$6)+1),1,IF($I$5="SI",1,0))</f>
      </c>
      <c r="I894" s="217">
        <f>(1+$M$5)^(D894/12)*(H894*(12-IF(MONTH(E895)=12,0,MONTH(E895)))+IF(AND(F894=1,F895=0),$Q$4,0))*IF(AND(F894=1,F895=0),1,0)</f>
      </c>
      <c r="J894" s="333">
        <f>(1+$M$5)^(D894/12)*(H894+IF(AND(F894=1,F895=0),$Q$4,0))</f>
      </c>
      <c r="K894" s="351"/>
      <c r="L894" s="333">
        <f>K894+J894</f>
      </c>
      <c r="M894" s="170"/>
      <c r="N894" s="7"/>
      <c r="O894" s="1"/>
      <c r="P894" s="331">
        <f>D894</f>
      </c>
      <c r="Q894" s="169"/>
      <c r="R894" s="1"/>
      <c r="S894" s="217">
        <f>(1+$M$5)^(D894/12)*(IF(E894=$C$6,$Q$4+$H$5*12,0))</f>
      </c>
      <c r="T894" s="217">
        <f>(1+$M$5)^(D894/12)*(IF(YEAR(E894)&gt;YEAR($C$6),L894,0)+IF(E894=$C$6,$H$5*12+$Q$4,0))</f>
      </c>
    </row>
    <row x14ac:dyDescent="0.25" r="895" customHeight="1" ht="18.75">
      <c r="A895" s="1"/>
      <c r="B895" s="7"/>
      <c r="C895" s="170"/>
      <c r="D895" s="331">
        <v>888</v>
      </c>
      <c r="E895" s="544">
        <f>+DATE(YEAR(E894),MONTH(E894)-1,DAY(E894))</f>
        <v>25569.041666666668</v>
      </c>
      <c r="F895" s="333">
        <f>IF(DATE(YEAR($B$6),MONTH($B$6)+1,DAY(1))=E895,1,IF(MONTH(E895)=1,F896*(1+$F$5),F896))</f>
      </c>
      <c r="G895" s="333">
        <f>IF('Simulador - 1º Pilar'!$E$99="Sí",IF('Aportaciones Flex'!$B$13&lt;'Aportaciones Flex'!E895,0,F895*$B$8/12),F895*$B$8/12)</f>
      </c>
      <c r="H895" s="333">
        <f>IF(G895&gt;0,1,0)*$H$5*IF(AND($I$5="NO",YEAR(E895)=YEAR($B$6)+1),1,IF($I$5="SI",1,0))</f>
      </c>
      <c r="I895" s="217">
        <f>(1+$M$5)^(D895/12)*(H895*(12-IF(MONTH(E896)=12,0,MONTH(E896)))+IF(AND(F895=1,F896=0),$Q$4,0))*IF(AND(F895=1,F896=0),1,0)</f>
      </c>
      <c r="J895" s="333">
        <f>(1+$M$5)^(D895/12)*(H895+IF(AND(F895=1,F896=0),$Q$4,0))</f>
      </c>
      <c r="K895" s="351"/>
      <c r="L895" s="333">
        <f>K895+J895</f>
      </c>
      <c r="M895" s="170"/>
      <c r="N895" s="7"/>
      <c r="O895" s="1"/>
      <c r="P895" s="331">
        <f>D895</f>
      </c>
      <c r="Q895" s="169"/>
      <c r="R895" s="1"/>
      <c r="S895" s="217">
        <f>(1+$M$5)^(D895/12)*(IF(E895=$C$6,$Q$4+$H$5*12,0))</f>
      </c>
      <c r="T895" s="217">
        <f>(1+$M$5)^(D895/12)*(IF(YEAR(E895)&gt;YEAR($C$6),L895,0)+IF(E895=$C$6,$H$5*12+$Q$4,0))</f>
      </c>
    </row>
    <row x14ac:dyDescent="0.25" r="896" customHeight="1" ht="18.75">
      <c r="A896" s="1"/>
      <c r="B896" s="7"/>
      <c r="C896" s="170"/>
      <c r="D896" s="331">
        <v>889</v>
      </c>
      <c r="E896" s="544">
        <f>+DATE(YEAR(E895),MONTH(E895)-1,DAY(E895))</f>
        <v>25569.041666666668</v>
      </c>
      <c r="F896" s="333">
        <f>IF(DATE(YEAR($B$6),MONTH($B$6)+1,DAY(1))=E896,1,IF(MONTH(E896)=1,F897*(1+$F$5),F897))</f>
      </c>
      <c r="G896" s="333">
        <f>IF('Simulador - 1º Pilar'!$E$99="Sí",IF('Aportaciones Flex'!$B$13&lt;'Aportaciones Flex'!E896,0,F896*$B$8/12),F896*$B$8/12)</f>
      </c>
      <c r="H896" s="333">
        <f>IF(G896&gt;0,1,0)*$H$5*IF(AND($I$5="NO",YEAR(E896)=YEAR($B$6)+1),1,IF($I$5="SI",1,0))</f>
      </c>
      <c r="I896" s="217">
        <f>(1+$M$5)^(D896/12)*(H896*(12-IF(MONTH(E897)=12,0,MONTH(E897)))+IF(AND(F896=1,F897=0),$Q$4,0))*IF(AND(F896=1,F897=0),1,0)</f>
      </c>
      <c r="J896" s="333">
        <f>(1+$M$5)^(D896/12)*(H896+IF(AND(F896=1,F897=0),$Q$4,0))</f>
      </c>
      <c r="K896" s="351"/>
      <c r="L896" s="333">
        <f>K896+J896</f>
      </c>
      <c r="M896" s="170"/>
      <c r="N896" s="7"/>
      <c r="O896" s="1"/>
      <c r="P896" s="331">
        <f>D896</f>
      </c>
      <c r="Q896" s="169"/>
      <c r="R896" s="1"/>
      <c r="S896" s="217">
        <f>(1+$M$5)^(D896/12)*(IF(E896=$C$6,$Q$4+$H$5*12,0))</f>
      </c>
      <c r="T896" s="217">
        <f>(1+$M$5)^(D896/12)*(IF(YEAR(E896)&gt;YEAR($C$6),L896,0)+IF(E896=$C$6,$H$5*12+$Q$4,0))</f>
      </c>
    </row>
    <row x14ac:dyDescent="0.25" r="897" customHeight="1" ht="18.75">
      <c r="A897" s="1"/>
      <c r="B897" s="7"/>
      <c r="C897" s="170"/>
      <c r="D897" s="331">
        <v>890</v>
      </c>
      <c r="E897" s="544">
        <f>+DATE(YEAR(E896),MONTH(E896)-1,DAY(E896))</f>
        <v>25569.041666666668</v>
      </c>
      <c r="F897" s="333">
        <f>IF(DATE(YEAR($B$6),MONTH($B$6)+1,DAY(1))=E897,1,IF(MONTH(E897)=1,F898*(1+$F$5),F898))</f>
      </c>
      <c r="G897" s="333">
        <f>IF('Simulador - 1º Pilar'!$E$99="Sí",IF('Aportaciones Flex'!$B$13&lt;'Aportaciones Flex'!E897,0,F897*$B$8/12),F897*$B$8/12)</f>
      </c>
      <c r="H897" s="333">
        <f>IF(G897&gt;0,1,0)*$H$5*IF(AND($I$5="NO",YEAR(E897)=YEAR($B$6)+1),1,IF($I$5="SI",1,0))</f>
      </c>
      <c r="I897" s="217">
        <f>(1+$M$5)^(D897/12)*(H897*(12-IF(MONTH(E898)=12,0,MONTH(E898)))+IF(AND(F897=1,F898=0),$Q$4,0))*IF(AND(F897=1,F898=0),1,0)</f>
      </c>
      <c r="J897" s="333">
        <f>(1+$M$5)^(D897/12)*(H897+IF(AND(F897=1,F898=0),$Q$4,0))</f>
      </c>
      <c r="K897" s="351"/>
      <c r="L897" s="333">
        <f>K897+J897</f>
      </c>
      <c r="M897" s="170"/>
      <c r="N897" s="7"/>
      <c r="O897" s="1"/>
      <c r="P897" s="331">
        <f>D897</f>
      </c>
      <c r="Q897" s="169"/>
      <c r="R897" s="1"/>
      <c r="S897" s="217">
        <f>(1+$M$5)^(D897/12)*(IF(E897=$C$6,$Q$4+$H$5*12,0))</f>
      </c>
      <c r="T897" s="217">
        <f>(1+$M$5)^(D897/12)*(IF(YEAR(E897)&gt;YEAR($C$6),L897,0)+IF(E897=$C$6,$H$5*12+$Q$4,0))</f>
      </c>
    </row>
    <row x14ac:dyDescent="0.25" r="898" customHeight="1" ht="18.75">
      <c r="A898" s="1"/>
      <c r="B898" s="7"/>
      <c r="C898" s="170"/>
      <c r="D898" s="331">
        <v>891</v>
      </c>
      <c r="E898" s="544">
        <f>+DATE(YEAR(E897),MONTH(E897)-1,DAY(E897))</f>
        <v>25569.041666666668</v>
      </c>
      <c r="F898" s="333">
        <f>IF(DATE(YEAR($B$6),MONTH($B$6)+1,DAY(1))=E898,1,IF(MONTH(E898)=1,F899*(1+$F$5),F899))</f>
      </c>
      <c r="G898" s="333">
        <f>IF('Simulador - 1º Pilar'!$E$99="Sí",IF('Aportaciones Flex'!$B$13&lt;'Aportaciones Flex'!E898,0,F898*$B$8/12),F898*$B$8/12)</f>
      </c>
      <c r="H898" s="333">
        <f>IF(G898&gt;0,1,0)*$H$5*IF(AND($I$5="NO",YEAR(E898)=YEAR($B$6)+1),1,IF($I$5="SI",1,0))</f>
      </c>
      <c r="I898" s="217">
        <f>(1+$M$5)^(D898/12)*(H898*(12-IF(MONTH(E899)=12,0,MONTH(E899)))+IF(AND(F898=1,F899=0),$Q$4,0))*IF(AND(F898=1,F899=0),1,0)</f>
      </c>
      <c r="J898" s="333">
        <f>(1+$M$5)^(D898/12)*(H898+IF(AND(F898=1,F899=0),$Q$4,0))</f>
      </c>
      <c r="K898" s="351"/>
      <c r="L898" s="333">
        <f>K898+J898</f>
      </c>
      <c r="M898" s="170"/>
      <c r="N898" s="7"/>
      <c r="O898" s="1"/>
      <c r="P898" s="331">
        <f>D898</f>
      </c>
      <c r="Q898" s="169"/>
      <c r="R898" s="1"/>
      <c r="S898" s="217">
        <f>(1+$M$5)^(D898/12)*(IF(E898=$C$6,$Q$4+$H$5*12,0))</f>
      </c>
      <c r="T898" s="217">
        <f>(1+$M$5)^(D898/12)*(IF(YEAR(E898)&gt;YEAR($C$6),L898,0)+IF(E898=$C$6,$H$5*12+$Q$4,0))</f>
      </c>
    </row>
    <row x14ac:dyDescent="0.25" r="899" customHeight="1" ht="18.75">
      <c r="A899" s="1"/>
      <c r="B899" s="7"/>
      <c r="C899" s="170"/>
      <c r="D899" s="331">
        <v>892</v>
      </c>
      <c r="E899" s="544">
        <f>+DATE(YEAR(E898),MONTH(E898)-1,DAY(E898))</f>
        <v>25569.041666666668</v>
      </c>
      <c r="F899" s="333">
        <f>IF(DATE(YEAR($B$6),MONTH($B$6)+1,DAY(1))=E899,1,IF(MONTH(E899)=1,F900*(1+$F$5),F900))</f>
      </c>
      <c r="G899" s="333">
        <f>IF('Simulador - 1º Pilar'!$E$99="Sí",IF('Aportaciones Flex'!$B$13&lt;'Aportaciones Flex'!E899,0,F899*$B$8/12),F899*$B$8/12)</f>
      </c>
      <c r="H899" s="333">
        <f>IF(G899&gt;0,1,0)*$H$5*IF(AND($I$5="NO",YEAR(E899)=YEAR($B$6)+1),1,IF($I$5="SI",1,0))</f>
      </c>
      <c r="I899" s="217">
        <f>(1+$M$5)^(D899/12)*(H899*(12-IF(MONTH(E900)=12,0,MONTH(E900)))+IF(AND(F899=1,F900=0),$Q$4,0))*IF(AND(F899=1,F900=0),1,0)</f>
      </c>
      <c r="J899" s="333">
        <f>(1+$M$5)^(D899/12)*(H899+IF(AND(F899=1,F900=0),$Q$4,0))</f>
      </c>
      <c r="K899" s="351"/>
      <c r="L899" s="333">
        <f>K899+J899</f>
      </c>
      <c r="M899" s="170"/>
      <c r="N899" s="7"/>
      <c r="O899" s="1"/>
      <c r="P899" s="331">
        <f>D899</f>
      </c>
      <c r="Q899" s="169"/>
      <c r="R899" s="1"/>
      <c r="S899" s="217">
        <f>(1+$M$5)^(D899/12)*(IF(E899=$C$6,$Q$4+$H$5*12,0))</f>
      </c>
      <c r="T899" s="217">
        <f>(1+$M$5)^(D899/12)*(IF(YEAR(E899)&gt;YEAR($C$6),L899,0)+IF(E899=$C$6,$H$5*12+$Q$4,0))</f>
      </c>
    </row>
    <row x14ac:dyDescent="0.25" r="900" customHeight="1" ht="18.75">
      <c r="A900" s="1"/>
      <c r="B900" s="7"/>
      <c r="C900" s="170"/>
      <c r="D900" s="331">
        <v>893</v>
      </c>
      <c r="E900" s="544">
        <f>+DATE(YEAR(E899),MONTH(E899)-1,DAY(E899))</f>
        <v>25569.041666666668</v>
      </c>
      <c r="F900" s="333">
        <f>IF(DATE(YEAR($B$6),MONTH($B$6)+1,DAY(1))=E900,1,IF(MONTH(E900)=1,F901*(1+$F$5),F901))</f>
      </c>
      <c r="G900" s="333">
        <f>IF('Simulador - 1º Pilar'!$E$99="Sí",IF('Aportaciones Flex'!$B$13&lt;'Aportaciones Flex'!E900,0,F900*$B$8/12),F900*$B$8/12)</f>
      </c>
      <c r="H900" s="333">
        <f>IF(G900&gt;0,1,0)*$H$5*IF(AND($I$5="NO",YEAR(E900)=YEAR($B$6)+1),1,IF($I$5="SI",1,0))</f>
      </c>
      <c r="I900" s="217">
        <f>(1+$M$5)^(D900/12)*(H900*(12-IF(MONTH(E901)=12,0,MONTH(E901)))+IF(AND(F900=1,F901=0),$Q$4,0))*IF(AND(F900=1,F901=0),1,0)</f>
      </c>
      <c r="J900" s="333">
        <f>(1+$M$5)^(D900/12)*(H900+IF(AND(F900=1,F901=0),$Q$4,0))</f>
      </c>
      <c r="K900" s="351"/>
      <c r="L900" s="333">
        <f>K900+J900</f>
      </c>
      <c r="M900" s="170"/>
      <c r="N900" s="7"/>
      <c r="O900" s="1"/>
      <c r="P900" s="331">
        <f>D900</f>
      </c>
      <c r="Q900" s="169"/>
      <c r="R900" s="1"/>
      <c r="S900" s="217">
        <f>(1+$M$5)^(D900/12)*(IF(E900=$C$6,$Q$4+$H$5*12,0))</f>
      </c>
      <c r="T900" s="217">
        <f>(1+$M$5)^(D900/12)*(IF(YEAR(E900)&gt;YEAR($C$6),L900,0)+IF(E900=$C$6,$H$5*12+$Q$4,0))</f>
      </c>
    </row>
    <row x14ac:dyDescent="0.25" r="901" customHeight="1" ht="18.75">
      <c r="A901" s="1"/>
      <c r="B901" s="7"/>
      <c r="C901" s="170"/>
      <c r="D901" s="331">
        <v>894</v>
      </c>
      <c r="E901" s="544">
        <f>+DATE(YEAR(E900),MONTH(E900)-1,DAY(E900))</f>
        <v>25569.041666666668</v>
      </c>
      <c r="F901" s="333">
        <f>IF(DATE(YEAR($B$6),MONTH($B$6)+1,DAY(1))=E901,1,IF(MONTH(E901)=1,F902*(1+$F$5),F902))</f>
      </c>
      <c r="G901" s="333">
        <f>IF('Simulador - 1º Pilar'!$E$99="Sí",IF('Aportaciones Flex'!$B$13&lt;'Aportaciones Flex'!E901,0,F901*$B$8/12),F901*$B$8/12)</f>
      </c>
      <c r="H901" s="333">
        <f>IF(G901&gt;0,1,0)*$H$5*IF(AND($I$5="NO",YEAR(E901)=YEAR($B$6)+1),1,IF($I$5="SI",1,0))</f>
      </c>
      <c r="I901" s="217">
        <f>(1+$M$5)^(D901/12)*(H901*(12-IF(MONTH(E902)=12,0,MONTH(E902)))+IF(AND(F901=1,F902=0),$Q$4,0))*IF(AND(F901=1,F902=0),1,0)</f>
      </c>
      <c r="J901" s="333">
        <f>(1+$M$5)^(D901/12)*(H901+IF(AND(F901=1,F902=0),$Q$4,0))</f>
      </c>
      <c r="K901" s="351"/>
      <c r="L901" s="333">
        <f>K901+J901</f>
      </c>
      <c r="M901" s="170"/>
      <c r="N901" s="7"/>
      <c r="O901" s="1"/>
      <c r="P901" s="331">
        <f>D901</f>
      </c>
      <c r="Q901" s="169"/>
      <c r="R901" s="1"/>
      <c r="S901" s="217">
        <f>(1+$M$5)^(D901/12)*(IF(E901=$C$6,$Q$4+$H$5*12,0))</f>
      </c>
      <c r="T901" s="217">
        <f>(1+$M$5)^(D901/12)*(IF(YEAR(E901)&gt;YEAR($C$6),L901,0)+IF(E901=$C$6,$H$5*12+$Q$4,0))</f>
      </c>
    </row>
    <row x14ac:dyDescent="0.25" r="902" customHeight="1" ht="18.75">
      <c r="A902" s="1"/>
      <c r="B902" s="7"/>
      <c r="C902" s="170"/>
      <c r="D902" s="331">
        <v>895</v>
      </c>
      <c r="E902" s="544">
        <f>+DATE(YEAR(E901),MONTH(E901)-1,DAY(E901))</f>
        <v>25569.041666666668</v>
      </c>
      <c r="F902" s="333">
        <f>IF(DATE(YEAR($B$6),MONTH($B$6)+1,DAY(1))=E902,1,IF(MONTH(E902)=1,F903*(1+$F$5),F903))</f>
      </c>
      <c r="G902" s="333">
        <f>IF('Simulador - 1º Pilar'!$E$99="Sí",IF('Aportaciones Flex'!$B$13&lt;'Aportaciones Flex'!E902,0,F902*$B$8/12),F902*$B$8/12)</f>
      </c>
      <c r="H902" s="333">
        <f>IF(G902&gt;0,1,0)*$H$5*IF(AND($I$5="NO",YEAR(E902)=YEAR($B$6)+1),1,IF($I$5="SI",1,0))</f>
      </c>
      <c r="I902" s="217">
        <f>(1+$M$5)^(D902/12)*(H902*(12-IF(MONTH(E903)=12,0,MONTH(E903)))+IF(AND(F902=1,F903=0),$Q$4,0))*IF(AND(F902=1,F903=0),1,0)</f>
      </c>
      <c r="J902" s="333">
        <f>(1+$M$5)^(D902/12)*(H902+IF(AND(F902=1,F903=0),$Q$4,0))</f>
      </c>
      <c r="K902" s="351"/>
      <c r="L902" s="333">
        <f>K902+J902</f>
      </c>
      <c r="M902" s="170"/>
      <c r="N902" s="7"/>
      <c r="O902" s="1"/>
      <c r="P902" s="331">
        <f>D902</f>
      </c>
      <c r="Q902" s="169"/>
      <c r="R902" s="1"/>
      <c r="S902" s="217">
        <f>(1+$M$5)^(D902/12)*(IF(E902=$C$6,$Q$4+$H$5*12,0))</f>
      </c>
      <c r="T902" s="217">
        <f>(1+$M$5)^(D902/12)*(IF(YEAR(E902)&gt;YEAR($C$6),L902,0)+IF(E902=$C$6,$H$5*12+$Q$4,0))</f>
      </c>
    </row>
    <row x14ac:dyDescent="0.25" r="903" customHeight="1" ht="18.75">
      <c r="A903" s="1"/>
      <c r="B903" s="7"/>
      <c r="C903" s="170"/>
      <c r="D903" s="331">
        <v>896</v>
      </c>
      <c r="E903" s="544">
        <f>+DATE(YEAR(E902),MONTH(E902)-1,DAY(E902))</f>
        <v>25569.041666666668</v>
      </c>
      <c r="F903" s="333">
        <f>IF(DATE(YEAR($B$6),MONTH($B$6)+1,DAY(1))=E903,1,IF(MONTH(E903)=1,F904*(1+$F$5),F904))</f>
      </c>
      <c r="G903" s="333">
        <f>IF('Simulador - 1º Pilar'!$E$99="Sí",IF('Aportaciones Flex'!$B$13&lt;'Aportaciones Flex'!E903,0,F903*$B$8/12),F903*$B$8/12)</f>
      </c>
      <c r="H903" s="333">
        <f>IF(G903&gt;0,1,0)*$H$5*IF(AND($I$5="NO",YEAR(E903)=YEAR($B$6)+1),1,IF($I$5="SI",1,0))</f>
      </c>
      <c r="I903" s="217">
        <f>(1+$M$5)^(D903/12)*(H903*(12-IF(MONTH(E904)=12,0,MONTH(E904)))+IF(AND(F903=1,F904=0),$Q$4,0))*IF(AND(F903=1,F904=0),1,0)</f>
      </c>
      <c r="J903" s="333">
        <f>(1+$M$5)^(D903/12)*(H903+IF(AND(F903=1,F904=0),$Q$4,0))</f>
      </c>
      <c r="K903" s="351"/>
      <c r="L903" s="333">
        <f>K903+J903</f>
      </c>
      <c r="M903" s="170"/>
      <c r="N903" s="7"/>
      <c r="O903" s="1"/>
      <c r="P903" s="331">
        <f>D903</f>
      </c>
      <c r="Q903" s="169"/>
      <c r="R903" s="1"/>
      <c r="S903" s="217">
        <f>(1+$M$5)^(D903/12)*(IF(E903=$C$6,$Q$4+$H$5*12,0))</f>
      </c>
      <c r="T903" s="217">
        <f>(1+$M$5)^(D903/12)*(IF(YEAR(E903)&gt;YEAR($C$6),L903,0)+IF(E903=$C$6,$H$5*12+$Q$4,0))</f>
      </c>
    </row>
    <row x14ac:dyDescent="0.25" r="904" customHeight="1" ht="18.75">
      <c r="A904" s="1"/>
      <c r="B904" s="7"/>
      <c r="C904" s="170"/>
      <c r="D904" s="331">
        <v>897</v>
      </c>
      <c r="E904" s="544">
        <f>+DATE(YEAR(E903),MONTH(E903)-1,DAY(E903))</f>
        <v>25569.041666666668</v>
      </c>
      <c r="F904" s="333">
        <f>IF(DATE(YEAR($B$6),MONTH($B$6)+1,DAY(1))=E904,1,IF(MONTH(E904)=1,F905*(1+$F$5),F905))</f>
      </c>
      <c r="G904" s="333">
        <f>IF('Simulador - 1º Pilar'!$E$99="Sí",IF('Aportaciones Flex'!$B$13&lt;'Aportaciones Flex'!E904,0,F904*$B$8/12),F904*$B$8/12)</f>
      </c>
      <c r="H904" s="333">
        <f>IF(G904&gt;0,1,0)*$H$5*IF(AND($I$5="NO",YEAR(E904)=YEAR($B$6)+1),1,IF($I$5="SI",1,0))</f>
      </c>
      <c r="I904" s="217">
        <f>(1+$M$5)^(D904/12)*(H904*(12-IF(MONTH(E905)=12,0,MONTH(E905)))+IF(AND(F904=1,F905=0),$Q$4,0))*IF(AND(F904=1,F905=0),1,0)</f>
      </c>
      <c r="J904" s="333">
        <f>(1+$M$5)^(D904/12)*(H904+IF(AND(F904=1,F905=0),$Q$4,0))</f>
      </c>
      <c r="K904" s="351"/>
      <c r="L904" s="333">
        <f>K904+J904</f>
      </c>
      <c r="M904" s="170"/>
      <c r="N904" s="7"/>
      <c r="O904" s="1"/>
      <c r="P904" s="331">
        <f>D904</f>
      </c>
      <c r="Q904" s="169"/>
      <c r="R904" s="1"/>
      <c r="S904" s="217">
        <f>(1+$M$5)^(D904/12)*(IF(E904=$C$6,$Q$4+$H$5*12,0))</f>
      </c>
      <c r="T904" s="217">
        <f>(1+$M$5)^(D904/12)*(IF(YEAR(E904)&gt;YEAR($C$6),L904,0)+IF(E904=$C$6,$H$5*12+$Q$4,0))</f>
      </c>
    </row>
    <row x14ac:dyDescent="0.25" r="905" customHeight="1" ht="18.75">
      <c r="A905" s="1"/>
      <c r="B905" s="7"/>
      <c r="C905" s="170"/>
      <c r="D905" s="331">
        <v>898</v>
      </c>
      <c r="E905" s="544">
        <f>+DATE(YEAR(E904),MONTH(E904)-1,DAY(E904))</f>
        <v>25569.041666666668</v>
      </c>
      <c r="F905" s="333">
        <f>IF(DATE(YEAR($B$6),MONTH($B$6)+1,DAY(1))=E905,1,IF(MONTH(E905)=1,F906*(1+$F$5),F906))</f>
      </c>
      <c r="G905" s="333">
        <f>IF('Simulador - 1º Pilar'!$E$99="Sí",IF('Aportaciones Flex'!$B$13&lt;'Aportaciones Flex'!E905,0,F905*$B$8/12),F905*$B$8/12)</f>
      </c>
      <c r="H905" s="333">
        <f>IF(G905&gt;0,1,0)*$H$5*IF(AND($I$5="NO",YEAR(E905)=YEAR($B$6)+1),1,IF($I$5="SI",1,0))</f>
      </c>
      <c r="I905" s="217">
        <f>(1+$M$5)^(D905/12)*(H905*(12-IF(MONTH(E906)=12,0,MONTH(E906)))+IF(AND(F905=1,F906=0),$Q$4,0))*IF(AND(F905=1,F906=0),1,0)</f>
      </c>
      <c r="J905" s="333">
        <f>(1+$M$5)^(D905/12)*(H905+IF(AND(F905=1,F906=0),$Q$4,0))</f>
      </c>
      <c r="K905" s="351"/>
      <c r="L905" s="333">
        <f>K905+J905</f>
      </c>
      <c r="M905" s="170"/>
      <c r="N905" s="7"/>
      <c r="O905" s="1"/>
      <c r="P905" s="331">
        <f>D905</f>
      </c>
      <c r="Q905" s="169"/>
      <c r="R905" s="1"/>
      <c r="S905" s="217">
        <f>(1+$M$5)^(D905/12)*(IF(E905=$C$6,$Q$4+$H$5*12,0))</f>
      </c>
      <c r="T905" s="217">
        <f>(1+$M$5)^(D905/12)*(IF(YEAR(E905)&gt;YEAR($C$6),L905,0)+IF(E905=$C$6,$H$5*12+$Q$4,0))</f>
      </c>
    </row>
    <row x14ac:dyDescent="0.25" r="906" customHeight="1" ht="18.75">
      <c r="A906" s="1"/>
      <c r="B906" s="7"/>
      <c r="C906" s="170"/>
      <c r="D906" s="331">
        <v>899</v>
      </c>
      <c r="E906" s="544">
        <f>+DATE(YEAR(E905),MONTH(E905)-1,DAY(E905))</f>
        <v>25569.041666666668</v>
      </c>
      <c r="F906" s="333">
        <f>IF(DATE(YEAR($B$6),MONTH($B$6)+1,DAY(1))=E906,1,IF(MONTH(E906)=1,F907*(1+$F$5),F907))</f>
      </c>
      <c r="G906" s="333">
        <f>IF('Simulador - 1º Pilar'!$E$99="Sí",IF('Aportaciones Flex'!$B$13&lt;'Aportaciones Flex'!E906,0,F906*$B$8/12),F906*$B$8/12)</f>
      </c>
      <c r="H906" s="333">
        <f>IF(G906&gt;0,1,0)*$H$5*IF(AND($I$5="NO",YEAR(E906)=YEAR($B$6)+1),1,IF($I$5="SI",1,0))</f>
      </c>
      <c r="I906" s="217">
        <f>(1+$M$5)^(D906/12)*(H906*(12-IF(MONTH(E907)=12,0,MONTH(E907)))+IF(AND(F906=1,F907=0),$Q$4,0))*IF(AND(F906=1,F907=0),1,0)</f>
      </c>
      <c r="J906" s="333">
        <f>(1+$M$5)^(D906/12)*(H906+IF(AND(F906=1,F907=0),$Q$4,0))</f>
      </c>
      <c r="K906" s="351"/>
      <c r="L906" s="333">
        <f>K906+J906</f>
      </c>
      <c r="M906" s="170"/>
      <c r="N906" s="7"/>
      <c r="O906" s="1"/>
      <c r="P906" s="331">
        <f>D906</f>
      </c>
      <c r="Q906" s="169"/>
      <c r="R906" s="1"/>
      <c r="S906" s="217">
        <f>(1+$M$5)^(D906/12)*(IF(E906=$C$6,$Q$4+$H$5*12,0))</f>
      </c>
      <c r="T906" s="217">
        <f>(1+$M$5)^(D906/12)*(IF(YEAR(E906)&gt;YEAR($C$6),L906,0)+IF(E906=$C$6,$H$5*12+$Q$4,0))</f>
      </c>
    </row>
    <row x14ac:dyDescent="0.25" r="907" customHeight="1" ht="18.75">
      <c r="A907" s="1"/>
      <c r="B907" s="7"/>
      <c r="C907" s="170"/>
      <c r="D907" s="331">
        <v>900</v>
      </c>
      <c r="E907" s="544">
        <f>+DATE(YEAR(E906),MONTH(E906)-1,DAY(E906))</f>
        <v>25569.041666666668</v>
      </c>
      <c r="F907" s="333">
        <f>IF(DATE(YEAR($B$6),MONTH($B$6)+1,DAY(1))=E907,1,IF(MONTH(E907)=1,F908*(1+$F$5),F908))</f>
      </c>
      <c r="G907" s="333">
        <f>IF('Simulador - 1º Pilar'!$E$99="Sí",IF('Aportaciones Flex'!$B$13&lt;'Aportaciones Flex'!E907,0,F907*$B$8/12),F907*$B$8/12)</f>
      </c>
      <c r="H907" s="333">
        <f>IF(G907&gt;0,1,0)*$H$5*IF(AND($I$5="NO",YEAR(E907)=YEAR($B$6)+1),1,IF($I$5="SI",1,0))</f>
      </c>
      <c r="I907" s="217">
        <f>(1+$M$5)^(D907/12)*(H907*(12-IF(MONTH(E908)=12,0,MONTH(E908)))+IF(AND(F907=1,F908=0),$Q$4,0))*IF(AND(F907=1,F908=0),1,0)</f>
      </c>
      <c r="J907" s="333">
        <f>(1+$M$5)^(D907/12)*(H907+IF(AND(F907=1,F908=0),$Q$4,0))</f>
      </c>
      <c r="K907" s="351"/>
      <c r="L907" s="333">
        <f>K907+J907</f>
      </c>
      <c r="M907" s="170"/>
      <c r="N907" s="7"/>
      <c r="O907" s="1"/>
      <c r="P907" s="331">
        <f>D907</f>
      </c>
      <c r="Q907" s="169"/>
      <c r="R907" s="1"/>
      <c r="S907" s="217">
        <f>(1+$M$5)^(D907/12)*(IF(E907=$C$6,$Q$4+$H$5*12,0))</f>
      </c>
      <c r="T907" s="217">
        <f>(1+$M$5)^(D907/12)*(IF(YEAR(E907)&gt;YEAR($C$6),L907,0)+IF(E907=$C$6,$H$5*12+$Q$4,0))</f>
      </c>
    </row>
    <row x14ac:dyDescent="0.25" r="908" customHeight="1" ht="18.75">
      <c r="A908" s="1"/>
      <c r="B908" s="7"/>
      <c r="C908" s="170"/>
      <c r="D908" s="331">
        <v>901</v>
      </c>
      <c r="E908" s="544">
        <f>+DATE(YEAR(E907),MONTH(E907)-1,DAY(E907))</f>
        <v>25569.041666666668</v>
      </c>
      <c r="F908" s="333">
        <f>IF(DATE(YEAR($B$6),MONTH($B$6)+1,DAY(1))=E908,1,IF(MONTH(E908)=1,F909*(1+$F$5),F909))</f>
      </c>
      <c r="G908" s="333">
        <f>IF('Simulador - 1º Pilar'!$E$99="Sí",IF('Aportaciones Flex'!$B$13&lt;'Aportaciones Flex'!E908,0,F908*$B$8/12),F908*$B$8/12)</f>
      </c>
      <c r="H908" s="333">
        <f>IF(G908&gt;0,1,0)*$H$5*IF(AND($I$5="NO",YEAR(E908)=YEAR($B$6)+1),1,IF($I$5="SI",1,0))</f>
      </c>
      <c r="I908" s="217">
        <f>(1+$M$5)^(D908/12)*(H908*(12-IF(MONTH(E909)=12,0,MONTH(E909)))+IF(AND(F908=1,F909=0),$Q$4,0))*IF(AND(F908=1,F909=0),1,0)</f>
      </c>
      <c r="J908" s="333">
        <f>(1+$M$5)^(D908/12)*(H908+IF(AND(F908=1,F909=0),$Q$4,0))</f>
      </c>
      <c r="K908" s="351"/>
      <c r="L908" s="333">
        <f>K908+J908</f>
      </c>
      <c r="M908" s="170"/>
      <c r="N908" s="7"/>
      <c r="O908" s="1"/>
      <c r="P908" s="331">
        <f>D908</f>
      </c>
      <c r="Q908" s="169"/>
      <c r="R908" s="1"/>
      <c r="S908" s="217">
        <f>(1+$M$5)^(D908/12)*(IF(E908=$C$6,$Q$4+$H$5*12,0))</f>
      </c>
      <c r="T908" s="217">
        <f>(1+$M$5)^(D908/12)*(IF(YEAR(E908)&gt;YEAR($C$6),L908,0)+IF(E908=$C$6,$H$5*12+$Q$4,0))</f>
      </c>
    </row>
    <row x14ac:dyDescent="0.25" r="909" customHeight="1" ht="18.75">
      <c r="A909" s="1"/>
      <c r="B909" s="7"/>
      <c r="C909" s="170"/>
      <c r="D909" s="331">
        <v>902</v>
      </c>
      <c r="E909" s="544">
        <f>+DATE(YEAR(E908),MONTH(E908)-1,DAY(E908))</f>
        <v>25569.041666666668</v>
      </c>
      <c r="F909" s="333">
        <f>IF(DATE(YEAR($B$6),MONTH($B$6)+1,DAY(1))=E909,1,IF(MONTH(E909)=1,F910*(1+$F$5),F910))</f>
      </c>
      <c r="G909" s="333">
        <f>IF('Simulador - 1º Pilar'!$E$99="Sí",IF('Aportaciones Flex'!$B$13&lt;'Aportaciones Flex'!E909,0,F909*$B$8/12),F909*$B$8/12)</f>
      </c>
      <c r="H909" s="333">
        <f>IF(G909&gt;0,1,0)*$H$5*IF(AND($I$5="NO",YEAR(E909)=YEAR($B$6)+1),1,IF($I$5="SI",1,0))</f>
      </c>
      <c r="I909" s="217">
        <f>(1+$M$5)^(D909/12)*(H909*(12-IF(MONTH(E910)=12,0,MONTH(E910)))+IF(AND(F909=1,F910=0),$Q$4,0))*IF(AND(F909=1,F910=0),1,0)</f>
      </c>
      <c r="J909" s="333">
        <f>(1+$M$5)^(D909/12)*(H909+IF(AND(F909=1,F910=0),$Q$4,0))</f>
      </c>
      <c r="K909" s="351"/>
      <c r="L909" s="333">
        <f>K909+J909</f>
      </c>
      <c r="M909" s="170"/>
      <c r="N909" s="7"/>
      <c r="O909" s="1"/>
      <c r="P909" s="331">
        <f>D909</f>
      </c>
      <c r="Q909" s="169"/>
      <c r="R909" s="1"/>
      <c r="S909" s="217">
        <f>(1+$M$5)^(D909/12)*(IF(E909=$C$6,$Q$4+$H$5*12,0))</f>
      </c>
      <c r="T909" s="217">
        <f>(1+$M$5)^(D909/12)*(IF(YEAR(E909)&gt;YEAR($C$6),L909,0)+IF(E909=$C$6,$H$5*12+$Q$4,0))</f>
      </c>
    </row>
    <row x14ac:dyDescent="0.25" r="910" customHeight="1" ht="18.75">
      <c r="A910" s="1"/>
      <c r="B910" s="7"/>
      <c r="C910" s="170"/>
      <c r="D910" s="331">
        <v>903</v>
      </c>
      <c r="E910" s="544">
        <f>+DATE(YEAR(E909),MONTH(E909)-1,DAY(E909))</f>
        <v>25569.041666666668</v>
      </c>
      <c r="F910" s="333">
        <f>IF(DATE(YEAR($B$6),MONTH($B$6)+1,DAY(1))=E910,1,IF(MONTH(E910)=1,F911*(1+$F$5),F911))</f>
      </c>
      <c r="G910" s="333">
        <f>IF('Simulador - 1º Pilar'!$E$99="Sí",IF('Aportaciones Flex'!$B$13&lt;'Aportaciones Flex'!E910,0,F910*$B$8/12),F910*$B$8/12)</f>
      </c>
      <c r="H910" s="333">
        <f>IF(G910&gt;0,1,0)*$H$5*IF(AND($I$5="NO",YEAR(E910)=YEAR($B$6)+1),1,IF($I$5="SI",1,0))</f>
      </c>
      <c r="I910" s="217">
        <f>(1+$M$5)^(D910/12)*(H910*(12-IF(MONTH(E911)=12,0,MONTH(E911)))+IF(AND(F910=1,F911=0),$Q$4,0))*IF(AND(F910=1,F911=0),1,0)</f>
      </c>
      <c r="J910" s="333">
        <f>(1+$M$5)^(D910/12)*(H910+IF(AND(F910=1,F911=0),$Q$4,0))</f>
      </c>
      <c r="K910" s="351"/>
      <c r="L910" s="333">
        <f>K910+J910</f>
      </c>
      <c r="M910" s="170"/>
      <c r="N910" s="7"/>
      <c r="O910" s="1"/>
      <c r="P910" s="331">
        <f>D910</f>
      </c>
      <c r="Q910" s="169"/>
      <c r="R910" s="1"/>
      <c r="S910" s="217">
        <f>(1+$M$5)^(D910/12)*(IF(E910=$C$6,$Q$4+$H$5*12,0))</f>
      </c>
      <c r="T910" s="217">
        <f>(1+$M$5)^(D910/12)*(IF(YEAR(E910)&gt;YEAR($C$6),L910,0)+IF(E910=$C$6,$H$5*12+$Q$4,0))</f>
      </c>
    </row>
    <row x14ac:dyDescent="0.25" r="911" customHeight="1" ht="18.75">
      <c r="A911" s="1"/>
      <c r="B911" s="7"/>
      <c r="C911" s="170"/>
      <c r="D911" s="331">
        <v>904</v>
      </c>
      <c r="E911" s="544">
        <f>+DATE(YEAR(E910),MONTH(E910)-1,DAY(E910))</f>
        <v>25569.041666666668</v>
      </c>
      <c r="F911" s="333">
        <f>IF(DATE(YEAR($B$6),MONTH($B$6)+1,DAY(1))=E911,1,IF(MONTH(E911)=1,F912*(1+$F$5),F912))</f>
      </c>
      <c r="G911" s="333">
        <f>IF('Simulador - 1º Pilar'!$E$99="Sí",IF('Aportaciones Flex'!$B$13&lt;'Aportaciones Flex'!E911,0,F911*$B$8/12),F911*$B$8/12)</f>
      </c>
      <c r="H911" s="333">
        <f>IF(G911&gt;0,1,0)*$H$5*IF(AND($I$5="NO",YEAR(E911)=YEAR($B$6)+1),1,IF($I$5="SI",1,0))</f>
      </c>
      <c r="I911" s="217">
        <f>(1+$M$5)^(D911/12)*(H911*(12-IF(MONTH(E912)=12,0,MONTH(E912)))+IF(AND(F911=1,F912=0),$Q$4,0))*IF(AND(F911=1,F912=0),1,0)</f>
      </c>
      <c r="J911" s="333">
        <f>(1+$M$5)^(D911/12)*(H911+IF(AND(F911=1,F912=0),$Q$4,0))</f>
      </c>
      <c r="K911" s="351"/>
      <c r="L911" s="333">
        <f>K911+J911</f>
      </c>
      <c r="M911" s="170"/>
      <c r="N911" s="7"/>
      <c r="O911" s="1"/>
      <c r="P911" s="331">
        <f>D911</f>
      </c>
      <c r="Q911" s="169"/>
      <c r="R911" s="1"/>
      <c r="S911" s="217">
        <f>(1+$M$5)^(D911/12)*(IF(E911=$C$6,$Q$4+$H$5*12,0))</f>
      </c>
      <c r="T911" s="217">
        <f>(1+$M$5)^(D911/12)*(IF(YEAR(E911)&gt;YEAR($C$6),L911,0)+IF(E911=$C$6,$H$5*12+$Q$4,0))</f>
      </c>
    </row>
    <row x14ac:dyDescent="0.25" r="912" customHeight="1" ht="18.75">
      <c r="A912" s="1"/>
      <c r="B912" s="7"/>
      <c r="C912" s="170"/>
      <c r="D912" s="331">
        <v>905</v>
      </c>
      <c r="E912" s="544">
        <f>+DATE(YEAR(E911),MONTH(E911)-1,DAY(E911))</f>
        <v>25569.041666666668</v>
      </c>
      <c r="F912" s="333">
        <f>IF(DATE(YEAR($B$6),MONTH($B$6)+1,DAY(1))=E912,1,IF(MONTH(E912)=1,F913*(1+$F$5),F913))</f>
      </c>
      <c r="G912" s="333">
        <f>IF('Simulador - 1º Pilar'!$E$99="Sí",IF('Aportaciones Flex'!$B$13&lt;'Aportaciones Flex'!E912,0,F912*$B$8/12),F912*$B$8/12)</f>
      </c>
      <c r="H912" s="333">
        <f>IF(G912&gt;0,1,0)*$H$5*IF(AND($I$5="NO",YEAR(E912)=YEAR($B$6)+1),1,IF($I$5="SI",1,0))</f>
      </c>
      <c r="I912" s="217">
        <f>(1+$M$5)^(D912/12)*(H912*(12-IF(MONTH(E913)=12,0,MONTH(E913)))+IF(AND(F912=1,F913=0),$Q$4,0))*IF(AND(F912=1,F913=0),1,0)</f>
      </c>
      <c r="J912" s="333">
        <f>(1+$M$5)^(D912/12)*(H912+IF(AND(F912=1,F913=0),$Q$4,0))</f>
      </c>
      <c r="K912" s="351"/>
      <c r="L912" s="333">
        <f>K912+J912</f>
      </c>
      <c r="M912" s="170"/>
      <c r="N912" s="7"/>
      <c r="O912" s="1"/>
      <c r="P912" s="331">
        <f>D912</f>
      </c>
      <c r="Q912" s="169"/>
      <c r="R912" s="1"/>
      <c r="S912" s="217">
        <f>(1+$M$5)^(D912/12)*(IF(E912=$C$6,$Q$4+$H$5*12,0))</f>
      </c>
      <c r="T912" s="217">
        <f>(1+$M$5)^(D912/12)*(IF(YEAR(E912)&gt;YEAR($C$6),L912,0)+IF(E912=$C$6,$H$5*12+$Q$4,0))</f>
      </c>
    </row>
    <row x14ac:dyDescent="0.25" r="913" customHeight="1" ht="18.75">
      <c r="A913" s="1"/>
      <c r="B913" s="7"/>
      <c r="C913" s="170"/>
      <c r="D913" s="331">
        <v>906</v>
      </c>
      <c r="E913" s="544">
        <f>+DATE(YEAR(E912),MONTH(E912)-1,DAY(E912))</f>
        <v>25569.041666666668</v>
      </c>
      <c r="F913" s="333">
        <f>IF(DATE(YEAR($B$6),MONTH($B$6)+1,DAY(1))=E913,1,IF(MONTH(E913)=1,F914*(1+$F$5),F914))</f>
      </c>
      <c r="G913" s="333">
        <f>IF('Simulador - 1º Pilar'!$E$99="Sí",IF('Aportaciones Flex'!$B$13&lt;'Aportaciones Flex'!E913,0,F913*$B$8/12),F913*$B$8/12)</f>
      </c>
      <c r="H913" s="333">
        <f>IF(G913&gt;0,1,0)*$H$5*IF(AND($I$5="NO",YEAR(E913)=YEAR($B$6)+1),1,IF($I$5="SI",1,0))</f>
      </c>
      <c r="I913" s="217">
        <f>(1+$M$5)^(D913/12)*(H913*(12-IF(MONTH(E914)=12,0,MONTH(E914)))+IF(AND(F913=1,F914=0),$Q$4,0))*IF(AND(F913=1,F914=0),1,0)</f>
      </c>
      <c r="J913" s="333">
        <f>(1+$M$5)^(D913/12)*(H913+IF(AND(F913=1,F914=0),$Q$4,0))</f>
      </c>
      <c r="K913" s="351"/>
      <c r="L913" s="333">
        <f>K913+J913</f>
      </c>
      <c r="M913" s="170"/>
      <c r="N913" s="7"/>
      <c r="O913" s="1"/>
      <c r="P913" s="331">
        <f>D913</f>
      </c>
      <c r="Q913" s="169"/>
      <c r="R913" s="1"/>
      <c r="S913" s="217">
        <f>(1+$M$5)^(D913/12)*(IF(E913=$C$6,$Q$4+$H$5*12,0))</f>
      </c>
      <c r="T913" s="217">
        <f>(1+$M$5)^(D913/12)*(IF(YEAR(E913)&gt;YEAR($C$6),L913,0)+IF(E913=$C$6,$H$5*12+$Q$4,0))</f>
      </c>
    </row>
    <row x14ac:dyDescent="0.25" r="914" customHeight="1" ht="18.75">
      <c r="A914" s="1"/>
      <c r="B914" s="7"/>
      <c r="C914" s="170"/>
      <c r="D914" s="331">
        <v>907</v>
      </c>
      <c r="E914" s="544">
        <f>+DATE(YEAR(E913),MONTH(E913)-1,DAY(E913))</f>
        <v>25569.041666666668</v>
      </c>
      <c r="F914" s="333">
        <f>IF(DATE(YEAR($B$6),MONTH($B$6)+1,DAY(1))=E914,1,IF(MONTH(E914)=1,F915*(1+$F$5),F915))</f>
      </c>
      <c r="G914" s="333">
        <f>IF('Simulador - 1º Pilar'!$E$99="Sí",IF('Aportaciones Flex'!$B$13&lt;'Aportaciones Flex'!E914,0,F914*$B$8/12),F914*$B$8/12)</f>
      </c>
      <c r="H914" s="333">
        <f>IF(G914&gt;0,1,0)*$H$5*IF(AND($I$5="NO",YEAR(E914)=YEAR($B$6)+1),1,IF($I$5="SI",1,0))</f>
      </c>
      <c r="I914" s="217">
        <f>(1+$M$5)^(D914/12)*(H914*(12-IF(MONTH(E915)=12,0,MONTH(E915)))+IF(AND(F914=1,F915=0),$Q$4,0))*IF(AND(F914=1,F915=0),1,0)</f>
      </c>
      <c r="J914" s="333">
        <f>(1+$M$5)^(D914/12)*(H914+IF(AND(F914=1,F915=0),$Q$4,0))</f>
      </c>
      <c r="K914" s="351"/>
      <c r="L914" s="333">
        <f>K914+J914</f>
      </c>
      <c r="M914" s="170"/>
      <c r="N914" s="7"/>
      <c r="O914" s="1"/>
      <c r="P914" s="331">
        <f>D914</f>
      </c>
      <c r="Q914" s="169"/>
      <c r="R914" s="1"/>
      <c r="S914" s="217">
        <f>(1+$M$5)^(D914/12)*(IF(E914=$C$6,$Q$4+$H$5*12,0))</f>
      </c>
      <c r="T914" s="217">
        <f>(1+$M$5)^(D914/12)*(IF(YEAR(E914)&gt;YEAR($C$6),L914,0)+IF(E914=$C$6,$H$5*12+$Q$4,0))</f>
      </c>
    </row>
    <row x14ac:dyDescent="0.25" r="915" customHeight="1" ht="18.75">
      <c r="A915" s="1"/>
      <c r="B915" s="7"/>
      <c r="C915" s="170"/>
      <c r="D915" s="331">
        <v>908</v>
      </c>
      <c r="E915" s="544">
        <f>+DATE(YEAR(E914),MONTH(E914)-1,DAY(E914))</f>
        <v>25569.041666666668</v>
      </c>
      <c r="F915" s="333">
        <f>IF(DATE(YEAR($B$6),MONTH($B$6)+1,DAY(1))=E915,1,IF(MONTH(E915)=1,F916*(1+$F$5),F916))</f>
      </c>
      <c r="G915" s="333">
        <f>IF('Simulador - 1º Pilar'!$E$99="Sí",IF('Aportaciones Flex'!$B$13&lt;'Aportaciones Flex'!E915,0,F915*$B$8/12),F915*$B$8/12)</f>
      </c>
      <c r="H915" s="333">
        <f>IF(G915&gt;0,1,0)*$H$5*IF(AND($I$5="NO",YEAR(E915)=YEAR($B$6)+1),1,IF($I$5="SI",1,0))</f>
      </c>
      <c r="I915" s="217">
        <f>(1+$M$5)^(D915/12)*(H915*(12-IF(MONTH(E916)=12,0,MONTH(E916)))+IF(AND(F915=1,F916=0),$Q$4,0))*IF(AND(F915=1,F916=0),1,0)</f>
      </c>
      <c r="J915" s="333">
        <f>(1+$M$5)^(D915/12)*(H915+IF(AND(F915=1,F916=0),$Q$4,0))</f>
      </c>
      <c r="K915" s="351"/>
      <c r="L915" s="333">
        <f>K915+J915</f>
      </c>
      <c r="M915" s="170"/>
      <c r="N915" s="7"/>
      <c r="O915" s="1"/>
      <c r="P915" s="331">
        <f>D915</f>
      </c>
      <c r="Q915" s="169"/>
      <c r="R915" s="1"/>
      <c r="S915" s="217">
        <f>(1+$M$5)^(D915/12)*(IF(E915=$C$6,$Q$4+$H$5*12,0))</f>
      </c>
      <c r="T915" s="217">
        <f>(1+$M$5)^(D915/12)*(IF(YEAR(E915)&gt;YEAR($C$6),L915,0)+IF(E915=$C$6,$H$5*12+$Q$4,0))</f>
      </c>
    </row>
    <row x14ac:dyDescent="0.25" r="916" customHeight="1" ht="18.75">
      <c r="A916" s="1"/>
      <c r="B916" s="7"/>
      <c r="C916" s="170"/>
      <c r="D916" s="331">
        <v>909</v>
      </c>
      <c r="E916" s="544">
        <f>+DATE(YEAR(E915),MONTH(E915)-1,DAY(E915))</f>
        <v>25569.041666666668</v>
      </c>
      <c r="F916" s="333">
        <f>IF(DATE(YEAR($B$6),MONTH($B$6)+1,DAY(1))=E916,1,IF(MONTH(E916)=1,F917*(1+$F$5),F917))</f>
      </c>
      <c r="G916" s="333">
        <f>IF('Simulador - 1º Pilar'!$E$99="Sí",IF('Aportaciones Flex'!$B$13&lt;'Aportaciones Flex'!E916,0,F916*$B$8/12),F916*$B$8/12)</f>
      </c>
      <c r="H916" s="333">
        <f>IF(G916&gt;0,1,0)*$H$5*IF(AND($I$5="NO",YEAR(E916)=YEAR($B$6)+1),1,IF($I$5="SI",1,0))</f>
      </c>
      <c r="I916" s="217">
        <f>(1+$M$5)^(D916/12)*(H916*(12-IF(MONTH(E917)=12,0,MONTH(E917)))+IF(AND(F916=1,F917=0),$Q$4,0))*IF(AND(F916=1,F917=0),1,0)</f>
      </c>
      <c r="J916" s="333">
        <f>(1+$M$5)^(D916/12)*(H916+IF(AND(F916=1,F917=0),$Q$4,0))</f>
      </c>
      <c r="K916" s="351"/>
      <c r="L916" s="333">
        <f>K916+J916</f>
      </c>
      <c r="M916" s="170"/>
      <c r="N916" s="7"/>
      <c r="O916" s="1"/>
      <c r="P916" s="331">
        <f>D916</f>
      </c>
      <c r="Q916" s="169"/>
      <c r="R916" s="1"/>
      <c r="S916" s="217">
        <f>(1+$M$5)^(D916/12)*(IF(E916=$C$6,$Q$4+$H$5*12,0))</f>
      </c>
      <c r="T916" s="217">
        <f>(1+$M$5)^(D916/12)*(IF(YEAR(E916)&gt;YEAR($C$6),L916,0)+IF(E916=$C$6,$H$5*12+$Q$4,0))</f>
      </c>
    </row>
    <row x14ac:dyDescent="0.25" r="917" customHeight="1" ht="18.75">
      <c r="A917" s="1"/>
      <c r="B917" s="7"/>
      <c r="C917" s="170"/>
      <c r="D917" s="331">
        <v>910</v>
      </c>
      <c r="E917" s="544">
        <f>+DATE(YEAR(E916),MONTH(E916)-1,DAY(E916))</f>
        <v>25569.041666666668</v>
      </c>
      <c r="F917" s="333">
        <f>IF(DATE(YEAR($B$6),MONTH($B$6)+1,DAY(1))=E917,1,IF(MONTH(E917)=1,F918*(1+$F$5),F918))</f>
      </c>
      <c r="G917" s="333">
        <f>IF('Simulador - 1º Pilar'!$E$99="Sí",IF('Aportaciones Flex'!$B$13&lt;'Aportaciones Flex'!E917,0,F917*$B$8/12),F917*$B$8/12)</f>
      </c>
      <c r="H917" s="333">
        <f>IF(G917&gt;0,1,0)*$H$5*IF(AND($I$5="NO",YEAR(E917)=YEAR($B$6)+1),1,IF($I$5="SI",1,0))</f>
      </c>
      <c r="I917" s="217">
        <f>(1+$M$5)^(D917/12)*(H917*(12-IF(MONTH(E918)=12,0,MONTH(E918)))+IF(AND(F917=1,F918=0),$Q$4,0))*IF(AND(F917=1,F918=0),1,0)</f>
      </c>
      <c r="J917" s="333">
        <f>(1+$M$5)^(D917/12)*(H917+IF(AND(F917=1,F918=0),$Q$4,0))</f>
      </c>
      <c r="K917" s="351"/>
      <c r="L917" s="333">
        <f>K917+J917</f>
      </c>
      <c r="M917" s="170"/>
      <c r="N917" s="7"/>
      <c r="O917" s="1"/>
      <c r="P917" s="331">
        <f>D917</f>
      </c>
      <c r="Q917" s="169"/>
      <c r="R917" s="1"/>
      <c r="S917" s="217">
        <f>(1+$M$5)^(D917/12)*(IF(E917=$C$6,$Q$4+$H$5*12,0))</f>
      </c>
      <c r="T917" s="217">
        <f>(1+$M$5)^(D917/12)*(IF(YEAR(E917)&gt;YEAR($C$6),L917,0)+IF(E917=$C$6,$H$5*12+$Q$4,0))</f>
      </c>
    </row>
    <row x14ac:dyDescent="0.25" r="918" customHeight="1" ht="18.75">
      <c r="A918" s="1"/>
      <c r="B918" s="7"/>
      <c r="C918" s="170"/>
      <c r="D918" s="331">
        <v>911</v>
      </c>
      <c r="E918" s="544">
        <f>+DATE(YEAR(E917),MONTH(E917)-1,DAY(E917))</f>
        <v>25569.041666666668</v>
      </c>
      <c r="F918" s="333">
        <f>IF(DATE(YEAR($B$6),MONTH($B$6)+1,DAY(1))=E918,1,IF(MONTH(E918)=1,F919*(1+$F$5),F919))</f>
      </c>
      <c r="G918" s="333">
        <f>IF('Simulador - 1º Pilar'!$E$99="Sí",IF('Aportaciones Flex'!$B$13&lt;'Aportaciones Flex'!E918,0,F918*$B$8/12),F918*$B$8/12)</f>
      </c>
      <c r="H918" s="333">
        <f>IF(G918&gt;0,1,0)*$H$5*IF(AND($I$5="NO",YEAR(E918)=YEAR($B$6)+1),1,IF($I$5="SI",1,0))</f>
      </c>
      <c r="I918" s="217">
        <f>(1+$M$5)^(D918/12)*(H918*(12-IF(MONTH(E919)=12,0,MONTH(E919)))+IF(AND(F918=1,F919=0),$Q$4,0))*IF(AND(F918=1,F919=0),1,0)</f>
      </c>
      <c r="J918" s="333">
        <f>(1+$M$5)^(D918/12)*(H918+IF(AND(F918=1,F919=0),$Q$4,0))</f>
      </c>
      <c r="K918" s="351"/>
      <c r="L918" s="333">
        <f>K918+J918</f>
      </c>
      <c r="M918" s="170"/>
      <c r="N918" s="7"/>
      <c r="O918" s="1"/>
      <c r="P918" s="331">
        <f>D918</f>
      </c>
      <c r="Q918" s="169"/>
      <c r="R918" s="1"/>
      <c r="S918" s="217">
        <f>(1+$M$5)^(D918/12)*(IF(E918=$C$6,$Q$4+$H$5*12,0))</f>
      </c>
      <c r="T918" s="217">
        <f>(1+$M$5)^(D918/12)*(IF(YEAR(E918)&gt;YEAR($C$6),L918,0)+IF(E918=$C$6,$H$5*12+$Q$4,0))</f>
      </c>
    </row>
    <row x14ac:dyDescent="0.25" r="919" customHeight="1" ht="18.75">
      <c r="A919" s="1"/>
      <c r="B919" s="7"/>
      <c r="C919" s="170"/>
      <c r="D919" s="331">
        <v>912</v>
      </c>
      <c r="E919" s="544">
        <f>+DATE(YEAR(E918),MONTH(E918)-1,DAY(E918))</f>
        <v>25569.041666666668</v>
      </c>
      <c r="F919" s="333">
        <f>IF(DATE(YEAR($B$6),MONTH($B$6)+1,DAY(1))=E919,1,IF(MONTH(E919)=1,F920*(1+$F$5),F920))</f>
      </c>
      <c r="G919" s="333">
        <f>IF('Simulador - 1º Pilar'!$E$99="Sí",IF('Aportaciones Flex'!$B$13&lt;'Aportaciones Flex'!E919,0,F919*$B$8/12),F919*$B$8/12)</f>
      </c>
      <c r="H919" s="333">
        <f>IF(G919&gt;0,1,0)*$H$5*IF(AND($I$5="NO",YEAR(E919)=YEAR($B$6)+1),1,IF($I$5="SI",1,0))</f>
      </c>
      <c r="I919" s="217">
        <f>(1+$M$5)^(D919/12)*(H919*(12-IF(MONTH(E920)=12,0,MONTH(E920)))+IF(AND(F919=1,F920=0),$Q$4,0))*IF(AND(F919=1,F920=0),1,0)</f>
      </c>
      <c r="J919" s="333">
        <f>(1+$M$5)^(D919/12)*(H919+IF(AND(F919=1,F920=0),$Q$4,0))</f>
      </c>
      <c r="K919" s="351"/>
      <c r="L919" s="333">
        <f>K919+J919</f>
      </c>
      <c r="M919" s="170"/>
      <c r="N919" s="7"/>
      <c r="O919" s="1"/>
      <c r="P919" s="331">
        <f>D919</f>
      </c>
      <c r="Q919" s="169"/>
      <c r="R919" s="1"/>
      <c r="S919" s="217">
        <f>(1+$M$5)^(D919/12)*(IF(E919=$C$6,$Q$4+$H$5*12,0))</f>
      </c>
      <c r="T919" s="217">
        <f>(1+$M$5)^(D919/12)*(IF(YEAR(E919)&gt;YEAR($C$6),L919,0)+IF(E919=$C$6,$H$5*12+$Q$4,0))</f>
      </c>
    </row>
    <row x14ac:dyDescent="0.25" r="920" customHeight="1" ht="18.75">
      <c r="A920" s="1"/>
      <c r="B920" s="7"/>
      <c r="C920" s="170"/>
      <c r="D920" s="331">
        <v>913</v>
      </c>
      <c r="E920" s="544">
        <f>+DATE(YEAR(E919),MONTH(E919)-1,DAY(E919))</f>
        <v>25569.041666666668</v>
      </c>
      <c r="F920" s="333">
        <f>IF(DATE(YEAR($B$6),MONTH($B$6)+1,DAY(1))=E920,1,IF(MONTH(E920)=1,F921*(1+$F$5),F921))</f>
      </c>
      <c r="G920" s="333">
        <f>IF('Simulador - 1º Pilar'!$E$99="Sí",IF('Aportaciones Flex'!$B$13&lt;'Aportaciones Flex'!E920,0,F920*$B$8/12),F920*$B$8/12)</f>
      </c>
      <c r="H920" s="333">
        <f>IF(G920&gt;0,1,0)*$H$5*IF(AND($I$5="NO",YEAR(E920)=YEAR($B$6)+1),1,IF($I$5="SI",1,0))</f>
      </c>
      <c r="I920" s="217">
        <f>(1+$M$5)^(D920/12)*(H920*(12-IF(MONTH(E921)=12,0,MONTH(E921)))+IF(AND(F920=1,F921=0),$Q$4,0))*IF(AND(F920=1,F921=0),1,0)</f>
      </c>
      <c r="J920" s="333">
        <f>(1+$M$5)^(D920/12)*(H920+IF(AND(F920=1,F921=0),$Q$4,0))</f>
      </c>
      <c r="K920" s="351"/>
      <c r="L920" s="333">
        <f>K920+J920</f>
      </c>
      <c r="M920" s="170"/>
      <c r="N920" s="7"/>
      <c r="O920" s="1"/>
      <c r="P920" s="331">
        <f>D920</f>
      </c>
      <c r="Q920" s="169"/>
      <c r="R920" s="1"/>
      <c r="S920" s="217">
        <f>(1+$M$5)^(D920/12)*(IF(E920=$C$6,$Q$4+$H$5*12,0))</f>
      </c>
      <c r="T920" s="217">
        <f>(1+$M$5)^(D920/12)*(IF(YEAR(E920)&gt;YEAR($C$6),L920,0)+IF(E920=$C$6,$H$5*12+$Q$4,0))</f>
      </c>
    </row>
    <row x14ac:dyDescent="0.25" r="921" customHeight="1" ht="18.75">
      <c r="A921" s="1"/>
      <c r="B921" s="7"/>
      <c r="C921" s="170"/>
      <c r="D921" s="331">
        <v>914</v>
      </c>
      <c r="E921" s="544">
        <f>+DATE(YEAR(E920),MONTH(E920)-1,DAY(E920))</f>
        <v>25569.041666666668</v>
      </c>
      <c r="F921" s="333">
        <f>IF(DATE(YEAR($B$6),MONTH($B$6)+1,DAY(1))=E921,1,IF(MONTH(E921)=1,F922*(1+$F$5),F922))</f>
      </c>
      <c r="G921" s="333">
        <f>IF('Simulador - 1º Pilar'!$E$99="Sí",IF('Aportaciones Flex'!$B$13&lt;'Aportaciones Flex'!E921,0,F921*$B$8/12),F921*$B$8/12)</f>
      </c>
      <c r="H921" s="333">
        <f>IF(G921&gt;0,1,0)*$H$5*IF(AND($I$5="NO",YEAR(E921)=YEAR($B$6)+1),1,IF($I$5="SI",1,0))</f>
      </c>
      <c r="I921" s="217">
        <f>(1+$M$5)^(D921/12)*(H921*(12-IF(MONTH(E922)=12,0,MONTH(E922)))+IF(AND(F921=1,F922=0),$Q$4,0))*IF(AND(F921=1,F922=0),1,0)</f>
      </c>
      <c r="J921" s="333">
        <f>(1+$M$5)^(D921/12)*(H921+IF(AND(F921=1,F922=0),$Q$4,0))</f>
      </c>
      <c r="K921" s="351"/>
      <c r="L921" s="333">
        <f>K921+J921</f>
      </c>
      <c r="M921" s="170"/>
      <c r="N921" s="7"/>
      <c r="O921" s="1"/>
      <c r="P921" s="331">
        <f>D921</f>
      </c>
      <c r="Q921" s="169"/>
      <c r="R921" s="1"/>
      <c r="S921" s="217">
        <f>(1+$M$5)^(D921/12)*(IF(E921=$C$6,$Q$4+$H$5*12,0))</f>
      </c>
      <c r="T921" s="217">
        <f>(1+$M$5)^(D921/12)*(IF(YEAR(E921)&gt;YEAR($C$6),L921,0)+IF(E921=$C$6,$H$5*12+$Q$4,0))</f>
      </c>
    </row>
    <row x14ac:dyDescent="0.25" r="922" customHeight="1" ht="18.75">
      <c r="A922" s="1"/>
      <c r="B922" s="7"/>
      <c r="C922" s="170"/>
      <c r="D922" s="331">
        <v>915</v>
      </c>
      <c r="E922" s="544">
        <f>+DATE(YEAR(E921),MONTH(E921)-1,DAY(E921))</f>
        <v>25569.041666666668</v>
      </c>
      <c r="F922" s="333">
        <f>IF(DATE(YEAR($B$6),MONTH($B$6)+1,DAY(1))=E922,1,IF(MONTH(E922)=1,F923*(1+$F$5),F923))</f>
      </c>
      <c r="G922" s="333">
        <f>IF('Simulador - 1º Pilar'!$E$99="Sí",IF('Aportaciones Flex'!$B$13&lt;'Aportaciones Flex'!E922,0,F922*$B$8/12),F922*$B$8/12)</f>
      </c>
      <c r="H922" s="333">
        <f>IF(G922&gt;0,1,0)*$H$5*IF(AND($I$5="NO",YEAR(E922)=YEAR($B$6)+1),1,IF($I$5="SI",1,0))</f>
      </c>
      <c r="I922" s="217">
        <f>(1+$M$5)^(D922/12)*(H922*(12-IF(MONTH(E923)=12,0,MONTH(E923)))+IF(AND(F922=1,F923=0),$Q$4,0))*IF(AND(F922=1,F923=0),1,0)</f>
      </c>
      <c r="J922" s="333">
        <f>(1+$M$5)^(D922/12)*(H922+IF(AND(F922=1,F923=0),$Q$4,0))</f>
      </c>
      <c r="K922" s="351"/>
      <c r="L922" s="333">
        <f>K922+J922</f>
      </c>
      <c r="M922" s="170"/>
      <c r="N922" s="7"/>
      <c r="O922" s="1"/>
      <c r="P922" s="331">
        <f>D922</f>
      </c>
      <c r="Q922" s="169"/>
      <c r="R922" s="1"/>
      <c r="S922" s="217">
        <f>(1+$M$5)^(D922/12)*(IF(E922=$C$6,$Q$4+$H$5*12,0))</f>
      </c>
      <c r="T922" s="217">
        <f>(1+$M$5)^(D922/12)*(IF(YEAR(E922)&gt;YEAR($C$6),L922,0)+IF(E922=$C$6,$H$5*12+$Q$4,0))</f>
      </c>
    </row>
    <row x14ac:dyDescent="0.25" r="923" customHeight="1" ht="18.75">
      <c r="A923" s="1"/>
      <c r="B923" s="7"/>
      <c r="C923" s="170"/>
      <c r="D923" s="331">
        <v>916</v>
      </c>
      <c r="E923" s="544">
        <f>+DATE(YEAR(E922),MONTH(E922)-1,DAY(E922))</f>
        <v>25569.041666666668</v>
      </c>
      <c r="F923" s="333">
        <f>IF(DATE(YEAR($B$6),MONTH($B$6)+1,DAY(1))=E923,1,IF(MONTH(E923)=1,F924*(1+$F$5),F924))</f>
      </c>
      <c r="G923" s="333">
        <f>IF('Simulador - 1º Pilar'!$E$99="Sí",IF('Aportaciones Flex'!$B$13&lt;'Aportaciones Flex'!E923,0,F923*$B$8/12),F923*$B$8/12)</f>
      </c>
      <c r="H923" s="333">
        <f>IF(G923&gt;0,1,0)*$H$5*IF(AND($I$5="NO",YEAR(E923)=YEAR($B$6)+1),1,IF($I$5="SI",1,0))</f>
      </c>
      <c r="I923" s="217">
        <f>(1+$M$5)^(D923/12)*(H923*(12-IF(MONTH(E924)=12,0,MONTH(E924)))+IF(AND(F923=1,F924=0),$Q$4,0))*IF(AND(F923=1,F924=0),1,0)</f>
      </c>
      <c r="J923" s="333">
        <f>(1+$M$5)^(D923/12)*(H923+IF(AND(F923=1,F924=0),$Q$4,0))</f>
      </c>
      <c r="K923" s="351"/>
      <c r="L923" s="333">
        <f>K923+J923</f>
      </c>
      <c r="M923" s="170"/>
      <c r="N923" s="7"/>
      <c r="O923" s="1"/>
      <c r="P923" s="331">
        <f>D923</f>
      </c>
      <c r="Q923" s="169"/>
      <c r="R923" s="1"/>
      <c r="S923" s="217">
        <f>(1+$M$5)^(D923/12)*(IF(E923=$C$6,$Q$4+$H$5*12,0))</f>
      </c>
      <c r="T923" s="217">
        <f>(1+$M$5)^(D923/12)*(IF(YEAR(E923)&gt;YEAR($C$6),L923,0)+IF(E923=$C$6,$H$5*12+$Q$4,0))</f>
      </c>
    </row>
    <row x14ac:dyDescent="0.25" r="924" customHeight="1" ht="18.75">
      <c r="A924" s="1"/>
      <c r="B924" s="7"/>
      <c r="C924" s="170"/>
      <c r="D924" s="331">
        <v>917</v>
      </c>
      <c r="E924" s="544">
        <f>+DATE(YEAR(E923),MONTH(E923)-1,DAY(E923))</f>
        <v>25569.041666666668</v>
      </c>
      <c r="F924" s="333">
        <f>IF(DATE(YEAR($B$6),MONTH($B$6)+1,DAY(1))=E924,1,IF(MONTH(E924)=1,F925*(1+$F$5),F925))</f>
      </c>
      <c r="G924" s="333">
        <f>IF('Simulador - 1º Pilar'!$E$99="Sí",IF('Aportaciones Flex'!$B$13&lt;'Aportaciones Flex'!E924,0,F924*$B$8/12),F924*$B$8/12)</f>
      </c>
      <c r="H924" s="333">
        <f>IF(G924&gt;0,1,0)*$H$5*IF(AND($I$5="NO",YEAR(E924)=YEAR($B$6)+1),1,IF($I$5="SI",1,0))</f>
      </c>
      <c r="I924" s="217">
        <f>(1+$M$5)^(D924/12)*(H924*(12-IF(MONTH(E925)=12,0,MONTH(E925)))+IF(AND(F924=1,F925=0),$Q$4,0))*IF(AND(F924=1,F925=0),1,0)</f>
      </c>
      <c r="J924" s="333">
        <f>(1+$M$5)^(D924/12)*(H924+IF(AND(F924=1,F925=0),$Q$4,0))</f>
      </c>
      <c r="K924" s="351"/>
      <c r="L924" s="333">
        <f>K924+J924</f>
      </c>
      <c r="M924" s="170"/>
      <c r="N924" s="7"/>
      <c r="O924" s="1"/>
      <c r="P924" s="331">
        <f>D924</f>
      </c>
      <c r="Q924" s="169"/>
      <c r="R924" s="1"/>
      <c r="S924" s="217">
        <f>(1+$M$5)^(D924/12)*(IF(E924=$C$6,$Q$4+$H$5*12,0))</f>
      </c>
      <c r="T924" s="217">
        <f>(1+$M$5)^(D924/12)*(IF(YEAR(E924)&gt;YEAR($C$6),L924,0)+IF(E924=$C$6,$H$5*12+$Q$4,0))</f>
      </c>
    </row>
    <row x14ac:dyDescent="0.25" r="925" customHeight="1" ht="18.75">
      <c r="A925" s="1"/>
      <c r="B925" s="7"/>
      <c r="C925" s="170"/>
      <c r="D925" s="331">
        <v>918</v>
      </c>
      <c r="E925" s="544">
        <f>+DATE(YEAR(E924),MONTH(E924)-1,DAY(E924))</f>
        <v>25569.041666666668</v>
      </c>
      <c r="F925" s="333">
        <f>IF(DATE(YEAR($B$6),MONTH($B$6)+1,DAY(1))=E925,1,IF(MONTH(E925)=1,F926*(1+$F$5),F926))</f>
      </c>
      <c r="G925" s="333">
        <f>IF('Simulador - 1º Pilar'!$E$99="Sí",IF('Aportaciones Flex'!$B$13&lt;'Aportaciones Flex'!E925,0,F925*$B$8/12),F925*$B$8/12)</f>
      </c>
      <c r="H925" s="333">
        <f>IF(G925&gt;0,1,0)*$H$5*IF(AND($I$5="NO",YEAR(E925)=YEAR($B$6)+1),1,IF($I$5="SI",1,0))</f>
      </c>
      <c r="I925" s="217">
        <f>(1+$M$5)^(D925/12)*(H925*(12-IF(MONTH(E926)=12,0,MONTH(E926)))+IF(AND(F925=1,F926=0),$Q$4,0))*IF(AND(F925=1,F926=0),1,0)</f>
      </c>
      <c r="J925" s="333">
        <f>(1+$M$5)^(D925/12)*(H925+IF(AND(F925=1,F926=0),$Q$4,0))</f>
      </c>
      <c r="K925" s="351"/>
      <c r="L925" s="333">
        <f>K925+J925</f>
      </c>
      <c r="M925" s="170"/>
      <c r="N925" s="7"/>
      <c r="O925" s="1"/>
      <c r="P925" s="331">
        <f>D925</f>
      </c>
      <c r="Q925" s="169"/>
      <c r="R925" s="1"/>
      <c r="S925" s="217">
        <f>(1+$M$5)^(D925/12)*(IF(E925=$C$6,$Q$4+$H$5*12,0))</f>
      </c>
      <c r="T925" s="217">
        <f>(1+$M$5)^(D925/12)*(IF(YEAR(E925)&gt;YEAR($C$6),L925,0)+IF(E925=$C$6,$H$5*12+$Q$4,0))</f>
      </c>
    </row>
    <row x14ac:dyDescent="0.25" r="926" customHeight="1" ht="18.75">
      <c r="A926" s="1"/>
      <c r="B926" s="7"/>
      <c r="C926" s="170"/>
      <c r="D926" s="331">
        <v>919</v>
      </c>
      <c r="E926" s="544">
        <f>+DATE(YEAR(E925),MONTH(E925)-1,DAY(E925))</f>
        <v>25569.041666666668</v>
      </c>
      <c r="F926" s="333">
        <f>IF(DATE(YEAR($B$6),MONTH($B$6)+1,DAY(1))=E926,1,IF(MONTH(E926)=1,F927*(1+$F$5),F927))</f>
      </c>
      <c r="G926" s="333">
        <f>IF('Simulador - 1º Pilar'!$E$99="Sí",IF('Aportaciones Flex'!$B$13&lt;'Aportaciones Flex'!E926,0,F926*$B$8/12),F926*$B$8/12)</f>
      </c>
      <c r="H926" s="333">
        <f>IF(G926&gt;0,1,0)*$H$5*IF(AND($I$5="NO",YEAR(E926)=YEAR($B$6)+1),1,IF($I$5="SI",1,0))</f>
      </c>
      <c r="I926" s="217">
        <f>(1+$M$5)^(D926/12)*(H926*(12-IF(MONTH(E927)=12,0,MONTH(E927)))+IF(AND(F926=1,F927=0),$Q$4,0))*IF(AND(F926=1,F927=0),1,0)</f>
      </c>
      <c r="J926" s="333">
        <f>(1+$M$5)^(D926/12)*(H926+IF(AND(F926=1,F927=0),$Q$4,0))</f>
      </c>
      <c r="K926" s="351"/>
      <c r="L926" s="333">
        <f>K926+J926</f>
      </c>
      <c r="M926" s="170"/>
      <c r="N926" s="7"/>
      <c r="O926" s="1"/>
      <c r="P926" s="331">
        <f>D926</f>
      </c>
      <c r="Q926" s="169"/>
      <c r="R926" s="1"/>
      <c r="S926" s="217">
        <f>(1+$M$5)^(D926/12)*(IF(E926=$C$6,$Q$4+$H$5*12,0))</f>
      </c>
      <c r="T926" s="217">
        <f>(1+$M$5)^(D926/12)*(IF(YEAR(E926)&gt;YEAR($C$6),L926,0)+IF(E926=$C$6,$H$5*12+$Q$4,0))</f>
      </c>
    </row>
    <row x14ac:dyDescent="0.25" r="927" customHeight="1" ht="18.75">
      <c r="A927" s="1"/>
      <c r="B927" s="7"/>
      <c r="C927" s="170"/>
      <c r="D927" s="331">
        <v>920</v>
      </c>
      <c r="E927" s="544">
        <f>+DATE(YEAR(E926),MONTH(E926)-1,DAY(E926))</f>
        <v>25569.041666666668</v>
      </c>
      <c r="F927" s="333">
        <f>IF(DATE(YEAR($B$6),MONTH($B$6)+1,DAY(1))=E927,1,IF(MONTH(E927)=1,F928*(1+$F$5),F928))</f>
      </c>
      <c r="G927" s="333">
        <f>IF('Simulador - 1º Pilar'!$E$99="Sí",IF('Aportaciones Flex'!$B$13&lt;'Aportaciones Flex'!E927,0,F927*$B$8/12),F927*$B$8/12)</f>
      </c>
      <c r="H927" s="333">
        <f>IF(G927&gt;0,1,0)*$H$5*IF(AND($I$5="NO",YEAR(E927)=YEAR($B$6)+1),1,IF($I$5="SI",1,0))</f>
      </c>
      <c r="I927" s="217">
        <f>(1+$M$5)^(D927/12)*(H927*(12-IF(MONTH(E928)=12,0,MONTH(E928)))+IF(AND(F927=1,F928=0),$Q$4,0))*IF(AND(F927=1,F928=0),1,0)</f>
      </c>
      <c r="J927" s="333">
        <f>(1+$M$5)^(D927/12)*(H927+IF(AND(F927=1,F928=0),$Q$4,0))</f>
      </c>
      <c r="K927" s="351"/>
      <c r="L927" s="333">
        <f>K927+J927</f>
      </c>
      <c r="M927" s="170"/>
      <c r="N927" s="7"/>
      <c r="O927" s="1"/>
      <c r="P927" s="331">
        <f>D927</f>
      </c>
      <c r="Q927" s="169"/>
      <c r="R927" s="1"/>
      <c r="S927" s="217">
        <f>(1+$M$5)^(D927/12)*(IF(E927=$C$6,$Q$4+$H$5*12,0))</f>
      </c>
      <c r="T927" s="217">
        <f>(1+$M$5)^(D927/12)*(IF(YEAR(E927)&gt;YEAR($C$6),L927,0)+IF(E927=$C$6,$H$5*12+$Q$4,0))</f>
      </c>
    </row>
    <row x14ac:dyDescent="0.25" r="928" customHeight="1" ht="18.75">
      <c r="A928" s="1"/>
      <c r="B928" s="7"/>
      <c r="C928" s="170"/>
      <c r="D928" s="331">
        <v>921</v>
      </c>
      <c r="E928" s="544">
        <f>+DATE(YEAR(E927),MONTH(E927)-1,DAY(E927))</f>
        <v>25569.041666666668</v>
      </c>
      <c r="F928" s="333">
        <f>IF(DATE(YEAR($B$6),MONTH($B$6)+1,DAY(1))=E928,1,IF(MONTH(E928)=1,F929*(1+$F$5),F929))</f>
      </c>
      <c r="G928" s="333">
        <f>IF('Simulador - 1º Pilar'!$E$99="Sí",IF('Aportaciones Flex'!$B$13&lt;'Aportaciones Flex'!E928,0,F928*$B$8/12),F928*$B$8/12)</f>
      </c>
      <c r="H928" s="333">
        <f>IF(G928&gt;0,1,0)*$H$5*IF(AND($I$5="NO",YEAR(E928)=YEAR($B$6)+1),1,IF($I$5="SI",1,0))</f>
      </c>
      <c r="I928" s="217">
        <f>(1+$M$5)^(D928/12)*(H928*(12-IF(MONTH(E929)=12,0,MONTH(E929)))+IF(AND(F928=1,F929=0),$Q$4,0))*IF(AND(F928=1,F929=0),1,0)</f>
      </c>
      <c r="J928" s="333">
        <f>(1+$M$5)^(D928/12)*(H928+IF(AND(F928=1,F929=0),$Q$4,0))</f>
      </c>
      <c r="K928" s="351"/>
      <c r="L928" s="333">
        <f>K928+J928</f>
      </c>
      <c r="M928" s="170"/>
      <c r="N928" s="7"/>
      <c r="O928" s="1"/>
      <c r="P928" s="331">
        <f>D928</f>
      </c>
      <c r="Q928" s="169"/>
      <c r="R928" s="1"/>
      <c r="S928" s="217">
        <f>(1+$M$5)^(D928/12)*(IF(E928=$C$6,$Q$4+$H$5*12,0))</f>
      </c>
      <c r="T928" s="217">
        <f>(1+$M$5)^(D928/12)*(IF(YEAR(E928)&gt;YEAR($C$6),L928,0)+IF(E928=$C$6,$H$5*12+$Q$4,0))</f>
      </c>
    </row>
    <row x14ac:dyDescent="0.25" r="929" customHeight="1" ht="18.75">
      <c r="A929" s="1"/>
      <c r="B929" s="7"/>
      <c r="C929" s="170"/>
      <c r="D929" s="331">
        <v>922</v>
      </c>
      <c r="E929" s="544">
        <f>+DATE(YEAR(E928),MONTH(E928)-1,DAY(E928))</f>
        <v>25569.041666666668</v>
      </c>
      <c r="F929" s="333">
        <f>IF(DATE(YEAR($B$6),MONTH($B$6)+1,DAY(1))=E929,1,IF(MONTH(E929)=1,F930*(1+$F$5),F930))</f>
      </c>
      <c r="G929" s="333">
        <f>IF('Simulador - 1º Pilar'!$E$99="Sí",IF('Aportaciones Flex'!$B$13&lt;'Aportaciones Flex'!E929,0,F929*$B$8/12),F929*$B$8/12)</f>
      </c>
      <c r="H929" s="333">
        <f>IF(G929&gt;0,1,0)*$H$5*IF(AND($I$5="NO",YEAR(E929)=YEAR($B$6)+1),1,IF($I$5="SI",1,0))</f>
      </c>
      <c r="I929" s="217">
        <f>(1+$M$5)^(D929/12)*(H929*(12-IF(MONTH(E930)=12,0,MONTH(E930)))+IF(AND(F929=1,F930=0),$Q$4,0))*IF(AND(F929=1,F930=0),1,0)</f>
      </c>
      <c r="J929" s="333">
        <f>(1+$M$5)^(D929/12)*(H929+IF(AND(F929=1,F930=0),$Q$4,0))</f>
      </c>
      <c r="K929" s="351"/>
      <c r="L929" s="333">
        <f>K929+J929</f>
      </c>
      <c r="M929" s="170"/>
      <c r="N929" s="7"/>
      <c r="O929" s="1"/>
      <c r="P929" s="331">
        <f>D929</f>
      </c>
      <c r="Q929" s="169"/>
      <c r="R929" s="1"/>
      <c r="S929" s="217">
        <f>(1+$M$5)^(D929/12)*(IF(E929=$C$6,$Q$4+$H$5*12,0))</f>
      </c>
      <c r="T929" s="217">
        <f>(1+$M$5)^(D929/12)*(IF(YEAR(E929)&gt;YEAR($C$6),L929,0)+IF(E929=$C$6,$H$5*12+$Q$4,0))</f>
      </c>
    </row>
    <row x14ac:dyDescent="0.25" r="930" customHeight="1" ht="18.75">
      <c r="A930" s="1"/>
      <c r="B930" s="7"/>
      <c r="C930" s="170"/>
      <c r="D930" s="331">
        <v>923</v>
      </c>
      <c r="E930" s="544">
        <f>+DATE(YEAR(E929),MONTH(E929)-1,DAY(E929))</f>
        <v>25569.041666666668</v>
      </c>
      <c r="F930" s="333">
        <f>IF(DATE(YEAR($B$6),MONTH($B$6)+1,DAY(1))=E930,1,IF(MONTH(E930)=1,F931*(1+$F$5),F931))</f>
      </c>
      <c r="G930" s="333">
        <f>IF('Simulador - 1º Pilar'!$E$99="Sí",IF('Aportaciones Flex'!$B$13&lt;'Aportaciones Flex'!E930,0,F930*$B$8/12),F930*$B$8/12)</f>
      </c>
      <c r="H930" s="333">
        <f>IF(G930&gt;0,1,0)*$H$5*IF(AND($I$5="NO",YEAR(E930)=YEAR($B$6)+1),1,IF($I$5="SI",1,0))</f>
      </c>
      <c r="I930" s="217">
        <f>(1+$M$5)^(D930/12)*(H930*(12-IF(MONTH(E931)=12,0,MONTH(E931)))+IF(AND(F930=1,F931=0),$Q$4,0))*IF(AND(F930=1,F931=0),1,0)</f>
      </c>
      <c r="J930" s="333">
        <f>(1+$M$5)^(D930/12)*(H930+IF(AND(F930=1,F931=0),$Q$4,0))</f>
      </c>
      <c r="K930" s="351"/>
      <c r="L930" s="333">
        <f>K930+J930</f>
      </c>
      <c r="M930" s="170"/>
      <c r="N930" s="7"/>
      <c r="O930" s="1"/>
      <c r="P930" s="331">
        <f>D930</f>
      </c>
      <c r="Q930" s="169"/>
      <c r="R930" s="1"/>
      <c r="S930" s="217">
        <f>(1+$M$5)^(D930/12)*(IF(E930=$C$6,$Q$4+$H$5*12,0))</f>
      </c>
      <c r="T930" s="217">
        <f>(1+$M$5)^(D930/12)*(IF(YEAR(E930)&gt;YEAR($C$6),L930,0)+IF(E930=$C$6,$H$5*12+$Q$4,0))</f>
      </c>
    </row>
    <row x14ac:dyDescent="0.25" r="931" customHeight="1" ht="18.75">
      <c r="A931" s="1"/>
      <c r="B931" s="7"/>
      <c r="C931" s="170"/>
      <c r="D931" s="331">
        <v>924</v>
      </c>
      <c r="E931" s="544">
        <f>+DATE(YEAR(E930),MONTH(E930)-1,DAY(E930))</f>
        <v>25569.041666666668</v>
      </c>
      <c r="F931" s="333">
        <f>IF(DATE(YEAR($B$6),MONTH($B$6)+1,DAY(1))=E931,1,IF(MONTH(E931)=1,F932*(1+$F$5),F932))</f>
      </c>
      <c r="G931" s="333">
        <f>IF('Simulador - 1º Pilar'!$E$99="Sí",IF('Aportaciones Flex'!$B$13&lt;'Aportaciones Flex'!E931,0,F931*$B$8/12),F931*$B$8/12)</f>
      </c>
      <c r="H931" s="333">
        <f>IF(G931&gt;0,1,0)*$H$5*IF(AND($I$5="NO",YEAR(E931)=YEAR($B$6)+1),1,IF($I$5="SI",1,0))</f>
      </c>
      <c r="I931" s="217">
        <f>(1+$M$5)^(D931/12)*(H931*(12-IF(MONTH(E932)=12,0,MONTH(E932)))+IF(AND(F931=1,F932=0),$Q$4,0))*IF(AND(F931=1,F932=0),1,0)</f>
      </c>
      <c r="J931" s="333">
        <f>(1+$M$5)^(D931/12)*(H931+IF(AND(F931=1,F932=0),$Q$4,0))</f>
      </c>
      <c r="K931" s="351"/>
      <c r="L931" s="333">
        <f>K931+J931</f>
      </c>
      <c r="M931" s="170"/>
      <c r="N931" s="7"/>
      <c r="O931" s="1"/>
      <c r="P931" s="331">
        <f>D931</f>
      </c>
      <c r="Q931" s="169"/>
      <c r="R931" s="1"/>
      <c r="S931" s="217">
        <f>(1+$M$5)^(D931/12)*(IF(E931=$C$6,$Q$4+$H$5*12,0))</f>
      </c>
      <c r="T931" s="217">
        <f>(1+$M$5)^(D931/12)*(IF(YEAR(E931)&gt;YEAR($C$6),L931,0)+IF(E931=$C$6,$H$5*12+$Q$4,0))</f>
      </c>
    </row>
    <row x14ac:dyDescent="0.25" r="932" customHeight="1" ht="18.75">
      <c r="A932" s="1"/>
      <c r="B932" s="7"/>
      <c r="C932" s="170"/>
      <c r="D932" s="331">
        <v>925</v>
      </c>
      <c r="E932" s="544">
        <f>+DATE(YEAR(E931),MONTH(E931)-1,DAY(E931))</f>
        <v>25569.041666666668</v>
      </c>
      <c r="F932" s="333">
        <f>IF(DATE(YEAR($B$6),MONTH($B$6)+1,DAY(1))=E932,1,IF(MONTH(E932)=1,F933*(1+$F$5),F933))</f>
      </c>
      <c r="G932" s="333">
        <f>IF('Simulador - 1º Pilar'!$E$99="Sí",IF('Aportaciones Flex'!$B$13&lt;'Aportaciones Flex'!E932,0,F932*$B$8/12),F932*$B$8/12)</f>
      </c>
      <c r="H932" s="333">
        <f>IF(G932&gt;0,1,0)*$H$5*IF(AND($I$5="NO",YEAR(E932)=YEAR($B$6)+1),1,IF($I$5="SI",1,0))</f>
      </c>
      <c r="I932" s="217">
        <f>(1+$M$5)^(D932/12)*(H932*(12-IF(MONTH(E933)=12,0,MONTH(E933)))+IF(AND(F932=1,F933=0),$Q$4,0))*IF(AND(F932=1,F933=0),1,0)</f>
      </c>
      <c r="J932" s="333">
        <f>(1+$M$5)^(D932/12)*(H932+IF(AND(F932=1,F933=0),$Q$4,0))</f>
      </c>
      <c r="K932" s="351"/>
      <c r="L932" s="333">
        <f>K932+J932</f>
      </c>
      <c r="M932" s="170"/>
      <c r="N932" s="7"/>
      <c r="O932" s="1"/>
      <c r="P932" s="331">
        <f>D932</f>
      </c>
      <c r="Q932" s="169"/>
      <c r="R932" s="1"/>
      <c r="S932" s="217">
        <f>(1+$M$5)^(D932/12)*(IF(E932=$C$6,$Q$4+$H$5*12,0))</f>
      </c>
      <c r="T932" s="217">
        <f>(1+$M$5)^(D932/12)*(IF(YEAR(E932)&gt;YEAR($C$6),L932,0)+IF(E932=$C$6,$H$5*12+$Q$4,0))</f>
      </c>
    </row>
    <row x14ac:dyDescent="0.25" r="933" customHeight="1" ht="18.75">
      <c r="A933" s="1"/>
      <c r="B933" s="7"/>
      <c r="C933" s="170"/>
      <c r="D933" s="331">
        <v>926</v>
      </c>
      <c r="E933" s="544">
        <f>+DATE(YEAR(E932),MONTH(E932)-1,DAY(E932))</f>
        <v>25569.041666666668</v>
      </c>
      <c r="F933" s="333">
        <f>IF(DATE(YEAR($B$6),MONTH($B$6)+1,DAY(1))=E933,1,IF(MONTH(E933)=1,F934*(1+$F$5),F934))</f>
      </c>
      <c r="G933" s="333">
        <f>IF('Simulador - 1º Pilar'!$E$99="Sí",IF('Aportaciones Flex'!$B$13&lt;'Aportaciones Flex'!E933,0,F933*$B$8/12),F933*$B$8/12)</f>
      </c>
      <c r="H933" s="333">
        <f>IF(G933&gt;0,1,0)*$H$5*IF(AND($I$5="NO",YEAR(E933)=YEAR($B$6)+1),1,IF($I$5="SI",1,0))</f>
      </c>
      <c r="I933" s="217">
        <f>(1+$M$5)^(D933/12)*(H933*(12-IF(MONTH(E934)=12,0,MONTH(E934)))+IF(AND(F933=1,F934=0),$Q$4,0))*IF(AND(F933=1,F934=0),1,0)</f>
      </c>
      <c r="J933" s="333">
        <f>(1+$M$5)^(D933/12)*(H933+IF(AND(F933=1,F934=0),$Q$4,0))</f>
      </c>
      <c r="K933" s="351"/>
      <c r="L933" s="333">
        <f>K933+J933</f>
      </c>
      <c r="M933" s="170"/>
      <c r="N933" s="7"/>
      <c r="O933" s="1"/>
      <c r="P933" s="331">
        <f>D933</f>
      </c>
      <c r="Q933" s="169"/>
      <c r="R933" s="1"/>
      <c r="S933" s="217">
        <f>(1+$M$5)^(D933/12)*(IF(E933=$C$6,$Q$4+$H$5*12,0))</f>
      </c>
      <c r="T933" s="217">
        <f>(1+$M$5)^(D933/12)*(IF(YEAR(E933)&gt;YEAR($C$6),L933,0)+IF(E933=$C$6,$H$5*12+$Q$4,0))</f>
      </c>
    </row>
    <row x14ac:dyDescent="0.25" r="934" customHeight="1" ht="18.75">
      <c r="A934" s="1"/>
      <c r="B934" s="7"/>
      <c r="C934" s="170"/>
      <c r="D934" s="331">
        <v>927</v>
      </c>
      <c r="E934" s="544">
        <f>+DATE(YEAR(E933),MONTH(E933)-1,DAY(E933))</f>
        <v>25569.041666666668</v>
      </c>
      <c r="F934" s="333">
        <f>IF(DATE(YEAR($B$6),MONTH($B$6)+1,DAY(1))=E934,1,IF(MONTH(E934)=1,F935*(1+$F$5),F935))</f>
      </c>
      <c r="G934" s="333">
        <f>IF('Simulador - 1º Pilar'!$E$99="Sí",IF('Aportaciones Flex'!$B$13&lt;'Aportaciones Flex'!E934,0,F934*$B$8/12),F934*$B$8/12)</f>
      </c>
      <c r="H934" s="333">
        <f>IF(G934&gt;0,1,0)*$H$5*IF(AND($I$5="NO",YEAR(E934)=YEAR($B$6)+1),1,IF($I$5="SI",1,0))</f>
      </c>
      <c r="I934" s="217">
        <f>(1+$M$5)^(D934/12)*(H934*(12-IF(MONTH(E935)=12,0,MONTH(E935)))+IF(AND(F934=1,F935=0),$Q$4,0))*IF(AND(F934=1,F935=0),1,0)</f>
      </c>
      <c r="J934" s="333">
        <f>(1+$M$5)^(D934/12)*(H934+IF(AND(F934=1,F935=0),$Q$4,0))</f>
      </c>
      <c r="K934" s="351"/>
      <c r="L934" s="333">
        <f>K934+J934</f>
      </c>
      <c r="M934" s="170"/>
      <c r="N934" s="7"/>
      <c r="O934" s="1"/>
      <c r="P934" s="331">
        <f>D934</f>
      </c>
      <c r="Q934" s="169"/>
      <c r="R934" s="1"/>
      <c r="S934" s="217">
        <f>(1+$M$5)^(D934/12)*(IF(E934=$C$6,$Q$4+$H$5*12,0))</f>
      </c>
      <c r="T934" s="217">
        <f>(1+$M$5)^(D934/12)*(IF(YEAR(E934)&gt;YEAR($C$6),L934,0)+IF(E934=$C$6,$H$5*12+$Q$4,0))</f>
      </c>
    </row>
    <row x14ac:dyDescent="0.25" r="935" customHeight="1" ht="18.75">
      <c r="A935" s="1"/>
      <c r="B935" s="7"/>
      <c r="C935" s="170"/>
      <c r="D935" s="331">
        <v>928</v>
      </c>
      <c r="E935" s="544">
        <f>+DATE(YEAR(E934),MONTH(E934)-1,DAY(E934))</f>
        <v>25569.041666666668</v>
      </c>
      <c r="F935" s="333">
        <f>IF(DATE(YEAR($B$6),MONTH($B$6)+1,DAY(1))=E935,1,IF(MONTH(E935)=1,F936*(1+$F$5),F936))</f>
      </c>
      <c r="G935" s="333">
        <f>IF('Simulador - 1º Pilar'!$E$99="Sí",IF('Aportaciones Flex'!$B$13&lt;'Aportaciones Flex'!E935,0,F935*$B$8/12),F935*$B$8/12)</f>
      </c>
      <c r="H935" s="333">
        <f>IF(G935&gt;0,1,0)*$H$5*IF(AND($I$5="NO",YEAR(E935)=YEAR($B$6)+1),1,IF($I$5="SI",1,0))</f>
      </c>
      <c r="I935" s="217">
        <f>(1+$M$5)^(D935/12)*(H935*(12-IF(MONTH(E936)=12,0,MONTH(E936)))+IF(AND(F935=1,F936=0),$Q$4,0))*IF(AND(F935=1,F936=0),1,0)</f>
      </c>
      <c r="J935" s="333">
        <f>(1+$M$5)^(D935/12)*(H935+IF(AND(F935=1,F936=0),$Q$4,0))</f>
      </c>
      <c r="K935" s="351"/>
      <c r="L935" s="333">
        <f>K935+J935</f>
      </c>
      <c r="M935" s="170"/>
      <c r="N935" s="7"/>
      <c r="O935" s="1"/>
      <c r="P935" s="331">
        <f>D935</f>
      </c>
      <c r="Q935" s="169"/>
      <c r="R935" s="1"/>
      <c r="S935" s="217">
        <f>(1+$M$5)^(D935/12)*(IF(E935=$C$6,$Q$4+$H$5*12,0))</f>
      </c>
      <c r="T935" s="217">
        <f>(1+$M$5)^(D935/12)*(IF(YEAR(E935)&gt;YEAR($C$6),L935,0)+IF(E935=$C$6,$H$5*12+$Q$4,0))</f>
      </c>
    </row>
    <row x14ac:dyDescent="0.25" r="936" customHeight="1" ht="18.75">
      <c r="A936" s="1"/>
      <c r="B936" s="7"/>
      <c r="C936" s="170"/>
      <c r="D936" s="331">
        <v>929</v>
      </c>
      <c r="E936" s="544">
        <f>+DATE(YEAR(E935),MONTH(E935)-1,DAY(E935))</f>
        <v>25569.041666666668</v>
      </c>
      <c r="F936" s="333">
        <f>IF(DATE(YEAR($B$6),MONTH($B$6)+1,DAY(1))=E936,1,IF(MONTH(E936)=1,F937*(1+$F$5),F937))</f>
      </c>
      <c r="G936" s="333">
        <f>IF('Simulador - 1º Pilar'!$E$99="Sí",IF('Aportaciones Flex'!$B$13&lt;'Aportaciones Flex'!E936,0,F936*$B$8/12),F936*$B$8/12)</f>
      </c>
      <c r="H936" s="333">
        <f>IF(G936&gt;0,1,0)*$H$5*IF(AND($I$5="NO",YEAR(E936)=YEAR($B$6)+1),1,IF($I$5="SI",1,0))</f>
      </c>
      <c r="I936" s="217">
        <f>(1+$M$5)^(D936/12)*(H936*(12-IF(MONTH(E937)=12,0,MONTH(E937)))+IF(AND(F936=1,F937=0),$Q$4,0))*IF(AND(F936=1,F937=0),1,0)</f>
      </c>
      <c r="J936" s="333">
        <f>(1+$M$5)^(D936/12)*(H936+IF(AND(F936=1,F937=0),$Q$4,0))</f>
      </c>
      <c r="K936" s="351"/>
      <c r="L936" s="333">
        <f>K936+J936</f>
      </c>
      <c r="M936" s="170"/>
      <c r="N936" s="7"/>
      <c r="O936" s="1"/>
      <c r="P936" s="331">
        <f>D936</f>
      </c>
      <c r="Q936" s="169"/>
      <c r="R936" s="1"/>
      <c r="S936" s="217">
        <f>(1+$M$5)^(D936/12)*(IF(E936=$C$6,$Q$4+$H$5*12,0))</f>
      </c>
      <c r="T936" s="217">
        <f>(1+$M$5)^(D936/12)*(IF(YEAR(E936)&gt;YEAR($C$6),L936,0)+IF(E936=$C$6,$H$5*12+$Q$4,0))</f>
      </c>
    </row>
    <row x14ac:dyDescent="0.25" r="937" customHeight="1" ht="18.75">
      <c r="A937" s="1"/>
      <c r="B937" s="7"/>
      <c r="C937" s="170"/>
      <c r="D937" s="331">
        <v>930</v>
      </c>
      <c r="E937" s="544">
        <f>+DATE(YEAR(E936),MONTH(E936)-1,DAY(E936))</f>
        <v>25569.041666666668</v>
      </c>
      <c r="F937" s="333">
        <f>IF(DATE(YEAR($B$6),MONTH($B$6)+1,DAY(1))=E937,1,IF(MONTH(E937)=1,F938*(1+$F$5),F938))</f>
      </c>
      <c r="G937" s="333">
        <f>IF('Simulador - 1º Pilar'!$E$99="Sí",IF('Aportaciones Flex'!$B$13&lt;'Aportaciones Flex'!E937,0,F937*$B$8/12),F937*$B$8/12)</f>
      </c>
      <c r="H937" s="333">
        <f>IF(G937&gt;0,1,0)*$H$5*IF(AND($I$5="NO",YEAR(E937)=YEAR($B$6)+1),1,IF($I$5="SI",1,0))</f>
      </c>
      <c r="I937" s="217">
        <f>(1+$M$5)^(D937/12)*(H937*(12-IF(MONTH(E938)=12,0,MONTH(E938)))+IF(AND(F937=1,F938=0),$Q$4,0))*IF(AND(F937=1,F938=0),1,0)</f>
      </c>
      <c r="J937" s="333">
        <f>(1+$M$5)^(D937/12)*(H937+IF(AND(F937=1,F938=0),$Q$4,0))</f>
      </c>
      <c r="K937" s="351"/>
      <c r="L937" s="333">
        <f>K937+J937</f>
      </c>
      <c r="M937" s="170"/>
      <c r="N937" s="7"/>
      <c r="O937" s="1"/>
      <c r="P937" s="331">
        <f>D937</f>
      </c>
      <c r="Q937" s="169"/>
      <c r="R937" s="1"/>
      <c r="S937" s="217">
        <f>(1+$M$5)^(D937/12)*(IF(E937=$C$6,$Q$4+$H$5*12,0))</f>
      </c>
      <c r="T937" s="217">
        <f>(1+$M$5)^(D937/12)*(IF(YEAR(E937)&gt;YEAR($C$6),L937,0)+IF(E937=$C$6,$H$5*12+$Q$4,0))</f>
      </c>
    </row>
    <row x14ac:dyDescent="0.25" r="938" customHeight="1" ht="18.75">
      <c r="A938" s="1"/>
      <c r="B938" s="7"/>
      <c r="C938" s="170"/>
      <c r="D938" s="331">
        <v>931</v>
      </c>
      <c r="E938" s="544">
        <f>+DATE(YEAR(E937),MONTH(E937)-1,DAY(E937))</f>
        <v>25569.041666666668</v>
      </c>
      <c r="F938" s="333">
        <f>IF(DATE(YEAR($B$6),MONTH($B$6)+1,DAY(1))=E938,1,IF(MONTH(E938)=1,F939*(1+$F$5),F939))</f>
      </c>
      <c r="G938" s="333">
        <f>IF('Simulador - 1º Pilar'!$E$99="Sí",IF('Aportaciones Flex'!$B$13&lt;'Aportaciones Flex'!E938,0,F938*$B$8/12),F938*$B$8/12)</f>
      </c>
      <c r="H938" s="333">
        <f>IF(G938&gt;0,1,0)*$H$5*IF(AND($I$5="NO",YEAR(E938)=YEAR($B$6)+1),1,IF($I$5="SI",1,0))</f>
      </c>
      <c r="I938" s="217">
        <f>(1+$M$5)^(D938/12)*(H938*(12-IF(MONTH(E939)=12,0,MONTH(E939)))+IF(AND(F938=1,F939=0),$Q$4,0))*IF(AND(F938=1,F939=0),1,0)</f>
      </c>
      <c r="J938" s="333">
        <f>(1+$M$5)^(D938/12)*(H938+IF(AND(F938=1,F939=0),$Q$4,0))</f>
      </c>
      <c r="K938" s="351"/>
      <c r="L938" s="333">
        <f>K938+J938</f>
      </c>
      <c r="M938" s="170"/>
      <c r="N938" s="7"/>
      <c r="O938" s="1"/>
      <c r="P938" s="331">
        <f>D938</f>
      </c>
      <c r="Q938" s="169"/>
      <c r="R938" s="1"/>
      <c r="S938" s="217">
        <f>(1+$M$5)^(D938/12)*(IF(E938=$C$6,$Q$4+$H$5*12,0))</f>
      </c>
      <c r="T938" s="217">
        <f>(1+$M$5)^(D938/12)*(IF(YEAR(E938)&gt;YEAR($C$6),L938,0)+IF(E938=$C$6,$H$5*12+$Q$4,0))</f>
      </c>
    </row>
    <row x14ac:dyDescent="0.25" r="939" customHeight="1" ht="18.75">
      <c r="A939" s="1"/>
      <c r="B939" s="7"/>
      <c r="C939" s="170"/>
      <c r="D939" s="331">
        <v>932</v>
      </c>
      <c r="E939" s="544">
        <f>+DATE(YEAR(E938),MONTH(E938)-1,DAY(E938))</f>
        <v>25569.041666666668</v>
      </c>
      <c r="F939" s="333">
        <f>IF(DATE(YEAR($B$6),MONTH($B$6)+1,DAY(1))=E939,1,IF(MONTH(E939)=1,F940*(1+$F$5),F940))</f>
      </c>
      <c r="G939" s="333">
        <f>IF('Simulador - 1º Pilar'!$E$99="Sí",IF('Aportaciones Flex'!$B$13&lt;'Aportaciones Flex'!E939,0,F939*$B$8/12),F939*$B$8/12)</f>
      </c>
      <c r="H939" s="333">
        <f>IF(G939&gt;0,1,0)*$H$5*IF(AND($I$5="NO",YEAR(E939)=YEAR($B$6)+1),1,IF($I$5="SI",1,0))</f>
      </c>
      <c r="I939" s="217">
        <f>(1+$M$5)^(D939/12)*(H939*(12-IF(MONTH(E940)=12,0,MONTH(E940)))+IF(AND(F939=1,F940=0),$Q$4,0))*IF(AND(F939=1,F940=0),1,0)</f>
      </c>
      <c r="J939" s="333">
        <f>(1+$M$5)^(D939/12)*(H939+IF(AND(F939=1,F940=0),$Q$4,0))</f>
      </c>
      <c r="K939" s="351"/>
      <c r="L939" s="333">
        <f>K939+J939</f>
      </c>
      <c r="M939" s="170"/>
      <c r="N939" s="7"/>
      <c r="O939" s="1"/>
      <c r="P939" s="331">
        <f>D939</f>
      </c>
      <c r="Q939" s="169"/>
      <c r="R939" s="1"/>
      <c r="S939" s="217">
        <f>(1+$M$5)^(D939/12)*(IF(E939=$C$6,$Q$4+$H$5*12,0))</f>
      </c>
      <c r="T939" s="217">
        <f>(1+$M$5)^(D939/12)*(IF(YEAR(E939)&gt;YEAR($C$6),L939,0)+IF(E939=$C$6,$H$5*12+$Q$4,0))</f>
      </c>
    </row>
    <row x14ac:dyDescent="0.25" r="940" customHeight="1" ht="18.75">
      <c r="A940" s="1"/>
      <c r="B940" s="7"/>
      <c r="C940" s="170"/>
      <c r="D940" s="331">
        <v>933</v>
      </c>
      <c r="E940" s="544">
        <f>+DATE(YEAR(E939),MONTH(E939)-1,DAY(E939))</f>
        <v>25569.041666666668</v>
      </c>
      <c r="F940" s="333">
        <f>IF(DATE(YEAR($B$6),MONTH($B$6)+1,DAY(1))=E940,1,IF(MONTH(E940)=1,F941*(1+$F$5),F941))</f>
      </c>
      <c r="G940" s="333">
        <f>IF('Simulador - 1º Pilar'!$E$99="Sí",IF('Aportaciones Flex'!$B$13&lt;'Aportaciones Flex'!E940,0,F940*$B$8/12),F940*$B$8/12)</f>
      </c>
      <c r="H940" s="333">
        <f>IF(G940&gt;0,1,0)*$H$5*IF(AND($I$5="NO",YEAR(E940)=YEAR($B$6)+1),1,IF($I$5="SI",1,0))</f>
      </c>
      <c r="I940" s="217">
        <f>(1+$M$5)^(D940/12)*(H940*(12-IF(MONTH(E941)=12,0,MONTH(E941)))+IF(AND(F940=1,F941=0),$Q$4,0))*IF(AND(F940=1,F941=0),1,0)</f>
      </c>
      <c r="J940" s="333">
        <f>(1+$M$5)^(D940/12)*(H940+IF(AND(F940=1,F941=0),$Q$4,0))</f>
      </c>
      <c r="K940" s="351"/>
      <c r="L940" s="333">
        <f>K940+J940</f>
      </c>
      <c r="M940" s="170"/>
      <c r="N940" s="7"/>
      <c r="O940" s="1"/>
      <c r="P940" s="331">
        <f>D940</f>
      </c>
      <c r="Q940" s="169"/>
      <c r="R940" s="1"/>
      <c r="S940" s="217">
        <f>(1+$M$5)^(D940/12)*(IF(E940=$C$6,$Q$4+$H$5*12,0))</f>
      </c>
      <c r="T940" s="217">
        <f>(1+$M$5)^(D940/12)*(IF(YEAR(E940)&gt;YEAR($C$6),L940,0)+IF(E940=$C$6,$H$5*12+$Q$4,0))</f>
      </c>
    </row>
    <row x14ac:dyDescent="0.25" r="941" customHeight="1" ht="18.75">
      <c r="A941" s="1"/>
      <c r="B941" s="7"/>
      <c r="C941" s="170"/>
      <c r="D941" s="331">
        <v>934</v>
      </c>
      <c r="E941" s="544">
        <f>+DATE(YEAR(E940),MONTH(E940)-1,DAY(E940))</f>
        <v>25569.041666666668</v>
      </c>
      <c r="F941" s="333">
        <f>IF(DATE(YEAR($B$6),MONTH($B$6)+1,DAY(1))=E941,1,IF(MONTH(E941)=1,F942*(1+$F$5),F942))</f>
      </c>
      <c r="G941" s="333">
        <f>IF('Simulador - 1º Pilar'!$E$99="Sí",IF('Aportaciones Flex'!$B$13&lt;'Aportaciones Flex'!E941,0,F941*$B$8/12),F941*$B$8/12)</f>
      </c>
      <c r="H941" s="333">
        <f>IF(G941&gt;0,1,0)*$H$5*IF(AND($I$5="NO",YEAR(E941)=YEAR($B$6)+1),1,IF($I$5="SI",1,0))</f>
      </c>
      <c r="I941" s="217">
        <f>(1+$M$5)^(D941/12)*(H941*(12-IF(MONTH(E942)=12,0,MONTH(E942)))+IF(AND(F941=1,F942=0),$Q$4,0))*IF(AND(F941=1,F942=0),1,0)</f>
      </c>
      <c r="J941" s="333">
        <f>(1+$M$5)^(D941/12)*(H941+IF(AND(F941=1,F942=0),$Q$4,0))</f>
      </c>
      <c r="K941" s="351"/>
      <c r="L941" s="333">
        <f>K941+J941</f>
      </c>
      <c r="M941" s="170"/>
      <c r="N941" s="7"/>
      <c r="O941" s="1"/>
      <c r="P941" s="331">
        <f>D941</f>
      </c>
      <c r="Q941" s="169"/>
      <c r="R941" s="1"/>
      <c r="S941" s="217">
        <f>(1+$M$5)^(D941/12)*(IF(E941=$C$6,$Q$4+$H$5*12,0))</f>
      </c>
      <c r="T941" s="217">
        <f>(1+$M$5)^(D941/12)*(IF(YEAR(E941)&gt;YEAR($C$6),L941,0)+IF(E941=$C$6,$H$5*12+$Q$4,0))</f>
      </c>
    </row>
    <row x14ac:dyDescent="0.25" r="942" customHeight="1" ht="18.75">
      <c r="A942" s="1"/>
      <c r="B942" s="7"/>
      <c r="C942" s="170"/>
      <c r="D942" s="331">
        <v>935</v>
      </c>
      <c r="E942" s="544">
        <f>+DATE(YEAR(E941),MONTH(E941)-1,DAY(E941))</f>
        <v>25569.041666666668</v>
      </c>
      <c r="F942" s="333">
        <f>IF(DATE(YEAR($B$6),MONTH($B$6)+1,DAY(1))=E942,1,IF(MONTH(E942)=1,F943*(1+$F$5),F943))</f>
      </c>
      <c r="G942" s="333">
        <f>IF('Simulador - 1º Pilar'!$E$99="Sí",IF('Aportaciones Flex'!$B$13&lt;'Aportaciones Flex'!E942,0,F942*$B$8/12),F942*$B$8/12)</f>
      </c>
      <c r="H942" s="333">
        <f>IF(G942&gt;0,1,0)*$H$5*IF(AND($I$5="NO",YEAR(E942)=YEAR($B$6)+1),1,IF($I$5="SI",1,0))</f>
      </c>
      <c r="I942" s="217">
        <f>(1+$M$5)^(D942/12)*(H942*(12-IF(MONTH(E943)=12,0,MONTH(E943)))+IF(AND(F942=1,F943=0),$Q$4,0))*IF(AND(F942=1,F943=0),1,0)</f>
      </c>
      <c r="J942" s="333">
        <f>(1+$M$5)^(D942/12)*(H942+IF(AND(F942=1,F943=0),$Q$4,0))</f>
      </c>
      <c r="K942" s="351"/>
      <c r="L942" s="333">
        <f>K942+J942</f>
      </c>
      <c r="M942" s="170"/>
      <c r="N942" s="7"/>
      <c r="O942" s="1"/>
      <c r="P942" s="331">
        <f>D942</f>
      </c>
      <c r="Q942" s="169"/>
      <c r="R942" s="1"/>
      <c r="S942" s="217">
        <f>(1+$M$5)^(D942/12)*(IF(E942=$C$6,$Q$4+$H$5*12,0))</f>
      </c>
      <c r="T942" s="217">
        <f>(1+$M$5)^(D942/12)*(IF(YEAR(E942)&gt;YEAR($C$6),L942,0)+IF(E942=$C$6,$H$5*12+$Q$4,0))</f>
      </c>
    </row>
    <row x14ac:dyDescent="0.25" r="943" customHeight="1" ht="18.75">
      <c r="A943" s="1"/>
      <c r="B943" s="7"/>
      <c r="C943" s="170"/>
      <c r="D943" s="331">
        <v>936</v>
      </c>
      <c r="E943" s="544">
        <f>+DATE(YEAR(E942),MONTH(E942)-1,DAY(E942))</f>
        <v>25569.041666666668</v>
      </c>
      <c r="F943" s="333">
        <f>IF(DATE(YEAR($B$6),MONTH($B$6)+1,DAY(1))=E943,1,IF(MONTH(E943)=1,F944*(1+$F$5),F944))</f>
      </c>
      <c r="G943" s="333">
        <f>IF('Simulador - 1º Pilar'!$E$99="Sí",IF('Aportaciones Flex'!$B$13&lt;'Aportaciones Flex'!E943,0,F943*$B$8/12),F943*$B$8/12)</f>
      </c>
      <c r="H943" s="333">
        <f>IF(G943&gt;0,1,0)*$H$5*IF(AND($I$5="NO",YEAR(E943)=YEAR($B$6)+1),1,IF($I$5="SI",1,0))</f>
      </c>
      <c r="I943" s="217">
        <f>(1+$M$5)^(D943/12)*(H943*(12-IF(MONTH(E944)=12,0,MONTH(E944)))+IF(AND(F943=1,F944=0),$Q$4,0))*IF(AND(F943=1,F944=0),1,0)</f>
      </c>
      <c r="J943" s="333">
        <f>(1+$M$5)^(D943/12)*(H943+IF(AND(F943=1,F944=0),$Q$4,0))</f>
      </c>
      <c r="K943" s="351"/>
      <c r="L943" s="333">
        <f>K943+J943</f>
      </c>
      <c r="M943" s="170"/>
      <c r="N943" s="7"/>
      <c r="O943" s="1"/>
      <c r="P943" s="331">
        <f>D943</f>
      </c>
      <c r="Q943" s="169"/>
      <c r="R943" s="1"/>
      <c r="S943" s="217">
        <f>(1+$M$5)^(D943/12)*(IF(E943=$C$6,$Q$4+$H$5*12,0))</f>
      </c>
      <c r="T943" s="217">
        <f>(1+$M$5)^(D943/12)*(IF(YEAR(E943)&gt;YEAR($C$6),L943,0)+IF(E943=$C$6,$H$5*12+$Q$4,0))</f>
      </c>
    </row>
    <row x14ac:dyDescent="0.25" r="944" customHeight="1" ht="18.75">
      <c r="A944" s="1"/>
      <c r="B944" s="7"/>
      <c r="C944" s="170"/>
      <c r="D944" s="331">
        <v>937</v>
      </c>
      <c r="E944" s="544">
        <f>+DATE(YEAR(E943),MONTH(E943)-1,DAY(E943))</f>
        <v>25569.041666666668</v>
      </c>
      <c r="F944" s="333">
        <f>IF(DATE(YEAR($B$6),MONTH($B$6)+1,DAY(1))=E944,1,IF(MONTH(E944)=1,F945*(1+$F$5),F945))</f>
      </c>
      <c r="G944" s="333">
        <f>IF('Simulador - 1º Pilar'!$E$99="Sí",IF('Aportaciones Flex'!$B$13&lt;'Aportaciones Flex'!E944,0,F944*$B$8/12),F944*$B$8/12)</f>
      </c>
      <c r="H944" s="333">
        <f>IF(G944&gt;0,1,0)*$H$5*IF(AND($I$5="NO",YEAR(E944)=YEAR($B$6)+1),1,IF($I$5="SI",1,0))</f>
      </c>
      <c r="I944" s="217">
        <f>(1+$M$5)^(D944/12)*(H944*(12-IF(MONTH(E945)=12,0,MONTH(E945)))+IF(AND(F944=1,F945=0),$Q$4,0))*IF(AND(F944=1,F945=0),1,0)</f>
      </c>
      <c r="J944" s="333">
        <f>(1+$M$5)^(D944/12)*(H944+IF(AND(F944=1,F945=0),$Q$4,0))</f>
      </c>
      <c r="K944" s="351"/>
      <c r="L944" s="333">
        <f>K944+J944</f>
      </c>
      <c r="M944" s="170"/>
      <c r="N944" s="7"/>
      <c r="O944" s="1"/>
      <c r="P944" s="331">
        <f>D944</f>
      </c>
      <c r="Q944" s="169"/>
      <c r="R944" s="1"/>
      <c r="S944" s="217">
        <f>(1+$M$5)^(D944/12)*(IF(E944=$C$6,$Q$4+$H$5*12,0))</f>
      </c>
      <c r="T944" s="217">
        <f>(1+$M$5)^(D944/12)*(IF(YEAR(E944)&gt;YEAR($C$6),L944,0)+IF(E944=$C$6,$H$5*12+$Q$4,0))</f>
      </c>
    </row>
    <row x14ac:dyDescent="0.25" r="945" customHeight="1" ht="18.75">
      <c r="A945" s="1"/>
      <c r="B945" s="7"/>
      <c r="C945" s="170"/>
      <c r="D945" s="331">
        <v>938</v>
      </c>
      <c r="E945" s="544">
        <f>+DATE(YEAR(E944),MONTH(E944)-1,DAY(E944))</f>
        <v>25569.041666666668</v>
      </c>
      <c r="F945" s="333">
        <f>IF(DATE(YEAR($B$6),MONTH($B$6)+1,DAY(1))=E945,1,IF(MONTH(E945)=1,F946*(1+$F$5),F946))</f>
      </c>
      <c r="G945" s="333">
        <f>IF('Simulador - 1º Pilar'!$E$99="Sí",IF('Aportaciones Flex'!$B$13&lt;'Aportaciones Flex'!E945,0,F945*$B$8/12),F945*$B$8/12)</f>
      </c>
      <c r="H945" s="333">
        <f>IF(G945&gt;0,1,0)*$H$5*IF(AND($I$5="NO",YEAR(E945)=YEAR($B$6)+1),1,IF($I$5="SI",1,0))</f>
      </c>
      <c r="I945" s="217">
        <f>(1+$M$5)^(D945/12)*(H945*(12-IF(MONTH(E946)=12,0,MONTH(E946)))+IF(AND(F945=1,F946=0),$Q$4,0))*IF(AND(F945=1,F946=0),1,0)</f>
      </c>
      <c r="J945" s="333">
        <f>(1+$M$5)^(D945/12)*(H945+IF(AND(F945=1,F946=0),$Q$4,0))</f>
      </c>
      <c r="K945" s="351"/>
      <c r="L945" s="333">
        <f>K945+J945</f>
      </c>
      <c r="M945" s="170"/>
      <c r="N945" s="7"/>
      <c r="O945" s="1"/>
      <c r="P945" s="331">
        <f>D945</f>
      </c>
      <c r="Q945" s="169"/>
      <c r="R945" s="1"/>
      <c r="S945" s="217">
        <f>(1+$M$5)^(D945/12)*(IF(E945=$C$6,$Q$4+$H$5*12,0))</f>
      </c>
      <c r="T945" s="217">
        <f>(1+$M$5)^(D945/12)*(IF(YEAR(E945)&gt;YEAR($C$6),L945,0)+IF(E945=$C$6,$H$5*12+$Q$4,0))</f>
      </c>
    </row>
    <row x14ac:dyDescent="0.25" r="946" customHeight="1" ht="18.75">
      <c r="A946" s="1"/>
      <c r="B946" s="7"/>
      <c r="C946" s="170"/>
      <c r="D946" s="331">
        <v>939</v>
      </c>
      <c r="E946" s="544">
        <f>+DATE(YEAR(E945),MONTH(E945)-1,DAY(E945))</f>
        <v>25569.041666666668</v>
      </c>
      <c r="F946" s="333">
        <f>IF(DATE(YEAR($B$6),MONTH($B$6)+1,DAY(1))=E946,1,IF(MONTH(E946)=1,F947*(1+$F$5),F947))</f>
      </c>
      <c r="G946" s="333">
        <f>IF('Simulador - 1º Pilar'!$E$99="Sí",IF('Aportaciones Flex'!$B$13&lt;'Aportaciones Flex'!E946,0,F946*$B$8/12),F946*$B$8/12)</f>
      </c>
      <c r="H946" s="333">
        <f>IF(G946&gt;0,1,0)*$H$5*IF(AND($I$5="NO",YEAR(E946)=YEAR($B$6)+1),1,IF($I$5="SI",1,0))</f>
      </c>
      <c r="I946" s="217">
        <f>(1+$M$5)^(D946/12)*(H946*(12-IF(MONTH(E947)=12,0,MONTH(E947)))+IF(AND(F946=1,F947=0),$Q$4,0))*IF(AND(F946=1,F947=0),1,0)</f>
      </c>
      <c r="J946" s="333">
        <f>(1+$M$5)^(D946/12)*(H946+IF(AND(F946=1,F947=0),$Q$4,0))</f>
      </c>
      <c r="K946" s="351"/>
      <c r="L946" s="333">
        <f>K946+J946</f>
      </c>
      <c r="M946" s="170"/>
      <c r="N946" s="7"/>
      <c r="O946" s="1"/>
      <c r="P946" s="331">
        <f>D946</f>
      </c>
      <c r="Q946" s="169"/>
      <c r="R946" s="1"/>
      <c r="S946" s="217">
        <f>(1+$M$5)^(D946/12)*(IF(E946=$C$6,$Q$4+$H$5*12,0))</f>
      </c>
      <c r="T946" s="217">
        <f>(1+$M$5)^(D946/12)*(IF(YEAR(E946)&gt;YEAR($C$6),L946,0)+IF(E946=$C$6,$H$5*12+$Q$4,0))</f>
      </c>
    </row>
    <row x14ac:dyDescent="0.25" r="947" customHeight="1" ht="18.75">
      <c r="A947" s="1"/>
      <c r="B947" s="7"/>
      <c r="C947" s="170"/>
      <c r="D947" s="331">
        <v>940</v>
      </c>
      <c r="E947" s="544">
        <f>+DATE(YEAR(E946),MONTH(E946)-1,DAY(E946))</f>
        <v>25569.041666666668</v>
      </c>
      <c r="F947" s="333">
        <f>IF(DATE(YEAR($B$6),MONTH($B$6)+1,DAY(1))=E947,1,IF(MONTH(E947)=1,F948*(1+$F$5),F948))</f>
      </c>
      <c r="G947" s="333">
        <f>IF('Simulador - 1º Pilar'!$E$99="Sí",IF('Aportaciones Flex'!$B$13&lt;'Aportaciones Flex'!E947,0,F947*$B$8/12),F947*$B$8/12)</f>
      </c>
      <c r="H947" s="333">
        <f>IF(G947&gt;0,1,0)*$H$5*IF(AND($I$5="NO",YEAR(E947)=YEAR($B$6)+1),1,IF($I$5="SI",1,0))</f>
      </c>
      <c r="I947" s="217">
        <f>(1+$M$5)^(D947/12)*(H947*(12-IF(MONTH(E948)=12,0,MONTH(E948)))+IF(AND(F947=1,F948=0),$Q$4,0))*IF(AND(F947=1,F948=0),1,0)</f>
      </c>
      <c r="J947" s="333">
        <f>(1+$M$5)^(D947/12)*(H947+IF(AND(F947=1,F948=0),$Q$4,0))</f>
      </c>
      <c r="K947" s="351"/>
      <c r="L947" s="333">
        <f>K947+J947</f>
      </c>
      <c r="M947" s="170"/>
      <c r="N947" s="7"/>
      <c r="O947" s="1"/>
      <c r="P947" s="331">
        <f>D947</f>
      </c>
      <c r="Q947" s="169"/>
      <c r="R947" s="1"/>
      <c r="S947" s="217">
        <f>(1+$M$5)^(D947/12)*(IF(E947=$C$6,$Q$4+$H$5*12,0))</f>
      </c>
      <c r="T947" s="217">
        <f>(1+$M$5)^(D947/12)*(IF(YEAR(E947)&gt;YEAR($C$6),L947,0)+IF(E947=$C$6,$H$5*12+$Q$4,0))</f>
      </c>
    </row>
    <row x14ac:dyDescent="0.25" r="948" customHeight="1" ht="18.75">
      <c r="A948" s="1"/>
      <c r="B948" s="7"/>
      <c r="C948" s="170"/>
      <c r="D948" s="331">
        <v>941</v>
      </c>
      <c r="E948" s="544">
        <f>+DATE(YEAR(E947),MONTH(E947)-1,DAY(E947))</f>
        <v>25569.041666666668</v>
      </c>
      <c r="F948" s="333">
        <f>IF(DATE(YEAR($B$6),MONTH($B$6)+1,DAY(1))=E948,1,IF(MONTH(E948)=1,F949*(1+$F$5),F949))</f>
      </c>
      <c r="G948" s="333">
        <f>IF('Simulador - 1º Pilar'!$E$99="Sí",IF('Aportaciones Flex'!$B$13&lt;'Aportaciones Flex'!E948,0,F948*$B$8/12),F948*$B$8/12)</f>
      </c>
      <c r="H948" s="333">
        <f>IF(G948&gt;0,1,0)*$H$5*IF(AND($I$5="NO",YEAR(E948)=YEAR($B$6)+1),1,IF($I$5="SI",1,0))</f>
      </c>
      <c r="I948" s="217">
        <f>(1+$M$5)^(D948/12)*(H948*(12-IF(MONTH(E949)=12,0,MONTH(E949)))+IF(AND(F948=1,F949=0),$Q$4,0))*IF(AND(F948=1,F949=0),1,0)</f>
      </c>
      <c r="J948" s="333">
        <f>(1+$M$5)^(D948/12)*(H948+IF(AND(F948=1,F949=0),$Q$4,0))</f>
      </c>
      <c r="K948" s="351"/>
      <c r="L948" s="333">
        <f>K948+J948</f>
      </c>
      <c r="M948" s="170"/>
      <c r="N948" s="7"/>
      <c r="O948" s="1"/>
      <c r="P948" s="331">
        <f>D948</f>
      </c>
      <c r="Q948" s="169"/>
      <c r="R948" s="1"/>
      <c r="S948" s="217">
        <f>(1+$M$5)^(D948/12)*(IF(E948=$C$6,$Q$4+$H$5*12,0))</f>
      </c>
      <c r="T948" s="217">
        <f>(1+$M$5)^(D948/12)*(IF(YEAR(E948)&gt;YEAR($C$6),L948,0)+IF(E948=$C$6,$H$5*12+$Q$4,0))</f>
      </c>
    </row>
    <row x14ac:dyDescent="0.25" r="949" customHeight="1" ht="18.75">
      <c r="A949" s="1"/>
      <c r="B949" s="7"/>
      <c r="C949" s="170"/>
      <c r="D949" s="331">
        <v>942</v>
      </c>
      <c r="E949" s="544">
        <f>+DATE(YEAR(E948),MONTH(E948)-1,DAY(E948))</f>
        <v>25569.041666666668</v>
      </c>
      <c r="F949" s="333">
        <f>IF(DATE(YEAR($B$6),MONTH($B$6)+1,DAY(1))=E949,1,IF(MONTH(E949)=1,F950*(1+$F$5),F950))</f>
      </c>
      <c r="G949" s="333">
        <f>IF('Simulador - 1º Pilar'!$E$99="Sí",IF('Aportaciones Flex'!$B$13&lt;'Aportaciones Flex'!E949,0,F949*$B$8/12),F949*$B$8/12)</f>
      </c>
      <c r="H949" s="333">
        <f>IF(G949&gt;0,1,0)*$H$5*IF(AND($I$5="NO",YEAR(E949)=YEAR($B$6)+1),1,IF($I$5="SI",1,0))</f>
      </c>
      <c r="I949" s="217">
        <f>(1+$M$5)^(D949/12)*(H949*(12-IF(MONTH(E950)=12,0,MONTH(E950)))+IF(AND(F949=1,F950=0),$Q$4,0))*IF(AND(F949=1,F950=0),1,0)</f>
      </c>
      <c r="J949" s="333">
        <f>(1+$M$5)^(D949/12)*(H949+IF(AND(F949=1,F950=0),$Q$4,0))</f>
      </c>
      <c r="K949" s="351"/>
      <c r="L949" s="333">
        <f>K949+J949</f>
      </c>
      <c r="M949" s="170"/>
      <c r="N949" s="7"/>
      <c r="O949" s="1"/>
      <c r="P949" s="331">
        <f>D949</f>
      </c>
      <c r="Q949" s="169"/>
      <c r="R949" s="1"/>
      <c r="S949" s="217">
        <f>(1+$M$5)^(D949/12)*(IF(E949=$C$6,$Q$4+$H$5*12,0))</f>
      </c>
      <c r="T949" s="217">
        <f>(1+$M$5)^(D949/12)*(IF(YEAR(E949)&gt;YEAR($C$6),L949,0)+IF(E949=$C$6,$H$5*12+$Q$4,0))</f>
      </c>
    </row>
    <row x14ac:dyDescent="0.25" r="950" customHeight="1" ht="18.75">
      <c r="A950" s="1"/>
      <c r="B950" s="7"/>
      <c r="C950" s="170"/>
      <c r="D950" s="331">
        <v>943</v>
      </c>
      <c r="E950" s="544">
        <f>+DATE(YEAR(E949),MONTH(E949)-1,DAY(E949))</f>
        <v>25569.041666666668</v>
      </c>
      <c r="F950" s="333">
        <f>IF(DATE(YEAR($B$6),MONTH($B$6)+1,DAY(1))=E950,1,IF(MONTH(E950)=1,F951*(1+$F$5),F951))</f>
      </c>
      <c r="G950" s="333">
        <f>IF('Simulador - 1º Pilar'!$E$99="Sí",IF('Aportaciones Flex'!$B$13&lt;'Aportaciones Flex'!E950,0,F950*$B$8/12),F950*$B$8/12)</f>
      </c>
      <c r="H950" s="333">
        <f>IF(G950&gt;0,1,0)*$H$5*IF(AND($I$5="NO",YEAR(E950)=YEAR($B$6)+1),1,IF($I$5="SI",1,0))</f>
      </c>
      <c r="I950" s="217">
        <f>(1+$M$5)^(D950/12)*(H950*(12-IF(MONTH(E951)=12,0,MONTH(E951)))+IF(AND(F950=1,F951=0),$Q$4,0))*IF(AND(F950=1,F951=0),1,0)</f>
      </c>
      <c r="J950" s="333">
        <f>(1+$M$5)^(D950/12)*(H950+IF(AND(F950=1,F951=0),$Q$4,0))</f>
      </c>
      <c r="K950" s="351"/>
      <c r="L950" s="333">
        <f>K950+J950</f>
      </c>
      <c r="M950" s="170"/>
      <c r="N950" s="7"/>
      <c r="O950" s="1"/>
      <c r="P950" s="331">
        <f>D950</f>
      </c>
      <c r="Q950" s="169"/>
      <c r="R950" s="1"/>
      <c r="S950" s="217">
        <f>(1+$M$5)^(D950/12)*(IF(E950=$C$6,$Q$4+$H$5*12,0))</f>
      </c>
      <c r="T950" s="217">
        <f>(1+$M$5)^(D950/12)*(IF(YEAR(E950)&gt;YEAR($C$6),L950,0)+IF(E950=$C$6,$H$5*12+$Q$4,0))</f>
      </c>
    </row>
    <row x14ac:dyDescent="0.25" r="951" customHeight="1" ht="18.75">
      <c r="A951" s="1"/>
      <c r="B951" s="7"/>
      <c r="C951" s="170"/>
      <c r="D951" s="331">
        <v>944</v>
      </c>
      <c r="E951" s="544">
        <f>+DATE(YEAR(E950),MONTH(E950)-1,DAY(E950))</f>
        <v>25569.041666666668</v>
      </c>
      <c r="F951" s="333">
        <f>IF(DATE(YEAR($B$6),MONTH($B$6)+1,DAY(1))=E951,1,IF(MONTH(E951)=1,F952*(1+$F$5),F952))</f>
      </c>
      <c r="G951" s="333">
        <f>IF('Simulador - 1º Pilar'!$E$99="Sí",IF('Aportaciones Flex'!$B$13&lt;'Aportaciones Flex'!E951,0,F951*$B$8/12),F951*$B$8/12)</f>
      </c>
      <c r="H951" s="333">
        <f>IF(G951&gt;0,1,0)*$H$5*IF(AND($I$5="NO",YEAR(E951)=YEAR($B$6)+1),1,IF($I$5="SI",1,0))</f>
      </c>
      <c r="I951" s="217">
        <f>(1+$M$5)^(D951/12)*(H951*(12-IF(MONTH(E952)=12,0,MONTH(E952)))+IF(AND(F951=1,F952=0),$Q$4,0))*IF(AND(F951=1,F952=0),1,0)</f>
      </c>
      <c r="J951" s="333">
        <f>(1+$M$5)^(D951/12)*(H951+IF(AND(F951=1,F952=0),$Q$4,0))</f>
      </c>
      <c r="K951" s="351"/>
      <c r="L951" s="333">
        <f>K951+J951</f>
      </c>
      <c r="M951" s="170"/>
      <c r="N951" s="7"/>
      <c r="O951" s="1"/>
      <c r="P951" s="331">
        <f>D951</f>
      </c>
      <c r="Q951" s="169"/>
      <c r="R951" s="1"/>
      <c r="S951" s="217">
        <f>(1+$M$5)^(D951/12)*(IF(E951=$C$6,$Q$4+$H$5*12,0))</f>
      </c>
      <c r="T951" s="217">
        <f>(1+$M$5)^(D951/12)*(IF(YEAR(E951)&gt;YEAR($C$6),L951,0)+IF(E951=$C$6,$H$5*12+$Q$4,0))</f>
      </c>
    </row>
    <row x14ac:dyDescent="0.25" r="952" customHeight="1" ht="18.75">
      <c r="A952" s="1"/>
      <c r="B952" s="7"/>
      <c r="C952" s="170"/>
      <c r="D952" s="331">
        <v>945</v>
      </c>
      <c r="E952" s="544">
        <f>+DATE(YEAR(E951),MONTH(E951)-1,DAY(E951))</f>
        <v>25569.041666666668</v>
      </c>
      <c r="F952" s="333">
        <f>IF(DATE(YEAR($B$6),MONTH($B$6)+1,DAY(1))=E952,1,IF(MONTH(E952)=1,F953*(1+$F$5),F953))</f>
      </c>
      <c r="G952" s="333">
        <f>IF('Simulador - 1º Pilar'!$E$99="Sí",IF('Aportaciones Flex'!$B$13&lt;'Aportaciones Flex'!E952,0,F952*$B$8/12),F952*$B$8/12)</f>
      </c>
      <c r="H952" s="333">
        <f>IF(G952&gt;0,1,0)*$H$5*IF(AND($I$5="NO",YEAR(E952)=YEAR($B$6)+1),1,IF($I$5="SI",1,0))</f>
      </c>
      <c r="I952" s="217">
        <f>(1+$M$5)^(D952/12)*(H952*(12-IF(MONTH(E953)=12,0,MONTH(E953)))+IF(AND(F952=1,F953=0),$Q$4,0))*IF(AND(F952=1,F953=0),1,0)</f>
      </c>
      <c r="J952" s="333">
        <f>(1+$M$5)^(D952/12)*(H952+IF(AND(F952=1,F953=0),$Q$4,0))</f>
      </c>
      <c r="K952" s="351"/>
      <c r="L952" s="333">
        <f>K952+J952</f>
      </c>
      <c r="M952" s="170"/>
      <c r="N952" s="7"/>
      <c r="O952" s="1"/>
      <c r="P952" s="331">
        <f>D952</f>
      </c>
      <c r="Q952" s="169"/>
      <c r="R952" s="1"/>
      <c r="S952" s="217">
        <f>(1+$M$5)^(D952/12)*(IF(E952=$C$6,$Q$4+$H$5*12,0))</f>
      </c>
      <c r="T952" s="217">
        <f>(1+$M$5)^(D952/12)*(IF(YEAR(E952)&gt;YEAR($C$6),L952,0)+IF(E952=$C$6,$H$5*12+$Q$4,0))</f>
      </c>
    </row>
    <row x14ac:dyDescent="0.25" r="953" customHeight="1" ht="18.75">
      <c r="A953" s="1"/>
      <c r="B953" s="7"/>
      <c r="C953" s="170"/>
      <c r="D953" s="331">
        <v>946</v>
      </c>
      <c r="E953" s="544">
        <f>+DATE(YEAR(E952),MONTH(E952)-1,DAY(E952))</f>
        <v>25569.041666666668</v>
      </c>
      <c r="F953" s="333">
        <f>IF(DATE(YEAR($B$6),MONTH($B$6)+1,DAY(1))=E953,1,IF(MONTH(E953)=1,F954*(1+$F$5),F954))</f>
      </c>
      <c r="G953" s="333">
        <f>IF('Simulador - 1º Pilar'!$E$99="Sí",IF('Aportaciones Flex'!$B$13&lt;'Aportaciones Flex'!E953,0,F953*$B$8/12),F953*$B$8/12)</f>
      </c>
      <c r="H953" s="333">
        <f>IF(G953&gt;0,1,0)*$H$5*IF(AND($I$5="NO",YEAR(E953)=YEAR($B$6)+1),1,IF($I$5="SI",1,0))</f>
      </c>
      <c r="I953" s="217">
        <f>(1+$M$5)^(D953/12)*(H953*(12-IF(MONTH(E954)=12,0,MONTH(E954)))+IF(AND(F953=1,F954=0),$Q$4,0))*IF(AND(F953=1,F954=0),1,0)</f>
      </c>
      <c r="J953" s="333">
        <f>(1+$M$5)^(D953/12)*(H953+IF(AND(F953=1,F954=0),$Q$4,0))</f>
      </c>
      <c r="K953" s="351"/>
      <c r="L953" s="333">
        <f>K953+J953</f>
      </c>
      <c r="M953" s="170"/>
      <c r="N953" s="7"/>
      <c r="O953" s="1"/>
      <c r="P953" s="331">
        <f>D953</f>
      </c>
      <c r="Q953" s="169"/>
      <c r="R953" s="1"/>
      <c r="S953" s="217">
        <f>(1+$M$5)^(D953/12)*(IF(E953=$C$6,$Q$4+$H$5*12,0))</f>
      </c>
      <c r="T953" s="217">
        <f>(1+$M$5)^(D953/12)*(IF(YEAR(E953)&gt;YEAR($C$6),L953,0)+IF(E953=$C$6,$H$5*12+$Q$4,0))</f>
      </c>
    </row>
    <row x14ac:dyDescent="0.25" r="954" customHeight="1" ht="18.75">
      <c r="A954" s="1"/>
      <c r="B954" s="7"/>
      <c r="C954" s="170"/>
      <c r="D954" s="331">
        <v>947</v>
      </c>
      <c r="E954" s="544">
        <f>+DATE(YEAR(E953),MONTH(E953)-1,DAY(E953))</f>
        <v>25569.041666666668</v>
      </c>
      <c r="F954" s="333">
        <f>IF(DATE(YEAR($B$6),MONTH($B$6)+1,DAY(1))=E954,1,IF(MONTH(E954)=1,F955*(1+$F$5),F955))</f>
      </c>
      <c r="G954" s="333">
        <f>IF('Simulador - 1º Pilar'!$E$99="Sí",IF('Aportaciones Flex'!$B$13&lt;'Aportaciones Flex'!E954,0,F954*$B$8/12),F954*$B$8/12)</f>
      </c>
      <c r="H954" s="333">
        <f>IF(G954&gt;0,1,0)*$H$5*IF(AND($I$5="NO",YEAR(E954)=YEAR($B$6)+1),1,IF($I$5="SI",1,0))</f>
      </c>
      <c r="I954" s="217">
        <f>(1+$M$5)^(D954/12)*(H954*(12-IF(MONTH(E955)=12,0,MONTH(E955)))+IF(AND(F954=1,F955=0),$Q$4,0))*IF(AND(F954=1,F955=0),1,0)</f>
      </c>
      <c r="J954" s="333">
        <f>(1+$M$5)^(D954/12)*(H954+IF(AND(F954=1,F955=0),$Q$4,0))</f>
      </c>
      <c r="K954" s="351"/>
      <c r="L954" s="333">
        <f>K954+J954</f>
      </c>
      <c r="M954" s="170"/>
      <c r="N954" s="7"/>
      <c r="O954" s="1"/>
      <c r="P954" s="331">
        <f>D954</f>
      </c>
      <c r="Q954" s="169"/>
      <c r="R954" s="1"/>
      <c r="S954" s="217">
        <f>(1+$M$5)^(D954/12)*(IF(E954=$C$6,$Q$4+$H$5*12,0))</f>
      </c>
      <c r="T954" s="217">
        <f>(1+$M$5)^(D954/12)*(IF(YEAR(E954)&gt;YEAR($C$6),L954,0)+IF(E954=$C$6,$H$5*12+$Q$4,0))</f>
      </c>
    </row>
    <row x14ac:dyDescent="0.25" r="955" customHeight="1" ht="18.75">
      <c r="A955" s="1"/>
      <c r="B955" s="7"/>
      <c r="C955" s="170"/>
      <c r="D955" s="331">
        <v>948</v>
      </c>
      <c r="E955" s="544">
        <f>+DATE(YEAR(E954),MONTH(E954)-1,DAY(E954))</f>
        <v>25569.041666666668</v>
      </c>
      <c r="F955" s="333">
        <f>IF(DATE(YEAR($B$6),MONTH($B$6)+1,DAY(1))=E955,1,IF(MONTH(E955)=1,F956*(1+$F$5),F956))</f>
      </c>
      <c r="G955" s="333">
        <f>IF('Simulador - 1º Pilar'!$E$99="Sí",IF('Aportaciones Flex'!$B$13&lt;'Aportaciones Flex'!E955,0,F955*$B$8/12),F955*$B$8/12)</f>
      </c>
      <c r="H955" s="333">
        <f>IF(G955&gt;0,1,0)*$H$5*IF(AND($I$5="NO",YEAR(E955)=YEAR($B$6)+1),1,IF($I$5="SI",1,0))</f>
      </c>
      <c r="I955" s="217">
        <f>(1+$M$5)^(D955/12)*(H955*(12-IF(MONTH(E956)=12,0,MONTH(E956)))+IF(AND(F955=1,F956=0),$Q$4,0))*IF(AND(F955=1,F956=0),1,0)</f>
      </c>
      <c r="J955" s="333">
        <f>(1+$M$5)^(D955/12)*(H955+IF(AND(F955=1,F956=0),$Q$4,0))</f>
      </c>
      <c r="K955" s="351"/>
      <c r="L955" s="333">
        <f>K955+J955</f>
      </c>
      <c r="M955" s="170"/>
      <c r="N955" s="7"/>
      <c r="O955" s="1"/>
      <c r="P955" s="331">
        <f>D955</f>
      </c>
      <c r="Q955" s="169"/>
      <c r="R955" s="1"/>
      <c r="S955" s="217">
        <f>(1+$M$5)^(D955/12)*(IF(E955=$C$6,$Q$4+$H$5*12,0))</f>
      </c>
      <c r="T955" s="217">
        <f>(1+$M$5)^(D955/12)*(IF(YEAR(E955)&gt;YEAR($C$6),L955,0)+IF(E955=$C$6,$H$5*12+$Q$4,0))</f>
      </c>
    </row>
    <row x14ac:dyDescent="0.25" r="956" customHeight="1" ht="18.75">
      <c r="A956" s="1"/>
      <c r="B956" s="7"/>
      <c r="C956" s="170"/>
      <c r="D956" s="331">
        <v>949</v>
      </c>
      <c r="E956" s="544">
        <f>+DATE(YEAR(E955),MONTH(E955)-1,DAY(E955))</f>
        <v>25569.041666666668</v>
      </c>
      <c r="F956" s="333">
        <f>IF(DATE(YEAR($B$6),MONTH($B$6)+1,DAY(1))=E956,1,IF(MONTH(E956)=1,F957*(1+$F$5),F957))</f>
      </c>
      <c r="G956" s="333">
        <f>IF('Simulador - 1º Pilar'!$E$99="Sí",IF('Aportaciones Flex'!$B$13&lt;'Aportaciones Flex'!E956,0,F956*$B$8/12),F956*$B$8/12)</f>
      </c>
      <c r="H956" s="333">
        <f>IF(G956&gt;0,1,0)*$H$5*IF(AND($I$5="NO",YEAR(E956)=YEAR($B$6)+1),1,IF($I$5="SI",1,0))</f>
      </c>
      <c r="I956" s="217">
        <f>(1+$M$5)^(D956/12)*(H956*(12-IF(MONTH(E957)=12,0,MONTH(E957)))+IF(AND(F956=1,F957=0),$Q$4,0))*IF(AND(F956=1,F957=0),1,0)</f>
      </c>
      <c r="J956" s="333">
        <f>(1+$M$5)^(D956/12)*(H956+IF(AND(F956=1,F957=0),$Q$4,0))</f>
      </c>
      <c r="K956" s="351"/>
      <c r="L956" s="333">
        <f>K956+J956</f>
      </c>
      <c r="M956" s="170"/>
      <c r="N956" s="7"/>
      <c r="O956" s="1"/>
      <c r="P956" s="331">
        <f>D956</f>
      </c>
      <c r="Q956" s="169"/>
      <c r="R956" s="1"/>
      <c r="S956" s="217">
        <f>(1+$M$5)^(D956/12)*(IF(E956=$C$6,$Q$4+$H$5*12,0))</f>
      </c>
      <c r="T956" s="217">
        <f>(1+$M$5)^(D956/12)*(IF(YEAR(E956)&gt;YEAR($C$6),L956,0)+IF(E956=$C$6,$H$5*12+$Q$4,0))</f>
      </c>
    </row>
    <row x14ac:dyDescent="0.25" r="957" customHeight="1" ht="18.75">
      <c r="A957" s="1"/>
      <c r="B957" s="7"/>
      <c r="C957" s="170"/>
      <c r="D957" s="331">
        <v>950</v>
      </c>
      <c r="E957" s="544">
        <f>+DATE(YEAR(E956),MONTH(E956)-1,DAY(E956))</f>
        <v>25569.041666666668</v>
      </c>
      <c r="F957" s="333">
        <f>IF(DATE(YEAR($B$6),MONTH($B$6)+1,DAY(1))=E957,1,IF(MONTH(E957)=1,F958*(1+$F$5),F958))</f>
      </c>
      <c r="G957" s="333">
        <f>IF('Simulador - 1º Pilar'!$E$99="Sí",IF('Aportaciones Flex'!$B$13&lt;'Aportaciones Flex'!E957,0,F957*$B$8/12),F957*$B$8/12)</f>
      </c>
      <c r="H957" s="333">
        <f>IF(G957&gt;0,1,0)*$H$5*IF(AND($I$5="NO",YEAR(E957)=YEAR($B$6)+1),1,IF($I$5="SI",1,0))</f>
      </c>
      <c r="I957" s="217">
        <f>(1+$M$5)^(D957/12)*(H957*(12-IF(MONTH(E958)=12,0,MONTH(E958)))+IF(AND(F957=1,F958=0),$Q$4,0))*IF(AND(F957=1,F958=0),1,0)</f>
      </c>
      <c r="J957" s="333">
        <f>(1+$M$5)^(D957/12)*(H957+IF(AND(F957=1,F958=0),$Q$4,0))</f>
      </c>
      <c r="K957" s="351"/>
      <c r="L957" s="333">
        <f>K957+J957</f>
      </c>
      <c r="M957" s="170"/>
      <c r="N957" s="7"/>
      <c r="O957" s="1"/>
      <c r="P957" s="331">
        <f>D957</f>
      </c>
      <c r="Q957" s="169"/>
      <c r="R957" s="1"/>
      <c r="S957" s="217">
        <f>(1+$M$5)^(D957/12)*(IF(E957=$C$6,$Q$4+$H$5*12,0))</f>
      </c>
      <c r="T957" s="217">
        <f>(1+$M$5)^(D957/12)*(IF(YEAR(E957)&gt;YEAR($C$6),L957,0)+IF(E957=$C$6,$H$5*12+$Q$4,0))</f>
      </c>
    </row>
    <row x14ac:dyDescent="0.25" r="958" customHeight="1" ht="18.75">
      <c r="A958" s="1"/>
      <c r="B958" s="7"/>
      <c r="C958" s="170"/>
      <c r="D958" s="331">
        <v>951</v>
      </c>
      <c r="E958" s="544">
        <f>+DATE(YEAR(E957),MONTH(E957)-1,DAY(E957))</f>
        <v>25569.041666666668</v>
      </c>
      <c r="F958" s="333">
        <f>IF(DATE(YEAR($B$6),MONTH($B$6)+1,DAY(1))=E958,1,IF(MONTH(E958)=1,F959*(1+$F$5),F959))</f>
      </c>
      <c r="G958" s="333">
        <f>IF('Simulador - 1º Pilar'!$E$99="Sí",IF('Aportaciones Flex'!$B$13&lt;'Aportaciones Flex'!E958,0,F958*$B$8/12),F958*$B$8/12)</f>
      </c>
      <c r="H958" s="333">
        <f>IF(G958&gt;0,1,0)*$H$5*IF(AND($I$5="NO",YEAR(E958)=YEAR($B$6)+1),1,IF($I$5="SI",1,0))</f>
      </c>
      <c r="I958" s="217">
        <f>(1+$M$5)^(D958/12)*(H958*(12-IF(MONTH(E959)=12,0,MONTH(E959)))+IF(AND(F958=1,F959=0),$Q$4,0))*IF(AND(F958=1,F959=0),1,0)</f>
      </c>
      <c r="J958" s="333">
        <f>(1+$M$5)^(D958/12)*(H958+IF(AND(F958=1,F959=0),$Q$4,0))</f>
      </c>
      <c r="K958" s="351"/>
      <c r="L958" s="333">
        <f>K958+J958</f>
      </c>
      <c r="M958" s="170"/>
      <c r="N958" s="7"/>
      <c r="O958" s="1"/>
      <c r="P958" s="331">
        <f>D958</f>
      </c>
      <c r="Q958" s="169"/>
      <c r="R958" s="1"/>
      <c r="S958" s="217">
        <f>(1+$M$5)^(D958/12)*(IF(E958=$C$6,$Q$4+$H$5*12,0))</f>
      </c>
      <c r="T958" s="217">
        <f>(1+$M$5)^(D958/12)*(IF(YEAR(E958)&gt;YEAR($C$6),L958,0)+IF(E958=$C$6,$H$5*12+$Q$4,0))</f>
      </c>
    </row>
    <row x14ac:dyDescent="0.25" r="959" customHeight="1" ht="18.75">
      <c r="A959" s="1"/>
      <c r="B959" s="7"/>
      <c r="C959" s="170"/>
      <c r="D959" s="331">
        <v>952</v>
      </c>
      <c r="E959" s="544">
        <f>+DATE(YEAR(E958),MONTH(E958)-1,DAY(E958))</f>
        <v>25569.041666666668</v>
      </c>
      <c r="F959" s="333">
        <f>IF(DATE(YEAR($B$6),MONTH($B$6)+1,DAY(1))=E959,1,IF(MONTH(E959)=1,F960*(1+$F$5),F960))</f>
      </c>
      <c r="G959" s="333">
        <f>IF('Simulador - 1º Pilar'!$E$99="Sí",IF('Aportaciones Flex'!$B$13&lt;'Aportaciones Flex'!E959,0,F959*$B$8/12),F959*$B$8/12)</f>
      </c>
      <c r="H959" s="333">
        <f>IF(G959&gt;0,1,0)*$H$5*IF(AND($I$5="NO",YEAR(E959)=YEAR($B$6)+1),1,IF($I$5="SI",1,0))</f>
      </c>
      <c r="I959" s="217">
        <f>(1+$M$5)^(D959/12)*(H959*(12-IF(MONTH(E960)=12,0,MONTH(E960)))+IF(AND(F959=1,F960=0),$Q$4,0))*IF(AND(F959=1,F960=0),1,0)</f>
      </c>
      <c r="J959" s="333">
        <f>(1+$M$5)^(D959/12)*(H959+IF(AND(F959=1,F960=0),$Q$4,0))</f>
      </c>
      <c r="K959" s="351"/>
      <c r="L959" s="333">
        <f>K959+J959</f>
      </c>
      <c r="M959" s="170"/>
      <c r="N959" s="7"/>
      <c r="O959" s="1"/>
      <c r="P959" s="331">
        <f>D959</f>
      </c>
      <c r="Q959" s="169"/>
      <c r="R959" s="1"/>
      <c r="S959" s="217">
        <f>(1+$M$5)^(D959/12)*(IF(E959=$C$6,$Q$4+$H$5*12,0))</f>
      </c>
      <c r="T959" s="217">
        <f>(1+$M$5)^(D959/12)*(IF(YEAR(E959)&gt;YEAR($C$6),L959,0)+IF(E959=$C$6,$H$5*12+$Q$4,0))</f>
      </c>
    </row>
    <row x14ac:dyDescent="0.25" r="960" customHeight="1" ht="18.75">
      <c r="A960" s="1"/>
      <c r="B960" s="7"/>
      <c r="C960" s="170"/>
      <c r="D960" s="331">
        <v>953</v>
      </c>
      <c r="E960" s="544">
        <f>+DATE(YEAR(E959),MONTH(E959)-1,DAY(E959))</f>
        <v>25569.041666666668</v>
      </c>
      <c r="F960" s="333">
        <f>IF(DATE(YEAR($B$6),MONTH($B$6)+1,DAY(1))=E960,1,IF(MONTH(E960)=1,F961*(1+$F$5),F961))</f>
      </c>
      <c r="G960" s="333">
        <f>IF('Simulador - 1º Pilar'!$E$99="Sí",IF('Aportaciones Flex'!$B$13&lt;'Aportaciones Flex'!E960,0,F960*$B$8/12),F960*$B$8/12)</f>
      </c>
      <c r="H960" s="333">
        <f>IF(G960&gt;0,1,0)*$H$5*IF(AND($I$5="NO",YEAR(E960)=YEAR($B$6)+1),1,IF($I$5="SI",1,0))</f>
      </c>
      <c r="I960" s="217">
        <f>(1+$M$5)^(D960/12)*(H960*(12-IF(MONTH(E961)=12,0,MONTH(E961)))+IF(AND(F960=1,F961=0),$Q$4,0))*IF(AND(F960=1,F961=0),1,0)</f>
      </c>
      <c r="J960" s="333">
        <f>(1+$M$5)^(D960/12)*(H960+IF(AND(F960=1,F961=0),$Q$4,0))</f>
      </c>
      <c r="K960" s="351"/>
      <c r="L960" s="333">
        <f>K960+J960</f>
      </c>
      <c r="M960" s="170"/>
      <c r="N960" s="7"/>
      <c r="O960" s="1"/>
      <c r="P960" s="331">
        <f>D960</f>
      </c>
      <c r="Q960" s="169"/>
      <c r="R960" s="1"/>
      <c r="S960" s="217">
        <f>(1+$M$5)^(D960/12)*(IF(E960=$C$6,$Q$4+$H$5*12,0))</f>
      </c>
      <c r="T960" s="217">
        <f>(1+$M$5)^(D960/12)*(IF(YEAR(E960)&gt;YEAR($C$6),L960,0)+IF(E960=$C$6,$H$5*12+$Q$4,0))</f>
      </c>
    </row>
    <row x14ac:dyDescent="0.25" r="961" customHeight="1" ht="18.75">
      <c r="A961" s="1"/>
      <c r="B961" s="7"/>
      <c r="C961" s="170"/>
      <c r="D961" s="331">
        <v>954</v>
      </c>
      <c r="E961" s="544">
        <f>+DATE(YEAR(E960),MONTH(E960)-1,DAY(E960))</f>
        <v>25569.041666666668</v>
      </c>
      <c r="F961" s="333">
        <f>IF(DATE(YEAR($B$6),MONTH($B$6)+1,DAY(1))=E961,1,IF(MONTH(E961)=1,F962*(1+$F$5),F962))</f>
      </c>
      <c r="G961" s="333">
        <f>IF('Simulador - 1º Pilar'!$E$99="Sí",IF('Aportaciones Flex'!$B$13&lt;'Aportaciones Flex'!E961,0,F961*$B$8/12),F961*$B$8/12)</f>
      </c>
      <c r="H961" s="333">
        <f>IF(G961&gt;0,1,0)*$H$5*IF(AND($I$5="NO",YEAR(E961)=YEAR($B$6)+1),1,IF($I$5="SI",1,0))</f>
      </c>
      <c r="I961" s="217">
        <f>(1+$M$5)^(D961/12)*(H961*(12-IF(MONTH(E962)=12,0,MONTH(E962)))+IF(AND(F961=1,F962=0),$Q$4,0))*IF(AND(F961=1,F962=0),1,0)</f>
      </c>
      <c r="J961" s="333">
        <f>(1+$M$5)^(D961/12)*(H961+IF(AND(F961=1,F962=0),$Q$4,0))</f>
      </c>
      <c r="K961" s="351"/>
      <c r="L961" s="333">
        <f>K961+J961</f>
      </c>
      <c r="M961" s="170"/>
      <c r="N961" s="7"/>
      <c r="O961" s="1"/>
      <c r="P961" s="331">
        <f>D961</f>
      </c>
      <c r="Q961" s="169"/>
      <c r="R961" s="1"/>
      <c r="S961" s="217">
        <f>(1+$M$5)^(D961/12)*(IF(E961=$C$6,$Q$4+$H$5*12,0))</f>
      </c>
      <c r="T961" s="217">
        <f>(1+$M$5)^(D961/12)*(IF(YEAR(E961)&gt;YEAR($C$6),L961,0)+IF(E961=$C$6,$H$5*12+$Q$4,0))</f>
      </c>
    </row>
    <row x14ac:dyDescent="0.25" r="962" customHeight="1" ht="18.75">
      <c r="A962" s="1"/>
      <c r="B962" s="7"/>
      <c r="C962" s="170"/>
      <c r="D962" s="331">
        <v>955</v>
      </c>
      <c r="E962" s="544">
        <f>+DATE(YEAR(E961),MONTH(E961)-1,DAY(E961))</f>
        <v>25569.041666666668</v>
      </c>
      <c r="F962" s="333">
        <f>IF(DATE(YEAR($B$6),MONTH($B$6)+1,DAY(1))=E962,1,IF(MONTH(E962)=1,F963*(1+$F$5),F963))</f>
      </c>
      <c r="G962" s="333">
        <f>IF('Simulador - 1º Pilar'!$E$99="Sí",IF('Aportaciones Flex'!$B$13&lt;'Aportaciones Flex'!E962,0,F962*$B$8/12),F962*$B$8/12)</f>
      </c>
      <c r="H962" s="333">
        <f>IF(G962&gt;0,1,0)*$H$5*IF(AND($I$5="NO",YEAR(E962)=YEAR($B$6)+1),1,IF($I$5="SI",1,0))</f>
      </c>
      <c r="I962" s="217">
        <f>(1+$M$5)^(D962/12)*(H962*(12-IF(MONTH(E963)=12,0,MONTH(E963)))+IF(AND(F962=1,F963=0),$Q$4,0))*IF(AND(F962=1,F963=0),1,0)</f>
      </c>
      <c r="J962" s="333">
        <f>(1+$M$5)^(D962/12)*(H962+IF(AND(F962=1,F963=0),$Q$4,0))</f>
      </c>
      <c r="K962" s="351"/>
      <c r="L962" s="333">
        <f>K962+J962</f>
      </c>
      <c r="M962" s="170"/>
      <c r="N962" s="7"/>
      <c r="O962" s="1"/>
      <c r="P962" s="331">
        <f>D962</f>
      </c>
      <c r="Q962" s="169"/>
      <c r="R962" s="1"/>
      <c r="S962" s="217">
        <f>(1+$M$5)^(D962/12)*(IF(E962=$C$6,$Q$4+$H$5*12,0))</f>
      </c>
      <c r="T962" s="217">
        <f>(1+$M$5)^(D962/12)*(IF(YEAR(E962)&gt;YEAR($C$6),L962,0)+IF(E962=$C$6,$H$5*12+$Q$4,0))</f>
      </c>
    </row>
    <row x14ac:dyDescent="0.25" r="963" customHeight="1" ht="18.75">
      <c r="A963" s="1"/>
      <c r="B963" s="7"/>
      <c r="C963" s="170"/>
      <c r="D963" s="331">
        <v>956</v>
      </c>
      <c r="E963" s="544">
        <f>+DATE(YEAR(E962),MONTH(E962)-1,DAY(E962))</f>
        <v>25569.041666666668</v>
      </c>
      <c r="F963" s="333">
        <f>IF(DATE(YEAR($B$6),MONTH($B$6)+1,DAY(1))=E963,1,IF(MONTH(E963)=1,F964*(1+$F$5),F964))</f>
      </c>
      <c r="G963" s="333">
        <f>IF('Simulador - 1º Pilar'!$E$99="Sí",IF('Aportaciones Flex'!$B$13&lt;'Aportaciones Flex'!E963,0,F963*$B$8/12),F963*$B$8/12)</f>
      </c>
      <c r="H963" s="333">
        <f>IF(G963&gt;0,1,0)*$H$5*IF(AND($I$5="NO",YEAR(E963)=YEAR($B$6)+1),1,IF($I$5="SI",1,0))</f>
      </c>
      <c r="I963" s="217">
        <f>(1+$M$5)^(D963/12)*(H963*(12-IF(MONTH(E964)=12,0,MONTH(E964)))+IF(AND(F963=1,F964=0),$Q$4,0))*IF(AND(F963=1,F964=0),1,0)</f>
      </c>
      <c r="J963" s="333">
        <f>(1+$M$5)^(D963/12)*(H963+IF(AND(F963=1,F964=0),$Q$4,0))</f>
      </c>
      <c r="K963" s="351"/>
      <c r="L963" s="333">
        <f>K963+J963</f>
      </c>
      <c r="M963" s="170"/>
      <c r="N963" s="7"/>
      <c r="O963" s="1"/>
      <c r="P963" s="331">
        <f>D963</f>
      </c>
      <c r="Q963" s="169"/>
      <c r="R963" s="1"/>
      <c r="S963" s="217">
        <f>(1+$M$5)^(D963/12)*(IF(E963=$C$6,$Q$4+$H$5*12,0))</f>
      </c>
      <c r="T963" s="217">
        <f>(1+$M$5)^(D963/12)*(IF(YEAR(E963)&gt;YEAR($C$6),L963,0)+IF(E963=$C$6,$H$5*12+$Q$4,0))</f>
      </c>
    </row>
    <row x14ac:dyDescent="0.25" r="964" customHeight="1" ht="18.75">
      <c r="A964" s="1"/>
      <c r="B964" s="7"/>
      <c r="C964" s="170"/>
      <c r="D964" s="331">
        <v>957</v>
      </c>
      <c r="E964" s="544">
        <f>+DATE(YEAR(E963),MONTH(E963)-1,DAY(E963))</f>
        <v>25569.041666666668</v>
      </c>
      <c r="F964" s="333">
        <f>IF(DATE(YEAR($B$6),MONTH($B$6)+1,DAY(1))=E964,1,IF(MONTH(E964)=1,F965*(1+$F$5),F965))</f>
      </c>
      <c r="G964" s="333">
        <f>IF('Simulador - 1º Pilar'!$E$99="Sí",IF('Aportaciones Flex'!$B$13&lt;'Aportaciones Flex'!E964,0,F964*$B$8/12),F964*$B$8/12)</f>
      </c>
      <c r="H964" s="333">
        <f>IF(G964&gt;0,1,0)*$H$5*IF(AND($I$5="NO",YEAR(E964)=YEAR($B$6)+1),1,IF($I$5="SI",1,0))</f>
      </c>
      <c r="I964" s="217">
        <f>(1+$M$5)^(D964/12)*(H964*(12-IF(MONTH(E965)=12,0,MONTH(E965)))+IF(AND(F964=1,F965=0),$Q$4,0))*IF(AND(F964=1,F965=0),1,0)</f>
      </c>
      <c r="J964" s="333">
        <f>(1+$M$5)^(D964/12)*(H964+IF(AND(F964=1,F965=0),$Q$4,0))</f>
      </c>
      <c r="K964" s="351"/>
      <c r="L964" s="333">
        <f>K964+J964</f>
      </c>
      <c r="M964" s="170"/>
      <c r="N964" s="7"/>
      <c r="O964" s="1"/>
      <c r="P964" s="331">
        <f>D964</f>
      </c>
      <c r="Q964" s="169"/>
      <c r="R964" s="1"/>
      <c r="S964" s="217">
        <f>(1+$M$5)^(D964/12)*(IF(E964=$C$6,$Q$4+$H$5*12,0))</f>
      </c>
      <c r="T964" s="217">
        <f>(1+$M$5)^(D964/12)*(IF(YEAR(E964)&gt;YEAR($C$6),L964,0)+IF(E964=$C$6,$H$5*12+$Q$4,0))</f>
      </c>
    </row>
    <row x14ac:dyDescent="0.25" r="965" customHeight="1" ht="18.75">
      <c r="A965" s="1"/>
      <c r="B965" s="7"/>
      <c r="C965" s="170"/>
      <c r="D965" s="331">
        <v>958</v>
      </c>
      <c r="E965" s="544">
        <f>+DATE(YEAR(E964),MONTH(E964)-1,DAY(E964))</f>
        <v>25569.041666666668</v>
      </c>
      <c r="F965" s="333">
        <f>IF(DATE(YEAR($B$6),MONTH($B$6)+1,DAY(1))=E965,1,IF(MONTH(E965)=1,F966*(1+$F$5),F966))</f>
      </c>
      <c r="G965" s="333">
        <f>IF('Simulador - 1º Pilar'!$E$99="Sí",IF('Aportaciones Flex'!$B$13&lt;'Aportaciones Flex'!E965,0,F965*$B$8/12),F965*$B$8/12)</f>
      </c>
      <c r="H965" s="333">
        <f>IF(G965&gt;0,1,0)*$H$5*IF(AND($I$5="NO",YEAR(E965)=YEAR($B$6)+1),1,IF($I$5="SI",1,0))</f>
      </c>
      <c r="I965" s="217">
        <f>(1+$M$5)^(D965/12)*(H965*(12-IF(MONTH(E966)=12,0,MONTH(E966)))+IF(AND(F965=1,F966=0),$Q$4,0))*IF(AND(F965=1,F966=0),1,0)</f>
      </c>
      <c r="J965" s="333">
        <f>(1+$M$5)^(D965/12)*(H965+IF(AND(F965=1,F966=0),$Q$4,0))</f>
      </c>
      <c r="K965" s="351"/>
      <c r="L965" s="333">
        <f>K965+J965</f>
      </c>
      <c r="M965" s="170"/>
      <c r="N965" s="7"/>
      <c r="O965" s="1"/>
      <c r="P965" s="331">
        <f>D965</f>
      </c>
      <c r="Q965" s="169"/>
      <c r="R965" s="1"/>
      <c r="S965" s="217">
        <f>(1+$M$5)^(D965/12)*(IF(E965=$C$6,$Q$4+$H$5*12,0))</f>
      </c>
      <c r="T965" s="217">
        <f>(1+$M$5)^(D965/12)*(IF(YEAR(E965)&gt;YEAR($C$6),L965,0)+IF(E965=$C$6,$H$5*12+$Q$4,0))</f>
      </c>
    </row>
    <row x14ac:dyDescent="0.25" r="966" customHeight="1" ht="18.75">
      <c r="A966" s="1"/>
      <c r="B966" s="7"/>
      <c r="C966" s="170"/>
      <c r="D966" s="331">
        <v>959</v>
      </c>
      <c r="E966" s="544">
        <f>+DATE(YEAR(E965),MONTH(E965)-1,DAY(E965))</f>
        <v>25569.041666666668</v>
      </c>
      <c r="F966" s="333">
        <f>IF(DATE(YEAR($B$6),MONTH($B$6)+1,DAY(1))=E966,1,IF(MONTH(E966)=1,F967*(1+$F$5),F967))</f>
      </c>
      <c r="G966" s="333">
        <f>IF('Simulador - 1º Pilar'!$E$99="Sí",IF('Aportaciones Flex'!$B$13&lt;'Aportaciones Flex'!E966,0,F966*$B$8/12),F966*$B$8/12)</f>
      </c>
      <c r="H966" s="333">
        <f>IF(G966&gt;0,1,0)*$H$5*IF(AND($I$5="NO",YEAR(E966)=YEAR($B$6)+1),1,IF($I$5="SI",1,0))</f>
      </c>
      <c r="I966" s="217">
        <f>(1+$M$5)^(D966/12)*(H966*(12-IF(MONTH(E967)=12,0,MONTH(E967)))+IF(AND(F966=1,F967=0),$Q$4,0))*IF(AND(F966=1,F967=0),1,0)</f>
      </c>
      <c r="J966" s="333">
        <f>(1+$M$5)^(D966/12)*(H966+IF(AND(F966=1,F967=0),$Q$4,0))</f>
      </c>
      <c r="K966" s="351"/>
      <c r="L966" s="333">
        <f>K966+J966</f>
      </c>
      <c r="M966" s="170"/>
      <c r="N966" s="7"/>
      <c r="O966" s="1"/>
      <c r="P966" s="331">
        <f>D966</f>
      </c>
      <c r="Q966" s="169"/>
      <c r="R966" s="1"/>
      <c r="S966" s="217">
        <f>(1+$M$5)^(D966/12)*(IF(E966=$C$6,$Q$4+$H$5*12,0))</f>
      </c>
      <c r="T966" s="217">
        <f>(1+$M$5)^(D966/12)*(IF(YEAR(E966)&gt;YEAR($C$6),L966,0)+IF(E966=$C$6,$H$5*12+$Q$4,0))</f>
      </c>
    </row>
    <row x14ac:dyDescent="0.25" r="967" customHeight="1" ht="18.75">
      <c r="A967" s="1"/>
      <c r="B967" s="7"/>
      <c r="C967" s="170"/>
      <c r="D967" s="331">
        <v>960</v>
      </c>
      <c r="E967" s="544">
        <f>+DATE(YEAR(E966),MONTH(E966)-1,DAY(E966))</f>
        <v>25569.041666666668</v>
      </c>
      <c r="F967" s="333">
        <f>IF(DATE(YEAR($B$6),MONTH($B$6)+1,DAY(1))=E967,1,IF(MONTH(E967)=1,F968*(1+$F$5),F968))</f>
      </c>
      <c r="G967" s="333">
        <f>IF('Simulador - 1º Pilar'!$E$99="Sí",IF('Aportaciones Flex'!$B$13&lt;'Aportaciones Flex'!E967,0,F967*$B$8/12),F967*$B$8/12)</f>
      </c>
      <c r="H967" s="333">
        <f>IF(G967&gt;0,1,0)*$H$5*IF(AND($I$5="NO",YEAR(E967)=YEAR($B$6)+1),1,IF($I$5="SI",1,0))</f>
      </c>
      <c r="I967" s="217">
        <f>(1+$M$5)^(D967/12)*(H967*(12-IF(MONTH(E968)=12,0,MONTH(E968)))+IF(AND(F967=1,F968=0),$Q$4,0))*IF(AND(F967=1,F968=0),1,0)</f>
      </c>
      <c r="J967" s="333">
        <f>(1+$M$5)^(D967/12)*(H967+IF(AND(F967=1,F968=0),$Q$4,0))</f>
      </c>
      <c r="K967" s="351"/>
      <c r="L967" s="333">
        <f>K967+J967</f>
      </c>
      <c r="M967" s="170"/>
      <c r="N967" s="7"/>
      <c r="O967" s="1"/>
      <c r="P967" s="331">
        <f>D967</f>
      </c>
      <c r="Q967" s="169"/>
      <c r="R967" s="1"/>
      <c r="S967" s="217">
        <f>(1+$M$5)^(D967/12)*(IF(E967=$C$6,$Q$4+$H$5*12,0))</f>
      </c>
      <c r="T967" s="217">
        <f>(1+$M$5)^(D967/12)*(IF(YEAR(E967)&gt;YEAR($C$6),L967,0)+IF(E967=$C$6,$H$5*12+$Q$4,0))</f>
      </c>
    </row>
    <row x14ac:dyDescent="0.25" r="968" customHeight="1" ht="18.75">
      <c r="A968" s="1"/>
      <c r="B968" s="7"/>
      <c r="C968" s="170"/>
      <c r="D968" s="331">
        <v>961</v>
      </c>
      <c r="E968" s="544">
        <f>+DATE(YEAR(E967),MONTH(E967)-1,DAY(E967))</f>
        <v>25569.041666666668</v>
      </c>
      <c r="F968" s="333">
        <f>IF(DATE(YEAR($B$6),MONTH($B$6)+1,DAY(1))=E968,1,IF(MONTH(E968)=1,F969*(1+$F$5),F969))</f>
      </c>
      <c r="G968" s="333">
        <f>IF('Simulador - 1º Pilar'!$E$99="Sí",IF('Aportaciones Flex'!$B$13&lt;'Aportaciones Flex'!E968,0,F968*$B$8/12),F968*$B$8/12)</f>
      </c>
      <c r="H968" s="333">
        <f>IF(G968&gt;0,1,0)*$H$5*IF(AND($I$5="NO",YEAR(E968)=YEAR($B$6)+1),1,IF($I$5="SI",1,0))</f>
      </c>
      <c r="I968" s="217">
        <f>(1+$M$5)^(D968/12)*(H968*(12-IF(MONTH(E969)=12,0,MONTH(E969)))+IF(AND(F968=1,F969=0),$Q$4,0))*IF(AND(F968=1,F969=0),1,0)</f>
      </c>
      <c r="J968" s="333">
        <f>(1+$M$5)^(D968/12)*(H968+IF(AND(F968=1,F969=0),$Q$4,0))</f>
      </c>
      <c r="K968" s="351"/>
      <c r="L968" s="333">
        <f>K968+J968</f>
      </c>
      <c r="M968" s="170"/>
      <c r="N968" s="7"/>
      <c r="O968" s="1"/>
      <c r="P968" s="331">
        <f>D968</f>
      </c>
      <c r="Q968" s="169"/>
      <c r="R968" s="1"/>
      <c r="S968" s="217">
        <f>(1+$M$5)^(D968/12)*(IF(E968=$C$6,$Q$4+$H$5*12,0))</f>
      </c>
      <c r="T968" s="217">
        <f>(1+$M$5)^(D968/12)*(IF(YEAR(E968)&gt;YEAR($C$6),L968,0)+IF(E968=$C$6,$H$5*12+$Q$4,0))</f>
      </c>
    </row>
    <row x14ac:dyDescent="0.25" r="969" customHeight="1" ht="18.75">
      <c r="A969" s="1"/>
      <c r="B969" s="7"/>
      <c r="C969" s="170"/>
      <c r="D969" s="331">
        <v>962</v>
      </c>
      <c r="E969" s="544">
        <f>+DATE(YEAR(E968),MONTH(E968)-1,DAY(E968))</f>
        <v>25569.041666666668</v>
      </c>
      <c r="F969" s="333">
        <f>IF(DATE(YEAR($B$6),MONTH($B$6)+1,DAY(1))=E969,1,IF(MONTH(E969)=1,F970*(1+$F$5),F970))</f>
      </c>
      <c r="G969" s="333">
        <f>IF('Simulador - 1º Pilar'!$E$99="Sí",IF('Aportaciones Flex'!$B$13&lt;'Aportaciones Flex'!E969,0,F969*$B$8/12),F969*$B$8/12)</f>
      </c>
      <c r="H969" s="333">
        <f>IF(G969&gt;0,1,0)*$H$5*IF(AND($I$5="NO",YEAR(E969)=YEAR($B$6)+1),1,IF($I$5="SI",1,0))</f>
      </c>
      <c r="I969" s="217">
        <f>(1+$M$5)^(D969/12)*(H969*(12-IF(MONTH(E970)=12,0,MONTH(E970)))+IF(AND(F969=1,F970=0),$Q$4,0))*IF(AND(F969=1,F970=0),1,0)</f>
      </c>
      <c r="J969" s="333">
        <f>(1+$M$5)^(D969/12)*(H969+IF(AND(F969=1,F970=0),$Q$4,0))</f>
      </c>
      <c r="K969" s="351"/>
      <c r="L969" s="333">
        <f>K969+J969</f>
      </c>
      <c r="M969" s="170"/>
      <c r="N969" s="7"/>
      <c r="O969" s="1"/>
      <c r="P969" s="331">
        <f>D969</f>
      </c>
      <c r="Q969" s="169"/>
      <c r="R969" s="1"/>
      <c r="S969" s="217">
        <f>(1+$M$5)^(D969/12)*(IF(E969=$C$6,$Q$4+$H$5*12,0))</f>
      </c>
      <c r="T969" s="217">
        <f>(1+$M$5)^(D969/12)*(IF(YEAR(E969)&gt;YEAR($C$6),L969,0)+IF(E969=$C$6,$H$5*12+$Q$4,0))</f>
      </c>
    </row>
    <row x14ac:dyDescent="0.25" r="970" customHeight="1" ht="18.75">
      <c r="A970" s="1"/>
      <c r="B970" s="7"/>
      <c r="C970" s="170"/>
      <c r="D970" s="331">
        <v>963</v>
      </c>
      <c r="E970" s="544">
        <f>+DATE(YEAR(E969),MONTH(E969)-1,DAY(E969))</f>
        <v>25569.041666666668</v>
      </c>
      <c r="F970" s="333">
        <f>IF(DATE(YEAR($B$6),MONTH($B$6)+1,DAY(1))=E970,1,IF(MONTH(E970)=1,F971*(1+$F$5),F971))</f>
      </c>
      <c r="G970" s="333">
        <f>IF('Simulador - 1º Pilar'!$E$99="Sí",IF('Aportaciones Flex'!$B$13&lt;'Aportaciones Flex'!E970,0,F970*$B$8/12),F970*$B$8/12)</f>
      </c>
      <c r="H970" s="333">
        <f>IF(G970&gt;0,1,0)*$H$5*IF(AND($I$5="NO",YEAR(E970)=YEAR($B$6)+1),1,IF($I$5="SI",1,0))</f>
      </c>
      <c r="I970" s="217">
        <f>(1+$M$5)^(D970/12)*(H970*(12-IF(MONTH(E971)=12,0,MONTH(E971)))+IF(AND(F970=1,F971=0),$Q$4,0))*IF(AND(F970=1,F971=0),1,0)</f>
      </c>
      <c r="J970" s="333">
        <f>(1+$M$5)^(D970/12)*(H970+IF(AND(F970=1,F971=0),$Q$4,0))</f>
      </c>
      <c r="K970" s="351"/>
      <c r="L970" s="333">
        <f>K970+J970</f>
      </c>
      <c r="M970" s="170"/>
      <c r="N970" s="7"/>
      <c r="O970" s="1"/>
      <c r="P970" s="331">
        <f>D970</f>
      </c>
      <c r="Q970" s="169"/>
      <c r="R970" s="1"/>
      <c r="S970" s="217">
        <f>(1+$M$5)^(D970/12)*(IF(E970=$C$6,$Q$4+$H$5*12,0))</f>
      </c>
      <c r="T970" s="217">
        <f>(1+$M$5)^(D970/12)*(IF(YEAR(E970)&gt;YEAR($C$6),L970,0)+IF(E970=$C$6,$H$5*12+$Q$4,0))</f>
      </c>
    </row>
    <row x14ac:dyDescent="0.25" r="971" customHeight="1" ht="18.75">
      <c r="A971" s="1"/>
      <c r="B971" s="7"/>
      <c r="C971" s="170"/>
      <c r="D971" s="331">
        <v>964</v>
      </c>
      <c r="E971" s="544">
        <f>+DATE(YEAR(E970),MONTH(E970)-1,DAY(E970))</f>
        <v>25569.041666666668</v>
      </c>
      <c r="F971" s="333">
        <f>IF(DATE(YEAR($B$6),MONTH($B$6)+1,DAY(1))=E971,1,IF(MONTH(E971)=1,F972*(1+$F$5),F972))</f>
      </c>
      <c r="G971" s="333">
        <f>IF('Simulador - 1º Pilar'!$E$99="Sí",IF('Aportaciones Flex'!$B$13&lt;'Aportaciones Flex'!E971,0,F971*$B$8/12),F971*$B$8/12)</f>
      </c>
      <c r="H971" s="333">
        <f>IF(G971&gt;0,1,0)*$H$5*IF(AND($I$5="NO",YEAR(E971)=YEAR($B$6)+1),1,IF($I$5="SI",1,0))</f>
      </c>
      <c r="I971" s="217">
        <f>(1+$M$5)^(D971/12)*(H971*(12-IF(MONTH(E972)=12,0,MONTH(E972)))+IF(AND(F971=1,F972=0),$Q$4,0))*IF(AND(F971=1,F972=0),1,0)</f>
      </c>
      <c r="J971" s="333">
        <f>(1+$M$5)^(D971/12)*(H971+IF(AND(F971=1,F972=0),$Q$4,0))</f>
      </c>
      <c r="K971" s="351"/>
      <c r="L971" s="333">
        <f>K971+J971</f>
      </c>
      <c r="M971" s="170"/>
      <c r="N971" s="7"/>
      <c r="O971" s="1"/>
      <c r="P971" s="331">
        <f>D971</f>
      </c>
      <c r="Q971" s="169"/>
      <c r="R971" s="1"/>
      <c r="S971" s="217">
        <f>(1+$M$5)^(D971/12)*(IF(E971=$C$6,$Q$4+$H$5*12,0))</f>
      </c>
      <c r="T971" s="217">
        <f>(1+$M$5)^(D971/12)*(IF(YEAR(E971)&gt;YEAR($C$6),L971,0)+IF(E971=$C$6,$H$5*12+$Q$4,0))</f>
      </c>
    </row>
    <row x14ac:dyDescent="0.25" r="972" customHeight="1" ht="18.75">
      <c r="A972" s="1"/>
      <c r="B972" s="7"/>
      <c r="C972" s="170"/>
      <c r="D972" s="331">
        <v>965</v>
      </c>
      <c r="E972" s="544">
        <f>+DATE(YEAR(E971),MONTH(E971)-1,DAY(E971))</f>
        <v>25569.041666666668</v>
      </c>
      <c r="F972" s="333">
        <f>IF(DATE(YEAR($B$6),MONTH($B$6)+1,DAY(1))=E972,1,IF(MONTH(E972)=1,F973*(1+$F$5),F973))</f>
      </c>
      <c r="G972" s="333">
        <f>IF('Simulador - 1º Pilar'!$E$99="Sí",IF('Aportaciones Flex'!$B$13&lt;'Aportaciones Flex'!E972,0,F972*$B$8/12),F972*$B$8/12)</f>
      </c>
      <c r="H972" s="333">
        <f>IF(G972&gt;0,1,0)*$H$5*IF(AND($I$5="NO",YEAR(E972)=YEAR($B$6)+1),1,IF($I$5="SI",1,0))</f>
      </c>
      <c r="I972" s="217">
        <f>(1+$M$5)^(D972/12)*(H972*(12-IF(MONTH(E973)=12,0,MONTH(E973)))+IF(AND(F972=1,F973=0),$Q$4,0))*IF(AND(F972=1,F973=0),1,0)</f>
      </c>
      <c r="J972" s="333">
        <f>(1+$M$5)^(D972/12)*(H972+IF(AND(F972=1,F973=0),$Q$4,0))</f>
      </c>
      <c r="K972" s="351"/>
      <c r="L972" s="333">
        <f>K972+J972</f>
      </c>
      <c r="M972" s="170"/>
      <c r="N972" s="7"/>
      <c r="O972" s="1"/>
      <c r="P972" s="331">
        <f>D972</f>
      </c>
      <c r="Q972" s="169"/>
      <c r="R972" s="1"/>
      <c r="S972" s="217">
        <f>(1+$M$5)^(D972/12)*(IF(E972=$C$6,$Q$4+$H$5*12,0))</f>
      </c>
      <c r="T972" s="217">
        <f>(1+$M$5)^(D972/12)*(IF(YEAR(E972)&gt;YEAR($C$6),L972,0)+IF(E972=$C$6,$H$5*12+$Q$4,0))</f>
      </c>
    </row>
    <row x14ac:dyDescent="0.25" r="973" customHeight="1" ht="18.75">
      <c r="A973" s="1"/>
      <c r="B973" s="7"/>
      <c r="C973" s="170"/>
      <c r="D973" s="331">
        <v>966</v>
      </c>
      <c r="E973" s="544">
        <f>+DATE(YEAR(E972),MONTH(E972)-1,DAY(E972))</f>
        <v>25569.041666666668</v>
      </c>
      <c r="F973" s="333">
        <f>IF(DATE(YEAR($B$6),MONTH($B$6)+1,DAY(1))=E973,1,IF(MONTH(E973)=1,F974*(1+$F$5),F974))</f>
      </c>
      <c r="G973" s="333">
        <f>IF('Simulador - 1º Pilar'!$E$99="Sí",IF('Aportaciones Flex'!$B$13&lt;'Aportaciones Flex'!E973,0,F973*$B$8/12),F973*$B$8/12)</f>
      </c>
      <c r="H973" s="333">
        <f>IF(G973&gt;0,1,0)*$H$5*IF(AND($I$5="NO",YEAR(E973)=YEAR($B$6)+1),1,IF($I$5="SI",1,0))</f>
      </c>
      <c r="I973" s="217">
        <f>(1+$M$5)^(D973/12)*(H973*(12-IF(MONTH(E974)=12,0,MONTH(E974)))+IF(AND(F973=1,F974=0),$Q$4,0))*IF(AND(F973=1,F974=0),1,0)</f>
      </c>
      <c r="J973" s="333">
        <f>(1+$M$5)^(D973/12)*(H973+IF(AND(F973=1,F974=0),$Q$4,0))</f>
      </c>
      <c r="K973" s="351"/>
      <c r="L973" s="333">
        <f>K973+J973</f>
      </c>
      <c r="M973" s="170"/>
      <c r="N973" s="7"/>
      <c r="O973" s="1"/>
      <c r="P973" s="331">
        <f>D973</f>
      </c>
      <c r="Q973" s="169"/>
      <c r="R973" s="1"/>
      <c r="S973" s="217">
        <f>(1+$M$5)^(D973/12)*(IF(E973=$C$6,$Q$4+$H$5*12,0))</f>
      </c>
      <c r="T973" s="217">
        <f>(1+$M$5)^(D973/12)*(IF(YEAR(E973)&gt;YEAR($C$6),L973,0)+IF(E973=$C$6,$H$5*12+$Q$4,0))</f>
      </c>
    </row>
    <row x14ac:dyDescent="0.25" r="974" customHeight="1" ht="18.75">
      <c r="A974" s="1"/>
      <c r="B974" s="7"/>
      <c r="C974" s="170"/>
      <c r="D974" s="331">
        <v>967</v>
      </c>
      <c r="E974" s="544">
        <f>+DATE(YEAR(E973),MONTH(E973)-1,DAY(E973))</f>
        <v>25569.041666666668</v>
      </c>
      <c r="F974" s="333">
        <f>IF(DATE(YEAR($B$6),MONTH($B$6)+1,DAY(1))=E974,1,IF(MONTH(E974)=1,F975*(1+$F$5),F975))</f>
      </c>
      <c r="G974" s="333">
        <f>IF('Simulador - 1º Pilar'!$E$99="Sí",IF('Aportaciones Flex'!$B$13&lt;'Aportaciones Flex'!E974,0,F974*$B$8/12),F974*$B$8/12)</f>
      </c>
      <c r="H974" s="333">
        <f>IF(G974&gt;0,1,0)*$H$5*IF(AND($I$5="NO",YEAR(E974)=YEAR($B$6)+1),1,IF($I$5="SI",1,0))</f>
      </c>
      <c r="I974" s="217">
        <f>(1+$M$5)^(D974/12)*(H974*(12-IF(MONTH(E975)=12,0,MONTH(E975)))+IF(AND(F974=1,F975=0),$Q$4,0))*IF(AND(F974=1,F975=0),1,0)</f>
      </c>
      <c r="J974" s="333">
        <f>(1+$M$5)^(D974/12)*(H974+IF(AND(F974=1,F975=0),$Q$4,0))</f>
      </c>
      <c r="K974" s="351"/>
      <c r="L974" s="333">
        <f>K974+J974</f>
      </c>
      <c r="M974" s="170"/>
      <c r="N974" s="7"/>
      <c r="O974" s="1"/>
      <c r="P974" s="331">
        <f>D974</f>
      </c>
      <c r="Q974" s="169"/>
      <c r="R974" s="1"/>
      <c r="S974" s="217">
        <f>(1+$M$5)^(D974/12)*(IF(E974=$C$6,$Q$4+$H$5*12,0))</f>
      </c>
      <c r="T974" s="217">
        <f>(1+$M$5)^(D974/12)*(IF(YEAR(E974)&gt;YEAR($C$6),L974,0)+IF(E974=$C$6,$H$5*12+$Q$4,0))</f>
      </c>
    </row>
    <row x14ac:dyDescent="0.25" r="975" customHeight="1" ht="18.75">
      <c r="A975" s="1"/>
      <c r="B975" s="7"/>
      <c r="C975" s="170"/>
      <c r="D975" s="331">
        <v>968</v>
      </c>
      <c r="E975" s="544">
        <f>+DATE(YEAR(E974),MONTH(E974)-1,DAY(E974))</f>
        <v>25569.041666666668</v>
      </c>
      <c r="F975" s="333">
        <f>IF(DATE(YEAR($B$6),MONTH($B$6)+1,DAY(1))=E975,1,IF(MONTH(E975)=1,F976*(1+$F$5),F976))</f>
      </c>
      <c r="G975" s="333">
        <f>IF('Simulador - 1º Pilar'!$E$99="Sí",IF('Aportaciones Flex'!$B$13&lt;'Aportaciones Flex'!E975,0,F975*$B$8/12),F975*$B$8/12)</f>
      </c>
      <c r="H975" s="333">
        <f>IF(G975&gt;0,1,0)*$H$5*IF(AND($I$5="NO",YEAR(E975)=YEAR($B$6)+1),1,IF($I$5="SI",1,0))</f>
      </c>
      <c r="I975" s="217">
        <f>(1+$M$5)^(D975/12)*(H975*(12-IF(MONTH(E976)=12,0,MONTH(E976)))+IF(AND(F975=1,F976=0),$Q$4,0))*IF(AND(F975=1,F976=0),1,0)</f>
      </c>
      <c r="J975" s="333">
        <f>(1+$M$5)^(D975/12)*(H975+IF(AND(F975=1,F976=0),$Q$4,0))</f>
      </c>
      <c r="K975" s="351"/>
      <c r="L975" s="333">
        <f>K975+J975</f>
      </c>
      <c r="M975" s="170"/>
      <c r="N975" s="7"/>
      <c r="O975" s="1"/>
      <c r="P975" s="331">
        <f>D975</f>
      </c>
      <c r="Q975" s="169"/>
      <c r="R975" s="1"/>
      <c r="S975" s="217">
        <f>(1+$M$5)^(D975/12)*(IF(E975=$C$6,$Q$4+$H$5*12,0))</f>
      </c>
      <c r="T975" s="217">
        <f>(1+$M$5)^(D975/12)*(IF(YEAR(E975)&gt;YEAR($C$6),L975,0)+IF(E975=$C$6,$H$5*12+$Q$4,0))</f>
      </c>
    </row>
    <row x14ac:dyDescent="0.25" r="976" customHeight="1" ht="18.75">
      <c r="A976" s="1"/>
      <c r="B976" s="7"/>
      <c r="C976" s="170"/>
      <c r="D976" s="331">
        <v>969</v>
      </c>
      <c r="E976" s="544">
        <f>+DATE(YEAR(E975),MONTH(E975)-1,DAY(E975))</f>
        <v>25569.041666666668</v>
      </c>
      <c r="F976" s="333">
        <f>IF(DATE(YEAR($B$6),MONTH($B$6)+1,DAY(1))=E976,1,IF(MONTH(E976)=1,F977*(1+$F$5),F977))</f>
      </c>
      <c r="G976" s="333">
        <f>IF('Simulador - 1º Pilar'!$E$99="Sí",IF('Aportaciones Flex'!$B$13&lt;'Aportaciones Flex'!E976,0,F976*$B$8/12),F976*$B$8/12)</f>
      </c>
      <c r="H976" s="333">
        <f>IF(G976&gt;0,1,0)*$H$5*IF(AND($I$5="NO",YEAR(E976)=YEAR($B$6)+1),1,IF($I$5="SI",1,0))</f>
      </c>
      <c r="I976" s="217">
        <f>(1+$M$5)^(D976/12)*(H976*(12-IF(MONTH(E977)=12,0,MONTH(E977)))+IF(AND(F976=1,F977=0),$Q$4,0))*IF(AND(F976=1,F977=0),1,0)</f>
      </c>
      <c r="J976" s="333">
        <f>(1+$M$5)^(D976/12)*(H976+IF(AND(F976=1,F977=0),$Q$4,0))</f>
      </c>
      <c r="K976" s="351"/>
      <c r="L976" s="333">
        <f>K976+J976</f>
      </c>
      <c r="M976" s="170"/>
      <c r="N976" s="7"/>
      <c r="O976" s="1"/>
      <c r="P976" s="331">
        <f>D976</f>
      </c>
      <c r="Q976" s="169"/>
      <c r="R976" s="1"/>
      <c r="S976" s="217">
        <f>(1+$M$5)^(D976/12)*(IF(E976=$C$6,$Q$4+$H$5*12,0))</f>
      </c>
      <c r="T976" s="217">
        <f>(1+$M$5)^(D976/12)*(IF(YEAR(E976)&gt;YEAR($C$6),L976,0)+IF(E976=$C$6,$H$5*12+$Q$4,0))</f>
      </c>
    </row>
    <row x14ac:dyDescent="0.25" r="977" customHeight="1" ht="18.75">
      <c r="A977" s="1"/>
      <c r="B977" s="7"/>
      <c r="C977" s="170"/>
      <c r="D977" s="331">
        <v>970</v>
      </c>
      <c r="E977" s="544">
        <f>+DATE(YEAR(E976),MONTH(E976)-1,DAY(E976))</f>
        <v>25569.041666666668</v>
      </c>
      <c r="F977" s="333">
        <f>IF(DATE(YEAR($B$6),MONTH($B$6)+1,DAY(1))=E977,1,IF(MONTH(E977)=1,F978*(1+$F$5),F978))</f>
      </c>
      <c r="G977" s="333">
        <f>IF('Simulador - 1º Pilar'!$E$99="Sí",IF('Aportaciones Flex'!$B$13&lt;'Aportaciones Flex'!E977,0,F977*$B$8/12),F977*$B$8/12)</f>
      </c>
      <c r="H977" s="333">
        <f>IF(G977&gt;0,1,0)*$H$5*IF(AND($I$5="NO",YEAR(E977)=YEAR($B$6)+1),1,IF($I$5="SI",1,0))</f>
      </c>
      <c r="I977" s="217">
        <f>(1+$M$5)^(D977/12)*(H977*(12-IF(MONTH(E978)=12,0,MONTH(E978)))+IF(AND(F977=1,F978=0),$Q$4,0))*IF(AND(F977=1,F978=0),1,0)</f>
      </c>
      <c r="J977" s="333">
        <f>(1+$M$5)^(D977/12)*(H977+IF(AND(F977=1,F978=0),$Q$4,0))</f>
      </c>
      <c r="K977" s="351"/>
      <c r="L977" s="333">
        <f>K977+J977</f>
      </c>
      <c r="M977" s="170"/>
      <c r="N977" s="7"/>
      <c r="O977" s="1"/>
      <c r="P977" s="331">
        <f>D977</f>
      </c>
      <c r="Q977" s="169"/>
      <c r="R977" s="1"/>
      <c r="S977" s="217">
        <f>(1+$M$5)^(D977/12)*(IF(E977=$C$6,$Q$4+$H$5*12,0))</f>
      </c>
      <c r="T977" s="217">
        <f>(1+$M$5)^(D977/12)*(IF(YEAR(E977)&gt;YEAR($C$6),L977,0)+IF(E977=$C$6,$H$5*12+$Q$4,0))</f>
      </c>
    </row>
    <row x14ac:dyDescent="0.25" r="978" customHeight="1" ht="18.75">
      <c r="A978" s="1"/>
      <c r="B978" s="7"/>
      <c r="C978" s="170"/>
      <c r="D978" s="331">
        <v>971</v>
      </c>
      <c r="E978" s="544">
        <f>+DATE(YEAR(E977),MONTH(E977)-1,DAY(E977))</f>
        <v>25569.041666666668</v>
      </c>
      <c r="F978" s="333">
        <f>IF(DATE(YEAR($B$6),MONTH($B$6)+1,DAY(1))=E978,1,IF(MONTH(E978)=1,F979*(1+$F$5),F979))</f>
      </c>
      <c r="G978" s="333">
        <f>IF('Simulador - 1º Pilar'!$E$99="Sí",IF('Aportaciones Flex'!$B$13&lt;'Aportaciones Flex'!E978,0,F978*$B$8/12),F978*$B$8/12)</f>
      </c>
      <c r="H978" s="333">
        <f>IF(G978&gt;0,1,0)*$H$5*IF(AND($I$5="NO",YEAR(E978)=YEAR($B$6)+1),1,IF($I$5="SI",1,0))</f>
      </c>
      <c r="I978" s="217">
        <f>(1+$M$5)^(D978/12)*(H978*(12-IF(MONTH(E979)=12,0,MONTH(E979)))+IF(AND(F978=1,F979=0),$Q$4,0))*IF(AND(F978=1,F979=0),1,0)</f>
      </c>
      <c r="J978" s="333">
        <f>(1+$M$5)^(D978/12)*(H978+IF(AND(F978=1,F979=0),$Q$4,0))</f>
      </c>
      <c r="K978" s="351"/>
      <c r="L978" s="333">
        <f>K978+J978</f>
      </c>
      <c r="M978" s="170"/>
      <c r="N978" s="7"/>
      <c r="O978" s="1"/>
      <c r="P978" s="331">
        <f>D978</f>
      </c>
      <c r="Q978" s="169"/>
      <c r="R978" s="1"/>
      <c r="S978" s="217">
        <f>(1+$M$5)^(D978/12)*(IF(E978=$C$6,$Q$4+$H$5*12,0))</f>
      </c>
      <c r="T978" s="217">
        <f>(1+$M$5)^(D978/12)*(IF(YEAR(E978)&gt;YEAR($C$6),L978,0)+IF(E978=$C$6,$H$5*12+$Q$4,0))</f>
      </c>
    </row>
    <row x14ac:dyDescent="0.25" r="979" customHeight="1" ht="18.75">
      <c r="A979" s="1"/>
      <c r="B979" s="7"/>
      <c r="C979" s="170"/>
      <c r="D979" s="331">
        <v>972</v>
      </c>
      <c r="E979" s="544">
        <f>+DATE(YEAR(E978),MONTH(E978)-1,DAY(E978))</f>
        <v>25569.041666666668</v>
      </c>
      <c r="F979" s="333">
        <f>IF(DATE(YEAR($B$6),MONTH($B$6)+1,DAY(1))=E979,1,IF(MONTH(E979)=1,F980*(1+$F$5),F980))</f>
      </c>
      <c r="G979" s="333">
        <f>IF('Simulador - 1º Pilar'!$E$99="Sí",IF('Aportaciones Flex'!$B$13&lt;'Aportaciones Flex'!E979,0,F979*$B$8/12),F979*$B$8/12)</f>
      </c>
      <c r="H979" s="333">
        <f>IF(G979&gt;0,1,0)*$H$5*IF(AND($I$5="NO",YEAR(E979)=YEAR($B$6)+1),1,IF($I$5="SI",1,0))</f>
      </c>
      <c r="I979" s="217">
        <f>(1+$M$5)^(D979/12)*(H979*(12-IF(MONTH(E980)=12,0,MONTH(E980)))+IF(AND(F979=1,F980=0),$Q$4,0))*IF(AND(F979=1,F980=0),1,0)</f>
      </c>
      <c r="J979" s="333">
        <f>(1+$M$5)^(D979/12)*(H979+IF(AND(F979=1,F980=0),$Q$4,0))</f>
      </c>
      <c r="K979" s="351"/>
      <c r="L979" s="333">
        <f>K979+J979</f>
      </c>
      <c r="M979" s="170"/>
      <c r="N979" s="7"/>
      <c r="O979" s="1"/>
      <c r="P979" s="331">
        <f>D979</f>
      </c>
      <c r="Q979" s="169"/>
      <c r="R979" s="1"/>
      <c r="S979" s="217">
        <f>(1+$M$5)^(D979/12)*(IF(E979=$C$6,$Q$4+$H$5*12,0))</f>
      </c>
      <c r="T979" s="217">
        <f>(1+$M$5)^(D979/12)*(IF(YEAR(E979)&gt;YEAR($C$6),L979,0)+IF(E979=$C$6,$H$5*12+$Q$4,0))</f>
      </c>
    </row>
    <row x14ac:dyDescent="0.25" r="980" customHeight="1" ht="18.75">
      <c r="A980" s="1"/>
      <c r="B980" s="7"/>
      <c r="C980" s="170"/>
      <c r="D980" s="331">
        <v>973</v>
      </c>
      <c r="E980" s="544">
        <f>+DATE(YEAR(E979),MONTH(E979)-1,DAY(E979))</f>
        <v>25569.041666666668</v>
      </c>
      <c r="F980" s="333">
        <f>IF(DATE(YEAR($B$6),MONTH($B$6)+1,DAY(1))=E980,1,IF(MONTH(E980)=1,F981*(1+$F$5),F981))</f>
      </c>
      <c r="G980" s="333">
        <f>IF('Simulador - 1º Pilar'!$E$99="Sí",IF('Aportaciones Flex'!$B$13&lt;'Aportaciones Flex'!E980,0,F980*$B$8/12),F980*$B$8/12)</f>
      </c>
      <c r="H980" s="333">
        <f>IF(G980&gt;0,1,0)*$H$5*IF(AND($I$5="NO",YEAR(E980)=YEAR($B$6)+1),1,IF($I$5="SI",1,0))</f>
      </c>
      <c r="I980" s="217">
        <f>(1+$M$5)^(D980/12)*(H980*(12-IF(MONTH(E981)=12,0,MONTH(E981)))+IF(AND(F980=1,F981=0),$Q$4,0))*IF(AND(F980=1,F981=0),1,0)</f>
      </c>
      <c r="J980" s="333">
        <f>(1+$M$5)^(D980/12)*(H980+IF(AND(F980=1,F981=0),$Q$4,0))</f>
      </c>
      <c r="K980" s="351"/>
      <c r="L980" s="333">
        <f>K980+J980</f>
      </c>
      <c r="M980" s="170"/>
      <c r="N980" s="7"/>
      <c r="O980" s="1"/>
      <c r="P980" s="331">
        <f>D980</f>
      </c>
      <c r="Q980" s="169"/>
      <c r="R980" s="1"/>
      <c r="S980" s="217">
        <f>(1+$M$5)^(D980/12)*(IF(E980=$C$6,$Q$4+$H$5*12,0))</f>
      </c>
      <c r="T980" s="217">
        <f>(1+$M$5)^(D980/12)*(IF(YEAR(E980)&gt;YEAR($C$6),L980,0)+IF(E980=$C$6,$H$5*12+$Q$4,0))</f>
      </c>
    </row>
    <row x14ac:dyDescent="0.25" r="981" customHeight="1" ht="18.75">
      <c r="A981" s="1"/>
      <c r="B981" s="7"/>
      <c r="C981" s="170"/>
      <c r="D981" s="331">
        <v>974</v>
      </c>
      <c r="E981" s="544">
        <f>+DATE(YEAR(E980),MONTH(E980)-1,DAY(E980))</f>
        <v>25569.041666666668</v>
      </c>
      <c r="F981" s="333">
        <f>IF(DATE(YEAR($B$6),MONTH($B$6)+1,DAY(1))=E981,1,IF(MONTH(E981)=1,F982*(1+$F$5),F982))</f>
      </c>
      <c r="G981" s="333">
        <f>IF('Simulador - 1º Pilar'!$E$99="Sí",IF('Aportaciones Flex'!$B$13&lt;'Aportaciones Flex'!E981,0,F981*$B$8/12),F981*$B$8/12)</f>
      </c>
      <c r="H981" s="333">
        <f>IF(G981&gt;0,1,0)*$H$5*IF(AND($I$5="NO",YEAR(E981)=YEAR($B$6)+1),1,IF($I$5="SI",1,0))</f>
      </c>
      <c r="I981" s="217">
        <f>(1+$M$5)^(D981/12)*(H981*(12-IF(MONTH(E982)=12,0,MONTH(E982)))+IF(AND(F981=1,F982=0),$Q$4,0))*IF(AND(F981=1,F982=0),1,0)</f>
      </c>
      <c r="J981" s="333">
        <f>(1+$M$5)^(D981/12)*(H981+IF(AND(F981=1,F982=0),$Q$4,0))</f>
      </c>
      <c r="K981" s="351"/>
      <c r="L981" s="333">
        <f>K981+J981</f>
      </c>
      <c r="M981" s="170"/>
      <c r="N981" s="7"/>
      <c r="O981" s="1"/>
      <c r="P981" s="331">
        <f>D981</f>
      </c>
      <c r="Q981" s="169"/>
      <c r="R981" s="1"/>
      <c r="S981" s="217">
        <f>(1+$M$5)^(D981/12)*(IF(E981=$C$6,$Q$4+$H$5*12,0))</f>
      </c>
      <c r="T981" s="217">
        <f>(1+$M$5)^(D981/12)*(IF(YEAR(E981)&gt;YEAR($C$6),L981,0)+IF(E981=$C$6,$H$5*12+$Q$4,0))</f>
      </c>
    </row>
    <row x14ac:dyDescent="0.25" r="982" customHeight="1" ht="18.75">
      <c r="A982" s="1"/>
      <c r="B982" s="7"/>
      <c r="C982" s="170"/>
      <c r="D982" s="331">
        <v>975</v>
      </c>
      <c r="E982" s="544">
        <f>+DATE(YEAR(E981),MONTH(E981)-1,DAY(E981))</f>
        <v>25569.041666666668</v>
      </c>
      <c r="F982" s="333">
        <f>IF(DATE(YEAR($B$6),MONTH($B$6)+1,DAY(1))=E982,1,IF(MONTH(E982)=1,F983*(1+$F$5),F983))</f>
      </c>
      <c r="G982" s="333">
        <f>IF('Simulador - 1º Pilar'!$E$99="Sí",IF('Aportaciones Flex'!$B$13&lt;'Aportaciones Flex'!E982,0,F982*$B$8/12),F982*$B$8/12)</f>
      </c>
      <c r="H982" s="333">
        <f>IF(G982&gt;0,1,0)*$H$5*IF(AND($I$5="NO",YEAR(E982)=YEAR($B$6)+1),1,IF($I$5="SI",1,0))</f>
      </c>
      <c r="I982" s="217">
        <f>(1+$M$5)^(D982/12)*(H982*(12-IF(MONTH(E983)=12,0,MONTH(E983)))+IF(AND(F982=1,F983=0),$Q$4,0))*IF(AND(F982=1,F983=0),1,0)</f>
      </c>
      <c r="J982" s="333">
        <f>(1+$M$5)^(D982/12)*(H982+IF(AND(F982=1,F983=0),$Q$4,0))</f>
      </c>
      <c r="K982" s="351"/>
      <c r="L982" s="333">
        <f>K982+J982</f>
      </c>
      <c r="M982" s="170"/>
      <c r="N982" s="7"/>
      <c r="O982" s="1"/>
      <c r="P982" s="331">
        <f>D982</f>
      </c>
      <c r="Q982" s="169"/>
      <c r="R982" s="1"/>
      <c r="S982" s="217">
        <f>(1+$M$5)^(D982/12)*(IF(E982=$C$6,$Q$4+$H$5*12,0))</f>
      </c>
      <c r="T982" s="217">
        <f>(1+$M$5)^(D982/12)*(IF(YEAR(E982)&gt;YEAR($C$6),L982,0)+IF(E982=$C$6,$H$5*12+$Q$4,0))</f>
      </c>
    </row>
    <row x14ac:dyDescent="0.25" r="983" customHeight="1" ht="18.75">
      <c r="A983" s="1"/>
      <c r="B983" s="7"/>
      <c r="C983" s="170"/>
      <c r="D983" s="331">
        <v>976</v>
      </c>
      <c r="E983" s="544">
        <f>+DATE(YEAR(E982),MONTH(E982)-1,DAY(E982))</f>
        <v>25569.041666666668</v>
      </c>
      <c r="F983" s="333">
        <f>IF(DATE(YEAR($B$6),MONTH($B$6)+1,DAY(1))=E983,1,IF(MONTH(E983)=1,F984*(1+$F$5),F984))</f>
      </c>
      <c r="G983" s="333">
        <f>IF('Simulador - 1º Pilar'!$E$99="Sí",IF('Aportaciones Flex'!$B$13&lt;'Aportaciones Flex'!E983,0,F983*$B$8/12),F983*$B$8/12)</f>
      </c>
      <c r="H983" s="333">
        <f>IF(G983&gt;0,1,0)*$H$5*IF(AND($I$5="NO",YEAR(E983)=YEAR($B$6)+1),1,IF($I$5="SI",1,0))</f>
      </c>
      <c r="I983" s="217">
        <f>(1+$M$5)^(D983/12)*(H983*(12-IF(MONTH(E984)=12,0,MONTH(E984)))+IF(AND(F983=1,F984=0),$Q$4,0))*IF(AND(F983=1,F984=0),1,0)</f>
      </c>
      <c r="J983" s="333">
        <f>(1+$M$5)^(D983/12)*(H983+IF(AND(F983=1,F984=0),$Q$4,0))</f>
      </c>
      <c r="K983" s="351"/>
      <c r="L983" s="333">
        <f>K983+J983</f>
      </c>
      <c r="M983" s="170"/>
      <c r="N983" s="7"/>
      <c r="O983" s="1"/>
      <c r="P983" s="331">
        <f>D983</f>
      </c>
      <c r="Q983" s="169"/>
      <c r="R983" s="1"/>
      <c r="S983" s="217">
        <f>(1+$M$5)^(D983/12)*(IF(E983=$C$6,$Q$4+$H$5*12,0))</f>
      </c>
      <c r="T983" s="217">
        <f>(1+$M$5)^(D983/12)*(IF(YEAR(E983)&gt;YEAR($C$6),L983,0)+IF(E983=$C$6,$H$5*12+$Q$4,0))</f>
      </c>
    </row>
    <row x14ac:dyDescent="0.25" r="984" customHeight="1" ht="18.75">
      <c r="A984" s="1"/>
      <c r="B984" s="7"/>
      <c r="C984" s="170"/>
      <c r="D984" s="331">
        <v>977</v>
      </c>
      <c r="E984" s="544">
        <f>+DATE(YEAR(E983),MONTH(E983)-1,DAY(E983))</f>
        <v>25569.041666666668</v>
      </c>
      <c r="F984" s="333">
        <f>IF(DATE(YEAR($B$6),MONTH($B$6)+1,DAY(1))=E984,1,IF(MONTH(E984)=1,F985*(1+$F$5),F985))</f>
      </c>
      <c r="G984" s="333">
        <f>IF('Simulador - 1º Pilar'!$E$99="Sí",IF('Aportaciones Flex'!$B$13&lt;'Aportaciones Flex'!E984,0,F984*$B$8/12),F984*$B$8/12)</f>
      </c>
      <c r="H984" s="333">
        <f>IF(G984&gt;0,1,0)*$H$5*IF(AND($I$5="NO",YEAR(E984)=YEAR($B$6)+1),1,IF($I$5="SI",1,0))</f>
      </c>
      <c r="I984" s="217">
        <f>(1+$M$5)^(D984/12)*(H984*(12-IF(MONTH(E985)=12,0,MONTH(E985)))+IF(AND(F984=1,F985=0),$Q$4,0))*IF(AND(F984=1,F985=0),1,0)</f>
      </c>
      <c r="J984" s="333">
        <f>(1+$M$5)^(D984/12)*(H984+IF(AND(F984=1,F985=0),$Q$4,0))</f>
      </c>
      <c r="K984" s="351"/>
      <c r="L984" s="333">
        <f>K984+J984</f>
      </c>
      <c r="M984" s="170"/>
      <c r="N984" s="7"/>
      <c r="O984" s="1"/>
      <c r="P984" s="331">
        <f>D984</f>
      </c>
      <c r="Q984" s="169"/>
      <c r="R984" s="1"/>
      <c r="S984" s="217">
        <f>(1+$M$5)^(D984/12)*(IF(E984=$C$6,$Q$4+$H$5*12,0))</f>
      </c>
      <c r="T984" s="217">
        <f>(1+$M$5)^(D984/12)*(IF(YEAR(E984)&gt;YEAR($C$6),L984,0)+IF(E984=$C$6,$H$5*12+$Q$4,0))</f>
      </c>
    </row>
    <row x14ac:dyDescent="0.25" r="985" customHeight="1" ht="18.75">
      <c r="A985" s="1"/>
      <c r="B985" s="7"/>
      <c r="C985" s="170"/>
      <c r="D985" s="331">
        <v>978</v>
      </c>
      <c r="E985" s="544">
        <f>+DATE(YEAR(E984),MONTH(E984)-1,DAY(E984))</f>
        <v>25569.041666666668</v>
      </c>
      <c r="F985" s="333">
        <f>IF(DATE(YEAR($B$6),MONTH($B$6)+1,DAY(1))=E985,1,IF(MONTH(E985)=1,F986*(1+$F$5),F986))</f>
      </c>
      <c r="G985" s="333">
        <f>IF('Simulador - 1º Pilar'!$E$99="Sí",IF('Aportaciones Flex'!$B$13&lt;'Aportaciones Flex'!E985,0,F985*$B$8/12),F985*$B$8/12)</f>
      </c>
      <c r="H985" s="333">
        <f>IF(G985&gt;0,1,0)*$H$5*IF(AND($I$5="NO",YEAR(E985)=YEAR($B$6)+1),1,IF($I$5="SI",1,0))</f>
      </c>
      <c r="I985" s="217">
        <f>(1+$M$5)^(D985/12)*(H985*(12-IF(MONTH(E986)=12,0,MONTH(E986)))+IF(AND(F985=1,F986=0),$Q$4,0))*IF(AND(F985=1,F986=0),1,0)</f>
      </c>
      <c r="J985" s="333">
        <f>(1+$M$5)^(D985/12)*(H985+IF(AND(F985=1,F986=0),$Q$4,0))</f>
      </c>
      <c r="K985" s="351"/>
      <c r="L985" s="333">
        <f>K985+J985</f>
      </c>
      <c r="M985" s="170"/>
      <c r="N985" s="7"/>
      <c r="O985" s="1"/>
      <c r="P985" s="331">
        <f>D985</f>
      </c>
      <c r="Q985" s="169"/>
      <c r="R985" s="1"/>
      <c r="S985" s="217">
        <f>(1+$M$5)^(D985/12)*(IF(E985=$C$6,$Q$4+$H$5*12,0))</f>
      </c>
      <c r="T985" s="217">
        <f>(1+$M$5)^(D985/12)*(IF(YEAR(E985)&gt;YEAR($C$6),L985,0)+IF(E985=$C$6,$H$5*12+$Q$4,0))</f>
      </c>
    </row>
    <row x14ac:dyDescent="0.25" r="986" customHeight="1" ht="18.75">
      <c r="A986" s="1"/>
      <c r="B986" s="7"/>
      <c r="C986" s="170"/>
      <c r="D986" s="331">
        <v>979</v>
      </c>
      <c r="E986" s="544">
        <f>+DATE(YEAR(E985),MONTH(E985)-1,DAY(E985))</f>
        <v>25569.041666666668</v>
      </c>
      <c r="F986" s="333">
        <f>IF(DATE(YEAR($B$6),MONTH($B$6)+1,DAY(1))=E986,1,IF(MONTH(E986)=1,F987*(1+$F$5),F987))</f>
      </c>
      <c r="G986" s="333">
        <f>IF('Simulador - 1º Pilar'!$E$99="Sí",IF('Aportaciones Flex'!$B$13&lt;'Aportaciones Flex'!E986,0,F986*$B$8/12),F986*$B$8/12)</f>
      </c>
      <c r="H986" s="333">
        <f>IF(G986&gt;0,1,0)*$H$5*IF(AND($I$5="NO",YEAR(E986)=YEAR($B$6)+1),1,IF($I$5="SI",1,0))</f>
      </c>
      <c r="I986" s="217">
        <f>(1+$M$5)^(D986/12)*(H986*(12-IF(MONTH(E987)=12,0,MONTH(E987)))+IF(AND(F986=1,F987=0),$Q$4,0))*IF(AND(F986=1,F987=0),1,0)</f>
      </c>
      <c r="J986" s="333">
        <f>(1+$M$5)^(D986/12)*(H986+IF(AND(F986=1,F987=0),$Q$4,0))</f>
      </c>
      <c r="K986" s="351"/>
      <c r="L986" s="333">
        <f>K986+J986</f>
      </c>
      <c r="M986" s="170"/>
      <c r="N986" s="7"/>
      <c r="O986" s="1"/>
      <c r="P986" s="331">
        <f>D986</f>
      </c>
      <c r="Q986" s="169"/>
      <c r="R986" s="1"/>
      <c r="S986" s="217">
        <f>(1+$M$5)^(D986/12)*(IF(E986=$C$6,$Q$4+$H$5*12,0))</f>
      </c>
      <c r="T986" s="217">
        <f>(1+$M$5)^(D986/12)*(IF(YEAR(E986)&gt;YEAR($C$6),L986,0)+IF(E986=$C$6,$H$5*12+$Q$4,0))</f>
      </c>
    </row>
    <row x14ac:dyDescent="0.25" r="987" customHeight="1" ht="18.75">
      <c r="A987" s="1"/>
      <c r="B987" s="7"/>
      <c r="C987" s="170"/>
      <c r="D987" s="331">
        <v>980</v>
      </c>
      <c r="E987" s="544">
        <f>+DATE(YEAR(E986),MONTH(E986)-1,DAY(E986))</f>
        <v>25569.041666666668</v>
      </c>
      <c r="F987" s="333">
        <f>IF(DATE(YEAR($B$6),MONTH($B$6)+1,DAY(1))=E987,1,IF(MONTH(E987)=1,F988*(1+$F$5),F988))</f>
      </c>
      <c r="G987" s="333">
        <f>IF('Simulador - 1º Pilar'!$E$99="Sí",IF('Aportaciones Flex'!$B$13&lt;'Aportaciones Flex'!E987,0,F987*$B$8/12),F987*$B$8/12)</f>
      </c>
      <c r="H987" s="333">
        <f>IF(G987&gt;0,1,0)*$H$5*IF(AND($I$5="NO",YEAR(E987)=YEAR($B$6)+1),1,IF($I$5="SI",1,0))</f>
      </c>
      <c r="I987" s="217">
        <f>(1+$M$5)^(D987/12)*(H987*(12-IF(MONTH(E988)=12,0,MONTH(E988)))+IF(AND(F987=1,F988=0),$Q$4,0))*IF(AND(F987=1,F988=0),1,0)</f>
      </c>
      <c r="J987" s="333">
        <f>(1+$M$5)^(D987/12)*(H987+IF(AND(F987=1,F988=0),$Q$4,0))</f>
      </c>
      <c r="K987" s="351"/>
      <c r="L987" s="333">
        <f>K987+J987</f>
      </c>
      <c r="M987" s="170"/>
      <c r="N987" s="7"/>
      <c r="O987" s="1"/>
      <c r="P987" s="331">
        <f>D987</f>
      </c>
      <c r="Q987" s="169"/>
      <c r="R987" s="1"/>
      <c r="S987" s="217">
        <f>(1+$M$5)^(D987/12)*(IF(E987=$C$6,$Q$4+$H$5*12,0))</f>
      </c>
      <c r="T987" s="217">
        <f>(1+$M$5)^(D987/12)*(IF(YEAR(E987)&gt;YEAR($C$6),L987,0)+IF(E987=$C$6,$H$5*12+$Q$4,0))</f>
      </c>
    </row>
    <row x14ac:dyDescent="0.25" r="988" customHeight="1" ht="18.75">
      <c r="A988" s="1"/>
      <c r="B988" s="7"/>
      <c r="C988" s="170"/>
      <c r="D988" s="331">
        <v>981</v>
      </c>
      <c r="E988" s="544">
        <f>+DATE(YEAR(E987),MONTH(E987)-1,DAY(E987))</f>
        <v>25569.041666666668</v>
      </c>
      <c r="F988" s="333">
        <f>IF(DATE(YEAR($B$6),MONTH($B$6)+1,DAY(1))=E988,1,IF(MONTH(E988)=1,F989*(1+$F$5),F989))</f>
      </c>
      <c r="G988" s="333">
        <f>IF('Simulador - 1º Pilar'!$E$99="Sí",IF('Aportaciones Flex'!$B$13&lt;'Aportaciones Flex'!E988,0,F988*$B$8/12),F988*$B$8/12)</f>
      </c>
      <c r="H988" s="333">
        <f>IF(G988&gt;0,1,0)*$H$5*IF(AND($I$5="NO",YEAR(E988)=YEAR($B$6)+1),1,IF($I$5="SI",1,0))</f>
      </c>
      <c r="I988" s="217">
        <f>(1+$M$5)^(D988/12)*(H988*(12-IF(MONTH(E989)=12,0,MONTH(E989)))+IF(AND(F988=1,F989=0),$Q$4,0))*IF(AND(F988=1,F989=0),1,0)</f>
      </c>
      <c r="J988" s="333">
        <f>(1+$M$5)^(D988/12)*(H988+IF(AND(F988=1,F989=0),$Q$4,0))</f>
      </c>
      <c r="K988" s="351"/>
      <c r="L988" s="333">
        <f>K988+J988</f>
      </c>
      <c r="M988" s="170"/>
      <c r="N988" s="7"/>
      <c r="O988" s="1"/>
      <c r="P988" s="331">
        <f>D988</f>
      </c>
      <c r="Q988" s="169"/>
      <c r="R988" s="1"/>
      <c r="S988" s="217">
        <f>(1+$M$5)^(D988/12)*(IF(E988=$C$6,$Q$4+$H$5*12,0))</f>
      </c>
      <c r="T988" s="217">
        <f>(1+$M$5)^(D988/12)*(IF(YEAR(E988)&gt;YEAR($C$6),L988,0)+IF(E988=$C$6,$H$5*12+$Q$4,0))</f>
      </c>
    </row>
    <row x14ac:dyDescent="0.25" r="989" customHeight="1" ht="18.75">
      <c r="A989" s="1"/>
      <c r="B989" s="7"/>
      <c r="C989" s="170"/>
      <c r="D989" s="331">
        <v>982</v>
      </c>
      <c r="E989" s="544">
        <f>+DATE(YEAR(E988),MONTH(E988)-1,DAY(E988))</f>
        <v>25569.041666666668</v>
      </c>
      <c r="F989" s="333">
        <f>IF(DATE(YEAR($B$6),MONTH($B$6)+1,DAY(1))=E989,1,IF(MONTH(E989)=1,F990*(1+$F$5),F990))</f>
      </c>
      <c r="G989" s="333">
        <f>IF('Simulador - 1º Pilar'!$E$99="Sí",IF('Aportaciones Flex'!$B$13&lt;'Aportaciones Flex'!E989,0,F989*$B$8/12),F989*$B$8/12)</f>
      </c>
      <c r="H989" s="333">
        <f>IF(G989&gt;0,1,0)*$H$5*IF(AND($I$5="NO",YEAR(E989)=YEAR($B$6)+1),1,IF($I$5="SI",1,0))</f>
      </c>
      <c r="I989" s="217">
        <f>(1+$M$5)^(D989/12)*(H989*(12-IF(MONTH(E990)=12,0,MONTH(E990)))+IF(AND(F989=1,F990=0),$Q$4,0))*IF(AND(F989=1,F990=0),1,0)</f>
      </c>
      <c r="J989" s="333">
        <f>(1+$M$5)^(D989/12)*(H989+IF(AND(F989=1,F990=0),$Q$4,0))</f>
      </c>
      <c r="K989" s="351"/>
      <c r="L989" s="333">
        <f>K989+J989</f>
      </c>
      <c r="M989" s="170"/>
      <c r="N989" s="7"/>
      <c r="O989" s="1"/>
      <c r="P989" s="331">
        <f>D989</f>
      </c>
      <c r="Q989" s="169"/>
      <c r="R989" s="1"/>
      <c r="S989" s="217">
        <f>(1+$M$5)^(D989/12)*(IF(E989=$C$6,$Q$4+$H$5*12,0))</f>
      </c>
      <c r="T989" s="217">
        <f>(1+$M$5)^(D989/12)*(IF(YEAR(E989)&gt;YEAR($C$6),L989,0)+IF(E989=$C$6,$H$5*12+$Q$4,0))</f>
      </c>
    </row>
    <row x14ac:dyDescent="0.25" r="990" customHeight="1" ht="18.75">
      <c r="A990" s="1"/>
      <c r="B990" s="7"/>
      <c r="C990" s="170"/>
      <c r="D990" s="331">
        <v>983</v>
      </c>
      <c r="E990" s="544">
        <f>+DATE(YEAR(E989),MONTH(E989)-1,DAY(E989))</f>
        <v>25569.041666666668</v>
      </c>
      <c r="F990" s="333">
        <f>IF(DATE(YEAR($B$6),MONTH($B$6)+1,DAY(1))=E990,1,IF(MONTH(E990)=1,F991*(1+$F$5),F991))</f>
      </c>
      <c r="G990" s="333">
        <f>IF('Simulador - 1º Pilar'!$E$99="Sí",IF('Aportaciones Flex'!$B$13&lt;'Aportaciones Flex'!E990,0,F990*$B$8/12),F990*$B$8/12)</f>
      </c>
      <c r="H990" s="333">
        <f>IF(G990&gt;0,1,0)*$H$5*IF(AND($I$5="NO",YEAR(E990)=YEAR($B$6)+1),1,IF($I$5="SI",1,0))</f>
      </c>
      <c r="I990" s="217">
        <f>(1+$M$5)^(D990/12)*(H990*(12-IF(MONTH(E991)=12,0,MONTH(E991)))+IF(AND(F990=1,F991=0),$Q$4,0))*IF(AND(F990=1,F991=0),1,0)</f>
      </c>
      <c r="J990" s="333">
        <f>(1+$M$5)^(D990/12)*(H990+IF(AND(F990=1,F991=0),$Q$4,0))</f>
      </c>
      <c r="K990" s="351"/>
      <c r="L990" s="333">
        <f>K990+J990</f>
      </c>
      <c r="M990" s="170"/>
      <c r="N990" s="7"/>
      <c r="O990" s="1"/>
      <c r="P990" s="331">
        <f>D990</f>
      </c>
      <c r="Q990" s="169"/>
      <c r="R990" s="1"/>
      <c r="S990" s="217">
        <f>(1+$M$5)^(D990/12)*(IF(E990=$C$6,$Q$4+$H$5*12,0))</f>
      </c>
      <c r="T990" s="217">
        <f>(1+$M$5)^(D990/12)*(IF(YEAR(E990)&gt;YEAR($C$6),L990,0)+IF(E990=$C$6,$H$5*12+$Q$4,0))</f>
      </c>
    </row>
    <row x14ac:dyDescent="0.25" r="991" customHeight="1" ht="18.75">
      <c r="A991" s="1"/>
      <c r="B991" s="7"/>
      <c r="C991" s="170"/>
      <c r="D991" s="331">
        <v>984</v>
      </c>
      <c r="E991" s="544">
        <f>+DATE(YEAR(E990),MONTH(E990)-1,DAY(E990))</f>
        <v>25569.041666666668</v>
      </c>
      <c r="F991" s="333">
        <f>IF(DATE(YEAR($B$6),MONTH($B$6)+1,DAY(1))=E991,1,IF(MONTH(E991)=1,F992*(1+$F$5),F992))</f>
      </c>
      <c r="G991" s="333">
        <f>IF('Simulador - 1º Pilar'!$E$99="Sí",IF('Aportaciones Flex'!$B$13&lt;'Aportaciones Flex'!E991,0,F991*$B$8/12),F991*$B$8/12)</f>
      </c>
      <c r="H991" s="333">
        <f>IF(G991&gt;0,1,0)*$H$5*IF(AND($I$5="NO",YEAR(E991)=YEAR($B$6)+1),1,IF($I$5="SI",1,0))</f>
      </c>
      <c r="I991" s="217">
        <f>(1+$M$5)^(D991/12)*(H991*(12-IF(MONTH(E992)=12,0,MONTH(E992)))+IF(AND(F991=1,F992=0),$Q$4,0))*IF(AND(F991=1,F992=0),1,0)</f>
      </c>
      <c r="J991" s="333">
        <f>(1+$M$5)^(D991/12)*(H991+IF(AND(F991=1,F992=0),$Q$4,0))</f>
      </c>
      <c r="K991" s="351"/>
      <c r="L991" s="333">
        <f>K991+J991</f>
      </c>
      <c r="M991" s="170"/>
      <c r="N991" s="7"/>
      <c r="O991" s="1"/>
      <c r="P991" s="331">
        <f>D991</f>
      </c>
      <c r="Q991" s="169"/>
      <c r="R991" s="1"/>
      <c r="S991" s="217">
        <f>(1+$M$5)^(D991/12)*(IF(E991=$C$6,$Q$4+$H$5*12,0))</f>
      </c>
      <c r="T991" s="217">
        <f>(1+$M$5)^(D991/12)*(IF(YEAR(E991)&gt;YEAR($C$6),L991,0)+IF(E991=$C$6,$H$5*12+$Q$4,0))</f>
      </c>
    </row>
    <row x14ac:dyDescent="0.25" r="992" customHeight="1" ht="18.75">
      <c r="A992" s="1"/>
      <c r="B992" s="7"/>
      <c r="C992" s="170"/>
      <c r="D992" s="331">
        <v>985</v>
      </c>
      <c r="E992" s="544">
        <f>+DATE(YEAR(E991),MONTH(E991)-1,DAY(E991))</f>
        <v>25569.041666666668</v>
      </c>
      <c r="F992" s="333">
        <f>IF(DATE(YEAR($B$6),MONTH($B$6)+1,DAY(1))=E992,1,IF(MONTH(E992)=1,F993*(1+$F$5),F993))</f>
      </c>
      <c r="G992" s="333">
        <f>IF('Simulador - 1º Pilar'!$E$99="Sí",IF('Aportaciones Flex'!$B$13&lt;'Aportaciones Flex'!E992,0,F992*$B$8/12),F992*$B$8/12)</f>
      </c>
      <c r="H992" s="333">
        <f>IF(G992&gt;0,1,0)*$H$5*IF(AND($I$5="NO",YEAR(E992)=YEAR($B$6)+1),1,IF($I$5="SI",1,0))</f>
      </c>
      <c r="I992" s="217">
        <f>(1+$M$5)^(D992/12)*(H992*(12-IF(MONTH(E993)=12,0,MONTH(E993)))+IF(AND(F992=1,F993=0),$Q$4,0))*IF(AND(F992=1,F993=0),1,0)</f>
      </c>
      <c r="J992" s="333">
        <f>(1+$M$5)^(D992/12)*(H992+IF(AND(F992=1,F993=0),$Q$4,0))</f>
      </c>
      <c r="K992" s="351"/>
      <c r="L992" s="333">
        <f>K992+J992</f>
      </c>
      <c r="M992" s="170"/>
      <c r="N992" s="7"/>
      <c r="O992" s="1"/>
      <c r="P992" s="331">
        <f>D992</f>
      </c>
      <c r="Q992" s="169"/>
      <c r="R992" s="1"/>
      <c r="S992" s="217">
        <f>(1+$M$5)^(D992/12)*(IF(E992=$C$6,$Q$4+$H$5*12,0))</f>
      </c>
      <c r="T992" s="217">
        <f>(1+$M$5)^(D992/12)*(IF(YEAR(E992)&gt;YEAR($C$6),L992,0)+IF(E992=$C$6,$H$5*12+$Q$4,0))</f>
      </c>
    </row>
    <row x14ac:dyDescent="0.25" r="993" customHeight="1" ht="18.75">
      <c r="A993" s="1"/>
      <c r="B993" s="7"/>
      <c r="C993" s="170"/>
      <c r="D993" s="331">
        <v>986</v>
      </c>
      <c r="E993" s="544">
        <f>+DATE(YEAR(E992),MONTH(E992)-1,DAY(E992))</f>
        <v>25569.041666666668</v>
      </c>
      <c r="F993" s="333">
        <f>IF(DATE(YEAR($B$6),MONTH($B$6)+1,DAY(1))=E993,1,IF(MONTH(E993)=1,F994*(1+$F$5),F994))</f>
      </c>
      <c r="G993" s="333">
        <f>IF('Simulador - 1º Pilar'!$E$99="Sí",IF('Aportaciones Flex'!$B$13&lt;'Aportaciones Flex'!E993,0,F993*$B$8/12),F993*$B$8/12)</f>
      </c>
      <c r="H993" s="333">
        <f>IF(G993&gt;0,1,0)*$H$5*IF(AND($I$5="NO",YEAR(E993)=YEAR($B$6)+1),1,IF($I$5="SI",1,0))</f>
      </c>
      <c r="I993" s="217">
        <f>(1+$M$5)^(D993/12)*(H993*(12-IF(MONTH(E994)=12,0,MONTH(E994)))+IF(AND(F993=1,F994=0),$Q$4,0))*IF(AND(F993=1,F994=0),1,0)</f>
      </c>
      <c r="J993" s="333">
        <f>(1+$M$5)^(D993/12)*(H993+IF(AND(F993=1,F994=0),$Q$4,0))</f>
      </c>
      <c r="K993" s="351"/>
      <c r="L993" s="333">
        <f>K993+J993</f>
      </c>
      <c r="M993" s="170"/>
      <c r="N993" s="7"/>
      <c r="O993" s="1"/>
      <c r="P993" s="331">
        <f>D993</f>
      </c>
      <c r="Q993" s="169"/>
      <c r="R993" s="1"/>
      <c r="S993" s="217">
        <f>(1+$M$5)^(D993/12)*(IF(E993=$C$6,$Q$4+$H$5*12,0))</f>
      </c>
      <c r="T993" s="217">
        <f>(1+$M$5)^(D993/12)*(IF(YEAR(E993)&gt;YEAR($C$6),L993,0)+IF(E993=$C$6,$H$5*12+$Q$4,0))</f>
      </c>
    </row>
    <row x14ac:dyDescent="0.25" r="994" customHeight="1" ht="18.75">
      <c r="A994" s="1"/>
      <c r="B994" s="7"/>
      <c r="C994" s="170"/>
      <c r="D994" s="331">
        <v>987</v>
      </c>
      <c r="E994" s="544">
        <f>+DATE(YEAR(E993),MONTH(E993)-1,DAY(E993))</f>
        <v>25569.041666666668</v>
      </c>
      <c r="F994" s="333">
        <f>IF(DATE(YEAR($B$6),MONTH($B$6)+1,DAY(1))=E994,1,IF(MONTH(E994)=1,F995*(1+$F$5),F995))</f>
      </c>
      <c r="G994" s="333">
        <f>IF('Simulador - 1º Pilar'!$E$99="Sí",IF('Aportaciones Flex'!$B$13&lt;'Aportaciones Flex'!E994,0,F994*$B$8/12),F994*$B$8/12)</f>
      </c>
      <c r="H994" s="333">
        <f>IF(G994&gt;0,1,0)*$H$5*IF(AND($I$5="NO",YEAR(E994)=YEAR($B$6)+1),1,IF($I$5="SI",1,0))</f>
      </c>
      <c r="I994" s="217">
        <f>(1+$M$5)^(D994/12)*(H994*(12-IF(MONTH(E995)=12,0,MONTH(E995)))+IF(AND(F994=1,F995=0),$Q$4,0))*IF(AND(F994=1,F995=0),1,0)</f>
      </c>
      <c r="J994" s="333">
        <f>(1+$M$5)^(D994/12)*(H994+IF(AND(F994=1,F995=0),$Q$4,0))</f>
      </c>
      <c r="K994" s="351"/>
      <c r="L994" s="333">
        <f>K994+J994</f>
      </c>
      <c r="M994" s="170"/>
      <c r="N994" s="7"/>
      <c r="O994" s="1"/>
      <c r="P994" s="331">
        <f>D994</f>
      </c>
      <c r="Q994" s="169"/>
      <c r="R994" s="1"/>
      <c r="S994" s="217">
        <f>(1+$M$5)^(D994/12)*(IF(E994=$C$6,$Q$4+$H$5*12,0))</f>
      </c>
      <c r="T994" s="217">
        <f>(1+$M$5)^(D994/12)*(IF(YEAR(E994)&gt;YEAR($C$6),L994,0)+IF(E994=$C$6,$H$5*12+$Q$4,0))</f>
      </c>
    </row>
    <row x14ac:dyDescent="0.25" r="995" customHeight="1" ht="18.75">
      <c r="A995" s="1"/>
      <c r="B995" s="7"/>
      <c r="C995" s="170"/>
      <c r="D995" s="331">
        <v>988</v>
      </c>
      <c r="E995" s="544">
        <f>+DATE(YEAR(E994),MONTH(E994)-1,DAY(E994))</f>
        <v>25569.041666666668</v>
      </c>
      <c r="F995" s="333">
        <f>IF(DATE(YEAR($B$6),MONTH($B$6)+1,DAY(1))=E995,1,IF(MONTH(E995)=1,F996*(1+$F$5),F996))</f>
      </c>
      <c r="G995" s="333">
        <f>IF('Simulador - 1º Pilar'!$E$99="Sí",IF('Aportaciones Flex'!$B$13&lt;'Aportaciones Flex'!E995,0,F995*$B$8/12),F995*$B$8/12)</f>
      </c>
      <c r="H995" s="333">
        <f>IF(G995&gt;0,1,0)*$H$5*IF(AND($I$5="NO",YEAR(E995)=YEAR($B$6)+1),1,IF($I$5="SI",1,0))</f>
      </c>
      <c r="I995" s="217">
        <f>(1+$M$5)^(D995/12)*(H995*(12-IF(MONTH(E996)=12,0,MONTH(E996)))+IF(AND(F995=1,F996=0),$Q$4,0))*IF(AND(F995=1,F996=0),1,0)</f>
      </c>
      <c r="J995" s="333">
        <f>(1+$M$5)^(D995/12)*(H995+IF(AND(F995=1,F996=0),$Q$4,0))</f>
      </c>
      <c r="K995" s="351"/>
      <c r="L995" s="333">
        <f>K995+J995</f>
      </c>
      <c r="M995" s="170"/>
      <c r="N995" s="7"/>
      <c r="O995" s="1"/>
      <c r="P995" s="331">
        <f>D995</f>
      </c>
      <c r="Q995" s="169"/>
      <c r="R995" s="1"/>
      <c r="S995" s="217">
        <f>(1+$M$5)^(D995/12)*(IF(E995=$C$6,$Q$4+$H$5*12,0))</f>
      </c>
      <c r="T995" s="217">
        <f>(1+$M$5)^(D995/12)*(IF(YEAR(E995)&gt;YEAR($C$6),L995,0)+IF(E995=$C$6,$H$5*12+$Q$4,0))</f>
      </c>
    </row>
    <row x14ac:dyDescent="0.25" r="996" customHeight="1" ht="18.75">
      <c r="A996" s="1"/>
      <c r="B996" s="7"/>
      <c r="C996" s="170"/>
      <c r="D996" s="331">
        <v>989</v>
      </c>
      <c r="E996" s="544">
        <f>+DATE(YEAR(E995),MONTH(E995)-1,DAY(E995))</f>
        <v>25569.041666666668</v>
      </c>
      <c r="F996" s="333">
        <f>IF(DATE(YEAR($B$6),MONTH($B$6)+1,DAY(1))=E996,1,IF(MONTH(E996)=1,F997*(1+$F$5),F997))</f>
      </c>
      <c r="G996" s="333">
        <f>IF('Simulador - 1º Pilar'!$E$99="Sí",IF('Aportaciones Flex'!$B$13&lt;'Aportaciones Flex'!E996,0,F996*$B$8/12),F996*$B$8/12)</f>
      </c>
      <c r="H996" s="333">
        <f>IF(G996&gt;0,1,0)*$H$5*IF(AND($I$5="NO",YEAR(E996)=YEAR($B$6)+1),1,IF($I$5="SI",1,0))</f>
      </c>
      <c r="I996" s="217">
        <f>(1+$M$5)^(D996/12)*(H996*(12-IF(MONTH(E997)=12,0,MONTH(E997)))+IF(AND(F996=1,F997=0),$Q$4,0))*IF(AND(F996=1,F997=0),1,0)</f>
      </c>
      <c r="J996" s="333">
        <f>(1+$M$5)^(D996/12)*(H996+IF(AND(F996=1,F997=0),$Q$4,0))</f>
      </c>
      <c r="K996" s="351"/>
      <c r="L996" s="333">
        <f>K996+J996</f>
      </c>
      <c r="M996" s="170"/>
      <c r="N996" s="7"/>
      <c r="O996" s="1"/>
      <c r="P996" s="331">
        <f>D996</f>
      </c>
      <c r="Q996" s="169"/>
      <c r="R996" s="1"/>
      <c r="S996" s="217">
        <f>(1+$M$5)^(D996/12)*(IF(E996=$C$6,$Q$4+$H$5*12,0))</f>
      </c>
      <c r="T996" s="217">
        <f>(1+$M$5)^(D996/12)*(IF(YEAR(E996)&gt;YEAR($C$6),L996,0)+IF(E996=$C$6,$H$5*12+$Q$4,0))</f>
      </c>
    </row>
    <row x14ac:dyDescent="0.25" r="997" customHeight="1" ht="18.75">
      <c r="A997" s="1"/>
      <c r="B997" s="7"/>
      <c r="C997" s="170"/>
      <c r="D997" s="331">
        <v>990</v>
      </c>
      <c r="E997" s="544">
        <f>+DATE(YEAR(E996),MONTH(E996)-1,DAY(E996))</f>
        <v>25569.041666666668</v>
      </c>
      <c r="F997" s="333">
        <f>IF(DATE(YEAR($B$6),MONTH($B$6)+1,DAY(1))=E997,1,IF(MONTH(E997)=1,F998*(1+$F$5),F998))</f>
      </c>
      <c r="G997" s="333">
        <f>IF('Simulador - 1º Pilar'!$E$99="Sí",IF('Aportaciones Flex'!$B$13&lt;'Aportaciones Flex'!E997,0,F997*$B$8/12),F997*$B$8/12)</f>
      </c>
      <c r="H997" s="333">
        <f>IF(G997&gt;0,1,0)*$H$5*IF(AND($I$5="NO",YEAR(E997)=YEAR($B$6)+1),1,IF($I$5="SI",1,0))</f>
      </c>
      <c r="I997" s="217">
        <f>(1+$M$5)^(D997/12)*(H997*(12-IF(MONTH(E998)=12,0,MONTH(E998)))+IF(AND(F997=1,F998=0),$Q$4,0))*IF(AND(F997=1,F998=0),1,0)</f>
      </c>
      <c r="J997" s="333">
        <f>(1+$M$5)^(D997/12)*(H997+IF(AND(F997=1,F998=0),$Q$4,0))</f>
      </c>
      <c r="K997" s="351"/>
      <c r="L997" s="333">
        <f>K997+J997</f>
      </c>
      <c r="M997" s="170"/>
      <c r="N997" s="7"/>
      <c r="O997" s="1"/>
      <c r="P997" s="331">
        <f>D997</f>
      </c>
      <c r="Q997" s="169"/>
      <c r="R997" s="1"/>
      <c r="S997" s="217">
        <f>(1+$M$5)^(D997/12)*(IF(E997=$C$6,$Q$4+$H$5*12,0))</f>
      </c>
      <c r="T997" s="217">
        <f>(1+$M$5)^(D997/12)*(IF(YEAR(E997)&gt;YEAR($C$6),L997,0)+IF(E997=$C$6,$H$5*12+$Q$4,0))</f>
      </c>
    </row>
    <row x14ac:dyDescent="0.25" r="998" customHeight="1" ht="18.75">
      <c r="A998" s="1"/>
      <c r="B998" s="7"/>
      <c r="C998" s="170"/>
      <c r="D998" s="331">
        <v>991</v>
      </c>
      <c r="E998" s="544">
        <f>+DATE(YEAR(E997),MONTH(E997)-1,DAY(E997))</f>
        <v>25569.041666666668</v>
      </c>
      <c r="F998" s="333">
        <f>IF(DATE(YEAR($B$6),MONTH($B$6)+1,DAY(1))=E998,1,IF(MONTH(E998)=1,F999*(1+$F$5),F999))</f>
      </c>
      <c r="G998" s="333">
        <f>IF('Simulador - 1º Pilar'!$E$99="Sí",IF('Aportaciones Flex'!$B$13&lt;'Aportaciones Flex'!E998,0,F998*$B$8/12),F998*$B$8/12)</f>
      </c>
      <c r="H998" s="333">
        <f>IF(G998&gt;0,1,0)*$H$5*IF(AND($I$5="NO",YEAR(E998)=YEAR($B$6)+1),1,IF($I$5="SI",1,0))</f>
      </c>
      <c r="I998" s="217">
        <f>(1+$M$5)^(D998/12)*(H998*(12-IF(MONTH(E999)=12,0,MONTH(E999)))+IF(AND(F998=1,F999=0),$Q$4,0))*IF(AND(F998=1,F999=0),1,0)</f>
      </c>
      <c r="J998" s="333">
        <f>(1+$M$5)^(D998/12)*(H998+IF(AND(F998=1,F999=0),$Q$4,0))</f>
      </c>
      <c r="K998" s="351"/>
      <c r="L998" s="333">
        <f>K998+J998</f>
      </c>
      <c r="M998" s="170"/>
      <c r="N998" s="7"/>
      <c r="O998" s="1"/>
      <c r="P998" s="331">
        <f>D998</f>
      </c>
      <c r="Q998" s="169"/>
      <c r="R998" s="1"/>
      <c r="S998" s="217">
        <f>(1+$M$5)^(D998/12)*(IF(E998=$C$6,$Q$4+$H$5*12,0))</f>
      </c>
      <c r="T998" s="217">
        <f>(1+$M$5)^(D998/12)*(IF(YEAR(E998)&gt;YEAR($C$6),L998,0)+IF(E998=$C$6,$H$5*12+$Q$4,0))</f>
      </c>
    </row>
    <row x14ac:dyDescent="0.25" r="999" customHeight="1" ht="18.75">
      <c r="A999" s="1"/>
      <c r="B999" s="7"/>
      <c r="C999" s="170"/>
      <c r="D999" s="331">
        <v>992</v>
      </c>
      <c r="E999" s="544">
        <f>+DATE(YEAR(E998),MONTH(E998)-1,DAY(E998))</f>
        <v>25569.041666666668</v>
      </c>
      <c r="F999" s="333">
        <f>IF(DATE(YEAR($B$6),MONTH($B$6)+1,DAY(1))=E999,1,IF(MONTH(E999)=1,F1000*(1+$F$5),F1000))</f>
      </c>
      <c r="G999" s="333">
        <f>IF('Simulador - 1º Pilar'!$E$99="Sí",IF('Aportaciones Flex'!$B$13&lt;'Aportaciones Flex'!E999,0,F999*$B$8/12),F999*$B$8/12)</f>
      </c>
      <c r="H999" s="333">
        <f>IF(G999&gt;0,1,0)*$H$5*IF(AND($I$5="NO",YEAR(E999)=YEAR($B$6)+1),1,IF($I$5="SI",1,0))</f>
      </c>
      <c r="I999" s="217">
        <f>(1+$M$5)^(D999/12)*(H999*(12-IF(MONTH(E1000)=12,0,MONTH(E1000)))+IF(AND(F999=1,F1000=0),$Q$4,0))*IF(AND(F999=1,F1000=0),1,0)</f>
      </c>
      <c r="J999" s="333">
        <f>(1+$M$5)^(D999/12)*(H999+IF(AND(F999=1,F1000=0),$Q$4,0))</f>
      </c>
      <c r="K999" s="351"/>
      <c r="L999" s="333">
        <f>K999+J999</f>
      </c>
      <c r="M999" s="170"/>
      <c r="N999" s="7"/>
      <c r="O999" s="1"/>
      <c r="P999" s="331">
        <f>D999</f>
      </c>
      <c r="Q999" s="169"/>
      <c r="R999" s="1"/>
      <c r="S999" s="217">
        <f>(1+$M$5)^(D999/12)*(IF(E999=$C$6,$Q$4+$H$5*12,0))</f>
      </c>
      <c r="T999" s="217">
        <f>(1+$M$5)^(D999/12)*(IF(YEAR(E999)&gt;YEAR($C$6),L999,0)+IF(E999=$C$6,$H$5*12+$Q$4,0))</f>
      </c>
    </row>
    <row x14ac:dyDescent="0.25" r="1000" customHeight="1" ht="18.75">
      <c r="A1000" s="1"/>
      <c r="B1000" s="7"/>
      <c r="C1000" s="170"/>
      <c r="D1000" s="331">
        <v>993</v>
      </c>
      <c r="E1000" s="544">
        <f>+DATE(YEAR(E999),MONTH(E999)-1,DAY(E999))</f>
        <v>25569.041666666668</v>
      </c>
      <c r="F1000" s="333">
        <f>IF(DATE(YEAR($B$6),MONTH($B$6)+1,DAY(1))=E1000,1,IF(MONTH(E1000)=1,F1001*(1+$F$5),F1001))</f>
      </c>
      <c r="G1000" s="333">
        <f>IF('Simulador - 1º Pilar'!$E$99="Sí",IF('Aportaciones Flex'!$B$13&lt;'Aportaciones Flex'!E1000,0,F1000*$B$8/12),F1000*$B$8/12)</f>
      </c>
      <c r="H1000" s="333">
        <f>IF(G1000&gt;0,1,0)*$H$5*IF(AND($I$5="NO",YEAR(E1000)=YEAR($B$6)+1),1,IF($I$5="SI",1,0))</f>
      </c>
      <c r="I1000" s="217">
        <f>(1+$M$5)^(D1000/12)*(H1000*(12-IF(MONTH(E1001)=12,0,MONTH(E1001)))+IF(AND(F1000=1,F1001=0),$Q$4,0))*IF(AND(F1000=1,F1001=0),1,0)</f>
      </c>
      <c r="J1000" s="333">
        <f>(1+$M$5)^(D1000/12)*(H1000+IF(AND(F1000=1,F1001=0),$Q$4,0))</f>
      </c>
      <c r="K1000" s="351"/>
      <c r="L1000" s="333">
        <f>K1000+J1000</f>
      </c>
      <c r="M1000" s="170"/>
      <c r="N1000" s="7"/>
      <c r="O1000" s="1"/>
      <c r="P1000" s="331">
        <f>D1000</f>
      </c>
      <c r="Q1000" s="169"/>
      <c r="R1000" s="1"/>
      <c r="S1000" s="217">
        <f>(1+$M$5)^(D1000/12)*(IF(E1000=$C$6,$Q$4+$H$5*12,0))</f>
      </c>
      <c r="T1000" s="217">
        <f>(1+$M$5)^(D1000/12)*(IF(YEAR(E1000)&gt;YEAR($C$6),L1000,0)+IF(E1000=$C$6,$H$5*12+$Q$4,0))</f>
      </c>
    </row>
    <row x14ac:dyDescent="0.25" r="1001" customHeight="1" ht="18.75">
      <c r="A1001" s="1"/>
      <c r="B1001" s="7"/>
      <c r="C1001" s="170"/>
      <c r="D1001" s="331">
        <v>994</v>
      </c>
      <c r="E1001" s="544">
        <f>+DATE(YEAR(E1000),MONTH(E1000)-1,DAY(E1000))</f>
        <v>25569.041666666668</v>
      </c>
      <c r="F1001" s="333">
        <f>IF(DATE(YEAR($B$6),MONTH($B$6)+1,DAY(1))=E1001,1,IF(MONTH(E1001)=1,F1002*(1+$F$5),F1002))</f>
      </c>
      <c r="G1001" s="333">
        <f>IF('Simulador - 1º Pilar'!$E$99="Sí",IF('Aportaciones Flex'!$B$13&lt;'Aportaciones Flex'!E1001,0,F1001*$B$8/12),F1001*$B$8/12)</f>
      </c>
      <c r="H1001" s="333">
        <f>IF(G1001&gt;0,1,0)*$H$5*IF(AND($I$5="NO",YEAR(E1001)=YEAR($B$6)+1),1,IF($I$5="SI",1,0))</f>
      </c>
      <c r="I1001" s="217">
        <f>(1+$M$5)^(D1001/12)*(H1001*(12-IF(MONTH(E1002)=12,0,MONTH(E1002)))+IF(AND(F1001=1,F1002=0),$Q$4,0))*IF(AND(F1001=1,F1002=0),1,0)</f>
      </c>
      <c r="J1001" s="333">
        <f>(1+$M$5)^(D1001/12)*(H1001+IF(AND(F1001=1,F1002=0),$Q$4,0))</f>
      </c>
      <c r="K1001" s="351"/>
      <c r="L1001" s="333">
        <f>K1001+J1001</f>
      </c>
      <c r="M1001" s="170"/>
      <c r="N1001" s="7"/>
      <c r="O1001" s="1"/>
      <c r="P1001" s="331">
        <f>D1001</f>
      </c>
      <c r="Q1001" s="169"/>
      <c r="R1001" s="1"/>
      <c r="S1001" s="217">
        <f>(1+$M$5)^(D1001/12)*(IF(E1001=$C$6,$Q$4+$H$5*12,0))</f>
      </c>
      <c r="T1001" s="217">
        <f>(1+$M$5)^(D1001/12)*(IF(YEAR(E1001)&gt;YEAR($C$6),L1001,0)+IF(E1001=$C$6,$H$5*12+$Q$4,0))</f>
      </c>
    </row>
    <row x14ac:dyDescent="0.25" r="1002" customHeight="1" ht="18.75">
      <c r="A1002" s="1"/>
      <c r="B1002" s="7"/>
      <c r="C1002" s="170"/>
      <c r="D1002" s="331">
        <v>995</v>
      </c>
      <c r="E1002" s="544">
        <f>+DATE(YEAR(E1001),MONTH(E1001)-1,DAY(E1001))</f>
        <v>25569.041666666668</v>
      </c>
      <c r="F1002" s="333">
        <f>IF(DATE(YEAR($B$6),MONTH($B$6)+1,DAY(1))=E1002,1,IF(MONTH(E1002)=1,F1003*(1+$F$5),F1003))</f>
      </c>
      <c r="G1002" s="333">
        <f>IF('Simulador - 1º Pilar'!$E$99="Sí",IF('Aportaciones Flex'!$B$13&lt;'Aportaciones Flex'!E1002,0,F1002*$B$8/12),F1002*$B$8/12)</f>
      </c>
      <c r="H1002" s="333">
        <f>IF(G1002&gt;0,1,0)*$H$5*IF(AND($I$5="NO",YEAR(E1002)=YEAR($B$6)+1),1,IF($I$5="SI",1,0))</f>
      </c>
      <c r="I1002" s="217">
        <f>(1+$M$5)^(D1002/12)*(H1002*(12-IF(MONTH(E1003)=12,0,MONTH(E1003)))+IF(AND(F1002=1,F1003=0),$Q$4,0))*IF(AND(F1002=1,F1003=0),1,0)</f>
      </c>
      <c r="J1002" s="333">
        <f>(1+$M$5)^(D1002/12)*(H1002+IF(AND(F1002=1,F1003=0),$Q$4,0))</f>
      </c>
      <c r="K1002" s="351"/>
      <c r="L1002" s="333">
        <f>K1002+J1002</f>
      </c>
      <c r="M1002" s="170"/>
      <c r="N1002" s="7"/>
      <c r="O1002" s="1"/>
      <c r="P1002" s="331">
        <f>D1002</f>
      </c>
      <c r="Q1002" s="169"/>
      <c r="R1002" s="1"/>
      <c r="S1002" s="217">
        <f>(1+$M$5)^(D1002/12)*(IF(E1002=$C$6,$Q$4+$H$5*12,0))</f>
      </c>
      <c r="T1002" s="217">
        <f>(1+$M$5)^(D1002/12)*(IF(YEAR(E1002)&gt;YEAR($C$6),L1002,0)+IF(E1002=$C$6,$H$5*12+$Q$4,0))</f>
      </c>
    </row>
    <row x14ac:dyDescent="0.25" r="1003" customHeight="1" ht="18.75">
      <c r="A1003" s="1"/>
      <c r="B1003" s="7"/>
      <c r="C1003" s="170"/>
      <c r="D1003" s="331">
        <v>996</v>
      </c>
      <c r="E1003" s="544">
        <f>+DATE(YEAR(E1002),MONTH(E1002)-1,DAY(E1002))</f>
        <v>25569.041666666668</v>
      </c>
      <c r="F1003" s="333">
        <f>IF(DATE(YEAR($B$6),MONTH($B$6)+1,DAY(1))=E1003,1,IF(MONTH(E1003)=1,F1004*(1+$F$5),F1004))</f>
      </c>
      <c r="G1003" s="333">
        <f>IF('Simulador - 1º Pilar'!$E$99="Sí",IF('Aportaciones Flex'!$B$13&lt;'Aportaciones Flex'!E1003,0,F1003*$B$8/12),F1003*$B$8/12)</f>
      </c>
      <c r="H1003" s="333">
        <f>IF(G1003&gt;0,1,0)*$H$5*IF(AND($I$5="NO",YEAR(E1003)=YEAR($B$6)+1),1,IF($I$5="SI",1,0))</f>
      </c>
      <c r="I1003" s="217">
        <f>(1+$M$5)^(D1003/12)*(H1003*(12-IF(MONTH(E1004)=12,0,MONTH(E1004)))+IF(AND(F1003=1,F1004=0),$Q$4,0))*IF(AND(F1003=1,F1004=0),1,0)</f>
      </c>
      <c r="J1003" s="333">
        <f>(1+$M$5)^(D1003/12)*(H1003+IF(AND(F1003=1,F1004=0),$Q$4,0))</f>
      </c>
      <c r="K1003" s="351"/>
      <c r="L1003" s="333">
        <f>K1003+J1003</f>
      </c>
      <c r="M1003" s="170"/>
      <c r="N1003" s="7"/>
      <c r="O1003" s="1"/>
      <c r="P1003" s="331">
        <f>D1003</f>
      </c>
      <c r="Q1003" s="169"/>
      <c r="R1003" s="1"/>
      <c r="S1003" s="217">
        <f>(1+$M$5)^(D1003/12)*(IF(E1003=$C$6,$Q$4+$H$5*12,0))</f>
      </c>
      <c r="T1003" s="217">
        <f>(1+$M$5)^(D1003/12)*(IF(YEAR(E1003)&gt;YEAR($C$6),L1003,0)+IF(E1003=$C$6,$H$5*12+$Q$4,0))</f>
      </c>
    </row>
    <row x14ac:dyDescent="0.25" r="1004" customHeight="1" ht="18.75">
      <c r="A1004" s="1"/>
      <c r="B1004" s="7"/>
      <c r="C1004" s="170"/>
      <c r="D1004" s="331">
        <v>997</v>
      </c>
      <c r="E1004" s="544">
        <f>+DATE(YEAR(E1003),MONTH(E1003)-1,DAY(E1003))</f>
        <v>25569.041666666668</v>
      </c>
      <c r="F1004" s="333">
        <f>IF(DATE(YEAR($B$6),MONTH($B$6)+1,DAY(1))=E1004,1,IF(MONTH(E1004)=1,F1005*(1+$F$5),F1005))</f>
      </c>
      <c r="G1004" s="333">
        <f>IF('Simulador - 1º Pilar'!$E$99="Sí",IF('Aportaciones Flex'!$B$13&lt;'Aportaciones Flex'!E1004,0,F1004*$B$8/12),F1004*$B$8/12)</f>
      </c>
      <c r="H1004" s="333">
        <f>IF(G1004&gt;0,1,0)*$H$5*IF(AND($I$5="NO",YEAR(E1004)=YEAR($B$6)+1),1,IF($I$5="SI",1,0))</f>
      </c>
      <c r="I1004" s="217">
        <f>(1+$M$5)^(D1004/12)*(H1004*(12-IF(MONTH(E1005)=12,0,MONTH(E1005)))+IF(AND(F1004=1,F1005=0),$Q$4,0))*IF(AND(F1004=1,F1005=0),1,0)</f>
      </c>
      <c r="J1004" s="333">
        <f>(1+$M$5)^(D1004/12)*(H1004+IF(AND(F1004=1,F1005=0),$Q$4,0))</f>
      </c>
      <c r="K1004" s="351"/>
      <c r="L1004" s="333">
        <f>K1004+J1004</f>
      </c>
      <c r="M1004" s="170"/>
      <c r="N1004" s="7"/>
      <c r="O1004" s="1"/>
      <c r="P1004" s="331">
        <f>D1004</f>
      </c>
      <c r="Q1004" s="169"/>
      <c r="R1004" s="1"/>
      <c r="S1004" s="217">
        <f>(1+$M$5)^(D1004/12)*(IF(E1004=$C$6,$Q$4+$H$5*12,0))</f>
      </c>
      <c r="T1004" s="217">
        <f>(1+$M$5)^(D1004/12)*(IF(YEAR(E1004)&gt;YEAR($C$6),L1004,0)+IF(E1004=$C$6,$H$5*12+$Q$4,0))</f>
      </c>
    </row>
    <row x14ac:dyDescent="0.25" r="1005" customHeight="1" ht="18.75">
      <c r="A1005" s="1"/>
      <c r="B1005" s="7"/>
      <c r="C1005" s="170"/>
      <c r="D1005" s="331">
        <v>998</v>
      </c>
      <c r="E1005" s="544">
        <f>+DATE(YEAR(E1004),MONTH(E1004)-1,DAY(E1004))</f>
        <v>25569.041666666668</v>
      </c>
      <c r="F1005" s="333">
        <f>IF(DATE(YEAR($B$6),MONTH($B$6)+1,DAY(1))=E1005,1,IF(MONTH(E1005)=1,F1006*(1+$F$5),F1006))</f>
      </c>
      <c r="G1005" s="333">
        <f>IF('Simulador - 1º Pilar'!$E$99="Sí",IF('Aportaciones Flex'!$B$13&lt;'Aportaciones Flex'!E1005,0,F1005*$B$8/12),F1005*$B$8/12)</f>
      </c>
      <c r="H1005" s="333">
        <f>IF(G1005&gt;0,1,0)*$H$5*IF(AND($I$5="NO",YEAR(E1005)=YEAR($B$6)+1),1,IF($I$5="SI",1,0))</f>
      </c>
      <c r="I1005" s="217">
        <f>(1+$M$5)^(D1005/12)*(H1005*(12-IF(MONTH(E1006)=12,0,MONTH(E1006)))+IF(AND(F1005=1,F1006=0),$Q$4,0))*IF(AND(F1005=1,F1006=0),1,0)</f>
      </c>
      <c r="J1005" s="333">
        <f>(1+$M$5)^(D1005/12)*(H1005+IF(AND(F1005=1,F1006=0),$Q$4,0))</f>
      </c>
      <c r="K1005" s="351"/>
      <c r="L1005" s="333">
        <f>K1005+J1005</f>
      </c>
      <c r="M1005" s="170"/>
      <c r="N1005" s="7"/>
      <c r="O1005" s="1"/>
      <c r="P1005" s="331">
        <f>D1005</f>
      </c>
      <c r="Q1005" s="169"/>
      <c r="R1005" s="1"/>
      <c r="S1005" s="217">
        <f>(1+$M$5)^(D1005/12)*(IF(E1005=$C$6,$Q$4+$H$5*12,0))</f>
      </c>
      <c r="T1005" s="217">
        <f>(1+$M$5)^(D1005/12)*(IF(YEAR(E1005)&gt;YEAR($C$6),L1005,0)+IF(E1005=$C$6,$H$5*12+$Q$4,0))</f>
      </c>
    </row>
    <row x14ac:dyDescent="0.25" r="1006" customHeight="1" ht="18.75">
      <c r="A1006" s="1"/>
      <c r="B1006" s="7"/>
      <c r="C1006" s="170"/>
      <c r="D1006" s="331">
        <v>999</v>
      </c>
      <c r="E1006" s="544">
        <f>+DATE(YEAR(E1005),MONTH(E1005)-1,DAY(E1005))</f>
        <v>25569.041666666668</v>
      </c>
      <c r="F1006" s="333">
        <f>IF(DATE(YEAR($B$6),MONTH($B$6)+1,DAY(1))=E1006,1,IF(MONTH(E1006)=1,F1007*(1+$F$5),F1007))</f>
      </c>
      <c r="G1006" s="333">
        <f>IF('Simulador - 1º Pilar'!$E$99="Sí",IF('Aportaciones Flex'!$B$13&lt;'Aportaciones Flex'!E1006,0,F1006*$B$8/12),F1006*$B$8/12)</f>
      </c>
      <c r="H1006" s="333">
        <f>IF(G1006&gt;0,1,0)*$H$5*IF(AND($I$5="NO",YEAR(E1006)=YEAR($B$6)+1),1,IF($I$5="SI",1,0))</f>
      </c>
      <c r="I1006" s="217">
        <f>(1+$M$5)^(D1006/12)*(H1006*(12-IF(MONTH(E1007)=12,0,MONTH(E1007)))+IF(AND(F1006=1,F1007=0),$Q$4,0))*IF(AND(F1006=1,F1007=0),1,0)</f>
      </c>
      <c r="J1006" s="333">
        <f>(1+$M$5)^(D1006/12)*(H1006+IF(AND(F1006=1,F1007=0),$Q$4,0))</f>
      </c>
      <c r="K1006" s="351"/>
      <c r="L1006" s="333">
        <f>K1006+J1006</f>
      </c>
      <c r="M1006" s="170"/>
      <c r="N1006" s="7"/>
      <c r="O1006" s="1"/>
      <c r="P1006" s="331">
        <f>D1006</f>
      </c>
      <c r="Q1006" s="169"/>
      <c r="R1006" s="1"/>
      <c r="S1006" s="217">
        <f>(1+$M$5)^(D1006/12)*(IF(E1006=$C$6,$Q$4+$H$5*12,0))</f>
      </c>
      <c r="T1006" s="217">
        <f>(1+$M$5)^(D1006/12)*(IF(YEAR(E1006)&gt;YEAR($C$6),L1006,0)+IF(E1006=$C$6,$H$5*12+$Q$4,0))</f>
      </c>
    </row>
    <row x14ac:dyDescent="0.25" r="1007" customHeight="1" ht="18.75">
      <c r="A1007" s="1"/>
      <c r="B1007" s="7"/>
      <c r="C1007" s="170"/>
      <c r="D1007" s="331">
        <v>1000</v>
      </c>
      <c r="E1007" s="544">
        <f>+DATE(YEAR(E1006),MONTH(E1006)-1,DAY(E1006))</f>
        <v>25569.041666666668</v>
      </c>
      <c r="F1007" s="333">
        <f>IF(DATE(YEAR($B$6),MONTH($B$6)+1,DAY(1))=E1007,1,IF(MONTH(E1007)=1,F1008*(1+$F$5),F1008))</f>
      </c>
      <c r="G1007" s="333">
        <f>IF('Simulador - 1º Pilar'!$E$99="Sí",IF('Aportaciones Flex'!$B$13&lt;'Aportaciones Flex'!E1007,0,F1007*$B$8/12),F1007*$B$8/12)</f>
      </c>
      <c r="H1007" s="333">
        <f>IF(G1007&gt;0,1,0)*$H$5*IF(AND($I$5="NO",YEAR(E1007)=YEAR($B$6)+1),1,IF($I$5="SI",1,0))</f>
      </c>
      <c r="I1007" s="217">
        <f>(1+$M$5)^(D1007/12)*(H1007*(12-IF(MONTH(E1008)=12,0,MONTH(E1008)))+IF(AND(F1007=1,F1008=0),$Q$4,0))*IF(AND(F1007=1,F1008=0),1,0)</f>
      </c>
      <c r="J1007" s="333">
        <f>(1+$M$5)^(D1007/12)*(H1007+IF(AND(F1007=1,F1008=0),$Q$4,0))</f>
      </c>
      <c r="K1007" s="351"/>
      <c r="L1007" s="333">
        <f>K1007+J1007</f>
      </c>
      <c r="M1007" s="170"/>
      <c r="N1007" s="7"/>
      <c r="O1007" s="1"/>
      <c r="P1007" s="331">
        <f>D1007</f>
      </c>
      <c r="Q1007" s="169"/>
      <c r="R1007" s="1"/>
      <c r="S1007" s="217">
        <f>(1+$M$5)^(D1007/12)*(IF(E1007=$C$6,$Q$4+$H$5*12,0))</f>
      </c>
      <c r="T1007" s="217">
        <f>(1+$M$5)^(D1007/12)*(IF(YEAR(E1007)&gt;YEAR($C$6),L1007,0)+IF(E1007=$C$6,$H$5*12+$Q$4,0))</f>
      </c>
    </row>
    <row x14ac:dyDescent="0.25" r="1008" customHeight="1" ht="18.75">
      <c r="A1008" s="1"/>
      <c r="B1008" s="7"/>
      <c r="C1008" s="170"/>
      <c r="D1008" s="331">
        <v>1001</v>
      </c>
      <c r="E1008" s="544">
        <f>+DATE(YEAR(E1007),MONTH(E1007)-1,DAY(E1007))</f>
        <v>25569.041666666668</v>
      </c>
      <c r="F1008" s="333">
        <f>IF(DATE(YEAR($B$6),MONTH($B$6)+1,DAY(1))=E1008,1,IF(MONTH(E1008)=1,F1009*(1+$F$5),F1009))</f>
      </c>
      <c r="G1008" s="333">
        <f>IF('Simulador - 1º Pilar'!$E$99="Sí",IF('Aportaciones Flex'!$B$13&lt;'Aportaciones Flex'!E1008,0,F1008*$B$8/12),F1008*$B$8/12)</f>
      </c>
      <c r="H1008" s="333">
        <f>IF(G1008&gt;0,1,0)*$H$5*IF(AND($I$5="NO",YEAR(E1008)=YEAR($B$6)+1),1,IF($I$5="SI",1,0))</f>
      </c>
      <c r="I1008" s="217">
        <f>(1+$M$5)^(D1008/12)*(H1008*(12-IF(MONTH(E1009)=12,0,MONTH(E1009)))+IF(AND(F1008=1,F1009=0),$Q$4,0))*IF(AND(F1008=1,F1009=0),1,0)</f>
      </c>
      <c r="J1008" s="333">
        <f>(1+$M$5)^(D1008/12)*(H1008+IF(AND(F1008=1,F1009=0),$Q$4,0))</f>
      </c>
      <c r="K1008" s="351"/>
      <c r="L1008" s="333">
        <f>K1008+J1008</f>
      </c>
      <c r="M1008" s="170"/>
      <c r="N1008" s="7"/>
      <c r="O1008" s="1"/>
      <c r="P1008" s="331">
        <f>D1008</f>
      </c>
      <c r="Q1008" s="169"/>
      <c r="R1008" s="1"/>
      <c r="S1008" s="217">
        <f>(1+$M$5)^(D1008/12)*(IF(E1008=$C$6,$Q$4+$H$5*12,0))</f>
      </c>
      <c r="T1008" s="217">
        <f>(1+$M$5)^(D1008/12)*(IF(YEAR(E1008)&gt;YEAR($C$6),L1008,0)+IF(E1008=$C$6,$H$5*12+$Q$4,0))</f>
      </c>
    </row>
    <row x14ac:dyDescent="0.25" r="1009" customHeight="1" ht="18.75">
      <c r="A1009" s="1"/>
      <c r="B1009" s="7"/>
      <c r="C1009" s="170"/>
      <c r="D1009" s="331">
        <v>1002</v>
      </c>
      <c r="E1009" s="544">
        <f>+DATE(YEAR(E1008),MONTH(E1008)-1,DAY(E1008))</f>
        <v>25569.041666666668</v>
      </c>
      <c r="F1009" s="333">
        <f>IF(DATE(YEAR($B$6),MONTH($B$6)+1,DAY(1))=E1009,1,IF(MONTH(E1009)=1,F1010*(1+$F$5),F1010))</f>
      </c>
      <c r="G1009" s="333">
        <f>IF('Simulador - 1º Pilar'!$E$99="Sí",IF('Aportaciones Flex'!$B$13&lt;'Aportaciones Flex'!E1009,0,F1009*$B$8/12),F1009*$B$8/12)</f>
      </c>
      <c r="H1009" s="333">
        <f>IF(G1009&gt;0,1,0)*$H$5*IF(AND($I$5="NO",YEAR(E1009)=YEAR($B$6)+1),1,IF($I$5="SI",1,0))</f>
      </c>
      <c r="I1009" s="217">
        <f>(1+$M$5)^(D1009/12)*(H1009*(12-IF(MONTH(E1010)=12,0,MONTH(E1010)))+IF(AND(F1009=1,F1010=0),$Q$4,0))*IF(AND(F1009=1,F1010=0),1,0)</f>
      </c>
      <c r="J1009" s="333">
        <f>(1+$M$5)^(D1009/12)*(H1009+IF(AND(F1009=1,F1010=0),$Q$4,0))</f>
      </c>
      <c r="K1009" s="351"/>
      <c r="L1009" s="333">
        <f>K1009+J1009</f>
      </c>
      <c r="M1009" s="170"/>
      <c r="N1009" s="7"/>
      <c r="O1009" s="1"/>
      <c r="P1009" s="331">
        <f>D1009</f>
      </c>
      <c r="Q1009" s="169"/>
      <c r="R1009" s="1"/>
      <c r="S1009" s="217">
        <f>(1+$M$5)^(D1009/12)*(IF(E1009=$C$6,$Q$4+$H$5*12,0))</f>
      </c>
      <c r="T1009" s="217">
        <f>(1+$M$5)^(D1009/12)*(IF(YEAR(E1009)&gt;YEAR($C$6),L1009,0)+IF(E1009=$C$6,$H$5*12+$Q$4,0))</f>
      </c>
    </row>
    <row x14ac:dyDescent="0.25" r="1010" customHeight="1" ht="18.75">
      <c r="A1010" s="1"/>
      <c r="B1010" s="7"/>
      <c r="C1010" s="170"/>
      <c r="D1010" s="331">
        <v>1003</v>
      </c>
      <c r="E1010" s="544">
        <f>+DATE(YEAR(E1009),MONTH(E1009)-1,DAY(E1009))</f>
        <v>25569.041666666668</v>
      </c>
      <c r="F1010" s="333">
        <f>IF(DATE(YEAR($B$6),MONTH($B$6)+1,DAY(1))=E1010,1,IF(MONTH(E1010)=1,F1011*(1+$F$5),F1011))</f>
      </c>
      <c r="G1010" s="333">
        <f>IF('Simulador - 1º Pilar'!$E$99="Sí",IF('Aportaciones Flex'!$B$13&lt;'Aportaciones Flex'!E1010,0,F1010*$B$8/12),F1010*$B$8/12)</f>
      </c>
      <c r="H1010" s="333">
        <f>IF(G1010&gt;0,1,0)*$H$5*IF(AND($I$5="NO",YEAR(E1010)=YEAR($B$6)+1),1,IF($I$5="SI",1,0))</f>
      </c>
      <c r="I1010" s="217">
        <f>(1+$M$5)^(D1010/12)*(H1010*(12-IF(MONTH(E1011)=12,0,MONTH(E1011)))+IF(AND(F1010=1,F1011=0),$Q$4,0))*IF(AND(F1010=1,F1011=0),1,0)</f>
      </c>
      <c r="J1010" s="333">
        <f>(1+$M$5)^(D1010/12)*(H1010+IF(AND(F1010=1,F1011=0),$Q$4,0))</f>
      </c>
      <c r="K1010" s="351"/>
      <c r="L1010" s="333">
        <f>K1010+J1010</f>
      </c>
      <c r="M1010" s="170"/>
      <c r="N1010" s="7"/>
      <c r="O1010" s="1"/>
      <c r="P1010" s="331">
        <f>D1010</f>
      </c>
      <c r="Q1010" s="169"/>
      <c r="R1010" s="1"/>
      <c r="S1010" s="217">
        <f>(1+$M$5)^(D1010/12)*(IF(E1010=$C$6,$Q$4+$H$5*12,0))</f>
      </c>
      <c r="T1010" s="217">
        <f>(1+$M$5)^(D1010/12)*(IF(YEAR(E1010)&gt;YEAR($C$6),L1010,0)+IF(E1010=$C$6,$H$5*12+$Q$4,0))</f>
      </c>
    </row>
    <row x14ac:dyDescent="0.25" r="1011" customHeight="1" ht="18.75">
      <c r="A1011" s="1"/>
      <c r="B1011" s="7"/>
      <c r="C1011" s="170"/>
      <c r="D1011" s="331">
        <v>1004</v>
      </c>
      <c r="E1011" s="544">
        <f>+DATE(YEAR(E1010),MONTH(E1010)-1,DAY(E1010))</f>
        <v>25569.041666666668</v>
      </c>
      <c r="F1011" s="333">
        <f>IF(DATE(YEAR($B$6),MONTH($B$6)+1,DAY(1))=E1011,1,IF(MONTH(E1011)=1,F1012*(1+$F$5),F1012))</f>
      </c>
      <c r="G1011" s="333">
        <f>IF('Simulador - 1º Pilar'!$E$99="Sí",IF('Aportaciones Flex'!$B$13&lt;'Aportaciones Flex'!E1011,0,F1011*$B$8/12),F1011*$B$8/12)</f>
      </c>
      <c r="H1011" s="333">
        <f>IF(G1011&gt;0,1,0)*$H$5*IF(AND($I$5="NO",YEAR(E1011)=YEAR($B$6)+1),1,IF($I$5="SI",1,0))</f>
      </c>
      <c r="I1011" s="217">
        <f>(1+$M$5)^(D1011/12)*(H1011*(12-IF(MONTH(E1012)=12,0,MONTH(E1012)))+IF(AND(F1011=1,F1012=0),$Q$4,0))*IF(AND(F1011=1,F1012=0),1,0)</f>
      </c>
      <c r="J1011" s="333">
        <f>(1+$M$5)^(D1011/12)*(H1011+IF(AND(F1011=1,F1012=0),$Q$4,0))</f>
      </c>
      <c r="K1011" s="351"/>
      <c r="L1011" s="333">
        <f>K1011+J1011</f>
      </c>
      <c r="M1011" s="170"/>
      <c r="N1011" s="7"/>
      <c r="O1011" s="1"/>
      <c r="P1011" s="331">
        <f>D1011</f>
      </c>
      <c r="Q1011" s="169"/>
      <c r="R1011" s="1"/>
      <c r="S1011" s="217">
        <f>(1+$M$5)^(D1011/12)*(IF(E1011=$C$6,$Q$4+$H$5*12,0))</f>
      </c>
      <c r="T1011" s="217">
        <f>(1+$M$5)^(D1011/12)*(IF(YEAR(E1011)&gt;YEAR($C$6),L1011,0)+IF(E1011=$C$6,$H$5*12+$Q$4,0))</f>
      </c>
    </row>
    <row x14ac:dyDescent="0.25" r="1012" customHeight="1" ht="18.75">
      <c r="A1012" s="1"/>
      <c r="B1012" s="7"/>
      <c r="C1012" s="170"/>
      <c r="D1012" s="331">
        <v>1005</v>
      </c>
      <c r="E1012" s="544">
        <f>+DATE(YEAR(E1011),MONTH(E1011)-1,DAY(E1011))</f>
        <v>25569.041666666668</v>
      </c>
      <c r="F1012" s="333">
        <f>IF(DATE(YEAR($B$6),MONTH($B$6)+1,DAY(1))=E1012,1,IF(MONTH(E1012)=1,F1013*(1+$F$5),F1013))</f>
      </c>
      <c r="G1012" s="333">
        <f>IF('Simulador - 1º Pilar'!$E$99="Sí",IF('Aportaciones Flex'!$B$13&lt;'Aportaciones Flex'!E1012,0,F1012*$B$8/12),F1012*$B$8/12)</f>
      </c>
      <c r="H1012" s="333">
        <f>IF(G1012&gt;0,1,0)*$H$5*IF(AND($I$5="NO",YEAR(E1012)=YEAR($B$6)+1),1,IF($I$5="SI",1,0))</f>
      </c>
      <c r="I1012" s="217">
        <f>(1+$M$5)^(D1012/12)*(H1012*(12-IF(MONTH(E1013)=12,0,MONTH(E1013)))+IF(AND(F1012=1,F1013=0),$Q$4,0))*IF(AND(F1012=1,F1013=0),1,0)</f>
      </c>
      <c r="J1012" s="333">
        <f>(1+$M$5)^(D1012/12)*(H1012+IF(AND(F1012=1,F1013=0),$Q$4,0))</f>
      </c>
      <c r="K1012" s="351"/>
      <c r="L1012" s="333">
        <f>K1012+J1012</f>
      </c>
      <c r="M1012" s="170"/>
      <c r="N1012" s="7"/>
      <c r="O1012" s="1"/>
      <c r="P1012" s="331">
        <f>D1012</f>
      </c>
      <c r="Q1012" s="169"/>
      <c r="R1012" s="1"/>
      <c r="S1012" s="217">
        <f>(1+$M$5)^(D1012/12)*(IF(E1012=$C$6,$Q$4+$H$5*12,0))</f>
      </c>
      <c r="T1012" s="217">
        <f>(1+$M$5)^(D1012/12)*(IF(YEAR(E1012)&gt;YEAR($C$6),L1012,0)+IF(E1012=$C$6,$H$5*12+$Q$4,0))</f>
      </c>
    </row>
    <row x14ac:dyDescent="0.25" r="1013" customHeight="1" ht="18.75">
      <c r="A1013" s="1"/>
      <c r="B1013" s="7"/>
      <c r="C1013" s="170"/>
      <c r="D1013" s="331">
        <v>1006</v>
      </c>
      <c r="E1013" s="544">
        <f>+DATE(YEAR(E1012),MONTH(E1012)-1,DAY(E1012))</f>
        <v>25569.041666666668</v>
      </c>
      <c r="F1013" s="333">
        <f>IF(DATE(YEAR($B$6),MONTH($B$6)+1,DAY(1))=E1013,1,IF(MONTH(E1013)=1,F1014*(1+$F$5),F1014))</f>
      </c>
      <c r="G1013" s="333">
        <f>IF('Simulador - 1º Pilar'!$E$99="Sí",IF('Aportaciones Flex'!$B$13&lt;'Aportaciones Flex'!E1013,0,F1013*$B$8/12),F1013*$B$8/12)</f>
      </c>
      <c r="H1013" s="333">
        <f>IF(G1013&gt;0,1,0)*$H$5*IF(AND($I$5="NO",YEAR(E1013)=YEAR($B$6)+1),1,IF($I$5="SI",1,0))</f>
      </c>
      <c r="I1013" s="217">
        <f>(1+$M$5)^(D1013/12)*(H1013*(12-IF(MONTH(E1014)=12,0,MONTH(E1014)))+IF(AND(F1013=1,F1014=0),$Q$4,0))*IF(AND(F1013=1,F1014=0),1,0)</f>
      </c>
      <c r="J1013" s="333">
        <f>(1+$M$5)^(D1013/12)*(H1013+IF(AND(F1013=1,F1014=0),$Q$4,0))</f>
      </c>
      <c r="K1013" s="351"/>
      <c r="L1013" s="333">
        <f>K1013+J1013</f>
      </c>
      <c r="M1013" s="170"/>
      <c r="N1013" s="7"/>
      <c r="O1013" s="1"/>
      <c r="P1013" s="331">
        <f>D1013</f>
      </c>
      <c r="Q1013" s="169"/>
      <c r="R1013" s="1"/>
      <c r="S1013" s="217">
        <f>(1+$M$5)^(D1013/12)*(IF(E1013=$C$6,$Q$4+$H$5*12,0))</f>
      </c>
      <c r="T1013" s="217">
        <f>(1+$M$5)^(D1013/12)*(IF(YEAR(E1013)&gt;YEAR($C$6),L1013,0)+IF(E1013=$C$6,$H$5*12+$Q$4,0))</f>
      </c>
    </row>
    <row x14ac:dyDescent="0.25" r="1014" customHeight="1" ht="18.75">
      <c r="A1014" s="1"/>
      <c r="B1014" s="7"/>
      <c r="C1014" s="170"/>
      <c r="D1014" s="331">
        <v>1007</v>
      </c>
      <c r="E1014" s="544">
        <f>+DATE(YEAR(E1013),MONTH(E1013)-1,DAY(E1013))</f>
        <v>25569.041666666668</v>
      </c>
      <c r="F1014" s="333">
        <f>IF(DATE(YEAR($B$6),MONTH($B$6)+1,DAY(1))=E1014,1,IF(MONTH(E1014)=1,F1015*(1+$F$5),F1015))</f>
      </c>
      <c r="G1014" s="333">
        <f>IF('Simulador - 1º Pilar'!$E$99="Sí",IF('Aportaciones Flex'!$B$13&lt;'Aportaciones Flex'!E1014,0,F1014*$B$8/12),F1014*$B$8/12)</f>
      </c>
      <c r="H1014" s="333">
        <f>IF(G1014&gt;0,1,0)*$H$5*IF(AND($I$5="NO",YEAR(E1014)=YEAR($B$6)+1),1,IF($I$5="SI",1,0))</f>
      </c>
      <c r="I1014" s="217">
        <f>(1+$M$5)^(D1014/12)*(H1014*(12-IF(MONTH(E1015)=12,0,MONTH(E1015)))+IF(AND(F1014=1,F1015=0),$Q$4,0))*IF(AND(F1014=1,F1015=0),1,0)</f>
      </c>
      <c r="J1014" s="333">
        <f>(1+$M$5)^(D1014/12)*(H1014+IF(AND(F1014=1,F1015=0),$Q$4,0))</f>
      </c>
      <c r="K1014" s="351"/>
      <c r="L1014" s="333">
        <f>K1014+J1014</f>
      </c>
      <c r="M1014" s="170"/>
      <c r="N1014" s="7"/>
      <c r="O1014" s="1"/>
      <c r="P1014" s="331">
        <f>D1014</f>
      </c>
      <c r="Q1014" s="169"/>
      <c r="R1014" s="1"/>
      <c r="S1014" s="217">
        <f>(1+$M$5)^(D1014/12)*(IF(E1014=$C$6,$Q$4+$H$5*12,0))</f>
      </c>
      <c r="T1014" s="217">
        <f>(1+$M$5)^(D1014/12)*(IF(YEAR(E1014)&gt;YEAR($C$6),L1014,0)+IF(E1014=$C$6,$H$5*12+$Q$4,0))</f>
      </c>
    </row>
    <row x14ac:dyDescent="0.25" r="1015" customHeight="1" ht="18.75">
      <c r="A1015" s="1"/>
      <c r="B1015" s="7"/>
      <c r="C1015" s="170"/>
      <c r="D1015" s="331">
        <v>1008</v>
      </c>
      <c r="E1015" s="544">
        <f>+DATE(YEAR(E1014),MONTH(E1014)-1,DAY(E1014))</f>
        <v>25569.041666666668</v>
      </c>
      <c r="F1015" s="333">
        <f>IF(DATE(YEAR($B$6),MONTH($B$6)+1,DAY(1))=E1015,1,IF(MONTH(E1015)=1,F1016*(1+$F$5),F1016))</f>
      </c>
      <c r="G1015" s="333">
        <f>IF('Simulador - 1º Pilar'!$E$99="Sí",IF('Aportaciones Flex'!$B$13&lt;'Aportaciones Flex'!E1015,0,F1015*$B$8/12),F1015*$B$8/12)</f>
      </c>
      <c r="H1015" s="333">
        <f>IF(G1015&gt;0,1,0)*$H$5*IF(AND($I$5="NO",YEAR(E1015)=YEAR($B$6)+1),1,IF($I$5="SI",1,0))</f>
      </c>
      <c r="I1015" s="217">
        <f>(1+$M$5)^(D1015/12)*(H1015*(12-IF(MONTH(E1016)=12,0,MONTH(E1016)))+IF(AND(F1015=1,F1016=0),$Q$4,0))*IF(AND(F1015=1,F1016=0),1,0)</f>
      </c>
      <c r="J1015" s="333">
        <f>(1+$M$5)^(D1015/12)*(H1015+IF(AND(F1015=1,F1016=0),$Q$4,0))</f>
      </c>
      <c r="K1015" s="351"/>
      <c r="L1015" s="333">
        <f>K1015+J1015</f>
      </c>
      <c r="M1015" s="170"/>
      <c r="N1015" s="7"/>
      <c r="O1015" s="1"/>
      <c r="P1015" s="331">
        <f>D1015</f>
      </c>
      <c r="Q1015" s="169"/>
      <c r="R1015" s="1"/>
      <c r="S1015" s="217">
        <f>(1+$M$5)^(D1015/12)*(IF(E1015=$C$6,$Q$4+$H$5*12,0))</f>
      </c>
      <c r="T1015" s="217">
        <f>(1+$M$5)^(D1015/12)*(IF(YEAR(E1015)&gt;YEAR($C$6),L1015,0)+IF(E1015=$C$6,$H$5*12+$Q$4,0))</f>
      </c>
    </row>
    <row x14ac:dyDescent="0.25" r="1016" customHeight="1" ht="18.75">
      <c r="A1016" s="1"/>
      <c r="B1016" s="7"/>
      <c r="C1016" s="170"/>
      <c r="D1016" s="331">
        <v>1009</v>
      </c>
      <c r="E1016" s="544">
        <f>+DATE(YEAR(E1015),MONTH(E1015)-1,DAY(E1015))</f>
        <v>25569.041666666668</v>
      </c>
      <c r="F1016" s="333">
        <f>IF(DATE(YEAR($B$6),MONTH($B$6)+1,DAY(1))=E1016,1,IF(MONTH(E1016)=1,F1017*(1+$F$5),F1017))</f>
      </c>
      <c r="G1016" s="333">
        <f>IF('Simulador - 1º Pilar'!$E$99="Sí",IF('Aportaciones Flex'!$B$13&lt;'Aportaciones Flex'!E1016,0,F1016*$B$8/12),F1016*$B$8/12)</f>
      </c>
      <c r="H1016" s="333">
        <f>IF(G1016&gt;0,1,0)*$H$5*IF(AND($I$5="NO",YEAR(E1016)=YEAR($B$6)+1),1,IF($I$5="SI",1,0))</f>
      </c>
      <c r="I1016" s="217">
        <f>(1+$M$5)^(D1016/12)*(H1016*(12-IF(MONTH(E1017)=12,0,MONTH(E1017)))+IF(AND(F1016=1,F1017=0),$Q$4,0))*IF(AND(F1016=1,F1017=0),1,0)</f>
      </c>
      <c r="J1016" s="333">
        <f>(1+$M$5)^(D1016/12)*(H1016+IF(AND(F1016=1,F1017=0),$Q$4,0))</f>
      </c>
      <c r="K1016" s="351"/>
      <c r="L1016" s="333">
        <f>K1016+J1016</f>
      </c>
      <c r="M1016" s="170"/>
      <c r="N1016" s="7"/>
      <c r="O1016" s="1"/>
      <c r="P1016" s="331">
        <f>D1016</f>
      </c>
      <c r="Q1016" s="169"/>
      <c r="R1016" s="1"/>
      <c r="S1016" s="217">
        <f>(1+$M$5)^(D1016/12)*(IF(E1016=$C$6,$Q$4+$H$5*12,0))</f>
      </c>
      <c r="T1016" s="217">
        <f>(1+$M$5)^(D1016/12)*(IF(YEAR(E1016)&gt;YEAR($C$6),L1016,0)+IF(E1016=$C$6,$H$5*12+$Q$4,0))</f>
      </c>
    </row>
    <row x14ac:dyDescent="0.25" r="1017" customHeight="1" ht="18.75">
      <c r="A1017" s="1"/>
      <c r="B1017" s="7"/>
      <c r="C1017" s="170"/>
      <c r="D1017" s="331">
        <v>1010</v>
      </c>
      <c r="E1017" s="544">
        <f>+DATE(YEAR(E1016),MONTH(E1016)-1,DAY(E1016))</f>
        <v>25569.041666666668</v>
      </c>
      <c r="F1017" s="333">
        <f>IF(DATE(YEAR($B$6),MONTH($B$6)+1,DAY(1))=E1017,1,IF(MONTH(E1017)=1,F1018*(1+$F$5),F1018))</f>
      </c>
      <c r="G1017" s="333">
        <f>IF('Simulador - 1º Pilar'!$E$99="Sí",IF('Aportaciones Flex'!$B$13&lt;'Aportaciones Flex'!E1017,0,F1017*$B$8/12),F1017*$B$8/12)</f>
      </c>
      <c r="H1017" s="333">
        <f>IF(G1017&gt;0,1,0)*$H$5*IF(AND($I$5="NO",YEAR(E1017)=YEAR($B$6)+1),1,IF($I$5="SI",1,0))</f>
      </c>
      <c r="I1017" s="217">
        <f>(1+$M$5)^(D1017/12)*(H1017*(12-IF(MONTH(E1018)=12,0,MONTH(E1018)))+IF(AND(F1017=1,F1018=0),$Q$4,0))*IF(AND(F1017=1,F1018=0),1,0)</f>
      </c>
      <c r="J1017" s="333">
        <f>(1+$M$5)^(D1017/12)*(H1017+IF(AND(F1017=1,F1018=0),$Q$4,0))</f>
      </c>
      <c r="K1017" s="351"/>
      <c r="L1017" s="333">
        <f>K1017+J1017</f>
      </c>
      <c r="M1017" s="170"/>
      <c r="N1017" s="7"/>
      <c r="O1017" s="1"/>
      <c r="P1017" s="331">
        <f>D1017</f>
      </c>
      <c r="Q1017" s="169"/>
      <c r="R1017" s="1"/>
      <c r="S1017" s="217">
        <f>(1+$M$5)^(D1017/12)*(IF(E1017=$C$6,$Q$4+$H$5*12,0))</f>
      </c>
      <c r="T1017" s="217">
        <f>(1+$M$5)^(D1017/12)*(IF(YEAR(E1017)&gt;YEAR($C$6),L1017,0)+IF(E1017=$C$6,$H$5*12+$Q$4,0))</f>
      </c>
    </row>
    <row x14ac:dyDescent="0.25" r="1018" customHeight="1" ht="18.75">
      <c r="A1018" s="1"/>
      <c r="B1018" s="7"/>
      <c r="C1018" s="170"/>
      <c r="D1018" s="331">
        <v>1011</v>
      </c>
      <c r="E1018" s="544">
        <f>+DATE(YEAR(E1017),MONTH(E1017)-1,DAY(E1017))</f>
        <v>25569.041666666668</v>
      </c>
      <c r="F1018" s="333">
        <f>IF(DATE(YEAR($B$6),MONTH($B$6)+1,DAY(1))=E1018,1,IF(MONTH(E1018)=1,F1019*(1+$F$5),F1019))</f>
      </c>
      <c r="G1018" s="333">
        <f>IF('Simulador - 1º Pilar'!$E$99="Sí",IF('Aportaciones Flex'!$B$13&lt;'Aportaciones Flex'!E1018,0,F1018*$B$8/12),F1018*$B$8/12)</f>
      </c>
      <c r="H1018" s="333">
        <f>IF(G1018&gt;0,1,0)*$H$5*IF(AND($I$5="NO",YEAR(E1018)=YEAR($B$6)+1),1,IF($I$5="SI",1,0))</f>
      </c>
      <c r="I1018" s="217">
        <f>(1+$M$5)^(D1018/12)*(H1018*(12-IF(MONTH(E1019)=12,0,MONTH(E1019)))+IF(AND(F1018=1,F1019=0),$Q$4,0))*IF(AND(F1018=1,F1019=0),1,0)</f>
      </c>
      <c r="J1018" s="333">
        <f>(1+$M$5)^(D1018/12)*(H1018+IF(AND(F1018=1,F1019=0),$Q$4,0))</f>
      </c>
      <c r="K1018" s="351"/>
      <c r="L1018" s="333">
        <f>K1018+J1018</f>
      </c>
      <c r="M1018" s="170"/>
      <c r="N1018" s="7"/>
      <c r="O1018" s="1"/>
      <c r="P1018" s="331">
        <f>D1018</f>
      </c>
      <c r="Q1018" s="169"/>
      <c r="R1018" s="1"/>
      <c r="S1018" s="217">
        <f>(1+$M$5)^(D1018/12)*(IF(E1018=$C$6,$Q$4+$H$5*12,0))</f>
      </c>
      <c r="T1018" s="217">
        <f>(1+$M$5)^(D1018/12)*(IF(YEAR(E1018)&gt;YEAR($C$6),L1018,0)+IF(E1018=$C$6,$H$5*12+$Q$4,0))</f>
      </c>
    </row>
    <row x14ac:dyDescent="0.25" r="1019" customHeight="1" ht="18.75">
      <c r="A1019" s="1"/>
      <c r="B1019" s="7"/>
      <c r="C1019" s="170"/>
      <c r="D1019" s="331">
        <v>1012</v>
      </c>
      <c r="E1019" s="544">
        <f>+DATE(YEAR(E1018),MONTH(E1018)-1,DAY(E1018))</f>
        <v>25569.041666666668</v>
      </c>
      <c r="F1019" s="333">
        <f>IF(DATE(YEAR($B$6),MONTH($B$6)+1,DAY(1))=E1019,1,IF(MONTH(E1019)=1,F1020*(1+$F$5),F1020))</f>
      </c>
      <c r="G1019" s="333">
        <f>IF('Simulador - 1º Pilar'!$E$99="Sí",IF('Aportaciones Flex'!$B$13&lt;'Aportaciones Flex'!E1019,0,F1019*$B$8/12),F1019*$B$8/12)</f>
      </c>
      <c r="H1019" s="333">
        <f>IF(G1019&gt;0,1,0)*$H$5*IF(AND($I$5="NO",YEAR(E1019)=YEAR($B$6)+1),1,IF($I$5="SI",1,0))</f>
      </c>
      <c r="I1019" s="217">
        <f>(1+$M$5)^(D1019/12)*(H1019*(12-IF(MONTH(E1020)=12,0,MONTH(E1020)))+IF(AND(F1019=1,F1020=0),$Q$4,0))*IF(AND(F1019=1,F1020=0),1,0)</f>
      </c>
      <c r="J1019" s="333">
        <f>(1+$M$5)^(D1019/12)*(H1019+IF(AND(F1019=1,F1020=0),$Q$4,0))</f>
      </c>
      <c r="K1019" s="351"/>
      <c r="L1019" s="333">
        <f>K1019+J1019</f>
      </c>
      <c r="M1019" s="170"/>
      <c r="N1019" s="7"/>
      <c r="O1019" s="1"/>
      <c r="P1019" s="331">
        <f>D1019</f>
      </c>
      <c r="Q1019" s="169"/>
      <c r="R1019" s="1"/>
      <c r="S1019" s="217">
        <f>(1+$M$5)^(D1019/12)*(IF(E1019=$C$6,$Q$4+$H$5*12,0))</f>
      </c>
      <c r="T1019" s="217">
        <f>(1+$M$5)^(D1019/12)*(IF(YEAR(E1019)&gt;YEAR($C$6),L1019,0)+IF(E1019=$C$6,$H$5*12+$Q$4,0))</f>
      </c>
    </row>
    <row x14ac:dyDescent="0.25" r="1020" customHeight="1" ht="18.75">
      <c r="A1020" s="1"/>
      <c r="B1020" s="7"/>
      <c r="C1020" s="170"/>
      <c r="D1020" s="331">
        <v>1013</v>
      </c>
      <c r="E1020" s="544">
        <f>+DATE(YEAR(E1019),MONTH(E1019)-1,DAY(E1019))</f>
        <v>25569.041666666668</v>
      </c>
      <c r="F1020" s="333">
        <f>IF(DATE(YEAR($B$6),MONTH($B$6)+1,DAY(1))=E1020,1,IF(MONTH(E1020)=1,F1021*(1+$F$5),F1021))</f>
      </c>
      <c r="G1020" s="333">
        <f>IF('Simulador - 1º Pilar'!$E$99="Sí",IF('Aportaciones Flex'!$B$13&lt;'Aportaciones Flex'!E1020,0,F1020*$B$8/12),F1020*$B$8/12)</f>
      </c>
      <c r="H1020" s="333">
        <f>IF(G1020&gt;0,1,0)*$H$5*IF(AND($I$5="NO",YEAR(E1020)=YEAR($B$6)+1),1,IF($I$5="SI",1,0))</f>
      </c>
      <c r="I1020" s="217">
        <f>(1+$M$5)^(D1020/12)*(H1020*(12-IF(MONTH(E1021)=12,0,MONTH(E1021)))+IF(AND(F1020=1,F1021=0),$Q$4,0))*IF(AND(F1020=1,F1021=0),1,0)</f>
      </c>
      <c r="J1020" s="333">
        <f>(1+$M$5)^(D1020/12)*(H1020+IF(AND(F1020=1,F1021=0),$Q$4,0))</f>
      </c>
      <c r="K1020" s="351"/>
      <c r="L1020" s="333">
        <f>K1020+J1020</f>
      </c>
      <c r="M1020" s="170"/>
      <c r="N1020" s="7"/>
      <c r="O1020" s="1"/>
      <c r="P1020" s="331">
        <f>D1020</f>
      </c>
      <c r="Q1020" s="169"/>
      <c r="R1020" s="1"/>
      <c r="S1020" s="217">
        <f>(1+$M$5)^(D1020/12)*(IF(E1020=$C$6,$Q$4+$H$5*12,0))</f>
      </c>
      <c r="T1020" s="217">
        <f>(1+$M$5)^(D1020/12)*(IF(YEAR(E1020)&gt;YEAR($C$6),L1020,0)+IF(E1020=$C$6,$H$5*12+$Q$4,0))</f>
      </c>
    </row>
    <row x14ac:dyDescent="0.25" r="1021" customHeight="1" ht="18.75">
      <c r="A1021" s="1"/>
      <c r="B1021" s="7"/>
      <c r="C1021" s="170"/>
      <c r="D1021" s="331">
        <v>1014</v>
      </c>
      <c r="E1021" s="544">
        <f>+DATE(YEAR(E1020),MONTH(E1020)-1,DAY(E1020))</f>
        <v>25569.041666666668</v>
      </c>
      <c r="F1021" s="333">
        <f>IF(DATE(YEAR($B$6),MONTH($B$6)+1,DAY(1))=E1021,1,IF(MONTH(E1021)=1,F1022*(1+$F$5),F1022))</f>
      </c>
      <c r="G1021" s="333">
        <f>IF('Simulador - 1º Pilar'!$E$99="Sí",IF('Aportaciones Flex'!$B$13&lt;'Aportaciones Flex'!E1021,0,F1021*$B$8/12),F1021*$B$8/12)</f>
      </c>
      <c r="H1021" s="333">
        <f>IF(G1021&gt;0,1,0)*$H$5*IF(AND($I$5="NO",YEAR(E1021)=YEAR($B$6)+1),1,IF($I$5="SI",1,0))</f>
      </c>
      <c r="I1021" s="217">
        <f>(1+$M$5)^(D1021/12)*(H1021*(12-IF(MONTH(E1022)=12,0,MONTH(E1022)))+IF(AND(F1021=1,F1022=0),$Q$4,0))*IF(AND(F1021=1,F1022=0),1,0)</f>
      </c>
      <c r="J1021" s="333">
        <f>(1+$M$5)^(D1021/12)*(H1021+IF(AND(F1021=1,F1022=0),$Q$4,0))</f>
      </c>
      <c r="K1021" s="351"/>
      <c r="L1021" s="333">
        <f>K1021+J1021</f>
      </c>
      <c r="M1021" s="170"/>
      <c r="N1021" s="7"/>
      <c r="O1021" s="1"/>
      <c r="P1021" s="331">
        <f>D1021</f>
      </c>
      <c r="Q1021" s="169"/>
      <c r="R1021" s="1"/>
      <c r="S1021" s="217">
        <f>(1+$M$5)^(D1021/12)*(IF(E1021=$C$6,$Q$4+$H$5*12,0))</f>
      </c>
      <c r="T1021" s="217">
        <f>(1+$M$5)^(D1021/12)*(IF(YEAR(E1021)&gt;YEAR($C$6),L1021,0)+IF(E1021=$C$6,$H$5*12+$Q$4,0))</f>
      </c>
    </row>
    <row x14ac:dyDescent="0.25" r="1022" customHeight="1" ht="18.75">
      <c r="A1022" s="1"/>
      <c r="B1022" s="7"/>
      <c r="C1022" s="170"/>
      <c r="D1022" s="331">
        <v>1015</v>
      </c>
      <c r="E1022" s="544">
        <f>+DATE(YEAR(E1021),MONTH(E1021)-1,DAY(E1021))</f>
        <v>25569.041666666668</v>
      </c>
      <c r="F1022" s="333">
        <f>IF(DATE(YEAR($B$6),MONTH($B$6)+1,DAY(1))=E1022,1,IF(MONTH(E1022)=1,F1023*(1+$F$5),F1023))</f>
      </c>
      <c r="G1022" s="333">
        <f>IF('Simulador - 1º Pilar'!$E$99="Sí",IF('Aportaciones Flex'!$B$13&lt;'Aportaciones Flex'!E1022,0,F1022*$B$8/12),F1022*$B$8/12)</f>
      </c>
      <c r="H1022" s="333">
        <f>IF(G1022&gt;0,1,0)*$H$5*IF(AND($I$5="NO",YEAR(E1022)=YEAR($B$6)+1),1,IF($I$5="SI",1,0))</f>
      </c>
      <c r="I1022" s="217">
        <f>(1+$M$5)^(D1022/12)*(H1022*(12-IF(MONTH(E1023)=12,0,MONTH(E1023)))+IF(AND(F1022=1,F1023=0),$Q$4,0))*IF(AND(F1022=1,F1023=0),1,0)</f>
      </c>
      <c r="J1022" s="333">
        <f>(1+$M$5)^(D1022/12)*(H1022+IF(AND(F1022=1,F1023=0),$Q$4,0))</f>
      </c>
      <c r="K1022" s="351"/>
      <c r="L1022" s="333">
        <f>K1022+J1022</f>
      </c>
      <c r="M1022" s="170"/>
      <c r="N1022" s="7"/>
      <c r="O1022" s="1"/>
      <c r="P1022" s="331">
        <f>D1022</f>
      </c>
      <c r="Q1022" s="169"/>
      <c r="R1022" s="1"/>
      <c r="S1022" s="217">
        <f>(1+$M$5)^(D1022/12)*(IF(E1022=$C$6,$Q$4+$H$5*12,0))</f>
      </c>
      <c r="T1022" s="217">
        <f>(1+$M$5)^(D1022/12)*(IF(YEAR(E1022)&gt;YEAR($C$6),L1022,0)+IF(E1022=$C$6,$H$5*12+$Q$4,0))</f>
      </c>
    </row>
    <row x14ac:dyDescent="0.25" r="1023" customHeight="1" ht="18.75">
      <c r="A1023" s="1"/>
      <c r="B1023" s="7"/>
      <c r="C1023" s="170"/>
      <c r="D1023" s="331">
        <v>1016</v>
      </c>
      <c r="E1023" s="544">
        <f>+DATE(YEAR(E1022),MONTH(E1022)-1,DAY(E1022))</f>
        <v>25569.041666666668</v>
      </c>
      <c r="F1023" s="333">
        <f>IF(DATE(YEAR($B$6),MONTH($B$6)+1,DAY(1))=E1023,1,IF(MONTH(E1023)=1,F1024*(1+$F$5),F1024))</f>
      </c>
      <c r="G1023" s="333">
        <f>IF('Simulador - 1º Pilar'!$E$99="Sí",IF('Aportaciones Flex'!$B$13&lt;'Aportaciones Flex'!E1023,0,F1023*$B$8/12),F1023*$B$8/12)</f>
      </c>
      <c r="H1023" s="333">
        <f>IF(G1023&gt;0,1,0)*$H$5*IF(AND($I$5="NO",YEAR(E1023)=YEAR($B$6)+1),1,IF($I$5="SI",1,0))</f>
      </c>
      <c r="I1023" s="217">
        <f>(1+$M$5)^(D1023/12)*(H1023*(12-IF(MONTH(E1024)=12,0,MONTH(E1024)))+IF(AND(F1023=1,F1024=0),$Q$4,0))*IF(AND(F1023=1,F1024=0),1,0)</f>
      </c>
      <c r="J1023" s="333">
        <f>(1+$M$5)^(D1023/12)*(H1023+IF(AND(F1023=1,F1024=0),$Q$4,0))</f>
      </c>
      <c r="K1023" s="351"/>
      <c r="L1023" s="333">
        <f>K1023+J1023</f>
      </c>
      <c r="M1023" s="170"/>
      <c r="N1023" s="7"/>
      <c r="O1023" s="1"/>
      <c r="P1023" s="331">
        <f>D1023</f>
      </c>
      <c r="Q1023" s="169"/>
      <c r="R1023" s="1"/>
      <c r="S1023" s="217">
        <f>(1+$M$5)^(D1023/12)*(IF(E1023=$C$6,$Q$4+$H$5*12,0))</f>
      </c>
      <c r="T1023" s="217">
        <f>(1+$M$5)^(D1023/12)*(IF(YEAR(E1023)&gt;YEAR($C$6),L1023,0)+IF(E1023=$C$6,$H$5*12+$Q$4,0))</f>
      </c>
    </row>
    <row x14ac:dyDescent="0.25" r="1024" customHeight="1" ht="18.75">
      <c r="A1024" s="1"/>
      <c r="B1024" s="7"/>
      <c r="C1024" s="170"/>
      <c r="D1024" s="331">
        <v>1017</v>
      </c>
      <c r="E1024" s="544">
        <f>+DATE(YEAR(E1023),MONTH(E1023)-1,DAY(E1023))</f>
        <v>25569.041666666668</v>
      </c>
      <c r="F1024" s="333">
        <f>IF(DATE(YEAR($B$6),MONTH($B$6)+1,DAY(1))=E1024,1,IF(MONTH(E1024)=1,F1025*(1+$F$5),F1025))</f>
      </c>
      <c r="G1024" s="333">
        <f>IF('Simulador - 1º Pilar'!$E$99="Sí",IF('Aportaciones Flex'!$B$13&lt;'Aportaciones Flex'!E1024,0,F1024*$B$8/12),F1024*$B$8/12)</f>
      </c>
      <c r="H1024" s="333">
        <f>IF(G1024&gt;0,1,0)*$H$5*IF(AND($I$5="NO",YEAR(E1024)=YEAR($B$6)+1),1,IF($I$5="SI",1,0))</f>
      </c>
      <c r="I1024" s="217">
        <f>(1+$M$5)^(D1024/12)*(H1024*(12-IF(MONTH(E1025)=12,0,MONTH(E1025)))+IF(AND(F1024=1,F1025=0),$Q$4,0))*IF(AND(F1024=1,F1025=0),1,0)</f>
      </c>
      <c r="J1024" s="333">
        <f>(1+$M$5)^(D1024/12)*(H1024+IF(AND(F1024=1,F1025=0),$Q$4,0))</f>
      </c>
      <c r="K1024" s="351"/>
      <c r="L1024" s="333">
        <f>K1024+J1024</f>
      </c>
      <c r="M1024" s="170"/>
      <c r="N1024" s="7"/>
      <c r="O1024" s="1"/>
      <c r="P1024" s="331">
        <f>D1024</f>
      </c>
      <c r="Q1024" s="169"/>
      <c r="R1024" s="1"/>
      <c r="S1024" s="217">
        <f>(1+$M$5)^(D1024/12)*(IF(E1024=$C$6,$Q$4+$H$5*12,0))</f>
      </c>
      <c r="T1024" s="217">
        <f>(1+$M$5)^(D1024/12)*(IF(YEAR(E1024)&gt;YEAR($C$6),L1024,0)+IF(E1024=$C$6,$H$5*12+$Q$4,0))</f>
      </c>
    </row>
    <row x14ac:dyDescent="0.25" r="1025" customHeight="1" ht="18.75">
      <c r="A1025" s="1"/>
      <c r="B1025" s="7"/>
      <c r="C1025" s="170"/>
      <c r="D1025" s="331">
        <v>1018</v>
      </c>
      <c r="E1025" s="544">
        <f>+DATE(YEAR(E1024),MONTH(E1024)-1,DAY(E1024))</f>
        <v>25569.041666666668</v>
      </c>
      <c r="F1025" s="333">
        <f>IF(DATE(YEAR($B$6),MONTH($B$6)+1,DAY(1))=E1025,1,IF(MONTH(E1025)=1,F1026*(1+$F$5),F1026))</f>
      </c>
      <c r="G1025" s="333">
        <f>IF('Simulador - 1º Pilar'!$E$99="Sí",IF('Aportaciones Flex'!$B$13&lt;'Aportaciones Flex'!E1025,0,F1025*$B$8/12),F1025*$B$8/12)</f>
      </c>
      <c r="H1025" s="333">
        <f>IF(G1025&gt;0,1,0)*$H$5*IF(AND($I$5="NO",YEAR(E1025)=YEAR($B$6)+1),1,IF($I$5="SI",1,0))</f>
      </c>
      <c r="I1025" s="217">
        <f>(1+$M$5)^(D1025/12)*(H1025*(12-IF(MONTH(E1026)=12,0,MONTH(E1026)))+IF(AND(F1025=1,F1026=0),$Q$4,0))*IF(AND(F1025=1,F1026=0),1,0)</f>
      </c>
      <c r="J1025" s="333">
        <f>(1+$M$5)^(D1025/12)*(H1025+IF(AND(F1025=1,F1026=0),$Q$4,0))</f>
      </c>
      <c r="K1025" s="351"/>
      <c r="L1025" s="333">
        <f>K1025+J1025</f>
      </c>
      <c r="M1025" s="170"/>
      <c r="N1025" s="7"/>
      <c r="O1025" s="1"/>
      <c r="P1025" s="331">
        <f>D1025</f>
      </c>
      <c r="Q1025" s="169"/>
      <c r="R1025" s="1"/>
      <c r="S1025" s="217">
        <f>(1+$M$5)^(D1025/12)*(IF(E1025=$C$6,$Q$4+$H$5*12,0))</f>
      </c>
      <c r="T1025" s="217">
        <f>(1+$M$5)^(D1025/12)*(IF(YEAR(E1025)&gt;YEAR($C$6),L1025,0)+IF(E1025=$C$6,$H$5*12+$Q$4,0))</f>
      </c>
    </row>
    <row x14ac:dyDescent="0.25" r="1026" customHeight="1" ht="18.75">
      <c r="A1026" s="1"/>
      <c r="B1026" s="7"/>
      <c r="C1026" s="170"/>
      <c r="D1026" s="331">
        <v>1019</v>
      </c>
      <c r="E1026" s="544">
        <f>+DATE(YEAR(E1025),MONTH(E1025)-1,DAY(E1025))</f>
        <v>25569.041666666668</v>
      </c>
      <c r="F1026" s="333">
        <f>IF(DATE(YEAR($B$6),MONTH($B$6)+1,DAY(1))=E1026,1,IF(MONTH(E1026)=1,F1027*(1+$F$5),F1027))</f>
      </c>
      <c r="G1026" s="333">
        <f>IF('Simulador - 1º Pilar'!$E$99="Sí",IF('Aportaciones Flex'!$B$13&lt;'Aportaciones Flex'!E1026,0,F1026*$B$8/12),F1026*$B$8/12)</f>
      </c>
      <c r="H1026" s="333">
        <f>IF(G1026&gt;0,1,0)*$H$5*IF(AND($I$5="NO",YEAR(E1026)=YEAR($B$6)+1),1,IF($I$5="SI",1,0))</f>
      </c>
      <c r="I1026" s="217">
        <f>(1+$M$5)^(D1026/12)*(H1026*(12-IF(MONTH(E1027)=12,0,MONTH(E1027)))+IF(AND(F1026=1,F1027=0),$Q$4,0))*IF(AND(F1026=1,F1027=0),1,0)</f>
      </c>
      <c r="J1026" s="333">
        <f>(1+$M$5)^(D1026/12)*(H1026+IF(AND(F1026=1,F1027=0),$Q$4,0))</f>
      </c>
      <c r="K1026" s="351"/>
      <c r="L1026" s="333">
        <f>K1026+J1026</f>
      </c>
      <c r="M1026" s="170"/>
      <c r="N1026" s="7"/>
      <c r="O1026" s="1"/>
      <c r="P1026" s="331">
        <f>D1026</f>
      </c>
      <c r="Q1026" s="169"/>
      <c r="R1026" s="1"/>
      <c r="S1026" s="217">
        <f>(1+$M$5)^(D1026/12)*(IF(E1026=$C$6,$Q$4+$H$5*12,0))</f>
      </c>
      <c r="T1026" s="217">
        <f>(1+$M$5)^(D1026/12)*(IF(YEAR(E1026)&gt;YEAR($C$6),L1026,0)+IF(E1026=$C$6,$H$5*12+$Q$4,0))</f>
      </c>
    </row>
    <row x14ac:dyDescent="0.25" r="1027" customHeight="1" ht="18.75">
      <c r="A1027" s="1"/>
      <c r="B1027" s="7"/>
      <c r="C1027" s="170"/>
      <c r="D1027" s="331">
        <v>1020</v>
      </c>
      <c r="E1027" s="544">
        <f>+DATE(YEAR(E1026),MONTH(E1026)-1,DAY(E1026))</f>
        <v>25569.041666666668</v>
      </c>
      <c r="F1027" s="333">
        <f>IF(DATE(YEAR($B$6),MONTH($B$6)+1,DAY(1))=E1027,1,IF(MONTH(E1027)=1,F1028*(1+$F$5),F1028))</f>
      </c>
      <c r="G1027" s="333">
        <f>IF('Simulador - 1º Pilar'!$E$99="Sí",IF('Aportaciones Flex'!$B$13&lt;'Aportaciones Flex'!E1027,0,F1027*$B$8/12),F1027*$B$8/12)</f>
      </c>
      <c r="H1027" s="333">
        <f>IF(G1027&gt;0,1,0)*$H$5*IF(AND($I$5="NO",YEAR(E1027)=YEAR($B$6)+1),1,IF($I$5="SI",1,0))</f>
      </c>
      <c r="I1027" s="217">
        <f>(1+$M$5)^(D1027/12)*(H1027*(12-IF(MONTH(E1028)=12,0,MONTH(E1028)))+IF(AND(F1027=1,F1028=0),$Q$4,0))*IF(AND(F1027=1,F1028=0),1,0)</f>
      </c>
      <c r="J1027" s="333">
        <f>(1+$M$5)^(D1027/12)*(H1027+IF(AND(F1027=1,F1028=0),$Q$4,0))</f>
      </c>
      <c r="K1027" s="351"/>
      <c r="L1027" s="333">
        <f>K1027+J1027</f>
      </c>
      <c r="M1027" s="170"/>
      <c r="N1027" s="7"/>
      <c r="O1027" s="1"/>
      <c r="P1027" s="331">
        <f>D1027</f>
      </c>
      <c r="Q1027" s="169"/>
      <c r="R1027" s="1"/>
      <c r="S1027" s="217">
        <f>(1+$M$5)^(D1027/12)*(IF(E1027=$C$6,$Q$4+$H$5*12,0))</f>
      </c>
      <c r="T1027" s="217">
        <f>(1+$M$5)^(D1027/12)*(IF(YEAR(E1027)&gt;YEAR($C$6),L1027,0)+IF(E1027=$C$6,$H$5*12+$Q$4,0))</f>
      </c>
    </row>
    <row x14ac:dyDescent="0.25" r="1028" customHeight="1" ht="18.75">
      <c r="A1028" s="1"/>
      <c r="B1028" s="7"/>
      <c r="C1028" s="170"/>
      <c r="D1028" s="331">
        <v>1021</v>
      </c>
      <c r="E1028" s="544">
        <f>+DATE(YEAR(E1027),MONTH(E1027)-1,DAY(E1027))</f>
        <v>25569.041666666668</v>
      </c>
      <c r="F1028" s="333">
        <f>IF(DATE(YEAR($B$6),MONTH($B$6)+1,DAY(1))=E1028,1,IF(MONTH(E1028)=1,F1029*(1+$F$5),F1029))</f>
      </c>
      <c r="G1028" s="333">
        <f>IF('Simulador - 1º Pilar'!$E$99="Sí",IF('Aportaciones Flex'!$B$13&lt;'Aportaciones Flex'!E1028,0,F1028*$B$8/12),F1028*$B$8/12)</f>
      </c>
      <c r="H1028" s="333">
        <f>IF(G1028&gt;0,1,0)*$H$5*IF(AND($I$5="NO",YEAR(E1028)=YEAR($B$6)+1),1,IF($I$5="SI",1,0))</f>
      </c>
      <c r="I1028" s="217">
        <f>(1+$M$5)^(D1028/12)*(H1028*(12-IF(MONTH(E1029)=12,0,MONTH(E1029)))+IF(AND(F1028=1,F1029=0),$Q$4,0))*IF(AND(F1028=1,F1029=0),1,0)</f>
      </c>
      <c r="J1028" s="333">
        <f>(1+$M$5)^(D1028/12)*(H1028+IF(AND(F1028=1,F1029=0),$Q$4,0))</f>
      </c>
      <c r="K1028" s="351"/>
      <c r="L1028" s="333">
        <f>K1028+J1028</f>
      </c>
      <c r="M1028" s="170"/>
      <c r="N1028" s="7"/>
      <c r="O1028" s="1"/>
      <c r="P1028" s="331">
        <f>D1028</f>
      </c>
      <c r="Q1028" s="169"/>
      <c r="R1028" s="1"/>
      <c r="S1028" s="217">
        <f>(1+$M$5)^(D1028/12)*(IF(E1028=$C$6,$Q$4+$H$5*12,0))</f>
      </c>
      <c r="T1028" s="217">
        <f>(1+$M$5)^(D1028/12)*(IF(YEAR(E1028)&gt;YEAR($C$6),L1028,0)+IF(E1028=$C$6,$H$5*12+$Q$4,0))</f>
      </c>
    </row>
    <row x14ac:dyDescent="0.25" r="1029" customHeight="1" ht="18.75">
      <c r="A1029" s="1"/>
      <c r="B1029" s="7"/>
      <c r="C1029" s="170"/>
      <c r="D1029" s="331">
        <v>1022</v>
      </c>
      <c r="E1029" s="544">
        <f>+DATE(YEAR(E1028),MONTH(E1028)-1,DAY(E1028))</f>
        <v>25569.041666666668</v>
      </c>
      <c r="F1029" s="333">
        <f>IF(DATE(YEAR($B$6),MONTH($B$6)+1,DAY(1))=E1029,1,IF(MONTH(E1029)=1,F1030*(1+$F$5),F1030))</f>
      </c>
      <c r="G1029" s="333">
        <f>IF('Simulador - 1º Pilar'!$E$99="Sí",IF('Aportaciones Flex'!$B$13&lt;'Aportaciones Flex'!E1029,0,F1029*$B$8/12),F1029*$B$8/12)</f>
      </c>
      <c r="H1029" s="333">
        <f>IF(G1029&gt;0,1,0)*$H$5*IF(AND($I$5="NO",YEAR(E1029)=YEAR($B$6)+1),1,IF($I$5="SI",1,0))</f>
      </c>
      <c r="I1029" s="217">
        <f>(1+$M$5)^(D1029/12)*(H1029*(12-IF(MONTH(E1030)=12,0,MONTH(E1030)))+IF(AND(F1029=1,F1030=0),$Q$4,0))*IF(AND(F1029=1,F1030=0),1,0)</f>
      </c>
      <c r="J1029" s="333">
        <f>(1+$M$5)^(D1029/12)*(H1029+IF(AND(F1029=1,F1030=0),$Q$4,0))</f>
      </c>
      <c r="K1029" s="351"/>
      <c r="L1029" s="333">
        <f>K1029+J1029</f>
      </c>
      <c r="M1029" s="170"/>
      <c r="N1029" s="7"/>
      <c r="O1029" s="1"/>
      <c r="P1029" s="331">
        <f>D1029</f>
      </c>
      <c r="Q1029" s="169"/>
      <c r="R1029" s="1"/>
      <c r="S1029" s="217">
        <f>(1+$M$5)^(D1029/12)*(IF(E1029=$C$6,$Q$4+$H$5*12,0))</f>
      </c>
      <c r="T1029" s="217">
        <f>(1+$M$5)^(D1029/12)*(IF(YEAR(E1029)&gt;YEAR($C$6),L1029,0)+IF(E1029=$C$6,$H$5*12+$Q$4,0))</f>
      </c>
    </row>
    <row x14ac:dyDescent="0.25" r="1030" customHeight="1" ht="18.75">
      <c r="A1030" s="1"/>
      <c r="B1030" s="7"/>
      <c r="C1030" s="170"/>
      <c r="D1030" s="331">
        <v>1023</v>
      </c>
      <c r="E1030" s="544">
        <f>+DATE(YEAR(E1029),MONTH(E1029)-1,DAY(E1029))</f>
        <v>25569.041666666668</v>
      </c>
      <c r="F1030" s="333">
        <f>IF(DATE(YEAR($B$6),MONTH($B$6)+1,DAY(1))=E1030,1,IF(MONTH(E1030)=1,F1031*(1+$F$5),F1031))</f>
      </c>
      <c r="G1030" s="333">
        <f>IF('Simulador - 1º Pilar'!$E$99="Sí",IF('Aportaciones Flex'!$B$13&lt;'Aportaciones Flex'!E1030,0,F1030*$B$8/12),F1030*$B$8/12)</f>
      </c>
      <c r="H1030" s="333">
        <f>IF(G1030&gt;0,1,0)*$H$5*IF(AND($I$5="NO",YEAR(E1030)=YEAR($B$6)+1),1,IF($I$5="SI",1,0))</f>
      </c>
      <c r="I1030" s="217">
        <f>(1+$M$5)^(D1030/12)*(H1030*(12-IF(MONTH(E1031)=12,0,MONTH(E1031)))+IF(AND(F1030=1,F1031=0),$Q$4,0))*IF(AND(F1030=1,F1031=0),1,0)</f>
      </c>
      <c r="J1030" s="333">
        <f>(1+$M$5)^(D1030/12)*(H1030+IF(AND(F1030=1,F1031=0),$Q$4,0))</f>
      </c>
      <c r="K1030" s="351"/>
      <c r="L1030" s="333">
        <f>K1030+J1030</f>
      </c>
      <c r="M1030" s="170"/>
      <c r="N1030" s="7"/>
      <c r="O1030" s="1"/>
      <c r="P1030" s="331">
        <f>D1030</f>
      </c>
      <c r="Q1030" s="169"/>
      <c r="R1030" s="1"/>
      <c r="S1030" s="217">
        <f>(1+$M$5)^(D1030/12)*(IF(E1030=$C$6,$Q$4+$H$5*12,0))</f>
      </c>
      <c r="T1030" s="217">
        <f>(1+$M$5)^(D1030/12)*(IF(YEAR(E1030)&gt;YEAR($C$6),L1030,0)+IF(E1030=$C$6,$H$5*12+$Q$4,0))</f>
      </c>
    </row>
    <row x14ac:dyDescent="0.25" r="1031" customHeight="1" ht="18.75">
      <c r="A1031" s="1"/>
      <c r="B1031" s="7"/>
      <c r="C1031" s="170"/>
      <c r="D1031" s="331">
        <v>1024</v>
      </c>
      <c r="E1031" s="544">
        <f>+DATE(YEAR(E1030),MONTH(E1030)-1,DAY(E1030))</f>
        <v>25569.041666666668</v>
      </c>
      <c r="F1031" s="333">
        <f>IF(DATE(YEAR($B$6),MONTH($B$6)+1,DAY(1))=E1031,1,IF(MONTH(E1031)=1,F1032*(1+$F$5),F1032))</f>
      </c>
      <c r="G1031" s="333">
        <f>IF('Simulador - 1º Pilar'!$E$99="Sí",IF('Aportaciones Flex'!$B$13&lt;'Aportaciones Flex'!E1031,0,F1031*$B$8/12),F1031*$B$8/12)</f>
      </c>
      <c r="H1031" s="333">
        <f>IF(G1031&gt;0,1,0)*$H$5*IF(AND($I$5="NO",YEAR(E1031)=YEAR($B$6)+1),1,IF($I$5="SI",1,0))</f>
      </c>
      <c r="I1031" s="217">
        <f>(1+$M$5)^(D1031/12)*(H1031*(12-IF(MONTH(E1032)=12,0,MONTH(E1032)))+IF(AND(F1031=1,F1032=0),$Q$4,0))*IF(AND(F1031=1,F1032=0),1,0)</f>
      </c>
      <c r="J1031" s="333">
        <f>(1+$M$5)^(D1031/12)*(H1031+IF(AND(F1031=1,F1032=0),$Q$4,0))</f>
      </c>
      <c r="K1031" s="351"/>
      <c r="L1031" s="333">
        <f>K1031+J1031</f>
      </c>
      <c r="M1031" s="170"/>
      <c r="N1031" s="7"/>
      <c r="O1031" s="1"/>
      <c r="P1031" s="331">
        <f>D1031</f>
      </c>
      <c r="Q1031" s="169"/>
      <c r="R1031" s="1"/>
      <c r="S1031" s="217">
        <f>(1+$M$5)^(D1031/12)*(IF(E1031=$C$6,$Q$4+$H$5*12,0))</f>
      </c>
      <c r="T1031" s="217">
        <f>(1+$M$5)^(D1031/12)*(IF(YEAR(E1031)&gt;YEAR($C$6),L1031,0)+IF(E1031=$C$6,$H$5*12+$Q$4,0))</f>
      </c>
    </row>
    <row x14ac:dyDescent="0.25" r="1032" customHeight="1" ht="18.75">
      <c r="A1032" s="1"/>
      <c r="B1032" s="7"/>
      <c r="C1032" s="170"/>
      <c r="D1032" s="331">
        <v>1025</v>
      </c>
      <c r="E1032" s="544">
        <f>+DATE(YEAR(E1031),MONTH(E1031)-1,DAY(E1031))</f>
        <v>25569.041666666668</v>
      </c>
      <c r="F1032" s="333">
        <f>IF(DATE(YEAR($B$6),MONTH($B$6)+1,DAY(1))=E1032,1,IF(MONTH(E1032)=1,F1033*(1+$F$5),F1033))</f>
      </c>
      <c r="G1032" s="333">
        <f>IF('Simulador - 1º Pilar'!$E$99="Sí",IF('Aportaciones Flex'!$B$13&lt;'Aportaciones Flex'!E1032,0,F1032*$B$8/12),F1032*$B$8/12)</f>
      </c>
      <c r="H1032" s="333">
        <f>IF(G1032&gt;0,1,0)*$H$5*IF(AND($I$5="NO",YEAR(E1032)=YEAR($B$6)+1),1,IF($I$5="SI",1,0))</f>
      </c>
      <c r="I1032" s="217">
        <f>(1+$M$5)^(D1032/12)*(H1032*(12-IF(MONTH(E1033)=12,0,MONTH(E1033)))+IF(AND(F1032=1,F1033=0),$Q$4,0))*IF(AND(F1032=1,F1033=0),1,0)</f>
      </c>
      <c r="J1032" s="333">
        <f>(1+$M$5)^(D1032/12)*(H1032+IF(AND(F1032=1,F1033=0),$Q$4,0))</f>
      </c>
      <c r="K1032" s="351"/>
      <c r="L1032" s="333">
        <f>K1032+J1032</f>
      </c>
      <c r="M1032" s="170"/>
      <c r="N1032" s="7"/>
      <c r="O1032" s="1"/>
      <c r="P1032" s="331">
        <f>D1032</f>
      </c>
      <c r="Q1032" s="169"/>
      <c r="R1032" s="1"/>
      <c r="S1032" s="217">
        <f>(1+$M$5)^(D1032/12)*(IF(E1032=$C$6,$Q$4+$H$5*12,0))</f>
      </c>
      <c r="T1032" s="217">
        <f>(1+$M$5)^(D1032/12)*(IF(YEAR(E1032)&gt;YEAR($C$6),L1032,0)+IF(E1032=$C$6,$H$5*12+$Q$4,0))</f>
      </c>
    </row>
    <row x14ac:dyDescent="0.25" r="1033" customHeight="1" ht="18.75">
      <c r="A1033" s="1"/>
      <c r="B1033" s="7"/>
      <c r="C1033" s="170"/>
      <c r="D1033" s="331">
        <v>1026</v>
      </c>
      <c r="E1033" s="544">
        <f>+DATE(YEAR(E1032),MONTH(E1032)-1,DAY(E1032))</f>
        <v>25569.041666666668</v>
      </c>
      <c r="F1033" s="333">
        <f>IF(DATE(YEAR($B$6),MONTH($B$6)+1,DAY(1))=E1033,1,IF(MONTH(E1033)=1,F1034*(1+$F$5),F1034))</f>
      </c>
      <c r="G1033" s="333">
        <f>IF('Simulador - 1º Pilar'!$E$99="Sí",IF('Aportaciones Flex'!$B$13&lt;'Aportaciones Flex'!E1033,0,F1033*$B$8/12),F1033*$B$8/12)</f>
      </c>
      <c r="H1033" s="333">
        <f>IF(G1033&gt;0,1,0)*$H$5*IF(AND($I$5="NO",YEAR(E1033)=YEAR($B$6)+1),1,IF($I$5="SI",1,0))</f>
      </c>
      <c r="I1033" s="217">
        <f>(1+$M$5)^(D1033/12)*(H1033*(12-IF(MONTH(E1034)=12,0,MONTH(E1034)))+IF(AND(F1033=1,F1034=0),$Q$4,0))*IF(AND(F1033=1,F1034=0),1,0)</f>
      </c>
      <c r="J1033" s="333">
        <f>(1+$M$5)^(D1033/12)*(H1033+IF(AND(F1033=1,F1034=0),$Q$4,0))</f>
      </c>
      <c r="K1033" s="351"/>
      <c r="L1033" s="333">
        <f>K1033+J1033</f>
      </c>
      <c r="M1033" s="170"/>
      <c r="N1033" s="7"/>
      <c r="O1033" s="1"/>
      <c r="P1033" s="331">
        <f>D1033</f>
      </c>
      <c r="Q1033" s="169"/>
      <c r="R1033" s="1"/>
      <c r="S1033" s="217">
        <f>(1+$M$5)^(D1033/12)*(IF(E1033=$C$6,$Q$4+$H$5*12,0))</f>
      </c>
      <c r="T1033" s="217">
        <f>(1+$M$5)^(D1033/12)*(IF(YEAR(E1033)&gt;YEAR($C$6),L1033,0)+IF(E1033=$C$6,$H$5*12+$Q$4,0))</f>
      </c>
    </row>
    <row x14ac:dyDescent="0.25" r="1034" customHeight="1" ht="18.75">
      <c r="A1034" s="1"/>
      <c r="B1034" s="7"/>
      <c r="C1034" s="170"/>
      <c r="D1034" s="331">
        <v>1027</v>
      </c>
      <c r="E1034" s="544">
        <f>+DATE(YEAR(E1033),MONTH(E1033)-1,DAY(E1033))</f>
        <v>25569.041666666668</v>
      </c>
      <c r="F1034" s="333">
        <f>IF(DATE(YEAR($B$6),MONTH($B$6)+1,DAY(1))=E1034,1,IF(MONTH(E1034)=1,F1035*(1+$F$5),F1035))</f>
      </c>
      <c r="G1034" s="333">
        <f>IF('Simulador - 1º Pilar'!$E$99="Sí",IF('Aportaciones Flex'!$B$13&lt;'Aportaciones Flex'!E1034,0,F1034*$B$8/12),F1034*$B$8/12)</f>
      </c>
      <c r="H1034" s="333">
        <f>IF(G1034&gt;0,1,0)*$H$5*IF(AND($I$5="NO",YEAR(E1034)=YEAR($B$6)+1),1,IF($I$5="SI",1,0))</f>
      </c>
      <c r="I1034" s="217">
        <f>(1+$M$5)^(D1034/12)*(H1034*(12-IF(MONTH(E1035)=12,0,MONTH(E1035)))+IF(AND(F1034=1,F1035=0),$Q$4,0))*IF(AND(F1034=1,F1035=0),1,0)</f>
      </c>
      <c r="J1034" s="333">
        <f>(1+$M$5)^(D1034/12)*(H1034+IF(AND(F1034=1,F1035=0),$Q$4,0))</f>
      </c>
      <c r="K1034" s="351"/>
      <c r="L1034" s="333">
        <f>K1034+J1034</f>
      </c>
      <c r="M1034" s="170"/>
      <c r="N1034" s="7"/>
      <c r="O1034" s="1"/>
      <c r="P1034" s="331">
        <f>D1034</f>
      </c>
      <c r="Q1034" s="169"/>
      <c r="R1034" s="1"/>
      <c r="S1034" s="217">
        <f>(1+$M$5)^(D1034/12)*(IF(E1034=$C$6,$Q$4+$H$5*12,0))</f>
      </c>
      <c r="T1034" s="217">
        <f>(1+$M$5)^(D1034/12)*(IF(YEAR(E1034)&gt;YEAR($C$6),L1034,0)+IF(E1034=$C$6,$H$5*12+$Q$4,0))</f>
      </c>
    </row>
    <row x14ac:dyDescent="0.25" r="1035" customHeight="1" ht="18.75">
      <c r="A1035" s="1"/>
      <c r="B1035" s="7"/>
      <c r="C1035" s="170"/>
      <c r="D1035" s="331">
        <v>1028</v>
      </c>
      <c r="E1035" s="544">
        <f>+DATE(YEAR(E1034),MONTH(E1034)-1,DAY(E1034))</f>
        <v>25569.041666666668</v>
      </c>
      <c r="F1035" s="333">
        <f>IF(DATE(YEAR($B$6),MONTH($B$6)+1,DAY(1))=E1035,1,IF(MONTH(E1035)=1,F1036*(1+$F$5),F1036))</f>
      </c>
      <c r="G1035" s="333">
        <f>IF('Simulador - 1º Pilar'!$E$99="Sí",IF('Aportaciones Flex'!$B$13&lt;'Aportaciones Flex'!E1035,0,F1035*$B$8/12),F1035*$B$8/12)</f>
      </c>
      <c r="H1035" s="333">
        <f>IF(G1035&gt;0,1,0)*$H$5*IF(AND($I$5="NO",YEAR(E1035)=YEAR($B$6)+1),1,IF($I$5="SI",1,0))</f>
      </c>
      <c r="I1035" s="217">
        <f>(1+$M$5)^(D1035/12)*(H1035*(12-IF(MONTH(E1036)=12,0,MONTH(E1036)))+IF(AND(F1035=1,F1036=0),$Q$4,0))*IF(AND(F1035=1,F1036=0),1,0)</f>
      </c>
      <c r="J1035" s="333">
        <f>(1+$M$5)^(D1035/12)*(H1035+IF(AND(F1035=1,F1036=0),$Q$4,0))</f>
      </c>
      <c r="K1035" s="351"/>
      <c r="L1035" s="333">
        <f>K1035+J1035</f>
      </c>
      <c r="M1035" s="170"/>
      <c r="N1035" s="7"/>
      <c r="O1035" s="1"/>
      <c r="P1035" s="331">
        <f>D1035</f>
      </c>
      <c r="Q1035" s="169"/>
      <c r="R1035" s="1"/>
      <c r="S1035" s="217">
        <f>(1+$M$5)^(D1035/12)*(IF(E1035=$C$6,$Q$4+$H$5*12,0))</f>
      </c>
      <c r="T1035" s="217">
        <f>(1+$M$5)^(D1035/12)*(IF(YEAR(E1035)&gt;YEAR($C$6),L1035,0)+IF(E1035=$C$6,$H$5*12+$Q$4,0))</f>
      </c>
    </row>
    <row x14ac:dyDescent="0.25" r="1036" customHeight="1" ht="18.75">
      <c r="A1036" s="1"/>
      <c r="B1036" s="7"/>
      <c r="C1036" s="170"/>
      <c r="D1036" s="331">
        <v>1029</v>
      </c>
      <c r="E1036" s="544">
        <f>+DATE(YEAR(E1035),MONTH(E1035)-1,DAY(E1035))</f>
        <v>25569.041666666668</v>
      </c>
      <c r="F1036" s="333">
        <f>IF(DATE(YEAR($B$6),MONTH($B$6)+1,DAY(1))=E1036,1,IF(MONTH(E1036)=1,F1037*(1+$F$5),F1037))</f>
      </c>
      <c r="G1036" s="333">
        <f>IF('Simulador - 1º Pilar'!$E$99="Sí",IF('Aportaciones Flex'!$B$13&lt;'Aportaciones Flex'!E1036,0,F1036*$B$8/12),F1036*$B$8/12)</f>
      </c>
      <c r="H1036" s="333">
        <f>IF(G1036&gt;0,1,0)*$H$5*IF(AND($I$5="NO",YEAR(E1036)=YEAR($B$6)+1),1,IF($I$5="SI",1,0))</f>
      </c>
      <c r="I1036" s="217">
        <f>(1+$M$5)^(D1036/12)*(H1036*(12-IF(MONTH(E1037)=12,0,MONTH(E1037)))+IF(AND(F1036=1,F1037=0),$Q$4,0))*IF(AND(F1036=1,F1037=0),1,0)</f>
      </c>
      <c r="J1036" s="333">
        <f>(1+$M$5)^(D1036/12)*(H1036+IF(AND(F1036=1,F1037=0),$Q$4,0))</f>
      </c>
      <c r="K1036" s="351"/>
      <c r="L1036" s="333">
        <f>K1036+J1036</f>
      </c>
      <c r="M1036" s="170"/>
      <c r="N1036" s="7"/>
      <c r="O1036" s="1"/>
      <c r="P1036" s="331">
        <f>D1036</f>
      </c>
      <c r="Q1036" s="169"/>
      <c r="R1036" s="1"/>
      <c r="S1036" s="217">
        <f>(1+$M$5)^(D1036/12)*(IF(E1036=$C$6,$Q$4+$H$5*12,0))</f>
      </c>
      <c r="T1036" s="217">
        <f>(1+$M$5)^(D1036/12)*(IF(YEAR(E1036)&gt;YEAR($C$6),L1036,0)+IF(E1036=$C$6,$H$5*12+$Q$4,0))</f>
      </c>
    </row>
    <row x14ac:dyDescent="0.25" r="1037" customHeight="1" ht="18.75">
      <c r="A1037" s="1"/>
      <c r="B1037" s="7"/>
      <c r="C1037" s="170"/>
      <c r="D1037" s="331">
        <v>1030</v>
      </c>
      <c r="E1037" s="544">
        <f>+DATE(YEAR(E1036),MONTH(E1036)-1,DAY(E1036))</f>
        <v>25569.041666666668</v>
      </c>
      <c r="F1037" s="333">
        <f>IF(DATE(YEAR($B$6),MONTH($B$6)+1,DAY(1))=E1037,1,IF(MONTH(E1037)=1,F1038*(1+$F$5),F1038))</f>
      </c>
      <c r="G1037" s="333">
        <f>IF('Simulador - 1º Pilar'!$E$99="Sí",IF('Aportaciones Flex'!$B$13&lt;'Aportaciones Flex'!E1037,0,F1037*$B$8/12),F1037*$B$8/12)</f>
      </c>
      <c r="H1037" s="333">
        <f>IF(G1037&gt;0,1,0)*$H$5*IF(AND($I$5="NO",YEAR(E1037)=YEAR($B$6)+1),1,IF($I$5="SI",1,0))</f>
      </c>
      <c r="I1037" s="217">
        <f>(1+$M$5)^(D1037/12)*(H1037*(12-IF(MONTH(E1038)=12,0,MONTH(E1038)))+IF(AND(F1037=1,F1038=0),$Q$4,0))*IF(AND(F1037=1,F1038=0),1,0)</f>
      </c>
      <c r="J1037" s="333">
        <f>(1+$M$5)^(D1037/12)*(H1037+IF(AND(F1037=1,F1038=0),$Q$4,0))</f>
      </c>
      <c r="K1037" s="351"/>
      <c r="L1037" s="333">
        <f>K1037+J1037</f>
      </c>
      <c r="M1037" s="170"/>
      <c r="N1037" s="7"/>
      <c r="O1037" s="1"/>
      <c r="P1037" s="331">
        <f>D1037</f>
      </c>
      <c r="Q1037" s="169"/>
      <c r="R1037" s="1"/>
      <c r="S1037" s="217">
        <f>(1+$M$5)^(D1037/12)*(IF(E1037=$C$6,$Q$4+$H$5*12,0))</f>
      </c>
      <c r="T1037" s="217">
        <f>(1+$M$5)^(D1037/12)*(IF(YEAR(E1037)&gt;YEAR($C$6),L1037,0)+IF(E1037=$C$6,$H$5*12+$Q$4,0))</f>
      </c>
    </row>
    <row x14ac:dyDescent="0.25" r="1038" customHeight="1" ht="18.75">
      <c r="A1038" s="1"/>
      <c r="B1038" s="7"/>
      <c r="C1038" s="170"/>
      <c r="D1038" s="331">
        <v>1031</v>
      </c>
      <c r="E1038" s="544">
        <f>+DATE(YEAR(E1037),MONTH(E1037)-1,DAY(E1037))</f>
        <v>25569.041666666668</v>
      </c>
      <c r="F1038" s="333">
        <f>IF(DATE(YEAR($B$6),MONTH($B$6)+1,DAY(1))=E1038,1,IF(MONTH(E1038)=1,F1039*(1+$F$5),F1039))</f>
      </c>
      <c r="G1038" s="333">
        <f>IF('Simulador - 1º Pilar'!$E$99="Sí",IF('Aportaciones Flex'!$B$13&lt;'Aportaciones Flex'!E1038,0,F1038*$B$8/12),F1038*$B$8/12)</f>
      </c>
      <c r="H1038" s="333">
        <f>IF(G1038&gt;0,1,0)*$H$5*IF(AND($I$5="NO",YEAR(E1038)=YEAR($B$6)+1),1,IF($I$5="SI",1,0))</f>
      </c>
      <c r="I1038" s="217">
        <f>(1+$M$5)^(D1038/12)*(H1038*(12-IF(MONTH(E1039)=12,0,MONTH(E1039)))+IF(AND(F1038=1,F1039=0),$Q$4,0))*IF(AND(F1038=1,F1039=0),1,0)</f>
      </c>
      <c r="J1038" s="333">
        <f>(1+$M$5)^(D1038/12)*(H1038+IF(AND(F1038=1,F1039=0),$Q$4,0))</f>
      </c>
      <c r="K1038" s="351"/>
      <c r="L1038" s="333">
        <f>K1038+J1038</f>
      </c>
      <c r="M1038" s="170"/>
      <c r="N1038" s="7"/>
      <c r="O1038" s="1"/>
      <c r="P1038" s="331">
        <f>D1038</f>
      </c>
      <c r="Q1038" s="169"/>
      <c r="R1038" s="1"/>
      <c r="S1038" s="217">
        <f>(1+$M$5)^(D1038/12)*(IF(E1038=$C$6,$Q$4+$H$5*12,0))</f>
      </c>
      <c r="T1038" s="217">
        <f>(1+$M$5)^(D1038/12)*(IF(YEAR(E1038)&gt;YEAR($C$6),L1038,0)+IF(E1038=$C$6,$H$5*12+$Q$4,0))</f>
      </c>
    </row>
    <row x14ac:dyDescent="0.25" r="1039" customHeight="1" ht="18.75">
      <c r="A1039" s="1"/>
      <c r="B1039" s="7"/>
      <c r="C1039" s="170"/>
      <c r="D1039" s="331">
        <v>1032</v>
      </c>
      <c r="E1039" s="544">
        <f>+DATE(YEAR(E1038),MONTH(E1038)-1,DAY(E1038))</f>
        <v>25569.041666666668</v>
      </c>
      <c r="F1039" s="333">
        <f>IF(DATE(YEAR($B$6),MONTH($B$6)+1,DAY(1))=E1039,1,IF(MONTH(E1039)=1,F1040*(1+$F$5),F1040))</f>
      </c>
      <c r="G1039" s="333">
        <f>IF('Simulador - 1º Pilar'!$E$99="Sí",IF('Aportaciones Flex'!$B$13&lt;'Aportaciones Flex'!E1039,0,F1039*$B$8/12),F1039*$B$8/12)</f>
      </c>
      <c r="H1039" s="333">
        <f>IF(G1039&gt;0,1,0)*$H$5*IF(AND($I$5="NO",YEAR(E1039)=YEAR($B$6)+1),1,IF($I$5="SI",1,0))</f>
      </c>
      <c r="I1039" s="217">
        <f>(1+$M$5)^(D1039/12)*(H1039*(12-IF(MONTH(E1040)=12,0,MONTH(E1040)))+IF(AND(F1039=1,F1040=0),$Q$4,0))*IF(AND(F1039=1,F1040=0),1,0)</f>
      </c>
      <c r="J1039" s="333">
        <f>(1+$M$5)^(D1039/12)*(H1039+IF(AND(F1039=1,F1040=0),$Q$4,0))</f>
      </c>
      <c r="K1039" s="351"/>
      <c r="L1039" s="333">
        <f>K1039+J1039</f>
      </c>
      <c r="M1039" s="170"/>
      <c r="N1039" s="7"/>
      <c r="O1039" s="1"/>
      <c r="P1039" s="331">
        <f>D1039</f>
      </c>
      <c r="Q1039" s="169"/>
      <c r="R1039" s="1"/>
      <c r="S1039" s="217">
        <f>(1+$M$5)^(D1039/12)*(IF(E1039=$C$6,$Q$4+$H$5*12,0))</f>
      </c>
      <c r="T1039" s="217">
        <f>(1+$M$5)^(D1039/12)*(IF(YEAR(E1039)&gt;YEAR($C$6),L1039,0)+IF(E1039=$C$6,$H$5*12+$Q$4,0))</f>
      </c>
    </row>
    <row x14ac:dyDescent="0.25" r="1040" customHeight="1" ht="18.75">
      <c r="A1040" s="1"/>
      <c r="B1040" s="7"/>
      <c r="C1040" s="170"/>
      <c r="D1040" s="331">
        <v>1033</v>
      </c>
      <c r="E1040" s="544">
        <f>+DATE(YEAR(E1039),MONTH(E1039)-1,DAY(E1039))</f>
        <v>25569.041666666668</v>
      </c>
      <c r="F1040" s="333">
        <f>IF(DATE(YEAR($B$6),MONTH($B$6)+1,DAY(1))=E1040,1,IF(MONTH(E1040)=1,F1041*(1+$F$5),F1041))</f>
      </c>
      <c r="G1040" s="333">
        <f>IF('Simulador - 1º Pilar'!$E$99="Sí",IF('Aportaciones Flex'!$B$13&lt;'Aportaciones Flex'!E1040,0,F1040*$B$8/12),F1040*$B$8/12)</f>
      </c>
      <c r="H1040" s="333">
        <f>IF(G1040&gt;0,1,0)*$H$5*IF(AND($I$5="NO",YEAR(E1040)=YEAR($B$6)+1),1,IF($I$5="SI",1,0))</f>
      </c>
      <c r="I1040" s="217">
        <f>(1+$M$5)^(D1040/12)*(H1040*(12-IF(MONTH(E1041)=12,0,MONTH(E1041)))+IF(AND(F1040=1,F1041=0),$Q$4,0))*IF(AND(F1040=1,F1041=0),1,0)</f>
      </c>
      <c r="J1040" s="333">
        <f>(1+$M$5)^(D1040/12)*(H1040+IF(AND(F1040=1,F1041=0),$Q$4,0))</f>
      </c>
      <c r="K1040" s="351"/>
      <c r="L1040" s="333">
        <f>K1040+J1040</f>
      </c>
      <c r="M1040" s="170"/>
      <c r="N1040" s="7"/>
      <c r="O1040" s="1"/>
      <c r="P1040" s="331">
        <f>D1040</f>
      </c>
      <c r="Q1040" s="169"/>
      <c r="R1040" s="1"/>
      <c r="S1040" s="217">
        <f>(1+$M$5)^(D1040/12)*(IF(E1040=$C$6,$Q$4+$H$5*12,0))</f>
      </c>
      <c r="T1040" s="217">
        <f>(1+$M$5)^(D1040/12)*(IF(YEAR(E1040)&gt;YEAR($C$6),L1040,0)+IF(E1040=$C$6,$H$5*12+$Q$4,0))</f>
      </c>
    </row>
    <row x14ac:dyDescent="0.25" r="1041" customHeight="1" ht="18.75">
      <c r="A1041" s="1"/>
      <c r="B1041" s="7"/>
      <c r="C1041" s="170"/>
      <c r="D1041" s="331">
        <v>1034</v>
      </c>
      <c r="E1041" s="544">
        <f>+DATE(YEAR(E1040),MONTH(E1040)-1,DAY(E1040))</f>
        <v>25569.041666666668</v>
      </c>
      <c r="F1041" s="333">
        <f>IF(DATE(YEAR($B$6),MONTH($B$6)+1,DAY(1))=E1041,1,IF(MONTH(E1041)=1,F1042*(1+$F$5),F1042))</f>
      </c>
      <c r="G1041" s="333">
        <f>IF('Simulador - 1º Pilar'!$E$99="Sí",IF('Aportaciones Flex'!$B$13&lt;'Aportaciones Flex'!E1041,0,F1041*$B$8/12),F1041*$B$8/12)</f>
      </c>
      <c r="H1041" s="333">
        <f>IF(G1041&gt;0,1,0)*$H$5*IF(AND($I$5="NO",YEAR(E1041)=YEAR($B$6)+1),1,IF($I$5="SI",1,0))</f>
      </c>
      <c r="I1041" s="217">
        <f>(1+$M$5)^(D1041/12)*(H1041*(12-IF(MONTH(E1042)=12,0,MONTH(E1042)))+IF(AND(F1041=1,F1042=0),$Q$4,0))*IF(AND(F1041=1,F1042=0),1,0)</f>
      </c>
      <c r="J1041" s="333">
        <f>(1+$M$5)^(D1041/12)*(H1041+IF(AND(F1041=1,F1042=0),$Q$4,0))</f>
      </c>
      <c r="K1041" s="351"/>
      <c r="L1041" s="333">
        <f>K1041+J1041</f>
      </c>
      <c r="M1041" s="170"/>
      <c r="N1041" s="7"/>
      <c r="O1041" s="1"/>
      <c r="P1041" s="331">
        <f>D1041</f>
      </c>
      <c r="Q1041" s="169"/>
      <c r="R1041" s="1"/>
      <c r="S1041" s="217">
        <f>(1+$M$5)^(D1041/12)*(IF(E1041=$C$6,$Q$4+$H$5*12,0))</f>
      </c>
      <c r="T1041" s="217">
        <f>(1+$M$5)^(D1041/12)*(IF(YEAR(E1041)&gt;YEAR($C$6),L1041,0)+IF(E1041=$C$6,$H$5*12+$Q$4,0))</f>
      </c>
    </row>
    <row x14ac:dyDescent="0.25" r="1042" customHeight="1" ht="18.75">
      <c r="A1042" s="1"/>
      <c r="B1042" s="7"/>
      <c r="C1042" s="170"/>
      <c r="D1042" s="331">
        <v>1035</v>
      </c>
      <c r="E1042" s="544">
        <f>+DATE(YEAR(E1041),MONTH(E1041)-1,DAY(E1041))</f>
        <v>25569.041666666668</v>
      </c>
      <c r="F1042" s="333">
        <f>IF(DATE(YEAR($B$6),MONTH($B$6)+1,DAY(1))=E1042,1,IF(MONTH(E1042)=1,F1043*(1+$F$5),F1043))</f>
      </c>
      <c r="G1042" s="333">
        <f>IF('Simulador - 1º Pilar'!$E$99="Sí",IF('Aportaciones Flex'!$B$13&lt;'Aportaciones Flex'!E1042,0,F1042*$B$8/12),F1042*$B$8/12)</f>
      </c>
      <c r="H1042" s="333">
        <f>IF(G1042&gt;0,1,0)*$H$5*IF(AND($I$5="NO",YEAR(E1042)=YEAR($B$6)+1),1,IF($I$5="SI",1,0))</f>
      </c>
      <c r="I1042" s="217">
        <f>(1+$M$5)^(D1042/12)*(H1042*(12-IF(MONTH(E1043)=12,0,MONTH(E1043)))+IF(AND(F1042=1,F1043=0),$Q$4,0))*IF(AND(F1042=1,F1043=0),1,0)</f>
      </c>
      <c r="J1042" s="333">
        <f>(1+$M$5)^(D1042/12)*(H1042+IF(AND(F1042=1,F1043=0),$Q$4,0))</f>
      </c>
      <c r="K1042" s="351"/>
      <c r="L1042" s="333">
        <f>K1042+J1042</f>
      </c>
      <c r="M1042" s="170"/>
      <c r="N1042" s="7"/>
      <c r="O1042" s="1"/>
      <c r="P1042" s="331">
        <f>D1042</f>
      </c>
      <c r="Q1042" s="169"/>
      <c r="R1042" s="1"/>
      <c r="S1042" s="217">
        <f>(1+$M$5)^(D1042/12)*(IF(E1042=$C$6,$Q$4+$H$5*12,0))</f>
      </c>
      <c r="T1042" s="217">
        <f>(1+$M$5)^(D1042/12)*(IF(YEAR(E1042)&gt;YEAR($C$6),L1042,0)+IF(E1042=$C$6,$H$5*12+$Q$4,0))</f>
      </c>
    </row>
    <row x14ac:dyDescent="0.25" r="1043" customHeight="1" ht="18.75">
      <c r="A1043" s="1"/>
      <c r="B1043" s="7"/>
      <c r="C1043" s="170"/>
      <c r="D1043" s="331">
        <v>1036</v>
      </c>
      <c r="E1043" s="544">
        <f>+DATE(YEAR(E1042),MONTH(E1042)-1,DAY(E1042))</f>
        <v>25569.041666666668</v>
      </c>
      <c r="F1043" s="333">
        <f>IF(DATE(YEAR($B$6),MONTH($B$6)+1,DAY(1))=E1043,1,IF(MONTH(E1043)=1,F1044*(1+$F$5),F1044))</f>
      </c>
      <c r="G1043" s="333">
        <f>IF('Simulador - 1º Pilar'!$E$99="Sí",IF('Aportaciones Flex'!$B$13&lt;'Aportaciones Flex'!E1043,0,F1043*$B$8/12),F1043*$B$8/12)</f>
      </c>
      <c r="H1043" s="333">
        <f>IF(G1043&gt;0,1,0)*$H$5*IF(AND($I$5="NO",YEAR(E1043)=YEAR($B$6)+1),1,IF($I$5="SI",1,0))</f>
      </c>
      <c r="I1043" s="217">
        <f>(1+$M$5)^(D1043/12)*(H1043*(12-IF(MONTH(E1044)=12,0,MONTH(E1044)))+IF(AND(F1043=1,F1044=0),$Q$4,0))*IF(AND(F1043=1,F1044=0),1,0)</f>
      </c>
      <c r="J1043" s="333">
        <f>(1+$M$5)^(D1043/12)*(H1043+IF(AND(F1043=1,F1044=0),$Q$4,0))</f>
      </c>
      <c r="K1043" s="351"/>
      <c r="L1043" s="333">
        <f>K1043+J1043</f>
      </c>
      <c r="M1043" s="170"/>
      <c r="N1043" s="7"/>
      <c r="O1043" s="1"/>
      <c r="P1043" s="331">
        <f>D1043</f>
      </c>
      <c r="Q1043" s="169"/>
      <c r="R1043" s="1"/>
      <c r="S1043" s="217">
        <f>(1+$M$5)^(D1043/12)*(IF(E1043=$C$6,$Q$4+$H$5*12,0))</f>
      </c>
      <c r="T1043" s="217">
        <f>(1+$M$5)^(D1043/12)*(IF(YEAR(E1043)&gt;YEAR($C$6),L1043,0)+IF(E1043=$C$6,$H$5*12+$Q$4,0))</f>
      </c>
    </row>
    <row x14ac:dyDescent="0.25" r="1044" customHeight="1" ht="18.75">
      <c r="A1044" s="1"/>
      <c r="B1044" s="7"/>
      <c r="C1044" s="170"/>
      <c r="D1044" s="331">
        <v>1037</v>
      </c>
      <c r="E1044" s="544">
        <f>+DATE(YEAR(E1043),MONTH(E1043)-1,DAY(E1043))</f>
        <v>25569.041666666668</v>
      </c>
      <c r="F1044" s="333">
        <f>IF(DATE(YEAR($B$6),MONTH($B$6)+1,DAY(1))=E1044,1,IF(MONTH(E1044)=1,F1045*(1+$F$5),F1045))</f>
      </c>
      <c r="G1044" s="333">
        <f>IF('Simulador - 1º Pilar'!$E$99="Sí",IF('Aportaciones Flex'!$B$13&lt;'Aportaciones Flex'!E1044,0,F1044*$B$8/12),F1044*$B$8/12)</f>
      </c>
      <c r="H1044" s="333">
        <f>IF(G1044&gt;0,1,0)*$H$5*IF(AND($I$5="NO",YEAR(E1044)=YEAR($B$6)+1),1,IF($I$5="SI",1,0))</f>
      </c>
      <c r="I1044" s="217">
        <f>(1+$M$5)^(D1044/12)*(H1044*(12-IF(MONTH(E1045)=12,0,MONTH(E1045)))+IF(AND(F1044=1,F1045=0),$Q$4,0))*IF(AND(F1044=1,F1045=0),1,0)</f>
      </c>
      <c r="J1044" s="333">
        <f>(1+$M$5)^(D1044/12)*(H1044+IF(AND(F1044=1,F1045=0),$Q$4,0))</f>
      </c>
      <c r="K1044" s="351"/>
      <c r="L1044" s="333">
        <f>K1044+J1044</f>
      </c>
      <c r="M1044" s="170"/>
      <c r="N1044" s="7"/>
      <c r="O1044" s="1"/>
      <c r="P1044" s="331">
        <f>D1044</f>
      </c>
      <c r="Q1044" s="169"/>
      <c r="R1044" s="1"/>
      <c r="S1044" s="217">
        <f>(1+$M$5)^(D1044/12)*(IF(E1044=$C$6,$Q$4+$H$5*12,0))</f>
      </c>
      <c r="T1044" s="217">
        <f>(1+$M$5)^(D1044/12)*(IF(YEAR(E1044)&gt;YEAR($C$6),L1044,0)+IF(E1044=$C$6,$H$5*12+$Q$4,0))</f>
      </c>
    </row>
    <row x14ac:dyDescent="0.25" r="1045" customHeight="1" ht="18.75">
      <c r="A1045" s="1"/>
      <c r="B1045" s="7"/>
      <c r="C1045" s="170"/>
      <c r="D1045" s="331">
        <v>1038</v>
      </c>
      <c r="E1045" s="544">
        <f>+DATE(YEAR(E1044),MONTH(E1044)-1,DAY(E1044))</f>
        <v>25569.041666666668</v>
      </c>
      <c r="F1045" s="333">
        <f>IF(DATE(YEAR($B$6),MONTH($B$6)+1,DAY(1))=E1045,1,IF(MONTH(E1045)=1,F1046*(1+$F$5),F1046))</f>
      </c>
      <c r="G1045" s="333">
        <f>IF('Simulador - 1º Pilar'!$E$99="Sí",IF('Aportaciones Flex'!$B$13&lt;'Aportaciones Flex'!E1045,0,F1045*$B$8/12),F1045*$B$8/12)</f>
      </c>
      <c r="H1045" s="333">
        <f>IF(G1045&gt;0,1,0)*$H$5*IF(AND($I$5="NO",YEAR(E1045)=YEAR($B$6)+1),1,IF($I$5="SI",1,0))</f>
      </c>
      <c r="I1045" s="217">
        <f>(1+$M$5)^(D1045/12)*(H1045*(12-IF(MONTH(E1046)=12,0,MONTH(E1046)))+IF(AND(F1045=1,F1046=0),$Q$4,0))*IF(AND(F1045=1,F1046=0),1,0)</f>
      </c>
      <c r="J1045" s="333">
        <f>(1+$M$5)^(D1045/12)*(H1045+IF(AND(F1045=1,F1046=0),$Q$4,0))</f>
      </c>
      <c r="K1045" s="351"/>
      <c r="L1045" s="333">
        <f>K1045+J1045</f>
      </c>
      <c r="M1045" s="170"/>
      <c r="N1045" s="7"/>
      <c r="O1045" s="1"/>
      <c r="P1045" s="331">
        <f>D1045</f>
      </c>
      <c r="Q1045" s="169"/>
      <c r="R1045" s="1"/>
      <c r="S1045" s="217">
        <f>(1+$M$5)^(D1045/12)*(IF(E1045=$C$6,$Q$4+$H$5*12,0))</f>
      </c>
      <c r="T1045" s="217">
        <f>(1+$M$5)^(D1045/12)*(IF(YEAR(E1045)&gt;YEAR($C$6),L1045,0)+IF(E1045=$C$6,$H$5*12+$Q$4,0))</f>
      </c>
    </row>
    <row x14ac:dyDescent="0.25" r="1046" customHeight="1" ht="18.75">
      <c r="A1046" s="1"/>
      <c r="B1046" s="7"/>
      <c r="C1046" s="170"/>
      <c r="D1046" s="331">
        <v>1039</v>
      </c>
      <c r="E1046" s="544">
        <f>+DATE(YEAR(E1045),MONTH(E1045)-1,DAY(E1045))</f>
        <v>25569.041666666668</v>
      </c>
      <c r="F1046" s="333">
        <f>IF(DATE(YEAR($B$6),MONTH($B$6)+1,DAY(1))=E1046,1,IF(MONTH(E1046)=1,F1047*(1+$F$5),F1047))</f>
      </c>
      <c r="G1046" s="333">
        <f>IF('Simulador - 1º Pilar'!$E$99="Sí",IF('Aportaciones Flex'!$B$13&lt;'Aportaciones Flex'!E1046,0,F1046*$B$8/12),F1046*$B$8/12)</f>
      </c>
      <c r="H1046" s="333">
        <f>IF(G1046&gt;0,1,0)*$H$5*IF(AND($I$5="NO",YEAR(E1046)=YEAR($B$6)+1),1,IF($I$5="SI",1,0))</f>
      </c>
      <c r="I1046" s="217">
        <f>(1+$M$5)^(D1046/12)*(H1046*(12-IF(MONTH(E1047)=12,0,MONTH(E1047)))+IF(AND(F1046=1,F1047=0),$Q$4,0))*IF(AND(F1046=1,F1047=0),1,0)</f>
      </c>
      <c r="J1046" s="333">
        <f>(1+$M$5)^(D1046/12)*(H1046+IF(AND(F1046=1,F1047=0),$Q$4,0))</f>
      </c>
      <c r="K1046" s="351"/>
      <c r="L1046" s="333">
        <f>K1046+J1046</f>
      </c>
      <c r="M1046" s="170"/>
      <c r="N1046" s="7"/>
      <c r="O1046" s="1"/>
      <c r="P1046" s="331">
        <f>D1046</f>
      </c>
      <c r="Q1046" s="169"/>
      <c r="R1046" s="1"/>
      <c r="S1046" s="217">
        <f>(1+$M$5)^(D1046/12)*(IF(E1046=$C$6,$Q$4+$H$5*12,0))</f>
      </c>
      <c r="T1046" s="217">
        <f>(1+$M$5)^(D1046/12)*(IF(YEAR(E1046)&gt;YEAR($C$6),L1046,0)+IF(E1046=$C$6,$H$5*12+$Q$4,0))</f>
      </c>
    </row>
    <row x14ac:dyDescent="0.25" r="1047" customHeight="1" ht="18.75">
      <c r="A1047" s="1"/>
      <c r="B1047" s="7"/>
      <c r="C1047" s="170"/>
      <c r="D1047" s="331">
        <v>1040</v>
      </c>
      <c r="E1047" s="544">
        <f>+DATE(YEAR(E1046),MONTH(E1046)-1,DAY(E1046))</f>
        <v>25569.041666666668</v>
      </c>
      <c r="F1047" s="333">
        <f>IF(DATE(YEAR($B$6),MONTH($B$6)+1,DAY(1))=E1047,1,IF(MONTH(E1047)=1,F1048*(1+$F$5),F1048))</f>
      </c>
      <c r="G1047" s="333">
        <f>IF('Simulador - 1º Pilar'!$E$99="Sí",IF('Aportaciones Flex'!$B$13&lt;'Aportaciones Flex'!E1047,0,F1047*$B$8/12),F1047*$B$8/12)</f>
      </c>
      <c r="H1047" s="333">
        <f>IF(G1047&gt;0,1,0)*$H$5*IF(AND($I$5="NO",YEAR(E1047)=YEAR($B$6)+1),1,IF($I$5="SI",1,0))</f>
      </c>
      <c r="I1047" s="217">
        <f>(1+$M$5)^(D1047/12)*(H1047*(12-IF(MONTH(E1048)=12,0,MONTH(E1048)))+IF(AND(F1047=1,F1048=0),$Q$4,0))*IF(AND(F1047=1,F1048=0),1,0)</f>
      </c>
      <c r="J1047" s="333">
        <f>(1+$M$5)^(D1047/12)*(H1047+IF(AND(F1047=1,F1048=0),$Q$4,0))</f>
      </c>
      <c r="K1047" s="351"/>
      <c r="L1047" s="333">
        <f>K1047+J1047</f>
      </c>
      <c r="M1047" s="170"/>
      <c r="N1047" s="7"/>
      <c r="O1047" s="1"/>
      <c r="P1047" s="331">
        <f>D1047</f>
      </c>
      <c r="Q1047" s="169"/>
      <c r="R1047" s="1"/>
      <c r="S1047" s="217">
        <f>(1+$M$5)^(D1047/12)*(IF(E1047=$C$6,$Q$4+$H$5*12,0))</f>
      </c>
      <c r="T1047" s="217">
        <f>(1+$M$5)^(D1047/12)*(IF(YEAR(E1047)&gt;YEAR($C$6),L1047,0)+IF(E1047=$C$6,$H$5*12+$Q$4,0))</f>
      </c>
    </row>
    <row x14ac:dyDescent="0.25" r="1048" customHeight="1" ht="18.75">
      <c r="A1048" s="1"/>
      <c r="B1048" s="7"/>
      <c r="C1048" s="170"/>
      <c r="D1048" s="331">
        <v>1041</v>
      </c>
      <c r="E1048" s="544">
        <f>+DATE(YEAR(E1047),MONTH(E1047)-1,DAY(E1047))</f>
        <v>25569.041666666668</v>
      </c>
      <c r="F1048" s="333">
        <f>IF(DATE(YEAR($B$6),MONTH($B$6)+1,DAY(1))=E1048,1,IF(MONTH(E1048)=1,F1049*(1+$F$5),F1049))</f>
      </c>
      <c r="G1048" s="333">
        <f>IF('Simulador - 1º Pilar'!$E$99="Sí",IF('Aportaciones Flex'!$B$13&lt;'Aportaciones Flex'!E1048,0,F1048*$B$8/12),F1048*$B$8/12)</f>
      </c>
      <c r="H1048" s="333">
        <f>IF(G1048&gt;0,1,0)*$H$5*IF(AND($I$5="NO",YEAR(E1048)=YEAR($B$6)+1),1,IF($I$5="SI",1,0))</f>
      </c>
      <c r="I1048" s="217">
        <f>(1+$M$5)^(D1048/12)*(H1048*(12-IF(MONTH(E1049)=12,0,MONTH(E1049)))+IF(AND(F1048=1,F1049=0),$Q$4,0))*IF(AND(F1048=1,F1049=0),1,0)</f>
      </c>
      <c r="J1048" s="333">
        <f>(1+$M$5)^(D1048/12)*(H1048+IF(AND(F1048=1,F1049=0),$Q$4,0))</f>
      </c>
      <c r="K1048" s="351"/>
      <c r="L1048" s="333">
        <f>K1048+J1048</f>
      </c>
      <c r="M1048" s="170"/>
      <c r="N1048" s="7"/>
      <c r="O1048" s="1"/>
      <c r="P1048" s="331">
        <f>D1048</f>
      </c>
      <c r="Q1048" s="169"/>
      <c r="R1048" s="1"/>
      <c r="S1048" s="217">
        <f>(1+$M$5)^(D1048/12)*(IF(E1048=$C$6,$Q$4+$H$5*12,0))</f>
      </c>
      <c r="T1048" s="217">
        <f>(1+$M$5)^(D1048/12)*(IF(YEAR(E1048)&gt;YEAR($C$6),L1048,0)+IF(E1048=$C$6,$H$5*12+$Q$4,0))</f>
      </c>
    </row>
    <row x14ac:dyDescent="0.25" r="1049" customHeight="1" ht="18.75">
      <c r="A1049" s="1"/>
      <c r="B1049" s="7"/>
      <c r="C1049" s="170"/>
      <c r="D1049" s="331">
        <v>1042</v>
      </c>
      <c r="E1049" s="544">
        <f>+DATE(YEAR(E1048),MONTH(E1048)-1,DAY(E1048))</f>
        <v>25569.041666666668</v>
      </c>
      <c r="F1049" s="333">
        <f>IF(DATE(YEAR($B$6),MONTH($B$6)+1,DAY(1))=E1049,1,IF(MONTH(E1049)=1,F1050*(1+$F$5),F1050))</f>
      </c>
      <c r="G1049" s="333">
        <f>IF('Simulador - 1º Pilar'!$E$99="Sí",IF('Aportaciones Flex'!$B$13&lt;'Aportaciones Flex'!E1049,0,F1049*$B$8/12),F1049*$B$8/12)</f>
      </c>
      <c r="H1049" s="333">
        <f>IF(G1049&gt;0,1,0)*$H$5*IF(AND($I$5="NO",YEAR(E1049)=YEAR($B$6)+1),1,IF($I$5="SI",1,0))</f>
      </c>
      <c r="I1049" s="217">
        <f>(1+$M$5)^(D1049/12)*(H1049*(12-IF(MONTH(E1050)=12,0,MONTH(E1050)))+IF(AND(F1049=1,F1050=0),$Q$4,0))*IF(AND(F1049=1,F1050=0),1,0)</f>
      </c>
      <c r="J1049" s="333">
        <f>(1+$M$5)^(D1049/12)*(H1049+IF(AND(F1049=1,F1050=0),$Q$4,0))</f>
      </c>
      <c r="K1049" s="351"/>
      <c r="L1049" s="333">
        <f>K1049+J1049</f>
      </c>
      <c r="M1049" s="170"/>
      <c r="N1049" s="7"/>
      <c r="O1049" s="1"/>
      <c r="P1049" s="331">
        <f>D1049</f>
      </c>
      <c r="Q1049" s="169"/>
      <c r="R1049" s="1"/>
      <c r="S1049" s="217">
        <f>(1+$M$5)^(D1049/12)*(IF(E1049=$C$6,$Q$4+$H$5*12,0))</f>
      </c>
      <c r="T1049" s="217">
        <f>(1+$M$5)^(D1049/12)*(IF(YEAR(E1049)&gt;YEAR($C$6),L1049,0)+IF(E1049=$C$6,$H$5*12+$Q$4,0))</f>
      </c>
    </row>
    <row x14ac:dyDescent="0.25" r="1050" customHeight="1" ht="18.75">
      <c r="A1050" s="1"/>
      <c r="B1050" s="7"/>
      <c r="C1050" s="170"/>
      <c r="D1050" s="331">
        <v>1043</v>
      </c>
      <c r="E1050" s="544">
        <f>+DATE(YEAR(E1049),MONTH(E1049)-1,DAY(E1049))</f>
        <v>25569.041666666668</v>
      </c>
      <c r="F1050" s="333">
        <f>IF(DATE(YEAR($B$6),MONTH($B$6)+1,DAY(1))=E1050,1,IF(MONTH(E1050)=1,F1051*(1+$F$5),F1051))</f>
      </c>
      <c r="G1050" s="333">
        <f>IF('Simulador - 1º Pilar'!$E$99="Sí",IF('Aportaciones Flex'!$B$13&lt;'Aportaciones Flex'!E1050,0,F1050*$B$8/12),F1050*$B$8/12)</f>
      </c>
      <c r="H1050" s="333">
        <f>IF(G1050&gt;0,1,0)*$H$5*IF(AND($I$5="NO",YEAR(E1050)=YEAR($B$6)+1),1,IF($I$5="SI",1,0))</f>
      </c>
      <c r="I1050" s="217">
        <f>(1+$M$5)^(D1050/12)*(H1050*(12-IF(MONTH(E1051)=12,0,MONTH(E1051)))+IF(AND(F1050=1,F1051=0),$Q$4,0))*IF(AND(F1050=1,F1051=0),1,0)</f>
      </c>
      <c r="J1050" s="333">
        <f>(1+$M$5)^(D1050/12)*(H1050+IF(AND(F1050=1,F1051=0),$Q$4,0))</f>
      </c>
      <c r="K1050" s="351"/>
      <c r="L1050" s="333">
        <f>K1050+J1050</f>
      </c>
      <c r="M1050" s="170"/>
      <c r="N1050" s="7"/>
      <c r="O1050" s="1"/>
      <c r="P1050" s="331">
        <f>D1050</f>
      </c>
      <c r="Q1050" s="169"/>
      <c r="R1050" s="1"/>
      <c r="S1050" s="217">
        <f>(1+$M$5)^(D1050/12)*(IF(E1050=$C$6,$Q$4+$H$5*12,0))</f>
      </c>
      <c r="T1050" s="217">
        <f>(1+$M$5)^(D1050/12)*(IF(YEAR(E1050)&gt;YEAR($C$6),L1050,0)+IF(E1050=$C$6,$H$5*12+$Q$4,0))</f>
      </c>
    </row>
    <row x14ac:dyDescent="0.25" r="1051" customHeight="1" ht="18.75">
      <c r="A1051" s="1"/>
      <c r="B1051" s="7"/>
      <c r="C1051" s="170"/>
      <c r="D1051" s="331">
        <v>1044</v>
      </c>
      <c r="E1051" s="544">
        <f>+DATE(YEAR(E1050),MONTH(E1050)-1,DAY(E1050))</f>
        <v>25569.041666666668</v>
      </c>
      <c r="F1051" s="333">
        <f>IF(DATE(YEAR($B$6),MONTH($B$6)+1,DAY(1))=E1051,1,IF(MONTH(E1051)=1,F1052*(1+$F$5),F1052))</f>
      </c>
      <c r="G1051" s="333">
        <f>IF('Simulador - 1º Pilar'!$E$99="Sí",IF('Aportaciones Flex'!$B$13&lt;'Aportaciones Flex'!E1051,0,F1051*$B$8/12),F1051*$B$8/12)</f>
      </c>
      <c r="H1051" s="333">
        <f>IF(G1051&gt;0,1,0)*$H$5*IF(AND($I$5="NO",YEAR(E1051)=YEAR($B$6)+1),1,IF($I$5="SI",1,0))</f>
      </c>
      <c r="I1051" s="217">
        <f>(1+$M$5)^(D1051/12)*(H1051*(12-IF(MONTH(E1052)=12,0,MONTH(E1052)))+IF(AND(F1051=1,F1052=0),$Q$4,0))*IF(AND(F1051=1,F1052=0),1,0)</f>
      </c>
      <c r="J1051" s="333">
        <f>(1+$M$5)^(D1051/12)*(H1051+IF(AND(F1051=1,F1052=0),$Q$4,0))</f>
      </c>
      <c r="K1051" s="351"/>
      <c r="L1051" s="333">
        <f>K1051+J1051</f>
      </c>
      <c r="M1051" s="170"/>
      <c r="N1051" s="7"/>
      <c r="O1051" s="1"/>
      <c r="P1051" s="331">
        <f>D1051</f>
      </c>
      <c r="Q1051" s="169"/>
      <c r="R1051" s="1"/>
      <c r="S1051" s="217">
        <f>(1+$M$5)^(D1051/12)*(IF(E1051=$C$6,$Q$4+$H$5*12,0))</f>
      </c>
      <c r="T1051" s="217">
        <f>(1+$M$5)^(D1051/12)*(IF(YEAR(E1051)&gt;YEAR($C$6),L1051,0)+IF(E1051=$C$6,$H$5*12+$Q$4,0))</f>
      </c>
    </row>
    <row x14ac:dyDescent="0.25" r="1052" customHeight="1" ht="18.75">
      <c r="A1052" s="1"/>
      <c r="B1052" s="7"/>
      <c r="C1052" s="170"/>
      <c r="D1052" s="331">
        <v>1045</v>
      </c>
      <c r="E1052" s="544">
        <f>+DATE(YEAR(E1051),MONTH(E1051)-1,DAY(E1051))</f>
        <v>25569.041666666668</v>
      </c>
      <c r="F1052" s="333">
        <f>IF(DATE(YEAR($B$6),MONTH($B$6)+1,DAY(1))=E1052,1,IF(MONTH(E1052)=1,F1053*(1+$F$5),F1053))</f>
      </c>
      <c r="G1052" s="333">
        <f>IF('Simulador - 1º Pilar'!$E$99="Sí",IF('Aportaciones Flex'!$B$13&lt;'Aportaciones Flex'!E1052,0,F1052*$B$8/12),F1052*$B$8/12)</f>
      </c>
      <c r="H1052" s="333">
        <f>IF(G1052&gt;0,1,0)*$H$5*IF(AND($I$5="NO",YEAR(E1052)=YEAR($B$6)+1),1,IF($I$5="SI",1,0))</f>
      </c>
      <c r="I1052" s="217">
        <f>(1+$M$5)^(D1052/12)*(H1052*(12-IF(MONTH(E1053)=12,0,MONTH(E1053)))+IF(AND(F1052=1,F1053=0),$Q$4,0))*IF(AND(F1052=1,F1053=0),1,0)</f>
      </c>
      <c r="J1052" s="333">
        <f>(1+$M$5)^(D1052/12)*(H1052+IF(AND(F1052=1,F1053=0),$Q$4,0))</f>
      </c>
      <c r="K1052" s="351"/>
      <c r="L1052" s="333">
        <f>K1052+J1052</f>
      </c>
      <c r="M1052" s="170"/>
      <c r="N1052" s="7"/>
      <c r="O1052" s="1"/>
      <c r="P1052" s="331">
        <f>D1052</f>
      </c>
      <c r="Q1052" s="169"/>
      <c r="R1052" s="1"/>
      <c r="S1052" s="217">
        <f>(1+$M$5)^(D1052/12)*(IF(E1052=$C$6,$Q$4+$H$5*12,0))</f>
      </c>
      <c r="T1052" s="217">
        <f>(1+$M$5)^(D1052/12)*(IF(YEAR(E1052)&gt;YEAR($C$6),L1052,0)+IF(E1052=$C$6,$H$5*12+$Q$4,0))</f>
      </c>
    </row>
    <row x14ac:dyDescent="0.25" r="1053" customHeight="1" ht="18.75">
      <c r="A1053" s="1"/>
      <c r="B1053" s="7"/>
      <c r="C1053" s="170"/>
      <c r="D1053" s="331">
        <v>1046</v>
      </c>
      <c r="E1053" s="544">
        <f>+DATE(YEAR(E1052),MONTH(E1052)-1,DAY(E1052))</f>
        <v>25569.041666666668</v>
      </c>
      <c r="F1053" s="333">
        <f>IF(DATE(YEAR($B$6),MONTH($B$6)+1,DAY(1))=E1053,1,IF(MONTH(E1053)=1,F1054*(1+$F$5),F1054))</f>
      </c>
      <c r="G1053" s="333">
        <f>IF('Simulador - 1º Pilar'!$E$99="Sí",IF('Aportaciones Flex'!$B$13&lt;'Aportaciones Flex'!E1053,0,F1053*$B$8/12),F1053*$B$8/12)</f>
      </c>
      <c r="H1053" s="333">
        <f>IF(G1053&gt;0,1,0)*$H$5*IF(AND($I$5="NO",YEAR(E1053)=YEAR($B$6)+1),1,IF($I$5="SI",1,0))</f>
      </c>
      <c r="I1053" s="217">
        <f>(1+$M$5)^(D1053/12)*(H1053*(12-IF(MONTH(E1054)=12,0,MONTH(E1054)))+IF(AND(F1053=1,F1054=0),$Q$4,0))*IF(AND(F1053=1,F1054=0),1,0)</f>
      </c>
      <c r="J1053" s="333">
        <f>(1+$M$5)^(D1053/12)*(H1053+IF(AND(F1053=1,F1054=0),$Q$4,0))</f>
      </c>
      <c r="K1053" s="351"/>
      <c r="L1053" s="333">
        <f>K1053+J1053</f>
      </c>
      <c r="M1053" s="170"/>
      <c r="N1053" s="7"/>
      <c r="O1053" s="1"/>
      <c r="P1053" s="331">
        <f>D1053</f>
      </c>
      <c r="Q1053" s="169"/>
      <c r="R1053" s="1"/>
      <c r="S1053" s="217">
        <f>(1+$M$5)^(D1053/12)*(IF(E1053=$C$6,$Q$4+$H$5*12,0))</f>
      </c>
      <c r="T1053" s="217">
        <f>(1+$M$5)^(D1053/12)*(IF(YEAR(E1053)&gt;YEAR($C$6),L1053,0)+IF(E1053=$C$6,$H$5*12+$Q$4,0))</f>
      </c>
    </row>
    <row x14ac:dyDescent="0.25" r="1054" customHeight="1" ht="18.75">
      <c r="A1054" s="1"/>
      <c r="B1054" s="7"/>
      <c r="C1054" s="170"/>
      <c r="D1054" s="331">
        <v>1047</v>
      </c>
      <c r="E1054" s="544">
        <f>+DATE(YEAR(E1053),MONTH(E1053)-1,DAY(E1053))</f>
        <v>25569.041666666668</v>
      </c>
      <c r="F1054" s="333">
        <f>IF(DATE(YEAR($B$6),MONTH($B$6)+1,DAY(1))=E1054,1,IF(MONTH(E1054)=1,F1055*(1+$F$5),F1055))</f>
      </c>
      <c r="G1054" s="333">
        <f>IF('Simulador - 1º Pilar'!$E$99="Sí",IF('Aportaciones Flex'!$B$13&lt;'Aportaciones Flex'!E1054,0,F1054*$B$8/12),F1054*$B$8/12)</f>
      </c>
      <c r="H1054" s="333">
        <f>IF(G1054&gt;0,1,0)*$H$5*IF(AND($I$5="NO",YEAR(E1054)=YEAR($B$6)+1),1,IF($I$5="SI",1,0))</f>
      </c>
      <c r="I1054" s="217">
        <f>(1+$M$5)^(D1054/12)*(H1054*(12-IF(MONTH(E1055)=12,0,MONTH(E1055)))+IF(AND(F1054=1,F1055=0),$Q$4,0))*IF(AND(F1054=1,F1055=0),1,0)</f>
      </c>
      <c r="J1054" s="333">
        <f>(1+$M$5)^(D1054/12)*(H1054+IF(AND(F1054=1,F1055=0),$Q$4,0))</f>
      </c>
      <c r="K1054" s="351"/>
      <c r="L1054" s="333">
        <f>K1054+J1054</f>
      </c>
      <c r="M1054" s="170"/>
      <c r="N1054" s="7"/>
      <c r="O1054" s="1"/>
      <c r="P1054" s="331">
        <f>D1054</f>
      </c>
      <c r="Q1054" s="169"/>
      <c r="R1054" s="1"/>
      <c r="S1054" s="217">
        <f>(1+$M$5)^(D1054/12)*(IF(E1054=$C$6,$Q$4+$H$5*12,0))</f>
      </c>
      <c r="T1054" s="217">
        <f>(1+$M$5)^(D1054/12)*(IF(YEAR(E1054)&gt;YEAR($C$6),L1054,0)+IF(E1054=$C$6,$H$5*12+$Q$4,0))</f>
      </c>
    </row>
    <row x14ac:dyDescent="0.25" r="1055" customHeight="1" ht="18.75">
      <c r="A1055" s="1"/>
      <c r="B1055" s="7"/>
      <c r="C1055" s="170"/>
      <c r="D1055" s="331">
        <v>1048</v>
      </c>
      <c r="E1055" s="544">
        <f>+DATE(YEAR(E1054),MONTH(E1054)-1,DAY(E1054))</f>
        <v>25569.041666666668</v>
      </c>
      <c r="F1055" s="333">
        <f>IF(DATE(YEAR($B$6),MONTH($B$6)+1,DAY(1))=E1055,1,IF(MONTH(E1055)=1,F1056*(1+$F$5),F1056))</f>
      </c>
      <c r="G1055" s="333">
        <f>IF('Simulador - 1º Pilar'!$E$99="Sí",IF('Aportaciones Flex'!$B$13&lt;'Aportaciones Flex'!E1055,0,F1055*$B$8/12),F1055*$B$8/12)</f>
      </c>
      <c r="H1055" s="333">
        <f>IF(G1055&gt;0,1,0)*$H$5*IF(AND($I$5="NO",YEAR(E1055)=YEAR($B$6)+1),1,IF($I$5="SI",1,0))</f>
      </c>
      <c r="I1055" s="217">
        <f>(1+$M$5)^(D1055/12)*(H1055*(12-IF(MONTH(E1056)=12,0,MONTH(E1056)))+IF(AND(F1055=1,F1056=0),$Q$4,0))*IF(AND(F1055=1,F1056=0),1,0)</f>
      </c>
      <c r="J1055" s="333">
        <f>(1+$M$5)^(D1055/12)*(H1055+IF(AND(F1055=1,F1056=0),$Q$4,0))</f>
      </c>
      <c r="K1055" s="351"/>
      <c r="L1055" s="333">
        <f>K1055+J1055</f>
      </c>
      <c r="M1055" s="170"/>
      <c r="N1055" s="7"/>
      <c r="O1055" s="1"/>
      <c r="P1055" s="331">
        <f>D1055</f>
      </c>
      <c r="Q1055" s="169"/>
      <c r="R1055" s="1"/>
      <c r="S1055" s="217">
        <f>(1+$M$5)^(D1055/12)*(IF(E1055=$C$6,$Q$4+$H$5*12,0))</f>
      </c>
      <c r="T1055" s="217">
        <f>(1+$M$5)^(D1055/12)*(IF(YEAR(E1055)&gt;YEAR($C$6),L1055,0)+IF(E1055=$C$6,$H$5*12+$Q$4,0))</f>
      </c>
    </row>
    <row x14ac:dyDescent="0.25" r="1056" customHeight="1" ht="18.75">
      <c r="A1056" s="1"/>
      <c r="B1056" s="7"/>
      <c r="C1056" s="170"/>
      <c r="D1056" s="331">
        <v>1049</v>
      </c>
      <c r="E1056" s="544">
        <f>+DATE(YEAR(E1055),MONTH(E1055)-1,DAY(E1055))</f>
        <v>25569.041666666668</v>
      </c>
      <c r="F1056" s="333">
        <f>IF(DATE(YEAR($B$6),MONTH($B$6)+1,DAY(1))=E1056,1,IF(MONTH(E1056)=1,F1057*(1+$F$5),F1057))</f>
      </c>
      <c r="G1056" s="333">
        <f>IF('Simulador - 1º Pilar'!$E$99="Sí",IF('Aportaciones Flex'!$B$13&lt;'Aportaciones Flex'!E1056,0,F1056*$B$8/12),F1056*$B$8/12)</f>
      </c>
      <c r="H1056" s="333">
        <f>IF(G1056&gt;0,1,0)*$H$5*IF(AND($I$5="NO",YEAR(E1056)=YEAR($B$6)+1),1,IF($I$5="SI",1,0))</f>
      </c>
      <c r="I1056" s="217">
        <f>(1+$M$5)^(D1056/12)*(H1056*(12-IF(MONTH(E1057)=12,0,MONTH(E1057)))+IF(AND(F1056=1,F1057=0),$Q$4,0))*IF(AND(F1056=1,F1057=0),1,0)</f>
      </c>
      <c r="J1056" s="333">
        <f>(1+$M$5)^(D1056/12)*(H1056+IF(AND(F1056=1,F1057=0),$Q$4,0))</f>
      </c>
      <c r="K1056" s="351"/>
      <c r="L1056" s="333">
        <f>K1056+J1056</f>
      </c>
      <c r="M1056" s="170"/>
      <c r="N1056" s="7"/>
      <c r="O1056" s="1"/>
      <c r="P1056" s="331">
        <f>D1056</f>
      </c>
      <c r="Q1056" s="169"/>
      <c r="R1056" s="1"/>
      <c r="S1056" s="217">
        <f>(1+$M$5)^(D1056/12)*(IF(E1056=$C$6,$Q$4+$H$5*12,0))</f>
      </c>
      <c r="T1056" s="217">
        <f>(1+$M$5)^(D1056/12)*(IF(YEAR(E1056)&gt;YEAR($C$6),L1056,0)+IF(E1056=$C$6,$H$5*12+$Q$4,0))</f>
      </c>
    </row>
    <row x14ac:dyDescent="0.25" r="1057" customHeight="1" ht="18.75">
      <c r="A1057" s="1"/>
      <c r="B1057" s="7"/>
      <c r="C1057" s="170"/>
      <c r="D1057" s="331">
        <v>1050</v>
      </c>
      <c r="E1057" s="544">
        <f>+DATE(YEAR(E1056),MONTH(E1056)-1,DAY(E1056))</f>
        <v>25569.041666666668</v>
      </c>
      <c r="F1057" s="333">
        <f>IF(DATE(YEAR($B$6),MONTH($B$6)+1,DAY(1))=E1057,1,IF(MONTH(E1057)=1,F1058*(1+$F$5),F1058))</f>
      </c>
      <c r="G1057" s="333">
        <f>IF('Simulador - 1º Pilar'!$E$99="Sí",IF('Aportaciones Flex'!$B$13&lt;'Aportaciones Flex'!E1057,0,F1057*$B$8/12),F1057*$B$8/12)</f>
      </c>
      <c r="H1057" s="333">
        <f>IF(G1057&gt;0,1,0)*$H$5*IF(AND($I$5="NO",YEAR(E1057)=YEAR($B$6)+1),1,IF($I$5="SI",1,0))</f>
      </c>
      <c r="I1057" s="217">
        <f>(1+$M$5)^(D1057/12)*(H1057*(12-IF(MONTH(E1058)=12,0,MONTH(E1058)))+IF(AND(F1057=1,F1058=0),$Q$4,0))*IF(AND(F1057=1,F1058=0),1,0)</f>
      </c>
      <c r="J1057" s="333">
        <f>(1+$M$5)^(D1057/12)*(H1057+IF(AND(F1057=1,F1058=0),$Q$4,0))</f>
      </c>
      <c r="K1057" s="351"/>
      <c r="L1057" s="333">
        <f>K1057+J1057</f>
      </c>
      <c r="M1057" s="170"/>
      <c r="N1057" s="7"/>
      <c r="O1057" s="1"/>
      <c r="P1057" s="331">
        <f>D1057</f>
      </c>
      <c r="Q1057" s="169"/>
      <c r="R1057" s="1"/>
      <c r="S1057" s="217">
        <f>(1+$M$5)^(D1057/12)*(IF(E1057=$C$6,$Q$4+$H$5*12,0))</f>
      </c>
      <c r="T1057" s="217">
        <f>(1+$M$5)^(D1057/12)*(IF(YEAR(E1057)&gt;YEAR($C$6),L1057,0)+IF(E1057=$C$6,$H$5*12+$Q$4,0))</f>
      </c>
    </row>
    <row x14ac:dyDescent="0.25" r="1058" customHeight="1" ht="18.75">
      <c r="A1058" s="1"/>
      <c r="B1058" s="7"/>
      <c r="C1058" s="170"/>
      <c r="D1058" s="331">
        <v>1051</v>
      </c>
      <c r="E1058" s="544">
        <f>+DATE(YEAR(E1057),MONTH(E1057)-1,DAY(E1057))</f>
        <v>25569.041666666668</v>
      </c>
      <c r="F1058" s="333">
        <f>IF(DATE(YEAR($B$6),MONTH($B$6)+1,DAY(1))=E1058,1,IF(MONTH(E1058)=1,F1059*(1+$F$5),F1059))</f>
      </c>
      <c r="G1058" s="333">
        <f>IF('Simulador - 1º Pilar'!$E$99="Sí",IF('Aportaciones Flex'!$B$13&lt;'Aportaciones Flex'!E1058,0,F1058*$B$8/12),F1058*$B$8/12)</f>
      </c>
      <c r="H1058" s="333">
        <f>IF(G1058&gt;0,1,0)*$H$5*IF(AND($I$5="NO",YEAR(E1058)=YEAR($B$6)+1),1,IF($I$5="SI",1,0))</f>
      </c>
      <c r="I1058" s="217">
        <f>(1+$M$5)^(D1058/12)*(H1058*(12-IF(MONTH(E1059)=12,0,MONTH(E1059)))+IF(AND(F1058=1,F1059=0),$Q$4,0))*IF(AND(F1058=1,F1059=0),1,0)</f>
      </c>
      <c r="J1058" s="333">
        <f>(1+$M$5)^(D1058/12)*(H1058+IF(AND(F1058=1,F1059=0),$Q$4,0))</f>
      </c>
      <c r="K1058" s="351"/>
      <c r="L1058" s="333">
        <f>K1058+J1058</f>
      </c>
      <c r="M1058" s="170"/>
      <c r="N1058" s="7"/>
      <c r="O1058" s="1"/>
      <c r="P1058" s="331">
        <f>D1058</f>
      </c>
      <c r="Q1058" s="169"/>
      <c r="R1058" s="1"/>
      <c r="S1058" s="217">
        <f>(1+$M$5)^(D1058/12)*(IF(E1058=$C$6,$Q$4+$H$5*12,0))</f>
      </c>
      <c r="T1058" s="217">
        <f>(1+$M$5)^(D1058/12)*(IF(YEAR(E1058)&gt;YEAR($C$6),L1058,0)+IF(E1058=$C$6,$H$5*12+$Q$4,0))</f>
      </c>
    </row>
    <row x14ac:dyDescent="0.25" r="1059" customHeight="1" ht="18.75">
      <c r="A1059" s="1"/>
      <c r="B1059" s="7"/>
      <c r="C1059" s="170"/>
      <c r="D1059" s="331">
        <v>1052</v>
      </c>
      <c r="E1059" s="544">
        <f>+DATE(YEAR(E1058),MONTH(E1058)-1,DAY(E1058))</f>
        <v>25569.041666666668</v>
      </c>
      <c r="F1059" s="333">
        <f>IF(DATE(YEAR($B$6),MONTH($B$6)+1,DAY(1))=E1059,1,IF(MONTH(E1059)=1,F1060*(1+$F$5),F1060))</f>
      </c>
      <c r="G1059" s="333">
        <f>IF('Simulador - 1º Pilar'!$E$99="Sí",IF('Aportaciones Flex'!$B$13&lt;'Aportaciones Flex'!E1059,0,F1059*$B$8/12),F1059*$B$8/12)</f>
      </c>
      <c r="H1059" s="333">
        <f>IF(G1059&gt;0,1,0)*$H$5*IF(AND($I$5="NO",YEAR(E1059)=YEAR($B$6)+1),1,IF($I$5="SI",1,0))</f>
      </c>
      <c r="I1059" s="217">
        <f>(1+$M$5)^(D1059/12)*(H1059*(12-IF(MONTH(E1060)=12,0,MONTH(E1060)))+IF(AND(F1059=1,F1060=0),$Q$4,0))*IF(AND(F1059=1,F1060=0),1,0)</f>
      </c>
      <c r="J1059" s="333">
        <f>(1+$M$5)^(D1059/12)*(H1059+IF(AND(F1059=1,F1060=0),$Q$4,0))</f>
      </c>
      <c r="K1059" s="351"/>
      <c r="L1059" s="333">
        <f>K1059+J1059</f>
      </c>
      <c r="M1059" s="170"/>
      <c r="N1059" s="7"/>
      <c r="O1059" s="1"/>
      <c r="P1059" s="331">
        <f>D1059</f>
      </c>
      <c r="Q1059" s="169"/>
      <c r="R1059" s="1"/>
      <c r="S1059" s="217">
        <f>(1+$M$5)^(D1059/12)*(IF(E1059=$C$6,$Q$4+$H$5*12,0))</f>
      </c>
      <c r="T1059" s="217">
        <f>(1+$M$5)^(D1059/12)*(IF(YEAR(E1059)&gt;YEAR($C$6),L1059,0)+IF(E1059=$C$6,$H$5*12+$Q$4,0))</f>
      </c>
    </row>
    <row x14ac:dyDescent="0.25" r="1060" customHeight="1" ht="18.75">
      <c r="A1060" s="1"/>
      <c r="B1060" s="7"/>
      <c r="C1060" s="170"/>
      <c r="D1060" s="331">
        <v>1053</v>
      </c>
      <c r="E1060" s="544">
        <f>+DATE(YEAR(E1059),MONTH(E1059)-1,DAY(E1059))</f>
        <v>25569.041666666668</v>
      </c>
      <c r="F1060" s="333">
        <f>IF(DATE(YEAR($B$6),MONTH($B$6)+1,DAY(1))=E1060,1,IF(MONTH(E1060)=1,F1061*(1+$F$5),F1061))</f>
      </c>
      <c r="G1060" s="333">
        <f>IF('Simulador - 1º Pilar'!$E$99="Sí",IF('Aportaciones Flex'!$B$13&lt;'Aportaciones Flex'!E1060,0,F1060*$B$8/12),F1060*$B$8/12)</f>
      </c>
      <c r="H1060" s="333">
        <f>IF(G1060&gt;0,1,0)*$H$5*IF(AND($I$5="NO",YEAR(E1060)=YEAR($B$6)+1),1,IF($I$5="SI",1,0))</f>
      </c>
      <c r="I1060" s="217">
        <f>(1+$M$5)^(D1060/12)*(H1060*(12-IF(MONTH(E1061)=12,0,MONTH(E1061)))+IF(AND(F1060=1,F1061=0),$Q$4,0))*IF(AND(F1060=1,F1061=0),1,0)</f>
      </c>
      <c r="J1060" s="333">
        <f>(1+$M$5)^(D1060/12)*(H1060+IF(AND(F1060=1,F1061=0),$Q$4,0))</f>
      </c>
      <c r="K1060" s="351"/>
      <c r="L1060" s="333">
        <f>K1060+J1060</f>
      </c>
      <c r="M1060" s="170"/>
      <c r="N1060" s="7"/>
      <c r="O1060" s="1"/>
      <c r="P1060" s="331">
        <f>D1060</f>
      </c>
      <c r="Q1060" s="169"/>
      <c r="R1060" s="1"/>
      <c r="S1060" s="217">
        <f>(1+$M$5)^(D1060/12)*(IF(E1060=$C$6,$Q$4+$H$5*12,0))</f>
      </c>
      <c r="T1060" s="217">
        <f>(1+$M$5)^(D1060/12)*(IF(YEAR(E1060)&gt;YEAR($C$6),L1060,0)+IF(E1060=$C$6,$H$5*12+$Q$4,0))</f>
      </c>
    </row>
    <row x14ac:dyDescent="0.25" r="1061" customHeight="1" ht="18.75">
      <c r="A1061" s="1"/>
      <c r="B1061" s="7"/>
      <c r="C1061" s="170"/>
      <c r="D1061" s="331">
        <v>1054</v>
      </c>
      <c r="E1061" s="544">
        <f>+DATE(YEAR(E1060),MONTH(E1060)-1,DAY(E1060))</f>
        <v>25569.041666666668</v>
      </c>
      <c r="F1061" s="333">
        <f>IF(DATE(YEAR($B$6),MONTH($B$6)+1,DAY(1))=E1061,1,IF(MONTH(E1061)=1,F1062*(1+$F$5),F1062))</f>
      </c>
      <c r="G1061" s="333">
        <f>IF('Simulador - 1º Pilar'!$E$99="Sí",IF('Aportaciones Flex'!$B$13&lt;'Aportaciones Flex'!E1061,0,F1061*$B$8/12),F1061*$B$8/12)</f>
      </c>
      <c r="H1061" s="333">
        <f>IF(G1061&gt;0,1,0)*$H$5*IF(AND($I$5="NO",YEAR(E1061)=YEAR($B$6)+1),1,IF($I$5="SI",1,0))</f>
      </c>
      <c r="I1061" s="217">
        <f>(1+$M$5)^(D1061/12)*(H1061*(12-IF(MONTH(E1062)=12,0,MONTH(E1062)))+IF(AND(F1061=1,F1062=0),$Q$4,0))*IF(AND(F1061=1,F1062=0),1,0)</f>
      </c>
      <c r="J1061" s="333">
        <f>(1+$M$5)^(D1061/12)*(H1061+IF(AND(F1061=1,F1062=0),$Q$4,0))</f>
      </c>
      <c r="K1061" s="351"/>
      <c r="L1061" s="333">
        <f>K1061+J1061</f>
      </c>
      <c r="M1061" s="170"/>
      <c r="N1061" s="7"/>
      <c r="O1061" s="1"/>
      <c r="P1061" s="331">
        <f>D1061</f>
      </c>
      <c r="Q1061" s="169"/>
      <c r="R1061" s="1"/>
      <c r="S1061" s="217">
        <f>(1+$M$5)^(D1061/12)*(IF(E1061=$C$6,$Q$4+$H$5*12,0))</f>
      </c>
      <c r="T1061" s="217">
        <f>(1+$M$5)^(D1061/12)*(IF(YEAR(E1061)&gt;YEAR($C$6),L1061,0)+IF(E1061=$C$6,$H$5*12+$Q$4,0))</f>
      </c>
    </row>
    <row x14ac:dyDescent="0.25" r="1062" customHeight="1" ht="18.75">
      <c r="A1062" s="1"/>
      <c r="B1062" s="7"/>
      <c r="C1062" s="170"/>
      <c r="D1062" s="331">
        <v>1055</v>
      </c>
      <c r="E1062" s="544">
        <f>+DATE(YEAR(E1061),MONTH(E1061)-1,DAY(E1061))</f>
        <v>25569.041666666668</v>
      </c>
      <c r="F1062" s="333">
        <f>IF(DATE(YEAR($B$6),MONTH($B$6)+1,DAY(1))=E1062,1,IF(MONTH(E1062)=1,F1063*(1+$F$5),F1063))</f>
      </c>
      <c r="G1062" s="333">
        <f>IF('Simulador - 1º Pilar'!$E$99="Sí",IF('Aportaciones Flex'!$B$13&lt;'Aportaciones Flex'!E1062,0,F1062*$B$8/12),F1062*$B$8/12)</f>
      </c>
      <c r="H1062" s="333">
        <f>IF(G1062&gt;0,1,0)*$H$5*IF(AND($I$5="NO",YEAR(E1062)=YEAR($B$6)+1),1,IF($I$5="SI",1,0))</f>
      </c>
      <c r="I1062" s="217">
        <f>(1+$M$5)^(D1062/12)*(H1062*(12-IF(MONTH(E1063)=12,0,MONTH(E1063)))+IF(AND(F1062=1,F1063=0),$Q$4,0))*IF(AND(F1062=1,F1063=0),1,0)</f>
      </c>
      <c r="J1062" s="333">
        <f>(1+$M$5)^(D1062/12)*(H1062+IF(AND(F1062=1,F1063=0),$Q$4,0))</f>
      </c>
      <c r="K1062" s="351"/>
      <c r="L1062" s="333">
        <f>K1062+J1062</f>
      </c>
      <c r="M1062" s="170"/>
      <c r="N1062" s="7"/>
      <c r="O1062" s="1"/>
      <c r="P1062" s="331">
        <f>D1062</f>
      </c>
      <c r="Q1062" s="169"/>
      <c r="R1062" s="1"/>
      <c r="S1062" s="217">
        <f>(1+$M$5)^(D1062/12)*(IF(E1062=$C$6,$Q$4+$H$5*12,0))</f>
      </c>
      <c r="T1062" s="217">
        <f>(1+$M$5)^(D1062/12)*(IF(YEAR(E1062)&gt;YEAR($C$6),L1062,0)+IF(E1062=$C$6,$H$5*12+$Q$4,0))</f>
      </c>
    </row>
    <row x14ac:dyDescent="0.25" r="1063" customHeight="1" ht="18.75">
      <c r="A1063" s="1"/>
      <c r="B1063" s="7"/>
      <c r="C1063" s="170"/>
      <c r="D1063" s="331">
        <v>1056</v>
      </c>
      <c r="E1063" s="544">
        <f>+DATE(YEAR(E1062),MONTH(E1062)-1,DAY(E1062))</f>
        <v>25569.041666666668</v>
      </c>
      <c r="F1063" s="333">
        <f>IF(DATE(YEAR($B$6),MONTH($B$6)+1,DAY(1))=E1063,1,IF(MONTH(E1063)=1,F1064*(1+$F$5),F1064))</f>
      </c>
      <c r="G1063" s="333">
        <f>IF('Simulador - 1º Pilar'!$E$99="Sí",IF('Aportaciones Flex'!$B$13&lt;'Aportaciones Flex'!E1063,0,F1063*$B$8/12),F1063*$B$8/12)</f>
      </c>
      <c r="H1063" s="333">
        <f>IF(G1063&gt;0,1,0)*$H$5*IF(AND($I$5="NO",YEAR(E1063)=YEAR($B$6)+1),1,IF($I$5="SI",1,0))</f>
      </c>
      <c r="I1063" s="217">
        <f>(1+$M$5)^(D1063/12)*(H1063*(12-IF(MONTH(E1064)=12,0,MONTH(E1064)))+IF(AND(F1063=1,F1064=0),$Q$4,0))*IF(AND(F1063=1,F1064=0),1,0)</f>
      </c>
      <c r="J1063" s="333">
        <f>(1+$M$5)^(D1063/12)*(H1063+IF(AND(F1063=1,F1064=0),$Q$4,0))</f>
      </c>
      <c r="K1063" s="351"/>
      <c r="L1063" s="333">
        <f>K1063+J1063</f>
      </c>
      <c r="M1063" s="170"/>
      <c r="N1063" s="7"/>
      <c r="O1063" s="1"/>
      <c r="P1063" s="331">
        <f>D1063</f>
      </c>
      <c r="Q1063" s="169"/>
      <c r="R1063" s="1"/>
      <c r="S1063" s="217">
        <f>(1+$M$5)^(D1063/12)*(IF(E1063=$C$6,$Q$4+$H$5*12,0))</f>
      </c>
      <c r="T1063" s="217">
        <f>(1+$M$5)^(D1063/12)*(IF(YEAR(E1063)&gt;YEAR($C$6),L1063,0)+IF(E1063=$C$6,$H$5*12+$Q$4,0))</f>
      </c>
    </row>
    <row x14ac:dyDescent="0.25" r="1064" customHeight="1" ht="18.75">
      <c r="A1064" s="1"/>
      <c r="B1064" s="7"/>
      <c r="C1064" s="170"/>
      <c r="D1064" s="331">
        <v>1057</v>
      </c>
      <c r="E1064" s="544">
        <f>+DATE(YEAR(E1063),MONTH(E1063)-1,DAY(E1063))</f>
        <v>25569.041666666668</v>
      </c>
      <c r="F1064" s="333">
        <f>IF(DATE(YEAR($B$6),MONTH($B$6)+1,DAY(1))=E1064,1,IF(MONTH(E1064)=1,F1065*(1+$F$5),F1065))</f>
      </c>
      <c r="G1064" s="333">
        <f>IF('Simulador - 1º Pilar'!$E$99="Sí",IF('Aportaciones Flex'!$B$13&lt;'Aportaciones Flex'!E1064,0,F1064*$B$8/12),F1064*$B$8/12)</f>
      </c>
      <c r="H1064" s="333">
        <f>IF(G1064&gt;0,1,0)*$H$5*IF(AND($I$5="NO",YEAR(E1064)=YEAR($B$6)+1),1,IF($I$5="SI",1,0))</f>
      </c>
      <c r="I1064" s="217">
        <f>(1+$M$5)^(D1064/12)*(H1064*(12-IF(MONTH(E1065)=12,0,MONTH(E1065)))+IF(AND(F1064=1,F1065=0),$Q$4,0))*IF(AND(F1064=1,F1065=0),1,0)</f>
      </c>
      <c r="J1064" s="333">
        <f>(1+$M$5)^(D1064/12)*(H1064+IF(AND(F1064=1,F1065=0),$Q$4,0))</f>
      </c>
      <c r="K1064" s="351"/>
      <c r="L1064" s="333">
        <f>K1064+J1064</f>
      </c>
      <c r="M1064" s="170"/>
      <c r="N1064" s="7"/>
      <c r="O1064" s="1"/>
      <c r="P1064" s="331">
        <f>D1064</f>
      </c>
      <c r="Q1064" s="169"/>
      <c r="R1064" s="1"/>
      <c r="S1064" s="217">
        <f>(1+$M$5)^(D1064/12)*(IF(E1064=$C$6,$Q$4+$H$5*12,0))</f>
      </c>
      <c r="T1064" s="217">
        <f>(1+$M$5)^(D1064/12)*(IF(YEAR(E1064)&gt;YEAR($C$6),L1064,0)+IF(E1064=$C$6,$H$5*12+$Q$4,0))</f>
      </c>
    </row>
    <row x14ac:dyDescent="0.25" r="1065" customHeight="1" ht="18.75">
      <c r="A1065" s="1"/>
      <c r="B1065" s="7"/>
      <c r="C1065" s="170"/>
      <c r="D1065" s="331">
        <v>1058</v>
      </c>
      <c r="E1065" s="544">
        <f>+DATE(YEAR(E1064),MONTH(E1064)-1,DAY(E1064))</f>
        <v>25569.041666666668</v>
      </c>
      <c r="F1065" s="333">
        <f>IF(DATE(YEAR($B$6),MONTH($B$6)+1,DAY(1))=E1065,1,IF(MONTH(E1065)=1,F1066*(1+$F$5),F1066))</f>
      </c>
      <c r="G1065" s="333">
        <f>IF('Simulador - 1º Pilar'!$E$99="Sí",IF('Aportaciones Flex'!$B$13&lt;'Aportaciones Flex'!E1065,0,F1065*$B$8/12),F1065*$B$8/12)</f>
      </c>
      <c r="H1065" s="333">
        <f>IF(G1065&gt;0,1,0)*$H$5*IF(AND($I$5="NO",YEAR(E1065)=YEAR($B$6)+1),1,IF($I$5="SI",1,0))</f>
      </c>
      <c r="I1065" s="217">
        <f>(1+$M$5)^(D1065/12)*(H1065*(12-IF(MONTH(E1066)=12,0,MONTH(E1066)))+IF(AND(F1065=1,F1066=0),$Q$4,0))*IF(AND(F1065=1,F1066=0),1,0)</f>
      </c>
      <c r="J1065" s="333">
        <f>(1+$M$5)^(D1065/12)*(H1065+IF(AND(F1065=1,F1066=0),$Q$4,0))</f>
      </c>
      <c r="K1065" s="351"/>
      <c r="L1065" s="333">
        <f>K1065+J1065</f>
      </c>
      <c r="M1065" s="170"/>
      <c r="N1065" s="7"/>
      <c r="O1065" s="1"/>
      <c r="P1065" s="331">
        <f>D1065</f>
      </c>
      <c r="Q1065" s="169"/>
      <c r="R1065" s="1"/>
      <c r="S1065" s="217">
        <f>(1+$M$5)^(D1065/12)*(IF(E1065=$C$6,$Q$4+$H$5*12,0))</f>
      </c>
      <c r="T1065" s="217">
        <f>(1+$M$5)^(D1065/12)*(IF(YEAR(E1065)&gt;YEAR($C$6),L1065,0)+IF(E1065=$C$6,$H$5*12+$Q$4,0))</f>
      </c>
    </row>
    <row x14ac:dyDescent="0.25" r="1066" customHeight="1" ht="18.75">
      <c r="A1066" s="1"/>
      <c r="B1066" s="7"/>
      <c r="C1066" s="170"/>
      <c r="D1066" s="331">
        <v>1059</v>
      </c>
      <c r="E1066" s="544">
        <f>+DATE(YEAR(E1065),MONTH(E1065)-1,DAY(E1065))</f>
        <v>25569.041666666668</v>
      </c>
      <c r="F1066" s="333">
        <f>IF(DATE(YEAR($B$6),MONTH($B$6)+1,DAY(1))=E1066,1,IF(MONTH(E1066)=1,F1067*(1+$F$5),F1067))</f>
      </c>
      <c r="G1066" s="333">
        <f>IF('Simulador - 1º Pilar'!$E$99="Sí",IF('Aportaciones Flex'!$B$13&lt;'Aportaciones Flex'!E1066,0,F1066*$B$8/12),F1066*$B$8/12)</f>
      </c>
      <c r="H1066" s="333">
        <f>IF(G1066&gt;0,1,0)*$H$5*IF(AND($I$5="NO",YEAR(E1066)=YEAR($B$6)+1),1,IF($I$5="SI",1,0))</f>
      </c>
      <c r="I1066" s="217">
        <f>(1+$M$5)^(D1066/12)*(H1066*(12-IF(MONTH(E1067)=12,0,MONTH(E1067)))+IF(AND(F1066=1,F1067=0),$Q$4,0))*IF(AND(F1066=1,F1067=0),1,0)</f>
      </c>
      <c r="J1066" s="333">
        <f>(1+$M$5)^(D1066/12)*(H1066+IF(AND(F1066=1,F1067=0),$Q$4,0))</f>
      </c>
      <c r="K1066" s="351"/>
      <c r="L1066" s="333">
        <f>K1066+J1066</f>
      </c>
      <c r="M1066" s="170"/>
      <c r="N1066" s="7"/>
      <c r="O1066" s="1"/>
      <c r="P1066" s="331">
        <f>D1066</f>
      </c>
      <c r="Q1066" s="169"/>
      <c r="R1066" s="1"/>
      <c r="S1066" s="217">
        <f>(1+$M$5)^(D1066/12)*(IF(E1066=$C$6,$Q$4+$H$5*12,0))</f>
      </c>
      <c r="T1066" s="217">
        <f>(1+$M$5)^(D1066/12)*(IF(YEAR(E1066)&gt;YEAR($C$6),L1066,0)+IF(E1066=$C$6,$H$5*12+$Q$4,0))</f>
      </c>
    </row>
    <row x14ac:dyDescent="0.25" r="1067" customHeight="1" ht="18.75">
      <c r="A1067" s="1"/>
      <c r="B1067" s="7"/>
      <c r="C1067" s="170"/>
      <c r="D1067" s="169"/>
      <c r="E1067" s="7"/>
      <c r="F1067" s="170"/>
      <c r="G1067" s="170"/>
      <c r="H1067" s="170"/>
      <c r="I1067" s="170"/>
      <c r="J1067" s="170"/>
      <c r="K1067" s="351"/>
      <c r="L1067" s="170"/>
      <c r="M1067" s="170"/>
      <c r="N1067" s="7"/>
      <c r="O1067" s="1"/>
      <c r="P1067" s="169"/>
      <c r="Q1067" s="169"/>
      <c r="R1067" s="1"/>
      <c r="S1067" s="170"/>
      <c r="T1067" s="170"/>
    </row>
    <row x14ac:dyDescent="0.25" r="1068" customHeight="1" ht="18.75">
      <c r="A1068" s="1"/>
      <c r="B1068" s="7"/>
      <c r="C1068" s="170"/>
      <c r="D1068" s="169"/>
      <c r="E1068" s="7"/>
      <c r="F1068" s="170"/>
      <c r="G1068" s="170"/>
      <c r="H1068" s="170"/>
      <c r="I1068" s="170"/>
      <c r="J1068" s="170"/>
      <c r="K1068" s="351"/>
      <c r="L1068" s="170"/>
      <c r="M1068" s="170"/>
      <c r="N1068" s="7"/>
      <c r="O1068" s="1"/>
      <c r="P1068" s="169"/>
      <c r="Q1068" s="169"/>
      <c r="R1068" s="1"/>
      <c r="S1068" s="170"/>
      <c r="T1068" s="170"/>
    </row>
    <row x14ac:dyDescent="0.25" r="1069" customHeight="1" ht="18.75">
      <c r="A1069" s="1"/>
      <c r="B1069" s="7"/>
      <c r="C1069" s="170"/>
      <c r="D1069" s="169"/>
      <c r="E1069" s="7"/>
      <c r="F1069" s="170"/>
      <c r="G1069" s="170"/>
      <c r="H1069" s="170"/>
      <c r="I1069" s="170"/>
      <c r="J1069" s="170"/>
      <c r="K1069" s="351"/>
      <c r="L1069" s="170"/>
      <c r="M1069" s="170"/>
      <c r="N1069" s="7"/>
      <c r="O1069" s="1"/>
      <c r="P1069" s="169"/>
      <c r="Q1069" s="169"/>
      <c r="R1069" s="1"/>
      <c r="S1069" s="170"/>
      <c r="T1069" s="170"/>
    </row>
    <row x14ac:dyDescent="0.25" r="1070" customHeight="1" ht="18.75">
      <c r="A1070" s="1"/>
      <c r="B1070" s="7"/>
      <c r="C1070" s="170"/>
      <c r="D1070" s="169"/>
      <c r="E1070" s="7"/>
      <c r="F1070" s="170"/>
      <c r="G1070" s="170"/>
      <c r="H1070" s="170"/>
      <c r="I1070" s="170"/>
      <c r="J1070" s="170"/>
      <c r="K1070" s="351"/>
      <c r="L1070" s="170"/>
      <c r="M1070" s="170"/>
      <c r="N1070" s="7"/>
      <c r="O1070" s="1"/>
      <c r="P1070" s="169"/>
      <c r="Q1070" s="169"/>
      <c r="R1070" s="1"/>
      <c r="S1070" s="170"/>
      <c r="T1070" s="170"/>
    </row>
    <row x14ac:dyDescent="0.25" r="1071" customHeight="1" ht="18.75">
      <c r="A1071" s="1"/>
      <c r="B1071" s="7"/>
      <c r="C1071" s="170"/>
      <c r="D1071" s="169"/>
      <c r="E1071" s="7"/>
      <c r="F1071" s="170"/>
      <c r="G1071" s="170"/>
      <c r="H1071" s="170"/>
      <c r="I1071" s="170"/>
      <c r="J1071" s="170"/>
      <c r="K1071" s="351"/>
      <c r="L1071" s="170"/>
      <c r="M1071" s="170"/>
      <c r="N1071" s="7"/>
      <c r="O1071" s="1"/>
      <c r="P1071" s="169"/>
      <c r="Q1071" s="169"/>
      <c r="R1071" s="1"/>
      <c r="S1071" s="170"/>
      <c r="T1071" s="170"/>
    </row>
    <row x14ac:dyDescent="0.25" r="1072" customHeight="1" ht="18.75">
      <c r="A1072" s="1"/>
      <c r="B1072" s="7"/>
      <c r="C1072" s="170"/>
      <c r="D1072" s="169"/>
      <c r="E1072" s="7"/>
      <c r="F1072" s="170"/>
      <c r="G1072" s="170"/>
      <c r="H1072" s="170"/>
      <c r="I1072" s="170"/>
      <c r="J1072" s="170"/>
      <c r="K1072" s="351"/>
      <c r="L1072" s="170"/>
      <c r="M1072" s="170"/>
      <c r="N1072" s="7"/>
      <c r="O1072" s="1"/>
      <c r="P1072" s="169"/>
      <c r="Q1072" s="169"/>
      <c r="R1072" s="1"/>
      <c r="S1072" s="170"/>
      <c r="T1072" s="170"/>
    </row>
    <row x14ac:dyDescent="0.25" r="1073" customHeight="1" ht="18.75">
      <c r="A1073" s="1"/>
      <c r="B1073" s="7"/>
      <c r="C1073" s="170"/>
      <c r="D1073" s="169"/>
      <c r="E1073" s="7"/>
      <c r="F1073" s="170"/>
      <c r="G1073" s="170"/>
      <c r="H1073" s="170"/>
      <c r="I1073" s="170"/>
      <c r="J1073" s="170"/>
      <c r="K1073" s="351"/>
      <c r="L1073" s="170"/>
      <c r="M1073" s="170"/>
      <c r="N1073" s="7"/>
      <c r="O1073" s="1"/>
      <c r="P1073" s="169"/>
      <c r="Q1073" s="169"/>
      <c r="R1073" s="1"/>
      <c r="S1073" s="170"/>
      <c r="T1073" s="170"/>
    </row>
    <row x14ac:dyDescent="0.25" r="1074" customHeight="1" ht="18.75">
      <c r="A1074" s="1"/>
      <c r="B1074" s="7"/>
      <c r="C1074" s="170"/>
      <c r="D1074" s="169"/>
      <c r="E1074" s="7"/>
      <c r="F1074" s="170"/>
      <c r="G1074" s="170"/>
      <c r="H1074" s="170"/>
      <c r="I1074" s="170"/>
      <c r="J1074" s="170"/>
      <c r="K1074" s="351"/>
      <c r="L1074" s="170"/>
      <c r="M1074" s="170"/>
      <c r="N1074" s="7"/>
      <c r="O1074" s="1"/>
      <c r="P1074" s="169"/>
      <c r="Q1074" s="169"/>
      <c r="R1074" s="1"/>
      <c r="S1074" s="170"/>
      <c r="T1074" s="170"/>
    </row>
    <row x14ac:dyDescent="0.25" r="1075" customHeight="1" ht="18.75">
      <c r="A1075" s="1"/>
      <c r="B1075" s="7"/>
      <c r="C1075" s="170"/>
      <c r="D1075" s="169"/>
      <c r="E1075" s="7"/>
      <c r="F1075" s="170"/>
      <c r="G1075" s="170"/>
      <c r="H1075" s="170"/>
      <c r="I1075" s="170"/>
      <c r="J1075" s="170"/>
      <c r="K1075" s="351"/>
      <c r="L1075" s="170"/>
      <c r="M1075" s="170"/>
      <c r="N1075" s="7"/>
      <c r="O1075" s="1"/>
      <c r="P1075" s="169"/>
      <c r="Q1075" s="169"/>
      <c r="R1075" s="1"/>
      <c r="S1075" s="170"/>
      <c r="T1075" s="170"/>
    </row>
    <row x14ac:dyDescent="0.25" r="1076" customHeight="1" ht="18.75">
      <c r="A1076" s="1"/>
      <c r="B1076" s="7"/>
      <c r="C1076" s="170"/>
      <c r="D1076" s="169"/>
      <c r="E1076" s="7"/>
      <c r="F1076" s="170"/>
      <c r="G1076" s="170"/>
      <c r="H1076" s="170"/>
      <c r="I1076" s="170"/>
      <c r="J1076" s="170"/>
      <c r="K1076" s="351"/>
      <c r="L1076" s="170"/>
      <c r="M1076" s="170"/>
      <c r="N1076" s="7"/>
      <c r="O1076" s="1"/>
      <c r="P1076" s="169"/>
      <c r="Q1076" s="169"/>
      <c r="R1076" s="1"/>
      <c r="S1076" s="170"/>
      <c r="T1076" s="170"/>
    </row>
    <row x14ac:dyDescent="0.25" r="1077" customHeight="1" ht="18.75">
      <c r="A1077" s="1"/>
      <c r="B1077" s="7"/>
      <c r="C1077" s="170"/>
      <c r="D1077" s="169"/>
      <c r="E1077" s="7"/>
      <c r="F1077" s="170"/>
      <c r="G1077" s="170"/>
      <c r="H1077" s="170"/>
      <c r="I1077" s="170"/>
      <c r="J1077" s="170"/>
      <c r="K1077" s="351"/>
      <c r="L1077" s="170"/>
      <c r="M1077" s="170"/>
      <c r="N1077" s="7"/>
      <c r="O1077" s="1"/>
      <c r="P1077" s="169"/>
      <c r="Q1077" s="169"/>
      <c r="R1077" s="1"/>
      <c r="S1077" s="170"/>
      <c r="T1077" s="170"/>
    </row>
    <row x14ac:dyDescent="0.25" r="1078" customHeight="1" ht="18.75">
      <c r="A1078" s="1"/>
      <c r="B1078" s="7"/>
      <c r="C1078" s="170"/>
      <c r="D1078" s="169"/>
      <c r="E1078" s="7"/>
      <c r="F1078" s="170"/>
      <c r="G1078" s="170"/>
      <c r="H1078" s="170"/>
      <c r="I1078" s="170"/>
      <c r="J1078" s="170"/>
      <c r="K1078" s="351"/>
      <c r="L1078" s="170"/>
      <c r="M1078" s="170"/>
      <c r="N1078" s="7"/>
      <c r="O1078" s="1"/>
      <c r="P1078" s="169"/>
      <c r="Q1078" s="169"/>
      <c r="R1078" s="1"/>
      <c r="S1078" s="170"/>
      <c r="T1078" s="170"/>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W163"/>
  <sheetViews>
    <sheetView workbookViewId="0"/>
  </sheetViews>
  <sheetFormatPr defaultRowHeight="15" x14ac:dyDescent="0.25"/>
  <cols>
    <col min="1" max="1" style="163" width="5.719285714285714" customWidth="1" bestFit="1"/>
    <col min="2" max="2" style="163" width="0.7192857142857143" customWidth="1" bestFit="1"/>
    <col min="3" max="3" style="163" width="2.2907142857142855" customWidth="1" bestFit="1"/>
    <col min="4" max="4" style="163" width="1.005" customWidth="1" bestFit="1"/>
    <col min="5" max="5" style="165" width="26.005" customWidth="1" bestFit="1"/>
    <col min="6" max="6" style="708" width="18.290714285714284" customWidth="1" bestFit="1"/>
    <col min="7" max="7" style="163" width="21.005" customWidth="1" bestFit="1"/>
    <col min="8" max="8" style="163" width="18.433571428571426" customWidth="1" bestFit="1"/>
    <col min="9" max="9" style="163" width="4.2907142857142855" customWidth="1" bestFit="1"/>
    <col min="10" max="10" style="164" width="2.2907142857142855" customWidth="1" bestFit="1"/>
    <col min="11" max="11" style="163" width="1.005" customWidth="1" bestFit="1"/>
    <col min="12" max="12" style="163" width="16.005" customWidth="1" bestFit="1"/>
    <col min="13" max="13" style="163" width="1.5764285714285713" customWidth="1" bestFit="1"/>
    <col min="14" max="14" style="163" width="1.5764285714285713" customWidth="1" bestFit="1"/>
    <col min="15" max="15" style="163" width="1.5764285714285713" customWidth="1" bestFit="1"/>
    <col min="16" max="16" style="163" width="1.5764285714285713" customWidth="1" bestFit="1"/>
    <col min="17" max="17" style="163" width="1.5764285714285713" customWidth="1" bestFit="1"/>
    <col min="18" max="18" style="163" width="1.5764285714285713" customWidth="1" bestFit="1"/>
    <col min="19" max="19" style="163" width="1.5764285714285713" customWidth="1" bestFit="1"/>
    <col min="20" max="20" style="166" width="18.290714285714284" customWidth="1" bestFit="1"/>
    <col min="21" max="21" style="164" width="0.43357142857142855" customWidth="1" bestFit="1"/>
    <col min="22" max="22" style="164" width="18.290714285714284" customWidth="1" bestFit="1"/>
    <col min="23" max="23" style="164" width="11.43357142857143" customWidth="1" bestFit="1"/>
    <col min="24" max="24" style="165" width="6.576428571428571" customWidth="1" bestFit="1"/>
    <col min="25" max="25" style="163" width="35.005" customWidth="1" bestFit="1"/>
    <col min="26" max="26" style="163" width="13.290714285714287" customWidth="1" bestFit="1"/>
    <col min="27" max="27" style="163" width="1.5764285714285713" customWidth="1" bestFit="1"/>
    <col min="28" max="28" style="163" width="9.290714285714287" customWidth="1" bestFit="1"/>
    <col min="29" max="29" style="163" width="9.290714285714287" customWidth="1" bestFit="1"/>
    <col min="30" max="30" style="163" width="9.290714285714287" customWidth="1" bestFit="1"/>
    <col min="31" max="31" style="163" width="9.290714285714287" customWidth="1" bestFit="1"/>
    <col min="32" max="32" style="163" width="13.719285714285713" customWidth="1" bestFit="1"/>
    <col min="33" max="33" style="163" width="16.719285714285714" customWidth="1" bestFit="1"/>
    <col min="34" max="34" style="163" width="10.43357142857143" customWidth="1" bestFit="1"/>
    <col min="35" max="35" style="163" width="10.576428571428572" customWidth="1" bestFit="1"/>
    <col min="36" max="36" style="163" width="36.29071428571429" customWidth="1" bestFit="1"/>
    <col min="37" max="37" style="165" width="15.719285714285713" customWidth="1" bestFit="1"/>
    <col min="38" max="38" style="165" width="11.719285714285713" customWidth="1" bestFit="1"/>
    <col min="39" max="39" style="163" width="8.290714285714287" customWidth="1" bestFit="1"/>
    <col min="40" max="40" style="163" width="9.290714285714287" customWidth="1" bestFit="1"/>
    <col min="41" max="41" style="163" width="9.290714285714287" customWidth="1" bestFit="1"/>
    <col min="42" max="42" style="163" width="9.290714285714287" customWidth="1" bestFit="1"/>
    <col min="43" max="43" style="163" width="9.290714285714287" customWidth="1" bestFit="1"/>
    <col min="44" max="44" style="163" width="9.290714285714287" customWidth="1" bestFit="1"/>
    <col min="45" max="45" style="163" width="9.290714285714287" customWidth="1" bestFit="1"/>
    <col min="46" max="46" style="163" width="9.290714285714287" customWidth="1" bestFit="1"/>
    <col min="47" max="47" style="163" width="9.290714285714287" customWidth="1" bestFit="1"/>
    <col min="48" max="48" style="163" width="9.290714285714287" customWidth="1" bestFit="1"/>
    <col min="49" max="49" style="163" width="26.433571428571426" customWidth="1" bestFit="1"/>
    <col min="50" max="50" style="163" width="26.433571428571426" customWidth="1" bestFit="1"/>
    <col min="51" max="51" style="163" width="9.290714285714287" customWidth="1" bestFit="1"/>
    <col min="52" max="52" style="163" width="9.290714285714287" customWidth="1" bestFit="1"/>
    <col min="53" max="53" style="163" width="9.290714285714287" customWidth="1" bestFit="1"/>
    <col min="54" max="54" style="163" width="9.290714285714287" customWidth="1" bestFit="1"/>
    <col min="55" max="55" style="163" width="9.290714285714287" customWidth="1" bestFit="1"/>
    <col min="56" max="56" style="163" width="9.290714285714287" customWidth="1" bestFit="1"/>
    <col min="57" max="57" style="163" width="9.290714285714287" customWidth="1" bestFit="1"/>
    <col min="58" max="58" style="163" width="9.290714285714287" customWidth="1" bestFit="1"/>
    <col min="59" max="59" style="163" width="9.290714285714287" customWidth="1" bestFit="1"/>
    <col min="60" max="60" style="163" width="9.290714285714287" customWidth="1" bestFit="1"/>
    <col min="61" max="61" style="163" width="9.290714285714287" customWidth="1" bestFit="1"/>
    <col min="62" max="62" style="163" width="9.290714285714287" customWidth="1" bestFit="1"/>
    <col min="63" max="63" style="163" width="9.290714285714287" customWidth="1" bestFit="1"/>
    <col min="64" max="64" style="163" width="9.290714285714287" customWidth="1" bestFit="1"/>
    <col min="65" max="65" style="163" width="9.290714285714287" customWidth="1" bestFit="1"/>
    <col min="66" max="66" style="163" width="9.290714285714287" customWidth="1" bestFit="1"/>
    <col min="67" max="67" style="163" width="9.290714285714287" customWidth="1" bestFit="1"/>
    <col min="68" max="68" style="163" width="9.290714285714287" customWidth="1" bestFit="1"/>
    <col min="69" max="69" style="163" width="9.290714285714287" customWidth="1" bestFit="1"/>
    <col min="70" max="70" style="163" width="9.290714285714287" customWidth="1" bestFit="1"/>
    <col min="71" max="71" style="163" width="9.290714285714287" customWidth="1" bestFit="1"/>
    <col min="72" max="72" style="163" width="9.290714285714287" customWidth="1" bestFit="1"/>
    <col min="73" max="73" style="163" width="9.290714285714287" customWidth="1" bestFit="1"/>
    <col min="74" max="74" style="163" width="9.290714285714287" customWidth="1" bestFit="1"/>
    <col min="75" max="75" style="163" width="9.290714285714287" customWidth="1" bestFit="1"/>
    <col min="76" max="76" style="163" width="9.290714285714287" customWidth="1" bestFit="1"/>
    <col min="77" max="77" style="163" width="9.290714285714287" customWidth="1" bestFit="1"/>
    <col min="78" max="78" style="163" width="9.290714285714287" customWidth="1" bestFit="1"/>
    <col min="79" max="79" style="163" width="9.290714285714287" customWidth="1" bestFit="1"/>
    <col min="80" max="80" style="163" width="9.290714285714287" customWidth="1" bestFit="1"/>
    <col min="81" max="81" style="163" width="9.290714285714287" customWidth="1" bestFit="1"/>
    <col min="82" max="82" style="163" width="9.290714285714287" customWidth="1" bestFit="1"/>
    <col min="83" max="83" style="163" width="9.290714285714287" customWidth="1" bestFit="1"/>
    <col min="84" max="84" style="163" width="9.290714285714287" customWidth="1" bestFit="1"/>
    <col min="85" max="85" style="163" width="9.290714285714287" customWidth="1" bestFit="1"/>
    <col min="86" max="86" style="163" width="9.290714285714287" customWidth="1" bestFit="1"/>
    <col min="87" max="87" style="163" width="9.290714285714287" customWidth="1" bestFit="1"/>
    <col min="88" max="88" style="163" width="9.290714285714287" customWidth="1" bestFit="1"/>
    <col min="89" max="89" style="163" width="9.290714285714287" customWidth="1" bestFit="1"/>
    <col min="90" max="90" style="163" width="9.290714285714287" customWidth="1" bestFit="1"/>
    <col min="91" max="91" style="163" width="9.290714285714287" customWidth="1" bestFit="1"/>
    <col min="92" max="92" style="163" width="9.290714285714287" customWidth="1" bestFit="1"/>
    <col min="93" max="93" style="163" width="9.290714285714287" customWidth="1" bestFit="1"/>
    <col min="94" max="94" style="163" width="9.290714285714287" customWidth="1" bestFit="1"/>
    <col min="95" max="95" style="163" width="9.290714285714287" customWidth="1" bestFit="1"/>
    <col min="96" max="96" style="163" width="9.290714285714287" customWidth="1" bestFit="1"/>
    <col min="97" max="97" style="163" width="9.290714285714287" customWidth="1" bestFit="1"/>
    <col min="98" max="98" style="163" width="9.290714285714287" customWidth="1" bestFit="1"/>
    <col min="99" max="99" style="163" width="9.290714285714287" customWidth="1" bestFit="1"/>
    <col min="100" max="100" style="163" width="9.290714285714287" customWidth="1" bestFit="1"/>
    <col min="101" max="101" style="163" width="9.290714285714287" customWidth="1" bestFit="1"/>
  </cols>
  <sheetData>
    <row x14ac:dyDescent="0.25" r="1" customHeight="1" ht="18.75">
      <c r="A1" s="1"/>
      <c r="B1" s="568"/>
      <c r="C1" s="568"/>
      <c r="D1" s="568"/>
      <c r="E1" s="169"/>
      <c r="F1" s="569"/>
      <c r="G1" s="1"/>
      <c r="H1" s="1"/>
      <c r="I1" s="1"/>
      <c r="J1" s="170"/>
      <c r="K1" s="1"/>
      <c r="L1" s="1"/>
      <c r="M1" s="1"/>
      <c r="N1" s="1"/>
      <c r="O1" s="1"/>
      <c r="P1" s="1"/>
      <c r="Q1" s="1"/>
      <c r="R1" s="1"/>
      <c r="S1" s="1"/>
      <c r="T1" s="168"/>
      <c r="U1" s="170"/>
      <c r="V1" s="170"/>
      <c r="W1" s="570"/>
      <c r="X1" s="570"/>
      <c r="Y1" s="1"/>
      <c r="Z1" s="1"/>
      <c r="AA1" s="1"/>
      <c r="AB1" s="1"/>
      <c r="AC1" s="1"/>
      <c r="AD1" s="1"/>
      <c r="AE1" s="1"/>
      <c r="AF1" s="1"/>
      <c r="AG1" s="1"/>
      <c r="AH1" s="1"/>
      <c r="AI1" s="1"/>
      <c r="AJ1" s="571"/>
      <c r="AK1" s="572"/>
      <c r="AL1" s="572"/>
      <c r="AM1" s="571"/>
      <c r="AN1" s="571"/>
      <c r="AO1" s="571"/>
      <c r="AP1" s="571"/>
      <c r="AQ1" s="571"/>
      <c r="AR1" s="571"/>
      <c r="AS1" s="571"/>
      <c r="AT1" s="571"/>
      <c r="AU1" s="571"/>
      <c r="AV1" s="571"/>
      <c r="AW1" s="571"/>
      <c r="AX1" s="571"/>
      <c r="AY1" s="571"/>
      <c r="AZ1" s="571"/>
      <c r="BA1" s="571"/>
      <c r="BB1" s="571"/>
      <c r="BC1" s="571"/>
      <c r="BD1" s="571"/>
      <c r="BE1" s="571"/>
      <c r="BF1" s="571"/>
      <c r="BG1" s="571"/>
      <c r="BH1" s="571"/>
      <c r="BI1" s="571"/>
      <c r="BJ1" s="571"/>
      <c r="BK1" s="571"/>
      <c r="BL1" s="571"/>
      <c r="BM1" s="571"/>
      <c r="BN1" s="571"/>
      <c r="BO1" s="571"/>
      <c r="BP1" s="571"/>
      <c r="BQ1" s="571"/>
      <c r="BR1" s="571"/>
      <c r="BS1" s="571"/>
      <c r="BT1" s="571"/>
      <c r="BU1" s="571"/>
      <c r="BV1" s="571"/>
      <c r="BW1" s="571"/>
      <c r="BX1" s="571"/>
      <c r="BY1" s="571"/>
      <c r="BZ1" s="571"/>
      <c r="CA1" s="571"/>
      <c r="CB1" s="571"/>
      <c r="CC1" s="571"/>
      <c r="CD1" s="571"/>
      <c r="CE1" s="571"/>
      <c r="CF1" s="571"/>
      <c r="CG1" s="571"/>
      <c r="CH1" s="571"/>
      <c r="CI1" s="571"/>
      <c r="CJ1" s="571"/>
      <c r="CK1" s="571"/>
      <c r="CL1" s="571"/>
      <c r="CM1" s="1"/>
      <c r="CN1" s="1"/>
      <c r="CO1" s="1"/>
      <c r="CP1" s="1"/>
      <c r="CQ1" s="1"/>
      <c r="CR1" s="1"/>
      <c r="CS1" s="1"/>
      <c r="CT1" s="1"/>
      <c r="CU1" s="1"/>
      <c r="CV1" s="1"/>
      <c r="CW1" s="1"/>
    </row>
    <row x14ac:dyDescent="0.25" r="2" customHeight="1" ht="36.6">
      <c r="A2" s="1"/>
      <c r="B2" s="139"/>
      <c r="C2" s="172" t="s">
        <v>204</v>
      </c>
      <c r="D2" s="172"/>
      <c r="E2" s="174"/>
      <c r="F2" s="173"/>
      <c r="G2" s="172"/>
      <c r="H2" s="172"/>
      <c r="I2" s="172"/>
      <c r="J2" s="175"/>
      <c r="K2" s="172"/>
      <c r="L2" s="172"/>
      <c r="M2" s="172"/>
      <c r="N2" s="172"/>
      <c r="O2" s="172"/>
      <c r="P2" s="172"/>
      <c r="Q2" s="172"/>
      <c r="R2" s="172"/>
      <c r="S2" s="172"/>
      <c r="T2" s="173"/>
      <c r="U2" s="175"/>
      <c r="V2" s="175"/>
      <c r="W2" s="573"/>
      <c r="X2" s="574"/>
      <c r="Y2" s="575"/>
      <c r="Z2" s="1"/>
      <c r="AA2" s="1"/>
      <c r="AB2" s="1"/>
      <c r="AC2" s="1"/>
      <c r="AD2" s="1"/>
      <c r="AE2" s="1"/>
      <c r="AF2" s="1"/>
      <c r="AG2" s="1"/>
      <c r="AH2" s="1"/>
      <c r="AI2" s="1"/>
      <c r="AJ2" s="1"/>
      <c r="AK2" s="169"/>
      <c r="AL2" s="169"/>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row>
    <row x14ac:dyDescent="0.25" r="3" customHeight="1" ht="26.100000000000005">
      <c r="A3" s="1"/>
      <c r="B3" s="139"/>
      <c r="C3" s="576" t="s">
        <v>205</v>
      </c>
      <c r="D3" s="576"/>
      <c r="E3" s="577"/>
      <c r="F3" s="578"/>
      <c r="G3" s="576"/>
      <c r="H3" s="576"/>
      <c r="I3" s="576"/>
      <c r="J3" s="579"/>
      <c r="K3" s="580"/>
      <c r="L3" s="580"/>
      <c r="M3" s="580"/>
      <c r="N3" s="1"/>
      <c r="O3" s="359"/>
      <c r="P3" s="359"/>
      <c r="Q3" s="359"/>
      <c r="R3" s="359"/>
      <c r="S3" s="359"/>
      <c r="T3" s="581" t="s">
        <v>52</v>
      </c>
      <c r="U3" s="582"/>
      <c r="V3" s="583">
        <f>+'Simulador - 1º Pilar'!G20</f>
        <v>25569.041666666668</v>
      </c>
      <c r="W3" s="360"/>
      <c r="X3" s="584"/>
      <c r="Y3" s="585"/>
      <c r="Z3" s="1"/>
      <c r="AA3" s="1"/>
      <c r="AB3" s="1"/>
      <c r="AC3" s="1"/>
      <c r="AD3" s="1"/>
      <c r="AE3" s="1"/>
      <c r="AF3" s="1"/>
      <c r="AG3" s="1"/>
      <c r="AH3" s="1"/>
      <c r="AI3" s="1"/>
      <c r="AJ3" s="1"/>
      <c r="AK3" s="169"/>
      <c r="AL3" s="169"/>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row>
    <row x14ac:dyDescent="0.25" r="4" customHeight="1" ht="3.75">
      <c r="A4" s="1"/>
      <c r="B4" s="139"/>
      <c r="C4" s="580"/>
      <c r="D4" s="580"/>
      <c r="E4" s="169"/>
      <c r="F4" s="569"/>
      <c r="G4" s="580"/>
      <c r="H4" s="580"/>
      <c r="I4" s="580"/>
      <c r="J4" s="170"/>
      <c r="K4" s="1"/>
      <c r="L4" s="580"/>
      <c r="M4" s="580"/>
      <c r="N4" s="1"/>
      <c r="O4" s="1"/>
      <c r="P4" s="1"/>
      <c r="Q4" s="1"/>
      <c r="R4" s="1"/>
      <c r="S4" s="1"/>
      <c r="T4" s="168"/>
      <c r="U4" s="170"/>
      <c r="V4" s="586"/>
      <c r="W4" s="586"/>
      <c r="X4" s="587"/>
      <c r="Y4" s="585"/>
      <c r="Z4" s="1"/>
      <c r="AA4" s="1"/>
      <c r="AB4" s="1"/>
      <c r="AC4" s="1"/>
      <c r="AD4" s="1"/>
      <c r="AE4" s="1"/>
      <c r="AF4" s="1"/>
      <c r="AG4" s="1"/>
      <c r="AH4" s="1"/>
      <c r="AI4" s="1"/>
      <c r="AJ4" s="1"/>
      <c r="AK4" s="169"/>
      <c r="AL4" s="169"/>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row>
    <row x14ac:dyDescent="0.25" r="5" customHeight="1" ht="3.75">
      <c r="A5" s="1"/>
      <c r="B5" s="139"/>
      <c r="C5" s="580"/>
      <c r="D5" s="580"/>
      <c r="E5" s="588"/>
      <c r="F5" s="589"/>
      <c r="G5" s="580"/>
      <c r="H5" s="580"/>
      <c r="I5" s="580"/>
      <c r="J5" s="170"/>
      <c r="K5" s="1"/>
      <c r="L5" s="1"/>
      <c r="M5" s="1"/>
      <c r="N5" s="1"/>
      <c r="O5" s="1"/>
      <c r="P5" s="1"/>
      <c r="Q5" s="1"/>
      <c r="R5" s="1"/>
      <c r="S5" s="1"/>
      <c r="T5" s="168"/>
      <c r="U5" s="170"/>
      <c r="V5" s="170"/>
      <c r="W5" s="170"/>
      <c r="X5" s="169"/>
      <c r="Y5" s="1"/>
      <c r="Z5" s="1"/>
      <c r="AA5" s="1"/>
      <c r="AB5" s="1"/>
      <c r="AC5" s="1"/>
      <c r="AD5" s="1"/>
      <c r="AE5" s="1"/>
      <c r="AF5" s="1"/>
      <c r="AG5" s="1"/>
      <c r="AH5" s="1"/>
      <c r="AI5" s="1"/>
      <c r="AJ5" s="1"/>
      <c r="AK5" s="169"/>
      <c r="AL5" s="169"/>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row>
    <row x14ac:dyDescent="0.25" r="6" customHeight="1" ht="3.75">
      <c r="A6" s="568"/>
      <c r="B6" s="139"/>
      <c r="C6" s="139"/>
      <c r="D6" s="139"/>
      <c r="E6" s="590"/>
      <c r="F6" s="356"/>
      <c r="G6" s="139"/>
      <c r="H6" s="591"/>
      <c r="I6" s="591"/>
      <c r="J6" s="170"/>
      <c r="K6" s="1"/>
      <c r="L6" s="1"/>
      <c r="M6" s="1"/>
      <c r="N6" s="1"/>
      <c r="O6" s="1"/>
      <c r="P6" s="1"/>
      <c r="Q6" s="1"/>
      <c r="R6" s="1"/>
      <c r="S6" s="1"/>
      <c r="T6" s="168"/>
      <c r="U6" s="170"/>
      <c r="V6" s="170"/>
      <c r="W6" s="170"/>
      <c r="X6" s="169"/>
      <c r="Y6" s="1"/>
      <c r="Z6" s="1"/>
      <c r="AA6" s="1"/>
      <c r="AB6" s="1"/>
      <c r="AC6" s="1"/>
      <c r="AD6" s="1"/>
      <c r="AE6" s="1"/>
      <c r="AF6" s="1"/>
      <c r="AG6" s="1"/>
      <c r="AH6" s="1"/>
      <c r="AI6" s="1"/>
      <c r="AJ6" s="1"/>
      <c r="AK6" s="169"/>
      <c r="AL6" s="169"/>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row>
    <row x14ac:dyDescent="0.25" r="7" customHeight="1" ht="3.75">
      <c r="A7" s="568"/>
      <c r="B7" s="139"/>
      <c r="C7" s="1"/>
      <c r="D7" s="1"/>
      <c r="E7" s="169"/>
      <c r="F7" s="569"/>
      <c r="G7" s="1"/>
      <c r="H7" s="1"/>
      <c r="I7" s="1"/>
      <c r="J7" s="170"/>
      <c r="K7" s="1"/>
      <c r="L7" s="1"/>
      <c r="M7" s="1"/>
      <c r="N7" s="1"/>
      <c r="O7" s="1"/>
      <c r="P7" s="1"/>
      <c r="Q7" s="1"/>
      <c r="R7" s="1"/>
      <c r="S7" s="1"/>
      <c r="T7" s="168"/>
      <c r="U7" s="170"/>
      <c r="V7" s="170"/>
      <c r="W7" s="170"/>
      <c r="X7" s="169"/>
      <c r="Y7" s="171"/>
      <c r="Z7" s="1"/>
      <c r="AA7" s="1"/>
      <c r="AB7" s="1"/>
      <c r="AC7" s="1"/>
      <c r="AD7" s="1"/>
      <c r="AE7" s="1"/>
      <c r="AF7" s="1"/>
      <c r="AG7" s="1"/>
      <c r="AH7" s="1"/>
      <c r="AI7" s="1"/>
      <c r="AJ7" s="1"/>
      <c r="AK7" s="169"/>
      <c r="AL7" s="169"/>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row>
    <row x14ac:dyDescent="0.25" r="8" customHeight="1" ht="17.65">
      <c r="A8" s="568"/>
      <c r="B8" s="139"/>
      <c r="C8" s="260" t="s">
        <v>206</v>
      </c>
      <c r="D8" s="260"/>
      <c r="E8" s="592"/>
      <c r="F8" s="358"/>
      <c r="G8" s="260"/>
      <c r="H8" s="260"/>
      <c r="I8" s="260"/>
      <c r="J8" s="261"/>
      <c r="K8" s="260"/>
      <c r="L8" s="260"/>
      <c r="M8" s="1"/>
      <c r="N8" s="1"/>
      <c r="O8" s="1"/>
      <c r="P8" s="1"/>
      <c r="Q8" s="1"/>
      <c r="R8" s="1"/>
      <c r="S8" s="1"/>
      <c r="T8" s="168"/>
      <c r="U8" s="170"/>
      <c r="V8" s="170"/>
      <c r="W8" s="170"/>
      <c r="X8" s="169"/>
      <c r="Y8" s="1"/>
      <c r="Z8" s="593"/>
      <c r="AA8" s="593"/>
      <c r="AB8" s="593"/>
      <c r="AC8" s="593"/>
      <c r="AD8" s="594"/>
      <c r="AE8" s="594"/>
      <c r="AF8" s="594"/>
      <c r="AG8" s="594"/>
      <c r="AH8" s="594"/>
      <c r="AI8" s="1"/>
      <c r="AJ8" s="1"/>
      <c r="AK8" s="595"/>
      <c r="AL8" s="595"/>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row>
    <row x14ac:dyDescent="0.25" r="9" customHeight="1" ht="2.1">
      <c r="A9" s="596"/>
      <c r="B9" s="1"/>
      <c r="C9" s="1"/>
      <c r="D9" s="1"/>
      <c r="E9" s="169"/>
      <c r="F9" s="569"/>
      <c r="G9" s="1"/>
      <c r="H9" s="1"/>
      <c r="I9" s="1"/>
      <c r="J9" s="170"/>
      <c r="K9" s="1"/>
      <c r="L9" s="1"/>
      <c r="M9" s="1"/>
      <c r="N9" s="1"/>
      <c r="O9" s="1"/>
      <c r="P9" s="1"/>
      <c r="Q9" s="1"/>
      <c r="R9" s="1"/>
      <c r="S9" s="139"/>
      <c r="T9" s="435"/>
      <c r="U9" s="597"/>
      <c r="V9" s="597"/>
      <c r="W9" s="354"/>
      <c r="X9" s="590"/>
      <c r="Y9" s="171"/>
      <c r="Z9" s="1"/>
      <c r="AA9" s="1"/>
      <c r="AB9" s="1"/>
      <c r="AC9" s="1"/>
      <c r="AD9" s="596"/>
      <c r="AE9" s="596"/>
      <c r="AF9" s="596"/>
      <c r="AG9" s="596"/>
      <c r="AH9" s="596"/>
      <c r="AI9" s="596"/>
      <c r="AJ9" s="598"/>
      <c r="AK9" s="599">
        <f>MAX(100%-AK8,0)</f>
      </c>
      <c r="AL9" s="599">
        <f>MAX(100%-AL8,0)</f>
      </c>
      <c r="AM9" s="598"/>
      <c r="AN9" s="598"/>
      <c r="AO9" s="598"/>
      <c r="AP9" s="598"/>
      <c r="AQ9" s="598"/>
      <c r="AR9" s="598"/>
      <c r="AS9" s="598"/>
      <c r="AT9" s="598"/>
      <c r="AU9" s="598"/>
      <c r="AV9" s="598"/>
      <c r="AW9" s="598"/>
      <c r="AX9" s="598"/>
      <c r="AY9" s="598"/>
      <c r="AZ9" s="598"/>
      <c r="BA9" s="598"/>
      <c r="BB9" s="598"/>
      <c r="BC9" s="598"/>
      <c r="BD9" s="598"/>
      <c r="BE9" s="598"/>
      <c r="BF9" s="598"/>
      <c r="BG9" s="598"/>
      <c r="BH9" s="598"/>
      <c r="BI9" s="598"/>
      <c r="BJ9" s="598"/>
      <c r="BK9" s="598"/>
      <c r="BL9" s="598"/>
      <c r="BM9" s="598"/>
      <c r="BN9" s="598"/>
      <c r="BO9" s="598"/>
      <c r="BP9" s="598"/>
      <c r="BQ9" s="598"/>
      <c r="BR9" s="598"/>
      <c r="BS9" s="598"/>
      <c r="BT9" s="598"/>
      <c r="BU9" s="598"/>
      <c r="BV9" s="598"/>
      <c r="BW9" s="598"/>
      <c r="BX9" s="598"/>
      <c r="BY9" s="598"/>
      <c r="BZ9" s="598"/>
      <c r="CA9" s="598"/>
      <c r="CB9" s="598"/>
      <c r="CC9" s="598"/>
      <c r="CD9" s="598"/>
      <c r="CE9" s="598"/>
      <c r="CF9" s="598"/>
      <c r="CG9" s="598"/>
      <c r="CH9" s="598"/>
      <c r="CI9" s="598"/>
      <c r="CJ9" s="598"/>
      <c r="CK9" s="598"/>
      <c r="CL9" s="598"/>
      <c r="CM9" s="596"/>
      <c r="CN9" s="596"/>
      <c r="CO9" s="596"/>
      <c r="CP9" s="596"/>
      <c r="CQ9" s="596"/>
      <c r="CR9" s="596"/>
      <c r="CS9" s="596"/>
      <c r="CT9" s="596"/>
      <c r="CU9" s="596"/>
      <c r="CV9" s="596"/>
      <c r="CW9" s="596"/>
    </row>
    <row x14ac:dyDescent="0.25" r="10" customHeight="1" ht="17.65">
      <c r="A10" s="568"/>
      <c r="B10" s="139"/>
      <c r="C10" s="600" t="s">
        <v>104</v>
      </c>
      <c r="D10" s="601"/>
      <c r="E10" s="602" t="s">
        <v>207</v>
      </c>
      <c r="F10" s="603"/>
      <c r="G10" s="604"/>
      <c r="H10" s="605" t="s">
        <v>208</v>
      </c>
      <c r="I10" s="604"/>
      <c r="J10" s="606">
        <f>+SUM('Aportaciones PPE'!AX7:AX18)</f>
      </c>
      <c r="K10" s="606"/>
      <c r="L10" s="606"/>
      <c r="M10" s="1"/>
      <c r="N10" s="1"/>
      <c r="O10" s="1"/>
      <c r="P10" s="1"/>
      <c r="Q10" s="1"/>
      <c r="R10" s="1"/>
      <c r="S10" s="139"/>
      <c r="T10" s="388" t="s">
        <v>209</v>
      </c>
      <c r="U10" s="597"/>
      <c r="V10" s="407" t="s">
        <v>124</v>
      </c>
      <c r="W10" s="170"/>
      <c r="X10" s="169"/>
      <c r="Y10" s="1"/>
      <c r="Z10" s="1"/>
      <c r="AA10" s="1"/>
      <c r="AB10" s="1"/>
      <c r="AC10" s="1"/>
      <c r="AD10" s="1"/>
      <c r="AE10" s="1"/>
      <c r="AF10" s="1"/>
      <c r="AG10" s="1"/>
      <c r="AH10" s="1"/>
      <c r="AI10" s="1"/>
      <c r="AJ10" s="1"/>
      <c r="AK10" s="169"/>
      <c r="AL10" s="169"/>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row>
    <row x14ac:dyDescent="0.25" r="11" customHeight="1" ht="2.1">
      <c r="A11" s="568"/>
      <c r="B11" s="139"/>
      <c r="C11" s="607"/>
      <c r="D11" s="1"/>
      <c r="E11" s="169"/>
      <c r="F11" s="569"/>
      <c r="G11" s="1"/>
      <c r="H11" s="1"/>
      <c r="I11" s="1"/>
      <c r="J11" s="170"/>
      <c r="K11" s="1"/>
      <c r="L11" s="1"/>
      <c r="M11" s="1"/>
      <c r="N11" s="1"/>
      <c r="O11" s="1"/>
      <c r="P11" s="1"/>
      <c r="Q11" s="1"/>
      <c r="R11" s="1"/>
      <c r="S11" s="1"/>
      <c r="T11" s="168"/>
      <c r="U11" s="170"/>
      <c r="V11" s="170"/>
      <c r="W11" s="170"/>
      <c r="X11" s="169"/>
      <c r="Y11" s="1"/>
      <c r="Z11" s="1"/>
      <c r="AA11" s="1"/>
      <c r="AB11" s="1"/>
      <c r="AC11" s="1"/>
      <c r="AD11" s="1"/>
      <c r="AE11" s="1"/>
      <c r="AF11" s="1"/>
      <c r="AG11" s="1"/>
      <c r="AH11" s="1"/>
      <c r="AI11" s="1"/>
      <c r="AJ11" s="1"/>
      <c r="AK11" s="169"/>
      <c r="AL11" s="169"/>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row>
    <row x14ac:dyDescent="0.25" r="12" customHeight="1" ht="17.65">
      <c r="A12" s="568"/>
      <c r="B12" s="139"/>
      <c r="C12" s="607"/>
      <c r="D12" s="601"/>
      <c r="E12" s="602" t="s">
        <v>210</v>
      </c>
      <c r="F12" s="603"/>
      <c r="G12" s="604"/>
      <c r="H12" s="608">
        <f>+IF($F$65="Si",$F$67,$F$68)</f>
      </c>
      <c r="I12" s="604"/>
      <c r="J12" s="606">
        <f>+SUM('Aportaciones PPE'!AN7:AN18)</f>
      </c>
      <c r="K12" s="606"/>
      <c r="L12" s="606"/>
      <c r="M12" s="1"/>
      <c r="N12" s="1"/>
      <c r="O12" s="1"/>
      <c r="P12" s="1"/>
      <c r="Q12" s="1"/>
      <c r="R12" s="1"/>
      <c r="S12" s="139"/>
      <c r="T12" s="609">
        <f>IF('Simulador - Datos personales'!E5:F5=4,0,F79)</f>
      </c>
      <c r="U12" s="610">
        <v>263679.7110920674</v>
      </c>
      <c r="V12" s="609">
        <f>IF('Simulador - Datos personales'!E5:F5=4,0,T12/'Renta Vitalicia'!$F$5/12)</f>
      </c>
      <c r="W12" s="218">
        <v>1053.9409152382768</v>
      </c>
      <c r="X12" s="169"/>
      <c r="Y12" s="1"/>
      <c r="Z12" s="1"/>
      <c r="AA12" s="1"/>
      <c r="AB12" s="1"/>
      <c r="AC12" s="1"/>
      <c r="AD12" s="1"/>
      <c r="AE12" s="1"/>
      <c r="AF12" s="1"/>
      <c r="AG12" s="1"/>
      <c r="AH12" s="1"/>
      <c r="AI12" s="1"/>
      <c r="AJ12" s="1"/>
      <c r="AK12" s="169"/>
      <c r="AL12" s="169"/>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row>
    <row x14ac:dyDescent="0.25" r="13" customHeight="1" ht="2.1">
      <c r="A13" s="568"/>
      <c r="B13" s="139"/>
      <c r="C13" s="607"/>
      <c r="D13" s="1"/>
      <c r="E13" s="169"/>
      <c r="F13" s="569"/>
      <c r="G13" s="1"/>
      <c r="H13" s="1"/>
      <c r="I13" s="1"/>
      <c r="J13" s="170"/>
      <c r="K13" s="1"/>
      <c r="L13" s="1"/>
      <c r="M13" s="1"/>
      <c r="N13" s="1"/>
      <c r="O13" s="1"/>
      <c r="P13" s="1"/>
      <c r="Q13" s="1"/>
      <c r="R13" s="1"/>
      <c r="S13" s="1"/>
      <c r="T13" s="168"/>
      <c r="U13" s="170"/>
      <c r="V13" s="170"/>
      <c r="W13" s="170"/>
      <c r="X13" s="169"/>
      <c r="Y13" s="1"/>
      <c r="Z13" s="1"/>
      <c r="AA13" s="1"/>
      <c r="AB13" s="1"/>
      <c r="AC13" s="1"/>
      <c r="AD13" s="596"/>
      <c r="AE13" s="596"/>
      <c r="AF13" s="596"/>
      <c r="AG13" s="596"/>
      <c r="AH13" s="596"/>
      <c r="AI13" s="596"/>
      <c r="AJ13" s="598"/>
      <c r="AK13" s="611"/>
      <c r="AL13" s="611"/>
      <c r="AM13" s="598"/>
      <c r="AN13" s="598"/>
      <c r="AO13" s="598"/>
      <c r="AP13" s="598"/>
      <c r="AQ13" s="598"/>
      <c r="AR13" s="598"/>
      <c r="AS13" s="598"/>
      <c r="AT13" s="598"/>
      <c r="AU13" s="598"/>
      <c r="AV13" s="598"/>
      <c r="AW13" s="598"/>
      <c r="AX13" s="598"/>
      <c r="AY13" s="598"/>
      <c r="AZ13" s="598"/>
      <c r="BA13" s="598"/>
      <c r="BB13" s="598"/>
      <c r="BC13" s="598"/>
      <c r="BD13" s="598"/>
      <c r="BE13" s="598"/>
      <c r="BF13" s="598"/>
      <c r="BG13" s="598"/>
      <c r="BH13" s="598"/>
      <c r="BI13" s="598"/>
      <c r="BJ13" s="598"/>
      <c r="BK13" s="598"/>
      <c r="BL13" s="598"/>
      <c r="BM13" s="598"/>
      <c r="BN13" s="598"/>
      <c r="BO13" s="598"/>
      <c r="BP13" s="598"/>
      <c r="BQ13" s="598"/>
      <c r="BR13" s="598"/>
      <c r="BS13" s="598"/>
      <c r="BT13" s="598"/>
      <c r="BU13" s="598"/>
      <c r="BV13" s="598"/>
      <c r="BW13" s="598"/>
      <c r="BX13" s="598"/>
      <c r="BY13" s="598"/>
      <c r="BZ13" s="598"/>
      <c r="CA13" s="598"/>
      <c r="CB13" s="598"/>
      <c r="CC13" s="598"/>
      <c r="CD13" s="598"/>
      <c r="CE13" s="598"/>
      <c r="CF13" s="598"/>
      <c r="CG13" s="598"/>
      <c r="CH13" s="598"/>
      <c r="CI13" s="598"/>
      <c r="CJ13" s="598"/>
      <c r="CK13" s="598"/>
      <c r="CL13" s="598"/>
      <c r="CM13" s="596"/>
      <c r="CN13" s="596"/>
      <c r="CO13" s="596"/>
      <c r="CP13" s="596"/>
      <c r="CQ13" s="596"/>
      <c r="CR13" s="596"/>
      <c r="CS13" s="596"/>
      <c r="CT13" s="596"/>
      <c r="CU13" s="596"/>
      <c r="CV13" s="596"/>
      <c r="CW13" s="596"/>
    </row>
    <row x14ac:dyDescent="0.25" r="14" customHeight="1" ht="17.65">
      <c r="A14" s="568"/>
      <c r="B14" s="139"/>
      <c r="C14" s="607"/>
      <c r="D14" s="601"/>
      <c r="E14" s="602" t="s">
        <v>211</v>
      </c>
      <c r="F14" s="603"/>
      <c r="G14" s="604"/>
      <c r="H14" s="608">
        <f>+H12</f>
      </c>
      <c r="I14" s="604"/>
      <c r="J14" s="606">
        <f>+SUM('Aportaciones PPE'!AS7:AS18)</f>
      </c>
      <c r="K14" s="606"/>
      <c r="L14" s="606"/>
      <c r="M14" s="1"/>
      <c r="N14" s="1"/>
      <c r="O14" s="1"/>
      <c r="P14" s="1"/>
      <c r="Q14" s="1"/>
      <c r="R14" s="1"/>
      <c r="S14" s="139"/>
      <c r="T14" s="388" t="s">
        <v>83</v>
      </c>
      <c r="U14" s="612"/>
      <c r="V14" s="612"/>
      <c r="W14" s="170"/>
      <c r="X14" s="169"/>
      <c r="Y14" s="1"/>
      <c r="Z14" s="1"/>
      <c r="AA14" s="1"/>
      <c r="AB14" s="1"/>
      <c r="AC14" s="1"/>
      <c r="AD14" s="1"/>
      <c r="AE14" s="1"/>
      <c r="AF14" s="1"/>
      <c r="AG14" s="1"/>
      <c r="AH14" s="1"/>
      <c r="AI14" s="1"/>
      <c r="AJ14" s="1"/>
      <c r="AK14" s="169"/>
      <c r="AL14" s="169"/>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row>
    <row x14ac:dyDescent="0.25" r="15" customHeight="1" ht="2.1">
      <c r="A15" s="568"/>
      <c r="B15" s="139"/>
      <c r="C15" s="607"/>
      <c r="D15" s="1"/>
      <c r="E15" s="169"/>
      <c r="F15" s="569"/>
      <c r="G15" s="1"/>
      <c r="H15" s="1"/>
      <c r="I15" s="1"/>
      <c r="J15" s="170"/>
      <c r="K15" s="1"/>
      <c r="L15" s="1"/>
      <c r="M15" s="1"/>
      <c r="N15" s="1"/>
      <c r="O15" s="1"/>
      <c r="P15" s="1"/>
      <c r="Q15" s="1"/>
      <c r="R15" s="1"/>
      <c r="S15" s="1"/>
      <c r="T15" s="168"/>
      <c r="U15" s="170"/>
      <c r="V15" s="170"/>
      <c r="W15" s="170"/>
      <c r="X15" s="169"/>
      <c r="Y15" s="1"/>
      <c r="Z15" s="1"/>
      <c r="AA15" s="1"/>
      <c r="AB15" s="1"/>
      <c r="AC15" s="1"/>
      <c r="AD15" s="596"/>
      <c r="AE15" s="596"/>
      <c r="AF15" s="596"/>
      <c r="AG15" s="596"/>
      <c r="AH15" s="596"/>
      <c r="AI15" s="596"/>
      <c r="AJ15" s="598"/>
      <c r="AK15" s="611"/>
      <c r="AL15" s="611"/>
      <c r="AM15" s="598"/>
      <c r="AN15" s="598"/>
      <c r="AO15" s="598"/>
      <c r="AP15" s="598"/>
      <c r="AQ15" s="598"/>
      <c r="AR15" s="598"/>
      <c r="AS15" s="598"/>
      <c r="AT15" s="598"/>
      <c r="AU15" s="598"/>
      <c r="AV15" s="598"/>
      <c r="AW15" s="598"/>
      <c r="AX15" s="598"/>
      <c r="AY15" s="598"/>
      <c r="AZ15" s="598"/>
      <c r="BA15" s="598"/>
      <c r="BB15" s="598"/>
      <c r="BC15" s="598"/>
      <c r="BD15" s="598"/>
      <c r="BE15" s="598"/>
      <c r="BF15" s="598"/>
      <c r="BG15" s="598"/>
      <c r="BH15" s="598"/>
      <c r="BI15" s="598"/>
      <c r="BJ15" s="598"/>
      <c r="BK15" s="598"/>
      <c r="BL15" s="598"/>
      <c r="BM15" s="598"/>
      <c r="BN15" s="598"/>
      <c r="BO15" s="598"/>
      <c r="BP15" s="598"/>
      <c r="BQ15" s="598"/>
      <c r="BR15" s="598"/>
      <c r="BS15" s="598"/>
      <c r="BT15" s="598"/>
      <c r="BU15" s="598"/>
      <c r="BV15" s="598"/>
      <c r="BW15" s="598"/>
      <c r="BX15" s="598"/>
      <c r="BY15" s="598"/>
      <c r="BZ15" s="598"/>
      <c r="CA15" s="598"/>
      <c r="CB15" s="598"/>
      <c r="CC15" s="598"/>
      <c r="CD15" s="598"/>
      <c r="CE15" s="598"/>
      <c r="CF15" s="598"/>
      <c r="CG15" s="598"/>
      <c r="CH15" s="598"/>
      <c r="CI15" s="598"/>
      <c r="CJ15" s="598"/>
      <c r="CK15" s="598"/>
      <c r="CL15" s="598"/>
      <c r="CM15" s="596"/>
      <c r="CN15" s="596"/>
      <c r="CO15" s="596"/>
      <c r="CP15" s="596"/>
      <c r="CQ15" s="596"/>
      <c r="CR15" s="596"/>
      <c r="CS15" s="596"/>
      <c r="CT15" s="596"/>
      <c r="CU15" s="596"/>
      <c r="CV15" s="596"/>
      <c r="CW15" s="596"/>
    </row>
    <row x14ac:dyDescent="0.25" r="16" customHeight="1" ht="17.65">
      <c r="A16" s="568"/>
      <c r="B16" s="139"/>
      <c r="C16" s="607"/>
      <c r="D16" s="613"/>
      <c r="E16" s="614" t="s">
        <v>212</v>
      </c>
      <c r="F16" s="615"/>
      <c r="G16" s="616"/>
      <c r="H16" s="616"/>
      <c r="I16" s="617"/>
      <c r="J16" s="618">
        <f>'Aportaciones PPE'!S4</f>
      </c>
      <c r="K16" s="618"/>
      <c r="L16" s="618"/>
      <c r="M16" s="1"/>
      <c r="N16" s="1"/>
      <c r="O16" s="1"/>
      <c r="P16" s="1"/>
      <c r="Q16" s="1"/>
      <c r="R16" s="1"/>
      <c r="S16" s="139"/>
      <c r="T16" s="619">
        <f>V12/(F78/12)</f>
      </c>
      <c r="U16" s="619"/>
      <c r="V16" s="619"/>
      <c r="W16" s="170"/>
      <c r="X16" s="169"/>
      <c r="Y16" s="1"/>
      <c r="Z16" s="1"/>
      <c r="AA16" s="1"/>
      <c r="AB16" s="1"/>
      <c r="AC16" s="1"/>
      <c r="AD16" s="1"/>
      <c r="AE16" s="1"/>
      <c r="AF16" s="1"/>
      <c r="AG16" s="1"/>
      <c r="AH16" s="1"/>
      <c r="AI16" s="1"/>
      <c r="AJ16" s="1"/>
      <c r="AK16" s="169"/>
      <c r="AL16" s="169"/>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row>
    <row x14ac:dyDescent="0.25" r="17" customHeight="1" ht="8.1">
      <c r="A17" s="596"/>
      <c r="B17" s="1"/>
      <c r="C17" s="620"/>
      <c r="D17" s="620"/>
      <c r="E17" s="621"/>
      <c r="F17" s="435"/>
      <c r="G17" s="604"/>
      <c r="H17" s="604"/>
      <c r="I17" s="604"/>
      <c r="J17" s="597"/>
      <c r="K17" s="604"/>
      <c r="L17" s="604"/>
      <c r="M17" s="1"/>
      <c r="N17" s="1"/>
      <c r="O17" s="1"/>
      <c r="P17" s="1"/>
      <c r="Q17" s="1"/>
      <c r="R17" s="1"/>
      <c r="S17" s="139"/>
      <c r="T17" s="435"/>
      <c r="U17" s="597"/>
      <c r="V17" s="597"/>
      <c r="W17" s="354"/>
      <c r="X17" s="590"/>
      <c r="Y17" s="171"/>
      <c r="Z17" s="1"/>
      <c r="AA17" s="1"/>
      <c r="AB17" s="1"/>
      <c r="AC17" s="1"/>
      <c r="AD17" s="596"/>
      <c r="AE17" s="596"/>
      <c r="AF17" s="568"/>
      <c r="AG17" s="568"/>
      <c r="AH17" s="596"/>
      <c r="AI17" s="596"/>
      <c r="AJ17" s="598"/>
      <c r="AK17" s="611"/>
      <c r="AL17" s="611"/>
      <c r="AM17" s="598"/>
      <c r="AN17" s="598"/>
      <c r="AO17" s="598"/>
      <c r="AP17" s="598"/>
      <c r="AQ17" s="598"/>
      <c r="AR17" s="598"/>
      <c r="AS17" s="598"/>
      <c r="AT17" s="598"/>
      <c r="AU17" s="598"/>
      <c r="AV17" s="598"/>
      <c r="AW17" s="598"/>
      <c r="AX17" s="598"/>
      <c r="AY17" s="598"/>
      <c r="AZ17" s="598"/>
      <c r="BA17" s="598"/>
      <c r="BB17" s="598"/>
      <c r="BC17" s="598"/>
      <c r="BD17" s="598"/>
      <c r="BE17" s="598"/>
      <c r="BF17" s="598"/>
      <c r="BG17" s="598"/>
      <c r="BH17" s="598"/>
      <c r="BI17" s="598"/>
      <c r="BJ17" s="598"/>
      <c r="BK17" s="598"/>
      <c r="BL17" s="598"/>
      <c r="BM17" s="598"/>
      <c r="BN17" s="598"/>
      <c r="BO17" s="598"/>
      <c r="BP17" s="598"/>
      <c r="BQ17" s="598"/>
      <c r="BR17" s="598"/>
      <c r="BS17" s="598"/>
      <c r="BT17" s="598"/>
      <c r="BU17" s="598"/>
      <c r="BV17" s="598"/>
      <c r="BW17" s="598"/>
      <c r="BX17" s="598"/>
      <c r="BY17" s="598"/>
      <c r="BZ17" s="598"/>
      <c r="CA17" s="598"/>
      <c r="CB17" s="598"/>
      <c r="CC17" s="598"/>
      <c r="CD17" s="598"/>
      <c r="CE17" s="598"/>
      <c r="CF17" s="598"/>
      <c r="CG17" s="598"/>
      <c r="CH17" s="598"/>
      <c r="CI17" s="598"/>
      <c r="CJ17" s="598"/>
      <c r="CK17" s="598"/>
      <c r="CL17" s="598"/>
      <c r="CM17" s="596"/>
      <c r="CN17" s="596"/>
      <c r="CO17" s="596"/>
      <c r="CP17" s="596"/>
      <c r="CQ17" s="596"/>
      <c r="CR17" s="596"/>
      <c r="CS17" s="596"/>
      <c r="CT17" s="596"/>
      <c r="CU17" s="596"/>
      <c r="CV17" s="596"/>
      <c r="CW17" s="596"/>
    </row>
    <row x14ac:dyDescent="0.25" r="18" customHeight="1" ht="17.65">
      <c r="A18" s="568"/>
      <c r="B18" s="139"/>
      <c r="C18" s="622" t="s">
        <v>213</v>
      </c>
      <c r="D18" s="601"/>
      <c r="E18" s="602">
        <f>"Excesos "&amp;E10</f>
      </c>
      <c r="F18" s="603"/>
      <c r="G18" s="604"/>
      <c r="H18" s="623" t="s">
        <v>214</v>
      </c>
      <c r="I18" s="604"/>
      <c r="J18" s="606">
        <f>+SUM('Aportaciones PPE'!AY7:AY18)</f>
      </c>
      <c r="K18" s="606"/>
      <c r="L18" s="606"/>
      <c r="M18" s="1"/>
      <c r="N18" s="1"/>
      <c r="O18" s="1"/>
      <c r="P18" s="1"/>
      <c r="Q18" s="1"/>
      <c r="R18" s="1"/>
      <c r="S18" s="139"/>
      <c r="T18" s="388" t="s">
        <v>209</v>
      </c>
      <c r="U18" s="597"/>
      <c r="V18" s="407" t="s">
        <v>124</v>
      </c>
      <c r="W18" s="170"/>
      <c r="X18" s="169"/>
      <c r="Y18" s="1"/>
      <c r="Z18" s="1"/>
      <c r="AA18" s="1"/>
      <c r="AB18" s="1"/>
      <c r="AC18" s="1"/>
      <c r="AD18" s="1"/>
      <c r="AE18" s="1"/>
      <c r="AF18" s="1"/>
      <c r="AG18" s="1"/>
      <c r="AH18" s="1"/>
      <c r="AI18" s="1"/>
      <c r="AJ18" s="1"/>
      <c r="AK18" s="169"/>
      <c r="AL18" s="169"/>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row>
    <row x14ac:dyDescent="0.25" r="19" customHeight="1" ht="2.1">
      <c r="A19" s="568"/>
      <c r="B19" s="139"/>
      <c r="C19" s="624"/>
      <c r="D19" s="1"/>
      <c r="E19" s="169"/>
      <c r="F19" s="569"/>
      <c r="G19" s="1"/>
      <c r="H19" s="612"/>
      <c r="I19" s="1"/>
      <c r="J19" s="170"/>
      <c r="K19" s="1"/>
      <c r="L19" s="1"/>
      <c r="M19" s="1"/>
      <c r="N19" s="1"/>
      <c r="O19" s="1"/>
      <c r="P19" s="1"/>
      <c r="Q19" s="1"/>
      <c r="R19" s="1"/>
      <c r="S19" s="1"/>
      <c r="T19" s="168"/>
      <c r="U19" s="170"/>
      <c r="V19" s="170"/>
      <c r="W19" s="170"/>
      <c r="X19" s="169"/>
      <c r="Y19" s="1"/>
      <c r="Z19" s="1"/>
      <c r="AA19" s="1"/>
      <c r="AB19" s="1"/>
      <c r="AC19" s="1"/>
      <c r="AD19" s="596"/>
      <c r="AE19" s="596"/>
      <c r="AF19" s="596"/>
      <c r="AG19" s="596"/>
      <c r="AH19" s="596"/>
      <c r="AI19" s="596"/>
      <c r="AJ19" s="598"/>
      <c r="AK19" s="611"/>
      <c r="AL19" s="611"/>
      <c r="AM19" s="598"/>
      <c r="AN19" s="598"/>
      <c r="AO19" s="598"/>
      <c r="AP19" s="598"/>
      <c r="AQ19" s="598"/>
      <c r="AR19" s="598"/>
      <c r="AS19" s="598"/>
      <c r="AT19" s="598"/>
      <c r="AU19" s="598"/>
      <c r="AV19" s="598"/>
      <c r="AW19" s="598"/>
      <c r="AX19" s="598"/>
      <c r="AY19" s="598"/>
      <c r="AZ19" s="598"/>
      <c r="BA19" s="598"/>
      <c r="BB19" s="598"/>
      <c r="BC19" s="598"/>
      <c r="BD19" s="598"/>
      <c r="BE19" s="598"/>
      <c r="BF19" s="598"/>
      <c r="BG19" s="598"/>
      <c r="BH19" s="598"/>
      <c r="BI19" s="598"/>
      <c r="BJ19" s="598"/>
      <c r="BK19" s="598"/>
      <c r="BL19" s="598"/>
      <c r="BM19" s="598"/>
      <c r="BN19" s="598"/>
      <c r="BO19" s="598"/>
      <c r="BP19" s="598"/>
      <c r="BQ19" s="598"/>
      <c r="BR19" s="598"/>
      <c r="BS19" s="598"/>
      <c r="BT19" s="598"/>
      <c r="BU19" s="598"/>
      <c r="BV19" s="598"/>
      <c r="BW19" s="598"/>
      <c r="BX19" s="598"/>
      <c r="BY19" s="598"/>
      <c r="BZ19" s="598"/>
      <c r="CA19" s="598"/>
      <c r="CB19" s="598"/>
      <c r="CC19" s="598"/>
      <c r="CD19" s="598"/>
      <c r="CE19" s="598"/>
      <c r="CF19" s="598"/>
      <c r="CG19" s="598"/>
      <c r="CH19" s="598"/>
      <c r="CI19" s="598"/>
      <c r="CJ19" s="598"/>
      <c r="CK19" s="598"/>
      <c r="CL19" s="598"/>
      <c r="CM19" s="596"/>
      <c r="CN19" s="596"/>
      <c r="CO19" s="596"/>
      <c r="CP19" s="596"/>
      <c r="CQ19" s="596"/>
      <c r="CR19" s="596"/>
      <c r="CS19" s="596"/>
      <c r="CT19" s="596"/>
      <c r="CU19" s="596"/>
      <c r="CV19" s="596"/>
      <c r="CW19" s="596"/>
    </row>
    <row x14ac:dyDescent="0.25" r="20" customHeight="1" ht="17.65">
      <c r="A20" s="568"/>
      <c r="B20" s="139"/>
      <c r="C20" s="624"/>
      <c r="D20" s="601"/>
      <c r="E20" s="602" t="s">
        <v>210</v>
      </c>
      <c r="F20" s="603"/>
      <c r="G20" s="604"/>
      <c r="H20" s="612"/>
      <c r="I20" s="604"/>
      <c r="J20" s="606">
        <f>+SUM('Aportaciones PPE'!AO7:AO18)</f>
      </c>
      <c r="K20" s="606"/>
      <c r="L20" s="606"/>
      <c r="M20" s="1"/>
      <c r="N20" s="1"/>
      <c r="O20" s="1"/>
      <c r="P20" s="1"/>
      <c r="Q20" s="1"/>
      <c r="R20" s="1"/>
      <c r="S20" s="139"/>
      <c r="T20" s="609">
        <f>F80</f>
      </c>
      <c r="U20" s="597"/>
      <c r="V20" s="609">
        <f>T20/'Renta Vitalicia'!$F$5/12</f>
      </c>
      <c r="W20" s="170"/>
      <c r="X20" s="169"/>
      <c r="Y20" s="1"/>
      <c r="Z20" s="1"/>
      <c r="AA20" s="1"/>
      <c r="AB20" s="1"/>
      <c r="AC20" s="1"/>
      <c r="AD20" s="1"/>
      <c r="AE20" s="1"/>
      <c r="AF20" s="1"/>
      <c r="AG20" s="1"/>
      <c r="AH20" s="1"/>
      <c r="AI20" s="1"/>
      <c r="AJ20" s="1"/>
      <c r="AK20" s="169"/>
      <c r="AL20" s="169"/>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row>
    <row x14ac:dyDescent="0.25" r="21" customHeight="1" ht="2.1">
      <c r="A21" s="568"/>
      <c r="B21" s="139"/>
      <c r="C21" s="624"/>
      <c r="D21" s="1"/>
      <c r="E21" s="169"/>
      <c r="F21" s="569"/>
      <c r="G21" s="1"/>
      <c r="H21" s="612"/>
      <c r="I21" s="1"/>
      <c r="J21" s="170"/>
      <c r="K21" s="1"/>
      <c r="L21" s="1"/>
      <c r="M21" s="1"/>
      <c r="N21" s="1"/>
      <c r="O21" s="1"/>
      <c r="P21" s="1"/>
      <c r="Q21" s="1"/>
      <c r="R21" s="1"/>
      <c r="S21" s="1"/>
      <c r="T21" s="168"/>
      <c r="U21" s="170"/>
      <c r="V21" s="170"/>
      <c r="W21" s="170"/>
      <c r="X21" s="169"/>
      <c r="Y21" s="1"/>
      <c r="Z21" s="1"/>
      <c r="AA21" s="1"/>
      <c r="AB21" s="1"/>
      <c r="AC21" s="1"/>
      <c r="AD21" s="596"/>
      <c r="AE21" s="596"/>
      <c r="AF21" s="596"/>
      <c r="AG21" s="596"/>
      <c r="AH21" s="596"/>
      <c r="AI21" s="596"/>
      <c r="AJ21" s="598"/>
      <c r="AK21" s="611"/>
      <c r="AL21" s="611"/>
      <c r="AM21" s="598"/>
      <c r="AN21" s="598"/>
      <c r="AO21" s="598"/>
      <c r="AP21" s="598"/>
      <c r="AQ21" s="598"/>
      <c r="AR21" s="598"/>
      <c r="AS21" s="598"/>
      <c r="AT21" s="598"/>
      <c r="AU21" s="598"/>
      <c r="AV21" s="598"/>
      <c r="AW21" s="598"/>
      <c r="AX21" s="598"/>
      <c r="AY21" s="598"/>
      <c r="AZ21" s="598"/>
      <c r="BA21" s="598"/>
      <c r="BB21" s="598"/>
      <c r="BC21" s="598"/>
      <c r="BD21" s="598"/>
      <c r="BE21" s="598"/>
      <c r="BF21" s="598"/>
      <c r="BG21" s="598"/>
      <c r="BH21" s="598"/>
      <c r="BI21" s="598"/>
      <c r="BJ21" s="598"/>
      <c r="BK21" s="598"/>
      <c r="BL21" s="598"/>
      <c r="BM21" s="598"/>
      <c r="BN21" s="598"/>
      <c r="BO21" s="598"/>
      <c r="BP21" s="598"/>
      <c r="BQ21" s="598"/>
      <c r="BR21" s="598"/>
      <c r="BS21" s="598"/>
      <c r="BT21" s="598"/>
      <c r="BU21" s="598"/>
      <c r="BV21" s="598"/>
      <c r="BW21" s="598"/>
      <c r="BX21" s="598"/>
      <c r="BY21" s="598"/>
      <c r="BZ21" s="598"/>
      <c r="CA21" s="598"/>
      <c r="CB21" s="598"/>
      <c r="CC21" s="598"/>
      <c r="CD21" s="598"/>
      <c r="CE21" s="598"/>
      <c r="CF21" s="598"/>
      <c r="CG21" s="598"/>
      <c r="CH21" s="598"/>
      <c r="CI21" s="598"/>
      <c r="CJ21" s="598"/>
      <c r="CK21" s="598"/>
      <c r="CL21" s="598"/>
      <c r="CM21" s="596"/>
      <c r="CN21" s="596"/>
      <c r="CO21" s="596"/>
      <c r="CP21" s="596"/>
      <c r="CQ21" s="596"/>
      <c r="CR21" s="596"/>
      <c r="CS21" s="596"/>
      <c r="CT21" s="596"/>
      <c r="CU21" s="596"/>
      <c r="CV21" s="596"/>
      <c r="CW21" s="596"/>
    </row>
    <row x14ac:dyDescent="0.25" r="22" customHeight="1" ht="17.65">
      <c r="A22" s="568"/>
      <c r="B22" s="139"/>
      <c r="C22" s="624"/>
      <c r="D22" s="601"/>
      <c r="E22" s="602" t="s">
        <v>215</v>
      </c>
      <c r="F22" s="603"/>
      <c r="G22" s="604"/>
      <c r="H22" s="612"/>
      <c r="I22" s="604"/>
      <c r="J22" s="606">
        <f>+SUM('Aportaciones PPE'!AT7:AT18)</f>
      </c>
      <c r="K22" s="606"/>
      <c r="L22" s="606"/>
      <c r="M22" s="1"/>
      <c r="N22" s="1"/>
      <c r="O22" s="1"/>
      <c r="P22" s="1"/>
      <c r="Q22" s="1"/>
      <c r="R22" s="1"/>
      <c r="S22" s="139"/>
      <c r="T22" s="388" t="s">
        <v>83</v>
      </c>
      <c r="U22" s="612"/>
      <c r="V22" s="612"/>
      <c r="W22" s="170"/>
      <c r="X22" s="169"/>
      <c r="Y22" s="1"/>
      <c r="Z22" s="1"/>
      <c r="AA22" s="1"/>
      <c r="AB22" s="1"/>
      <c r="AC22" s="1"/>
      <c r="AD22" s="1"/>
      <c r="AE22" s="1"/>
      <c r="AF22" s="1"/>
      <c r="AG22" s="1"/>
      <c r="AH22" s="1"/>
      <c r="AI22" s="1"/>
      <c r="AJ22" s="1"/>
      <c r="AK22" s="169"/>
      <c r="AL22" s="169"/>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row>
    <row x14ac:dyDescent="0.25" r="23" customHeight="1" ht="2.1">
      <c r="A23" s="568"/>
      <c r="B23" s="139"/>
      <c r="C23" s="624"/>
      <c r="D23" s="1"/>
      <c r="E23" s="169"/>
      <c r="F23" s="569"/>
      <c r="G23" s="1"/>
      <c r="H23" s="612"/>
      <c r="I23" s="1"/>
      <c r="J23" s="170"/>
      <c r="K23" s="1"/>
      <c r="L23" s="1"/>
      <c r="M23" s="1"/>
      <c r="N23" s="1"/>
      <c r="O23" s="1"/>
      <c r="P23" s="1"/>
      <c r="Q23" s="1"/>
      <c r="R23" s="1"/>
      <c r="S23" s="1"/>
      <c r="T23" s="168"/>
      <c r="U23" s="170"/>
      <c r="V23" s="170"/>
      <c r="W23" s="170"/>
      <c r="X23" s="169"/>
      <c r="Y23" s="1"/>
      <c r="Z23" s="1"/>
      <c r="AA23" s="1"/>
      <c r="AB23" s="1"/>
      <c r="AC23" s="1"/>
      <c r="AD23" s="596"/>
      <c r="AE23" s="596"/>
      <c r="AF23" s="596"/>
      <c r="AG23" s="596"/>
      <c r="AH23" s="596"/>
      <c r="AI23" s="596"/>
      <c r="AJ23" s="598"/>
      <c r="AK23" s="611"/>
      <c r="AL23" s="611"/>
      <c r="AM23" s="598"/>
      <c r="AN23" s="598"/>
      <c r="AO23" s="598"/>
      <c r="AP23" s="598"/>
      <c r="AQ23" s="598"/>
      <c r="AR23" s="598"/>
      <c r="AS23" s="598"/>
      <c r="AT23" s="598"/>
      <c r="AU23" s="598"/>
      <c r="AV23" s="598"/>
      <c r="AW23" s="598"/>
      <c r="AX23" s="598"/>
      <c r="AY23" s="598"/>
      <c r="AZ23" s="598"/>
      <c r="BA23" s="598"/>
      <c r="BB23" s="598"/>
      <c r="BC23" s="598"/>
      <c r="BD23" s="598"/>
      <c r="BE23" s="598"/>
      <c r="BF23" s="598"/>
      <c r="BG23" s="598"/>
      <c r="BH23" s="598"/>
      <c r="BI23" s="598"/>
      <c r="BJ23" s="598"/>
      <c r="BK23" s="598"/>
      <c r="BL23" s="598"/>
      <c r="BM23" s="598"/>
      <c r="BN23" s="598"/>
      <c r="BO23" s="598"/>
      <c r="BP23" s="598"/>
      <c r="BQ23" s="598"/>
      <c r="BR23" s="598"/>
      <c r="BS23" s="598"/>
      <c r="BT23" s="598"/>
      <c r="BU23" s="598"/>
      <c r="BV23" s="598"/>
      <c r="BW23" s="598"/>
      <c r="BX23" s="598"/>
      <c r="BY23" s="598"/>
      <c r="BZ23" s="598"/>
      <c r="CA23" s="598"/>
      <c r="CB23" s="598"/>
      <c r="CC23" s="598"/>
      <c r="CD23" s="598"/>
      <c r="CE23" s="598"/>
      <c r="CF23" s="598"/>
      <c r="CG23" s="598"/>
      <c r="CH23" s="598"/>
      <c r="CI23" s="598"/>
      <c r="CJ23" s="598"/>
      <c r="CK23" s="598"/>
      <c r="CL23" s="598"/>
      <c r="CM23" s="596"/>
      <c r="CN23" s="596"/>
      <c r="CO23" s="596"/>
      <c r="CP23" s="596"/>
      <c r="CQ23" s="596"/>
      <c r="CR23" s="596"/>
      <c r="CS23" s="596"/>
      <c r="CT23" s="596"/>
      <c r="CU23" s="596"/>
      <c r="CV23" s="596"/>
      <c r="CW23" s="596"/>
    </row>
    <row x14ac:dyDescent="0.25" r="24" customHeight="1" ht="17.65">
      <c r="A24" s="568"/>
      <c r="B24" s="139"/>
      <c r="C24" s="624"/>
      <c r="D24" s="613"/>
      <c r="E24" s="614" t="s">
        <v>216</v>
      </c>
      <c r="F24" s="615"/>
      <c r="G24" s="616"/>
      <c r="H24" s="616"/>
      <c r="I24" s="617"/>
      <c r="J24" s="618">
        <f>'Aportaciones PPE'!K2</f>
      </c>
      <c r="K24" s="618"/>
      <c r="L24" s="618"/>
      <c r="M24" s="1"/>
      <c r="N24" s="1"/>
      <c r="O24" s="1"/>
      <c r="P24" s="1"/>
      <c r="Q24" s="1"/>
      <c r="R24" s="1"/>
      <c r="S24" s="139"/>
      <c r="T24" s="619">
        <f>V20/($F$78/12)</f>
      </c>
      <c r="U24" s="619"/>
      <c r="V24" s="619"/>
      <c r="W24" s="170"/>
      <c r="X24" s="169"/>
      <c r="Y24" s="1"/>
      <c r="Z24" s="1"/>
      <c r="AA24" s="1"/>
      <c r="AB24" s="1"/>
      <c r="AC24" s="1"/>
      <c r="AD24" s="1"/>
      <c r="AE24" s="1"/>
      <c r="AF24" s="1"/>
      <c r="AG24" s="1"/>
      <c r="AH24" s="1"/>
      <c r="AI24" s="1"/>
      <c r="AJ24" s="1"/>
      <c r="AK24" s="169"/>
      <c r="AL24" s="169"/>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row>
    <row x14ac:dyDescent="0.25" r="25" customHeight="1" ht="6">
      <c r="A25" s="596"/>
      <c r="B25" s="1"/>
      <c r="C25" s="1"/>
      <c r="D25" s="1"/>
      <c r="E25" s="169"/>
      <c r="F25" s="569"/>
      <c r="G25" s="1"/>
      <c r="H25" s="1"/>
      <c r="I25" s="1"/>
      <c r="J25" s="170"/>
      <c r="K25" s="1"/>
      <c r="L25" s="1"/>
      <c r="M25" s="1"/>
      <c r="N25" s="1"/>
      <c r="O25" s="1"/>
      <c r="P25" s="1"/>
      <c r="Q25" s="1"/>
      <c r="R25" s="1"/>
      <c r="S25" s="139"/>
      <c r="T25" s="435"/>
      <c r="U25" s="597"/>
      <c r="V25" s="597"/>
      <c r="W25" s="354"/>
      <c r="X25" s="590"/>
      <c r="Y25" s="171"/>
      <c r="Z25" s="1"/>
      <c r="AA25" s="1"/>
      <c r="AB25" s="1"/>
      <c r="AC25" s="1"/>
      <c r="AD25" s="596"/>
      <c r="AE25" s="596"/>
      <c r="AF25" s="596"/>
      <c r="AG25" s="596"/>
      <c r="AH25" s="596"/>
      <c r="AI25" s="596"/>
      <c r="AJ25" s="598"/>
      <c r="AK25" s="611"/>
      <c r="AL25" s="611"/>
      <c r="AM25" s="598"/>
      <c r="AN25" s="598"/>
      <c r="AO25" s="598"/>
      <c r="AP25" s="598"/>
      <c r="AQ25" s="598"/>
      <c r="AR25" s="598"/>
      <c r="AS25" s="598"/>
      <c r="AT25" s="598"/>
      <c r="AU25" s="598"/>
      <c r="AV25" s="598"/>
      <c r="AW25" s="598"/>
      <c r="AX25" s="598"/>
      <c r="AY25" s="598"/>
      <c r="AZ25" s="598"/>
      <c r="BA25" s="598"/>
      <c r="BB25" s="598"/>
      <c r="BC25" s="598"/>
      <c r="BD25" s="598"/>
      <c r="BE25" s="598"/>
      <c r="BF25" s="598"/>
      <c r="BG25" s="598"/>
      <c r="BH25" s="598"/>
      <c r="BI25" s="598"/>
      <c r="BJ25" s="598"/>
      <c r="BK25" s="598"/>
      <c r="BL25" s="598"/>
      <c r="BM25" s="598"/>
      <c r="BN25" s="598"/>
      <c r="BO25" s="598"/>
      <c r="BP25" s="598"/>
      <c r="BQ25" s="598"/>
      <c r="BR25" s="598"/>
      <c r="BS25" s="598"/>
      <c r="BT25" s="598"/>
      <c r="BU25" s="598"/>
      <c r="BV25" s="598"/>
      <c r="BW25" s="598"/>
      <c r="BX25" s="598"/>
      <c r="BY25" s="598"/>
      <c r="BZ25" s="598"/>
      <c r="CA25" s="598"/>
      <c r="CB25" s="598"/>
      <c r="CC25" s="598"/>
      <c r="CD25" s="598"/>
      <c r="CE25" s="598"/>
      <c r="CF25" s="598"/>
      <c r="CG25" s="598"/>
      <c r="CH25" s="598"/>
      <c r="CI25" s="598"/>
      <c r="CJ25" s="598"/>
      <c r="CK25" s="598"/>
      <c r="CL25" s="598"/>
      <c r="CM25" s="596"/>
      <c r="CN25" s="596"/>
      <c r="CO25" s="596"/>
      <c r="CP25" s="596"/>
      <c r="CQ25" s="596"/>
      <c r="CR25" s="596"/>
      <c r="CS25" s="596"/>
      <c r="CT25" s="596"/>
      <c r="CU25" s="596"/>
      <c r="CV25" s="596"/>
      <c r="CW25" s="596"/>
    </row>
    <row x14ac:dyDescent="0.25" r="26" customHeight="1" ht="6">
      <c r="A26" s="596"/>
      <c r="B26" s="1"/>
      <c r="C26" s="1"/>
      <c r="D26" s="1"/>
      <c r="E26" s="169"/>
      <c r="F26" s="569"/>
      <c r="G26" s="1"/>
      <c r="H26" s="1"/>
      <c r="I26" s="1"/>
      <c r="J26" s="170"/>
      <c r="K26" s="1"/>
      <c r="L26" s="1"/>
      <c r="M26" s="1"/>
      <c r="N26" s="1"/>
      <c r="O26" s="1"/>
      <c r="P26" s="1"/>
      <c r="Q26" s="1"/>
      <c r="R26" s="1"/>
      <c r="S26" s="139"/>
      <c r="T26" s="435"/>
      <c r="U26" s="597"/>
      <c r="V26" s="597"/>
      <c r="W26" s="354"/>
      <c r="X26" s="590"/>
      <c r="Y26" s="171"/>
      <c r="Z26" s="1"/>
      <c r="AA26" s="1"/>
      <c r="AB26" s="1"/>
      <c r="AC26" s="1"/>
      <c r="AD26" s="596"/>
      <c r="AE26" s="596"/>
      <c r="AF26" s="596"/>
      <c r="AG26" s="596"/>
      <c r="AH26" s="596"/>
      <c r="AI26" s="596"/>
      <c r="AJ26" s="598"/>
      <c r="AK26" s="611"/>
      <c r="AL26" s="611"/>
      <c r="AM26" s="598"/>
      <c r="AN26" s="598"/>
      <c r="AO26" s="598"/>
      <c r="AP26" s="598"/>
      <c r="AQ26" s="598"/>
      <c r="AR26" s="598"/>
      <c r="AS26" s="598"/>
      <c r="AT26" s="598"/>
      <c r="AU26" s="598"/>
      <c r="AV26" s="598"/>
      <c r="AW26" s="598"/>
      <c r="AX26" s="598"/>
      <c r="AY26" s="598"/>
      <c r="AZ26" s="598"/>
      <c r="BA26" s="598"/>
      <c r="BB26" s="598"/>
      <c r="BC26" s="598"/>
      <c r="BD26" s="598"/>
      <c r="BE26" s="598"/>
      <c r="BF26" s="598"/>
      <c r="BG26" s="598"/>
      <c r="BH26" s="598"/>
      <c r="BI26" s="598"/>
      <c r="BJ26" s="598"/>
      <c r="BK26" s="598"/>
      <c r="BL26" s="598"/>
      <c r="BM26" s="598"/>
      <c r="BN26" s="598"/>
      <c r="BO26" s="598"/>
      <c r="BP26" s="598"/>
      <c r="BQ26" s="598"/>
      <c r="BR26" s="598"/>
      <c r="BS26" s="598"/>
      <c r="BT26" s="598"/>
      <c r="BU26" s="598"/>
      <c r="BV26" s="598"/>
      <c r="BW26" s="598"/>
      <c r="BX26" s="598"/>
      <c r="BY26" s="598"/>
      <c r="BZ26" s="598"/>
      <c r="CA26" s="598"/>
      <c r="CB26" s="598"/>
      <c r="CC26" s="598"/>
      <c r="CD26" s="598"/>
      <c r="CE26" s="598"/>
      <c r="CF26" s="598"/>
      <c r="CG26" s="598"/>
      <c r="CH26" s="598"/>
      <c r="CI26" s="598"/>
      <c r="CJ26" s="598"/>
      <c r="CK26" s="598"/>
      <c r="CL26" s="598"/>
      <c r="CM26" s="596"/>
      <c r="CN26" s="596"/>
      <c r="CO26" s="596"/>
      <c r="CP26" s="596"/>
      <c r="CQ26" s="596"/>
      <c r="CR26" s="596"/>
      <c r="CS26" s="596"/>
      <c r="CT26" s="596"/>
      <c r="CU26" s="596"/>
      <c r="CV26" s="596"/>
      <c r="CW26" s="596"/>
    </row>
    <row x14ac:dyDescent="0.25" r="27" customHeight="1" ht="6">
      <c r="A27" s="625"/>
      <c r="B27" s="1"/>
      <c r="C27" s="1"/>
      <c r="D27" s="1"/>
      <c r="E27" s="169"/>
      <c r="F27" s="569"/>
      <c r="G27" s="1"/>
      <c r="H27" s="1"/>
      <c r="I27" s="1"/>
      <c r="J27" s="170"/>
      <c r="K27" s="1"/>
      <c r="L27" s="1"/>
      <c r="M27" s="1"/>
      <c r="N27" s="1"/>
      <c r="O27" s="1"/>
      <c r="P27" s="1"/>
      <c r="Q27" s="1"/>
      <c r="R27" s="1"/>
      <c r="S27" s="139"/>
      <c r="T27" s="435"/>
      <c r="U27" s="597"/>
      <c r="V27" s="597"/>
      <c r="W27" s="354"/>
      <c r="X27" s="590"/>
      <c r="Y27" s="171"/>
      <c r="Z27" s="1"/>
      <c r="AA27" s="1"/>
      <c r="AB27" s="1"/>
      <c r="AC27" s="1"/>
      <c r="AD27" s="596"/>
      <c r="AE27" s="596"/>
      <c r="AF27" s="596"/>
      <c r="AG27" s="596"/>
      <c r="AH27" s="596"/>
      <c r="AI27" s="596"/>
      <c r="AJ27" s="598"/>
      <c r="AK27" s="611"/>
      <c r="AL27" s="611"/>
      <c r="AM27" s="598"/>
      <c r="AN27" s="598"/>
      <c r="AO27" s="598"/>
      <c r="AP27" s="598"/>
      <c r="AQ27" s="598"/>
      <c r="AR27" s="598"/>
      <c r="AS27" s="598"/>
      <c r="AT27" s="598"/>
      <c r="AU27" s="598"/>
      <c r="AV27" s="598"/>
      <c r="AW27" s="598"/>
      <c r="AX27" s="598"/>
      <c r="AY27" s="598"/>
      <c r="AZ27" s="598"/>
      <c r="BA27" s="598"/>
      <c r="BB27" s="598"/>
      <c r="BC27" s="598"/>
      <c r="BD27" s="598"/>
      <c r="BE27" s="598"/>
      <c r="BF27" s="598"/>
      <c r="BG27" s="598"/>
      <c r="BH27" s="598"/>
      <c r="BI27" s="598"/>
      <c r="BJ27" s="598"/>
      <c r="BK27" s="598"/>
      <c r="BL27" s="598"/>
      <c r="BM27" s="598"/>
      <c r="BN27" s="598"/>
      <c r="BO27" s="598"/>
      <c r="BP27" s="598"/>
      <c r="BQ27" s="598"/>
      <c r="BR27" s="598"/>
      <c r="BS27" s="598"/>
      <c r="BT27" s="598"/>
      <c r="BU27" s="598"/>
      <c r="BV27" s="598"/>
      <c r="BW27" s="598"/>
      <c r="BX27" s="598"/>
      <c r="BY27" s="598"/>
      <c r="BZ27" s="598"/>
      <c r="CA27" s="598"/>
      <c r="CB27" s="598"/>
      <c r="CC27" s="598"/>
      <c r="CD27" s="598"/>
      <c r="CE27" s="598"/>
      <c r="CF27" s="598"/>
      <c r="CG27" s="598"/>
      <c r="CH27" s="598"/>
      <c r="CI27" s="598"/>
      <c r="CJ27" s="598"/>
      <c r="CK27" s="598"/>
      <c r="CL27" s="598"/>
      <c r="CM27" s="596"/>
      <c r="CN27" s="596"/>
      <c r="CO27" s="596"/>
      <c r="CP27" s="596"/>
      <c r="CQ27" s="596"/>
      <c r="CR27" s="596"/>
      <c r="CS27" s="596"/>
      <c r="CT27" s="596"/>
      <c r="CU27" s="596"/>
      <c r="CV27" s="596"/>
      <c r="CW27" s="596"/>
    </row>
    <row x14ac:dyDescent="0.25" r="28" customHeight="1" ht="17.65">
      <c r="A28" s="568"/>
      <c r="B28" s="139"/>
      <c r="C28" s="260" t="s">
        <v>217</v>
      </c>
      <c r="D28" s="260"/>
      <c r="E28" s="592"/>
      <c r="F28" s="358"/>
      <c r="G28" s="260"/>
      <c r="H28" s="260"/>
      <c r="I28" s="260"/>
      <c r="J28" s="261"/>
      <c r="K28" s="260"/>
      <c r="L28" s="260"/>
      <c r="M28" s="1"/>
      <c r="N28" s="1"/>
      <c r="O28" s="1"/>
      <c r="P28" s="1"/>
      <c r="Q28" s="1"/>
      <c r="R28" s="1"/>
      <c r="S28" s="139"/>
      <c r="T28" s="435"/>
      <c r="U28" s="597"/>
      <c r="V28" s="597"/>
      <c r="W28" s="170"/>
      <c r="X28" s="169"/>
      <c r="Y28" s="1"/>
      <c r="Z28" s="1"/>
      <c r="AA28" s="1"/>
      <c r="AB28" s="1"/>
      <c r="AC28" s="1"/>
      <c r="AD28" s="1"/>
      <c r="AE28" s="1"/>
      <c r="AF28" s="1"/>
      <c r="AG28" s="1"/>
      <c r="AH28" s="1"/>
      <c r="AI28" s="1"/>
      <c r="AJ28" s="1"/>
      <c r="AK28" s="169"/>
      <c r="AL28" s="169"/>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row>
    <row x14ac:dyDescent="0.25" r="29" customHeight="1" ht="2.1">
      <c r="A29" s="596"/>
      <c r="B29" s="1"/>
      <c r="C29" s="1"/>
      <c r="D29" s="1"/>
      <c r="E29" s="169"/>
      <c r="F29" s="569"/>
      <c r="G29" s="1"/>
      <c r="H29" s="1"/>
      <c r="I29" s="1"/>
      <c r="J29" s="170"/>
      <c r="K29" s="1"/>
      <c r="L29" s="1"/>
      <c r="M29" s="1"/>
      <c r="N29" s="1"/>
      <c r="O29" s="1"/>
      <c r="P29" s="1"/>
      <c r="Q29" s="1"/>
      <c r="R29" s="1"/>
      <c r="S29" s="139"/>
      <c r="T29" s="435"/>
      <c r="U29" s="597"/>
      <c r="V29" s="597"/>
      <c r="W29" s="354"/>
      <c r="X29" s="590"/>
      <c r="Y29" s="171"/>
      <c r="Z29" s="1"/>
      <c r="AA29" s="1"/>
      <c r="AB29" s="1"/>
      <c r="AC29" s="1"/>
      <c r="AD29" s="596"/>
      <c r="AE29" s="596"/>
      <c r="AF29" s="596"/>
      <c r="AG29" s="596"/>
      <c r="AH29" s="596"/>
      <c r="AI29" s="596"/>
      <c r="AJ29" s="598"/>
      <c r="AK29" s="611"/>
      <c r="AL29" s="611"/>
      <c r="AM29" s="598"/>
      <c r="AN29" s="598"/>
      <c r="AO29" s="598"/>
      <c r="AP29" s="598"/>
      <c r="AQ29" s="598"/>
      <c r="AR29" s="598"/>
      <c r="AS29" s="598"/>
      <c r="AT29" s="598"/>
      <c r="AU29" s="598"/>
      <c r="AV29" s="598"/>
      <c r="AW29" s="598"/>
      <c r="AX29" s="598"/>
      <c r="AY29" s="598"/>
      <c r="AZ29" s="598"/>
      <c r="BA29" s="598"/>
      <c r="BB29" s="598"/>
      <c r="BC29" s="598"/>
      <c r="BD29" s="598"/>
      <c r="BE29" s="598"/>
      <c r="BF29" s="598"/>
      <c r="BG29" s="598"/>
      <c r="BH29" s="598"/>
      <c r="BI29" s="598"/>
      <c r="BJ29" s="598"/>
      <c r="BK29" s="598"/>
      <c r="BL29" s="598"/>
      <c r="BM29" s="598"/>
      <c r="BN29" s="598"/>
      <c r="BO29" s="598"/>
      <c r="BP29" s="598"/>
      <c r="BQ29" s="598"/>
      <c r="BR29" s="598"/>
      <c r="BS29" s="598"/>
      <c r="BT29" s="598"/>
      <c r="BU29" s="598"/>
      <c r="BV29" s="598"/>
      <c r="BW29" s="598"/>
      <c r="BX29" s="598"/>
      <c r="BY29" s="598"/>
      <c r="BZ29" s="598"/>
      <c r="CA29" s="598"/>
      <c r="CB29" s="598"/>
      <c r="CC29" s="598"/>
      <c r="CD29" s="598"/>
      <c r="CE29" s="598"/>
      <c r="CF29" s="598"/>
      <c r="CG29" s="598"/>
      <c r="CH29" s="598"/>
      <c r="CI29" s="598"/>
      <c r="CJ29" s="598"/>
      <c r="CK29" s="598"/>
      <c r="CL29" s="598"/>
      <c r="CM29" s="596"/>
      <c r="CN29" s="596"/>
      <c r="CO29" s="596"/>
      <c r="CP29" s="596"/>
      <c r="CQ29" s="596"/>
      <c r="CR29" s="596"/>
      <c r="CS29" s="596"/>
      <c r="CT29" s="596"/>
      <c r="CU29" s="596"/>
      <c r="CV29" s="596"/>
      <c r="CW29" s="596"/>
    </row>
    <row x14ac:dyDescent="0.25" r="30" customHeight="1" ht="8.85">
      <c r="A30" s="568"/>
      <c r="B30" s="139"/>
      <c r="C30" s="626" t="s">
        <v>218</v>
      </c>
      <c r="D30" s="601"/>
      <c r="E30" s="627" t="s">
        <v>207</v>
      </c>
      <c r="F30" s="603"/>
      <c r="G30" s="604"/>
      <c r="H30" s="628">
        <f>+TEXT(VLOOKUP('Simulador - Datos personales'!E5,BBDD!$C$4:$L$938,10,0),"0%")&amp;" Sal. Pensionable"</f>
      </c>
      <c r="I30" s="604"/>
      <c r="J30" s="629">
        <f>VLOOKUP('Simulador - Datos personales'!E5,BBDD!$C$4:$L$938,10,0)*'Simulador - Datos personales'!E15</f>
      </c>
      <c r="K30" s="606"/>
      <c r="L30" s="606"/>
      <c r="M30" s="1"/>
      <c r="N30" s="1"/>
      <c r="O30" s="1"/>
      <c r="P30" s="1"/>
      <c r="Q30" s="1"/>
      <c r="R30" s="1"/>
      <c r="S30" s="139"/>
      <c r="T30" s="630" t="s">
        <v>209</v>
      </c>
      <c r="U30" s="597"/>
      <c r="V30" s="631" t="s">
        <v>124</v>
      </c>
      <c r="W30" s="170"/>
      <c r="X30" s="169"/>
      <c r="Y30" s="1"/>
      <c r="Z30" s="1"/>
      <c r="AA30" s="1"/>
      <c r="AB30" s="1"/>
      <c r="AC30" s="1"/>
      <c r="AD30" s="1"/>
      <c r="AE30" s="1"/>
      <c r="AF30" s="1"/>
      <c r="AG30" s="1"/>
      <c r="AH30" s="1"/>
      <c r="AI30" s="1"/>
      <c r="AJ30" s="1"/>
      <c r="AK30" s="169"/>
      <c r="AL30" s="169"/>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row>
    <row x14ac:dyDescent="0.25" r="31" customHeight="1" ht="8.85">
      <c r="A31" s="568"/>
      <c r="B31" s="139"/>
      <c r="C31" s="632"/>
      <c r="D31" s="601"/>
      <c r="E31" s="602"/>
      <c r="F31" s="603"/>
      <c r="G31" s="604"/>
      <c r="H31" s="612"/>
      <c r="I31" s="604"/>
      <c r="J31" s="606"/>
      <c r="K31" s="606"/>
      <c r="L31" s="606"/>
      <c r="M31" s="1"/>
      <c r="N31" s="1"/>
      <c r="O31" s="1"/>
      <c r="P31" s="1"/>
      <c r="Q31" s="1"/>
      <c r="R31" s="1"/>
      <c r="S31" s="139"/>
      <c r="T31" s="612"/>
      <c r="U31" s="311"/>
      <c r="V31" s="612"/>
      <c r="W31" s="170"/>
      <c r="X31" s="169"/>
      <c r="Y31" s="1"/>
      <c r="Z31" s="1"/>
      <c r="AA31" s="1"/>
      <c r="AB31" s="1"/>
      <c r="AC31" s="1"/>
      <c r="AD31" s="633"/>
      <c r="AE31" s="1"/>
      <c r="AF31" s="1"/>
      <c r="AG31" s="1"/>
      <c r="AH31" s="1"/>
      <c r="AI31" s="1"/>
      <c r="AJ31" s="1"/>
      <c r="AK31" s="169"/>
      <c r="AL31" s="169"/>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row>
    <row x14ac:dyDescent="0.25" r="32" customHeight="1" ht="2.1">
      <c r="A32" s="568"/>
      <c r="B32" s="139"/>
      <c r="C32" s="632"/>
      <c r="D32" s="601"/>
      <c r="E32" s="602"/>
      <c r="F32" s="603"/>
      <c r="G32" s="604"/>
      <c r="H32" s="612"/>
      <c r="I32" s="604"/>
      <c r="J32" s="606"/>
      <c r="K32" s="606"/>
      <c r="L32" s="606"/>
      <c r="M32" s="1"/>
      <c r="N32" s="1"/>
      <c r="O32" s="1"/>
      <c r="P32" s="1"/>
      <c r="Q32" s="1"/>
      <c r="R32" s="1"/>
      <c r="S32" s="139"/>
      <c r="T32" s="168"/>
      <c r="U32" s="170"/>
      <c r="V32" s="170"/>
      <c r="W32" s="170"/>
      <c r="X32" s="169"/>
      <c r="Y32" s="1"/>
      <c r="Z32" s="1"/>
      <c r="AA32" s="1"/>
      <c r="AB32" s="1"/>
      <c r="AC32" s="1"/>
      <c r="AD32" s="633"/>
      <c r="AE32" s="1"/>
      <c r="AF32" s="1"/>
      <c r="AG32" s="1"/>
      <c r="AH32" s="1"/>
      <c r="AI32" s="1"/>
      <c r="AJ32" s="1"/>
      <c r="AK32" s="169"/>
      <c r="AL32" s="169"/>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row>
    <row x14ac:dyDescent="0.25" r="33" customHeight="1" ht="8.25">
      <c r="A33" s="568"/>
      <c r="B33" s="139"/>
      <c r="C33" s="632"/>
      <c r="D33" s="601"/>
      <c r="E33" s="602"/>
      <c r="F33" s="603"/>
      <c r="G33" s="604"/>
      <c r="H33" s="612"/>
      <c r="I33" s="604"/>
      <c r="J33" s="606"/>
      <c r="K33" s="606"/>
      <c r="L33" s="606"/>
      <c r="M33" s="1"/>
      <c r="N33" s="1"/>
      <c r="O33" s="1"/>
      <c r="P33" s="1"/>
      <c r="Q33" s="1"/>
      <c r="R33" s="1"/>
      <c r="S33" s="139"/>
      <c r="T33" s="634">
        <f>F82</f>
      </c>
      <c r="U33" s="311"/>
      <c r="V33" s="634">
        <f>T33/'Renta Vitalicia'!$F$5/12</f>
      </c>
      <c r="W33" s="170"/>
      <c r="X33" s="169"/>
      <c r="Y33" s="1"/>
      <c r="Z33" s="635"/>
      <c r="AA33" s="1"/>
      <c r="AB33" s="1"/>
      <c r="AC33" s="1"/>
      <c r="AD33" s="1"/>
      <c r="AE33" s="1"/>
      <c r="AF33" s="1"/>
      <c r="AG33" s="1"/>
      <c r="AH33" s="1"/>
      <c r="AI33" s="1"/>
      <c r="AJ33" s="1"/>
      <c r="AK33" s="169"/>
      <c r="AL33" s="169"/>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row>
    <row x14ac:dyDescent="0.25" r="34" customHeight="1" ht="2.1">
      <c r="A34" s="568"/>
      <c r="B34" s="139"/>
      <c r="C34" s="632"/>
      <c r="D34" s="1"/>
      <c r="E34" s="169"/>
      <c r="F34" s="569"/>
      <c r="G34" s="1"/>
      <c r="H34" s="1"/>
      <c r="I34" s="1"/>
      <c r="J34" s="170"/>
      <c r="K34" s="1"/>
      <c r="L34" s="1"/>
      <c r="M34" s="1"/>
      <c r="N34" s="1"/>
      <c r="O34" s="1"/>
      <c r="P34" s="1"/>
      <c r="Q34" s="1"/>
      <c r="R34" s="1"/>
      <c r="S34" s="139"/>
      <c r="T34" s="609"/>
      <c r="U34" s="311"/>
      <c r="V34" s="609"/>
      <c r="W34" s="170"/>
      <c r="X34" s="169"/>
      <c r="Y34" s="1"/>
      <c r="Z34" s="478"/>
      <c r="AA34" s="1"/>
      <c r="AB34" s="1"/>
      <c r="AC34" s="1"/>
      <c r="AD34" s="1"/>
      <c r="AE34" s="1"/>
      <c r="AF34" s="1"/>
      <c r="AG34" s="1"/>
      <c r="AH34" s="1"/>
      <c r="AI34" s="1"/>
      <c r="AJ34" s="1"/>
      <c r="AK34" s="169"/>
      <c r="AL34" s="169"/>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row>
    <row x14ac:dyDescent="0.25" r="35" customHeight="1" ht="8.85">
      <c r="A35" s="568"/>
      <c r="B35" s="139"/>
      <c r="C35" s="632"/>
      <c r="D35" s="601"/>
      <c r="E35" s="627" t="s">
        <v>219</v>
      </c>
      <c r="F35" s="603"/>
      <c r="G35" s="604"/>
      <c r="H35" s="623" t="s">
        <v>208</v>
      </c>
      <c r="I35" s="604"/>
      <c r="J35" s="629">
        <f>5%*'Simulador - Datos personales'!E15</f>
      </c>
      <c r="K35" s="606"/>
      <c r="L35" s="606"/>
      <c r="M35" s="1"/>
      <c r="N35" s="1"/>
      <c r="O35" s="1"/>
      <c r="P35" s="1"/>
      <c r="Q35" s="1"/>
      <c r="R35" s="1"/>
      <c r="S35" s="139"/>
      <c r="T35" s="609"/>
      <c r="U35" s="597"/>
      <c r="V35" s="609"/>
      <c r="W35" s="170"/>
      <c r="X35" s="169"/>
      <c r="Y35" s="1"/>
      <c r="Z35" s="1"/>
      <c r="AA35" s="1"/>
      <c r="AB35" s="1"/>
      <c r="AC35" s="1"/>
      <c r="AD35" s="1"/>
      <c r="AE35" s="1"/>
      <c r="AF35" s="1"/>
      <c r="AG35" s="636"/>
      <c r="AH35" s="1"/>
      <c r="AI35" s="1"/>
      <c r="AJ35" s="1"/>
      <c r="AK35" s="169"/>
      <c r="AL35" s="169"/>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row>
    <row x14ac:dyDescent="0.25" r="36" customHeight="1" ht="2.1">
      <c r="A36" s="568"/>
      <c r="B36" s="139"/>
      <c r="C36" s="632"/>
      <c r="D36" s="601"/>
      <c r="E36" s="602"/>
      <c r="F36" s="603"/>
      <c r="G36" s="604"/>
      <c r="H36" s="612"/>
      <c r="I36" s="604"/>
      <c r="J36" s="606"/>
      <c r="K36" s="606"/>
      <c r="L36" s="606"/>
      <c r="M36" s="1"/>
      <c r="N36" s="1"/>
      <c r="O36" s="1"/>
      <c r="P36" s="1"/>
      <c r="Q36" s="1"/>
      <c r="R36" s="1"/>
      <c r="S36" s="139"/>
      <c r="T36" s="168"/>
      <c r="U36" s="170"/>
      <c r="V36" s="170"/>
      <c r="W36" s="170"/>
      <c r="X36" s="169"/>
      <c r="Y36" s="1"/>
      <c r="Z36" s="1"/>
      <c r="AA36" s="1"/>
      <c r="AB36" s="1"/>
      <c r="AC36" s="1"/>
      <c r="AD36" s="1"/>
      <c r="AE36" s="1"/>
      <c r="AF36" s="1"/>
      <c r="AG36" s="636"/>
      <c r="AH36" s="1"/>
      <c r="AI36" s="1"/>
      <c r="AJ36" s="1"/>
      <c r="AK36" s="169"/>
      <c r="AL36" s="169"/>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row>
    <row x14ac:dyDescent="0.25" r="37" customHeight="1" ht="8.85">
      <c r="A37" s="568"/>
      <c r="B37" s="139"/>
      <c r="C37" s="632"/>
      <c r="D37" s="637"/>
      <c r="E37" s="602"/>
      <c r="F37" s="603"/>
      <c r="G37" s="308"/>
      <c r="H37" s="612"/>
      <c r="I37" s="308"/>
      <c r="J37" s="606"/>
      <c r="K37" s="606"/>
      <c r="L37" s="606"/>
      <c r="M37" s="1"/>
      <c r="N37" s="1"/>
      <c r="O37" s="1"/>
      <c r="P37" s="1"/>
      <c r="Q37" s="1"/>
      <c r="R37" s="1"/>
      <c r="S37" s="139"/>
      <c r="T37" s="630" t="s">
        <v>83</v>
      </c>
      <c r="U37" s="612"/>
      <c r="V37" s="612"/>
      <c r="W37" s="170"/>
      <c r="X37" s="169"/>
      <c r="Y37" s="1"/>
      <c r="Z37" s="1"/>
      <c r="AA37" s="1"/>
      <c r="AB37" s="1"/>
      <c r="AC37" s="1"/>
      <c r="AD37" s="1"/>
      <c r="AE37" s="1"/>
      <c r="AF37" s="1"/>
      <c r="AG37" s="636"/>
      <c r="AH37" s="1"/>
      <c r="AI37" s="1"/>
      <c r="AJ37" s="1"/>
      <c r="AK37" s="169"/>
      <c r="AL37" s="169"/>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row>
    <row x14ac:dyDescent="0.25" r="38" customHeight="1" ht="8.85">
      <c r="A38" s="596"/>
      <c r="B38" s="1"/>
      <c r="C38" s="632"/>
      <c r="D38" s="194"/>
      <c r="E38" s="602"/>
      <c r="F38" s="603"/>
      <c r="G38" s="604"/>
      <c r="H38" s="612"/>
      <c r="I38" s="604"/>
      <c r="J38" s="606"/>
      <c r="K38" s="606"/>
      <c r="L38" s="606"/>
      <c r="M38" s="1"/>
      <c r="N38" s="1"/>
      <c r="O38" s="1"/>
      <c r="P38" s="1"/>
      <c r="Q38" s="1"/>
      <c r="R38" s="1"/>
      <c r="S38" s="139"/>
      <c r="T38" s="612"/>
      <c r="U38" s="612"/>
      <c r="V38" s="612"/>
      <c r="W38" s="354"/>
      <c r="X38" s="590"/>
      <c r="Y38" s="171"/>
      <c r="Z38" s="1"/>
      <c r="AA38" s="1"/>
      <c r="AB38" s="1"/>
      <c r="AC38" s="1"/>
      <c r="AD38" s="596"/>
      <c r="AE38" s="596"/>
      <c r="AF38" s="596"/>
      <c r="AG38" s="596"/>
      <c r="AH38" s="596"/>
      <c r="AI38" s="596"/>
      <c r="AJ38" s="598"/>
      <c r="AK38" s="611"/>
      <c r="AL38" s="611"/>
      <c r="AM38" s="598"/>
      <c r="AN38" s="598"/>
      <c r="AO38" s="598"/>
      <c r="AP38" s="598"/>
      <c r="AQ38" s="598"/>
      <c r="AR38" s="598"/>
      <c r="AS38" s="598"/>
      <c r="AT38" s="598"/>
      <c r="AU38" s="598"/>
      <c r="AV38" s="598"/>
      <c r="AW38" s="598"/>
      <c r="AX38" s="598"/>
      <c r="AY38" s="598"/>
      <c r="AZ38" s="598"/>
      <c r="BA38" s="598"/>
      <c r="BB38" s="598"/>
      <c r="BC38" s="598"/>
      <c r="BD38" s="598"/>
      <c r="BE38" s="598"/>
      <c r="BF38" s="598"/>
      <c r="BG38" s="598"/>
      <c r="BH38" s="598"/>
      <c r="BI38" s="598"/>
      <c r="BJ38" s="598"/>
      <c r="BK38" s="598"/>
      <c r="BL38" s="598"/>
      <c r="BM38" s="598"/>
      <c r="BN38" s="598"/>
      <c r="BO38" s="598"/>
      <c r="BP38" s="598"/>
      <c r="BQ38" s="598"/>
      <c r="BR38" s="598"/>
      <c r="BS38" s="598"/>
      <c r="BT38" s="598"/>
      <c r="BU38" s="598"/>
      <c r="BV38" s="598"/>
      <c r="BW38" s="598"/>
      <c r="BX38" s="598"/>
      <c r="BY38" s="598"/>
      <c r="BZ38" s="598"/>
      <c r="CA38" s="598"/>
      <c r="CB38" s="598"/>
      <c r="CC38" s="598"/>
      <c r="CD38" s="598"/>
      <c r="CE38" s="598"/>
      <c r="CF38" s="598"/>
      <c r="CG38" s="598"/>
      <c r="CH38" s="598"/>
      <c r="CI38" s="598"/>
      <c r="CJ38" s="598"/>
      <c r="CK38" s="598"/>
      <c r="CL38" s="598"/>
      <c r="CM38" s="596"/>
      <c r="CN38" s="596"/>
      <c r="CO38" s="596"/>
      <c r="CP38" s="596"/>
      <c r="CQ38" s="596"/>
      <c r="CR38" s="596"/>
      <c r="CS38" s="596"/>
      <c r="CT38" s="596"/>
      <c r="CU38" s="596"/>
      <c r="CV38" s="596"/>
      <c r="CW38" s="596"/>
    </row>
    <row x14ac:dyDescent="0.25" r="39" customHeight="1" ht="2.1">
      <c r="A39" s="596"/>
      <c r="B39" s="1"/>
      <c r="C39" s="632"/>
      <c r="D39" s="1"/>
      <c r="E39" s="169"/>
      <c r="F39" s="569"/>
      <c r="G39" s="1"/>
      <c r="H39" s="1"/>
      <c r="I39" s="1"/>
      <c r="J39" s="170"/>
      <c r="K39" s="1"/>
      <c r="L39" s="1"/>
      <c r="M39" s="1"/>
      <c r="N39" s="1"/>
      <c r="O39" s="1"/>
      <c r="P39" s="1"/>
      <c r="Q39" s="1"/>
      <c r="R39" s="1"/>
      <c r="S39" s="1"/>
      <c r="T39" s="168"/>
      <c r="U39" s="170"/>
      <c r="V39" s="170"/>
      <c r="W39" s="170"/>
      <c r="X39" s="169"/>
      <c r="Y39" s="1"/>
      <c r="Z39" s="1"/>
      <c r="AA39" s="1"/>
      <c r="AB39" s="1"/>
      <c r="AC39" s="1"/>
      <c r="AD39" s="596"/>
      <c r="AE39" s="596"/>
      <c r="AF39" s="596"/>
      <c r="AG39" s="596"/>
      <c r="AH39" s="596"/>
      <c r="AI39" s="596"/>
      <c r="AJ39" s="598"/>
      <c r="AK39" s="611"/>
      <c r="AL39" s="611"/>
      <c r="AM39" s="598"/>
      <c r="AN39" s="598"/>
      <c r="AO39" s="598"/>
      <c r="AP39" s="598"/>
      <c r="AQ39" s="598"/>
      <c r="AR39" s="598"/>
      <c r="AS39" s="598"/>
      <c r="AT39" s="598"/>
      <c r="AU39" s="598"/>
      <c r="AV39" s="598"/>
      <c r="AW39" s="598"/>
      <c r="AX39" s="598"/>
      <c r="AY39" s="598"/>
      <c r="AZ39" s="598"/>
      <c r="BA39" s="598"/>
      <c r="BB39" s="598"/>
      <c r="BC39" s="598"/>
      <c r="BD39" s="598"/>
      <c r="BE39" s="598"/>
      <c r="BF39" s="598"/>
      <c r="BG39" s="598"/>
      <c r="BH39" s="598"/>
      <c r="BI39" s="598"/>
      <c r="BJ39" s="598"/>
      <c r="BK39" s="598"/>
      <c r="BL39" s="598"/>
      <c r="BM39" s="598"/>
      <c r="BN39" s="598"/>
      <c r="BO39" s="598"/>
      <c r="BP39" s="598"/>
      <c r="BQ39" s="598"/>
      <c r="BR39" s="598"/>
      <c r="BS39" s="598"/>
      <c r="BT39" s="598"/>
      <c r="BU39" s="598"/>
      <c r="BV39" s="598"/>
      <c r="BW39" s="598"/>
      <c r="BX39" s="598"/>
      <c r="BY39" s="598"/>
      <c r="BZ39" s="598"/>
      <c r="CA39" s="598"/>
      <c r="CB39" s="598"/>
      <c r="CC39" s="598"/>
      <c r="CD39" s="598"/>
      <c r="CE39" s="598"/>
      <c r="CF39" s="598"/>
      <c r="CG39" s="598"/>
      <c r="CH39" s="598"/>
      <c r="CI39" s="598"/>
      <c r="CJ39" s="598"/>
      <c r="CK39" s="598"/>
      <c r="CL39" s="598"/>
      <c r="CM39" s="596"/>
      <c r="CN39" s="596"/>
      <c r="CO39" s="596"/>
      <c r="CP39" s="596"/>
      <c r="CQ39" s="596"/>
      <c r="CR39" s="596"/>
      <c r="CS39" s="596"/>
      <c r="CT39" s="596"/>
      <c r="CU39" s="596"/>
      <c r="CV39" s="596"/>
      <c r="CW39" s="596"/>
    </row>
    <row x14ac:dyDescent="0.25" r="40" customHeight="1" ht="17.65">
      <c r="A40" s="596"/>
      <c r="B40" s="1"/>
      <c r="C40" s="632"/>
      <c r="D40" s="613"/>
      <c r="E40" s="614" t="s">
        <v>216</v>
      </c>
      <c r="F40" s="615"/>
      <c r="G40" s="616"/>
      <c r="H40" s="616"/>
      <c r="I40" s="638"/>
      <c r="J40" s="618">
        <f>'Aportaciones Poliza'!Q4</f>
      </c>
      <c r="K40" s="618"/>
      <c r="L40" s="618"/>
      <c r="M40" s="1"/>
      <c r="N40" s="1"/>
      <c r="O40" s="1"/>
      <c r="P40" s="1"/>
      <c r="Q40" s="1"/>
      <c r="R40" s="1"/>
      <c r="S40" s="139"/>
      <c r="T40" s="619">
        <f>V33/($F$78/12)</f>
      </c>
      <c r="U40" s="619"/>
      <c r="V40" s="619"/>
      <c r="W40" s="354"/>
      <c r="X40" s="590"/>
      <c r="Y40" s="171"/>
      <c r="Z40" s="1"/>
      <c r="AA40" s="1"/>
      <c r="AB40" s="1"/>
      <c r="AC40" s="1"/>
      <c r="AD40" s="596"/>
      <c r="AE40" s="596"/>
      <c r="AF40" s="596"/>
      <c r="AG40" s="596"/>
      <c r="AH40" s="596"/>
      <c r="AI40" s="596"/>
      <c r="AJ40" s="598"/>
      <c r="AK40" s="611"/>
      <c r="AL40" s="611"/>
      <c r="AM40" s="598"/>
      <c r="AN40" s="598"/>
      <c r="AO40" s="598"/>
      <c r="AP40" s="598"/>
      <c r="AQ40" s="598"/>
      <c r="AR40" s="598"/>
      <c r="AS40" s="598"/>
      <c r="AT40" s="598"/>
      <c r="AU40" s="598"/>
      <c r="AV40" s="598"/>
      <c r="AW40" s="598"/>
      <c r="AX40" s="598"/>
      <c r="AY40" s="598"/>
      <c r="AZ40" s="598"/>
      <c r="BA40" s="598"/>
      <c r="BB40" s="598"/>
      <c r="BC40" s="598"/>
      <c r="BD40" s="598"/>
      <c r="BE40" s="598"/>
      <c r="BF40" s="598"/>
      <c r="BG40" s="598"/>
      <c r="BH40" s="598"/>
      <c r="BI40" s="598"/>
      <c r="BJ40" s="598"/>
      <c r="BK40" s="598"/>
      <c r="BL40" s="598"/>
      <c r="BM40" s="598"/>
      <c r="BN40" s="598"/>
      <c r="BO40" s="598"/>
      <c r="BP40" s="598"/>
      <c r="BQ40" s="598"/>
      <c r="BR40" s="598"/>
      <c r="BS40" s="598"/>
      <c r="BT40" s="598"/>
      <c r="BU40" s="598"/>
      <c r="BV40" s="598"/>
      <c r="BW40" s="598"/>
      <c r="BX40" s="598"/>
      <c r="BY40" s="598"/>
      <c r="BZ40" s="598"/>
      <c r="CA40" s="598"/>
      <c r="CB40" s="598"/>
      <c r="CC40" s="598"/>
      <c r="CD40" s="598"/>
      <c r="CE40" s="598"/>
      <c r="CF40" s="598"/>
      <c r="CG40" s="598"/>
      <c r="CH40" s="598"/>
      <c r="CI40" s="598"/>
      <c r="CJ40" s="598"/>
      <c r="CK40" s="598"/>
      <c r="CL40" s="598"/>
      <c r="CM40" s="596"/>
      <c r="CN40" s="596"/>
      <c r="CO40" s="596"/>
      <c r="CP40" s="596"/>
      <c r="CQ40" s="596"/>
      <c r="CR40" s="596"/>
      <c r="CS40" s="596"/>
      <c r="CT40" s="596"/>
      <c r="CU40" s="596"/>
      <c r="CV40" s="596"/>
      <c r="CW40" s="596"/>
    </row>
    <row x14ac:dyDescent="0.25" r="41" customHeight="1" ht="6.75">
      <c r="A41" s="596"/>
      <c r="B41" s="1"/>
      <c r="C41" s="1"/>
      <c r="D41" s="1"/>
      <c r="E41" s="169"/>
      <c r="F41" s="569"/>
      <c r="G41" s="1"/>
      <c r="H41" s="1"/>
      <c r="I41" s="1"/>
      <c r="J41" s="170"/>
      <c r="K41" s="1"/>
      <c r="L41" s="1"/>
      <c r="M41" s="1"/>
      <c r="N41" s="1"/>
      <c r="O41" s="1"/>
      <c r="P41" s="1"/>
      <c r="Q41" s="1"/>
      <c r="R41" s="1"/>
      <c r="S41" s="139"/>
      <c r="T41" s="435"/>
      <c r="U41" s="597"/>
      <c r="V41" s="597"/>
      <c r="W41" s="354"/>
      <c r="X41" s="590"/>
      <c r="Y41" s="171"/>
      <c r="Z41" s="1"/>
      <c r="AA41" s="1"/>
      <c r="AB41" s="1"/>
      <c r="AC41" s="1"/>
      <c r="AD41" s="596"/>
      <c r="AE41" s="596"/>
      <c r="AF41" s="596"/>
      <c r="AG41" s="596"/>
      <c r="AH41" s="596"/>
      <c r="AI41" s="596"/>
      <c r="AJ41" s="598"/>
      <c r="AK41" s="611"/>
      <c r="AL41" s="611"/>
      <c r="AM41" s="598"/>
      <c r="AN41" s="598"/>
      <c r="AO41" s="598"/>
      <c r="AP41" s="598"/>
      <c r="AQ41" s="598"/>
      <c r="AR41" s="598"/>
      <c r="AS41" s="598"/>
      <c r="AT41" s="598"/>
      <c r="AU41" s="598"/>
      <c r="AV41" s="598"/>
      <c r="AW41" s="598"/>
      <c r="AX41" s="598"/>
      <c r="AY41" s="598"/>
      <c r="AZ41" s="598"/>
      <c r="BA41" s="598"/>
      <c r="BB41" s="598"/>
      <c r="BC41" s="598"/>
      <c r="BD41" s="598"/>
      <c r="BE41" s="598"/>
      <c r="BF41" s="598"/>
      <c r="BG41" s="598"/>
      <c r="BH41" s="598"/>
      <c r="BI41" s="598"/>
      <c r="BJ41" s="598"/>
      <c r="BK41" s="598"/>
      <c r="BL41" s="598"/>
      <c r="BM41" s="598"/>
      <c r="BN41" s="598"/>
      <c r="BO41" s="598"/>
      <c r="BP41" s="598"/>
      <c r="BQ41" s="598"/>
      <c r="BR41" s="598"/>
      <c r="BS41" s="598"/>
      <c r="BT41" s="598"/>
      <c r="BU41" s="598"/>
      <c r="BV41" s="598"/>
      <c r="BW41" s="598"/>
      <c r="BX41" s="598"/>
      <c r="BY41" s="598"/>
      <c r="BZ41" s="598"/>
      <c r="CA41" s="598"/>
      <c r="CB41" s="598"/>
      <c r="CC41" s="598"/>
      <c r="CD41" s="598"/>
      <c r="CE41" s="598"/>
      <c r="CF41" s="598"/>
      <c r="CG41" s="598"/>
      <c r="CH41" s="598"/>
      <c r="CI41" s="598"/>
      <c r="CJ41" s="598"/>
      <c r="CK41" s="598"/>
      <c r="CL41" s="598"/>
      <c r="CM41" s="596"/>
      <c r="CN41" s="596"/>
      <c r="CO41" s="596"/>
      <c r="CP41" s="596"/>
      <c r="CQ41" s="596"/>
      <c r="CR41" s="596"/>
      <c r="CS41" s="596"/>
      <c r="CT41" s="596"/>
      <c r="CU41" s="596"/>
      <c r="CV41" s="596"/>
      <c r="CW41" s="596"/>
    </row>
    <row x14ac:dyDescent="0.25" r="42" customHeight="1" ht="6.75">
      <c r="A42" s="596"/>
      <c r="B42" s="1"/>
      <c r="C42" s="1"/>
      <c r="D42" s="1"/>
      <c r="E42" s="169"/>
      <c r="F42" s="569"/>
      <c r="G42" s="1"/>
      <c r="H42" s="1"/>
      <c r="I42" s="1"/>
      <c r="J42" s="170"/>
      <c r="K42" s="1"/>
      <c r="L42" s="1"/>
      <c r="M42" s="1"/>
      <c r="N42" s="1"/>
      <c r="O42" s="1"/>
      <c r="P42" s="1"/>
      <c r="Q42" s="1"/>
      <c r="R42" s="1"/>
      <c r="S42" s="139"/>
      <c r="T42" s="435"/>
      <c r="U42" s="597"/>
      <c r="V42" s="597"/>
      <c r="W42" s="354"/>
      <c r="X42" s="590"/>
      <c r="Y42" s="171"/>
      <c r="Z42" s="1"/>
      <c r="AA42" s="1"/>
      <c r="AB42" s="1"/>
      <c r="AC42" s="1"/>
      <c r="AD42" s="596"/>
      <c r="AE42" s="596"/>
      <c r="AF42" s="596"/>
      <c r="AG42" s="596"/>
      <c r="AH42" s="596"/>
      <c r="AI42" s="596"/>
      <c r="AJ42" s="598"/>
      <c r="AK42" s="611"/>
      <c r="AL42" s="611"/>
      <c r="AM42" s="598"/>
      <c r="AN42" s="598"/>
      <c r="AO42" s="598"/>
      <c r="AP42" s="598"/>
      <c r="AQ42" s="598"/>
      <c r="AR42" s="598"/>
      <c r="AS42" s="598"/>
      <c r="AT42" s="598"/>
      <c r="AU42" s="598"/>
      <c r="AV42" s="598"/>
      <c r="AW42" s="598"/>
      <c r="AX42" s="598"/>
      <c r="AY42" s="598"/>
      <c r="AZ42" s="598"/>
      <c r="BA42" s="598"/>
      <c r="BB42" s="598"/>
      <c r="BC42" s="598"/>
      <c r="BD42" s="598"/>
      <c r="BE42" s="598"/>
      <c r="BF42" s="598"/>
      <c r="BG42" s="598"/>
      <c r="BH42" s="598"/>
      <c r="BI42" s="598"/>
      <c r="BJ42" s="598"/>
      <c r="BK42" s="598"/>
      <c r="BL42" s="598"/>
      <c r="BM42" s="598"/>
      <c r="BN42" s="598"/>
      <c r="BO42" s="598"/>
      <c r="BP42" s="598"/>
      <c r="BQ42" s="598"/>
      <c r="BR42" s="598"/>
      <c r="BS42" s="598"/>
      <c r="BT42" s="598"/>
      <c r="BU42" s="598"/>
      <c r="BV42" s="598"/>
      <c r="BW42" s="598"/>
      <c r="BX42" s="598"/>
      <c r="BY42" s="598"/>
      <c r="BZ42" s="598"/>
      <c r="CA42" s="598"/>
      <c r="CB42" s="598"/>
      <c r="CC42" s="598"/>
      <c r="CD42" s="598"/>
      <c r="CE42" s="598"/>
      <c r="CF42" s="598"/>
      <c r="CG42" s="598"/>
      <c r="CH42" s="598"/>
      <c r="CI42" s="598"/>
      <c r="CJ42" s="598"/>
      <c r="CK42" s="598"/>
      <c r="CL42" s="598"/>
      <c r="CM42" s="596"/>
      <c r="CN42" s="596"/>
      <c r="CO42" s="596"/>
      <c r="CP42" s="596"/>
      <c r="CQ42" s="596"/>
      <c r="CR42" s="596"/>
      <c r="CS42" s="596"/>
      <c r="CT42" s="596"/>
      <c r="CU42" s="596"/>
      <c r="CV42" s="596"/>
      <c r="CW42" s="596"/>
    </row>
    <row x14ac:dyDescent="0.25" r="43" customHeight="1" ht="6.75">
      <c r="A43" s="596"/>
      <c r="B43" s="1"/>
      <c r="C43" s="1"/>
      <c r="D43" s="1"/>
      <c r="E43" s="169"/>
      <c r="F43" s="569"/>
      <c r="G43" s="1"/>
      <c r="H43" s="1"/>
      <c r="I43" s="1"/>
      <c r="J43" s="170"/>
      <c r="K43" s="1"/>
      <c r="L43" s="1"/>
      <c r="M43" s="1"/>
      <c r="N43" s="1"/>
      <c r="O43" s="1"/>
      <c r="P43" s="1"/>
      <c r="Q43" s="1"/>
      <c r="R43" s="1"/>
      <c r="S43" s="139"/>
      <c r="T43" s="435"/>
      <c r="U43" s="597"/>
      <c r="V43" s="597"/>
      <c r="W43" s="354"/>
      <c r="X43" s="590"/>
      <c r="Y43" s="171"/>
      <c r="Z43" s="1"/>
      <c r="AA43" s="1"/>
      <c r="AB43" s="1"/>
      <c r="AC43" s="1"/>
      <c r="AD43" s="596"/>
      <c r="AE43" s="596"/>
      <c r="AF43" s="596"/>
      <c r="AG43" s="596"/>
      <c r="AH43" s="596"/>
      <c r="AI43" s="596"/>
      <c r="AJ43" s="598"/>
      <c r="AK43" s="611"/>
      <c r="AL43" s="611"/>
      <c r="AM43" s="598"/>
      <c r="AN43" s="598"/>
      <c r="AO43" s="598"/>
      <c r="AP43" s="598"/>
      <c r="AQ43" s="598"/>
      <c r="AR43" s="598"/>
      <c r="AS43" s="598"/>
      <c r="AT43" s="598"/>
      <c r="AU43" s="598"/>
      <c r="AV43" s="598"/>
      <c r="AW43" s="598"/>
      <c r="AX43" s="598"/>
      <c r="AY43" s="598"/>
      <c r="AZ43" s="598"/>
      <c r="BA43" s="598"/>
      <c r="BB43" s="598"/>
      <c r="BC43" s="598"/>
      <c r="BD43" s="598"/>
      <c r="BE43" s="598"/>
      <c r="BF43" s="598"/>
      <c r="BG43" s="598"/>
      <c r="BH43" s="598"/>
      <c r="BI43" s="598"/>
      <c r="BJ43" s="598"/>
      <c r="BK43" s="598"/>
      <c r="BL43" s="598"/>
      <c r="BM43" s="598"/>
      <c r="BN43" s="598"/>
      <c r="BO43" s="598"/>
      <c r="BP43" s="598"/>
      <c r="BQ43" s="598"/>
      <c r="BR43" s="598"/>
      <c r="BS43" s="598"/>
      <c r="BT43" s="598"/>
      <c r="BU43" s="598"/>
      <c r="BV43" s="598"/>
      <c r="BW43" s="598"/>
      <c r="BX43" s="598"/>
      <c r="BY43" s="598"/>
      <c r="BZ43" s="598"/>
      <c r="CA43" s="598"/>
      <c r="CB43" s="598"/>
      <c r="CC43" s="598"/>
      <c r="CD43" s="598"/>
      <c r="CE43" s="598"/>
      <c r="CF43" s="598"/>
      <c r="CG43" s="598"/>
      <c r="CH43" s="598"/>
      <c r="CI43" s="598"/>
      <c r="CJ43" s="598"/>
      <c r="CK43" s="598"/>
      <c r="CL43" s="598"/>
      <c r="CM43" s="596"/>
      <c r="CN43" s="596"/>
      <c r="CO43" s="596"/>
      <c r="CP43" s="596"/>
      <c r="CQ43" s="596"/>
      <c r="CR43" s="596"/>
      <c r="CS43" s="596"/>
      <c r="CT43" s="596"/>
      <c r="CU43" s="596"/>
      <c r="CV43" s="596"/>
      <c r="CW43" s="596"/>
    </row>
    <row x14ac:dyDescent="0.25" r="44" customHeight="1" ht="6.75">
      <c r="A44" s="596"/>
      <c r="B44" s="1"/>
      <c r="C44" s="1"/>
      <c r="D44" s="1"/>
      <c r="E44" s="169"/>
      <c r="F44" s="569"/>
      <c r="G44" s="1"/>
      <c r="H44" s="1"/>
      <c r="I44" s="1"/>
      <c r="J44" s="170"/>
      <c r="K44" s="1"/>
      <c r="L44" s="1"/>
      <c r="M44" s="1"/>
      <c r="N44" s="1"/>
      <c r="O44" s="1"/>
      <c r="P44" s="1"/>
      <c r="Q44" s="1"/>
      <c r="R44" s="1"/>
      <c r="S44" s="139"/>
      <c r="T44" s="435"/>
      <c r="U44" s="597"/>
      <c r="V44" s="597"/>
      <c r="W44" s="354"/>
      <c r="X44" s="590"/>
      <c r="Y44" s="171"/>
      <c r="Z44" s="1"/>
      <c r="AA44" s="1"/>
      <c r="AB44" s="1"/>
      <c r="AC44" s="1"/>
      <c r="AD44" s="596"/>
      <c r="AE44" s="596"/>
      <c r="AF44" s="596"/>
      <c r="AG44" s="596"/>
      <c r="AH44" s="596"/>
      <c r="AI44" s="596"/>
      <c r="AJ44" s="598"/>
      <c r="AK44" s="611"/>
      <c r="AL44" s="611"/>
      <c r="AM44" s="598"/>
      <c r="AN44" s="598"/>
      <c r="AO44" s="598"/>
      <c r="AP44" s="598"/>
      <c r="AQ44" s="598"/>
      <c r="AR44" s="598"/>
      <c r="AS44" s="598"/>
      <c r="AT44" s="598"/>
      <c r="AU44" s="598"/>
      <c r="AV44" s="598"/>
      <c r="AW44" s="598"/>
      <c r="AX44" s="598"/>
      <c r="AY44" s="598"/>
      <c r="AZ44" s="598"/>
      <c r="BA44" s="598"/>
      <c r="BB44" s="598"/>
      <c r="BC44" s="598"/>
      <c r="BD44" s="598"/>
      <c r="BE44" s="598"/>
      <c r="BF44" s="598"/>
      <c r="BG44" s="598"/>
      <c r="BH44" s="598"/>
      <c r="BI44" s="598"/>
      <c r="BJ44" s="598"/>
      <c r="BK44" s="598"/>
      <c r="BL44" s="598"/>
      <c r="BM44" s="598"/>
      <c r="BN44" s="598"/>
      <c r="BO44" s="598"/>
      <c r="BP44" s="598"/>
      <c r="BQ44" s="598"/>
      <c r="BR44" s="598"/>
      <c r="BS44" s="598"/>
      <c r="BT44" s="598"/>
      <c r="BU44" s="598"/>
      <c r="BV44" s="598"/>
      <c r="BW44" s="598"/>
      <c r="BX44" s="598"/>
      <c r="BY44" s="598"/>
      <c r="BZ44" s="598"/>
      <c r="CA44" s="598"/>
      <c r="CB44" s="598"/>
      <c r="CC44" s="598"/>
      <c r="CD44" s="598"/>
      <c r="CE44" s="598"/>
      <c r="CF44" s="598"/>
      <c r="CG44" s="598"/>
      <c r="CH44" s="598"/>
      <c r="CI44" s="598"/>
      <c r="CJ44" s="598"/>
      <c r="CK44" s="598"/>
      <c r="CL44" s="598"/>
      <c r="CM44" s="596"/>
      <c r="CN44" s="596"/>
      <c r="CO44" s="596"/>
      <c r="CP44" s="596"/>
      <c r="CQ44" s="596"/>
      <c r="CR44" s="596"/>
      <c r="CS44" s="596"/>
      <c r="CT44" s="596"/>
      <c r="CU44" s="596"/>
      <c r="CV44" s="596"/>
      <c r="CW44" s="596"/>
    </row>
    <row x14ac:dyDescent="0.25" r="45" customHeight="1" ht="17.65">
      <c r="A45" s="568"/>
      <c r="B45" s="139"/>
      <c r="C45" s="260" t="s">
        <v>220</v>
      </c>
      <c r="D45" s="260"/>
      <c r="E45" s="592"/>
      <c r="F45" s="358"/>
      <c r="G45" s="260"/>
      <c r="H45" s="260"/>
      <c r="I45" s="260"/>
      <c r="J45" s="261"/>
      <c r="K45" s="260"/>
      <c r="L45" s="260"/>
      <c r="M45" s="1"/>
      <c r="N45" s="1"/>
      <c r="O45" s="1"/>
      <c r="P45" s="1"/>
      <c r="Q45" s="1"/>
      <c r="R45" s="1"/>
      <c r="S45" s="139"/>
      <c r="T45" s="435"/>
      <c r="U45" s="597"/>
      <c r="V45" s="597"/>
      <c r="W45" s="170"/>
      <c r="X45" s="169"/>
      <c r="Y45" s="1"/>
      <c r="Z45" s="1"/>
      <c r="AA45" s="1"/>
      <c r="AB45" s="1"/>
      <c r="AC45" s="1"/>
      <c r="AD45" s="1"/>
      <c r="AE45" s="1"/>
      <c r="AF45" s="1"/>
      <c r="AG45" s="636"/>
      <c r="AH45" s="1"/>
      <c r="AI45" s="1"/>
      <c r="AJ45" s="1"/>
      <c r="AK45" s="169"/>
      <c r="AL45" s="169"/>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row>
    <row x14ac:dyDescent="0.25" r="46" customHeight="1" ht="2.1">
      <c r="A46" s="596"/>
      <c r="B46" s="1"/>
      <c r="C46" s="1"/>
      <c r="D46" s="1"/>
      <c r="E46" s="169"/>
      <c r="F46" s="569"/>
      <c r="G46" s="1"/>
      <c r="H46" s="1"/>
      <c r="I46" s="1"/>
      <c r="J46" s="170"/>
      <c r="K46" s="1"/>
      <c r="L46" s="1"/>
      <c r="M46" s="1"/>
      <c r="N46" s="1"/>
      <c r="O46" s="1"/>
      <c r="P46" s="1"/>
      <c r="Q46" s="1"/>
      <c r="R46" s="1"/>
      <c r="S46" s="139"/>
      <c r="T46" s="435"/>
      <c r="U46" s="597"/>
      <c r="V46" s="597"/>
      <c r="W46" s="354"/>
      <c r="X46" s="590"/>
      <c r="Y46" s="171"/>
      <c r="Z46" s="1"/>
      <c r="AA46" s="1"/>
      <c r="AB46" s="1"/>
      <c r="AC46" s="1"/>
      <c r="AD46" s="596"/>
      <c r="AE46" s="596"/>
      <c r="AF46" s="596"/>
      <c r="AG46" s="596"/>
      <c r="AH46" s="596"/>
      <c r="AI46" s="596"/>
      <c r="AJ46" s="598"/>
      <c r="AK46" s="611"/>
      <c r="AL46" s="611"/>
      <c r="AM46" s="598"/>
      <c r="AN46" s="598"/>
      <c r="AO46" s="598"/>
      <c r="AP46" s="598"/>
      <c r="AQ46" s="598"/>
      <c r="AR46" s="598"/>
      <c r="AS46" s="598"/>
      <c r="AT46" s="598"/>
      <c r="AU46" s="598"/>
      <c r="AV46" s="598"/>
      <c r="AW46" s="598"/>
      <c r="AX46" s="598"/>
      <c r="AY46" s="598"/>
      <c r="AZ46" s="598"/>
      <c r="BA46" s="598"/>
      <c r="BB46" s="598"/>
      <c r="BC46" s="598"/>
      <c r="BD46" s="598"/>
      <c r="BE46" s="598"/>
      <c r="BF46" s="598"/>
      <c r="BG46" s="598"/>
      <c r="BH46" s="598"/>
      <c r="BI46" s="598"/>
      <c r="BJ46" s="598"/>
      <c r="BK46" s="598"/>
      <c r="BL46" s="598"/>
      <c r="BM46" s="598"/>
      <c r="BN46" s="598"/>
      <c r="BO46" s="598"/>
      <c r="BP46" s="598"/>
      <c r="BQ46" s="598"/>
      <c r="BR46" s="598"/>
      <c r="BS46" s="598"/>
      <c r="BT46" s="598"/>
      <c r="BU46" s="598"/>
      <c r="BV46" s="598"/>
      <c r="BW46" s="598"/>
      <c r="BX46" s="598"/>
      <c r="BY46" s="598"/>
      <c r="BZ46" s="598"/>
      <c r="CA46" s="598"/>
      <c r="CB46" s="598"/>
      <c r="CC46" s="598"/>
      <c r="CD46" s="598"/>
      <c r="CE46" s="598"/>
      <c r="CF46" s="598"/>
      <c r="CG46" s="598"/>
      <c r="CH46" s="598"/>
      <c r="CI46" s="598"/>
      <c r="CJ46" s="598"/>
      <c r="CK46" s="598"/>
      <c r="CL46" s="598"/>
      <c r="CM46" s="596"/>
      <c r="CN46" s="596"/>
      <c r="CO46" s="596"/>
      <c r="CP46" s="596"/>
      <c r="CQ46" s="596"/>
      <c r="CR46" s="596"/>
      <c r="CS46" s="596"/>
      <c r="CT46" s="596"/>
      <c r="CU46" s="596"/>
      <c r="CV46" s="596"/>
      <c r="CW46" s="596"/>
    </row>
    <row x14ac:dyDescent="0.25" r="47" customHeight="1" ht="17.65">
      <c r="A47" s="568"/>
      <c r="B47" s="139"/>
      <c r="C47" s="639" t="s">
        <v>221</v>
      </c>
      <c r="D47" s="637"/>
      <c r="E47" s="627" t="s">
        <v>219</v>
      </c>
      <c r="F47" s="603"/>
      <c r="G47" s="604"/>
      <c r="H47" s="640"/>
      <c r="I47" s="641"/>
      <c r="J47" s="629">
        <f>IF(H47&gt;30%*'Simulador - Datos personales'!E13,"Límite superado",H47)</f>
      </c>
      <c r="K47" s="606"/>
      <c r="L47" s="606"/>
      <c r="M47" s="1"/>
      <c r="N47" s="1"/>
      <c r="O47" s="1"/>
      <c r="P47" s="1"/>
      <c r="Q47" s="1"/>
      <c r="R47" s="1"/>
      <c r="S47" s="139"/>
      <c r="T47" s="388" t="s">
        <v>209</v>
      </c>
      <c r="U47" s="597"/>
      <c r="V47" s="407" t="s">
        <v>124</v>
      </c>
      <c r="W47" s="170"/>
      <c r="X47" s="169"/>
      <c r="Y47" s="1"/>
      <c r="Z47" s="1"/>
      <c r="AA47" s="1"/>
      <c r="AB47" s="1"/>
      <c r="AC47" s="1"/>
      <c r="AD47" s="1"/>
      <c r="AE47" s="1"/>
      <c r="AF47" s="1"/>
      <c r="AG47" s="1"/>
      <c r="AH47" s="1"/>
      <c r="AI47" s="1"/>
      <c r="AJ47" s="1"/>
      <c r="AK47" s="169"/>
      <c r="AL47" s="169"/>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row>
    <row x14ac:dyDescent="0.25" r="48" customHeight="1" ht="2.1">
      <c r="A48" s="568"/>
      <c r="B48" s="139"/>
      <c r="C48" s="642"/>
      <c r="D48" s="637"/>
      <c r="E48" s="602"/>
      <c r="F48" s="603"/>
      <c r="G48" s="604"/>
      <c r="H48" s="643"/>
      <c r="I48" s="641"/>
      <c r="J48" s="606"/>
      <c r="K48" s="606"/>
      <c r="L48" s="606"/>
      <c r="M48" s="1"/>
      <c r="N48" s="1"/>
      <c r="O48" s="1"/>
      <c r="P48" s="1"/>
      <c r="Q48" s="1"/>
      <c r="R48" s="1"/>
      <c r="S48" s="139"/>
      <c r="T48" s="168"/>
      <c r="U48" s="170"/>
      <c r="V48" s="170"/>
      <c r="W48" s="170"/>
      <c r="X48" s="169"/>
      <c r="Y48" s="1"/>
      <c r="Z48" s="1"/>
      <c r="AA48" s="1"/>
      <c r="AB48" s="1"/>
      <c r="AC48" s="1"/>
      <c r="AD48" s="1"/>
      <c r="AE48" s="1"/>
      <c r="AF48" s="1"/>
      <c r="AG48" s="1"/>
      <c r="AH48" s="1"/>
      <c r="AI48" s="1"/>
      <c r="AJ48" s="1"/>
      <c r="AK48" s="169"/>
      <c r="AL48" s="169"/>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row>
    <row x14ac:dyDescent="0.25" r="49" customHeight="1" ht="17.65">
      <c r="A49" s="568"/>
      <c r="B49" s="139"/>
      <c r="C49" s="642"/>
      <c r="D49" s="637"/>
      <c r="E49" s="602"/>
      <c r="F49" s="603"/>
      <c r="G49" s="604"/>
      <c r="H49" s="643"/>
      <c r="I49" s="308"/>
      <c r="J49" s="606"/>
      <c r="K49" s="606"/>
      <c r="L49" s="606"/>
      <c r="M49" s="1"/>
      <c r="N49" s="1"/>
      <c r="O49" s="1"/>
      <c r="P49" s="1"/>
      <c r="Q49" s="1"/>
      <c r="R49" s="1"/>
      <c r="S49" s="139"/>
      <c r="T49" s="609">
        <f>IF(H47&gt;30%*'Simulador - Datos personales'!E13,"Límite superado",'Aportaciones Flex'!J5)</f>
      </c>
      <c r="U49" s="597"/>
      <c r="V49" s="609">
        <f>IF(H47&gt;30%*'Simulador - Datos personales'!E13,"Límite superado",T49/'Renta Vitalicia'!$F$5/12)</f>
      </c>
      <c r="W49" s="170"/>
      <c r="X49" s="169"/>
      <c r="Y49" s="1"/>
      <c r="Z49" s="1"/>
      <c r="AA49" s="1"/>
      <c r="AB49" s="1"/>
      <c r="AC49" s="1"/>
      <c r="AD49" s="1"/>
      <c r="AE49" s="1"/>
      <c r="AF49" s="1"/>
      <c r="AG49" s="596"/>
      <c r="AH49" s="1"/>
      <c r="AI49" s="1"/>
      <c r="AJ49" s="1"/>
      <c r="AK49" s="169"/>
      <c r="AL49" s="169"/>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row>
    <row x14ac:dyDescent="0.25" r="50" customHeight="1" ht="2.1">
      <c r="A50" s="568"/>
      <c r="B50" s="139"/>
      <c r="C50" s="642"/>
      <c r="D50" s="637"/>
      <c r="E50" s="602"/>
      <c r="F50" s="603"/>
      <c r="G50" s="604"/>
      <c r="H50" s="643"/>
      <c r="I50" s="308"/>
      <c r="J50" s="606"/>
      <c r="K50" s="606"/>
      <c r="L50" s="606"/>
      <c r="M50" s="1"/>
      <c r="N50" s="1"/>
      <c r="O50" s="1"/>
      <c r="P50" s="1"/>
      <c r="Q50" s="1"/>
      <c r="R50" s="1"/>
      <c r="S50" s="139"/>
      <c r="T50" s="168"/>
      <c r="U50" s="170"/>
      <c r="V50" s="170"/>
      <c r="W50" s="170"/>
      <c r="X50" s="169"/>
      <c r="Y50" s="1"/>
      <c r="Z50" s="1"/>
      <c r="AA50" s="1"/>
      <c r="AB50" s="1"/>
      <c r="AC50" s="1"/>
      <c r="AD50" s="1"/>
      <c r="AE50" s="1"/>
      <c r="AF50" s="1"/>
      <c r="AG50" s="596"/>
      <c r="AH50" s="1"/>
      <c r="AI50" s="1"/>
      <c r="AJ50" s="1"/>
      <c r="AK50" s="169"/>
      <c r="AL50" s="169"/>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row>
    <row x14ac:dyDescent="0.25" r="51" customHeight="1" ht="17.65">
      <c r="A51" s="568"/>
      <c r="B51" s="139"/>
      <c r="C51" s="642"/>
      <c r="D51" s="637"/>
      <c r="E51" s="602"/>
      <c r="F51" s="603"/>
      <c r="G51" s="604"/>
      <c r="H51" s="643"/>
      <c r="I51" s="308"/>
      <c r="J51" s="606"/>
      <c r="K51" s="606"/>
      <c r="L51" s="606"/>
      <c r="M51" s="1"/>
      <c r="N51" s="1"/>
      <c r="O51" s="1"/>
      <c r="P51" s="1"/>
      <c r="Q51" s="1"/>
      <c r="R51" s="1"/>
      <c r="S51" s="139"/>
      <c r="T51" s="388" t="s">
        <v>83</v>
      </c>
      <c r="U51" s="612"/>
      <c r="V51" s="612"/>
      <c r="W51" s="170"/>
      <c r="X51" s="169"/>
      <c r="Y51" s="1"/>
      <c r="Z51" s="1"/>
      <c r="AA51" s="1"/>
      <c r="AB51" s="1"/>
      <c r="AC51" s="1"/>
      <c r="AD51" s="1"/>
      <c r="AE51" s="1"/>
      <c r="AF51" s="1"/>
      <c r="AG51" s="596"/>
      <c r="AH51" s="1"/>
      <c r="AI51" s="1"/>
      <c r="AJ51" s="1"/>
      <c r="AK51" s="169"/>
      <c r="AL51" s="169"/>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row>
    <row x14ac:dyDescent="0.25" r="52" customHeight="1" ht="2.1">
      <c r="A52" s="568"/>
      <c r="B52" s="139"/>
      <c r="C52" s="642"/>
      <c r="D52" s="1"/>
      <c r="E52" s="169"/>
      <c r="F52" s="569"/>
      <c r="G52" s="1"/>
      <c r="H52" s="1"/>
      <c r="I52" s="1"/>
      <c r="J52" s="170"/>
      <c r="K52" s="1"/>
      <c r="L52" s="1"/>
      <c r="M52" s="1"/>
      <c r="N52" s="1"/>
      <c r="O52" s="1"/>
      <c r="P52" s="1"/>
      <c r="Q52" s="1"/>
      <c r="R52" s="1"/>
      <c r="S52" s="139"/>
      <c r="T52" s="168"/>
      <c r="U52" s="170"/>
      <c r="V52" s="170"/>
      <c r="W52" s="170"/>
      <c r="X52" s="169"/>
      <c r="Y52" s="1"/>
      <c r="Z52" s="1"/>
      <c r="AA52" s="1"/>
      <c r="AB52" s="1"/>
      <c r="AC52" s="1"/>
      <c r="AD52" s="1"/>
      <c r="AE52" s="1"/>
      <c r="AF52" s="1"/>
      <c r="AG52" s="596"/>
      <c r="AH52" s="1"/>
      <c r="AI52" s="1"/>
      <c r="AJ52" s="1"/>
      <c r="AK52" s="169"/>
      <c r="AL52" s="169"/>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row>
    <row x14ac:dyDescent="0.25" r="53" customHeight="1" ht="17.65">
      <c r="A53" s="568"/>
      <c r="B53" s="139"/>
      <c r="C53" s="642"/>
      <c r="D53" s="613"/>
      <c r="E53" s="614" t="s">
        <v>216</v>
      </c>
      <c r="F53" s="615"/>
      <c r="G53" s="616"/>
      <c r="H53" s="616"/>
      <c r="I53" s="617"/>
      <c r="J53" s="618">
        <f>'Aportaciones Flex'!Q4</f>
      </c>
      <c r="K53" s="618"/>
      <c r="L53" s="618"/>
      <c r="M53" s="1"/>
      <c r="N53" s="1"/>
      <c r="O53" s="1"/>
      <c r="P53" s="1"/>
      <c r="Q53" s="1"/>
      <c r="R53" s="1"/>
      <c r="S53" s="139"/>
      <c r="T53" s="619">
        <f>IFERROR(V49/($F$78/12),"-")</f>
      </c>
      <c r="U53" s="619"/>
      <c r="V53" s="619"/>
      <c r="W53" s="170"/>
      <c r="X53" s="169"/>
      <c r="Y53" s="1"/>
      <c r="Z53" s="1"/>
      <c r="AA53" s="1"/>
      <c r="AB53" s="1"/>
      <c r="AC53" s="1"/>
      <c r="AD53" s="1"/>
      <c r="AE53" s="1"/>
      <c r="AF53" s="1"/>
      <c r="AG53" s="596"/>
      <c r="AH53" s="1"/>
      <c r="AI53" s="1"/>
      <c r="AJ53" s="1"/>
      <c r="AK53" s="169"/>
      <c r="AL53" s="169"/>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row>
    <row x14ac:dyDescent="0.25" r="54" customHeight="1" ht="8.1">
      <c r="A54" s="568"/>
      <c r="B54" s="139"/>
      <c r="C54" s="1"/>
      <c r="D54" s="1"/>
      <c r="E54" s="169"/>
      <c r="F54" s="569"/>
      <c r="G54" s="1"/>
      <c r="H54" s="1"/>
      <c r="I54" s="1"/>
      <c r="J54" s="170"/>
      <c r="K54" s="1"/>
      <c r="L54" s="1"/>
      <c r="M54" s="1"/>
      <c r="N54" s="1"/>
      <c r="O54" s="1"/>
      <c r="P54" s="1"/>
      <c r="Q54" s="1"/>
      <c r="R54" s="1"/>
      <c r="S54" s="1"/>
      <c r="T54" s="168"/>
      <c r="U54" s="170"/>
      <c r="V54" s="170"/>
      <c r="W54" s="170"/>
      <c r="X54" s="169"/>
      <c r="Y54" s="171"/>
      <c r="Z54" s="1"/>
      <c r="AA54" s="1"/>
      <c r="AB54" s="1"/>
      <c r="AC54" s="1"/>
      <c r="AD54" s="1"/>
      <c r="AE54" s="1"/>
      <c r="AF54" s="1"/>
      <c r="AG54" s="596"/>
      <c r="AH54" s="1"/>
      <c r="AI54" s="1"/>
      <c r="AJ54" s="1"/>
      <c r="AK54" s="169"/>
      <c r="AL54" s="169"/>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row>
    <row x14ac:dyDescent="0.25" r="55" customHeight="1" ht="33.75">
      <c r="A55" s="568"/>
      <c r="B55" s="568"/>
      <c r="C55" s="596"/>
      <c r="D55" s="596"/>
      <c r="E55" s="644"/>
      <c r="F55" s="645"/>
      <c r="G55" s="596"/>
      <c r="H55" s="596"/>
      <c r="I55" s="596"/>
      <c r="J55" s="646"/>
      <c r="K55" s="596"/>
      <c r="L55" s="596"/>
      <c r="M55" s="596"/>
      <c r="N55" s="596"/>
      <c r="O55" s="596"/>
      <c r="P55" s="596"/>
      <c r="Q55" s="596"/>
      <c r="R55" s="596"/>
      <c r="S55" s="596"/>
      <c r="T55" s="645"/>
      <c r="U55" s="646"/>
      <c r="V55" s="646"/>
      <c r="W55" s="647"/>
      <c r="X55" s="648"/>
      <c r="Y55" s="568"/>
      <c r="Z55" s="1"/>
      <c r="AA55" s="1"/>
      <c r="AB55" s="1"/>
      <c r="AC55" s="1"/>
      <c r="AD55" s="1"/>
      <c r="AE55" s="1"/>
      <c r="AF55" s="649"/>
      <c r="AG55" s="1"/>
      <c r="AH55" s="1"/>
      <c r="AI55" s="1"/>
      <c r="AJ55" s="571"/>
      <c r="AK55" s="572"/>
      <c r="AL55" s="572"/>
      <c r="AM55" s="571"/>
      <c r="AN55" s="571"/>
      <c r="AO55" s="571"/>
      <c r="AP55" s="571"/>
      <c r="AQ55" s="571"/>
      <c r="AR55" s="571"/>
      <c r="AS55" s="571"/>
      <c r="AT55" s="571"/>
      <c r="AU55" s="571"/>
      <c r="AV55" s="571"/>
      <c r="AW55" s="571"/>
      <c r="AX55" s="571"/>
      <c r="AY55" s="571"/>
      <c r="AZ55" s="571"/>
      <c r="BA55" s="571"/>
      <c r="BB55" s="571"/>
      <c r="BC55" s="571"/>
      <c r="BD55" s="571"/>
      <c r="BE55" s="571"/>
      <c r="BF55" s="571"/>
      <c r="BG55" s="571"/>
      <c r="BH55" s="571"/>
      <c r="BI55" s="571"/>
      <c r="BJ55" s="571"/>
      <c r="BK55" s="571"/>
      <c r="BL55" s="571"/>
      <c r="BM55" s="571"/>
      <c r="BN55" s="571"/>
      <c r="BO55" s="571"/>
      <c r="BP55" s="571"/>
      <c r="BQ55" s="571"/>
      <c r="BR55" s="571"/>
      <c r="BS55" s="571"/>
      <c r="BT55" s="571"/>
      <c r="BU55" s="571"/>
      <c r="BV55" s="571"/>
      <c r="BW55" s="571"/>
      <c r="BX55" s="571"/>
      <c r="BY55" s="571"/>
      <c r="BZ55" s="571"/>
      <c r="CA55" s="571"/>
      <c r="CB55" s="571"/>
      <c r="CC55" s="571"/>
      <c r="CD55" s="571"/>
      <c r="CE55" s="571"/>
      <c r="CF55" s="571"/>
      <c r="CG55" s="571"/>
      <c r="CH55" s="571"/>
      <c r="CI55" s="571"/>
      <c r="CJ55" s="571"/>
      <c r="CK55" s="571"/>
      <c r="CL55" s="571"/>
      <c r="CM55" s="1"/>
      <c r="CN55" s="1"/>
      <c r="CO55" s="1"/>
      <c r="CP55" s="1"/>
      <c r="CQ55" s="1"/>
      <c r="CR55" s="1"/>
      <c r="CS55" s="1"/>
      <c r="CT55" s="1"/>
      <c r="CU55" s="1"/>
      <c r="CV55" s="1"/>
      <c r="CW55" s="1"/>
    </row>
    <row x14ac:dyDescent="0.25" r="56" customHeight="1" ht="6">
      <c r="A56" s="568"/>
      <c r="B56" s="596"/>
      <c r="C56" s="596"/>
      <c r="D56" s="596"/>
      <c r="E56" s="644"/>
      <c r="F56" s="645"/>
      <c r="G56" s="596"/>
      <c r="H56" s="596"/>
      <c r="I56" s="596"/>
      <c r="J56" s="646"/>
      <c r="K56" s="596"/>
      <c r="L56" s="596"/>
      <c r="M56" s="596"/>
      <c r="N56" s="596"/>
      <c r="O56" s="596"/>
      <c r="P56" s="596"/>
      <c r="Q56" s="596"/>
      <c r="R56" s="596"/>
      <c r="S56" s="596"/>
      <c r="T56" s="645"/>
      <c r="U56" s="646"/>
      <c r="V56" s="646"/>
      <c r="W56" s="646"/>
      <c r="X56" s="648"/>
      <c r="Y56" s="568"/>
      <c r="Z56" s="1"/>
      <c r="AA56" s="1"/>
      <c r="AB56" s="1"/>
      <c r="AC56" s="1"/>
      <c r="AD56" s="1"/>
      <c r="AE56" s="1"/>
      <c r="AF56" s="1"/>
      <c r="AG56" s="1"/>
      <c r="AH56" s="1"/>
      <c r="AI56" s="1"/>
      <c r="AJ56" s="571"/>
      <c r="AK56" s="572"/>
      <c r="AL56" s="572"/>
      <c r="AM56" s="571"/>
      <c r="AN56" s="571"/>
      <c r="AO56" s="571"/>
      <c r="AP56" s="571"/>
      <c r="AQ56" s="571"/>
      <c r="AR56" s="571"/>
      <c r="AS56" s="571"/>
      <c r="AT56" s="571"/>
      <c r="AU56" s="571"/>
      <c r="AV56" s="571"/>
      <c r="AW56" s="571"/>
      <c r="AX56" s="571"/>
      <c r="AY56" s="571"/>
      <c r="AZ56" s="571"/>
      <c r="BA56" s="571"/>
      <c r="BB56" s="571"/>
      <c r="BC56" s="571"/>
      <c r="BD56" s="571"/>
      <c r="BE56" s="571"/>
      <c r="BF56" s="571"/>
      <c r="BG56" s="571"/>
      <c r="BH56" s="571"/>
      <c r="BI56" s="571"/>
      <c r="BJ56" s="571"/>
      <c r="BK56" s="571"/>
      <c r="BL56" s="571"/>
      <c r="BM56" s="571"/>
      <c r="BN56" s="571"/>
      <c r="BO56" s="571"/>
      <c r="BP56" s="571"/>
      <c r="BQ56" s="571"/>
      <c r="BR56" s="571"/>
      <c r="BS56" s="571"/>
      <c r="BT56" s="571"/>
      <c r="BU56" s="571"/>
      <c r="BV56" s="571"/>
      <c r="BW56" s="571"/>
      <c r="BX56" s="571"/>
      <c r="BY56" s="571"/>
      <c r="BZ56" s="571"/>
      <c r="CA56" s="571"/>
      <c r="CB56" s="571"/>
      <c r="CC56" s="571"/>
      <c r="CD56" s="571"/>
      <c r="CE56" s="571"/>
      <c r="CF56" s="571"/>
      <c r="CG56" s="571"/>
      <c r="CH56" s="571"/>
      <c r="CI56" s="571"/>
      <c r="CJ56" s="571"/>
      <c r="CK56" s="571"/>
      <c r="CL56" s="571"/>
      <c r="CM56" s="1"/>
      <c r="CN56" s="1"/>
      <c r="CO56" s="1"/>
      <c r="CP56" s="1"/>
      <c r="CQ56" s="1"/>
      <c r="CR56" s="1"/>
      <c r="CS56" s="1"/>
      <c r="CT56" s="1"/>
      <c r="CU56" s="1"/>
      <c r="CV56" s="1"/>
      <c r="CW56" s="1"/>
    </row>
    <row x14ac:dyDescent="0.25" r="57" customHeight="1" ht="24">
      <c r="A57" s="568"/>
      <c r="B57" s="596"/>
      <c r="C57" s="596"/>
      <c r="D57" s="596"/>
      <c r="E57" s="169"/>
      <c r="F57" s="650"/>
      <c r="G57" s="414"/>
      <c r="H57" s="414"/>
      <c r="I57" s="414"/>
      <c r="J57" s="651"/>
      <c r="K57" s="414"/>
      <c r="L57" s="414"/>
      <c r="M57" s="414"/>
      <c r="N57" s="652"/>
      <c r="O57" s="652"/>
      <c r="P57" s="652"/>
      <c r="Q57" s="652"/>
      <c r="R57" s="652"/>
      <c r="S57" s="652"/>
      <c r="T57" s="653"/>
      <c r="U57" s="646"/>
      <c r="V57" s="646"/>
      <c r="W57" s="646"/>
      <c r="X57" s="648"/>
      <c r="Y57" s="568"/>
      <c r="Z57" s="1"/>
      <c r="AA57" s="1"/>
      <c r="AB57" s="1"/>
      <c r="AC57" s="1"/>
      <c r="AD57" s="1"/>
      <c r="AE57" s="1"/>
      <c r="AF57" s="1"/>
      <c r="AG57" s="1"/>
      <c r="AH57" s="1"/>
      <c r="AI57" s="1"/>
      <c r="AJ57" s="571"/>
      <c r="AK57" s="572"/>
      <c r="AL57" s="572"/>
      <c r="AM57" s="571"/>
      <c r="AN57" s="571"/>
      <c r="AO57" s="571"/>
      <c r="AP57" s="571"/>
      <c r="AQ57" s="571"/>
      <c r="AR57" s="571"/>
      <c r="AS57" s="571"/>
      <c r="AT57" s="571"/>
      <c r="AU57" s="571"/>
      <c r="AV57" s="571"/>
      <c r="AW57" s="571"/>
      <c r="AX57" s="571"/>
      <c r="AY57" s="571"/>
      <c r="AZ57" s="571"/>
      <c r="BA57" s="571"/>
      <c r="BB57" s="571"/>
      <c r="BC57" s="571"/>
      <c r="BD57" s="571"/>
      <c r="BE57" s="571"/>
      <c r="BF57" s="571"/>
      <c r="BG57" s="571"/>
      <c r="BH57" s="571"/>
      <c r="BI57" s="571"/>
      <c r="BJ57" s="571"/>
      <c r="BK57" s="571"/>
      <c r="BL57" s="571"/>
      <c r="BM57" s="571"/>
      <c r="BN57" s="571"/>
      <c r="BO57" s="571"/>
      <c r="BP57" s="571"/>
      <c r="BQ57" s="571"/>
      <c r="BR57" s="571"/>
      <c r="BS57" s="571"/>
      <c r="BT57" s="571"/>
      <c r="BU57" s="571"/>
      <c r="BV57" s="571"/>
      <c r="BW57" s="571"/>
      <c r="BX57" s="571"/>
      <c r="BY57" s="571"/>
      <c r="BZ57" s="571"/>
      <c r="CA57" s="571"/>
      <c r="CB57" s="571"/>
      <c r="CC57" s="571"/>
      <c r="CD57" s="571"/>
      <c r="CE57" s="571"/>
      <c r="CF57" s="571"/>
      <c r="CG57" s="571"/>
      <c r="CH57" s="571"/>
      <c r="CI57" s="571"/>
      <c r="CJ57" s="571"/>
      <c r="CK57" s="571"/>
      <c r="CL57" s="571"/>
      <c r="CM57" s="1"/>
      <c r="CN57" s="1"/>
      <c r="CO57" s="1"/>
      <c r="CP57" s="1"/>
      <c r="CQ57" s="1"/>
      <c r="CR57" s="1"/>
      <c r="CS57" s="1"/>
      <c r="CT57" s="1"/>
      <c r="CU57" s="1"/>
      <c r="CV57" s="1"/>
      <c r="CW57" s="1"/>
    </row>
    <row x14ac:dyDescent="0.25" r="58" customHeight="1" ht="9">
      <c r="A58" s="568"/>
      <c r="B58" s="596"/>
      <c r="C58" s="596"/>
      <c r="D58" s="596"/>
      <c r="E58" s="654"/>
      <c r="F58" s="650"/>
      <c r="G58" s="414"/>
      <c r="H58" s="414"/>
      <c r="I58" s="414"/>
      <c r="J58" s="651"/>
      <c r="K58" s="414"/>
      <c r="L58" s="414"/>
      <c r="M58" s="414"/>
      <c r="N58" s="652"/>
      <c r="O58" s="652"/>
      <c r="P58" s="652"/>
      <c r="Q58" s="652"/>
      <c r="R58" s="652"/>
      <c r="S58" s="652"/>
      <c r="T58" s="653"/>
      <c r="U58" s="646"/>
      <c r="V58" s="646"/>
      <c r="W58" s="646"/>
      <c r="X58" s="648"/>
      <c r="Y58" s="568"/>
      <c r="Z58" s="1"/>
      <c r="AA58" s="1"/>
      <c r="AB58" s="1"/>
      <c r="AC58" s="1"/>
      <c r="AD58" s="1"/>
      <c r="AE58" s="1"/>
      <c r="AF58" s="1"/>
      <c r="AG58" s="1"/>
      <c r="AH58" s="1"/>
      <c r="AI58" s="1"/>
      <c r="AJ58" s="571"/>
      <c r="AK58" s="572"/>
      <c r="AL58" s="572"/>
      <c r="AM58" s="571"/>
      <c r="AN58" s="571"/>
      <c r="AO58" s="571"/>
      <c r="AP58" s="571"/>
      <c r="AQ58" s="571"/>
      <c r="AR58" s="571"/>
      <c r="AS58" s="571"/>
      <c r="AT58" s="571"/>
      <c r="AU58" s="571"/>
      <c r="AV58" s="571"/>
      <c r="AW58" s="571"/>
      <c r="AX58" s="571"/>
      <c r="AY58" s="571"/>
      <c r="AZ58" s="571"/>
      <c r="BA58" s="571"/>
      <c r="BB58" s="571"/>
      <c r="BC58" s="571"/>
      <c r="BD58" s="571"/>
      <c r="BE58" s="571"/>
      <c r="BF58" s="571"/>
      <c r="BG58" s="571"/>
      <c r="BH58" s="571"/>
      <c r="BI58" s="571"/>
      <c r="BJ58" s="571"/>
      <c r="BK58" s="571"/>
      <c r="BL58" s="571"/>
      <c r="BM58" s="571"/>
      <c r="BN58" s="571"/>
      <c r="BO58" s="571"/>
      <c r="BP58" s="571"/>
      <c r="BQ58" s="571"/>
      <c r="BR58" s="571"/>
      <c r="BS58" s="571"/>
      <c r="BT58" s="571"/>
      <c r="BU58" s="571"/>
      <c r="BV58" s="571"/>
      <c r="BW58" s="571"/>
      <c r="BX58" s="571"/>
      <c r="BY58" s="571"/>
      <c r="BZ58" s="571"/>
      <c r="CA58" s="571"/>
      <c r="CB58" s="571"/>
      <c r="CC58" s="571"/>
      <c r="CD58" s="571"/>
      <c r="CE58" s="571"/>
      <c r="CF58" s="571"/>
      <c r="CG58" s="571"/>
      <c r="CH58" s="571"/>
      <c r="CI58" s="571"/>
      <c r="CJ58" s="571"/>
      <c r="CK58" s="571"/>
      <c r="CL58" s="571"/>
      <c r="CM58" s="1"/>
      <c r="CN58" s="1"/>
      <c r="CO58" s="1"/>
      <c r="CP58" s="1"/>
      <c r="CQ58" s="1"/>
      <c r="CR58" s="1"/>
      <c r="CS58" s="1"/>
      <c r="CT58" s="1"/>
      <c r="CU58" s="1"/>
      <c r="CV58" s="1"/>
      <c r="CW58" s="1"/>
    </row>
    <row x14ac:dyDescent="0.25" r="59" customHeight="1" ht="39">
      <c r="A59" s="568"/>
      <c r="B59" s="596"/>
      <c r="C59" s="596"/>
      <c r="D59" s="596"/>
      <c r="E59" s="655" t="s">
        <v>65</v>
      </c>
      <c r="F59" s="356"/>
      <c r="G59" s="139"/>
      <c r="H59" s="414"/>
      <c r="I59" s="414"/>
      <c r="J59" s="651"/>
      <c r="K59" s="414"/>
      <c r="L59" s="414"/>
      <c r="M59" s="414"/>
      <c r="N59" s="652"/>
      <c r="O59" s="652"/>
      <c r="P59" s="652"/>
      <c r="Q59" s="652"/>
      <c r="R59" s="652"/>
      <c r="S59" s="652"/>
      <c r="T59" s="653"/>
      <c r="U59" s="646"/>
      <c r="V59" s="646"/>
      <c r="W59" s="646"/>
      <c r="X59" s="648"/>
      <c r="Y59" s="568"/>
      <c r="Z59" s="1"/>
      <c r="AA59" s="1"/>
      <c r="AB59" s="1"/>
      <c r="AC59" s="1"/>
      <c r="AD59" s="1"/>
      <c r="AE59" s="1"/>
      <c r="AF59" s="1"/>
      <c r="AG59" s="1"/>
      <c r="AH59" s="1"/>
      <c r="AI59" s="1"/>
      <c r="AJ59" s="571"/>
      <c r="AK59" s="572"/>
      <c r="AL59" s="572"/>
      <c r="AM59" s="571"/>
      <c r="AN59" s="571"/>
      <c r="AO59" s="571"/>
      <c r="AP59" s="571"/>
      <c r="AQ59" s="571"/>
      <c r="AR59" s="571"/>
      <c r="AS59" s="571"/>
      <c r="AT59" s="571"/>
      <c r="AU59" s="571"/>
      <c r="AV59" s="571"/>
      <c r="AW59" s="571"/>
      <c r="AX59" s="571"/>
      <c r="AY59" s="571"/>
      <c r="AZ59" s="571"/>
      <c r="BA59" s="571"/>
      <c r="BB59" s="571"/>
      <c r="BC59" s="571"/>
      <c r="BD59" s="571"/>
      <c r="BE59" s="571"/>
      <c r="BF59" s="571"/>
      <c r="BG59" s="571"/>
      <c r="BH59" s="571"/>
      <c r="BI59" s="571"/>
      <c r="BJ59" s="571"/>
      <c r="BK59" s="571"/>
      <c r="BL59" s="571"/>
      <c r="BM59" s="571"/>
      <c r="BN59" s="571"/>
      <c r="BO59" s="571"/>
      <c r="BP59" s="571"/>
      <c r="BQ59" s="571"/>
      <c r="BR59" s="571"/>
      <c r="BS59" s="571"/>
      <c r="BT59" s="571"/>
      <c r="BU59" s="571"/>
      <c r="BV59" s="571"/>
      <c r="BW59" s="571"/>
      <c r="BX59" s="571"/>
      <c r="BY59" s="571"/>
      <c r="BZ59" s="571"/>
      <c r="CA59" s="571"/>
      <c r="CB59" s="571"/>
      <c r="CC59" s="571"/>
      <c r="CD59" s="571"/>
      <c r="CE59" s="571"/>
      <c r="CF59" s="571"/>
      <c r="CG59" s="571"/>
      <c r="CH59" s="571"/>
      <c r="CI59" s="571"/>
      <c r="CJ59" s="571"/>
      <c r="CK59" s="571"/>
      <c r="CL59" s="571"/>
      <c r="CM59" s="1"/>
      <c r="CN59" s="1"/>
      <c r="CO59" s="1"/>
      <c r="CP59" s="1"/>
      <c r="CQ59" s="1"/>
      <c r="CR59" s="1"/>
      <c r="CS59" s="1"/>
      <c r="CT59" s="1"/>
      <c r="CU59" s="1"/>
      <c r="CV59" s="1"/>
      <c r="CW59" s="1"/>
    </row>
    <row x14ac:dyDescent="0.25" r="60" customHeight="1" ht="14.25">
      <c r="A60" s="568"/>
      <c r="B60" s="596"/>
      <c r="C60" s="596"/>
      <c r="D60" s="596"/>
      <c r="E60" s="656" t="s">
        <v>222</v>
      </c>
      <c r="F60" s="356"/>
      <c r="G60" s="139"/>
      <c r="H60" s="414"/>
      <c r="I60" s="414"/>
      <c r="J60" s="651"/>
      <c r="K60" s="414"/>
      <c r="L60" s="414"/>
      <c r="M60" s="414"/>
      <c r="N60" s="652"/>
      <c r="O60" s="652"/>
      <c r="P60" s="652"/>
      <c r="Q60" s="652"/>
      <c r="R60" s="652"/>
      <c r="S60" s="652"/>
      <c r="T60" s="653"/>
      <c r="U60" s="646"/>
      <c r="V60" s="646"/>
      <c r="W60" s="646"/>
      <c r="X60" s="648"/>
      <c r="Y60" s="568"/>
      <c r="Z60" s="1"/>
      <c r="AA60" s="1"/>
      <c r="AB60" s="1"/>
      <c r="AC60" s="1"/>
      <c r="AD60" s="1"/>
      <c r="AE60" s="1"/>
      <c r="AF60" s="1"/>
      <c r="AG60" s="1"/>
      <c r="AH60" s="1"/>
      <c r="AI60" s="1"/>
      <c r="AJ60" s="571"/>
      <c r="AK60" s="572"/>
      <c r="AL60" s="572"/>
      <c r="AM60" s="571"/>
      <c r="AN60" s="571"/>
      <c r="AO60" s="571"/>
      <c r="AP60" s="571"/>
      <c r="AQ60" s="571"/>
      <c r="AR60" s="571"/>
      <c r="AS60" s="571"/>
      <c r="AT60" s="571"/>
      <c r="AU60" s="571"/>
      <c r="AV60" s="571"/>
      <c r="AW60" s="571"/>
      <c r="AX60" s="571"/>
      <c r="AY60" s="571"/>
      <c r="AZ60" s="571"/>
      <c r="BA60" s="571"/>
      <c r="BB60" s="571"/>
      <c r="BC60" s="571"/>
      <c r="BD60" s="571"/>
      <c r="BE60" s="571"/>
      <c r="BF60" s="571"/>
      <c r="BG60" s="571"/>
      <c r="BH60" s="571"/>
      <c r="BI60" s="571"/>
      <c r="BJ60" s="571"/>
      <c r="BK60" s="571"/>
      <c r="BL60" s="571"/>
      <c r="BM60" s="571"/>
      <c r="BN60" s="571"/>
      <c r="BO60" s="571"/>
      <c r="BP60" s="571"/>
      <c r="BQ60" s="571"/>
      <c r="BR60" s="571"/>
      <c r="BS60" s="571"/>
      <c r="BT60" s="571"/>
      <c r="BU60" s="571"/>
      <c r="BV60" s="571"/>
      <c r="BW60" s="571"/>
      <c r="BX60" s="571"/>
      <c r="BY60" s="571"/>
      <c r="BZ60" s="571"/>
      <c r="CA60" s="571"/>
      <c r="CB60" s="571"/>
      <c r="CC60" s="571"/>
      <c r="CD60" s="571"/>
      <c r="CE60" s="571"/>
      <c r="CF60" s="571"/>
      <c r="CG60" s="571"/>
      <c r="CH60" s="571"/>
      <c r="CI60" s="571"/>
      <c r="CJ60" s="571"/>
      <c r="CK60" s="571"/>
      <c r="CL60" s="571"/>
      <c r="CM60" s="1"/>
      <c r="CN60" s="1"/>
      <c r="CO60" s="1"/>
      <c r="CP60" s="1"/>
      <c r="CQ60" s="1"/>
      <c r="CR60" s="1"/>
      <c r="CS60" s="1"/>
      <c r="CT60" s="1"/>
      <c r="CU60" s="1"/>
      <c r="CV60" s="1"/>
      <c r="CW60" s="1"/>
    </row>
    <row x14ac:dyDescent="0.25" r="61" customHeight="1" ht="18.75">
      <c r="A61" s="568"/>
      <c r="B61" s="1"/>
      <c r="C61" s="1"/>
      <c r="D61" s="1"/>
      <c r="E61" s="657" t="s">
        <v>223</v>
      </c>
      <c r="F61" s="658"/>
      <c r="G61" s="1"/>
      <c r="H61" s="414"/>
      <c r="I61" s="414"/>
      <c r="J61" s="651"/>
      <c r="K61" s="414"/>
      <c r="L61" s="414"/>
      <c r="M61" s="414"/>
      <c r="N61" s="414"/>
      <c r="O61" s="414"/>
      <c r="P61" s="414"/>
      <c r="Q61" s="414"/>
      <c r="R61" s="414"/>
      <c r="S61" s="414"/>
      <c r="T61" s="650"/>
      <c r="U61" s="170"/>
      <c r="V61" s="170"/>
      <c r="W61" s="170"/>
      <c r="X61" s="587"/>
      <c r="Y61" s="171"/>
      <c r="Z61" s="1"/>
      <c r="AA61" s="1"/>
      <c r="AB61" s="1"/>
      <c r="AC61" s="1"/>
      <c r="AD61" s="1"/>
      <c r="AE61" s="1"/>
      <c r="AF61" s="1"/>
      <c r="AG61" s="1"/>
      <c r="AH61" s="1"/>
      <c r="AI61" s="1"/>
      <c r="AJ61" s="1"/>
      <c r="AK61" s="169"/>
      <c r="AL61" s="169"/>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row>
    <row x14ac:dyDescent="0.25" r="62" customHeight="1" ht="9.75">
      <c r="A62" s="568"/>
      <c r="B62" s="1"/>
      <c r="C62" s="1"/>
      <c r="D62" s="1"/>
      <c r="E62" s="659"/>
      <c r="F62" s="660"/>
      <c r="G62" s="568"/>
      <c r="H62" s="652"/>
      <c r="I62" s="652"/>
      <c r="J62" s="661"/>
      <c r="K62" s="652"/>
      <c r="L62" s="652"/>
      <c r="M62" s="652"/>
      <c r="N62" s="414"/>
      <c r="O62" s="414"/>
      <c r="P62" s="414"/>
      <c r="Q62" s="414"/>
      <c r="R62" s="414"/>
      <c r="S62" s="414"/>
      <c r="T62" s="650"/>
      <c r="U62" s="170"/>
      <c r="V62" s="170"/>
      <c r="W62" s="170"/>
      <c r="X62" s="587"/>
      <c r="Y62" s="171"/>
      <c r="Z62" s="1"/>
      <c r="AA62" s="1"/>
      <c r="AB62" s="1"/>
      <c r="AC62" s="1"/>
      <c r="AD62" s="1"/>
      <c r="AE62" s="1"/>
      <c r="AF62" s="1"/>
      <c r="AG62" s="1"/>
      <c r="AH62" s="1"/>
      <c r="AI62" s="1"/>
      <c r="AJ62" s="1"/>
      <c r="AK62" s="169"/>
      <c r="AL62" s="169"/>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row>
    <row x14ac:dyDescent="0.25" r="63" customHeight="1" ht="18.75">
      <c r="A63" s="568"/>
      <c r="B63" s="1"/>
      <c r="C63" s="1"/>
      <c r="D63" s="1"/>
      <c r="E63" s="662" t="s">
        <v>224</v>
      </c>
      <c r="F63" s="660"/>
      <c r="G63" s="568"/>
      <c r="H63" s="652"/>
      <c r="I63" s="652"/>
      <c r="J63" s="663"/>
      <c r="K63" s="664"/>
      <c r="L63" s="652"/>
      <c r="M63" s="652"/>
      <c r="N63" s="414"/>
      <c r="O63" s="414"/>
      <c r="P63" s="414"/>
      <c r="Q63" s="414"/>
      <c r="R63" s="414"/>
      <c r="S63" s="414"/>
      <c r="T63" s="650"/>
      <c r="U63" s="170"/>
      <c r="V63" s="170"/>
      <c r="W63" s="170"/>
      <c r="X63" s="587"/>
      <c r="Y63" s="171"/>
      <c r="Z63" s="1"/>
      <c r="AA63" s="1"/>
      <c r="AB63" s="1"/>
      <c r="AC63" s="1"/>
      <c r="AD63" s="1"/>
      <c r="AE63" s="1"/>
      <c r="AF63" s="1"/>
      <c r="AG63" s="1"/>
      <c r="AH63" s="1"/>
      <c r="AI63" s="1"/>
      <c r="AJ63" s="1"/>
      <c r="AK63" s="169"/>
      <c r="AL63" s="169"/>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row>
    <row x14ac:dyDescent="0.25" r="64" customHeight="1" ht="18.75">
      <c r="A64" s="568"/>
      <c r="B64" s="1"/>
      <c r="C64" s="1"/>
      <c r="D64" s="1"/>
      <c r="E64" s="665" t="s">
        <v>225</v>
      </c>
      <c r="F64" s="666" t="s">
        <v>226</v>
      </c>
      <c r="G64" s="244"/>
      <c r="H64" s="652"/>
      <c r="I64" s="652"/>
      <c r="J64" s="663"/>
      <c r="K64" s="664"/>
      <c r="L64" s="652"/>
      <c r="M64" s="652"/>
      <c r="N64" s="414"/>
      <c r="O64" s="414"/>
      <c r="P64" s="414"/>
      <c r="Q64" s="414"/>
      <c r="R64" s="414"/>
      <c r="S64" s="414"/>
      <c r="T64" s="650"/>
      <c r="U64" s="170"/>
      <c r="V64" s="170"/>
      <c r="W64" s="170"/>
      <c r="X64" s="587"/>
      <c r="Y64" s="171"/>
      <c r="Z64" s="1"/>
      <c r="AA64" s="1"/>
      <c r="AB64" s="1"/>
      <c r="AC64" s="1"/>
      <c r="AD64" s="1"/>
      <c r="AE64" s="1"/>
      <c r="AF64" s="1"/>
      <c r="AG64" s="1"/>
      <c r="AH64" s="1"/>
      <c r="AI64" s="1"/>
      <c r="AJ64" s="1"/>
      <c r="AK64" s="169"/>
      <c r="AL64" s="169"/>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row>
    <row x14ac:dyDescent="0.25" r="65" customHeight="1" ht="18.75">
      <c r="A65" s="568"/>
      <c r="B65" s="1"/>
      <c r="C65" s="1"/>
      <c r="D65" s="1"/>
      <c r="E65" s="665" t="s">
        <v>227</v>
      </c>
      <c r="F65" s="667"/>
      <c r="G65" s="668"/>
      <c r="H65" s="652"/>
      <c r="I65" s="652"/>
      <c r="J65" s="661"/>
      <c r="K65" s="652"/>
      <c r="L65" s="652"/>
      <c r="M65" s="652"/>
      <c r="N65" s="414"/>
      <c r="O65" s="414"/>
      <c r="P65" s="414"/>
      <c r="Q65" s="414"/>
      <c r="R65" s="414"/>
      <c r="S65" s="414"/>
      <c r="T65" s="650"/>
      <c r="U65" s="170"/>
      <c r="V65" s="170"/>
      <c r="W65" s="170"/>
      <c r="X65" s="587"/>
      <c r="Y65" s="171"/>
      <c r="Z65" s="1"/>
      <c r="AA65" s="1"/>
      <c r="AB65" s="1"/>
      <c r="AC65" s="1"/>
      <c r="AD65" s="1"/>
      <c r="AE65" s="1"/>
      <c r="AF65" s="1"/>
      <c r="AG65" s="1"/>
      <c r="AH65" s="1"/>
      <c r="AI65" s="1"/>
      <c r="AJ65" s="1"/>
      <c r="AK65" s="169"/>
      <c r="AL65" s="169"/>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row>
    <row x14ac:dyDescent="0.25" r="66" customHeight="1" ht="18.75">
      <c r="A66" s="568"/>
      <c r="B66" s="596"/>
      <c r="C66" s="596"/>
      <c r="D66" s="596"/>
      <c r="E66" s="665" t="s">
        <v>228</v>
      </c>
      <c r="F66" s="666"/>
      <c r="G66" s="244"/>
      <c r="H66" s="652"/>
      <c r="I66" s="652"/>
      <c r="J66" s="661"/>
      <c r="K66" s="652"/>
      <c r="L66" s="652"/>
      <c r="M66" s="652"/>
      <c r="N66" s="652"/>
      <c r="O66" s="652"/>
      <c r="P66" s="652"/>
      <c r="Q66" s="652"/>
      <c r="R66" s="652"/>
      <c r="S66" s="652"/>
      <c r="T66" s="653"/>
      <c r="U66" s="646"/>
      <c r="V66" s="646"/>
      <c r="W66" s="646"/>
      <c r="X66" s="648"/>
      <c r="Y66" s="568"/>
      <c r="Z66" s="1"/>
      <c r="AA66" s="1"/>
      <c r="AB66" s="1"/>
      <c r="AC66" s="1"/>
      <c r="AD66" s="1"/>
      <c r="AE66" s="1"/>
      <c r="AF66" s="1"/>
      <c r="AG66" s="1"/>
      <c r="AH66" s="1"/>
      <c r="AI66" s="1"/>
      <c r="AJ66" s="571"/>
      <c r="AK66" s="572"/>
      <c r="AL66" s="572"/>
      <c r="AM66" s="571"/>
      <c r="AN66" s="571"/>
      <c r="AO66" s="571"/>
      <c r="AP66" s="571"/>
      <c r="AQ66" s="571"/>
      <c r="AR66" s="571"/>
      <c r="AS66" s="571"/>
      <c r="AT66" s="571"/>
      <c r="AU66" s="571"/>
      <c r="AV66" s="571"/>
      <c r="AW66" s="571"/>
      <c r="AX66" s="571"/>
      <c r="AY66" s="571"/>
      <c r="AZ66" s="571"/>
      <c r="BA66" s="571"/>
      <c r="BB66" s="571"/>
      <c r="BC66" s="571"/>
      <c r="BD66" s="571"/>
      <c r="BE66" s="571"/>
      <c r="BF66" s="571"/>
      <c r="BG66" s="571"/>
      <c r="BH66" s="571"/>
      <c r="BI66" s="571"/>
      <c r="BJ66" s="571"/>
      <c r="BK66" s="571"/>
      <c r="BL66" s="571"/>
      <c r="BM66" s="571"/>
      <c r="BN66" s="571"/>
      <c r="BO66" s="571"/>
      <c r="BP66" s="571"/>
      <c r="BQ66" s="571"/>
      <c r="BR66" s="571"/>
      <c r="BS66" s="571"/>
      <c r="BT66" s="571"/>
      <c r="BU66" s="571"/>
      <c r="BV66" s="571"/>
      <c r="BW66" s="571"/>
      <c r="BX66" s="571"/>
      <c r="BY66" s="571"/>
      <c r="BZ66" s="571"/>
      <c r="CA66" s="571"/>
      <c r="CB66" s="571"/>
      <c r="CC66" s="571"/>
      <c r="CD66" s="571"/>
      <c r="CE66" s="571"/>
      <c r="CF66" s="571"/>
      <c r="CG66" s="571"/>
      <c r="CH66" s="571"/>
      <c r="CI66" s="571"/>
      <c r="CJ66" s="571"/>
      <c r="CK66" s="571"/>
      <c r="CL66" s="571"/>
      <c r="CM66" s="1"/>
      <c r="CN66" s="1"/>
      <c r="CO66" s="1"/>
      <c r="CP66" s="1"/>
      <c r="CQ66" s="1"/>
      <c r="CR66" s="1"/>
      <c r="CS66" s="1"/>
      <c r="CT66" s="1"/>
      <c r="CU66" s="1"/>
      <c r="CV66" s="1"/>
      <c r="CW66" s="1"/>
    </row>
    <row x14ac:dyDescent="0.25" r="67" customHeight="1" ht="18.75">
      <c r="A67" s="568"/>
      <c r="B67" s="568"/>
      <c r="C67" s="669"/>
      <c r="D67" s="669"/>
      <c r="E67" s="670"/>
      <c r="F67" s="666" t="s">
        <v>229</v>
      </c>
      <c r="G67" s="244"/>
      <c r="H67" s="652"/>
      <c r="I67" s="652"/>
      <c r="J67" s="661"/>
      <c r="K67" s="652"/>
      <c r="L67" s="652"/>
      <c r="M67" s="652"/>
      <c r="N67" s="652"/>
      <c r="O67" s="652"/>
      <c r="P67" s="652"/>
      <c r="Q67" s="652"/>
      <c r="R67" s="652"/>
      <c r="S67" s="652"/>
      <c r="T67" s="653"/>
      <c r="U67" s="646"/>
      <c r="V67" s="646"/>
      <c r="W67" s="647"/>
      <c r="X67" s="648"/>
      <c r="Y67" s="568"/>
      <c r="Z67" s="1"/>
      <c r="AA67" s="1"/>
      <c r="AB67" s="1"/>
      <c r="AC67" s="1"/>
      <c r="AD67" s="1"/>
      <c r="AE67" s="1"/>
      <c r="AF67" s="1"/>
      <c r="AG67" s="1"/>
      <c r="AH67" s="1"/>
      <c r="AI67" s="1"/>
      <c r="AJ67" s="571"/>
      <c r="AK67" s="572"/>
      <c r="AL67" s="572"/>
      <c r="AM67" s="571"/>
      <c r="AN67" s="571"/>
      <c r="AO67" s="571"/>
      <c r="AP67" s="571"/>
      <c r="AQ67" s="571"/>
      <c r="AR67" s="571"/>
      <c r="AS67" s="571"/>
      <c r="AT67" s="571"/>
      <c r="AU67" s="571"/>
      <c r="AV67" s="571"/>
      <c r="AW67" s="571"/>
      <c r="AX67" s="571"/>
      <c r="AY67" s="571"/>
      <c r="AZ67" s="571"/>
      <c r="BA67" s="571"/>
      <c r="BB67" s="571"/>
      <c r="BC67" s="571"/>
      <c r="BD67" s="571"/>
      <c r="BE67" s="571"/>
      <c r="BF67" s="571"/>
      <c r="BG67" s="571"/>
      <c r="BH67" s="571"/>
      <c r="BI67" s="571"/>
      <c r="BJ67" s="571"/>
      <c r="BK67" s="571"/>
      <c r="BL67" s="571"/>
      <c r="BM67" s="571"/>
      <c r="BN67" s="571"/>
      <c r="BO67" s="571"/>
      <c r="BP67" s="571"/>
      <c r="BQ67" s="571"/>
      <c r="BR67" s="571"/>
      <c r="BS67" s="571"/>
      <c r="BT67" s="571"/>
      <c r="BU67" s="571"/>
      <c r="BV67" s="571"/>
      <c r="BW67" s="571"/>
      <c r="BX67" s="571"/>
      <c r="BY67" s="571"/>
      <c r="BZ67" s="571"/>
      <c r="CA67" s="571"/>
      <c r="CB67" s="571"/>
      <c r="CC67" s="571"/>
      <c r="CD67" s="571"/>
      <c r="CE67" s="571"/>
      <c r="CF67" s="571"/>
      <c r="CG67" s="571"/>
      <c r="CH67" s="571"/>
      <c r="CI67" s="571"/>
      <c r="CJ67" s="571"/>
      <c r="CK67" s="571"/>
      <c r="CL67" s="571"/>
      <c r="CM67" s="1"/>
      <c r="CN67" s="1"/>
      <c r="CO67" s="1"/>
      <c r="CP67" s="1"/>
      <c r="CQ67" s="1"/>
      <c r="CR67" s="1"/>
      <c r="CS67" s="1"/>
      <c r="CT67" s="1"/>
      <c r="CU67" s="1"/>
      <c r="CV67" s="1"/>
      <c r="CW67" s="1"/>
    </row>
    <row x14ac:dyDescent="0.25" r="68" customHeight="1" ht="18.75">
      <c r="A68" s="568"/>
      <c r="B68" s="568"/>
      <c r="C68" s="669"/>
      <c r="D68" s="669"/>
      <c r="E68" s="670"/>
      <c r="F68" s="666" t="s">
        <v>230</v>
      </c>
      <c r="G68" s="244"/>
      <c r="H68" s="652"/>
      <c r="I68" s="652"/>
      <c r="J68" s="661"/>
      <c r="K68" s="652"/>
      <c r="L68" s="652"/>
      <c r="M68" s="652"/>
      <c r="N68" s="652"/>
      <c r="O68" s="652"/>
      <c r="P68" s="652"/>
      <c r="Q68" s="652"/>
      <c r="R68" s="652"/>
      <c r="S68" s="652"/>
      <c r="T68" s="653"/>
      <c r="U68" s="646"/>
      <c r="V68" s="646"/>
      <c r="W68" s="647"/>
      <c r="X68" s="648"/>
      <c r="Y68" s="568"/>
      <c r="Z68" s="1"/>
      <c r="AA68" s="1"/>
      <c r="AB68" s="1"/>
      <c r="AC68" s="1"/>
      <c r="AD68" s="1"/>
      <c r="AE68" s="1"/>
      <c r="AF68" s="1"/>
      <c r="AG68" s="1"/>
      <c r="AH68" s="1"/>
      <c r="AI68" s="1"/>
      <c r="AJ68" s="571"/>
      <c r="AK68" s="572"/>
      <c r="AL68" s="572"/>
      <c r="AM68" s="571"/>
      <c r="AN68" s="571"/>
      <c r="AO68" s="571"/>
      <c r="AP68" s="571"/>
      <c r="AQ68" s="571"/>
      <c r="AR68" s="571"/>
      <c r="AS68" s="571"/>
      <c r="AT68" s="571"/>
      <c r="AU68" s="571"/>
      <c r="AV68" s="571"/>
      <c r="AW68" s="571"/>
      <c r="AX68" s="571"/>
      <c r="AY68" s="571"/>
      <c r="AZ68" s="571"/>
      <c r="BA68" s="571"/>
      <c r="BB68" s="571"/>
      <c r="BC68" s="571"/>
      <c r="BD68" s="571"/>
      <c r="BE68" s="571"/>
      <c r="BF68" s="571"/>
      <c r="BG68" s="571"/>
      <c r="BH68" s="571"/>
      <c r="BI68" s="571"/>
      <c r="BJ68" s="571"/>
      <c r="BK68" s="571"/>
      <c r="BL68" s="571"/>
      <c r="BM68" s="571"/>
      <c r="BN68" s="571"/>
      <c r="BO68" s="571"/>
      <c r="BP68" s="571"/>
      <c r="BQ68" s="571"/>
      <c r="BR68" s="571"/>
      <c r="BS68" s="571"/>
      <c r="BT68" s="571"/>
      <c r="BU68" s="571"/>
      <c r="BV68" s="571"/>
      <c r="BW68" s="571"/>
      <c r="BX68" s="571"/>
      <c r="BY68" s="571"/>
      <c r="BZ68" s="571"/>
      <c r="CA68" s="571"/>
      <c r="CB68" s="571"/>
      <c r="CC68" s="571"/>
      <c r="CD68" s="571"/>
      <c r="CE68" s="571"/>
      <c r="CF68" s="571"/>
      <c r="CG68" s="571"/>
      <c r="CH68" s="571"/>
      <c r="CI68" s="571"/>
      <c r="CJ68" s="571"/>
      <c r="CK68" s="571"/>
      <c r="CL68" s="571"/>
      <c r="CM68" s="1"/>
      <c r="CN68" s="1"/>
      <c r="CO68" s="1"/>
      <c r="CP68" s="1"/>
      <c r="CQ68" s="1"/>
      <c r="CR68" s="1"/>
      <c r="CS68" s="1"/>
      <c r="CT68" s="1"/>
      <c r="CU68" s="1"/>
      <c r="CV68" s="1"/>
      <c r="CW68" s="1"/>
    </row>
    <row x14ac:dyDescent="0.25" r="69" customHeight="1" ht="18.75">
      <c r="A69" s="568"/>
      <c r="B69" s="671"/>
      <c r="C69" s="596"/>
      <c r="D69" s="596"/>
      <c r="E69" s="659"/>
      <c r="F69" s="660"/>
      <c r="G69" s="244"/>
      <c r="H69" s="652"/>
      <c r="I69" s="652"/>
      <c r="J69" s="661"/>
      <c r="K69" s="652"/>
      <c r="L69" s="652"/>
      <c r="M69" s="652"/>
      <c r="N69" s="652"/>
      <c r="O69" s="652"/>
      <c r="P69" s="652"/>
      <c r="Q69" s="652"/>
      <c r="R69" s="652"/>
      <c r="S69" s="652"/>
      <c r="T69" s="653"/>
      <c r="U69" s="646"/>
      <c r="V69" s="646"/>
      <c r="W69" s="647"/>
      <c r="X69" s="648"/>
      <c r="Y69" s="568"/>
      <c r="Z69" s="1"/>
      <c r="AA69" s="1"/>
      <c r="AB69" s="1"/>
      <c r="AC69" s="1"/>
      <c r="AD69" s="1"/>
      <c r="AE69" s="1"/>
      <c r="AF69" s="1"/>
      <c r="AG69" s="1"/>
      <c r="AH69" s="1"/>
      <c r="AI69" s="1"/>
      <c r="AJ69" s="571"/>
      <c r="AK69" s="572"/>
      <c r="AL69" s="572"/>
      <c r="AM69" s="571"/>
      <c r="AN69" s="571"/>
      <c r="AO69" s="571"/>
      <c r="AP69" s="571"/>
      <c r="AQ69" s="571"/>
      <c r="AR69" s="571"/>
      <c r="AS69" s="571"/>
      <c r="AT69" s="571"/>
      <c r="AU69" s="571"/>
      <c r="AV69" s="571"/>
      <c r="AW69" s="571"/>
      <c r="AX69" s="571"/>
      <c r="AY69" s="571"/>
      <c r="AZ69" s="571"/>
      <c r="BA69" s="571"/>
      <c r="BB69" s="571"/>
      <c r="BC69" s="571"/>
      <c r="BD69" s="571"/>
      <c r="BE69" s="571"/>
      <c r="BF69" s="571"/>
      <c r="BG69" s="571"/>
      <c r="BH69" s="571"/>
      <c r="BI69" s="571"/>
      <c r="BJ69" s="571"/>
      <c r="BK69" s="571"/>
      <c r="BL69" s="571"/>
      <c r="BM69" s="571"/>
      <c r="BN69" s="571"/>
      <c r="BO69" s="571"/>
      <c r="BP69" s="571"/>
      <c r="BQ69" s="571"/>
      <c r="BR69" s="571"/>
      <c r="BS69" s="571"/>
      <c r="BT69" s="571"/>
      <c r="BU69" s="571"/>
      <c r="BV69" s="571"/>
      <c r="BW69" s="571"/>
      <c r="BX69" s="571"/>
      <c r="BY69" s="571"/>
      <c r="BZ69" s="571"/>
      <c r="CA69" s="571"/>
      <c r="CB69" s="571"/>
      <c r="CC69" s="571"/>
      <c r="CD69" s="571"/>
      <c r="CE69" s="571"/>
      <c r="CF69" s="571"/>
      <c r="CG69" s="571"/>
      <c r="CH69" s="571"/>
      <c r="CI69" s="571"/>
      <c r="CJ69" s="571"/>
      <c r="CK69" s="571"/>
      <c r="CL69" s="571"/>
      <c r="CM69" s="1"/>
      <c r="CN69" s="1"/>
      <c r="CO69" s="1"/>
      <c r="CP69" s="1"/>
      <c r="CQ69" s="1"/>
      <c r="CR69" s="1"/>
      <c r="CS69" s="1"/>
      <c r="CT69" s="1"/>
      <c r="CU69" s="1"/>
      <c r="CV69" s="1"/>
      <c r="CW69" s="1"/>
    </row>
    <row x14ac:dyDescent="0.25" r="70" customHeight="1" ht="18.75">
      <c r="A70" s="568"/>
      <c r="B70" s="568"/>
      <c r="C70" s="596"/>
      <c r="D70" s="596"/>
      <c r="E70" s="662" t="s">
        <v>231</v>
      </c>
      <c r="F70" s="666"/>
      <c r="G70" s="244"/>
      <c r="H70" s="652"/>
      <c r="I70" s="652"/>
      <c r="J70" s="661"/>
      <c r="K70" s="652"/>
      <c r="L70" s="652"/>
      <c r="M70" s="652"/>
      <c r="N70" s="652"/>
      <c r="O70" s="652"/>
      <c r="P70" s="652"/>
      <c r="Q70" s="652"/>
      <c r="R70" s="652"/>
      <c r="S70" s="652"/>
      <c r="T70" s="653"/>
      <c r="U70" s="646"/>
      <c r="V70" s="646"/>
      <c r="W70" s="647"/>
      <c r="X70" s="648"/>
      <c r="Y70" s="568"/>
      <c r="Z70" s="1"/>
      <c r="AA70" s="1"/>
      <c r="AB70" s="1"/>
      <c r="AC70" s="1"/>
      <c r="AD70" s="1"/>
      <c r="AE70" s="1"/>
      <c r="AF70" s="1"/>
      <c r="AG70" s="1"/>
      <c r="AH70" s="1"/>
      <c r="AI70" s="1"/>
      <c r="AJ70" s="571"/>
      <c r="AK70" s="572"/>
      <c r="AL70" s="572"/>
      <c r="AM70" s="571"/>
      <c r="AN70" s="571"/>
      <c r="AO70" s="571"/>
      <c r="AP70" s="571"/>
      <c r="AQ70" s="571"/>
      <c r="AR70" s="571"/>
      <c r="AS70" s="571"/>
      <c r="AT70" s="571"/>
      <c r="AU70" s="571"/>
      <c r="AV70" s="571"/>
      <c r="AW70" s="571"/>
      <c r="AX70" s="571"/>
      <c r="AY70" s="571"/>
      <c r="AZ70" s="571"/>
      <c r="BA70" s="571"/>
      <c r="BB70" s="571"/>
      <c r="BC70" s="571"/>
      <c r="BD70" s="571"/>
      <c r="BE70" s="571"/>
      <c r="BF70" s="571"/>
      <c r="BG70" s="571"/>
      <c r="BH70" s="571"/>
      <c r="BI70" s="571"/>
      <c r="BJ70" s="571"/>
      <c r="BK70" s="571"/>
      <c r="BL70" s="571"/>
      <c r="BM70" s="571"/>
      <c r="BN70" s="571"/>
      <c r="BO70" s="571"/>
      <c r="BP70" s="571"/>
      <c r="BQ70" s="571"/>
      <c r="BR70" s="571"/>
      <c r="BS70" s="571"/>
      <c r="BT70" s="571"/>
      <c r="BU70" s="571"/>
      <c r="BV70" s="571"/>
      <c r="BW70" s="571"/>
      <c r="BX70" s="571"/>
      <c r="BY70" s="571"/>
      <c r="BZ70" s="571"/>
      <c r="CA70" s="571"/>
      <c r="CB70" s="571"/>
      <c r="CC70" s="571"/>
      <c r="CD70" s="571"/>
      <c r="CE70" s="571"/>
      <c r="CF70" s="571"/>
      <c r="CG70" s="571"/>
      <c r="CH70" s="571"/>
      <c r="CI70" s="571"/>
      <c r="CJ70" s="571"/>
      <c r="CK70" s="571"/>
      <c r="CL70" s="571"/>
      <c r="CM70" s="1"/>
      <c r="CN70" s="1"/>
      <c r="CO70" s="1"/>
      <c r="CP70" s="1"/>
      <c r="CQ70" s="1"/>
      <c r="CR70" s="1"/>
      <c r="CS70" s="1"/>
      <c r="CT70" s="1"/>
      <c r="CU70" s="1"/>
      <c r="CV70" s="1"/>
      <c r="CW70" s="1"/>
    </row>
    <row x14ac:dyDescent="0.25" r="71" customHeight="1" ht="18.75">
      <c r="A71" s="568"/>
      <c r="B71" s="568"/>
      <c r="C71" s="596"/>
      <c r="D71" s="596"/>
      <c r="E71" s="670" t="s">
        <v>232</v>
      </c>
      <c r="F71" s="487">
        <f>+T16+T24+T40+T53</f>
      </c>
      <c r="G71" s="1"/>
      <c r="H71" s="652"/>
      <c r="I71" s="652"/>
      <c r="J71" s="661"/>
      <c r="K71" s="652"/>
      <c r="L71" s="652"/>
      <c r="M71" s="652"/>
      <c r="N71" s="652"/>
      <c r="O71" s="652"/>
      <c r="P71" s="652"/>
      <c r="Q71" s="652"/>
      <c r="R71" s="652"/>
      <c r="S71" s="652"/>
      <c r="T71" s="653"/>
      <c r="U71" s="646"/>
      <c r="V71" s="646"/>
      <c r="W71" s="647"/>
      <c r="X71" s="648"/>
      <c r="Y71" s="568"/>
      <c r="Z71" s="1"/>
      <c r="AA71" s="1"/>
      <c r="AB71" s="1"/>
      <c r="AC71" s="1"/>
      <c r="AD71" s="1"/>
      <c r="AE71" s="1"/>
      <c r="AF71" s="1"/>
      <c r="AG71" s="1"/>
      <c r="AH71" s="1"/>
      <c r="AI71" s="1"/>
      <c r="AJ71" s="571"/>
      <c r="AK71" s="572"/>
      <c r="AL71" s="572"/>
      <c r="AM71" s="571"/>
      <c r="AN71" s="571"/>
      <c r="AO71" s="571"/>
      <c r="AP71" s="571"/>
      <c r="AQ71" s="571"/>
      <c r="AR71" s="571"/>
      <c r="AS71" s="571"/>
      <c r="AT71" s="571"/>
      <c r="AU71" s="571"/>
      <c r="AV71" s="571"/>
      <c r="AW71" s="571"/>
      <c r="AX71" s="571"/>
      <c r="AY71" s="571"/>
      <c r="AZ71" s="571"/>
      <c r="BA71" s="571"/>
      <c r="BB71" s="571"/>
      <c r="BC71" s="571"/>
      <c r="BD71" s="571"/>
      <c r="BE71" s="571"/>
      <c r="BF71" s="571"/>
      <c r="BG71" s="571"/>
      <c r="BH71" s="571"/>
      <c r="BI71" s="571"/>
      <c r="BJ71" s="571"/>
      <c r="BK71" s="571"/>
      <c r="BL71" s="571"/>
      <c r="BM71" s="571"/>
      <c r="BN71" s="571"/>
      <c r="BO71" s="571"/>
      <c r="BP71" s="571"/>
      <c r="BQ71" s="571"/>
      <c r="BR71" s="571"/>
      <c r="BS71" s="571"/>
      <c r="BT71" s="571"/>
      <c r="BU71" s="571"/>
      <c r="BV71" s="571"/>
      <c r="BW71" s="571"/>
      <c r="BX71" s="571"/>
      <c r="BY71" s="571"/>
      <c r="BZ71" s="571"/>
      <c r="CA71" s="571"/>
      <c r="CB71" s="571"/>
      <c r="CC71" s="571"/>
      <c r="CD71" s="571"/>
      <c r="CE71" s="571"/>
      <c r="CF71" s="571"/>
      <c r="CG71" s="571"/>
      <c r="CH71" s="571"/>
      <c r="CI71" s="571"/>
      <c r="CJ71" s="571"/>
      <c r="CK71" s="571"/>
      <c r="CL71" s="571"/>
      <c r="CM71" s="1"/>
      <c r="CN71" s="1"/>
      <c r="CO71" s="1"/>
      <c r="CP71" s="1"/>
      <c r="CQ71" s="1"/>
      <c r="CR71" s="1"/>
      <c r="CS71" s="1"/>
      <c r="CT71" s="1"/>
      <c r="CU71" s="1"/>
      <c r="CV71" s="1"/>
      <c r="CW71" s="1"/>
    </row>
    <row x14ac:dyDescent="0.25" r="72" customHeight="1" ht="18.75">
      <c r="A72" s="568"/>
      <c r="B72" s="568"/>
      <c r="C72" s="596"/>
      <c r="D72" s="596"/>
      <c r="E72" s="670" t="s">
        <v>233</v>
      </c>
      <c r="F72" s="672">
        <f>MAX(100%-F71,0)</f>
      </c>
      <c r="G72" s="1"/>
      <c r="H72" s="652"/>
      <c r="I72" s="652"/>
      <c r="J72" s="661"/>
      <c r="K72" s="652"/>
      <c r="L72" s="652"/>
      <c r="M72" s="652"/>
      <c r="N72" s="652"/>
      <c r="O72" s="652"/>
      <c r="P72" s="652"/>
      <c r="Q72" s="652"/>
      <c r="R72" s="652"/>
      <c r="S72" s="652"/>
      <c r="T72" s="653"/>
      <c r="U72" s="646"/>
      <c r="V72" s="646"/>
      <c r="W72" s="647"/>
      <c r="X72" s="648"/>
      <c r="Y72" s="568"/>
      <c r="Z72" s="1"/>
      <c r="AA72" s="1"/>
      <c r="AB72" s="1"/>
      <c r="AC72" s="1"/>
      <c r="AD72" s="1"/>
      <c r="AE72" s="1"/>
      <c r="AF72" s="1"/>
      <c r="AG72" s="1"/>
      <c r="AH72" s="1"/>
      <c r="AI72" s="1"/>
      <c r="AJ72" s="571"/>
      <c r="AK72" s="572"/>
      <c r="AL72" s="572"/>
      <c r="AM72" s="571"/>
      <c r="AN72" s="571"/>
      <c r="AO72" s="571"/>
      <c r="AP72" s="571"/>
      <c r="AQ72" s="571"/>
      <c r="AR72" s="571"/>
      <c r="AS72" s="571"/>
      <c r="AT72" s="571"/>
      <c r="AU72" s="571"/>
      <c r="AV72" s="571"/>
      <c r="AW72" s="571"/>
      <c r="AX72" s="571"/>
      <c r="AY72" s="571"/>
      <c r="AZ72" s="571"/>
      <c r="BA72" s="571"/>
      <c r="BB72" s="571"/>
      <c r="BC72" s="571"/>
      <c r="BD72" s="571"/>
      <c r="BE72" s="571"/>
      <c r="BF72" s="571"/>
      <c r="BG72" s="571"/>
      <c r="BH72" s="571"/>
      <c r="BI72" s="571"/>
      <c r="BJ72" s="571"/>
      <c r="BK72" s="571"/>
      <c r="BL72" s="571"/>
      <c r="BM72" s="571"/>
      <c r="BN72" s="571"/>
      <c r="BO72" s="571"/>
      <c r="BP72" s="571"/>
      <c r="BQ72" s="571"/>
      <c r="BR72" s="571"/>
      <c r="BS72" s="571"/>
      <c r="BT72" s="571"/>
      <c r="BU72" s="571"/>
      <c r="BV72" s="571"/>
      <c r="BW72" s="571"/>
      <c r="BX72" s="571"/>
      <c r="BY72" s="571"/>
      <c r="BZ72" s="571"/>
      <c r="CA72" s="571"/>
      <c r="CB72" s="571"/>
      <c r="CC72" s="571"/>
      <c r="CD72" s="571"/>
      <c r="CE72" s="571"/>
      <c r="CF72" s="571"/>
      <c r="CG72" s="571"/>
      <c r="CH72" s="571"/>
      <c r="CI72" s="571"/>
      <c r="CJ72" s="571"/>
      <c r="CK72" s="571"/>
      <c r="CL72" s="571"/>
      <c r="CM72" s="1"/>
      <c r="CN72" s="1"/>
      <c r="CO72" s="1"/>
      <c r="CP72" s="1"/>
      <c r="CQ72" s="1"/>
      <c r="CR72" s="1"/>
      <c r="CS72" s="1"/>
      <c r="CT72" s="1"/>
      <c r="CU72" s="1"/>
      <c r="CV72" s="1"/>
      <c r="CW72" s="1"/>
    </row>
    <row x14ac:dyDescent="0.25" r="73" customHeight="1" ht="18.75">
      <c r="A73" s="1"/>
      <c r="B73" s="568"/>
      <c r="C73" s="596"/>
      <c r="D73" s="596"/>
      <c r="E73" s="169"/>
      <c r="F73" s="569"/>
      <c r="G73" s="1"/>
      <c r="H73" s="652"/>
      <c r="I73" s="652"/>
      <c r="J73" s="661"/>
      <c r="K73" s="652"/>
      <c r="L73" s="652"/>
      <c r="M73" s="652"/>
      <c r="N73" s="652"/>
      <c r="O73" s="652"/>
      <c r="P73" s="652"/>
      <c r="Q73" s="652"/>
      <c r="R73" s="652"/>
      <c r="S73" s="652"/>
      <c r="T73" s="653"/>
      <c r="U73" s="673"/>
      <c r="V73" s="646"/>
      <c r="W73" s="646"/>
      <c r="X73" s="644"/>
      <c r="Y73" s="568"/>
      <c r="Z73" s="1"/>
      <c r="AA73" s="1"/>
      <c r="AB73" s="1"/>
      <c r="AC73" s="1"/>
      <c r="AD73" s="1"/>
      <c r="AE73" s="1"/>
      <c r="AF73" s="1"/>
      <c r="AG73" s="1"/>
      <c r="AH73" s="1"/>
      <c r="AI73" s="1"/>
      <c r="AJ73" s="571"/>
      <c r="AK73" s="572"/>
      <c r="AL73" s="572"/>
      <c r="AM73" s="571"/>
      <c r="AN73" s="571"/>
      <c r="AO73" s="571"/>
      <c r="AP73" s="571"/>
      <c r="AQ73" s="571"/>
      <c r="AR73" s="571"/>
      <c r="AS73" s="571"/>
      <c r="AT73" s="571"/>
      <c r="AU73" s="571"/>
      <c r="AV73" s="571"/>
      <c r="AW73" s="571"/>
      <c r="AX73" s="571"/>
      <c r="AY73" s="571"/>
      <c r="AZ73" s="571"/>
      <c r="BA73" s="571"/>
      <c r="BB73" s="571"/>
      <c r="BC73" s="571"/>
      <c r="BD73" s="571"/>
      <c r="BE73" s="571"/>
      <c r="BF73" s="571"/>
      <c r="BG73" s="571"/>
      <c r="BH73" s="571"/>
      <c r="BI73" s="571"/>
      <c r="BJ73" s="571"/>
      <c r="BK73" s="571"/>
      <c r="BL73" s="571"/>
      <c r="BM73" s="571"/>
      <c r="BN73" s="571"/>
      <c r="BO73" s="571"/>
      <c r="BP73" s="571"/>
      <c r="BQ73" s="571"/>
      <c r="BR73" s="571"/>
      <c r="BS73" s="571"/>
      <c r="BT73" s="571"/>
      <c r="BU73" s="571"/>
      <c r="BV73" s="571"/>
      <c r="BW73" s="571"/>
      <c r="BX73" s="571"/>
      <c r="BY73" s="571"/>
      <c r="BZ73" s="571"/>
      <c r="CA73" s="571"/>
      <c r="CB73" s="571"/>
      <c r="CC73" s="571"/>
      <c r="CD73" s="571"/>
      <c r="CE73" s="571"/>
      <c r="CF73" s="571"/>
      <c r="CG73" s="571"/>
      <c r="CH73" s="571"/>
      <c r="CI73" s="571"/>
      <c r="CJ73" s="571"/>
      <c r="CK73" s="571"/>
      <c r="CL73" s="571"/>
      <c r="CM73" s="1"/>
      <c r="CN73" s="1"/>
      <c r="CO73" s="1"/>
      <c r="CP73" s="1"/>
      <c r="CQ73" s="1"/>
      <c r="CR73" s="1"/>
      <c r="CS73" s="1"/>
      <c r="CT73" s="1"/>
      <c r="CU73" s="1"/>
      <c r="CV73" s="1"/>
      <c r="CW73" s="1"/>
    </row>
    <row x14ac:dyDescent="0.25" r="74" customHeight="1" ht="18.75">
      <c r="A74" s="1"/>
      <c r="B74" s="1"/>
      <c r="C74" s="596"/>
      <c r="D74" s="1"/>
      <c r="E74" s="670" t="s">
        <v>234</v>
      </c>
      <c r="F74" s="487">
        <f>+F113+'Simulador - 1º Pilar'!$G$51</f>
      </c>
      <c r="G74" s="1"/>
      <c r="H74" s="652"/>
      <c r="I74" s="652"/>
      <c r="J74" s="661"/>
      <c r="K74" s="652"/>
      <c r="L74" s="652"/>
      <c r="M74" s="652"/>
      <c r="N74" s="674"/>
      <c r="O74" s="674"/>
      <c r="P74" s="674"/>
      <c r="Q74" s="674"/>
      <c r="R74" s="674"/>
      <c r="S74" s="674"/>
      <c r="T74" s="675"/>
      <c r="U74" s="676"/>
      <c r="V74" s="646"/>
      <c r="W74" s="646"/>
      <c r="X74" s="644"/>
      <c r="Y74" s="568"/>
      <c r="Z74" s="1"/>
      <c r="AA74" s="1"/>
      <c r="AB74" s="1"/>
      <c r="AC74" s="1"/>
      <c r="AD74" s="1"/>
      <c r="AE74" s="1"/>
      <c r="AF74" s="1"/>
      <c r="AG74" s="1"/>
      <c r="AH74" s="1"/>
      <c r="AI74" s="1"/>
      <c r="AJ74" s="571"/>
      <c r="AK74" s="572"/>
      <c r="AL74" s="572"/>
      <c r="AM74" s="571"/>
      <c r="AN74" s="571"/>
      <c r="AO74" s="571"/>
      <c r="AP74" s="571"/>
      <c r="AQ74" s="571"/>
      <c r="AR74" s="571"/>
      <c r="AS74" s="571"/>
      <c r="AT74" s="571"/>
      <c r="AU74" s="571"/>
      <c r="AV74" s="571"/>
      <c r="AW74" s="571"/>
      <c r="AX74" s="571"/>
      <c r="AY74" s="571"/>
      <c r="AZ74" s="571"/>
      <c r="BA74" s="571"/>
      <c r="BB74" s="571"/>
      <c r="BC74" s="571"/>
      <c r="BD74" s="571"/>
      <c r="BE74" s="571"/>
      <c r="BF74" s="571"/>
      <c r="BG74" s="571"/>
      <c r="BH74" s="571"/>
      <c r="BI74" s="571"/>
      <c r="BJ74" s="571"/>
      <c r="BK74" s="571"/>
      <c r="BL74" s="571"/>
      <c r="BM74" s="571"/>
      <c r="BN74" s="571"/>
      <c r="BO74" s="571"/>
      <c r="BP74" s="571"/>
      <c r="BQ74" s="571"/>
      <c r="BR74" s="571"/>
      <c r="BS74" s="571"/>
      <c r="BT74" s="571"/>
      <c r="BU74" s="571"/>
      <c r="BV74" s="571"/>
      <c r="BW74" s="571"/>
      <c r="BX74" s="571"/>
      <c r="BY74" s="571"/>
      <c r="BZ74" s="571"/>
      <c r="CA74" s="571"/>
      <c r="CB74" s="571"/>
      <c r="CC74" s="571"/>
      <c r="CD74" s="571"/>
      <c r="CE74" s="571"/>
      <c r="CF74" s="571"/>
      <c r="CG74" s="571"/>
      <c r="CH74" s="571"/>
      <c r="CI74" s="571"/>
      <c r="CJ74" s="571"/>
      <c r="CK74" s="571"/>
      <c r="CL74" s="571"/>
      <c r="CM74" s="1"/>
      <c r="CN74" s="1"/>
      <c r="CO74" s="1"/>
      <c r="CP74" s="1"/>
      <c r="CQ74" s="1"/>
      <c r="CR74" s="1"/>
      <c r="CS74" s="1"/>
      <c r="CT74" s="1"/>
      <c r="CU74" s="1"/>
      <c r="CV74" s="1"/>
      <c r="CW74" s="1"/>
    </row>
    <row x14ac:dyDescent="0.25" r="75" customHeight="1" ht="14.65">
      <c r="A75" s="1"/>
      <c r="B75" s="1"/>
      <c r="C75" s="596"/>
      <c r="D75" s="1"/>
      <c r="E75" s="670" t="s">
        <v>235</v>
      </c>
      <c r="F75" s="672">
        <f>MAX(100%-F74,0)</f>
      </c>
      <c r="G75" s="1"/>
      <c r="H75" s="652"/>
      <c r="I75" s="652"/>
      <c r="J75" s="661"/>
      <c r="K75" s="652"/>
      <c r="L75" s="652"/>
      <c r="M75" s="652"/>
      <c r="N75" s="652"/>
      <c r="O75" s="652"/>
      <c r="P75" s="652"/>
      <c r="Q75" s="652"/>
      <c r="R75" s="652"/>
      <c r="S75" s="652"/>
      <c r="T75" s="653"/>
      <c r="U75" s="646"/>
      <c r="V75" s="646"/>
      <c r="W75" s="170"/>
      <c r="X75" s="169"/>
      <c r="Y75" s="1"/>
      <c r="Z75" s="1"/>
      <c r="AA75" s="1"/>
      <c r="AB75" s="1"/>
      <c r="AC75" s="1"/>
      <c r="AD75" s="1"/>
      <c r="AE75" s="1"/>
      <c r="AF75" s="1"/>
      <c r="AG75" s="1"/>
      <c r="AH75" s="1"/>
      <c r="AI75" s="1"/>
      <c r="AJ75" s="571"/>
      <c r="AK75" s="169"/>
      <c r="AL75" s="169"/>
      <c r="AM75" s="1"/>
      <c r="AN75" s="571"/>
      <c r="AO75" s="571"/>
      <c r="AP75" s="571"/>
      <c r="AQ75" s="571"/>
      <c r="AR75" s="571"/>
      <c r="AS75" s="571"/>
      <c r="AT75" s="571"/>
      <c r="AU75" s="571"/>
      <c r="AV75" s="571"/>
      <c r="AW75" s="571"/>
      <c r="AX75" s="571"/>
      <c r="AY75" s="571"/>
      <c r="AZ75" s="571"/>
      <c r="BA75" s="571"/>
      <c r="BB75" s="571"/>
      <c r="BC75" s="571"/>
      <c r="BD75" s="571"/>
      <c r="BE75" s="571"/>
      <c r="BF75" s="571"/>
      <c r="BG75" s="571"/>
      <c r="BH75" s="571"/>
      <c r="BI75" s="571"/>
      <c r="BJ75" s="571"/>
      <c r="BK75" s="571"/>
      <c r="BL75" s="571"/>
      <c r="BM75" s="571"/>
      <c r="BN75" s="571"/>
      <c r="BO75" s="571"/>
      <c r="BP75" s="571"/>
      <c r="BQ75" s="571"/>
      <c r="BR75" s="571"/>
      <c r="BS75" s="571"/>
      <c r="BT75" s="571"/>
      <c r="BU75" s="571"/>
      <c r="BV75" s="571"/>
      <c r="BW75" s="571"/>
      <c r="BX75" s="571"/>
      <c r="BY75" s="571"/>
      <c r="BZ75" s="571"/>
      <c r="CA75" s="571"/>
      <c r="CB75" s="571"/>
      <c r="CC75" s="571"/>
      <c r="CD75" s="571"/>
      <c r="CE75" s="571"/>
      <c r="CF75" s="571"/>
      <c r="CG75" s="571"/>
      <c r="CH75" s="571"/>
      <c r="CI75" s="571"/>
      <c r="CJ75" s="571"/>
      <c r="CK75" s="571"/>
      <c r="CL75" s="571"/>
      <c r="CM75" s="1"/>
      <c r="CN75" s="1"/>
      <c r="CO75" s="1"/>
      <c r="CP75" s="1"/>
      <c r="CQ75" s="1"/>
      <c r="CR75" s="1"/>
      <c r="CS75" s="1"/>
      <c r="CT75" s="1"/>
      <c r="CU75" s="1"/>
      <c r="CV75" s="1"/>
      <c r="CW75" s="1"/>
    </row>
    <row x14ac:dyDescent="0.25" r="76" customHeight="1" ht="18.75">
      <c r="A76" s="1"/>
      <c r="B76" s="1"/>
      <c r="C76" s="596"/>
      <c r="D76" s="596"/>
      <c r="E76" s="169"/>
      <c r="F76" s="569"/>
      <c r="G76" s="1"/>
      <c r="H76" s="652"/>
      <c r="I76" s="652"/>
      <c r="J76" s="661"/>
      <c r="K76" s="652"/>
      <c r="L76" s="652"/>
      <c r="M76" s="652"/>
      <c r="N76" s="652"/>
      <c r="O76" s="652"/>
      <c r="P76" s="652"/>
      <c r="Q76" s="652"/>
      <c r="R76" s="652"/>
      <c r="S76" s="652"/>
      <c r="T76" s="653"/>
      <c r="U76" s="646"/>
      <c r="V76" s="646"/>
      <c r="W76" s="170"/>
      <c r="X76" s="169"/>
      <c r="Y76" s="1"/>
      <c r="Z76" s="1"/>
      <c r="AA76" s="1"/>
      <c r="AB76" s="1"/>
      <c r="AC76" s="1"/>
      <c r="AD76" s="1"/>
      <c r="AE76" s="1"/>
      <c r="AF76" s="1"/>
      <c r="AG76" s="1"/>
      <c r="AH76" s="1"/>
      <c r="AI76" s="1"/>
      <c r="AJ76" s="571"/>
      <c r="AK76" s="169"/>
      <c r="AL76" s="169"/>
      <c r="AM76" s="1"/>
      <c r="AN76" s="571"/>
      <c r="AO76" s="571"/>
      <c r="AP76" s="571"/>
      <c r="AQ76" s="571"/>
      <c r="AR76" s="571"/>
      <c r="AS76" s="571"/>
      <c r="AT76" s="571"/>
      <c r="AU76" s="571"/>
      <c r="AV76" s="571"/>
      <c r="AW76" s="571"/>
      <c r="AX76" s="571"/>
      <c r="AY76" s="571"/>
      <c r="AZ76" s="571"/>
      <c r="BA76" s="571"/>
      <c r="BB76" s="571"/>
      <c r="BC76" s="571"/>
      <c r="BD76" s="571"/>
      <c r="BE76" s="571"/>
      <c r="BF76" s="571"/>
      <c r="BG76" s="571"/>
      <c r="BH76" s="571"/>
      <c r="BI76" s="571"/>
      <c r="BJ76" s="571"/>
      <c r="BK76" s="571"/>
      <c r="BL76" s="571"/>
      <c r="BM76" s="571"/>
      <c r="BN76" s="571"/>
      <c r="BO76" s="571"/>
      <c r="BP76" s="571"/>
      <c r="BQ76" s="571"/>
      <c r="BR76" s="571"/>
      <c r="BS76" s="571"/>
      <c r="BT76" s="571"/>
      <c r="BU76" s="571"/>
      <c r="BV76" s="571"/>
      <c r="BW76" s="571"/>
      <c r="BX76" s="571"/>
      <c r="BY76" s="571"/>
      <c r="BZ76" s="571"/>
      <c r="CA76" s="571"/>
      <c r="CB76" s="571"/>
      <c r="CC76" s="571"/>
      <c r="CD76" s="571"/>
      <c r="CE76" s="571"/>
      <c r="CF76" s="571"/>
      <c r="CG76" s="571"/>
      <c r="CH76" s="571"/>
      <c r="CI76" s="571"/>
      <c r="CJ76" s="571"/>
      <c r="CK76" s="571"/>
      <c r="CL76" s="571"/>
      <c r="CM76" s="1"/>
      <c r="CN76" s="1"/>
      <c r="CO76" s="1"/>
      <c r="CP76" s="1"/>
      <c r="CQ76" s="1"/>
      <c r="CR76" s="1"/>
      <c r="CS76" s="1"/>
      <c r="CT76" s="1"/>
      <c r="CU76" s="1"/>
      <c r="CV76" s="1"/>
      <c r="CW76" s="1"/>
    </row>
    <row x14ac:dyDescent="0.25" r="77" customHeight="1" ht="33.6">
      <c r="A77" s="1"/>
      <c r="B77" s="1"/>
      <c r="C77" s="596"/>
      <c r="D77" s="596"/>
      <c r="E77" s="677" t="s">
        <v>111</v>
      </c>
      <c r="F77" s="678"/>
      <c r="G77" s="679"/>
      <c r="H77" s="680"/>
      <c r="I77" s="652"/>
      <c r="J77" s="661"/>
      <c r="K77" s="652"/>
      <c r="L77" s="652"/>
      <c r="M77" s="652"/>
      <c r="N77" s="652"/>
      <c r="O77" s="652"/>
      <c r="P77" s="652"/>
      <c r="Q77" s="652"/>
      <c r="R77" s="652"/>
      <c r="S77" s="652"/>
      <c r="T77" s="653"/>
      <c r="U77" s="646"/>
      <c r="V77" s="646"/>
      <c r="W77" s="170"/>
      <c r="X77" s="169"/>
      <c r="Y77" s="1"/>
      <c r="Z77" s="1"/>
      <c r="AA77" s="1"/>
      <c r="AB77" s="1"/>
      <c r="AC77" s="1"/>
      <c r="AD77" s="1"/>
      <c r="AE77" s="1"/>
      <c r="AF77" s="1"/>
      <c r="AG77" s="1"/>
      <c r="AH77" s="1"/>
      <c r="AI77" s="1"/>
      <c r="AJ77" s="571"/>
      <c r="AK77" s="169"/>
      <c r="AL77" s="169"/>
      <c r="AM77" s="1"/>
      <c r="AN77" s="571"/>
      <c r="AO77" s="571"/>
      <c r="AP77" s="571"/>
      <c r="AQ77" s="571"/>
      <c r="AR77" s="571"/>
      <c r="AS77" s="571"/>
      <c r="AT77" s="571"/>
      <c r="AU77" s="571"/>
      <c r="AV77" s="571"/>
      <c r="AW77" s="571"/>
      <c r="AX77" s="571"/>
      <c r="AY77" s="571"/>
      <c r="AZ77" s="571"/>
      <c r="BA77" s="571"/>
      <c r="BB77" s="571"/>
      <c r="BC77" s="571"/>
      <c r="BD77" s="571"/>
      <c r="BE77" s="571"/>
      <c r="BF77" s="571"/>
      <c r="BG77" s="571"/>
      <c r="BH77" s="571"/>
      <c r="BI77" s="571"/>
      <c r="BJ77" s="571"/>
      <c r="BK77" s="571"/>
      <c r="BL77" s="571"/>
      <c r="BM77" s="571"/>
      <c r="BN77" s="571"/>
      <c r="BO77" s="571"/>
      <c r="BP77" s="571"/>
      <c r="BQ77" s="571"/>
      <c r="BR77" s="571"/>
      <c r="BS77" s="571"/>
      <c r="BT77" s="571"/>
      <c r="BU77" s="571"/>
      <c r="BV77" s="571"/>
      <c r="BW77" s="571"/>
      <c r="BX77" s="571"/>
      <c r="BY77" s="571"/>
      <c r="BZ77" s="571"/>
      <c r="CA77" s="571"/>
      <c r="CB77" s="571"/>
      <c r="CC77" s="571"/>
      <c r="CD77" s="571"/>
      <c r="CE77" s="571"/>
      <c r="CF77" s="571"/>
      <c r="CG77" s="571"/>
      <c r="CH77" s="571"/>
      <c r="CI77" s="571"/>
      <c r="CJ77" s="571"/>
      <c r="CK77" s="571"/>
      <c r="CL77" s="571"/>
      <c r="CM77" s="1"/>
      <c r="CN77" s="1"/>
      <c r="CO77" s="1"/>
      <c r="CP77" s="1"/>
      <c r="CQ77" s="1"/>
      <c r="CR77" s="1"/>
      <c r="CS77" s="1"/>
      <c r="CT77" s="1"/>
      <c r="CU77" s="1"/>
      <c r="CV77" s="1"/>
      <c r="CW77" s="1"/>
    </row>
    <row x14ac:dyDescent="0.25" r="78" customHeight="1" ht="18.75">
      <c r="A78" s="1"/>
      <c r="B78" s="1"/>
      <c r="C78" s="596"/>
      <c r="D78" s="596"/>
      <c r="E78" s="681" t="s">
        <v>139</v>
      </c>
      <c r="F78" s="682">
        <f>+'Simulador - 1º Pilar'!$G$50</f>
      </c>
      <c r="G78" s="679"/>
      <c r="H78" s="680"/>
      <c r="I78" s="652"/>
      <c r="J78" s="661"/>
      <c r="K78" s="652"/>
      <c r="L78" s="652"/>
      <c r="M78" s="652"/>
      <c r="N78" s="652"/>
      <c r="O78" s="652"/>
      <c r="P78" s="652"/>
      <c r="Q78" s="652"/>
      <c r="R78" s="652"/>
      <c r="S78" s="652"/>
      <c r="T78" s="653"/>
      <c r="U78" s="646"/>
      <c r="V78" s="683"/>
      <c r="W78" s="170"/>
      <c r="X78" s="169"/>
      <c r="Y78" s="1"/>
      <c r="Z78" s="1"/>
      <c r="AA78" s="568"/>
      <c r="AB78" s="568"/>
      <c r="AC78" s="568"/>
      <c r="AD78" s="568"/>
      <c r="AE78" s="568"/>
      <c r="AF78" s="1"/>
      <c r="AG78" s="1"/>
      <c r="AH78" s="1"/>
      <c r="AI78" s="568"/>
      <c r="AJ78" s="571"/>
      <c r="AK78" s="169"/>
      <c r="AL78" s="169"/>
      <c r="AM78" s="1"/>
      <c r="AN78" s="571"/>
      <c r="AO78" s="571"/>
      <c r="AP78" s="571"/>
      <c r="AQ78" s="571"/>
      <c r="AR78" s="571"/>
      <c r="AS78" s="571"/>
      <c r="AT78" s="571"/>
      <c r="AU78" s="571"/>
      <c r="AV78" s="571"/>
      <c r="AW78" s="571"/>
      <c r="AX78" s="571"/>
      <c r="AY78" s="571"/>
      <c r="AZ78" s="571"/>
      <c r="BA78" s="571"/>
      <c r="BB78" s="571"/>
      <c r="BC78" s="571"/>
      <c r="BD78" s="571"/>
      <c r="BE78" s="571"/>
      <c r="BF78" s="571"/>
      <c r="BG78" s="571"/>
      <c r="BH78" s="571"/>
      <c r="BI78" s="571"/>
      <c r="BJ78" s="571"/>
      <c r="BK78" s="571"/>
      <c r="BL78" s="571"/>
      <c r="BM78" s="571"/>
      <c r="BN78" s="571"/>
      <c r="BO78" s="571"/>
      <c r="BP78" s="571"/>
      <c r="BQ78" s="571"/>
      <c r="BR78" s="571"/>
      <c r="BS78" s="571"/>
      <c r="BT78" s="571"/>
      <c r="BU78" s="571"/>
      <c r="BV78" s="571"/>
      <c r="BW78" s="571"/>
      <c r="BX78" s="571"/>
      <c r="BY78" s="571"/>
      <c r="BZ78" s="571"/>
      <c r="CA78" s="571"/>
      <c r="CB78" s="571"/>
      <c r="CC78" s="571"/>
      <c r="CD78" s="571"/>
      <c r="CE78" s="571"/>
      <c r="CF78" s="571"/>
      <c r="CG78" s="571"/>
      <c r="CH78" s="571"/>
      <c r="CI78" s="571"/>
      <c r="CJ78" s="571"/>
      <c r="CK78" s="571"/>
      <c r="CL78" s="571"/>
      <c r="CM78" s="1"/>
      <c r="CN78" s="1"/>
      <c r="CO78" s="1"/>
      <c r="CP78" s="1"/>
      <c r="CQ78" s="1"/>
      <c r="CR78" s="1"/>
      <c r="CS78" s="1"/>
      <c r="CT78" s="1"/>
      <c r="CU78" s="1"/>
      <c r="CV78" s="1"/>
      <c r="CW78" s="1"/>
    </row>
    <row x14ac:dyDescent="0.25" r="79" customHeight="1" ht="18.75">
      <c r="A79" s="1"/>
      <c r="B79" s="1"/>
      <c r="C79" s="596"/>
      <c r="D79" s="596"/>
      <c r="E79" s="684" t="s">
        <v>236</v>
      </c>
      <c r="F79" s="682">
        <f>'Aportaciones PPE'!AA5</f>
      </c>
      <c r="G79" s="685"/>
      <c r="H79" s="680"/>
      <c r="I79" s="652"/>
      <c r="J79" s="661"/>
      <c r="K79" s="652"/>
      <c r="L79" s="652"/>
      <c r="M79" s="652"/>
      <c r="N79" s="652"/>
      <c r="O79" s="652"/>
      <c r="P79" s="652"/>
      <c r="Q79" s="652"/>
      <c r="R79" s="652"/>
      <c r="S79" s="652"/>
      <c r="T79" s="653"/>
      <c r="U79" s="646"/>
      <c r="V79" s="683"/>
      <c r="W79" s="170"/>
      <c r="X79" s="169"/>
      <c r="Y79" s="1"/>
      <c r="Z79" s="1"/>
      <c r="AA79" s="568"/>
      <c r="AB79" s="568"/>
      <c r="AC79" s="568"/>
      <c r="AD79" s="568"/>
      <c r="AE79" s="568"/>
      <c r="AF79" s="1"/>
      <c r="AG79" s="1"/>
      <c r="AH79" s="1"/>
      <c r="AI79" s="568"/>
      <c r="AJ79" s="571"/>
      <c r="AK79" s="169"/>
      <c r="AL79" s="169"/>
      <c r="AM79" s="1"/>
      <c r="AN79" s="571"/>
      <c r="AO79" s="571"/>
      <c r="AP79" s="571"/>
      <c r="AQ79" s="571"/>
      <c r="AR79" s="571"/>
      <c r="AS79" s="571"/>
      <c r="AT79" s="571"/>
      <c r="AU79" s="571"/>
      <c r="AV79" s="571"/>
      <c r="AW79" s="571"/>
      <c r="AX79" s="571"/>
      <c r="AY79" s="571"/>
      <c r="AZ79" s="571"/>
      <c r="BA79" s="571"/>
      <c r="BB79" s="571"/>
      <c r="BC79" s="571"/>
      <c r="BD79" s="571"/>
      <c r="BE79" s="571"/>
      <c r="BF79" s="571"/>
      <c r="BG79" s="571"/>
      <c r="BH79" s="571"/>
      <c r="BI79" s="571"/>
      <c r="BJ79" s="571"/>
      <c r="BK79" s="571"/>
      <c r="BL79" s="571"/>
      <c r="BM79" s="571"/>
      <c r="BN79" s="571"/>
      <c r="BO79" s="571"/>
      <c r="BP79" s="571"/>
      <c r="BQ79" s="571"/>
      <c r="BR79" s="571"/>
      <c r="BS79" s="571"/>
      <c r="BT79" s="571"/>
      <c r="BU79" s="571"/>
      <c r="BV79" s="571"/>
      <c r="BW79" s="571"/>
      <c r="BX79" s="571"/>
      <c r="BY79" s="571"/>
      <c r="BZ79" s="571"/>
      <c r="CA79" s="571"/>
      <c r="CB79" s="571"/>
      <c r="CC79" s="571"/>
      <c r="CD79" s="571"/>
      <c r="CE79" s="571"/>
      <c r="CF79" s="571"/>
      <c r="CG79" s="571"/>
      <c r="CH79" s="571"/>
      <c r="CI79" s="571"/>
      <c r="CJ79" s="571"/>
      <c r="CK79" s="571"/>
      <c r="CL79" s="571"/>
      <c r="CM79" s="1"/>
      <c r="CN79" s="1"/>
      <c r="CO79" s="1"/>
      <c r="CP79" s="1"/>
      <c r="CQ79" s="1"/>
      <c r="CR79" s="1"/>
      <c r="CS79" s="1"/>
      <c r="CT79" s="1"/>
      <c r="CU79" s="1"/>
      <c r="CV79" s="1"/>
      <c r="CW79" s="1"/>
    </row>
    <row x14ac:dyDescent="0.25" r="80" customHeight="1" ht="18.75">
      <c r="A80" s="1"/>
      <c r="B80" s="1"/>
      <c r="C80" s="596"/>
      <c r="D80" s="596"/>
      <c r="E80" s="684" t="s">
        <v>237</v>
      </c>
      <c r="F80" s="682">
        <f>'Aportaciones PPE'!N1</f>
      </c>
      <c r="G80" s="685"/>
      <c r="H80" s="680"/>
      <c r="I80" s="652"/>
      <c r="J80" s="661"/>
      <c r="K80" s="652"/>
      <c r="L80" s="652"/>
      <c r="M80" s="652"/>
      <c r="N80" s="652"/>
      <c r="O80" s="652"/>
      <c r="P80" s="652"/>
      <c r="Q80" s="652"/>
      <c r="R80" s="652"/>
      <c r="S80" s="652"/>
      <c r="T80" s="653"/>
      <c r="U80" s="646"/>
      <c r="V80" s="683"/>
      <c r="W80" s="170"/>
      <c r="X80" s="169"/>
      <c r="Y80" s="1"/>
      <c r="Z80" s="1"/>
      <c r="AA80" s="568"/>
      <c r="AB80" s="568"/>
      <c r="AC80" s="568"/>
      <c r="AD80" s="568"/>
      <c r="AE80" s="568"/>
      <c r="AF80" s="1"/>
      <c r="AG80" s="1"/>
      <c r="AH80" s="1"/>
      <c r="AI80" s="568"/>
      <c r="AJ80" s="571"/>
      <c r="AK80" s="169"/>
      <c r="AL80" s="169"/>
      <c r="AM80" s="1"/>
      <c r="AN80" s="571"/>
      <c r="AO80" s="571"/>
      <c r="AP80" s="571"/>
      <c r="AQ80" s="571"/>
      <c r="AR80" s="571"/>
      <c r="AS80" s="571"/>
      <c r="AT80" s="571"/>
      <c r="AU80" s="571"/>
      <c r="AV80" s="571"/>
      <c r="AW80" s="571"/>
      <c r="AX80" s="571"/>
      <c r="AY80" s="571"/>
      <c r="AZ80" s="571"/>
      <c r="BA80" s="571"/>
      <c r="BB80" s="571"/>
      <c r="BC80" s="571"/>
      <c r="BD80" s="571"/>
      <c r="BE80" s="571"/>
      <c r="BF80" s="571"/>
      <c r="BG80" s="571"/>
      <c r="BH80" s="571"/>
      <c r="BI80" s="571"/>
      <c r="BJ80" s="571"/>
      <c r="BK80" s="571"/>
      <c r="BL80" s="571"/>
      <c r="BM80" s="571"/>
      <c r="BN80" s="571"/>
      <c r="BO80" s="571"/>
      <c r="BP80" s="571"/>
      <c r="BQ80" s="571"/>
      <c r="BR80" s="571"/>
      <c r="BS80" s="571"/>
      <c r="BT80" s="571"/>
      <c r="BU80" s="571"/>
      <c r="BV80" s="571"/>
      <c r="BW80" s="571"/>
      <c r="BX80" s="571"/>
      <c r="BY80" s="571"/>
      <c r="BZ80" s="571"/>
      <c r="CA80" s="571"/>
      <c r="CB80" s="571"/>
      <c r="CC80" s="571"/>
      <c r="CD80" s="571"/>
      <c r="CE80" s="571"/>
      <c r="CF80" s="571"/>
      <c r="CG80" s="571"/>
      <c r="CH80" s="571"/>
      <c r="CI80" s="571"/>
      <c r="CJ80" s="571"/>
      <c r="CK80" s="571"/>
      <c r="CL80" s="571"/>
      <c r="CM80" s="1"/>
      <c r="CN80" s="1"/>
      <c r="CO80" s="1"/>
      <c r="CP80" s="1"/>
      <c r="CQ80" s="1"/>
      <c r="CR80" s="1"/>
      <c r="CS80" s="1"/>
      <c r="CT80" s="1"/>
      <c r="CU80" s="1"/>
      <c r="CV80" s="1"/>
      <c r="CW80" s="1"/>
    </row>
    <row x14ac:dyDescent="0.25" r="81" customHeight="1" ht="18.75">
      <c r="A81" s="1"/>
      <c r="B81" s="1"/>
      <c r="C81" s="596"/>
      <c r="D81" s="596"/>
      <c r="E81" s="684" t="s">
        <v>238</v>
      </c>
      <c r="F81" s="682">
        <f>+'Aportaciones Flex'!J5</f>
      </c>
      <c r="G81" s="685"/>
      <c r="H81" s="680"/>
      <c r="I81" s="686"/>
      <c r="J81" s="661"/>
      <c r="K81" s="652"/>
      <c r="L81" s="652"/>
      <c r="M81" s="652"/>
      <c r="N81" s="652"/>
      <c r="O81" s="652"/>
      <c r="P81" s="652"/>
      <c r="Q81" s="652"/>
      <c r="R81" s="652"/>
      <c r="S81" s="652"/>
      <c r="T81" s="653"/>
      <c r="U81" s="646"/>
      <c r="V81" s="683"/>
      <c r="W81" s="170"/>
      <c r="X81" s="169"/>
      <c r="Y81" s="1"/>
      <c r="Z81" s="1"/>
      <c r="AA81" s="568"/>
      <c r="AB81" s="568"/>
      <c r="AC81" s="568"/>
      <c r="AD81" s="568"/>
      <c r="AE81" s="568"/>
      <c r="AF81" s="1"/>
      <c r="AG81" s="1"/>
      <c r="AH81" s="1"/>
      <c r="AI81" s="568"/>
      <c r="AJ81" s="571"/>
      <c r="AK81" s="169"/>
      <c r="AL81" s="169"/>
      <c r="AM81" s="1"/>
      <c r="AN81" s="571"/>
      <c r="AO81" s="571"/>
      <c r="AP81" s="571"/>
      <c r="AQ81" s="571"/>
      <c r="AR81" s="571"/>
      <c r="AS81" s="571"/>
      <c r="AT81" s="571"/>
      <c r="AU81" s="571"/>
      <c r="AV81" s="571"/>
      <c r="AW81" s="571"/>
      <c r="AX81" s="571"/>
      <c r="AY81" s="571"/>
      <c r="AZ81" s="571"/>
      <c r="BA81" s="571"/>
      <c r="BB81" s="571"/>
      <c r="BC81" s="571"/>
      <c r="BD81" s="571"/>
      <c r="BE81" s="571"/>
      <c r="BF81" s="571"/>
      <c r="BG81" s="571"/>
      <c r="BH81" s="571"/>
      <c r="BI81" s="571"/>
      <c r="BJ81" s="571"/>
      <c r="BK81" s="571"/>
      <c r="BL81" s="571"/>
      <c r="BM81" s="571"/>
      <c r="BN81" s="571"/>
      <c r="BO81" s="571"/>
      <c r="BP81" s="571"/>
      <c r="BQ81" s="571"/>
      <c r="BR81" s="571"/>
      <c r="BS81" s="571"/>
      <c r="BT81" s="571"/>
      <c r="BU81" s="571"/>
      <c r="BV81" s="571"/>
      <c r="BW81" s="571"/>
      <c r="BX81" s="571"/>
      <c r="BY81" s="571"/>
      <c r="BZ81" s="571"/>
      <c r="CA81" s="571"/>
      <c r="CB81" s="571"/>
      <c r="CC81" s="571"/>
      <c r="CD81" s="571"/>
      <c r="CE81" s="571"/>
      <c r="CF81" s="571"/>
      <c r="CG81" s="571"/>
      <c r="CH81" s="571"/>
      <c r="CI81" s="571"/>
      <c r="CJ81" s="571"/>
      <c r="CK81" s="571"/>
      <c r="CL81" s="571"/>
      <c r="CM81" s="1"/>
      <c r="CN81" s="1"/>
      <c r="CO81" s="1"/>
      <c r="CP81" s="1"/>
      <c r="CQ81" s="1"/>
      <c r="CR81" s="1"/>
      <c r="CS81" s="1"/>
      <c r="CT81" s="1"/>
      <c r="CU81" s="1"/>
      <c r="CV81" s="1"/>
      <c r="CW81" s="1"/>
    </row>
    <row x14ac:dyDescent="0.25" r="82" customHeight="1" ht="18.75">
      <c r="A82" s="1"/>
      <c r="B82" s="1"/>
      <c r="C82" s="596"/>
      <c r="D82" s="596"/>
      <c r="E82" s="684" t="s">
        <v>239</v>
      </c>
      <c r="F82" s="682">
        <f>'Aportaciones Poliza'!L5</f>
      </c>
      <c r="G82" s="685"/>
      <c r="H82" s="680"/>
      <c r="I82" s="652"/>
      <c r="J82" s="661"/>
      <c r="K82" s="652"/>
      <c r="L82" s="652"/>
      <c r="M82" s="652"/>
      <c r="N82" s="652"/>
      <c r="O82" s="652"/>
      <c r="P82" s="652"/>
      <c r="Q82" s="652"/>
      <c r="R82" s="652"/>
      <c r="S82" s="652"/>
      <c r="T82" s="653"/>
      <c r="U82" s="646"/>
      <c r="V82" s="683"/>
      <c r="W82" s="170"/>
      <c r="X82" s="169"/>
      <c r="Y82" s="1"/>
      <c r="Z82" s="1"/>
      <c r="AA82" s="568"/>
      <c r="AB82" s="568"/>
      <c r="AC82" s="568"/>
      <c r="AD82" s="568"/>
      <c r="AE82" s="568"/>
      <c r="AF82" s="1"/>
      <c r="AG82" s="1"/>
      <c r="AH82" s="1"/>
      <c r="AI82" s="568"/>
      <c r="AJ82" s="571"/>
      <c r="AK82" s="169"/>
      <c r="AL82" s="169"/>
      <c r="AM82" s="1"/>
      <c r="AN82" s="571"/>
      <c r="AO82" s="571"/>
      <c r="AP82" s="571"/>
      <c r="AQ82" s="571"/>
      <c r="AR82" s="571"/>
      <c r="AS82" s="571"/>
      <c r="AT82" s="571"/>
      <c r="AU82" s="571"/>
      <c r="AV82" s="571"/>
      <c r="AW82" s="571"/>
      <c r="AX82" s="571"/>
      <c r="AY82" s="571"/>
      <c r="AZ82" s="571"/>
      <c r="BA82" s="571"/>
      <c r="BB82" s="571"/>
      <c r="BC82" s="571"/>
      <c r="BD82" s="571"/>
      <c r="BE82" s="571"/>
      <c r="BF82" s="571"/>
      <c r="BG82" s="571"/>
      <c r="BH82" s="571"/>
      <c r="BI82" s="571"/>
      <c r="BJ82" s="571"/>
      <c r="BK82" s="571"/>
      <c r="BL82" s="571"/>
      <c r="BM82" s="571"/>
      <c r="BN82" s="571"/>
      <c r="BO82" s="571"/>
      <c r="BP82" s="571"/>
      <c r="BQ82" s="571"/>
      <c r="BR82" s="571"/>
      <c r="BS82" s="571"/>
      <c r="BT82" s="571"/>
      <c r="BU82" s="571"/>
      <c r="BV82" s="571"/>
      <c r="BW82" s="571"/>
      <c r="BX82" s="571"/>
      <c r="BY82" s="571"/>
      <c r="BZ82" s="571"/>
      <c r="CA82" s="571"/>
      <c r="CB82" s="571"/>
      <c r="CC82" s="571"/>
      <c r="CD82" s="571"/>
      <c r="CE82" s="571"/>
      <c r="CF82" s="571"/>
      <c r="CG82" s="571"/>
      <c r="CH82" s="571"/>
      <c r="CI82" s="571"/>
      <c r="CJ82" s="571"/>
      <c r="CK82" s="571"/>
      <c r="CL82" s="571"/>
      <c r="CM82" s="1"/>
      <c r="CN82" s="1"/>
      <c r="CO82" s="1"/>
      <c r="CP82" s="1"/>
      <c r="CQ82" s="1"/>
      <c r="CR82" s="1"/>
      <c r="CS82" s="1"/>
      <c r="CT82" s="1"/>
      <c r="CU82" s="1"/>
      <c r="CV82" s="1"/>
      <c r="CW82" s="1"/>
    </row>
    <row x14ac:dyDescent="0.25" r="83" customHeight="1" ht="33.6">
      <c r="A83" s="1"/>
      <c r="B83" s="1"/>
      <c r="C83" s="596"/>
      <c r="D83" s="596"/>
      <c r="E83" s="169"/>
      <c r="F83" s="569"/>
      <c r="G83" s="679"/>
      <c r="H83" s="680"/>
      <c r="I83" s="652"/>
      <c r="J83" s="661"/>
      <c r="K83" s="652"/>
      <c r="L83" s="652"/>
      <c r="M83" s="652"/>
      <c r="N83" s="652"/>
      <c r="O83" s="652"/>
      <c r="P83" s="652"/>
      <c r="Q83" s="652"/>
      <c r="R83" s="652"/>
      <c r="S83" s="652"/>
      <c r="T83" s="653"/>
      <c r="U83" s="646"/>
      <c r="V83" s="683"/>
      <c r="W83" s="170"/>
      <c r="X83" s="169"/>
      <c r="Y83" s="1"/>
      <c r="Z83" s="1"/>
      <c r="AA83" s="568"/>
      <c r="AB83" s="568"/>
      <c r="AC83" s="568"/>
      <c r="AD83" s="568"/>
      <c r="AE83" s="568"/>
      <c r="AF83" s="1"/>
      <c r="AG83" s="1"/>
      <c r="AH83" s="1"/>
      <c r="AI83" s="568"/>
      <c r="AJ83" s="571"/>
      <c r="AK83" s="169"/>
      <c r="AL83" s="169"/>
      <c r="AM83" s="1"/>
      <c r="AN83" s="571"/>
      <c r="AO83" s="571"/>
      <c r="AP83" s="571"/>
      <c r="AQ83" s="571"/>
      <c r="AR83" s="571"/>
      <c r="AS83" s="571"/>
      <c r="AT83" s="571"/>
      <c r="AU83" s="571"/>
      <c r="AV83" s="571"/>
      <c r="AW83" s="571"/>
      <c r="AX83" s="571"/>
      <c r="AY83" s="571"/>
      <c r="AZ83" s="571"/>
      <c r="BA83" s="571"/>
      <c r="BB83" s="571"/>
      <c r="BC83" s="571"/>
      <c r="BD83" s="571"/>
      <c r="BE83" s="571"/>
      <c r="BF83" s="571"/>
      <c r="BG83" s="571"/>
      <c r="BH83" s="571"/>
      <c r="BI83" s="571"/>
      <c r="BJ83" s="571"/>
      <c r="BK83" s="571"/>
      <c r="BL83" s="571"/>
      <c r="BM83" s="571"/>
      <c r="BN83" s="571"/>
      <c r="BO83" s="571"/>
      <c r="BP83" s="571"/>
      <c r="BQ83" s="571"/>
      <c r="BR83" s="571"/>
      <c r="BS83" s="571"/>
      <c r="BT83" s="571"/>
      <c r="BU83" s="571"/>
      <c r="BV83" s="571"/>
      <c r="BW83" s="571"/>
      <c r="BX83" s="571"/>
      <c r="BY83" s="571"/>
      <c r="BZ83" s="571"/>
      <c r="CA83" s="571"/>
      <c r="CB83" s="571"/>
      <c r="CC83" s="571"/>
      <c r="CD83" s="571"/>
      <c r="CE83" s="571"/>
      <c r="CF83" s="571"/>
      <c r="CG83" s="571"/>
      <c r="CH83" s="571"/>
      <c r="CI83" s="571"/>
      <c r="CJ83" s="571"/>
      <c r="CK83" s="571"/>
      <c r="CL83" s="571"/>
      <c r="CM83" s="1"/>
      <c r="CN83" s="1"/>
      <c r="CO83" s="1"/>
      <c r="CP83" s="1"/>
      <c r="CQ83" s="1"/>
      <c r="CR83" s="1"/>
      <c r="CS83" s="1"/>
      <c r="CT83" s="1"/>
      <c r="CU83" s="1"/>
      <c r="CV83" s="1"/>
      <c r="CW83" s="1"/>
    </row>
    <row x14ac:dyDescent="0.25" r="84" customHeight="1" ht="33.6">
      <c r="A84" s="1"/>
      <c r="B84" s="1"/>
      <c r="C84" s="596"/>
      <c r="D84" s="596"/>
      <c r="E84" s="662" t="s">
        <v>240</v>
      </c>
      <c r="F84" s="569"/>
      <c r="G84" s="568"/>
      <c r="H84" s="652"/>
      <c r="I84" s="652"/>
      <c r="J84" s="661"/>
      <c r="K84" s="652"/>
      <c r="L84" s="652"/>
      <c r="M84" s="652"/>
      <c r="N84" s="652"/>
      <c r="O84" s="652"/>
      <c r="P84" s="652"/>
      <c r="Q84" s="652"/>
      <c r="R84" s="652"/>
      <c r="S84" s="652"/>
      <c r="T84" s="653"/>
      <c r="U84" s="646"/>
      <c r="V84" s="646"/>
      <c r="W84" s="646"/>
      <c r="X84" s="644"/>
      <c r="Y84" s="568"/>
      <c r="Z84" s="568"/>
      <c r="AA84" s="568"/>
      <c r="AB84" s="568"/>
      <c r="AC84" s="568"/>
      <c r="AD84" s="568"/>
      <c r="AE84" s="568"/>
      <c r="AF84" s="568"/>
      <c r="AG84" s="568"/>
      <c r="AH84" s="687"/>
      <c r="AI84" s="568"/>
      <c r="AJ84" s="571"/>
      <c r="AK84" s="572"/>
      <c r="AL84" s="572"/>
      <c r="AM84" s="571"/>
      <c r="AN84" s="571"/>
      <c r="AO84" s="571"/>
      <c r="AP84" s="571"/>
      <c r="AQ84" s="571"/>
      <c r="AR84" s="571"/>
      <c r="AS84" s="571"/>
      <c r="AT84" s="571"/>
      <c r="AU84" s="571"/>
      <c r="AV84" s="571"/>
      <c r="AW84" s="571"/>
      <c r="AX84" s="571"/>
      <c r="AY84" s="571"/>
      <c r="AZ84" s="571"/>
      <c r="BA84" s="571"/>
      <c r="BB84" s="571"/>
      <c r="BC84" s="571"/>
      <c r="BD84" s="571"/>
      <c r="BE84" s="571"/>
      <c r="BF84" s="571"/>
      <c r="BG84" s="571"/>
      <c r="BH84" s="571"/>
      <c r="BI84" s="571"/>
      <c r="BJ84" s="571"/>
      <c r="BK84" s="571"/>
      <c r="BL84" s="571"/>
      <c r="BM84" s="571"/>
      <c r="BN84" s="571"/>
      <c r="BO84" s="571"/>
      <c r="BP84" s="571"/>
      <c r="BQ84" s="571"/>
      <c r="BR84" s="571"/>
      <c r="BS84" s="571"/>
      <c r="BT84" s="571"/>
      <c r="BU84" s="571"/>
      <c r="BV84" s="571"/>
      <c r="BW84" s="571"/>
      <c r="BX84" s="571"/>
      <c r="BY84" s="571"/>
      <c r="BZ84" s="571"/>
      <c r="CA84" s="571"/>
      <c r="CB84" s="571"/>
      <c r="CC84" s="571"/>
      <c r="CD84" s="571"/>
      <c r="CE84" s="571"/>
      <c r="CF84" s="571"/>
      <c r="CG84" s="571"/>
      <c r="CH84" s="571"/>
      <c r="CI84" s="571"/>
      <c r="CJ84" s="571"/>
      <c r="CK84" s="571"/>
      <c r="CL84" s="571"/>
      <c r="CM84" s="1"/>
      <c r="CN84" s="1"/>
      <c r="CO84" s="1"/>
      <c r="CP84" s="1"/>
      <c r="CQ84" s="1"/>
      <c r="CR84" s="1"/>
      <c r="CS84" s="1"/>
      <c r="CT84" s="1"/>
      <c r="CU84" s="1"/>
      <c r="CV84" s="1"/>
      <c r="CW84" s="1"/>
    </row>
    <row x14ac:dyDescent="0.25" r="85" customHeight="1" ht="33.6">
      <c r="A85" s="1"/>
      <c r="B85" s="1"/>
      <c r="C85" s="596"/>
      <c r="D85" s="596"/>
      <c r="E85" s="688" t="s">
        <v>241</v>
      </c>
      <c r="F85" s="559"/>
      <c r="G85" s="596"/>
      <c r="H85" s="596"/>
      <c r="I85" s="596"/>
      <c r="J85" s="646"/>
      <c r="K85" s="596"/>
      <c r="L85" s="596"/>
      <c r="M85" s="596"/>
      <c r="N85" s="596"/>
      <c r="O85" s="596"/>
      <c r="P85" s="596"/>
      <c r="Q85" s="596"/>
      <c r="R85" s="596"/>
      <c r="S85" s="596"/>
      <c r="T85" s="645"/>
      <c r="U85" s="646"/>
      <c r="V85" s="646"/>
      <c r="W85" s="646"/>
      <c r="X85" s="644"/>
      <c r="Y85" s="568"/>
      <c r="Z85" s="568"/>
      <c r="AA85" s="568"/>
      <c r="AB85" s="568"/>
      <c r="AC85" s="568"/>
      <c r="AD85" s="568"/>
      <c r="AE85" s="568"/>
      <c r="AF85" s="568"/>
      <c r="AG85" s="568"/>
      <c r="AH85" s="687"/>
      <c r="AI85" s="568"/>
      <c r="AJ85" s="571"/>
      <c r="AK85" s="572"/>
      <c r="AL85" s="572"/>
      <c r="AM85" s="571"/>
      <c r="AN85" s="571"/>
      <c r="AO85" s="571"/>
      <c r="AP85" s="571"/>
      <c r="AQ85" s="571"/>
      <c r="AR85" s="571"/>
      <c r="AS85" s="571"/>
      <c r="AT85" s="571"/>
      <c r="AU85" s="571"/>
      <c r="AV85" s="571"/>
      <c r="AW85" s="571"/>
      <c r="AX85" s="571"/>
      <c r="AY85" s="571"/>
      <c r="AZ85" s="571"/>
      <c r="BA85" s="571"/>
      <c r="BB85" s="571"/>
      <c r="BC85" s="571"/>
      <c r="BD85" s="571"/>
      <c r="BE85" s="571"/>
      <c r="BF85" s="571"/>
      <c r="BG85" s="571"/>
      <c r="BH85" s="571"/>
      <c r="BI85" s="571"/>
      <c r="BJ85" s="571"/>
      <c r="BK85" s="571"/>
      <c r="BL85" s="571"/>
      <c r="BM85" s="571"/>
      <c r="BN85" s="571"/>
      <c r="BO85" s="571"/>
      <c r="BP85" s="571"/>
      <c r="BQ85" s="571"/>
      <c r="BR85" s="571"/>
      <c r="BS85" s="571"/>
      <c r="BT85" s="571"/>
      <c r="BU85" s="571"/>
      <c r="BV85" s="571"/>
      <c r="BW85" s="571"/>
      <c r="BX85" s="571"/>
      <c r="BY85" s="571"/>
      <c r="BZ85" s="571"/>
      <c r="CA85" s="571"/>
      <c r="CB85" s="571"/>
      <c r="CC85" s="571"/>
      <c r="CD85" s="571"/>
      <c r="CE85" s="571"/>
      <c r="CF85" s="571"/>
      <c r="CG85" s="571"/>
      <c r="CH85" s="571"/>
      <c r="CI85" s="571"/>
      <c r="CJ85" s="571"/>
      <c r="CK85" s="571"/>
      <c r="CL85" s="571"/>
      <c r="CM85" s="1"/>
      <c r="CN85" s="1"/>
      <c r="CO85" s="1"/>
      <c r="CP85" s="1"/>
      <c r="CQ85" s="1"/>
      <c r="CR85" s="1"/>
      <c r="CS85" s="1"/>
      <c r="CT85" s="1"/>
      <c r="CU85" s="1"/>
      <c r="CV85" s="1"/>
      <c r="CW85" s="1"/>
    </row>
    <row x14ac:dyDescent="0.25" r="86" customHeight="1" ht="17.25">
      <c r="A86" s="1"/>
      <c r="B86" s="1"/>
      <c r="C86" s="596"/>
      <c r="D86" s="596"/>
      <c r="E86" s="689">
        <v>1</v>
      </c>
      <c r="F86" s="690" t="s">
        <v>242</v>
      </c>
      <c r="G86" s="596"/>
      <c r="H86" s="596"/>
      <c r="I86" s="596"/>
      <c r="J86" s="646"/>
      <c r="K86" s="596"/>
      <c r="L86" s="596"/>
      <c r="M86" s="596"/>
      <c r="N86" s="596"/>
      <c r="O86" s="596"/>
      <c r="P86" s="596"/>
      <c r="Q86" s="596"/>
      <c r="R86" s="596"/>
      <c r="S86" s="596"/>
      <c r="T86" s="645"/>
      <c r="U86" s="646"/>
      <c r="V86" s="646"/>
      <c r="W86" s="646"/>
      <c r="X86" s="644"/>
      <c r="Y86" s="568"/>
      <c r="Z86" s="568"/>
      <c r="AA86" s="568"/>
      <c r="AB86" s="568"/>
      <c r="AC86" s="568"/>
      <c r="AD86" s="568"/>
      <c r="AE86" s="568"/>
      <c r="AF86" s="568"/>
      <c r="AG86" s="568"/>
      <c r="AH86" s="687"/>
      <c r="AI86" s="568"/>
      <c r="AJ86" s="571"/>
      <c r="AK86" s="572"/>
      <c r="AL86" s="572"/>
      <c r="AM86" s="571"/>
      <c r="AN86" s="571"/>
      <c r="AO86" s="571"/>
      <c r="AP86" s="571"/>
      <c r="AQ86" s="571"/>
      <c r="AR86" s="571"/>
      <c r="AS86" s="571"/>
      <c r="AT86" s="571"/>
      <c r="AU86" s="571"/>
      <c r="AV86" s="571"/>
      <c r="AW86" s="571"/>
      <c r="AX86" s="571"/>
      <c r="AY86" s="571"/>
      <c r="AZ86" s="571"/>
      <c r="BA86" s="571"/>
      <c r="BB86" s="571"/>
      <c r="BC86" s="571"/>
      <c r="BD86" s="571"/>
      <c r="BE86" s="571"/>
      <c r="BF86" s="571"/>
      <c r="BG86" s="571"/>
      <c r="BH86" s="571"/>
      <c r="BI86" s="571"/>
      <c r="BJ86" s="571"/>
      <c r="BK86" s="571"/>
      <c r="BL86" s="571"/>
      <c r="BM86" s="571"/>
      <c r="BN86" s="571"/>
      <c r="BO86" s="571"/>
      <c r="BP86" s="571"/>
      <c r="BQ86" s="571"/>
      <c r="BR86" s="571"/>
      <c r="BS86" s="571"/>
      <c r="BT86" s="571"/>
      <c r="BU86" s="571"/>
      <c r="BV86" s="571"/>
      <c r="BW86" s="571"/>
      <c r="BX86" s="571"/>
      <c r="BY86" s="571"/>
      <c r="BZ86" s="571"/>
      <c r="CA86" s="571"/>
      <c r="CB86" s="571"/>
      <c r="CC86" s="571"/>
      <c r="CD86" s="571"/>
      <c r="CE86" s="571"/>
      <c r="CF86" s="571"/>
      <c r="CG86" s="571"/>
      <c r="CH86" s="571"/>
      <c r="CI86" s="571"/>
      <c r="CJ86" s="571"/>
      <c r="CK86" s="571"/>
      <c r="CL86" s="571"/>
      <c r="CM86" s="1"/>
      <c r="CN86" s="1"/>
      <c r="CO86" s="1"/>
      <c r="CP86" s="1"/>
      <c r="CQ86" s="1"/>
      <c r="CR86" s="1"/>
      <c r="CS86" s="1"/>
      <c r="CT86" s="1"/>
      <c r="CU86" s="1"/>
      <c r="CV86" s="1"/>
      <c r="CW86" s="1"/>
    </row>
    <row x14ac:dyDescent="0.25" r="87" customHeight="1" ht="18.75">
      <c r="A87" s="1"/>
      <c r="B87" s="1"/>
      <c r="C87" s="596"/>
      <c r="D87" s="596"/>
      <c r="E87" s="689">
        <v>2</v>
      </c>
      <c r="F87" s="690" t="s">
        <v>243</v>
      </c>
      <c r="G87" s="596"/>
      <c r="H87" s="596"/>
      <c r="I87" s="596"/>
      <c r="J87" s="646"/>
      <c r="K87" s="596"/>
      <c r="L87" s="596"/>
      <c r="M87" s="596"/>
      <c r="N87" s="596"/>
      <c r="O87" s="596"/>
      <c r="P87" s="596"/>
      <c r="Q87" s="596"/>
      <c r="R87" s="596"/>
      <c r="S87" s="596"/>
      <c r="T87" s="645"/>
      <c r="U87" s="646"/>
      <c r="V87" s="646"/>
      <c r="W87" s="646"/>
      <c r="X87" s="644"/>
      <c r="Y87" s="1"/>
      <c r="Z87" s="1"/>
      <c r="AA87" s="568"/>
      <c r="AB87" s="568"/>
      <c r="AC87" s="568"/>
      <c r="AD87" s="568"/>
      <c r="AE87" s="568"/>
      <c r="AF87" s="568"/>
      <c r="AG87" s="568"/>
      <c r="AH87" s="568"/>
      <c r="AI87" s="568"/>
      <c r="AJ87" s="571"/>
      <c r="AK87" s="572"/>
      <c r="AL87" s="572"/>
      <c r="AM87" s="571"/>
      <c r="AN87" s="571"/>
      <c r="AO87" s="571"/>
      <c r="AP87" s="571"/>
      <c r="AQ87" s="571"/>
      <c r="AR87" s="571"/>
      <c r="AS87" s="571"/>
      <c r="AT87" s="571"/>
      <c r="AU87" s="571"/>
      <c r="AV87" s="571"/>
      <c r="AW87" s="571"/>
      <c r="AX87" s="571"/>
      <c r="AY87" s="571"/>
      <c r="AZ87" s="571"/>
      <c r="BA87" s="571"/>
      <c r="BB87" s="571"/>
      <c r="BC87" s="571"/>
      <c r="BD87" s="571"/>
      <c r="BE87" s="571"/>
      <c r="BF87" s="571"/>
      <c r="BG87" s="571"/>
      <c r="BH87" s="571"/>
      <c r="BI87" s="571"/>
      <c r="BJ87" s="571"/>
      <c r="BK87" s="571"/>
      <c r="BL87" s="571"/>
      <c r="BM87" s="571"/>
      <c r="BN87" s="571"/>
      <c r="BO87" s="571"/>
      <c r="BP87" s="571"/>
      <c r="BQ87" s="571"/>
      <c r="BR87" s="571"/>
      <c r="BS87" s="571"/>
      <c r="BT87" s="571"/>
      <c r="BU87" s="571"/>
      <c r="BV87" s="571"/>
      <c r="BW87" s="571"/>
      <c r="BX87" s="571"/>
      <c r="BY87" s="571"/>
      <c r="BZ87" s="571"/>
      <c r="CA87" s="571"/>
      <c r="CB87" s="571"/>
      <c r="CC87" s="571"/>
      <c r="CD87" s="571"/>
      <c r="CE87" s="571"/>
      <c r="CF87" s="571"/>
      <c r="CG87" s="571"/>
      <c r="CH87" s="571"/>
      <c r="CI87" s="571"/>
      <c r="CJ87" s="571"/>
      <c r="CK87" s="571"/>
      <c r="CL87" s="571"/>
      <c r="CM87" s="1"/>
      <c r="CN87" s="1"/>
      <c r="CO87" s="1"/>
      <c r="CP87" s="1"/>
      <c r="CQ87" s="1"/>
      <c r="CR87" s="1"/>
      <c r="CS87" s="1"/>
      <c r="CT87" s="1"/>
      <c r="CU87" s="1"/>
      <c r="CV87" s="1"/>
      <c r="CW87" s="1"/>
    </row>
    <row x14ac:dyDescent="0.25" r="88" customHeight="1" ht="18.75">
      <c r="A88" s="1"/>
      <c r="B88" s="1"/>
      <c r="C88" s="596"/>
      <c r="D88" s="596"/>
      <c r="E88" s="689">
        <v>3</v>
      </c>
      <c r="F88" s="690" t="s">
        <v>244</v>
      </c>
      <c r="G88" s="596"/>
      <c r="H88" s="596"/>
      <c r="I88" s="596"/>
      <c r="J88" s="646"/>
      <c r="K88" s="596"/>
      <c r="L88" s="596"/>
      <c r="M88" s="596"/>
      <c r="N88" s="596"/>
      <c r="O88" s="596"/>
      <c r="P88" s="596"/>
      <c r="Q88" s="596"/>
      <c r="R88" s="596"/>
      <c r="S88" s="596"/>
      <c r="T88" s="645"/>
      <c r="U88" s="646"/>
      <c r="V88" s="691"/>
      <c r="W88" s="646"/>
      <c r="X88" s="644"/>
      <c r="Y88" s="1"/>
      <c r="Z88" s="1"/>
      <c r="AA88" s="568"/>
      <c r="AB88" s="568"/>
      <c r="AC88" s="568"/>
      <c r="AD88" s="568"/>
      <c r="AE88" s="568"/>
      <c r="AF88" s="568"/>
      <c r="AG88" s="568"/>
      <c r="AH88" s="568"/>
      <c r="AI88" s="568"/>
      <c r="AJ88" s="571"/>
      <c r="AK88" s="572"/>
      <c r="AL88" s="572"/>
      <c r="AM88" s="571"/>
      <c r="AN88" s="571"/>
      <c r="AO88" s="571"/>
      <c r="AP88" s="571"/>
      <c r="AQ88" s="571"/>
      <c r="AR88" s="571"/>
      <c r="AS88" s="571"/>
      <c r="AT88" s="571"/>
      <c r="AU88" s="571"/>
      <c r="AV88" s="571"/>
      <c r="AW88" s="571"/>
      <c r="AX88" s="571"/>
      <c r="AY88" s="571"/>
      <c r="AZ88" s="571"/>
      <c r="BA88" s="571"/>
      <c r="BB88" s="571"/>
      <c r="BC88" s="571"/>
      <c r="BD88" s="571"/>
      <c r="BE88" s="571"/>
      <c r="BF88" s="571"/>
      <c r="BG88" s="571"/>
      <c r="BH88" s="571"/>
      <c r="BI88" s="571"/>
      <c r="BJ88" s="571"/>
      <c r="BK88" s="571"/>
      <c r="BL88" s="571"/>
      <c r="BM88" s="571"/>
      <c r="BN88" s="571"/>
      <c r="BO88" s="571"/>
      <c r="BP88" s="571"/>
      <c r="BQ88" s="571"/>
      <c r="BR88" s="571"/>
      <c r="BS88" s="571"/>
      <c r="BT88" s="571"/>
      <c r="BU88" s="571"/>
      <c r="BV88" s="571"/>
      <c r="BW88" s="571"/>
      <c r="BX88" s="571"/>
      <c r="BY88" s="571"/>
      <c r="BZ88" s="571"/>
      <c r="CA88" s="571"/>
      <c r="CB88" s="571"/>
      <c r="CC88" s="571"/>
      <c r="CD88" s="571"/>
      <c r="CE88" s="571"/>
      <c r="CF88" s="571"/>
      <c r="CG88" s="571"/>
      <c r="CH88" s="571"/>
      <c r="CI88" s="571"/>
      <c r="CJ88" s="571"/>
      <c r="CK88" s="571"/>
      <c r="CL88" s="571"/>
      <c r="CM88" s="1"/>
      <c r="CN88" s="1"/>
      <c r="CO88" s="1"/>
      <c r="CP88" s="1"/>
      <c r="CQ88" s="1"/>
      <c r="CR88" s="1"/>
      <c r="CS88" s="1"/>
      <c r="CT88" s="1"/>
      <c r="CU88" s="1"/>
      <c r="CV88" s="1"/>
      <c r="CW88" s="1"/>
    </row>
    <row x14ac:dyDescent="0.25" r="89" customHeight="1" ht="18.75">
      <c r="A89" s="1"/>
      <c r="B89" s="679"/>
      <c r="C89" s="1"/>
      <c r="D89" s="1"/>
      <c r="E89" s="689">
        <v>4</v>
      </c>
      <c r="F89" s="690" t="s">
        <v>245</v>
      </c>
      <c r="G89" s="679"/>
      <c r="H89" s="679"/>
      <c r="I89" s="679"/>
      <c r="J89" s="683"/>
      <c r="K89" s="679"/>
      <c r="L89" s="679"/>
      <c r="M89" s="679"/>
      <c r="N89" s="679"/>
      <c r="O89" s="679"/>
      <c r="P89" s="679"/>
      <c r="Q89" s="679"/>
      <c r="R89" s="679"/>
      <c r="S89" s="596"/>
      <c r="T89" s="645"/>
      <c r="U89" s="646"/>
      <c r="V89" s="691"/>
      <c r="W89" s="646"/>
      <c r="X89" s="644"/>
      <c r="Y89" s="1"/>
      <c r="Z89" s="1"/>
      <c r="AA89" s="568"/>
      <c r="AB89" s="568"/>
      <c r="AC89" s="568"/>
      <c r="AD89" s="568"/>
      <c r="AE89" s="568"/>
      <c r="AF89" s="568"/>
      <c r="AG89" s="568"/>
      <c r="AH89" s="568"/>
      <c r="AI89" s="568"/>
      <c r="AJ89" s="571"/>
      <c r="AK89" s="572"/>
      <c r="AL89" s="572"/>
      <c r="AM89" s="571"/>
      <c r="AN89" s="571"/>
      <c r="AO89" s="571"/>
      <c r="AP89" s="571"/>
      <c r="AQ89" s="571"/>
      <c r="AR89" s="571"/>
      <c r="AS89" s="571"/>
      <c r="AT89" s="571"/>
      <c r="AU89" s="571"/>
      <c r="AV89" s="571"/>
      <c r="AW89" s="571"/>
      <c r="AX89" s="571"/>
      <c r="AY89" s="571"/>
      <c r="AZ89" s="571"/>
      <c r="BA89" s="571"/>
      <c r="BB89" s="571"/>
      <c r="BC89" s="571"/>
      <c r="BD89" s="571"/>
      <c r="BE89" s="571"/>
      <c r="BF89" s="571"/>
      <c r="BG89" s="571"/>
      <c r="BH89" s="571"/>
      <c r="BI89" s="571"/>
      <c r="BJ89" s="571"/>
      <c r="BK89" s="571"/>
      <c r="BL89" s="571"/>
      <c r="BM89" s="571"/>
      <c r="BN89" s="571"/>
      <c r="BO89" s="571"/>
      <c r="BP89" s="571"/>
      <c r="BQ89" s="571"/>
      <c r="BR89" s="571"/>
      <c r="BS89" s="571"/>
      <c r="BT89" s="571"/>
      <c r="BU89" s="571"/>
      <c r="BV89" s="571"/>
      <c r="BW89" s="571"/>
      <c r="BX89" s="571"/>
      <c r="BY89" s="571"/>
      <c r="BZ89" s="571"/>
      <c r="CA89" s="571"/>
      <c r="CB89" s="571"/>
      <c r="CC89" s="571"/>
      <c r="CD89" s="571"/>
      <c r="CE89" s="571"/>
      <c r="CF89" s="571"/>
      <c r="CG89" s="571"/>
      <c r="CH89" s="571"/>
      <c r="CI89" s="571"/>
      <c r="CJ89" s="571"/>
      <c r="CK89" s="571"/>
      <c r="CL89" s="571"/>
      <c r="CM89" s="1"/>
      <c r="CN89" s="1"/>
      <c r="CO89" s="1"/>
      <c r="CP89" s="1"/>
      <c r="CQ89" s="1"/>
      <c r="CR89" s="1"/>
      <c r="CS89" s="1"/>
      <c r="CT89" s="1"/>
      <c r="CU89" s="1"/>
      <c r="CV89" s="1"/>
      <c r="CW89" s="1"/>
    </row>
    <row x14ac:dyDescent="0.25" r="90" customHeight="1" ht="33.6">
      <c r="A90" s="1"/>
      <c r="B90" s="679"/>
      <c r="C90" s="1"/>
      <c r="D90" s="1"/>
      <c r="E90" s="689">
        <v>5</v>
      </c>
      <c r="F90" s="690" t="s">
        <v>246</v>
      </c>
      <c r="G90" s="679"/>
      <c r="H90" s="679"/>
      <c r="I90" s="679"/>
      <c r="J90" s="683"/>
      <c r="K90" s="679"/>
      <c r="L90" s="679"/>
      <c r="M90" s="679"/>
      <c r="N90" s="679"/>
      <c r="O90" s="679"/>
      <c r="P90" s="679"/>
      <c r="Q90" s="679"/>
      <c r="R90" s="679"/>
      <c r="S90" s="596"/>
      <c r="T90" s="645"/>
      <c r="U90" s="646"/>
      <c r="V90" s="646"/>
      <c r="W90" s="646"/>
      <c r="X90" s="644"/>
      <c r="Y90" s="1"/>
      <c r="Z90" s="1"/>
      <c r="AA90" s="568"/>
      <c r="AB90" s="568"/>
      <c r="AC90" s="568"/>
      <c r="AD90" s="568"/>
      <c r="AE90" s="568"/>
      <c r="AF90" s="568"/>
      <c r="AG90" s="568"/>
      <c r="AH90" s="568"/>
      <c r="AI90" s="568"/>
      <c r="AJ90" s="571"/>
      <c r="AK90" s="572"/>
      <c r="AL90" s="572"/>
      <c r="AM90" s="571"/>
      <c r="AN90" s="571"/>
      <c r="AO90" s="571"/>
      <c r="AP90" s="571"/>
      <c r="AQ90" s="571"/>
      <c r="AR90" s="571"/>
      <c r="AS90" s="571"/>
      <c r="AT90" s="571"/>
      <c r="AU90" s="571"/>
      <c r="AV90" s="571"/>
      <c r="AW90" s="571"/>
      <c r="AX90" s="571"/>
      <c r="AY90" s="571"/>
      <c r="AZ90" s="571"/>
      <c r="BA90" s="571"/>
      <c r="BB90" s="571"/>
      <c r="BC90" s="571"/>
      <c r="BD90" s="571"/>
      <c r="BE90" s="571"/>
      <c r="BF90" s="571"/>
      <c r="BG90" s="571"/>
      <c r="BH90" s="571"/>
      <c r="BI90" s="571"/>
      <c r="BJ90" s="571"/>
      <c r="BK90" s="571"/>
      <c r="BL90" s="571"/>
      <c r="BM90" s="571"/>
      <c r="BN90" s="571"/>
      <c r="BO90" s="571"/>
      <c r="BP90" s="571"/>
      <c r="BQ90" s="571"/>
      <c r="BR90" s="571"/>
      <c r="BS90" s="571"/>
      <c r="BT90" s="571"/>
      <c r="BU90" s="571"/>
      <c r="BV90" s="571"/>
      <c r="BW90" s="571"/>
      <c r="BX90" s="571"/>
      <c r="BY90" s="571"/>
      <c r="BZ90" s="571"/>
      <c r="CA90" s="571"/>
      <c r="CB90" s="571"/>
      <c r="CC90" s="571"/>
      <c r="CD90" s="571"/>
      <c r="CE90" s="571"/>
      <c r="CF90" s="571"/>
      <c r="CG90" s="571"/>
      <c r="CH90" s="571"/>
      <c r="CI90" s="571"/>
      <c r="CJ90" s="571"/>
      <c r="CK90" s="571"/>
      <c r="CL90" s="571"/>
      <c r="CM90" s="1"/>
      <c r="CN90" s="1"/>
      <c r="CO90" s="1"/>
      <c r="CP90" s="1"/>
      <c r="CQ90" s="1"/>
      <c r="CR90" s="1"/>
      <c r="CS90" s="1"/>
      <c r="CT90" s="1"/>
      <c r="CU90" s="1"/>
      <c r="CV90" s="1"/>
      <c r="CW90" s="1"/>
    </row>
    <row x14ac:dyDescent="0.25" r="91" customHeight="1" ht="33.6">
      <c r="A91" s="1"/>
      <c r="B91" s="692"/>
      <c r="C91" s="1"/>
      <c r="D91" s="1"/>
      <c r="E91" s="662" t="s">
        <v>247</v>
      </c>
      <c r="F91" s="569"/>
      <c r="G91" s="692"/>
      <c r="H91" s="692"/>
      <c r="I91" s="692"/>
      <c r="J91" s="693"/>
      <c r="K91" s="692"/>
      <c r="L91" s="692"/>
      <c r="M91" s="692"/>
      <c r="N91" s="692"/>
      <c r="O91" s="692"/>
      <c r="P91" s="692"/>
      <c r="Q91" s="692"/>
      <c r="R91" s="692"/>
      <c r="S91" s="598"/>
      <c r="T91" s="694"/>
      <c r="U91" s="695"/>
      <c r="V91" s="695"/>
      <c r="W91" s="695"/>
      <c r="X91" s="611"/>
      <c r="Y91" s="1"/>
      <c r="Z91" s="1"/>
      <c r="AA91" s="571"/>
      <c r="AB91" s="571"/>
      <c r="AC91" s="571"/>
      <c r="AD91" s="571"/>
      <c r="AE91" s="571"/>
      <c r="AF91" s="571"/>
      <c r="AG91" s="571"/>
      <c r="AH91" s="571"/>
      <c r="AI91" s="571"/>
      <c r="AJ91" s="571"/>
      <c r="AK91" s="169"/>
      <c r="AL91" s="169"/>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row>
    <row x14ac:dyDescent="0.25" r="92" customHeight="1" ht="33.6">
      <c r="A92" s="598"/>
      <c r="B92" s="692"/>
      <c r="C92" s="598"/>
      <c r="D92" s="1"/>
      <c r="E92" s="696">
        <v>1</v>
      </c>
      <c r="F92" s="697" t="s">
        <v>248</v>
      </c>
      <c r="G92" s="244"/>
      <c r="H92" s="315"/>
      <c r="I92" s="692"/>
      <c r="J92" s="693"/>
      <c r="K92" s="692"/>
      <c r="L92" s="692"/>
      <c r="M92" s="692"/>
      <c r="N92" s="692"/>
      <c r="O92" s="692"/>
      <c r="P92" s="692"/>
      <c r="Q92" s="692"/>
      <c r="R92" s="692"/>
      <c r="S92" s="1"/>
      <c r="T92" s="168"/>
      <c r="U92" s="170"/>
      <c r="V92" s="695"/>
      <c r="W92" s="695"/>
      <c r="X92" s="611"/>
      <c r="Y92" s="598"/>
      <c r="Z92" s="1"/>
      <c r="AA92" s="1"/>
      <c r="AB92" s="1"/>
      <c r="AC92" s="1"/>
      <c r="AD92" s="1"/>
      <c r="AE92" s="1"/>
      <c r="AF92" s="1"/>
      <c r="AG92" s="1"/>
      <c r="AH92" s="1"/>
      <c r="AI92" s="1"/>
      <c r="AJ92" s="1"/>
      <c r="AK92" s="169"/>
      <c r="AL92" s="169"/>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row>
    <row x14ac:dyDescent="0.25" r="93" customHeight="1" ht="33.6">
      <c r="A93" s="1"/>
      <c r="B93" s="692"/>
      <c r="C93" s="1"/>
      <c r="D93" s="1"/>
      <c r="E93" s="698" t="s">
        <v>249</v>
      </c>
      <c r="F93" s="697" t="s">
        <v>250</v>
      </c>
      <c r="G93" s="244"/>
      <c r="H93" s="315"/>
      <c r="I93" s="692"/>
      <c r="J93" s="693"/>
      <c r="K93" s="692"/>
      <c r="L93" s="692"/>
      <c r="M93" s="692"/>
      <c r="N93" s="692"/>
      <c r="O93" s="692"/>
      <c r="P93" s="692"/>
      <c r="Q93" s="692"/>
      <c r="R93" s="692"/>
      <c r="S93" s="1"/>
      <c r="T93" s="168"/>
      <c r="U93" s="170"/>
      <c r="V93" s="695"/>
      <c r="W93" s="695"/>
      <c r="X93" s="611"/>
      <c r="Y93" s="1"/>
      <c r="Z93" s="1"/>
      <c r="AA93" s="1"/>
      <c r="AB93" s="1"/>
      <c r="AC93" s="1"/>
      <c r="AD93" s="1"/>
      <c r="AE93" s="1"/>
      <c r="AF93" s="1"/>
      <c r="AG93" s="1"/>
      <c r="AH93" s="1"/>
      <c r="AI93" s="1"/>
      <c r="AJ93" s="1"/>
      <c r="AK93" s="169"/>
      <c r="AL93" s="169"/>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row>
    <row x14ac:dyDescent="0.25" r="94" customHeight="1" ht="18.75">
      <c r="A94" s="1"/>
      <c r="B94" s="692"/>
      <c r="C94" s="1"/>
      <c r="D94" s="1"/>
      <c r="E94" s="670"/>
      <c r="F94" s="666"/>
      <c r="G94" s="244"/>
      <c r="H94" s="315"/>
      <c r="I94" s="692"/>
      <c r="J94" s="693"/>
      <c r="K94" s="692"/>
      <c r="L94" s="692"/>
      <c r="M94" s="692"/>
      <c r="N94" s="692"/>
      <c r="O94" s="692"/>
      <c r="P94" s="692"/>
      <c r="Q94" s="692"/>
      <c r="R94" s="692"/>
      <c r="S94" s="1"/>
      <c r="T94" s="168"/>
      <c r="U94" s="170"/>
      <c r="V94" s="170"/>
      <c r="W94" s="170"/>
      <c r="X94" s="169"/>
      <c r="Y94" s="1"/>
      <c r="Z94" s="1"/>
      <c r="AA94" s="1"/>
      <c r="AB94" s="1"/>
      <c r="AC94" s="1"/>
      <c r="AD94" s="1"/>
      <c r="AE94" s="1"/>
      <c r="AF94" s="1"/>
      <c r="AG94" s="1"/>
      <c r="AH94" s="1"/>
      <c r="AI94" s="1"/>
      <c r="AJ94" s="1"/>
      <c r="AK94" s="169"/>
      <c r="AL94" s="169"/>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row>
    <row x14ac:dyDescent="0.25" r="95" customHeight="1" ht="18.75">
      <c r="A95" s="1"/>
      <c r="B95" s="692"/>
      <c r="C95" s="692"/>
      <c r="D95" s="1"/>
      <c r="E95" s="684" t="s">
        <v>139</v>
      </c>
      <c r="F95" s="682">
        <f>+'Simulador - 1º Pilar'!$G$50</f>
      </c>
      <c r="G95" s="315"/>
      <c r="H95" s="319"/>
      <c r="I95" s="692"/>
      <c r="J95" s="693"/>
      <c r="K95" s="692"/>
      <c r="L95" s="692"/>
      <c r="M95" s="692"/>
      <c r="N95" s="692"/>
      <c r="O95" s="692"/>
      <c r="P95" s="692"/>
      <c r="Q95" s="692"/>
      <c r="R95" s="692"/>
      <c r="S95" s="1"/>
      <c r="T95" s="168"/>
      <c r="U95" s="170"/>
      <c r="V95" s="170"/>
      <c r="W95" s="170"/>
      <c r="X95" s="169"/>
      <c r="Y95" s="1"/>
      <c r="Z95" s="1"/>
      <c r="AA95" s="1"/>
      <c r="AB95" s="1"/>
      <c r="AC95" s="1"/>
      <c r="AD95" s="1"/>
      <c r="AE95" s="1"/>
      <c r="AF95" s="1"/>
      <c r="AG95" s="1"/>
      <c r="AH95" s="1"/>
      <c r="AI95" s="1"/>
      <c r="AJ95" s="1"/>
      <c r="AK95" s="169"/>
      <c r="AL95" s="169"/>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row>
    <row x14ac:dyDescent="0.25" r="96" customHeight="1" ht="18.75">
      <c r="A96" s="1"/>
      <c r="B96" s="692"/>
      <c r="C96" s="692"/>
      <c r="D96" s="1"/>
      <c r="E96" s="699" t="s">
        <v>251</v>
      </c>
      <c r="F96" s="700">
        <f>F108</f>
      </c>
      <c r="G96" s="315"/>
      <c r="H96" s="319"/>
      <c r="I96" s="692"/>
      <c r="J96" s="693"/>
      <c r="K96" s="692"/>
      <c r="L96" s="692"/>
      <c r="M96" s="692"/>
      <c r="N96" s="692"/>
      <c r="O96" s="692"/>
      <c r="P96" s="692"/>
      <c r="Q96" s="692"/>
      <c r="R96" s="692"/>
      <c r="S96" s="1"/>
      <c r="T96" s="168"/>
      <c r="U96" s="170"/>
      <c r="V96" s="170"/>
      <c r="W96" s="170"/>
      <c r="X96" s="169"/>
      <c r="Y96" s="1"/>
      <c r="Z96" s="1"/>
      <c r="AA96" s="1"/>
      <c r="AB96" s="1"/>
      <c r="AC96" s="1"/>
      <c r="AD96" s="1"/>
      <c r="AE96" s="1"/>
      <c r="AF96" s="1"/>
      <c r="AG96" s="1"/>
      <c r="AH96" s="1"/>
      <c r="AI96" s="1"/>
      <c r="AJ96" s="1"/>
      <c r="AK96" s="169"/>
      <c r="AL96" s="169"/>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row>
    <row x14ac:dyDescent="0.25" r="97" customHeight="1" ht="18.75">
      <c r="A97" s="571"/>
      <c r="B97" s="692"/>
      <c r="C97" s="692"/>
      <c r="D97" s="1"/>
      <c r="E97" s="699" t="s">
        <v>252</v>
      </c>
      <c r="F97" s="700">
        <f>F109</f>
      </c>
      <c r="G97" s="315"/>
      <c r="H97" s="319"/>
      <c r="I97" s="692"/>
      <c r="J97" s="693"/>
      <c r="K97" s="692"/>
      <c r="L97" s="692"/>
      <c r="M97" s="692"/>
      <c r="N97" s="692"/>
      <c r="O97" s="692"/>
      <c r="P97" s="692"/>
      <c r="Q97" s="692"/>
      <c r="R97" s="692"/>
      <c r="S97" s="571"/>
      <c r="T97" s="701"/>
      <c r="U97" s="702"/>
      <c r="V97" s="702"/>
      <c r="W97" s="170"/>
      <c r="X97" s="169"/>
      <c r="Y97" s="1"/>
      <c r="Z97" s="1"/>
      <c r="AA97" s="1"/>
      <c r="AB97" s="1"/>
      <c r="AC97" s="1"/>
      <c r="AD97" s="1"/>
      <c r="AE97" s="1"/>
      <c r="AF97" s="1"/>
      <c r="AG97" s="1"/>
      <c r="AH97" s="1"/>
      <c r="AI97" s="1"/>
      <c r="AJ97" s="1"/>
      <c r="AK97" s="169"/>
      <c r="AL97" s="169"/>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row>
    <row x14ac:dyDescent="0.25" r="98" customHeight="1" ht="18.75">
      <c r="A98" s="571"/>
      <c r="B98" s="692"/>
      <c r="C98" s="692"/>
      <c r="D98" s="1"/>
      <c r="E98" s="699" t="s">
        <v>253</v>
      </c>
      <c r="F98" s="700">
        <f>MAX(100%-F96-F97,0)</f>
      </c>
      <c r="G98" s="315"/>
      <c r="H98" s="319"/>
      <c r="I98" s="692"/>
      <c r="J98" s="693"/>
      <c r="K98" s="692"/>
      <c r="L98" s="692"/>
      <c r="M98" s="692"/>
      <c r="N98" s="692"/>
      <c r="O98" s="703"/>
      <c r="P98" s="692"/>
      <c r="Q98" s="692"/>
      <c r="R98" s="692"/>
      <c r="S98" s="692"/>
      <c r="T98" s="704"/>
      <c r="U98" s="693"/>
      <c r="V98" s="702"/>
      <c r="W98" s="170"/>
      <c r="X98" s="169"/>
      <c r="Y98" s="1"/>
      <c r="Z98" s="1"/>
      <c r="AA98" s="1"/>
      <c r="AB98" s="1"/>
      <c r="AC98" s="1"/>
      <c r="AD98" s="1"/>
      <c r="AE98" s="1"/>
      <c r="AF98" s="1"/>
      <c r="AG98" s="1"/>
      <c r="AH98" s="1"/>
      <c r="AI98" s="1"/>
      <c r="AJ98" s="1"/>
      <c r="AK98" s="169"/>
      <c r="AL98" s="169"/>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row>
    <row x14ac:dyDescent="0.25" r="99" customHeight="1" ht="18.75">
      <c r="A99" s="1"/>
      <c r="B99" s="692"/>
      <c r="C99" s="692"/>
      <c r="D99" s="1"/>
      <c r="E99" s="684" t="s">
        <v>254</v>
      </c>
      <c r="F99" s="672">
        <f>+F96+F97</f>
      </c>
      <c r="G99" s="1"/>
      <c r="H99" s="319"/>
      <c r="I99" s="692"/>
      <c r="J99" s="693"/>
      <c r="K99" s="692"/>
      <c r="L99" s="692"/>
      <c r="M99" s="692"/>
      <c r="N99" s="692"/>
      <c r="O99" s="692"/>
      <c r="P99" s="692"/>
      <c r="Q99" s="692"/>
      <c r="R99" s="692"/>
      <c r="S99" s="1"/>
      <c r="T99" s="168"/>
      <c r="U99" s="170"/>
      <c r="V99" s="170"/>
      <c r="W99" s="170"/>
      <c r="X99" s="169"/>
      <c r="Y99" s="1"/>
      <c r="Z99" s="1"/>
      <c r="AA99" s="1"/>
      <c r="AB99" s="1"/>
      <c r="AC99" s="1"/>
      <c r="AD99" s="1"/>
      <c r="AE99" s="1"/>
      <c r="AF99" s="1"/>
      <c r="AG99" s="1"/>
      <c r="AH99" s="1"/>
      <c r="AI99" s="1"/>
      <c r="AJ99" s="1"/>
      <c r="AK99" s="169"/>
      <c r="AL99" s="169"/>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row>
    <row x14ac:dyDescent="0.25" r="100" customHeight="1" ht="18.75">
      <c r="A100" s="1"/>
      <c r="B100" s="692"/>
      <c r="C100" s="692"/>
      <c r="D100" s="1"/>
      <c r="E100" s="670" t="s">
        <v>255</v>
      </c>
      <c r="F100" s="672">
        <f>MAX(100%-F99,0)</f>
      </c>
      <c r="G100" s="1"/>
      <c r="H100" s="319"/>
      <c r="I100" s="692"/>
      <c r="J100" s="693"/>
      <c r="K100" s="692"/>
      <c r="L100" s="692"/>
      <c r="M100" s="692"/>
      <c r="N100" s="692"/>
      <c r="O100" s="692"/>
      <c r="P100" s="692"/>
      <c r="Q100" s="692"/>
      <c r="R100" s="692"/>
      <c r="S100" s="1"/>
      <c r="T100" s="168"/>
      <c r="U100" s="170"/>
      <c r="V100" s="170"/>
      <c r="W100" s="170"/>
      <c r="X100" s="169"/>
      <c r="Y100" s="1"/>
      <c r="Z100" s="1"/>
      <c r="AA100" s="1"/>
      <c r="AB100" s="1"/>
      <c r="AC100" s="1"/>
      <c r="AD100" s="1"/>
      <c r="AE100" s="1"/>
      <c r="AF100" s="1"/>
      <c r="AG100" s="1"/>
      <c r="AH100" s="1"/>
      <c r="AI100" s="692"/>
      <c r="AJ100" s="692"/>
      <c r="AK100" s="705"/>
      <c r="AL100" s="705"/>
      <c r="AM100" s="692"/>
      <c r="AN100" s="692"/>
      <c r="AO100" s="692"/>
      <c r="AP100" s="692"/>
      <c r="AQ100" s="692"/>
      <c r="AR100" s="692"/>
      <c r="AS100" s="692"/>
      <c r="AT100" s="692"/>
      <c r="AU100" s="692"/>
      <c r="AV100" s="692"/>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row>
    <row x14ac:dyDescent="0.25" r="101" customHeight="1" ht="33.6">
      <c r="A101" s="1"/>
      <c r="B101" s="692"/>
      <c r="C101" s="706"/>
      <c r="D101" s="706"/>
      <c r="E101" s="684"/>
      <c r="F101" s="707"/>
      <c r="G101" s="315"/>
      <c r="H101" s="315"/>
      <c r="I101" s="692"/>
      <c r="J101" s="693"/>
      <c r="K101" s="692"/>
      <c r="L101" s="692"/>
      <c r="M101" s="692"/>
      <c r="N101" s="692"/>
      <c r="O101" s="692"/>
      <c r="P101" s="692"/>
      <c r="Q101" s="692"/>
      <c r="R101" s="692"/>
      <c r="S101" s="1"/>
      <c r="T101" s="168"/>
      <c r="U101" s="170"/>
      <c r="V101" s="170"/>
      <c r="W101" s="170"/>
      <c r="X101" s="169"/>
      <c r="Y101" s="1"/>
      <c r="Z101" s="1"/>
      <c r="AA101" s="1"/>
      <c r="AB101" s="1"/>
      <c r="AC101" s="1"/>
      <c r="AD101" s="1"/>
      <c r="AE101" s="1"/>
      <c r="AF101" s="1"/>
      <c r="AG101" s="1"/>
      <c r="AH101" s="1"/>
      <c r="AI101" s="692"/>
      <c r="AJ101" s="692"/>
      <c r="AK101" s="705"/>
      <c r="AL101" s="705"/>
      <c r="AM101" s="692"/>
      <c r="AN101" s="692"/>
      <c r="AO101" s="692"/>
      <c r="AP101" s="692"/>
      <c r="AQ101" s="692"/>
      <c r="AR101" s="692"/>
      <c r="AS101" s="692"/>
      <c r="AT101" s="692"/>
      <c r="AU101" s="692"/>
      <c r="AV101" s="692"/>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row>
    <row x14ac:dyDescent="0.25" r="102" customHeight="1" ht="33.6">
      <c r="A102" s="1"/>
      <c r="B102" s="692"/>
      <c r="C102" s="706"/>
      <c r="D102" s="706"/>
      <c r="E102" s="684"/>
      <c r="F102" s="707"/>
      <c r="G102" s="315"/>
      <c r="H102" s="315"/>
      <c r="I102" s="692"/>
      <c r="J102" s="693"/>
      <c r="K102" s="692"/>
      <c r="L102" s="692"/>
      <c r="M102" s="692"/>
      <c r="N102" s="692"/>
      <c r="O102" s="692"/>
      <c r="P102" s="692"/>
      <c r="Q102" s="692"/>
      <c r="R102" s="692"/>
      <c r="S102" s="1"/>
      <c r="T102" s="168"/>
      <c r="U102" s="170"/>
      <c r="V102" s="170"/>
      <c r="W102" s="170"/>
      <c r="X102" s="169"/>
      <c r="Y102" s="1"/>
      <c r="Z102" s="1"/>
      <c r="AA102" s="1"/>
      <c r="AB102" s="1"/>
      <c r="AC102" s="1"/>
      <c r="AD102" s="1"/>
      <c r="AE102" s="1"/>
      <c r="AF102" s="1"/>
      <c r="AG102" s="1"/>
      <c r="AH102" s="1"/>
      <c r="AI102" s="692"/>
      <c r="AJ102" s="692"/>
      <c r="AK102" s="705"/>
      <c r="AL102" s="705"/>
      <c r="AM102" s="692"/>
      <c r="AN102" s="692"/>
      <c r="AO102" s="692"/>
      <c r="AP102" s="692"/>
      <c r="AQ102" s="692"/>
      <c r="AR102" s="692"/>
      <c r="AS102" s="692"/>
      <c r="AT102" s="692"/>
      <c r="AU102" s="692"/>
      <c r="AV102" s="692"/>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row>
    <row x14ac:dyDescent="0.25" r="103" customHeight="1" ht="60.75">
      <c r="A103" s="1"/>
      <c r="B103" s="692"/>
      <c r="C103" s="692"/>
      <c r="D103" s="692"/>
      <c r="E103" s="662" t="s">
        <v>256</v>
      </c>
      <c r="F103" s="704"/>
      <c r="G103" s="692"/>
      <c r="H103" s="692"/>
      <c r="I103" s="692"/>
      <c r="J103" s="693"/>
      <c r="K103" s="692"/>
      <c r="L103" s="692"/>
      <c r="M103" s="692"/>
      <c r="N103" s="692"/>
      <c r="O103" s="692"/>
      <c r="P103" s="692"/>
      <c r="Q103" s="692"/>
      <c r="R103" s="692"/>
      <c r="S103" s="1"/>
      <c r="T103" s="168"/>
      <c r="U103" s="170"/>
      <c r="V103" s="170"/>
      <c r="W103" s="170"/>
      <c r="X103" s="169"/>
      <c r="Y103" s="1"/>
      <c r="Z103" s="1"/>
      <c r="AA103" s="1"/>
      <c r="AB103" s="1"/>
      <c r="AC103" s="1"/>
      <c r="AD103" s="1"/>
      <c r="AE103" s="1"/>
      <c r="AF103" s="1"/>
      <c r="AG103" s="1"/>
      <c r="AH103" s="1"/>
      <c r="AI103" s="692"/>
      <c r="AJ103" s="692"/>
      <c r="AK103" s="705"/>
      <c r="AL103" s="705"/>
      <c r="AM103" s="692"/>
      <c r="AN103" s="692"/>
      <c r="AO103" s="692"/>
      <c r="AP103" s="692"/>
      <c r="AQ103" s="692"/>
      <c r="AR103" s="692"/>
      <c r="AS103" s="692"/>
      <c r="AT103" s="692"/>
      <c r="AU103" s="692"/>
      <c r="AV103" s="692"/>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row>
    <row x14ac:dyDescent="0.25" r="104" customHeight="1" ht="33.6">
      <c r="A104" s="1"/>
      <c r="B104" s="692"/>
      <c r="C104" s="692"/>
      <c r="D104" s="596"/>
      <c r="E104" s="696">
        <v>3</v>
      </c>
      <c r="F104" s="697" t="s">
        <v>248</v>
      </c>
      <c r="G104" s="568"/>
      <c r="H104" s="692"/>
      <c r="I104" s="692"/>
      <c r="J104" s="693"/>
      <c r="K104" s="692"/>
      <c r="L104" s="692"/>
      <c r="M104" s="692"/>
      <c r="N104" s="692"/>
      <c r="O104" s="692"/>
      <c r="P104" s="692"/>
      <c r="Q104" s="692"/>
      <c r="R104" s="692"/>
      <c r="S104" s="1"/>
      <c r="T104" s="168"/>
      <c r="U104" s="170"/>
      <c r="V104" s="170"/>
      <c r="W104" s="170"/>
      <c r="X104" s="169"/>
      <c r="Y104" s="1"/>
      <c r="Z104" s="1"/>
      <c r="AA104" s="1"/>
      <c r="AB104" s="1"/>
      <c r="AC104" s="1"/>
      <c r="AD104" s="1"/>
      <c r="AE104" s="1"/>
      <c r="AF104" s="1"/>
      <c r="AG104" s="1"/>
      <c r="AH104" s="1"/>
      <c r="AI104" s="692"/>
      <c r="AJ104" s="692"/>
      <c r="AK104" s="705"/>
      <c r="AL104" s="705"/>
      <c r="AM104" s="692"/>
      <c r="AN104" s="692"/>
      <c r="AO104" s="692"/>
      <c r="AP104" s="692"/>
      <c r="AQ104" s="692"/>
      <c r="AR104" s="692"/>
      <c r="AS104" s="692"/>
      <c r="AT104" s="692"/>
      <c r="AU104" s="692"/>
      <c r="AV104" s="692"/>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row>
    <row x14ac:dyDescent="0.25" r="105" customHeight="1" ht="33.6">
      <c r="A105" s="1"/>
      <c r="B105" s="692"/>
      <c r="C105" s="692"/>
      <c r="D105" s="596"/>
      <c r="E105" s="698" t="s">
        <v>257</v>
      </c>
      <c r="F105" s="697" t="s">
        <v>250</v>
      </c>
      <c r="G105" s="568"/>
      <c r="H105" s="692"/>
      <c r="I105" s="692"/>
      <c r="J105" s="693"/>
      <c r="K105" s="692"/>
      <c r="L105" s="692"/>
      <c r="M105" s="692"/>
      <c r="N105" s="692"/>
      <c r="O105" s="692"/>
      <c r="P105" s="692"/>
      <c r="Q105" s="692"/>
      <c r="R105" s="692"/>
      <c r="S105" s="1"/>
      <c r="T105" s="168"/>
      <c r="U105" s="170"/>
      <c r="V105" s="170"/>
      <c r="W105" s="170"/>
      <c r="X105" s="169"/>
      <c r="Y105" s="1"/>
      <c r="Z105" s="1"/>
      <c r="AA105" s="1"/>
      <c r="AB105" s="1"/>
      <c r="AC105" s="1"/>
      <c r="AD105" s="1"/>
      <c r="AE105" s="1"/>
      <c r="AF105" s="1"/>
      <c r="AG105" s="1"/>
      <c r="AH105" s="1"/>
      <c r="AI105" s="1"/>
      <c r="AJ105" s="1"/>
      <c r="AK105" s="169"/>
      <c r="AL105" s="169"/>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row>
    <row x14ac:dyDescent="0.25" r="106" customHeight="1" ht="18.75">
      <c r="A106" s="1"/>
      <c r="B106" s="692"/>
      <c r="C106" s="692"/>
      <c r="D106" s="596"/>
      <c r="E106" s="670"/>
      <c r="F106" s="660"/>
      <c r="G106" s="568"/>
      <c r="H106" s="692"/>
      <c r="I106" s="692"/>
      <c r="J106" s="693"/>
      <c r="K106" s="692"/>
      <c r="L106" s="692"/>
      <c r="M106" s="692"/>
      <c r="N106" s="692"/>
      <c r="O106" s="692"/>
      <c r="P106" s="692"/>
      <c r="Q106" s="692"/>
      <c r="R106" s="692"/>
      <c r="S106" s="1"/>
      <c r="T106" s="168"/>
      <c r="U106" s="170"/>
      <c r="V106" s="170"/>
      <c r="W106" s="170"/>
      <c r="X106" s="169"/>
      <c r="Y106" s="1"/>
      <c r="Z106" s="1"/>
      <c r="AA106" s="1"/>
      <c r="AB106" s="1"/>
      <c r="AC106" s="1"/>
      <c r="AD106" s="1"/>
      <c r="AE106" s="1"/>
      <c r="AF106" s="1"/>
      <c r="AG106" s="1"/>
      <c r="AH106" s="1"/>
      <c r="AI106" s="1"/>
      <c r="AJ106" s="1"/>
      <c r="AK106" s="169"/>
      <c r="AL106" s="169"/>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row>
    <row x14ac:dyDescent="0.25" r="107" customHeight="1" ht="18.75">
      <c r="A107" s="1"/>
      <c r="B107" s="692"/>
      <c r="C107" s="692"/>
      <c r="D107" s="1"/>
      <c r="E107" s="684" t="s">
        <v>139</v>
      </c>
      <c r="F107" s="682">
        <f>F78</f>
      </c>
      <c r="G107" s="315"/>
      <c r="H107" s="692"/>
      <c r="I107" s="692"/>
      <c r="J107" s="693"/>
      <c r="K107" s="692"/>
      <c r="L107" s="692"/>
      <c r="M107" s="692"/>
      <c r="N107" s="692"/>
      <c r="O107" s="692"/>
      <c r="P107" s="692"/>
      <c r="Q107" s="692"/>
      <c r="R107" s="692"/>
      <c r="S107" s="1"/>
      <c r="T107" s="168"/>
      <c r="U107" s="170"/>
      <c r="V107" s="170"/>
      <c r="W107" s="170"/>
      <c r="X107" s="169"/>
      <c r="Y107" s="1"/>
      <c r="Z107" s="1"/>
      <c r="AA107" s="1"/>
      <c r="AB107" s="1"/>
      <c r="AC107" s="1"/>
      <c r="AD107" s="1"/>
      <c r="AE107" s="1"/>
      <c r="AF107" s="1"/>
      <c r="AG107" s="1"/>
      <c r="AH107" s="1"/>
      <c r="AI107" s="1"/>
      <c r="AJ107" s="1"/>
      <c r="AK107" s="169"/>
      <c r="AL107" s="169"/>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row>
    <row x14ac:dyDescent="0.25" r="108" customHeight="1" ht="18.75">
      <c r="A108" s="1"/>
      <c r="B108" s="692"/>
      <c r="C108" s="692"/>
      <c r="D108" s="1"/>
      <c r="E108" s="699" t="s">
        <v>251</v>
      </c>
      <c r="F108" s="700">
        <f>$T$16</f>
      </c>
      <c r="G108" s="315"/>
      <c r="H108" s="692"/>
      <c r="I108" s="692"/>
      <c r="J108" s="693"/>
      <c r="K108" s="692"/>
      <c r="L108" s="692"/>
      <c r="M108" s="692"/>
      <c r="N108" s="692"/>
      <c r="O108" s="692"/>
      <c r="P108" s="692"/>
      <c r="Q108" s="692"/>
      <c r="R108" s="692"/>
      <c r="S108" s="1"/>
      <c r="T108" s="168"/>
      <c r="U108" s="170"/>
      <c r="V108" s="170"/>
      <c r="W108" s="170"/>
      <c r="X108" s="169"/>
      <c r="Y108" s="1"/>
      <c r="Z108" s="1"/>
      <c r="AA108" s="1"/>
      <c r="AB108" s="1"/>
      <c r="AC108" s="1"/>
      <c r="AD108" s="1"/>
      <c r="AE108" s="1"/>
      <c r="AF108" s="1"/>
      <c r="AG108" s="1"/>
      <c r="AH108" s="1"/>
      <c r="AI108" s="1"/>
      <c r="AJ108" s="1"/>
      <c r="AK108" s="169"/>
      <c r="AL108" s="169"/>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row>
    <row x14ac:dyDescent="0.25" r="109" customHeight="1" ht="18.75">
      <c r="A109" s="1"/>
      <c r="B109" s="692"/>
      <c r="C109" s="692"/>
      <c r="D109" s="1"/>
      <c r="E109" s="699" t="s">
        <v>119</v>
      </c>
      <c r="F109" s="700">
        <f>$T$24</f>
      </c>
      <c r="G109" s="315"/>
      <c r="H109" s="692"/>
      <c r="I109" s="692"/>
      <c r="J109" s="693"/>
      <c r="K109" s="692"/>
      <c r="L109" s="692"/>
      <c r="M109" s="692"/>
      <c r="N109" s="692"/>
      <c r="O109" s="692"/>
      <c r="P109" s="692"/>
      <c r="Q109" s="692"/>
      <c r="R109" s="692"/>
      <c r="S109" s="1"/>
      <c r="T109" s="168"/>
      <c r="U109" s="170"/>
      <c r="V109" s="170"/>
      <c r="W109" s="170"/>
      <c r="X109" s="169"/>
      <c r="Y109" s="1"/>
      <c r="Z109" s="1"/>
      <c r="AA109" s="1"/>
      <c r="AB109" s="1"/>
      <c r="AC109" s="1"/>
      <c r="AD109" s="1"/>
      <c r="AE109" s="1"/>
      <c r="AF109" s="1"/>
      <c r="AG109" s="1"/>
      <c r="AH109" s="1"/>
      <c r="AI109" s="1"/>
      <c r="AJ109" s="1"/>
      <c r="AK109" s="169"/>
      <c r="AL109" s="169"/>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row>
    <row x14ac:dyDescent="0.25" r="110" customHeight="1" ht="18.75">
      <c r="A110" s="1"/>
      <c r="B110" s="692"/>
      <c r="C110" s="692"/>
      <c r="D110" s="1"/>
      <c r="E110" s="699" t="s">
        <v>258</v>
      </c>
      <c r="F110" s="700">
        <f>$T$40</f>
      </c>
      <c r="G110" s="315"/>
      <c r="H110" s="692"/>
      <c r="I110" s="692"/>
      <c r="J110" s="693"/>
      <c r="K110" s="692"/>
      <c r="L110" s="692"/>
      <c r="M110" s="692"/>
      <c r="N110" s="692"/>
      <c r="O110" s="692"/>
      <c r="P110" s="692"/>
      <c r="Q110" s="692"/>
      <c r="R110" s="692"/>
      <c r="S110" s="1"/>
      <c r="T110" s="168"/>
      <c r="U110" s="170"/>
      <c r="V110" s="170"/>
      <c r="W110" s="170"/>
      <c r="X110" s="169"/>
      <c r="Y110" s="1"/>
      <c r="Z110" s="1"/>
      <c r="AA110" s="1"/>
      <c r="AB110" s="1"/>
      <c r="AC110" s="1"/>
      <c r="AD110" s="1"/>
      <c r="AE110" s="1"/>
      <c r="AF110" s="1"/>
      <c r="AG110" s="1"/>
      <c r="AH110" s="1"/>
      <c r="AI110" s="1"/>
      <c r="AJ110" s="1"/>
      <c r="AK110" s="169"/>
      <c r="AL110" s="169"/>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row>
    <row x14ac:dyDescent="0.25" r="111" customHeight="1" ht="18.75">
      <c r="A111" s="1"/>
      <c r="B111" s="692"/>
      <c r="C111" s="692"/>
      <c r="D111" s="1"/>
      <c r="E111" s="699" t="s">
        <v>259</v>
      </c>
      <c r="F111" s="700">
        <f>T53</f>
      </c>
      <c r="G111" s="1"/>
      <c r="H111" s="692"/>
      <c r="I111" s="692"/>
      <c r="J111" s="693"/>
      <c r="K111" s="692"/>
      <c r="L111" s="692"/>
      <c r="M111" s="692"/>
      <c r="N111" s="692"/>
      <c r="O111" s="692"/>
      <c r="P111" s="692"/>
      <c r="Q111" s="692"/>
      <c r="R111" s="692"/>
      <c r="S111" s="1"/>
      <c r="T111" s="168"/>
      <c r="U111" s="170"/>
      <c r="V111" s="170"/>
      <c r="W111" s="170"/>
      <c r="X111" s="169"/>
      <c r="Y111" s="1"/>
      <c r="Z111" s="1"/>
      <c r="AA111" s="1"/>
      <c r="AB111" s="1"/>
      <c r="AC111" s="1"/>
      <c r="AD111" s="1"/>
      <c r="AE111" s="1"/>
      <c r="AF111" s="1"/>
      <c r="AG111" s="1"/>
      <c r="AH111" s="1"/>
      <c r="AI111" s="1"/>
      <c r="AJ111" s="1"/>
      <c r="AK111" s="169"/>
      <c r="AL111" s="169"/>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row>
    <row x14ac:dyDescent="0.25" r="112" customHeight="1" ht="18.75">
      <c r="A112" s="1"/>
      <c r="B112" s="692"/>
      <c r="C112" s="692"/>
      <c r="D112" s="1"/>
      <c r="E112" s="699" t="s">
        <v>253</v>
      </c>
      <c r="F112" s="700">
        <f>100%-F108-F109-F110-F111</f>
      </c>
      <c r="G112" s="1"/>
      <c r="H112" s="692"/>
      <c r="I112" s="692"/>
      <c r="J112" s="693"/>
      <c r="K112" s="692"/>
      <c r="L112" s="692"/>
      <c r="M112" s="692"/>
      <c r="N112" s="692"/>
      <c r="O112" s="692"/>
      <c r="P112" s="692"/>
      <c r="Q112" s="692"/>
      <c r="R112" s="692"/>
      <c r="S112" s="1"/>
      <c r="T112" s="168"/>
      <c r="U112" s="170"/>
      <c r="V112" s="170"/>
      <c r="W112" s="170"/>
      <c r="X112" s="169"/>
      <c r="Y112" s="1"/>
      <c r="Z112" s="1"/>
      <c r="AA112" s="1"/>
      <c r="AB112" s="1"/>
      <c r="AC112" s="1"/>
      <c r="AD112" s="1"/>
      <c r="AE112" s="1"/>
      <c r="AF112" s="1"/>
      <c r="AG112" s="1"/>
      <c r="AH112" s="1"/>
      <c r="AI112" s="1"/>
      <c r="AJ112" s="1"/>
      <c r="AK112" s="169"/>
      <c r="AL112" s="169"/>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row>
    <row x14ac:dyDescent="0.25" r="113" customHeight="1" ht="18.75">
      <c r="A113" s="1"/>
      <c r="B113" s="1"/>
      <c r="C113" s="1"/>
      <c r="D113" s="1"/>
      <c r="E113" s="684" t="s">
        <v>254</v>
      </c>
      <c r="F113" s="672">
        <f>+F108+F109+F110+F111</f>
      </c>
      <c r="G113" s="244"/>
      <c r="H113" s="1"/>
      <c r="I113" s="1"/>
      <c r="J113" s="170"/>
      <c r="K113" s="1"/>
      <c r="L113" s="1"/>
      <c r="M113" s="1"/>
      <c r="N113" s="1"/>
      <c r="O113" s="1"/>
      <c r="P113" s="1"/>
      <c r="Q113" s="1"/>
      <c r="R113" s="1"/>
      <c r="S113" s="1"/>
      <c r="T113" s="168"/>
      <c r="U113" s="170"/>
      <c r="V113" s="170"/>
      <c r="W113" s="170"/>
      <c r="X113" s="169"/>
      <c r="Y113" s="1"/>
      <c r="Z113" s="1"/>
      <c r="AA113" s="1"/>
      <c r="AB113" s="1"/>
      <c r="AC113" s="1"/>
      <c r="AD113" s="1"/>
      <c r="AE113" s="1"/>
      <c r="AF113" s="1"/>
      <c r="AG113" s="1"/>
      <c r="AH113" s="1"/>
      <c r="AI113" s="1"/>
      <c r="AJ113" s="1"/>
      <c r="AK113" s="169"/>
      <c r="AL113" s="169"/>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row>
    <row x14ac:dyDescent="0.25" r="114" customHeight="1" ht="18.75">
      <c r="A114" s="1"/>
      <c r="B114" s="1"/>
      <c r="C114" s="1"/>
      <c r="D114" s="1"/>
      <c r="E114" s="670" t="s">
        <v>255</v>
      </c>
      <c r="F114" s="672">
        <f>MAX(100%-F113,0)</f>
      </c>
      <c r="G114" s="1"/>
      <c r="H114" s="1"/>
      <c r="I114" s="1"/>
      <c r="J114" s="170"/>
      <c r="K114" s="1"/>
      <c r="L114" s="1"/>
      <c r="M114" s="1"/>
      <c r="N114" s="1"/>
      <c r="O114" s="1"/>
      <c r="P114" s="1"/>
      <c r="Q114" s="1"/>
      <c r="R114" s="1"/>
      <c r="S114" s="1"/>
      <c r="T114" s="168"/>
      <c r="U114" s="170"/>
      <c r="V114" s="170"/>
      <c r="W114" s="170"/>
      <c r="X114" s="169"/>
      <c r="Y114" s="1"/>
      <c r="Z114" s="1"/>
      <c r="AA114" s="1"/>
      <c r="AB114" s="1"/>
      <c r="AC114" s="1"/>
      <c r="AD114" s="1"/>
      <c r="AE114" s="1"/>
      <c r="AF114" s="1"/>
      <c r="AG114" s="1"/>
      <c r="AH114" s="1"/>
      <c r="AI114" s="1"/>
      <c r="AJ114" s="1"/>
      <c r="AK114" s="169"/>
      <c r="AL114" s="169"/>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row>
    <row x14ac:dyDescent="0.25" r="115" customHeight="1" ht="33.6">
      <c r="A115" s="1"/>
      <c r="B115" s="1"/>
      <c r="C115" s="1"/>
      <c r="D115" s="1"/>
      <c r="E115" s="169"/>
      <c r="F115" s="569"/>
      <c r="G115" s="1"/>
      <c r="H115" s="1"/>
      <c r="I115" s="1"/>
      <c r="J115" s="170"/>
      <c r="K115" s="1"/>
      <c r="L115" s="1"/>
      <c r="M115" s="1"/>
      <c r="N115" s="1"/>
      <c r="O115" s="1"/>
      <c r="P115" s="1"/>
      <c r="Q115" s="1"/>
      <c r="R115" s="1"/>
      <c r="S115" s="1"/>
      <c r="T115" s="168"/>
      <c r="U115" s="170"/>
      <c r="V115" s="170"/>
      <c r="W115" s="170"/>
      <c r="X115" s="169"/>
      <c r="Y115" s="1"/>
      <c r="Z115" s="1"/>
      <c r="AA115" s="1"/>
      <c r="AB115" s="1"/>
      <c r="AC115" s="1"/>
      <c r="AD115" s="1"/>
      <c r="AE115" s="1"/>
      <c r="AF115" s="1"/>
      <c r="AG115" s="1"/>
      <c r="AH115" s="1"/>
      <c r="AI115" s="1"/>
      <c r="AJ115" s="1"/>
      <c r="AK115" s="169"/>
      <c r="AL115" s="169"/>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row>
    <row x14ac:dyDescent="0.25" r="116" customHeight="1" ht="33.6">
      <c r="A116" s="1"/>
      <c r="B116" s="1"/>
      <c r="C116" s="1"/>
      <c r="D116" s="1"/>
      <c r="E116" s="169"/>
      <c r="F116" s="569"/>
      <c r="G116" s="1"/>
      <c r="H116" s="1"/>
      <c r="I116" s="1"/>
      <c r="J116" s="170"/>
      <c r="K116" s="1"/>
      <c r="L116" s="1"/>
      <c r="M116" s="1"/>
      <c r="N116" s="1"/>
      <c r="O116" s="1"/>
      <c r="P116" s="1"/>
      <c r="Q116" s="1"/>
      <c r="R116" s="1"/>
      <c r="S116" s="1"/>
      <c r="T116" s="168"/>
      <c r="U116" s="170"/>
      <c r="V116" s="170"/>
      <c r="W116" s="170"/>
      <c r="X116" s="169"/>
      <c r="Y116" s="1"/>
      <c r="Z116" s="1"/>
      <c r="AA116" s="1"/>
      <c r="AB116" s="1"/>
      <c r="AC116" s="1"/>
      <c r="AD116" s="1"/>
      <c r="AE116" s="1"/>
      <c r="AF116" s="1"/>
      <c r="AG116" s="1"/>
      <c r="AH116" s="1"/>
      <c r="AI116" s="1"/>
      <c r="AJ116" s="1"/>
      <c r="AK116" s="169"/>
      <c r="AL116" s="169"/>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row>
    <row x14ac:dyDescent="0.25" r="117" customHeight="1" ht="33.6">
      <c r="A117" s="1"/>
      <c r="B117" s="1"/>
      <c r="C117" s="1"/>
      <c r="D117" s="1"/>
      <c r="E117" s="169"/>
      <c r="F117" s="569"/>
      <c r="G117" s="1"/>
      <c r="H117" s="1"/>
      <c r="I117" s="1"/>
      <c r="J117" s="170"/>
      <c r="K117" s="1"/>
      <c r="L117" s="1"/>
      <c r="M117" s="1"/>
      <c r="N117" s="1"/>
      <c r="O117" s="1"/>
      <c r="P117" s="1"/>
      <c r="Q117" s="1"/>
      <c r="R117" s="1"/>
      <c r="S117" s="1"/>
      <c r="T117" s="168"/>
      <c r="U117" s="170"/>
      <c r="V117" s="170"/>
      <c r="W117" s="170"/>
      <c r="X117" s="169"/>
      <c r="Y117" s="1"/>
      <c r="Z117" s="1"/>
      <c r="AA117" s="1"/>
      <c r="AB117" s="1"/>
      <c r="AC117" s="1"/>
      <c r="AD117" s="1"/>
      <c r="AE117" s="1"/>
      <c r="AF117" s="1"/>
      <c r="AG117" s="1"/>
      <c r="AH117" s="1"/>
      <c r="AI117" s="1"/>
      <c r="AJ117" s="1"/>
      <c r="AK117" s="169"/>
      <c r="AL117" s="169"/>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row>
    <row x14ac:dyDescent="0.25" r="118" customHeight="1" ht="33.6">
      <c r="A118" s="1"/>
      <c r="B118" s="1"/>
      <c r="C118" s="1"/>
      <c r="D118" s="1"/>
      <c r="E118" s="169"/>
      <c r="F118" s="569"/>
      <c r="G118" s="1"/>
      <c r="H118" s="1"/>
      <c r="I118" s="1"/>
      <c r="J118" s="170"/>
      <c r="K118" s="1"/>
      <c r="L118" s="1"/>
      <c r="M118" s="1"/>
      <c r="N118" s="1"/>
      <c r="O118" s="1"/>
      <c r="P118" s="1"/>
      <c r="Q118" s="1"/>
      <c r="R118" s="1"/>
      <c r="S118" s="1"/>
      <c r="T118" s="168"/>
      <c r="U118" s="170"/>
      <c r="V118" s="170"/>
      <c r="W118" s="170"/>
      <c r="X118" s="169"/>
      <c r="Y118" s="1"/>
      <c r="Z118" s="1"/>
      <c r="AA118" s="1"/>
      <c r="AB118" s="1"/>
      <c r="AC118" s="1"/>
      <c r="AD118" s="1"/>
      <c r="AE118" s="1"/>
      <c r="AF118" s="1"/>
      <c r="AG118" s="1"/>
      <c r="AH118" s="1"/>
      <c r="AI118" s="1"/>
      <c r="AJ118" s="1"/>
      <c r="AK118" s="169"/>
      <c r="AL118" s="169"/>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row>
    <row x14ac:dyDescent="0.25" r="119" customHeight="1" ht="33.6">
      <c r="A119" s="1"/>
      <c r="B119" s="1"/>
      <c r="C119" s="1"/>
      <c r="D119" s="1"/>
      <c r="E119" s="169"/>
      <c r="F119" s="569"/>
      <c r="G119" s="1"/>
      <c r="H119" s="1"/>
      <c r="I119" s="1"/>
      <c r="J119" s="170"/>
      <c r="K119" s="1"/>
      <c r="L119" s="1"/>
      <c r="M119" s="1"/>
      <c r="N119" s="1"/>
      <c r="O119" s="1"/>
      <c r="P119" s="1"/>
      <c r="Q119" s="1"/>
      <c r="R119" s="1"/>
      <c r="S119" s="1"/>
      <c r="T119" s="168"/>
      <c r="U119" s="170"/>
      <c r="V119" s="170"/>
      <c r="W119" s="170"/>
      <c r="X119" s="169"/>
      <c r="Y119" s="1"/>
      <c r="Z119" s="1"/>
      <c r="AA119" s="1"/>
      <c r="AB119" s="1"/>
      <c r="AC119" s="1"/>
      <c r="AD119" s="1"/>
      <c r="AE119" s="1"/>
      <c r="AF119" s="1"/>
      <c r="AG119" s="1"/>
      <c r="AH119" s="1"/>
      <c r="AI119" s="1"/>
      <c r="AJ119" s="1"/>
      <c r="AK119" s="169"/>
      <c r="AL119" s="169"/>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row>
    <row x14ac:dyDescent="0.25" r="120" customHeight="1" ht="33.6">
      <c r="A120" s="1"/>
      <c r="B120" s="1"/>
      <c r="C120" s="1"/>
      <c r="D120" s="1"/>
      <c r="E120" s="662" t="s">
        <v>260</v>
      </c>
      <c r="F120" s="569"/>
      <c r="G120" s="1"/>
      <c r="H120" s="1"/>
      <c r="I120" s="1"/>
      <c r="J120" s="170"/>
      <c r="K120" s="1"/>
      <c r="L120" s="1"/>
      <c r="M120" s="1"/>
      <c r="N120" s="1"/>
      <c r="O120" s="1"/>
      <c r="P120" s="1"/>
      <c r="Q120" s="1"/>
      <c r="R120" s="1"/>
      <c r="S120" s="1"/>
      <c r="T120" s="168"/>
      <c r="U120" s="170"/>
      <c r="V120" s="170"/>
      <c r="W120" s="170"/>
      <c r="X120" s="169"/>
      <c r="Y120" s="1"/>
      <c r="Z120" s="1"/>
      <c r="AA120" s="1"/>
      <c r="AB120" s="1"/>
      <c r="AC120" s="1"/>
      <c r="AD120" s="1"/>
      <c r="AE120" s="1"/>
      <c r="AF120" s="1"/>
      <c r="AG120" s="1"/>
      <c r="AH120" s="1"/>
      <c r="AI120" s="1"/>
      <c r="AJ120" s="1"/>
      <c r="AK120" s="169"/>
      <c r="AL120" s="169"/>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row>
    <row x14ac:dyDescent="0.25" r="121" customHeight="1" ht="33.6">
      <c r="A121" s="1"/>
      <c r="B121" s="1"/>
      <c r="C121" s="1"/>
      <c r="D121" s="1"/>
      <c r="E121" s="696">
        <v>4</v>
      </c>
      <c r="F121" s="697" t="s">
        <v>248</v>
      </c>
      <c r="G121" s="1"/>
      <c r="H121" s="1"/>
      <c r="I121" s="1"/>
      <c r="J121" s="170"/>
      <c r="K121" s="1"/>
      <c r="L121" s="1"/>
      <c r="M121" s="1"/>
      <c r="N121" s="1"/>
      <c r="O121" s="1"/>
      <c r="P121" s="1"/>
      <c r="Q121" s="1"/>
      <c r="R121" s="1"/>
      <c r="S121" s="1"/>
      <c r="T121" s="168"/>
      <c r="U121" s="170"/>
      <c r="V121" s="170"/>
      <c r="W121" s="170"/>
      <c r="X121" s="169"/>
      <c r="Y121" s="1"/>
      <c r="Z121" s="1"/>
      <c r="AA121" s="1"/>
      <c r="AB121" s="1"/>
      <c r="AC121" s="1"/>
      <c r="AD121" s="1"/>
      <c r="AE121" s="1"/>
      <c r="AF121" s="1"/>
      <c r="AG121" s="1"/>
      <c r="AH121" s="1"/>
      <c r="AI121" s="1"/>
      <c r="AJ121" s="1"/>
      <c r="AK121" s="169"/>
      <c r="AL121" s="169"/>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row>
    <row x14ac:dyDescent="0.25" r="122" customHeight="1" ht="33.6">
      <c r="A122" s="1"/>
      <c r="B122" s="1"/>
      <c r="C122" s="1"/>
      <c r="D122" s="1"/>
      <c r="E122" s="698" t="s">
        <v>261</v>
      </c>
      <c r="F122" s="697" t="s">
        <v>250</v>
      </c>
      <c r="G122" s="1"/>
      <c r="H122" s="1"/>
      <c r="I122" s="1"/>
      <c r="J122" s="170"/>
      <c r="K122" s="1"/>
      <c r="L122" s="1"/>
      <c r="M122" s="1"/>
      <c r="N122" s="1"/>
      <c r="O122" s="1"/>
      <c r="P122" s="1"/>
      <c r="Q122" s="1"/>
      <c r="R122" s="1"/>
      <c r="S122" s="1"/>
      <c r="T122" s="168"/>
      <c r="U122" s="170"/>
      <c r="V122" s="170"/>
      <c r="W122" s="170"/>
      <c r="X122" s="169"/>
      <c r="Y122" s="1"/>
      <c r="Z122" s="1"/>
      <c r="AA122" s="1"/>
      <c r="AB122" s="1"/>
      <c r="AC122" s="1"/>
      <c r="AD122" s="1"/>
      <c r="AE122" s="1"/>
      <c r="AF122" s="1"/>
      <c r="AG122" s="1"/>
      <c r="AH122" s="1"/>
      <c r="AI122" s="1"/>
      <c r="AJ122" s="1"/>
      <c r="AK122" s="169"/>
      <c r="AL122" s="169"/>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row>
    <row x14ac:dyDescent="0.25" r="123" customHeight="1" ht="18.75">
      <c r="A123" s="1"/>
      <c r="B123" s="1"/>
      <c r="C123" s="1"/>
      <c r="D123" s="1"/>
      <c r="E123" s="169"/>
      <c r="F123" s="569"/>
      <c r="G123" s="1"/>
      <c r="H123" s="1"/>
      <c r="I123" s="1"/>
      <c r="J123" s="170"/>
      <c r="K123" s="1"/>
      <c r="L123" s="1"/>
      <c r="M123" s="1"/>
      <c r="N123" s="1"/>
      <c r="O123" s="1"/>
      <c r="P123" s="1"/>
      <c r="Q123" s="1"/>
      <c r="R123" s="1"/>
      <c r="S123" s="1"/>
      <c r="T123" s="168"/>
      <c r="U123" s="170"/>
      <c r="V123" s="170"/>
      <c r="W123" s="170"/>
      <c r="X123" s="169"/>
      <c r="Y123" s="1"/>
      <c r="Z123" s="1"/>
      <c r="AA123" s="1"/>
      <c r="AB123" s="1"/>
      <c r="AC123" s="1"/>
      <c r="AD123" s="1"/>
      <c r="AE123" s="1"/>
      <c r="AF123" s="1"/>
      <c r="AG123" s="1"/>
      <c r="AH123" s="1"/>
      <c r="AI123" s="1"/>
      <c r="AJ123" s="1"/>
      <c r="AK123" s="169"/>
      <c r="AL123" s="169"/>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row>
    <row x14ac:dyDescent="0.25" r="124" customHeight="1" ht="18.75">
      <c r="A124" s="1"/>
      <c r="B124" s="1"/>
      <c r="C124" s="1"/>
      <c r="D124" s="1"/>
      <c r="E124" s="684" t="s">
        <v>139</v>
      </c>
      <c r="F124" s="682">
        <f>+'Simulador - 1º Pilar'!$G$50</f>
      </c>
      <c r="G124" s="692"/>
      <c r="H124" s="1"/>
      <c r="I124" s="1"/>
      <c r="J124" s="170"/>
      <c r="K124" s="1"/>
      <c r="L124" s="1"/>
      <c r="M124" s="1"/>
      <c r="N124" s="1"/>
      <c r="O124" s="1"/>
      <c r="P124" s="1"/>
      <c r="Q124" s="1"/>
      <c r="R124" s="1"/>
      <c r="S124" s="1"/>
      <c r="T124" s="168"/>
      <c r="U124" s="170"/>
      <c r="V124" s="170"/>
      <c r="W124" s="170"/>
      <c r="X124" s="169"/>
      <c r="Y124" s="1"/>
      <c r="Z124" s="1"/>
      <c r="AA124" s="1"/>
      <c r="AB124" s="1"/>
      <c r="AC124" s="1"/>
      <c r="AD124" s="1"/>
      <c r="AE124" s="1"/>
      <c r="AF124" s="1"/>
      <c r="AG124" s="1"/>
      <c r="AH124" s="1"/>
      <c r="AI124" s="1"/>
      <c r="AJ124" s="1"/>
      <c r="AK124" s="169"/>
      <c r="AL124" s="169"/>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row>
    <row x14ac:dyDescent="0.25" r="125" customHeight="1" ht="18.75">
      <c r="A125" s="1"/>
      <c r="B125" s="1"/>
      <c r="C125" s="1"/>
      <c r="D125" s="1"/>
      <c r="E125" s="699" t="s">
        <v>258</v>
      </c>
      <c r="F125" s="700">
        <f>F110</f>
      </c>
      <c r="G125" s="692"/>
      <c r="H125" s="1"/>
      <c r="I125" s="1"/>
      <c r="J125" s="170"/>
      <c r="K125" s="1"/>
      <c r="L125" s="1"/>
      <c r="M125" s="1"/>
      <c r="N125" s="1"/>
      <c r="O125" s="1"/>
      <c r="P125" s="1"/>
      <c r="Q125" s="1"/>
      <c r="R125" s="1"/>
      <c r="S125" s="1"/>
      <c r="T125" s="168"/>
      <c r="U125" s="170"/>
      <c r="V125" s="170"/>
      <c r="W125" s="170"/>
      <c r="X125" s="169"/>
      <c r="Y125" s="1"/>
      <c r="Z125" s="1"/>
      <c r="AA125" s="1"/>
      <c r="AB125" s="1"/>
      <c r="AC125" s="1"/>
      <c r="AD125" s="1"/>
      <c r="AE125" s="1"/>
      <c r="AF125" s="1"/>
      <c r="AG125" s="1"/>
      <c r="AH125" s="1"/>
      <c r="AI125" s="1"/>
      <c r="AJ125" s="1"/>
      <c r="AK125" s="169"/>
      <c r="AL125" s="169"/>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row>
    <row x14ac:dyDescent="0.25" r="126" customHeight="1" ht="18.75">
      <c r="A126" s="1"/>
      <c r="B126" s="1"/>
      <c r="C126" s="1"/>
      <c r="D126" s="1"/>
      <c r="E126" s="699" t="s">
        <v>259</v>
      </c>
      <c r="F126" s="700">
        <f>$F$111</f>
      </c>
      <c r="G126" s="692"/>
      <c r="H126" s="1"/>
      <c r="I126" s="1"/>
      <c r="J126" s="170"/>
      <c r="K126" s="1"/>
      <c r="L126" s="1"/>
      <c r="M126" s="1"/>
      <c r="N126" s="1"/>
      <c r="O126" s="1"/>
      <c r="P126" s="1"/>
      <c r="Q126" s="1"/>
      <c r="R126" s="1"/>
      <c r="S126" s="1"/>
      <c r="T126" s="168"/>
      <c r="U126" s="170"/>
      <c r="V126" s="170"/>
      <c r="W126" s="170"/>
      <c r="X126" s="169"/>
      <c r="Y126" s="1"/>
      <c r="Z126" s="1"/>
      <c r="AA126" s="1"/>
      <c r="AB126" s="1"/>
      <c r="AC126" s="1"/>
      <c r="AD126" s="1"/>
      <c r="AE126" s="1"/>
      <c r="AF126" s="1"/>
      <c r="AG126" s="1"/>
      <c r="AH126" s="1"/>
      <c r="AI126" s="1"/>
      <c r="AJ126" s="1"/>
      <c r="AK126" s="169"/>
      <c r="AL126" s="169"/>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row>
    <row x14ac:dyDescent="0.25" r="127" customHeight="1" ht="18.75">
      <c r="A127" s="1"/>
      <c r="B127" s="1"/>
      <c r="C127" s="1"/>
      <c r="D127" s="1"/>
      <c r="E127" s="699" t="s">
        <v>253</v>
      </c>
      <c r="F127" s="700">
        <f>100%-F125-F126</f>
      </c>
      <c r="G127" s="692"/>
      <c r="H127" s="1"/>
      <c r="I127" s="1"/>
      <c r="J127" s="170"/>
      <c r="K127" s="1"/>
      <c r="L127" s="1"/>
      <c r="M127" s="1"/>
      <c r="N127" s="1"/>
      <c r="O127" s="1"/>
      <c r="P127" s="1"/>
      <c r="Q127" s="1"/>
      <c r="R127" s="1"/>
      <c r="S127" s="1"/>
      <c r="T127" s="168"/>
      <c r="U127" s="170"/>
      <c r="V127" s="170"/>
      <c r="W127" s="170"/>
      <c r="X127" s="169"/>
      <c r="Y127" s="1"/>
      <c r="Z127" s="1"/>
      <c r="AA127" s="1"/>
      <c r="AB127" s="1"/>
      <c r="AC127" s="1"/>
      <c r="AD127" s="1"/>
      <c r="AE127" s="1"/>
      <c r="AF127" s="1"/>
      <c r="AG127" s="1"/>
      <c r="AH127" s="1"/>
      <c r="AI127" s="1"/>
      <c r="AJ127" s="1"/>
      <c r="AK127" s="169"/>
      <c r="AL127" s="169"/>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row>
    <row x14ac:dyDescent="0.25" r="128" customHeight="1" ht="18.75">
      <c r="A128" s="1"/>
      <c r="B128" s="1"/>
      <c r="C128" s="1"/>
      <c r="D128" s="1"/>
      <c r="E128" s="684" t="s">
        <v>254</v>
      </c>
      <c r="F128" s="672">
        <f>+F125+F126</f>
      </c>
      <c r="G128" s="1"/>
      <c r="H128" s="1"/>
      <c r="I128" s="1"/>
      <c r="J128" s="170"/>
      <c r="K128" s="1"/>
      <c r="L128" s="1"/>
      <c r="M128" s="1"/>
      <c r="N128" s="1"/>
      <c r="O128" s="1"/>
      <c r="P128" s="1"/>
      <c r="Q128" s="1"/>
      <c r="R128" s="1"/>
      <c r="S128" s="1"/>
      <c r="T128" s="168"/>
      <c r="U128" s="170"/>
      <c r="V128" s="170"/>
      <c r="W128" s="170"/>
      <c r="X128" s="169"/>
      <c r="Y128" s="1"/>
      <c r="Z128" s="1"/>
      <c r="AA128" s="1"/>
      <c r="AB128" s="1"/>
      <c r="AC128" s="1"/>
      <c r="AD128" s="1"/>
      <c r="AE128" s="1"/>
      <c r="AF128" s="1"/>
      <c r="AG128" s="1"/>
      <c r="AH128" s="1"/>
      <c r="AI128" s="1"/>
      <c r="AJ128" s="1"/>
      <c r="AK128" s="169"/>
      <c r="AL128" s="169"/>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row>
    <row x14ac:dyDescent="0.25" r="129" customHeight="1" ht="18.75">
      <c r="A129" s="1"/>
      <c r="B129" s="1"/>
      <c r="C129" s="1"/>
      <c r="D129" s="1"/>
      <c r="E129" s="670" t="s">
        <v>255</v>
      </c>
      <c r="F129" s="672">
        <f>MAX(100%-F128,0)</f>
      </c>
      <c r="G129" s="1"/>
      <c r="H129" s="1"/>
      <c r="I129" s="1"/>
      <c r="J129" s="170"/>
      <c r="K129" s="1"/>
      <c r="L129" s="1"/>
      <c r="M129" s="1"/>
      <c r="N129" s="1"/>
      <c r="O129" s="1"/>
      <c r="P129" s="1"/>
      <c r="Q129" s="1"/>
      <c r="R129" s="1"/>
      <c r="S129" s="1"/>
      <c r="T129" s="168"/>
      <c r="U129" s="170"/>
      <c r="V129" s="170"/>
      <c r="W129" s="170"/>
      <c r="X129" s="169"/>
      <c r="Y129" s="1"/>
      <c r="Z129" s="1"/>
      <c r="AA129" s="1"/>
      <c r="AB129" s="1"/>
      <c r="AC129" s="1"/>
      <c r="AD129" s="1"/>
      <c r="AE129" s="1"/>
      <c r="AF129" s="1"/>
      <c r="AG129" s="1"/>
      <c r="AH129" s="1"/>
      <c r="AI129" s="692"/>
      <c r="AJ129" s="692"/>
      <c r="AK129" s="705"/>
      <c r="AL129" s="705"/>
      <c r="AM129" s="692"/>
      <c r="AN129" s="692"/>
      <c r="AO129" s="692"/>
      <c r="AP129" s="692"/>
      <c r="AQ129" s="692"/>
      <c r="AR129" s="692"/>
      <c r="AS129" s="692"/>
      <c r="AT129" s="692"/>
      <c r="AU129" s="692"/>
      <c r="AV129" s="692"/>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row>
    <row x14ac:dyDescent="0.25" r="130" customHeight="1" ht="33.6">
      <c r="A130" s="1"/>
      <c r="B130" s="1"/>
      <c r="C130" s="1"/>
      <c r="D130" s="1"/>
      <c r="E130" s="169"/>
      <c r="F130" s="569"/>
      <c r="G130" s="1"/>
      <c r="H130" s="1"/>
      <c r="I130" s="1"/>
      <c r="J130" s="170"/>
      <c r="K130" s="1"/>
      <c r="L130" s="1"/>
      <c r="M130" s="1"/>
      <c r="N130" s="1"/>
      <c r="O130" s="1"/>
      <c r="P130" s="1"/>
      <c r="Q130" s="1"/>
      <c r="R130" s="1"/>
      <c r="S130" s="1"/>
      <c r="T130" s="168"/>
      <c r="U130" s="170"/>
      <c r="V130" s="170"/>
      <c r="W130" s="170"/>
      <c r="X130" s="169"/>
      <c r="Y130" s="1"/>
      <c r="Z130" s="1"/>
      <c r="AA130" s="1"/>
      <c r="AB130" s="1"/>
      <c r="AC130" s="1"/>
      <c r="AD130" s="1"/>
      <c r="AE130" s="1"/>
      <c r="AF130" s="1"/>
      <c r="AG130" s="1"/>
      <c r="AH130" s="1"/>
      <c r="AI130" s="692"/>
      <c r="AJ130" s="692"/>
      <c r="AK130" s="705"/>
      <c r="AL130" s="705"/>
      <c r="AM130" s="692"/>
      <c r="AN130" s="692"/>
      <c r="AO130" s="692"/>
      <c r="AP130" s="692"/>
      <c r="AQ130" s="692"/>
      <c r="AR130" s="692"/>
      <c r="AS130" s="692"/>
      <c r="AT130" s="692"/>
      <c r="AU130" s="692"/>
      <c r="AV130" s="692"/>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row>
    <row x14ac:dyDescent="0.25" r="131" customHeight="1" ht="33.6">
      <c r="A131" s="1"/>
      <c r="B131" s="1"/>
      <c r="C131" s="1"/>
      <c r="D131" s="1"/>
      <c r="E131" s="169"/>
      <c r="F131" s="569"/>
      <c r="G131" s="1"/>
      <c r="H131" s="1"/>
      <c r="I131" s="1"/>
      <c r="J131" s="170"/>
      <c r="K131" s="1"/>
      <c r="L131" s="1"/>
      <c r="M131" s="1"/>
      <c r="N131" s="1"/>
      <c r="O131" s="1"/>
      <c r="P131" s="1"/>
      <c r="Q131" s="1"/>
      <c r="R131" s="1"/>
      <c r="S131" s="1"/>
      <c r="T131" s="168"/>
      <c r="U131" s="170"/>
      <c r="V131" s="170"/>
      <c r="W131" s="170"/>
      <c r="X131" s="169"/>
      <c r="Y131" s="1"/>
      <c r="Z131" s="1"/>
      <c r="AA131" s="1"/>
      <c r="AB131" s="1"/>
      <c r="AC131" s="1"/>
      <c r="AD131" s="1"/>
      <c r="AE131" s="1"/>
      <c r="AF131" s="1"/>
      <c r="AG131" s="1"/>
      <c r="AH131" s="1"/>
      <c r="AI131" s="692"/>
      <c r="AJ131" s="692"/>
      <c r="AK131" s="705"/>
      <c r="AL131" s="705"/>
      <c r="AM131" s="692"/>
      <c r="AN131" s="692"/>
      <c r="AO131" s="692"/>
      <c r="AP131" s="692"/>
      <c r="AQ131" s="692"/>
      <c r="AR131" s="692"/>
      <c r="AS131" s="692"/>
      <c r="AT131" s="692"/>
      <c r="AU131" s="692"/>
      <c r="AV131" s="692"/>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row>
    <row x14ac:dyDescent="0.25" r="132" customHeight="1" ht="33.6">
      <c r="A132" s="1"/>
      <c r="B132" s="1"/>
      <c r="C132" s="1"/>
      <c r="D132" s="1"/>
      <c r="E132" s="169"/>
      <c r="F132" s="569"/>
      <c r="G132" s="1"/>
      <c r="H132" s="1"/>
      <c r="I132" s="1"/>
      <c r="J132" s="170"/>
      <c r="K132" s="1"/>
      <c r="L132" s="1"/>
      <c r="M132" s="1"/>
      <c r="N132" s="1"/>
      <c r="O132" s="1"/>
      <c r="P132" s="1"/>
      <c r="Q132" s="1"/>
      <c r="R132" s="1"/>
      <c r="S132" s="1"/>
      <c r="T132" s="168"/>
      <c r="U132" s="170"/>
      <c r="V132" s="170"/>
      <c r="W132" s="170"/>
      <c r="X132" s="169"/>
      <c r="Y132" s="1"/>
      <c r="Z132" s="1"/>
      <c r="AA132" s="1"/>
      <c r="AB132" s="1"/>
      <c r="AC132" s="1"/>
      <c r="AD132" s="1"/>
      <c r="AE132" s="1"/>
      <c r="AF132" s="1"/>
      <c r="AG132" s="1"/>
      <c r="AH132" s="1"/>
      <c r="AI132" s="692"/>
      <c r="AJ132" s="692"/>
      <c r="AK132" s="705"/>
      <c r="AL132" s="705"/>
      <c r="AM132" s="692"/>
      <c r="AN132" s="692"/>
      <c r="AO132" s="692"/>
      <c r="AP132" s="692"/>
      <c r="AQ132" s="692"/>
      <c r="AR132" s="692"/>
      <c r="AS132" s="692"/>
      <c r="AT132" s="692"/>
      <c r="AU132" s="692"/>
      <c r="AV132" s="692"/>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row>
    <row x14ac:dyDescent="0.25" r="133" customHeight="1" ht="33.6">
      <c r="A133" s="1"/>
      <c r="B133" s="1"/>
      <c r="C133" s="1"/>
      <c r="D133" s="1"/>
      <c r="E133" s="169"/>
      <c r="F133" s="569"/>
      <c r="G133" s="1"/>
      <c r="H133" s="1"/>
      <c r="I133" s="1"/>
      <c r="J133" s="170"/>
      <c r="K133" s="1"/>
      <c r="L133" s="1"/>
      <c r="M133" s="1"/>
      <c r="N133" s="1"/>
      <c r="O133" s="1"/>
      <c r="P133" s="1"/>
      <c r="Q133" s="1"/>
      <c r="R133" s="1"/>
      <c r="S133" s="1"/>
      <c r="T133" s="168"/>
      <c r="U133" s="170"/>
      <c r="V133" s="170"/>
      <c r="W133" s="170"/>
      <c r="X133" s="169"/>
      <c r="Y133" s="1"/>
      <c r="Z133" s="1"/>
      <c r="AA133" s="1"/>
      <c r="AB133" s="1"/>
      <c r="AC133" s="1"/>
      <c r="AD133" s="1"/>
      <c r="AE133" s="1"/>
      <c r="AF133" s="1"/>
      <c r="AG133" s="1"/>
      <c r="AH133" s="1"/>
      <c r="AI133" s="692"/>
      <c r="AJ133" s="692"/>
      <c r="AK133" s="705"/>
      <c r="AL133" s="705"/>
      <c r="AM133" s="692"/>
      <c r="AN133" s="692"/>
      <c r="AO133" s="692"/>
      <c r="AP133" s="692"/>
      <c r="AQ133" s="692"/>
      <c r="AR133" s="692"/>
      <c r="AS133" s="692"/>
      <c r="AT133" s="692"/>
      <c r="AU133" s="692"/>
      <c r="AV133" s="692"/>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row>
    <row x14ac:dyDescent="0.25" r="134" customHeight="1" ht="33.6">
      <c r="A134" s="1"/>
      <c r="B134" s="1"/>
      <c r="C134" s="1"/>
      <c r="D134" s="1"/>
      <c r="E134" s="169"/>
      <c r="F134" s="569"/>
      <c r="G134" s="1"/>
      <c r="H134" s="1"/>
      <c r="I134" s="1"/>
      <c r="J134" s="170"/>
      <c r="K134" s="1"/>
      <c r="L134" s="1"/>
      <c r="M134" s="1"/>
      <c r="N134" s="1"/>
      <c r="O134" s="1"/>
      <c r="P134" s="1"/>
      <c r="Q134" s="1"/>
      <c r="R134" s="1"/>
      <c r="S134" s="1"/>
      <c r="T134" s="168"/>
      <c r="U134" s="170"/>
      <c r="V134" s="170"/>
      <c r="W134" s="170"/>
      <c r="X134" s="169"/>
      <c r="Y134" s="1"/>
      <c r="Z134" s="1"/>
      <c r="AA134" s="1"/>
      <c r="AB134" s="1"/>
      <c r="AC134" s="1"/>
      <c r="AD134" s="1"/>
      <c r="AE134" s="1"/>
      <c r="AF134" s="1"/>
      <c r="AG134" s="1"/>
      <c r="AH134" s="1"/>
      <c r="AI134" s="692"/>
      <c r="AJ134" s="692"/>
      <c r="AK134" s="705"/>
      <c r="AL134" s="705"/>
      <c r="AM134" s="692"/>
      <c r="AN134" s="692"/>
      <c r="AO134" s="692"/>
      <c r="AP134" s="692"/>
      <c r="AQ134" s="692"/>
      <c r="AR134" s="692"/>
      <c r="AS134" s="692"/>
      <c r="AT134" s="692"/>
      <c r="AU134" s="692"/>
      <c r="AV134" s="692"/>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row>
    <row x14ac:dyDescent="0.25" r="135" customHeight="1" ht="33.6">
      <c r="A135" s="1"/>
      <c r="B135" s="1"/>
      <c r="C135" s="1"/>
      <c r="D135" s="1"/>
      <c r="E135" s="662" t="s">
        <v>262</v>
      </c>
      <c r="F135" s="569"/>
      <c r="G135" s="1"/>
      <c r="H135" s="1"/>
      <c r="I135" s="1"/>
      <c r="J135" s="170"/>
      <c r="K135" s="1"/>
      <c r="L135" s="1"/>
      <c r="M135" s="1"/>
      <c r="N135" s="1"/>
      <c r="O135" s="1"/>
      <c r="P135" s="1"/>
      <c r="Q135" s="1"/>
      <c r="R135" s="1"/>
      <c r="S135" s="1"/>
      <c r="T135" s="168"/>
      <c r="U135" s="170"/>
      <c r="V135" s="170"/>
      <c r="W135" s="170"/>
      <c r="X135" s="169"/>
      <c r="Y135" s="1"/>
      <c r="Z135" s="1"/>
      <c r="AA135" s="1"/>
      <c r="AB135" s="1"/>
      <c r="AC135" s="1"/>
      <c r="AD135" s="1"/>
      <c r="AE135" s="1"/>
      <c r="AF135" s="1"/>
      <c r="AG135" s="1"/>
      <c r="AH135" s="1"/>
      <c r="AI135" s="692"/>
      <c r="AJ135" s="692"/>
      <c r="AK135" s="705"/>
      <c r="AL135" s="705"/>
      <c r="AM135" s="692"/>
      <c r="AN135" s="692"/>
      <c r="AO135" s="692"/>
      <c r="AP135" s="692"/>
      <c r="AQ135" s="692"/>
      <c r="AR135" s="692"/>
      <c r="AS135" s="692"/>
      <c r="AT135" s="692"/>
      <c r="AU135" s="692"/>
      <c r="AV135" s="692"/>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row>
    <row x14ac:dyDescent="0.25" r="136" customHeight="1" ht="33.6">
      <c r="A136" s="1"/>
      <c r="B136" s="1"/>
      <c r="C136" s="1"/>
      <c r="D136" s="1"/>
      <c r="E136" s="696">
        <v>2</v>
      </c>
      <c r="F136" s="697" t="s">
        <v>248</v>
      </c>
      <c r="G136" s="1"/>
      <c r="H136" s="1"/>
      <c r="I136" s="1"/>
      <c r="J136" s="170"/>
      <c r="K136" s="1"/>
      <c r="L136" s="1"/>
      <c r="M136" s="1"/>
      <c r="N136" s="1"/>
      <c r="O136" s="1"/>
      <c r="P136" s="1"/>
      <c r="Q136" s="1"/>
      <c r="R136" s="1"/>
      <c r="S136" s="1"/>
      <c r="T136" s="168"/>
      <c r="U136" s="170"/>
      <c r="V136" s="170"/>
      <c r="W136" s="170"/>
      <c r="X136" s="169"/>
      <c r="Y136" s="1"/>
      <c r="Z136" s="1"/>
      <c r="AA136" s="1"/>
      <c r="AB136" s="1"/>
      <c r="AC136" s="1"/>
      <c r="AD136" s="1"/>
      <c r="AE136" s="1"/>
      <c r="AF136" s="1"/>
      <c r="AG136" s="1"/>
      <c r="AH136" s="1"/>
      <c r="AI136" s="692"/>
      <c r="AJ136" s="692"/>
      <c r="AK136" s="705"/>
      <c r="AL136" s="705"/>
      <c r="AM136" s="692"/>
      <c r="AN136" s="692"/>
      <c r="AO136" s="692"/>
      <c r="AP136" s="692"/>
      <c r="AQ136" s="692"/>
      <c r="AR136" s="692"/>
      <c r="AS136" s="692"/>
      <c r="AT136" s="692"/>
      <c r="AU136" s="692"/>
      <c r="AV136" s="692"/>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row>
    <row x14ac:dyDescent="0.25" r="137" customHeight="1" ht="33.6">
      <c r="A137" s="1"/>
      <c r="B137" s="1"/>
      <c r="C137" s="1"/>
      <c r="D137" s="1"/>
      <c r="E137" s="698" t="s">
        <v>249</v>
      </c>
      <c r="F137" s="697" t="s">
        <v>250</v>
      </c>
      <c r="G137" s="1"/>
      <c r="H137" s="1"/>
      <c r="I137" s="1"/>
      <c r="J137" s="170"/>
      <c r="K137" s="1"/>
      <c r="L137" s="1"/>
      <c r="M137" s="1"/>
      <c r="N137" s="1"/>
      <c r="O137" s="1"/>
      <c r="P137" s="1"/>
      <c r="Q137" s="1"/>
      <c r="R137" s="1"/>
      <c r="S137" s="1"/>
      <c r="T137" s="168"/>
      <c r="U137" s="170"/>
      <c r="V137" s="170"/>
      <c r="W137" s="170"/>
      <c r="X137" s="169"/>
      <c r="Y137" s="1"/>
      <c r="Z137" s="1"/>
      <c r="AA137" s="1"/>
      <c r="AB137" s="1"/>
      <c r="AC137" s="1"/>
      <c r="AD137" s="1"/>
      <c r="AE137" s="1"/>
      <c r="AF137" s="1"/>
      <c r="AG137" s="1"/>
      <c r="AH137" s="1"/>
      <c r="AI137" s="692"/>
      <c r="AJ137" s="692"/>
      <c r="AK137" s="705"/>
      <c r="AL137" s="705"/>
      <c r="AM137" s="692"/>
      <c r="AN137" s="692"/>
      <c r="AO137" s="692"/>
      <c r="AP137" s="692"/>
      <c r="AQ137" s="692"/>
      <c r="AR137" s="692"/>
      <c r="AS137" s="692"/>
      <c r="AT137" s="692"/>
      <c r="AU137" s="692"/>
      <c r="AV137" s="692"/>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row>
    <row x14ac:dyDescent="0.25" r="138" customHeight="1" ht="18.75">
      <c r="A138" s="1"/>
      <c r="B138" s="1"/>
      <c r="C138" s="1"/>
      <c r="D138" s="1"/>
      <c r="E138" s="684" t="s">
        <v>139</v>
      </c>
      <c r="F138" s="682">
        <f>F109</f>
      </c>
      <c r="G138" s="1"/>
      <c r="H138" s="1"/>
      <c r="I138" s="1"/>
      <c r="J138" s="170"/>
      <c r="K138" s="1"/>
      <c r="L138" s="1"/>
      <c r="M138" s="1"/>
      <c r="N138" s="1"/>
      <c r="O138" s="1"/>
      <c r="P138" s="1"/>
      <c r="Q138" s="1"/>
      <c r="R138" s="1"/>
      <c r="S138" s="1"/>
      <c r="T138" s="168"/>
      <c r="U138" s="170"/>
      <c r="V138" s="170"/>
      <c r="W138" s="170"/>
      <c r="X138" s="169"/>
      <c r="Y138" s="1"/>
      <c r="Z138" s="1"/>
      <c r="AA138" s="1"/>
      <c r="AB138" s="1"/>
      <c r="AC138" s="1"/>
      <c r="AD138" s="1"/>
      <c r="AE138" s="1"/>
      <c r="AF138" s="1"/>
      <c r="AG138" s="1"/>
      <c r="AH138" s="1"/>
      <c r="AI138" s="692"/>
      <c r="AJ138" s="692"/>
      <c r="AK138" s="705"/>
      <c r="AL138" s="705"/>
      <c r="AM138" s="692"/>
      <c r="AN138" s="692"/>
      <c r="AO138" s="692"/>
      <c r="AP138" s="692"/>
      <c r="AQ138" s="692"/>
      <c r="AR138" s="692"/>
      <c r="AS138" s="692"/>
      <c r="AT138" s="692"/>
      <c r="AU138" s="692"/>
      <c r="AV138" s="692"/>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row>
    <row x14ac:dyDescent="0.25" r="139" customHeight="1" ht="18.75">
      <c r="A139" s="1"/>
      <c r="B139" s="1"/>
      <c r="C139" s="1"/>
      <c r="D139" s="1"/>
      <c r="E139" s="699" t="s">
        <v>251</v>
      </c>
      <c r="F139" s="700">
        <f>$T$16</f>
      </c>
      <c r="G139" s="1"/>
      <c r="H139" s="1"/>
      <c r="I139" s="1"/>
      <c r="J139" s="170"/>
      <c r="K139" s="1"/>
      <c r="L139" s="1"/>
      <c r="M139" s="1"/>
      <c r="N139" s="1"/>
      <c r="O139" s="1"/>
      <c r="P139" s="1"/>
      <c r="Q139" s="1"/>
      <c r="R139" s="1"/>
      <c r="S139" s="1"/>
      <c r="T139" s="168"/>
      <c r="U139" s="170"/>
      <c r="V139" s="170"/>
      <c r="W139" s="170"/>
      <c r="X139" s="169"/>
      <c r="Y139" s="1"/>
      <c r="Z139" s="1"/>
      <c r="AA139" s="1"/>
      <c r="AB139" s="1"/>
      <c r="AC139" s="1"/>
      <c r="AD139" s="1"/>
      <c r="AE139" s="1"/>
      <c r="AF139" s="1"/>
      <c r="AG139" s="1"/>
      <c r="AH139" s="1"/>
      <c r="AI139" s="692"/>
      <c r="AJ139" s="692"/>
      <c r="AK139" s="705"/>
      <c r="AL139" s="705"/>
      <c r="AM139" s="692"/>
      <c r="AN139" s="692"/>
      <c r="AO139" s="692"/>
      <c r="AP139" s="692"/>
      <c r="AQ139" s="692"/>
      <c r="AR139" s="692"/>
      <c r="AS139" s="692"/>
      <c r="AT139" s="692"/>
      <c r="AU139" s="692"/>
      <c r="AV139" s="692"/>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row>
    <row x14ac:dyDescent="0.25" r="140" customHeight="1" ht="18.75">
      <c r="A140" s="1"/>
      <c r="B140" s="1"/>
      <c r="C140" s="1"/>
      <c r="D140" s="1"/>
      <c r="E140" s="699" t="s">
        <v>119</v>
      </c>
      <c r="F140" s="700">
        <f>$T$24</f>
      </c>
      <c r="G140" s="1"/>
      <c r="H140" s="1"/>
      <c r="I140" s="1"/>
      <c r="J140" s="170"/>
      <c r="K140" s="1"/>
      <c r="L140" s="1"/>
      <c r="M140" s="1"/>
      <c r="N140" s="1"/>
      <c r="O140" s="1"/>
      <c r="P140" s="1"/>
      <c r="Q140" s="1"/>
      <c r="R140" s="1"/>
      <c r="S140" s="1"/>
      <c r="T140" s="168"/>
      <c r="U140" s="170"/>
      <c r="V140" s="170"/>
      <c r="W140" s="170"/>
      <c r="X140" s="169"/>
      <c r="Y140" s="1"/>
      <c r="Z140" s="1"/>
      <c r="AA140" s="1"/>
      <c r="AB140" s="1"/>
      <c r="AC140" s="1"/>
      <c r="AD140" s="1"/>
      <c r="AE140" s="1"/>
      <c r="AF140" s="1"/>
      <c r="AG140" s="1"/>
      <c r="AH140" s="1"/>
      <c r="AI140" s="692"/>
      <c r="AJ140" s="692"/>
      <c r="AK140" s="705"/>
      <c r="AL140" s="705"/>
      <c r="AM140" s="692"/>
      <c r="AN140" s="692"/>
      <c r="AO140" s="692"/>
      <c r="AP140" s="692"/>
      <c r="AQ140" s="692"/>
      <c r="AR140" s="692"/>
      <c r="AS140" s="692"/>
      <c r="AT140" s="692"/>
      <c r="AU140" s="692"/>
      <c r="AV140" s="692"/>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row>
    <row x14ac:dyDescent="0.25" r="141" customHeight="1" ht="18.75">
      <c r="A141" s="1"/>
      <c r="B141" s="1"/>
      <c r="C141" s="1"/>
      <c r="D141" s="1"/>
      <c r="E141" s="699" t="s">
        <v>259</v>
      </c>
      <c r="F141" s="700">
        <f>$F$111</f>
      </c>
      <c r="G141" s="1"/>
      <c r="H141" s="1"/>
      <c r="I141" s="1"/>
      <c r="J141" s="170"/>
      <c r="K141" s="1"/>
      <c r="L141" s="1"/>
      <c r="M141" s="1"/>
      <c r="N141" s="1"/>
      <c r="O141" s="1"/>
      <c r="P141" s="1"/>
      <c r="Q141" s="1"/>
      <c r="R141" s="1"/>
      <c r="S141" s="1"/>
      <c r="T141" s="168"/>
      <c r="U141" s="170"/>
      <c r="V141" s="170"/>
      <c r="W141" s="170"/>
      <c r="X141" s="169"/>
      <c r="Y141" s="1"/>
      <c r="Z141" s="1"/>
      <c r="AA141" s="1"/>
      <c r="AB141" s="1"/>
      <c r="AC141" s="1"/>
      <c r="AD141" s="1"/>
      <c r="AE141" s="1"/>
      <c r="AF141" s="1"/>
      <c r="AG141" s="1"/>
      <c r="AH141" s="1"/>
      <c r="AI141" s="692"/>
      <c r="AJ141" s="692"/>
      <c r="AK141" s="705"/>
      <c r="AL141" s="705"/>
      <c r="AM141" s="692"/>
      <c r="AN141" s="692"/>
      <c r="AO141" s="692"/>
      <c r="AP141" s="692"/>
      <c r="AQ141" s="692"/>
      <c r="AR141" s="692"/>
      <c r="AS141" s="692"/>
      <c r="AT141" s="692"/>
      <c r="AU141" s="692"/>
      <c r="AV141" s="692"/>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row>
    <row x14ac:dyDescent="0.25" r="142" customHeight="1" ht="18.75">
      <c r="A142" s="1"/>
      <c r="B142" s="1"/>
      <c r="C142" s="1"/>
      <c r="D142" s="1"/>
      <c r="E142" s="699" t="s">
        <v>253</v>
      </c>
      <c r="F142" s="700">
        <f>100%-F140-F141-F139</f>
      </c>
      <c r="G142" s="1"/>
      <c r="H142" s="1"/>
      <c r="I142" s="1"/>
      <c r="J142" s="170"/>
      <c r="K142" s="1"/>
      <c r="L142" s="1"/>
      <c r="M142" s="1"/>
      <c r="N142" s="1"/>
      <c r="O142" s="1"/>
      <c r="P142" s="1"/>
      <c r="Q142" s="1"/>
      <c r="R142" s="1"/>
      <c r="S142" s="1"/>
      <c r="T142" s="168"/>
      <c r="U142" s="170"/>
      <c r="V142" s="170"/>
      <c r="W142" s="170"/>
      <c r="X142" s="169"/>
      <c r="Y142" s="1"/>
      <c r="Z142" s="1"/>
      <c r="AA142" s="1"/>
      <c r="AB142" s="1"/>
      <c r="AC142" s="1"/>
      <c r="AD142" s="1"/>
      <c r="AE142" s="1"/>
      <c r="AF142" s="1"/>
      <c r="AG142" s="1"/>
      <c r="AH142" s="1"/>
      <c r="AI142" s="692"/>
      <c r="AJ142" s="692"/>
      <c r="AK142" s="705"/>
      <c r="AL142" s="705"/>
      <c r="AM142" s="692"/>
      <c r="AN142" s="692"/>
      <c r="AO142" s="692"/>
      <c r="AP142" s="692"/>
      <c r="AQ142" s="692"/>
      <c r="AR142" s="692"/>
      <c r="AS142" s="692"/>
      <c r="AT142" s="692"/>
      <c r="AU142" s="692"/>
      <c r="AV142" s="692"/>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row>
    <row x14ac:dyDescent="0.25" r="143" customHeight="1" ht="18.75">
      <c r="A143" s="1"/>
      <c r="B143" s="1"/>
      <c r="C143" s="1"/>
      <c r="D143" s="1"/>
      <c r="E143" s="684" t="s">
        <v>254</v>
      </c>
      <c r="F143" s="672">
        <f>+F139+F140+F141</f>
      </c>
      <c r="G143" s="1"/>
      <c r="H143" s="1"/>
      <c r="I143" s="1"/>
      <c r="J143" s="170"/>
      <c r="K143" s="1"/>
      <c r="L143" s="1"/>
      <c r="M143" s="1"/>
      <c r="N143" s="1"/>
      <c r="O143" s="1"/>
      <c r="P143" s="1"/>
      <c r="Q143" s="1"/>
      <c r="R143" s="1"/>
      <c r="S143" s="1"/>
      <c r="T143" s="168"/>
      <c r="U143" s="170"/>
      <c r="V143" s="170"/>
      <c r="W143" s="170"/>
      <c r="X143" s="169"/>
      <c r="Y143" s="1"/>
      <c r="Z143" s="1"/>
      <c r="AA143" s="1"/>
      <c r="AB143" s="1"/>
      <c r="AC143" s="1"/>
      <c r="AD143" s="1"/>
      <c r="AE143" s="1"/>
      <c r="AF143" s="1"/>
      <c r="AG143" s="1"/>
      <c r="AH143" s="1"/>
      <c r="AI143" s="692"/>
      <c r="AJ143" s="692"/>
      <c r="AK143" s="705"/>
      <c r="AL143" s="705"/>
      <c r="AM143" s="692"/>
      <c r="AN143" s="692"/>
      <c r="AO143" s="692"/>
      <c r="AP143" s="692"/>
      <c r="AQ143" s="692"/>
      <c r="AR143" s="692"/>
      <c r="AS143" s="692"/>
      <c r="AT143" s="692"/>
      <c r="AU143" s="692"/>
      <c r="AV143" s="692"/>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row>
    <row x14ac:dyDescent="0.25" r="144" customHeight="1" ht="33.6">
      <c r="A144" s="1"/>
      <c r="B144" s="1"/>
      <c r="C144" s="1"/>
      <c r="D144" s="1"/>
      <c r="E144" s="670" t="s">
        <v>255</v>
      </c>
      <c r="F144" s="672">
        <f>MAX(100%-F143,0)</f>
      </c>
      <c r="G144" s="1"/>
      <c r="H144" s="1"/>
      <c r="I144" s="1"/>
      <c r="J144" s="170"/>
      <c r="K144" s="1"/>
      <c r="L144" s="1"/>
      <c r="M144" s="1"/>
      <c r="N144" s="1"/>
      <c r="O144" s="1"/>
      <c r="P144" s="1"/>
      <c r="Q144" s="1"/>
      <c r="R144" s="1"/>
      <c r="S144" s="1"/>
      <c r="T144" s="168"/>
      <c r="U144" s="170"/>
      <c r="V144" s="170"/>
      <c r="W144" s="170"/>
      <c r="X144" s="169"/>
      <c r="Y144" s="1"/>
      <c r="Z144" s="1"/>
      <c r="AA144" s="1"/>
      <c r="AB144" s="1"/>
      <c r="AC144" s="1"/>
      <c r="AD144" s="1"/>
      <c r="AE144" s="1"/>
      <c r="AF144" s="1"/>
      <c r="AG144" s="1"/>
      <c r="AH144" s="1"/>
      <c r="AI144" s="692"/>
      <c r="AJ144" s="692"/>
      <c r="AK144" s="705"/>
      <c r="AL144" s="705"/>
      <c r="AM144" s="692"/>
      <c r="AN144" s="692"/>
      <c r="AO144" s="692"/>
      <c r="AP144" s="692"/>
      <c r="AQ144" s="692"/>
      <c r="AR144" s="692"/>
      <c r="AS144" s="692"/>
      <c r="AT144" s="692"/>
      <c r="AU144" s="692"/>
      <c r="AV144" s="692"/>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row>
    <row x14ac:dyDescent="0.25" r="145" customHeight="1" ht="33.6">
      <c r="A145" s="1"/>
      <c r="B145" s="1"/>
      <c r="C145" s="1"/>
      <c r="D145" s="1"/>
      <c r="E145" s="169"/>
      <c r="F145" s="569"/>
      <c r="G145" s="1"/>
      <c r="H145" s="1"/>
      <c r="I145" s="1"/>
      <c r="J145" s="170"/>
      <c r="K145" s="1"/>
      <c r="L145" s="1"/>
      <c r="M145" s="1"/>
      <c r="N145" s="1"/>
      <c r="O145" s="1"/>
      <c r="P145" s="1"/>
      <c r="Q145" s="1"/>
      <c r="R145" s="1"/>
      <c r="S145" s="1"/>
      <c r="T145" s="168"/>
      <c r="U145" s="170"/>
      <c r="V145" s="170"/>
      <c r="W145" s="170"/>
      <c r="X145" s="169"/>
      <c r="Y145" s="1"/>
      <c r="Z145" s="1"/>
      <c r="AA145" s="1"/>
      <c r="AB145" s="1"/>
      <c r="AC145" s="1"/>
      <c r="AD145" s="1"/>
      <c r="AE145" s="1"/>
      <c r="AF145" s="1"/>
      <c r="AG145" s="1"/>
      <c r="AH145" s="1"/>
      <c r="AI145" s="692"/>
      <c r="AJ145" s="692"/>
      <c r="AK145" s="705"/>
      <c r="AL145" s="705"/>
      <c r="AM145" s="692"/>
      <c r="AN145" s="692"/>
      <c r="AO145" s="692"/>
      <c r="AP145" s="692"/>
      <c r="AQ145" s="692"/>
      <c r="AR145" s="692"/>
      <c r="AS145" s="692"/>
      <c r="AT145" s="692"/>
      <c r="AU145" s="692"/>
      <c r="AV145" s="692"/>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row>
    <row x14ac:dyDescent="0.25" r="146" customHeight="1" ht="33.6">
      <c r="A146" s="1"/>
      <c r="B146" s="1"/>
      <c r="C146" s="1"/>
      <c r="D146" s="1"/>
      <c r="E146" s="169"/>
      <c r="F146" s="569"/>
      <c r="G146" s="1"/>
      <c r="H146" s="1"/>
      <c r="I146" s="1"/>
      <c r="J146" s="170"/>
      <c r="K146" s="1"/>
      <c r="L146" s="1"/>
      <c r="M146" s="1"/>
      <c r="N146" s="1"/>
      <c r="O146" s="1"/>
      <c r="P146" s="1"/>
      <c r="Q146" s="1"/>
      <c r="R146" s="1"/>
      <c r="S146" s="1"/>
      <c r="T146" s="168"/>
      <c r="U146" s="170"/>
      <c r="V146" s="170"/>
      <c r="W146" s="170"/>
      <c r="X146" s="169"/>
      <c r="Y146" s="1"/>
      <c r="Z146" s="1"/>
      <c r="AA146" s="1"/>
      <c r="AB146" s="1"/>
      <c r="AC146" s="1"/>
      <c r="AD146" s="1"/>
      <c r="AE146" s="1"/>
      <c r="AF146" s="1"/>
      <c r="AG146" s="1"/>
      <c r="AH146" s="1"/>
      <c r="AI146" s="692"/>
      <c r="AJ146" s="692"/>
      <c r="AK146" s="705"/>
      <c r="AL146" s="705"/>
      <c r="AM146" s="692"/>
      <c r="AN146" s="692"/>
      <c r="AO146" s="692"/>
      <c r="AP146" s="692"/>
      <c r="AQ146" s="692"/>
      <c r="AR146" s="692"/>
      <c r="AS146" s="692"/>
      <c r="AT146" s="692"/>
      <c r="AU146" s="692"/>
      <c r="AV146" s="692"/>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row>
    <row x14ac:dyDescent="0.25" r="147" customHeight="1" ht="33.6">
      <c r="A147" s="1"/>
      <c r="B147" s="1"/>
      <c r="C147" s="1"/>
      <c r="D147" s="1"/>
      <c r="E147" s="169"/>
      <c r="F147" s="569"/>
      <c r="G147" s="1"/>
      <c r="H147" s="1"/>
      <c r="I147" s="1"/>
      <c r="J147" s="170"/>
      <c r="K147" s="1"/>
      <c r="L147" s="1"/>
      <c r="M147" s="1"/>
      <c r="N147" s="1"/>
      <c r="O147" s="1"/>
      <c r="P147" s="1"/>
      <c r="Q147" s="1"/>
      <c r="R147" s="1"/>
      <c r="S147" s="1"/>
      <c r="T147" s="168"/>
      <c r="U147" s="170"/>
      <c r="V147" s="170"/>
      <c r="W147" s="170"/>
      <c r="X147" s="169"/>
      <c r="Y147" s="1"/>
      <c r="Z147" s="1"/>
      <c r="AA147" s="1"/>
      <c r="AB147" s="1"/>
      <c r="AC147" s="1"/>
      <c r="AD147" s="1"/>
      <c r="AE147" s="1"/>
      <c r="AF147" s="1"/>
      <c r="AG147" s="1"/>
      <c r="AH147" s="1"/>
      <c r="AI147" s="692"/>
      <c r="AJ147" s="692"/>
      <c r="AK147" s="705"/>
      <c r="AL147" s="705"/>
      <c r="AM147" s="692"/>
      <c r="AN147" s="692"/>
      <c r="AO147" s="692"/>
      <c r="AP147" s="692"/>
      <c r="AQ147" s="692"/>
      <c r="AR147" s="692"/>
      <c r="AS147" s="692"/>
      <c r="AT147" s="692"/>
      <c r="AU147" s="692"/>
      <c r="AV147" s="692"/>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row>
    <row x14ac:dyDescent="0.25" r="148" customHeight="1" ht="33.6">
      <c r="A148" s="1"/>
      <c r="B148" s="1"/>
      <c r="C148" s="1"/>
      <c r="D148" s="1"/>
      <c r="E148" s="169"/>
      <c r="F148" s="569"/>
      <c r="G148" s="1"/>
      <c r="H148" s="1"/>
      <c r="I148" s="1"/>
      <c r="J148" s="170"/>
      <c r="K148" s="1"/>
      <c r="L148" s="1"/>
      <c r="M148" s="1"/>
      <c r="N148" s="1"/>
      <c r="O148" s="1"/>
      <c r="P148" s="1"/>
      <c r="Q148" s="1"/>
      <c r="R148" s="1"/>
      <c r="S148" s="1"/>
      <c r="T148" s="168"/>
      <c r="U148" s="170"/>
      <c r="V148" s="170"/>
      <c r="W148" s="170"/>
      <c r="X148" s="169"/>
      <c r="Y148" s="1"/>
      <c r="Z148" s="1"/>
      <c r="AA148" s="1"/>
      <c r="AB148" s="1"/>
      <c r="AC148" s="1"/>
      <c r="AD148" s="1"/>
      <c r="AE148" s="1"/>
      <c r="AF148" s="1"/>
      <c r="AG148" s="1"/>
      <c r="AH148" s="1"/>
      <c r="AI148" s="692"/>
      <c r="AJ148" s="692"/>
      <c r="AK148" s="705"/>
      <c r="AL148" s="705"/>
      <c r="AM148" s="692"/>
      <c r="AN148" s="692"/>
      <c r="AO148" s="692"/>
      <c r="AP148" s="692"/>
      <c r="AQ148" s="692"/>
      <c r="AR148" s="692"/>
      <c r="AS148" s="692"/>
      <c r="AT148" s="692"/>
      <c r="AU148" s="692"/>
      <c r="AV148" s="692"/>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row>
    <row x14ac:dyDescent="0.25" r="149" customHeight="1" ht="33.6">
      <c r="A149" s="1"/>
      <c r="B149" s="1"/>
      <c r="C149" s="1"/>
      <c r="D149" s="1"/>
      <c r="E149" s="169"/>
      <c r="F149" s="569"/>
      <c r="G149" s="1"/>
      <c r="H149" s="1"/>
      <c r="I149" s="1"/>
      <c r="J149" s="170"/>
      <c r="K149" s="1"/>
      <c r="L149" s="1"/>
      <c r="M149" s="1"/>
      <c r="N149" s="1"/>
      <c r="O149" s="1"/>
      <c r="P149" s="1"/>
      <c r="Q149" s="1"/>
      <c r="R149" s="1"/>
      <c r="S149" s="1"/>
      <c r="T149" s="168"/>
      <c r="U149" s="170"/>
      <c r="V149" s="170"/>
      <c r="W149" s="170"/>
      <c r="X149" s="169"/>
      <c r="Y149" s="1"/>
      <c r="Z149" s="1"/>
      <c r="AA149" s="1"/>
      <c r="AB149" s="1"/>
      <c r="AC149" s="1"/>
      <c r="AD149" s="1"/>
      <c r="AE149" s="1"/>
      <c r="AF149" s="1"/>
      <c r="AG149" s="1"/>
      <c r="AH149" s="1"/>
      <c r="AI149" s="692"/>
      <c r="AJ149" s="692"/>
      <c r="AK149" s="705"/>
      <c r="AL149" s="705"/>
      <c r="AM149" s="692"/>
      <c r="AN149" s="692"/>
      <c r="AO149" s="692"/>
      <c r="AP149" s="692"/>
      <c r="AQ149" s="692"/>
      <c r="AR149" s="692"/>
      <c r="AS149" s="692"/>
      <c r="AT149" s="692"/>
      <c r="AU149" s="692"/>
      <c r="AV149" s="692"/>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row>
    <row x14ac:dyDescent="0.25" r="150" customHeight="1" ht="33.6">
      <c r="A150" s="1"/>
      <c r="B150" s="1"/>
      <c r="C150" s="1"/>
      <c r="D150" s="1"/>
      <c r="E150" s="169"/>
      <c r="F150" s="569"/>
      <c r="G150" s="1"/>
      <c r="H150" s="1"/>
      <c r="I150" s="1"/>
      <c r="J150" s="170"/>
      <c r="K150" s="1"/>
      <c r="L150" s="1"/>
      <c r="M150" s="1"/>
      <c r="N150" s="1"/>
      <c r="O150" s="1"/>
      <c r="P150" s="1"/>
      <c r="Q150" s="1"/>
      <c r="R150" s="1"/>
      <c r="S150" s="1"/>
      <c r="T150" s="168"/>
      <c r="U150" s="170"/>
      <c r="V150" s="170"/>
      <c r="W150" s="170"/>
      <c r="X150" s="169"/>
      <c r="Y150" s="1"/>
      <c r="Z150" s="1"/>
      <c r="AA150" s="1"/>
      <c r="AB150" s="1"/>
      <c r="AC150" s="1"/>
      <c r="AD150" s="1"/>
      <c r="AE150" s="1"/>
      <c r="AF150" s="1"/>
      <c r="AG150" s="1"/>
      <c r="AH150" s="1"/>
      <c r="AI150" s="692"/>
      <c r="AJ150" s="692"/>
      <c r="AK150" s="705"/>
      <c r="AL150" s="705"/>
      <c r="AM150" s="692"/>
      <c r="AN150" s="692"/>
      <c r="AO150" s="692"/>
      <c r="AP150" s="692"/>
      <c r="AQ150" s="692"/>
      <c r="AR150" s="692"/>
      <c r="AS150" s="692"/>
      <c r="AT150" s="692"/>
      <c r="AU150" s="692"/>
      <c r="AV150" s="692"/>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row>
    <row x14ac:dyDescent="0.25" r="151" customHeight="1" ht="33.6">
      <c r="A151" s="1"/>
      <c r="B151" s="1"/>
      <c r="C151" s="1"/>
      <c r="D151" s="1"/>
      <c r="E151" s="169"/>
      <c r="F151" s="569"/>
      <c r="G151" s="1"/>
      <c r="H151" s="1"/>
      <c r="I151" s="1"/>
      <c r="J151" s="170"/>
      <c r="K151" s="1"/>
      <c r="L151" s="1"/>
      <c r="M151" s="1"/>
      <c r="N151" s="1"/>
      <c r="O151" s="1"/>
      <c r="P151" s="1"/>
      <c r="Q151" s="1"/>
      <c r="R151" s="1"/>
      <c r="S151" s="1"/>
      <c r="T151" s="168"/>
      <c r="U151" s="170"/>
      <c r="V151" s="170"/>
      <c r="W151" s="170"/>
      <c r="X151" s="169"/>
      <c r="Y151" s="1"/>
      <c r="Z151" s="1"/>
      <c r="AA151" s="1"/>
      <c r="AB151" s="1"/>
      <c r="AC151" s="1"/>
      <c r="AD151" s="1"/>
      <c r="AE151" s="1"/>
      <c r="AF151" s="1"/>
      <c r="AG151" s="1"/>
      <c r="AH151" s="1"/>
      <c r="AI151" s="692"/>
      <c r="AJ151" s="692"/>
      <c r="AK151" s="705"/>
      <c r="AL151" s="705"/>
      <c r="AM151" s="692"/>
      <c r="AN151" s="692"/>
      <c r="AO151" s="692"/>
      <c r="AP151" s="692"/>
      <c r="AQ151" s="692"/>
      <c r="AR151" s="692"/>
      <c r="AS151" s="692"/>
      <c r="AT151" s="692"/>
      <c r="AU151" s="692"/>
      <c r="AV151" s="692"/>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row>
    <row x14ac:dyDescent="0.25" r="152" customHeight="1" ht="33.6">
      <c r="A152" s="1"/>
      <c r="B152" s="1"/>
      <c r="C152" s="1"/>
      <c r="D152" s="1"/>
      <c r="E152" s="169"/>
      <c r="F152" s="569"/>
      <c r="G152" s="1"/>
      <c r="H152" s="1"/>
      <c r="I152" s="1"/>
      <c r="J152" s="170"/>
      <c r="K152" s="1"/>
      <c r="L152" s="1"/>
      <c r="M152" s="1"/>
      <c r="N152" s="1"/>
      <c r="O152" s="1"/>
      <c r="P152" s="1"/>
      <c r="Q152" s="1"/>
      <c r="R152" s="1"/>
      <c r="S152" s="1"/>
      <c r="T152" s="168"/>
      <c r="U152" s="170"/>
      <c r="V152" s="170"/>
      <c r="W152" s="170"/>
      <c r="X152" s="169"/>
      <c r="Y152" s="1"/>
      <c r="Z152" s="1"/>
      <c r="AA152" s="1"/>
      <c r="AB152" s="1"/>
      <c r="AC152" s="1"/>
      <c r="AD152" s="1"/>
      <c r="AE152" s="1"/>
      <c r="AF152" s="1"/>
      <c r="AG152" s="1"/>
      <c r="AH152" s="1"/>
      <c r="AI152" s="692"/>
      <c r="AJ152" s="692"/>
      <c r="AK152" s="705"/>
      <c r="AL152" s="705"/>
      <c r="AM152" s="692"/>
      <c r="AN152" s="692"/>
      <c r="AO152" s="692"/>
      <c r="AP152" s="692"/>
      <c r="AQ152" s="692"/>
      <c r="AR152" s="692"/>
      <c r="AS152" s="692"/>
      <c r="AT152" s="692"/>
      <c r="AU152" s="692"/>
      <c r="AV152" s="692"/>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row>
    <row x14ac:dyDescent="0.25" r="153" customHeight="1" ht="33.6">
      <c r="A153" s="1"/>
      <c r="B153" s="1"/>
      <c r="C153" s="1"/>
      <c r="D153" s="1"/>
      <c r="E153" s="169"/>
      <c r="F153" s="569"/>
      <c r="G153" s="1"/>
      <c r="H153" s="1"/>
      <c r="I153" s="1"/>
      <c r="J153" s="170"/>
      <c r="K153" s="1"/>
      <c r="L153" s="1"/>
      <c r="M153" s="1"/>
      <c r="N153" s="1"/>
      <c r="O153" s="1"/>
      <c r="P153" s="1"/>
      <c r="Q153" s="1"/>
      <c r="R153" s="1"/>
      <c r="S153" s="1"/>
      <c r="T153" s="168"/>
      <c r="U153" s="170"/>
      <c r="V153" s="170"/>
      <c r="W153" s="170"/>
      <c r="X153" s="169"/>
      <c r="Y153" s="1"/>
      <c r="Z153" s="1"/>
      <c r="AA153" s="1"/>
      <c r="AB153" s="1"/>
      <c r="AC153" s="1"/>
      <c r="AD153" s="1"/>
      <c r="AE153" s="1"/>
      <c r="AF153" s="1"/>
      <c r="AG153" s="1"/>
      <c r="AH153" s="1"/>
      <c r="AI153" s="692"/>
      <c r="AJ153" s="692"/>
      <c r="AK153" s="705"/>
      <c r="AL153" s="705"/>
      <c r="AM153" s="692"/>
      <c r="AN153" s="692"/>
      <c r="AO153" s="692"/>
      <c r="AP153" s="692"/>
      <c r="AQ153" s="692"/>
      <c r="AR153" s="692"/>
      <c r="AS153" s="692"/>
      <c r="AT153" s="692"/>
      <c r="AU153" s="692"/>
      <c r="AV153" s="692"/>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row>
    <row x14ac:dyDescent="0.25" r="154" customHeight="1" ht="33.6">
      <c r="A154" s="1"/>
      <c r="B154" s="1"/>
      <c r="C154" s="1"/>
      <c r="D154" s="1"/>
      <c r="E154" s="662" t="s">
        <v>263</v>
      </c>
      <c r="F154" s="569"/>
      <c r="G154" s="1"/>
      <c r="H154" s="1"/>
      <c r="I154" s="1"/>
      <c r="J154" s="170"/>
      <c r="K154" s="1"/>
      <c r="L154" s="1"/>
      <c r="M154" s="1"/>
      <c r="N154" s="1"/>
      <c r="O154" s="1"/>
      <c r="P154" s="1"/>
      <c r="Q154" s="1"/>
      <c r="R154" s="1"/>
      <c r="S154" s="1"/>
      <c r="T154" s="168"/>
      <c r="U154" s="170"/>
      <c r="V154" s="170"/>
      <c r="W154" s="170"/>
      <c r="X154" s="169"/>
      <c r="Y154" s="1"/>
      <c r="Z154" s="1"/>
      <c r="AA154" s="1"/>
      <c r="AB154" s="1"/>
      <c r="AC154" s="1"/>
      <c r="AD154" s="1"/>
      <c r="AE154" s="1"/>
      <c r="AF154" s="1"/>
      <c r="AG154" s="1"/>
      <c r="AH154" s="1"/>
      <c r="AI154" s="692"/>
      <c r="AJ154" s="692"/>
      <c r="AK154" s="705"/>
      <c r="AL154" s="705"/>
      <c r="AM154" s="692"/>
      <c r="AN154" s="692"/>
      <c r="AO154" s="692"/>
      <c r="AP154" s="692"/>
      <c r="AQ154" s="692"/>
      <c r="AR154" s="692"/>
      <c r="AS154" s="692"/>
      <c r="AT154" s="692"/>
      <c r="AU154" s="692"/>
      <c r="AV154" s="692"/>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row>
    <row x14ac:dyDescent="0.25" r="155" customHeight="1" ht="33.6">
      <c r="A155" s="1"/>
      <c r="B155" s="1"/>
      <c r="C155" s="1"/>
      <c r="D155" s="1"/>
      <c r="E155" s="696">
        <v>5</v>
      </c>
      <c r="F155" s="697" t="s">
        <v>248</v>
      </c>
      <c r="G155" s="1"/>
      <c r="H155" s="1"/>
      <c r="I155" s="1"/>
      <c r="J155" s="170"/>
      <c r="K155" s="1"/>
      <c r="L155" s="1"/>
      <c r="M155" s="1"/>
      <c r="N155" s="1"/>
      <c r="O155" s="1"/>
      <c r="P155" s="1"/>
      <c r="Q155" s="1"/>
      <c r="R155" s="1"/>
      <c r="S155" s="1"/>
      <c r="T155" s="168"/>
      <c r="U155" s="170"/>
      <c r="V155" s="170"/>
      <c r="W155" s="170"/>
      <c r="X155" s="169"/>
      <c r="Y155" s="1"/>
      <c r="Z155" s="1"/>
      <c r="AA155" s="1"/>
      <c r="AB155" s="1"/>
      <c r="AC155" s="1"/>
      <c r="AD155" s="1"/>
      <c r="AE155" s="1"/>
      <c r="AF155" s="1"/>
      <c r="AG155" s="1"/>
      <c r="AH155" s="1"/>
      <c r="AI155" s="692"/>
      <c r="AJ155" s="692"/>
      <c r="AK155" s="705"/>
      <c r="AL155" s="705"/>
      <c r="AM155" s="692"/>
      <c r="AN155" s="692"/>
      <c r="AO155" s="692"/>
      <c r="AP155" s="692"/>
      <c r="AQ155" s="692"/>
      <c r="AR155" s="692"/>
      <c r="AS155" s="692"/>
      <c r="AT155" s="692"/>
      <c r="AU155" s="692"/>
      <c r="AV155" s="692"/>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row>
    <row x14ac:dyDescent="0.25" r="156" customHeight="1" ht="33.6">
      <c r="A156" s="1"/>
      <c r="B156" s="1"/>
      <c r="C156" s="1"/>
      <c r="D156" s="1"/>
      <c r="E156" s="698" t="s">
        <v>261</v>
      </c>
      <c r="F156" s="697" t="s">
        <v>250</v>
      </c>
      <c r="G156" s="1"/>
      <c r="H156" s="1"/>
      <c r="I156" s="1"/>
      <c r="J156" s="170"/>
      <c r="K156" s="1"/>
      <c r="L156" s="1"/>
      <c r="M156" s="1"/>
      <c r="N156" s="1"/>
      <c r="O156" s="1"/>
      <c r="P156" s="1"/>
      <c r="Q156" s="1"/>
      <c r="R156" s="1"/>
      <c r="S156" s="1"/>
      <c r="T156" s="168"/>
      <c r="U156" s="170"/>
      <c r="V156" s="170"/>
      <c r="W156" s="170"/>
      <c r="X156" s="169"/>
      <c r="Y156" s="1"/>
      <c r="Z156" s="1"/>
      <c r="AA156" s="1"/>
      <c r="AB156" s="1"/>
      <c r="AC156" s="1"/>
      <c r="AD156" s="1"/>
      <c r="AE156" s="1"/>
      <c r="AF156" s="1"/>
      <c r="AG156" s="1"/>
      <c r="AH156" s="1"/>
      <c r="AI156" s="692"/>
      <c r="AJ156" s="692"/>
      <c r="AK156" s="705"/>
      <c r="AL156" s="705"/>
      <c r="AM156" s="692"/>
      <c r="AN156" s="692"/>
      <c r="AO156" s="692"/>
      <c r="AP156" s="692"/>
      <c r="AQ156" s="692"/>
      <c r="AR156" s="692"/>
      <c r="AS156" s="692"/>
      <c r="AT156" s="692"/>
      <c r="AU156" s="692"/>
      <c r="AV156" s="692"/>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row>
    <row x14ac:dyDescent="0.25" r="157" customHeight="1" ht="33.6">
      <c r="A157" s="1"/>
      <c r="B157" s="1"/>
      <c r="C157" s="1"/>
      <c r="D157" s="1"/>
      <c r="E157" s="169"/>
      <c r="F157" s="569"/>
      <c r="G157" s="1"/>
      <c r="H157" s="1"/>
      <c r="I157" s="1"/>
      <c r="J157" s="170"/>
      <c r="K157" s="1"/>
      <c r="L157" s="1"/>
      <c r="M157" s="1"/>
      <c r="N157" s="1"/>
      <c r="O157" s="1"/>
      <c r="P157" s="1"/>
      <c r="Q157" s="1"/>
      <c r="R157" s="1"/>
      <c r="S157" s="1"/>
      <c r="T157" s="168"/>
      <c r="U157" s="170"/>
      <c r="V157" s="170"/>
      <c r="W157" s="170"/>
      <c r="X157" s="169"/>
      <c r="Y157" s="1"/>
      <c r="Z157" s="1"/>
      <c r="AA157" s="1"/>
      <c r="AB157" s="1"/>
      <c r="AC157" s="1"/>
      <c r="AD157" s="1"/>
      <c r="AE157" s="1"/>
      <c r="AF157" s="1"/>
      <c r="AG157" s="1"/>
      <c r="AH157" s="1"/>
      <c r="AI157" s="692"/>
      <c r="AJ157" s="692"/>
      <c r="AK157" s="705"/>
      <c r="AL157" s="705"/>
      <c r="AM157" s="692"/>
      <c r="AN157" s="692"/>
      <c r="AO157" s="692"/>
      <c r="AP157" s="692"/>
      <c r="AQ157" s="692"/>
      <c r="AR157" s="692"/>
      <c r="AS157" s="692"/>
      <c r="AT157" s="692"/>
      <c r="AU157" s="692"/>
      <c r="AV157" s="692"/>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row>
    <row x14ac:dyDescent="0.25" r="158" customHeight="1" ht="22.149999999999995">
      <c r="A158" s="1"/>
      <c r="B158" s="1"/>
      <c r="C158" s="1"/>
      <c r="D158" s="1"/>
      <c r="E158" s="684" t="s">
        <v>139</v>
      </c>
      <c r="F158" s="682">
        <f>+'Simulador - 1º Pilar'!$G$50</f>
      </c>
      <c r="G158" s="1"/>
      <c r="H158" s="1"/>
      <c r="I158" s="1"/>
      <c r="J158" s="170"/>
      <c r="K158" s="1"/>
      <c r="L158" s="1"/>
      <c r="M158" s="1"/>
      <c r="N158" s="1"/>
      <c r="O158" s="1"/>
      <c r="P158" s="1"/>
      <c r="Q158" s="1"/>
      <c r="R158" s="1"/>
      <c r="S158" s="1"/>
      <c r="T158" s="168"/>
      <c r="U158" s="170"/>
      <c r="V158" s="170"/>
      <c r="W158" s="170"/>
      <c r="X158" s="169"/>
      <c r="Y158" s="1"/>
      <c r="Z158" s="1"/>
      <c r="AA158" s="1"/>
      <c r="AB158" s="1"/>
      <c r="AC158" s="1"/>
      <c r="AD158" s="1"/>
      <c r="AE158" s="1"/>
      <c r="AF158" s="1"/>
      <c r="AG158" s="1"/>
      <c r="AH158" s="1"/>
      <c r="AI158" s="692"/>
      <c r="AJ158" s="692"/>
      <c r="AK158" s="705"/>
      <c r="AL158" s="705"/>
      <c r="AM158" s="692"/>
      <c r="AN158" s="692"/>
      <c r="AO158" s="692"/>
      <c r="AP158" s="692"/>
      <c r="AQ158" s="692"/>
      <c r="AR158" s="692"/>
      <c r="AS158" s="692"/>
      <c r="AT158" s="692"/>
      <c r="AU158" s="692"/>
      <c r="AV158" s="692"/>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row>
    <row x14ac:dyDescent="0.25" r="159" customHeight="1" ht="22.149999999999995">
      <c r="A159" s="1"/>
      <c r="B159" s="1"/>
      <c r="C159" s="1"/>
      <c r="D159" s="1"/>
      <c r="E159" s="684"/>
      <c r="F159" s="672"/>
      <c r="G159" s="1"/>
      <c r="H159" s="1"/>
      <c r="I159" s="1"/>
      <c r="J159" s="170"/>
      <c r="K159" s="1"/>
      <c r="L159" s="1"/>
      <c r="M159" s="1"/>
      <c r="N159" s="1"/>
      <c r="O159" s="1"/>
      <c r="P159" s="1"/>
      <c r="Q159" s="1"/>
      <c r="R159" s="1"/>
      <c r="S159" s="1"/>
      <c r="T159" s="168"/>
      <c r="U159" s="170"/>
      <c r="V159" s="170"/>
      <c r="W159" s="170"/>
      <c r="X159" s="169"/>
      <c r="Y159" s="1"/>
      <c r="Z159" s="1"/>
      <c r="AA159" s="1"/>
      <c r="AB159" s="1"/>
      <c r="AC159" s="1"/>
      <c r="AD159" s="1"/>
      <c r="AE159" s="1"/>
      <c r="AF159" s="1"/>
      <c r="AG159" s="1"/>
      <c r="AH159" s="1"/>
      <c r="AI159" s="692"/>
      <c r="AJ159" s="692"/>
      <c r="AK159" s="705"/>
      <c r="AL159" s="705"/>
      <c r="AM159" s="692"/>
      <c r="AN159" s="692"/>
      <c r="AO159" s="692"/>
      <c r="AP159" s="692"/>
      <c r="AQ159" s="692"/>
      <c r="AR159" s="692"/>
      <c r="AS159" s="692"/>
      <c r="AT159" s="692"/>
      <c r="AU159" s="692"/>
      <c r="AV159" s="692"/>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row>
    <row x14ac:dyDescent="0.25" r="160" customHeight="1" ht="22.149999999999995">
      <c r="A160" s="1"/>
      <c r="B160" s="1"/>
      <c r="C160" s="1"/>
      <c r="D160" s="1"/>
      <c r="E160" s="699" t="s">
        <v>259</v>
      </c>
      <c r="F160" s="700">
        <f>$F$111</f>
      </c>
      <c r="G160" s="1"/>
      <c r="H160" s="1"/>
      <c r="I160" s="1"/>
      <c r="J160" s="170"/>
      <c r="K160" s="1"/>
      <c r="L160" s="1"/>
      <c r="M160" s="1"/>
      <c r="N160" s="1"/>
      <c r="O160" s="1"/>
      <c r="P160" s="1"/>
      <c r="Q160" s="1"/>
      <c r="R160" s="1"/>
      <c r="S160" s="1"/>
      <c r="T160" s="168"/>
      <c r="U160" s="170"/>
      <c r="V160" s="170"/>
      <c r="W160" s="170"/>
      <c r="X160" s="169"/>
      <c r="Y160" s="1"/>
      <c r="Z160" s="1"/>
      <c r="AA160" s="1"/>
      <c r="AB160" s="1"/>
      <c r="AC160" s="1"/>
      <c r="AD160" s="1"/>
      <c r="AE160" s="1"/>
      <c r="AF160" s="1"/>
      <c r="AG160" s="1"/>
      <c r="AH160" s="1"/>
      <c r="AI160" s="679"/>
      <c r="AJ160" s="692"/>
      <c r="AK160" s="705"/>
      <c r="AL160" s="705"/>
      <c r="AM160" s="692"/>
      <c r="AN160" s="692"/>
      <c r="AO160" s="692"/>
      <c r="AP160" s="692"/>
      <c r="AQ160" s="692"/>
      <c r="AR160" s="692"/>
      <c r="AS160" s="692"/>
      <c r="AT160" s="692"/>
      <c r="AU160" s="692"/>
      <c r="AV160" s="692"/>
      <c r="AW160" s="571"/>
      <c r="AX160" s="571"/>
      <c r="AY160" s="571"/>
      <c r="AZ160" s="571"/>
      <c r="BA160" s="571"/>
      <c r="BB160" s="571"/>
      <c r="BC160" s="571"/>
      <c r="BD160" s="571"/>
      <c r="BE160" s="571"/>
      <c r="BF160" s="571"/>
      <c r="BG160" s="571"/>
      <c r="BH160" s="571"/>
      <c r="BI160" s="571"/>
      <c r="BJ160" s="571"/>
      <c r="BK160" s="571"/>
      <c r="BL160" s="571"/>
      <c r="BM160" s="571"/>
      <c r="BN160" s="571"/>
      <c r="BO160" s="571"/>
      <c r="BP160" s="571"/>
      <c r="BQ160" s="571"/>
      <c r="BR160" s="571"/>
      <c r="BS160" s="571"/>
      <c r="BT160" s="571"/>
      <c r="BU160" s="571"/>
      <c r="BV160" s="571"/>
      <c r="BW160" s="571"/>
      <c r="BX160" s="571"/>
      <c r="BY160" s="571"/>
      <c r="BZ160" s="571"/>
      <c r="CA160" s="571"/>
      <c r="CB160" s="571"/>
      <c r="CC160" s="571"/>
      <c r="CD160" s="571"/>
      <c r="CE160" s="571"/>
      <c r="CF160" s="571"/>
      <c r="CG160" s="571"/>
      <c r="CH160" s="571"/>
      <c r="CI160" s="571"/>
      <c r="CJ160" s="571"/>
      <c r="CK160" s="571"/>
      <c r="CL160" s="571"/>
      <c r="CM160" s="1"/>
      <c r="CN160" s="1"/>
      <c r="CO160" s="1"/>
      <c r="CP160" s="1"/>
      <c r="CQ160" s="1"/>
      <c r="CR160" s="1"/>
      <c r="CS160" s="1"/>
      <c r="CT160" s="1"/>
      <c r="CU160" s="1"/>
      <c r="CV160" s="1"/>
      <c r="CW160" s="1"/>
    </row>
    <row x14ac:dyDescent="0.25" r="161" customHeight="1" ht="22.149999999999995">
      <c r="A161" s="1"/>
      <c r="B161" s="1"/>
      <c r="C161" s="1"/>
      <c r="D161" s="1"/>
      <c r="E161" s="699" t="s">
        <v>253</v>
      </c>
      <c r="F161" s="700">
        <f>100%-F160</f>
      </c>
      <c r="G161" s="1"/>
      <c r="H161" s="1"/>
      <c r="I161" s="1"/>
      <c r="J161" s="170"/>
      <c r="K161" s="1"/>
      <c r="L161" s="1"/>
      <c r="M161" s="1"/>
      <c r="N161" s="1"/>
      <c r="O161" s="1"/>
      <c r="P161" s="1"/>
      <c r="Q161" s="1"/>
      <c r="R161" s="1"/>
      <c r="S161" s="1"/>
      <c r="T161" s="168"/>
      <c r="U161" s="170"/>
      <c r="V161" s="170"/>
      <c r="W161" s="170"/>
      <c r="X161" s="169"/>
      <c r="Y161" s="1"/>
      <c r="Z161" s="1"/>
      <c r="AA161" s="1"/>
      <c r="AB161" s="1"/>
      <c r="AC161" s="1"/>
      <c r="AD161" s="1"/>
      <c r="AE161" s="1"/>
      <c r="AF161" s="1"/>
      <c r="AG161" s="1"/>
      <c r="AH161" s="1"/>
      <c r="AI161" s="679"/>
      <c r="AJ161" s="692"/>
      <c r="AK161" s="705"/>
      <c r="AL161" s="705"/>
      <c r="AM161" s="692"/>
      <c r="AN161" s="692"/>
      <c r="AO161" s="692"/>
      <c r="AP161" s="692"/>
      <c r="AQ161" s="692"/>
      <c r="AR161" s="692"/>
      <c r="AS161" s="692"/>
      <c r="AT161" s="692"/>
      <c r="AU161" s="692"/>
      <c r="AV161" s="692"/>
      <c r="AW161" s="571"/>
      <c r="AX161" s="571"/>
      <c r="AY161" s="571"/>
      <c r="AZ161" s="571"/>
      <c r="BA161" s="571"/>
      <c r="BB161" s="571"/>
      <c r="BC161" s="571"/>
      <c r="BD161" s="571"/>
      <c r="BE161" s="571"/>
      <c r="BF161" s="571"/>
      <c r="BG161" s="571"/>
      <c r="BH161" s="571"/>
      <c r="BI161" s="571"/>
      <c r="BJ161" s="571"/>
      <c r="BK161" s="571"/>
      <c r="BL161" s="571"/>
      <c r="BM161" s="571"/>
      <c r="BN161" s="571"/>
      <c r="BO161" s="571"/>
      <c r="BP161" s="571"/>
      <c r="BQ161" s="571"/>
      <c r="BR161" s="571"/>
      <c r="BS161" s="571"/>
      <c r="BT161" s="571"/>
      <c r="BU161" s="571"/>
      <c r="BV161" s="571"/>
      <c r="BW161" s="571"/>
      <c r="BX161" s="571"/>
      <c r="BY161" s="571"/>
      <c r="BZ161" s="571"/>
      <c r="CA161" s="571"/>
      <c r="CB161" s="571"/>
      <c r="CC161" s="571"/>
      <c r="CD161" s="571"/>
      <c r="CE161" s="571"/>
      <c r="CF161" s="571"/>
      <c r="CG161" s="571"/>
      <c r="CH161" s="571"/>
      <c r="CI161" s="571"/>
      <c r="CJ161" s="571"/>
      <c r="CK161" s="571"/>
      <c r="CL161" s="571"/>
      <c r="CM161" s="1"/>
      <c r="CN161" s="1"/>
      <c r="CO161" s="1"/>
      <c r="CP161" s="1"/>
      <c r="CQ161" s="1"/>
      <c r="CR161" s="1"/>
      <c r="CS161" s="1"/>
      <c r="CT161" s="1"/>
      <c r="CU161" s="1"/>
      <c r="CV161" s="1"/>
      <c r="CW161" s="1"/>
    </row>
    <row x14ac:dyDescent="0.25" r="162" customHeight="1" ht="18.75">
      <c r="A162" s="1"/>
      <c r="B162" s="1"/>
      <c r="C162" s="1"/>
      <c r="D162" s="1"/>
      <c r="E162" s="684" t="s">
        <v>254</v>
      </c>
      <c r="F162" s="672">
        <f>+F159+F160</f>
      </c>
      <c r="G162" s="1"/>
      <c r="H162" s="1"/>
      <c r="I162" s="1"/>
      <c r="J162" s="170"/>
      <c r="K162" s="1"/>
      <c r="L162" s="1"/>
      <c r="M162" s="1"/>
      <c r="N162" s="1"/>
      <c r="O162" s="1"/>
      <c r="P162" s="1"/>
      <c r="Q162" s="1"/>
      <c r="R162" s="1"/>
      <c r="S162" s="1"/>
      <c r="T162" s="168"/>
      <c r="U162" s="170"/>
      <c r="V162" s="170"/>
      <c r="W162" s="170"/>
      <c r="X162" s="169"/>
      <c r="Y162" s="1"/>
      <c r="Z162" s="1"/>
      <c r="AA162" s="1"/>
      <c r="AB162" s="1"/>
      <c r="AC162" s="1"/>
      <c r="AD162" s="1"/>
      <c r="AE162" s="1"/>
      <c r="AF162" s="1"/>
      <c r="AG162" s="1"/>
      <c r="AH162" s="1"/>
      <c r="AI162" s="1"/>
      <c r="AJ162" s="1"/>
      <c r="AK162" s="169"/>
      <c r="AL162" s="169"/>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row>
    <row x14ac:dyDescent="0.25" r="163" customHeight="1" ht="18.75">
      <c r="A163" s="1"/>
      <c r="B163" s="1"/>
      <c r="C163" s="1"/>
      <c r="D163" s="1"/>
      <c r="E163" s="670" t="s">
        <v>255</v>
      </c>
      <c r="F163" s="672">
        <f>MAX(100%-F162,0)</f>
      </c>
      <c r="G163" s="1"/>
      <c r="H163" s="1"/>
      <c r="I163" s="1"/>
      <c r="J163" s="170"/>
      <c r="K163" s="1"/>
      <c r="L163" s="1"/>
      <c r="M163" s="1"/>
      <c r="N163" s="1"/>
      <c r="O163" s="1"/>
      <c r="P163" s="1"/>
      <c r="Q163" s="1"/>
      <c r="R163" s="1"/>
      <c r="S163" s="1"/>
      <c r="T163" s="168"/>
      <c r="U163" s="170"/>
      <c r="V163" s="170"/>
      <c r="W163" s="170"/>
      <c r="X163" s="169"/>
      <c r="Y163" s="1"/>
      <c r="Z163" s="1"/>
      <c r="AA163" s="1"/>
      <c r="AB163" s="1"/>
      <c r="AC163" s="1"/>
      <c r="AD163" s="1"/>
      <c r="AE163" s="1"/>
      <c r="AF163" s="1"/>
      <c r="AG163" s="1"/>
      <c r="AH163" s="1"/>
      <c r="AI163" s="1"/>
      <c r="AJ163" s="1"/>
      <c r="AK163" s="169"/>
      <c r="AL163" s="169"/>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row>
  </sheetData>
  <mergeCells count="55">
    <mergeCell ref="C2:V2"/>
    <mergeCell ref="C3:I3"/>
    <mergeCell ref="T3:U3"/>
    <mergeCell ref="H6:I6"/>
    <mergeCell ref="C8:L8"/>
    <mergeCell ref="C10:C16"/>
    <mergeCell ref="E10:F10"/>
    <mergeCell ref="J10:L10"/>
    <mergeCell ref="E12:F12"/>
    <mergeCell ref="J12:L12"/>
    <mergeCell ref="E14:F14"/>
    <mergeCell ref="J14:L14"/>
    <mergeCell ref="T14:V14"/>
    <mergeCell ref="E16:H16"/>
    <mergeCell ref="J16:L16"/>
    <mergeCell ref="T16:V16"/>
    <mergeCell ref="C18:C24"/>
    <mergeCell ref="E18:F18"/>
    <mergeCell ref="H18:H22"/>
    <mergeCell ref="J18:L18"/>
    <mergeCell ref="E20:F20"/>
    <mergeCell ref="J20:L20"/>
    <mergeCell ref="E22:F22"/>
    <mergeCell ref="J22:L22"/>
    <mergeCell ref="T22:V22"/>
    <mergeCell ref="E24:H24"/>
    <mergeCell ref="J24:L24"/>
    <mergeCell ref="T24:V24"/>
    <mergeCell ref="C28:L28"/>
    <mergeCell ref="C30:C40"/>
    <mergeCell ref="E30:F33"/>
    <mergeCell ref="H30:H33"/>
    <mergeCell ref="J30:L33"/>
    <mergeCell ref="T30:T31"/>
    <mergeCell ref="V30:V31"/>
    <mergeCell ref="T33:T35"/>
    <mergeCell ref="V33:V35"/>
    <mergeCell ref="E35:F38"/>
    <mergeCell ref="H35:H38"/>
    <mergeCell ref="J35:L38"/>
    <mergeCell ref="T37:V38"/>
    <mergeCell ref="E40:H40"/>
    <mergeCell ref="J40:L40"/>
    <mergeCell ref="T40:V40"/>
    <mergeCell ref="C45:L45"/>
    <mergeCell ref="C47:C53"/>
    <mergeCell ref="E47:F51"/>
    <mergeCell ref="H47:H51"/>
    <mergeCell ref="J47:L51"/>
    <mergeCell ref="T51:V51"/>
    <mergeCell ref="E53:H53"/>
    <mergeCell ref="J53:L53"/>
    <mergeCell ref="T53:V53"/>
    <mergeCell ref="N74:T74"/>
    <mergeCell ref="E85:F85"/>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M1066"/>
  <sheetViews>
    <sheetView workbookViewId="0"/>
  </sheetViews>
  <sheetFormatPr defaultRowHeight="15" x14ac:dyDescent="0.25"/>
  <cols>
    <col min="1" max="1" style="163" width="26.576428571428572" customWidth="1" bestFit="1"/>
    <col min="2" max="2" style="165" width="13.576428571428572" customWidth="1" bestFit="1"/>
    <col min="3" max="3" style="164" width="13.576428571428572" customWidth="1" bestFit="1"/>
    <col min="4" max="4" style="352" width="13.576428571428572" customWidth="1" bestFit="1"/>
    <col min="5" max="5" style="167" width="13.576428571428572" customWidth="1" bestFit="1"/>
    <col min="6" max="6" style="353" width="13.576428571428572" customWidth="1" bestFit="1"/>
    <col min="7" max="7" style="353" width="13.576428571428572" customWidth="1" bestFit="1"/>
    <col min="8" max="8" style="353" width="13.576428571428572" customWidth="1" bestFit="1"/>
    <col min="9" max="9" style="567" width="13.576428571428572" customWidth="1" bestFit="1"/>
    <col min="10" max="10" style="353" width="13.576428571428572" customWidth="1" bestFit="1"/>
    <col min="11" max="11" style="353" width="13.576428571428572" customWidth="1" bestFit="1"/>
    <col min="12" max="12" style="353" width="13.576428571428572" customWidth="1" bestFit="1"/>
    <col min="13" max="13" style="163" width="15.719285714285713" customWidth="1" bestFit="1"/>
    <col min="14" max="14" style="167" width="13.576428571428572" customWidth="1" bestFit="1"/>
    <col min="15" max="15" style="163" width="13.576428571428572" customWidth="1" bestFit="1"/>
    <col min="16" max="16" style="352" width="13.576428571428572" customWidth="1" bestFit="1"/>
    <col min="17" max="17" style="167" width="13.576428571428572" customWidth="1" bestFit="1"/>
    <col min="18" max="18" style="166" width="13.576428571428572" customWidth="1" bestFit="1"/>
    <col min="19" max="19" style="163" width="13.576428571428572" customWidth="1" bestFit="1"/>
    <col min="20" max="20" style="163" width="13.576428571428572" customWidth="1" bestFit="1"/>
    <col min="21" max="21" style="163" width="13.576428571428572" customWidth="1" bestFit="1"/>
    <col min="22" max="22" style="164" width="13.576428571428572" customWidth="1" bestFit="1"/>
    <col min="23" max="23" style="167" width="13.576428571428572" customWidth="1" bestFit="1"/>
    <col min="24" max="24" style="163" width="13.576428571428572" customWidth="1" bestFit="1"/>
    <col min="25" max="25" style="163" width="13.576428571428572" customWidth="1" bestFit="1"/>
    <col min="26" max="26" style="163" width="13.576428571428572" customWidth="1" bestFit="1"/>
    <col min="27" max="27" style="163" width="13.576428571428572" customWidth="1" bestFit="1"/>
    <col min="28" max="28" style="163" width="13.576428571428572" customWidth="1" bestFit="1"/>
    <col min="29" max="29" style="352" width="13.576428571428572" customWidth="1" bestFit="1"/>
    <col min="30" max="30" style="167" width="13.576428571428572" customWidth="1" bestFit="1"/>
    <col min="31" max="31" style="166" width="13.576428571428572" customWidth="1" bestFit="1"/>
    <col min="32" max="32" style="163" width="13.576428571428572" customWidth="1" bestFit="1"/>
    <col min="33" max="33" style="163" width="13.576428571428572" customWidth="1" bestFit="1"/>
    <col min="34" max="34" style="163" width="13.576428571428572" customWidth="1" bestFit="1"/>
    <col min="35" max="35" style="164" width="13.576428571428572" customWidth="1" bestFit="1"/>
    <col min="36" max="36" style="167" width="13.576428571428572" customWidth="1" bestFit="1"/>
    <col min="37" max="37" style="163" width="13.576428571428572" customWidth="1" bestFit="1"/>
    <col min="38" max="38" style="163" width="13.576428571428572" customWidth="1" bestFit="1"/>
    <col min="39" max="39" style="163" width="13.576428571428572" customWidth="1" bestFit="1"/>
  </cols>
  <sheetData>
    <row x14ac:dyDescent="0.25" r="1" customHeight="1" ht="18.75">
      <c r="A1" s="1"/>
      <c r="B1" s="169"/>
      <c r="C1" s="170"/>
      <c r="D1" s="528" t="s">
        <v>182</v>
      </c>
      <c r="E1" s="529"/>
      <c r="F1" s="530"/>
      <c r="G1" s="530"/>
      <c r="H1" s="530"/>
      <c r="I1" s="531"/>
      <c r="J1" s="530"/>
      <c r="K1" s="530"/>
      <c r="L1" s="530"/>
      <c r="M1" s="532"/>
      <c r="N1" s="529"/>
      <c r="O1" s="1"/>
      <c r="P1" s="533" t="s">
        <v>183</v>
      </c>
      <c r="Q1" s="534"/>
      <c r="R1" s="535"/>
      <c r="S1" s="536"/>
      <c r="T1" s="536"/>
      <c r="U1" s="536"/>
      <c r="V1" s="537"/>
      <c r="W1" s="534"/>
      <c r="X1" s="536"/>
      <c r="Y1" s="536"/>
      <c r="Z1" s="536"/>
      <c r="AA1" s="1"/>
      <c r="AB1" s="1"/>
      <c r="AC1" s="538" t="s">
        <v>184</v>
      </c>
      <c r="AD1" s="539"/>
      <c r="AE1" s="540"/>
      <c r="AF1" s="541"/>
      <c r="AG1" s="541"/>
      <c r="AH1" s="541"/>
      <c r="AI1" s="542"/>
      <c r="AJ1" s="539"/>
      <c r="AK1" s="541"/>
      <c r="AL1" s="541"/>
      <c r="AM1" s="541"/>
    </row>
    <row x14ac:dyDescent="0.25" r="2" customHeight="1" ht="18.75">
      <c r="A2" s="1"/>
      <c r="B2" s="169"/>
      <c r="C2" s="170"/>
      <c r="D2" s="320"/>
      <c r="E2" s="7"/>
      <c r="F2" s="321"/>
      <c r="G2" s="321"/>
      <c r="H2" s="321"/>
      <c r="I2" s="543"/>
      <c r="J2" s="321"/>
      <c r="K2" s="276" t="s">
        <v>185</v>
      </c>
      <c r="L2" s="321"/>
      <c r="M2" s="1"/>
      <c r="N2" s="7"/>
      <c r="O2" s="1"/>
      <c r="P2" s="340" t="s">
        <v>125</v>
      </c>
      <c r="Q2" s="544">
        <f>'Simulador - 3º Pilar'!#REF!</f>
      </c>
      <c r="R2" s="168"/>
      <c r="S2" s="1"/>
      <c r="T2" s="1"/>
      <c r="U2" s="1"/>
      <c r="V2" s="170"/>
      <c r="W2" s="7"/>
      <c r="X2" s="1"/>
      <c r="Y2" s="1"/>
      <c r="Z2" s="1"/>
      <c r="AA2" s="1"/>
      <c r="AB2" s="1"/>
      <c r="AC2" s="340" t="s">
        <v>125</v>
      </c>
      <c r="AD2" s="544">
        <f>'Simulador - 3º Pilar'!#REF!</f>
      </c>
      <c r="AE2" s="168"/>
      <c r="AF2" s="1"/>
      <c r="AG2" s="1"/>
      <c r="AH2" s="1"/>
      <c r="AI2" s="170"/>
      <c r="AJ2" s="7"/>
      <c r="AK2" s="1"/>
      <c r="AL2" s="1"/>
      <c r="AM2" s="1"/>
    </row>
    <row x14ac:dyDescent="0.25" r="3" customHeight="1" ht="18.75">
      <c r="A3" s="545" t="s">
        <v>186</v>
      </c>
      <c r="B3" s="169"/>
      <c r="C3" s="170"/>
      <c r="D3" s="320" t="s">
        <v>113</v>
      </c>
      <c r="E3" s="7">
        <f>'Simulador - 3º Pilar'!I19</f>
      </c>
      <c r="F3" s="321"/>
      <c r="G3" s="321"/>
      <c r="H3" s="321"/>
      <c r="I3" s="543"/>
      <c r="J3" s="321"/>
      <c r="K3" s="321"/>
      <c r="L3" s="321"/>
      <c r="M3" s="1"/>
      <c r="N3" s="7"/>
      <c r="O3" s="1"/>
      <c r="P3" s="320" t="s">
        <v>113</v>
      </c>
      <c r="Q3" s="7">
        <f>'Simulador - 3º Pilar'!#REF!</f>
      </c>
      <c r="R3" s="168"/>
      <c r="S3" s="1"/>
      <c r="T3" s="1"/>
      <c r="U3" s="1"/>
      <c r="V3" s="170"/>
      <c r="W3" s="7"/>
      <c r="X3" s="1"/>
      <c r="Y3" s="1"/>
      <c r="Z3" s="1"/>
      <c r="AA3" s="1"/>
      <c r="AB3" s="1"/>
      <c r="AC3" s="320" t="s">
        <v>113</v>
      </c>
      <c r="AD3" s="7">
        <f>'Simulador - 3º Pilar'!#REF!</f>
      </c>
      <c r="AE3" s="168"/>
      <c r="AF3" s="1"/>
      <c r="AG3" s="1"/>
      <c r="AH3" s="1"/>
      <c r="AI3" s="170"/>
      <c r="AJ3" s="7"/>
      <c r="AK3" s="1"/>
      <c r="AL3" s="1"/>
      <c r="AM3" s="1"/>
    </row>
    <row x14ac:dyDescent="0.25" r="4" customHeight="1" ht="18.75">
      <c r="A4" s="1"/>
      <c r="B4" s="169"/>
      <c r="C4" s="170"/>
      <c r="D4" s="320"/>
      <c r="E4" s="351">
        <f>'Simulador - 3º Pilar'!I20</f>
      </c>
      <c r="F4" s="546" t="s">
        <v>187</v>
      </c>
      <c r="G4" s="546" t="s">
        <v>113</v>
      </c>
      <c r="H4" s="547" t="s">
        <v>128</v>
      </c>
      <c r="I4" s="548" t="s">
        <v>188</v>
      </c>
      <c r="J4" s="321"/>
      <c r="K4" s="321"/>
      <c r="L4" s="321"/>
      <c r="M4" s="549" t="s">
        <v>189</v>
      </c>
      <c r="N4" s="332">
        <f>'Simulador - 3º Pilar'!I14</f>
      </c>
      <c r="O4" s="1"/>
      <c r="P4" s="320"/>
      <c r="Q4" s="7">
        <f>'Simulador - 3º Pilar'!#REF!</f>
      </c>
      <c r="R4" s="550" t="s">
        <v>187</v>
      </c>
      <c r="S4" s="1"/>
      <c r="T4" s="549" t="s">
        <v>128</v>
      </c>
      <c r="U4" s="549" t="s">
        <v>188</v>
      </c>
      <c r="V4" s="546" t="s">
        <v>113</v>
      </c>
      <c r="W4" s="7"/>
      <c r="X4" s="1"/>
      <c r="Y4" s="549" t="s">
        <v>189</v>
      </c>
      <c r="Z4" s="334">
        <f>'Simulador - 3º Pilar'!#REF!</f>
      </c>
      <c r="AA4" s="1"/>
      <c r="AB4" s="1"/>
      <c r="AC4" s="320"/>
      <c r="AD4" s="7">
        <f>'Simulador - 3º Pilar'!#REF!</f>
      </c>
      <c r="AE4" s="550" t="s">
        <v>187</v>
      </c>
      <c r="AF4" s="1"/>
      <c r="AG4" s="549" t="s">
        <v>128</v>
      </c>
      <c r="AH4" s="549" t="s">
        <v>188</v>
      </c>
      <c r="AI4" s="546" t="s">
        <v>113</v>
      </c>
      <c r="AJ4" s="7"/>
      <c r="AK4" s="1"/>
      <c r="AL4" s="549" t="s">
        <v>189</v>
      </c>
      <c r="AM4" s="334">
        <f>'Simulador - 3º Pilar'!#REF!</f>
      </c>
    </row>
    <row x14ac:dyDescent="0.25" r="5" customHeight="1" ht="18.75">
      <c r="A5" s="1"/>
      <c r="B5" s="169"/>
      <c r="C5" s="170"/>
      <c r="D5" s="320"/>
      <c r="E5" s="7"/>
      <c r="F5" s="551">
        <v>0</v>
      </c>
      <c r="G5" s="551">
        <f>IF(E3="Perfil conservador: 1,40%",1.4%,IF(E3="Perfil moderado: 2,04%",2.04%,IF(E3="Perfil arriesgado: 4,34%",4.34%,E4)))</f>
      </c>
      <c r="H5" s="343">
        <f>SUM(H7:H330)</f>
      </c>
      <c r="I5" s="343">
        <f>SUM(I7:I33000)</f>
      </c>
      <c r="J5" s="552">
        <f>SUM(J7:J1066)</f>
      </c>
      <c r="K5" s="553">
        <f>SUM(K7:K33000)</f>
      </c>
      <c r="L5" s="554">
        <f>SUM(L7:L1066)</f>
      </c>
      <c r="M5" s="1" t="s">
        <v>190</v>
      </c>
      <c r="N5" s="555">
        <f>'Simulador - 3º Pilar'!I15</f>
        <v>25569.041666666668</v>
      </c>
      <c r="O5" s="1"/>
      <c r="P5" s="320"/>
      <c r="Q5" s="7"/>
      <c r="R5" s="551">
        <v>0</v>
      </c>
      <c r="S5" s="1"/>
      <c r="T5" s="556">
        <f>SUM(T7:T330)</f>
      </c>
      <c r="U5" s="556">
        <f>SUM(U7:U33000)</f>
      </c>
      <c r="V5" s="343">
        <f>IF(Q3="Perfil conservador: 1,40%",1.4%,IF(Q3="Perfil moderado: 2,04%",2.04%,IF(Q3="Perfil arriesgado: 4,34%",4.34%,Q4)))</f>
      </c>
      <c r="W5" s="7"/>
      <c r="X5" s="1"/>
      <c r="Y5" s="1" t="s">
        <v>190</v>
      </c>
      <c r="Z5" s="557">
        <f>'Simulador - 3º Pilar'!#REF!</f>
      </c>
      <c r="AA5" s="1"/>
      <c r="AB5" s="1"/>
      <c r="AC5" s="320"/>
      <c r="AD5" s="7"/>
      <c r="AE5" s="551">
        <v>0</v>
      </c>
      <c r="AF5" s="1"/>
      <c r="AG5" s="556">
        <f>SUM(AG7:AG330)</f>
      </c>
      <c r="AH5" s="556">
        <f>SUM(AH7:AH33000)</f>
      </c>
      <c r="AI5" s="343">
        <f>IF(AD3="Perfil conservador: 1,40%",1.4%,IF(AD3="Perfil moderado: 2,04%",2.04%,IF(AD3="Perfil arriesgado: 4,34%",4.34%,AD4)))</f>
      </c>
      <c r="AJ5" s="7"/>
      <c r="AK5" s="1"/>
      <c r="AL5" s="1" t="s">
        <v>190</v>
      </c>
      <c r="AM5" s="557">
        <f>'Simulador - 3º Pilar'!#REF!</f>
      </c>
    </row>
    <row x14ac:dyDescent="0.25" r="6" customHeight="1" ht="18.75">
      <c r="A6" s="339" t="s">
        <v>191</v>
      </c>
      <c r="B6" s="544">
        <f>PJSS!B5</f>
        <v>25569.041666666668</v>
      </c>
      <c r="C6" s="555">
        <f>DATE(YEAR(B6),MONTH(B6)+1,DAY(1))</f>
        <v>25569.041666666668</v>
      </c>
      <c r="D6" s="320"/>
      <c r="E6" s="558" t="s">
        <v>186</v>
      </c>
      <c r="F6" s="547" t="s">
        <v>192</v>
      </c>
      <c r="G6" s="547" t="s">
        <v>193</v>
      </c>
      <c r="H6" s="547" t="s">
        <v>128</v>
      </c>
      <c r="I6" s="548" t="s">
        <v>113</v>
      </c>
      <c r="J6" s="547" t="s">
        <v>194</v>
      </c>
      <c r="K6" s="547" t="s">
        <v>195</v>
      </c>
      <c r="L6" s="547" t="s">
        <v>196</v>
      </c>
      <c r="M6" s="1"/>
      <c r="N6" s="555">
        <f>DATE(YEAR(N5),MONTH(N5)+1,DAY(1))</f>
        <v>25569.041666666668</v>
      </c>
      <c r="O6" s="1"/>
      <c r="P6" s="320"/>
      <c r="Q6" s="558" t="s">
        <v>186</v>
      </c>
      <c r="R6" s="559" t="s">
        <v>192</v>
      </c>
      <c r="S6" s="549" t="s">
        <v>193</v>
      </c>
      <c r="T6" s="549" t="s">
        <v>128</v>
      </c>
      <c r="U6" s="549" t="s">
        <v>113</v>
      </c>
      <c r="V6" s="547" t="s">
        <v>197</v>
      </c>
      <c r="W6" s="7"/>
      <c r="X6" s="1"/>
      <c r="Y6" s="1"/>
      <c r="Z6" s="555">
        <f>DATE(YEAR(Z5),MONTH(Z5)+1,DAY(1))</f>
        <v>25569.041666666668</v>
      </c>
      <c r="AA6" s="1"/>
      <c r="AB6" s="1"/>
      <c r="AC6" s="320"/>
      <c r="AD6" s="558" t="s">
        <v>186</v>
      </c>
      <c r="AE6" s="559" t="s">
        <v>192</v>
      </c>
      <c r="AF6" s="549" t="s">
        <v>193</v>
      </c>
      <c r="AG6" s="549" t="s">
        <v>128</v>
      </c>
      <c r="AH6" s="549" t="s">
        <v>113</v>
      </c>
      <c r="AI6" s="547" t="s">
        <v>197</v>
      </c>
      <c r="AJ6" s="7"/>
      <c r="AK6" s="1"/>
      <c r="AL6" s="1"/>
      <c r="AM6" s="555">
        <f>DATE(YEAR(AM5),MONTH(AM5)+1,DAY(1))</f>
        <v>25569.041666666668</v>
      </c>
    </row>
    <row x14ac:dyDescent="0.25" r="7" customHeight="1" ht="18.75">
      <c r="A7" s="339" t="s">
        <v>198</v>
      </c>
      <c r="B7" s="544">
        <f>'Aportaciones PPE'!B7</f>
        <v>25569.041666666668</v>
      </c>
      <c r="C7" s="170"/>
      <c r="D7" s="320"/>
      <c r="E7" s="544">
        <f>DATE(YEAR($B$7),MONTH($B$7)-1,DAY($B$7))</f>
        <v>25569.041666666668</v>
      </c>
      <c r="F7" s="333">
        <f>MAX(IF(DATE(YEAR($B$6),MONTH($B$6)+1,DAY(1))=$E7,1,IF(MONTH($E7)=1,F8*(1+$F$5),F8)),1)</f>
      </c>
      <c r="G7" s="333">
        <f>F7*$B$8/12</f>
      </c>
      <c r="H7" s="333">
        <f>IF(F7=1,F7*$B$10/MIN(12,'Simulador - 3º Pilar'!$E$88),0)</f>
      </c>
      <c r="I7" s="560">
        <f>1*H7</f>
      </c>
      <c r="J7" s="561">
        <f>(1+$G$5)^(D7/12)*(H7*(12-IF(MONTH(E8)=12,0,MONTH(E8)))+IF(AND(F7=1,F8=0),$Q$4,0))*IF(AND(F7=1,F8=0),1,0)</f>
      </c>
      <c r="K7" s="217">
        <f>(1+$G$5)^(D7/12)*(IF(E7=$N$7,$N$4,0)+IF(E7=$C$6,$B$10,0))</f>
      </c>
      <c r="L7" s="217">
        <f>(1+$G$5)^(D7/12)*(IF((E7)&gt;($B$6),H7,0)+IF(E7=$N$7,$N$4,0)+IF(E7=$C$6,0,0))</f>
      </c>
      <c r="M7" s="217"/>
      <c r="N7" s="110">
        <f>IF(N6&gt;8000,N6,DATE(YEAR($B$6),MONTH($B$6)+1,DAY(1)))</f>
        <v>25569.041666666668</v>
      </c>
      <c r="O7" s="1"/>
      <c r="P7" s="320"/>
      <c r="Q7" s="544">
        <f>DATE(YEAR($B$7),MONTH($B$7)-1,DAY($B$7))</f>
        <v>25569.041666666668</v>
      </c>
      <c r="R7" s="562">
        <f>MAX(IF(DATE(YEAR($B$6),MONTH($B$6)+1,DAY(1))=$E7,1,IF(MONTH($E7)=1,R8*(1+$F$5),R8)),1)</f>
      </c>
      <c r="S7" s="334">
        <f>R7*$B$8/12</f>
      </c>
      <c r="T7" s="334">
        <f>R7*$B$11/12</f>
      </c>
      <c r="U7" s="563">
        <f>1*T7+IF(AND(R7=1,R8=0,SUM(U8:U1066)=0),$Z$4,0)</f>
      </c>
      <c r="V7" s="564">
        <f>'Simulador - Datos personales'!S86</f>
      </c>
      <c r="W7" s="544">
        <v>83824</v>
      </c>
      <c r="X7" s="1"/>
      <c r="Y7" s="1"/>
      <c r="Z7" s="110">
        <f>IF(Z6&gt;8000,Z6,DATE(YEAR($B$6),MONTH($B$6)+1,DAY(1)))</f>
        <v>25569.041666666668</v>
      </c>
      <c r="AA7" s="1"/>
      <c r="AB7" s="1"/>
      <c r="AC7" s="320"/>
      <c r="AD7" s="544">
        <f>DATE(YEAR($B$7),MONTH($B$7)-1,DAY($B$7))</f>
        <v>25569.041666666668</v>
      </c>
      <c r="AE7" s="562">
        <f>MAX(IF(DATE(YEAR($B$6),MONTH($B$6)+1,DAY(1))=$E7,1,IF(MONTH($E7)=1,AE8*(1+$F$5),AE8)),1)</f>
      </c>
      <c r="AF7" s="334">
        <f>AE7*$B$8/12</f>
      </c>
      <c r="AG7" s="334">
        <f>AE7*$B$12/12</f>
      </c>
      <c r="AH7" s="563">
        <f>1*AG7+IF(AND(AE7=1,AE8=0,SUM(AH8:AH1066)=0),$AM$4,0)</f>
      </c>
      <c r="AI7" s="564">
        <f>'Simulador - Datos personales'!AF86</f>
      </c>
      <c r="AJ7" s="544">
        <v>83824</v>
      </c>
      <c r="AK7" s="1"/>
      <c r="AL7" s="1"/>
      <c r="AM7" s="110">
        <f>IF(AM6&gt;8000,AM6,DATE(YEAR($B$6),MONTH($B$6)+1,DAY(1)))</f>
        <v>25569.041666666668</v>
      </c>
    </row>
    <row x14ac:dyDescent="0.25" r="8" customHeight="1" ht="18.75">
      <c r="A8" s="339" t="s">
        <v>199</v>
      </c>
      <c r="B8" s="332">
        <f>'Simulador - Datos personales'!E15</f>
      </c>
      <c r="C8" s="333">
        <f>B8/12</f>
      </c>
      <c r="D8" s="331">
        <v>1</v>
      </c>
      <c r="E8" s="544">
        <f>+DATE(YEAR(E7),MONTH(E7)-1,DAY(E7))</f>
        <v>25569.041666666668</v>
      </c>
      <c r="F8" s="333">
        <f>IF($C$6=$E8,1,IF(MONTH($E8)=1,F9*(1+$F$5),F9))</f>
      </c>
      <c r="G8" s="333">
        <f>F8*$B$8/12</f>
      </c>
      <c r="H8" s="333">
        <f>IF(F8=1,F8*$B$10/MIN(12,'Simulador - 3º Pilar'!$E$88),0)</f>
      </c>
      <c r="I8" s="560">
        <f>(1+$G$5)^(D8/12)*(H8+IF(E8=$N$7,$N$4,0))</f>
      </c>
      <c r="J8" s="561">
        <f>(1+$G$5)^(D8/12)*(H8*(12-IF(MONTH(E9)=12,0,MONTH(E9)))+IF(AND(F8=1,F9=0),$Q$4,0))*IF(AND(F8=1,F9=0),1,0)</f>
      </c>
      <c r="K8" s="217">
        <f>(1+$G$5)^(D8/12)*(IF(E8=$N$7,$N$4,0)+IF(E8=$C$6,$B$10,0))</f>
      </c>
      <c r="L8" s="217">
        <f>(1+$G$5)^(D8/12)*(IF((E8)&gt;($B$6),H8,0)+IF(E8=$N$7,$N$4,0)+IF(E8=$C$6,0,0))</f>
      </c>
      <c r="M8" s="1" t="s">
        <v>200</v>
      </c>
      <c r="N8" s="7"/>
      <c r="O8" s="1"/>
      <c r="P8" s="331">
        <v>1</v>
      </c>
      <c r="Q8" s="544">
        <f>+DATE(YEAR(Q7),MONTH(Q7)-1,DAY(Q7))</f>
        <v>25569.041666666668</v>
      </c>
      <c r="R8" s="341">
        <f>IF($Z$7=$E8,1,IF(MONTH($E8)=1,R9*(1+$F$5),R9))</f>
      </c>
      <c r="S8" s="334">
        <f>R8*$B$8/12</f>
      </c>
      <c r="T8" s="334">
        <f>R8*$B$11/12</f>
      </c>
      <c r="U8" s="565">
        <f>(1+$V$5)^(P8/12)*(T8+IF(Q8=$Z$7,$Z$4,0))</f>
      </c>
      <c r="V8" s="561">
        <v>0.02</v>
      </c>
      <c r="W8" s="544">
        <v>47300</v>
      </c>
      <c r="X8" s="1"/>
      <c r="Y8" s="1"/>
      <c r="Z8" s="1"/>
      <c r="AA8" s="1"/>
      <c r="AB8" s="544">
        <f>IF(DATE(YEAR($B$6),MONTH($B$6)+1,DAY(1))=$E8,1,IF(MONTH($E8)=1,AE9*(1+$F$5),AE9))</f>
        <v>25569.041666666668</v>
      </c>
      <c r="AC8" s="331">
        <v>1</v>
      </c>
      <c r="AD8" s="544">
        <f>+DATE(YEAR(AD7),MONTH(AD7)-1,DAY(AD7))</f>
        <v>25569.041666666668</v>
      </c>
      <c r="AE8" s="341">
        <f>IF($AM$7=$E8,1,IF(MONTH($E8)=1,AE9*(1+$F$5),AE9))</f>
      </c>
      <c r="AF8" s="334">
        <f>AE8*$B$8/12</f>
      </c>
      <c r="AG8" s="334">
        <f>AE8*$B$12/12</f>
      </c>
      <c r="AH8" s="565">
        <f>(1+$AI$5)^(AC8/12)*(AG8+IF(AD8=$AM$7,$AM$4,0))</f>
      </c>
      <c r="AI8" s="561">
        <v>0.02</v>
      </c>
      <c r="AJ8" s="544">
        <v>47300</v>
      </c>
      <c r="AK8" s="1"/>
      <c r="AL8" s="1"/>
      <c r="AM8" s="1"/>
    </row>
    <row x14ac:dyDescent="0.25" r="9" customHeight="1" ht="18.75">
      <c r="A9" s="1"/>
      <c r="B9" s="169"/>
      <c r="C9" s="170"/>
      <c r="D9" s="331">
        <v>2</v>
      </c>
      <c r="E9" s="544">
        <f>+DATE(YEAR(E8),MONTH(E8)-1,DAY(E8))</f>
        <v>25569.041666666668</v>
      </c>
      <c r="F9" s="333">
        <f>IF($C$6=$E9,1,IF(MONTH($E9)=1,F10*(1+$F$5),F10))</f>
      </c>
      <c r="G9" s="333">
        <f>F9*$B$8/12</f>
      </c>
      <c r="H9" s="333">
        <f>IF(F9=1,F9*$B$10/MIN(12,'Simulador - 3º Pilar'!$E$88),0)</f>
      </c>
      <c r="I9" s="560">
        <f>(1+$G$5)^(D9/12)*(H9+IF(E9=$N$7,$N$4,0))</f>
      </c>
      <c r="J9" s="561">
        <f>(1+$G$5)^(D9/12)*(H9*(12-IF(MONTH(E10)=12,0,MONTH(E10)))+IF(AND(F9=1,F10=0),$Q$4,0))*IF(AND(F9=1,F10=0),1,0)</f>
      </c>
      <c r="K9" s="217">
        <f>(1+$G$5)^(D9/12)*(IF(E9=$N$7,$N$4,0)+IF(E9=$C$6,$B$10,0))</f>
      </c>
      <c r="L9" s="217">
        <f>(1+$G$5)^(D9/12)*(IF((E9)&gt;($B$6),H9,0)+IF(E9=$N$7,$N$4,0)+IF(E9=$C$6,0,0))</f>
      </c>
      <c r="M9" s="1"/>
      <c r="N9" s="7"/>
      <c r="O9" s="1"/>
      <c r="P9" s="331">
        <v>2</v>
      </c>
      <c r="Q9" s="544">
        <f>+DATE(YEAR(Q8),MONTH(Q8)-1,DAY(Q8))</f>
        <v>25569.041666666668</v>
      </c>
      <c r="R9" s="341">
        <f>IF($Z$7=$E9,1,IF(MONTH($E9)=1,R10*(1+$F$5),R10))</f>
      </c>
      <c r="S9" s="334">
        <f>R9*$B$8/12</f>
      </c>
      <c r="T9" s="334">
        <f>R9*$B$11/12</f>
      </c>
      <c r="U9" s="565">
        <f>(1+$V$5)^(P9/12)*(T9+IF(Q9=$Z$7,$Z$4,0))</f>
      </c>
      <c r="V9" s="561">
        <v>0.03</v>
      </c>
      <c r="W9" s="7"/>
      <c r="X9" s="1"/>
      <c r="Y9" s="1"/>
      <c r="Z9" s="1"/>
      <c r="AA9" s="1"/>
      <c r="AB9" s="1"/>
      <c r="AC9" s="331">
        <v>2</v>
      </c>
      <c r="AD9" s="544">
        <f>+DATE(YEAR(AD8),MONTH(AD8)-1,DAY(AD8))</f>
        <v>25569.041666666668</v>
      </c>
      <c r="AE9" s="341">
        <f>IF($AM$7=$E9,1,IF(MONTH($E9)=1,AE10*(1+$F$5),AE10))</f>
      </c>
      <c r="AF9" s="334">
        <f>AE9*$B$8/12</f>
      </c>
      <c r="AG9" s="334">
        <f>AE9*$B$12/12</f>
      </c>
      <c r="AH9" s="565">
        <f>(1+$AI$5)^(AC9/12)*(AG9+IF(AD9=$AM$7,$AM$4,0))</f>
      </c>
      <c r="AI9" s="561">
        <v>0.03</v>
      </c>
      <c r="AJ9" s="7"/>
      <c r="AK9" s="1"/>
      <c r="AL9" s="1"/>
      <c r="AM9" s="1"/>
    </row>
    <row x14ac:dyDescent="0.25" r="10" customHeight="1" ht="18.75">
      <c r="A10" s="339" t="s">
        <v>201</v>
      </c>
      <c r="B10" s="332">
        <f>'Simulador - 3º Pilar'!K10</f>
      </c>
      <c r="C10" s="217"/>
      <c r="D10" s="331">
        <v>3</v>
      </c>
      <c r="E10" s="544">
        <f>+DATE(YEAR(E9),MONTH(E9)-1,DAY(E9))</f>
        <v>25569.041666666668</v>
      </c>
      <c r="F10" s="333">
        <f>IF($C$6=$E10,1,IF(MONTH($E10)=1,F11*(1+$F$5),F11))</f>
      </c>
      <c r="G10" s="333">
        <f>F10*$B$8/12</f>
      </c>
      <c r="H10" s="333">
        <f>IF(F10=1,F10*$B$10/MIN(12,'Simulador - 3º Pilar'!$E$88),0)</f>
      </c>
      <c r="I10" s="560">
        <f>(1+$G$5)^(D10/12)*(H10+IF(E10=$N$7,$N$4,0))</f>
      </c>
      <c r="J10" s="561">
        <f>(1+$G$5)^(D10/12)*(H10*(12-IF(MONTH(E11)=12,0,MONTH(E11)))+IF(AND(F10=1,F11=0),$Q$4,0))*IF(AND(F10=1,F11=0),1,0)</f>
      </c>
      <c r="K10" s="217">
        <f>(1+$G$5)^(D10/12)*(IF(E10=$N$7,$N$4,0)+IF(E10=$C$6,$B$10,0))</f>
      </c>
      <c r="L10" s="217">
        <f>(1+$G$5)^(D10/12)*(IF((E10)&gt;($B$6),H10,0)+IF(E10=$N$7,$N$4,0)+IF(E10=$C$6,0,0))</f>
      </c>
      <c r="M10" s="1"/>
      <c r="N10" s="7"/>
      <c r="O10" s="1"/>
      <c r="P10" s="331">
        <v>3</v>
      </c>
      <c r="Q10" s="544">
        <f>+DATE(YEAR(Q9),MONTH(Q9)-1,DAY(Q9))</f>
        <v>25569.041666666668</v>
      </c>
      <c r="R10" s="341">
        <f>IF($Z$7=$E10,1,IF(MONTH($E10)=1,R11*(1+$F$5),R11))</f>
      </c>
      <c r="S10" s="334">
        <f>R10*$B$8/12</f>
      </c>
      <c r="T10" s="334">
        <f>R10*$B$11/12</f>
      </c>
      <c r="U10" s="565">
        <f>(1+$V$5)^(P10/12)*(T10+IF(Q10=$Z$7,$Z$4,0))</f>
      </c>
      <c r="V10" s="170"/>
      <c r="W10" s="7"/>
      <c r="X10" s="1"/>
      <c r="Y10" s="1"/>
      <c r="Z10" s="1"/>
      <c r="AA10" s="1"/>
      <c r="AB10" s="1"/>
      <c r="AC10" s="331">
        <v>3</v>
      </c>
      <c r="AD10" s="544">
        <f>+DATE(YEAR(AD9),MONTH(AD9)-1,DAY(AD9))</f>
        <v>25569.041666666668</v>
      </c>
      <c r="AE10" s="341">
        <f>IF($AM$7=$E10,1,IF(MONTH($E10)=1,AE11*(1+$F$5),AE11))</f>
      </c>
      <c r="AF10" s="334">
        <f>AE10*$B$8/12</f>
      </c>
      <c r="AG10" s="334">
        <f>AE10*$B$12/12</f>
      </c>
      <c r="AH10" s="565">
        <f>(1+$AI$5)^(AC10/12)*(AG10+IF(AD10=$AM$7,$AM$4,0))</f>
      </c>
      <c r="AI10" s="170"/>
      <c r="AJ10" s="7"/>
      <c r="AK10" s="1"/>
      <c r="AL10" s="1"/>
      <c r="AM10" s="1"/>
    </row>
    <row x14ac:dyDescent="0.25" r="11" customHeight="1" ht="18.75">
      <c r="A11" s="339" t="s">
        <v>202</v>
      </c>
      <c r="B11" s="169">
        <f>+'Simulador - 3º Pilar'!#REF!</f>
      </c>
      <c r="C11" s="170"/>
      <c r="D11" s="331">
        <v>4</v>
      </c>
      <c r="E11" s="544">
        <f>+DATE(YEAR(E10),MONTH(E10)-1,DAY(E10))</f>
        <v>25569.041666666668</v>
      </c>
      <c r="F11" s="333">
        <f>IF($C$6=$E11,1,IF(MONTH($E11)=1,F12*(1+$F$5),F12))</f>
      </c>
      <c r="G11" s="333">
        <f>F11*$B$8/12</f>
      </c>
      <c r="H11" s="333">
        <f>IF(F11=1,F11*$B$10/MIN(12,'Simulador - 3º Pilar'!$E$88),0)</f>
      </c>
      <c r="I11" s="560">
        <f>(1+$G$5)^(D11/12)*(H11+IF(E11=$N$7,$N$4,0))</f>
      </c>
      <c r="J11" s="561">
        <f>(1+$G$5)^(D11/12)*(H11*(12-IF(MONTH(E12)=12,0,MONTH(E12)))+IF(AND(F11=1,F12=0),$Q$4,0))*IF(AND(F11=1,F12=0),1,0)</f>
      </c>
      <c r="K11" s="217">
        <f>(1+$G$5)^(D11/12)*(IF(E11=$N$7,$N$4,0)+IF(E11=$C$6,$B$10,0))</f>
      </c>
      <c r="L11" s="217">
        <f>(1+$G$5)^(D11/12)*(IF((E11)&gt;($B$6),H11,0)+IF(E11=$N$7,$N$4,0)+IF(E11=$C$6,0,0))</f>
      </c>
      <c r="M11" s="1"/>
      <c r="N11" s="7"/>
      <c r="O11" s="1"/>
      <c r="P11" s="331">
        <v>4</v>
      </c>
      <c r="Q11" s="544">
        <f>+DATE(YEAR(Q10),MONTH(Q10)-1,DAY(Q10))</f>
        <v>25569.041666666668</v>
      </c>
      <c r="R11" s="341">
        <f>IF($Z$7=$E11,1,IF(MONTH($E11)=1,R12*(1+$F$5),R12))</f>
      </c>
      <c r="S11" s="334">
        <f>R11*$B$8/12</f>
      </c>
      <c r="T11" s="334">
        <f>R11*$B$11/12</f>
      </c>
      <c r="U11" s="565">
        <f>(1+$V$5)^(P11/12)*(T11+IF(Q11=$Z$7,$Z$4,0))</f>
      </c>
      <c r="V11" s="170"/>
      <c r="W11" s="7"/>
      <c r="X11" s="1"/>
      <c r="Y11" s="1"/>
      <c r="Z11" s="1"/>
      <c r="AA11" s="1"/>
      <c r="AB11" s="1"/>
      <c r="AC11" s="331">
        <v>4</v>
      </c>
      <c r="AD11" s="544">
        <f>+DATE(YEAR(AD10),MONTH(AD10)-1,DAY(AD10))</f>
        <v>25569.041666666668</v>
      </c>
      <c r="AE11" s="341">
        <f>IF($AM$7=$E11,1,IF(MONTH($E11)=1,AE12*(1+$F$5),AE12))</f>
      </c>
      <c r="AF11" s="334">
        <f>AE11*$B$8/12</f>
      </c>
      <c r="AG11" s="334">
        <f>AE11*$B$12/12</f>
      </c>
      <c r="AH11" s="565">
        <f>(1+$AI$5)^(AC11/12)*(AG11+IF(AD11=$AM$7,$AM$4,0))</f>
      </c>
      <c r="AI11" s="170"/>
      <c r="AJ11" s="7"/>
      <c r="AK11" s="1"/>
      <c r="AL11" s="1"/>
      <c r="AM11" s="1"/>
    </row>
    <row x14ac:dyDescent="0.25" r="12" customHeight="1" ht="18.75">
      <c r="A12" s="339" t="s">
        <v>203</v>
      </c>
      <c r="B12" s="169">
        <f>+'Simulador - 3º Pilar'!#REF!</f>
      </c>
      <c r="C12" s="170"/>
      <c r="D12" s="331">
        <v>5</v>
      </c>
      <c r="E12" s="544">
        <f>+DATE(YEAR(E11),MONTH(E11)-1,DAY(E11))</f>
        <v>25569.041666666668</v>
      </c>
      <c r="F12" s="333">
        <f>IF($C$6=$E12,1,IF(MONTH($E12)=1,F13*(1+$F$5),F13))</f>
      </c>
      <c r="G12" s="333">
        <f>F12*$B$8/12</f>
      </c>
      <c r="H12" s="333">
        <f>IF(F12=1,F12*$B$10/MIN(12,'Simulador - 3º Pilar'!$E$88),0)</f>
      </c>
      <c r="I12" s="560">
        <f>(1+$G$5)^(D12/12)*(H12+IF(E12=$N$7,$N$4,0))</f>
      </c>
      <c r="J12" s="561">
        <f>(1+$G$5)^(D12/12)*(H12*(12-IF(MONTH(E13)=12,0,MONTH(E13)))+IF(AND(F12=1,F13=0),$Q$4,0))*IF(AND(F12=1,F13=0),1,0)</f>
      </c>
      <c r="K12" s="217">
        <f>(1+$G$5)^(D12/12)*(IF(E12=$N$7,$N$4,0)+IF(E12=$C$6,$B$10,0))</f>
      </c>
      <c r="L12" s="217">
        <f>(1+$G$5)^(D12/12)*(IF((E12)&gt;($B$6),H12,0)+IF(E12=$N$7,$N$4,0)+IF(E12=$C$6,0,0))</f>
      </c>
      <c r="M12" s="1"/>
      <c r="N12" s="7"/>
      <c r="O12" s="1"/>
      <c r="P12" s="331">
        <v>5</v>
      </c>
      <c r="Q12" s="544">
        <f>+DATE(YEAR(Q11),MONTH(Q11)-1,DAY(Q11))</f>
        <v>25569.041666666668</v>
      </c>
      <c r="R12" s="341">
        <f>IF($Z$7=$E12,1,IF(MONTH($E12)=1,R13*(1+$F$5),R13))</f>
      </c>
      <c r="S12" s="334">
        <f>R12*$B$8/12</f>
      </c>
      <c r="T12" s="334">
        <f>R12*$B$11/12</f>
      </c>
      <c r="U12" s="565">
        <f>(1+$V$5)^(P12/12)*(T12+IF(Q12=$Z$7,$Z$4,0))</f>
      </c>
      <c r="V12" s="170"/>
      <c r="W12" s="7"/>
      <c r="X12" s="1"/>
      <c r="Y12" s="1"/>
      <c r="Z12" s="1"/>
      <c r="AA12" s="1"/>
      <c r="AB12" s="1"/>
      <c r="AC12" s="331">
        <v>5</v>
      </c>
      <c r="AD12" s="544">
        <f>+DATE(YEAR(AD11),MONTH(AD11)-1,DAY(AD11))</f>
        <v>25569.041666666668</v>
      </c>
      <c r="AE12" s="341">
        <f>IF($AM$7=$E12,1,IF(MONTH($E12)=1,AE13*(1+$F$5),AE13))</f>
      </c>
      <c r="AF12" s="334">
        <f>AE12*$B$8/12</f>
      </c>
      <c r="AG12" s="334">
        <f>AE12*$B$12/12</f>
      </c>
      <c r="AH12" s="565">
        <f>(1+$AI$5)^(AC12/12)*(AG12+IF(AD12=$AM$7,$AM$4,0))</f>
      </c>
      <c r="AI12" s="170"/>
      <c r="AJ12" s="7"/>
      <c r="AK12" s="1"/>
      <c r="AL12" s="1"/>
      <c r="AM12" s="1"/>
    </row>
    <row x14ac:dyDescent="0.25" r="13" customHeight="1" ht="18.75">
      <c r="A13" s="1"/>
      <c r="B13" s="169"/>
      <c r="C13" s="170"/>
      <c r="D13" s="331">
        <v>6</v>
      </c>
      <c r="E13" s="544">
        <f>+DATE(YEAR(E12),MONTH(E12)-1,DAY(E12))</f>
        <v>25569.041666666668</v>
      </c>
      <c r="F13" s="333">
        <f>IF($C$6=$E13,1,IF(MONTH($E13)=1,F14*(1+$F$5),F14))</f>
      </c>
      <c r="G13" s="333">
        <f>F13*$B$8/12</f>
      </c>
      <c r="H13" s="333">
        <f>IF(F13=1,F13*$B$10/MIN(12,'Simulador - 3º Pilar'!$E$88),0)</f>
      </c>
      <c r="I13" s="560">
        <f>(1+$G$5)^(D13/12)*(H13+IF(E13=$N$7,$N$4,0))</f>
      </c>
      <c r="J13" s="561">
        <f>(1+$G$5)^(D13/12)*(H13*(12-IF(MONTH(E14)=12,0,MONTH(E14)))+IF(AND(F13=1,F14=0),$Q$4,0))*IF(AND(F13=1,F14=0),1,0)</f>
      </c>
      <c r="K13" s="217">
        <f>(1+$G$5)^(D13/12)*(IF(E13=$N$7,$N$4,0)+IF(E13=$C$6,$B$10,0))</f>
      </c>
      <c r="L13" s="217">
        <f>(1+$G$5)^(D13/12)*(IF((E13)&gt;($B$6),H13,0)+IF(E13=$N$7,$N$4,0)+IF(E13=$C$6,0,0))</f>
      </c>
      <c r="M13" s="1"/>
      <c r="N13" s="7"/>
      <c r="O13" s="1"/>
      <c r="P13" s="331">
        <v>6</v>
      </c>
      <c r="Q13" s="544">
        <f>+DATE(YEAR(Q12),MONTH(Q12)-1,DAY(Q12))</f>
        <v>25569.041666666668</v>
      </c>
      <c r="R13" s="341">
        <f>IF($Z$7=$E13,1,IF(MONTH($E13)=1,R14*(1+$F$5),R14))</f>
      </c>
      <c r="S13" s="334">
        <f>R13*$B$8/12</f>
      </c>
      <c r="T13" s="334">
        <f>R13*$B$11/12</f>
      </c>
      <c r="U13" s="565">
        <f>(1+$V$5)^(P13/12)*(T13+IF(Q13=$Z$7,$Z$4,0))</f>
      </c>
      <c r="V13" s="170"/>
      <c r="W13" s="7"/>
      <c r="X13" s="1"/>
      <c r="Y13" s="1"/>
      <c r="Z13" s="1"/>
      <c r="AA13" s="1"/>
      <c r="AB13" s="1"/>
      <c r="AC13" s="331">
        <v>6</v>
      </c>
      <c r="AD13" s="544">
        <f>+DATE(YEAR(AD12),MONTH(AD12)-1,DAY(AD12))</f>
        <v>25569.041666666668</v>
      </c>
      <c r="AE13" s="341">
        <f>IF($AM$7=$E13,1,IF(MONTH($E13)=1,AE14*(1+$F$5),AE14))</f>
      </c>
      <c r="AF13" s="334">
        <f>AE13*$B$8/12</f>
      </c>
      <c r="AG13" s="334">
        <f>AE13*$B$12/12</f>
      </c>
      <c r="AH13" s="565">
        <f>(1+$AI$5)^(AC13/12)*(AG13+IF(AD13=$AM$7,$AM$4,0))</f>
      </c>
      <c r="AI13" s="170"/>
      <c r="AJ13" s="7"/>
      <c r="AK13" s="1"/>
      <c r="AL13" s="1"/>
      <c r="AM13" s="1"/>
    </row>
    <row x14ac:dyDescent="0.25" r="14" customHeight="1" ht="18.75">
      <c r="A14" s="1"/>
      <c r="B14" s="169"/>
      <c r="C14" s="170"/>
      <c r="D14" s="331">
        <v>7</v>
      </c>
      <c r="E14" s="544">
        <f>+DATE(YEAR(E13),MONTH(E13)-1,DAY(E13))</f>
        <v>25569.041666666668</v>
      </c>
      <c r="F14" s="333">
        <f>IF($C$6=$E14,1,IF(MONTH($E14)=1,F15*(1+$F$5),F15))</f>
      </c>
      <c r="G14" s="333">
        <f>F14*$B$8/12</f>
      </c>
      <c r="H14" s="333">
        <f>IF(F14=1,F14*$B$10/MIN(12,'Simulador - 3º Pilar'!$E$88),0)</f>
      </c>
      <c r="I14" s="560">
        <f>(1+$G$5)^(D14/12)*(H14+IF(E14=$N$7,$N$4,0))</f>
      </c>
      <c r="J14" s="561">
        <f>(1+$G$5)^(D14/12)*(H14*(12-IF(MONTH(E15)=12,0,MONTH(E15)))+IF(AND(F14=1,F15=0),$Q$4,0))*IF(AND(F14=1,F15=0),1,0)</f>
      </c>
      <c r="K14" s="217">
        <f>(1+$G$5)^(D14/12)*(IF(E14=$N$7,$N$4,0)+IF(E14=$C$6,$B$10,0))</f>
      </c>
      <c r="L14" s="217">
        <f>(1+$G$5)^(D14/12)*(IF((E14)&gt;($B$6),H14,0)+IF(E14=$N$7,$N$4,0)+IF(E14=$C$6,0,0))</f>
      </c>
      <c r="M14" s="1"/>
      <c r="N14" s="7"/>
      <c r="O14" s="1"/>
      <c r="P14" s="331">
        <v>7</v>
      </c>
      <c r="Q14" s="544">
        <f>+DATE(YEAR(Q13),MONTH(Q13)-1,DAY(Q13))</f>
        <v>25569.041666666668</v>
      </c>
      <c r="R14" s="341">
        <f>IF($Z$7=$E14,1,IF(MONTH($E14)=1,R15*(1+$F$5),R15))</f>
      </c>
      <c r="S14" s="334">
        <f>R14*$B$8/12</f>
      </c>
      <c r="T14" s="334">
        <f>R14*$B$11/12</f>
      </c>
      <c r="U14" s="565">
        <f>(1+$V$5)^(P14/12)*(T14+IF(Q14=$Z$7,$Z$4,0))</f>
      </c>
      <c r="V14" s="170"/>
      <c r="W14" s="7"/>
      <c r="X14" s="1"/>
      <c r="Y14" s="1"/>
      <c r="Z14" s="1"/>
      <c r="AA14" s="1"/>
      <c r="AB14" s="1"/>
      <c r="AC14" s="331">
        <v>7</v>
      </c>
      <c r="AD14" s="544">
        <f>+DATE(YEAR(AD13),MONTH(AD13)-1,DAY(AD13))</f>
        <v>25569.041666666668</v>
      </c>
      <c r="AE14" s="341">
        <f>IF($AM$7=$E14,1,IF(MONTH($E14)=1,AE15*(1+$F$5),AE15))</f>
      </c>
      <c r="AF14" s="334">
        <f>AE14*$B$8/12</f>
      </c>
      <c r="AG14" s="334">
        <f>AE14*$B$12/12</f>
      </c>
      <c r="AH14" s="565">
        <f>(1+$AI$5)^(AC14/12)*(AG14+IF(AD14=$AM$7,$AM$4,0))</f>
      </c>
      <c r="AI14" s="170"/>
      <c r="AJ14" s="7"/>
      <c r="AK14" s="1"/>
      <c r="AL14" s="1"/>
      <c r="AM14" s="1"/>
    </row>
    <row x14ac:dyDescent="0.25" r="15" customHeight="1" ht="18.75">
      <c r="A15" s="1"/>
      <c r="B15" s="169"/>
      <c r="C15" s="170"/>
      <c r="D15" s="331">
        <v>8</v>
      </c>
      <c r="E15" s="544">
        <f>+DATE(YEAR(E14),MONTH(E14)-1,DAY(E14))</f>
        <v>25569.041666666668</v>
      </c>
      <c r="F15" s="333">
        <f>IF($C$6=$E15,1,IF(MONTH($E15)=1,F16*(1+$F$5),F16))</f>
      </c>
      <c r="G15" s="333">
        <f>F15*$B$8/12</f>
      </c>
      <c r="H15" s="333">
        <f>IF(F15=1,F15*$B$10/MIN(12,'Simulador - 3º Pilar'!$E$88),0)</f>
      </c>
      <c r="I15" s="560">
        <f>(1+$G$5)^(D15/12)*(H15+IF(E15=$N$7,$N$4,0))</f>
      </c>
      <c r="J15" s="561">
        <f>(1+$G$5)^(D15/12)*(H15*(12-IF(MONTH(E16)=12,0,MONTH(E16)))+IF(AND(F15=1,F16=0),$Q$4,0))*IF(AND(F15=1,F16=0),1,0)</f>
      </c>
      <c r="K15" s="217">
        <f>(1+$G$5)^(D15/12)*(IF(E15=$N$7,$N$4,0)+IF(E15=$C$6,$B$10,0))</f>
      </c>
      <c r="L15" s="217">
        <f>(1+$G$5)^(D15/12)*(IF((E15)&gt;($B$6),H15,0)+IF(E15=$N$7,$N$4,0)+IF(E15=$C$6,0,0))</f>
      </c>
      <c r="M15" s="1"/>
      <c r="N15" s="7"/>
      <c r="O15" s="1"/>
      <c r="P15" s="331">
        <v>8</v>
      </c>
      <c r="Q15" s="544">
        <f>+DATE(YEAR(Q14),MONTH(Q14)-1,DAY(Q14))</f>
        <v>25569.041666666668</v>
      </c>
      <c r="R15" s="341">
        <f>IF($Z$7=$E15,1,IF(MONTH($E15)=1,R16*(1+$F$5),R16))</f>
      </c>
      <c r="S15" s="334">
        <f>R15*$B$8/12</f>
      </c>
      <c r="T15" s="334">
        <f>R15*$B$11/12</f>
      </c>
      <c r="U15" s="565">
        <f>(1+$V$5)^(P15/12)*(T15+IF(Q15=$Z$7,$Z$4,0))</f>
      </c>
      <c r="V15" s="170"/>
      <c r="W15" s="7"/>
      <c r="X15" s="1"/>
      <c r="Y15" s="1"/>
      <c r="Z15" s="1"/>
      <c r="AA15" s="1"/>
      <c r="AB15" s="1"/>
      <c r="AC15" s="331">
        <v>8</v>
      </c>
      <c r="AD15" s="544">
        <f>+DATE(YEAR(AD14),MONTH(AD14)-1,DAY(AD14))</f>
        <v>25569.041666666668</v>
      </c>
      <c r="AE15" s="341">
        <f>IF($AM$7=$E15,1,IF(MONTH($E15)=1,AE16*(1+$F$5),AE16))</f>
      </c>
      <c r="AF15" s="334">
        <f>AE15*$B$8/12</f>
      </c>
      <c r="AG15" s="334">
        <f>AE15*$B$12/12</f>
      </c>
      <c r="AH15" s="565">
        <f>(1+$AI$5)^(AC15/12)*(AG15+IF(AD15=$AM$7,$AM$4,0))</f>
      </c>
      <c r="AI15" s="170"/>
      <c r="AJ15" s="7"/>
      <c r="AK15" s="1"/>
      <c r="AL15" s="1"/>
      <c r="AM15" s="1"/>
    </row>
    <row x14ac:dyDescent="0.25" r="16" customHeight="1" ht="18.75">
      <c r="A16" s="1"/>
      <c r="B16" s="169"/>
      <c r="C16" s="170"/>
      <c r="D16" s="331">
        <v>9</v>
      </c>
      <c r="E16" s="544">
        <f>+DATE(YEAR(E15),MONTH(E15)-1,DAY(E15))</f>
        <v>25569.041666666668</v>
      </c>
      <c r="F16" s="333">
        <f>IF($C$6=$E16,1,IF(MONTH($E16)=1,F17*(1+$F$5),F17))</f>
      </c>
      <c r="G16" s="333">
        <f>F16*$B$8/12</f>
      </c>
      <c r="H16" s="333">
        <f>IF(F16=1,F16*$B$10/MIN(12,'Simulador - 3º Pilar'!$E$88),0)</f>
      </c>
      <c r="I16" s="560">
        <f>(1+$G$5)^(D16/12)*(H16+IF(E16=$N$7,$N$4,0))</f>
      </c>
      <c r="J16" s="561">
        <f>(1+$G$5)^(D16/12)*(H16*(12-IF(MONTH(E17)=12,0,MONTH(E17)))+IF(AND(F16=1,F17=0),$Q$4,0))*IF(AND(F16=1,F17=0),1,0)</f>
      </c>
      <c r="K16" s="217">
        <f>(1+$G$5)^(D16/12)*(IF(E16=$N$7,$N$4,0)+IF(E16=$C$6,$B$10,0))</f>
      </c>
      <c r="L16" s="217">
        <f>(1+$G$5)^(D16/12)*(IF((E16)&gt;($B$6),H16,0)+IF(E16=$N$7,$N$4,0)+IF(E16=$C$6,0,0))</f>
      </c>
      <c r="M16" s="1"/>
      <c r="N16" s="7"/>
      <c r="O16" s="1"/>
      <c r="P16" s="331">
        <v>9</v>
      </c>
      <c r="Q16" s="544">
        <f>+DATE(YEAR(Q15),MONTH(Q15)-1,DAY(Q15))</f>
        <v>25569.041666666668</v>
      </c>
      <c r="R16" s="341">
        <f>IF($Z$7=$E16,1,IF(MONTH($E16)=1,R17*(1+$F$5),R17))</f>
      </c>
      <c r="S16" s="334">
        <f>R16*$B$8/12</f>
      </c>
      <c r="T16" s="334">
        <f>R16*$B$11/12</f>
      </c>
      <c r="U16" s="565">
        <f>(1+$V$5)^(P16/12)*(T16+IF(Q16=$Z$7,$Z$4,0))</f>
      </c>
      <c r="V16" s="170"/>
      <c r="W16" s="7"/>
      <c r="X16" s="1"/>
      <c r="Y16" s="1"/>
      <c r="Z16" s="1"/>
      <c r="AA16" s="1"/>
      <c r="AB16" s="1"/>
      <c r="AC16" s="331">
        <v>9</v>
      </c>
      <c r="AD16" s="544">
        <f>+DATE(YEAR(AD15),MONTH(AD15)-1,DAY(AD15))</f>
        <v>25569.041666666668</v>
      </c>
      <c r="AE16" s="341">
        <f>IF($AM$7=$E16,1,IF(MONTH($E16)=1,AE17*(1+$F$5),AE17))</f>
      </c>
      <c r="AF16" s="334">
        <f>AE16*$B$8/12</f>
      </c>
      <c r="AG16" s="334">
        <f>AE16*$B$12/12</f>
      </c>
      <c r="AH16" s="565">
        <f>(1+$AI$5)^(AC16/12)*(AG16+IF(AD16=$AM$7,$AM$4,0))</f>
      </c>
      <c r="AI16" s="170"/>
      <c r="AJ16" s="7"/>
      <c r="AK16" s="1"/>
      <c r="AL16" s="1"/>
      <c r="AM16" s="1"/>
    </row>
    <row x14ac:dyDescent="0.25" r="17" customHeight="1" ht="18.75">
      <c r="A17" s="1"/>
      <c r="B17" s="169"/>
      <c r="C17" s="170"/>
      <c r="D17" s="331">
        <v>10</v>
      </c>
      <c r="E17" s="544">
        <f>+DATE(YEAR(E16),MONTH(E16)-1,DAY(E16))</f>
        <v>25569.041666666668</v>
      </c>
      <c r="F17" s="333">
        <f>IF($C$6=$E17,1,IF(MONTH($E17)=1,F18*(1+$F$5),F18))</f>
      </c>
      <c r="G17" s="333">
        <f>F17*$B$8/12</f>
      </c>
      <c r="H17" s="333">
        <f>IF(F17=1,F17*$B$10/MIN(12,'Simulador - 3º Pilar'!$E$88),0)</f>
      </c>
      <c r="I17" s="560">
        <f>(1+$G$5)^(D17/12)*(H17+IF(E17=$N$7,$N$4,0))</f>
      </c>
      <c r="J17" s="561">
        <f>(1+$G$5)^(D17/12)*(H17*(12-IF(MONTH(E18)=12,0,MONTH(E18)))+IF(AND(F17=1,F18=0),$Q$4,0))*IF(AND(F17=1,F18=0),1,0)</f>
      </c>
      <c r="K17" s="217">
        <f>(1+$G$5)^(D17/12)*(IF(E17=$N$7,$N$4,0)+IF(E17=$C$6,$B$10,0))</f>
      </c>
      <c r="L17" s="217">
        <f>(1+$G$5)^(D17/12)*(IF((E17)&gt;($B$6),H17,0)+IF(E17=$N$7,$N$4,0)+IF(E17=$C$6,0,0))</f>
      </c>
      <c r="M17" s="1"/>
      <c r="N17" s="7"/>
      <c r="O17" s="1"/>
      <c r="P17" s="331">
        <v>10</v>
      </c>
      <c r="Q17" s="544">
        <f>+DATE(YEAR(Q16),MONTH(Q16)-1,DAY(Q16))</f>
        <v>25569.041666666668</v>
      </c>
      <c r="R17" s="341">
        <f>IF($Z$7=$E17,1,IF(MONTH($E17)=1,R18*(1+$F$5),R18))</f>
      </c>
      <c r="S17" s="334">
        <f>R17*$B$8/12</f>
      </c>
      <c r="T17" s="334">
        <f>R17*$B$11/12</f>
      </c>
      <c r="U17" s="565">
        <f>(1+$V$5)^(P17/12)*(T17+IF(Q17=$Z$7,$Z$4,0))</f>
      </c>
      <c r="V17" s="170"/>
      <c r="W17" s="7"/>
      <c r="X17" s="1"/>
      <c r="Y17" s="1"/>
      <c r="Z17" s="1"/>
      <c r="AA17" s="1"/>
      <c r="AB17" s="1"/>
      <c r="AC17" s="331">
        <v>10</v>
      </c>
      <c r="AD17" s="544">
        <f>+DATE(YEAR(AD16),MONTH(AD16)-1,DAY(AD16))</f>
        <v>25569.041666666668</v>
      </c>
      <c r="AE17" s="341">
        <f>IF($AM$7=$E17,1,IF(MONTH($E17)=1,AE18*(1+$F$5),AE18))</f>
      </c>
      <c r="AF17" s="334">
        <f>AE17*$B$8/12</f>
      </c>
      <c r="AG17" s="334">
        <f>AE17*$B$12/12</f>
      </c>
      <c r="AH17" s="565">
        <f>(1+$AI$5)^(AC17/12)*(AG17+IF(AD17=$AM$7,$AM$4,0))</f>
      </c>
      <c r="AI17" s="170"/>
      <c r="AJ17" s="7"/>
      <c r="AK17" s="1"/>
      <c r="AL17" s="1"/>
      <c r="AM17" s="1"/>
    </row>
    <row x14ac:dyDescent="0.25" r="18" customHeight="1" ht="18.75">
      <c r="A18" s="1"/>
      <c r="B18" s="169"/>
      <c r="C18" s="170"/>
      <c r="D18" s="331">
        <v>11</v>
      </c>
      <c r="E18" s="544">
        <f>+DATE(YEAR(E17),MONTH(E17)-1,DAY(E17))</f>
        <v>25569.041666666668</v>
      </c>
      <c r="F18" s="333">
        <f>IF($C$6=$E18,1,IF(MONTH($E18)=1,F19*(1+$F$5),F19))</f>
      </c>
      <c r="G18" s="333">
        <f>F18*$B$8/12</f>
      </c>
      <c r="H18" s="333">
        <f>IF(F18=1,F18*$B$10/MIN(12,'Simulador - 3º Pilar'!$E$88),0)</f>
      </c>
      <c r="I18" s="560">
        <f>(1+$G$5)^(D18/12)*(H18+IF(E18=$N$7,$N$4,0))</f>
      </c>
      <c r="J18" s="561">
        <f>(1+$G$5)^(D18/12)*(H18*(12-IF(MONTH(E19)=12,0,MONTH(E19)))+IF(AND(F18=1,F19=0),$Q$4,0))*IF(AND(F18=1,F19=0),1,0)</f>
      </c>
      <c r="K18" s="217">
        <f>(1+$G$5)^(D18/12)*(IF(E18=$N$7,$N$4,0)+IF(E18=$C$6,$B$10,0))</f>
      </c>
      <c r="L18" s="217">
        <f>(1+$G$5)^(D18/12)*(IF((E18)&gt;($B$6),H18,0)+IF(E18=$N$7,$N$4,0)+IF(E18=$C$6,0,0))</f>
      </c>
      <c r="M18" s="1"/>
      <c r="N18" s="7"/>
      <c r="O18" s="1"/>
      <c r="P18" s="331">
        <v>11</v>
      </c>
      <c r="Q18" s="544">
        <f>+DATE(YEAR(Q17),MONTH(Q17)-1,DAY(Q17))</f>
        <v>25569.041666666668</v>
      </c>
      <c r="R18" s="341">
        <f>IF($Z$7=$E18,1,IF(MONTH($E18)=1,R19*(1+$F$5),R19))</f>
      </c>
      <c r="S18" s="334">
        <f>R18*$B$8/12</f>
      </c>
      <c r="T18" s="334">
        <f>R18*$B$11/12</f>
      </c>
      <c r="U18" s="565">
        <f>(1+$V$5)^(P18/12)*(T18+IF(Q18=$Z$7,$Z$4,0))</f>
      </c>
      <c r="V18" s="170"/>
      <c r="W18" s="7"/>
      <c r="X18" s="1"/>
      <c r="Y18" s="1"/>
      <c r="Z18" s="1"/>
      <c r="AA18" s="1"/>
      <c r="AB18" s="1"/>
      <c r="AC18" s="331">
        <v>11</v>
      </c>
      <c r="AD18" s="544">
        <f>+DATE(YEAR(AD17),MONTH(AD17)-1,DAY(AD17))</f>
        <v>25569.041666666668</v>
      </c>
      <c r="AE18" s="341">
        <f>IF($AM$7=$E18,1,IF(MONTH($E18)=1,AE19*(1+$F$5),AE19))</f>
      </c>
      <c r="AF18" s="334">
        <f>AE18*$B$8/12</f>
      </c>
      <c r="AG18" s="334">
        <f>AE18*$B$12/12</f>
      </c>
      <c r="AH18" s="565">
        <f>(1+$AI$5)^(AC18/12)*(AG18+IF(AD18=$AM$7,$AM$4,0))</f>
      </c>
      <c r="AI18" s="170"/>
      <c r="AJ18" s="7"/>
      <c r="AK18" s="1"/>
      <c r="AL18" s="1"/>
      <c r="AM18" s="1"/>
    </row>
    <row x14ac:dyDescent="0.25" r="19" customHeight="1" ht="18.75">
      <c r="A19" s="1"/>
      <c r="B19" s="169"/>
      <c r="C19" s="170"/>
      <c r="D19" s="331">
        <v>12</v>
      </c>
      <c r="E19" s="544">
        <f>+DATE(YEAR(E18),MONTH(E18)-1,DAY(E18))</f>
        <v>25569.041666666668</v>
      </c>
      <c r="F19" s="333">
        <f>IF($C$6=$E19,1,IF(MONTH($E19)=1,F20*(1+$F$5),F20))</f>
      </c>
      <c r="G19" s="333">
        <f>F19*$B$8/12</f>
      </c>
      <c r="H19" s="333">
        <f>IF(F19=1,F19*$B$10/MIN(12,'Simulador - 3º Pilar'!$E$88),0)</f>
      </c>
      <c r="I19" s="560">
        <f>(1+$G$5)^(D19/12)*(H19+IF(E19=$N$7,$N$4,0))</f>
      </c>
      <c r="J19" s="561">
        <f>(1+$G$5)^(D19/12)*(H19*(12-IF(MONTH(E20)=12,0,MONTH(E20)))+IF(AND(F19=1,F20=0),$Q$4,0))*IF(AND(F19=1,F20=0),1,0)</f>
      </c>
      <c r="K19" s="217">
        <f>(1+$G$5)^(D19/12)*(IF(E19=$N$7,$N$4,0)+IF(E19=$C$6,$B$10,0))</f>
      </c>
      <c r="L19" s="217">
        <f>(1+$G$5)^(D19/12)*(IF((E19)&gt;($B$6),H19,0)+IF(E19=$N$7,$N$4,0)+IF(E19=$C$6,0,0))</f>
      </c>
      <c r="M19" s="1"/>
      <c r="N19" s="7"/>
      <c r="O19" s="1"/>
      <c r="P19" s="331">
        <v>12</v>
      </c>
      <c r="Q19" s="544">
        <f>+DATE(YEAR(Q18),MONTH(Q18)-1,DAY(Q18))</f>
        <v>25569.041666666668</v>
      </c>
      <c r="R19" s="341">
        <f>IF($Z$7=$E19,1,IF(MONTH($E19)=1,R20*(1+$F$5),R20))</f>
      </c>
      <c r="S19" s="334">
        <f>R19*$B$8/12</f>
      </c>
      <c r="T19" s="334">
        <f>R19*$B$11/12</f>
      </c>
      <c r="U19" s="565">
        <f>(1+$V$5)^(P19/12)*(T19+IF(Q19=$Z$7,$Z$4,0))</f>
      </c>
      <c r="V19" s="217"/>
      <c r="W19" s="7"/>
      <c r="X19" s="1"/>
      <c r="Y19" s="1"/>
      <c r="Z19" s="1"/>
      <c r="AA19" s="1"/>
      <c r="AB19" s="1"/>
      <c r="AC19" s="331">
        <v>12</v>
      </c>
      <c r="AD19" s="544">
        <f>+DATE(YEAR(AD18),MONTH(AD18)-1,DAY(AD18))</f>
        <v>25569.041666666668</v>
      </c>
      <c r="AE19" s="341">
        <f>IF($AM$7=$E19,1,IF(MONTH($E19)=1,AE20*(1+$F$5),AE20))</f>
      </c>
      <c r="AF19" s="334">
        <f>AE19*$B$8/12</f>
      </c>
      <c r="AG19" s="334">
        <f>AE19*$B$12/12</f>
      </c>
      <c r="AH19" s="565">
        <f>(1+$AI$5)^(AC19/12)*(AG19+IF(AD19=$AM$7,$AM$4,0))</f>
      </c>
      <c r="AI19" s="217"/>
      <c r="AJ19" s="7"/>
      <c r="AK19" s="1"/>
      <c r="AL19" s="1"/>
      <c r="AM19" s="1"/>
    </row>
    <row x14ac:dyDescent="0.25" r="20" customHeight="1" ht="18.75">
      <c r="A20" s="1"/>
      <c r="B20" s="169"/>
      <c r="C20" s="170"/>
      <c r="D20" s="331">
        <v>13</v>
      </c>
      <c r="E20" s="544">
        <f>+DATE(YEAR(E19),MONTH(E19)-1,DAY(E19))</f>
        <v>25569.041666666668</v>
      </c>
      <c r="F20" s="333">
        <f>IF($C$6=$E20,1,IF(MONTH($E20)=1,F21*(1+$F$5),F21))</f>
      </c>
      <c r="G20" s="333">
        <f>F20*$B$8/12</f>
      </c>
      <c r="H20" s="333">
        <f>IF(F20=1,F20*$B$10/MIN(12,'Simulador - 3º Pilar'!$E$88),0)</f>
      </c>
      <c r="I20" s="560">
        <f>(1+$G$5)^(D20/12)*(H20+IF(E20=$N$7,$N$4,0))</f>
      </c>
      <c r="J20" s="561">
        <f>(1+$G$5)^(D20/12)*(H20*(12-IF(MONTH(E21)=12,0,MONTH(E21)))+IF(AND(F20=1,F21=0),$Q$4,0))*IF(AND(F20=1,F21=0),1,0)</f>
      </c>
      <c r="K20" s="217">
        <f>(1+$G$5)^(D20/12)*(IF(E20=$N$7,$N$4,0)+IF(E20=$C$6,$B$10,0))</f>
      </c>
      <c r="L20" s="217">
        <f>(1+$G$5)^(D20/12)*(IF((E20)&gt;($B$6),H20,0)+IF(E20=$N$7,$N$4,0)+IF(E20=$C$6,0,0))</f>
      </c>
      <c r="M20" s="1"/>
      <c r="N20" s="7"/>
      <c r="O20" s="1"/>
      <c r="P20" s="331">
        <v>13</v>
      </c>
      <c r="Q20" s="544">
        <f>+DATE(YEAR(Q19),MONTH(Q19)-1,DAY(Q19))</f>
        <v>25569.041666666668</v>
      </c>
      <c r="R20" s="341">
        <f>IF($Z$7=$E20,1,IF(MONTH($E20)=1,R21*(1+$F$5),R21))</f>
      </c>
      <c r="S20" s="334">
        <f>R20*$B$8/12</f>
      </c>
      <c r="T20" s="334">
        <f>R20*$B$11/12</f>
      </c>
      <c r="U20" s="565">
        <f>(1+$V$5)^(P20/12)*(T20+IF(Q20=$Z$7,$Z$4,0))</f>
      </c>
      <c r="V20" s="170"/>
      <c r="W20" s="7"/>
      <c r="X20" s="1"/>
      <c r="Y20" s="1"/>
      <c r="Z20" s="1"/>
      <c r="AA20" s="1"/>
      <c r="AB20" s="1"/>
      <c r="AC20" s="331">
        <v>13</v>
      </c>
      <c r="AD20" s="544">
        <f>+DATE(YEAR(AD19),MONTH(AD19)-1,DAY(AD19))</f>
        <v>25569.041666666668</v>
      </c>
      <c r="AE20" s="341">
        <f>IF($AM$7=$E20,1,IF(MONTH($E20)=1,AE21*(1+$F$5),AE21))</f>
      </c>
      <c r="AF20" s="334">
        <f>AE20*$B$8/12</f>
      </c>
      <c r="AG20" s="334">
        <f>AE20*$B$12/12</f>
      </c>
      <c r="AH20" s="565">
        <f>(1+$AI$5)^(AC20/12)*(AG20+IF(AD20=$AM$7,$AM$4,0))</f>
      </c>
      <c r="AI20" s="170"/>
      <c r="AJ20" s="7"/>
      <c r="AK20" s="1"/>
      <c r="AL20" s="1"/>
      <c r="AM20" s="1"/>
    </row>
    <row x14ac:dyDescent="0.25" r="21" customHeight="1" ht="18.75">
      <c r="A21" s="1"/>
      <c r="B21" s="169"/>
      <c r="C21" s="170"/>
      <c r="D21" s="331">
        <v>14</v>
      </c>
      <c r="E21" s="544">
        <f>+DATE(YEAR(E20),MONTH(E20)-1,DAY(E20))</f>
        <v>25569.041666666668</v>
      </c>
      <c r="F21" s="333">
        <f>IF($C$6=$E21,1,IF(MONTH($E21)=1,F22*(1+$F$5),F22))</f>
      </c>
      <c r="G21" s="333">
        <f>F21*$B$8/12</f>
      </c>
      <c r="H21" s="333">
        <f>IF(F21=1,F21*$B$10/MIN(12,'Simulador - 3º Pilar'!$E$88),0)</f>
      </c>
      <c r="I21" s="560">
        <f>(1+$G$5)^(D21/12)*(H21+IF(E21=$N$7,$N$4,0))</f>
      </c>
      <c r="J21" s="561">
        <f>(1+$G$5)^(D21/12)*(H21*(12-IF(MONTH(E22)=12,0,MONTH(E22)))+IF(AND(F21=1,F22=0),$Q$4,0))*IF(AND(F21=1,F22=0),1,0)</f>
      </c>
      <c r="K21" s="217">
        <f>(1+$G$5)^(D21/12)*(IF(E21=$N$7,$N$4,0)+IF(E21=$C$6,$B$10,0))</f>
      </c>
      <c r="L21" s="217">
        <f>(1+$G$5)^(D21/12)*(IF((E21)&gt;($B$6),H21,0)+IF(E21=$N$7,$N$4,0)+IF(E21=$C$6,0,0))</f>
      </c>
      <c r="M21" s="1"/>
      <c r="N21" s="7"/>
      <c r="O21" s="1"/>
      <c r="P21" s="331">
        <v>14</v>
      </c>
      <c r="Q21" s="544">
        <f>+DATE(YEAR(Q20),MONTH(Q20)-1,DAY(Q20))</f>
        <v>25569.041666666668</v>
      </c>
      <c r="R21" s="341">
        <f>IF($Z$7=$E21,1,IF(MONTH($E21)=1,R22*(1+$F$5),R22))</f>
      </c>
      <c r="S21" s="334">
        <f>R21*$B$8/12</f>
      </c>
      <c r="T21" s="334">
        <f>R21*$B$11/12</f>
      </c>
      <c r="U21" s="565">
        <f>(1+$V$5)^(P21/12)*(T21+IF(Q21=$Z$7,$Z$4,0))</f>
      </c>
      <c r="V21" s="170"/>
      <c r="W21" s="7"/>
      <c r="X21" s="1"/>
      <c r="Y21" s="1"/>
      <c r="Z21" s="1"/>
      <c r="AA21" s="1"/>
      <c r="AB21" s="1"/>
      <c r="AC21" s="331">
        <v>14</v>
      </c>
      <c r="AD21" s="544">
        <f>+DATE(YEAR(AD20),MONTH(AD20)-1,DAY(AD20))</f>
        <v>25569.041666666668</v>
      </c>
      <c r="AE21" s="341">
        <f>IF($AM$7=$E21,1,IF(MONTH($E21)=1,AE22*(1+$F$5),AE22))</f>
      </c>
      <c r="AF21" s="334">
        <f>AE21*$B$8/12</f>
      </c>
      <c r="AG21" s="334">
        <f>AE21*$B$12/12</f>
      </c>
      <c r="AH21" s="565">
        <f>(1+$AI$5)^(AC21/12)*(AG21+IF(AD21=$AM$7,$AM$4,0))</f>
      </c>
      <c r="AI21" s="170"/>
      <c r="AJ21" s="7"/>
      <c r="AK21" s="1"/>
      <c r="AL21" s="1"/>
      <c r="AM21" s="1"/>
    </row>
    <row x14ac:dyDescent="0.25" r="22" customHeight="1" ht="18.75">
      <c r="A22" s="1"/>
      <c r="B22" s="169"/>
      <c r="C22" s="170"/>
      <c r="D22" s="331">
        <v>15</v>
      </c>
      <c r="E22" s="544">
        <f>+DATE(YEAR(E21),MONTH(E21)-1,DAY(E21))</f>
        <v>25569.041666666668</v>
      </c>
      <c r="F22" s="333">
        <f>IF($C$6=$E22,1,IF(MONTH($E22)=1,F23*(1+$F$5),F23))</f>
      </c>
      <c r="G22" s="333">
        <f>F22*$B$8/12</f>
      </c>
      <c r="H22" s="333">
        <f>IF(F22=1,F22*$B$10/MIN(12,'Simulador - 3º Pilar'!$E$88),0)</f>
      </c>
      <c r="I22" s="560">
        <f>(1+$G$5)^(D22/12)*(H22+IF(E22=$N$7,$N$4,0))</f>
      </c>
      <c r="J22" s="561">
        <f>(1+$G$5)^(D22/12)*(H22*(12-IF(MONTH(E23)=12,0,MONTH(E23)))+IF(AND(F22=1,F23=0),$Q$4,0))*IF(AND(F22=1,F23=0),1,0)</f>
      </c>
      <c r="K22" s="217">
        <f>(1+$G$5)^(D22/12)*(IF(E22=$N$7,$N$4,0)+IF(E22=$C$6,$B$10,0))</f>
      </c>
      <c r="L22" s="217">
        <f>(1+$G$5)^(D22/12)*(IF((E22)&gt;($B$6),H22,0)+IF(E22=$N$7,$N$4,0)+IF(E22=$C$6,0,0))</f>
      </c>
      <c r="M22" s="1"/>
      <c r="N22" s="7"/>
      <c r="O22" s="1"/>
      <c r="P22" s="331">
        <v>15</v>
      </c>
      <c r="Q22" s="544">
        <f>+DATE(YEAR(Q21),MONTH(Q21)-1,DAY(Q21))</f>
        <v>25569.041666666668</v>
      </c>
      <c r="R22" s="341">
        <f>IF($Z$7=$E22,1,IF(MONTH($E22)=1,R23*(1+$F$5),R23))</f>
      </c>
      <c r="S22" s="334">
        <f>R22*$B$8/12</f>
      </c>
      <c r="T22" s="334">
        <f>R22*$B$11/12</f>
      </c>
      <c r="U22" s="565">
        <f>(1+$V$5)^(P22/12)*(T22+IF(Q22=$Z$7,$Z$4,0))</f>
      </c>
      <c r="V22" s="170"/>
      <c r="W22" s="7"/>
      <c r="X22" s="1"/>
      <c r="Y22" s="1"/>
      <c r="Z22" s="1"/>
      <c r="AA22" s="1"/>
      <c r="AB22" s="1"/>
      <c r="AC22" s="331">
        <v>15</v>
      </c>
      <c r="AD22" s="544">
        <f>+DATE(YEAR(AD21),MONTH(AD21)-1,DAY(AD21))</f>
        <v>25569.041666666668</v>
      </c>
      <c r="AE22" s="341">
        <f>IF($AM$7=$E22,1,IF(MONTH($E22)=1,AE23*(1+$F$5),AE23))</f>
      </c>
      <c r="AF22" s="334">
        <f>AE22*$B$8/12</f>
      </c>
      <c r="AG22" s="334">
        <f>AE22*$B$12/12</f>
      </c>
      <c r="AH22" s="565">
        <f>(1+$AI$5)^(AC22/12)*(AG22+IF(AD22=$AM$7,$AM$4,0))</f>
      </c>
      <c r="AI22" s="170"/>
      <c r="AJ22" s="7"/>
      <c r="AK22" s="1"/>
      <c r="AL22" s="1"/>
      <c r="AM22" s="1"/>
    </row>
    <row x14ac:dyDescent="0.25" r="23" customHeight="1" ht="18.75">
      <c r="A23" s="1"/>
      <c r="B23" s="169"/>
      <c r="C23" s="170"/>
      <c r="D23" s="331">
        <v>16</v>
      </c>
      <c r="E23" s="544">
        <f>+DATE(YEAR(E22),MONTH(E22)-1,DAY(E22))</f>
        <v>25569.041666666668</v>
      </c>
      <c r="F23" s="333">
        <f>IF($C$6=$E23,1,IF(MONTH($E23)=1,F24*(1+$F$5),F24))</f>
      </c>
      <c r="G23" s="333">
        <f>F23*$B$8/12</f>
      </c>
      <c r="H23" s="333">
        <f>IF(F23=1,F23*$B$10/MIN(12,'Simulador - 3º Pilar'!$E$88),0)</f>
      </c>
      <c r="I23" s="560">
        <f>(1+$G$5)^(D23/12)*(H23+IF(E23=$N$7,$N$4,0))</f>
      </c>
      <c r="J23" s="561">
        <f>(1+$G$5)^(D23/12)*(H23*(12-IF(MONTH(E24)=12,0,MONTH(E24)))+IF(AND(F23=1,F24=0),$Q$4,0))*IF(AND(F23=1,F24=0),1,0)</f>
      </c>
      <c r="K23" s="217">
        <f>(1+$G$5)^(D23/12)*(IF(E23=$N$7,$N$4,0)+IF(E23=$C$6,$B$10,0))</f>
      </c>
      <c r="L23" s="217">
        <f>(1+$G$5)^(D23/12)*(IF((E23)&gt;($B$6),H23,0)+IF(E23=$N$7,$N$4,0)+IF(E23=$C$6,0,0))</f>
      </c>
      <c r="M23" s="1"/>
      <c r="N23" s="7"/>
      <c r="O23" s="1"/>
      <c r="P23" s="331">
        <v>16</v>
      </c>
      <c r="Q23" s="544">
        <f>+DATE(YEAR(Q22),MONTH(Q22)-1,DAY(Q22))</f>
        <v>25569.041666666668</v>
      </c>
      <c r="R23" s="341">
        <f>IF($Z$7=$E23,1,IF(MONTH($E23)=1,R24*(1+$F$5),R24))</f>
      </c>
      <c r="S23" s="334">
        <f>R23*$B$8/12</f>
      </c>
      <c r="T23" s="334">
        <f>R23*$B$11/12</f>
      </c>
      <c r="U23" s="565">
        <f>(1+$V$5)^(P23/12)*(T23+IF(Q23=$Z$7,$Z$4,0))</f>
      </c>
      <c r="V23" s="170"/>
      <c r="W23" s="7"/>
      <c r="X23" s="1"/>
      <c r="Y23" s="1"/>
      <c r="Z23" s="1"/>
      <c r="AA23" s="1"/>
      <c r="AB23" s="1"/>
      <c r="AC23" s="331">
        <v>16</v>
      </c>
      <c r="AD23" s="544">
        <f>+DATE(YEAR(AD22),MONTH(AD22)-1,DAY(AD22))</f>
        <v>25569.041666666668</v>
      </c>
      <c r="AE23" s="341">
        <f>IF($AM$7=$E23,1,IF(MONTH($E23)=1,AE24*(1+$F$5),AE24))</f>
      </c>
      <c r="AF23" s="334">
        <f>AE23*$B$8/12</f>
      </c>
      <c r="AG23" s="334">
        <f>AE23*$B$12/12</f>
      </c>
      <c r="AH23" s="565">
        <f>(1+$AI$5)^(AC23/12)*(AG23+IF(AD23=$AM$7,$AM$4,0))</f>
      </c>
      <c r="AI23" s="170"/>
      <c r="AJ23" s="7"/>
      <c r="AK23" s="1"/>
      <c r="AL23" s="1"/>
      <c r="AM23" s="1"/>
    </row>
    <row x14ac:dyDescent="0.25" r="24" customHeight="1" ht="18.75">
      <c r="A24" s="1"/>
      <c r="B24" s="169"/>
      <c r="C24" s="170"/>
      <c r="D24" s="331">
        <v>17</v>
      </c>
      <c r="E24" s="544">
        <f>+DATE(YEAR(E23),MONTH(E23)-1,DAY(E23))</f>
        <v>25569.041666666668</v>
      </c>
      <c r="F24" s="333">
        <f>IF($C$6=$E24,1,IF(MONTH($E24)=1,F25*(1+$F$5),F25))</f>
      </c>
      <c r="G24" s="333">
        <f>F24*$B$8/12</f>
      </c>
      <c r="H24" s="333">
        <f>IF(F24=1,F24*$B$10/MIN(12,'Simulador - 3º Pilar'!$E$88),0)</f>
      </c>
      <c r="I24" s="560">
        <f>(1+$G$5)^(D24/12)*(H24+IF(E24=$N$7,$N$4,0))</f>
      </c>
      <c r="J24" s="561">
        <f>(1+$G$5)^(D24/12)*(H24*(12-IF(MONTH(E25)=12,0,MONTH(E25)))+IF(AND(F24=1,F25=0),$Q$4,0))*IF(AND(F24=1,F25=0),1,0)</f>
      </c>
      <c r="K24" s="217">
        <f>(1+$G$5)^(D24/12)*(IF(E24=$N$7,$N$4,0)+IF(E24=$C$6,$B$10,0))</f>
      </c>
      <c r="L24" s="217">
        <f>(1+$G$5)^(D24/12)*(IF((E24)&gt;($B$6),H24,0)+IF(E24=$N$7,$N$4,0)+IF(E24=$C$6,0,0))</f>
      </c>
      <c r="M24" s="1"/>
      <c r="N24" s="7"/>
      <c r="O24" s="1"/>
      <c r="P24" s="331">
        <v>17</v>
      </c>
      <c r="Q24" s="544">
        <f>+DATE(YEAR(Q23),MONTH(Q23)-1,DAY(Q23))</f>
        <v>25569.041666666668</v>
      </c>
      <c r="R24" s="341">
        <f>IF($Z$7=$E24,1,IF(MONTH($E24)=1,R25*(1+$F$5),R25))</f>
      </c>
      <c r="S24" s="334">
        <f>R24*$B$8/12</f>
      </c>
      <c r="T24" s="334">
        <f>R24*$B$11/12</f>
      </c>
      <c r="U24" s="565">
        <f>(1+$V$5)^(P24/12)*(T24+IF(Q24=$Z$7,$Z$4,0))</f>
      </c>
      <c r="V24" s="170"/>
      <c r="W24" s="7"/>
      <c r="X24" s="1"/>
      <c r="Y24" s="1"/>
      <c r="Z24" s="1"/>
      <c r="AA24" s="1"/>
      <c r="AB24" s="1"/>
      <c r="AC24" s="331">
        <v>17</v>
      </c>
      <c r="AD24" s="544">
        <f>+DATE(YEAR(AD23),MONTH(AD23)-1,DAY(AD23))</f>
        <v>25569.041666666668</v>
      </c>
      <c r="AE24" s="341">
        <f>IF($AM$7=$E24,1,IF(MONTH($E24)=1,AE25*(1+$F$5),AE25))</f>
      </c>
      <c r="AF24" s="334">
        <f>AE24*$B$8/12</f>
      </c>
      <c r="AG24" s="334">
        <f>AE24*$B$12/12</f>
      </c>
      <c r="AH24" s="565">
        <f>(1+$AI$5)^(AC24/12)*(AG24+IF(AD24=$AM$7,$AM$4,0))</f>
      </c>
      <c r="AI24" s="170"/>
      <c r="AJ24" s="7"/>
      <c r="AK24" s="1"/>
      <c r="AL24" s="1"/>
      <c r="AM24" s="1"/>
    </row>
    <row x14ac:dyDescent="0.25" r="25" customHeight="1" ht="18.75">
      <c r="A25" s="1"/>
      <c r="B25" s="169"/>
      <c r="C25" s="170"/>
      <c r="D25" s="331">
        <v>18</v>
      </c>
      <c r="E25" s="544">
        <f>+DATE(YEAR(E24),MONTH(E24)-1,DAY(E24))</f>
        <v>25569.041666666668</v>
      </c>
      <c r="F25" s="333">
        <f>IF($C$6=$E25,1,IF(MONTH($E25)=1,F26*(1+$F$5),F26))</f>
      </c>
      <c r="G25" s="333">
        <f>F25*$B$8/12</f>
      </c>
      <c r="H25" s="333">
        <f>IF(F25=1,F25*$B$10/MIN(12,'Simulador - 3º Pilar'!$E$88),0)</f>
      </c>
      <c r="I25" s="560">
        <f>(1+$G$5)^(D25/12)*(H25+IF(E25=$N$7,$N$4,0))</f>
      </c>
      <c r="J25" s="561">
        <f>(1+$G$5)^(D25/12)*(H25*(12-IF(MONTH(E26)=12,0,MONTH(E26)))+IF(AND(F25=1,F26=0),$Q$4,0))*IF(AND(F25=1,F26=0),1,0)</f>
      </c>
      <c r="K25" s="217">
        <f>(1+$G$5)^(D25/12)*(IF(E25=$N$7,$N$4,0)+IF(E25=$C$6,$B$10,0))</f>
      </c>
      <c r="L25" s="217">
        <f>(1+$G$5)^(D25/12)*(IF((E25)&gt;($B$6),H25,0)+IF(E25=$N$7,$N$4,0)+IF(E25=$C$6,0,0))</f>
      </c>
      <c r="M25" s="1"/>
      <c r="N25" s="7"/>
      <c r="O25" s="1"/>
      <c r="P25" s="331">
        <v>18</v>
      </c>
      <c r="Q25" s="544">
        <f>+DATE(YEAR(Q24),MONTH(Q24)-1,DAY(Q24))</f>
        <v>25569.041666666668</v>
      </c>
      <c r="R25" s="341">
        <f>IF($Z$7=$E25,1,IF(MONTH($E25)=1,R26*(1+$F$5),R26))</f>
      </c>
      <c r="S25" s="334">
        <f>R25*$B$8/12</f>
      </c>
      <c r="T25" s="334">
        <f>R25*$B$11/12</f>
      </c>
      <c r="U25" s="565">
        <f>(1+$V$5)^(P25/12)*(T25+IF(Q25=$Z$7,$Z$4,0))</f>
      </c>
      <c r="V25" s="170"/>
      <c r="W25" s="7"/>
      <c r="X25" s="1"/>
      <c r="Y25" s="1"/>
      <c r="Z25" s="1"/>
      <c r="AA25" s="1"/>
      <c r="AB25" s="1"/>
      <c r="AC25" s="331">
        <v>18</v>
      </c>
      <c r="AD25" s="544">
        <f>+DATE(YEAR(AD24),MONTH(AD24)-1,DAY(AD24))</f>
        <v>25569.041666666668</v>
      </c>
      <c r="AE25" s="341">
        <f>IF($AM$7=$E25,1,IF(MONTH($E25)=1,AE26*(1+$F$5),AE26))</f>
      </c>
      <c r="AF25" s="334">
        <f>AE25*$B$8/12</f>
      </c>
      <c r="AG25" s="334">
        <f>AE25*$B$12/12</f>
      </c>
      <c r="AH25" s="565">
        <f>(1+$AI$5)^(AC25/12)*(AG25+IF(AD25=$AM$7,$AM$4,0))</f>
      </c>
      <c r="AI25" s="170"/>
      <c r="AJ25" s="7"/>
      <c r="AK25" s="1"/>
      <c r="AL25" s="1"/>
      <c r="AM25" s="1"/>
    </row>
    <row x14ac:dyDescent="0.25" r="26" customHeight="1" ht="18.75">
      <c r="A26" s="1"/>
      <c r="B26" s="169"/>
      <c r="C26" s="170"/>
      <c r="D26" s="331">
        <v>19</v>
      </c>
      <c r="E26" s="544">
        <f>+DATE(YEAR(E25),MONTH(E25)-1,DAY(E25))</f>
        <v>25569.041666666668</v>
      </c>
      <c r="F26" s="333">
        <f>IF($C$6=$E26,1,IF(MONTH($E26)=1,F27*(1+$F$5),F27))</f>
      </c>
      <c r="G26" s="333">
        <f>F26*$B$8/12</f>
      </c>
      <c r="H26" s="333">
        <f>IF(F26=1,F26*$B$10/MIN(12,'Simulador - 3º Pilar'!$E$88),0)</f>
      </c>
      <c r="I26" s="560">
        <f>(1+$G$5)^(D26/12)*(H26+IF(E26=$N$7,$N$4,0))</f>
      </c>
      <c r="J26" s="561">
        <f>(1+$G$5)^(D26/12)*(H26*(12-IF(MONTH(E27)=12,0,MONTH(E27)))+IF(AND(F26=1,F27=0),$Q$4,0))*IF(AND(F26=1,F27=0),1,0)</f>
      </c>
      <c r="K26" s="217">
        <f>(1+$G$5)^(D26/12)*(IF(E26=$N$7,$N$4,0)+IF(E26=$C$6,$B$10,0))</f>
      </c>
      <c r="L26" s="217">
        <f>(1+$G$5)^(D26/12)*(IF((E26)&gt;($B$6),H26,0)+IF(E26=$N$7,$N$4,0)+IF(E26=$C$6,0,0))</f>
      </c>
      <c r="M26" s="1"/>
      <c r="N26" s="7"/>
      <c r="O26" s="1"/>
      <c r="P26" s="331">
        <v>19</v>
      </c>
      <c r="Q26" s="544">
        <f>+DATE(YEAR(Q25),MONTH(Q25)-1,DAY(Q25))</f>
        <v>25569.041666666668</v>
      </c>
      <c r="R26" s="341">
        <f>IF($Z$7=$E26,1,IF(MONTH($E26)=1,R27*(1+$F$5),R27))</f>
      </c>
      <c r="S26" s="334">
        <f>R26*$B$8/12</f>
      </c>
      <c r="T26" s="334">
        <f>R26*$B$11/12</f>
      </c>
      <c r="U26" s="565">
        <f>(1+$V$5)^(P26/12)*(T26+IF(Q26=$Z$7,$Z$4,0))</f>
      </c>
      <c r="V26" s="170"/>
      <c r="W26" s="7"/>
      <c r="X26" s="1"/>
      <c r="Y26" s="1"/>
      <c r="Z26" s="1"/>
      <c r="AA26" s="1"/>
      <c r="AB26" s="1"/>
      <c r="AC26" s="331">
        <v>19</v>
      </c>
      <c r="AD26" s="544">
        <f>+DATE(YEAR(AD25),MONTH(AD25)-1,DAY(AD25))</f>
        <v>25569.041666666668</v>
      </c>
      <c r="AE26" s="341">
        <f>IF($AM$7=$E26,1,IF(MONTH($E26)=1,AE27*(1+$F$5),AE27))</f>
      </c>
      <c r="AF26" s="334">
        <f>AE26*$B$8/12</f>
      </c>
      <c r="AG26" s="334">
        <f>AE26*$B$12/12</f>
      </c>
      <c r="AH26" s="565">
        <f>(1+$AI$5)^(AC26/12)*(AG26+IF(AD26=$AM$7,$AM$4,0))</f>
      </c>
      <c r="AI26" s="170"/>
      <c r="AJ26" s="7"/>
      <c r="AK26" s="1"/>
      <c r="AL26" s="1"/>
      <c r="AM26" s="1"/>
    </row>
    <row x14ac:dyDescent="0.25" r="27" customHeight="1" ht="18.75">
      <c r="A27" s="1"/>
      <c r="B27" s="169"/>
      <c r="C27" s="170"/>
      <c r="D27" s="331">
        <v>20</v>
      </c>
      <c r="E27" s="544">
        <f>+DATE(YEAR(E26),MONTH(E26)-1,DAY(E26))</f>
        <v>25569.041666666668</v>
      </c>
      <c r="F27" s="333">
        <f>IF($C$6=$E27,1,IF(MONTH($E27)=1,F28*(1+$F$5),F28))</f>
      </c>
      <c r="G27" s="333">
        <f>F27*$B$8/12</f>
      </c>
      <c r="H27" s="333">
        <f>IF(F27=1,F27*$B$10/MIN(12,'Simulador - 3º Pilar'!$E$88),0)</f>
      </c>
      <c r="I27" s="560">
        <f>(1+$G$5)^(D27/12)*(H27+IF(E27=$N$7,$N$4,0))</f>
      </c>
      <c r="J27" s="561">
        <f>(1+$G$5)^(D27/12)*(H27*(12-IF(MONTH(E28)=12,0,MONTH(E28)))+IF(AND(F27=1,F28=0),$Q$4,0))*IF(AND(F27=1,F28=0),1,0)</f>
      </c>
      <c r="K27" s="217">
        <f>(1+$G$5)^(D27/12)*(IF(E27=$N$7,$N$4,0)+IF(E27=$C$6,$B$10,0))</f>
      </c>
      <c r="L27" s="217">
        <f>(1+$G$5)^(D27/12)*(IF((E27)&gt;($B$6),H27,0)+IF(E27=$N$7,$N$4,0)+IF(E27=$C$6,0,0))</f>
      </c>
      <c r="M27" s="1"/>
      <c r="N27" s="7"/>
      <c r="O27" s="1"/>
      <c r="P27" s="331">
        <v>20</v>
      </c>
      <c r="Q27" s="544">
        <f>+DATE(YEAR(Q26),MONTH(Q26)-1,DAY(Q26))</f>
        <v>25569.041666666668</v>
      </c>
      <c r="R27" s="341">
        <f>IF($Z$7=$E27,1,IF(MONTH($E27)=1,R28*(1+$F$5),R28))</f>
      </c>
      <c r="S27" s="334">
        <f>R27*$B$8/12</f>
      </c>
      <c r="T27" s="334">
        <f>R27*$B$11/12</f>
      </c>
      <c r="U27" s="565">
        <f>(1+$V$5)^(P27/12)*(T27+IF(Q27=$Z$7,$Z$4,0))</f>
      </c>
      <c r="V27" s="170"/>
      <c r="W27" s="7"/>
      <c r="X27" s="1"/>
      <c r="Y27" s="1"/>
      <c r="Z27" s="1"/>
      <c r="AA27" s="1"/>
      <c r="AB27" s="1"/>
      <c r="AC27" s="331">
        <v>20</v>
      </c>
      <c r="AD27" s="544">
        <f>+DATE(YEAR(AD26),MONTH(AD26)-1,DAY(AD26))</f>
        <v>25569.041666666668</v>
      </c>
      <c r="AE27" s="341">
        <f>IF($AM$7=$E27,1,IF(MONTH($E27)=1,AE28*(1+$F$5),AE28))</f>
      </c>
      <c r="AF27" s="334">
        <f>AE27*$B$8/12</f>
      </c>
      <c r="AG27" s="334">
        <f>AE27*$B$12/12</f>
      </c>
      <c r="AH27" s="565">
        <f>(1+$AI$5)^(AC27/12)*(AG27+IF(AD27=$AM$7,$AM$4,0))</f>
      </c>
      <c r="AI27" s="170"/>
      <c r="AJ27" s="7"/>
      <c r="AK27" s="1"/>
      <c r="AL27" s="1"/>
      <c r="AM27" s="1"/>
    </row>
    <row x14ac:dyDescent="0.25" r="28" customHeight="1" ht="18.75">
      <c r="A28" s="1"/>
      <c r="B28" s="169"/>
      <c r="C28" s="170"/>
      <c r="D28" s="331">
        <v>21</v>
      </c>
      <c r="E28" s="544">
        <f>+DATE(YEAR(E27),MONTH(E27)-1,DAY(E27))</f>
        <v>25569.041666666668</v>
      </c>
      <c r="F28" s="333">
        <f>IF($C$6=$E28,1,IF(MONTH($E28)=1,F29*(1+$F$5),F29))</f>
      </c>
      <c r="G28" s="333">
        <f>F28*$B$8/12</f>
      </c>
      <c r="H28" s="333">
        <f>IF(F28=1,F28*$B$10/MIN(12,'Simulador - 3º Pilar'!$E$88),0)</f>
      </c>
      <c r="I28" s="560">
        <f>(1+$G$5)^(D28/12)*(H28+IF(E28=$N$7,$N$4,0))</f>
      </c>
      <c r="J28" s="561">
        <f>(1+$G$5)^(D28/12)*(H28*(12-IF(MONTH(E29)=12,0,MONTH(E29)))+IF(AND(F28=1,F29=0),$Q$4,0))*IF(AND(F28=1,F29=0),1,0)</f>
      </c>
      <c r="K28" s="217">
        <f>(1+$G$5)^(D28/12)*(IF(E28=$N$7,$N$4,0)+IF(E28=$C$6,$B$10,0))</f>
      </c>
      <c r="L28" s="217">
        <f>(1+$G$5)^(D28/12)*(IF((E28)&gt;($B$6),H28,0)+IF(E28=$N$7,$N$4,0)+IF(E28=$C$6,0,0))</f>
      </c>
      <c r="M28" s="1"/>
      <c r="N28" s="7"/>
      <c r="O28" s="1"/>
      <c r="P28" s="331">
        <v>21</v>
      </c>
      <c r="Q28" s="544">
        <f>+DATE(YEAR(Q27),MONTH(Q27)-1,DAY(Q27))</f>
        <v>25569.041666666668</v>
      </c>
      <c r="R28" s="341">
        <f>IF($Z$7=$E28,1,IF(MONTH($E28)=1,R29*(1+$F$5),R29))</f>
      </c>
      <c r="S28" s="334">
        <f>R28*$B$8/12</f>
      </c>
      <c r="T28" s="334">
        <f>R28*$B$11/12</f>
      </c>
      <c r="U28" s="565">
        <f>(1+$V$5)^(P28/12)*(T28+IF(Q28=$Z$7,$Z$4,0))</f>
      </c>
      <c r="V28" s="170"/>
      <c r="W28" s="7"/>
      <c r="X28" s="1"/>
      <c r="Y28" s="1"/>
      <c r="Z28" s="1"/>
      <c r="AA28" s="1"/>
      <c r="AB28" s="1"/>
      <c r="AC28" s="331">
        <v>21</v>
      </c>
      <c r="AD28" s="544">
        <f>+DATE(YEAR(AD27),MONTH(AD27)-1,DAY(AD27))</f>
        <v>25569.041666666668</v>
      </c>
      <c r="AE28" s="341">
        <f>IF($AM$7=$E28,1,IF(MONTH($E28)=1,AE29*(1+$F$5),AE29))</f>
      </c>
      <c r="AF28" s="334">
        <f>AE28*$B$8/12</f>
      </c>
      <c r="AG28" s="334">
        <f>AE28*$B$12/12</f>
      </c>
      <c r="AH28" s="565">
        <f>(1+$AI$5)^(AC28/12)*(AG28+IF(AD28=$AM$7,$AM$4,0))</f>
      </c>
      <c r="AI28" s="170"/>
      <c r="AJ28" s="7"/>
      <c r="AK28" s="1"/>
      <c r="AL28" s="1"/>
      <c r="AM28" s="1"/>
    </row>
    <row x14ac:dyDescent="0.25" r="29" customHeight="1" ht="18.75">
      <c r="A29" s="1"/>
      <c r="B29" s="169"/>
      <c r="C29" s="170"/>
      <c r="D29" s="331">
        <v>22</v>
      </c>
      <c r="E29" s="544">
        <f>+DATE(YEAR(E28),MONTH(E28)-1,DAY(E28))</f>
        <v>25569.041666666668</v>
      </c>
      <c r="F29" s="333">
        <f>IF($C$6=$E29,1,IF(MONTH($E29)=1,F30*(1+$F$5),F30))</f>
      </c>
      <c r="G29" s="333">
        <f>F29*$B$8/12</f>
      </c>
      <c r="H29" s="333">
        <f>IF(F29=1,F29*$B$10/MIN(12,'Simulador - 3º Pilar'!$E$88),0)</f>
      </c>
      <c r="I29" s="560">
        <f>(1+$G$5)^(D29/12)*(H29+IF(E29=$N$7,$N$4,0))</f>
      </c>
      <c r="J29" s="561">
        <f>(1+$G$5)^(D29/12)*(H29*(12-IF(MONTH(E30)=12,0,MONTH(E30)))+IF(AND(F29=1,F30=0),$Q$4,0))*IF(AND(F29=1,F30=0),1,0)</f>
      </c>
      <c r="K29" s="217">
        <f>(1+$G$5)^(D29/12)*(IF(E29=$N$7,$N$4,0)+IF(E29=$C$6,$B$10,0))</f>
      </c>
      <c r="L29" s="217">
        <f>(1+$G$5)^(D29/12)*(IF((E29)&gt;($B$6),H29,0)+IF(E29=$N$7,$N$4,0)+IF(E29=$C$6,0,0))</f>
      </c>
      <c r="M29" s="1"/>
      <c r="N29" s="7"/>
      <c r="O29" s="1"/>
      <c r="P29" s="331">
        <v>22</v>
      </c>
      <c r="Q29" s="544">
        <f>+DATE(YEAR(Q28),MONTH(Q28)-1,DAY(Q28))</f>
        <v>25569.041666666668</v>
      </c>
      <c r="R29" s="341">
        <f>IF($Z$7=$E29,1,IF(MONTH($E29)=1,R30*(1+$F$5),R30))</f>
      </c>
      <c r="S29" s="334">
        <f>R29*$B$8/12</f>
      </c>
      <c r="T29" s="334">
        <f>R29*$B$11/12</f>
      </c>
      <c r="U29" s="565">
        <f>(1+$V$5)^(P29/12)*(T29+IF(Q29=$Z$7,$Z$4,0))</f>
      </c>
      <c r="V29" s="170"/>
      <c r="W29" s="7"/>
      <c r="X29" s="1"/>
      <c r="Y29" s="1"/>
      <c r="Z29" s="1"/>
      <c r="AA29" s="1"/>
      <c r="AB29" s="1"/>
      <c r="AC29" s="331">
        <v>22</v>
      </c>
      <c r="AD29" s="544">
        <f>+DATE(YEAR(AD28),MONTH(AD28)-1,DAY(AD28))</f>
        <v>25569.041666666668</v>
      </c>
      <c r="AE29" s="341">
        <f>IF($AM$7=$E29,1,IF(MONTH($E29)=1,AE30*(1+$F$5),AE30))</f>
      </c>
      <c r="AF29" s="334">
        <f>AE29*$B$8/12</f>
      </c>
      <c r="AG29" s="334">
        <f>AE29*$B$12/12</f>
      </c>
      <c r="AH29" s="565">
        <f>(1+$AI$5)^(AC29/12)*(AG29+IF(AD29=$AM$7,$AM$4,0))</f>
      </c>
      <c r="AI29" s="170"/>
      <c r="AJ29" s="7"/>
      <c r="AK29" s="1"/>
      <c r="AL29" s="1"/>
      <c r="AM29" s="1"/>
    </row>
    <row x14ac:dyDescent="0.25" r="30" customHeight="1" ht="18.75">
      <c r="A30" s="1"/>
      <c r="B30" s="169"/>
      <c r="C30" s="170"/>
      <c r="D30" s="331">
        <v>23</v>
      </c>
      <c r="E30" s="544">
        <f>+DATE(YEAR(E29),MONTH(E29)-1,DAY(E29))</f>
        <v>25569.041666666668</v>
      </c>
      <c r="F30" s="333">
        <f>IF($C$6=$E30,1,IF(MONTH($E30)=1,F31*(1+$F$5),F31))</f>
      </c>
      <c r="G30" s="333">
        <f>F30*$B$8/12</f>
      </c>
      <c r="H30" s="333">
        <f>IF(F30=1,F30*$B$10/MIN(12,'Simulador - 3º Pilar'!$E$88),0)</f>
      </c>
      <c r="I30" s="560">
        <f>(1+$G$5)^(D30/12)*(H30+IF(E30=$N$7,$N$4,0))</f>
      </c>
      <c r="J30" s="561">
        <f>(1+$G$5)^(D30/12)*(H30*(12-IF(MONTH(E31)=12,0,MONTH(E31)))+IF(AND(F30=1,F31=0),$Q$4,0))*IF(AND(F30=1,F31=0),1,0)</f>
      </c>
      <c r="K30" s="217">
        <f>(1+$G$5)^(D30/12)*(IF(E30=$N$7,$N$4,0)+IF(E30=$C$6,$B$10,0))</f>
      </c>
      <c r="L30" s="217">
        <f>(1+$G$5)^(D30/12)*(IF((E30)&gt;($B$6),H30,0)+IF(E30=$N$7,$N$4,0)+IF(E30=$C$6,0,0))</f>
      </c>
      <c r="M30" s="1"/>
      <c r="N30" s="7"/>
      <c r="O30" s="1"/>
      <c r="P30" s="331">
        <v>23</v>
      </c>
      <c r="Q30" s="544">
        <f>+DATE(YEAR(Q29),MONTH(Q29)-1,DAY(Q29))</f>
        <v>25569.041666666668</v>
      </c>
      <c r="R30" s="341">
        <f>IF($Z$7=$E30,1,IF(MONTH($E30)=1,R31*(1+$F$5),R31))</f>
      </c>
      <c r="S30" s="334">
        <f>R30*$B$8/12</f>
      </c>
      <c r="T30" s="334">
        <f>R30*$B$11/12</f>
      </c>
      <c r="U30" s="565">
        <f>(1+$V$5)^(P30/12)*(T30+IF(Q30=$Z$7,$Z$4,0))</f>
      </c>
      <c r="V30" s="170"/>
      <c r="W30" s="7"/>
      <c r="X30" s="1"/>
      <c r="Y30" s="1"/>
      <c r="Z30" s="1"/>
      <c r="AA30" s="1"/>
      <c r="AB30" s="1"/>
      <c r="AC30" s="331">
        <v>23</v>
      </c>
      <c r="AD30" s="544">
        <f>+DATE(YEAR(AD29),MONTH(AD29)-1,DAY(AD29))</f>
        <v>25569.041666666668</v>
      </c>
      <c r="AE30" s="341">
        <f>IF($AM$7=$E30,1,IF(MONTH($E30)=1,AE31*(1+$F$5),AE31))</f>
      </c>
      <c r="AF30" s="334">
        <f>AE30*$B$8/12</f>
      </c>
      <c r="AG30" s="334">
        <f>AE30*$B$12/12</f>
      </c>
      <c r="AH30" s="565">
        <f>(1+$AI$5)^(AC30/12)*(AG30+IF(AD30=$AM$7,$AM$4,0))</f>
      </c>
      <c r="AI30" s="170"/>
      <c r="AJ30" s="7"/>
      <c r="AK30" s="1"/>
      <c r="AL30" s="1"/>
      <c r="AM30" s="1"/>
    </row>
    <row x14ac:dyDescent="0.25" r="31" customHeight="1" ht="18.75">
      <c r="A31" s="1"/>
      <c r="B31" s="169"/>
      <c r="C31" s="170"/>
      <c r="D31" s="331">
        <v>24</v>
      </c>
      <c r="E31" s="544">
        <f>+DATE(YEAR(E30),MONTH(E30)-1,DAY(E30))</f>
        <v>25569.041666666668</v>
      </c>
      <c r="F31" s="333">
        <f>IF($C$6=$E31,1,IF(MONTH($E31)=1,F32*(1+$F$5),F32))</f>
      </c>
      <c r="G31" s="333">
        <f>F31*$B$8/12</f>
      </c>
      <c r="H31" s="333">
        <f>IF(F31=1,F31*$B$10/MIN(12,'Simulador - 3º Pilar'!$E$88),0)</f>
      </c>
      <c r="I31" s="560">
        <f>(1+$G$5)^(D31/12)*(H31+IF(E31=$N$7,$N$4,0))</f>
      </c>
      <c r="J31" s="561">
        <f>(1+$G$5)^(D31/12)*(H31*(12-IF(MONTH(E32)=12,0,MONTH(E32)))+IF(AND(F31=1,F32=0),$Q$4,0))*IF(AND(F31=1,F32=0),1,0)</f>
      </c>
      <c r="K31" s="217">
        <f>(1+$G$5)^(D31/12)*(IF(E31=$N$7,$N$4,0)+IF(E31=$C$6,$B$10,0))</f>
      </c>
      <c r="L31" s="217">
        <f>(1+$G$5)^(D31/12)*(IF((E31)&gt;($B$6),H31,0)+IF(E31=$N$7,$N$4,0)+IF(E31=$C$6,0,0))</f>
      </c>
      <c r="M31" s="1"/>
      <c r="N31" s="7"/>
      <c r="O31" s="1"/>
      <c r="P31" s="331">
        <v>24</v>
      </c>
      <c r="Q31" s="544">
        <f>+DATE(YEAR(Q30),MONTH(Q30)-1,DAY(Q30))</f>
        <v>25569.041666666668</v>
      </c>
      <c r="R31" s="341">
        <f>IF($Z$7=$E31,1,IF(MONTH($E31)=1,R32*(1+$F$5),R32))</f>
      </c>
      <c r="S31" s="334">
        <f>R31*$B$8/12</f>
      </c>
      <c r="T31" s="334">
        <f>R31*$B$11/12</f>
      </c>
      <c r="U31" s="565">
        <f>(1+$V$5)^(P31/12)*(T31+IF(Q31=$Z$7,$Z$4,0))</f>
      </c>
      <c r="V31" s="170"/>
      <c r="W31" s="7"/>
      <c r="X31" s="1"/>
      <c r="Y31" s="1"/>
      <c r="Z31" s="1"/>
      <c r="AA31" s="1"/>
      <c r="AB31" s="1"/>
      <c r="AC31" s="331">
        <v>24</v>
      </c>
      <c r="AD31" s="544">
        <f>+DATE(YEAR(AD30),MONTH(AD30)-1,DAY(AD30))</f>
        <v>25569.041666666668</v>
      </c>
      <c r="AE31" s="341">
        <f>IF($AM$7=$E31,1,IF(MONTH($E31)=1,AE32*(1+$F$5),AE32))</f>
      </c>
      <c r="AF31" s="334">
        <f>AE31*$B$8/12</f>
      </c>
      <c r="AG31" s="334">
        <f>AE31*$B$12/12</f>
      </c>
      <c r="AH31" s="565">
        <f>(1+$AI$5)^(AC31/12)*(AG31+IF(AD31=$AM$7,$AM$4,0))</f>
      </c>
      <c r="AI31" s="170"/>
      <c r="AJ31" s="7"/>
      <c r="AK31" s="1"/>
      <c r="AL31" s="1"/>
      <c r="AM31" s="1"/>
    </row>
    <row x14ac:dyDescent="0.25" r="32" customHeight="1" ht="18.75">
      <c r="A32" s="1"/>
      <c r="B32" s="169"/>
      <c r="C32" s="170"/>
      <c r="D32" s="331">
        <v>25</v>
      </c>
      <c r="E32" s="544">
        <f>+DATE(YEAR(E31),MONTH(E31)-1,DAY(E31))</f>
        <v>25569.041666666668</v>
      </c>
      <c r="F32" s="333">
        <f>IF($C$6=$E32,1,IF(MONTH($E32)=1,F33*(1+$F$5),F33))</f>
      </c>
      <c r="G32" s="333">
        <f>F32*$B$8/12</f>
      </c>
      <c r="H32" s="333">
        <f>IF(F32=1,F32*$B$10/MIN(12,'Simulador - 3º Pilar'!$E$88),0)</f>
      </c>
      <c r="I32" s="560">
        <f>(1+$G$5)^(D32/12)*(H32+IF(E32=$N$7,$N$4,0))</f>
      </c>
      <c r="J32" s="561">
        <f>(1+$G$5)^(D32/12)*(H32*(12-IF(MONTH(E33)=12,0,MONTH(E33)))+IF(AND(F32=1,F33=0),$Q$4,0))*IF(AND(F32=1,F33=0),1,0)</f>
      </c>
      <c r="K32" s="217">
        <f>(1+$G$5)^(D32/12)*(IF(E32=$N$7,$N$4,0)+IF(E32=$C$6,$B$10,0))</f>
      </c>
      <c r="L32" s="217">
        <f>(1+$G$5)^(D32/12)*(IF((E32)&gt;($B$6),H32,0)+IF(E32=$N$7,$N$4,0)+IF(E32=$C$6,0,0))</f>
      </c>
      <c r="M32" s="1"/>
      <c r="N32" s="7"/>
      <c r="O32" s="1"/>
      <c r="P32" s="331">
        <v>25</v>
      </c>
      <c r="Q32" s="544">
        <f>+DATE(YEAR(Q31),MONTH(Q31)-1,DAY(Q31))</f>
        <v>25569.041666666668</v>
      </c>
      <c r="R32" s="341">
        <f>IF($Z$7=$E32,1,IF(MONTH($E32)=1,R33*(1+$F$5),R33))</f>
      </c>
      <c r="S32" s="334">
        <f>R32*$B$8/12</f>
      </c>
      <c r="T32" s="334">
        <f>R32*$B$11/12</f>
      </c>
      <c r="U32" s="565">
        <f>(1+$V$5)^(P32/12)*(T32+IF(Q32=$Z$7,$Z$4,0))</f>
      </c>
      <c r="V32" s="170"/>
      <c r="W32" s="7"/>
      <c r="X32" s="1"/>
      <c r="Y32" s="1"/>
      <c r="Z32" s="1"/>
      <c r="AA32" s="1"/>
      <c r="AB32" s="1"/>
      <c r="AC32" s="331">
        <v>25</v>
      </c>
      <c r="AD32" s="544">
        <f>+DATE(YEAR(AD31),MONTH(AD31)-1,DAY(AD31))</f>
        <v>25569.041666666668</v>
      </c>
      <c r="AE32" s="341">
        <f>IF($AM$7=$E32,1,IF(MONTH($E32)=1,AE33*(1+$F$5),AE33))</f>
      </c>
      <c r="AF32" s="334">
        <f>AE32*$B$8/12</f>
      </c>
      <c r="AG32" s="334">
        <f>AE32*$B$12/12</f>
      </c>
      <c r="AH32" s="565">
        <f>(1+$AI$5)^(AC32/12)*(AG32+IF(AD32=$AM$7,$AM$4,0))</f>
      </c>
      <c r="AI32" s="170"/>
      <c r="AJ32" s="7"/>
      <c r="AK32" s="1"/>
      <c r="AL32" s="1"/>
      <c r="AM32" s="1"/>
    </row>
    <row x14ac:dyDescent="0.25" r="33" customHeight="1" ht="18.75">
      <c r="A33" s="1"/>
      <c r="B33" s="169"/>
      <c r="C33" s="170"/>
      <c r="D33" s="331">
        <v>26</v>
      </c>
      <c r="E33" s="544">
        <f>+DATE(YEAR(E32),MONTH(E32)-1,DAY(E32))</f>
        <v>25569.041666666668</v>
      </c>
      <c r="F33" s="333">
        <f>IF($C$6=$E33,1,IF(MONTH($E33)=1,F34*(1+$F$5),F34))</f>
      </c>
      <c r="G33" s="333">
        <f>F33*$B$8/12</f>
      </c>
      <c r="H33" s="333">
        <f>IF(F33=1,F33*$B$10/MIN(12,'Simulador - 3º Pilar'!$E$88),0)</f>
      </c>
      <c r="I33" s="560">
        <f>(1+$G$5)^(D33/12)*(H33+IF(E33=$N$7,$N$4,0))</f>
      </c>
      <c r="J33" s="561">
        <f>(1+$G$5)^(D33/12)*(H33*(12-IF(MONTH(E34)=12,0,MONTH(E34)))+IF(AND(F33=1,F34=0),$Q$4,0))*IF(AND(F33=1,F34=0),1,0)</f>
      </c>
      <c r="K33" s="217">
        <f>(1+$G$5)^(D33/12)*(IF(E33=$N$7,$N$4,0)+IF(E33=$C$6,$B$10,0))</f>
      </c>
      <c r="L33" s="217">
        <f>(1+$G$5)^(D33/12)*(IF((E33)&gt;($B$6),H33,0)+IF(E33=$N$7,$N$4,0)+IF(E33=$C$6,0,0))</f>
      </c>
      <c r="M33" s="1"/>
      <c r="N33" s="7"/>
      <c r="O33" s="1"/>
      <c r="P33" s="331">
        <v>26</v>
      </c>
      <c r="Q33" s="544">
        <f>+DATE(YEAR(Q32),MONTH(Q32)-1,DAY(Q32))</f>
        <v>25569.041666666668</v>
      </c>
      <c r="R33" s="341">
        <f>IF($Z$7=$E33,1,IF(MONTH($E33)=1,R34*(1+$F$5),R34))</f>
      </c>
      <c r="S33" s="334">
        <f>R33*$B$8/12</f>
      </c>
      <c r="T33" s="334">
        <f>R33*$B$11/12</f>
      </c>
      <c r="U33" s="565">
        <f>(1+$V$5)^(P33/12)*(T33+IF(Q33=$Z$7,$Z$4,0))</f>
      </c>
      <c r="V33" s="170"/>
      <c r="W33" s="7"/>
      <c r="X33" s="1"/>
      <c r="Y33" s="1"/>
      <c r="Z33" s="1"/>
      <c r="AA33" s="1"/>
      <c r="AB33" s="1"/>
      <c r="AC33" s="331">
        <v>26</v>
      </c>
      <c r="AD33" s="544">
        <f>+DATE(YEAR(AD32),MONTH(AD32)-1,DAY(AD32))</f>
        <v>25569.041666666668</v>
      </c>
      <c r="AE33" s="341">
        <f>IF($AM$7=$E33,1,IF(MONTH($E33)=1,AE34*(1+$F$5),AE34))</f>
      </c>
      <c r="AF33" s="334">
        <f>AE33*$B$8/12</f>
      </c>
      <c r="AG33" s="334">
        <f>AE33*$B$12/12</f>
      </c>
      <c r="AH33" s="565">
        <f>(1+$AI$5)^(AC33/12)*(AG33+IF(AD33=$AM$7,$AM$4,0))</f>
      </c>
      <c r="AI33" s="170"/>
      <c r="AJ33" s="7"/>
      <c r="AK33" s="1"/>
      <c r="AL33" s="1"/>
      <c r="AM33" s="1"/>
    </row>
    <row x14ac:dyDescent="0.25" r="34" customHeight="1" ht="18.75">
      <c r="A34" s="1"/>
      <c r="B34" s="169"/>
      <c r="C34" s="170"/>
      <c r="D34" s="331">
        <v>27</v>
      </c>
      <c r="E34" s="544">
        <f>+DATE(YEAR(E33),MONTH(E33)-1,DAY(E33))</f>
        <v>25569.041666666668</v>
      </c>
      <c r="F34" s="333">
        <f>IF($C$6=$E34,1,IF(MONTH($E34)=1,F35*(1+$F$5),F35))</f>
      </c>
      <c r="G34" s="333">
        <f>F34*$B$8/12</f>
      </c>
      <c r="H34" s="333">
        <f>IF(F34=1,F34*$B$10/MIN(12,'Simulador - 3º Pilar'!$E$88),0)</f>
      </c>
      <c r="I34" s="560">
        <f>(1+$G$5)^(D34/12)*(H34+IF(E34=$N$7,$N$4,0))</f>
      </c>
      <c r="J34" s="561">
        <f>(1+$G$5)^(D34/12)*(H34*(12-IF(MONTH(E35)=12,0,MONTH(E35)))+IF(AND(F34=1,F35=0),$Q$4,0))*IF(AND(F34=1,F35=0),1,0)</f>
      </c>
      <c r="K34" s="217">
        <f>(1+$G$5)^(D34/12)*(IF(E34=$N$7,$N$4,0)+IF(E34=$C$6,$B$10,0))</f>
      </c>
      <c r="L34" s="217">
        <f>(1+$G$5)^(D34/12)*(IF((E34)&gt;($B$6),H34,0)+IF(E34=$N$7,$N$4,0)+IF(E34=$C$6,0,0))</f>
      </c>
      <c r="M34" s="1"/>
      <c r="N34" s="7"/>
      <c r="O34" s="1"/>
      <c r="P34" s="331">
        <v>27</v>
      </c>
      <c r="Q34" s="544">
        <f>+DATE(YEAR(Q33),MONTH(Q33)-1,DAY(Q33))</f>
        <v>25569.041666666668</v>
      </c>
      <c r="R34" s="341">
        <f>IF($Z$7=$E34,1,IF(MONTH($E34)=1,R35*(1+$F$5),R35))</f>
      </c>
      <c r="S34" s="334">
        <f>R34*$B$8/12</f>
      </c>
      <c r="T34" s="334">
        <f>R34*$B$11/12</f>
      </c>
      <c r="U34" s="565">
        <f>(1+$V$5)^(P34/12)*(T34+IF(Q34=$Z$7,$Z$4,0))</f>
      </c>
      <c r="V34" s="170"/>
      <c r="W34" s="7"/>
      <c r="X34" s="1"/>
      <c r="Y34" s="1"/>
      <c r="Z34" s="1"/>
      <c r="AA34" s="1"/>
      <c r="AB34" s="1"/>
      <c r="AC34" s="331">
        <v>27</v>
      </c>
      <c r="AD34" s="544">
        <f>+DATE(YEAR(AD33),MONTH(AD33)-1,DAY(AD33))</f>
        <v>25569.041666666668</v>
      </c>
      <c r="AE34" s="341">
        <f>IF($AM$7=$E34,1,IF(MONTH($E34)=1,AE35*(1+$F$5),AE35))</f>
      </c>
      <c r="AF34" s="334">
        <f>AE34*$B$8/12</f>
      </c>
      <c r="AG34" s="334">
        <f>AE34*$B$12/12</f>
      </c>
      <c r="AH34" s="565">
        <f>(1+$AI$5)^(AC34/12)*(AG34+IF(AD34=$AM$7,$AM$4,0))</f>
      </c>
      <c r="AI34" s="170"/>
      <c r="AJ34" s="7"/>
      <c r="AK34" s="1"/>
      <c r="AL34" s="1"/>
      <c r="AM34" s="1"/>
    </row>
    <row x14ac:dyDescent="0.25" r="35" customHeight="1" ht="18.75">
      <c r="A35" s="1"/>
      <c r="B35" s="169"/>
      <c r="C35" s="170"/>
      <c r="D35" s="331">
        <v>28</v>
      </c>
      <c r="E35" s="544">
        <f>+DATE(YEAR(E34),MONTH(E34)-1,DAY(E34))</f>
        <v>25569.041666666668</v>
      </c>
      <c r="F35" s="333">
        <f>IF($C$6=$E35,1,IF(MONTH($E35)=1,F36*(1+$F$5),F36))</f>
      </c>
      <c r="G35" s="333">
        <f>F35*$B$8/12</f>
      </c>
      <c r="H35" s="333">
        <f>IF(F35=1,F35*$B$10/MIN(12,'Simulador - 3º Pilar'!$E$88),0)</f>
      </c>
      <c r="I35" s="560">
        <f>(1+$G$5)^(D35/12)*(H35+IF(E35=$N$7,$N$4,0))</f>
      </c>
      <c r="J35" s="561">
        <f>(1+$G$5)^(D35/12)*(H35*(12-IF(MONTH(E36)=12,0,MONTH(E36)))+IF(AND(F35=1,F36=0),$Q$4,0))*IF(AND(F35=1,F36=0),1,0)</f>
      </c>
      <c r="K35" s="217">
        <f>(1+$G$5)^(D35/12)*(IF(E35=$N$7,$N$4,0)+IF(E35=$C$6,$B$10,0))</f>
      </c>
      <c r="L35" s="217">
        <f>(1+$G$5)^(D35/12)*(IF((E35)&gt;($B$6),H35,0)+IF(E35=$N$7,$N$4,0)+IF(E35=$C$6,0,0))</f>
      </c>
      <c r="M35" s="1"/>
      <c r="N35" s="7"/>
      <c r="O35" s="1"/>
      <c r="P35" s="331">
        <v>28</v>
      </c>
      <c r="Q35" s="544">
        <f>+DATE(YEAR(Q34),MONTH(Q34)-1,DAY(Q34))</f>
        <v>25569.041666666668</v>
      </c>
      <c r="R35" s="341">
        <f>IF($Z$7=$E35,1,IF(MONTH($E35)=1,R36*(1+$F$5),R36))</f>
      </c>
      <c r="S35" s="334">
        <f>R35*$B$8/12</f>
      </c>
      <c r="T35" s="334">
        <f>R35*$B$11/12</f>
      </c>
      <c r="U35" s="565">
        <f>(1+$V$5)^(P35/12)*(T35+IF(Q35=$Z$7,$Z$4,0))</f>
      </c>
      <c r="V35" s="170"/>
      <c r="W35" s="7"/>
      <c r="X35" s="1"/>
      <c r="Y35" s="1"/>
      <c r="Z35" s="1"/>
      <c r="AA35" s="1"/>
      <c r="AB35" s="1"/>
      <c r="AC35" s="331">
        <v>28</v>
      </c>
      <c r="AD35" s="544">
        <f>+DATE(YEAR(AD34),MONTH(AD34)-1,DAY(AD34))</f>
        <v>25569.041666666668</v>
      </c>
      <c r="AE35" s="341">
        <f>IF($AM$7=$E35,1,IF(MONTH($E35)=1,AE36*(1+$F$5),AE36))</f>
      </c>
      <c r="AF35" s="334">
        <f>AE35*$B$8/12</f>
      </c>
      <c r="AG35" s="334">
        <f>AE35*$B$12/12</f>
      </c>
      <c r="AH35" s="565">
        <f>(1+$AI$5)^(AC35/12)*(AG35+IF(AD35=$AM$7,$AM$4,0))</f>
      </c>
      <c r="AI35" s="170"/>
      <c r="AJ35" s="7"/>
      <c r="AK35" s="1"/>
      <c r="AL35" s="1"/>
      <c r="AM35" s="1"/>
    </row>
    <row x14ac:dyDescent="0.25" r="36" customHeight="1" ht="18.75">
      <c r="A36" s="1"/>
      <c r="B36" s="169"/>
      <c r="C36" s="170"/>
      <c r="D36" s="331">
        <v>29</v>
      </c>
      <c r="E36" s="544">
        <f>+DATE(YEAR(E35),MONTH(E35)-1,DAY(E35))</f>
        <v>25569.041666666668</v>
      </c>
      <c r="F36" s="333">
        <f>IF($C$6=$E36,1,IF(MONTH($E36)=1,F37*(1+$F$5),F37))</f>
      </c>
      <c r="G36" s="333">
        <f>F36*$B$8/12</f>
      </c>
      <c r="H36" s="333">
        <f>IF(F36=1,F36*$B$10/MIN(12,'Simulador - 3º Pilar'!$E$88),0)</f>
      </c>
      <c r="I36" s="560">
        <f>(1+$G$5)^(D36/12)*(H36+IF(E36=$N$7,$N$4,0))</f>
      </c>
      <c r="J36" s="561">
        <f>(1+$G$5)^(D36/12)*(H36*(12-IF(MONTH(E37)=12,0,MONTH(E37)))+IF(AND(F36=1,F37=0),$Q$4,0))*IF(AND(F36=1,F37=0),1,0)</f>
      </c>
      <c r="K36" s="217">
        <f>(1+$G$5)^(D36/12)*(IF(E36=$N$7,$N$4,0)+IF(E36=$C$6,$B$10,0))</f>
      </c>
      <c r="L36" s="217">
        <f>(1+$G$5)^(D36/12)*(IF((E36)&gt;($B$6),H36,0)+IF(E36=$N$7,$N$4,0)+IF(E36=$C$6,0,0))</f>
      </c>
      <c r="M36" s="1"/>
      <c r="N36" s="7"/>
      <c r="O36" s="1"/>
      <c r="P36" s="331">
        <v>29</v>
      </c>
      <c r="Q36" s="544">
        <f>+DATE(YEAR(Q35),MONTH(Q35)-1,DAY(Q35))</f>
        <v>25569.041666666668</v>
      </c>
      <c r="R36" s="341">
        <f>IF($Z$7=$E36,1,IF(MONTH($E36)=1,R37*(1+$F$5),R37))</f>
      </c>
      <c r="S36" s="334">
        <f>R36*$B$8/12</f>
      </c>
      <c r="T36" s="334">
        <f>R36*$B$11/12</f>
      </c>
      <c r="U36" s="565">
        <f>(1+$V$5)^(P36/12)*(T36+IF(Q36=$Z$7,$Z$4,0))</f>
      </c>
      <c r="V36" s="170"/>
      <c r="W36" s="7"/>
      <c r="X36" s="1"/>
      <c r="Y36" s="1"/>
      <c r="Z36" s="1"/>
      <c r="AA36" s="1"/>
      <c r="AB36" s="1"/>
      <c r="AC36" s="331">
        <v>29</v>
      </c>
      <c r="AD36" s="544">
        <f>+DATE(YEAR(AD35),MONTH(AD35)-1,DAY(AD35))</f>
        <v>25569.041666666668</v>
      </c>
      <c r="AE36" s="341">
        <f>IF($AM$7=$E36,1,IF(MONTH($E36)=1,AE37*(1+$F$5),AE37))</f>
      </c>
      <c r="AF36" s="334">
        <f>AE36*$B$8/12</f>
      </c>
      <c r="AG36" s="334">
        <f>AE36*$B$12/12</f>
      </c>
      <c r="AH36" s="565">
        <f>(1+$AI$5)^(AC36/12)*(AG36+IF(AD36=$AM$7,$AM$4,0))</f>
      </c>
      <c r="AI36" s="170"/>
      <c r="AJ36" s="7"/>
      <c r="AK36" s="1"/>
      <c r="AL36" s="1"/>
      <c r="AM36" s="1"/>
    </row>
    <row x14ac:dyDescent="0.25" r="37" customHeight="1" ht="18.75">
      <c r="A37" s="1"/>
      <c r="B37" s="169"/>
      <c r="C37" s="170"/>
      <c r="D37" s="331">
        <v>30</v>
      </c>
      <c r="E37" s="544">
        <f>+DATE(YEAR(E36),MONTH(E36)-1,DAY(E36))</f>
        <v>25569.041666666668</v>
      </c>
      <c r="F37" s="333">
        <f>IF($C$6=$E37,1,IF(MONTH($E37)=1,F38*(1+$F$5),F38))</f>
      </c>
      <c r="G37" s="333">
        <f>F37*$B$8/12</f>
      </c>
      <c r="H37" s="333">
        <f>IF(F37=1,F37*$B$10/MIN(12,'Simulador - 3º Pilar'!$E$88),0)</f>
      </c>
      <c r="I37" s="560">
        <f>(1+$G$5)^(D37/12)*(H37+IF(E37=$N$7,$N$4,0))</f>
      </c>
      <c r="J37" s="561">
        <f>(1+$G$5)^(D37/12)*(H37*(12-IF(MONTH(E38)=12,0,MONTH(E38)))+IF(AND(F37=1,F38=0),$Q$4,0))*IF(AND(F37=1,F38=0),1,0)</f>
      </c>
      <c r="K37" s="217">
        <f>(1+$G$5)^(D37/12)*(IF(E37=$N$7,$N$4,0)+IF(E37=$C$6,$B$10,0))</f>
      </c>
      <c r="L37" s="217">
        <f>(1+$G$5)^(D37/12)*(IF((E37)&gt;($B$6),H37,0)+IF(E37=$N$7,$N$4,0)+IF(E37=$C$6,0,0))</f>
      </c>
      <c r="M37" s="1"/>
      <c r="N37" s="7"/>
      <c r="O37" s="1"/>
      <c r="P37" s="331">
        <v>30</v>
      </c>
      <c r="Q37" s="544">
        <f>+DATE(YEAR(Q36),MONTH(Q36)-1,DAY(Q36))</f>
        <v>25569.041666666668</v>
      </c>
      <c r="R37" s="341">
        <f>IF($Z$7=$E37,1,IF(MONTH($E37)=1,R38*(1+$F$5),R38))</f>
      </c>
      <c r="S37" s="334">
        <f>R37*$B$8/12</f>
      </c>
      <c r="T37" s="334">
        <f>R37*$B$11/12</f>
      </c>
      <c r="U37" s="565">
        <f>(1+$V$5)^(P37/12)*(T37+IF(Q37=$Z$7,$Z$4,0))</f>
      </c>
      <c r="V37" s="170"/>
      <c r="W37" s="7"/>
      <c r="X37" s="1"/>
      <c r="Y37" s="1"/>
      <c r="Z37" s="1"/>
      <c r="AA37" s="1"/>
      <c r="AB37" s="1"/>
      <c r="AC37" s="331">
        <v>30</v>
      </c>
      <c r="AD37" s="544">
        <f>+DATE(YEAR(AD36),MONTH(AD36)-1,DAY(AD36))</f>
        <v>25569.041666666668</v>
      </c>
      <c r="AE37" s="341">
        <f>IF($AM$7=$E37,1,IF(MONTH($E37)=1,AE38*(1+$F$5),AE38))</f>
      </c>
      <c r="AF37" s="334">
        <f>AE37*$B$8/12</f>
      </c>
      <c r="AG37" s="334">
        <f>AE37*$B$12/12</f>
      </c>
      <c r="AH37" s="565">
        <f>(1+$AI$5)^(AC37/12)*(AG37+IF(AD37=$AM$7,$AM$4,0))</f>
      </c>
      <c r="AI37" s="170"/>
      <c r="AJ37" s="7"/>
      <c r="AK37" s="1"/>
      <c r="AL37" s="1"/>
      <c r="AM37" s="1"/>
    </row>
    <row x14ac:dyDescent="0.25" r="38" customHeight="1" ht="18.75">
      <c r="A38" s="1"/>
      <c r="B38" s="169"/>
      <c r="C38" s="170"/>
      <c r="D38" s="331">
        <v>31</v>
      </c>
      <c r="E38" s="544">
        <f>+DATE(YEAR(E37),MONTH(E37)-1,DAY(E37))</f>
        <v>25569.041666666668</v>
      </c>
      <c r="F38" s="333">
        <f>IF($C$6=$E38,1,IF(MONTH($E38)=1,F39*(1+$F$5),F39))</f>
      </c>
      <c r="G38" s="333">
        <f>F38*$B$8/12</f>
      </c>
      <c r="H38" s="333">
        <f>IF(F38=1,F38*$B$10/MIN(12,'Simulador - 3º Pilar'!$E$88),0)</f>
      </c>
      <c r="I38" s="560">
        <f>(1+$G$5)^(D38/12)*(H38+IF(E38=$N$7,$N$4,0))</f>
      </c>
      <c r="J38" s="561">
        <f>(1+$G$5)^(D38/12)*(H38*(12-IF(MONTH(E39)=12,0,MONTH(E39)))+IF(AND(F38=1,F39=0),$Q$4,0))*IF(AND(F38=1,F39=0),1,0)</f>
      </c>
      <c r="K38" s="217">
        <f>(1+$G$5)^(D38/12)*(IF(E38=$N$7,$N$4,0)+IF(E38=$C$6,$B$10,0))</f>
      </c>
      <c r="L38" s="217">
        <f>(1+$G$5)^(D38/12)*(IF((E38)&gt;($B$6),H38,0)+IF(E38=$N$7,$N$4,0)+IF(E38=$C$6,0,0))</f>
      </c>
      <c r="M38" s="1"/>
      <c r="N38" s="7"/>
      <c r="O38" s="1"/>
      <c r="P38" s="331">
        <v>31</v>
      </c>
      <c r="Q38" s="544">
        <f>+DATE(YEAR(Q37),MONTH(Q37)-1,DAY(Q37))</f>
        <v>25569.041666666668</v>
      </c>
      <c r="R38" s="341">
        <f>IF($Z$7=$E38,1,IF(MONTH($E38)=1,R39*(1+$F$5),R39))</f>
      </c>
      <c r="S38" s="334">
        <f>R38*$B$8/12</f>
      </c>
      <c r="T38" s="334">
        <f>R38*$B$11/12</f>
      </c>
      <c r="U38" s="565">
        <f>(1+$V$5)^(P38/12)*(T38+IF(Q38=$Z$7,$Z$4,0))</f>
      </c>
      <c r="V38" s="170"/>
      <c r="W38" s="7"/>
      <c r="X38" s="1"/>
      <c r="Y38" s="1"/>
      <c r="Z38" s="1"/>
      <c r="AA38" s="1"/>
      <c r="AB38" s="1"/>
      <c r="AC38" s="331">
        <v>31</v>
      </c>
      <c r="AD38" s="544">
        <f>+DATE(YEAR(AD37),MONTH(AD37)-1,DAY(AD37))</f>
        <v>25569.041666666668</v>
      </c>
      <c r="AE38" s="341">
        <f>IF($AM$7=$E38,1,IF(MONTH($E38)=1,AE39*(1+$F$5),AE39))</f>
      </c>
      <c r="AF38" s="334">
        <f>AE38*$B$8/12</f>
      </c>
      <c r="AG38" s="334">
        <f>AE38*$B$12/12</f>
      </c>
      <c r="AH38" s="565">
        <f>(1+$AI$5)^(AC38/12)*(AG38+IF(AD38=$AM$7,$AM$4,0))</f>
      </c>
      <c r="AI38" s="170"/>
      <c r="AJ38" s="7"/>
      <c r="AK38" s="1"/>
      <c r="AL38" s="1"/>
      <c r="AM38" s="1"/>
    </row>
    <row x14ac:dyDescent="0.25" r="39" customHeight="1" ht="18.75">
      <c r="A39" s="1"/>
      <c r="B39" s="169"/>
      <c r="C39" s="170"/>
      <c r="D39" s="331">
        <v>32</v>
      </c>
      <c r="E39" s="544">
        <f>+DATE(YEAR(E38),MONTH(E38)-1,DAY(E38))</f>
        <v>25569.041666666668</v>
      </c>
      <c r="F39" s="333">
        <f>IF($C$6=$E39,1,IF(MONTH($E39)=1,F40*(1+$F$5),F40))</f>
      </c>
      <c r="G39" s="333">
        <f>F39*$B$8/12</f>
      </c>
      <c r="H39" s="333">
        <f>IF(F39=1,F39*$B$10/MIN(12,'Simulador - 3º Pilar'!$E$88),0)</f>
      </c>
      <c r="I39" s="560">
        <f>(1+$G$5)^(D39/12)*(H39+IF(E39=$N$7,$N$4,0))</f>
      </c>
      <c r="J39" s="561">
        <f>(1+$G$5)^(D39/12)*(H39*(12-IF(MONTH(E40)=12,0,MONTH(E40)))+IF(AND(F39=1,F40=0),$Q$4,0))*IF(AND(F39=1,F40=0),1,0)</f>
      </c>
      <c r="K39" s="217">
        <f>(1+$G$5)^(D39/12)*(IF(E39=$N$7,$N$4,0)+IF(E39=$C$6,$B$10,0))</f>
      </c>
      <c r="L39" s="217">
        <f>(1+$G$5)^(D39/12)*(IF((E39)&gt;($B$6),H39,0)+IF(E39=$N$7,$N$4,0)+IF(E39=$C$6,0,0))</f>
      </c>
      <c r="M39" s="1"/>
      <c r="N39" s="7"/>
      <c r="O39" s="1"/>
      <c r="P39" s="331">
        <v>32</v>
      </c>
      <c r="Q39" s="544">
        <f>+DATE(YEAR(Q38),MONTH(Q38)-1,DAY(Q38))</f>
        <v>25569.041666666668</v>
      </c>
      <c r="R39" s="341">
        <f>IF($Z$7=$E39,1,IF(MONTH($E39)=1,R40*(1+$F$5),R40))</f>
      </c>
      <c r="S39" s="334">
        <f>R39*$B$8/12</f>
      </c>
      <c r="T39" s="334">
        <f>R39*$B$11/12</f>
      </c>
      <c r="U39" s="565">
        <f>(1+$V$5)^(P39/12)*(T39+IF(Q39=$Z$7,$Z$4,0))</f>
      </c>
      <c r="V39" s="170"/>
      <c r="W39" s="7"/>
      <c r="X39" s="1"/>
      <c r="Y39" s="1"/>
      <c r="Z39" s="1"/>
      <c r="AA39" s="1"/>
      <c r="AB39" s="1"/>
      <c r="AC39" s="331">
        <v>32</v>
      </c>
      <c r="AD39" s="544">
        <f>+DATE(YEAR(AD38),MONTH(AD38)-1,DAY(AD38))</f>
        <v>25569.041666666668</v>
      </c>
      <c r="AE39" s="341">
        <f>IF($AM$7=$E39,1,IF(MONTH($E39)=1,AE40*(1+$F$5),AE40))</f>
      </c>
      <c r="AF39" s="334">
        <f>AE39*$B$8/12</f>
      </c>
      <c r="AG39" s="334">
        <f>AE39*$B$12/12</f>
      </c>
      <c r="AH39" s="565">
        <f>(1+$AI$5)^(AC39/12)*(AG39+IF(AD39=$AM$7,$AM$4,0))</f>
      </c>
      <c r="AI39" s="170"/>
      <c r="AJ39" s="7"/>
      <c r="AK39" s="1"/>
      <c r="AL39" s="1"/>
      <c r="AM39" s="1"/>
    </row>
    <row x14ac:dyDescent="0.25" r="40" customHeight="1" ht="18.75">
      <c r="A40" s="1"/>
      <c r="B40" s="169"/>
      <c r="C40" s="170"/>
      <c r="D40" s="331">
        <v>33</v>
      </c>
      <c r="E40" s="544">
        <f>+DATE(YEAR(E39),MONTH(E39)-1,DAY(E39))</f>
        <v>25569.041666666668</v>
      </c>
      <c r="F40" s="333">
        <f>IF($C$6=$E40,1,IF(MONTH($E40)=1,F41*(1+$F$5),F41))</f>
      </c>
      <c r="G40" s="333">
        <f>F40*$B$8/12</f>
      </c>
      <c r="H40" s="333">
        <f>IF(F40=1,F40*$B$10/MIN(12,'Simulador - 3º Pilar'!$E$88),0)</f>
      </c>
      <c r="I40" s="560">
        <f>(1+$G$5)^(D40/12)*(H40+IF(E40=$N$7,$N$4,0))</f>
      </c>
      <c r="J40" s="561">
        <f>(1+$G$5)^(D40/12)*(H40*(12-IF(MONTH(E41)=12,0,MONTH(E41)))+IF(AND(F40=1,F41=0),$Q$4,0))*IF(AND(F40=1,F41=0),1,0)</f>
      </c>
      <c r="K40" s="217">
        <f>(1+$G$5)^(D40/12)*(IF(E40=$N$7,$N$4,0)+IF(E40=$C$6,$B$10,0))</f>
      </c>
      <c r="L40" s="217">
        <f>(1+$G$5)^(D40/12)*(IF((E40)&gt;($B$6),H40,0)+IF(E40=$N$7,$N$4,0)+IF(E40=$C$6,0,0))</f>
      </c>
      <c r="M40" s="1"/>
      <c r="N40" s="7"/>
      <c r="O40" s="1"/>
      <c r="P40" s="331">
        <v>33</v>
      </c>
      <c r="Q40" s="544">
        <f>+DATE(YEAR(Q39),MONTH(Q39)-1,DAY(Q39))</f>
        <v>25569.041666666668</v>
      </c>
      <c r="R40" s="341">
        <f>IF($Z$7=$E40,1,IF(MONTH($E40)=1,R41*(1+$F$5),R41))</f>
      </c>
      <c r="S40" s="334">
        <f>R40*$B$8/12</f>
      </c>
      <c r="T40" s="334">
        <f>R40*$B$11/12</f>
      </c>
      <c r="U40" s="565">
        <f>(1+$V$5)^(P40/12)*(T40+IF(Q40=$Z$7,$Z$4,0))</f>
      </c>
      <c r="V40" s="170"/>
      <c r="W40" s="7"/>
      <c r="X40" s="1"/>
      <c r="Y40" s="1"/>
      <c r="Z40" s="1"/>
      <c r="AA40" s="1"/>
      <c r="AB40" s="1"/>
      <c r="AC40" s="331">
        <v>33</v>
      </c>
      <c r="AD40" s="544">
        <f>+DATE(YEAR(AD39),MONTH(AD39)-1,DAY(AD39))</f>
        <v>25569.041666666668</v>
      </c>
      <c r="AE40" s="341">
        <f>IF($AM$7=$E40,1,IF(MONTH($E40)=1,AE41*(1+$F$5),AE41))</f>
      </c>
      <c r="AF40" s="334">
        <f>AE40*$B$8/12</f>
      </c>
      <c r="AG40" s="334">
        <f>AE40*$B$12/12</f>
      </c>
      <c r="AH40" s="565">
        <f>(1+$AI$5)^(AC40/12)*(AG40+IF(AD40=$AM$7,$AM$4,0))</f>
      </c>
      <c r="AI40" s="170"/>
      <c r="AJ40" s="7"/>
      <c r="AK40" s="1"/>
      <c r="AL40" s="1"/>
      <c r="AM40" s="1"/>
    </row>
    <row x14ac:dyDescent="0.25" r="41" customHeight="1" ht="18.75">
      <c r="A41" s="1"/>
      <c r="B41" s="169"/>
      <c r="C41" s="170"/>
      <c r="D41" s="331">
        <v>34</v>
      </c>
      <c r="E41" s="544">
        <f>+DATE(YEAR(E40),MONTH(E40)-1,DAY(E40))</f>
        <v>25569.041666666668</v>
      </c>
      <c r="F41" s="333">
        <f>IF($C$6=$E41,1,IF(MONTH($E41)=1,F42*(1+$F$5),F42))</f>
      </c>
      <c r="G41" s="333">
        <f>F41*$B$8/12</f>
      </c>
      <c r="H41" s="333">
        <f>IF(F41=1,F41*$B$10/MIN(12,'Simulador - 3º Pilar'!$E$88),0)</f>
      </c>
      <c r="I41" s="560">
        <f>(1+$G$5)^(D41/12)*(H41+IF(E41=$N$7,$N$4,0))</f>
      </c>
      <c r="J41" s="561">
        <f>(1+$G$5)^(D41/12)*(H41*(12-IF(MONTH(E42)=12,0,MONTH(E42)))+IF(AND(F41=1,F42=0),$Q$4,0))*IF(AND(F41=1,F42=0),1,0)</f>
      </c>
      <c r="K41" s="217">
        <f>(1+$G$5)^(D41/12)*(IF(E41=$N$7,$N$4,0)+IF(E41=$C$6,$B$10,0))</f>
      </c>
      <c r="L41" s="217">
        <f>(1+$G$5)^(D41/12)*(IF((E41)&gt;($B$6),H41,0)+IF(E41=$N$7,$N$4,0)+IF(E41=$C$6,0,0))</f>
      </c>
      <c r="M41" s="1"/>
      <c r="N41" s="7"/>
      <c r="O41" s="1"/>
      <c r="P41" s="331">
        <v>34</v>
      </c>
      <c r="Q41" s="544">
        <f>+DATE(YEAR(Q40),MONTH(Q40)-1,DAY(Q40))</f>
        <v>25569.041666666668</v>
      </c>
      <c r="R41" s="341">
        <f>IF($Z$7=$E41,1,IF(MONTH($E41)=1,R42*(1+$F$5),R42))</f>
      </c>
      <c r="S41" s="334">
        <f>R41*$B$8/12</f>
      </c>
      <c r="T41" s="334">
        <f>R41*$B$11/12</f>
      </c>
      <c r="U41" s="565">
        <f>(1+$V$5)^(P41/12)*(T41+IF(Q41=$Z$7,$Z$4,0))</f>
      </c>
      <c r="V41" s="170"/>
      <c r="W41" s="7"/>
      <c r="X41" s="1"/>
      <c r="Y41" s="1"/>
      <c r="Z41" s="1"/>
      <c r="AA41" s="1"/>
      <c r="AB41" s="1"/>
      <c r="AC41" s="331">
        <v>34</v>
      </c>
      <c r="AD41" s="544">
        <f>+DATE(YEAR(AD40),MONTH(AD40)-1,DAY(AD40))</f>
        <v>25569.041666666668</v>
      </c>
      <c r="AE41" s="341">
        <f>IF($AM$7=$E41,1,IF(MONTH($E41)=1,AE42*(1+$F$5),AE42))</f>
      </c>
      <c r="AF41" s="334">
        <f>AE41*$B$8/12</f>
      </c>
      <c r="AG41" s="334">
        <f>AE41*$B$12/12</f>
      </c>
      <c r="AH41" s="565">
        <f>(1+$AI$5)^(AC41/12)*(AG41+IF(AD41=$AM$7,$AM$4,0))</f>
      </c>
      <c r="AI41" s="170"/>
      <c r="AJ41" s="7"/>
      <c r="AK41" s="1"/>
      <c r="AL41" s="1"/>
      <c r="AM41" s="1"/>
    </row>
    <row x14ac:dyDescent="0.25" r="42" customHeight="1" ht="18.75">
      <c r="A42" s="1"/>
      <c r="B42" s="169"/>
      <c r="C42" s="170"/>
      <c r="D42" s="331">
        <v>35</v>
      </c>
      <c r="E42" s="544">
        <f>+DATE(YEAR(E41),MONTH(E41)-1,DAY(E41))</f>
        <v>25569.041666666668</v>
      </c>
      <c r="F42" s="333">
        <f>IF($C$6=$E42,1,IF(MONTH($E42)=1,F43*(1+$F$5),F43))</f>
      </c>
      <c r="G42" s="333">
        <f>F42*$B$8/12</f>
      </c>
      <c r="H42" s="333">
        <f>IF(F42=1,F42*$B$10/MIN(12,'Simulador - 3º Pilar'!$E$88),0)</f>
      </c>
      <c r="I42" s="560">
        <f>(1+$G$5)^(D42/12)*(H42+IF(E42=$N$7,$N$4,0))</f>
      </c>
      <c r="J42" s="561">
        <f>(1+$G$5)^(D42/12)*(H42*(12-IF(MONTH(E43)=12,0,MONTH(E43)))+IF(AND(F42=1,F43=0),$Q$4,0))*IF(AND(F42=1,F43=0),1,0)</f>
      </c>
      <c r="K42" s="217">
        <f>(1+$G$5)^(D42/12)*(IF(E42=$N$7,$N$4,0)+IF(E42=$C$6,$B$10,0))</f>
      </c>
      <c r="L42" s="217">
        <f>(1+$G$5)^(D42/12)*(IF((E42)&gt;($B$6),H42,0)+IF(E42=$N$7,$N$4,0)+IF(E42=$C$6,0,0))</f>
      </c>
      <c r="M42" s="1"/>
      <c r="N42" s="7"/>
      <c r="O42" s="1"/>
      <c r="P42" s="331">
        <v>35</v>
      </c>
      <c r="Q42" s="544">
        <f>+DATE(YEAR(Q41),MONTH(Q41)-1,DAY(Q41))</f>
        <v>25569.041666666668</v>
      </c>
      <c r="R42" s="341">
        <f>IF($Z$7=$E42,1,IF(MONTH($E42)=1,R43*(1+$F$5),R43))</f>
      </c>
      <c r="S42" s="334">
        <f>R42*$B$8/12</f>
      </c>
      <c r="T42" s="334">
        <f>R42*$B$11/12</f>
      </c>
      <c r="U42" s="565">
        <f>(1+$V$5)^(P42/12)*(T42+IF(Q42=$Z$7,$Z$4,0))</f>
      </c>
      <c r="V42" s="170"/>
      <c r="W42" s="7"/>
      <c r="X42" s="1"/>
      <c r="Y42" s="1"/>
      <c r="Z42" s="1"/>
      <c r="AA42" s="1"/>
      <c r="AB42" s="1"/>
      <c r="AC42" s="331">
        <v>35</v>
      </c>
      <c r="AD42" s="544">
        <f>+DATE(YEAR(AD41),MONTH(AD41)-1,DAY(AD41))</f>
        <v>25569.041666666668</v>
      </c>
      <c r="AE42" s="341">
        <f>IF($AM$7=$E42,1,IF(MONTH($E42)=1,AE43*(1+$F$5),AE43))</f>
      </c>
      <c r="AF42" s="334">
        <f>AE42*$B$8/12</f>
      </c>
      <c r="AG42" s="334">
        <f>AE42*$B$12/12</f>
      </c>
      <c r="AH42" s="565">
        <f>(1+$AI$5)^(AC42/12)*(AG42+IF(AD42=$AM$7,$AM$4,0))</f>
      </c>
      <c r="AI42" s="170"/>
      <c r="AJ42" s="7"/>
      <c r="AK42" s="1"/>
      <c r="AL42" s="1"/>
      <c r="AM42" s="1"/>
    </row>
    <row x14ac:dyDescent="0.25" r="43" customHeight="1" ht="18.75">
      <c r="A43" s="1"/>
      <c r="B43" s="169"/>
      <c r="C43" s="170"/>
      <c r="D43" s="331">
        <v>36</v>
      </c>
      <c r="E43" s="544">
        <f>+DATE(YEAR(E42),MONTH(E42)-1,DAY(E42))</f>
        <v>25569.041666666668</v>
      </c>
      <c r="F43" s="333">
        <f>IF($C$6=$E43,1,IF(MONTH($E43)=1,F44*(1+$F$5),F44))</f>
      </c>
      <c r="G43" s="333">
        <f>F43*$B$8/12</f>
      </c>
      <c r="H43" s="333">
        <f>IF(F43=1,F43*$B$10/MIN(12,'Simulador - 3º Pilar'!$E$88),0)</f>
      </c>
      <c r="I43" s="560">
        <f>(1+$G$5)^(D43/12)*(H43+IF(E43=$N$7,$N$4,0))</f>
      </c>
      <c r="J43" s="561">
        <f>(1+$G$5)^(D43/12)*(H43*(12-IF(MONTH(E44)=12,0,MONTH(E44)))+IF(AND(F43=1,F44=0),$Q$4,0))*IF(AND(F43=1,F44=0),1,0)</f>
      </c>
      <c r="K43" s="217">
        <f>(1+$G$5)^(D43/12)*(IF(E43=$N$7,$N$4,0)+IF(E43=$C$6,$B$10,0))</f>
      </c>
      <c r="L43" s="217">
        <f>(1+$G$5)^(D43/12)*(IF((E43)&gt;($B$6),H43,0)+IF(E43=$N$7,$N$4,0)+IF(E43=$C$6,0,0))</f>
      </c>
      <c r="M43" s="1"/>
      <c r="N43" s="7"/>
      <c r="O43" s="1"/>
      <c r="P43" s="331">
        <v>36</v>
      </c>
      <c r="Q43" s="544">
        <f>+DATE(YEAR(Q42),MONTH(Q42)-1,DAY(Q42))</f>
        <v>25569.041666666668</v>
      </c>
      <c r="R43" s="341">
        <f>IF($Z$7=$E43,1,IF(MONTH($E43)=1,R44*(1+$F$5),R44))</f>
      </c>
      <c r="S43" s="334">
        <f>R43*$B$8/12</f>
      </c>
      <c r="T43" s="334">
        <f>R43*$B$11/12</f>
      </c>
      <c r="U43" s="565">
        <f>(1+$V$5)^(P43/12)*(T43+IF(Q43=$Z$7,$Z$4,0))</f>
      </c>
      <c r="V43" s="170"/>
      <c r="W43" s="7"/>
      <c r="X43" s="1"/>
      <c r="Y43" s="1"/>
      <c r="Z43" s="1"/>
      <c r="AA43" s="1"/>
      <c r="AB43" s="1"/>
      <c r="AC43" s="331">
        <v>36</v>
      </c>
      <c r="AD43" s="544">
        <f>+DATE(YEAR(AD42),MONTH(AD42)-1,DAY(AD42))</f>
        <v>25569.041666666668</v>
      </c>
      <c r="AE43" s="341">
        <f>IF($AM$7=$E43,1,IF(MONTH($E43)=1,AE44*(1+$F$5),AE44))</f>
      </c>
      <c r="AF43" s="334">
        <f>AE43*$B$8/12</f>
      </c>
      <c r="AG43" s="334">
        <f>AE43*$B$12/12</f>
      </c>
      <c r="AH43" s="565">
        <f>(1+$AI$5)^(AC43/12)*(AG43+IF(AD43=$AM$7,$AM$4,0))</f>
      </c>
      <c r="AI43" s="170"/>
      <c r="AJ43" s="7"/>
      <c r="AK43" s="1"/>
      <c r="AL43" s="1"/>
      <c r="AM43" s="1"/>
    </row>
    <row x14ac:dyDescent="0.25" r="44" customHeight="1" ht="18.75">
      <c r="A44" s="1"/>
      <c r="B44" s="169"/>
      <c r="C44" s="170"/>
      <c r="D44" s="331">
        <v>37</v>
      </c>
      <c r="E44" s="544">
        <f>+DATE(YEAR(E43),MONTH(E43)-1,DAY(E43))</f>
        <v>25569.041666666668</v>
      </c>
      <c r="F44" s="333">
        <f>IF($C$6=$E44,1,IF(MONTH($E44)=1,F45*(1+$F$5),F45))</f>
      </c>
      <c r="G44" s="333">
        <f>F44*$B$8/12</f>
      </c>
      <c r="H44" s="333">
        <f>IF(F44=1,F44*$B$10/MIN(12,'Simulador - 3º Pilar'!$E$88),0)</f>
      </c>
      <c r="I44" s="560">
        <f>(1+$G$5)^(D44/12)*(H44+IF(E44=$N$7,$N$4,0))</f>
      </c>
      <c r="J44" s="561">
        <f>(1+$G$5)^(D44/12)*(H44*(12-IF(MONTH(E45)=12,0,MONTH(E45)))+IF(AND(F44=1,F45=0),$Q$4,0))*IF(AND(F44=1,F45=0),1,0)</f>
      </c>
      <c r="K44" s="217">
        <f>(1+$G$5)^(D44/12)*(IF(E44=$N$7,$N$4,0)+IF(E44=$C$6,$B$10,0))</f>
      </c>
      <c r="L44" s="217">
        <f>(1+$G$5)^(D44/12)*(IF((E44)&gt;($B$6),H44,0)+IF(E44=$N$7,$N$4,0)+IF(E44=$C$6,0,0))</f>
      </c>
      <c r="M44" s="1"/>
      <c r="N44" s="7"/>
      <c r="O44" s="1"/>
      <c r="P44" s="331">
        <v>37</v>
      </c>
      <c r="Q44" s="544">
        <f>+DATE(YEAR(Q43),MONTH(Q43)-1,DAY(Q43))</f>
        <v>25569.041666666668</v>
      </c>
      <c r="R44" s="341">
        <f>IF($Z$7=$E44,1,IF(MONTH($E44)=1,R45*(1+$F$5),R45))</f>
      </c>
      <c r="S44" s="334">
        <f>R44*$B$8/12</f>
      </c>
      <c r="T44" s="334">
        <f>R44*$B$11/12</f>
      </c>
      <c r="U44" s="565">
        <f>(1+$V$5)^(P44/12)*(T44+IF(Q44=$Z$7,$Z$4,0))</f>
      </c>
      <c r="V44" s="170"/>
      <c r="W44" s="7"/>
      <c r="X44" s="1"/>
      <c r="Y44" s="1"/>
      <c r="Z44" s="1"/>
      <c r="AA44" s="1"/>
      <c r="AB44" s="1"/>
      <c r="AC44" s="331">
        <v>37</v>
      </c>
      <c r="AD44" s="544">
        <f>+DATE(YEAR(AD43),MONTH(AD43)-1,DAY(AD43))</f>
        <v>25569.041666666668</v>
      </c>
      <c r="AE44" s="341">
        <f>IF($AM$7=$E44,1,IF(MONTH($E44)=1,AE45*(1+$F$5),AE45))</f>
      </c>
      <c r="AF44" s="334">
        <f>AE44*$B$8/12</f>
      </c>
      <c r="AG44" s="334">
        <f>AE44*$B$12/12</f>
      </c>
      <c r="AH44" s="565">
        <f>(1+$AI$5)^(AC44/12)*(AG44+IF(AD44=$AM$7,$AM$4,0))</f>
      </c>
      <c r="AI44" s="170"/>
      <c r="AJ44" s="7"/>
      <c r="AK44" s="1"/>
      <c r="AL44" s="1"/>
      <c r="AM44" s="1"/>
    </row>
    <row x14ac:dyDescent="0.25" r="45" customHeight="1" ht="18.75">
      <c r="A45" s="1"/>
      <c r="B45" s="169"/>
      <c r="C45" s="170"/>
      <c r="D45" s="331">
        <v>38</v>
      </c>
      <c r="E45" s="544">
        <f>+DATE(YEAR(E44),MONTH(E44)-1,DAY(E44))</f>
        <v>25569.041666666668</v>
      </c>
      <c r="F45" s="333">
        <f>IF($C$6=$E45,1,IF(MONTH($E45)=1,F46*(1+$F$5),F46))</f>
      </c>
      <c r="G45" s="333">
        <f>F45*$B$8/12</f>
      </c>
      <c r="H45" s="333">
        <f>IF(F45=1,F45*$B$10/MIN(12,'Simulador - 3º Pilar'!$E$88),0)</f>
      </c>
      <c r="I45" s="560">
        <f>(1+$G$5)^(D45/12)*(H45+IF(E45=$N$7,$N$4,0))</f>
      </c>
      <c r="J45" s="561">
        <f>(1+$G$5)^(D45/12)*(H45*(12-IF(MONTH(E46)=12,0,MONTH(E46)))+IF(AND(F45=1,F46=0),$Q$4,0))*IF(AND(F45=1,F46=0),1,0)</f>
      </c>
      <c r="K45" s="217">
        <f>(1+$G$5)^(D45/12)*(IF(E45=$N$7,$N$4,0)+IF(E45=$C$6,$B$10,0))</f>
      </c>
      <c r="L45" s="217">
        <f>(1+$G$5)^(D45/12)*(IF((E45)&gt;($B$6),H45,0)+IF(E45=$N$7,$N$4,0)+IF(E45=$C$6,0,0))</f>
      </c>
      <c r="M45" s="1"/>
      <c r="N45" s="7"/>
      <c r="O45" s="1"/>
      <c r="P45" s="331">
        <v>38</v>
      </c>
      <c r="Q45" s="544">
        <f>+DATE(YEAR(Q44),MONTH(Q44)-1,DAY(Q44))</f>
        <v>25569.041666666668</v>
      </c>
      <c r="R45" s="341">
        <f>IF($Z$7=$E45,1,IF(MONTH($E45)=1,R46*(1+$F$5),R46))</f>
      </c>
      <c r="S45" s="334">
        <f>R45*$B$8/12</f>
      </c>
      <c r="T45" s="334">
        <f>R45*$B$11/12</f>
      </c>
      <c r="U45" s="565">
        <f>(1+$V$5)^(P45/12)*(T45+IF(Q45=$Z$7,$Z$4,0))</f>
      </c>
      <c r="V45" s="170"/>
      <c r="W45" s="7"/>
      <c r="X45" s="1"/>
      <c r="Y45" s="1"/>
      <c r="Z45" s="1"/>
      <c r="AA45" s="1"/>
      <c r="AB45" s="1"/>
      <c r="AC45" s="331">
        <v>38</v>
      </c>
      <c r="AD45" s="544">
        <f>+DATE(YEAR(AD44),MONTH(AD44)-1,DAY(AD44))</f>
        <v>25569.041666666668</v>
      </c>
      <c r="AE45" s="341">
        <f>IF($AM$7=$E45,1,IF(MONTH($E45)=1,AE46*(1+$F$5),AE46))</f>
      </c>
      <c r="AF45" s="334">
        <f>AE45*$B$8/12</f>
      </c>
      <c r="AG45" s="334">
        <f>AE45*$B$12/12</f>
      </c>
      <c r="AH45" s="565">
        <f>(1+$AI$5)^(AC45/12)*(AG45+IF(AD45=$AM$7,$AM$4,0))</f>
      </c>
      <c r="AI45" s="170"/>
      <c r="AJ45" s="7"/>
      <c r="AK45" s="1"/>
      <c r="AL45" s="1"/>
      <c r="AM45" s="1"/>
    </row>
    <row x14ac:dyDescent="0.25" r="46" customHeight="1" ht="18.75">
      <c r="A46" s="1"/>
      <c r="B46" s="169"/>
      <c r="C46" s="170"/>
      <c r="D46" s="331">
        <v>39</v>
      </c>
      <c r="E46" s="544">
        <f>+DATE(YEAR(E45),MONTH(E45)-1,DAY(E45))</f>
        <v>25569.041666666668</v>
      </c>
      <c r="F46" s="333">
        <f>IF($C$6=$E46,1,IF(MONTH($E46)=1,F47*(1+$F$5),F47))</f>
      </c>
      <c r="G46" s="333">
        <f>F46*$B$8/12</f>
      </c>
      <c r="H46" s="333">
        <f>IF(F46=1,F46*$B$10/MIN(12,'Simulador - 3º Pilar'!$E$88),0)</f>
      </c>
      <c r="I46" s="560">
        <f>(1+$G$5)^(D46/12)*(H46+IF(E46=$N$7,$N$4,0))</f>
      </c>
      <c r="J46" s="561">
        <f>(1+$G$5)^(D46/12)*(H46*(12-IF(MONTH(E47)=12,0,MONTH(E47)))+IF(AND(F46=1,F47=0),$Q$4,0))*IF(AND(F46=1,F47=0),1,0)</f>
      </c>
      <c r="K46" s="217">
        <f>(1+$G$5)^(D46/12)*(IF(E46=$N$7,$N$4,0)+IF(E46=$C$6,$B$10,0))</f>
      </c>
      <c r="L46" s="217">
        <f>(1+$G$5)^(D46/12)*(IF((E46)&gt;($B$6),H46,0)+IF(E46=$N$7,$N$4,0)+IF(E46=$C$6,0,0))</f>
      </c>
      <c r="M46" s="1"/>
      <c r="N46" s="7"/>
      <c r="O46" s="1"/>
      <c r="P46" s="331">
        <v>39</v>
      </c>
      <c r="Q46" s="544">
        <f>+DATE(YEAR(Q45),MONTH(Q45)-1,DAY(Q45))</f>
        <v>25569.041666666668</v>
      </c>
      <c r="R46" s="341">
        <f>IF($Z$7=$E46,1,IF(MONTH($E46)=1,R47*(1+$F$5),R47))</f>
      </c>
      <c r="S46" s="334">
        <f>R46*$B$8/12</f>
      </c>
      <c r="T46" s="334">
        <f>R46*$B$11/12</f>
      </c>
      <c r="U46" s="565">
        <f>(1+$V$5)^(P46/12)*(T46+IF(Q46=$Z$7,$Z$4,0))</f>
      </c>
      <c r="V46" s="170"/>
      <c r="W46" s="7"/>
      <c r="X46" s="1"/>
      <c r="Y46" s="1"/>
      <c r="Z46" s="1"/>
      <c r="AA46" s="1"/>
      <c r="AB46" s="1"/>
      <c r="AC46" s="331">
        <v>39</v>
      </c>
      <c r="AD46" s="544">
        <f>+DATE(YEAR(AD45),MONTH(AD45)-1,DAY(AD45))</f>
        <v>25569.041666666668</v>
      </c>
      <c r="AE46" s="341">
        <f>IF($AM$7=$E46,1,IF(MONTH($E46)=1,AE47*(1+$F$5),AE47))</f>
      </c>
      <c r="AF46" s="334">
        <f>AE46*$B$8/12</f>
      </c>
      <c r="AG46" s="334">
        <f>AE46*$B$12/12</f>
      </c>
      <c r="AH46" s="565">
        <f>(1+$AI$5)^(AC46/12)*(AG46+IF(AD46=$AM$7,$AM$4,0))</f>
      </c>
      <c r="AI46" s="170"/>
      <c r="AJ46" s="7"/>
      <c r="AK46" s="1"/>
      <c r="AL46" s="1"/>
      <c r="AM46" s="1"/>
    </row>
    <row x14ac:dyDescent="0.25" r="47" customHeight="1" ht="18.75">
      <c r="A47" s="1"/>
      <c r="B47" s="169"/>
      <c r="C47" s="170"/>
      <c r="D47" s="331">
        <v>40</v>
      </c>
      <c r="E47" s="544">
        <f>+DATE(YEAR(E46),MONTH(E46)-1,DAY(E46))</f>
        <v>25569.041666666668</v>
      </c>
      <c r="F47" s="333">
        <f>IF($C$6=$E47,1,IF(MONTH($E47)=1,F48*(1+$F$5),F48))</f>
      </c>
      <c r="G47" s="333">
        <f>F47*$B$8/12</f>
      </c>
      <c r="H47" s="333">
        <f>IF(F47=1,F47*$B$10/MIN(12,'Simulador - 3º Pilar'!$E$88),0)</f>
      </c>
      <c r="I47" s="560">
        <f>(1+$G$5)^(D47/12)*(H47+IF(E47=$N$7,$N$4,0))</f>
      </c>
      <c r="J47" s="561">
        <f>(1+$G$5)^(D47/12)*(H47*(12-IF(MONTH(E48)=12,0,MONTH(E48)))+IF(AND(F47=1,F48=0),$Q$4,0))*IF(AND(F47=1,F48=0),1,0)</f>
      </c>
      <c r="K47" s="217">
        <f>(1+$G$5)^(D47/12)*(IF(E47=$N$7,$N$4,0)+IF(E47=$C$6,$B$10,0))</f>
      </c>
      <c r="L47" s="217">
        <f>(1+$G$5)^(D47/12)*(IF((E47)&gt;($B$6),H47,0)+IF(E47=$N$7,$N$4,0)+IF(E47=$C$6,0,0))</f>
      </c>
      <c r="M47" s="1"/>
      <c r="N47" s="7"/>
      <c r="O47" s="1"/>
      <c r="P47" s="331">
        <v>40</v>
      </c>
      <c r="Q47" s="544">
        <f>+DATE(YEAR(Q46),MONTH(Q46)-1,DAY(Q46))</f>
        <v>25569.041666666668</v>
      </c>
      <c r="R47" s="341">
        <f>IF($Z$7=$E47,1,IF(MONTH($E47)=1,R48*(1+$F$5),R48))</f>
      </c>
      <c r="S47" s="334">
        <f>R47*$B$8/12</f>
      </c>
      <c r="T47" s="334">
        <f>R47*$B$11/12</f>
      </c>
      <c r="U47" s="565">
        <f>(1+$V$5)^(P47/12)*(T47+IF(Q47=$Z$7,$Z$4,0))</f>
      </c>
      <c r="V47" s="170"/>
      <c r="W47" s="7"/>
      <c r="X47" s="1"/>
      <c r="Y47" s="1"/>
      <c r="Z47" s="1"/>
      <c r="AA47" s="1"/>
      <c r="AB47" s="1"/>
      <c r="AC47" s="331">
        <v>40</v>
      </c>
      <c r="AD47" s="544">
        <f>+DATE(YEAR(AD46),MONTH(AD46)-1,DAY(AD46))</f>
        <v>25569.041666666668</v>
      </c>
      <c r="AE47" s="341">
        <f>IF($AM$7=$E47,1,IF(MONTH($E47)=1,AE48*(1+$F$5),AE48))</f>
      </c>
      <c r="AF47" s="334">
        <f>AE47*$B$8/12</f>
      </c>
      <c r="AG47" s="334">
        <f>AE47*$B$12/12</f>
      </c>
      <c r="AH47" s="565">
        <f>(1+$AI$5)^(AC47/12)*(AG47+IF(AD47=$AM$7,$AM$4,0))</f>
      </c>
      <c r="AI47" s="170"/>
      <c r="AJ47" s="7"/>
      <c r="AK47" s="1"/>
      <c r="AL47" s="1"/>
      <c r="AM47" s="1"/>
    </row>
    <row x14ac:dyDescent="0.25" r="48" customHeight="1" ht="18.75">
      <c r="A48" s="1"/>
      <c r="B48" s="169"/>
      <c r="C48" s="170"/>
      <c r="D48" s="331">
        <v>41</v>
      </c>
      <c r="E48" s="544">
        <f>+DATE(YEAR(E47),MONTH(E47)-1,DAY(E47))</f>
        <v>25569.041666666668</v>
      </c>
      <c r="F48" s="333">
        <f>IF($C$6=$E48,1,IF(MONTH($E48)=1,F49*(1+$F$5),F49))</f>
      </c>
      <c r="G48" s="333">
        <f>F48*$B$8/12</f>
      </c>
      <c r="H48" s="333">
        <f>IF(F48=1,F48*$B$10/MIN(12,'Simulador - 3º Pilar'!$E$88),0)</f>
      </c>
      <c r="I48" s="560">
        <f>(1+$G$5)^(D48/12)*(H48+IF(E48=$N$7,$N$4,0))</f>
      </c>
      <c r="J48" s="561">
        <f>(1+$G$5)^(D48/12)*(H48*(12-IF(MONTH(E49)=12,0,MONTH(E49)))+IF(AND(F48=1,F49=0),$Q$4,0))*IF(AND(F48=1,F49=0),1,0)</f>
      </c>
      <c r="K48" s="217">
        <f>(1+$G$5)^(D48/12)*(IF(E48=$N$7,$N$4,0)+IF(E48=$C$6,$B$10,0))</f>
      </c>
      <c r="L48" s="217">
        <f>(1+$G$5)^(D48/12)*(IF((E48)&gt;($B$6),H48,0)+IF(E48=$N$7,$N$4,0)+IF(E48=$C$6,0,0))</f>
      </c>
      <c r="M48" s="1"/>
      <c r="N48" s="7"/>
      <c r="O48" s="1"/>
      <c r="P48" s="331">
        <v>41</v>
      </c>
      <c r="Q48" s="544">
        <f>+DATE(YEAR(Q47),MONTH(Q47)-1,DAY(Q47))</f>
        <v>25569.041666666668</v>
      </c>
      <c r="R48" s="341">
        <f>IF($Z$7=$E48,1,IF(MONTH($E48)=1,R49*(1+$F$5),R49))</f>
      </c>
      <c r="S48" s="334">
        <f>R48*$B$8/12</f>
      </c>
      <c r="T48" s="334">
        <f>R48*$B$11/12</f>
      </c>
      <c r="U48" s="565">
        <f>(1+$V$5)^(P48/12)*(T48+IF(Q48=$Z$7,$Z$4,0))</f>
      </c>
      <c r="V48" s="170"/>
      <c r="W48" s="7"/>
      <c r="X48" s="1"/>
      <c r="Y48" s="1"/>
      <c r="Z48" s="1"/>
      <c r="AA48" s="1"/>
      <c r="AB48" s="1"/>
      <c r="AC48" s="331">
        <v>41</v>
      </c>
      <c r="AD48" s="544">
        <f>+DATE(YEAR(AD47),MONTH(AD47)-1,DAY(AD47))</f>
        <v>25569.041666666668</v>
      </c>
      <c r="AE48" s="341">
        <f>IF($AM$7=$E48,1,IF(MONTH($E48)=1,AE49*(1+$F$5),AE49))</f>
      </c>
      <c r="AF48" s="334">
        <f>AE48*$B$8/12</f>
      </c>
      <c r="AG48" s="334">
        <f>AE48*$B$12/12</f>
      </c>
      <c r="AH48" s="565">
        <f>(1+$AI$5)^(AC48/12)*(AG48+IF(AD48=$AM$7,$AM$4,0))</f>
      </c>
      <c r="AI48" s="170"/>
      <c r="AJ48" s="7"/>
      <c r="AK48" s="1"/>
      <c r="AL48" s="1"/>
      <c r="AM48" s="1"/>
    </row>
    <row x14ac:dyDescent="0.25" r="49" customHeight="1" ht="18.75">
      <c r="A49" s="1"/>
      <c r="B49" s="169"/>
      <c r="C49" s="170"/>
      <c r="D49" s="331">
        <v>42</v>
      </c>
      <c r="E49" s="544">
        <f>+DATE(YEAR(E48),MONTH(E48)-1,DAY(E48))</f>
        <v>25569.041666666668</v>
      </c>
      <c r="F49" s="333">
        <f>IF($C$6=$E49,1,IF(MONTH($E49)=1,F50*(1+$F$5),F50))</f>
      </c>
      <c r="G49" s="333">
        <f>F49*$B$8/12</f>
      </c>
      <c r="H49" s="333">
        <f>IF(F49=1,F49*$B$10/MIN(12,'Simulador - 3º Pilar'!$E$88),0)</f>
      </c>
      <c r="I49" s="560">
        <f>(1+$G$5)^(D49/12)*(H49+IF(E49=$N$7,$N$4,0))</f>
      </c>
      <c r="J49" s="561">
        <f>(1+$G$5)^(D49/12)*(H49*(12-IF(MONTH(E50)=12,0,MONTH(E50)))+IF(AND(F49=1,F50=0),$Q$4,0))*IF(AND(F49=1,F50=0),1,0)</f>
      </c>
      <c r="K49" s="217">
        <f>(1+$G$5)^(D49/12)*(IF(E49=$N$7,$N$4,0)+IF(E49=$C$6,$B$10,0))</f>
      </c>
      <c r="L49" s="217">
        <f>(1+$G$5)^(D49/12)*(IF((E49)&gt;($B$6),H49,0)+IF(E49=$N$7,$N$4,0)+IF(E49=$C$6,0,0))</f>
      </c>
      <c r="M49" s="1"/>
      <c r="N49" s="7"/>
      <c r="O49" s="1"/>
      <c r="P49" s="331">
        <v>42</v>
      </c>
      <c r="Q49" s="544">
        <f>+DATE(YEAR(Q48),MONTH(Q48)-1,DAY(Q48))</f>
        <v>25569.041666666668</v>
      </c>
      <c r="R49" s="341">
        <f>IF($Z$7=$E49,1,IF(MONTH($E49)=1,R50*(1+$F$5),R50))</f>
      </c>
      <c r="S49" s="334">
        <f>R49*$B$8/12</f>
      </c>
      <c r="T49" s="334">
        <f>R49*$B$11/12</f>
      </c>
      <c r="U49" s="565">
        <f>(1+$V$5)^(P49/12)*(T49+IF(Q49=$Z$7,$Z$4,0))</f>
      </c>
      <c r="V49" s="170"/>
      <c r="W49" s="7"/>
      <c r="X49" s="1"/>
      <c r="Y49" s="1"/>
      <c r="Z49" s="1"/>
      <c r="AA49" s="1"/>
      <c r="AB49" s="1"/>
      <c r="AC49" s="331">
        <v>42</v>
      </c>
      <c r="AD49" s="544">
        <f>+DATE(YEAR(AD48),MONTH(AD48)-1,DAY(AD48))</f>
        <v>25569.041666666668</v>
      </c>
      <c r="AE49" s="341">
        <f>IF($AM$7=$E49,1,IF(MONTH($E49)=1,AE50*(1+$F$5),AE50))</f>
      </c>
      <c r="AF49" s="334">
        <f>AE49*$B$8/12</f>
      </c>
      <c r="AG49" s="334">
        <f>AE49*$B$12/12</f>
      </c>
      <c r="AH49" s="565">
        <f>(1+$AI$5)^(AC49/12)*(AG49+IF(AD49=$AM$7,$AM$4,0))</f>
      </c>
      <c r="AI49" s="170"/>
      <c r="AJ49" s="7"/>
      <c r="AK49" s="1"/>
      <c r="AL49" s="1"/>
      <c r="AM49" s="1"/>
    </row>
    <row x14ac:dyDescent="0.25" r="50" customHeight="1" ht="18.75">
      <c r="A50" s="1"/>
      <c r="B50" s="169"/>
      <c r="C50" s="170"/>
      <c r="D50" s="331">
        <v>43</v>
      </c>
      <c r="E50" s="544">
        <f>+DATE(YEAR(E49),MONTH(E49)-1,DAY(E49))</f>
        <v>25569.041666666668</v>
      </c>
      <c r="F50" s="333">
        <f>IF($C$6=$E50,1,IF(MONTH($E50)=1,F51*(1+$F$5),F51))</f>
      </c>
      <c r="G50" s="333">
        <f>F50*$B$8/12</f>
      </c>
      <c r="H50" s="333">
        <f>IF(F50=1,F50*$B$10/MIN(12,'Simulador - 3º Pilar'!$E$88),0)</f>
      </c>
      <c r="I50" s="560">
        <f>(1+$G$5)^(D50/12)*(H50+IF(E50=$N$7,$N$4,0))</f>
      </c>
      <c r="J50" s="561">
        <f>(1+$G$5)^(D50/12)*(H50*(12-IF(MONTH(E51)=12,0,MONTH(E51)))+IF(AND(F50=1,F51=0),$Q$4,0))*IF(AND(F50=1,F51=0),1,0)</f>
      </c>
      <c r="K50" s="217">
        <f>(1+$G$5)^(D50/12)*(IF(E50=$N$7,$N$4,0)+IF(E50=$C$6,$B$10,0))</f>
      </c>
      <c r="L50" s="217">
        <f>(1+$G$5)^(D50/12)*(IF((E50)&gt;($B$6),H50,0)+IF(E50=$N$7,$N$4,0)+IF(E50=$C$6,0,0))</f>
      </c>
      <c r="M50" s="1"/>
      <c r="N50" s="7"/>
      <c r="O50" s="1"/>
      <c r="P50" s="331">
        <v>43</v>
      </c>
      <c r="Q50" s="544">
        <f>+DATE(YEAR(Q49),MONTH(Q49)-1,DAY(Q49))</f>
        <v>25569.041666666668</v>
      </c>
      <c r="R50" s="341">
        <f>IF($Z$7=$E50,1,IF(MONTH($E50)=1,R51*(1+$F$5),R51))</f>
      </c>
      <c r="S50" s="334">
        <f>R50*$B$8/12</f>
      </c>
      <c r="T50" s="334">
        <f>R50*$B$11/12</f>
      </c>
      <c r="U50" s="565">
        <f>(1+$V$5)^(P50/12)*(T50+IF(Q50=$Z$7,$Z$4,0))</f>
      </c>
      <c r="V50" s="170"/>
      <c r="W50" s="7"/>
      <c r="X50" s="1"/>
      <c r="Y50" s="1"/>
      <c r="Z50" s="1"/>
      <c r="AA50" s="1"/>
      <c r="AB50" s="1"/>
      <c r="AC50" s="331">
        <v>43</v>
      </c>
      <c r="AD50" s="544">
        <f>+DATE(YEAR(AD49),MONTH(AD49)-1,DAY(AD49))</f>
        <v>25569.041666666668</v>
      </c>
      <c r="AE50" s="341">
        <f>IF($AM$7=$E50,1,IF(MONTH($E50)=1,AE51*(1+$F$5),AE51))</f>
      </c>
      <c r="AF50" s="334">
        <f>AE50*$B$8/12</f>
      </c>
      <c r="AG50" s="334">
        <f>AE50*$B$12/12</f>
      </c>
      <c r="AH50" s="565">
        <f>(1+$AI$5)^(AC50/12)*(AG50+IF(AD50=$AM$7,$AM$4,0))</f>
      </c>
      <c r="AI50" s="170"/>
      <c r="AJ50" s="7"/>
      <c r="AK50" s="1"/>
      <c r="AL50" s="1"/>
      <c r="AM50" s="1"/>
    </row>
    <row x14ac:dyDescent="0.25" r="51" customHeight="1" ht="18.75">
      <c r="A51" s="1"/>
      <c r="B51" s="169"/>
      <c r="C51" s="170"/>
      <c r="D51" s="331">
        <v>44</v>
      </c>
      <c r="E51" s="544">
        <f>+DATE(YEAR(E50),MONTH(E50)-1,DAY(E50))</f>
        <v>25569.041666666668</v>
      </c>
      <c r="F51" s="333">
        <f>IF($C$6=$E51,1,IF(MONTH($E51)=1,F52*(1+$F$5),F52))</f>
      </c>
      <c r="G51" s="333">
        <f>F51*$B$8/12</f>
      </c>
      <c r="H51" s="333">
        <f>IF(F51=1,F51*$B$10/MIN(12,'Simulador - 3º Pilar'!$E$88),0)</f>
      </c>
      <c r="I51" s="560">
        <f>(1+$G$5)^(D51/12)*(H51+IF(E51=$N$7,$N$4,0))</f>
      </c>
      <c r="J51" s="561">
        <f>(1+$G$5)^(D51/12)*(H51*(12-IF(MONTH(E52)=12,0,MONTH(E52)))+IF(AND(F51=1,F52=0),$Q$4,0))*IF(AND(F51=1,F52=0),1,0)</f>
      </c>
      <c r="K51" s="217">
        <f>(1+$G$5)^(D51/12)*(IF(E51=$N$7,$N$4,0)+IF(E51=$C$6,$B$10,0))</f>
      </c>
      <c r="L51" s="217">
        <f>(1+$G$5)^(D51/12)*(IF((E51)&gt;($B$6),H51,0)+IF(E51=$N$7,$N$4,0)+IF(E51=$C$6,0,0))</f>
      </c>
      <c r="M51" s="1"/>
      <c r="N51" s="7"/>
      <c r="O51" s="1"/>
      <c r="P51" s="331">
        <v>44</v>
      </c>
      <c r="Q51" s="544">
        <f>+DATE(YEAR(Q50),MONTH(Q50)-1,DAY(Q50))</f>
        <v>25569.041666666668</v>
      </c>
      <c r="R51" s="341">
        <f>IF($Z$7=$E51,1,IF(MONTH($E51)=1,R52*(1+$F$5),R52))</f>
      </c>
      <c r="S51" s="334">
        <f>R51*$B$8/12</f>
      </c>
      <c r="T51" s="334">
        <f>R51*$B$11/12</f>
      </c>
      <c r="U51" s="565">
        <f>(1+$V$5)^(P51/12)*(T51+IF(Q51=$Z$7,$Z$4,0))</f>
      </c>
      <c r="V51" s="170"/>
      <c r="W51" s="7"/>
      <c r="X51" s="1"/>
      <c r="Y51" s="1"/>
      <c r="Z51" s="1"/>
      <c r="AA51" s="1"/>
      <c r="AB51" s="1"/>
      <c r="AC51" s="331">
        <v>44</v>
      </c>
      <c r="AD51" s="544">
        <f>+DATE(YEAR(AD50),MONTH(AD50)-1,DAY(AD50))</f>
        <v>25569.041666666668</v>
      </c>
      <c r="AE51" s="341">
        <f>IF($AM$7=$E51,1,IF(MONTH($E51)=1,AE52*(1+$F$5),AE52))</f>
      </c>
      <c r="AF51" s="334">
        <f>AE51*$B$8/12</f>
      </c>
      <c r="AG51" s="334">
        <f>AE51*$B$12/12</f>
      </c>
      <c r="AH51" s="565">
        <f>(1+$AI$5)^(AC51/12)*(AG51+IF(AD51=$AM$7,$AM$4,0))</f>
      </c>
      <c r="AI51" s="170"/>
      <c r="AJ51" s="7"/>
      <c r="AK51" s="1"/>
      <c r="AL51" s="1"/>
      <c r="AM51" s="1"/>
    </row>
    <row x14ac:dyDescent="0.25" r="52" customHeight="1" ht="18.75">
      <c r="A52" s="1"/>
      <c r="B52" s="169"/>
      <c r="C52" s="170"/>
      <c r="D52" s="331">
        <v>45</v>
      </c>
      <c r="E52" s="544">
        <f>+DATE(YEAR(E51),MONTH(E51)-1,DAY(E51))</f>
        <v>25569.041666666668</v>
      </c>
      <c r="F52" s="333">
        <f>IF($C$6=$E52,1,IF(MONTH($E52)=1,F53*(1+$F$5),F53))</f>
      </c>
      <c r="G52" s="333">
        <f>F52*$B$8/12</f>
      </c>
      <c r="H52" s="333">
        <f>IF(F52=1,F52*$B$10/MIN(12,'Simulador - 3º Pilar'!$E$88),0)</f>
      </c>
      <c r="I52" s="560">
        <f>(1+$G$5)^(D52/12)*(H52+IF(E52=$N$7,$N$4,0))</f>
      </c>
      <c r="J52" s="561">
        <f>(1+$G$5)^(D52/12)*(H52*(12-IF(MONTH(E53)=12,0,MONTH(E53)))+IF(AND(F52=1,F53=0),$Q$4,0))*IF(AND(F52=1,F53=0),1,0)</f>
      </c>
      <c r="K52" s="217">
        <f>(1+$G$5)^(D52/12)*(IF(E52=$N$7,$N$4,0)+IF(E52=$C$6,$B$10,0))</f>
      </c>
      <c r="L52" s="217">
        <f>(1+$G$5)^(D52/12)*(IF((E52)&gt;($B$6),H52,0)+IF(E52=$N$7,$N$4,0)+IF(E52=$C$6,0,0))</f>
      </c>
      <c r="M52" s="1"/>
      <c r="N52" s="7"/>
      <c r="O52" s="1"/>
      <c r="P52" s="331">
        <v>45</v>
      </c>
      <c r="Q52" s="544">
        <f>+DATE(YEAR(Q51),MONTH(Q51)-1,DAY(Q51))</f>
        <v>25569.041666666668</v>
      </c>
      <c r="R52" s="341">
        <f>IF($Z$7=$E52,1,IF(MONTH($E52)=1,R53*(1+$F$5),R53))</f>
      </c>
      <c r="S52" s="334">
        <f>R52*$B$8/12</f>
      </c>
      <c r="T52" s="334">
        <f>R52*$B$11/12</f>
      </c>
      <c r="U52" s="565">
        <f>(1+$V$5)^(P52/12)*(T52+IF(Q52=$Z$7,$Z$4,0))</f>
      </c>
      <c r="V52" s="170"/>
      <c r="W52" s="7"/>
      <c r="X52" s="1"/>
      <c r="Y52" s="1"/>
      <c r="Z52" s="1"/>
      <c r="AA52" s="1"/>
      <c r="AB52" s="1"/>
      <c r="AC52" s="331">
        <v>45</v>
      </c>
      <c r="AD52" s="544">
        <f>+DATE(YEAR(AD51),MONTH(AD51)-1,DAY(AD51))</f>
        <v>25569.041666666668</v>
      </c>
      <c r="AE52" s="341">
        <f>IF($AM$7=$E52,1,IF(MONTH($E52)=1,AE53*(1+$F$5),AE53))</f>
      </c>
      <c r="AF52" s="334">
        <f>AE52*$B$8/12</f>
      </c>
      <c r="AG52" s="334">
        <f>AE52*$B$12/12</f>
      </c>
      <c r="AH52" s="565">
        <f>(1+$AI$5)^(AC52/12)*(AG52+IF(AD52=$AM$7,$AM$4,0))</f>
      </c>
      <c r="AI52" s="170"/>
      <c r="AJ52" s="7"/>
      <c r="AK52" s="1"/>
      <c r="AL52" s="1"/>
      <c r="AM52" s="1"/>
    </row>
    <row x14ac:dyDescent="0.25" r="53" customHeight="1" ht="18.75">
      <c r="A53" s="1"/>
      <c r="B53" s="169"/>
      <c r="C53" s="170"/>
      <c r="D53" s="331">
        <v>46</v>
      </c>
      <c r="E53" s="544">
        <f>+DATE(YEAR(E52),MONTH(E52)-1,DAY(E52))</f>
        <v>25569.041666666668</v>
      </c>
      <c r="F53" s="333">
        <f>IF($C$6=$E53,1,IF(MONTH($E53)=1,F54*(1+$F$5),F54))</f>
      </c>
      <c r="G53" s="333">
        <f>F53*$B$8/12</f>
      </c>
      <c r="H53" s="333">
        <f>IF(F53=1,F53*$B$10/MIN(12,'Simulador - 3º Pilar'!$E$88),0)</f>
      </c>
      <c r="I53" s="560">
        <f>(1+$G$5)^(D53/12)*(H53+IF(E53=$N$7,$N$4,0))</f>
      </c>
      <c r="J53" s="561">
        <f>(1+$G$5)^(D53/12)*(H53*(12-IF(MONTH(E54)=12,0,MONTH(E54)))+IF(AND(F53=1,F54=0),$Q$4,0))*IF(AND(F53=1,F54=0),1,0)</f>
      </c>
      <c r="K53" s="217">
        <f>(1+$G$5)^(D53/12)*(IF(E53=$N$7,$N$4,0)+IF(E53=$C$6,$B$10,0))</f>
      </c>
      <c r="L53" s="217">
        <f>(1+$G$5)^(D53/12)*(IF((E53)&gt;($B$6),H53,0)+IF(E53=$N$7,$N$4,0)+IF(E53=$C$6,0,0))</f>
      </c>
      <c r="M53" s="1"/>
      <c r="N53" s="7"/>
      <c r="O53" s="1"/>
      <c r="P53" s="331">
        <v>46</v>
      </c>
      <c r="Q53" s="544">
        <f>+DATE(YEAR(Q52),MONTH(Q52)-1,DAY(Q52))</f>
        <v>25569.041666666668</v>
      </c>
      <c r="R53" s="341">
        <f>IF($Z$7=$E53,1,IF(MONTH($E53)=1,R54*(1+$F$5),R54))</f>
      </c>
      <c r="S53" s="334">
        <f>R53*$B$8/12</f>
      </c>
      <c r="T53" s="334">
        <f>R53*$B$11/12</f>
      </c>
      <c r="U53" s="565">
        <f>(1+$V$5)^(P53/12)*(T53+IF(Q53=$Z$7,$Z$4,0))</f>
      </c>
      <c r="V53" s="170"/>
      <c r="W53" s="7"/>
      <c r="X53" s="1"/>
      <c r="Y53" s="1"/>
      <c r="Z53" s="1"/>
      <c r="AA53" s="1"/>
      <c r="AB53" s="1"/>
      <c r="AC53" s="331">
        <v>46</v>
      </c>
      <c r="AD53" s="544">
        <f>+DATE(YEAR(AD52),MONTH(AD52)-1,DAY(AD52))</f>
        <v>25569.041666666668</v>
      </c>
      <c r="AE53" s="341">
        <f>IF($AM$7=$E53,1,IF(MONTH($E53)=1,AE54*(1+$F$5),AE54))</f>
      </c>
      <c r="AF53" s="334">
        <f>AE53*$B$8/12</f>
      </c>
      <c r="AG53" s="334">
        <f>AE53*$B$12/12</f>
      </c>
      <c r="AH53" s="565">
        <f>(1+$AI$5)^(AC53/12)*(AG53+IF(AD53=$AM$7,$AM$4,0))</f>
      </c>
      <c r="AI53" s="170"/>
      <c r="AJ53" s="7"/>
      <c r="AK53" s="1"/>
      <c r="AL53" s="1"/>
      <c r="AM53" s="1"/>
    </row>
    <row x14ac:dyDescent="0.25" r="54" customHeight="1" ht="18.75">
      <c r="A54" s="1"/>
      <c r="B54" s="169"/>
      <c r="C54" s="170"/>
      <c r="D54" s="331">
        <v>47</v>
      </c>
      <c r="E54" s="544">
        <f>+DATE(YEAR(E53),MONTH(E53)-1,DAY(E53))</f>
        <v>25569.041666666668</v>
      </c>
      <c r="F54" s="333">
        <f>IF($C$6=$E54,1,IF(MONTH($E54)=1,F55*(1+$F$5),F55))</f>
      </c>
      <c r="G54" s="333">
        <f>F54*$B$8/12</f>
      </c>
      <c r="H54" s="333">
        <f>IF(F54=1,F54*$B$10/MIN(12,'Simulador - 3º Pilar'!$E$88),0)</f>
      </c>
      <c r="I54" s="560">
        <f>(1+$G$5)^(D54/12)*(H54+IF(E54=$N$7,$N$4,0))</f>
      </c>
      <c r="J54" s="561">
        <f>(1+$G$5)^(D54/12)*(H54*(12-IF(MONTH(E55)=12,0,MONTH(E55)))+IF(AND(F54=1,F55=0),$Q$4,0))*IF(AND(F54=1,F55=0),1,0)</f>
      </c>
      <c r="K54" s="217">
        <f>(1+$G$5)^(D54/12)*(IF(E54=$N$7,$N$4,0)+IF(E54=$C$6,$B$10,0))</f>
      </c>
      <c r="L54" s="217">
        <f>(1+$G$5)^(D54/12)*(IF((E54)&gt;($B$6),H54,0)+IF(E54=$N$7,$N$4,0)+IF(E54=$C$6,0,0))</f>
      </c>
      <c r="M54" s="1"/>
      <c r="N54" s="7"/>
      <c r="O54" s="1"/>
      <c r="P54" s="331">
        <v>47</v>
      </c>
      <c r="Q54" s="544">
        <f>+DATE(YEAR(Q53),MONTH(Q53)-1,DAY(Q53))</f>
        <v>25569.041666666668</v>
      </c>
      <c r="R54" s="341">
        <f>IF($Z$7=$E54,1,IF(MONTH($E54)=1,R55*(1+$F$5),R55))</f>
      </c>
      <c r="S54" s="334">
        <f>R54*$B$8/12</f>
      </c>
      <c r="T54" s="334">
        <f>R54*$B$11/12</f>
      </c>
      <c r="U54" s="565">
        <f>(1+$V$5)^(P54/12)*(T54+IF(Q54=$Z$7,$Z$4,0))</f>
      </c>
      <c r="V54" s="170"/>
      <c r="W54" s="7"/>
      <c r="X54" s="1"/>
      <c r="Y54" s="1"/>
      <c r="Z54" s="1"/>
      <c r="AA54" s="1"/>
      <c r="AB54" s="1"/>
      <c r="AC54" s="331">
        <v>47</v>
      </c>
      <c r="AD54" s="544">
        <f>+DATE(YEAR(AD53),MONTH(AD53)-1,DAY(AD53))</f>
        <v>25569.041666666668</v>
      </c>
      <c r="AE54" s="341">
        <f>IF($AM$7=$E54,1,IF(MONTH($E54)=1,AE55*(1+$F$5),AE55))</f>
      </c>
      <c r="AF54" s="334">
        <f>AE54*$B$8/12</f>
      </c>
      <c r="AG54" s="334">
        <f>AE54*$B$12/12</f>
      </c>
      <c r="AH54" s="565">
        <f>(1+$AI$5)^(AC54/12)*(AG54+IF(AD54=$AM$7,$AM$4,0))</f>
      </c>
      <c r="AI54" s="170"/>
      <c r="AJ54" s="7"/>
      <c r="AK54" s="1"/>
      <c r="AL54" s="1"/>
      <c r="AM54" s="1"/>
    </row>
    <row x14ac:dyDescent="0.25" r="55" customHeight="1" ht="18.75">
      <c r="A55" s="1"/>
      <c r="B55" s="169"/>
      <c r="C55" s="170"/>
      <c r="D55" s="331">
        <v>48</v>
      </c>
      <c r="E55" s="544">
        <f>+DATE(YEAR(E54),MONTH(E54)-1,DAY(E54))</f>
        <v>25569.041666666668</v>
      </c>
      <c r="F55" s="333">
        <f>IF($C$6=$E55,1,IF(MONTH($E55)=1,F56*(1+$F$5),F56))</f>
      </c>
      <c r="G55" s="333">
        <f>F55*$B$8/12</f>
      </c>
      <c r="H55" s="333">
        <f>IF(F55=1,F55*$B$10/MIN(12,'Simulador - 3º Pilar'!$E$88),0)</f>
      </c>
      <c r="I55" s="560">
        <f>(1+$G$5)^(D55/12)*(H55+IF(E55=$N$7,$N$4,0))</f>
      </c>
      <c r="J55" s="561">
        <f>(1+$G$5)^(D55/12)*(H55*(12-IF(MONTH(E56)=12,0,MONTH(E56)))+IF(AND(F55=1,F56=0),$Q$4,0))*IF(AND(F55=1,F56=0),1,0)</f>
      </c>
      <c r="K55" s="217">
        <f>(1+$G$5)^(D55/12)*(IF(E55=$N$7,$N$4,0)+IF(E55=$C$6,$B$10,0))</f>
      </c>
      <c r="L55" s="217">
        <f>(1+$G$5)^(D55/12)*(IF((E55)&gt;($B$6),H55,0)+IF(E55=$N$7,$N$4,0)+IF(E55=$C$6,0,0))</f>
      </c>
      <c r="M55" s="1"/>
      <c r="N55" s="7"/>
      <c r="O55" s="1"/>
      <c r="P55" s="331">
        <v>48</v>
      </c>
      <c r="Q55" s="544">
        <f>+DATE(YEAR(Q54),MONTH(Q54)-1,DAY(Q54))</f>
        <v>25569.041666666668</v>
      </c>
      <c r="R55" s="341">
        <f>IF($Z$7=$E55,1,IF(MONTH($E55)=1,R56*(1+$F$5),R56))</f>
      </c>
      <c r="S55" s="334">
        <f>R55*$B$8/12</f>
      </c>
      <c r="T55" s="334">
        <f>R55*$B$11/12</f>
      </c>
      <c r="U55" s="565">
        <f>(1+$V$5)^(P55/12)*(T55+IF(Q55=$Z$7,$Z$4,0))</f>
      </c>
      <c r="V55" s="170"/>
      <c r="W55" s="7"/>
      <c r="X55" s="1"/>
      <c r="Y55" s="1"/>
      <c r="Z55" s="1"/>
      <c r="AA55" s="1"/>
      <c r="AB55" s="1"/>
      <c r="AC55" s="331">
        <v>48</v>
      </c>
      <c r="AD55" s="544">
        <f>+DATE(YEAR(AD54),MONTH(AD54)-1,DAY(AD54))</f>
        <v>25569.041666666668</v>
      </c>
      <c r="AE55" s="341">
        <f>IF($AM$7=$E55,1,IF(MONTH($E55)=1,AE56*(1+$F$5),AE56))</f>
      </c>
      <c r="AF55" s="334">
        <f>AE55*$B$8/12</f>
      </c>
      <c r="AG55" s="334">
        <f>AE55*$B$12/12</f>
      </c>
      <c r="AH55" s="565">
        <f>(1+$AI$5)^(AC55/12)*(AG55+IF(AD55=$AM$7,$AM$4,0))</f>
      </c>
      <c r="AI55" s="170"/>
      <c r="AJ55" s="7"/>
      <c r="AK55" s="1"/>
      <c r="AL55" s="1"/>
      <c r="AM55" s="1"/>
    </row>
    <row x14ac:dyDescent="0.25" r="56" customHeight="1" ht="18.75">
      <c r="A56" s="1"/>
      <c r="B56" s="169"/>
      <c r="C56" s="170"/>
      <c r="D56" s="331">
        <v>49</v>
      </c>
      <c r="E56" s="544">
        <f>+DATE(YEAR(E55),MONTH(E55)-1,DAY(E55))</f>
        <v>25569.041666666668</v>
      </c>
      <c r="F56" s="333">
        <f>IF($C$6=$E56,1,IF(MONTH($E56)=1,F57*(1+$F$5),F57))</f>
      </c>
      <c r="G56" s="333">
        <f>F56*$B$8/12</f>
      </c>
      <c r="H56" s="333">
        <f>IF(F56=1,F56*$B$10/MIN(12,'Simulador - 3º Pilar'!$E$88),0)</f>
      </c>
      <c r="I56" s="560">
        <f>(1+$G$5)^(D56/12)*(H56+IF(E56=$N$7,$N$4,0))</f>
      </c>
      <c r="J56" s="561">
        <f>(1+$G$5)^(D56/12)*(H56*(12-IF(MONTH(E57)=12,0,MONTH(E57)))+IF(AND(F56=1,F57=0),$Q$4,0))*IF(AND(F56=1,F57=0),1,0)</f>
      </c>
      <c r="K56" s="217">
        <f>(1+$G$5)^(D56/12)*(IF(E56=$N$7,$N$4,0)+IF(E56=$C$6,$B$10,0))</f>
      </c>
      <c r="L56" s="217">
        <f>(1+$G$5)^(D56/12)*(IF((E56)&gt;($B$6),H56,0)+IF(E56=$N$7,$N$4,0)+IF(E56=$C$6,0,0))</f>
      </c>
      <c r="M56" s="1"/>
      <c r="N56" s="7"/>
      <c r="O56" s="1"/>
      <c r="P56" s="331">
        <v>49</v>
      </c>
      <c r="Q56" s="544">
        <f>+DATE(YEAR(Q55),MONTH(Q55)-1,DAY(Q55))</f>
        <v>25569.041666666668</v>
      </c>
      <c r="R56" s="341">
        <f>IF($Z$7=$E56,1,IF(MONTH($E56)=1,R57*(1+$F$5),R57))</f>
      </c>
      <c r="S56" s="334">
        <f>R56*$B$8/12</f>
      </c>
      <c r="T56" s="334">
        <f>R56*$B$11/12</f>
      </c>
      <c r="U56" s="565">
        <f>(1+$V$5)^(P56/12)*(T56+IF(Q56=$Z$7,$Z$4,0))</f>
      </c>
      <c r="V56" s="170"/>
      <c r="W56" s="7"/>
      <c r="X56" s="1"/>
      <c r="Y56" s="1"/>
      <c r="Z56" s="1"/>
      <c r="AA56" s="1"/>
      <c r="AB56" s="1"/>
      <c r="AC56" s="331">
        <v>49</v>
      </c>
      <c r="AD56" s="544">
        <f>+DATE(YEAR(AD55),MONTH(AD55)-1,DAY(AD55))</f>
        <v>25569.041666666668</v>
      </c>
      <c r="AE56" s="341">
        <f>IF($AM$7=$E56,1,IF(MONTH($E56)=1,AE57*(1+$F$5),AE57))</f>
      </c>
      <c r="AF56" s="334">
        <f>AE56*$B$8/12</f>
      </c>
      <c r="AG56" s="334">
        <f>AE56*$B$12/12</f>
      </c>
      <c r="AH56" s="565">
        <f>(1+$AI$5)^(AC56/12)*(AG56+IF(AD56=$AM$7,$AM$4,0))</f>
      </c>
      <c r="AI56" s="170"/>
      <c r="AJ56" s="7"/>
      <c r="AK56" s="1"/>
      <c r="AL56" s="1"/>
      <c r="AM56" s="1"/>
    </row>
    <row x14ac:dyDescent="0.25" r="57" customHeight="1" ht="18.75">
      <c r="A57" s="1"/>
      <c r="B57" s="169"/>
      <c r="C57" s="170"/>
      <c r="D57" s="331">
        <v>50</v>
      </c>
      <c r="E57" s="544">
        <f>+DATE(YEAR(E56),MONTH(E56)-1,DAY(E56))</f>
        <v>25569.041666666668</v>
      </c>
      <c r="F57" s="333">
        <f>IF($C$6=$E57,1,IF(MONTH($E57)=1,F58*(1+$F$5),F58))</f>
      </c>
      <c r="G57" s="333">
        <f>F57*$B$8/12</f>
      </c>
      <c r="H57" s="333">
        <f>IF(F57=1,F57*$B$10/MIN(12,'Simulador - 3º Pilar'!$E$88),0)</f>
      </c>
      <c r="I57" s="560">
        <f>(1+$G$5)^(D57/12)*(H57+IF(E57=$N$7,$N$4,0))</f>
      </c>
      <c r="J57" s="561">
        <f>(1+$G$5)^(D57/12)*(H57*(12-IF(MONTH(E58)=12,0,MONTH(E58)))+IF(AND(F57=1,F58=0),$Q$4,0))*IF(AND(F57=1,F58=0),1,0)</f>
      </c>
      <c r="K57" s="217">
        <f>(1+$G$5)^(D57/12)*(IF(E57=$N$7,$N$4,0)+IF(E57=$C$6,$B$10,0))</f>
      </c>
      <c r="L57" s="217">
        <f>(1+$G$5)^(D57/12)*(IF((E57)&gt;($B$6),H57,0)+IF(E57=$N$7,$N$4,0)+IF(E57=$C$6,0,0))</f>
      </c>
      <c r="M57" s="1"/>
      <c r="N57" s="7"/>
      <c r="O57" s="1"/>
      <c r="P57" s="331">
        <v>50</v>
      </c>
      <c r="Q57" s="544">
        <f>+DATE(YEAR(Q56),MONTH(Q56)-1,DAY(Q56))</f>
        <v>25569.041666666668</v>
      </c>
      <c r="R57" s="341">
        <f>IF($Z$7=$E57,1,IF(MONTH($E57)=1,R58*(1+$F$5),R58))</f>
      </c>
      <c r="S57" s="334">
        <f>R57*$B$8/12</f>
      </c>
      <c r="T57" s="334">
        <f>R57*$B$11/12</f>
      </c>
      <c r="U57" s="565">
        <f>(1+$V$5)^(P57/12)*(T57+IF(Q57=$Z$7,$Z$4,0))</f>
      </c>
      <c r="V57" s="170"/>
      <c r="W57" s="7"/>
      <c r="X57" s="1"/>
      <c r="Y57" s="1"/>
      <c r="Z57" s="1"/>
      <c r="AA57" s="1"/>
      <c r="AB57" s="1"/>
      <c r="AC57" s="331">
        <v>50</v>
      </c>
      <c r="AD57" s="544">
        <f>+DATE(YEAR(AD56),MONTH(AD56)-1,DAY(AD56))</f>
        <v>25569.041666666668</v>
      </c>
      <c r="AE57" s="341">
        <f>IF($AM$7=$E57,1,IF(MONTH($E57)=1,AE58*(1+$F$5),AE58))</f>
      </c>
      <c r="AF57" s="334">
        <f>AE57*$B$8/12</f>
      </c>
      <c r="AG57" s="334">
        <f>AE57*$B$12/12</f>
      </c>
      <c r="AH57" s="565">
        <f>(1+$AI$5)^(AC57/12)*(AG57+IF(AD57=$AM$7,$AM$4,0))</f>
      </c>
      <c r="AI57" s="170"/>
      <c r="AJ57" s="7"/>
      <c r="AK57" s="1"/>
      <c r="AL57" s="1"/>
      <c r="AM57" s="1"/>
    </row>
    <row x14ac:dyDescent="0.25" r="58" customHeight="1" ht="18.75">
      <c r="A58" s="1"/>
      <c r="B58" s="169"/>
      <c r="C58" s="170"/>
      <c r="D58" s="331">
        <v>51</v>
      </c>
      <c r="E58" s="544">
        <f>+DATE(YEAR(E57),MONTH(E57)-1,DAY(E57))</f>
        <v>25569.041666666668</v>
      </c>
      <c r="F58" s="333">
        <f>IF($C$6=$E58,1,IF(MONTH($E58)=1,F59*(1+$F$5),F59))</f>
      </c>
      <c r="G58" s="333">
        <f>F58*$B$8/12</f>
      </c>
      <c r="H58" s="333">
        <f>IF(F58=1,F58*$B$10/MIN(12,'Simulador - 3º Pilar'!$E$88),0)</f>
      </c>
      <c r="I58" s="560">
        <f>(1+$G$5)^(D58/12)*(H58+IF(E58=$N$7,$N$4,0))</f>
      </c>
      <c r="J58" s="561">
        <f>(1+$G$5)^(D58/12)*(H58*(12-IF(MONTH(E59)=12,0,MONTH(E59)))+IF(AND(F58=1,F59=0),$Q$4,0))*IF(AND(F58=1,F59=0),1,0)</f>
      </c>
      <c r="K58" s="217">
        <f>(1+$G$5)^(D58/12)*(IF(E58=$N$7,$N$4,0)+IF(E58=$C$6,$B$10,0))</f>
      </c>
      <c r="L58" s="217">
        <f>(1+$G$5)^(D58/12)*(IF((E58)&gt;($B$6),H58,0)+IF(E58=$N$7,$N$4,0)+IF(E58=$C$6,0,0))</f>
      </c>
      <c r="M58" s="1"/>
      <c r="N58" s="7"/>
      <c r="O58" s="1"/>
      <c r="P58" s="331">
        <v>51</v>
      </c>
      <c r="Q58" s="544">
        <f>+DATE(YEAR(Q57),MONTH(Q57)-1,DAY(Q57))</f>
        <v>25569.041666666668</v>
      </c>
      <c r="R58" s="341">
        <f>IF($Z$7=$E58,1,IF(MONTH($E58)=1,R59*(1+$F$5),R59))</f>
      </c>
      <c r="S58" s="334">
        <f>R58*$B$8/12</f>
      </c>
      <c r="T58" s="334">
        <f>R58*$B$11/12</f>
      </c>
      <c r="U58" s="565">
        <f>(1+$V$5)^(P58/12)*(T58+IF(Q58=$Z$7,$Z$4,0))</f>
      </c>
      <c r="V58" s="170"/>
      <c r="W58" s="7"/>
      <c r="X58" s="1"/>
      <c r="Y58" s="1"/>
      <c r="Z58" s="1"/>
      <c r="AA58" s="1"/>
      <c r="AB58" s="1"/>
      <c r="AC58" s="331">
        <v>51</v>
      </c>
      <c r="AD58" s="544">
        <f>+DATE(YEAR(AD57),MONTH(AD57)-1,DAY(AD57))</f>
        <v>25569.041666666668</v>
      </c>
      <c r="AE58" s="341">
        <f>IF($AM$7=$E58,1,IF(MONTH($E58)=1,AE59*(1+$F$5),AE59))</f>
      </c>
      <c r="AF58" s="334">
        <f>AE58*$B$8/12</f>
      </c>
      <c r="AG58" s="334">
        <f>AE58*$B$12/12</f>
      </c>
      <c r="AH58" s="565">
        <f>(1+$AI$5)^(AC58/12)*(AG58+IF(AD58=$AM$7,$AM$4,0))</f>
      </c>
      <c r="AI58" s="170"/>
      <c r="AJ58" s="7"/>
      <c r="AK58" s="1"/>
      <c r="AL58" s="1"/>
      <c r="AM58" s="1"/>
    </row>
    <row x14ac:dyDescent="0.25" r="59" customHeight="1" ht="18.75">
      <c r="A59" s="1"/>
      <c r="B59" s="169"/>
      <c r="C59" s="170"/>
      <c r="D59" s="331">
        <v>52</v>
      </c>
      <c r="E59" s="544">
        <f>+DATE(YEAR(E58),MONTH(E58)-1,DAY(E58))</f>
        <v>25569.041666666668</v>
      </c>
      <c r="F59" s="333">
        <f>IF($C$6=$E59,1,IF(MONTH($E59)=1,F60*(1+$F$5),F60))</f>
      </c>
      <c r="G59" s="333">
        <f>F59*$B$8/12</f>
      </c>
      <c r="H59" s="333">
        <f>IF(F59=1,F59*$B$10/MIN(12,'Simulador - 3º Pilar'!$E$88),0)</f>
      </c>
      <c r="I59" s="560">
        <f>(1+$G$5)^(D59/12)*(H59+IF(E59=$N$7,$N$4,0))</f>
      </c>
      <c r="J59" s="561">
        <f>(1+$G$5)^(D59/12)*(H59*(12-IF(MONTH(E60)=12,0,MONTH(E60)))+IF(AND(F59=1,F60=0),$Q$4,0))*IF(AND(F59=1,F60=0),1,0)</f>
      </c>
      <c r="K59" s="217">
        <f>(1+$G$5)^(D59/12)*(IF(E59=$N$7,$N$4,0)+IF(E59=$C$6,$B$10,0))</f>
      </c>
      <c r="L59" s="217">
        <f>(1+$G$5)^(D59/12)*(IF((E59)&gt;($B$6),H59,0)+IF(E59=$N$7,$N$4,0)+IF(E59=$C$6,0,0))</f>
      </c>
      <c r="M59" s="1"/>
      <c r="N59" s="7"/>
      <c r="O59" s="1"/>
      <c r="P59" s="331">
        <v>52</v>
      </c>
      <c r="Q59" s="544">
        <f>+DATE(YEAR(Q58),MONTH(Q58)-1,DAY(Q58))</f>
        <v>25569.041666666668</v>
      </c>
      <c r="R59" s="341">
        <f>IF($Z$7=$E59,1,IF(MONTH($E59)=1,R60*(1+$F$5),R60))</f>
      </c>
      <c r="S59" s="334">
        <f>R59*$B$8/12</f>
      </c>
      <c r="T59" s="334">
        <f>R59*$B$11/12</f>
      </c>
      <c r="U59" s="565">
        <f>(1+$V$5)^(P59/12)*(T59+IF(Q59=$Z$7,$Z$4,0))</f>
      </c>
      <c r="V59" s="170"/>
      <c r="W59" s="7"/>
      <c r="X59" s="1"/>
      <c r="Y59" s="1"/>
      <c r="Z59" s="1"/>
      <c r="AA59" s="1"/>
      <c r="AB59" s="1"/>
      <c r="AC59" s="331">
        <v>52</v>
      </c>
      <c r="AD59" s="544">
        <f>+DATE(YEAR(AD58),MONTH(AD58)-1,DAY(AD58))</f>
        <v>25569.041666666668</v>
      </c>
      <c r="AE59" s="341">
        <f>IF($AM$7=$E59,1,IF(MONTH($E59)=1,AE60*(1+$F$5),AE60))</f>
      </c>
      <c r="AF59" s="334">
        <f>AE59*$B$8/12</f>
      </c>
      <c r="AG59" s="334">
        <f>AE59*$B$12/12</f>
      </c>
      <c r="AH59" s="565">
        <f>(1+$AI$5)^(AC59/12)*(AG59+IF(AD59=$AM$7,$AM$4,0))</f>
      </c>
      <c r="AI59" s="170"/>
      <c r="AJ59" s="7"/>
      <c r="AK59" s="1"/>
      <c r="AL59" s="1"/>
      <c r="AM59" s="1"/>
    </row>
    <row x14ac:dyDescent="0.25" r="60" customHeight="1" ht="18.75">
      <c r="A60" s="1"/>
      <c r="B60" s="169"/>
      <c r="C60" s="170"/>
      <c r="D60" s="331">
        <v>53</v>
      </c>
      <c r="E60" s="544">
        <f>+DATE(YEAR(E59),MONTH(E59)-1,DAY(E59))</f>
        <v>25569.041666666668</v>
      </c>
      <c r="F60" s="333">
        <f>IF($C$6=$E60,1,IF(MONTH($E60)=1,F61*(1+$F$5),F61))</f>
      </c>
      <c r="G60" s="333">
        <f>F60*$B$8/12</f>
      </c>
      <c r="H60" s="333">
        <f>IF(F60=1,F60*$B$10/MIN(12,'Simulador - 3º Pilar'!$E$88),0)</f>
      </c>
      <c r="I60" s="560">
        <f>(1+$G$5)^(D60/12)*(H60+IF(E60=$N$7,$N$4,0))</f>
      </c>
      <c r="J60" s="561">
        <f>(1+$G$5)^(D60/12)*(H60*(12-IF(MONTH(E61)=12,0,MONTH(E61)))+IF(AND(F60=1,F61=0),$Q$4,0))*IF(AND(F60=1,F61=0),1,0)</f>
      </c>
      <c r="K60" s="217">
        <f>(1+$G$5)^(D60/12)*(IF(E60=$N$7,$N$4,0)+IF(E60=$C$6,$B$10,0))</f>
      </c>
      <c r="L60" s="217">
        <f>(1+$G$5)^(D60/12)*(IF((E60)&gt;($B$6),H60,0)+IF(E60=$N$7,$N$4,0)+IF(E60=$C$6,0,0))</f>
      </c>
      <c r="M60" s="1"/>
      <c r="N60" s="7"/>
      <c r="O60" s="1"/>
      <c r="P60" s="331">
        <v>53</v>
      </c>
      <c r="Q60" s="544">
        <f>+DATE(YEAR(Q59),MONTH(Q59)-1,DAY(Q59))</f>
        <v>25569.041666666668</v>
      </c>
      <c r="R60" s="341">
        <f>IF($Z$7=$E60,1,IF(MONTH($E60)=1,R61*(1+$F$5),R61))</f>
      </c>
      <c r="S60" s="334">
        <f>R60*$B$8/12</f>
      </c>
      <c r="T60" s="334">
        <f>R60*$B$11/12</f>
      </c>
      <c r="U60" s="565">
        <f>(1+$V$5)^(P60/12)*(T60+IF(Q60=$Z$7,$Z$4,0))</f>
      </c>
      <c r="V60" s="170"/>
      <c r="W60" s="7"/>
      <c r="X60" s="1"/>
      <c r="Y60" s="1"/>
      <c r="Z60" s="1"/>
      <c r="AA60" s="1"/>
      <c r="AB60" s="1"/>
      <c r="AC60" s="331">
        <v>53</v>
      </c>
      <c r="AD60" s="544">
        <f>+DATE(YEAR(AD59),MONTH(AD59)-1,DAY(AD59))</f>
        <v>25569.041666666668</v>
      </c>
      <c r="AE60" s="341">
        <f>IF($AM$7=$E60,1,IF(MONTH($E60)=1,AE61*(1+$F$5),AE61))</f>
      </c>
      <c r="AF60" s="334">
        <f>AE60*$B$8/12</f>
      </c>
      <c r="AG60" s="334">
        <f>AE60*$B$12/12</f>
      </c>
      <c r="AH60" s="565">
        <f>(1+$AI$5)^(AC60/12)*(AG60+IF(AD60=$AM$7,$AM$4,0))</f>
      </c>
      <c r="AI60" s="170"/>
      <c r="AJ60" s="7"/>
      <c r="AK60" s="1"/>
      <c r="AL60" s="1"/>
      <c r="AM60" s="1"/>
    </row>
    <row x14ac:dyDescent="0.25" r="61" customHeight="1" ht="18.75">
      <c r="A61" s="1"/>
      <c r="B61" s="169"/>
      <c r="C61" s="170"/>
      <c r="D61" s="331">
        <v>54</v>
      </c>
      <c r="E61" s="544">
        <f>+DATE(YEAR(E60),MONTH(E60)-1,DAY(E60))</f>
        <v>25569.041666666668</v>
      </c>
      <c r="F61" s="333">
        <f>IF($C$6=$E61,1,IF(MONTH($E61)=1,F62*(1+$F$5),F62))</f>
      </c>
      <c r="G61" s="333">
        <f>F61*$B$8/12</f>
      </c>
      <c r="H61" s="333">
        <f>IF(F61=1,F61*$B$10/MIN(12,'Simulador - 3º Pilar'!$E$88),0)</f>
      </c>
      <c r="I61" s="560">
        <f>(1+$G$5)^(D61/12)*(H61+IF(E61=$N$7,$N$4,0))</f>
      </c>
      <c r="J61" s="561">
        <f>(1+$G$5)^(D61/12)*(H61*(12-IF(MONTH(E62)=12,0,MONTH(E62)))+IF(AND(F61=1,F62=0),$Q$4,0))*IF(AND(F61=1,F62=0),1,0)</f>
      </c>
      <c r="K61" s="217">
        <f>(1+$G$5)^(D61/12)*(IF(E61=$N$7,$N$4,0)+IF(E61=$C$6,$B$10,0))</f>
      </c>
      <c r="L61" s="217">
        <f>(1+$G$5)^(D61/12)*(IF((E61)&gt;($B$6),H61,0)+IF(E61=$N$7,$N$4,0)+IF(E61=$C$6,0,0))</f>
      </c>
      <c r="M61" s="1"/>
      <c r="N61" s="7"/>
      <c r="O61" s="1"/>
      <c r="P61" s="331">
        <v>54</v>
      </c>
      <c r="Q61" s="544">
        <f>+DATE(YEAR(Q60),MONTH(Q60)-1,DAY(Q60))</f>
        <v>25569.041666666668</v>
      </c>
      <c r="R61" s="341">
        <f>IF($Z$7=$E61,1,IF(MONTH($E61)=1,R62*(1+$F$5),R62))</f>
      </c>
      <c r="S61" s="334">
        <f>R61*$B$8/12</f>
      </c>
      <c r="T61" s="334">
        <f>R61*$B$11/12</f>
      </c>
      <c r="U61" s="565">
        <f>(1+$V$5)^(P61/12)*(T61+IF(Q61=$Z$7,$Z$4,0))</f>
      </c>
      <c r="V61" s="170"/>
      <c r="W61" s="7"/>
      <c r="X61" s="1"/>
      <c r="Y61" s="1"/>
      <c r="Z61" s="1"/>
      <c r="AA61" s="1"/>
      <c r="AB61" s="1"/>
      <c r="AC61" s="331">
        <v>54</v>
      </c>
      <c r="AD61" s="544">
        <f>+DATE(YEAR(AD60),MONTH(AD60)-1,DAY(AD60))</f>
        <v>25569.041666666668</v>
      </c>
      <c r="AE61" s="341">
        <f>IF($AM$7=$E61,1,IF(MONTH($E61)=1,AE62*(1+$F$5),AE62))</f>
      </c>
      <c r="AF61" s="334">
        <f>AE61*$B$8/12</f>
      </c>
      <c r="AG61" s="334">
        <f>AE61*$B$12/12</f>
      </c>
      <c r="AH61" s="565">
        <f>(1+$AI$5)^(AC61/12)*(AG61+IF(AD61=$AM$7,$AM$4,0))</f>
      </c>
      <c r="AI61" s="170"/>
      <c r="AJ61" s="7"/>
      <c r="AK61" s="1"/>
      <c r="AL61" s="1"/>
      <c r="AM61" s="1"/>
    </row>
    <row x14ac:dyDescent="0.25" r="62" customHeight="1" ht="18.75">
      <c r="A62" s="1"/>
      <c r="B62" s="169"/>
      <c r="C62" s="170"/>
      <c r="D62" s="331">
        <v>55</v>
      </c>
      <c r="E62" s="544">
        <f>+DATE(YEAR(E61),MONTH(E61)-1,DAY(E61))</f>
        <v>25569.041666666668</v>
      </c>
      <c r="F62" s="333">
        <f>IF($C$6=$E62,1,IF(MONTH($E62)=1,F63*(1+$F$5),F63))</f>
      </c>
      <c r="G62" s="333">
        <f>F62*$B$8/12</f>
      </c>
      <c r="H62" s="333">
        <f>IF(F62=1,F62*$B$10/MIN(12,'Simulador - 3º Pilar'!$E$88),0)</f>
      </c>
      <c r="I62" s="560">
        <f>(1+$G$5)^(D62/12)*(H62+IF(E62=$N$7,$N$4,0))</f>
      </c>
      <c r="J62" s="561">
        <f>(1+$G$5)^(D62/12)*(H62*(12-IF(MONTH(E63)=12,0,MONTH(E63)))+IF(AND(F62=1,F63=0),$Q$4,0))*IF(AND(F62=1,F63=0),1,0)</f>
      </c>
      <c r="K62" s="217">
        <f>(1+$G$5)^(D62/12)*(IF(E62=$N$7,$N$4,0)+IF(E62=$C$6,$B$10,0))</f>
      </c>
      <c r="L62" s="217">
        <f>(1+$G$5)^(D62/12)*(IF((E62)&gt;($B$6),H62,0)+IF(E62=$N$7,$N$4,0)+IF(E62=$C$6,0,0))</f>
      </c>
      <c r="M62" s="1"/>
      <c r="N62" s="7"/>
      <c r="O62" s="1"/>
      <c r="P62" s="331">
        <v>55</v>
      </c>
      <c r="Q62" s="544">
        <f>+DATE(YEAR(Q61),MONTH(Q61)-1,DAY(Q61))</f>
        <v>25569.041666666668</v>
      </c>
      <c r="R62" s="341">
        <f>IF($Z$7=$E62,1,IF(MONTH($E62)=1,R63*(1+$F$5),R63))</f>
      </c>
      <c r="S62" s="334">
        <f>R62*$B$8/12</f>
      </c>
      <c r="T62" s="334">
        <f>R62*$B$11/12</f>
      </c>
      <c r="U62" s="565">
        <f>(1+$V$5)^(P62/12)*(T62+IF(Q62=$Z$7,$Z$4,0))</f>
      </c>
      <c r="V62" s="170"/>
      <c r="W62" s="7"/>
      <c r="X62" s="1"/>
      <c r="Y62" s="1"/>
      <c r="Z62" s="1"/>
      <c r="AA62" s="1"/>
      <c r="AB62" s="1"/>
      <c r="AC62" s="331">
        <v>55</v>
      </c>
      <c r="AD62" s="544">
        <f>+DATE(YEAR(AD61),MONTH(AD61)-1,DAY(AD61))</f>
        <v>25569.041666666668</v>
      </c>
      <c r="AE62" s="341">
        <f>IF($AM$7=$E62,1,IF(MONTH($E62)=1,AE63*(1+$F$5),AE63))</f>
      </c>
      <c r="AF62" s="334">
        <f>AE62*$B$8/12</f>
      </c>
      <c r="AG62" s="334">
        <f>AE62*$B$12/12</f>
      </c>
      <c r="AH62" s="565">
        <f>(1+$AI$5)^(AC62/12)*(AG62+IF(AD62=$AM$7,$AM$4,0))</f>
      </c>
      <c r="AI62" s="170"/>
      <c r="AJ62" s="7"/>
      <c r="AK62" s="1"/>
      <c r="AL62" s="1"/>
      <c r="AM62" s="1"/>
    </row>
    <row x14ac:dyDescent="0.25" r="63" customHeight="1" ht="18.75">
      <c r="A63" s="1"/>
      <c r="B63" s="169"/>
      <c r="C63" s="170"/>
      <c r="D63" s="331">
        <v>56</v>
      </c>
      <c r="E63" s="544">
        <f>+DATE(YEAR(E62),MONTH(E62)-1,DAY(E62))</f>
        <v>25569.041666666668</v>
      </c>
      <c r="F63" s="333">
        <f>IF($C$6=$E63,1,IF(MONTH($E63)=1,F64*(1+$F$5),F64))</f>
      </c>
      <c r="G63" s="333">
        <f>F63*$B$8/12</f>
      </c>
      <c r="H63" s="333">
        <f>IF(F63=1,F63*$B$10/MIN(12,'Simulador - 3º Pilar'!$E$88),0)</f>
      </c>
      <c r="I63" s="560">
        <f>(1+$G$5)^(D63/12)*(H63+IF(E63=$N$7,$N$4,0))</f>
      </c>
      <c r="J63" s="561">
        <f>(1+$G$5)^(D63/12)*(H63*(12-IF(MONTH(E64)=12,0,MONTH(E64)))+IF(AND(F63=1,F64=0),$Q$4,0))*IF(AND(F63=1,F64=0),1,0)</f>
      </c>
      <c r="K63" s="217">
        <f>(1+$G$5)^(D63/12)*(IF(E63=$N$7,$N$4,0)+IF(E63=$C$6,$B$10,0))</f>
      </c>
      <c r="L63" s="217">
        <f>(1+$G$5)^(D63/12)*(IF((E63)&gt;($B$6),H63,0)+IF(E63=$N$7,$N$4,0)+IF(E63=$C$6,0,0))</f>
      </c>
      <c r="M63" s="1"/>
      <c r="N63" s="7"/>
      <c r="O63" s="1"/>
      <c r="P63" s="331">
        <v>56</v>
      </c>
      <c r="Q63" s="544">
        <f>+DATE(YEAR(Q62),MONTH(Q62)-1,DAY(Q62))</f>
        <v>25569.041666666668</v>
      </c>
      <c r="R63" s="341">
        <f>IF($Z$7=$E63,1,IF(MONTH($E63)=1,R64*(1+$F$5),R64))</f>
      </c>
      <c r="S63" s="334">
        <f>R63*$B$8/12</f>
      </c>
      <c r="T63" s="334">
        <f>R63*$B$11/12</f>
      </c>
      <c r="U63" s="565">
        <f>(1+$V$5)^(P63/12)*(T63+IF(Q63=$Z$7,$Z$4,0))</f>
      </c>
      <c r="V63" s="170"/>
      <c r="W63" s="7"/>
      <c r="X63" s="1"/>
      <c r="Y63" s="1"/>
      <c r="Z63" s="1"/>
      <c r="AA63" s="1"/>
      <c r="AB63" s="1"/>
      <c r="AC63" s="331">
        <v>56</v>
      </c>
      <c r="AD63" s="544">
        <f>+DATE(YEAR(AD62),MONTH(AD62)-1,DAY(AD62))</f>
        <v>25569.041666666668</v>
      </c>
      <c r="AE63" s="341">
        <f>IF($AM$7=$E63,1,IF(MONTH($E63)=1,AE64*(1+$F$5),AE64))</f>
      </c>
      <c r="AF63" s="334">
        <f>AE63*$B$8/12</f>
      </c>
      <c r="AG63" s="334">
        <f>AE63*$B$12/12</f>
      </c>
      <c r="AH63" s="565">
        <f>(1+$AI$5)^(AC63/12)*(AG63+IF(AD63=$AM$7,$AM$4,0))</f>
      </c>
      <c r="AI63" s="170"/>
      <c r="AJ63" s="7"/>
      <c r="AK63" s="1"/>
      <c r="AL63" s="1"/>
      <c r="AM63" s="1"/>
    </row>
    <row x14ac:dyDescent="0.25" r="64" customHeight="1" ht="18.75">
      <c r="A64" s="1"/>
      <c r="B64" s="169"/>
      <c r="C64" s="170"/>
      <c r="D64" s="331">
        <v>57</v>
      </c>
      <c r="E64" s="544">
        <f>+DATE(YEAR(E63),MONTH(E63)-1,DAY(E63))</f>
        <v>25569.041666666668</v>
      </c>
      <c r="F64" s="333">
        <f>IF($C$6=$E64,1,IF(MONTH($E64)=1,F65*(1+$F$5),F65))</f>
      </c>
      <c r="G64" s="333">
        <f>F64*$B$8/12</f>
      </c>
      <c r="H64" s="333">
        <f>IF(F64=1,F64*$B$10/MIN(12,'Simulador - 3º Pilar'!$E$88),0)</f>
      </c>
      <c r="I64" s="560">
        <f>(1+$G$5)^(D64/12)*(H64+IF(E64=$N$7,$N$4,0))</f>
      </c>
      <c r="J64" s="561">
        <f>(1+$G$5)^(D64/12)*(H64*(12-IF(MONTH(E65)=12,0,MONTH(E65)))+IF(AND(F64=1,F65=0),$Q$4,0))*IF(AND(F64=1,F65=0),1,0)</f>
      </c>
      <c r="K64" s="217">
        <f>(1+$G$5)^(D64/12)*(IF(E64=$N$7,$N$4,0)+IF(E64=$C$6,$B$10,0))</f>
      </c>
      <c r="L64" s="217">
        <f>(1+$G$5)^(D64/12)*(IF((E64)&gt;($B$6),H64,0)+IF(E64=$N$7,$N$4,0)+IF(E64=$C$6,0,0))</f>
      </c>
      <c r="M64" s="1"/>
      <c r="N64" s="7"/>
      <c r="O64" s="1"/>
      <c r="P64" s="331">
        <v>57</v>
      </c>
      <c r="Q64" s="544">
        <f>+DATE(YEAR(Q63),MONTH(Q63)-1,DAY(Q63))</f>
        <v>25569.041666666668</v>
      </c>
      <c r="R64" s="341">
        <f>IF($Z$7=$E64,1,IF(MONTH($E64)=1,R65*(1+$F$5),R65))</f>
      </c>
      <c r="S64" s="334">
        <f>R64*$B$8/12</f>
      </c>
      <c r="T64" s="334">
        <f>R64*$B$11/12</f>
      </c>
      <c r="U64" s="565">
        <f>(1+$V$5)^(P64/12)*(T64+IF(Q64=$Z$7,$Z$4,0))</f>
      </c>
      <c r="V64" s="170"/>
      <c r="W64" s="7"/>
      <c r="X64" s="1"/>
      <c r="Y64" s="1"/>
      <c r="Z64" s="1"/>
      <c r="AA64" s="1"/>
      <c r="AB64" s="1"/>
      <c r="AC64" s="331">
        <v>57</v>
      </c>
      <c r="AD64" s="544">
        <f>+DATE(YEAR(AD63),MONTH(AD63)-1,DAY(AD63))</f>
        <v>25569.041666666668</v>
      </c>
      <c r="AE64" s="341">
        <f>IF($AM$7=$E64,1,IF(MONTH($E64)=1,AE65*(1+$F$5),AE65))</f>
      </c>
      <c r="AF64" s="334">
        <f>AE64*$B$8/12</f>
      </c>
      <c r="AG64" s="334">
        <f>AE64*$B$12/12</f>
      </c>
      <c r="AH64" s="565">
        <f>(1+$AI$5)^(AC64/12)*(AG64+IF(AD64=$AM$7,$AM$4,0))</f>
      </c>
      <c r="AI64" s="170"/>
      <c r="AJ64" s="7"/>
      <c r="AK64" s="1"/>
      <c r="AL64" s="1"/>
      <c r="AM64" s="1"/>
    </row>
    <row x14ac:dyDescent="0.25" r="65" customHeight="1" ht="18.75">
      <c r="A65" s="1"/>
      <c r="B65" s="169"/>
      <c r="C65" s="170"/>
      <c r="D65" s="331">
        <v>58</v>
      </c>
      <c r="E65" s="544">
        <f>+DATE(YEAR(E64),MONTH(E64)-1,DAY(E64))</f>
        <v>25569.041666666668</v>
      </c>
      <c r="F65" s="333">
        <f>IF($C$6=$E65,1,IF(MONTH($E65)=1,F66*(1+$F$5),F66))</f>
      </c>
      <c r="G65" s="333">
        <f>F65*$B$8/12</f>
      </c>
      <c r="H65" s="333">
        <f>IF(F65=1,F65*$B$10/MIN(12,'Simulador - 3º Pilar'!$E$88),0)</f>
      </c>
      <c r="I65" s="560">
        <f>(1+$G$5)^(D65/12)*(H65+IF(E65=$N$7,$N$4,0))</f>
      </c>
      <c r="J65" s="561">
        <f>(1+$G$5)^(D65/12)*(H65*(12-IF(MONTH(E66)=12,0,MONTH(E66)))+IF(AND(F65=1,F66=0),$Q$4,0))*IF(AND(F65=1,F66=0),1,0)</f>
      </c>
      <c r="K65" s="217">
        <f>(1+$G$5)^(D65/12)*(IF(E65=$N$7,$N$4,0)+IF(E65=$C$6,$B$10,0))</f>
      </c>
      <c r="L65" s="217">
        <f>(1+$G$5)^(D65/12)*(IF((E65)&gt;($B$6),H65,0)+IF(E65=$N$7,$N$4,0)+IF(E65=$C$6,0,0))</f>
      </c>
      <c r="M65" s="1"/>
      <c r="N65" s="7"/>
      <c r="O65" s="1"/>
      <c r="P65" s="331">
        <v>58</v>
      </c>
      <c r="Q65" s="544">
        <f>+DATE(YEAR(Q64),MONTH(Q64)-1,DAY(Q64))</f>
        <v>25569.041666666668</v>
      </c>
      <c r="R65" s="341">
        <f>IF($Z$7=$E65,1,IF(MONTH($E65)=1,R66*(1+$F$5),R66))</f>
      </c>
      <c r="S65" s="334">
        <f>R65*$B$8/12</f>
      </c>
      <c r="T65" s="334">
        <f>R65*$B$11/12</f>
      </c>
      <c r="U65" s="565">
        <f>(1+$V$5)^(P65/12)*(T65+IF(Q65=$Z$7,$Z$4,0))</f>
      </c>
      <c r="V65" s="170"/>
      <c r="W65" s="7"/>
      <c r="X65" s="1"/>
      <c r="Y65" s="1"/>
      <c r="Z65" s="1"/>
      <c r="AA65" s="1"/>
      <c r="AB65" s="1"/>
      <c r="AC65" s="331">
        <v>58</v>
      </c>
      <c r="AD65" s="544">
        <f>+DATE(YEAR(AD64),MONTH(AD64)-1,DAY(AD64))</f>
        <v>25569.041666666668</v>
      </c>
      <c r="AE65" s="341">
        <f>IF($AM$7=$E65,1,IF(MONTH($E65)=1,AE66*(1+$F$5),AE66))</f>
      </c>
      <c r="AF65" s="334">
        <f>AE65*$B$8/12</f>
      </c>
      <c r="AG65" s="334">
        <f>AE65*$B$12/12</f>
      </c>
      <c r="AH65" s="565">
        <f>(1+$AI$5)^(AC65/12)*(AG65+IF(AD65=$AM$7,$AM$4,0))</f>
      </c>
      <c r="AI65" s="170"/>
      <c r="AJ65" s="7"/>
      <c r="AK65" s="1"/>
      <c r="AL65" s="1"/>
      <c r="AM65" s="1"/>
    </row>
    <row x14ac:dyDescent="0.25" r="66" customHeight="1" ht="18.75">
      <c r="A66" s="1"/>
      <c r="B66" s="169"/>
      <c r="C66" s="170"/>
      <c r="D66" s="331">
        <v>59</v>
      </c>
      <c r="E66" s="544">
        <f>+DATE(YEAR(E65),MONTH(E65)-1,DAY(E65))</f>
        <v>25569.041666666668</v>
      </c>
      <c r="F66" s="333">
        <f>IF($C$6=$E66,1,IF(MONTH($E66)=1,F67*(1+$F$5),F67))</f>
      </c>
      <c r="G66" s="333">
        <f>F66*$B$8/12</f>
      </c>
      <c r="H66" s="333">
        <f>IF(F66=1,F66*$B$10/MIN(12,'Simulador - 3º Pilar'!$E$88),0)</f>
      </c>
      <c r="I66" s="560">
        <f>(1+$G$5)^(D66/12)*(H66+IF(E66=$N$7,$N$4,0))</f>
      </c>
      <c r="J66" s="561">
        <f>(1+$G$5)^(D66/12)*(H66*(12-IF(MONTH(E67)=12,0,MONTH(E67)))+IF(AND(F66=1,F67=0),$Q$4,0))*IF(AND(F66=1,F67=0),1,0)</f>
      </c>
      <c r="K66" s="217">
        <f>(1+$G$5)^(D66/12)*(IF(E66=$N$7,$N$4,0)+IF(E66=$C$6,$B$10,0))</f>
      </c>
      <c r="L66" s="217">
        <f>(1+$G$5)^(D66/12)*(IF((E66)&gt;($B$6),H66,0)+IF(E66=$N$7,$N$4,0)+IF(E66=$C$6,0,0))</f>
      </c>
      <c r="M66" s="1"/>
      <c r="N66" s="7"/>
      <c r="O66" s="1"/>
      <c r="P66" s="331">
        <v>59</v>
      </c>
      <c r="Q66" s="544">
        <f>+DATE(YEAR(Q65),MONTH(Q65)-1,DAY(Q65))</f>
        <v>25569.041666666668</v>
      </c>
      <c r="R66" s="341">
        <f>IF($Z$7=$E66,1,IF(MONTH($E66)=1,R67*(1+$F$5),R67))</f>
      </c>
      <c r="S66" s="334">
        <f>R66*$B$8/12</f>
      </c>
      <c r="T66" s="334">
        <f>R66*$B$11/12</f>
      </c>
      <c r="U66" s="565">
        <f>(1+$V$5)^(P66/12)*(T66+IF(Q66=$Z$7,$Z$4,0))</f>
      </c>
      <c r="V66" s="170"/>
      <c r="W66" s="7"/>
      <c r="X66" s="1"/>
      <c r="Y66" s="1"/>
      <c r="Z66" s="1"/>
      <c r="AA66" s="1"/>
      <c r="AB66" s="1"/>
      <c r="AC66" s="331">
        <v>59</v>
      </c>
      <c r="AD66" s="544">
        <f>+DATE(YEAR(AD65),MONTH(AD65)-1,DAY(AD65))</f>
        <v>25569.041666666668</v>
      </c>
      <c r="AE66" s="341">
        <f>IF($AM$7=$E66,1,IF(MONTH($E66)=1,AE67*(1+$F$5),AE67))</f>
      </c>
      <c r="AF66" s="334">
        <f>AE66*$B$8/12</f>
      </c>
      <c r="AG66" s="334">
        <f>AE66*$B$12/12</f>
      </c>
      <c r="AH66" s="565">
        <f>(1+$AI$5)^(AC66/12)*(AG66+IF(AD66=$AM$7,$AM$4,0))</f>
      </c>
      <c r="AI66" s="170"/>
      <c r="AJ66" s="7"/>
      <c r="AK66" s="1"/>
      <c r="AL66" s="1"/>
      <c r="AM66" s="1"/>
    </row>
    <row x14ac:dyDescent="0.25" r="67" customHeight="1" ht="18.75">
      <c r="A67" s="1"/>
      <c r="B67" s="169"/>
      <c r="C67" s="170"/>
      <c r="D67" s="331">
        <v>60</v>
      </c>
      <c r="E67" s="544">
        <f>+DATE(YEAR(E66),MONTH(E66)-1,DAY(E66))</f>
        <v>25569.041666666668</v>
      </c>
      <c r="F67" s="333">
        <f>IF($C$6=$E67,1,IF(MONTH($E67)=1,F68*(1+$F$5),F68))</f>
      </c>
      <c r="G67" s="333">
        <f>F67*$B$8/12</f>
      </c>
      <c r="H67" s="333">
        <f>IF(F67=1,F67*$B$10/MIN(12,'Simulador - 3º Pilar'!$E$88),0)</f>
      </c>
      <c r="I67" s="560">
        <f>(1+$G$5)^(D67/12)*(H67+IF(E67=$N$7,$N$4,0))</f>
      </c>
      <c r="J67" s="561">
        <f>(1+$G$5)^(D67/12)*(H67*(12-IF(MONTH(E68)=12,0,MONTH(E68)))+IF(AND(F67=1,F68=0),$Q$4,0))*IF(AND(F67=1,F68=0),1,0)</f>
      </c>
      <c r="K67" s="217">
        <f>(1+$G$5)^(D67/12)*(IF(E67=$N$7,$N$4,0)+IF(E67=$C$6,$B$10,0))</f>
      </c>
      <c r="L67" s="217">
        <f>(1+$G$5)^(D67/12)*(IF((E67)&gt;($B$6),H67,0)+IF(E67=$N$7,$N$4,0)+IF(E67=$C$6,0,0))</f>
      </c>
      <c r="M67" s="1"/>
      <c r="N67" s="7"/>
      <c r="O67" s="1"/>
      <c r="P67" s="331">
        <v>60</v>
      </c>
      <c r="Q67" s="544">
        <f>+DATE(YEAR(Q66),MONTH(Q66)-1,DAY(Q66))</f>
        <v>25569.041666666668</v>
      </c>
      <c r="R67" s="341">
        <f>IF($Z$7=$E67,1,IF(MONTH($E67)=1,R68*(1+$F$5),R68))</f>
      </c>
      <c r="S67" s="334">
        <f>R67*$B$8/12</f>
      </c>
      <c r="T67" s="334">
        <f>R67*$B$11/12</f>
      </c>
      <c r="U67" s="565">
        <f>(1+$V$5)^(P67/12)*(T67+IF(Q67=$Z$7,$Z$4,0))</f>
      </c>
      <c r="V67" s="170"/>
      <c r="W67" s="7"/>
      <c r="X67" s="1"/>
      <c r="Y67" s="1"/>
      <c r="Z67" s="1"/>
      <c r="AA67" s="1"/>
      <c r="AB67" s="1"/>
      <c r="AC67" s="331">
        <v>60</v>
      </c>
      <c r="AD67" s="544">
        <f>+DATE(YEAR(AD66),MONTH(AD66)-1,DAY(AD66))</f>
        <v>25569.041666666668</v>
      </c>
      <c r="AE67" s="341">
        <f>IF($AM$7=$E67,1,IF(MONTH($E67)=1,AE68*(1+$F$5),AE68))</f>
      </c>
      <c r="AF67" s="334">
        <f>AE67*$B$8/12</f>
      </c>
      <c r="AG67" s="334">
        <f>AE67*$B$12/12</f>
      </c>
      <c r="AH67" s="565">
        <f>(1+$AI$5)^(AC67/12)*(AG67+IF(AD67=$AM$7,$AM$4,0))</f>
      </c>
      <c r="AI67" s="170"/>
      <c r="AJ67" s="7"/>
      <c r="AK67" s="1"/>
      <c r="AL67" s="1"/>
      <c r="AM67" s="1"/>
    </row>
    <row x14ac:dyDescent="0.25" r="68" customHeight="1" ht="18.75">
      <c r="A68" s="1"/>
      <c r="B68" s="169"/>
      <c r="C68" s="170"/>
      <c r="D68" s="331">
        <v>61</v>
      </c>
      <c r="E68" s="544">
        <f>+DATE(YEAR(E67),MONTH(E67)-1,DAY(E67))</f>
        <v>25569.041666666668</v>
      </c>
      <c r="F68" s="333">
        <f>IF($C$6=$E68,1,IF(MONTH($E68)=1,F69*(1+$F$5),F69))</f>
      </c>
      <c r="G68" s="333">
        <f>F68*$B$8/12</f>
      </c>
      <c r="H68" s="333">
        <f>IF(F68=1,F68*$B$10/MIN(12,'Simulador - 3º Pilar'!$E$88),0)</f>
      </c>
      <c r="I68" s="560">
        <f>(1+$G$5)^(D68/12)*(H68+IF(E68=$N$7,$N$4,0))</f>
      </c>
      <c r="J68" s="561">
        <f>(1+$G$5)^(D68/12)*(H68*(12-IF(MONTH(E69)=12,0,MONTH(E69)))+IF(AND(F68=1,F69=0),$Q$4,0))*IF(AND(F68=1,F69=0),1,0)</f>
      </c>
      <c r="K68" s="217">
        <f>(1+$G$5)^(D68/12)*(IF(E68=$N$7,$N$4,0)+IF(E68=$C$6,$B$10,0))</f>
      </c>
      <c r="L68" s="217">
        <f>(1+$G$5)^(D68/12)*(IF((E68)&gt;($B$6),H68,0)+IF(E68=$N$7,$N$4,0)+IF(E68=$C$6,0,0))</f>
      </c>
      <c r="M68" s="1"/>
      <c r="N68" s="7"/>
      <c r="O68" s="1"/>
      <c r="P68" s="331">
        <v>61</v>
      </c>
      <c r="Q68" s="544">
        <f>+DATE(YEAR(Q67),MONTH(Q67)-1,DAY(Q67))</f>
        <v>25569.041666666668</v>
      </c>
      <c r="R68" s="341">
        <f>IF($Z$7=$E68,1,IF(MONTH($E68)=1,R69*(1+$F$5),R69))</f>
      </c>
      <c r="S68" s="334">
        <f>R68*$B$8/12</f>
      </c>
      <c r="T68" s="334">
        <f>R68*$B$11/12</f>
      </c>
      <c r="U68" s="565">
        <f>(1+$V$5)^(P68/12)*(T68+IF(Q68=$Z$7,$Z$4,0))</f>
      </c>
      <c r="V68" s="170"/>
      <c r="W68" s="7"/>
      <c r="X68" s="1"/>
      <c r="Y68" s="1"/>
      <c r="Z68" s="1"/>
      <c r="AA68" s="1"/>
      <c r="AB68" s="1"/>
      <c r="AC68" s="331">
        <v>61</v>
      </c>
      <c r="AD68" s="544">
        <f>+DATE(YEAR(AD67),MONTH(AD67)-1,DAY(AD67))</f>
        <v>25569.041666666668</v>
      </c>
      <c r="AE68" s="341">
        <f>IF($AM$7=$E68,1,IF(MONTH($E68)=1,AE69*(1+$F$5),AE69))</f>
      </c>
      <c r="AF68" s="334">
        <f>AE68*$B$8/12</f>
      </c>
      <c r="AG68" s="334">
        <f>AE68*$B$12/12</f>
      </c>
      <c r="AH68" s="565">
        <f>(1+$AI$5)^(AC68/12)*(AG68+IF(AD68=$AM$7,$AM$4,0))</f>
      </c>
      <c r="AI68" s="170"/>
      <c r="AJ68" s="7"/>
      <c r="AK68" s="1"/>
      <c r="AL68" s="1"/>
      <c r="AM68" s="1"/>
    </row>
    <row x14ac:dyDescent="0.25" r="69" customHeight="1" ht="18.75">
      <c r="A69" s="1"/>
      <c r="B69" s="169"/>
      <c r="C69" s="170"/>
      <c r="D69" s="331">
        <v>62</v>
      </c>
      <c r="E69" s="544">
        <f>+DATE(YEAR(E68),MONTH(E68)-1,DAY(E68))</f>
        <v>25569.041666666668</v>
      </c>
      <c r="F69" s="333">
        <f>IF($C$6=$E69,1,IF(MONTH($E69)=1,F70*(1+$F$5),F70))</f>
      </c>
      <c r="G69" s="333">
        <f>F69*$B$8/12</f>
      </c>
      <c r="H69" s="333">
        <f>IF(F69=1,F69*$B$10/MIN(12,'Simulador - 3º Pilar'!$E$88),0)</f>
      </c>
      <c r="I69" s="560">
        <f>(1+$G$5)^(D69/12)*(H69+IF(E69=$N$7,$N$4,0))</f>
      </c>
      <c r="J69" s="561">
        <f>(1+$G$5)^(D69/12)*(H69*(12-IF(MONTH(E70)=12,0,MONTH(E70)))+IF(AND(F69=1,F70=0),$Q$4,0))*IF(AND(F69=1,F70=0),1,0)</f>
      </c>
      <c r="K69" s="217">
        <f>(1+$G$5)^(D69/12)*(IF(E69=$N$7,$N$4,0)+IF(E69=$C$6,$B$10,0))</f>
      </c>
      <c r="L69" s="217">
        <f>(1+$G$5)^(D69/12)*(IF((E69)&gt;($B$6),H69,0)+IF(E69=$N$7,$N$4,0)+IF(E69=$C$6,0,0))</f>
      </c>
      <c r="M69" s="1"/>
      <c r="N69" s="7"/>
      <c r="O69" s="1"/>
      <c r="P69" s="331">
        <v>62</v>
      </c>
      <c r="Q69" s="544">
        <f>+DATE(YEAR(Q68),MONTH(Q68)-1,DAY(Q68))</f>
        <v>25569.041666666668</v>
      </c>
      <c r="R69" s="341">
        <f>IF($Z$7=$E69,1,IF(MONTH($E69)=1,R70*(1+$F$5),R70))</f>
      </c>
      <c r="S69" s="334">
        <f>R69*$B$8/12</f>
      </c>
      <c r="T69" s="334">
        <f>R69*$B$11/12</f>
      </c>
      <c r="U69" s="565">
        <f>(1+$V$5)^(P69/12)*(T69+IF(Q69=$Z$7,$Z$4,0))</f>
      </c>
      <c r="V69" s="170"/>
      <c r="W69" s="7"/>
      <c r="X69" s="1"/>
      <c r="Y69" s="1"/>
      <c r="Z69" s="1"/>
      <c r="AA69" s="1"/>
      <c r="AB69" s="1"/>
      <c r="AC69" s="331">
        <v>62</v>
      </c>
      <c r="AD69" s="544">
        <f>+DATE(YEAR(AD68),MONTH(AD68)-1,DAY(AD68))</f>
        <v>25569.041666666668</v>
      </c>
      <c r="AE69" s="341">
        <f>IF($AM$7=$E69,1,IF(MONTH($E69)=1,AE70*(1+$F$5),AE70))</f>
      </c>
      <c r="AF69" s="334">
        <f>AE69*$B$8/12</f>
      </c>
      <c r="AG69" s="334">
        <f>AE69*$B$12/12</f>
      </c>
      <c r="AH69" s="565">
        <f>(1+$AI$5)^(AC69/12)*(AG69+IF(AD69=$AM$7,$AM$4,0))</f>
      </c>
      <c r="AI69" s="170"/>
      <c r="AJ69" s="7"/>
      <c r="AK69" s="1"/>
      <c r="AL69" s="1"/>
      <c r="AM69" s="1"/>
    </row>
    <row x14ac:dyDescent="0.25" r="70" customHeight="1" ht="18.75">
      <c r="A70" s="1"/>
      <c r="B70" s="169"/>
      <c r="C70" s="170"/>
      <c r="D70" s="331">
        <v>63</v>
      </c>
      <c r="E70" s="544">
        <f>+DATE(YEAR(E69),MONTH(E69)-1,DAY(E69))</f>
        <v>25569.041666666668</v>
      </c>
      <c r="F70" s="333">
        <f>IF($C$6=$E70,1,IF(MONTH($E70)=1,F71*(1+$F$5),F71))</f>
      </c>
      <c r="G70" s="333">
        <f>F70*$B$8/12</f>
      </c>
      <c r="H70" s="333">
        <f>IF(F70=1,F70*$B$10/MIN(12,'Simulador - 3º Pilar'!$E$88),0)</f>
      </c>
      <c r="I70" s="560">
        <f>(1+$G$5)^(D70/12)*(H70+IF(E70=$N$7,$N$4,0))</f>
      </c>
      <c r="J70" s="561">
        <f>(1+$G$5)^(D70/12)*(H70*(12-IF(MONTH(E71)=12,0,MONTH(E71)))+IF(AND(F70=1,F71=0),$Q$4,0))*IF(AND(F70=1,F71=0),1,0)</f>
      </c>
      <c r="K70" s="217">
        <f>(1+$G$5)^(D70/12)*(IF(E70=$N$7,$N$4,0)+IF(E70=$C$6,$B$10,0))</f>
      </c>
      <c r="L70" s="217">
        <f>(1+$G$5)^(D70/12)*(IF((E70)&gt;($B$6),H70,0)+IF(E70=$N$7,$N$4,0)+IF(E70=$C$6,0,0))</f>
      </c>
      <c r="M70" s="1"/>
      <c r="N70" s="7"/>
      <c r="O70" s="1"/>
      <c r="P70" s="331">
        <v>63</v>
      </c>
      <c r="Q70" s="544">
        <f>+DATE(YEAR(Q69),MONTH(Q69)-1,DAY(Q69))</f>
        <v>25569.041666666668</v>
      </c>
      <c r="R70" s="341">
        <f>IF($Z$7=$E70,1,IF(MONTH($E70)=1,R71*(1+$F$5),R71))</f>
      </c>
      <c r="S70" s="334">
        <f>R70*$B$8/12</f>
      </c>
      <c r="T70" s="334">
        <f>R70*$B$11/12</f>
      </c>
      <c r="U70" s="565">
        <f>(1+$V$5)^(P70/12)*(T70+IF(Q70=$Z$7,$Z$4,0))</f>
      </c>
      <c r="V70" s="170"/>
      <c r="W70" s="7"/>
      <c r="X70" s="1"/>
      <c r="Y70" s="1"/>
      <c r="Z70" s="1"/>
      <c r="AA70" s="1"/>
      <c r="AB70" s="1"/>
      <c r="AC70" s="331">
        <v>63</v>
      </c>
      <c r="AD70" s="544">
        <f>+DATE(YEAR(AD69),MONTH(AD69)-1,DAY(AD69))</f>
        <v>25569.041666666668</v>
      </c>
      <c r="AE70" s="341">
        <f>IF($AM$7=$E70,1,IF(MONTH($E70)=1,AE71*(1+$F$5),AE71))</f>
      </c>
      <c r="AF70" s="334">
        <f>AE70*$B$8/12</f>
      </c>
      <c r="AG70" s="334">
        <f>AE70*$B$12/12</f>
      </c>
      <c r="AH70" s="565">
        <f>(1+$AI$5)^(AC70/12)*(AG70+IF(AD70=$AM$7,$AM$4,0))</f>
      </c>
      <c r="AI70" s="170"/>
      <c r="AJ70" s="7"/>
      <c r="AK70" s="1"/>
      <c r="AL70" s="1"/>
      <c r="AM70" s="1"/>
    </row>
    <row x14ac:dyDescent="0.25" r="71" customHeight="1" ht="18.75">
      <c r="A71" s="1"/>
      <c r="B71" s="169"/>
      <c r="C71" s="170"/>
      <c r="D71" s="331">
        <v>64</v>
      </c>
      <c r="E71" s="544">
        <f>+DATE(YEAR(E70),MONTH(E70)-1,DAY(E70))</f>
        <v>25569.041666666668</v>
      </c>
      <c r="F71" s="333">
        <f>IF($C$6=$E71,1,IF(MONTH($E71)=1,F72*(1+$F$5),F72))</f>
      </c>
      <c r="G71" s="333">
        <f>F71*$B$8/12</f>
      </c>
      <c r="H71" s="333">
        <f>IF(F71=1,F71*$B$10/MIN(12,'Simulador - 3º Pilar'!$E$88),0)</f>
      </c>
      <c r="I71" s="560">
        <f>(1+$G$5)^(D71/12)*(H71+IF(E71=$N$7,$N$4,0))</f>
      </c>
      <c r="J71" s="561">
        <f>(1+$G$5)^(D71/12)*(H71*(12-IF(MONTH(E72)=12,0,MONTH(E72)))+IF(AND(F71=1,F72=0),$Q$4,0))*IF(AND(F71=1,F72=0),1,0)</f>
      </c>
      <c r="K71" s="217">
        <f>(1+$G$5)^(D71/12)*(IF(E71=$N$7,$N$4,0)+IF(E71=$C$6,$B$10,0))</f>
      </c>
      <c r="L71" s="217">
        <f>(1+$G$5)^(D71/12)*(IF((E71)&gt;($B$6),H71,0)+IF(E71=$N$7,$N$4,0)+IF(E71=$C$6,0,0))</f>
      </c>
      <c r="M71" s="1"/>
      <c r="N71" s="7"/>
      <c r="O71" s="1"/>
      <c r="P71" s="331">
        <v>64</v>
      </c>
      <c r="Q71" s="544">
        <f>+DATE(YEAR(Q70),MONTH(Q70)-1,DAY(Q70))</f>
        <v>25569.041666666668</v>
      </c>
      <c r="R71" s="341">
        <f>IF($Z$7=$E71,1,IF(MONTH($E71)=1,R72*(1+$F$5),R72))</f>
      </c>
      <c r="S71" s="334">
        <f>R71*$B$8/12</f>
      </c>
      <c r="T71" s="334">
        <f>R71*$B$11/12</f>
      </c>
      <c r="U71" s="565">
        <f>(1+$V$5)^(P71/12)*(T71+IF(Q71=$Z$7,$Z$4,0))</f>
      </c>
      <c r="V71" s="170"/>
      <c r="W71" s="7"/>
      <c r="X71" s="1"/>
      <c r="Y71" s="1"/>
      <c r="Z71" s="1"/>
      <c r="AA71" s="1"/>
      <c r="AB71" s="1"/>
      <c r="AC71" s="331">
        <v>64</v>
      </c>
      <c r="AD71" s="544">
        <f>+DATE(YEAR(AD70),MONTH(AD70)-1,DAY(AD70))</f>
        <v>25569.041666666668</v>
      </c>
      <c r="AE71" s="341">
        <f>IF($AM$7=$E71,1,IF(MONTH($E71)=1,AE72*(1+$F$5),AE72))</f>
      </c>
      <c r="AF71" s="334">
        <f>AE71*$B$8/12</f>
      </c>
      <c r="AG71" s="334">
        <f>AE71*$B$12/12</f>
      </c>
      <c r="AH71" s="565">
        <f>(1+$AI$5)^(AC71/12)*(AG71+IF(AD71=$AM$7,$AM$4,0))</f>
      </c>
      <c r="AI71" s="170"/>
      <c r="AJ71" s="7"/>
      <c r="AK71" s="1"/>
      <c r="AL71" s="1"/>
      <c r="AM71" s="1"/>
    </row>
    <row x14ac:dyDescent="0.25" r="72" customHeight="1" ht="18.75">
      <c r="A72" s="1"/>
      <c r="B72" s="169"/>
      <c r="C72" s="170"/>
      <c r="D72" s="331">
        <v>65</v>
      </c>
      <c r="E72" s="544">
        <f>+DATE(YEAR(E71),MONTH(E71)-1,DAY(E71))</f>
        <v>25569.041666666668</v>
      </c>
      <c r="F72" s="333">
        <f>IF($C$6=$E72,1,IF(MONTH($E72)=1,F73*(1+$F$5),F73))</f>
      </c>
      <c r="G72" s="333">
        <f>F72*$B$8/12</f>
      </c>
      <c r="H72" s="333">
        <f>IF(F72=1,F72*$B$10/MIN(12,'Simulador - 3º Pilar'!$E$88),0)</f>
      </c>
      <c r="I72" s="560">
        <f>(1+$G$5)^(D72/12)*(H72+IF(E72=$N$7,$N$4,0))</f>
      </c>
      <c r="J72" s="561">
        <f>(1+$G$5)^(D72/12)*(H72*(12-IF(MONTH(E73)=12,0,MONTH(E73)))+IF(AND(F72=1,F73=0),$Q$4,0))*IF(AND(F72=1,F73=0),1,0)</f>
      </c>
      <c r="K72" s="217">
        <f>(1+$G$5)^(D72/12)*(IF(E72=$N$7,$N$4,0)+IF(E72=$C$6,$B$10,0))</f>
      </c>
      <c r="L72" s="217">
        <f>(1+$G$5)^(D72/12)*(IF((E72)&gt;($B$6),H72,0)+IF(E72=$N$7,$N$4,0)+IF(E72=$C$6,0,0))</f>
      </c>
      <c r="M72" s="1"/>
      <c r="N72" s="7"/>
      <c r="O72" s="1"/>
      <c r="P72" s="331">
        <v>65</v>
      </c>
      <c r="Q72" s="544">
        <f>+DATE(YEAR(Q71),MONTH(Q71)-1,DAY(Q71))</f>
        <v>25569.041666666668</v>
      </c>
      <c r="R72" s="341">
        <f>IF($Z$7=$E72,1,IF(MONTH($E72)=1,R73*(1+$F$5),R73))</f>
      </c>
      <c r="S72" s="334">
        <f>R72*$B$8/12</f>
      </c>
      <c r="T72" s="334">
        <f>R72*$B$11/12</f>
      </c>
      <c r="U72" s="565">
        <f>(1+$V$5)^(P72/12)*(T72+IF(Q72=$Z$7,$Z$4,0))</f>
      </c>
      <c r="V72" s="170"/>
      <c r="W72" s="7"/>
      <c r="X72" s="1"/>
      <c r="Y72" s="1"/>
      <c r="Z72" s="1"/>
      <c r="AA72" s="1"/>
      <c r="AB72" s="1"/>
      <c r="AC72" s="331">
        <v>65</v>
      </c>
      <c r="AD72" s="544">
        <f>+DATE(YEAR(AD71),MONTH(AD71)-1,DAY(AD71))</f>
        <v>25569.041666666668</v>
      </c>
      <c r="AE72" s="341">
        <f>IF($AM$7=$E72,1,IF(MONTH($E72)=1,AE73*(1+$F$5),AE73))</f>
      </c>
      <c r="AF72" s="334">
        <f>AE72*$B$8/12</f>
      </c>
      <c r="AG72" s="334">
        <f>AE72*$B$12/12</f>
      </c>
      <c r="AH72" s="565">
        <f>(1+$AI$5)^(AC72/12)*(AG72+IF(AD72=$AM$7,$AM$4,0))</f>
      </c>
      <c r="AI72" s="170"/>
      <c r="AJ72" s="7"/>
      <c r="AK72" s="1"/>
      <c r="AL72" s="1"/>
      <c r="AM72" s="1"/>
    </row>
    <row x14ac:dyDescent="0.25" r="73" customHeight="1" ht="18.75">
      <c r="A73" s="1"/>
      <c r="B73" s="169"/>
      <c r="C73" s="170"/>
      <c r="D73" s="331">
        <v>66</v>
      </c>
      <c r="E73" s="544">
        <f>+DATE(YEAR(E72),MONTH(E72)-1,DAY(E72))</f>
        <v>25569.041666666668</v>
      </c>
      <c r="F73" s="333">
        <f>IF($C$6=$E73,1,IF(MONTH($E73)=1,F74*(1+$F$5),F74))</f>
      </c>
      <c r="G73" s="333">
        <f>F73*$B$8/12</f>
      </c>
      <c r="H73" s="333">
        <f>IF(F73=1,F73*$B$10/MIN(12,'Simulador - 3º Pilar'!$E$88),0)</f>
      </c>
      <c r="I73" s="560">
        <f>(1+$G$5)^(D73/12)*(H73+IF(E73=$N$7,$N$4,0))</f>
      </c>
      <c r="J73" s="561">
        <f>(1+$G$5)^(D73/12)*(H73*(12-IF(MONTH(E74)=12,0,MONTH(E74)))+IF(AND(F73=1,F74=0),$Q$4,0))*IF(AND(F73=1,F74=0),1,0)</f>
      </c>
      <c r="K73" s="217">
        <f>(1+$G$5)^(D73/12)*(IF(E73=$N$7,$N$4,0)+IF(E73=$C$6,$B$10,0))</f>
      </c>
      <c r="L73" s="217">
        <f>(1+$G$5)^(D73/12)*(IF((E73)&gt;($B$6),H73,0)+IF(E73=$N$7,$N$4,0)+IF(E73=$C$6,0,0))</f>
      </c>
      <c r="M73" s="1"/>
      <c r="N73" s="7"/>
      <c r="O73" s="1"/>
      <c r="P73" s="331">
        <v>66</v>
      </c>
      <c r="Q73" s="544">
        <f>+DATE(YEAR(Q72),MONTH(Q72)-1,DAY(Q72))</f>
        <v>25569.041666666668</v>
      </c>
      <c r="R73" s="341">
        <f>IF($Z$7=$E73,1,IF(MONTH($E73)=1,R74*(1+$F$5),R74))</f>
      </c>
      <c r="S73" s="334">
        <f>R73*$B$8/12</f>
      </c>
      <c r="T73" s="334">
        <f>R73*$B$11/12</f>
      </c>
      <c r="U73" s="565">
        <f>(1+$V$5)^(P73/12)*(T73+IF(Q73=$Z$7,$Z$4,0))</f>
      </c>
      <c r="V73" s="170"/>
      <c r="W73" s="7"/>
      <c r="X73" s="1"/>
      <c r="Y73" s="1"/>
      <c r="Z73" s="1"/>
      <c r="AA73" s="1"/>
      <c r="AB73" s="1"/>
      <c r="AC73" s="331">
        <v>66</v>
      </c>
      <c r="AD73" s="544">
        <f>+DATE(YEAR(AD72),MONTH(AD72)-1,DAY(AD72))</f>
        <v>25569.041666666668</v>
      </c>
      <c r="AE73" s="341">
        <f>IF($AM$7=$E73,1,IF(MONTH($E73)=1,AE74*(1+$F$5),AE74))</f>
      </c>
      <c r="AF73" s="334">
        <f>AE73*$B$8/12</f>
      </c>
      <c r="AG73" s="334">
        <f>AE73*$B$12/12</f>
      </c>
      <c r="AH73" s="565">
        <f>(1+$AI$5)^(AC73/12)*(AG73+IF(AD73=$AM$7,$AM$4,0))</f>
      </c>
      <c r="AI73" s="170"/>
      <c r="AJ73" s="7"/>
      <c r="AK73" s="1"/>
      <c r="AL73" s="1"/>
      <c r="AM73" s="1"/>
    </row>
    <row x14ac:dyDescent="0.25" r="74" customHeight="1" ht="18.75">
      <c r="A74" s="1"/>
      <c r="B74" s="169"/>
      <c r="C74" s="170"/>
      <c r="D74" s="331">
        <v>67</v>
      </c>
      <c r="E74" s="544">
        <f>+DATE(YEAR(E73),MONTH(E73)-1,DAY(E73))</f>
        <v>25569.041666666668</v>
      </c>
      <c r="F74" s="333">
        <f>IF($C$6=$E74,1,IF(MONTH($E74)=1,F75*(1+$F$5),F75))</f>
      </c>
      <c r="G74" s="333">
        <f>F74*$B$8/12</f>
      </c>
      <c r="H74" s="333">
        <f>IF(F74=1,F74*$B$10/MIN(12,'Simulador - 3º Pilar'!$E$88),0)</f>
      </c>
      <c r="I74" s="560">
        <f>(1+$G$5)^(D74/12)*(H74+IF(E74=$N$7,$N$4,0))</f>
      </c>
      <c r="J74" s="561">
        <f>(1+$G$5)^(D74/12)*(H74*(12-IF(MONTH(E75)=12,0,MONTH(E75)))+IF(AND(F74=1,F75=0),$Q$4,0))*IF(AND(F74=1,F75=0),1,0)</f>
      </c>
      <c r="K74" s="217">
        <f>(1+$G$5)^(D74/12)*(IF(E74=$N$7,$N$4,0)+IF(E74=$C$6,$B$10,0))</f>
      </c>
      <c r="L74" s="217">
        <f>(1+$G$5)^(D74/12)*(IF((E74)&gt;($B$6),H74,0)+IF(E74=$N$7,$N$4,0)+IF(E74=$C$6,0,0))</f>
      </c>
      <c r="M74" s="1"/>
      <c r="N74" s="7"/>
      <c r="O74" s="1"/>
      <c r="P74" s="331">
        <v>67</v>
      </c>
      <c r="Q74" s="544">
        <f>+DATE(YEAR(Q73),MONTH(Q73)-1,DAY(Q73))</f>
        <v>25569.041666666668</v>
      </c>
      <c r="R74" s="341">
        <f>IF($Z$7=$E74,1,IF(MONTH($E74)=1,R75*(1+$F$5),R75))</f>
      </c>
      <c r="S74" s="334">
        <f>R74*$B$8/12</f>
      </c>
      <c r="T74" s="334">
        <f>R74*$B$11/12</f>
      </c>
      <c r="U74" s="565">
        <f>(1+$V$5)^(P74/12)*(T74+IF(Q74=$Z$7,$Z$4,0))</f>
      </c>
      <c r="V74" s="170"/>
      <c r="W74" s="7"/>
      <c r="X74" s="1"/>
      <c r="Y74" s="1"/>
      <c r="Z74" s="1"/>
      <c r="AA74" s="1"/>
      <c r="AB74" s="1"/>
      <c r="AC74" s="331">
        <v>67</v>
      </c>
      <c r="AD74" s="544">
        <f>+DATE(YEAR(AD73),MONTH(AD73)-1,DAY(AD73))</f>
        <v>25569.041666666668</v>
      </c>
      <c r="AE74" s="341">
        <f>IF($AM$7=$E74,1,IF(MONTH($E74)=1,AE75*(1+$F$5),AE75))</f>
      </c>
      <c r="AF74" s="334">
        <f>AE74*$B$8/12</f>
      </c>
      <c r="AG74" s="334">
        <f>AE74*$B$12/12</f>
      </c>
      <c r="AH74" s="565">
        <f>(1+$AI$5)^(AC74/12)*(AG74+IF(AD74=$AM$7,$AM$4,0))</f>
      </c>
      <c r="AI74" s="170"/>
      <c r="AJ74" s="7"/>
      <c r="AK74" s="1"/>
      <c r="AL74" s="1"/>
      <c r="AM74" s="1"/>
    </row>
    <row x14ac:dyDescent="0.25" r="75" customHeight="1" ht="18.75">
      <c r="A75" s="1"/>
      <c r="B75" s="169"/>
      <c r="C75" s="170"/>
      <c r="D75" s="331">
        <v>68</v>
      </c>
      <c r="E75" s="544">
        <f>+DATE(YEAR(E74),MONTH(E74)-1,DAY(E74))</f>
        <v>25569.041666666668</v>
      </c>
      <c r="F75" s="333">
        <f>IF($C$6=$E75,1,IF(MONTH($E75)=1,F76*(1+$F$5),F76))</f>
      </c>
      <c r="G75" s="333">
        <f>F75*$B$8/12</f>
      </c>
      <c r="H75" s="333">
        <f>IF(F75=1,F75*$B$10/MIN(12,'Simulador - 3º Pilar'!$E$88),0)</f>
      </c>
      <c r="I75" s="560">
        <f>(1+$G$5)^(D75/12)*(H75+IF(E75=$N$7,$N$4,0))</f>
      </c>
      <c r="J75" s="561">
        <f>(1+$G$5)^(D75/12)*(H75*(12-IF(MONTH(E76)=12,0,MONTH(E76)))+IF(AND(F75=1,F76=0),$Q$4,0))*IF(AND(F75=1,F76=0),1,0)</f>
      </c>
      <c r="K75" s="217">
        <f>(1+$G$5)^(D75/12)*(IF(E75=$N$7,$N$4,0)+IF(E75=$C$6,$B$10,0))</f>
      </c>
      <c r="L75" s="217">
        <f>(1+$G$5)^(D75/12)*(IF((E75)&gt;($B$6),H75,0)+IF(E75=$N$7,$N$4,0)+IF(E75=$C$6,0,0))</f>
      </c>
      <c r="M75" s="1"/>
      <c r="N75" s="7"/>
      <c r="O75" s="1"/>
      <c r="P75" s="331">
        <v>68</v>
      </c>
      <c r="Q75" s="544">
        <f>+DATE(YEAR(Q74),MONTH(Q74)-1,DAY(Q74))</f>
        <v>25569.041666666668</v>
      </c>
      <c r="R75" s="341">
        <f>IF($Z$7=$E75,1,IF(MONTH($E75)=1,R76*(1+$F$5),R76))</f>
      </c>
      <c r="S75" s="334">
        <f>R75*$B$8/12</f>
      </c>
      <c r="T75" s="334">
        <f>R75*$B$11/12</f>
      </c>
      <c r="U75" s="565">
        <f>(1+$V$5)^(P75/12)*(T75+IF(Q75=$Z$7,$Z$4,0))</f>
      </c>
      <c r="V75" s="170"/>
      <c r="W75" s="7"/>
      <c r="X75" s="1"/>
      <c r="Y75" s="1"/>
      <c r="Z75" s="1"/>
      <c r="AA75" s="1"/>
      <c r="AB75" s="1"/>
      <c r="AC75" s="331">
        <v>68</v>
      </c>
      <c r="AD75" s="544">
        <f>+DATE(YEAR(AD74),MONTH(AD74)-1,DAY(AD74))</f>
        <v>25569.041666666668</v>
      </c>
      <c r="AE75" s="341">
        <f>IF($AM$7=$E75,1,IF(MONTH($E75)=1,AE76*(1+$F$5),AE76))</f>
      </c>
      <c r="AF75" s="334">
        <f>AE75*$B$8/12</f>
      </c>
      <c r="AG75" s="334">
        <f>AE75*$B$12/12</f>
      </c>
      <c r="AH75" s="565">
        <f>(1+$AI$5)^(AC75/12)*(AG75+IF(AD75=$AM$7,$AM$4,0))</f>
      </c>
      <c r="AI75" s="170"/>
      <c r="AJ75" s="7"/>
      <c r="AK75" s="1"/>
      <c r="AL75" s="1"/>
      <c r="AM75" s="1"/>
    </row>
    <row x14ac:dyDescent="0.25" r="76" customHeight="1" ht="18.75">
      <c r="A76" s="1"/>
      <c r="B76" s="169"/>
      <c r="C76" s="170"/>
      <c r="D76" s="331">
        <v>69</v>
      </c>
      <c r="E76" s="544">
        <f>+DATE(YEAR(E75),MONTH(E75)-1,DAY(E75))</f>
        <v>25569.041666666668</v>
      </c>
      <c r="F76" s="333">
        <f>IF($C$6=$E76,1,IF(MONTH($E76)=1,F77*(1+$F$5),F77))</f>
      </c>
      <c r="G76" s="333">
        <f>F76*$B$8/12</f>
      </c>
      <c r="H76" s="333">
        <f>IF(F76=1,F76*$B$10/MIN(12,'Simulador - 3º Pilar'!$E$88),0)</f>
      </c>
      <c r="I76" s="560">
        <f>(1+$G$5)^(D76/12)*(H76+IF(E76=$N$7,$N$4,0))</f>
      </c>
      <c r="J76" s="561">
        <f>(1+$G$5)^(D76/12)*(H76*(12-IF(MONTH(E77)=12,0,MONTH(E77)))+IF(AND(F76=1,F77=0),$Q$4,0))*IF(AND(F76=1,F77=0),1,0)</f>
      </c>
      <c r="K76" s="217">
        <f>(1+$G$5)^(D76/12)*(IF(E76=$N$7,$N$4,0)+IF(E76=$C$6,$B$10,0))</f>
      </c>
      <c r="L76" s="217">
        <f>(1+$G$5)^(D76/12)*(IF((E76)&gt;($B$6),H76,0)+IF(E76=$N$7,$N$4,0)+IF(E76=$C$6,0,0))</f>
      </c>
      <c r="M76" s="1"/>
      <c r="N76" s="7"/>
      <c r="O76" s="1"/>
      <c r="P76" s="331">
        <v>69</v>
      </c>
      <c r="Q76" s="544">
        <f>+DATE(YEAR(Q75),MONTH(Q75)-1,DAY(Q75))</f>
        <v>25569.041666666668</v>
      </c>
      <c r="R76" s="341">
        <f>IF($Z$7=$E76,1,IF(MONTH($E76)=1,R77*(1+$F$5),R77))</f>
      </c>
      <c r="S76" s="334">
        <f>R76*$B$8/12</f>
      </c>
      <c r="T76" s="334">
        <f>R76*$B$11/12</f>
      </c>
      <c r="U76" s="565">
        <f>(1+$V$5)^(P76/12)*(T76+IF(Q76=$Z$7,$Z$4,0))</f>
      </c>
      <c r="V76" s="170"/>
      <c r="W76" s="7"/>
      <c r="X76" s="1"/>
      <c r="Y76" s="1"/>
      <c r="Z76" s="1"/>
      <c r="AA76" s="1"/>
      <c r="AB76" s="1"/>
      <c r="AC76" s="331">
        <v>69</v>
      </c>
      <c r="AD76" s="544">
        <f>+DATE(YEAR(AD75),MONTH(AD75)-1,DAY(AD75))</f>
        <v>25569.041666666668</v>
      </c>
      <c r="AE76" s="341">
        <f>IF($AM$7=$E76,1,IF(MONTH($E76)=1,AE77*(1+$F$5),AE77))</f>
      </c>
      <c r="AF76" s="334">
        <f>AE76*$B$8/12</f>
      </c>
      <c r="AG76" s="334">
        <f>AE76*$B$12/12</f>
      </c>
      <c r="AH76" s="565">
        <f>(1+$AI$5)^(AC76/12)*(AG76+IF(AD76=$AM$7,$AM$4,0))</f>
      </c>
      <c r="AI76" s="170"/>
      <c r="AJ76" s="7"/>
      <c r="AK76" s="1"/>
      <c r="AL76" s="1"/>
      <c r="AM76" s="1"/>
    </row>
    <row x14ac:dyDescent="0.25" r="77" customHeight="1" ht="18.75">
      <c r="A77" s="1"/>
      <c r="B77" s="169"/>
      <c r="C77" s="170"/>
      <c r="D77" s="331">
        <v>70</v>
      </c>
      <c r="E77" s="544">
        <f>+DATE(YEAR(E76),MONTH(E76)-1,DAY(E76))</f>
        <v>25569.041666666668</v>
      </c>
      <c r="F77" s="333">
        <f>IF($C$6=$E77,1,IF(MONTH($E77)=1,F78*(1+$F$5),F78))</f>
      </c>
      <c r="G77" s="333">
        <f>F77*$B$8/12</f>
      </c>
      <c r="H77" s="333">
        <f>IF(F77=1,F77*$B$10/MIN(12,'Simulador - 3º Pilar'!$E$88),0)</f>
      </c>
      <c r="I77" s="560">
        <f>(1+$G$5)^(D77/12)*(H77+IF(E77=$N$7,$N$4,0))</f>
      </c>
      <c r="J77" s="561">
        <f>(1+$G$5)^(D77/12)*(H77*(12-IF(MONTH(E78)=12,0,MONTH(E78)))+IF(AND(F77=1,F78=0),$Q$4,0))*IF(AND(F77=1,F78=0),1,0)</f>
      </c>
      <c r="K77" s="217">
        <f>(1+$G$5)^(D77/12)*(IF(E77=$N$7,$N$4,0)+IF(E77=$C$6,$B$10,0))</f>
      </c>
      <c r="L77" s="217">
        <f>(1+$G$5)^(D77/12)*(IF((E77)&gt;($B$6),H77,0)+IF(E77=$N$7,$N$4,0)+IF(E77=$C$6,0,0))</f>
      </c>
      <c r="M77" s="1"/>
      <c r="N77" s="7"/>
      <c r="O77" s="1"/>
      <c r="P77" s="331">
        <v>70</v>
      </c>
      <c r="Q77" s="544">
        <f>+DATE(YEAR(Q76),MONTH(Q76)-1,DAY(Q76))</f>
        <v>25569.041666666668</v>
      </c>
      <c r="R77" s="341">
        <f>IF($Z$7=$E77,1,IF(MONTH($E77)=1,R78*(1+$F$5),R78))</f>
      </c>
      <c r="S77" s="334">
        <f>R77*$B$8/12</f>
      </c>
      <c r="T77" s="334">
        <f>R77*$B$11/12</f>
      </c>
      <c r="U77" s="565">
        <f>(1+$V$5)^(P77/12)*(T77+IF(Q77=$Z$7,$Z$4,0))</f>
      </c>
      <c r="V77" s="170"/>
      <c r="W77" s="7"/>
      <c r="X77" s="1"/>
      <c r="Y77" s="1"/>
      <c r="Z77" s="1"/>
      <c r="AA77" s="1"/>
      <c r="AB77" s="1"/>
      <c r="AC77" s="331">
        <v>70</v>
      </c>
      <c r="AD77" s="544">
        <f>+DATE(YEAR(AD76),MONTH(AD76)-1,DAY(AD76))</f>
        <v>25569.041666666668</v>
      </c>
      <c r="AE77" s="341">
        <f>IF($AM$7=$E77,1,IF(MONTH($E77)=1,AE78*(1+$F$5),AE78))</f>
      </c>
      <c r="AF77" s="334">
        <f>AE77*$B$8/12</f>
      </c>
      <c r="AG77" s="334">
        <f>AE77*$B$12/12</f>
      </c>
      <c r="AH77" s="565">
        <f>(1+$AI$5)^(AC77/12)*(AG77+IF(AD77=$AM$7,$AM$4,0))</f>
      </c>
      <c r="AI77" s="170"/>
      <c r="AJ77" s="7"/>
      <c r="AK77" s="1"/>
      <c r="AL77" s="1"/>
      <c r="AM77" s="1"/>
    </row>
    <row x14ac:dyDescent="0.25" r="78" customHeight="1" ht="18.75">
      <c r="A78" s="1"/>
      <c r="B78" s="169"/>
      <c r="C78" s="170"/>
      <c r="D78" s="331">
        <v>71</v>
      </c>
      <c r="E78" s="544">
        <f>+DATE(YEAR(E77),MONTH(E77)-1,DAY(E77))</f>
        <v>25569.041666666668</v>
      </c>
      <c r="F78" s="333">
        <f>IF($C$6=$E78,1,IF(MONTH($E78)=1,F79*(1+$F$5),F79))</f>
      </c>
      <c r="G78" s="333">
        <f>F78*$B$8/12</f>
      </c>
      <c r="H78" s="333">
        <f>IF(F78=1,F78*$B$10/MIN(12,'Simulador - 3º Pilar'!$E$88),0)</f>
      </c>
      <c r="I78" s="560">
        <f>(1+$G$5)^(D78/12)*(H78+IF(E78=$N$7,$N$4,0))</f>
      </c>
      <c r="J78" s="561">
        <f>(1+$G$5)^(D78/12)*(H78*(12-IF(MONTH(E79)=12,0,MONTH(E79)))+IF(AND(F78=1,F79=0),$Q$4,0))*IF(AND(F78=1,F79=0),1,0)</f>
      </c>
      <c r="K78" s="217">
        <f>(1+$G$5)^(D78/12)*(IF(E78=$N$7,$N$4,0)+IF(E78=$C$6,$B$10,0))</f>
      </c>
      <c r="L78" s="217">
        <f>(1+$G$5)^(D78/12)*(IF((E78)&gt;($B$6),H78,0)+IF(E78=$N$7,$N$4,0)+IF(E78=$C$6,0,0))</f>
      </c>
      <c r="M78" s="1"/>
      <c r="N78" s="7"/>
      <c r="O78" s="1"/>
      <c r="P78" s="331">
        <v>71</v>
      </c>
      <c r="Q78" s="544">
        <f>+DATE(YEAR(Q77),MONTH(Q77)-1,DAY(Q77))</f>
        <v>25569.041666666668</v>
      </c>
      <c r="R78" s="341">
        <f>IF($Z$7=$E78,1,IF(MONTH($E78)=1,R79*(1+$F$5),R79))</f>
      </c>
      <c r="S78" s="334">
        <f>R78*$B$8/12</f>
      </c>
      <c r="T78" s="334">
        <f>R78*$B$11/12</f>
      </c>
      <c r="U78" s="565">
        <f>(1+$V$5)^(P78/12)*(T78+IF(Q78=$Z$7,$Z$4,0))</f>
      </c>
      <c r="V78" s="170"/>
      <c r="W78" s="7"/>
      <c r="X78" s="1"/>
      <c r="Y78" s="1"/>
      <c r="Z78" s="1"/>
      <c r="AA78" s="1"/>
      <c r="AB78" s="1"/>
      <c r="AC78" s="331">
        <v>71</v>
      </c>
      <c r="AD78" s="544">
        <f>+DATE(YEAR(AD77),MONTH(AD77)-1,DAY(AD77))</f>
        <v>25569.041666666668</v>
      </c>
      <c r="AE78" s="341">
        <f>IF($AM$7=$E78,1,IF(MONTH($E78)=1,AE79*(1+$F$5),AE79))</f>
      </c>
      <c r="AF78" s="334">
        <f>AE78*$B$8/12</f>
      </c>
      <c r="AG78" s="334">
        <f>AE78*$B$12/12</f>
      </c>
      <c r="AH78" s="565">
        <f>(1+$AI$5)^(AC78/12)*(AG78+IF(AD78=$AM$7,$AM$4,0))</f>
      </c>
      <c r="AI78" s="170"/>
      <c r="AJ78" s="7"/>
      <c r="AK78" s="1"/>
      <c r="AL78" s="1"/>
      <c r="AM78" s="1"/>
    </row>
    <row x14ac:dyDescent="0.25" r="79" customHeight="1" ht="18.75">
      <c r="A79" s="1"/>
      <c r="B79" s="169"/>
      <c r="C79" s="170"/>
      <c r="D79" s="331">
        <v>72</v>
      </c>
      <c r="E79" s="544">
        <f>+DATE(YEAR(E78),MONTH(E78)-1,DAY(E78))</f>
        <v>25569.041666666668</v>
      </c>
      <c r="F79" s="333">
        <f>IF($C$6=$E79,1,IF(MONTH($E79)=1,F80*(1+$F$5),F80))</f>
      </c>
      <c r="G79" s="333">
        <f>F79*$B$8/12</f>
      </c>
      <c r="H79" s="333">
        <f>IF(F79=1,F79*$B$10/MIN(12,'Simulador - 3º Pilar'!$E$88),0)</f>
      </c>
      <c r="I79" s="560">
        <f>(1+$G$5)^(D79/12)*(H79+IF(E79=$N$7,$N$4,0))</f>
      </c>
      <c r="J79" s="561">
        <f>(1+$G$5)^(D79/12)*(H79*(12-IF(MONTH(E80)=12,0,MONTH(E80)))+IF(AND(F79=1,F80=0),$Q$4,0))*IF(AND(F79=1,F80=0),1,0)</f>
      </c>
      <c r="K79" s="217">
        <f>(1+$G$5)^(D79/12)*(IF(E79=$N$7,$N$4,0)+IF(E79=$C$6,$B$10,0))</f>
      </c>
      <c r="L79" s="217">
        <f>(1+$G$5)^(D79/12)*(IF((E79)&gt;($B$6),H79,0)+IF(E79=$N$7,$N$4,0)+IF(E79=$C$6,0,0))</f>
      </c>
      <c r="M79" s="1"/>
      <c r="N79" s="7"/>
      <c r="O79" s="1"/>
      <c r="P79" s="331">
        <v>72</v>
      </c>
      <c r="Q79" s="544">
        <f>+DATE(YEAR(Q78),MONTH(Q78)-1,DAY(Q78))</f>
        <v>25569.041666666668</v>
      </c>
      <c r="R79" s="341">
        <f>IF($Z$7=$E79,1,IF(MONTH($E79)=1,R80*(1+$F$5),R80))</f>
      </c>
      <c r="S79" s="334">
        <f>R79*$B$8/12</f>
      </c>
      <c r="T79" s="334">
        <f>R79*$B$11/12</f>
      </c>
      <c r="U79" s="565">
        <f>(1+$V$5)^(P79/12)*(T79+IF(Q79=$Z$7,$Z$4,0))</f>
      </c>
      <c r="V79" s="170"/>
      <c r="W79" s="7"/>
      <c r="X79" s="1"/>
      <c r="Y79" s="1"/>
      <c r="Z79" s="1"/>
      <c r="AA79" s="1"/>
      <c r="AB79" s="1"/>
      <c r="AC79" s="331">
        <v>72</v>
      </c>
      <c r="AD79" s="544">
        <f>+DATE(YEAR(AD78),MONTH(AD78)-1,DAY(AD78))</f>
        <v>25569.041666666668</v>
      </c>
      <c r="AE79" s="341">
        <f>IF($AM$7=$E79,1,IF(MONTH($E79)=1,AE80*(1+$F$5),AE80))</f>
      </c>
      <c r="AF79" s="334">
        <f>AE79*$B$8/12</f>
      </c>
      <c r="AG79" s="334">
        <f>AE79*$B$12/12</f>
      </c>
      <c r="AH79" s="565">
        <f>(1+$AI$5)^(AC79/12)*(AG79+IF(AD79=$AM$7,$AM$4,0))</f>
      </c>
      <c r="AI79" s="170"/>
      <c r="AJ79" s="7"/>
      <c r="AK79" s="1"/>
      <c r="AL79" s="1"/>
      <c r="AM79" s="1"/>
    </row>
    <row x14ac:dyDescent="0.25" r="80" customHeight="1" ht="18.75">
      <c r="A80" s="1"/>
      <c r="B80" s="169"/>
      <c r="C80" s="170"/>
      <c r="D80" s="331">
        <v>73</v>
      </c>
      <c r="E80" s="544">
        <f>+DATE(YEAR(E79),MONTH(E79)-1,DAY(E79))</f>
        <v>25569.041666666668</v>
      </c>
      <c r="F80" s="333">
        <f>IF($C$6=$E80,1,IF(MONTH($E80)=1,F81*(1+$F$5),F81))</f>
      </c>
      <c r="G80" s="333">
        <f>F80*$B$8/12</f>
      </c>
      <c r="H80" s="333">
        <f>IF(F80=1,F80*$B$10/MIN(12,'Simulador - 3º Pilar'!$E$88),0)</f>
      </c>
      <c r="I80" s="560">
        <f>(1+$G$5)^(D80/12)*(H80+IF(E80=$N$7,$N$4,0))</f>
      </c>
      <c r="J80" s="561">
        <f>(1+$G$5)^(D80/12)*(H80*(12-IF(MONTH(E81)=12,0,MONTH(E81)))+IF(AND(F80=1,F81=0),$Q$4,0))*IF(AND(F80=1,F81=0),1,0)</f>
      </c>
      <c r="K80" s="217">
        <f>(1+$G$5)^(D80/12)*(IF(E80=$N$7,$N$4,0)+IF(E80=$C$6,$B$10,0))</f>
      </c>
      <c r="L80" s="217">
        <f>(1+$G$5)^(D80/12)*(IF((E80)&gt;($B$6),H80,0)+IF(E80=$N$7,$N$4,0)+IF(E80=$C$6,0,0))</f>
      </c>
      <c r="M80" s="1"/>
      <c r="N80" s="7"/>
      <c r="O80" s="1"/>
      <c r="P80" s="331">
        <v>73</v>
      </c>
      <c r="Q80" s="544">
        <f>+DATE(YEAR(Q79),MONTH(Q79)-1,DAY(Q79))</f>
        <v>25569.041666666668</v>
      </c>
      <c r="R80" s="341">
        <f>IF($Z$7=$E80,1,IF(MONTH($E80)=1,R81*(1+$F$5),R81))</f>
      </c>
      <c r="S80" s="334">
        <f>R80*$B$8/12</f>
      </c>
      <c r="T80" s="334">
        <f>R80*$B$11/12</f>
      </c>
      <c r="U80" s="565">
        <f>(1+$V$5)^(P80/12)*(T80+IF(Q80=$Z$7,$Z$4,0))</f>
      </c>
      <c r="V80" s="170"/>
      <c r="W80" s="7"/>
      <c r="X80" s="1"/>
      <c r="Y80" s="1"/>
      <c r="Z80" s="1"/>
      <c r="AA80" s="1"/>
      <c r="AB80" s="1"/>
      <c r="AC80" s="331">
        <v>73</v>
      </c>
      <c r="AD80" s="544">
        <f>+DATE(YEAR(AD79),MONTH(AD79)-1,DAY(AD79))</f>
        <v>25569.041666666668</v>
      </c>
      <c r="AE80" s="341">
        <f>IF($AM$7=$E80,1,IF(MONTH($E80)=1,AE81*(1+$F$5),AE81))</f>
      </c>
      <c r="AF80" s="334">
        <f>AE80*$B$8/12</f>
      </c>
      <c r="AG80" s="334">
        <f>AE80*$B$12/12</f>
      </c>
      <c r="AH80" s="565">
        <f>(1+$AI$5)^(AC80/12)*(AG80+IF(AD80=$AM$7,$AM$4,0))</f>
      </c>
      <c r="AI80" s="170"/>
      <c r="AJ80" s="7"/>
      <c r="AK80" s="1"/>
      <c r="AL80" s="1"/>
      <c r="AM80" s="1"/>
    </row>
    <row x14ac:dyDescent="0.25" r="81" customHeight="1" ht="18.75">
      <c r="A81" s="1"/>
      <c r="B81" s="169"/>
      <c r="C81" s="170"/>
      <c r="D81" s="331">
        <v>74</v>
      </c>
      <c r="E81" s="544">
        <f>+DATE(YEAR(E80),MONTH(E80)-1,DAY(E80))</f>
        <v>25569.041666666668</v>
      </c>
      <c r="F81" s="333">
        <f>IF($C$6=$E81,1,IF(MONTH($E81)=1,F82*(1+$F$5),F82))</f>
      </c>
      <c r="G81" s="333">
        <f>F81*$B$8/12</f>
      </c>
      <c r="H81" s="333">
        <f>IF(F81=1,F81*$B$10/MIN(12,'Simulador - 3º Pilar'!$E$88),0)</f>
      </c>
      <c r="I81" s="560">
        <f>(1+$G$5)^(D81/12)*(H81+IF(E81=$N$7,$N$4,0))</f>
      </c>
      <c r="J81" s="561">
        <f>(1+$G$5)^(D81/12)*(H81*(12-IF(MONTH(E82)=12,0,MONTH(E82)))+IF(AND(F81=1,F82=0),$Q$4,0))*IF(AND(F81=1,F82=0),1,0)</f>
      </c>
      <c r="K81" s="217">
        <f>(1+$G$5)^(D81/12)*(IF(E81=$N$7,$N$4,0)+IF(E81=$C$6,$B$10,0))</f>
      </c>
      <c r="L81" s="217">
        <f>(1+$G$5)^(D81/12)*(IF((E81)&gt;($B$6),H81,0)+IF(E81=$N$7,$N$4,0)+IF(E81=$C$6,0,0))</f>
      </c>
      <c r="M81" s="1"/>
      <c r="N81" s="7"/>
      <c r="O81" s="1"/>
      <c r="P81" s="331">
        <v>74</v>
      </c>
      <c r="Q81" s="544">
        <f>+DATE(YEAR(Q80),MONTH(Q80)-1,DAY(Q80))</f>
        <v>25569.041666666668</v>
      </c>
      <c r="R81" s="341">
        <f>IF($Z$7=$E81,1,IF(MONTH($E81)=1,R82*(1+$F$5),R82))</f>
      </c>
      <c r="S81" s="334">
        <f>R81*$B$8/12</f>
      </c>
      <c r="T81" s="334">
        <f>R81*$B$11/12</f>
      </c>
      <c r="U81" s="565">
        <f>(1+$V$5)^(P81/12)*(T81+IF(Q81=$Z$7,$Z$4,0))</f>
      </c>
      <c r="V81" s="170"/>
      <c r="W81" s="7"/>
      <c r="X81" s="1"/>
      <c r="Y81" s="1"/>
      <c r="Z81" s="1"/>
      <c r="AA81" s="1"/>
      <c r="AB81" s="1"/>
      <c r="AC81" s="331">
        <v>74</v>
      </c>
      <c r="AD81" s="544">
        <f>+DATE(YEAR(AD80),MONTH(AD80)-1,DAY(AD80))</f>
        <v>25569.041666666668</v>
      </c>
      <c r="AE81" s="341">
        <f>IF($AM$7=$E81,1,IF(MONTH($E81)=1,AE82*(1+$F$5),AE82))</f>
      </c>
      <c r="AF81" s="334">
        <f>AE81*$B$8/12</f>
      </c>
      <c r="AG81" s="334">
        <f>AE81*$B$12/12</f>
      </c>
      <c r="AH81" s="565">
        <f>(1+$AI$5)^(AC81/12)*(AG81+IF(AD81=$AM$7,$AM$4,0))</f>
      </c>
      <c r="AI81" s="170"/>
      <c r="AJ81" s="7"/>
      <c r="AK81" s="1"/>
      <c r="AL81" s="1"/>
      <c r="AM81" s="1"/>
    </row>
    <row x14ac:dyDescent="0.25" r="82" customHeight="1" ht="18.75">
      <c r="A82" s="1"/>
      <c r="B82" s="169"/>
      <c r="C82" s="170"/>
      <c r="D82" s="331">
        <v>75</v>
      </c>
      <c r="E82" s="544">
        <f>+DATE(YEAR(E81),MONTH(E81)-1,DAY(E81))</f>
        <v>25569.041666666668</v>
      </c>
      <c r="F82" s="333">
        <f>IF($C$6=$E82,1,IF(MONTH($E82)=1,F83*(1+$F$5),F83))</f>
      </c>
      <c r="G82" s="333">
        <f>F82*$B$8/12</f>
      </c>
      <c r="H82" s="333">
        <f>IF(F82=1,F82*$B$10/MIN(12,'Simulador - 3º Pilar'!$E$88),0)</f>
      </c>
      <c r="I82" s="560">
        <f>(1+$G$5)^(D82/12)*(H82+IF(E82=$N$7,$N$4,0))</f>
      </c>
      <c r="J82" s="561">
        <f>(1+$G$5)^(D82/12)*(H82*(12-IF(MONTH(E83)=12,0,MONTH(E83)))+IF(AND(F82=1,F83=0),$Q$4,0))*IF(AND(F82=1,F83=0),1,0)</f>
      </c>
      <c r="K82" s="217">
        <f>(1+$G$5)^(D82/12)*(IF(E82=$N$7,$N$4,0)+IF(E82=$C$6,$B$10,0))</f>
      </c>
      <c r="L82" s="217">
        <f>(1+$G$5)^(D82/12)*(IF((E82)&gt;($B$6),H82,0)+IF(E82=$N$7,$N$4,0)+IF(E82=$C$6,0,0))</f>
      </c>
      <c r="M82" s="1"/>
      <c r="N82" s="7"/>
      <c r="O82" s="1"/>
      <c r="P82" s="331">
        <v>75</v>
      </c>
      <c r="Q82" s="544">
        <f>+DATE(YEAR(Q81),MONTH(Q81)-1,DAY(Q81))</f>
        <v>25569.041666666668</v>
      </c>
      <c r="R82" s="341">
        <f>IF($Z$7=$E82,1,IF(MONTH($E82)=1,R83*(1+$F$5),R83))</f>
      </c>
      <c r="S82" s="334">
        <f>R82*$B$8/12</f>
      </c>
      <c r="T82" s="334">
        <f>R82*$B$11/12</f>
      </c>
      <c r="U82" s="565">
        <f>(1+$V$5)^(P82/12)*(T82+IF(Q82=$Z$7,$Z$4,0))</f>
      </c>
      <c r="V82" s="170"/>
      <c r="W82" s="7"/>
      <c r="X82" s="1"/>
      <c r="Y82" s="1"/>
      <c r="Z82" s="1"/>
      <c r="AA82" s="1"/>
      <c r="AB82" s="1"/>
      <c r="AC82" s="331">
        <v>75</v>
      </c>
      <c r="AD82" s="544">
        <f>+DATE(YEAR(AD81),MONTH(AD81)-1,DAY(AD81))</f>
        <v>25569.041666666668</v>
      </c>
      <c r="AE82" s="341">
        <f>IF($AM$7=$E82,1,IF(MONTH($E82)=1,AE83*(1+$F$5),AE83))</f>
      </c>
      <c r="AF82" s="334">
        <f>AE82*$B$8/12</f>
      </c>
      <c r="AG82" s="334">
        <f>AE82*$B$12/12</f>
      </c>
      <c r="AH82" s="565">
        <f>(1+$AI$5)^(AC82/12)*(AG82+IF(AD82=$AM$7,$AM$4,0))</f>
      </c>
      <c r="AI82" s="170"/>
      <c r="AJ82" s="7"/>
      <c r="AK82" s="1"/>
      <c r="AL82" s="1"/>
      <c r="AM82" s="1"/>
    </row>
    <row x14ac:dyDescent="0.25" r="83" customHeight="1" ht="18.75">
      <c r="A83" s="1"/>
      <c r="B83" s="169"/>
      <c r="C83" s="170"/>
      <c r="D83" s="331">
        <v>76</v>
      </c>
      <c r="E83" s="544">
        <f>+DATE(YEAR(E82),MONTH(E82)-1,DAY(E82))</f>
        <v>25569.041666666668</v>
      </c>
      <c r="F83" s="333">
        <f>IF($C$6=$E83,1,IF(MONTH($E83)=1,F84*(1+$F$5),F84))</f>
      </c>
      <c r="G83" s="333">
        <f>F83*$B$8/12</f>
      </c>
      <c r="H83" s="333">
        <f>IF(F83=1,F83*$B$10/MIN(12,'Simulador - 3º Pilar'!$E$88),0)</f>
      </c>
      <c r="I83" s="560">
        <f>(1+$G$5)^(D83/12)*(H83+IF(E83=$N$7,$N$4,0))</f>
      </c>
      <c r="J83" s="561">
        <f>(1+$G$5)^(D83/12)*(H83*(12-IF(MONTH(E84)=12,0,MONTH(E84)))+IF(AND(F83=1,F84=0),$Q$4,0))*IF(AND(F83=1,F84=0),1,0)</f>
      </c>
      <c r="K83" s="217">
        <f>(1+$G$5)^(D83/12)*(IF(E83=$N$7,$N$4,0)+IF(E83=$C$6,$B$10,0))</f>
      </c>
      <c r="L83" s="217">
        <f>(1+$G$5)^(D83/12)*(IF((E83)&gt;($B$6),H83,0)+IF(E83=$N$7,$N$4,0)+IF(E83=$C$6,0,0))</f>
      </c>
      <c r="M83" s="1"/>
      <c r="N83" s="7"/>
      <c r="O83" s="1"/>
      <c r="P83" s="331">
        <v>76</v>
      </c>
      <c r="Q83" s="544">
        <f>+DATE(YEAR(Q82),MONTH(Q82)-1,DAY(Q82))</f>
        <v>25569.041666666668</v>
      </c>
      <c r="R83" s="341">
        <f>IF($Z$7=$E83,1,IF(MONTH($E83)=1,R84*(1+$F$5),R84))</f>
      </c>
      <c r="S83" s="334">
        <f>R83*$B$8/12</f>
      </c>
      <c r="T83" s="334">
        <f>R83*$B$11/12</f>
      </c>
      <c r="U83" s="565">
        <f>(1+$V$5)^(P83/12)*(T83+IF(Q83=$Z$7,$Z$4,0))</f>
      </c>
      <c r="V83" s="170"/>
      <c r="W83" s="7"/>
      <c r="X83" s="1"/>
      <c r="Y83" s="1"/>
      <c r="Z83" s="1"/>
      <c r="AA83" s="1"/>
      <c r="AB83" s="1"/>
      <c r="AC83" s="331">
        <v>76</v>
      </c>
      <c r="AD83" s="544">
        <f>+DATE(YEAR(AD82),MONTH(AD82)-1,DAY(AD82))</f>
        <v>25569.041666666668</v>
      </c>
      <c r="AE83" s="341">
        <f>IF($AM$7=$E83,1,IF(MONTH($E83)=1,AE84*(1+$F$5),AE84))</f>
      </c>
      <c r="AF83" s="334">
        <f>AE83*$B$8/12</f>
      </c>
      <c r="AG83" s="334">
        <f>AE83*$B$12/12</f>
      </c>
      <c r="AH83" s="565">
        <f>(1+$AI$5)^(AC83/12)*(AG83+IF(AD83=$AM$7,$AM$4,0))</f>
      </c>
      <c r="AI83" s="170"/>
      <c r="AJ83" s="7"/>
      <c r="AK83" s="1"/>
      <c r="AL83" s="1"/>
      <c r="AM83" s="1"/>
    </row>
    <row x14ac:dyDescent="0.25" r="84" customHeight="1" ht="18.75">
      <c r="A84" s="1"/>
      <c r="B84" s="169"/>
      <c r="C84" s="170"/>
      <c r="D84" s="331">
        <v>77</v>
      </c>
      <c r="E84" s="544">
        <f>+DATE(YEAR(E83),MONTH(E83)-1,DAY(E83))</f>
        <v>25569.041666666668</v>
      </c>
      <c r="F84" s="333">
        <f>IF($C$6=$E84,1,IF(MONTH($E84)=1,F85*(1+$F$5),F85))</f>
      </c>
      <c r="G84" s="333">
        <f>F84*$B$8/12</f>
      </c>
      <c r="H84" s="333">
        <f>IF(F84=1,F84*$B$10/MIN(12,'Simulador - 3º Pilar'!$E$88),0)</f>
      </c>
      <c r="I84" s="560">
        <f>(1+$G$5)^(D84/12)*(H84+IF(E84=$N$7,$N$4,0))</f>
      </c>
      <c r="J84" s="561">
        <f>(1+$G$5)^(D84/12)*(H84*(12-IF(MONTH(E85)=12,0,MONTH(E85)))+IF(AND(F84=1,F85=0),$Q$4,0))*IF(AND(F84=1,F85=0),1,0)</f>
      </c>
      <c r="K84" s="217">
        <f>(1+$G$5)^(D84/12)*(IF(E84=$N$7,$N$4,0)+IF(E84=$C$6,$B$10,0))</f>
      </c>
      <c r="L84" s="217">
        <f>(1+$G$5)^(D84/12)*(IF((E84)&gt;($B$6),H84,0)+IF(E84=$N$7,$N$4,0)+IF(E84=$C$6,0,0))</f>
      </c>
      <c r="M84" s="1"/>
      <c r="N84" s="7"/>
      <c r="O84" s="1"/>
      <c r="P84" s="331">
        <v>77</v>
      </c>
      <c r="Q84" s="544">
        <f>+DATE(YEAR(Q83),MONTH(Q83)-1,DAY(Q83))</f>
        <v>25569.041666666668</v>
      </c>
      <c r="R84" s="341">
        <f>IF($Z$7=$E84,1,IF(MONTH($E84)=1,R85*(1+$F$5),R85))</f>
      </c>
      <c r="S84" s="334">
        <f>R84*$B$8/12</f>
      </c>
      <c r="T84" s="334">
        <f>R84*$B$11/12</f>
      </c>
      <c r="U84" s="565">
        <f>(1+$V$5)^(P84/12)*(T84+IF(Q84=$Z$7,$Z$4,0))</f>
      </c>
      <c r="V84" s="170"/>
      <c r="W84" s="7"/>
      <c r="X84" s="1"/>
      <c r="Y84" s="1"/>
      <c r="Z84" s="1"/>
      <c r="AA84" s="1"/>
      <c r="AB84" s="1"/>
      <c r="AC84" s="331">
        <v>77</v>
      </c>
      <c r="AD84" s="544">
        <f>+DATE(YEAR(AD83),MONTH(AD83)-1,DAY(AD83))</f>
        <v>25569.041666666668</v>
      </c>
      <c r="AE84" s="341">
        <f>IF($AM$7=$E84,1,IF(MONTH($E84)=1,AE85*(1+$F$5),AE85))</f>
      </c>
      <c r="AF84" s="334">
        <f>AE84*$B$8/12</f>
      </c>
      <c r="AG84" s="334">
        <f>AE84*$B$12/12</f>
      </c>
      <c r="AH84" s="565">
        <f>(1+$AI$5)^(AC84/12)*(AG84+IF(AD84=$AM$7,$AM$4,0))</f>
      </c>
      <c r="AI84" s="170"/>
      <c r="AJ84" s="7"/>
      <c r="AK84" s="1"/>
      <c r="AL84" s="1"/>
      <c r="AM84" s="1"/>
    </row>
    <row x14ac:dyDescent="0.25" r="85" customHeight="1" ht="18.75">
      <c r="A85" s="1"/>
      <c r="B85" s="169"/>
      <c r="C85" s="170"/>
      <c r="D85" s="331">
        <v>78</v>
      </c>
      <c r="E85" s="544">
        <f>+DATE(YEAR(E84),MONTH(E84)-1,DAY(E84))</f>
        <v>25569.041666666668</v>
      </c>
      <c r="F85" s="333">
        <f>IF($C$6=$E85,1,IF(MONTH($E85)=1,F86*(1+$F$5),F86))</f>
      </c>
      <c r="G85" s="333">
        <f>F85*$B$8/12</f>
      </c>
      <c r="H85" s="333">
        <f>IF(F85=1,F85*$B$10/MIN(12,'Simulador - 3º Pilar'!$E$88),0)</f>
      </c>
      <c r="I85" s="560">
        <f>(1+$G$5)^(D85/12)*(H85+IF(E85=$N$7,$N$4,0))</f>
      </c>
      <c r="J85" s="561">
        <f>(1+$G$5)^(D85/12)*(H85*(12-IF(MONTH(E86)=12,0,MONTH(E86)))+IF(AND(F85=1,F86=0),$Q$4,0))*IF(AND(F85=1,F86=0),1,0)</f>
      </c>
      <c r="K85" s="217">
        <f>(1+$G$5)^(D85/12)*(IF(E85=$N$7,$N$4,0)+IF(E85=$C$6,$B$10,0))</f>
      </c>
      <c r="L85" s="217">
        <f>(1+$G$5)^(D85/12)*(IF((E85)&gt;($B$6),H85,0)+IF(E85=$N$7,$N$4,0)+IF(E85=$C$6,0,0))</f>
      </c>
      <c r="M85" s="1"/>
      <c r="N85" s="7"/>
      <c r="O85" s="1"/>
      <c r="P85" s="331">
        <v>78</v>
      </c>
      <c r="Q85" s="544">
        <f>+DATE(YEAR(Q84),MONTH(Q84)-1,DAY(Q84))</f>
        <v>25569.041666666668</v>
      </c>
      <c r="R85" s="341">
        <f>IF($Z$7=$E85,1,IF(MONTH($E85)=1,R86*(1+$F$5),R86))</f>
      </c>
      <c r="S85" s="334">
        <f>R85*$B$8/12</f>
      </c>
      <c r="T85" s="334">
        <f>R85*$B$11/12</f>
      </c>
      <c r="U85" s="565">
        <f>(1+$V$5)^(P85/12)*(T85+IF(Q85=$Z$7,$Z$4,0))</f>
      </c>
      <c r="V85" s="170"/>
      <c r="W85" s="7"/>
      <c r="X85" s="1"/>
      <c r="Y85" s="1"/>
      <c r="Z85" s="1"/>
      <c r="AA85" s="1"/>
      <c r="AB85" s="1"/>
      <c r="AC85" s="331">
        <v>78</v>
      </c>
      <c r="AD85" s="544">
        <f>+DATE(YEAR(AD84),MONTH(AD84)-1,DAY(AD84))</f>
        <v>25569.041666666668</v>
      </c>
      <c r="AE85" s="341">
        <f>IF($AM$7=$E85,1,IF(MONTH($E85)=1,AE86*(1+$F$5),AE86))</f>
      </c>
      <c r="AF85" s="334">
        <f>AE85*$B$8/12</f>
      </c>
      <c r="AG85" s="334">
        <f>AE85*$B$12/12</f>
      </c>
      <c r="AH85" s="565">
        <f>(1+$AI$5)^(AC85/12)*(AG85+IF(AD85=$AM$7,$AM$4,0))</f>
      </c>
      <c r="AI85" s="170"/>
      <c r="AJ85" s="7"/>
      <c r="AK85" s="1"/>
      <c r="AL85" s="1"/>
      <c r="AM85" s="1"/>
    </row>
    <row x14ac:dyDescent="0.25" r="86" customHeight="1" ht="18.75">
      <c r="A86" s="1"/>
      <c r="B86" s="169"/>
      <c r="C86" s="170"/>
      <c r="D86" s="331">
        <v>79</v>
      </c>
      <c r="E86" s="544">
        <f>+DATE(YEAR(E85),MONTH(E85)-1,DAY(E85))</f>
        <v>25569.041666666668</v>
      </c>
      <c r="F86" s="333">
        <f>IF($C$6=$E86,1,IF(MONTH($E86)=1,F87*(1+$F$5),F87))</f>
      </c>
      <c r="G86" s="333">
        <f>F86*$B$8/12</f>
      </c>
      <c r="H86" s="333">
        <f>IF(F86=1,F86*$B$10/MIN(12,'Simulador - 3º Pilar'!$E$88),0)</f>
      </c>
      <c r="I86" s="560">
        <f>(1+$G$5)^(D86/12)*(H86+IF(E86=$N$7,$N$4,0))</f>
      </c>
      <c r="J86" s="561">
        <f>(1+$G$5)^(D86/12)*(H86*(12-IF(MONTH(E87)=12,0,MONTH(E87)))+IF(AND(F86=1,F87=0),$Q$4,0))*IF(AND(F86=1,F87=0),1,0)</f>
      </c>
      <c r="K86" s="217">
        <f>(1+$G$5)^(D86/12)*(IF(E86=$N$7,$N$4,0)+IF(E86=$C$6,$B$10,0))</f>
      </c>
      <c r="L86" s="217">
        <f>(1+$G$5)^(D86/12)*(IF((E86)&gt;($B$6),H86,0)+IF(E86=$N$7,$N$4,0)+IF(E86=$C$6,0,0))</f>
      </c>
      <c r="M86" s="1"/>
      <c r="N86" s="7"/>
      <c r="O86" s="1"/>
      <c r="P86" s="331">
        <v>79</v>
      </c>
      <c r="Q86" s="544">
        <f>+DATE(YEAR(Q85),MONTH(Q85)-1,DAY(Q85))</f>
        <v>25569.041666666668</v>
      </c>
      <c r="R86" s="341">
        <f>IF($Z$7=$E86,1,IF(MONTH($E86)=1,R87*(1+$F$5),R87))</f>
      </c>
      <c r="S86" s="334">
        <f>R86*$B$8/12</f>
      </c>
      <c r="T86" s="334">
        <f>R86*$B$11/12</f>
      </c>
      <c r="U86" s="565">
        <f>(1+$V$5)^(P86/12)*(T86+IF(Q86=$Z$7,$Z$4,0))</f>
      </c>
      <c r="V86" s="170"/>
      <c r="W86" s="7"/>
      <c r="X86" s="1"/>
      <c r="Y86" s="1"/>
      <c r="Z86" s="1"/>
      <c r="AA86" s="1"/>
      <c r="AB86" s="1"/>
      <c r="AC86" s="331">
        <v>79</v>
      </c>
      <c r="AD86" s="544">
        <f>+DATE(YEAR(AD85),MONTH(AD85)-1,DAY(AD85))</f>
        <v>25569.041666666668</v>
      </c>
      <c r="AE86" s="341">
        <f>IF($AM$7=$E86,1,IF(MONTH($E86)=1,AE87*(1+$F$5),AE87))</f>
      </c>
      <c r="AF86" s="334">
        <f>AE86*$B$8/12</f>
      </c>
      <c r="AG86" s="334">
        <f>AE86*$B$12/12</f>
      </c>
      <c r="AH86" s="565">
        <f>(1+$AI$5)^(AC86/12)*(AG86+IF(AD86=$AM$7,$AM$4,0))</f>
      </c>
      <c r="AI86" s="170"/>
      <c r="AJ86" s="7"/>
      <c r="AK86" s="1"/>
      <c r="AL86" s="1"/>
      <c r="AM86" s="1"/>
    </row>
    <row x14ac:dyDescent="0.25" r="87" customHeight="1" ht="18.75">
      <c r="A87" s="1"/>
      <c r="B87" s="169"/>
      <c r="C87" s="170"/>
      <c r="D87" s="331">
        <v>80</v>
      </c>
      <c r="E87" s="544">
        <f>+DATE(YEAR(E86),MONTH(E86)-1,DAY(E86))</f>
        <v>25569.041666666668</v>
      </c>
      <c r="F87" s="333">
        <f>IF($C$6=$E87,1,IF(MONTH($E87)=1,F88*(1+$F$5),F88))</f>
      </c>
      <c r="G87" s="333">
        <f>F87*$B$8/12</f>
      </c>
      <c r="H87" s="333">
        <f>IF(F87=1,F87*$B$10/MIN(12,'Simulador - 3º Pilar'!$E$88),0)</f>
      </c>
      <c r="I87" s="560">
        <f>(1+$G$5)^(D87/12)*(H87+IF(E87=$N$7,$N$4,0))</f>
      </c>
      <c r="J87" s="561">
        <f>(1+$G$5)^(D87/12)*(H87*(12-IF(MONTH(E88)=12,0,MONTH(E88)))+IF(AND(F87=1,F88=0),$Q$4,0))*IF(AND(F87=1,F88=0),1,0)</f>
      </c>
      <c r="K87" s="217">
        <f>(1+$G$5)^(D87/12)*(IF(E87=$N$7,$N$4,0)+IF(E87=$C$6,$B$10,0))</f>
      </c>
      <c r="L87" s="217">
        <f>(1+$G$5)^(D87/12)*(IF((E87)&gt;($B$6),H87,0)+IF(E87=$N$7,$N$4,0)+IF(E87=$C$6,0,0))</f>
      </c>
      <c r="M87" s="1"/>
      <c r="N87" s="7"/>
      <c r="O87" s="1"/>
      <c r="P87" s="331">
        <v>80</v>
      </c>
      <c r="Q87" s="544">
        <f>+DATE(YEAR(Q86),MONTH(Q86)-1,DAY(Q86))</f>
        <v>25569.041666666668</v>
      </c>
      <c r="R87" s="341">
        <f>IF($Z$7=$E87,1,IF(MONTH($E87)=1,R88*(1+$F$5),R88))</f>
      </c>
      <c r="S87" s="334">
        <f>R87*$B$8/12</f>
      </c>
      <c r="T87" s="334">
        <f>R87*$B$11/12</f>
      </c>
      <c r="U87" s="565">
        <f>(1+$V$5)^(P87/12)*(T87+IF(Q87=$Z$7,$Z$4,0))</f>
      </c>
      <c r="V87" s="170"/>
      <c r="W87" s="7"/>
      <c r="X87" s="1"/>
      <c r="Y87" s="1"/>
      <c r="Z87" s="1"/>
      <c r="AA87" s="1"/>
      <c r="AB87" s="1"/>
      <c r="AC87" s="331">
        <v>80</v>
      </c>
      <c r="AD87" s="544">
        <f>+DATE(YEAR(AD86),MONTH(AD86)-1,DAY(AD86))</f>
        <v>25569.041666666668</v>
      </c>
      <c r="AE87" s="341">
        <f>IF($AM$7=$E87,1,IF(MONTH($E87)=1,AE88*(1+$F$5),AE88))</f>
      </c>
      <c r="AF87" s="334">
        <f>AE87*$B$8/12</f>
      </c>
      <c r="AG87" s="334">
        <f>AE87*$B$12/12</f>
      </c>
      <c r="AH87" s="565">
        <f>(1+$AI$5)^(AC87/12)*(AG87+IF(AD87=$AM$7,$AM$4,0))</f>
      </c>
      <c r="AI87" s="170"/>
      <c r="AJ87" s="7"/>
      <c r="AK87" s="1"/>
      <c r="AL87" s="1"/>
      <c r="AM87" s="1"/>
    </row>
    <row x14ac:dyDescent="0.25" r="88" customHeight="1" ht="18.75">
      <c r="A88" s="1"/>
      <c r="B88" s="169"/>
      <c r="C88" s="170"/>
      <c r="D88" s="331">
        <v>81</v>
      </c>
      <c r="E88" s="544">
        <f>+DATE(YEAR(E87),MONTH(E87)-1,DAY(E87))</f>
        <v>25569.041666666668</v>
      </c>
      <c r="F88" s="333">
        <f>IF($C$6=$E88,1,IF(MONTH($E88)=1,F89*(1+$F$5),F89))</f>
      </c>
      <c r="G88" s="333">
        <f>F88*$B$8/12</f>
      </c>
      <c r="H88" s="333">
        <f>IF(F88=1,F88*$B$10/MIN(12,'Simulador - 3º Pilar'!$E$88),0)</f>
      </c>
      <c r="I88" s="560">
        <f>(1+$G$5)^(D88/12)*(H88+IF(E88=$N$7,$N$4,0))</f>
      </c>
      <c r="J88" s="561">
        <f>(1+$G$5)^(D88/12)*(H88*(12-IF(MONTH(E89)=12,0,MONTH(E89)))+IF(AND(F88=1,F89=0),$Q$4,0))*IF(AND(F88=1,F89=0),1,0)</f>
      </c>
      <c r="K88" s="217">
        <f>(1+$G$5)^(D88/12)*(IF(E88=$N$7,$N$4,0)+IF(E88=$C$6,$B$10,0))</f>
      </c>
      <c r="L88" s="217">
        <f>(1+$G$5)^(D88/12)*(IF((E88)&gt;($B$6),H88,0)+IF(E88=$N$7,$N$4,0)+IF(E88=$C$6,0,0))</f>
      </c>
      <c r="M88" s="1"/>
      <c r="N88" s="7"/>
      <c r="O88" s="1"/>
      <c r="P88" s="331">
        <v>81</v>
      </c>
      <c r="Q88" s="544">
        <f>+DATE(YEAR(Q87),MONTH(Q87)-1,DAY(Q87))</f>
        <v>25569.041666666668</v>
      </c>
      <c r="R88" s="341">
        <f>IF($Z$7=$E88,1,IF(MONTH($E88)=1,R89*(1+$F$5),R89))</f>
      </c>
      <c r="S88" s="334">
        <f>R88*$B$8/12</f>
      </c>
      <c r="T88" s="334">
        <f>R88*$B$11/12</f>
      </c>
      <c r="U88" s="565">
        <f>(1+$V$5)^(P88/12)*(T88+IF(Q88=$Z$7,$Z$4,0))</f>
      </c>
      <c r="V88" s="170"/>
      <c r="W88" s="7"/>
      <c r="X88" s="1"/>
      <c r="Y88" s="1"/>
      <c r="Z88" s="1"/>
      <c r="AA88" s="1"/>
      <c r="AB88" s="1"/>
      <c r="AC88" s="331">
        <v>81</v>
      </c>
      <c r="AD88" s="544">
        <f>+DATE(YEAR(AD87),MONTH(AD87)-1,DAY(AD87))</f>
        <v>25569.041666666668</v>
      </c>
      <c r="AE88" s="341">
        <f>IF($AM$7=$E88,1,IF(MONTH($E88)=1,AE89*(1+$F$5),AE89))</f>
      </c>
      <c r="AF88" s="334">
        <f>AE88*$B$8/12</f>
      </c>
      <c r="AG88" s="334">
        <f>AE88*$B$12/12</f>
      </c>
      <c r="AH88" s="565">
        <f>(1+$AI$5)^(AC88/12)*(AG88+IF(AD88=$AM$7,$AM$4,0))</f>
      </c>
      <c r="AI88" s="170"/>
      <c r="AJ88" s="7"/>
      <c r="AK88" s="1"/>
      <c r="AL88" s="1"/>
      <c r="AM88" s="1"/>
    </row>
    <row x14ac:dyDescent="0.25" r="89" customHeight="1" ht="18.75">
      <c r="A89" s="1"/>
      <c r="B89" s="169"/>
      <c r="C89" s="170"/>
      <c r="D89" s="331">
        <v>82</v>
      </c>
      <c r="E89" s="544">
        <f>+DATE(YEAR(E88),MONTH(E88)-1,DAY(E88))</f>
        <v>25569.041666666668</v>
      </c>
      <c r="F89" s="333">
        <f>IF($C$6=$E89,1,IF(MONTH($E89)=1,F90*(1+$F$5),F90))</f>
      </c>
      <c r="G89" s="333">
        <f>F89*$B$8/12</f>
      </c>
      <c r="H89" s="333">
        <f>IF(F89=1,F89*$B$10/MIN(12,'Simulador - 3º Pilar'!$E$88),0)</f>
      </c>
      <c r="I89" s="560">
        <f>(1+$G$5)^(D89/12)*(H89+IF(E89=$N$7,$N$4,0))</f>
      </c>
      <c r="J89" s="561">
        <f>(1+$G$5)^(D89/12)*(H89*(12-IF(MONTH(E90)=12,0,MONTH(E90)))+IF(AND(F89=1,F90=0),$Q$4,0))*IF(AND(F89=1,F90=0),1,0)</f>
      </c>
      <c r="K89" s="217">
        <f>(1+$G$5)^(D89/12)*(IF(E89=$N$7,$N$4,0)+IF(E89=$C$6,$B$10,0))</f>
      </c>
      <c r="L89" s="217">
        <f>(1+$G$5)^(D89/12)*(IF((E89)&gt;($B$6),H89,0)+IF(E89=$N$7,$N$4,0)+IF(E89=$C$6,0,0))</f>
      </c>
      <c r="M89" s="1"/>
      <c r="N89" s="7"/>
      <c r="O89" s="1"/>
      <c r="P89" s="331">
        <v>82</v>
      </c>
      <c r="Q89" s="544">
        <f>+DATE(YEAR(Q88),MONTH(Q88)-1,DAY(Q88))</f>
        <v>25569.041666666668</v>
      </c>
      <c r="R89" s="341">
        <f>IF($Z$7=$E89,1,IF(MONTH($E89)=1,R90*(1+$F$5),R90))</f>
      </c>
      <c r="S89" s="334">
        <f>R89*$B$8/12</f>
      </c>
      <c r="T89" s="334">
        <f>R89*$B$11/12</f>
      </c>
      <c r="U89" s="565">
        <f>(1+$V$5)^(P89/12)*(T89+IF(Q89=$Z$7,$Z$4,0))</f>
      </c>
      <c r="V89" s="170"/>
      <c r="W89" s="7"/>
      <c r="X89" s="1"/>
      <c r="Y89" s="1"/>
      <c r="Z89" s="1"/>
      <c r="AA89" s="1"/>
      <c r="AB89" s="1"/>
      <c r="AC89" s="331">
        <v>82</v>
      </c>
      <c r="AD89" s="544">
        <f>+DATE(YEAR(AD88),MONTH(AD88)-1,DAY(AD88))</f>
        <v>25569.041666666668</v>
      </c>
      <c r="AE89" s="341">
        <f>IF($AM$7=$E89,1,IF(MONTH($E89)=1,AE90*(1+$F$5),AE90))</f>
      </c>
      <c r="AF89" s="334">
        <f>AE89*$B$8/12</f>
      </c>
      <c r="AG89" s="334">
        <f>AE89*$B$12/12</f>
      </c>
      <c r="AH89" s="565">
        <f>(1+$AI$5)^(AC89/12)*(AG89+IF(AD89=$AM$7,$AM$4,0))</f>
      </c>
      <c r="AI89" s="170"/>
      <c r="AJ89" s="7"/>
      <c r="AK89" s="1"/>
      <c r="AL89" s="1"/>
      <c r="AM89" s="1"/>
    </row>
    <row x14ac:dyDescent="0.25" r="90" customHeight="1" ht="18.75">
      <c r="A90" s="1"/>
      <c r="B90" s="169"/>
      <c r="C90" s="170"/>
      <c r="D90" s="331">
        <v>83</v>
      </c>
      <c r="E90" s="544">
        <f>+DATE(YEAR(E89),MONTH(E89)-1,DAY(E89))</f>
        <v>25569.041666666668</v>
      </c>
      <c r="F90" s="333">
        <f>IF($C$6=$E90,1,IF(MONTH($E90)=1,F91*(1+$F$5),F91))</f>
      </c>
      <c r="G90" s="333">
        <f>F90*$B$8/12</f>
      </c>
      <c r="H90" s="333">
        <f>IF(F90=1,F90*$B$10/MIN(12,'Simulador - 3º Pilar'!$E$88),0)</f>
      </c>
      <c r="I90" s="560">
        <f>(1+$G$5)^(D90/12)*(H90+IF(E90=$N$7,$N$4,0))</f>
      </c>
      <c r="J90" s="561">
        <f>(1+$G$5)^(D90/12)*(H90*(12-IF(MONTH(E91)=12,0,MONTH(E91)))+IF(AND(F90=1,F91=0),$Q$4,0))*IF(AND(F90=1,F91=0),1,0)</f>
      </c>
      <c r="K90" s="217">
        <f>(1+$G$5)^(D90/12)*(IF(E90=$N$7,$N$4,0)+IF(E90=$C$6,$B$10,0))</f>
      </c>
      <c r="L90" s="217">
        <f>(1+$G$5)^(D90/12)*(IF((E90)&gt;($B$6),H90,0)+IF(E90=$N$7,$N$4,0)+IF(E90=$C$6,0,0))</f>
      </c>
      <c r="M90" s="1"/>
      <c r="N90" s="7"/>
      <c r="O90" s="1"/>
      <c r="P90" s="331">
        <v>83</v>
      </c>
      <c r="Q90" s="544">
        <f>+DATE(YEAR(Q89),MONTH(Q89)-1,DAY(Q89))</f>
        <v>25569.041666666668</v>
      </c>
      <c r="R90" s="341">
        <f>IF($Z$7=$E90,1,IF(MONTH($E90)=1,R91*(1+$F$5),R91))</f>
      </c>
      <c r="S90" s="334">
        <f>R90*$B$8/12</f>
      </c>
      <c r="T90" s="334">
        <f>R90*$B$11/12</f>
      </c>
      <c r="U90" s="565">
        <f>(1+$V$5)^(P90/12)*(T90+IF(Q90=$Z$7,$Z$4,0))</f>
      </c>
      <c r="V90" s="170"/>
      <c r="W90" s="7"/>
      <c r="X90" s="1"/>
      <c r="Y90" s="1"/>
      <c r="Z90" s="1"/>
      <c r="AA90" s="1"/>
      <c r="AB90" s="1"/>
      <c r="AC90" s="331">
        <v>83</v>
      </c>
      <c r="AD90" s="544">
        <f>+DATE(YEAR(AD89),MONTH(AD89)-1,DAY(AD89))</f>
        <v>25569.041666666668</v>
      </c>
      <c r="AE90" s="341">
        <f>IF($AM$7=$E90,1,IF(MONTH($E90)=1,AE91*(1+$F$5),AE91))</f>
      </c>
      <c r="AF90" s="334">
        <f>AE90*$B$8/12</f>
      </c>
      <c r="AG90" s="334">
        <f>AE90*$B$12/12</f>
      </c>
      <c r="AH90" s="565">
        <f>(1+$AI$5)^(AC90/12)*(AG90+IF(AD90=$AM$7,$AM$4,0))</f>
      </c>
      <c r="AI90" s="170"/>
      <c r="AJ90" s="7"/>
      <c r="AK90" s="1"/>
      <c r="AL90" s="1"/>
      <c r="AM90" s="1"/>
    </row>
    <row x14ac:dyDescent="0.25" r="91" customHeight="1" ht="18.75">
      <c r="A91" s="1"/>
      <c r="B91" s="169"/>
      <c r="C91" s="170"/>
      <c r="D91" s="331">
        <v>84</v>
      </c>
      <c r="E91" s="544">
        <f>+DATE(YEAR(E90),MONTH(E90)-1,DAY(E90))</f>
        <v>25569.041666666668</v>
      </c>
      <c r="F91" s="333">
        <f>IF($C$6=$E91,1,IF(MONTH($E91)=1,F92*(1+$F$5),F92))</f>
      </c>
      <c r="G91" s="333">
        <f>F91*$B$8/12</f>
      </c>
      <c r="H91" s="333">
        <f>IF(F91=1,F91*$B$10/MIN(12,'Simulador - 3º Pilar'!$E$88),0)</f>
      </c>
      <c r="I91" s="560">
        <f>(1+$G$5)^(D91/12)*(H91+IF(E91=$N$7,$N$4,0))</f>
      </c>
      <c r="J91" s="561">
        <f>(1+$G$5)^(D91/12)*(H91*(12-IF(MONTH(E92)=12,0,MONTH(E92)))+IF(AND(F91=1,F92=0),$Q$4,0))*IF(AND(F91=1,F92=0),1,0)</f>
      </c>
      <c r="K91" s="217">
        <f>(1+$G$5)^(D91/12)*(IF(E91=$N$7,$N$4,0)+IF(E91=$C$6,$B$10,0))</f>
      </c>
      <c r="L91" s="217">
        <f>(1+$G$5)^(D91/12)*(IF((E91)&gt;($B$6),H91,0)+IF(E91=$N$7,$N$4,0)+IF(E91=$C$6,0,0))</f>
      </c>
      <c r="M91" s="1"/>
      <c r="N91" s="7"/>
      <c r="O91" s="1"/>
      <c r="P91" s="331">
        <v>84</v>
      </c>
      <c r="Q91" s="544">
        <f>+DATE(YEAR(Q90),MONTH(Q90)-1,DAY(Q90))</f>
        <v>25569.041666666668</v>
      </c>
      <c r="R91" s="341">
        <f>IF($Z$7=$E91,1,IF(MONTH($E91)=1,R92*(1+$F$5),R92))</f>
      </c>
      <c r="S91" s="334">
        <f>R91*$B$8/12</f>
      </c>
      <c r="T91" s="334">
        <f>R91*$B$11/12</f>
      </c>
      <c r="U91" s="565">
        <f>(1+$V$5)^(P91/12)*(T91+IF(Q91=$Z$7,$Z$4,0))</f>
      </c>
      <c r="V91" s="170"/>
      <c r="W91" s="7"/>
      <c r="X91" s="1"/>
      <c r="Y91" s="1"/>
      <c r="Z91" s="1"/>
      <c r="AA91" s="1"/>
      <c r="AB91" s="1"/>
      <c r="AC91" s="331">
        <v>84</v>
      </c>
      <c r="AD91" s="544">
        <f>+DATE(YEAR(AD90),MONTH(AD90)-1,DAY(AD90))</f>
        <v>25569.041666666668</v>
      </c>
      <c r="AE91" s="341">
        <f>IF($AM$7=$E91,1,IF(MONTH($E91)=1,AE92*(1+$F$5),AE92))</f>
      </c>
      <c r="AF91" s="334">
        <f>AE91*$B$8/12</f>
      </c>
      <c r="AG91" s="334">
        <f>AE91*$B$12/12</f>
      </c>
      <c r="AH91" s="565">
        <f>(1+$AI$5)^(AC91/12)*(AG91+IF(AD91=$AM$7,$AM$4,0))</f>
      </c>
      <c r="AI91" s="170"/>
      <c r="AJ91" s="7"/>
      <c r="AK91" s="1"/>
      <c r="AL91" s="1"/>
      <c r="AM91" s="1"/>
    </row>
    <row x14ac:dyDescent="0.25" r="92" customHeight="1" ht="18.75">
      <c r="A92" s="1"/>
      <c r="B92" s="169"/>
      <c r="C92" s="170"/>
      <c r="D92" s="331">
        <v>85</v>
      </c>
      <c r="E92" s="544">
        <f>+DATE(YEAR(E91),MONTH(E91)-1,DAY(E91))</f>
        <v>25569.041666666668</v>
      </c>
      <c r="F92" s="333">
        <f>IF($C$6=$E92,1,IF(MONTH($E92)=1,F93*(1+$F$5),F93))</f>
      </c>
      <c r="G92" s="333">
        <f>F92*$B$8/12</f>
      </c>
      <c r="H92" s="333">
        <f>IF(F92=1,F92*$B$10/MIN(12,'Simulador - 3º Pilar'!$E$88),0)</f>
      </c>
      <c r="I92" s="560">
        <f>(1+$G$5)^(D92/12)*(H92+IF(E92=$N$7,$N$4,0))</f>
      </c>
      <c r="J92" s="561">
        <f>(1+$G$5)^(D92/12)*(H92*(12-IF(MONTH(E93)=12,0,MONTH(E93)))+IF(AND(F92=1,F93=0),$Q$4,0))*IF(AND(F92=1,F93=0),1,0)</f>
      </c>
      <c r="K92" s="217">
        <f>(1+$G$5)^(D92/12)*(IF(E92=$N$7,$N$4,0)+IF(E92=$C$6,$B$10,0))</f>
      </c>
      <c r="L92" s="217">
        <f>(1+$G$5)^(D92/12)*(IF((E92)&gt;($B$6),H92,0)+IF(E92=$N$7,$N$4,0)+IF(E92=$C$6,0,0))</f>
      </c>
      <c r="M92" s="1"/>
      <c r="N92" s="7"/>
      <c r="O92" s="1"/>
      <c r="P92" s="331">
        <v>85</v>
      </c>
      <c r="Q92" s="544">
        <f>+DATE(YEAR(Q91),MONTH(Q91)-1,DAY(Q91))</f>
        <v>25569.041666666668</v>
      </c>
      <c r="R92" s="341">
        <f>IF($Z$7=$E92,1,IF(MONTH($E92)=1,R93*(1+$F$5),R93))</f>
      </c>
      <c r="S92" s="334">
        <f>R92*$B$8/12</f>
      </c>
      <c r="T92" s="334">
        <f>R92*$B$11/12</f>
      </c>
      <c r="U92" s="565">
        <f>(1+$V$5)^(P92/12)*(T92+IF(Q92=$Z$7,$Z$4,0))</f>
      </c>
      <c r="V92" s="170"/>
      <c r="W92" s="7"/>
      <c r="X92" s="1"/>
      <c r="Y92" s="1"/>
      <c r="Z92" s="1"/>
      <c r="AA92" s="1"/>
      <c r="AB92" s="1"/>
      <c r="AC92" s="331">
        <v>85</v>
      </c>
      <c r="AD92" s="544">
        <f>+DATE(YEAR(AD91),MONTH(AD91)-1,DAY(AD91))</f>
        <v>25569.041666666668</v>
      </c>
      <c r="AE92" s="341">
        <f>IF($AM$7=$E92,1,IF(MONTH($E92)=1,AE93*(1+$F$5),AE93))</f>
      </c>
      <c r="AF92" s="334">
        <f>AE92*$B$8/12</f>
      </c>
      <c r="AG92" s="334">
        <f>AE92*$B$12/12</f>
      </c>
      <c r="AH92" s="565">
        <f>(1+$AI$5)^(AC92/12)*(AG92+IF(AD92=$AM$7,$AM$4,0))</f>
      </c>
      <c r="AI92" s="170"/>
      <c r="AJ92" s="7"/>
      <c r="AK92" s="1"/>
      <c r="AL92" s="1"/>
      <c r="AM92" s="1"/>
    </row>
    <row x14ac:dyDescent="0.25" r="93" customHeight="1" ht="18.75">
      <c r="A93" s="1"/>
      <c r="B93" s="169"/>
      <c r="C93" s="170"/>
      <c r="D93" s="331">
        <v>86</v>
      </c>
      <c r="E93" s="544">
        <f>+DATE(YEAR(E92),MONTH(E92)-1,DAY(E92))</f>
        <v>25569.041666666668</v>
      </c>
      <c r="F93" s="333">
        <f>IF($C$6=$E93,1,IF(MONTH($E93)=1,F94*(1+$F$5),F94))</f>
      </c>
      <c r="G93" s="333">
        <f>F93*$B$8/12</f>
      </c>
      <c r="H93" s="333">
        <f>IF(F93=1,F93*$B$10/MIN(12,'Simulador - 3º Pilar'!$E$88),0)</f>
      </c>
      <c r="I93" s="560">
        <f>(1+$G$5)^(D93/12)*(H93+IF(E93=$N$7,$N$4,0))</f>
      </c>
      <c r="J93" s="561">
        <f>(1+$G$5)^(D93/12)*(H93*(12-IF(MONTH(E94)=12,0,MONTH(E94)))+IF(AND(F93=1,F94=0),$Q$4,0))*IF(AND(F93=1,F94=0),1,0)</f>
      </c>
      <c r="K93" s="217">
        <f>(1+$G$5)^(D93/12)*(IF(E93=$N$7,$N$4,0)+IF(E93=$C$6,$B$10,0))</f>
      </c>
      <c r="L93" s="217">
        <f>(1+$G$5)^(D93/12)*(IF((E93)&gt;($B$6),H93,0)+IF(E93=$N$7,$N$4,0)+IF(E93=$C$6,0,0))</f>
      </c>
      <c r="M93" s="1"/>
      <c r="N93" s="7"/>
      <c r="O93" s="1"/>
      <c r="P93" s="331">
        <v>86</v>
      </c>
      <c r="Q93" s="544">
        <f>+DATE(YEAR(Q92),MONTH(Q92)-1,DAY(Q92))</f>
        <v>25569.041666666668</v>
      </c>
      <c r="R93" s="341">
        <f>IF($Z$7=$E93,1,IF(MONTH($E93)=1,R94*(1+$F$5),R94))</f>
      </c>
      <c r="S93" s="334">
        <f>R93*$B$8/12</f>
      </c>
      <c r="T93" s="334">
        <f>R93*$B$11/12</f>
      </c>
      <c r="U93" s="565">
        <f>(1+$V$5)^(P93/12)*(T93+IF(Q93=$Z$7,$Z$4,0))</f>
      </c>
      <c r="V93" s="170"/>
      <c r="W93" s="7"/>
      <c r="X93" s="1"/>
      <c r="Y93" s="1"/>
      <c r="Z93" s="1"/>
      <c r="AA93" s="1"/>
      <c r="AB93" s="1"/>
      <c r="AC93" s="331">
        <v>86</v>
      </c>
      <c r="AD93" s="544">
        <f>+DATE(YEAR(AD92),MONTH(AD92)-1,DAY(AD92))</f>
        <v>25569.041666666668</v>
      </c>
      <c r="AE93" s="341">
        <f>IF($AM$7=$E93,1,IF(MONTH($E93)=1,AE94*(1+$F$5),AE94))</f>
      </c>
      <c r="AF93" s="334">
        <f>AE93*$B$8/12</f>
      </c>
      <c r="AG93" s="334">
        <f>AE93*$B$12/12</f>
      </c>
      <c r="AH93" s="565">
        <f>(1+$AI$5)^(AC93/12)*(AG93+IF(AD93=$AM$7,$AM$4,0))</f>
      </c>
      <c r="AI93" s="170"/>
      <c r="AJ93" s="7"/>
      <c r="AK93" s="1"/>
      <c r="AL93" s="1"/>
      <c r="AM93" s="1"/>
    </row>
    <row x14ac:dyDescent="0.25" r="94" customHeight="1" ht="18.75">
      <c r="A94" s="1"/>
      <c r="B94" s="169"/>
      <c r="C94" s="170"/>
      <c r="D94" s="331">
        <v>87</v>
      </c>
      <c r="E94" s="544">
        <f>+DATE(YEAR(E93),MONTH(E93)-1,DAY(E93))</f>
        <v>25569.041666666668</v>
      </c>
      <c r="F94" s="333">
        <f>IF($C$6=$E94,1,IF(MONTH($E94)=1,F95*(1+$F$5),F95))</f>
      </c>
      <c r="G94" s="333">
        <f>F94*$B$8/12</f>
      </c>
      <c r="H94" s="333">
        <f>IF(F94=1,F94*$B$10/MIN(12,'Simulador - 3º Pilar'!$E$88),0)</f>
      </c>
      <c r="I94" s="560">
        <f>(1+$G$5)^(D94/12)*(H94+IF(E94=$N$7,$N$4,0))</f>
      </c>
      <c r="J94" s="561">
        <f>(1+$G$5)^(D94/12)*(H94*(12-IF(MONTH(E95)=12,0,MONTH(E95)))+IF(AND(F94=1,F95=0),$Q$4,0))*IF(AND(F94=1,F95=0),1,0)</f>
      </c>
      <c r="K94" s="217">
        <f>(1+$G$5)^(D94/12)*(IF(E94=$N$7,$N$4,0)+IF(E94=$C$6,$B$10,0))</f>
      </c>
      <c r="L94" s="217">
        <f>(1+$G$5)^(D94/12)*(IF((E94)&gt;($B$6),H94,0)+IF(E94=$N$7,$N$4,0)+IF(E94=$C$6,0,0))</f>
      </c>
      <c r="M94" s="1"/>
      <c r="N94" s="7"/>
      <c r="O94" s="1"/>
      <c r="P94" s="331">
        <v>87</v>
      </c>
      <c r="Q94" s="544">
        <f>+DATE(YEAR(Q93),MONTH(Q93)-1,DAY(Q93))</f>
        <v>25569.041666666668</v>
      </c>
      <c r="R94" s="341">
        <f>IF($Z$7=$E94,1,IF(MONTH($E94)=1,R95*(1+$F$5),R95))</f>
      </c>
      <c r="S94" s="334">
        <f>R94*$B$8/12</f>
      </c>
      <c r="T94" s="334">
        <f>R94*$B$11/12</f>
      </c>
      <c r="U94" s="565">
        <f>(1+$V$5)^(P94/12)*(T94+IF(Q94=$Z$7,$Z$4,0))</f>
      </c>
      <c r="V94" s="170"/>
      <c r="W94" s="7"/>
      <c r="X94" s="1"/>
      <c r="Y94" s="1"/>
      <c r="Z94" s="1"/>
      <c r="AA94" s="1"/>
      <c r="AB94" s="1"/>
      <c r="AC94" s="331">
        <v>87</v>
      </c>
      <c r="AD94" s="544">
        <f>+DATE(YEAR(AD93),MONTH(AD93)-1,DAY(AD93))</f>
        <v>25569.041666666668</v>
      </c>
      <c r="AE94" s="341">
        <f>IF($AM$7=$E94,1,IF(MONTH($E94)=1,AE95*(1+$F$5),AE95))</f>
      </c>
      <c r="AF94" s="334">
        <f>AE94*$B$8/12</f>
      </c>
      <c r="AG94" s="334">
        <f>AE94*$B$12/12</f>
      </c>
      <c r="AH94" s="565">
        <f>(1+$AI$5)^(AC94/12)*(AG94+IF(AD94=$AM$7,$AM$4,0))</f>
      </c>
      <c r="AI94" s="170"/>
      <c r="AJ94" s="7"/>
      <c r="AK94" s="1"/>
      <c r="AL94" s="1"/>
      <c r="AM94" s="1"/>
    </row>
    <row x14ac:dyDescent="0.25" r="95" customHeight="1" ht="18.75">
      <c r="A95" s="1"/>
      <c r="B95" s="169"/>
      <c r="C95" s="170"/>
      <c r="D95" s="331">
        <v>88</v>
      </c>
      <c r="E95" s="544">
        <f>+DATE(YEAR(E94),MONTH(E94)-1,DAY(E94))</f>
        <v>25569.041666666668</v>
      </c>
      <c r="F95" s="333">
        <f>IF($C$6=$E95,1,IF(MONTH($E95)=1,F96*(1+$F$5),F96))</f>
      </c>
      <c r="G95" s="333">
        <f>F95*$B$8/12</f>
      </c>
      <c r="H95" s="333">
        <f>IF(F95=1,F95*$B$10/MIN(12,'Simulador - 3º Pilar'!$E$88),0)</f>
      </c>
      <c r="I95" s="560">
        <f>(1+$G$5)^(D95/12)*(H95+IF(E95=$N$7,$N$4,0))</f>
      </c>
      <c r="J95" s="561">
        <f>(1+$G$5)^(D95/12)*(H95*(12-IF(MONTH(E96)=12,0,MONTH(E96)))+IF(AND(F95=1,F96=0),$Q$4,0))*IF(AND(F95=1,F96=0),1,0)</f>
      </c>
      <c r="K95" s="217">
        <f>(1+$G$5)^(D95/12)*(IF(E95=$N$7,$N$4,0)+IF(E95=$C$6,$B$10,0))</f>
      </c>
      <c r="L95" s="217">
        <f>(1+$G$5)^(D95/12)*(IF((E95)&gt;($B$6),H95,0)+IF(E95=$N$7,$N$4,0)+IF(E95=$C$6,0,0))</f>
      </c>
      <c r="M95" s="1"/>
      <c r="N95" s="7"/>
      <c r="O95" s="1"/>
      <c r="P95" s="331">
        <v>88</v>
      </c>
      <c r="Q95" s="544">
        <f>+DATE(YEAR(Q94),MONTH(Q94)-1,DAY(Q94))</f>
        <v>25569.041666666668</v>
      </c>
      <c r="R95" s="341">
        <f>IF($Z$7=$E95,1,IF(MONTH($E95)=1,R96*(1+$F$5),R96))</f>
      </c>
      <c r="S95" s="334">
        <f>R95*$B$8/12</f>
      </c>
      <c r="T95" s="334">
        <f>R95*$B$11/12</f>
      </c>
      <c r="U95" s="565">
        <f>(1+$V$5)^(P95/12)*(T95+IF(Q95=$Z$7,$Z$4,0))</f>
      </c>
      <c r="V95" s="170"/>
      <c r="W95" s="7"/>
      <c r="X95" s="1"/>
      <c r="Y95" s="1"/>
      <c r="Z95" s="1"/>
      <c r="AA95" s="1"/>
      <c r="AB95" s="1"/>
      <c r="AC95" s="331">
        <v>88</v>
      </c>
      <c r="AD95" s="544">
        <f>+DATE(YEAR(AD94),MONTH(AD94)-1,DAY(AD94))</f>
        <v>25569.041666666668</v>
      </c>
      <c r="AE95" s="341">
        <f>IF($AM$7=$E95,1,IF(MONTH($E95)=1,AE96*(1+$F$5),AE96))</f>
      </c>
      <c r="AF95" s="334">
        <f>AE95*$B$8/12</f>
      </c>
      <c r="AG95" s="334">
        <f>AE95*$B$12/12</f>
      </c>
      <c r="AH95" s="565">
        <f>(1+$AI$5)^(AC95/12)*(AG95+IF(AD95=$AM$7,$AM$4,0))</f>
      </c>
      <c r="AI95" s="170"/>
      <c r="AJ95" s="7"/>
      <c r="AK95" s="1"/>
      <c r="AL95" s="1"/>
      <c r="AM95" s="1"/>
    </row>
    <row x14ac:dyDescent="0.25" r="96" customHeight="1" ht="18.75">
      <c r="A96" s="1"/>
      <c r="B96" s="169"/>
      <c r="C96" s="170"/>
      <c r="D96" s="331">
        <v>89</v>
      </c>
      <c r="E96" s="544">
        <f>+DATE(YEAR(E95),MONTH(E95)-1,DAY(E95))</f>
        <v>25569.041666666668</v>
      </c>
      <c r="F96" s="333">
        <f>IF($C$6=$E96,1,IF(MONTH($E96)=1,F97*(1+$F$5),F97))</f>
      </c>
      <c r="G96" s="333">
        <f>F96*$B$8/12</f>
      </c>
      <c r="H96" s="333">
        <f>IF(F96=1,F96*$B$10/MIN(12,'Simulador - 3º Pilar'!$E$88),0)</f>
      </c>
      <c r="I96" s="560">
        <f>(1+$G$5)^(D96/12)*(H96+IF(E96=$N$7,$N$4,0))</f>
      </c>
      <c r="J96" s="561">
        <f>(1+$G$5)^(D96/12)*(H96*(12-IF(MONTH(E97)=12,0,MONTH(E97)))+IF(AND(F96=1,F97=0),$Q$4,0))*IF(AND(F96=1,F97=0),1,0)</f>
      </c>
      <c r="K96" s="217">
        <f>(1+$G$5)^(D96/12)*(IF(E96=$N$7,$N$4,0)+IF(E96=$C$6,$B$10,0))</f>
      </c>
      <c r="L96" s="217">
        <f>(1+$G$5)^(D96/12)*(IF((E96)&gt;($B$6),H96,0)+IF(E96=$N$7,$N$4,0)+IF(E96=$C$6,0,0))</f>
      </c>
      <c r="M96" s="1"/>
      <c r="N96" s="7"/>
      <c r="O96" s="1"/>
      <c r="P96" s="331">
        <v>89</v>
      </c>
      <c r="Q96" s="544">
        <f>+DATE(YEAR(Q95),MONTH(Q95)-1,DAY(Q95))</f>
        <v>25569.041666666668</v>
      </c>
      <c r="R96" s="341">
        <f>IF($Z$7=$E96,1,IF(MONTH($E96)=1,R97*(1+$F$5),R97))</f>
      </c>
      <c r="S96" s="334">
        <f>R96*$B$8/12</f>
      </c>
      <c r="T96" s="334">
        <f>R96*$B$11/12</f>
      </c>
      <c r="U96" s="565">
        <f>(1+$V$5)^(P96/12)*(T96+IF(Q96=$Z$7,$Z$4,0))</f>
      </c>
      <c r="V96" s="170"/>
      <c r="W96" s="7"/>
      <c r="X96" s="1"/>
      <c r="Y96" s="1"/>
      <c r="Z96" s="1"/>
      <c r="AA96" s="1"/>
      <c r="AB96" s="1"/>
      <c r="AC96" s="331">
        <v>89</v>
      </c>
      <c r="AD96" s="544">
        <f>+DATE(YEAR(AD95),MONTH(AD95)-1,DAY(AD95))</f>
        <v>25569.041666666668</v>
      </c>
      <c r="AE96" s="341">
        <f>IF($AM$7=$E96,1,IF(MONTH($E96)=1,AE97*(1+$F$5),AE97))</f>
      </c>
      <c r="AF96" s="334">
        <f>AE96*$B$8/12</f>
      </c>
      <c r="AG96" s="334">
        <f>AE96*$B$12/12</f>
      </c>
      <c r="AH96" s="565">
        <f>(1+$AI$5)^(AC96/12)*(AG96+IF(AD96=$AM$7,$AM$4,0))</f>
      </c>
      <c r="AI96" s="170"/>
      <c r="AJ96" s="7"/>
      <c r="AK96" s="1"/>
      <c r="AL96" s="1"/>
      <c r="AM96" s="1"/>
    </row>
    <row x14ac:dyDescent="0.25" r="97" customHeight="1" ht="18.75">
      <c r="A97" s="1"/>
      <c r="B97" s="169"/>
      <c r="C97" s="170"/>
      <c r="D97" s="331">
        <v>90</v>
      </c>
      <c r="E97" s="544">
        <f>+DATE(YEAR(E96),MONTH(E96)-1,DAY(E96))</f>
        <v>25569.041666666668</v>
      </c>
      <c r="F97" s="333">
        <f>IF($C$6=$E97,1,IF(MONTH($E97)=1,F98*(1+$F$5),F98))</f>
      </c>
      <c r="G97" s="333">
        <f>F97*$B$8/12</f>
      </c>
      <c r="H97" s="333">
        <f>IF(F97=1,F97*$B$10/MIN(12,'Simulador - 3º Pilar'!$E$88),0)</f>
      </c>
      <c r="I97" s="560">
        <f>(1+$G$5)^(D97/12)*(H97+IF(E97=$N$7,$N$4,0))</f>
      </c>
      <c r="J97" s="561">
        <f>(1+$G$5)^(D97/12)*(H97*(12-IF(MONTH(E98)=12,0,MONTH(E98)))+IF(AND(F97=1,F98=0),$Q$4,0))*IF(AND(F97=1,F98=0),1,0)</f>
      </c>
      <c r="K97" s="217">
        <f>(1+$G$5)^(D97/12)*(IF(E97=$N$7,$N$4,0)+IF(E97=$C$6,$B$10,0))</f>
      </c>
      <c r="L97" s="217">
        <f>(1+$G$5)^(D97/12)*(IF((E97)&gt;($B$6),H97,0)+IF(E97=$N$7,$N$4,0)+IF(E97=$C$6,0,0))</f>
      </c>
      <c r="M97" s="1"/>
      <c r="N97" s="7"/>
      <c r="O97" s="1"/>
      <c r="P97" s="331">
        <v>90</v>
      </c>
      <c r="Q97" s="544">
        <f>+DATE(YEAR(Q96),MONTH(Q96)-1,DAY(Q96))</f>
        <v>25569.041666666668</v>
      </c>
      <c r="R97" s="341">
        <f>IF($Z$7=$E97,1,IF(MONTH($E97)=1,R98*(1+$F$5),R98))</f>
      </c>
      <c r="S97" s="334">
        <f>R97*$B$8/12</f>
      </c>
      <c r="T97" s="334">
        <f>R97*$B$11/12</f>
      </c>
      <c r="U97" s="565">
        <f>(1+$V$5)^(P97/12)*(T97+IF(Q97=$Z$7,$Z$4,0))</f>
      </c>
      <c r="V97" s="170"/>
      <c r="W97" s="7"/>
      <c r="X97" s="1"/>
      <c r="Y97" s="1"/>
      <c r="Z97" s="1"/>
      <c r="AA97" s="1"/>
      <c r="AB97" s="1"/>
      <c r="AC97" s="331">
        <v>90</v>
      </c>
      <c r="AD97" s="544">
        <f>+DATE(YEAR(AD96),MONTH(AD96)-1,DAY(AD96))</f>
        <v>25569.041666666668</v>
      </c>
      <c r="AE97" s="341">
        <f>IF($AM$7=$E97,1,IF(MONTH($E97)=1,AE98*(1+$F$5),AE98))</f>
      </c>
      <c r="AF97" s="334">
        <f>AE97*$B$8/12</f>
      </c>
      <c r="AG97" s="334">
        <f>AE97*$B$12/12</f>
      </c>
      <c r="AH97" s="565">
        <f>(1+$AI$5)^(AC97/12)*(AG97+IF(AD97=$AM$7,$AM$4,0))</f>
      </c>
      <c r="AI97" s="170"/>
      <c r="AJ97" s="7"/>
      <c r="AK97" s="1"/>
      <c r="AL97" s="1"/>
      <c r="AM97" s="1"/>
    </row>
    <row x14ac:dyDescent="0.25" r="98" customHeight="1" ht="18.75">
      <c r="A98" s="1"/>
      <c r="B98" s="169"/>
      <c r="C98" s="170"/>
      <c r="D98" s="331">
        <v>91</v>
      </c>
      <c r="E98" s="544">
        <f>+DATE(YEAR(E97),MONTH(E97)-1,DAY(E97))</f>
        <v>25569.041666666668</v>
      </c>
      <c r="F98" s="333">
        <f>IF($C$6=$E98,1,IF(MONTH($E98)=1,F99*(1+$F$5),F99))</f>
      </c>
      <c r="G98" s="333">
        <f>F98*$B$8/12</f>
      </c>
      <c r="H98" s="333">
        <f>IF(F98=1,F98*$B$10/MIN(12,'Simulador - 3º Pilar'!$E$88),0)</f>
      </c>
      <c r="I98" s="560">
        <f>(1+$G$5)^(D98/12)*(H98+IF(E98=$N$7,$N$4,0))</f>
      </c>
      <c r="J98" s="561">
        <f>(1+$G$5)^(D98/12)*(H98*(12-IF(MONTH(E99)=12,0,MONTH(E99)))+IF(AND(F98=1,F99=0),$Q$4,0))*IF(AND(F98=1,F99=0),1,0)</f>
      </c>
      <c r="K98" s="217">
        <f>(1+$G$5)^(D98/12)*(IF(E98=$N$7,$N$4,0)+IF(E98=$C$6,$B$10,0))</f>
      </c>
      <c r="L98" s="217">
        <f>(1+$G$5)^(D98/12)*(IF((E98)&gt;($B$6),H98,0)+IF(E98=$N$7,$N$4,0)+IF(E98=$C$6,0,0))</f>
      </c>
      <c r="M98" s="1"/>
      <c r="N98" s="7"/>
      <c r="O98" s="1"/>
      <c r="P98" s="331">
        <v>91</v>
      </c>
      <c r="Q98" s="544">
        <f>+DATE(YEAR(Q97),MONTH(Q97)-1,DAY(Q97))</f>
        <v>25569.041666666668</v>
      </c>
      <c r="R98" s="341">
        <f>IF($Z$7=$E98,1,IF(MONTH($E98)=1,R99*(1+$F$5),R99))</f>
      </c>
      <c r="S98" s="334">
        <f>R98*$B$8/12</f>
      </c>
      <c r="T98" s="334">
        <f>R98*$B$11/12</f>
      </c>
      <c r="U98" s="565">
        <f>(1+$V$5)^(P98/12)*(T98+IF(Q98=$Z$7,$Z$4,0))</f>
      </c>
      <c r="V98" s="170"/>
      <c r="W98" s="7"/>
      <c r="X98" s="1"/>
      <c r="Y98" s="1"/>
      <c r="Z98" s="1"/>
      <c r="AA98" s="1"/>
      <c r="AB98" s="1"/>
      <c r="AC98" s="331">
        <v>91</v>
      </c>
      <c r="AD98" s="544">
        <f>+DATE(YEAR(AD97),MONTH(AD97)-1,DAY(AD97))</f>
        <v>25569.041666666668</v>
      </c>
      <c r="AE98" s="341">
        <f>IF($AM$7=$E98,1,IF(MONTH($E98)=1,AE99*(1+$F$5),AE99))</f>
      </c>
      <c r="AF98" s="334">
        <f>AE98*$B$8/12</f>
      </c>
      <c r="AG98" s="334">
        <f>AE98*$B$12/12</f>
      </c>
      <c r="AH98" s="565">
        <f>(1+$AI$5)^(AC98/12)*(AG98+IF(AD98=$AM$7,$AM$4,0))</f>
      </c>
      <c r="AI98" s="170"/>
      <c r="AJ98" s="7"/>
      <c r="AK98" s="1"/>
      <c r="AL98" s="1"/>
      <c r="AM98" s="1"/>
    </row>
    <row x14ac:dyDescent="0.25" r="99" customHeight="1" ht="18.75">
      <c r="A99" s="1"/>
      <c r="B99" s="169"/>
      <c r="C99" s="170"/>
      <c r="D99" s="331">
        <v>92</v>
      </c>
      <c r="E99" s="544">
        <f>+DATE(YEAR(E98),MONTH(E98)-1,DAY(E98))</f>
        <v>25569.041666666668</v>
      </c>
      <c r="F99" s="333">
        <f>IF($C$6=$E99,1,IF(MONTH($E99)=1,F100*(1+$F$5),F100))</f>
      </c>
      <c r="G99" s="333">
        <f>F99*$B$8/12</f>
      </c>
      <c r="H99" s="333">
        <f>IF(F99=1,F99*$B$10/MIN(12,'Simulador - 3º Pilar'!$E$88),0)</f>
      </c>
      <c r="I99" s="560">
        <f>(1+$G$5)^(D99/12)*(H99+IF(E99=$N$7,$N$4,0))</f>
      </c>
      <c r="J99" s="561">
        <f>(1+$G$5)^(D99/12)*(H99*(12-IF(MONTH(E100)=12,0,MONTH(E100)))+IF(AND(F99=1,F100=0),$Q$4,0))*IF(AND(F99=1,F100=0),1,0)</f>
      </c>
      <c r="K99" s="217">
        <f>(1+$G$5)^(D99/12)*(IF(E99=$N$7,$N$4,0)+IF(E99=$C$6,$B$10,0))</f>
      </c>
      <c r="L99" s="217">
        <f>(1+$G$5)^(D99/12)*(IF((E99)&gt;($B$6),H99,0)+IF(E99=$N$7,$N$4,0)+IF(E99=$C$6,0,0))</f>
      </c>
      <c r="M99" s="1"/>
      <c r="N99" s="7"/>
      <c r="O99" s="1"/>
      <c r="P99" s="331">
        <v>92</v>
      </c>
      <c r="Q99" s="544">
        <f>+DATE(YEAR(Q98),MONTH(Q98)-1,DAY(Q98))</f>
        <v>25569.041666666668</v>
      </c>
      <c r="R99" s="341">
        <f>IF($Z$7=$E99,1,IF(MONTH($E99)=1,R100*(1+$F$5),R100))</f>
      </c>
      <c r="S99" s="334">
        <f>R99*$B$8/12</f>
      </c>
      <c r="T99" s="334">
        <f>R99*$B$11/12</f>
      </c>
      <c r="U99" s="565">
        <f>(1+$V$5)^(P99/12)*(T99+IF(Q99=$Z$7,$Z$4,0))</f>
      </c>
      <c r="V99" s="170"/>
      <c r="W99" s="7"/>
      <c r="X99" s="1"/>
      <c r="Y99" s="1"/>
      <c r="Z99" s="1"/>
      <c r="AA99" s="1"/>
      <c r="AB99" s="1"/>
      <c r="AC99" s="331">
        <v>92</v>
      </c>
      <c r="AD99" s="544">
        <f>+DATE(YEAR(AD98),MONTH(AD98)-1,DAY(AD98))</f>
        <v>25569.041666666668</v>
      </c>
      <c r="AE99" s="341">
        <f>IF($AM$7=$E99,1,IF(MONTH($E99)=1,AE100*(1+$F$5),AE100))</f>
      </c>
      <c r="AF99" s="334">
        <f>AE99*$B$8/12</f>
      </c>
      <c r="AG99" s="334">
        <f>AE99*$B$12/12</f>
      </c>
      <c r="AH99" s="565">
        <f>(1+$AI$5)^(AC99/12)*(AG99+IF(AD99=$AM$7,$AM$4,0))</f>
      </c>
      <c r="AI99" s="170"/>
      <c r="AJ99" s="7"/>
      <c r="AK99" s="1"/>
      <c r="AL99" s="1"/>
      <c r="AM99" s="1"/>
    </row>
    <row x14ac:dyDescent="0.25" r="100" customHeight="1" ht="18.75">
      <c r="A100" s="1"/>
      <c r="B100" s="169"/>
      <c r="C100" s="170"/>
      <c r="D100" s="331">
        <v>93</v>
      </c>
      <c r="E100" s="544">
        <f>+DATE(YEAR(E99),MONTH(E99)-1,DAY(E99))</f>
        <v>25569.041666666668</v>
      </c>
      <c r="F100" s="333">
        <f>IF($C$6=$E100,1,IF(MONTH($E100)=1,F101*(1+$F$5),F101))</f>
      </c>
      <c r="G100" s="333">
        <f>F100*$B$8/12</f>
      </c>
      <c r="H100" s="333">
        <f>IF(F100=1,F100*$B$10/MIN(12,'Simulador - 3º Pilar'!$E$88),0)</f>
      </c>
      <c r="I100" s="560">
        <f>(1+$G$5)^(D100/12)*(H100+IF(E100=$N$7,$N$4,0))</f>
      </c>
      <c r="J100" s="561">
        <f>(1+$G$5)^(D100/12)*(H100*(12-IF(MONTH(E101)=12,0,MONTH(E101)))+IF(AND(F100=1,F101=0),$Q$4,0))*IF(AND(F100=1,F101=0),1,0)</f>
      </c>
      <c r="K100" s="217">
        <f>(1+$G$5)^(D100/12)*(IF(E100=$N$7,$N$4,0)+IF(E100=$C$6,$B$10,0))</f>
      </c>
      <c r="L100" s="217">
        <f>(1+$G$5)^(D100/12)*(IF((E100)&gt;($B$6),H100,0)+IF(E100=$N$7,$N$4,0)+IF(E100=$C$6,0,0))</f>
      </c>
      <c r="M100" s="1"/>
      <c r="N100" s="7"/>
      <c r="O100" s="1"/>
      <c r="P100" s="331">
        <v>93</v>
      </c>
      <c r="Q100" s="544">
        <f>+DATE(YEAR(Q99),MONTH(Q99)-1,DAY(Q99))</f>
        <v>25569.041666666668</v>
      </c>
      <c r="R100" s="341">
        <f>IF($Z$7=$E100,1,IF(MONTH($E100)=1,R101*(1+$F$5),R101))</f>
      </c>
      <c r="S100" s="334">
        <f>R100*$B$8/12</f>
      </c>
      <c r="T100" s="334">
        <f>R100*$B$11/12</f>
      </c>
      <c r="U100" s="565">
        <f>(1+$V$5)^(P100/12)*(T100+IF(Q100=$Z$7,$Z$4,0))</f>
      </c>
      <c r="V100" s="170"/>
      <c r="W100" s="7"/>
      <c r="X100" s="1"/>
      <c r="Y100" s="1"/>
      <c r="Z100" s="1"/>
      <c r="AA100" s="1"/>
      <c r="AB100" s="1"/>
      <c r="AC100" s="331">
        <v>93</v>
      </c>
      <c r="AD100" s="544">
        <f>+DATE(YEAR(AD99),MONTH(AD99)-1,DAY(AD99))</f>
        <v>25569.041666666668</v>
      </c>
      <c r="AE100" s="341">
        <f>IF($AM$7=$E100,1,IF(MONTH($E100)=1,AE101*(1+$F$5),AE101))</f>
      </c>
      <c r="AF100" s="334">
        <f>AE100*$B$8/12</f>
      </c>
      <c r="AG100" s="334">
        <f>AE100*$B$12/12</f>
      </c>
      <c r="AH100" s="565">
        <f>(1+$AI$5)^(AC100/12)*(AG100+IF(AD100=$AM$7,$AM$4,0))</f>
      </c>
      <c r="AI100" s="170"/>
      <c r="AJ100" s="7"/>
      <c r="AK100" s="1"/>
      <c r="AL100" s="1"/>
      <c r="AM100" s="1"/>
    </row>
    <row x14ac:dyDescent="0.25" r="101" customHeight="1" ht="18.75">
      <c r="A101" s="1"/>
      <c r="B101" s="169"/>
      <c r="C101" s="170"/>
      <c r="D101" s="331">
        <v>94</v>
      </c>
      <c r="E101" s="544">
        <f>+DATE(YEAR(E100),MONTH(E100)-1,DAY(E100))</f>
        <v>25569.041666666668</v>
      </c>
      <c r="F101" s="333">
        <f>IF($C$6=$E101,1,IF(MONTH($E101)=1,F102*(1+$F$5),F102))</f>
      </c>
      <c r="G101" s="333">
        <f>F101*$B$8/12</f>
      </c>
      <c r="H101" s="333">
        <f>IF(F101=1,F101*$B$10/MIN(12,'Simulador - 3º Pilar'!$E$88),0)</f>
      </c>
      <c r="I101" s="560">
        <f>(1+$G$5)^(D101/12)*(H101+IF(E101=$N$7,$N$4,0))</f>
      </c>
      <c r="J101" s="561">
        <f>(1+$G$5)^(D101/12)*(H101*(12-IF(MONTH(E102)=12,0,MONTH(E102)))+IF(AND(F101=1,F102=0),$Q$4,0))*IF(AND(F101=1,F102=0),1,0)</f>
      </c>
      <c r="K101" s="217">
        <f>(1+$G$5)^(D101/12)*(IF(E101=$N$7,$N$4,0)+IF(E101=$C$6,$B$10,0))</f>
      </c>
      <c r="L101" s="217">
        <f>(1+$G$5)^(D101/12)*(IF((E101)&gt;($B$6),H101,0)+IF(E101=$N$7,$N$4,0)+IF(E101=$C$6,0,0))</f>
      </c>
      <c r="M101" s="1"/>
      <c r="N101" s="7"/>
      <c r="O101" s="1"/>
      <c r="P101" s="331">
        <v>94</v>
      </c>
      <c r="Q101" s="544">
        <f>+DATE(YEAR(Q100),MONTH(Q100)-1,DAY(Q100))</f>
        <v>25569.041666666668</v>
      </c>
      <c r="R101" s="341">
        <f>IF($Z$7=$E101,1,IF(MONTH($E101)=1,R102*(1+$F$5),R102))</f>
      </c>
      <c r="S101" s="334">
        <f>R101*$B$8/12</f>
      </c>
      <c r="T101" s="334">
        <f>R101*$B$11/12</f>
      </c>
      <c r="U101" s="565">
        <f>(1+$V$5)^(P101/12)*(T101+IF(Q101=$Z$7,$Z$4,0))</f>
      </c>
      <c r="V101" s="170"/>
      <c r="W101" s="7"/>
      <c r="X101" s="1"/>
      <c r="Y101" s="1"/>
      <c r="Z101" s="1"/>
      <c r="AA101" s="1"/>
      <c r="AB101" s="1"/>
      <c r="AC101" s="331">
        <v>94</v>
      </c>
      <c r="AD101" s="544">
        <f>+DATE(YEAR(AD100),MONTH(AD100)-1,DAY(AD100))</f>
        <v>25569.041666666668</v>
      </c>
      <c r="AE101" s="341">
        <f>IF($AM$7=$E101,1,IF(MONTH($E101)=1,AE102*(1+$F$5),AE102))</f>
      </c>
      <c r="AF101" s="334">
        <f>AE101*$B$8/12</f>
      </c>
      <c r="AG101" s="334">
        <f>AE101*$B$12/12</f>
      </c>
      <c r="AH101" s="565">
        <f>(1+$AI$5)^(AC101/12)*(AG101+IF(AD101=$AM$7,$AM$4,0))</f>
      </c>
      <c r="AI101" s="170"/>
      <c r="AJ101" s="7"/>
      <c r="AK101" s="1"/>
      <c r="AL101" s="1"/>
      <c r="AM101" s="1"/>
    </row>
    <row x14ac:dyDescent="0.25" r="102" customHeight="1" ht="18.75">
      <c r="A102" s="1"/>
      <c r="B102" s="169"/>
      <c r="C102" s="170"/>
      <c r="D102" s="331">
        <v>95</v>
      </c>
      <c r="E102" s="544">
        <f>+DATE(YEAR(E101),MONTH(E101)-1,DAY(E101))</f>
        <v>25569.041666666668</v>
      </c>
      <c r="F102" s="333">
        <f>IF($C$6=$E102,1,IF(MONTH($E102)=1,F103*(1+$F$5),F103))</f>
      </c>
      <c r="G102" s="333">
        <f>F102*$B$8/12</f>
      </c>
      <c r="H102" s="333">
        <f>IF(F102=1,F102*$B$10/MIN(12,'Simulador - 3º Pilar'!$E$88),0)</f>
      </c>
      <c r="I102" s="560">
        <f>(1+$G$5)^(D102/12)*(H102+IF(E102=$N$7,$N$4,0))</f>
      </c>
      <c r="J102" s="561">
        <f>(1+$G$5)^(D102/12)*(H102*(12-IF(MONTH(E103)=12,0,MONTH(E103)))+IF(AND(F102=1,F103=0),$Q$4,0))*IF(AND(F102=1,F103=0),1,0)</f>
      </c>
      <c r="K102" s="217">
        <f>(1+$G$5)^(D102/12)*(IF(E102=$N$7,$N$4,0)+IF(E102=$C$6,$B$10,0))</f>
      </c>
      <c r="L102" s="217">
        <f>(1+$G$5)^(D102/12)*(IF((E102)&gt;($B$6),H102,0)+IF(E102=$N$7,$N$4,0)+IF(E102=$C$6,0,0))</f>
      </c>
      <c r="M102" s="1"/>
      <c r="N102" s="7"/>
      <c r="O102" s="1"/>
      <c r="P102" s="331">
        <v>95</v>
      </c>
      <c r="Q102" s="544">
        <f>+DATE(YEAR(Q101),MONTH(Q101)-1,DAY(Q101))</f>
        <v>25569.041666666668</v>
      </c>
      <c r="R102" s="341">
        <f>IF($Z$7=$E102,1,IF(MONTH($E102)=1,R103*(1+$F$5),R103))</f>
      </c>
      <c r="S102" s="334">
        <f>R102*$B$8/12</f>
      </c>
      <c r="T102" s="334">
        <f>R102*$B$11/12</f>
      </c>
      <c r="U102" s="565">
        <f>(1+$V$5)^(P102/12)*(T102+IF(Q102=$Z$7,$Z$4,0))</f>
      </c>
      <c r="V102" s="170"/>
      <c r="W102" s="7"/>
      <c r="X102" s="1"/>
      <c r="Y102" s="1"/>
      <c r="Z102" s="1"/>
      <c r="AA102" s="1"/>
      <c r="AB102" s="1"/>
      <c r="AC102" s="331">
        <v>95</v>
      </c>
      <c r="AD102" s="544">
        <f>+DATE(YEAR(AD101),MONTH(AD101)-1,DAY(AD101))</f>
        <v>25569.041666666668</v>
      </c>
      <c r="AE102" s="341">
        <f>IF($AM$7=$E102,1,IF(MONTH($E102)=1,AE103*(1+$F$5),AE103))</f>
      </c>
      <c r="AF102" s="334">
        <f>AE102*$B$8/12</f>
      </c>
      <c r="AG102" s="334">
        <f>AE102*$B$12/12</f>
      </c>
      <c r="AH102" s="565">
        <f>(1+$AI$5)^(AC102/12)*(AG102+IF(AD102=$AM$7,$AM$4,0))</f>
      </c>
      <c r="AI102" s="170"/>
      <c r="AJ102" s="7"/>
      <c r="AK102" s="1"/>
      <c r="AL102" s="1"/>
      <c r="AM102" s="1"/>
    </row>
    <row x14ac:dyDescent="0.25" r="103" customHeight="1" ht="18.75">
      <c r="A103" s="1"/>
      <c r="B103" s="169"/>
      <c r="C103" s="170"/>
      <c r="D103" s="331">
        <v>96</v>
      </c>
      <c r="E103" s="544">
        <f>+DATE(YEAR(E102),MONTH(E102)-1,DAY(E102))</f>
        <v>25569.041666666668</v>
      </c>
      <c r="F103" s="333">
        <f>IF($C$6=$E103,1,IF(MONTH($E103)=1,F104*(1+$F$5),F104))</f>
      </c>
      <c r="G103" s="333">
        <f>F103*$B$8/12</f>
      </c>
      <c r="H103" s="333">
        <f>IF(F103=1,F103*$B$10/MIN(12,'Simulador - 3º Pilar'!$E$88),0)</f>
      </c>
      <c r="I103" s="560">
        <f>(1+$G$5)^(D103/12)*(H103+IF(E103=$N$7,$N$4,0))</f>
      </c>
      <c r="J103" s="561">
        <f>(1+$G$5)^(D103/12)*(H103*(12-IF(MONTH(E104)=12,0,MONTH(E104)))+IF(AND(F103=1,F104=0),$Q$4,0))*IF(AND(F103=1,F104=0),1,0)</f>
      </c>
      <c r="K103" s="217">
        <f>(1+$G$5)^(D103/12)*(IF(E103=$N$7,$N$4,0)+IF(E103=$C$6,$B$10,0))</f>
      </c>
      <c r="L103" s="217">
        <f>(1+$G$5)^(D103/12)*(IF((E103)&gt;($B$6),H103,0)+IF(E103=$N$7,$N$4,0)+IF(E103=$C$6,0,0))</f>
      </c>
      <c r="M103" s="1"/>
      <c r="N103" s="7"/>
      <c r="O103" s="1"/>
      <c r="P103" s="331">
        <v>96</v>
      </c>
      <c r="Q103" s="544">
        <f>+DATE(YEAR(Q102),MONTH(Q102)-1,DAY(Q102))</f>
        <v>25569.041666666668</v>
      </c>
      <c r="R103" s="341">
        <f>IF($Z$7=$E103,1,IF(MONTH($E103)=1,R104*(1+$F$5),R104))</f>
      </c>
      <c r="S103" s="334">
        <f>R103*$B$8/12</f>
      </c>
      <c r="T103" s="334">
        <f>R103*$B$11/12</f>
      </c>
      <c r="U103" s="565">
        <f>(1+$V$5)^(P103/12)*(T103+IF(Q103=$Z$7,$Z$4,0))</f>
      </c>
      <c r="V103" s="170"/>
      <c r="W103" s="7"/>
      <c r="X103" s="1"/>
      <c r="Y103" s="1"/>
      <c r="Z103" s="1"/>
      <c r="AA103" s="1"/>
      <c r="AB103" s="1"/>
      <c r="AC103" s="331">
        <v>96</v>
      </c>
      <c r="AD103" s="544">
        <f>+DATE(YEAR(AD102),MONTH(AD102)-1,DAY(AD102))</f>
        <v>25569.041666666668</v>
      </c>
      <c r="AE103" s="341">
        <f>IF($AM$7=$E103,1,IF(MONTH($E103)=1,AE104*(1+$F$5),AE104))</f>
      </c>
      <c r="AF103" s="334">
        <f>AE103*$B$8/12</f>
      </c>
      <c r="AG103" s="334">
        <f>AE103*$B$12/12</f>
      </c>
      <c r="AH103" s="565">
        <f>(1+$AI$5)^(AC103/12)*(AG103+IF(AD103=$AM$7,$AM$4,0))</f>
      </c>
      <c r="AI103" s="170"/>
      <c r="AJ103" s="7"/>
      <c r="AK103" s="1"/>
      <c r="AL103" s="1"/>
      <c r="AM103" s="1"/>
    </row>
    <row x14ac:dyDescent="0.25" r="104" customHeight="1" ht="18.75">
      <c r="A104" s="1"/>
      <c r="B104" s="169"/>
      <c r="C104" s="170"/>
      <c r="D104" s="331">
        <v>97</v>
      </c>
      <c r="E104" s="544">
        <f>+DATE(YEAR(E103),MONTH(E103)-1,DAY(E103))</f>
        <v>25569.041666666668</v>
      </c>
      <c r="F104" s="333">
        <f>IF($C$6=$E104,1,IF(MONTH($E104)=1,F105*(1+$F$5),F105))</f>
      </c>
      <c r="G104" s="333">
        <f>F104*$B$8/12</f>
      </c>
      <c r="H104" s="333">
        <f>IF(F104=1,F104*$B$10/MIN(12,'Simulador - 3º Pilar'!$E$88),0)</f>
      </c>
      <c r="I104" s="560">
        <f>(1+$G$5)^(D104/12)*(H104+IF(E104=$N$7,$N$4,0))</f>
      </c>
      <c r="J104" s="561">
        <f>(1+$G$5)^(D104/12)*(H104*(12-IF(MONTH(E105)=12,0,MONTH(E105)))+IF(AND(F104=1,F105=0),$Q$4,0))*IF(AND(F104=1,F105=0),1,0)</f>
      </c>
      <c r="K104" s="217">
        <f>(1+$G$5)^(D104/12)*(IF(E104=$N$7,$N$4,0)+IF(E104=$C$6,$B$10,0))</f>
      </c>
      <c r="L104" s="217">
        <f>(1+$G$5)^(D104/12)*(IF((E104)&gt;($B$6),H104,0)+IF(E104=$N$7,$N$4,0)+IF(E104=$C$6,0,0))</f>
      </c>
      <c r="M104" s="1"/>
      <c r="N104" s="7"/>
      <c r="O104" s="1"/>
      <c r="P104" s="331">
        <v>97</v>
      </c>
      <c r="Q104" s="544">
        <f>+DATE(YEAR(Q103),MONTH(Q103)-1,DAY(Q103))</f>
        <v>25569.041666666668</v>
      </c>
      <c r="R104" s="341">
        <f>IF($Z$7=$E104,1,IF(MONTH($E104)=1,R105*(1+$F$5),R105))</f>
      </c>
      <c r="S104" s="334">
        <f>R104*$B$8/12</f>
      </c>
      <c r="T104" s="334">
        <f>R104*$B$11/12</f>
      </c>
      <c r="U104" s="565">
        <f>(1+$V$5)^(P104/12)*(T104+IF(Q104=$Z$7,$Z$4,0))</f>
      </c>
      <c r="V104" s="170"/>
      <c r="W104" s="7"/>
      <c r="X104" s="1"/>
      <c r="Y104" s="1"/>
      <c r="Z104" s="1"/>
      <c r="AA104" s="1"/>
      <c r="AB104" s="1"/>
      <c r="AC104" s="331">
        <v>97</v>
      </c>
      <c r="AD104" s="544">
        <f>+DATE(YEAR(AD103),MONTH(AD103)-1,DAY(AD103))</f>
        <v>25569.041666666668</v>
      </c>
      <c r="AE104" s="341">
        <f>IF($AM$7=$E104,1,IF(MONTH($E104)=1,AE105*(1+$F$5),AE105))</f>
      </c>
      <c r="AF104" s="334">
        <f>AE104*$B$8/12</f>
      </c>
      <c r="AG104" s="334">
        <f>AE104*$B$12/12</f>
      </c>
      <c r="AH104" s="565">
        <f>(1+$AI$5)^(AC104/12)*(AG104+IF(AD104=$AM$7,$AM$4,0))</f>
      </c>
      <c r="AI104" s="170"/>
      <c r="AJ104" s="7"/>
      <c r="AK104" s="1"/>
      <c r="AL104" s="1"/>
      <c r="AM104" s="1"/>
    </row>
    <row x14ac:dyDescent="0.25" r="105" customHeight="1" ht="18.75">
      <c r="A105" s="1"/>
      <c r="B105" s="169"/>
      <c r="C105" s="170"/>
      <c r="D105" s="331">
        <v>98</v>
      </c>
      <c r="E105" s="544">
        <f>+DATE(YEAR(E104),MONTH(E104)-1,DAY(E104))</f>
        <v>25569.041666666668</v>
      </c>
      <c r="F105" s="333">
        <f>IF($C$6=$E105,1,IF(MONTH($E105)=1,F106*(1+$F$5),F106))</f>
      </c>
      <c r="G105" s="333">
        <f>F105*$B$8/12</f>
      </c>
      <c r="H105" s="333">
        <f>IF(F105=1,F105*$B$10/MIN(12,'Simulador - 3º Pilar'!$E$88),0)</f>
      </c>
      <c r="I105" s="560">
        <f>(1+$G$5)^(D105/12)*(H105+IF(E105=$N$7,$N$4,0))</f>
      </c>
      <c r="J105" s="561">
        <f>(1+$G$5)^(D105/12)*(H105*(12-IF(MONTH(E106)=12,0,MONTH(E106)))+IF(AND(F105=1,F106=0),$Q$4,0))*IF(AND(F105=1,F106=0),1,0)</f>
      </c>
      <c r="K105" s="217">
        <f>(1+$G$5)^(D105/12)*(IF(E105=$N$7,$N$4,0)+IF(E105=$C$6,$B$10,0))</f>
      </c>
      <c r="L105" s="217">
        <f>(1+$G$5)^(D105/12)*(IF((E105)&gt;($B$6),H105,0)+IF(E105=$N$7,$N$4,0)+IF(E105=$C$6,0,0))</f>
      </c>
      <c r="M105" s="1"/>
      <c r="N105" s="7"/>
      <c r="O105" s="1"/>
      <c r="P105" s="331">
        <v>98</v>
      </c>
      <c r="Q105" s="544">
        <f>+DATE(YEAR(Q104),MONTH(Q104)-1,DAY(Q104))</f>
        <v>25569.041666666668</v>
      </c>
      <c r="R105" s="341">
        <f>IF($Z$7=$E105,1,IF(MONTH($E105)=1,R106*(1+$F$5),R106))</f>
      </c>
      <c r="S105" s="334">
        <f>R105*$B$8/12</f>
      </c>
      <c r="T105" s="334">
        <f>R105*$B$11/12</f>
      </c>
      <c r="U105" s="565">
        <f>(1+$V$5)^(P105/12)*(T105+IF(Q105=$Z$7,$Z$4,0))</f>
      </c>
      <c r="V105" s="170"/>
      <c r="W105" s="7"/>
      <c r="X105" s="1"/>
      <c r="Y105" s="1"/>
      <c r="Z105" s="1"/>
      <c r="AA105" s="1"/>
      <c r="AB105" s="1"/>
      <c r="AC105" s="331">
        <v>98</v>
      </c>
      <c r="AD105" s="544">
        <f>+DATE(YEAR(AD104),MONTH(AD104)-1,DAY(AD104))</f>
        <v>25569.041666666668</v>
      </c>
      <c r="AE105" s="341">
        <f>IF($AM$7=$E105,1,IF(MONTH($E105)=1,AE106*(1+$F$5),AE106))</f>
      </c>
      <c r="AF105" s="334">
        <f>AE105*$B$8/12</f>
      </c>
      <c r="AG105" s="334">
        <f>AE105*$B$12/12</f>
      </c>
      <c r="AH105" s="565">
        <f>(1+$AI$5)^(AC105/12)*(AG105+IF(AD105=$AM$7,$AM$4,0))</f>
      </c>
      <c r="AI105" s="170"/>
      <c r="AJ105" s="7"/>
      <c r="AK105" s="1"/>
      <c r="AL105" s="1"/>
      <c r="AM105" s="1"/>
    </row>
    <row x14ac:dyDescent="0.25" r="106" customHeight="1" ht="18.75">
      <c r="A106" s="1"/>
      <c r="B106" s="169"/>
      <c r="C106" s="170"/>
      <c r="D106" s="331">
        <v>99</v>
      </c>
      <c r="E106" s="544">
        <f>+DATE(YEAR(E105),MONTH(E105)-1,DAY(E105))</f>
        <v>25569.041666666668</v>
      </c>
      <c r="F106" s="333">
        <f>IF($C$6=$E106,1,IF(MONTH($E106)=1,F107*(1+$F$5),F107))</f>
      </c>
      <c r="G106" s="333">
        <f>F106*$B$8/12</f>
      </c>
      <c r="H106" s="333">
        <f>IF(F106=1,F106*$B$10/MIN(12,'Simulador - 3º Pilar'!$E$88),0)</f>
      </c>
      <c r="I106" s="560">
        <f>(1+$G$5)^(D106/12)*(H106+IF(E106=$N$7,$N$4,0))</f>
      </c>
      <c r="J106" s="561">
        <f>(1+$G$5)^(D106/12)*(H106*(12-IF(MONTH(E107)=12,0,MONTH(E107)))+IF(AND(F106=1,F107=0),$Q$4,0))*IF(AND(F106=1,F107=0),1,0)</f>
      </c>
      <c r="K106" s="217">
        <f>(1+$G$5)^(D106/12)*(IF(E106=$N$7,$N$4,0)+IF(E106=$C$6,$B$10,0))</f>
      </c>
      <c r="L106" s="217">
        <f>(1+$G$5)^(D106/12)*(IF((E106)&gt;($B$6),H106,0)+IF(E106=$N$7,$N$4,0)+IF(E106=$C$6,0,0))</f>
      </c>
      <c r="M106" s="1"/>
      <c r="N106" s="7"/>
      <c r="O106" s="1"/>
      <c r="P106" s="331">
        <v>99</v>
      </c>
      <c r="Q106" s="544">
        <f>+DATE(YEAR(Q105),MONTH(Q105)-1,DAY(Q105))</f>
        <v>25569.041666666668</v>
      </c>
      <c r="R106" s="341">
        <f>IF($Z$7=$E106,1,IF(MONTH($E106)=1,R107*(1+$F$5),R107))</f>
      </c>
      <c r="S106" s="334">
        <f>R106*$B$8/12</f>
      </c>
      <c r="T106" s="334">
        <f>R106*$B$11/12</f>
      </c>
      <c r="U106" s="565">
        <f>(1+$V$5)^(P106/12)*(T106+IF(Q106=$Z$7,$Z$4,0))</f>
      </c>
      <c r="V106" s="170"/>
      <c r="W106" s="7"/>
      <c r="X106" s="1"/>
      <c r="Y106" s="1"/>
      <c r="Z106" s="1"/>
      <c r="AA106" s="1"/>
      <c r="AB106" s="1"/>
      <c r="AC106" s="331">
        <v>99</v>
      </c>
      <c r="AD106" s="544">
        <f>+DATE(YEAR(AD105),MONTH(AD105)-1,DAY(AD105))</f>
        <v>25569.041666666668</v>
      </c>
      <c r="AE106" s="341">
        <f>IF($AM$7=$E106,1,IF(MONTH($E106)=1,AE107*(1+$F$5),AE107))</f>
      </c>
      <c r="AF106" s="334">
        <f>AE106*$B$8/12</f>
      </c>
      <c r="AG106" s="334">
        <f>AE106*$B$12/12</f>
      </c>
      <c r="AH106" s="565">
        <f>(1+$AI$5)^(AC106/12)*(AG106+IF(AD106=$AM$7,$AM$4,0))</f>
      </c>
      <c r="AI106" s="170"/>
      <c r="AJ106" s="7"/>
      <c r="AK106" s="1"/>
      <c r="AL106" s="1"/>
      <c r="AM106" s="1"/>
    </row>
    <row x14ac:dyDescent="0.25" r="107" customHeight="1" ht="18.75">
      <c r="A107" s="1"/>
      <c r="B107" s="169"/>
      <c r="C107" s="170"/>
      <c r="D107" s="331">
        <v>100</v>
      </c>
      <c r="E107" s="544">
        <f>+DATE(YEAR(E106),MONTH(E106)-1,DAY(E106))</f>
        <v>25569.041666666668</v>
      </c>
      <c r="F107" s="333">
        <f>IF($C$6=$E107,1,IF(MONTH($E107)=1,F108*(1+$F$5),F108))</f>
      </c>
      <c r="G107" s="333">
        <f>F107*$B$8/12</f>
      </c>
      <c r="H107" s="333">
        <f>IF(F107=1,F107*$B$10/MIN(12,'Simulador - 3º Pilar'!$E$88),0)</f>
      </c>
      <c r="I107" s="560">
        <f>(1+$G$5)^(D107/12)*(H107+IF(E107=$N$7,$N$4,0))</f>
      </c>
      <c r="J107" s="561">
        <f>(1+$G$5)^(D107/12)*(H107*(12-IF(MONTH(E108)=12,0,MONTH(E108)))+IF(AND(F107=1,F108=0),$Q$4,0))*IF(AND(F107=1,F108=0),1,0)</f>
      </c>
      <c r="K107" s="217">
        <f>(1+$G$5)^(D107/12)*(IF(E107=$N$7,$N$4,0)+IF(E107=$C$6,$B$10,0))</f>
      </c>
      <c r="L107" s="217">
        <f>(1+$G$5)^(D107/12)*(IF((E107)&gt;($B$6),H107,0)+IF(E107=$N$7,$N$4,0)+IF(E107=$C$6,0,0))</f>
      </c>
      <c r="M107" s="1"/>
      <c r="N107" s="7"/>
      <c r="O107" s="1"/>
      <c r="P107" s="331">
        <v>100</v>
      </c>
      <c r="Q107" s="544">
        <f>+DATE(YEAR(Q106),MONTH(Q106)-1,DAY(Q106))</f>
        <v>25569.041666666668</v>
      </c>
      <c r="R107" s="341">
        <f>IF($Z$7=$E107,1,IF(MONTH($E107)=1,R108*(1+$F$5),R108))</f>
      </c>
      <c r="S107" s="334">
        <f>R107*$B$8/12</f>
      </c>
      <c r="T107" s="334">
        <f>R107*$B$11/12</f>
      </c>
      <c r="U107" s="565">
        <f>(1+$V$5)^(P107/12)*(T107+IF(Q107=$Z$7,$Z$4,0))</f>
      </c>
      <c r="V107" s="170"/>
      <c r="W107" s="7"/>
      <c r="X107" s="1"/>
      <c r="Y107" s="1"/>
      <c r="Z107" s="1"/>
      <c r="AA107" s="1"/>
      <c r="AB107" s="1"/>
      <c r="AC107" s="331">
        <v>100</v>
      </c>
      <c r="AD107" s="544">
        <f>+DATE(YEAR(AD106),MONTH(AD106)-1,DAY(AD106))</f>
        <v>25569.041666666668</v>
      </c>
      <c r="AE107" s="341">
        <f>IF($AM$7=$E107,1,IF(MONTH($E107)=1,AE108*(1+$F$5),AE108))</f>
      </c>
      <c r="AF107" s="334">
        <f>AE107*$B$8/12</f>
      </c>
      <c r="AG107" s="334">
        <f>AE107*$B$12/12</f>
      </c>
      <c r="AH107" s="565">
        <f>(1+$AI$5)^(AC107/12)*(AG107+IF(AD107=$AM$7,$AM$4,0))</f>
      </c>
      <c r="AI107" s="170"/>
      <c r="AJ107" s="7"/>
      <c r="AK107" s="1"/>
      <c r="AL107" s="1"/>
      <c r="AM107" s="1"/>
    </row>
    <row x14ac:dyDescent="0.25" r="108" customHeight="1" ht="18.75">
      <c r="A108" s="1"/>
      <c r="B108" s="169"/>
      <c r="C108" s="170"/>
      <c r="D108" s="331">
        <v>101</v>
      </c>
      <c r="E108" s="544">
        <f>+DATE(YEAR(E107),MONTH(E107)-1,DAY(E107))</f>
        <v>25569.041666666668</v>
      </c>
      <c r="F108" s="333">
        <f>IF($C$6=$E108,1,IF(MONTH($E108)=1,F109*(1+$F$5),F109))</f>
      </c>
      <c r="G108" s="333">
        <f>F108*$B$8/12</f>
      </c>
      <c r="H108" s="333">
        <f>IF(F108=1,F108*$B$10/MIN(12,'Simulador - 3º Pilar'!$E$88),0)</f>
      </c>
      <c r="I108" s="560">
        <f>(1+$G$5)^(D108/12)*(H108+IF(E108=$N$7,$N$4,0))</f>
      </c>
      <c r="J108" s="561">
        <f>(1+$G$5)^(D108/12)*(H108*(12-IF(MONTH(E109)=12,0,MONTH(E109)))+IF(AND(F108=1,F109=0),$Q$4,0))*IF(AND(F108=1,F109=0),1,0)</f>
      </c>
      <c r="K108" s="217">
        <f>(1+$G$5)^(D108/12)*(IF(E108=$N$7,$N$4,0)+IF(E108=$C$6,$B$10,0))</f>
      </c>
      <c r="L108" s="217">
        <f>(1+$G$5)^(D108/12)*(IF((E108)&gt;($B$6),H108,0)+IF(E108=$N$7,$N$4,0)+IF(E108=$C$6,0,0))</f>
      </c>
      <c r="M108" s="1"/>
      <c r="N108" s="7"/>
      <c r="O108" s="1"/>
      <c r="P108" s="331">
        <v>101</v>
      </c>
      <c r="Q108" s="544">
        <f>+DATE(YEAR(Q107),MONTH(Q107)-1,DAY(Q107))</f>
        <v>25569.041666666668</v>
      </c>
      <c r="R108" s="341">
        <f>IF($Z$7=$E108,1,IF(MONTH($E108)=1,R109*(1+$F$5),R109))</f>
      </c>
      <c r="S108" s="334">
        <f>R108*$B$8/12</f>
      </c>
      <c r="T108" s="334">
        <f>R108*$B$11/12</f>
      </c>
      <c r="U108" s="565">
        <f>(1+$V$5)^(P108/12)*(T108+IF(Q108=$Z$7,$Z$4,0))</f>
      </c>
      <c r="V108" s="170"/>
      <c r="W108" s="7"/>
      <c r="X108" s="1"/>
      <c r="Y108" s="1"/>
      <c r="Z108" s="1"/>
      <c r="AA108" s="1"/>
      <c r="AB108" s="1"/>
      <c r="AC108" s="331">
        <v>101</v>
      </c>
      <c r="AD108" s="544">
        <f>+DATE(YEAR(AD107),MONTH(AD107)-1,DAY(AD107))</f>
        <v>25569.041666666668</v>
      </c>
      <c r="AE108" s="341">
        <f>IF($AM$7=$E108,1,IF(MONTH($E108)=1,AE109*(1+$F$5),AE109))</f>
      </c>
      <c r="AF108" s="334">
        <f>AE108*$B$8/12</f>
      </c>
      <c r="AG108" s="334">
        <f>AE108*$B$12/12</f>
      </c>
      <c r="AH108" s="565">
        <f>(1+$AI$5)^(AC108/12)*(AG108+IF(AD108=$AM$7,$AM$4,0))</f>
      </c>
      <c r="AI108" s="170"/>
      <c r="AJ108" s="7"/>
      <c r="AK108" s="1"/>
      <c r="AL108" s="1"/>
      <c r="AM108" s="1"/>
    </row>
    <row x14ac:dyDescent="0.25" r="109" customHeight="1" ht="18.75">
      <c r="A109" s="1"/>
      <c r="B109" s="169"/>
      <c r="C109" s="170"/>
      <c r="D109" s="331">
        <v>102</v>
      </c>
      <c r="E109" s="544">
        <f>+DATE(YEAR(E108),MONTH(E108)-1,DAY(E108))</f>
        <v>25569.041666666668</v>
      </c>
      <c r="F109" s="333">
        <f>IF($C$6=$E109,1,IF(MONTH($E109)=1,F110*(1+$F$5),F110))</f>
      </c>
      <c r="G109" s="333">
        <f>F109*$B$8/12</f>
      </c>
      <c r="H109" s="333">
        <f>IF(F109=1,F109*$B$10/MIN(12,'Simulador - 3º Pilar'!$E$88),0)</f>
      </c>
      <c r="I109" s="560">
        <f>(1+$G$5)^(D109/12)*(H109+IF(E109=$N$7,$N$4,0))</f>
      </c>
      <c r="J109" s="561">
        <f>(1+$G$5)^(D109/12)*(H109*(12-IF(MONTH(E110)=12,0,MONTH(E110)))+IF(AND(F109=1,F110=0),$Q$4,0))*IF(AND(F109=1,F110=0),1,0)</f>
      </c>
      <c r="K109" s="217">
        <f>(1+$G$5)^(D109/12)*(IF(E109=$N$7,$N$4,0)+IF(E109=$C$6,$B$10,0))</f>
      </c>
      <c r="L109" s="217">
        <f>(1+$G$5)^(D109/12)*(IF((E109)&gt;($B$6),H109,0)+IF(E109=$N$7,$N$4,0)+IF(E109=$C$6,0,0))</f>
      </c>
      <c r="M109" s="1"/>
      <c r="N109" s="7"/>
      <c r="O109" s="1"/>
      <c r="P109" s="331">
        <v>102</v>
      </c>
      <c r="Q109" s="544">
        <f>+DATE(YEAR(Q108),MONTH(Q108)-1,DAY(Q108))</f>
        <v>25569.041666666668</v>
      </c>
      <c r="R109" s="341">
        <f>IF($Z$7=$E109,1,IF(MONTH($E109)=1,R110*(1+$F$5),R110))</f>
      </c>
      <c r="S109" s="334">
        <f>R109*$B$8/12</f>
      </c>
      <c r="T109" s="334">
        <f>R109*$B$11/12</f>
      </c>
      <c r="U109" s="565">
        <f>(1+$V$5)^(P109/12)*(T109+IF(Q109=$Z$7,$Z$4,0))</f>
      </c>
      <c r="V109" s="170"/>
      <c r="W109" s="7"/>
      <c r="X109" s="1"/>
      <c r="Y109" s="1"/>
      <c r="Z109" s="1"/>
      <c r="AA109" s="1"/>
      <c r="AB109" s="1"/>
      <c r="AC109" s="331">
        <v>102</v>
      </c>
      <c r="AD109" s="544">
        <f>+DATE(YEAR(AD108),MONTH(AD108)-1,DAY(AD108))</f>
        <v>25569.041666666668</v>
      </c>
      <c r="AE109" s="341">
        <f>IF($AM$7=$E109,1,IF(MONTH($E109)=1,AE110*(1+$F$5),AE110))</f>
      </c>
      <c r="AF109" s="334">
        <f>AE109*$B$8/12</f>
      </c>
      <c r="AG109" s="334">
        <f>AE109*$B$12/12</f>
      </c>
      <c r="AH109" s="565">
        <f>(1+$AI$5)^(AC109/12)*(AG109+IF(AD109=$AM$7,$AM$4,0))</f>
      </c>
      <c r="AI109" s="170"/>
      <c r="AJ109" s="7"/>
      <c r="AK109" s="1"/>
      <c r="AL109" s="1"/>
      <c r="AM109" s="1"/>
    </row>
    <row x14ac:dyDescent="0.25" r="110" customHeight="1" ht="18.75">
      <c r="A110" s="1"/>
      <c r="B110" s="169"/>
      <c r="C110" s="170"/>
      <c r="D110" s="331">
        <v>103</v>
      </c>
      <c r="E110" s="544">
        <f>+DATE(YEAR(E109),MONTH(E109)-1,DAY(E109))</f>
        <v>25569.041666666668</v>
      </c>
      <c r="F110" s="333">
        <f>IF($C$6=$E110,1,IF(MONTH($E110)=1,F111*(1+$F$5),F111))</f>
      </c>
      <c r="G110" s="333">
        <f>F110*$B$8/12</f>
      </c>
      <c r="H110" s="333">
        <f>IF(F110=1,F110*$B$10/MIN(12,'Simulador - 3º Pilar'!$E$88),0)</f>
      </c>
      <c r="I110" s="560">
        <f>(1+$G$5)^(D110/12)*(H110+IF(E110=$N$7,$N$4,0))</f>
      </c>
      <c r="J110" s="561">
        <f>(1+$G$5)^(D110/12)*(H110*(12-IF(MONTH(E111)=12,0,MONTH(E111)))+IF(AND(F110=1,F111=0),$Q$4,0))*IF(AND(F110=1,F111=0),1,0)</f>
      </c>
      <c r="K110" s="217">
        <f>(1+$G$5)^(D110/12)*(IF(E110=$N$7,$N$4,0)+IF(E110=$C$6,$B$10,0))</f>
      </c>
      <c r="L110" s="217">
        <f>(1+$G$5)^(D110/12)*(IF((E110)&gt;($B$6),H110,0)+IF(E110=$N$7,$N$4,0)+IF(E110=$C$6,0,0))</f>
      </c>
      <c r="M110" s="1"/>
      <c r="N110" s="7"/>
      <c r="O110" s="1"/>
      <c r="P110" s="331">
        <v>103</v>
      </c>
      <c r="Q110" s="544">
        <f>+DATE(YEAR(Q109),MONTH(Q109)-1,DAY(Q109))</f>
        <v>25569.041666666668</v>
      </c>
      <c r="R110" s="341">
        <f>IF($Z$7=$E110,1,IF(MONTH($E110)=1,R111*(1+$F$5),R111))</f>
      </c>
      <c r="S110" s="334">
        <f>R110*$B$8/12</f>
      </c>
      <c r="T110" s="334">
        <f>R110*$B$11/12</f>
      </c>
      <c r="U110" s="565">
        <f>(1+$V$5)^(P110/12)*(T110+IF(Q110=$Z$7,$Z$4,0))</f>
      </c>
      <c r="V110" s="170"/>
      <c r="W110" s="7"/>
      <c r="X110" s="1"/>
      <c r="Y110" s="1"/>
      <c r="Z110" s="1"/>
      <c r="AA110" s="1"/>
      <c r="AB110" s="1"/>
      <c r="AC110" s="331">
        <v>103</v>
      </c>
      <c r="AD110" s="544">
        <f>+DATE(YEAR(AD109),MONTH(AD109)-1,DAY(AD109))</f>
        <v>25569.041666666668</v>
      </c>
      <c r="AE110" s="341">
        <f>IF($AM$7=$E110,1,IF(MONTH($E110)=1,AE111*(1+$F$5),AE111))</f>
      </c>
      <c r="AF110" s="334">
        <f>AE110*$B$8/12</f>
      </c>
      <c r="AG110" s="334">
        <f>AE110*$B$12/12</f>
      </c>
      <c r="AH110" s="565">
        <f>(1+$AI$5)^(AC110/12)*(AG110+IF(AD110=$AM$7,$AM$4,0))</f>
      </c>
      <c r="AI110" s="170"/>
      <c r="AJ110" s="7"/>
      <c r="AK110" s="1"/>
      <c r="AL110" s="1"/>
      <c r="AM110" s="1"/>
    </row>
    <row x14ac:dyDescent="0.25" r="111" customHeight="1" ht="18.75">
      <c r="A111" s="1"/>
      <c r="B111" s="169"/>
      <c r="C111" s="170"/>
      <c r="D111" s="331">
        <v>104</v>
      </c>
      <c r="E111" s="544">
        <f>+DATE(YEAR(E110),MONTH(E110)-1,DAY(E110))</f>
        <v>25569.041666666668</v>
      </c>
      <c r="F111" s="333">
        <f>IF($C$6=$E111,1,IF(MONTH($E111)=1,F112*(1+$F$5),F112))</f>
      </c>
      <c r="G111" s="333">
        <f>F111*$B$8/12</f>
      </c>
      <c r="H111" s="333">
        <f>IF(F111=1,F111*$B$10/MIN(12,'Simulador - 3º Pilar'!$E$88),0)</f>
      </c>
      <c r="I111" s="560">
        <f>(1+$G$5)^(D111/12)*(H111+IF(E111=$N$7,$N$4,0))</f>
      </c>
      <c r="J111" s="561">
        <f>(1+$G$5)^(D111/12)*(H111*(12-IF(MONTH(E112)=12,0,MONTH(E112)))+IF(AND(F111=1,F112=0),$Q$4,0))*IF(AND(F111=1,F112=0),1,0)</f>
      </c>
      <c r="K111" s="217">
        <f>(1+$G$5)^(D111/12)*(IF(E111=$N$7,$N$4,0)+IF(E111=$C$6,$B$10,0))</f>
      </c>
      <c r="L111" s="217">
        <f>(1+$G$5)^(D111/12)*(IF((E111)&gt;($B$6),H111,0)+IF(E111=$N$7,$N$4,0)+IF(E111=$C$6,0,0))</f>
      </c>
      <c r="M111" s="1"/>
      <c r="N111" s="7"/>
      <c r="O111" s="1"/>
      <c r="P111" s="331">
        <v>104</v>
      </c>
      <c r="Q111" s="544">
        <f>+DATE(YEAR(Q110),MONTH(Q110)-1,DAY(Q110))</f>
        <v>25569.041666666668</v>
      </c>
      <c r="R111" s="341">
        <f>IF($Z$7=$E111,1,IF(MONTH($E111)=1,R112*(1+$F$5),R112))</f>
      </c>
      <c r="S111" s="334">
        <f>R111*$B$8/12</f>
      </c>
      <c r="T111" s="334">
        <f>R111*$B$11/12</f>
      </c>
      <c r="U111" s="565">
        <f>(1+$V$5)^(P111/12)*(T111+IF(Q111=$Z$7,$Z$4,0))</f>
      </c>
      <c r="V111" s="170"/>
      <c r="W111" s="7"/>
      <c r="X111" s="1"/>
      <c r="Y111" s="1"/>
      <c r="Z111" s="1"/>
      <c r="AA111" s="1"/>
      <c r="AB111" s="1"/>
      <c r="AC111" s="331">
        <v>104</v>
      </c>
      <c r="AD111" s="544">
        <f>+DATE(YEAR(AD110),MONTH(AD110)-1,DAY(AD110))</f>
        <v>25569.041666666668</v>
      </c>
      <c r="AE111" s="341">
        <f>IF($AM$7=$E111,1,IF(MONTH($E111)=1,AE112*(1+$F$5),AE112))</f>
      </c>
      <c r="AF111" s="334">
        <f>AE111*$B$8/12</f>
      </c>
      <c r="AG111" s="334">
        <f>AE111*$B$12/12</f>
      </c>
      <c r="AH111" s="565">
        <f>(1+$AI$5)^(AC111/12)*(AG111+IF(AD111=$AM$7,$AM$4,0))</f>
      </c>
      <c r="AI111" s="170"/>
      <c r="AJ111" s="7"/>
      <c r="AK111" s="1"/>
      <c r="AL111" s="1"/>
      <c r="AM111" s="1"/>
    </row>
    <row x14ac:dyDescent="0.25" r="112" customHeight="1" ht="18.75">
      <c r="A112" s="1"/>
      <c r="B112" s="169"/>
      <c r="C112" s="170"/>
      <c r="D112" s="331">
        <v>105</v>
      </c>
      <c r="E112" s="544">
        <f>+DATE(YEAR(E111),MONTH(E111)-1,DAY(E111))</f>
        <v>25569.041666666668</v>
      </c>
      <c r="F112" s="333">
        <f>IF($C$6=$E112,1,IF(MONTH($E112)=1,F113*(1+$F$5),F113))</f>
      </c>
      <c r="G112" s="333">
        <f>F112*$B$8/12</f>
      </c>
      <c r="H112" s="333">
        <f>IF(F112=1,F112*$B$10/MIN(12,'Simulador - 3º Pilar'!$E$88),0)</f>
      </c>
      <c r="I112" s="560">
        <f>(1+$G$5)^(D112/12)*(H112+IF(E112=$N$7,$N$4,0))</f>
      </c>
      <c r="J112" s="561">
        <f>(1+$G$5)^(D112/12)*(H112*(12-IF(MONTH(E113)=12,0,MONTH(E113)))+IF(AND(F112=1,F113=0),$Q$4,0))*IF(AND(F112=1,F113=0),1,0)</f>
      </c>
      <c r="K112" s="217">
        <f>(1+$G$5)^(D112/12)*(IF(E112=$N$7,$N$4,0)+IF(E112=$C$6,$B$10,0))</f>
      </c>
      <c r="L112" s="217">
        <f>(1+$G$5)^(D112/12)*(IF((E112)&gt;($B$6),H112,0)+IF(E112=$N$7,$N$4,0)+IF(E112=$C$6,0,0))</f>
      </c>
      <c r="M112" s="1"/>
      <c r="N112" s="7"/>
      <c r="O112" s="1"/>
      <c r="P112" s="331">
        <v>105</v>
      </c>
      <c r="Q112" s="544">
        <f>+DATE(YEAR(Q111),MONTH(Q111)-1,DAY(Q111))</f>
        <v>25569.041666666668</v>
      </c>
      <c r="R112" s="341">
        <f>IF($Z$7=$E112,1,IF(MONTH($E112)=1,R113*(1+$F$5),R113))</f>
      </c>
      <c r="S112" s="334">
        <f>R112*$B$8/12</f>
      </c>
      <c r="T112" s="334">
        <f>R112*$B$11/12</f>
      </c>
      <c r="U112" s="565">
        <f>(1+$V$5)^(P112/12)*(T112+IF(Q112=$Z$7,$Z$4,0))</f>
      </c>
      <c r="V112" s="170"/>
      <c r="W112" s="7"/>
      <c r="X112" s="1"/>
      <c r="Y112" s="1"/>
      <c r="Z112" s="1"/>
      <c r="AA112" s="1"/>
      <c r="AB112" s="1"/>
      <c r="AC112" s="331">
        <v>105</v>
      </c>
      <c r="AD112" s="544">
        <f>+DATE(YEAR(AD111),MONTH(AD111)-1,DAY(AD111))</f>
        <v>25569.041666666668</v>
      </c>
      <c r="AE112" s="341">
        <f>IF($AM$7=$E112,1,IF(MONTH($E112)=1,AE113*(1+$F$5),AE113))</f>
      </c>
      <c r="AF112" s="334">
        <f>AE112*$B$8/12</f>
      </c>
      <c r="AG112" s="334">
        <f>AE112*$B$12/12</f>
      </c>
      <c r="AH112" s="565">
        <f>(1+$AI$5)^(AC112/12)*(AG112+IF(AD112=$AM$7,$AM$4,0))</f>
      </c>
      <c r="AI112" s="170"/>
      <c r="AJ112" s="7"/>
      <c r="AK112" s="1"/>
      <c r="AL112" s="1"/>
      <c r="AM112" s="1"/>
    </row>
    <row x14ac:dyDescent="0.25" r="113" customHeight="1" ht="18.75">
      <c r="A113" s="1"/>
      <c r="B113" s="169"/>
      <c r="C113" s="170"/>
      <c r="D113" s="331">
        <v>106</v>
      </c>
      <c r="E113" s="544">
        <f>+DATE(YEAR(E112),MONTH(E112)-1,DAY(E112))</f>
        <v>25569.041666666668</v>
      </c>
      <c r="F113" s="333">
        <f>IF($C$6=$E113,1,IF(MONTH($E113)=1,F114*(1+$F$5),F114))</f>
      </c>
      <c r="G113" s="333">
        <f>F113*$B$8/12</f>
      </c>
      <c r="H113" s="333">
        <f>IF(F113=1,F113*$B$10/MIN(12,'Simulador - 3º Pilar'!$E$88),0)</f>
      </c>
      <c r="I113" s="560">
        <f>(1+$G$5)^(D113/12)*(H113+IF(E113=$N$7,$N$4,0))</f>
      </c>
      <c r="J113" s="561">
        <f>(1+$G$5)^(D113/12)*(H113*(12-IF(MONTH(E114)=12,0,MONTH(E114)))+IF(AND(F113=1,F114=0),$Q$4,0))*IF(AND(F113=1,F114=0),1,0)</f>
      </c>
      <c r="K113" s="217">
        <f>(1+$G$5)^(D113/12)*(IF(E113=$N$7,$N$4,0)+IF(E113=$C$6,$B$10,0))</f>
      </c>
      <c r="L113" s="217">
        <f>(1+$G$5)^(D113/12)*(IF((E113)&gt;($B$6),H113,0)+IF(E113=$N$7,$N$4,0)+IF(E113=$C$6,0,0))</f>
      </c>
      <c r="M113" s="1"/>
      <c r="N113" s="7"/>
      <c r="O113" s="1"/>
      <c r="P113" s="331">
        <v>106</v>
      </c>
      <c r="Q113" s="544">
        <f>+DATE(YEAR(Q112),MONTH(Q112)-1,DAY(Q112))</f>
        <v>25569.041666666668</v>
      </c>
      <c r="R113" s="341">
        <f>IF($Z$7=$E113,1,IF(MONTH($E113)=1,R114*(1+$F$5),R114))</f>
      </c>
      <c r="S113" s="334">
        <f>R113*$B$8/12</f>
      </c>
      <c r="T113" s="334">
        <f>R113*$B$11/12</f>
      </c>
      <c r="U113" s="565">
        <f>(1+$V$5)^(P113/12)*(T113+IF(Q113=$Z$7,$Z$4,0))</f>
      </c>
      <c r="V113" s="170"/>
      <c r="W113" s="7"/>
      <c r="X113" s="1"/>
      <c r="Y113" s="1"/>
      <c r="Z113" s="1"/>
      <c r="AA113" s="1"/>
      <c r="AB113" s="1"/>
      <c r="AC113" s="331">
        <v>106</v>
      </c>
      <c r="AD113" s="544">
        <f>+DATE(YEAR(AD112),MONTH(AD112)-1,DAY(AD112))</f>
        <v>25569.041666666668</v>
      </c>
      <c r="AE113" s="341">
        <f>IF($AM$7=$E113,1,IF(MONTH($E113)=1,AE114*(1+$F$5),AE114))</f>
      </c>
      <c r="AF113" s="334">
        <f>AE113*$B$8/12</f>
      </c>
      <c r="AG113" s="334">
        <f>AE113*$B$12/12</f>
      </c>
      <c r="AH113" s="565">
        <f>(1+$AI$5)^(AC113/12)*(AG113+IF(AD113=$AM$7,$AM$4,0))</f>
      </c>
      <c r="AI113" s="170"/>
      <c r="AJ113" s="7"/>
      <c r="AK113" s="1"/>
      <c r="AL113" s="1"/>
      <c r="AM113" s="1"/>
    </row>
    <row x14ac:dyDescent="0.25" r="114" customHeight="1" ht="18.75">
      <c r="A114" s="1"/>
      <c r="B114" s="169"/>
      <c r="C114" s="170"/>
      <c r="D114" s="331">
        <v>107</v>
      </c>
      <c r="E114" s="544">
        <f>+DATE(YEAR(E113),MONTH(E113)-1,DAY(E113))</f>
        <v>25569.041666666668</v>
      </c>
      <c r="F114" s="333">
        <f>IF($C$6=$E114,1,IF(MONTH($E114)=1,F115*(1+$F$5),F115))</f>
      </c>
      <c r="G114" s="333">
        <f>F114*$B$8/12</f>
      </c>
      <c r="H114" s="333">
        <f>IF(F114=1,F114*$B$10/MIN(12,'Simulador - 3º Pilar'!$E$88),0)</f>
      </c>
      <c r="I114" s="560">
        <f>(1+$G$5)^(D114/12)*(H114+IF(E114=$N$7,$N$4,0))</f>
      </c>
      <c r="J114" s="561">
        <f>(1+$G$5)^(D114/12)*(H114*(12-IF(MONTH(E115)=12,0,MONTH(E115)))+IF(AND(F114=1,F115=0),$Q$4,0))*IF(AND(F114=1,F115=0),1,0)</f>
      </c>
      <c r="K114" s="217">
        <f>(1+$G$5)^(D114/12)*(IF(E114=$N$7,$N$4,0)+IF(E114=$C$6,$B$10,0))</f>
      </c>
      <c r="L114" s="217">
        <f>(1+$G$5)^(D114/12)*(IF((E114)&gt;($B$6),H114,0)+IF(E114=$N$7,$N$4,0)+IF(E114=$C$6,0,0))</f>
      </c>
      <c r="M114" s="1"/>
      <c r="N114" s="7"/>
      <c r="O114" s="1"/>
      <c r="P114" s="331">
        <v>107</v>
      </c>
      <c r="Q114" s="544">
        <f>+DATE(YEAR(Q113),MONTH(Q113)-1,DAY(Q113))</f>
        <v>25569.041666666668</v>
      </c>
      <c r="R114" s="341">
        <f>IF($Z$7=$E114,1,IF(MONTH($E114)=1,R115*(1+$F$5),R115))</f>
      </c>
      <c r="S114" s="334">
        <f>R114*$B$8/12</f>
      </c>
      <c r="T114" s="334">
        <f>R114*$B$11/12</f>
      </c>
      <c r="U114" s="565">
        <f>(1+$V$5)^(P114/12)*(T114+IF(Q114=$Z$7,$Z$4,0))</f>
      </c>
      <c r="V114" s="170"/>
      <c r="W114" s="7"/>
      <c r="X114" s="1"/>
      <c r="Y114" s="1"/>
      <c r="Z114" s="1"/>
      <c r="AA114" s="1"/>
      <c r="AB114" s="1"/>
      <c r="AC114" s="331">
        <v>107</v>
      </c>
      <c r="AD114" s="544">
        <f>+DATE(YEAR(AD113),MONTH(AD113)-1,DAY(AD113))</f>
        <v>25569.041666666668</v>
      </c>
      <c r="AE114" s="341">
        <f>IF($AM$7=$E114,1,IF(MONTH($E114)=1,AE115*(1+$F$5),AE115))</f>
      </c>
      <c r="AF114" s="334">
        <f>AE114*$B$8/12</f>
      </c>
      <c r="AG114" s="334">
        <f>AE114*$B$12/12</f>
      </c>
      <c r="AH114" s="565">
        <f>(1+$AI$5)^(AC114/12)*(AG114+IF(AD114=$AM$7,$AM$4,0))</f>
      </c>
      <c r="AI114" s="170"/>
      <c r="AJ114" s="7"/>
      <c r="AK114" s="1"/>
      <c r="AL114" s="1"/>
      <c r="AM114" s="1"/>
    </row>
    <row x14ac:dyDescent="0.25" r="115" customHeight="1" ht="18.75">
      <c r="A115" s="1"/>
      <c r="B115" s="169"/>
      <c r="C115" s="170"/>
      <c r="D115" s="331">
        <v>108</v>
      </c>
      <c r="E115" s="544">
        <f>+DATE(YEAR(E114),MONTH(E114)-1,DAY(E114))</f>
        <v>25569.041666666668</v>
      </c>
      <c r="F115" s="333">
        <f>IF($C$6=$E115,1,IF(MONTH($E115)=1,F116*(1+$F$5),F116))</f>
      </c>
      <c r="G115" s="333">
        <f>F115*$B$8/12</f>
      </c>
      <c r="H115" s="333">
        <f>IF(F115=1,F115*$B$10/MIN(12,'Simulador - 3º Pilar'!$E$88),0)</f>
      </c>
      <c r="I115" s="560">
        <f>(1+$G$5)^(D115/12)*(H115+IF(E115=$N$7,$N$4,0))</f>
      </c>
      <c r="J115" s="561">
        <f>(1+$G$5)^(D115/12)*(H115*(12-IF(MONTH(E116)=12,0,MONTH(E116)))+IF(AND(F115=1,F116=0),$Q$4,0))*IF(AND(F115=1,F116=0),1,0)</f>
      </c>
      <c r="K115" s="217">
        <f>(1+$G$5)^(D115/12)*(IF(E115=$N$7,$N$4,0)+IF(E115=$C$6,$B$10,0))</f>
      </c>
      <c r="L115" s="217">
        <f>(1+$G$5)^(D115/12)*(IF((E115)&gt;($B$6),H115,0)+IF(E115=$N$7,$N$4,0)+IF(E115=$C$6,0,0))</f>
      </c>
      <c r="M115" s="1"/>
      <c r="N115" s="7"/>
      <c r="O115" s="1"/>
      <c r="P115" s="331">
        <v>108</v>
      </c>
      <c r="Q115" s="544">
        <f>+DATE(YEAR(Q114),MONTH(Q114)-1,DAY(Q114))</f>
        <v>25569.041666666668</v>
      </c>
      <c r="R115" s="341">
        <f>IF($Z$7=$E115,1,IF(MONTH($E115)=1,R116*(1+$F$5),R116))</f>
      </c>
      <c r="S115" s="334">
        <f>R115*$B$8/12</f>
      </c>
      <c r="T115" s="334">
        <f>R115*$B$11/12</f>
      </c>
      <c r="U115" s="565">
        <f>(1+$V$5)^(P115/12)*(T115+IF(Q115=$Z$7,$Z$4,0))</f>
      </c>
      <c r="V115" s="170"/>
      <c r="W115" s="7"/>
      <c r="X115" s="1"/>
      <c r="Y115" s="1"/>
      <c r="Z115" s="1"/>
      <c r="AA115" s="1"/>
      <c r="AB115" s="1"/>
      <c r="AC115" s="331">
        <v>108</v>
      </c>
      <c r="AD115" s="544">
        <f>+DATE(YEAR(AD114),MONTH(AD114)-1,DAY(AD114))</f>
        <v>25569.041666666668</v>
      </c>
      <c r="AE115" s="341">
        <f>IF($AM$7=$E115,1,IF(MONTH($E115)=1,AE116*(1+$F$5),AE116))</f>
      </c>
      <c r="AF115" s="334">
        <f>AE115*$B$8/12</f>
      </c>
      <c r="AG115" s="334">
        <f>AE115*$B$12/12</f>
      </c>
      <c r="AH115" s="565">
        <f>(1+$AI$5)^(AC115/12)*(AG115+IF(AD115=$AM$7,$AM$4,0))</f>
      </c>
      <c r="AI115" s="170"/>
      <c r="AJ115" s="7"/>
      <c r="AK115" s="1"/>
      <c r="AL115" s="1"/>
      <c r="AM115" s="1"/>
    </row>
    <row x14ac:dyDescent="0.25" r="116" customHeight="1" ht="18.75">
      <c r="A116" s="1"/>
      <c r="B116" s="169"/>
      <c r="C116" s="170"/>
      <c r="D116" s="331">
        <v>109</v>
      </c>
      <c r="E116" s="544">
        <f>+DATE(YEAR(E115),MONTH(E115)-1,DAY(E115))</f>
        <v>25569.041666666668</v>
      </c>
      <c r="F116" s="333">
        <f>IF($C$6=$E116,1,IF(MONTH($E116)=1,F117*(1+$F$5),F117))</f>
      </c>
      <c r="G116" s="333">
        <f>F116*$B$8/12</f>
      </c>
      <c r="H116" s="333">
        <f>IF(F116=1,F116*$B$10/MIN(12,'Simulador - 3º Pilar'!$E$88),0)</f>
      </c>
      <c r="I116" s="560">
        <f>(1+$G$5)^(D116/12)*(H116+IF(E116=$N$7,$N$4,0))</f>
      </c>
      <c r="J116" s="561">
        <f>(1+$G$5)^(D116/12)*(H116*(12-IF(MONTH(E117)=12,0,MONTH(E117)))+IF(AND(F116=1,F117=0),$Q$4,0))*IF(AND(F116=1,F117=0),1,0)</f>
      </c>
      <c r="K116" s="217">
        <f>(1+$G$5)^(D116/12)*(IF(E116=$N$7,$N$4,0)+IF(E116=$C$6,$B$10,0))</f>
      </c>
      <c r="L116" s="217">
        <f>(1+$G$5)^(D116/12)*(IF((E116)&gt;($B$6),H116,0)+IF(E116=$N$7,$N$4,0)+IF(E116=$C$6,0,0))</f>
      </c>
      <c r="M116" s="1"/>
      <c r="N116" s="7"/>
      <c r="O116" s="1"/>
      <c r="P116" s="331">
        <v>109</v>
      </c>
      <c r="Q116" s="544">
        <f>+DATE(YEAR(Q115),MONTH(Q115)-1,DAY(Q115))</f>
        <v>25569.041666666668</v>
      </c>
      <c r="R116" s="341">
        <f>IF($Z$7=$E116,1,IF(MONTH($E116)=1,R117*(1+$F$5),R117))</f>
      </c>
      <c r="S116" s="334">
        <f>R116*$B$8/12</f>
      </c>
      <c r="T116" s="334">
        <f>R116*$B$11/12</f>
      </c>
      <c r="U116" s="565">
        <f>(1+$V$5)^(P116/12)*(T116+IF(Q116=$Z$7,$Z$4,0))</f>
      </c>
      <c r="V116" s="170"/>
      <c r="W116" s="7"/>
      <c r="X116" s="1"/>
      <c r="Y116" s="1"/>
      <c r="Z116" s="1"/>
      <c r="AA116" s="1"/>
      <c r="AB116" s="1"/>
      <c r="AC116" s="331">
        <v>109</v>
      </c>
      <c r="AD116" s="544">
        <f>+DATE(YEAR(AD115),MONTH(AD115)-1,DAY(AD115))</f>
        <v>25569.041666666668</v>
      </c>
      <c r="AE116" s="341">
        <f>IF($AM$7=$E116,1,IF(MONTH($E116)=1,AE117*(1+$F$5),AE117))</f>
      </c>
      <c r="AF116" s="334">
        <f>AE116*$B$8/12</f>
      </c>
      <c r="AG116" s="334">
        <f>AE116*$B$12/12</f>
      </c>
      <c r="AH116" s="565">
        <f>(1+$AI$5)^(AC116/12)*(AG116+IF(AD116=$AM$7,$AM$4,0))</f>
      </c>
      <c r="AI116" s="170"/>
      <c r="AJ116" s="7"/>
      <c r="AK116" s="1"/>
      <c r="AL116" s="1"/>
      <c r="AM116" s="1"/>
    </row>
    <row x14ac:dyDescent="0.25" r="117" customHeight="1" ht="18.75">
      <c r="A117" s="1"/>
      <c r="B117" s="169"/>
      <c r="C117" s="170"/>
      <c r="D117" s="331">
        <v>110</v>
      </c>
      <c r="E117" s="544">
        <f>+DATE(YEAR(E116),MONTH(E116)-1,DAY(E116))</f>
        <v>25569.041666666668</v>
      </c>
      <c r="F117" s="333">
        <f>IF($C$6=$E117,1,IF(MONTH($E117)=1,F118*(1+$F$5),F118))</f>
      </c>
      <c r="G117" s="333">
        <f>F117*$B$8/12</f>
      </c>
      <c r="H117" s="333">
        <f>IF(F117=1,F117*$B$10/MIN(12,'Simulador - 3º Pilar'!$E$88),0)</f>
      </c>
      <c r="I117" s="560">
        <f>(1+$G$5)^(D117/12)*(H117+IF(E117=$N$7,$N$4,0))</f>
      </c>
      <c r="J117" s="561">
        <f>(1+$G$5)^(D117/12)*(H117*(12-IF(MONTH(E118)=12,0,MONTH(E118)))+IF(AND(F117=1,F118=0),$Q$4,0))*IF(AND(F117=1,F118=0),1,0)</f>
      </c>
      <c r="K117" s="217">
        <f>(1+$G$5)^(D117/12)*(IF(E117=$N$7,$N$4,0)+IF(E117=$C$6,$B$10,0))</f>
      </c>
      <c r="L117" s="217">
        <f>(1+$G$5)^(D117/12)*(IF((E117)&gt;($B$6),H117,0)+IF(E117=$N$7,$N$4,0)+IF(E117=$C$6,0,0))</f>
      </c>
      <c r="M117" s="1"/>
      <c r="N117" s="7"/>
      <c r="O117" s="1"/>
      <c r="P117" s="331">
        <v>110</v>
      </c>
      <c r="Q117" s="544">
        <f>+DATE(YEAR(Q116),MONTH(Q116)-1,DAY(Q116))</f>
        <v>25569.041666666668</v>
      </c>
      <c r="R117" s="341">
        <f>IF($Z$7=$E117,1,IF(MONTH($E117)=1,R118*(1+$F$5),R118))</f>
      </c>
      <c r="S117" s="334">
        <f>R117*$B$8/12</f>
      </c>
      <c r="T117" s="334">
        <f>R117*$B$11/12</f>
      </c>
      <c r="U117" s="565">
        <f>(1+$V$5)^(P117/12)*(T117+IF(Q117=$Z$7,$Z$4,0))</f>
      </c>
      <c r="V117" s="170"/>
      <c r="W117" s="7"/>
      <c r="X117" s="1"/>
      <c r="Y117" s="1"/>
      <c r="Z117" s="1"/>
      <c r="AA117" s="1"/>
      <c r="AB117" s="1"/>
      <c r="AC117" s="331">
        <v>110</v>
      </c>
      <c r="AD117" s="544">
        <f>+DATE(YEAR(AD116),MONTH(AD116)-1,DAY(AD116))</f>
        <v>25569.041666666668</v>
      </c>
      <c r="AE117" s="341">
        <f>IF($AM$7=$E117,1,IF(MONTH($E117)=1,AE118*(1+$F$5),AE118))</f>
      </c>
      <c r="AF117" s="334">
        <f>AE117*$B$8/12</f>
      </c>
      <c r="AG117" s="334">
        <f>AE117*$B$12/12</f>
      </c>
      <c r="AH117" s="565">
        <f>(1+$AI$5)^(AC117/12)*(AG117+IF(AD117=$AM$7,$AM$4,0))</f>
      </c>
      <c r="AI117" s="170"/>
      <c r="AJ117" s="7"/>
      <c r="AK117" s="1"/>
      <c r="AL117" s="1"/>
      <c r="AM117" s="1"/>
    </row>
    <row x14ac:dyDescent="0.25" r="118" customHeight="1" ht="18.75">
      <c r="A118" s="1"/>
      <c r="B118" s="169"/>
      <c r="C118" s="170"/>
      <c r="D118" s="331">
        <v>111</v>
      </c>
      <c r="E118" s="544">
        <f>+DATE(YEAR(E117),MONTH(E117)-1,DAY(E117))</f>
        <v>25569.041666666668</v>
      </c>
      <c r="F118" s="333">
        <f>IF($C$6=$E118,1,IF(MONTH($E118)=1,F119*(1+$F$5),F119))</f>
      </c>
      <c r="G118" s="333">
        <f>F118*$B$8/12</f>
      </c>
      <c r="H118" s="333">
        <f>IF(F118=1,F118*$B$10/MIN(12,'Simulador - 3º Pilar'!$E$88),0)</f>
      </c>
      <c r="I118" s="560">
        <f>(1+$G$5)^(D118/12)*(H118+IF(E118=$N$7,$N$4,0))</f>
      </c>
      <c r="J118" s="561">
        <f>(1+$G$5)^(D118/12)*(H118*(12-IF(MONTH(E119)=12,0,MONTH(E119)))+IF(AND(F118=1,F119=0),$Q$4,0))*IF(AND(F118=1,F119=0),1,0)</f>
      </c>
      <c r="K118" s="217">
        <f>(1+$G$5)^(D118/12)*(IF(E118=$N$7,$N$4,0)+IF(E118=$C$6,$B$10,0))</f>
      </c>
      <c r="L118" s="217">
        <f>(1+$G$5)^(D118/12)*(IF((E118)&gt;($B$6),H118,0)+IF(E118=$N$7,$N$4,0)+IF(E118=$C$6,0,0))</f>
      </c>
      <c r="M118" s="1"/>
      <c r="N118" s="7"/>
      <c r="O118" s="1"/>
      <c r="P118" s="331">
        <v>111</v>
      </c>
      <c r="Q118" s="544">
        <f>+DATE(YEAR(Q117),MONTH(Q117)-1,DAY(Q117))</f>
        <v>25569.041666666668</v>
      </c>
      <c r="R118" s="341">
        <f>IF($Z$7=$E118,1,IF(MONTH($E118)=1,R119*(1+$F$5),R119))</f>
      </c>
      <c r="S118" s="334">
        <f>R118*$B$8/12</f>
      </c>
      <c r="T118" s="334">
        <f>R118*$B$11/12</f>
      </c>
      <c r="U118" s="565">
        <f>(1+$V$5)^(P118/12)*(T118+IF(Q118=$Z$7,$Z$4,0))</f>
      </c>
      <c r="V118" s="170"/>
      <c r="W118" s="7"/>
      <c r="X118" s="1"/>
      <c r="Y118" s="1"/>
      <c r="Z118" s="1"/>
      <c r="AA118" s="1"/>
      <c r="AB118" s="1"/>
      <c r="AC118" s="331">
        <v>111</v>
      </c>
      <c r="AD118" s="544">
        <f>+DATE(YEAR(AD117),MONTH(AD117)-1,DAY(AD117))</f>
        <v>25569.041666666668</v>
      </c>
      <c r="AE118" s="341">
        <f>IF($AM$7=$E118,1,IF(MONTH($E118)=1,AE119*(1+$F$5),AE119))</f>
      </c>
      <c r="AF118" s="334">
        <f>AE118*$B$8/12</f>
      </c>
      <c r="AG118" s="334">
        <f>AE118*$B$12/12</f>
      </c>
      <c r="AH118" s="565">
        <f>(1+$AI$5)^(AC118/12)*(AG118+IF(AD118=$AM$7,$AM$4,0))</f>
      </c>
      <c r="AI118" s="170"/>
      <c r="AJ118" s="7"/>
      <c r="AK118" s="1"/>
      <c r="AL118" s="1"/>
      <c r="AM118" s="1"/>
    </row>
    <row x14ac:dyDescent="0.25" r="119" customHeight="1" ht="18.75">
      <c r="A119" s="1"/>
      <c r="B119" s="169"/>
      <c r="C119" s="170"/>
      <c r="D119" s="331">
        <v>112</v>
      </c>
      <c r="E119" s="544">
        <f>+DATE(YEAR(E118),MONTH(E118)-1,DAY(E118))</f>
        <v>25569.041666666668</v>
      </c>
      <c r="F119" s="333">
        <f>IF($C$6=$E119,1,IF(MONTH($E119)=1,F120*(1+$F$5),F120))</f>
      </c>
      <c r="G119" s="333">
        <f>F119*$B$8/12</f>
      </c>
      <c r="H119" s="333">
        <f>IF(F119=1,F119*$B$10/MIN(12,'Simulador - 3º Pilar'!$E$88),0)</f>
      </c>
      <c r="I119" s="560">
        <f>(1+$G$5)^(D119/12)*(H119+IF(E119=$N$7,$N$4,0))</f>
      </c>
      <c r="J119" s="561">
        <f>(1+$G$5)^(D119/12)*(H119*(12-IF(MONTH(E120)=12,0,MONTH(E120)))+IF(AND(F119=1,F120=0),$Q$4,0))*IF(AND(F119=1,F120=0),1,0)</f>
      </c>
      <c r="K119" s="217">
        <f>(1+$G$5)^(D119/12)*(IF(E119=$N$7,$N$4,0)+IF(E119=$C$6,$B$10,0))</f>
      </c>
      <c r="L119" s="217">
        <f>(1+$G$5)^(D119/12)*(IF((E119)&gt;($B$6),H119,0)+IF(E119=$N$7,$N$4,0)+IF(E119=$C$6,0,0))</f>
      </c>
      <c r="M119" s="1"/>
      <c r="N119" s="7"/>
      <c r="O119" s="1"/>
      <c r="P119" s="331">
        <v>112</v>
      </c>
      <c r="Q119" s="544">
        <f>+DATE(YEAR(Q118),MONTH(Q118)-1,DAY(Q118))</f>
        <v>25569.041666666668</v>
      </c>
      <c r="R119" s="341">
        <f>IF($Z$7=$E119,1,IF(MONTH($E119)=1,R120*(1+$F$5),R120))</f>
      </c>
      <c r="S119" s="334">
        <f>R119*$B$8/12</f>
      </c>
      <c r="T119" s="334">
        <f>R119*$B$11/12</f>
      </c>
      <c r="U119" s="565">
        <f>(1+$V$5)^(P119/12)*(T119+IF(Q119=$Z$7,$Z$4,0))</f>
      </c>
      <c r="V119" s="170"/>
      <c r="W119" s="7"/>
      <c r="X119" s="1"/>
      <c r="Y119" s="1"/>
      <c r="Z119" s="1"/>
      <c r="AA119" s="1"/>
      <c r="AB119" s="1"/>
      <c r="AC119" s="331">
        <v>112</v>
      </c>
      <c r="AD119" s="544">
        <f>+DATE(YEAR(AD118),MONTH(AD118)-1,DAY(AD118))</f>
        <v>25569.041666666668</v>
      </c>
      <c r="AE119" s="341">
        <f>IF($AM$7=$E119,1,IF(MONTH($E119)=1,AE120*(1+$F$5),AE120))</f>
      </c>
      <c r="AF119" s="334">
        <f>AE119*$B$8/12</f>
      </c>
      <c r="AG119" s="334">
        <f>AE119*$B$12/12</f>
      </c>
      <c r="AH119" s="565">
        <f>(1+$AI$5)^(AC119/12)*(AG119+IF(AD119=$AM$7,$AM$4,0))</f>
      </c>
      <c r="AI119" s="170"/>
      <c r="AJ119" s="7"/>
      <c r="AK119" s="1"/>
      <c r="AL119" s="1"/>
      <c r="AM119" s="1"/>
    </row>
    <row x14ac:dyDescent="0.25" r="120" customHeight="1" ht="18.75">
      <c r="A120" s="1"/>
      <c r="B120" s="169"/>
      <c r="C120" s="170"/>
      <c r="D120" s="331">
        <v>113</v>
      </c>
      <c r="E120" s="544">
        <f>+DATE(YEAR(E119),MONTH(E119)-1,DAY(E119))</f>
        <v>25569.041666666668</v>
      </c>
      <c r="F120" s="333">
        <f>IF($C$6=$E120,1,IF(MONTH($E120)=1,F121*(1+$F$5),F121))</f>
      </c>
      <c r="G120" s="333">
        <f>F120*$B$8/12</f>
      </c>
      <c r="H120" s="333">
        <f>IF(F120=1,F120*$B$10/MIN(12,'Simulador - 3º Pilar'!$E$88),0)</f>
      </c>
      <c r="I120" s="560">
        <f>(1+$G$5)^(D120/12)*(H120+IF(E120=$N$7,$N$4,0))</f>
      </c>
      <c r="J120" s="561">
        <f>(1+$G$5)^(D120/12)*(H120*(12-IF(MONTH(E121)=12,0,MONTH(E121)))+IF(AND(F120=1,F121=0),$Q$4,0))*IF(AND(F120=1,F121=0),1,0)</f>
      </c>
      <c r="K120" s="217">
        <f>(1+$G$5)^(D120/12)*(IF(E120=$N$7,$N$4,0)+IF(E120=$C$6,$B$10,0))</f>
      </c>
      <c r="L120" s="217">
        <f>(1+$G$5)^(D120/12)*(IF((E120)&gt;($B$6),H120,0)+IF(E120=$N$7,$N$4,0)+IF(E120=$C$6,0,0))</f>
      </c>
      <c r="M120" s="1"/>
      <c r="N120" s="7"/>
      <c r="O120" s="1"/>
      <c r="P120" s="331">
        <v>113</v>
      </c>
      <c r="Q120" s="544">
        <f>+DATE(YEAR(Q119),MONTH(Q119)-1,DAY(Q119))</f>
        <v>25569.041666666668</v>
      </c>
      <c r="R120" s="341">
        <f>IF($Z$7=$E120,1,IF(MONTH($E120)=1,R121*(1+$F$5),R121))</f>
      </c>
      <c r="S120" s="334">
        <f>R120*$B$8/12</f>
      </c>
      <c r="T120" s="334">
        <f>R120*$B$11/12</f>
      </c>
      <c r="U120" s="565">
        <f>(1+$V$5)^(P120/12)*(T120+IF(Q120=$Z$7,$Z$4,0))</f>
      </c>
      <c r="V120" s="170"/>
      <c r="W120" s="7"/>
      <c r="X120" s="1"/>
      <c r="Y120" s="1"/>
      <c r="Z120" s="1"/>
      <c r="AA120" s="1"/>
      <c r="AB120" s="1"/>
      <c r="AC120" s="331">
        <v>113</v>
      </c>
      <c r="AD120" s="544">
        <f>+DATE(YEAR(AD119),MONTH(AD119)-1,DAY(AD119))</f>
        <v>25569.041666666668</v>
      </c>
      <c r="AE120" s="341">
        <f>IF($AM$7=$E120,1,IF(MONTH($E120)=1,AE121*(1+$F$5),AE121))</f>
      </c>
      <c r="AF120" s="334">
        <f>AE120*$B$8/12</f>
      </c>
      <c r="AG120" s="334">
        <f>AE120*$B$12/12</f>
      </c>
      <c r="AH120" s="565">
        <f>(1+$AI$5)^(AC120/12)*(AG120+IF(AD120=$AM$7,$AM$4,0))</f>
      </c>
      <c r="AI120" s="170"/>
      <c r="AJ120" s="7"/>
      <c r="AK120" s="1"/>
      <c r="AL120" s="1"/>
      <c r="AM120" s="1"/>
    </row>
    <row x14ac:dyDescent="0.25" r="121" customHeight="1" ht="18.75">
      <c r="A121" s="1"/>
      <c r="B121" s="169"/>
      <c r="C121" s="170"/>
      <c r="D121" s="331">
        <v>114</v>
      </c>
      <c r="E121" s="544">
        <f>+DATE(YEAR(E120),MONTH(E120)-1,DAY(E120))</f>
        <v>25569.041666666668</v>
      </c>
      <c r="F121" s="333">
        <f>IF($C$6=$E121,1,IF(MONTH($E121)=1,F122*(1+$F$5),F122))</f>
      </c>
      <c r="G121" s="333">
        <f>F121*$B$8/12</f>
      </c>
      <c r="H121" s="333">
        <f>IF(F121=1,F121*$B$10/MIN(12,'Simulador - 3º Pilar'!$E$88),0)</f>
      </c>
      <c r="I121" s="560">
        <f>(1+$G$5)^(D121/12)*(H121+IF(E121=$N$7,$N$4,0))</f>
      </c>
      <c r="J121" s="561">
        <f>(1+$G$5)^(D121/12)*(H121*(12-IF(MONTH(E122)=12,0,MONTH(E122)))+IF(AND(F121=1,F122=0),$Q$4,0))*IF(AND(F121=1,F122=0),1,0)</f>
      </c>
      <c r="K121" s="217">
        <f>(1+$G$5)^(D121/12)*(IF(E121=$N$7,$N$4,0)+IF(E121=$C$6,$B$10,0))</f>
      </c>
      <c r="L121" s="217">
        <f>(1+$G$5)^(D121/12)*(IF((E121)&gt;($B$6),H121,0)+IF(E121=$N$7,$N$4,0)+IF(E121=$C$6,0,0))</f>
      </c>
      <c r="M121" s="1"/>
      <c r="N121" s="7"/>
      <c r="O121" s="1"/>
      <c r="P121" s="331">
        <v>114</v>
      </c>
      <c r="Q121" s="544">
        <f>+DATE(YEAR(Q120),MONTH(Q120)-1,DAY(Q120))</f>
        <v>25569.041666666668</v>
      </c>
      <c r="R121" s="341">
        <f>IF($Z$7=$E121,1,IF(MONTH($E121)=1,R122*(1+$F$5),R122))</f>
      </c>
      <c r="S121" s="334">
        <f>R121*$B$8/12</f>
      </c>
      <c r="T121" s="334">
        <f>R121*$B$11/12</f>
      </c>
      <c r="U121" s="565">
        <f>(1+$V$5)^(P121/12)*(T121+IF(Q121=$Z$7,$Z$4,0))</f>
      </c>
      <c r="V121" s="170"/>
      <c r="W121" s="7"/>
      <c r="X121" s="1"/>
      <c r="Y121" s="1"/>
      <c r="Z121" s="1"/>
      <c r="AA121" s="1"/>
      <c r="AB121" s="1"/>
      <c r="AC121" s="331">
        <v>114</v>
      </c>
      <c r="AD121" s="544">
        <f>+DATE(YEAR(AD120),MONTH(AD120)-1,DAY(AD120))</f>
        <v>25569.041666666668</v>
      </c>
      <c r="AE121" s="341">
        <f>IF($AM$7=$E121,1,IF(MONTH($E121)=1,AE122*(1+$F$5),AE122))</f>
      </c>
      <c r="AF121" s="334">
        <f>AE121*$B$8/12</f>
      </c>
      <c r="AG121" s="334">
        <f>AE121*$B$12/12</f>
      </c>
      <c r="AH121" s="565">
        <f>(1+$AI$5)^(AC121/12)*(AG121+IF(AD121=$AM$7,$AM$4,0))</f>
      </c>
      <c r="AI121" s="170"/>
      <c r="AJ121" s="7"/>
      <c r="AK121" s="1"/>
      <c r="AL121" s="1"/>
      <c r="AM121" s="1"/>
    </row>
    <row x14ac:dyDescent="0.25" r="122" customHeight="1" ht="18.75">
      <c r="A122" s="1"/>
      <c r="B122" s="169"/>
      <c r="C122" s="170"/>
      <c r="D122" s="331">
        <v>115</v>
      </c>
      <c r="E122" s="544">
        <f>+DATE(YEAR(E121),MONTH(E121)-1,DAY(E121))</f>
        <v>25569.041666666668</v>
      </c>
      <c r="F122" s="333">
        <f>IF($C$6=$E122,1,IF(MONTH($E122)=1,F123*(1+$F$5),F123))</f>
      </c>
      <c r="G122" s="333">
        <f>F122*$B$8/12</f>
      </c>
      <c r="H122" s="333">
        <f>IF(F122=1,F122*$B$10/MIN(12,'Simulador - 3º Pilar'!$E$88),0)</f>
      </c>
      <c r="I122" s="560">
        <f>(1+$G$5)^(D122/12)*(H122+IF(E122=$N$7,$N$4,0))</f>
      </c>
      <c r="J122" s="561">
        <f>(1+$G$5)^(D122/12)*(H122*(12-IF(MONTH(E123)=12,0,MONTH(E123)))+IF(AND(F122=1,F123=0),$Q$4,0))*IF(AND(F122=1,F123=0),1,0)</f>
      </c>
      <c r="K122" s="217">
        <f>(1+$G$5)^(D122/12)*(IF(E122=$N$7,$N$4,0)+IF(E122=$C$6,$B$10,0))</f>
      </c>
      <c r="L122" s="217">
        <f>(1+$G$5)^(D122/12)*(IF((E122)&gt;($B$6),H122,0)+IF(E122=$N$7,$N$4,0)+IF(E122=$C$6,0,0))</f>
      </c>
      <c r="M122" s="1"/>
      <c r="N122" s="7"/>
      <c r="O122" s="1"/>
      <c r="P122" s="331">
        <v>115</v>
      </c>
      <c r="Q122" s="544">
        <f>+DATE(YEAR(Q121),MONTH(Q121)-1,DAY(Q121))</f>
        <v>25569.041666666668</v>
      </c>
      <c r="R122" s="341">
        <f>IF($Z$7=$E122,1,IF(MONTH($E122)=1,R123*(1+$F$5),R123))</f>
      </c>
      <c r="S122" s="334">
        <f>R122*$B$8/12</f>
      </c>
      <c r="T122" s="334">
        <f>R122*$B$11/12</f>
      </c>
      <c r="U122" s="565">
        <f>(1+$V$5)^(P122/12)*(T122+IF(Q122=$Z$7,$Z$4,0))</f>
      </c>
      <c r="V122" s="170"/>
      <c r="W122" s="7"/>
      <c r="X122" s="1"/>
      <c r="Y122" s="1"/>
      <c r="Z122" s="1"/>
      <c r="AA122" s="1"/>
      <c r="AB122" s="1"/>
      <c r="AC122" s="331">
        <v>115</v>
      </c>
      <c r="AD122" s="544">
        <f>+DATE(YEAR(AD121),MONTH(AD121)-1,DAY(AD121))</f>
        <v>25569.041666666668</v>
      </c>
      <c r="AE122" s="341">
        <f>IF($AM$7=$E122,1,IF(MONTH($E122)=1,AE123*(1+$F$5),AE123))</f>
      </c>
      <c r="AF122" s="334">
        <f>AE122*$B$8/12</f>
      </c>
      <c r="AG122" s="334">
        <f>AE122*$B$12/12</f>
      </c>
      <c r="AH122" s="565">
        <f>(1+$AI$5)^(AC122/12)*(AG122+IF(AD122=$AM$7,$AM$4,0))</f>
      </c>
      <c r="AI122" s="170"/>
      <c r="AJ122" s="7"/>
      <c r="AK122" s="1"/>
      <c r="AL122" s="1"/>
      <c r="AM122" s="1"/>
    </row>
    <row x14ac:dyDescent="0.25" r="123" customHeight="1" ht="18.75">
      <c r="A123" s="1"/>
      <c r="B123" s="169"/>
      <c r="C123" s="170"/>
      <c r="D123" s="331">
        <v>116</v>
      </c>
      <c r="E123" s="544">
        <f>+DATE(YEAR(E122),MONTH(E122)-1,DAY(E122))</f>
        <v>25569.041666666668</v>
      </c>
      <c r="F123" s="333">
        <f>IF($C$6=$E123,1,IF(MONTH($E123)=1,F124*(1+$F$5),F124))</f>
      </c>
      <c r="G123" s="333">
        <f>F123*$B$8/12</f>
      </c>
      <c r="H123" s="333">
        <f>IF(F123=1,F123*$B$10/MIN(12,'Simulador - 3º Pilar'!$E$88),0)</f>
      </c>
      <c r="I123" s="560">
        <f>(1+$G$5)^(D123/12)*(H123+IF(E123=$N$7,$N$4,0))</f>
      </c>
      <c r="J123" s="561">
        <f>(1+$G$5)^(D123/12)*(H123*(12-IF(MONTH(E124)=12,0,MONTH(E124)))+IF(AND(F123=1,F124=0),$Q$4,0))*IF(AND(F123=1,F124=0),1,0)</f>
      </c>
      <c r="K123" s="217">
        <f>(1+$G$5)^(D123/12)*(IF(E123=$N$7,$N$4,0)+IF(E123=$C$6,$B$10,0))</f>
      </c>
      <c r="L123" s="217">
        <f>(1+$G$5)^(D123/12)*(IF((E123)&gt;($B$6),H123,0)+IF(E123=$N$7,$N$4,0)+IF(E123=$C$6,0,0))</f>
      </c>
      <c r="M123" s="1"/>
      <c r="N123" s="7"/>
      <c r="O123" s="1"/>
      <c r="P123" s="331">
        <v>116</v>
      </c>
      <c r="Q123" s="544">
        <f>+DATE(YEAR(Q122),MONTH(Q122)-1,DAY(Q122))</f>
        <v>25569.041666666668</v>
      </c>
      <c r="R123" s="341">
        <f>IF($Z$7=$E123,1,IF(MONTH($E123)=1,R124*(1+$F$5),R124))</f>
      </c>
      <c r="S123" s="334">
        <f>R123*$B$8/12</f>
      </c>
      <c r="T123" s="334">
        <f>R123*$B$11/12</f>
      </c>
      <c r="U123" s="565">
        <f>(1+$V$5)^(P123/12)*(T123+IF(Q123=$Z$7,$Z$4,0))</f>
      </c>
      <c r="V123" s="170"/>
      <c r="W123" s="7"/>
      <c r="X123" s="1"/>
      <c r="Y123" s="1"/>
      <c r="Z123" s="1"/>
      <c r="AA123" s="1"/>
      <c r="AB123" s="1"/>
      <c r="AC123" s="331">
        <v>116</v>
      </c>
      <c r="AD123" s="544">
        <f>+DATE(YEAR(AD122),MONTH(AD122)-1,DAY(AD122))</f>
        <v>25569.041666666668</v>
      </c>
      <c r="AE123" s="341">
        <f>IF($AM$7=$E123,1,IF(MONTH($E123)=1,AE124*(1+$F$5),AE124))</f>
      </c>
      <c r="AF123" s="334">
        <f>AE123*$B$8/12</f>
      </c>
      <c r="AG123" s="334">
        <f>AE123*$B$12/12</f>
      </c>
      <c r="AH123" s="565">
        <f>(1+$AI$5)^(AC123/12)*(AG123+IF(AD123=$AM$7,$AM$4,0))</f>
      </c>
      <c r="AI123" s="170"/>
      <c r="AJ123" s="7"/>
      <c r="AK123" s="1"/>
      <c r="AL123" s="1"/>
      <c r="AM123" s="1"/>
    </row>
    <row x14ac:dyDescent="0.25" r="124" customHeight="1" ht="18.75">
      <c r="A124" s="1"/>
      <c r="B124" s="169"/>
      <c r="C124" s="170"/>
      <c r="D124" s="331">
        <v>117</v>
      </c>
      <c r="E124" s="544">
        <f>+DATE(YEAR(E123),MONTH(E123)-1,DAY(E123))</f>
        <v>25569.041666666668</v>
      </c>
      <c r="F124" s="333">
        <f>IF($C$6=$E124,1,IF(MONTH($E124)=1,F125*(1+$F$5),F125))</f>
      </c>
      <c r="G124" s="333">
        <f>F124*$B$8/12</f>
      </c>
      <c r="H124" s="333">
        <f>IF(F124=1,F124*$B$10/MIN(12,'Simulador - 3º Pilar'!$E$88),0)</f>
      </c>
      <c r="I124" s="560">
        <f>(1+$G$5)^(D124/12)*(H124+IF(E124=$N$7,$N$4,0))</f>
      </c>
      <c r="J124" s="561">
        <f>(1+$G$5)^(D124/12)*(H124*(12-IF(MONTH(E125)=12,0,MONTH(E125)))+IF(AND(F124=1,F125=0),$Q$4,0))*IF(AND(F124=1,F125=0),1,0)</f>
      </c>
      <c r="K124" s="217">
        <f>(1+$G$5)^(D124/12)*(IF(E124=$N$7,$N$4,0)+IF(E124=$C$6,$B$10,0))</f>
      </c>
      <c r="L124" s="217">
        <f>(1+$G$5)^(D124/12)*(IF((E124)&gt;($B$6),H124,0)+IF(E124=$N$7,$N$4,0)+IF(E124=$C$6,0,0))</f>
      </c>
      <c r="M124" s="1"/>
      <c r="N124" s="7"/>
      <c r="O124" s="1"/>
      <c r="P124" s="331">
        <v>117</v>
      </c>
      <c r="Q124" s="544">
        <f>+DATE(YEAR(Q123),MONTH(Q123)-1,DAY(Q123))</f>
        <v>25569.041666666668</v>
      </c>
      <c r="R124" s="341">
        <f>IF($Z$7=$E124,1,IF(MONTH($E124)=1,R125*(1+$F$5),R125))</f>
      </c>
      <c r="S124" s="334">
        <f>R124*$B$8/12</f>
      </c>
      <c r="T124" s="334">
        <f>R124*$B$11/12</f>
      </c>
      <c r="U124" s="565">
        <f>(1+$V$5)^(P124/12)*(T124+IF(Q124=$Z$7,$Z$4,0))</f>
      </c>
      <c r="V124" s="170"/>
      <c r="W124" s="7"/>
      <c r="X124" s="1"/>
      <c r="Y124" s="1"/>
      <c r="Z124" s="1"/>
      <c r="AA124" s="1"/>
      <c r="AB124" s="1"/>
      <c r="AC124" s="331">
        <v>117</v>
      </c>
      <c r="AD124" s="544">
        <f>+DATE(YEAR(AD123),MONTH(AD123)-1,DAY(AD123))</f>
        <v>25569.041666666668</v>
      </c>
      <c r="AE124" s="341">
        <f>IF($AM$7=$E124,1,IF(MONTH($E124)=1,AE125*(1+$F$5),AE125))</f>
      </c>
      <c r="AF124" s="334">
        <f>AE124*$B$8/12</f>
      </c>
      <c r="AG124" s="334">
        <f>AE124*$B$12/12</f>
      </c>
      <c r="AH124" s="565">
        <f>(1+$AI$5)^(AC124/12)*(AG124+IF(AD124=$AM$7,$AM$4,0))</f>
      </c>
      <c r="AI124" s="170"/>
      <c r="AJ124" s="7"/>
      <c r="AK124" s="1"/>
      <c r="AL124" s="1"/>
      <c r="AM124" s="1"/>
    </row>
    <row x14ac:dyDescent="0.25" r="125" customHeight="1" ht="18.75">
      <c r="A125" s="1"/>
      <c r="B125" s="169"/>
      <c r="C125" s="170"/>
      <c r="D125" s="331">
        <v>118</v>
      </c>
      <c r="E125" s="544">
        <f>+DATE(YEAR(E124),MONTH(E124)-1,DAY(E124))</f>
        <v>25569.041666666668</v>
      </c>
      <c r="F125" s="333">
        <f>IF($C$6=$E125,1,IF(MONTH($E125)=1,F126*(1+$F$5),F126))</f>
      </c>
      <c r="G125" s="333">
        <f>F125*$B$8/12</f>
      </c>
      <c r="H125" s="333">
        <f>IF(F125=1,F125*$B$10/MIN(12,'Simulador - 3º Pilar'!$E$88),0)</f>
      </c>
      <c r="I125" s="560">
        <f>(1+$G$5)^(D125/12)*(H125+IF(E125=$N$7,$N$4,0))</f>
      </c>
      <c r="J125" s="561">
        <f>(1+$G$5)^(D125/12)*(H125*(12-IF(MONTH(E126)=12,0,MONTH(E126)))+IF(AND(F125=1,F126=0),$Q$4,0))*IF(AND(F125=1,F126=0),1,0)</f>
      </c>
      <c r="K125" s="217">
        <f>(1+$G$5)^(D125/12)*(IF(E125=$N$7,$N$4,0)+IF(E125=$C$6,$B$10,0))</f>
      </c>
      <c r="L125" s="217">
        <f>(1+$G$5)^(D125/12)*(IF((E125)&gt;($B$6),H125,0)+IF(E125=$N$7,$N$4,0)+IF(E125=$C$6,0,0))</f>
      </c>
      <c r="M125" s="1"/>
      <c r="N125" s="7"/>
      <c r="O125" s="1"/>
      <c r="P125" s="331">
        <v>118</v>
      </c>
      <c r="Q125" s="544">
        <f>+DATE(YEAR(Q124),MONTH(Q124)-1,DAY(Q124))</f>
        <v>25569.041666666668</v>
      </c>
      <c r="R125" s="341">
        <f>IF($Z$7=$E125,1,IF(MONTH($E125)=1,R126*(1+$F$5),R126))</f>
      </c>
      <c r="S125" s="334">
        <f>R125*$B$8/12</f>
      </c>
      <c r="T125" s="334">
        <f>R125*$B$11/12</f>
      </c>
      <c r="U125" s="565">
        <f>(1+$V$5)^(P125/12)*(T125+IF(Q125=$Z$7,$Z$4,0))</f>
      </c>
      <c r="V125" s="170"/>
      <c r="W125" s="7"/>
      <c r="X125" s="1"/>
      <c r="Y125" s="1"/>
      <c r="Z125" s="1"/>
      <c r="AA125" s="1"/>
      <c r="AB125" s="1"/>
      <c r="AC125" s="331">
        <v>118</v>
      </c>
      <c r="AD125" s="544">
        <f>+DATE(YEAR(AD124),MONTH(AD124)-1,DAY(AD124))</f>
        <v>25569.041666666668</v>
      </c>
      <c r="AE125" s="341">
        <f>IF($AM$7=$E125,1,IF(MONTH($E125)=1,AE126*(1+$F$5),AE126))</f>
      </c>
      <c r="AF125" s="334">
        <f>AE125*$B$8/12</f>
      </c>
      <c r="AG125" s="334">
        <f>AE125*$B$12/12</f>
      </c>
      <c r="AH125" s="565">
        <f>(1+$AI$5)^(AC125/12)*(AG125+IF(AD125=$AM$7,$AM$4,0))</f>
      </c>
      <c r="AI125" s="170"/>
      <c r="AJ125" s="7"/>
      <c r="AK125" s="1"/>
      <c r="AL125" s="1"/>
      <c r="AM125" s="1"/>
    </row>
    <row x14ac:dyDescent="0.25" r="126" customHeight="1" ht="18.75">
      <c r="A126" s="1"/>
      <c r="B126" s="169"/>
      <c r="C126" s="170"/>
      <c r="D126" s="331">
        <v>119</v>
      </c>
      <c r="E126" s="544">
        <f>+DATE(YEAR(E125),MONTH(E125)-1,DAY(E125))</f>
        <v>25569.041666666668</v>
      </c>
      <c r="F126" s="333">
        <f>IF($C$6=$E126,1,IF(MONTH($E126)=1,F127*(1+$F$5),F127))</f>
      </c>
      <c r="G126" s="333">
        <f>F126*$B$8/12</f>
      </c>
      <c r="H126" s="333">
        <f>IF(F126=1,F126*$B$10/MIN(12,'Simulador - 3º Pilar'!$E$88),0)</f>
      </c>
      <c r="I126" s="560">
        <f>(1+$G$5)^(D126/12)*(H126+IF(E126=$N$7,$N$4,0))</f>
      </c>
      <c r="J126" s="561">
        <f>(1+$G$5)^(D126/12)*(H126*(12-IF(MONTH(E127)=12,0,MONTH(E127)))+IF(AND(F126=1,F127=0),$Q$4,0))*IF(AND(F126=1,F127=0),1,0)</f>
      </c>
      <c r="K126" s="217">
        <f>(1+$G$5)^(D126/12)*(IF(E126=$N$7,$N$4,0)+IF(E126=$C$6,$B$10,0))</f>
      </c>
      <c r="L126" s="217">
        <f>(1+$G$5)^(D126/12)*(IF((E126)&gt;($B$6),H126,0)+IF(E126=$N$7,$N$4,0)+IF(E126=$C$6,0,0))</f>
      </c>
      <c r="M126" s="1"/>
      <c r="N126" s="7"/>
      <c r="O126" s="1"/>
      <c r="P126" s="331">
        <v>119</v>
      </c>
      <c r="Q126" s="544">
        <f>+DATE(YEAR(Q125),MONTH(Q125)-1,DAY(Q125))</f>
        <v>25569.041666666668</v>
      </c>
      <c r="R126" s="341">
        <f>IF($Z$7=$E126,1,IF(MONTH($E126)=1,R127*(1+$F$5),R127))</f>
      </c>
      <c r="S126" s="334">
        <f>R126*$B$8/12</f>
      </c>
      <c r="T126" s="334">
        <f>R126*$B$11/12</f>
      </c>
      <c r="U126" s="565">
        <f>(1+$V$5)^(P126/12)*(T126+IF(Q126=$Z$7,$Z$4,0))</f>
      </c>
      <c r="V126" s="170"/>
      <c r="W126" s="7"/>
      <c r="X126" s="1"/>
      <c r="Y126" s="1"/>
      <c r="Z126" s="1"/>
      <c r="AA126" s="1"/>
      <c r="AB126" s="1"/>
      <c r="AC126" s="331">
        <v>119</v>
      </c>
      <c r="AD126" s="544">
        <f>+DATE(YEAR(AD125),MONTH(AD125)-1,DAY(AD125))</f>
        <v>25569.041666666668</v>
      </c>
      <c r="AE126" s="341">
        <f>IF($AM$7=$E126,1,IF(MONTH($E126)=1,AE127*(1+$F$5),AE127))</f>
      </c>
      <c r="AF126" s="334">
        <f>AE126*$B$8/12</f>
      </c>
      <c r="AG126" s="334">
        <f>AE126*$B$12/12</f>
      </c>
      <c r="AH126" s="565">
        <f>(1+$AI$5)^(AC126/12)*(AG126+IF(AD126=$AM$7,$AM$4,0))</f>
      </c>
      <c r="AI126" s="170"/>
      <c r="AJ126" s="7"/>
      <c r="AK126" s="1"/>
      <c r="AL126" s="1"/>
      <c r="AM126" s="1"/>
    </row>
    <row x14ac:dyDescent="0.25" r="127" customHeight="1" ht="18.75">
      <c r="A127" s="1"/>
      <c r="B127" s="169"/>
      <c r="C127" s="170"/>
      <c r="D127" s="331">
        <v>120</v>
      </c>
      <c r="E127" s="544">
        <f>+DATE(YEAR(E126),MONTH(E126)-1,DAY(E126))</f>
        <v>25569.041666666668</v>
      </c>
      <c r="F127" s="333">
        <f>IF($C$6=$E127,1,IF(MONTH($E127)=1,F128*(1+$F$5),F128))</f>
      </c>
      <c r="G127" s="333">
        <f>F127*$B$8/12</f>
      </c>
      <c r="H127" s="333">
        <f>IF(F127=1,F127*$B$10/MIN(12,'Simulador - 3º Pilar'!$E$88),0)</f>
      </c>
      <c r="I127" s="560">
        <f>(1+$G$5)^(D127/12)*(H127+IF(E127=$N$7,$N$4,0))</f>
      </c>
      <c r="J127" s="561">
        <f>(1+$G$5)^(D127/12)*(H127*(12-IF(MONTH(E128)=12,0,MONTH(E128)))+IF(AND(F127=1,F128=0),$Q$4,0))*IF(AND(F127=1,F128=0),1,0)</f>
      </c>
      <c r="K127" s="217">
        <f>(1+$G$5)^(D127/12)*(IF(E127=$N$7,$N$4,0)+IF(E127=$C$6,$B$10,0))</f>
      </c>
      <c r="L127" s="217">
        <f>(1+$G$5)^(D127/12)*(IF((E127)&gt;($B$6),H127,0)+IF(E127=$N$7,$N$4,0)+IF(E127=$C$6,0,0))</f>
      </c>
      <c r="M127" s="1"/>
      <c r="N127" s="7"/>
      <c r="O127" s="1"/>
      <c r="P127" s="331">
        <v>120</v>
      </c>
      <c r="Q127" s="544">
        <f>+DATE(YEAR(Q126),MONTH(Q126)-1,DAY(Q126))</f>
        <v>25569.041666666668</v>
      </c>
      <c r="R127" s="341">
        <f>IF($Z$7=$E127,1,IF(MONTH($E127)=1,R128*(1+$F$5),R128))</f>
      </c>
      <c r="S127" s="334">
        <f>R127*$B$8/12</f>
      </c>
      <c r="T127" s="334">
        <f>R127*$B$11/12</f>
      </c>
      <c r="U127" s="565">
        <f>(1+$V$5)^(P127/12)*(T127+IF(Q127=$Z$7,$Z$4,0))</f>
      </c>
      <c r="V127" s="170"/>
      <c r="W127" s="7"/>
      <c r="X127" s="1"/>
      <c r="Y127" s="1"/>
      <c r="Z127" s="1"/>
      <c r="AA127" s="1"/>
      <c r="AB127" s="1"/>
      <c r="AC127" s="331">
        <v>120</v>
      </c>
      <c r="AD127" s="544">
        <f>+DATE(YEAR(AD126),MONTH(AD126)-1,DAY(AD126))</f>
        <v>25569.041666666668</v>
      </c>
      <c r="AE127" s="341">
        <f>IF($AM$7=$E127,1,IF(MONTH($E127)=1,AE128*(1+$F$5),AE128))</f>
      </c>
      <c r="AF127" s="334">
        <f>AE127*$B$8/12</f>
      </c>
      <c r="AG127" s="334">
        <f>AE127*$B$12/12</f>
      </c>
      <c r="AH127" s="565">
        <f>(1+$AI$5)^(AC127/12)*(AG127+IF(AD127=$AM$7,$AM$4,0))</f>
      </c>
      <c r="AI127" s="170"/>
      <c r="AJ127" s="7"/>
      <c r="AK127" s="1"/>
      <c r="AL127" s="1"/>
      <c r="AM127" s="1"/>
    </row>
    <row x14ac:dyDescent="0.25" r="128" customHeight="1" ht="18.75">
      <c r="A128" s="1"/>
      <c r="B128" s="169"/>
      <c r="C128" s="170"/>
      <c r="D128" s="331">
        <v>121</v>
      </c>
      <c r="E128" s="544">
        <f>+DATE(YEAR(E127),MONTH(E127)-1,DAY(E127))</f>
        <v>25569.041666666668</v>
      </c>
      <c r="F128" s="333">
        <f>IF($C$6=$E128,1,IF(MONTH($E128)=1,F129*(1+$F$5),F129))</f>
      </c>
      <c r="G128" s="333">
        <f>F128*$B$8/12</f>
      </c>
      <c r="H128" s="333">
        <f>IF(F128=1,F128*$B$10/MIN(12,'Simulador - 3º Pilar'!$E$88),0)</f>
      </c>
      <c r="I128" s="560">
        <f>(1+$G$5)^(D128/12)*(H128+IF(E128=$N$7,$N$4,0))</f>
      </c>
      <c r="J128" s="561">
        <f>(1+$G$5)^(D128/12)*(H128*(12-IF(MONTH(E129)=12,0,MONTH(E129)))+IF(AND(F128=1,F129=0),$Q$4,0))*IF(AND(F128=1,F129=0),1,0)</f>
      </c>
      <c r="K128" s="217">
        <f>(1+$G$5)^(D128/12)*(IF(E128=$N$7,$N$4,0)+IF(E128=$C$6,$B$10,0))</f>
      </c>
      <c r="L128" s="217">
        <f>(1+$G$5)^(D128/12)*(IF((E128)&gt;($B$6),H128,0)+IF(E128=$N$7,$N$4,0)+IF(E128=$C$6,0,0))</f>
      </c>
      <c r="M128" s="1"/>
      <c r="N128" s="7"/>
      <c r="O128" s="1"/>
      <c r="P128" s="331">
        <v>121</v>
      </c>
      <c r="Q128" s="544">
        <f>+DATE(YEAR(Q127),MONTH(Q127)-1,DAY(Q127))</f>
        <v>25569.041666666668</v>
      </c>
      <c r="R128" s="341">
        <f>IF($Z$7=$E128,1,IF(MONTH($E128)=1,R129*(1+$F$5),R129))</f>
      </c>
      <c r="S128" s="334">
        <f>R128*$B$8/12</f>
      </c>
      <c r="T128" s="334">
        <f>R128*$B$11/12</f>
      </c>
      <c r="U128" s="565">
        <f>(1+$V$5)^(P128/12)*(T128+IF(Q128=$Z$7,$Z$4,0))</f>
      </c>
      <c r="V128" s="170"/>
      <c r="W128" s="7"/>
      <c r="X128" s="1"/>
      <c r="Y128" s="1"/>
      <c r="Z128" s="1"/>
      <c r="AA128" s="1"/>
      <c r="AB128" s="1"/>
      <c r="AC128" s="331">
        <v>121</v>
      </c>
      <c r="AD128" s="544">
        <f>+DATE(YEAR(AD127),MONTH(AD127)-1,DAY(AD127))</f>
        <v>25569.041666666668</v>
      </c>
      <c r="AE128" s="341">
        <f>IF($AM$7=$E128,1,IF(MONTH($E128)=1,AE129*(1+$F$5),AE129))</f>
      </c>
      <c r="AF128" s="334">
        <f>AE128*$B$8/12</f>
      </c>
      <c r="AG128" s="334">
        <f>AE128*$B$12/12</f>
      </c>
      <c r="AH128" s="565">
        <f>(1+$AI$5)^(AC128/12)*(AG128+IF(AD128=$AM$7,$AM$4,0))</f>
      </c>
      <c r="AI128" s="170"/>
      <c r="AJ128" s="7"/>
      <c r="AK128" s="1"/>
      <c r="AL128" s="1"/>
      <c r="AM128" s="1"/>
    </row>
    <row x14ac:dyDescent="0.25" r="129" customHeight="1" ht="18.75">
      <c r="A129" s="1"/>
      <c r="B129" s="169"/>
      <c r="C129" s="170"/>
      <c r="D129" s="331">
        <v>122</v>
      </c>
      <c r="E129" s="544">
        <f>+DATE(YEAR(E128),MONTH(E128)-1,DAY(E128))</f>
        <v>25569.041666666668</v>
      </c>
      <c r="F129" s="333">
        <f>IF($C$6=$E129,1,IF(MONTH($E129)=1,F130*(1+$F$5),F130))</f>
      </c>
      <c r="G129" s="333">
        <f>F129*$B$8/12</f>
      </c>
      <c r="H129" s="333">
        <f>IF(F129=1,F129*$B$10/MIN(12,'Simulador - 3º Pilar'!$E$88),0)</f>
      </c>
      <c r="I129" s="560">
        <f>(1+$G$5)^(D129/12)*(H129+IF(E129=$N$7,$N$4,0))</f>
      </c>
      <c r="J129" s="561">
        <f>(1+$G$5)^(D129/12)*(H129*(12-IF(MONTH(E130)=12,0,MONTH(E130)))+IF(AND(F129=1,F130=0),$Q$4,0))*IF(AND(F129=1,F130=0),1,0)</f>
      </c>
      <c r="K129" s="217">
        <f>(1+$G$5)^(D129/12)*(IF(E129=$N$7,$N$4,0)+IF(E129=$C$6,$B$10,0))</f>
      </c>
      <c r="L129" s="217">
        <f>(1+$G$5)^(D129/12)*(IF((E129)&gt;($B$6),H129,0)+IF(E129=$N$7,$N$4,0)+IF(E129=$C$6,0,0))</f>
      </c>
      <c r="M129" s="1"/>
      <c r="N129" s="7"/>
      <c r="O129" s="1"/>
      <c r="P129" s="331">
        <v>122</v>
      </c>
      <c r="Q129" s="544">
        <f>+DATE(YEAR(Q128),MONTH(Q128)-1,DAY(Q128))</f>
        <v>25569.041666666668</v>
      </c>
      <c r="R129" s="341">
        <f>IF($Z$7=$E129,1,IF(MONTH($E129)=1,R130*(1+$F$5),R130))</f>
      </c>
      <c r="S129" s="334">
        <f>R129*$B$8/12</f>
      </c>
      <c r="T129" s="334">
        <f>R129*$B$11/12</f>
      </c>
      <c r="U129" s="565">
        <f>(1+$V$5)^(P129/12)*(T129+IF(Q129=$Z$7,$Z$4,0))</f>
      </c>
      <c r="V129" s="170"/>
      <c r="W129" s="7"/>
      <c r="X129" s="1"/>
      <c r="Y129" s="1"/>
      <c r="Z129" s="1"/>
      <c r="AA129" s="1"/>
      <c r="AB129" s="1"/>
      <c r="AC129" s="331">
        <v>122</v>
      </c>
      <c r="AD129" s="544">
        <f>+DATE(YEAR(AD128),MONTH(AD128)-1,DAY(AD128))</f>
        <v>25569.041666666668</v>
      </c>
      <c r="AE129" s="341">
        <f>IF($AM$7=$E129,1,IF(MONTH($E129)=1,AE130*(1+$F$5),AE130))</f>
      </c>
      <c r="AF129" s="334">
        <f>AE129*$B$8/12</f>
      </c>
      <c r="AG129" s="334">
        <f>AE129*$B$12/12</f>
      </c>
      <c r="AH129" s="565">
        <f>(1+$AI$5)^(AC129/12)*(AG129+IF(AD129=$AM$7,$AM$4,0))</f>
      </c>
      <c r="AI129" s="170"/>
      <c r="AJ129" s="7"/>
      <c r="AK129" s="1"/>
      <c r="AL129" s="1"/>
      <c r="AM129" s="1"/>
    </row>
    <row x14ac:dyDescent="0.25" r="130" customHeight="1" ht="18.75">
      <c r="A130" s="1"/>
      <c r="B130" s="169"/>
      <c r="C130" s="170"/>
      <c r="D130" s="331">
        <v>123</v>
      </c>
      <c r="E130" s="544">
        <f>+DATE(YEAR(E129),MONTH(E129)-1,DAY(E129))</f>
        <v>25569.041666666668</v>
      </c>
      <c r="F130" s="333">
        <f>IF($C$6=$E130,1,IF(MONTH($E130)=1,F131*(1+$F$5),F131))</f>
      </c>
      <c r="G130" s="333">
        <f>F130*$B$8/12</f>
      </c>
      <c r="H130" s="333">
        <f>IF(F130=1,F130*$B$10/MIN(12,'Simulador - 3º Pilar'!$E$88),0)</f>
      </c>
      <c r="I130" s="560">
        <f>(1+$G$5)^(D130/12)*(H130+IF(E130=$N$7,$N$4,0))</f>
      </c>
      <c r="J130" s="561">
        <f>(1+$G$5)^(D130/12)*(H130*(12-IF(MONTH(E131)=12,0,MONTH(E131)))+IF(AND(F130=1,F131=0),$Q$4,0))*IF(AND(F130=1,F131=0),1,0)</f>
      </c>
      <c r="K130" s="217">
        <f>(1+$G$5)^(D130/12)*(IF(E130=$N$7,$N$4,0)+IF(E130=$C$6,$B$10,0))</f>
      </c>
      <c r="L130" s="217">
        <f>(1+$G$5)^(D130/12)*(IF((E130)&gt;($B$6),H130,0)+IF(E130=$N$7,$N$4,0)+IF(E130=$C$6,0,0))</f>
      </c>
      <c r="M130" s="1"/>
      <c r="N130" s="7"/>
      <c r="O130" s="1"/>
      <c r="P130" s="331">
        <v>123</v>
      </c>
      <c r="Q130" s="544">
        <f>+DATE(YEAR(Q129),MONTH(Q129)-1,DAY(Q129))</f>
        <v>25569.041666666668</v>
      </c>
      <c r="R130" s="341">
        <f>IF($Z$7=$E130,1,IF(MONTH($E130)=1,R131*(1+$F$5),R131))</f>
      </c>
      <c r="S130" s="334">
        <f>R130*$B$8/12</f>
      </c>
      <c r="T130" s="334">
        <f>R130*$B$11/12</f>
      </c>
      <c r="U130" s="565">
        <f>(1+$V$5)^(P130/12)*(T130+IF(Q130=$Z$7,$Z$4,0))</f>
      </c>
      <c r="V130" s="170"/>
      <c r="W130" s="7"/>
      <c r="X130" s="1"/>
      <c r="Y130" s="1"/>
      <c r="Z130" s="1"/>
      <c r="AA130" s="1"/>
      <c r="AB130" s="1"/>
      <c r="AC130" s="331">
        <v>123</v>
      </c>
      <c r="AD130" s="544">
        <f>+DATE(YEAR(AD129),MONTH(AD129)-1,DAY(AD129))</f>
        <v>25569.041666666668</v>
      </c>
      <c r="AE130" s="341">
        <f>IF($AM$7=$E130,1,IF(MONTH($E130)=1,AE131*(1+$F$5),AE131))</f>
      </c>
      <c r="AF130" s="334">
        <f>AE130*$B$8/12</f>
      </c>
      <c r="AG130" s="334">
        <f>AE130*$B$12/12</f>
      </c>
      <c r="AH130" s="565">
        <f>(1+$AI$5)^(AC130/12)*(AG130+IF(AD130=$AM$7,$AM$4,0))</f>
      </c>
      <c r="AI130" s="170"/>
      <c r="AJ130" s="7"/>
      <c r="AK130" s="1"/>
      <c r="AL130" s="1"/>
      <c r="AM130" s="1"/>
    </row>
    <row x14ac:dyDescent="0.25" r="131" customHeight="1" ht="18.75">
      <c r="A131" s="1"/>
      <c r="B131" s="169"/>
      <c r="C131" s="170"/>
      <c r="D131" s="331">
        <v>124</v>
      </c>
      <c r="E131" s="544">
        <f>+DATE(YEAR(E130),MONTH(E130)-1,DAY(E130))</f>
        <v>25569.041666666668</v>
      </c>
      <c r="F131" s="333">
        <f>IF($C$6=$E131,1,IF(MONTH($E131)=1,F132*(1+$F$5),F132))</f>
      </c>
      <c r="G131" s="333">
        <f>F131*$B$8/12</f>
      </c>
      <c r="H131" s="333">
        <f>IF(F131=1,F131*$B$10/MIN(12,'Simulador - 3º Pilar'!$E$88),0)</f>
      </c>
      <c r="I131" s="560">
        <f>(1+$G$5)^(D131/12)*(H131+IF(E131=$N$7,$N$4,0))</f>
      </c>
      <c r="J131" s="561">
        <f>(1+$G$5)^(D131/12)*(H131*(12-IF(MONTH(E132)=12,0,MONTH(E132)))+IF(AND(F131=1,F132=0),$Q$4,0))*IF(AND(F131=1,F132=0),1,0)</f>
      </c>
      <c r="K131" s="217">
        <f>(1+$G$5)^(D131/12)*(IF(E131=$N$7,$N$4,0)+IF(E131=$C$6,$B$10,0))</f>
      </c>
      <c r="L131" s="217">
        <f>(1+$G$5)^(D131/12)*(IF((E131)&gt;($B$6),H131,0)+IF(E131=$N$7,$N$4,0)+IF(E131=$C$6,0,0))</f>
      </c>
      <c r="M131" s="1"/>
      <c r="N131" s="7"/>
      <c r="O131" s="1"/>
      <c r="P131" s="331">
        <v>124</v>
      </c>
      <c r="Q131" s="544">
        <f>+DATE(YEAR(Q130),MONTH(Q130)-1,DAY(Q130))</f>
        <v>25569.041666666668</v>
      </c>
      <c r="R131" s="341">
        <f>IF($Z$7=$E131,1,IF(MONTH($E131)=1,R132*(1+$F$5),R132))</f>
      </c>
      <c r="S131" s="334">
        <f>R131*$B$8/12</f>
      </c>
      <c r="T131" s="334">
        <f>R131*$B$11/12</f>
      </c>
      <c r="U131" s="565">
        <f>(1+$V$5)^(P131/12)*(T131+IF(Q131=$Z$7,$Z$4,0))</f>
      </c>
      <c r="V131" s="170"/>
      <c r="W131" s="7"/>
      <c r="X131" s="1"/>
      <c r="Y131" s="1"/>
      <c r="Z131" s="1"/>
      <c r="AA131" s="1"/>
      <c r="AB131" s="1"/>
      <c r="AC131" s="331">
        <v>124</v>
      </c>
      <c r="AD131" s="544">
        <f>+DATE(YEAR(AD130),MONTH(AD130)-1,DAY(AD130))</f>
        <v>25569.041666666668</v>
      </c>
      <c r="AE131" s="341">
        <f>IF($AM$7=$E131,1,IF(MONTH($E131)=1,AE132*(1+$F$5),AE132))</f>
      </c>
      <c r="AF131" s="334">
        <f>AE131*$B$8/12</f>
      </c>
      <c r="AG131" s="334">
        <f>AE131*$B$12/12</f>
      </c>
      <c r="AH131" s="565">
        <f>(1+$AI$5)^(AC131/12)*(AG131+IF(AD131=$AM$7,$AM$4,0))</f>
      </c>
      <c r="AI131" s="170"/>
      <c r="AJ131" s="7"/>
      <c r="AK131" s="1"/>
      <c r="AL131" s="1"/>
      <c r="AM131" s="1"/>
    </row>
    <row x14ac:dyDescent="0.25" r="132" customHeight="1" ht="18.75">
      <c r="A132" s="1"/>
      <c r="B132" s="169"/>
      <c r="C132" s="170"/>
      <c r="D132" s="331">
        <v>125</v>
      </c>
      <c r="E132" s="544">
        <f>+DATE(YEAR(E131),MONTH(E131)-1,DAY(E131))</f>
        <v>25569.041666666668</v>
      </c>
      <c r="F132" s="333">
        <f>IF($C$6=$E132,1,IF(MONTH($E132)=1,F133*(1+$F$5),F133))</f>
      </c>
      <c r="G132" s="333">
        <f>F132*$B$8/12</f>
      </c>
      <c r="H132" s="333">
        <f>IF(F132=1,F132*$B$10/MIN(12,'Simulador - 3º Pilar'!$E$88),0)</f>
      </c>
      <c r="I132" s="560">
        <f>(1+$G$5)^(D132/12)*(H132+IF(E132=$N$7,$N$4,0))</f>
      </c>
      <c r="J132" s="561">
        <f>(1+$G$5)^(D132/12)*(H132*(12-IF(MONTH(E133)=12,0,MONTH(E133)))+IF(AND(F132=1,F133=0),$Q$4,0))*IF(AND(F132=1,F133=0),1,0)</f>
      </c>
      <c r="K132" s="217">
        <f>(1+$G$5)^(D132/12)*(IF(E132=$N$7,$N$4,0)+IF(E132=$C$6,$B$10,0))</f>
      </c>
      <c r="L132" s="217">
        <f>(1+$G$5)^(D132/12)*(IF((E132)&gt;($B$6),H132,0)+IF(E132=$N$7,$N$4,0)+IF(E132=$C$6,0,0))</f>
      </c>
      <c r="M132" s="1"/>
      <c r="N132" s="7"/>
      <c r="O132" s="1"/>
      <c r="P132" s="331">
        <v>125</v>
      </c>
      <c r="Q132" s="544">
        <f>+DATE(YEAR(Q131),MONTH(Q131)-1,DAY(Q131))</f>
        <v>25569.041666666668</v>
      </c>
      <c r="R132" s="341">
        <f>IF($Z$7=$E132,1,IF(MONTH($E132)=1,R133*(1+$F$5),R133))</f>
      </c>
      <c r="S132" s="334">
        <f>R132*$B$8/12</f>
      </c>
      <c r="T132" s="334">
        <f>R132*$B$11/12</f>
      </c>
      <c r="U132" s="565">
        <f>(1+$V$5)^(P132/12)*(T132+IF(Q132=$Z$7,$Z$4,0))</f>
      </c>
      <c r="V132" s="170"/>
      <c r="W132" s="7"/>
      <c r="X132" s="1"/>
      <c r="Y132" s="1"/>
      <c r="Z132" s="1"/>
      <c r="AA132" s="1"/>
      <c r="AB132" s="1"/>
      <c r="AC132" s="331">
        <v>125</v>
      </c>
      <c r="AD132" s="544">
        <f>+DATE(YEAR(AD131),MONTH(AD131)-1,DAY(AD131))</f>
        <v>25569.041666666668</v>
      </c>
      <c r="AE132" s="341">
        <f>IF($AM$7=$E132,1,IF(MONTH($E132)=1,AE133*(1+$F$5),AE133))</f>
      </c>
      <c r="AF132" s="334">
        <f>AE132*$B$8/12</f>
      </c>
      <c r="AG132" s="334">
        <f>AE132*$B$12/12</f>
      </c>
      <c r="AH132" s="565">
        <f>(1+$AI$5)^(AC132/12)*(AG132+IF(AD132=$AM$7,$AM$4,0))</f>
      </c>
      <c r="AI132" s="170"/>
      <c r="AJ132" s="7"/>
      <c r="AK132" s="1"/>
      <c r="AL132" s="1"/>
      <c r="AM132" s="1"/>
    </row>
    <row x14ac:dyDescent="0.25" r="133" customHeight="1" ht="18.75">
      <c r="A133" s="1"/>
      <c r="B133" s="169"/>
      <c r="C133" s="170"/>
      <c r="D133" s="331">
        <v>126</v>
      </c>
      <c r="E133" s="544">
        <f>+DATE(YEAR(E132),MONTH(E132)-1,DAY(E132))</f>
        <v>25569.041666666668</v>
      </c>
      <c r="F133" s="333">
        <f>IF($C$6=$E133,1,IF(MONTH($E133)=1,F134*(1+$F$5),F134))</f>
      </c>
      <c r="G133" s="333">
        <f>F133*$B$8/12</f>
      </c>
      <c r="H133" s="333">
        <f>IF(F133=1,F133*$B$10/MIN(12,'Simulador - 3º Pilar'!$E$88),0)</f>
      </c>
      <c r="I133" s="560">
        <f>(1+$G$5)^(D133/12)*(H133+IF(E133=$N$7,$N$4,0))</f>
      </c>
      <c r="J133" s="561">
        <f>(1+$G$5)^(D133/12)*(H133*(12-IF(MONTH(E134)=12,0,MONTH(E134)))+IF(AND(F133=1,F134=0),$Q$4,0))*IF(AND(F133=1,F134=0),1,0)</f>
      </c>
      <c r="K133" s="217">
        <f>(1+$G$5)^(D133/12)*(IF(E133=$N$7,$N$4,0)+IF(E133=$C$6,$B$10,0))</f>
      </c>
      <c r="L133" s="217">
        <f>(1+$G$5)^(D133/12)*(IF((E133)&gt;($B$6),H133,0)+IF(E133=$N$7,$N$4,0)+IF(E133=$C$6,0,0))</f>
      </c>
      <c r="M133" s="1"/>
      <c r="N133" s="7"/>
      <c r="O133" s="1"/>
      <c r="P133" s="331">
        <v>126</v>
      </c>
      <c r="Q133" s="544">
        <f>+DATE(YEAR(Q132),MONTH(Q132)-1,DAY(Q132))</f>
        <v>25569.041666666668</v>
      </c>
      <c r="R133" s="341">
        <f>IF($Z$7=$E133,1,IF(MONTH($E133)=1,R134*(1+$F$5),R134))</f>
      </c>
      <c r="S133" s="334">
        <f>R133*$B$8/12</f>
      </c>
      <c r="T133" s="334">
        <f>R133*$B$11/12</f>
      </c>
      <c r="U133" s="565">
        <f>(1+$V$5)^(P133/12)*(T133+IF(Q133=$Z$7,$Z$4,0))</f>
      </c>
      <c r="V133" s="170"/>
      <c r="W133" s="7"/>
      <c r="X133" s="1"/>
      <c r="Y133" s="1"/>
      <c r="Z133" s="1"/>
      <c r="AA133" s="1"/>
      <c r="AB133" s="1"/>
      <c r="AC133" s="331">
        <v>126</v>
      </c>
      <c r="AD133" s="544">
        <f>+DATE(YEAR(AD132),MONTH(AD132)-1,DAY(AD132))</f>
        <v>25569.041666666668</v>
      </c>
      <c r="AE133" s="341">
        <f>IF($AM$7=$E133,1,IF(MONTH($E133)=1,AE134*(1+$F$5),AE134))</f>
      </c>
      <c r="AF133" s="334">
        <f>AE133*$B$8/12</f>
      </c>
      <c r="AG133" s="334">
        <f>AE133*$B$12/12</f>
      </c>
      <c r="AH133" s="565">
        <f>(1+$AI$5)^(AC133/12)*(AG133+IF(AD133=$AM$7,$AM$4,0))</f>
      </c>
      <c r="AI133" s="170"/>
      <c r="AJ133" s="7"/>
      <c r="AK133" s="1"/>
      <c r="AL133" s="1"/>
      <c r="AM133" s="1"/>
    </row>
    <row x14ac:dyDescent="0.25" r="134" customHeight="1" ht="18.75">
      <c r="A134" s="1"/>
      <c r="B134" s="169"/>
      <c r="C134" s="170"/>
      <c r="D134" s="331">
        <v>127</v>
      </c>
      <c r="E134" s="544">
        <f>+DATE(YEAR(E133),MONTH(E133)-1,DAY(E133))</f>
        <v>25569.041666666668</v>
      </c>
      <c r="F134" s="333">
        <f>IF($C$6=$E134,1,IF(MONTH($E134)=1,F135*(1+$F$5),F135))</f>
      </c>
      <c r="G134" s="333">
        <f>F134*$B$8/12</f>
      </c>
      <c r="H134" s="333">
        <f>IF(F134=1,F134*$B$10/MIN(12,'Simulador - 3º Pilar'!$E$88),0)</f>
      </c>
      <c r="I134" s="560">
        <f>(1+$G$5)^(D134/12)*(H134+IF(E134=$N$7,$N$4,0))</f>
      </c>
      <c r="J134" s="561">
        <f>(1+$G$5)^(D134/12)*(H134*(12-IF(MONTH(E135)=12,0,MONTH(E135)))+IF(AND(F134=1,F135=0),$Q$4,0))*IF(AND(F134=1,F135=0),1,0)</f>
      </c>
      <c r="K134" s="217">
        <f>(1+$G$5)^(D134/12)*(IF(E134=$N$7,$N$4,0)+IF(E134=$C$6,$B$10,0))</f>
      </c>
      <c r="L134" s="217">
        <f>(1+$G$5)^(D134/12)*(IF((E134)&gt;($B$6),H134,0)+IF(E134=$N$7,$N$4,0)+IF(E134=$C$6,0,0))</f>
      </c>
      <c r="M134" s="1"/>
      <c r="N134" s="7"/>
      <c r="O134" s="1"/>
      <c r="P134" s="331">
        <v>127</v>
      </c>
      <c r="Q134" s="544">
        <f>+DATE(YEAR(Q133),MONTH(Q133)-1,DAY(Q133))</f>
        <v>25569.041666666668</v>
      </c>
      <c r="R134" s="341">
        <f>IF($Z$7=$E134,1,IF(MONTH($E134)=1,R135*(1+$F$5),R135))</f>
      </c>
      <c r="S134" s="334">
        <f>R134*$B$8/12</f>
      </c>
      <c r="T134" s="334">
        <f>R134*$B$11/12</f>
      </c>
      <c r="U134" s="565">
        <f>(1+$V$5)^(P134/12)*(T134+IF(Q134=$Z$7,$Z$4,0))</f>
      </c>
      <c r="V134" s="170"/>
      <c r="W134" s="7"/>
      <c r="X134" s="1"/>
      <c r="Y134" s="1"/>
      <c r="Z134" s="1"/>
      <c r="AA134" s="1"/>
      <c r="AB134" s="1"/>
      <c r="AC134" s="331">
        <v>127</v>
      </c>
      <c r="AD134" s="544">
        <f>+DATE(YEAR(AD133),MONTH(AD133)-1,DAY(AD133))</f>
        <v>25569.041666666668</v>
      </c>
      <c r="AE134" s="341">
        <f>IF($AM$7=$E134,1,IF(MONTH($E134)=1,AE135*(1+$F$5),AE135))</f>
      </c>
      <c r="AF134" s="334">
        <f>AE134*$B$8/12</f>
      </c>
      <c r="AG134" s="334">
        <f>AE134*$B$12/12</f>
      </c>
      <c r="AH134" s="565">
        <f>(1+$AI$5)^(AC134/12)*(AG134+IF(AD134=$AM$7,$AM$4,0))</f>
      </c>
      <c r="AI134" s="170"/>
      <c r="AJ134" s="7"/>
      <c r="AK134" s="1"/>
      <c r="AL134" s="1"/>
      <c r="AM134" s="1"/>
    </row>
    <row x14ac:dyDescent="0.25" r="135" customHeight="1" ht="18.75">
      <c r="A135" s="1"/>
      <c r="B135" s="169"/>
      <c r="C135" s="170"/>
      <c r="D135" s="331">
        <v>128</v>
      </c>
      <c r="E135" s="544">
        <f>+DATE(YEAR(E134),MONTH(E134)-1,DAY(E134))</f>
        <v>25569.041666666668</v>
      </c>
      <c r="F135" s="333">
        <f>IF($C$6=$E135,1,IF(MONTH($E135)=1,F136*(1+$F$5),F136))</f>
      </c>
      <c r="G135" s="333">
        <f>F135*$B$8/12</f>
      </c>
      <c r="H135" s="333">
        <f>IF(F135=1,F135*$B$10/MIN(12,'Simulador - 3º Pilar'!$E$88),0)</f>
      </c>
      <c r="I135" s="560">
        <f>(1+$G$5)^(D135/12)*(H135+IF(E135=$N$7,$N$4,0))</f>
      </c>
      <c r="J135" s="561">
        <f>(1+$G$5)^(D135/12)*(H135*(12-IF(MONTH(E136)=12,0,MONTH(E136)))+IF(AND(F135=1,F136=0),$Q$4,0))*IF(AND(F135=1,F136=0),1,0)</f>
      </c>
      <c r="K135" s="217">
        <f>(1+$G$5)^(D135/12)*(IF(E135=$N$7,$N$4,0)+IF(E135=$C$6,$B$10,0))</f>
      </c>
      <c r="L135" s="217">
        <f>(1+$G$5)^(D135/12)*(IF((E135)&gt;($B$6),H135,0)+IF(E135=$N$7,$N$4,0)+IF(E135=$C$6,0,0))</f>
      </c>
      <c r="M135" s="1"/>
      <c r="N135" s="7"/>
      <c r="O135" s="1"/>
      <c r="P135" s="331">
        <v>128</v>
      </c>
      <c r="Q135" s="544">
        <f>+DATE(YEAR(Q134),MONTH(Q134)-1,DAY(Q134))</f>
        <v>25569.041666666668</v>
      </c>
      <c r="R135" s="341">
        <f>IF($Z$7=$E135,1,IF(MONTH($E135)=1,R136*(1+$F$5),R136))</f>
      </c>
      <c r="S135" s="334">
        <f>R135*$B$8/12</f>
      </c>
      <c r="T135" s="334">
        <f>R135*$B$11/12</f>
      </c>
      <c r="U135" s="565">
        <f>(1+$V$5)^(P135/12)*(T135+IF(Q135=$Z$7,$Z$4,0))</f>
      </c>
      <c r="V135" s="170"/>
      <c r="W135" s="7"/>
      <c r="X135" s="1"/>
      <c r="Y135" s="1"/>
      <c r="Z135" s="1"/>
      <c r="AA135" s="1"/>
      <c r="AB135" s="1"/>
      <c r="AC135" s="331">
        <v>128</v>
      </c>
      <c r="AD135" s="544">
        <f>+DATE(YEAR(AD134),MONTH(AD134)-1,DAY(AD134))</f>
        <v>25569.041666666668</v>
      </c>
      <c r="AE135" s="341">
        <f>IF($AM$7=$E135,1,IF(MONTH($E135)=1,AE136*(1+$F$5),AE136))</f>
      </c>
      <c r="AF135" s="334">
        <f>AE135*$B$8/12</f>
      </c>
      <c r="AG135" s="334">
        <f>AE135*$B$12/12</f>
      </c>
      <c r="AH135" s="565">
        <f>(1+$AI$5)^(AC135/12)*(AG135+IF(AD135=$AM$7,$AM$4,0))</f>
      </c>
      <c r="AI135" s="170"/>
      <c r="AJ135" s="7"/>
      <c r="AK135" s="1"/>
      <c r="AL135" s="1"/>
      <c r="AM135" s="1"/>
    </row>
    <row x14ac:dyDescent="0.25" r="136" customHeight="1" ht="18.75">
      <c r="A136" s="1"/>
      <c r="B136" s="169"/>
      <c r="C136" s="170"/>
      <c r="D136" s="331">
        <v>129</v>
      </c>
      <c r="E136" s="544">
        <f>+DATE(YEAR(E135),MONTH(E135)-1,DAY(E135))</f>
        <v>25569.041666666668</v>
      </c>
      <c r="F136" s="333">
        <f>IF($C$6=$E136,1,IF(MONTH($E136)=1,F137*(1+$F$5),F137))</f>
      </c>
      <c r="G136" s="333">
        <f>F136*$B$8/12</f>
      </c>
      <c r="H136" s="333">
        <f>IF(F136=1,F136*$B$10/MIN(12,'Simulador - 3º Pilar'!$E$88),0)</f>
      </c>
      <c r="I136" s="560">
        <f>(1+$G$5)^(D136/12)*(H136+IF(E136=$N$7,$N$4,0))</f>
      </c>
      <c r="J136" s="561">
        <f>(1+$G$5)^(D136/12)*(H136*(12-IF(MONTH(E137)=12,0,MONTH(E137)))+IF(AND(F136=1,F137=0),$Q$4,0))*IF(AND(F136=1,F137=0),1,0)</f>
      </c>
      <c r="K136" s="217">
        <f>(1+$G$5)^(D136/12)*(IF(E136=$N$7,$N$4,0)+IF(E136=$C$6,$B$10,0))</f>
      </c>
      <c r="L136" s="217">
        <f>(1+$G$5)^(D136/12)*(IF((E136)&gt;($B$6),H136,0)+IF(E136=$N$7,$N$4,0)+IF(E136=$C$6,0,0))</f>
      </c>
      <c r="M136" s="1"/>
      <c r="N136" s="7"/>
      <c r="O136" s="1"/>
      <c r="P136" s="331">
        <v>129</v>
      </c>
      <c r="Q136" s="544">
        <f>+DATE(YEAR(Q135),MONTH(Q135)-1,DAY(Q135))</f>
        <v>25569.041666666668</v>
      </c>
      <c r="R136" s="341">
        <f>IF($Z$7=$E136,1,IF(MONTH($E136)=1,R137*(1+$F$5),R137))</f>
      </c>
      <c r="S136" s="334">
        <f>R136*$B$8/12</f>
      </c>
      <c r="T136" s="334">
        <f>R136*$B$11/12</f>
      </c>
      <c r="U136" s="565">
        <f>(1+$V$5)^(P136/12)*(T136+IF(Q136=$Z$7,$Z$4,0))</f>
      </c>
      <c r="V136" s="170"/>
      <c r="W136" s="7"/>
      <c r="X136" s="1"/>
      <c r="Y136" s="1"/>
      <c r="Z136" s="1"/>
      <c r="AA136" s="1"/>
      <c r="AB136" s="1"/>
      <c r="AC136" s="331">
        <v>129</v>
      </c>
      <c r="AD136" s="544">
        <f>+DATE(YEAR(AD135),MONTH(AD135)-1,DAY(AD135))</f>
        <v>25569.041666666668</v>
      </c>
      <c r="AE136" s="341">
        <f>IF($AM$7=$E136,1,IF(MONTH($E136)=1,AE137*(1+$F$5),AE137))</f>
      </c>
      <c r="AF136" s="334">
        <f>AE136*$B$8/12</f>
      </c>
      <c r="AG136" s="334">
        <f>AE136*$B$12/12</f>
      </c>
      <c r="AH136" s="565">
        <f>(1+$AI$5)^(AC136/12)*(AG136+IF(AD136=$AM$7,$AM$4,0))</f>
      </c>
      <c r="AI136" s="170"/>
      <c r="AJ136" s="7"/>
      <c r="AK136" s="1"/>
      <c r="AL136" s="1"/>
      <c r="AM136" s="1"/>
    </row>
    <row x14ac:dyDescent="0.25" r="137" customHeight="1" ht="18.75">
      <c r="A137" s="1"/>
      <c r="B137" s="169"/>
      <c r="C137" s="170"/>
      <c r="D137" s="331">
        <v>130</v>
      </c>
      <c r="E137" s="544">
        <f>+DATE(YEAR(E136),MONTH(E136)-1,DAY(E136))</f>
        <v>25569.041666666668</v>
      </c>
      <c r="F137" s="333">
        <f>IF($C$6=$E137,1,IF(MONTH($E137)=1,F138*(1+$F$5),F138))</f>
      </c>
      <c r="G137" s="333">
        <f>F137*$B$8/12</f>
      </c>
      <c r="H137" s="333">
        <f>IF(F137=1,F137*$B$10/MIN(12,'Simulador - 3º Pilar'!$E$88),0)</f>
      </c>
      <c r="I137" s="560">
        <f>(1+$G$5)^(D137/12)*(H137+IF(E137=$N$7,$N$4,0))</f>
      </c>
      <c r="J137" s="561">
        <f>(1+$G$5)^(D137/12)*(H137*(12-IF(MONTH(E138)=12,0,MONTH(E138)))+IF(AND(F137=1,F138=0),$Q$4,0))*IF(AND(F137=1,F138=0),1,0)</f>
      </c>
      <c r="K137" s="217">
        <f>(1+$G$5)^(D137/12)*(IF(E137=$N$7,$N$4,0)+IF(E137=$C$6,$B$10,0))</f>
      </c>
      <c r="L137" s="217">
        <f>(1+$G$5)^(D137/12)*(IF((E137)&gt;($B$6),H137,0)+IF(E137=$N$7,$N$4,0)+IF(E137=$C$6,0,0))</f>
      </c>
      <c r="M137" s="1"/>
      <c r="N137" s="7"/>
      <c r="O137" s="1"/>
      <c r="P137" s="331">
        <v>130</v>
      </c>
      <c r="Q137" s="544">
        <f>+DATE(YEAR(Q136),MONTH(Q136)-1,DAY(Q136))</f>
        <v>25569.041666666668</v>
      </c>
      <c r="R137" s="341">
        <f>IF($Z$7=$E137,1,IF(MONTH($E137)=1,R138*(1+$F$5),R138))</f>
      </c>
      <c r="S137" s="334">
        <f>R137*$B$8/12</f>
      </c>
      <c r="T137" s="334">
        <f>R137*$B$11/12</f>
      </c>
      <c r="U137" s="565">
        <f>(1+$V$5)^(P137/12)*(T137+IF(Q137=$Z$7,$Z$4,0))</f>
      </c>
      <c r="V137" s="170"/>
      <c r="W137" s="7"/>
      <c r="X137" s="1"/>
      <c r="Y137" s="1"/>
      <c r="Z137" s="1"/>
      <c r="AA137" s="1"/>
      <c r="AB137" s="1"/>
      <c r="AC137" s="331">
        <v>130</v>
      </c>
      <c r="AD137" s="544">
        <f>+DATE(YEAR(AD136),MONTH(AD136)-1,DAY(AD136))</f>
        <v>25569.041666666668</v>
      </c>
      <c r="AE137" s="341">
        <f>IF($AM$7=$E137,1,IF(MONTH($E137)=1,AE138*(1+$F$5),AE138))</f>
      </c>
      <c r="AF137" s="334">
        <f>AE137*$B$8/12</f>
      </c>
      <c r="AG137" s="334">
        <f>AE137*$B$12/12</f>
      </c>
      <c r="AH137" s="565">
        <f>(1+$AI$5)^(AC137/12)*(AG137+IF(AD137=$AM$7,$AM$4,0))</f>
      </c>
      <c r="AI137" s="170"/>
      <c r="AJ137" s="7"/>
      <c r="AK137" s="1"/>
      <c r="AL137" s="1"/>
      <c r="AM137" s="1"/>
    </row>
    <row x14ac:dyDescent="0.25" r="138" customHeight="1" ht="18.75">
      <c r="A138" s="1"/>
      <c r="B138" s="169"/>
      <c r="C138" s="170"/>
      <c r="D138" s="331">
        <v>131</v>
      </c>
      <c r="E138" s="544">
        <f>+DATE(YEAR(E137),MONTH(E137)-1,DAY(E137))</f>
        <v>25569.041666666668</v>
      </c>
      <c r="F138" s="333">
        <f>IF($C$6=$E138,1,IF(MONTH($E138)=1,F139*(1+$F$5),F139))</f>
      </c>
      <c r="G138" s="333">
        <f>F138*$B$8/12</f>
      </c>
      <c r="H138" s="333">
        <f>IF(F138=1,F138*$B$10/MIN(12,'Simulador - 3º Pilar'!$E$88),0)</f>
      </c>
      <c r="I138" s="560">
        <f>(1+$G$5)^(D138/12)*(H138+IF(E138=$N$7,$N$4,0))</f>
      </c>
      <c r="J138" s="561">
        <f>(1+$G$5)^(D138/12)*(H138*(12-IF(MONTH(E139)=12,0,MONTH(E139)))+IF(AND(F138=1,F139=0),$Q$4,0))*IF(AND(F138=1,F139=0),1,0)</f>
      </c>
      <c r="K138" s="217">
        <f>(1+$G$5)^(D138/12)*(IF(E138=$N$7,$N$4,0)+IF(E138=$C$6,$B$10,0))</f>
      </c>
      <c r="L138" s="217">
        <f>(1+$G$5)^(D138/12)*(IF((E138)&gt;($B$6),H138,0)+IF(E138=$N$7,$N$4,0)+IF(E138=$C$6,0,0))</f>
      </c>
      <c r="M138" s="1"/>
      <c r="N138" s="7"/>
      <c r="O138" s="1"/>
      <c r="P138" s="331">
        <v>131</v>
      </c>
      <c r="Q138" s="544">
        <f>+DATE(YEAR(Q137),MONTH(Q137)-1,DAY(Q137))</f>
        <v>25569.041666666668</v>
      </c>
      <c r="R138" s="341">
        <f>IF($Z$7=$E138,1,IF(MONTH($E138)=1,R139*(1+$F$5),R139))</f>
      </c>
      <c r="S138" s="334">
        <f>R138*$B$8/12</f>
      </c>
      <c r="T138" s="334">
        <f>R138*$B$11/12</f>
      </c>
      <c r="U138" s="565">
        <f>(1+$V$5)^(P138/12)*(T138+IF(Q138=$Z$7,$Z$4,0))</f>
      </c>
      <c r="V138" s="170"/>
      <c r="W138" s="7"/>
      <c r="X138" s="1"/>
      <c r="Y138" s="1"/>
      <c r="Z138" s="1"/>
      <c r="AA138" s="1"/>
      <c r="AB138" s="1"/>
      <c r="AC138" s="331">
        <v>131</v>
      </c>
      <c r="AD138" s="544">
        <f>+DATE(YEAR(AD137),MONTH(AD137)-1,DAY(AD137))</f>
        <v>25569.041666666668</v>
      </c>
      <c r="AE138" s="341">
        <f>IF($AM$7=$E138,1,IF(MONTH($E138)=1,AE139*(1+$F$5),AE139))</f>
      </c>
      <c r="AF138" s="334">
        <f>AE138*$B$8/12</f>
      </c>
      <c r="AG138" s="334">
        <f>AE138*$B$12/12</f>
      </c>
      <c r="AH138" s="565">
        <f>(1+$AI$5)^(AC138/12)*(AG138+IF(AD138=$AM$7,$AM$4,0))</f>
      </c>
      <c r="AI138" s="170"/>
      <c r="AJ138" s="7"/>
      <c r="AK138" s="1"/>
      <c r="AL138" s="1"/>
      <c r="AM138" s="1"/>
    </row>
    <row x14ac:dyDescent="0.25" r="139" customHeight="1" ht="18.75">
      <c r="A139" s="1"/>
      <c r="B139" s="169"/>
      <c r="C139" s="170"/>
      <c r="D139" s="331">
        <v>132</v>
      </c>
      <c r="E139" s="544">
        <f>+DATE(YEAR(E138),MONTH(E138)-1,DAY(E138))</f>
        <v>25569.041666666668</v>
      </c>
      <c r="F139" s="333">
        <f>IF($C$6=$E139,1,IF(MONTH($E139)=1,F140*(1+$F$5),F140))</f>
      </c>
      <c r="G139" s="333">
        <f>F139*$B$8/12</f>
      </c>
      <c r="H139" s="333">
        <f>IF(F139=1,F139*$B$10/MIN(12,'Simulador - 3º Pilar'!$E$88),0)</f>
      </c>
      <c r="I139" s="560">
        <f>(1+$G$5)^(D139/12)*(H139+IF(E139=$N$7,$N$4,0))</f>
      </c>
      <c r="J139" s="561">
        <f>(1+$G$5)^(D139/12)*(H139*(12-IF(MONTH(E140)=12,0,MONTH(E140)))+IF(AND(F139=1,F140=0),$Q$4,0))*IF(AND(F139=1,F140=0),1,0)</f>
      </c>
      <c r="K139" s="217">
        <f>(1+$G$5)^(D139/12)*(IF(E139=$N$7,$N$4,0)+IF(E139=$C$6,$B$10,0))</f>
      </c>
      <c r="L139" s="217">
        <f>(1+$G$5)^(D139/12)*(IF((E139)&gt;($B$6),H139,0)+IF(E139=$N$7,$N$4,0)+IF(E139=$C$6,0,0))</f>
      </c>
      <c r="M139" s="1"/>
      <c r="N139" s="7"/>
      <c r="O139" s="1"/>
      <c r="P139" s="331">
        <v>132</v>
      </c>
      <c r="Q139" s="544">
        <f>+DATE(YEAR(Q138),MONTH(Q138)-1,DAY(Q138))</f>
        <v>25569.041666666668</v>
      </c>
      <c r="R139" s="341">
        <f>IF($Z$7=$E139,1,IF(MONTH($E139)=1,R140*(1+$F$5),R140))</f>
      </c>
      <c r="S139" s="334">
        <f>R139*$B$8/12</f>
      </c>
      <c r="T139" s="334">
        <f>R139*$B$11/12</f>
      </c>
      <c r="U139" s="565">
        <f>(1+$V$5)^(P139/12)*(T139+IF(Q139=$Z$7,$Z$4,0))</f>
      </c>
      <c r="V139" s="170"/>
      <c r="W139" s="7"/>
      <c r="X139" s="1"/>
      <c r="Y139" s="1"/>
      <c r="Z139" s="1"/>
      <c r="AA139" s="1"/>
      <c r="AB139" s="1"/>
      <c r="AC139" s="331">
        <v>132</v>
      </c>
      <c r="AD139" s="544">
        <f>+DATE(YEAR(AD138),MONTH(AD138)-1,DAY(AD138))</f>
        <v>25569.041666666668</v>
      </c>
      <c r="AE139" s="341">
        <f>IF($AM$7=$E139,1,IF(MONTH($E139)=1,AE140*(1+$F$5),AE140))</f>
      </c>
      <c r="AF139" s="334">
        <f>AE139*$B$8/12</f>
      </c>
      <c r="AG139" s="334">
        <f>AE139*$B$12/12</f>
      </c>
      <c r="AH139" s="565">
        <f>(1+$AI$5)^(AC139/12)*(AG139+IF(AD139=$AM$7,$AM$4,0))</f>
      </c>
      <c r="AI139" s="170"/>
      <c r="AJ139" s="7"/>
      <c r="AK139" s="1"/>
      <c r="AL139" s="1"/>
      <c r="AM139" s="1"/>
    </row>
    <row x14ac:dyDescent="0.25" r="140" customHeight="1" ht="18.75">
      <c r="A140" s="1"/>
      <c r="B140" s="169"/>
      <c r="C140" s="170"/>
      <c r="D140" s="331">
        <v>133</v>
      </c>
      <c r="E140" s="544">
        <f>+DATE(YEAR(E139),MONTH(E139)-1,DAY(E139))</f>
        <v>25569.041666666668</v>
      </c>
      <c r="F140" s="333">
        <f>IF($C$6=$E140,1,IF(MONTH($E140)=1,F141*(1+$F$5),F141))</f>
      </c>
      <c r="G140" s="333">
        <f>F140*$B$8/12</f>
      </c>
      <c r="H140" s="333">
        <f>IF(F140=1,F140*$B$10/MIN(12,'Simulador - 3º Pilar'!$E$88),0)</f>
      </c>
      <c r="I140" s="560">
        <f>(1+$G$5)^(D140/12)*(H140+IF(E140=$N$7,$N$4,0))</f>
      </c>
      <c r="J140" s="561">
        <f>(1+$G$5)^(D140/12)*(H140*(12-IF(MONTH(E141)=12,0,MONTH(E141)))+IF(AND(F140=1,F141=0),$Q$4,0))*IF(AND(F140=1,F141=0),1,0)</f>
      </c>
      <c r="K140" s="217">
        <f>(1+$G$5)^(D140/12)*(IF(E140=$N$7,$N$4,0)+IF(E140=$C$6,$B$10,0))</f>
      </c>
      <c r="L140" s="217">
        <f>(1+$G$5)^(D140/12)*(IF((E140)&gt;($B$6),H140,0)+IF(E140=$N$7,$N$4,0)+IF(E140=$C$6,0,0))</f>
      </c>
      <c r="M140" s="1"/>
      <c r="N140" s="7"/>
      <c r="O140" s="1"/>
      <c r="P140" s="331">
        <v>133</v>
      </c>
      <c r="Q140" s="544">
        <f>+DATE(YEAR(Q139),MONTH(Q139)-1,DAY(Q139))</f>
        <v>25569.041666666668</v>
      </c>
      <c r="R140" s="341">
        <f>IF($Z$7=$E140,1,IF(MONTH($E140)=1,R141*(1+$F$5),R141))</f>
      </c>
      <c r="S140" s="334">
        <f>R140*$B$8/12</f>
      </c>
      <c r="T140" s="334">
        <f>R140*$B$11/12</f>
      </c>
      <c r="U140" s="565">
        <f>(1+$V$5)^(P140/12)*(T140+IF(Q140=$Z$7,$Z$4,0))</f>
      </c>
      <c r="V140" s="170"/>
      <c r="W140" s="7"/>
      <c r="X140" s="1"/>
      <c r="Y140" s="1"/>
      <c r="Z140" s="1"/>
      <c r="AA140" s="1"/>
      <c r="AB140" s="1"/>
      <c r="AC140" s="331">
        <v>133</v>
      </c>
      <c r="AD140" s="544">
        <f>+DATE(YEAR(AD139),MONTH(AD139)-1,DAY(AD139))</f>
        <v>25569.041666666668</v>
      </c>
      <c r="AE140" s="341">
        <f>IF($AM$7=$E140,1,IF(MONTH($E140)=1,AE141*(1+$F$5),AE141))</f>
      </c>
      <c r="AF140" s="334">
        <f>AE140*$B$8/12</f>
      </c>
      <c r="AG140" s="334">
        <f>AE140*$B$12/12</f>
      </c>
      <c r="AH140" s="565">
        <f>(1+$AI$5)^(AC140/12)*(AG140+IF(AD140=$AM$7,$AM$4,0))</f>
      </c>
      <c r="AI140" s="170"/>
      <c r="AJ140" s="7"/>
      <c r="AK140" s="1"/>
      <c r="AL140" s="1"/>
      <c r="AM140" s="1"/>
    </row>
    <row x14ac:dyDescent="0.25" r="141" customHeight="1" ht="18.75">
      <c r="A141" s="1"/>
      <c r="B141" s="169"/>
      <c r="C141" s="170"/>
      <c r="D141" s="331">
        <v>134</v>
      </c>
      <c r="E141" s="544">
        <f>+DATE(YEAR(E140),MONTH(E140)-1,DAY(E140))</f>
        <v>25569.041666666668</v>
      </c>
      <c r="F141" s="333">
        <f>IF($C$6=$E141,1,IF(MONTH($E141)=1,F142*(1+$F$5),F142))</f>
      </c>
      <c r="G141" s="333">
        <f>F141*$B$8/12</f>
      </c>
      <c r="H141" s="333">
        <f>IF(F141=1,F141*$B$10/MIN(12,'Simulador - 3º Pilar'!$E$88),0)</f>
      </c>
      <c r="I141" s="560">
        <f>(1+$G$5)^(D141/12)*(H141+IF(E141=$N$7,$N$4,0))</f>
      </c>
      <c r="J141" s="561">
        <f>(1+$G$5)^(D141/12)*(H141*(12-IF(MONTH(E142)=12,0,MONTH(E142)))+IF(AND(F141=1,F142=0),$Q$4,0))*IF(AND(F141=1,F142=0),1,0)</f>
      </c>
      <c r="K141" s="217">
        <f>(1+$G$5)^(D141/12)*(IF(E141=$N$7,$N$4,0)+IF(E141=$C$6,$B$10,0))</f>
      </c>
      <c r="L141" s="217">
        <f>(1+$G$5)^(D141/12)*(IF((E141)&gt;($B$6),H141,0)+IF(E141=$N$7,$N$4,0)+IF(E141=$C$6,0,0))</f>
      </c>
      <c r="M141" s="1"/>
      <c r="N141" s="7"/>
      <c r="O141" s="1"/>
      <c r="P141" s="331">
        <v>134</v>
      </c>
      <c r="Q141" s="544">
        <f>+DATE(YEAR(Q140),MONTH(Q140)-1,DAY(Q140))</f>
        <v>25569.041666666668</v>
      </c>
      <c r="R141" s="341">
        <f>IF($Z$7=$E141,1,IF(MONTH($E141)=1,R142*(1+$F$5),R142))</f>
      </c>
      <c r="S141" s="334">
        <f>R141*$B$8/12</f>
      </c>
      <c r="T141" s="334">
        <f>R141*$B$11/12</f>
      </c>
      <c r="U141" s="565">
        <f>(1+$V$5)^(P141/12)*(T141+IF(Q141=$Z$7,$Z$4,0))</f>
      </c>
      <c r="V141" s="170"/>
      <c r="W141" s="7"/>
      <c r="X141" s="1"/>
      <c r="Y141" s="1"/>
      <c r="Z141" s="1"/>
      <c r="AA141" s="1"/>
      <c r="AB141" s="1"/>
      <c r="AC141" s="331">
        <v>134</v>
      </c>
      <c r="AD141" s="544">
        <f>+DATE(YEAR(AD140),MONTH(AD140)-1,DAY(AD140))</f>
        <v>25569.041666666668</v>
      </c>
      <c r="AE141" s="341">
        <f>IF($AM$7=$E141,1,IF(MONTH($E141)=1,AE142*(1+$F$5),AE142))</f>
      </c>
      <c r="AF141" s="334">
        <f>AE141*$B$8/12</f>
      </c>
      <c r="AG141" s="334">
        <f>AE141*$B$12/12</f>
      </c>
      <c r="AH141" s="565">
        <f>(1+$AI$5)^(AC141/12)*(AG141+IF(AD141=$AM$7,$AM$4,0))</f>
      </c>
      <c r="AI141" s="170"/>
      <c r="AJ141" s="7"/>
      <c r="AK141" s="1"/>
      <c r="AL141" s="1"/>
      <c r="AM141" s="1"/>
    </row>
    <row x14ac:dyDescent="0.25" r="142" customHeight="1" ht="18.75">
      <c r="A142" s="1"/>
      <c r="B142" s="169"/>
      <c r="C142" s="170"/>
      <c r="D142" s="331">
        <v>135</v>
      </c>
      <c r="E142" s="544">
        <f>+DATE(YEAR(E141),MONTH(E141)-1,DAY(E141))</f>
        <v>25569.041666666668</v>
      </c>
      <c r="F142" s="333">
        <f>IF($C$6=$E142,1,IF(MONTH($E142)=1,F143*(1+$F$5),F143))</f>
      </c>
      <c r="G142" s="333">
        <f>F142*$B$8/12</f>
      </c>
      <c r="H142" s="333">
        <f>IF(F142=1,F142*$B$10/MIN(12,'Simulador - 3º Pilar'!$E$88),0)</f>
      </c>
      <c r="I142" s="560">
        <f>(1+$G$5)^(D142/12)*(H142+IF(E142=$N$7,$N$4,0))</f>
      </c>
      <c r="J142" s="561">
        <f>(1+$G$5)^(D142/12)*(H142*(12-IF(MONTH(E143)=12,0,MONTH(E143)))+IF(AND(F142=1,F143=0),$Q$4,0))*IF(AND(F142=1,F143=0),1,0)</f>
      </c>
      <c r="K142" s="217">
        <f>(1+$G$5)^(D142/12)*(IF(E142=$N$7,$N$4,0)+IF(E142=$C$6,$B$10,0))</f>
      </c>
      <c r="L142" s="217">
        <f>(1+$G$5)^(D142/12)*(IF((E142)&gt;($B$6),H142,0)+IF(E142=$N$7,$N$4,0)+IF(E142=$C$6,0,0))</f>
      </c>
      <c r="M142" s="1"/>
      <c r="N142" s="7"/>
      <c r="O142" s="1"/>
      <c r="P142" s="331">
        <v>135</v>
      </c>
      <c r="Q142" s="544">
        <f>+DATE(YEAR(Q141),MONTH(Q141)-1,DAY(Q141))</f>
        <v>25569.041666666668</v>
      </c>
      <c r="R142" s="341">
        <f>IF($Z$7=$E142,1,IF(MONTH($E142)=1,R143*(1+$F$5),R143))</f>
      </c>
      <c r="S142" s="334">
        <f>R142*$B$8/12</f>
      </c>
      <c r="T142" s="334">
        <f>R142*$B$11/12</f>
      </c>
      <c r="U142" s="565">
        <f>(1+$V$5)^(P142/12)*(T142+IF(Q142=$Z$7,$Z$4,0))</f>
      </c>
      <c r="V142" s="170"/>
      <c r="W142" s="7"/>
      <c r="X142" s="1"/>
      <c r="Y142" s="1"/>
      <c r="Z142" s="1"/>
      <c r="AA142" s="1"/>
      <c r="AB142" s="1"/>
      <c r="AC142" s="331">
        <v>135</v>
      </c>
      <c r="AD142" s="544">
        <f>+DATE(YEAR(AD141),MONTH(AD141)-1,DAY(AD141))</f>
        <v>25569.041666666668</v>
      </c>
      <c r="AE142" s="341">
        <f>IF($AM$7=$E142,1,IF(MONTH($E142)=1,AE143*(1+$F$5),AE143))</f>
      </c>
      <c r="AF142" s="334">
        <f>AE142*$B$8/12</f>
      </c>
      <c r="AG142" s="334">
        <f>AE142*$B$12/12</f>
      </c>
      <c r="AH142" s="565">
        <f>(1+$AI$5)^(AC142/12)*(AG142+IF(AD142=$AM$7,$AM$4,0))</f>
      </c>
      <c r="AI142" s="170"/>
      <c r="AJ142" s="7"/>
      <c r="AK142" s="1"/>
      <c r="AL142" s="1"/>
      <c r="AM142" s="1"/>
    </row>
    <row x14ac:dyDescent="0.25" r="143" customHeight="1" ht="18.75">
      <c r="A143" s="1"/>
      <c r="B143" s="169"/>
      <c r="C143" s="170"/>
      <c r="D143" s="331">
        <v>136</v>
      </c>
      <c r="E143" s="544">
        <f>+DATE(YEAR(E142),MONTH(E142)-1,DAY(E142))</f>
        <v>25569.041666666668</v>
      </c>
      <c r="F143" s="333">
        <f>IF($C$6=$E143,1,IF(MONTH($E143)=1,F144*(1+$F$5),F144))</f>
      </c>
      <c r="G143" s="333">
        <f>F143*$B$8/12</f>
      </c>
      <c r="H143" s="333">
        <f>IF(F143=1,F143*$B$10/MIN(12,'Simulador - 3º Pilar'!$E$88),0)</f>
      </c>
      <c r="I143" s="560">
        <f>(1+$G$5)^(D143/12)*(H143+IF(E143=$N$7,$N$4,0))</f>
      </c>
      <c r="J143" s="561">
        <f>(1+$G$5)^(D143/12)*(H143*(12-IF(MONTH(E144)=12,0,MONTH(E144)))+IF(AND(F143=1,F144=0),$Q$4,0))*IF(AND(F143=1,F144=0),1,0)</f>
      </c>
      <c r="K143" s="217">
        <f>(1+$G$5)^(D143/12)*(IF(E143=$N$7,$N$4,0)+IF(E143=$C$6,$B$10,0))</f>
      </c>
      <c r="L143" s="217">
        <f>(1+$G$5)^(D143/12)*(IF((E143)&gt;($B$6),H143,0)+IF(E143=$N$7,$N$4,0)+IF(E143=$C$6,0,0))</f>
      </c>
      <c r="M143" s="1"/>
      <c r="N143" s="7"/>
      <c r="O143" s="1"/>
      <c r="P143" s="331">
        <v>136</v>
      </c>
      <c r="Q143" s="544">
        <f>+DATE(YEAR(Q142),MONTH(Q142)-1,DAY(Q142))</f>
        <v>25569.041666666668</v>
      </c>
      <c r="R143" s="341">
        <f>IF($Z$7=$E143,1,IF(MONTH($E143)=1,R144*(1+$F$5),R144))</f>
      </c>
      <c r="S143" s="334">
        <f>R143*$B$8/12</f>
      </c>
      <c r="T143" s="334">
        <f>R143*$B$11/12</f>
      </c>
      <c r="U143" s="565">
        <f>(1+$V$5)^(P143/12)*(T143+IF(Q143=$Z$7,$Z$4,0))</f>
      </c>
      <c r="V143" s="170"/>
      <c r="W143" s="7"/>
      <c r="X143" s="1"/>
      <c r="Y143" s="1"/>
      <c r="Z143" s="1"/>
      <c r="AA143" s="1"/>
      <c r="AB143" s="1"/>
      <c r="AC143" s="331">
        <v>136</v>
      </c>
      <c r="AD143" s="544">
        <f>+DATE(YEAR(AD142),MONTH(AD142)-1,DAY(AD142))</f>
        <v>25569.041666666668</v>
      </c>
      <c r="AE143" s="341">
        <f>IF($AM$7=$E143,1,IF(MONTH($E143)=1,AE144*(1+$F$5),AE144))</f>
      </c>
      <c r="AF143" s="334">
        <f>AE143*$B$8/12</f>
      </c>
      <c r="AG143" s="334">
        <f>AE143*$B$12/12</f>
      </c>
      <c r="AH143" s="565">
        <f>(1+$AI$5)^(AC143/12)*(AG143+IF(AD143=$AM$7,$AM$4,0))</f>
      </c>
      <c r="AI143" s="170"/>
      <c r="AJ143" s="7"/>
      <c r="AK143" s="1"/>
      <c r="AL143" s="1"/>
      <c r="AM143" s="1"/>
    </row>
    <row x14ac:dyDescent="0.25" r="144" customHeight="1" ht="18.75">
      <c r="A144" s="1"/>
      <c r="B144" s="169"/>
      <c r="C144" s="170"/>
      <c r="D144" s="331">
        <v>137</v>
      </c>
      <c r="E144" s="544">
        <f>+DATE(YEAR(E143),MONTH(E143)-1,DAY(E143))</f>
        <v>25569.041666666668</v>
      </c>
      <c r="F144" s="333">
        <f>IF($C$6=$E144,1,IF(MONTH($E144)=1,F145*(1+$F$5),F145))</f>
      </c>
      <c r="G144" s="333">
        <f>F144*$B$8/12</f>
      </c>
      <c r="H144" s="333">
        <f>IF(F144=1,F144*$B$10/MIN(12,'Simulador - 3º Pilar'!$E$88),0)</f>
      </c>
      <c r="I144" s="560">
        <f>(1+$G$5)^(D144/12)*(H144+IF(E144=$N$7,$N$4,0))</f>
      </c>
      <c r="J144" s="561">
        <f>(1+$G$5)^(D144/12)*(H144*(12-IF(MONTH(E145)=12,0,MONTH(E145)))+IF(AND(F144=1,F145=0),$Q$4,0))*IF(AND(F144=1,F145=0),1,0)</f>
      </c>
      <c r="K144" s="217">
        <f>(1+$G$5)^(D144/12)*(IF(E144=$N$7,$N$4,0)+IF(E144=$C$6,$B$10,0))</f>
      </c>
      <c r="L144" s="217">
        <f>(1+$G$5)^(D144/12)*(IF((E144)&gt;($B$6),H144,0)+IF(E144=$N$7,$N$4,0)+IF(E144=$C$6,0,0))</f>
      </c>
      <c r="M144" s="1"/>
      <c r="N144" s="7"/>
      <c r="O144" s="1"/>
      <c r="P144" s="331">
        <v>137</v>
      </c>
      <c r="Q144" s="544">
        <f>+DATE(YEAR(Q143),MONTH(Q143)-1,DAY(Q143))</f>
        <v>25569.041666666668</v>
      </c>
      <c r="R144" s="341">
        <f>IF($Z$7=$E144,1,IF(MONTH($E144)=1,R145*(1+$F$5),R145))</f>
      </c>
      <c r="S144" s="334">
        <f>R144*$B$8/12</f>
      </c>
      <c r="T144" s="334">
        <f>R144*$B$11/12</f>
      </c>
      <c r="U144" s="565">
        <f>(1+$V$5)^(P144/12)*(T144+IF(Q144=$Z$7,$Z$4,0))</f>
      </c>
      <c r="V144" s="170"/>
      <c r="W144" s="7"/>
      <c r="X144" s="1"/>
      <c r="Y144" s="1"/>
      <c r="Z144" s="1"/>
      <c r="AA144" s="1"/>
      <c r="AB144" s="1"/>
      <c r="AC144" s="331">
        <v>137</v>
      </c>
      <c r="AD144" s="544">
        <f>+DATE(YEAR(AD143),MONTH(AD143)-1,DAY(AD143))</f>
        <v>25569.041666666668</v>
      </c>
      <c r="AE144" s="341">
        <f>IF($AM$7=$E144,1,IF(MONTH($E144)=1,AE145*(1+$F$5),AE145))</f>
      </c>
      <c r="AF144" s="334">
        <f>AE144*$B$8/12</f>
      </c>
      <c r="AG144" s="334">
        <f>AE144*$B$12/12</f>
      </c>
      <c r="AH144" s="565">
        <f>(1+$AI$5)^(AC144/12)*(AG144+IF(AD144=$AM$7,$AM$4,0))</f>
      </c>
      <c r="AI144" s="170"/>
      <c r="AJ144" s="7"/>
      <c r="AK144" s="1"/>
      <c r="AL144" s="1"/>
      <c r="AM144" s="1"/>
    </row>
    <row x14ac:dyDescent="0.25" r="145" customHeight="1" ht="18.75">
      <c r="A145" s="1"/>
      <c r="B145" s="169"/>
      <c r="C145" s="170"/>
      <c r="D145" s="331">
        <v>138</v>
      </c>
      <c r="E145" s="544">
        <f>+DATE(YEAR(E144),MONTH(E144)-1,DAY(E144))</f>
        <v>25569.041666666668</v>
      </c>
      <c r="F145" s="333">
        <f>IF($C$6=$E145,1,IF(MONTH($E145)=1,F146*(1+$F$5),F146))</f>
      </c>
      <c r="G145" s="333">
        <f>F145*$B$8/12</f>
      </c>
      <c r="H145" s="333">
        <f>IF(F145=1,F145*$B$10/MIN(12,'Simulador - 3º Pilar'!$E$88),0)</f>
      </c>
      <c r="I145" s="560">
        <f>(1+$G$5)^(D145/12)*(H145+IF(E145=$N$7,$N$4,0))</f>
      </c>
      <c r="J145" s="561">
        <f>(1+$G$5)^(D145/12)*(H145*(12-IF(MONTH(E146)=12,0,MONTH(E146)))+IF(AND(F145=1,F146=0),$Q$4,0))*IF(AND(F145=1,F146=0),1,0)</f>
      </c>
      <c r="K145" s="217">
        <f>(1+$G$5)^(D145/12)*(IF(E145=$N$7,$N$4,0)+IF(E145=$C$6,$B$10,0))</f>
      </c>
      <c r="L145" s="217">
        <f>(1+$G$5)^(D145/12)*(IF((E145)&gt;($B$6),H145,0)+IF(E145=$N$7,$N$4,0)+IF(E145=$C$6,0,0))</f>
      </c>
      <c r="M145" s="1"/>
      <c r="N145" s="7"/>
      <c r="O145" s="1"/>
      <c r="P145" s="331">
        <v>138</v>
      </c>
      <c r="Q145" s="544">
        <f>+DATE(YEAR(Q144),MONTH(Q144)-1,DAY(Q144))</f>
        <v>25569.041666666668</v>
      </c>
      <c r="R145" s="341">
        <f>IF($Z$7=$E145,1,IF(MONTH($E145)=1,R146*(1+$F$5),R146))</f>
      </c>
      <c r="S145" s="334">
        <f>R145*$B$8/12</f>
      </c>
      <c r="T145" s="334">
        <f>R145*$B$11/12</f>
      </c>
      <c r="U145" s="565">
        <f>(1+$V$5)^(P145/12)*(T145+IF(Q145=$Z$7,$Z$4,0))</f>
      </c>
      <c r="V145" s="170"/>
      <c r="W145" s="7"/>
      <c r="X145" s="1"/>
      <c r="Y145" s="1"/>
      <c r="Z145" s="1"/>
      <c r="AA145" s="1"/>
      <c r="AB145" s="1"/>
      <c r="AC145" s="331">
        <v>138</v>
      </c>
      <c r="AD145" s="544">
        <f>+DATE(YEAR(AD144),MONTH(AD144)-1,DAY(AD144))</f>
        <v>25569.041666666668</v>
      </c>
      <c r="AE145" s="341">
        <f>IF($AM$7=$E145,1,IF(MONTH($E145)=1,AE146*(1+$F$5),AE146))</f>
      </c>
      <c r="AF145" s="334">
        <f>AE145*$B$8/12</f>
      </c>
      <c r="AG145" s="334">
        <f>AE145*$B$12/12</f>
      </c>
      <c r="AH145" s="565">
        <f>(1+$AI$5)^(AC145/12)*(AG145+IF(AD145=$AM$7,$AM$4,0))</f>
      </c>
      <c r="AI145" s="170"/>
      <c r="AJ145" s="7"/>
      <c r="AK145" s="1"/>
      <c r="AL145" s="1"/>
      <c r="AM145" s="1"/>
    </row>
    <row x14ac:dyDescent="0.25" r="146" customHeight="1" ht="18.75">
      <c r="A146" s="1"/>
      <c r="B146" s="169"/>
      <c r="C146" s="170"/>
      <c r="D146" s="331">
        <v>139</v>
      </c>
      <c r="E146" s="544">
        <f>+DATE(YEAR(E145),MONTH(E145)-1,DAY(E145))</f>
        <v>25569.041666666668</v>
      </c>
      <c r="F146" s="333">
        <f>IF($C$6=$E146,1,IF(MONTH($E146)=1,F147*(1+$F$5),F147))</f>
      </c>
      <c r="G146" s="333">
        <f>F146*$B$8/12</f>
      </c>
      <c r="H146" s="333">
        <f>IF(F146=1,F146*$B$10/MIN(12,'Simulador - 3º Pilar'!$E$88),0)</f>
      </c>
      <c r="I146" s="560">
        <f>(1+$G$5)^(D146/12)*(H146+IF(E146=$N$7,$N$4,0))</f>
      </c>
      <c r="J146" s="561">
        <f>(1+$G$5)^(D146/12)*(H146*(12-IF(MONTH(E147)=12,0,MONTH(E147)))+IF(AND(F146=1,F147=0),$Q$4,0))*IF(AND(F146=1,F147=0),1,0)</f>
      </c>
      <c r="K146" s="217">
        <f>(1+$G$5)^(D146/12)*(IF(E146=$N$7,$N$4,0)+IF(E146=$C$6,$B$10,0))</f>
      </c>
      <c r="L146" s="217">
        <f>(1+$G$5)^(D146/12)*(IF((E146)&gt;($B$6),H146,0)+IF(E146=$N$7,$N$4,0)+IF(E146=$C$6,0,0))</f>
      </c>
      <c r="M146" s="1"/>
      <c r="N146" s="7"/>
      <c r="O146" s="1"/>
      <c r="P146" s="331">
        <v>139</v>
      </c>
      <c r="Q146" s="544">
        <f>+DATE(YEAR(Q145),MONTH(Q145)-1,DAY(Q145))</f>
        <v>25569.041666666668</v>
      </c>
      <c r="R146" s="341">
        <f>IF($Z$7=$E146,1,IF(MONTH($E146)=1,R147*(1+$F$5),R147))</f>
      </c>
      <c r="S146" s="334">
        <f>R146*$B$8/12</f>
      </c>
      <c r="T146" s="334">
        <f>R146*$B$11/12</f>
      </c>
      <c r="U146" s="565">
        <f>(1+$V$5)^(P146/12)*(T146+IF(Q146=$Z$7,$Z$4,0))</f>
      </c>
      <c r="V146" s="170"/>
      <c r="W146" s="7"/>
      <c r="X146" s="1"/>
      <c r="Y146" s="1"/>
      <c r="Z146" s="1"/>
      <c r="AA146" s="1"/>
      <c r="AB146" s="1"/>
      <c r="AC146" s="331">
        <v>139</v>
      </c>
      <c r="AD146" s="544">
        <f>+DATE(YEAR(AD145),MONTH(AD145)-1,DAY(AD145))</f>
        <v>25569.041666666668</v>
      </c>
      <c r="AE146" s="341">
        <f>IF($AM$7=$E146,1,IF(MONTH($E146)=1,AE147*(1+$F$5),AE147))</f>
      </c>
      <c r="AF146" s="334">
        <f>AE146*$B$8/12</f>
      </c>
      <c r="AG146" s="334">
        <f>AE146*$B$12/12</f>
      </c>
      <c r="AH146" s="565">
        <f>(1+$AI$5)^(AC146/12)*(AG146+IF(AD146=$AM$7,$AM$4,0))</f>
      </c>
      <c r="AI146" s="170"/>
      <c r="AJ146" s="7"/>
      <c r="AK146" s="1"/>
      <c r="AL146" s="1"/>
      <c r="AM146" s="1"/>
    </row>
    <row x14ac:dyDescent="0.25" r="147" customHeight="1" ht="18.75">
      <c r="A147" s="1"/>
      <c r="B147" s="169"/>
      <c r="C147" s="170"/>
      <c r="D147" s="331">
        <v>140</v>
      </c>
      <c r="E147" s="544">
        <f>+DATE(YEAR(E146),MONTH(E146)-1,DAY(E146))</f>
        <v>25569.041666666668</v>
      </c>
      <c r="F147" s="333">
        <f>IF($C$6=$E147,1,IF(MONTH($E147)=1,F148*(1+$F$5),F148))</f>
      </c>
      <c r="G147" s="333">
        <f>F147*$B$8/12</f>
      </c>
      <c r="H147" s="333">
        <f>IF(F147=1,F147*$B$10/MIN(12,'Simulador - 3º Pilar'!$E$88),0)</f>
      </c>
      <c r="I147" s="560">
        <f>(1+$G$5)^(D147/12)*(H147+IF(E147=$N$7,$N$4,0))</f>
      </c>
      <c r="J147" s="561">
        <f>(1+$G$5)^(D147/12)*(H147*(12-IF(MONTH(E148)=12,0,MONTH(E148)))+IF(AND(F147=1,F148=0),$Q$4,0))*IF(AND(F147=1,F148=0),1,0)</f>
      </c>
      <c r="K147" s="217">
        <f>(1+$G$5)^(D147/12)*(IF(E147=$N$7,$N$4,0)+IF(E147=$C$6,$B$10,0))</f>
      </c>
      <c r="L147" s="217">
        <f>(1+$G$5)^(D147/12)*(IF((E147)&gt;($B$6),H147,0)+IF(E147=$N$7,$N$4,0)+IF(E147=$C$6,0,0))</f>
      </c>
      <c r="M147" s="1"/>
      <c r="N147" s="7"/>
      <c r="O147" s="1"/>
      <c r="P147" s="331">
        <v>140</v>
      </c>
      <c r="Q147" s="544">
        <f>+DATE(YEAR(Q146),MONTH(Q146)-1,DAY(Q146))</f>
        <v>25569.041666666668</v>
      </c>
      <c r="R147" s="341">
        <f>IF($Z$7=$E147,1,IF(MONTH($E147)=1,R148*(1+$F$5),R148))</f>
      </c>
      <c r="S147" s="334">
        <f>R147*$B$8/12</f>
      </c>
      <c r="T147" s="334">
        <f>R147*$B$11/12</f>
      </c>
      <c r="U147" s="565">
        <f>(1+$V$5)^(P147/12)*(T147+IF(Q147=$Z$7,$Z$4,0))</f>
      </c>
      <c r="V147" s="170"/>
      <c r="W147" s="7"/>
      <c r="X147" s="1"/>
      <c r="Y147" s="1"/>
      <c r="Z147" s="1"/>
      <c r="AA147" s="1"/>
      <c r="AB147" s="1"/>
      <c r="AC147" s="331">
        <v>140</v>
      </c>
      <c r="AD147" s="544">
        <f>+DATE(YEAR(AD146),MONTH(AD146)-1,DAY(AD146))</f>
        <v>25569.041666666668</v>
      </c>
      <c r="AE147" s="341">
        <f>IF($AM$7=$E147,1,IF(MONTH($E147)=1,AE148*(1+$F$5),AE148))</f>
      </c>
      <c r="AF147" s="334">
        <f>AE147*$B$8/12</f>
      </c>
      <c r="AG147" s="334">
        <f>AE147*$B$12/12</f>
      </c>
      <c r="AH147" s="565">
        <f>(1+$AI$5)^(AC147/12)*(AG147+IF(AD147=$AM$7,$AM$4,0))</f>
      </c>
      <c r="AI147" s="170"/>
      <c r="AJ147" s="7"/>
      <c r="AK147" s="1"/>
      <c r="AL147" s="1"/>
      <c r="AM147" s="1"/>
    </row>
    <row x14ac:dyDescent="0.25" r="148" customHeight="1" ht="18.75">
      <c r="A148" s="1"/>
      <c r="B148" s="169"/>
      <c r="C148" s="170"/>
      <c r="D148" s="331">
        <v>141</v>
      </c>
      <c r="E148" s="544">
        <f>+DATE(YEAR(E147),MONTH(E147)-1,DAY(E147))</f>
        <v>25569.041666666668</v>
      </c>
      <c r="F148" s="333">
        <f>IF($C$6=$E148,1,IF(MONTH($E148)=1,F149*(1+$F$5),F149))</f>
      </c>
      <c r="G148" s="333">
        <f>F148*$B$8/12</f>
      </c>
      <c r="H148" s="333">
        <f>IF(F148=1,F148*$B$10/MIN(12,'Simulador - 3º Pilar'!$E$88),0)</f>
      </c>
      <c r="I148" s="560">
        <f>(1+$G$5)^(D148/12)*(H148+IF(E148=$N$7,$N$4,0))</f>
      </c>
      <c r="J148" s="561">
        <f>(1+$G$5)^(D148/12)*(H148*(12-IF(MONTH(E149)=12,0,MONTH(E149)))+IF(AND(F148=1,F149=0),$Q$4,0))*IF(AND(F148=1,F149=0),1,0)</f>
      </c>
      <c r="K148" s="217">
        <f>(1+$G$5)^(D148/12)*(IF(E148=$N$7,$N$4,0)+IF(E148=$C$6,$B$10,0))</f>
      </c>
      <c r="L148" s="217">
        <f>(1+$G$5)^(D148/12)*(IF((E148)&gt;($B$6),H148,0)+IF(E148=$N$7,$N$4,0)+IF(E148=$C$6,0,0))</f>
      </c>
      <c r="M148" s="1"/>
      <c r="N148" s="7"/>
      <c r="O148" s="1"/>
      <c r="P148" s="331">
        <v>141</v>
      </c>
      <c r="Q148" s="544">
        <f>+DATE(YEAR(Q147),MONTH(Q147)-1,DAY(Q147))</f>
        <v>25569.041666666668</v>
      </c>
      <c r="R148" s="341">
        <f>IF($Z$7=$E148,1,IF(MONTH($E148)=1,R149*(1+$F$5),R149))</f>
      </c>
      <c r="S148" s="334">
        <f>R148*$B$8/12</f>
      </c>
      <c r="T148" s="334">
        <f>R148*$B$11/12</f>
      </c>
      <c r="U148" s="565">
        <f>(1+$V$5)^(P148/12)*(T148+IF(Q148=$Z$7,$Z$4,0))</f>
      </c>
      <c r="V148" s="170"/>
      <c r="W148" s="7"/>
      <c r="X148" s="1"/>
      <c r="Y148" s="1"/>
      <c r="Z148" s="1"/>
      <c r="AA148" s="1"/>
      <c r="AB148" s="1"/>
      <c r="AC148" s="331">
        <v>141</v>
      </c>
      <c r="AD148" s="544">
        <f>+DATE(YEAR(AD147),MONTH(AD147)-1,DAY(AD147))</f>
        <v>25569.041666666668</v>
      </c>
      <c r="AE148" s="341">
        <f>IF($AM$7=$E148,1,IF(MONTH($E148)=1,AE149*(1+$F$5),AE149))</f>
      </c>
      <c r="AF148" s="334">
        <f>AE148*$B$8/12</f>
      </c>
      <c r="AG148" s="334">
        <f>AE148*$B$12/12</f>
      </c>
      <c r="AH148" s="565">
        <f>(1+$AI$5)^(AC148/12)*(AG148+IF(AD148=$AM$7,$AM$4,0))</f>
      </c>
      <c r="AI148" s="170"/>
      <c r="AJ148" s="7"/>
      <c r="AK148" s="1"/>
      <c r="AL148" s="1"/>
      <c r="AM148" s="1"/>
    </row>
    <row x14ac:dyDescent="0.25" r="149" customHeight="1" ht="18.75">
      <c r="A149" s="1"/>
      <c r="B149" s="169"/>
      <c r="C149" s="170"/>
      <c r="D149" s="331">
        <v>142</v>
      </c>
      <c r="E149" s="544">
        <f>+DATE(YEAR(E148),MONTH(E148)-1,DAY(E148))</f>
        <v>25569.041666666668</v>
      </c>
      <c r="F149" s="333">
        <f>IF($C$6=$E149,1,IF(MONTH($E149)=1,F150*(1+$F$5),F150))</f>
      </c>
      <c r="G149" s="333">
        <f>F149*$B$8/12</f>
      </c>
      <c r="H149" s="333">
        <f>IF(F149=1,F149*$B$10/MIN(12,'Simulador - 3º Pilar'!$E$88),0)</f>
      </c>
      <c r="I149" s="560">
        <f>(1+$G$5)^(D149/12)*(H149+IF(E149=$N$7,$N$4,0))</f>
      </c>
      <c r="J149" s="561">
        <f>(1+$G$5)^(D149/12)*(H149*(12-IF(MONTH(E150)=12,0,MONTH(E150)))+IF(AND(F149=1,F150=0),$Q$4,0))*IF(AND(F149=1,F150=0),1,0)</f>
      </c>
      <c r="K149" s="217">
        <f>(1+$G$5)^(D149/12)*(IF(E149=$N$7,$N$4,0)+IF(E149=$C$6,$B$10,0))</f>
      </c>
      <c r="L149" s="217">
        <f>(1+$G$5)^(D149/12)*(IF((E149)&gt;($B$6),H149,0)+IF(E149=$N$7,$N$4,0)+IF(E149=$C$6,0,0))</f>
      </c>
      <c r="M149" s="1"/>
      <c r="N149" s="7"/>
      <c r="O149" s="1"/>
      <c r="P149" s="331">
        <v>142</v>
      </c>
      <c r="Q149" s="544">
        <f>+DATE(YEAR(Q148),MONTH(Q148)-1,DAY(Q148))</f>
        <v>25569.041666666668</v>
      </c>
      <c r="R149" s="341">
        <f>IF($Z$7=$E149,1,IF(MONTH($E149)=1,R150*(1+$F$5),R150))</f>
      </c>
      <c r="S149" s="334">
        <f>R149*$B$8/12</f>
      </c>
      <c r="T149" s="334">
        <f>R149*$B$11/12</f>
      </c>
      <c r="U149" s="565">
        <f>(1+$V$5)^(P149/12)*(T149+IF(Q149=$Z$7,$Z$4,0))</f>
      </c>
      <c r="V149" s="170"/>
      <c r="W149" s="7"/>
      <c r="X149" s="1"/>
      <c r="Y149" s="1"/>
      <c r="Z149" s="1"/>
      <c r="AA149" s="1"/>
      <c r="AB149" s="1"/>
      <c r="AC149" s="331">
        <v>142</v>
      </c>
      <c r="AD149" s="544">
        <f>+DATE(YEAR(AD148),MONTH(AD148)-1,DAY(AD148))</f>
        <v>25569.041666666668</v>
      </c>
      <c r="AE149" s="341">
        <f>IF($AM$7=$E149,1,IF(MONTH($E149)=1,AE150*(1+$F$5),AE150))</f>
      </c>
      <c r="AF149" s="334">
        <f>AE149*$B$8/12</f>
      </c>
      <c r="AG149" s="334">
        <f>AE149*$B$12/12</f>
      </c>
      <c r="AH149" s="565">
        <f>(1+$AI$5)^(AC149/12)*(AG149+IF(AD149=$AM$7,$AM$4,0))</f>
      </c>
      <c r="AI149" s="170"/>
      <c r="AJ149" s="7"/>
      <c r="AK149" s="1"/>
      <c r="AL149" s="1"/>
      <c r="AM149" s="1"/>
    </row>
    <row x14ac:dyDescent="0.25" r="150" customHeight="1" ht="18.75">
      <c r="A150" s="1"/>
      <c r="B150" s="169"/>
      <c r="C150" s="170"/>
      <c r="D150" s="331">
        <v>143</v>
      </c>
      <c r="E150" s="544">
        <f>+DATE(YEAR(E149),MONTH(E149)-1,DAY(E149))</f>
        <v>25569.041666666668</v>
      </c>
      <c r="F150" s="333">
        <f>IF($C$6=$E150,1,IF(MONTH($E150)=1,F151*(1+$F$5),F151))</f>
      </c>
      <c r="G150" s="333">
        <f>F150*$B$8/12</f>
      </c>
      <c r="H150" s="333">
        <f>IF(F150=1,F150*$B$10/MIN(12,'Simulador - 3º Pilar'!$E$88),0)</f>
      </c>
      <c r="I150" s="560">
        <f>(1+$G$5)^(D150/12)*(H150+IF(E150=$N$7,$N$4,0))</f>
      </c>
      <c r="J150" s="561">
        <f>(1+$G$5)^(D150/12)*(H150*(12-IF(MONTH(E151)=12,0,MONTH(E151)))+IF(AND(F150=1,F151=0),$Q$4,0))*IF(AND(F150=1,F151=0),1,0)</f>
      </c>
      <c r="K150" s="217">
        <f>(1+$G$5)^(D150/12)*(IF(E150=$N$7,$N$4,0)+IF(E150=$C$6,$B$10,0))</f>
      </c>
      <c r="L150" s="217">
        <f>(1+$G$5)^(D150/12)*(IF((E150)&gt;($B$6),H150,0)+IF(E150=$N$7,$N$4,0)+IF(E150=$C$6,0,0))</f>
      </c>
      <c r="M150" s="1"/>
      <c r="N150" s="7"/>
      <c r="O150" s="1"/>
      <c r="P150" s="331">
        <v>143</v>
      </c>
      <c r="Q150" s="544">
        <f>+DATE(YEAR(Q149),MONTH(Q149)-1,DAY(Q149))</f>
        <v>25569.041666666668</v>
      </c>
      <c r="R150" s="341">
        <f>IF($Z$7=$E150,1,IF(MONTH($E150)=1,R151*(1+$F$5),R151))</f>
      </c>
      <c r="S150" s="334">
        <f>R150*$B$8/12</f>
      </c>
      <c r="T150" s="334">
        <f>R150*$B$11/12</f>
      </c>
      <c r="U150" s="565">
        <f>(1+$V$5)^(P150/12)*(T150+IF(Q150=$Z$7,$Z$4,0))</f>
      </c>
      <c r="V150" s="170"/>
      <c r="W150" s="7"/>
      <c r="X150" s="1"/>
      <c r="Y150" s="1"/>
      <c r="Z150" s="1"/>
      <c r="AA150" s="1"/>
      <c r="AB150" s="1"/>
      <c r="AC150" s="331">
        <v>143</v>
      </c>
      <c r="AD150" s="544">
        <f>+DATE(YEAR(AD149),MONTH(AD149)-1,DAY(AD149))</f>
        <v>25569.041666666668</v>
      </c>
      <c r="AE150" s="341">
        <f>IF($AM$7=$E150,1,IF(MONTH($E150)=1,AE151*(1+$F$5),AE151))</f>
      </c>
      <c r="AF150" s="334">
        <f>AE150*$B$8/12</f>
      </c>
      <c r="AG150" s="334">
        <f>AE150*$B$12/12</f>
      </c>
      <c r="AH150" s="565">
        <f>(1+$AI$5)^(AC150/12)*(AG150+IF(AD150=$AM$7,$AM$4,0))</f>
      </c>
      <c r="AI150" s="170"/>
      <c r="AJ150" s="7"/>
      <c r="AK150" s="1"/>
      <c r="AL150" s="1"/>
      <c r="AM150" s="1"/>
    </row>
    <row x14ac:dyDescent="0.25" r="151" customHeight="1" ht="18.75">
      <c r="A151" s="1"/>
      <c r="B151" s="169"/>
      <c r="C151" s="170"/>
      <c r="D151" s="331">
        <v>144</v>
      </c>
      <c r="E151" s="544">
        <f>+DATE(YEAR(E150),MONTH(E150)-1,DAY(E150))</f>
        <v>25569.041666666668</v>
      </c>
      <c r="F151" s="333">
        <f>IF($C$6=$E151,1,IF(MONTH($E151)=1,F152*(1+$F$5),F152))</f>
      </c>
      <c r="G151" s="333">
        <f>F151*$B$8/12</f>
      </c>
      <c r="H151" s="333">
        <f>IF(F151=1,F151*$B$10/MIN(12,'Simulador - 3º Pilar'!$E$88),0)</f>
      </c>
      <c r="I151" s="560">
        <f>(1+$G$5)^(D151/12)*(H151+IF(E151=$N$7,$N$4,0))</f>
      </c>
      <c r="J151" s="561">
        <f>(1+$G$5)^(D151/12)*(H151*(12-IF(MONTH(E152)=12,0,MONTH(E152)))+IF(AND(F151=1,F152=0),$Q$4,0))*IF(AND(F151=1,F152=0),1,0)</f>
      </c>
      <c r="K151" s="217">
        <f>(1+$G$5)^(D151/12)*(IF(E151=$N$7,$N$4,0)+IF(E151=$C$6,$B$10,0))</f>
      </c>
      <c r="L151" s="217">
        <f>(1+$G$5)^(D151/12)*(IF((E151)&gt;($B$6),H151,0)+IF(E151=$N$7,$N$4,0)+IF(E151=$C$6,0,0))</f>
      </c>
      <c r="M151" s="1"/>
      <c r="N151" s="7"/>
      <c r="O151" s="1"/>
      <c r="P151" s="331">
        <v>144</v>
      </c>
      <c r="Q151" s="544">
        <f>+DATE(YEAR(Q150),MONTH(Q150)-1,DAY(Q150))</f>
        <v>25569.041666666668</v>
      </c>
      <c r="R151" s="341">
        <f>IF($Z$7=$E151,1,IF(MONTH($E151)=1,R152*(1+$F$5),R152))</f>
      </c>
      <c r="S151" s="334">
        <f>R151*$B$8/12</f>
      </c>
      <c r="T151" s="334">
        <f>R151*$B$11/12</f>
      </c>
      <c r="U151" s="565">
        <f>(1+$V$5)^(P151/12)*(T151+IF(Q151=$Z$7,$Z$4,0))</f>
      </c>
      <c r="V151" s="170"/>
      <c r="W151" s="7"/>
      <c r="X151" s="1"/>
      <c r="Y151" s="1"/>
      <c r="Z151" s="1"/>
      <c r="AA151" s="1"/>
      <c r="AB151" s="1"/>
      <c r="AC151" s="331">
        <v>144</v>
      </c>
      <c r="AD151" s="544">
        <f>+DATE(YEAR(AD150),MONTH(AD150)-1,DAY(AD150))</f>
        <v>25569.041666666668</v>
      </c>
      <c r="AE151" s="341">
        <f>IF($AM$7=$E151,1,IF(MONTH($E151)=1,AE152*(1+$F$5),AE152))</f>
      </c>
      <c r="AF151" s="334">
        <f>AE151*$B$8/12</f>
      </c>
      <c r="AG151" s="334">
        <f>AE151*$B$12/12</f>
      </c>
      <c r="AH151" s="565">
        <f>(1+$AI$5)^(AC151/12)*(AG151+IF(AD151=$AM$7,$AM$4,0))</f>
      </c>
      <c r="AI151" s="170"/>
      <c r="AJ151" s="7"/>
      <c r="AK151" s="1"/>
      <c r="AL151" s="1"/>
      <c r="AM151" s="1"/>
    </row>
    <row x14ac:dyDescent="0.25" r="152" customHeight="1" ht="18.75">
      <c r="A152" s="1"/>
      <c r="B152" s="169"/>
      <c r="C152" s="170"/>
      <c r="D152" s="331">
        <v>145</v>
      </c>
      <c r="E152" s="544">
        <f>+DATE(YEAR(E151),MONTH(E151)-1,DAY(E151))</f>
        <v>25569.041666666668</v>
      </c>
      <c r="F152" s="333">
        <f>IF($C$6=$E152,1,IF(MONTH($E152)=1,F153*(1+$F$5),F153))</f>
      </c>
      <c r="G152" s="333">
        <f>F152*$B$8/12</f>
      </c>
      <c r="H152" s="333">
        <f>IF(F152=1,F152*$B$10/MIN(12,'Simulador - 3º Pilar'!$E$88),0)</f>
      </c>
      <c r="I152" s="560">
        <f>(1+$G$5)^(D152/12)*(H152+IF(E152=$N$7,$N$4,0))</f>
      </c>
      <c r="J152" s="561">
        <f>(1+$G$5)^(D152/12)*(H152*(12-IF(MONTH(E153)=12,0,MONTH(E153)))+IF(AND(F152=1,F153=0),$Q$4,0))*IF(AND(F152=1,F153=0),1,0)</f>
      </c>
      <c r="K152" s="217">
        <f>(1+$G$5)^(D152/12)*(IF(E152=$N$7,$N$4,0)+IF(E152=$C$6,$B$10,0))</f>
      </c>
      <c r="L152" s="217">
        <f>(1+$G$5)^(D152/12)*(IF((E152)&gt;($B$6),H152,0)+IF(E152=$N$7,$N$4,0)+IF(E152=$C$6,0,0))</f>
      </c>
      <c r="M152" s="1"/>
      <c r="N152" s="7"/>
      <c r="O152" s="1"/>
      <c r="P152" s="331">
        <v>145</v>
      </c>
      <c r="Q152" s="544">
        <f>+DATE(YEAR(Q151),MONTH(Q151)-1,DAY(Q151))</f>
        <v>25569.041666666668</v>
      </c>
      <c r="R152" s="341">
        <f>IF($Z$7=$E152,1,IF(MONTH($E152)=1,R153*(1+$F$5),R153))</f>
      </c>
      <c r="S152" s="334">
        <f>R152*$B$8/12</f>
      </c>
      <c r="T152" s="334">
        <f>R152*$B$11/12</f>
      </c>
      <c r="U152" s="565">
        <f>(1+$V$5)^(P152/12)*(T152+IF(Q152=$Z$7,$Z$4,0))</f>
      </c>
      <c r="V152" s="170"/>
      <c r="W152" s="7"/>
      <c r="X152" s="1"/>
      <c r="Y152" s="1"/>
      <c r="Z152" s="1"/>
      <c r="AA152" s="1"/>
      <c r="AB152" s="1"/>
      <c r="AC152" s="331">
        <v>145</v>
      </c>
      <c r="AD152" s="544">
        <f>+DATE(YEAR(AD151),MONTH(AD151)-1,DAY(AD151))</f>
        <v>25569.041666666668</v>
      </c>
      <c r="AE152" s="341">
        <f>IF($AM$7=$E152,1,IF(MONTH($E152)=1,AE153*(1+$F$5),AE153))</f>
      </c>
      <c r="AF152" s="334">
        <f>AE152*$B$8/12</f>
      </c>
      <c r="AG152" s="334">
        <f>AE152*$B$12/12</f>
      </c>
      <c r="AH152" s="565">
        <f>(1+$AI$5)^(AC152/12)*(AG152+IF(AD152=$AM$7,$AM$4,0))</f>
      </c>
      <c r="AI152" s="170"/>
      <c r="AJ152" s="7"/>
      <c r="AK152" s="1"/>
      <c r="AL152" s="1"/>
      <c r="AM152" s="1"/>
    </row>
    <row x14ac:dyDescent="0.25" r="153" customHeight="1" ht="18.75">
      <c r="A153" s="1"/>
      <c r="B153" s="169"/>
      <c r="C153" s="170"/>
      <c r="D153" s="331">
        <v>146</v>
      </c>
      <c r="E153" s="544">
        <f>+DATE(YEAR(E152),MONTH(E152)-1,DAY(E152))</f>
        <v>25569.041666666668</v>
      </c>
      <c r="F153" s="333">
        <f>IF($C$6=$E153,1,IF(MONTH($E153)=1,F154*(1+$F$5),F154))</f>
      </c>
      <c r="G153" s="333">
        <f>F153*$B$8/12</f>
      </c>
      <c r="H153" s="333">
        <f>IF(F153=1,F153*$B$10/MIN(12,'Simulador - 3º Pilar'!$E$88),0)</f>
      </c>
      <c r="I153" s="560">
        <f>(1+$G$5)^(D153/12)*(H153+IF(E153=$N$7,$N$4,0))</f>
      </c>
      <c r="J153" s="561">
        <f>(1+$G$5)^(D153/12)*(H153*(12-IF(MONTH(E154)=12,0,MONTH(E154)))+IF(AND(F153=1,F154=0),$Q$4,0))*IF(AND(F153=1,F154=0),1,0)</f>
      </c>
      <c r="K153" s="217">
        <f>(1+$G$5)^(D153/12)*(IF(E153=$N$7,$N$4,0)+IF(E153=$C$6,$B$10,0))</f>
      </c>
      <c r="L153" s="217">
        <f>(1+$G$5)^(D153/12)*(IF((E153)&gt;($B$6),H153,0)+IF(E153=$N$7,$N$4,0)+IF(E153=$C$6,0,0))</f>
      </c>
      <c r="M153" s="1"/>
      <c r="N153" s="7"/>
      <c r="O153" s="1"/>
      <c r="P153" s="331">
        <v>146</v>
      </c>
      <c r="Q153" s="544">
        <f>+DATE(YEAR(Q152),MONTH(Q152)-1,DAY(Q152))</f>
        <v>25569.041666666668</v>
      </c>
      <c r="R153" s="341">
        <f>IF($Z$7=$E153,1,IF(MONTH($E153)=1,R154*(1+$F$5),R154))</f>
      </c>
      <c r="S153" s="334">
        <f>R153*$B$8/12</f>
      </c>
      <c r="T153" s="334">
        <f>R153*$B$11/12</f>
      </c>
      <c r="U153" s="565">
        <f>(1+$V$5)^(P153/12)*(T153+IF(Q153=$Z$7,$Z$4,0))</f>
      </c>
      <c r="V153" s="170"/>
      <c r="W153" s="7"/>
      <c r="X153" s="1"/>
      <c r="Y153" s="1"/>
      <c r="Z153" s="1"/>
      <c r="AA153" s="1"/>
      <c r="AB153" s="1"/>
      <c r="AC153" s="331">
        <v>146</v>
      </c>
      <c r="AD153" s="544">
        <f>+DATE(YEAR(AD152),MONTH(AD152)-1,DAY(AD152))</f>
        <v>25569.041666666668</v>
      </c>
      <c r="AE153" s="341">
        <f>IF($AM$7=$E153,1,IF(MONTH($E153)=1,AE154*(1+$F$5),AE154))</f>
      </c>
      <c r="AF153" s="334">
        <f>AE153*$B$8/12</f>
      </c>
      <c r="AG153" s="334">
        <f>AE153*$B$12/12</f>
      </c>
      <c r="AH153" s="565">
        <f>(1+$AI$5)^(AC153/12)*(AG153+IF(AD153=$AM$7,$AM$4,0))</f>
      </c>
      <c r="AI153" s="170"/>
      <c r="AJ153" s="7"/>
      <c r="AK153" s="1"/>
      <c r="AL153" s="1"/>
      <c r="AM153" s="1"/>
    </row>
    <row x14ac:dyDescent="0.25" r="154" customHeight="1" ht="18.75">
      <c r="A154" s="1"/>
      <c r="B154" s="169"/>
      <c r="C154" s="170"/>
      <c r="D154" s="331">
        <v>147</v>
      </c>
      <c r="E154" s="544">
        <f>+DATE(YEAR(E153),MONTH(E153)-1,DAY(E153))</f>
        <v>25569.041666666668</v>
      </c>
      <c r="F154" s="333">
        <f>IF($C$6=$E154,1,IF(MONTH($E154)=1,F155*(1+$F$5),F155))</f>
      </c>
      <c r="G154" s="333">
        <f>F154*$B$8/12</f>
      </c>
      <c r="H154" s="333">
        <f>IF(F154=1,F154*$B$10/MIN(12,'Simulador - 3º Pilar'!$E$88),0)</f>
      </c>
      <c r="I154" s="560">
        <f>(1+$G$5)^(D154/12)*(H154+IF(E154=$N$7,$N$4,0))</f>
      </c>
      <c r="J154" s="561">
        <f>(1+$G$5)^(D154/12)*(H154*(12-IF(MONTH(E155)=12,0,MONTH(E155)))+IF(AND(F154=1,F155=0),$Q$4,0))*IF(AND(F154=1,F155=0),1,0)</f>
      </c>
      <c r="K154" s="217">
        <f>(1+$G$5)^(D154/12)*(IF(E154=$N$7,$N$4,0)+IF(E154=$C$6,$B$10,0))</f>
      </c>
      <c r="L154" s="217">
        <f>(1+$G$5)^(D154/12)*(IF((E154)&gt;($B$6),H154,0)+IF(E154=$N$7,$N$4,0)+IF(E154=$C$6,0,0))</f>
      </c>
      <c r="M154" s="1"/>
      <c r="N154" s="7"/>
      <c r="O154" s="1"/>
      <c r="P154" s="331">
        <v>147</v>
      </c>
      <c r="Q154" s="544">
        <f>+DATE(YEAR(Q153),MONTH(Q153)-1,DAY(Q153))</f>
        <v>25569.041666666668</v>
      </c>
      <c r="R154" s="341">
        <f>IF($Z$7=$E154,1,IF(MONTH($E154)=1,R155*(1+$F$5),R155))</f>
      </c>
      <c r="S154" s="334">
        <f>R154*$B$8/12</f>
      </c>
      <c r="T154" s="334">
        <f>R154*$B$11/12</f>
      </c>
      <c r="U154" s="565">
        <f>(1+$V$5)^(P154/12)*(T154+IF(Q154=$Z$7,$Z$4,0))</f>
      </c>
      <c r="V154" s="170"/>
      <c r="W154" s="7"/>
      <c r="X154" s="1"/>
      <c r="Y154" s="1"/>
      <c r="Z154" s="1"/>
      <c r="AA154" s="1"/>
      <c r="AB154" s="1"/>
      <c r="AC154" s="331">
        <v>147</v>
      </c>
      <c r="AD154" s="544">
        <f>+DATE(YEAR(AD153),MONTH(AD153)-1,DAY(AD153))</f>
        <v>25569.041666666668</v>
      </c>
      <c r="AE154" s="341">
        <f>IF($AM$7=$E154,1,IF(MONTH($E154)=1,AE155*(1+$F$5),AE155))</f>
      </c>
      <c r="AF154" s="334">
        <f>AE154*$B$8/12</f>
      </c>
      <c r="AG154" s="334">
        <f>AE154*$B$12/12</f>
      </c>
      <c r="AH154" s="565">
        <f>(1+$AI$5)^(AC154/12)*(AG154+IF(AD154=$AM$7,$AM$4,0))</f>
      </c>
      <c r="AI154" s="170"/>
      <c r="AJ154" s="7"/>
      <c r="AK154" s="1"/>
      <c r="AL154" s="1"/>
      <c r="AM154" s="1"/>
    </row>
    <row x14ac:dyDescent="0.25" r="155" customHeight="1" ht="18.75">
      <c r="A155" s="1"/>
      <c r="B155" s="169"/>
      <c r="C155" s="170"/>
      <c r="D155" s="331">
        <v>148</v>
      </c>
      <c r="E155" s="544">
        <f>+DATE(YEAR(E154),MONTH(E154)-1,DAY(E154))</f>
        <v>25569.041666666668</v>
      </c>
      <c r="F155" s="333">
        <f>IF($C$6=$E155,1,IF(MONTH($E155)=1,F156*(1+$F$5),F156))</f>
      </c>
      <c r="G155" s="333">
        <f>F155*$B$8/12</f>
      </c>
      <c r="H155" s="333">
        <f>IF(F155=1,F155*$B$10/MIN(12,'Simulador - 3º Pilar'!$E$88),0)</f>
      </c>
      <c r="I155" s="560">
        <f>(1+$G$5)^(D155/12)*(H155+IF(E155=$N$7,$N$4,0))</f>
      </c>
      <c r="J155" s="561">
        <f>(1+$G$5)^(D155/12)*(H155*(12-IF(MONTH(E156)=12,0,MONTH(E156)))+IF(AND(F155=1,F156=0),$Q$4,0))*IF(AND(F155=1,F156=0),1,0)</f>
      </c>
      <c r="K155" s="217">
        <f>(1+$G$5)^(D155/12)*(IF(E155=$N$7,$N$4,0)+IF(E155=$C$6,$B$10,0))</f>
      </c>
      <c r="L155" s="217">
        <f>(1+$G$5)^(D155/12)*(IF((E155)&gt;($B$6),H155,0)+IF(E155=$N$7,$N$4,0)+IF(E155=$C$6,0,0))</f>
      </c>
      <c r="M155" s="1"/>
      <c r="N155" s="7"/>
      <c r="O155" s="1"/>
      <c r="P155" s="331">
        <v>148</v>
      </c>
      <c r="Q155" s="544">
        <f>+DATE(YEAR(Q154),MONTH(Q154)-1,DAY(Q154))</f>
        <v>25569.041666666668</v>
      </c>
      <c r="R155" s="341">
        <f>IF($Z$7=$E155,1,IF(MONTH($E155)=1,R156*(1+$F$5),R156))</f>
      </c>
      <c r="S155" s="334">
        <f>R155*$B$8/12</f>
      </c>
      <c r="T155" s="334">
        <f>R155*$B$11/12</f>
      </c>
      <c r="U155" s="565">
        <f>(1+$V$5)^(P155/12)*(T155+IF(Q155=$Z$7,$Z$4,0))</f>
      </c>
      <c r="V155" s="170"/>
      <c r="W155" s="7"/>
      <c r="X155" s="1"/>
      <c r="Y155" s="1"/>
      <c r="Z155" s="1"/>
      <c r="AA155" s="1"/>
      <c r="AB155" s="1"/>
      <c r="AC155" s="331">
        <v>148</v>
      </c>
      <c r="AD155" s="544">
        <f>+DATE(YEAR(AD154),MONTH(AD154)-1,DAY(AD154))</f>
        <v>25569.041666666668</v>
      </c>
      <c r="AE155" s="341">
        <f>IF($AM$7=$E155,1,IF(MONTH($E155)=1,AE156*(1+$F$5),AE156))</f>
      </c>
      <c r="AF155" s="334">
        <f>AE155*$B$8/12</f>
      </c>
      <c r="AG155" s="334">
        <f>AE155*$B$12/12</f>
      </c>
      <c r="AH155" s="565">
        <f>(1+$AI$5)^(AC155/12)*(AG155+IF(AD155=$AM$7,$AM$4,0))</f>
      </c>
      <c r="AI155" s="170"/>
      <c r="AJ155" s="7"/>
      <c r="AK155" s="1"/>
      <c r="AL155" s="1"/>
      <c r="AM155" s="1"/>
    </row>
    <row x14ac:dyDescent="0.25" r="156" customHeight="1" ht="18.75">
      <c r="A156" s="1"/>
      <c r="B156" s="169"/>
      <c r="C156" s="170"/>
      <c r="D156" s="331">
        <v>149</v>
      </c>
      <c r="E156" s="544">
        <f>+DATE(YEAR(E155),MONTH(E155)-1,DAY(E155))</f>
        <v>25569.041666666668</v>
      </c>
      <c r="F156" s="333">
        <f>IF($C$6=$E156,1,IF(MONTH($E156)=1,F157*(1+$F$5),F157))</f>
      </c>
      <c r="G156" s="333">
        <f>F156*$B$8/12</f>
      </c>
      <c r="H156" s="333">
        <f>IF(F156=1,F156*$B$10/MIN(12,'Simulador - 3º Pilar'!$E$88),0)</f>
      </c>
      <c r="I156" s="560">
        <f>(1+$G$5)^(D156/12)*(H156+IF(E156=$N$7,$N$4,0))</f>
      </c>
      <c r="J156" s="561">
        <f>(1+$G$5)^(D156/12)*(H156*(12-IF(MONTH(E157)=12,0,MONTH(E157)))+IF(AND(F156=1,F157=0),$Q$4,0))*IF(AND(F156=1,F157=0),1,0)</f>
      </c>
      <c r="K156" s="217">
        <f>(1+$G$5)^(D156/12)*(IF(E156=$N$7,$N$4,0)+IF(E156=$C$6,$B$10,0))</f>
      </c>
      <c r="L156" s="217">
        <f>(1+$G$5)^(D156/12)*(IF((E156)&gt;($B$6),H156,0)+IF(E156=$N$7,$N$4,0)+IF(E156=$C$6,0,0))</f>
      </c>
      <c r="M156" s="1"/>
      <c r="N156" s="7"/>
      <c r="O156" s="1"/>
      <c r="P156" s="331">
        <v>149</v>
      </c>
      <c r="Q156" s="544">
        <f>+DATE(YEAR(Q155),MONTH(Q155)-1,DAY(Q155))</f>
        <v>25569.041666666668</v>
      </c>
      <c r="R156" s="341">
        <f>IF($Z$7=$E156,1,IF(MONTH($E156)=1,R157*(1+$F$5),R157))</f>
      </c>
      <c r="S156" s="334">
        <f>R156*$B$8/12</f>
      </c>
      <c r="T156" s="334">
        <f>R156*$B$11/12</f>
      </c>
      <c r="U156" s="565">
        <f>(1+$V$5)^(P156/12)*(T156+IF(Q156=$Z$7,$Z$4,0))</f>
      </c>
      <c r="V156" s="170"/>
      <c r="W156" s="7"/>
      <c r="X156" s="1"/>
      <c r="Y156" s="1"/>
      <c r="Z156" s="1"/>
      <c r="AA156" s="1"/>
      <c r="AB156" s="1"/>
      <c r="AC156" s="331">
        <v>149</v>
      </c>
      <c r="AD156" s="544">
        <f>+DATE(YEAR(AD155),MONTH(AD155)-1,DAY(AD155))</f>
        <v>25569.041666666668</v>
      </c>
      <c r="AE156" s="341">
        <f>IF($AM$7=$E156,1,IF(MONTH($E156)=1,AE157*(1+$F$5),AE157))</f>
      </c>
      <c r="AF156" s="334">
        <f>AE156*$B$8/12</f>
      </c>
      <c r="AG156" s="334">
        <f>AE156*$B$12/12</f>
      </c>
      <c r="AH156" s="565">
        <f>(1+$AI$5)^(AC156/12)*(AG156+IF(AD156=$AM$7,$AM$4,0))</f>
      </c>
      <c r="AI156" s="170"/>
      <c r="AJ156" s="7"/>
      <c r="AK156" s="1"/>
      <c r="AL156" s="1"/>
      <c r="AM156" s="1"/>
    </row>
    <row x14ac:dyDescent="0.25" r="157" customHeight="1" ht="18.75">
      <c r="A157" s="1"/>
      <c r="B157" s="169"/>
      <c r="C157" s="170"/>
      <c r="D157" s="331">
        <v>150</v>
      </c>
      <c r="E157" s="544">
        <f>+DATE(YEAR(E156),MONTH(E156)-1,DAY(E156))</f>
        <v>25569.041666666668</v>
      </c>
      <c r="F157" s="333">
        <f>IF($C$6=$E157,1,IF(MONTH($E157)=1,F158*(1+$F$5),F158))</f>
      </c>
      <c r="G157" s="333">
        <f>F157*$B$8/12</f>
      </c>
      <c r="H157" s="333">
        <f>IF(F157=1,F157*$B$10/MIN(12,'Simulador - 3º Pilar'!$E$88),0)</f>
      </c>
      <c r="I157" s="560">
        <f>(1+$G$5)^(D157/12)*(H157+IF(E157=$N$7,$N$4,0))</f>
      </c>
      <c r="J157" s="561">
        <f>(1+$G$5)^(D157/12)*(H157*(12-IF(MONTH(E158)=12,0,MONTH(E158)))+IF(AND(F157=1,F158=0),$Q$4,0))*IF(AND(F157=1,F158=0),1,0)</f>
      </c>
      <c r="K157" s="217">
        <f>(1+$G$5)^(D157/12)*(IF(E157=$N$7,$N$4,0)+IF(E157=$C$6,$B$10,0))</f>
      </c>
      <c r="L157" s="217">
        <f>(1+$G$5)^(D157/12)*(IF((E157)&gt;($B$6),H157,0)+IF(E157=$N$7,$N$4,0)+IF(E157=$C$6,0,0))</f>
      </c>
      <c r="M157" s="1"/>
      <c r="N157" s="7"/>
      <c r="O157" s="1"/>
      <c r="P157" s="331">
        <v>150</v>
      </c>
      <c r="Q157" s="544">
        <f>+DATE(YEAR(Q156),MONTH(Q156)-1,DAY(Q156))</f>
        <v>25569.041666666668</v>
      </c>
      <c r="R157" s="341">
        <f>IF($Z$7=$E157,1,IF(MONTH($E157)=1,R158*(1+$F$5),R158))</f>
      </c>
      <c r="S157" s="334">
        <f>R157*$B$8/12</f>
      </c>
      <c r="T157" s="334">
        <f>R157*$B$11/12</f>
      </c>
      <c r="U157" s="565">
        <f>(1+$V$5)^(P157/12)*(T157+IF(Q157=$Z$7,$Z$4,0))</f>
      </c>
      <c r="V157" s="170"/>
      <c r="W157" s="7"/>
      <c r="X157" s="1"/>
      <c r="Y157" s="1"/>
      <c r="Z157" s="1"/>
      <c r="AA157" s="1"/>
      <c r="AB157" s="1"/>
      <c r="AC157" s="331">
        <v>150</v>
      </c>
      <c r="AD157" s="544">
        <f>+DATE(YEAR(AD156),MONTH(AD156)-1,DAY(AD156))</f>
        <v>25569.041666666668</v>
      </c>
      <c r="AE157" s="341">
        <f>IF($AM$7=$E157,1,IF(MONTH($E157)=1,AE158*(1+$F$5),AE158))</f>
      </c>
      <c r="AF157" s="334">
        <f>AE157*$B$8/12</f>
      </c>
      <c r="AG157" s="334">
        <f>AE157*$B$12/12</f>
      </c>
      <c r="AH157" s="565">
        <f>(1+$AI$5)^(AC157/12)*(AG157+IF(AD157=$AM$7,$AM$4,0))</f>
      </c>
      <c r="AI157" s="170"/>
      <c r="AJ157" s="7"/>
      <c r="AK157" s="1"/>
      <c r="AL157" s="1"/>
      <c r="AM157" s="1"/>
    </row>
    <row x14ac:dyDescent="0.25" r="158" customHeight="1" ht="18.75">
      <c r="A158" s="1"/>
      <c r="B158" s="169"/>
      <c r="C158" s="170"/>
      <c r="D158" s="331">
        <v>151</v>
      </c>
      <c r="E158" s="544">
        <f>+DATE(YEAR(E157),MONTH(E157)-1,DAY(E157))</f>
        <v>25569.041666666668</v>
      </c>
      <c r="F158" s="333">
        <f>IF($C$6=$E158,1,IF(MONTH($E158)=1,F159*(1+$F$5),F159))</f>
      </c>
      <c r="G158" s="333">
        <f>F158*$B$8/12</f>
      </c>
      <c r="H158" s="333">
        <f>IF(F158=1,F158*$B$10/MIN(12,'Simulador - 3º Pilar'!$E$88),0)</f>
      </c>
      <c r="I158" s="560">
        <f>(1+$G$5)^(D158/12)*(H158+IF(E158=$N$7,$N$4,0))</f>
      </c>
      <c r="J158" s="561">
        <f>(1+$G$5)^(D158/12)*(H158*(12-IF(MONTH(E159)=12,0,MONTH(E159)))+IF(AND(F158=1,F159=0),$Q$4,0))*IF(AND(F158=1,F159=0),1,0)</f>
      </c>
      <c r="K158" s="217">
        <f>(1+$G$5)^(D158/12)*(IF(E158=$N$7,$N$4,0)+IF(E158=$C$6,$B$10,0))</f>
      </c>
      <c r="L158" s="217">
        <f>(1+$G$5)^(D158/12)*(IF((E158)&gt;($B$6),H158,0)+IF(E158=$N$7,$N$4,0)+IF(E158=$C$6,0,0))</f>
      </c>
      <c r="M158" s="1"/>
      <c r="N158" s="7"/>
      <c r="O158" s="1"/>
      <c r="P158" s="331">
        <v>151</v>
      </c>
      <c r="Q158" s="544">
        <f>+DATE(YEAR(Q157),MONTH(Q157)-1,DAY(Q157))</f>
        <v>25569.041666666668</v>
      </c>
      <c r="R158" s="341">
        <f>IF($Z$7=$E158,1,IF(MONTH($E158)=1,R159*(1+$F$5),R159))</f>
      </c>
      <c r="S158" s="334">
        <f>R158*$B$8/12</f>
      </c>
      <c r="T158" s="334">
        <f>R158*$B$11/12</f>
      </c>
      <c r="U158" s="565">
        <f>(1+$V$5)^(P158/12)*(T158+IF(Q158=$Z$7,$Z$4,0))</f>
      </c>
      <c r="V158" s="170"/>
      <c r="W158" s="7"/>
      <c r="X158" s="1"/>
      <c r="Y158" s="1"/>
      <c r="Z158" s="1"/>
      <c r="AA158" s="1"/>
      <c r="AB158" s="1"/>
      <c r="AC158" s="331">
        <v>151</v>
      </c>
      <c r="AD158" s="544">
        <f>+DATE(YEAR(AD157),MONTH(AD157)-1,DAY(AD157))</f>
        <v>25569.041666666668</v>
      </c>
      <c r="AE158" s="341">
        <f>IF($AM$7=$E158,1,IF(MONTH($E158)=1,AE159*(1+$F$5),AE159))</f>
      </c>
      <c r="AF158" s="334">
        <f>AE158*$B$8/12</f>
      </c>
      <c r="AG158" s="334">
        <f>AE158*$B$12/12</f>
      </c>
      <c r="AH158" s="565">
        <f>(1+$AI$5)^(AC158/12)*(AG158+IF(AD158=$AM$7,$AM$4,0))</f>
      </c>
      <c r="AI158" s="170"/>
      <c r="AJ158" s="7"/>
      <c r="AK158" s="1"/>
      <c r="AL158" s="1"/>
      <c r="AM158" s="1"/>
    </row>
    <row x14ac:dyDescent="0.25" r="159" customHeight="1" ht="18.75">
      <c r="A159" s="1"/>
      <c r="B159" s="169"/>
      <c r="C159" s="170"/>
      <c r="D159" s="331">
        <v>152</v>
      </c>
      <c r="E159" s="544">
        <f>+DATE(YEAR(E158),MONTH(E158)-1,DAY(E158))</f>
        <v>25569.041666666668</v>
      </c>
      <c r="F159" s="333">
        <f>IF($C$6=$E159,1,IF(MONTH($E159)=1,F160*(1+$F$5),F160))</f>
      </c>
      <c r="G159" s="333">
        <f>F159*$B$8/12</f>
      </c>
      <c r="H159" s="333">
        <f>IF(F159=1,F159*$B$10/MIN(12,'Simulador - 3º Pilar'!$E$88),0)</f>
      </c>
      <c r="I159" s="560">
        <f>(1+$G$5)^(D159/12)*(H159+IF(E159=$N$7,$N$4,0))</f>
      </c>
      <c r="J159" s="561">
        <f>(1+$G$5)^(D159/12)*(H159*(12-IF(MONTH(E160)=12,0,MONTH(E160)))+IF(AND(F159=1,F160=0),$Q$4,0))*IF(AND(F159=1,F160=0),1,0)</f>
      </c>
      <c r="K159" s="217">
        <f>(1+$G$5)^(D159/12)*(IF(E159=$N$7,$N$4,0)+IF(E159=$C$6,$B$10,0))</f>
      </c>
      <c r="L159" s="217">
        <f>(1+$G$5)^(D159/12)*(IF((E159)&gt;($B$6),H159,0)+IF(E159=$N$7,$N$4,0)+IF(E159=$C$6,0,0))</f>
      </c>
      <c r="M159" s="1"/>
      <c r="N159" s="7"/>
      <c r="O159" s="1"/>
      <c r="P159" s="331">
        <v>152</v>
      </c>
      <c r="Q159" s="544">
        <f>+DATE(YEAR(Q158),MONTH(Q158)-1,DAY(Q158))</f>
        <v>25569.041666666668</v>
      </c>
      <c r="R159" s="341">
        <f>IF($Z$7=$E159,1,IF(MONTH($E159)=1,R160*(1+$F$5),R160))</f>
      </c>
      <c r="S159" s="334">
        <f>R159*$B$8/12</f>
      </c>
      <c r="T159" s="334">
        <f>R159*$B$11/12</f>
      </c>
      <c r="U159" s="565">
        <f>(1+$V$5)^(P159/12)*(T159+IF(Q159=$Z$7,$Z$4,0))</f>
      </c>
      <c r="V159" s="170"/>
      <c r="W159" s="7"/>
      <c r="X159" s="1"/>
      <c r="Y159" s="1"/>
      <c r="Z159" s="1"/>
      <c r="AA159" s="1"/>
      <c r="AB159" s="1"/>
      <c r="AC159" s="331">
        <v>152</v>
      </c>
      <c r="AD159" s="544">
        <f>+DATE(YEAR(AD158),MONTH(AD158)-1,DAY(AD158))</f>
        <v>25569.041666666668</v>
      </c>
      <c r="AE159" s="341">
        <f>IF($AM$7=$E159,1,IF(MONTH($E159)=1,AE160*(1+$F$5),AE160))</f>
      </c>
      <c r="AF159" s="334">
        <f>AE159*$B$8/12</f>
      </c>
      <c r="AG159" s="334">
        <f>AE159*$B$12/12</f>
      </c>
      <c r="AH159" s="565">
        <f>(1+$AI$5)^(AC159/12)*(AG159+IF(AD159=$AM$7,$AM$4,0))</f>
      </c>
      <c r="AI159" s="170"/>
      <c r="AJ159" s="7"/>
      <c r="AK159" s="1"/>
      <c r="AL159" s="1"/>
      <c r="AM159" s="1"/>
    </row>
    <row x14ac:dyDescent="0.25" r="160" customHeight="1" ht="18.75">
      <c r="A160" s="1"/>
      <c r="B160" s="169"/>
      <c r="C160" s="170"/>
      <c r="D160" s="331">
        <v>153</v>
      </c>
      <c r="E160" s="544">
        <f>+DATE(YEAR(E159),MONTH(E159)-1,DAY(E159))</f>
        <v>25569.041666666668</v>
      </c>
      <c r="F160" s="333">
        <f>IF($C$6=$E160,1,IF(MONTH($E160)=1,F161*(1+$F$5),F161))</f>
      </c>
      <c r="G160" s="333">
        <f>F160*$B$8/12</f>
      </c>
      <c r="H160" s="333">
        <f>IF(F160=1,F160*$B$10/MIN(12,'Simulador - 3º Pilar'!$E$88),0)</f>
      </c>
      <c r="I160" s="560">
        <f>(1+$G$5)^(D160/12)*(H160+IF(E160=$N$7,$N$4,0))</f>
      </c>
      <c r="J160" s="561">
        <f>(1+$G$5)^(D160/12)*(H160*(12-IF(MONTH(E161)=12,0,MONTH(E161)))+IF(AND(F160=1,F161=0),$Q$4,0))*IF(AND(F160=1,F161=0),1,0)</f>
      </c>
      <c r="K160" s="217">
        <f>(1+$G$5)^(D160/12)*(IF(E160=$N$7,$N$4,0)+IF(E160=$C$6,$B$10,0))</f>
      </c>
      <c r="L160" s="217">
        <f>(1+$G$5)^(D160/12)*(IF((E160)&gt;($B$6),H160,0)+IF(E160=$N$7,$N$4,0)+IF(E160=$C$6,0,0))</f>
      </c>
      <c r="M160" s="1"/>
      <c r="N160" s="7"/>
      <c r="O160" s="1"/>
      <c r="P160" s="331">
        <v>153</v>
      </c>
      <c r="Q160" s="544">
        <f>+DATE(YEAR(Q159),MONTH(Q159)-1,DAY(Q159))</f>
        <v>25569.041666666668</v>
      </c>
      <c r="R160" s="341">
        <f>IF($Z$7=$E160,1,IF(MONTH($E160)=1,R161*(1+$F$5),R161))</f>
      </c>
      <c r="S160" s="334">
        <f>R160*$B$8/12</f>
      </c>
      <c r="T160" s="334">
        <f>R160*$B$11/12</f>
      </c>
      <c r="U160" s="565">
        <f>(1+$V$5)^(P160/12)*(T160+IF(Q160=$Z$7,$Z$4,0))</f>
      </c>
      <c r="V160" s="170"/>
      <c r="W160" s="7"/>
      <c r="X160" s="1"/>
      <c r="Y160" s="1"/>
      <c r="Z160" s="1"/>
      <c r="AA160" s="1"/>
      <c r="AB160" s="1"/>
      <c r="AC160" s="331">
        <v>153</v>
      </c>
      <c r="AD160" s="544">
        <f>+DATE(YEAR(AD159),MONTH(AD159)-1,DAY(AD159))</f>
        <v>25569.041666666668</v>
      </c>
      <c r="AE160" s="341">
        <f>IF($AM$7=$E160,1,IF(MONTH($E160)=1,AE161*(1+$F$5),AE161))</f>
      </c>
      <c r="AF160" s="334">
        <f>AE160*$B$8/12</f>
      </c>
      <c r="AG160" s="334">
        <f>AE160*$B$12/12</f>
      </c>
      <c r="AH160" s="565">
        <f>(1+$AI$5)^(AC160/12)*(AG160+IF(AD160=$AM$7,$AM$4,0))</f>
      </c>
      <c r="AI160" s="170"/>
      <c r="AJ160" s="7"/>
      <c r="AK160" s="1"/>
      <c r="AL160" s="1"/>
      <c r="AM160" s="1"/>
    </row>
    <row x14ac:dyDescent="0.25" r="161" customHeight="1" ht="18.75">
      <c r="A161" s="1"/>
      <c r="B161" s="169"/>
      <c r="C161" s="170"/>
      <c r="D161" s="331">
        <v>154</v>
      </c>
      <c r="E161" s="544">
        <f>+DATE(YEAR(E160),MONTH(E160)-1,DAY(E160))</f>
        <v>25569.041666666668</v>
      </c>
      <c r="F161" s="333">
        <f>IF($C$6=$E161,1,IF(MONTH($E161)=1,F162*(1+$F$5),F162))</f>
      </c>
      <c r="G161" s="333">
        <f>F161*$B$8/12</f>
      </c>
      <c r="H161" s="333">
        <f>IF(F161=1,F161*$B$10/MIN(12,'Simulador - 3º Pilar'!$E$88),0)</f>
      </c>
      <c r="I161" s="560">
        <f>(1+$G$5)^(D161/12)*(H161+IF(E161=$N$7,$N$4,0))</f>
      </c>
      <c r="J161" s="561">
        <f>(1+$G$5)^(D161/12)*(H161*(12-IF(MONTH(E162)=12,0,MONTH(E162)))+IF(AND(F161=1,F162=0),$Q$4,0))*IF(AND(F161=1,F162=0),1,0)</f>
      </c>
      <c r="K161" s="217">
        <f>(1+$G$5)^(D161/12)*(IF(E161=$N$7,$N$4,0)+IF(E161=$C$6,$B$10,0))</f>
      </c>
      <c r="L161" s="217">
        <f>(1+$G$5)^(D161/12)*(IF((E161)&gt;($B$6),H161,0)+IF(E161=$N$7,$N$4,0)+IF(E161=$C$6,0,0))</f>
      </c>
      <c r="M161" s="1"/>
      <c r="N161" s="7"/>
      <c r="O161" s="1"/>
      <c r="P161" s="331">
        <v>154</v>
      </c>
      <c r="Q161" s="544">
        <f>+DATE(YEAR(Q160),MONTH(Q160)-1,DAY(Q160))</f>
        <v>25569.041666666668</v>
      </c>
      <c r="R161" s="341">
        <f>IF($Z$7=$E161,1,IF(MONTH($E161)=1,R162*(1+$F$5),R162))</f>
      </c>
      <c r="S161" s="334">
        <f>R161*$B$8/12</f>
      </c>
      <c r="T161" s="334">
        <f>R161*$B$11/12</f>
      </c>
      <c r="U161" s="565">
        <f>(1+$V$5)^(P161/12)*(T161+IF(Q161=$Z$7,$Z$4,0))</f>
      </c>
      <c r="V161" s="170"/>
      <c r="W161" s="7"/>
      <c r="X161" s="1"/>
      <c r="Y161" s="1"/>
      <c r="Z161" s="1"/>
      <c r="AA161" s="1"/>
      <c r="AB161" s="1"/>
      <c r="AC161" s="331">
        <v>154</v>
      </c>
      <c r="AD161" s="544">
        <f>+DATE(YEAR(AD160),MONTH(AD160)-1,DAY(AD160))</f>
        <v>25569.041666666668</v>
      </c>
      <c r="AE161" s="341">
        <f>IF($AM$7=$E161,1,IF(MONTH($E161)=1,AE162*(1+$F$5),AE162))</f>
      </c>
      <c r="AF161" s="334">
        <f>AE161*$B$8/12</f>
      </c>
      <c r="AG161" s="334">
        <f>AE161*$B$12/12</f>
      </c>
      <c r="AH161" s="565">
        <f>(1+$AI$5)^(AC161/12)*(AG161+IF(AD161=$AM$7,$AM$4,0))</f>
      </c>
      <c r="AI161" s="170"/>
      <c r="AJ161" s="7"/>
      <c r="AK161" s="1"/>
      <c r="AL161" s="1"/>
      <c r="AM161" s="1"/>
    </row>
    <row x14ac:dyDescent="0.25" r="162" customHeight="1" ht="18.75">
      <c r="A162" s="1"/>
      <c r="B162" s="169"/>
      <c r="C162" s="170"/>
      <c r="D162" s="331">
        <v>155</v>
      </c>
      <c r="E162" s="544">
        <f>+DATE(YEAR(E161),MONTH(E161)-1,DAY(E161))</f>
        <v>25569.041666666668</v>
      </c>
      <c r="F162" s="333">
        <f>IF($C$6=$E162,1,IF(MONTH($E162)=1,F163*(1+$F$5),F163))</f>
      </c>
      <c r="G162" s="333">
        <f>F162*$B$8/12</f>
      </c>
      <c r="H162" s="333">
        <f>IF(F162=1,F162*$B$10/MIN(12,'Simulador - 3º Pilar'!$E$88),0)</f>
      </c>
      <c r="I162" s="560">
        <f>(1+$G$5)^(D162/12)*(H162+IF(E162=$N$7,$N$4,0))</f>
      </c>
      <c r="J162" s="561">
        <f>(1+$G$5)^(D162/12)*(H162*(12-IF(MONTH(E163)=12,0,MONTH(E163)))+IF(AND(F162=1,F163=0),$Q$4,0))*IF(AND(F162=1,F163=0),1,0)</f>
      </c>
      <c r="K162" s="217">
        <f>(1+$G$5)^(D162/12)*(IF(E162=$N$7,$N$4,0)+IF(E162=$C$6,$B$10,0))</f>
      </c>
      <c r="L162" s="217">
        <f>(1+$G$5)^(D162/12)*(IF((E162)&gt;($B$6),H162,0)+IF(E162=$N$7,$N$4,0)+IF(E162=$C$6,0,0))</f>
      </c>
      <c r="M162" s="1"/>
      <c r="N162" s="7"/>
      <c r="O162" s="1"/>
      <c r="P162" s="331">
        <v>155</v>
      </c>
      <c r="Q162" s="544">
        <f>+DATE(YEAR(Q161),MONTH(Q161)-1,DAY(Q161))</f>
        <v>25569.041666666668</v>
      </c>
      <c r="R162" s="341">
        <f>IF($Z$7=$E162,1,IF(MONTH($E162)=1,R163*(1+$F$5),R163))</f>
      </c>
      <c r="S162" s="334">
        <f>R162*$B$8/12</f>
      </c>
      <c r="T162" s="334">
        <f>R162*$B$11/12</f>
      </c>
      <c r="U162" s="565">
        <f>(1+$V$5)^(P162/12)*(T162+IF(Q162=$Z$7,$Z$4,0))</f>
      </c>
      <c r="V162" s="170"/>
      <c r="W162" s="7"/>
      <c r="X162" s="1"/>
      <c r="Y162" s="1"/>
      <c r="Z162" s="1"/>
      <c r="AA162" s="1"/>
      <c r="AB162" s="1"/>
      <c r="AC162" s="331">
        <v>155</v>
      </c>
      <c r="AD162" s="544">
        <f>+DATE(YEAR(AD161),MONTH(AD161)-1,DAY(AD161))</f>
        <v>25569.041666666668</v>
      </c>
      <c r="AE162" s="341">
        <f>IF($AM$7=$E162,1,IF(MONTH($E162)=1,AE163*(1+$F$5),AE163))</f>
      </c>
      <c r="AF162" s="334">
        <f>AE162*$B$8/12</f>
      </c>
      <c r="AG162" s="334">
        <f>AE162*$B$12/12</f>
      </c>
      <c r="AH162" s="565">
        <f>(1+$AI$5)^(AC162/12)*(AG162+IF(AD162=$AM$7,$AM$4,0))</f>
      </c>
      <c r="AI162" s="170"/>
      <c r="AJ162" s="7"/>
      <c r="AK162" s="1"/>
      <c r="AL162" s="1"/>
      <c r="AM162" s="1"/>
    </row>
    <row x14ac:dyDescent="0.25" r="163" customHeight="1" ht="18.75">
      <c r="A163" s="1"/>
      <c r="B163" s="169"/>
      <c r="C163" s="170"/>
      <c r="D163" s="331">
        <v>156</v>
      </c>
      <c r="E163" s="544">
        <f>+DATE(YEAR(E162),MONTH(E162)-1,DAY(E162))</f>
        <v>25569.041666666668</v>
      </c>
      <c r="F163" s="333">
        <f>IF($C$6=$E163,1,IF(MONTH($E163)=1,F164*(1+$F$5),F164))</f>
      </c>
      <c r="G163" s="333">
        <f>F163*$B$8/12</f>
      </c>
      <c r="H163" s="333">
        <f>IF(F163=1,F163*$B$10/MIN(12,'Simulador - 3º Pilar'!$E$88),0)</f>
      </c>
      <c r="I163" s="560">
        <f>(1+$G$5)^(D163/12)*(H163+IF(E163=$N$7,$N$4,0))</f>
      </c>
      <c r="J163" s="561">
        <f>(1+$G$5)^(D163/12)*(H163*(12-IF(MONTH(E164)=12,0,MONTH(E164)))+IF(AND(F163=1,F164=0),$Q$4,0))*IF(AND(F163=1,F164=0),1,0)</f>
      </c>
      <c r="K163" s="217">
        <f>(1+$G$5)^(D163/12)*(IF(E163=$N$7,$N$4,0)+IF(E163=$C$6,$B$10,0))</f>
      </c>
      <c r="L163" s="217">
        <f>(1+$G$5)^(D163/12)*(IF((E163)&gt;($B$6),H163,0)+IF(E163=$N$7,$N$4,0)+IF(E163=$C$6,0,0))</f>
      </c>
      <c r="M163" s="1"/>
      <c r="N163" s="7"/>
      <c r="O163" s="1"/>
      <c r="P163" s="331">
        <v>156</v>
      </c>
      <c r="Q163" s="544">
        <f>+DATE(YEAR(Q162),MONTH(Q162)-1,DAY(Q162))</f>
        <v>25569.041666666668</v>
      </c>
      <c r="R163" s="341">
        <f>IF($Z$7=$E163,1,IF(MONTH($E163)=1,R164*(1+$F$5),R164))</f>
      </c>
      <c r="S163" s="334">
        <f>R163*$B$8/12</f>
      </c>
      <c r="T163" s="334">
        <f>R163*$B$11/12</f>
      </c>
      <c r="U163" s="565">
        <f>(1+$V$5)^(P163/12)*(T163+IF(Q163=$Z$7,$Z$4,0))</f>
      </c>
      <c r="V163" s="170"/>
      <c r="W163" s="7"/>
      <c r="X163" s="1"/>
      <c r="Y163" s="1"/>
      <c r="Z163" s="1"/>
      <c r="AA163" s="1"/>
      <c r="AB163" s="1"/>
      <c r="AC163" s="331">
        <v>156</v>
      </c>
      <c r="AD163" s="544">
        <f>+DATE(YEAR(AD162),MONTH(AD162)-1,DAY(AD162))</f>
        <v>25569.041666666668</v>
      </c>
      <c r="AE163" s="341">
        <f>IF($AM$7=$E163,1,IF(MONTH($E163)=1,AE164*(1+$F$5),AE164))</f>
      </c>
      <c r="AF163" s="334">
        <f>AE163*$B$8/12</f>
      </c>
      <c r="AG163" s="334">
        <f>AE163*$B$12/12</f>
      </c>
      <c r="AH163" s="565">
        <f>(1+$AI$5)^(AC163/12)*(AG163+IF(AD163=$AM$7,$AM$4,0))</f>
      </c>
      <c r="AI163" s="170"/>
      <c r="AJ163" s="7"/>
      <c r="AK163" s="1"/>
      <c r="AL163" s="1"/>
      <c r="AM163" s="1"/>
    </row>
    <row x14ac:dyDescent="0.25" r="164" customHeight="1" ht="18.75">
      <c r="A164" s="1"/>
      <c r="B164" s="169"/>
      <c r="C164" s="170"/>
      <c r="D164" s="331">
        <v>157</v>
      </c>
      <c r="E164" s="544">
        <f>+DATE(YEAR(E163),MONTH(E163)-1,DAY(E163))</f>
        <v>25569.041666666668</v>
      </c>
      <c r="F164" s="333">
        <f>IF($C$6=$E164,1,IF(MONTH($E164)=1,F165*(1+$F$5),F165))</f>
      </c>
      <c r="G164" s="333">
        <f>F164*$B$8/12</f>
      </c>
      <c r="H164" s="333">
        <f>IF(F164=1,F164*$B$10/MIN(12,'Simulador - 3º Pilar'!$E$88),0)</f>
      </c>
      <c r="I164" s="560">
        <f>(1+$G$5)^(D164/12)*(H164+IF(E164=$N$7,$N$4,0))</f>
      </c>
      <c r="J164" s="561">
        <f>(1+$G$5)^(D164/12)*(H164*(12-IF(MONTH(E165)=12,0,MONTH(E165)))+IF(AND(F164=1,F165=0),$Q$4,0))*IF(AND(F164=1,F165=0),1,0)</f>
      </c>
      <c r="K164" s="217">
        <f>(1+$G$5)^(D164/12)*(IF(E164=$N$7,$N$4,0)+IF(E164=$C$6,$B$10,0))</f>
      </c>
      <c r="L164" s="217">
        <f>(1+$G$5)^(D164/12)*(IF((E164)&gt;($B$6),H164,0)+IF(E164=$N$7,$N$4,0)+IF(E164=$C$6,0,0))</f>
      </c>
      <c r="M164" s="1"/>
      <c r="N164" s="7"/>
      <c r="O164" s="1"/>
      <c r="P164" s="331">
        <v>157</v>
      </c>
      <c r="Q164" s="544">
        <f>+DATE(YEAR(Q163),MONTH(Q163)-1,DAY(Q163))</f>
        <v>25569.041666666668</v>
      </c>
      <c r="R164" s="341">
        <f>IF($Z$7=$E164,1,IF(MONTH($E164)=1,R165*(1+$F$5),R165))</f>
      </c>
      <c r="S164" s="334">
        <f>R164*$B$8/12</f>
      </c>
      <c r="T164" s="334">
        <f>R164*$B$11/12</f>
      </c>
      <c r="U164" s="565">
        <f>(1+$V$5)^(P164/12)*(T164+IF(Q164=$Z$7,$Z$4,0))</f>
      </c>
      <c r="V164" s="170"/>
      <c r="W164" s="7"/>
      <c r="X164" s="1"/>
      <c r="Y164" s="1"/>
      <c r="Z164" s="1"/>
      <c r="AA164" s="1"/>
      <c r="AB164" s="1"/>
      <c r="AC164" s="331">
        <v>157</v>
      </c>
      <c r="AD164" s="544">
        <f>+DATE(YEAR(AD163),MONTH(AD163)-1,DAY(AD163))</f>
        <v>25569.041666666668</v>
      </c>
      <c r="AE164" s="341">
        <f>IF($AM$7=$E164,1,IF(MONTH($E164)=1,AE165*(1+$F$5),AE165))</f>
      </c>
      <c r="AF164" s="334">
        <f>AE164*$B$8/12</f>
      </c>
      <c r="AG164" s="334">
        <f>AE164*$B$12/12</f>
      </c>
      <c r="AH164" s="565">
        <f>(1+$AI$5)^(AC164/12)*(AG164+IF(AD164=$AM$7,$AM$4,0))</f>
      </c>
      <c r="AI164" s="170"/>
      <c r="AJ164" s="7"/>
      <c r="AK164" s="1"/>
      <c r="AL164" s="1"/>
      <c r="AM164" s="1"/>
    </row>
    <row x14ac:dyDescent="0.25" r="165" customHeight="1" ht="18.75">
      <c r="A165" s="1"/>
      <c r="B165" s="169"/>
      <c r="C165" s="170"/>
      <c r="D165" s="331">
        <v>158</v>
      </c>
      <c r="E165" s="544">
        <f>+DATE(YEAR(E164),MONTH(E164)-1,DAY(E164))</f>
        <v>25569.041666666668</v>
      </c>
      <c r="F165" s="333">
        <f>IF($C$6=$E165,1,IF(MONTH($E165)=1,F166*(1+$F$5),F166))</f>
      </c>
      <c r="G165" s="333">
        <f>F165*$B$8/12</f>
      </c>
      <c r="H165" s="333">
        <f>IF(F165=1,F165*$B$10/MIN(12,'Simulador - 3º Pilar'!$E$88),0)</f>
      </c>
      <c r="I165" s="560">
        <f>(1+$G$5)^(D165/12)*(H165+IF(E165=$N$7,$N$4,0))</f>
      </c>
      <c r="J165" s="561">
        <f>(1+$G$5)^(D165/12)*(H165*(12-IF(MONTH(E166)=12,0,MONTH(E166)))+IF(AND(F165=1,F166=0),$Q$4,0))*IF(AND(F165=1,F166=0),1,0)</f>
      </c>
      <c r="K165" s="217">
        <f>(1+$G$5)^(D165/12)*(IF(E165=$N$7,$N$4,0)+IF(E165=$C$6,$B$10,0))</f>
      </c>
      <c r="L165" s="217">
        <f>(1+$G$5)^(D165/12)*(IF((E165)&gt;($B$6),H165,0)+IF(E165=$N$7,$N$4,0)+IF(E165=$C$6,0,0))</f>
      </c>
      <c r="M165" s="1"/>
      <c r="N165" s="7"/>
      <c r="O165" s="1"/>
      <c r="P165" s="331">
        <v>158</v>
      </c>
      <c r="Q165" s="544">
        <f>+DATE(YEAR(Q164),MONTH(Q164)-1,DAY(Q164))</f>
        <v>25569.041666666668</v>
      </c>
      <c r="R165" s="341">
        <f>IF($Z$7=$E165,1,IF(MONTH($E165)=1,R166*(1+$F$5),R166))</f>
      </c>
      <c r="S165" s="334">
        <f>R165*$B$8/12</f>
      </c>
      <c r="T165" s="334">
        <f>R165*$B$11/12</f>
      </c>
      <c r="U165" s="565">
        <f>(1+$V$5)^(P165/12)*(T165+IF(Q165=$Z$7,$Z$4,0))</f>
      </c>
      <c r="V165" s="170"/>
      <c r="W165" s="7"/>
      <c r="X165" s="1"/>
      <c r="Y165" s="1"/>
      <c r="Z165" s="1"/>
      <c r="AA165" s="1"/>
      <c r="AB165" s="1"/>
      <c r="AC165" s="331">
        <v>158</v>
      </c>
      <c r="AD165" s="544">
        <f>+DATE(YEAR(AD164),MONTH(AD164)-1,DAY(AD164))</f>
        <v>25569.041666666668</v>
      </c>
      <c r="AE165" s="341">
        <f>IF($AM$7=$E165,1,IF(MONTH($E165)=1,AE166*(1+$F$5),AE166))</f>
      </c>
      <c r="AF165" s="334">
        <f>AE165*$B$8/12</f>
      </c>
      <c r="AG165" s="334">
        <f>AE165*$B$12/12</f>
      </c>
      <c r="AH165" s="565">
        <f>(1+$AI$5)^(AC165/12)*(AG165+IF(AD165=$AM$7,$AM$4,0))</f>
      </c>
      <c r="AI165" s="170"/>
      <c r="AJ165" s="7"/>
      <c r="AK165" s="1"/>
      <c r="AL165" s="1"/>
      <c r="AM165" s="1"/>
    </row>
    <row x14ac:dyDescent="0.25" r="166" customHeight="1" ht="18.75">
      <c r="A166" s="1"/>
      <c r="B166" s="169"/>
      <c r="C166" s="170"/>
      <c r="D166" s="331">
        <v>159</v>
      </c>
      <c r="E166" s="544">
        <f>+DATE(YEAR(E165),MONTH(E165)-1,DAY(E165))</f>
        <v>25569.041666666668</v>
      </c>
      <c r="F166" s="333">
        <f>IF($C$6=$E166,1,IF(MONTH($E166)=1,F167*(1+$F$5),F167))</f>
      </c>
      <c r="G166" s="333">
        <f>F166*$B$8/12</f>
      </c>
      <c r="H166" s="333">
        <f>IF(F166=1,F166*$B$10/MIN(12,'Simulador - 3º Pilar'!$E$88),0)</f>
      </c>
      <c r="I166" s="560">
        <f>(1+$G$5)^(D166/12)*(H166+IF(E166=$N$7,$N$4,0))</f>
      </c>
      <c r="J166" s="561">
        <f>(1+$G$5)^(D166/12)*(H166*(12-IF(MONTH(E167)=12,0,MONTH(E167)))+IF(AND(F166=1,F167=0),$Q$4,0))*IF(AND(F166=1,F167=0),1,0)</f>
      </c>
      <c r="K166" s="217">
        <f>(1+$G$5)^(D166/12)*(IF(E166=$N$7,$N$4,0)+IF(E166=$C$6,$B$10,0))</f>
      </c>
      <c r="L166" s="217">
        <f>(1+$G$5)^(D166/12)*(IF((E166)&gt;($B$6),H166,0)+IF(E166=$N$7,$N$4,0)+IF(E166=$C$6,0,0))</f>
      </c>
      <c r="M166" s="1"/>
      <c r="N166" s="7"/>
      <c r="O166" s="1"/>
      <c r="P166" s="331">
        <v>159</v>
      </c>
      <c r="Q166" s="544">
        <f>+DATE(YEAR(Q165),MONTH(Q165)-1,DAY(Q165))</f>
        <v>25569.041666666668</v>
      </c>
      <c r="R166" s="341">
        <f>IF($Z$7=$E166,1,IF(MONTH($E166)=1,R167*(1+$F$5),R167))</f>
      </c>
      <c r="S166" s="334">
        <f>R166*$B$8/12</f>
      </c>
      <c r="T166" s="334">
        <f>R166*$B$11/12</f>
      </c>
      <c r="U166" s="565">
        <f>(1+$V$5)^(P166/12)*(T166+IF(Q166=$Z$7,$Z$4,0))</f>
      </c>
      <c r="V166" s="170"/>
      <c r="W166" s="7"/>
      <c r="X166" s="1"/>
      <c r="Y166" s="1"/>
      <c r="Z166" s="1"/>
      <c r="AA166" s="1"/>
      <c r="AB166" s="1"/>
      <c r="AC166" s="331">
        <v>159</v>
      </c>
      <c r="AD166" s="544">
        <f>+DATE(YEAR(AD165),MONTH(AD165)-1,DAY(AD165))</f>
        <v>25569.041666666668</v>
      </c>
      <c r="AE166" s="341">
        <f>IF($AM$7=$E166,1,IF(MONTH($E166)=1,AE167*(1+$F$5),AE167))</f>
      </c>
      <c r="AF166" s="334">
        <f>AE166*$B$8/12</f>
      </c>
      <c r="AG166" s="334">
        <f>AE166*$B$12/12</f>
      </c>
      <c r="AH166" s="565">
        <f>(1+$AI$5)^(AC166/12)*(AG166+IF(AD166=$AM$7,$AM$4,0))</f>
      </c>
      <c r="AI166" s="170"/>
      <c r="AJ166" s="7"/>
      <c r="AK166" s="1"/>
      <c r="AL166" s="1"/>
      <c r="AM166" s="1"/>
    </row>
    <row x14ac:dyDescent="0.25" r="167" customHeight="1" ht="18.75">
      <c r="A167" s="1"/>
      <c r="B167" s="169"/>
      <c r="C167" s="170"/>
      <c r="D167" s="331">
        <v>160</v>
      </c>
      <c r="E167" s="544">
        <f>+DATE(YEAR(E166),MONTH(E166)-1,DAY(E166))</f>
        <v>25569.041666666668</v>
      </c>
      <c r="F167" s="333">
        <f>IF($C$6=$E167,1,IF(MONTH($E167)=1,F168*(1+$F$5),F168))</f>
      </c>
      <c r="G167" s="333">
        <f>F167*$B$8/12</f>
      </c>
      <c r="H167" s="333">
        <f>IF(F167=1,F167*$B$10/MIN(12,'Simulador - 3º Pilar'!$E$88),0)</f>
      </c>
      <c r="I167" s="560">
        <f>(1+$G$5)^(D167/12)*(H167+IF(E167=$N$7,$N$4,0))</f>
      </c>
      <c r="J167" s="561">
        <f>(1+$G$5)^(D167/12)*(H167*(12-IF(MONTH(E168)=12,0,MONTH(E168)))+IF(AND(F167=1,F168=0),$Q$4,0))*IF(AND(F167=1,F168=0),1,0)</f>
      </c>
      <c r="K167" s="217">
        <f>(1+$G$5)^(D167/12)*(IF(E167=$N$7,$N$4,0)+IF(E167=$C$6,$B$10,0))</f>
      </c>
      <c r="L167" s="217">
        <f>(1+$G$5)^(D167/12)*(IF((E167)&gt;($B$6),H167,0)+IF(E167=$N$7,$N$4,0)+IF(E167=$C$6,0,0))</f>
      </c>
      <c r="M167" s="1"/>
      <c r="N167" s="7"/>
      <c r="O167" s="1"/>
      <c r="P167" s="331">
        <v>160</v>
      </c>
      <c r="Q167" s="544">
        <f>+DATE(YEAR(Q166),MONTH(Q166)-1,DAY(Q166))</f>
        <v>25569.041666666668</v>
      </c>
      <c r="R167" s="341">
        <f>IF($Z$7=$E167,1,IF(MONTH($E167)=1,R168*(1+$F$5),R168))</f>
      </c>
      <c r="S167" s="334">
        <f>R167*$B$8/12</f>
      </c>
      <c r="T167" s="334">
        <f>R167*$B$11/12</f>
      </c>
      <c r="U167" s="565">
        <f>(1+$V$5)^(P167/12)*(T167+IF(Q167=$Z$7,$Z$4,0))</f>
      </c>
      <c r="V167" s="170"/>
      <c r="W167" s="7"/>
      <c r="X167" s="1"/>
      <c r="Y167" s="1"/>
      <c r="Z167" s="1"/>
      <c r="AA167" s="1"/>
      <c r="AB167" s="1"/>
      <c r="AC167" s="331">
        <v>160</v>
      </c>
      <c r="AD167" s="544">
        <f>+DATE(YEAR(AD166),MONTH(AD166)-1,DAY(AD166))</f>
        <v>25569.041666666668</v>
      </c>
      <c r="AE167" s="341">
        <f>IF($AM$7=$E167,1,IF(MONTH($E167)=1,AE168*(1+$F$5),AE168))</f>
      </c>
      <c r="AF167" s="334">
        <f>AE167*$B$8/12</f>
      </c>
      <c r="AG167" s="334">
        <f>AE167*$B$12/12</f>
      </c>
      <c r="AH167" s="565">
        <f>(1+$AI$5)^(AC167/12)*(AG167+IF(AD167=$AM$7,$AM$4,0))</f>
      </c>
      <c r="AI167" s="170"/>
      <c r="AJ167" s="7"/>
      <c r="AK167" s="1"/>
      <c r="AL167" s="1"/>
      <c r="AM167" s="1"/>
    </row>
    <row x14ac:dyDescent="0.25" r="168" customHeight="1" ht="18.75">
      <c r="A168" s="1"/>
      <c r="B168" s="169"/>
      <c r="C168" s="170"/>
      <c r="D168" s="331">
        <v>161</v>
      </c>
      <c r="E168" s="544">
        <f>+DATE(YEAR(E167),MONTH(E167)-1,DAY(E167))</f>
        <v>25569.041666666668</v>
      </c>
      <c r="F168" s="333">
        <f>IF($C$6=$E168,1,IF(MONTH($E168)=1,F169*(1+$F$5),F169))</f>
      </c>
      <c r="G168" s="333">
        <f>F168*$B$8/12</f>
      </c>
      <c r="H168" s="333">
        <f>IF(F168=1,F168*$B$10/MIN(12,'Simulador - 3º Pilar'!$E$88),0)</f>
      </c>
      <c r="I168" s="560">
        <f>(1+$G$5)^(D168/12)*(H168+IF(E168=$N$7,$N$4,0))</f>
      </c>
      <c r="J168" s="561">
        <f>(1+$G$5)^(D168/12)*(H168*(12-IF(MONTH(E169)=12,0,MONTH(E169)))+IF(AND(F168=1,F169=0),$Q$4,0))*IF(AND(F168=1,F169=0),1,0)</f>
      </c>
      <c r="K168" s="217">
        <f>(1+$G$5)^(D168/12)*(IF(E168=$N$7,$N$4,0)+IF(E168=$C$6,$B$10,0))</f>
      </c>
      <c r="L168" s="217">
        <f>(1+$G$5)^(D168/12)*(IF((E168)&gt;($B$6),H168,0)+IF(E168=$N$7,$N$4,0)+IF(E168=$C$6,0,0))</f>
      </c>
      <c r="M168" s="1"/>
      <c r="N168" s="7"/>
      <c r="O168" s="1"/>
      <c r="P168" s="331">
        <v>161</v>
      </c>
      <c r="Q168" s="544">
        <f>+DATE(YEAR(Q167),MONTH(Q167)-1,DAY(Q167))</f>
        <v>25569.041666666668</v>
      </c>
      <c r="R168" s="341">
        <f>IF($Z$7=$E168,1,IF(MONTH($E168)=1,R169*(1+$F$5),R169))</f>
      </c>
      <c r="S168" s="334">
        <f>R168*$B$8/12</f>
      </c>
      <c r="T168" s="334">
        <f>R168*$B$11/12</f>
      </c>
      <c r="U168" s="565">
        <f>(1+$V$5)^(P168/12)*(T168+IF(Q168=$Z$7,$Z$4,0))</f>
      </c>
      <c r="V168" s="170"/>
      <c r="W168" s="7"/>
      <c r="X168" s="1"/>
      <c r="Y168" s="1"/>
      <c r="Z168" s="1"/>
      <c r="AA168" s="1"/>
      <c r="AB168" s="1"/>
      <c r="AC168" s="331">
        <v>161</v>
      </c>
      <c r="AD168" s="544">
        <f>+DATE(YEAR(AD167),MONTH(AD167)-1,DAY(AD167))</f>
        <v>25569.041666666668</v>
      </c>
      <c r="AE168" s="341">
        <f>IF($AM$7=$E168,1,IF(MONTH($E168)=1,AE169*(1+$F$5),AE169))</f>
      </c>
      <c r="AF168" s="334">
        <f>AE168*$B$8/12</f>
      </c>
      <c r="AG168" s="334">
        <f>AE168*$B$12/12</f>
      </c>
      <c r="AH168" s="565">
        <f>(1+$AI$5)^(AC168/12)*(AG168+IF(AD168=$AM$7,$AM$4,0))</f>
      </c>
      <c r="AI168" s="170"/>
      <c r="AJ168" s="7"/>
      <c r="AK168" s="1"/>
      <c r="AL168" s="1"/>
      <c r="AM168" s="1"/>
    </row>
    <row x14ac:dyDescent="0.25" r="169" customHeight="1" ht="18.75">
      <c r="A169" s="1"/>
      <c r="B169" s="169"/>
      <c r="C169" s="170"/>
      <c r="D169" s="331">
        <v>162</v>
      </c>
      <c r="E169" s="544">
        <f>+DATE(YEAR(E168),MONTH(E168)-1,DAY(E168))</f>
        <v>25569.041666666668</v>
      </c>
      <c r="F169" s="333">
        <f>IF($C$6=$E169,1,IF(MONTH($E169)=1,F170*(1+$F$5),F170))</f>
      </c>
      <c r="G169" s="333">
        <f>F169*$B$8/12</f>
      </c>
      <c r="H169" s="333">
        <f>IF(F169=1,F169*$B$10/MIN(12,'Simulador - 3º Pilar'!$E$88),0)</f>
      </c>
      <c r="I169" s="560">
        <f>(1+$G$5)^(D169/12)*(H169+IF(E169=$N$7,$N$4,0))</f>
      </c>
      <c r="J169" s="561">
        <f>(1+$G$5)^(D169/12)*(H169*(12-IF(MONTH(E170)=12,0,MONTH(E170)))+IF(AND(F169=1,F170=0),$Q$4,0))*IF(AND(F169=1,F170=0),1,0)</f>
      </c>
      <c r="K169" s="217">
        <f>(1+$G$5)^(D169/12)*(IF(E169=$N$7,$N$4,0)+IF(E169=$C$6,$B$10,0))</f>
      </c>
      <c r="L169" s="217">
        <f>(1+$G$5)^(D169/12)*(IF((E169)&gt;($B$6),H169,0)+IF(E169=$N$7,$N$4,0)+IF(E169=$C$6,0,0))</f>
      </c>
      <c r="M169" s="1"/>
      <c r="N169" s="7"/>
      <c r="O169" s="1"/>
      <c r="P169" s="331">
        <v>162</v>
      </c>
      <c r="Q169" s="544">
        <f>+DATE(YEAR(Q168),MONTH(Q168)-1,DAY(Q168))</f>
        <v>25569.041666666668</v>
      </c>
      <c r="R169" s="341">
        <f>IF($Z$7=$E169,1,IF(MONTH($E169)=1,R170*(1+$F$5),R170))</f>
      </c>
      <c r="S169" s="334">
        <f>R169*$B$8/12</f>
      </c>
      <c r="T169" s="334">
        <f>R169*$B$11/12</f>
      </c>
      <c r="U169" s="565">
        <f>(1+$V$5)^(P169/12)*(T169+IF(Q169=$Z$7,$Z$4,0))</f>
      </c>
      <c r="V169" s="170"/>
      <c r="W169" s="7"/>
      <c r="X169" s="1"/>
      <c r="Y169" s="1"/>
      <c r="Z169" s="1"/>
      <c r="AA169" s="1"/>
      <c r="AB169" s="1"/>
      <c r="AC169" s="331">
        <v>162</v>
      </c>
      <c r="AD169" s="544">
        <f>+DATE(YEAR(AD168),MONTH(AD168)-1,DAY(AD168))</f>
        <v>25569.041666666668</v>
      </c>
      <c r="AE169" s="341">
        <f>IF($AM$7=$E169,1,IF(MONTH($E169)=1,AE170*(1+$F$5),AE170))</f>
      </c>
      <c r="AF169" s="334">
        <f>AE169*$B$8/12</f>
      </c>
      <c r="AG169" s="334">
        <f>AE169*$B$12/12</f>
      </c>
      <c r="AH169" s="565">
        <f>(1+$AI$5)^(AC169/12)*(AG169+IF(AD169=$AM$7,$AM$4,0))</f>
      </c>
      <c r="AI169" s="170"/>
      <c r="AJ169" s="7"/>
      <c r="AK169" s="1"/>
      <c r="AL169" s="1"/>
      <c r="AM169" s="1"/>
    </row>
    <row x14ac:dyDescent="0.25" r="170" customHeight="1" ht="18.75">
      <c r="A170" s="1"/>
      <c r="B170" s="169"/>
      <c r="C170" s="170"/>
      <c r="D170" s="331">
        <v>163</v>
      </c>
      <c r="E170" s="544">
        <f>+DATE(YEAR(E169),MONTH(E169)-1,DAY(E169))</f>
        <v>25569.041666666668</v>
      </c>
      <c r="F170" s="333">
        <f>IF($C$6=$E170,1,IF(MONTH($E170)=1,F171*(1+$F$5),F171))</f>
      </c>
      <c r="G170" s="333">
        <f>F170*$B$8/12</f>
      </c>
      <c r="H170" s="333">
        <f>IF(F170=1,F170*$B$10/MIN(12,'Simulador - 3º Pilar'!$E$88),0)</f>
      </c>
      <c r="I170" s="560">
        <f>(1+$G$5)^(D170/12)*(H170+IF(E170=$N$7,$N$4,0))</f>
      </c>
      <c r="J170" s="561">
        <f>(1+$G$5)^(D170/12)*(H170*(12-IF(MONTH(E171)=12,0,MONTH(E171)))+IF(AND(F170=1,F171=0),$Q$4,0))*IF(AND(F170=1,F171=0),1,0)</f>
      </c>
      <c r="K170" s="217">
        <f>(1+$G$5)^(D170/12)*(IF(E170=$N$7,$N$4,0)+IF(E170=$C$6,$B$10,0))</f>
      </c>
      <c r="L170" s="217">
        <f>(1+$G$5)^(D170/12)*(IF((E170)&gt;($B$6),H170,0)+IF(E170=$N$7,$N$4,0)+IF(E170=$C$6,0,0))</f>
      </c>
      <c r="M170" s="1"/>
      <c r="N170" s="7"/>
      <c r="O170" s="1"/>
      <c r="P170" s="331">
        <v>163</v>
      </c>
      <c r="Q170" s="544">
        <f>+DATE(YEAR(Q169),MONTH(Q169)-1,DAY(Q169))</f>
        <v>25569.041666666668</v>
      </c>
      <c r="R170" s="341">
        <f>IF($Z$7=$E170,1,IF(MONTH($E170)=1,R171*(1+$F$5),R171))</f>
      </c>
      <c r="S170" s="334">
        <f>R170*$B$8/12</f>
      </c>
      <c r="T170" s="334">
        <f>R170*$B$11/12</f>
      </c>
      <c r="U170" s="565">
        <f>(1+$V$5)^(P170/12)*(T170+IF(Q170=$Z$7,$Z$4,0))</f>
      </c>
      <c r="V170" s="170"/>
      <c r="W170" s="7"/>
      <c r="X170" s="1"/>
      <c r="Y170" s="1"/>
      <c r="Z170" s="1"/>
      <c r="AA170" s="1"/>
      <c r="AB170" s="1"/>
      <c r="AC170" s="331">
        <v>163</v>
      </c>
      <c r="AD170" s="544">
        <f>+DATE(YEAR(AD169),MONTH(AD169)-1,DAY(AD169))</f>
        <v>25569.041666666668</v>
      </c>
      <c r="AE170" s="341">
        <f>IF($AM$7=$E170,1,IF(MONTH($E170)=1,AE171*(1+$F$5),AE171))</f>
      </c>
      <c r="AF170" s="334">
        <f>AE170*$B$8/12</f>
      </c>
      <c r="AG170" s="334">
        <f>AE170*$B$12/12</f>
      </c>
      <c r="AH170" s="565">
        <f>(1+$AI$5)^(AC170/12)*(AG170+IF(AD170=$AM$7,$AM$4,0))</f>
      </c>
      <c r="AI170" s="170"/>
      <c r="AJ170" s="7"/>
      <c r="AK170" s="1"/>
      <c r="AL170" s="1"/>
      <c r="AM170" s="1"/>
    </row>
    <row x14ac:dyDescent="0.25" r="171" customHeight="1" ht="18.75">
      <c r="A171" s="1"/>
      <c r="B171" s="169"/>
      <c r="C171" s="170"/>
      <c r="D171" s="331">
        <v>164</v>
      </c>
      <c r="E171" s="544">
        <f>+DATE(YEAR(E170),MONTH(E170)-1,DAY(E170))</f>
        <v>25569.041666666668</v>
      </c>
      <c r="F171" s="333">
        <f>IF($C$6=$E171,1,IF(MONTH($E171)=1,F172*(1+$F$5),F172))</f>
      </c>
      <c r="G171" s="333">
        <f>F171*$B$8/12</f>
      </c>
      <c r="H171" s="333">
        <f>IF(F171=1,F171*$B$10/MIN(12,'Simulador - 3º Pilar'!$E$88),0)</f>
      </c>
      <c r="I171" s="560">
        <f>(1+$G$5)^(D171/12)*(H171+IF(E171=$N$7,$N$4,0))</f>
      </c>
      <c r="J171" s="561">
        <f>(1+$G$5)^(D171/12)*(H171*(12-IF(MONTH(E172)=12,0,MONTH(E172)))+IF(AND(F171=1,F172=0),$Q$4,0))*IF(AND(F171=1,F172=0),1,0)</f>
      </c>
      <c r="K171" s="217">
        <f>(1+$G$5)^(D171/12)*(IF(E171=$N$7,$N$4,0)+IF(E171=$C$6,$B$10,0))</f>
      </c>
      <c r="L171" s="217">
        <f>(1+$G$5)^(D171/12)*(IF((E171)&gt;($B$6),H171,0)+IF(E171=$N$7,$N$4,0)+IF(E171=$C$6,0,0))</f>
      </c>
      <c r="M171" s="1"/>
      <c r="N171" s="7"/>
      <c r="O171" s="1"/>
      <c r="P171" s="331">
        <v>164</v>
      </c>
      <c r="Q171" s="544">
        <f>+DATE(YEAR(Q170),MONTH(Q170)-1,DAY(Q170))</f>
        <v>25569.041666666668</v>
      </c>
      <c r="R171" s="341">
        <f>IF($Z$7=$E171,1,IF(MONTH($E171)=1,R172*(1+$F$5),R172))</f>
      </c>
      <c r="S171" s="334">
        <f>R171*$B$8/12</f>
      </c>
      <c r="T171" s="334">
        <f>R171*$B$11/12</f>
      </c>
      <c r="U171" s="565">
        <f>(1+$V$5)^(P171/12)*(T171+IF(Q171=$Z$7,$Z$4,0))</f>
      </c>
      <c r="V171" s="170"/>
      <c r="W171" s="7"/>
      <c r="X171" s="1"/>
      <c r="Y171" s="1"/>
      <c r="Z171" s="1"/>
      <c r="AA171" s="1"/>
      <c r="AB171" s="1"/>
      <c r="AC171" s="331">
        <v>164</v>
      </c>
      <c r="AD171" s="544">
        <f>+DATE(YEAR(AD170),MONTH(AD170)-1,DAY(AD170))</f>
        <v>25569.041666666668</v>
      </c>
      <c r="AE171" s="341">
        <f>IF($AM$7=$E171,1,IF(MONTH($E171)=1,AE172*(1+$F$5),AE172))</f>
      </c>
      <c r="AF171" s="334">
        <f>AE171*$B$8/12</f>
      </c>
      <c r="AG171" s="334">
        <f>AE171*$B$12/12</f>
      </c>
      <c r="AH171" s="565">
        <f>(1+$AI$5)^(AC171/12)*(AG171+IF(AD171=$AM$7,$AM$4,0))</f>
      </c>
      <c r="AI171" s="170"/>
      <c r="AJ171" s="7"/>
      <c r="AK171" s="1"/>
      <c r="AL171" s="1"/>
      <c r="AM171" s="1"/>
    </row>
    <row x14ac:dyDescent="0.25" r="172" customHeight="1" ht="18.75">
      <c r="A172" s="1"/>
      <c r="B172" s="169"/>
      <c r="C172" s="170"/>
      <c r="D172" s="331">
        <v>165</v>
      </c>
      <c r="E172" s="544">
        <f>+DATE(YEAR(E171),MONTH(E171)-1,DAY(E171))</f>
        <v>25569.041666666668</v>
      </c>
      <c r="F172" s="333">
        <f>IF($C$6=$E172,1,IF(MONTH($E172)=1,F173*(1+$F$5),F173))</f>
      </c>
      <c r="G172" s="333">
        <f>F172*$B$8/12</f>
      </c>
      <c r="H172" s="333">
        <f>IF(F172=1,F172*$B$10/MIN(12,'Simulador - 3º Pilar'!$E$88),0)</f>
      </c>
      <c r="I172" s="560">
        <f>(1+$G$5)^(D172/12)*(H172+IF(E172=$N$7,$N$4,0))</f>
      </c>
      <c r="J172" s="561">
        <f>(1+$G$5)^(D172/12)*(H172*(12-IF(MONTH(E173)=12,0,MONTH(E173)))+IF(AND(F172=1,F173=0),$Q$4,0))*IF(AND(F172=1,F173=0),1,0)</f>
      </c>
      <c r="K172" s="217">
        <f>(1+$G$5)^(D172/12)*(IF(E172=$N$7,$N$4,0)+IF(E172=$C$6,$B$10,0))</f>
      </c>
      <c r="L172" s="217">
        <f>(1+$G$5)^(D172/12)*(IF((E172)&gt;($B$6),H172,0)+IF(E172=$N$7,$N$4,0)+IF(E172=$C$6,0,0))</f>
      </c>
      <c r="M172" s="1"/>
      <c r="N172" s="7"/>
      <c r="O172" s="1"/>
      <c r="P172" s="331">
        <v>165</v>
      </c>
      <c r="Q172" s="544">
        <f>+DATE(YEAR(Q171),MONTH(Q171)-1,DAY(Q171))</f>
        <v>25569.041666666668</v>
      </c>
      <c r="R172" s="341">
        <f>IF($Z$7=$E172,1,IF(MONTH($E172)=1,R173*(1+$F$5),R173))</f>
      </c>
      <c r="S172" s="334">
        <f>R172*$B$8/12</f>
      </c>
      <c r="T172" s="334">
        <f>R172*$B$11/12</f>
      </c>
      <c r="U172" s="565">
        <f>(1+$V$5)^(P172/12)*(T172+IF(Q172=$Z$7,$Z$4,0))</f>
      </c>
      <c r="V172" s="170"/>
      <c r="W172" s="7"/>
      <c r="X172" s="1"/>
      <c r="Y172" s="1"/>
      <c r="Z172" s="1"/>
      <c r="AA172" s="1"/>
      <c r="AB172" s="1"/>
      <c r="AC172" s="331">
        <v>165</v>
      </c>
      <c r="AD172" s="544">
        <f>+DATE(YEAR(AD171),MONTH(AD171)-1,DAY(AD171))</f>
        <v>25569.041666666668</v>
      </c>
      <c r="AE172" s="341">
        <f>IF($AM$7=$E172,1,IF(MONTH($E172)=1,AE173*(1+$F$5),AE173))</f>
      </c>
      <c r="AF172" s="334">
        <f>AE172*$B$8/12</f>
      </c>
      <c r="AG172" s="334">
        <f>AE172*$B$12/12</f>
      </c>
      <c r="AH172" s="565">
        <f>(1+$AI$5)^(AC172/12)*(AG172+IF(AD172=$AM$7,$AM$4,0))</f>
      </c>
      <c r="AI172" s="170"/>
      <c r="AJ172" s="7"/>
      <c r="AK172" s="1"/>
      <c r="AL172" s="1"/>
      <c r="AM172" s="1"/>
    </row>
    <row x14ac:dyDescent="0.25" r="173" customHeight="1" ht="18.75">
      <c r="A173" s="1"/>
      <c r="B173" s="169"/>
      <c r="C173" s="170"/>
      <c r="D173" s="331">
        <v>166</v>
      </c>
      <c r="E173" s="544">
        <f>+DATE(YEAR(E172),MONTH(E172)-1,DAY(E172))</f>
        <v>25569.041666666668</v>
      </c>
      <c r="F173" s="333">
        <f>IF($C$6=$E173,1,IF(MONTH($E173)=1,F174*(1+$F$5),F174))</f>
      </c>
      <c r="G173" s="333">
        <f>F173*$B$8/12</f>
      </c>
      <c r="H173" s="333">
        <f>IF(F173=1,F173*$B$10/MIN(12,'Simulador - 3º Pilar'!$E$88),0)</f>
      </c>
      <c r="I173" s="560">
        <f>(1+$G$5)^(D173/12)*(H173+IF(E173=$N$7,$N$4,0))</f>
      </c>
      <c r="J173" s="561">
        <f>(1+$G$5)^(D173/12)*(H173*(12-IF(MONTH(E174)=12,0,MONTH(E174)))+IF(AND(F173=1,F174=0),$Q$4,0))*IF(AND(F173=1,F174=0),1,0)</f>
      </c>
      <c r="K173" s="217">
        <f>(1+$G$5)^(D173/12)*(IF(E173=$N$7,$N$4,0)+IF(E173=$C$6,$B$10,0))</f>
      </c>
      <c r="L173" s="217">
        <f>(1+$G$5)^(D173/12)*(IF((E173)&gt;($B$6),H173,0)+IF(E173=$N$7,$N$4,0)+IF(E173=$C$6,0,0))</f>
      </c>
      <c r="M173" s="1"/>
      <c r="N173" s="7"/>
      <c r="O173" s="1"/>
      <c r="P173" s="331">
        <v>166</v>
      </c>
      <c r="Q173" s="544">
        <f>+DATE(YEAR(Q172),MONTH(Q172)-1,DAY(Q172))</f>
        <v>25569.041666666668</v>
      </c>
      <c r="R173" s="341">
        <f>IF($Z$7=$E173,1,IF(MONTH($E173)=1,R174*(1+$F$5),R174))</f>
      </c>
      <c r="S173" s="334">
        <f>R173*$B$8/12</f>
      </c>
      <c r="T173" s="334">
        <f>R173*$B$11/12</f>
      </c>
      <c r="U173" s="565">
        <f>(1+$V$5)^(P173/12)*(T173+IF(Q173=$Z$7,$Z$4,0))</f>
      </c>
      <c r="V173" s="170"/>
      <c r="W173" s="7"/>
      <c r="X173" s="1"/>
      <c r="Y173" s="1"/>
      <c r="Z173" s="1"/>
      <c r="AA173" s="1"/>
      <c r="AB173" s="1"/>
      <c r="AC173" s="331">
        <v>166</v>
      </c>
      <c r="AD173" s="544">
        <f>+DATE(YEAR(AD172),MONTH(AD172)-1,DAY(AD172))</f>
        <v>25569.041666666668</v>
      </c>
      <c r="AE173" s="341">
        <f>IF($AM$7=$E173,1,IF(MONTH($E173)=1,AE174*(1+$F$5),AE174))</f>
      </c>
      <c r="AF173" s="334">
        <f>AE173*$B$8/12</f>
      </c>
      <c r="AG173" s="334">
        <f>AE173*$B$12/12</f>
      </c>
      <c r="AH173" s="565">
        <f>(1+$AI$5)^(AC173/12)*(AG173+IF(AD173=$AM$7,$AM$4,0))</f>
      </c>
      <c r="AI173" s="170"/>
      <c r="AJ173" s="7"/>
      <c r="AK173" s="1"/>
      <c r="AL173" s="1"/>
      <c r="AM173" s="1"/>
    </row>
    <row x14ac:dyDescent="0.25" r="174" customHeight="1" ht="18.75">
      <c r="A174" s="1"/>
      <c r="B174" s="169"/>
      <c r="C174" s="170"/>
      <c r="D174" s="331">
        <v>167</v>
      </c>
      <c r="E174" s="544">
        <f>+DATE(YEAR(E173),MONTH(E173)-1,DAY(E173))</f>
        <v>25569.041666666668</v>
      </c>
      <c r="F174" s="333">
        <f>IF($C$6=$E174,1,IF(MONTH($E174)=1,F175*(1+$F$5),F175))</f>
      </c>
      <c r="G174" s="333">
        <f>F174*$B$8/12</f>
      </c>
      <c r="H174" s="333">
        <f>IF(F174=1,F174*$B$10/MIN(12,'Simulador - 3º Pilar'!$E$88),0)</f>
      </c>
      <c r="I174" s="560">
        <f>(1+$G$5)^(D174/12)*(H174+IF(E174=$N$7,$N$4,0))</f>
      </c>
      <c r="J174" s="561">
        <f>(1+$G$5)^(D174/12)*(H174*(12-IF(MONTH(E175)=12,0,MONTH(E175)))+IF(AND(F174=1,F175=0),$Q$4,0))*IF(AND(F174=1,F175=0),1,0)</f>
      </c>
      <c r="K174" s="217">
        <f>(1+$G$5)^(D174/12)*(IF(E174=$N$7,$N$4,0)+IF(E174=$C$6,$B$10,0))</f>
      </c>
      <c r="L174" s="217">
        <f>(1+$G$5)^(D174/12)*(IF((E174)&gt;($B$6),H174,0)+IF(E174=$N$7,$N$4,0)+IF(E174=$C$6,0,0))</f>
      </c>
      <c r="M174" s="1"/>
      <c r="N174" s="7"/>
      <c r="O174" s="1"/>
      <c r="P174" s="331">
        <v>167</v>
      </c>
      <c r="Q174" s="544">
        <f>+DATE(YEAR(Q173),MONTH(Q173)-1,DAY(Q173))</f>
        <v>25569.041666666668</v>
      </c>
      <c r="R174" s="341">
        <f>IF($Z$7=$E174,1,IF(MONTH($E174)=1,R175*(1+$F$5),R175))</f>
      </c>
      <c r="S174" s="334">
        <f>R174*$B$8/12</f>
      </c>
      <c r="T174" s="334">
        <f>R174*$B$11/12</f>
      </c>
      <c r="U174" s="565">
        <f>(1+$V$5)^(P174/12)*(T174+IF(Q174=$Z$7,$Z$4,0))</f>
      </c>
      <c r="V174" s="170"/>
      <c r="W174" s="7"/>
      <c r="X174" s="1"/>
      <c r="Y174" s="1"/>
      <c r="Z174" s="1"/>
      <c r="AA174" s="1"/>
      <c r="AB174" s="1"/>
      <c r="AC174" s="331">
        <v>167</v>
      </c>
      <c r="AD174" s="544">
        <f>+DATE(YEAR(AD173),MONTH(AD173)-1,DAY(AD173))</f>
        <v>25569.041666666668</v>
      </c>
      <c r="AE174" s="341">
        <f>IF($AM$7=$E174,1,IF(MONTH($E174)=1,AE175*(1+$F$5),AE175))</f>
      </c>
      <c r="AF174" s="334">
        <f>AE174*$B$8/12</f>
      </c>
      <c r="AG174" s="334">
        <f>AE174*$B$12/12</f>
      </c>
      <c r="AH174" s="565">
        <f>(1+$AI$5)^(AC174/12)*(AG174+IF(AD174=$AM$7,$AM$4,0))</f>
      </c>
      <c r="AI174" s="170"/>
      <c r="AJ174" s="7"/>
      <c r="AK174" s="1"/>
      <c r="AL174" s="1"/>
      <c r="AM174" s="1"/>
    </row>
    <row x14ac:dyDescent="0.25" r="175" customHeight="1" ht="18.75">
      <c r="A175" s="1"/>
      <c r="B175" s="169"/>
      <c r="C175" s="170"/>
      <c r="D175" s="331">
        <v>168</v>
      </c>
      <c r="E175" s="544">
        <f>+DATE(YEAR(E174),MONTH(E174)-1,DAY(E174))</f>
        <v>25569.041666666668</v>
      </c>
      <c r="F175" s="333">
        <f>IF($C$6=$E175,1,IF(MONTH($E175)=1,F176*(1+$F$5),F176))</f>
      </c>
      <c r="G175" s="333">
        <f>F175*$B$8/12</f>
      </c>
      <c r="H175" s="333">
        <f>IF(F175=1,F175*$B$10/MIN(12,'Simulador - 3º Pilar'!$E$88),0)</f>
      </c>
      <c r="I175" s="560">
        <f>(1+$G$5)^(D175/12)*(H175+IF(E175=$N$7,$N$4,0))</f>
      </c>
      <c r="J175" s="561">
        <f>(1+$G$5)^(D175/12)*(H175*(12-IF(MONTH(E176)=12,0,MONTH(E176)))+IF(AND(F175=1,F176=0),$Q$4,0))*IF(AND(F175=1,F176=0),1,0)</f>
      </c>
      <c r="K175" s="217">
        <f>(1+$G$5)^(D175/12)*(IF(E175=$N$7,$N$4,0)+IF(E175=$C$6,$B$10,0))</f>
      </c>
      <c r="L175" s="217">
        <f>(1+$G$5)^(D175/12)*(IF((E175)&gt;($B$6),H175,0)+IF(E175=$N$7,$N$4,0)+IF(E175=$C$6,0,0))</f>
      </c>
      <c r="M175" s="1"/>
      <c r="N175" s="7"/>
      <c r="O175" s="1"/>
      <c r="P175" s="331">
        <v>168</v>
      </c>
      <c r="Q175" s="544">
        <f>+DATE(YEAR(Q174),MONTH(Q174)-1,DAY(Q174))</f>
        <v>25569.041666666668</v>
      </c>
      <c r="R175" s="341">
        <f>IF($Z$7=$E175,1,IF(MONTH($E175)=1,R176*(1+$F$5),R176))</f>
      </c>
      <c r="S175" s="334">
        <f>R175*$B$8/12</f>
      </c>
      <c r="T175" s="334">
        <f>R175*$B$11/12</f>
      </c>
      <c r="U175" s="565">
        <f>(1+$V$5)^(P175/12)*(T175+IF(Q175=$Z$7,$Z$4,0))</f>
      </c>
      <c r="V175" s="170"/>
      <c r="W175" s="7"/>
      <c r="X175" s="1"/>
      <c r="Y175" s="1"/>
      <c r="Z175" s="1"/>
      <c r="AA175" s="1"/>
      <c r="AB175" s="1"/>
      <c r="AC175" s="331">
        <v>168</v>
      </c>
      <c r="AD175" s="544">
        <f>+DATE(YEAR(AD174),MONTH(AD174)-1,DAY(AD174))</f>
        <v>25569.041666666668</v>
      </c>
      <c r="AE175" s="341">
        <f>IF($AM$7=$E175,1,IF(MONTH($E175)=1,AE176*(1+$F$5),AE176))</f>
      </c>
      <c r="AF175" s="334">
        <f>AE175*$B$8/12</f>
      </c>
      <c r="AG175" s="334">
        <f>AE175*$B$12/12</f>
      </c>
      <c r="AH175" s="565">
        <f>(1+$AI$5)^(AC175/12)*(AG175+IF(AD175=$AM$7,$AM$4,0))</f>
      </c>
      <c r="AI175" s="170"/>
      <c r="AJ175" s="7"/>
      <c r="AK175" s="1"/>
      <c r="AL175" s="1"/>
      <c r="AM175" s="1"/>
    </row>
    <row x14ac:dyDescent="0.25" r="176" customHeight="1" ht="18.75">
      <c r="A176" s="1"/>
      <c r="B176" s="169"/>
      <c r="C176" s="170"/>
      <c r="D176" s="331">
        <v>169</v>
      </c>
      <c r="E176" s="544">
        <f>+DATE(YEAR(E175),MONTH(E175)-1,DAY(E175))</f>
        <v>25569.041666666668</v>
      </c>
      <c r="F176" s="333">
        <f>IF($C$6=$E176,1,IF(MONTH($E176)=1,F177*(1+$F$5),F177))</f>
      </c>
      <c r="G176" s="333">
        <f>F176*$B$8/12</f>
      </c>
      <c r="H176" s="333">
        <f>IF(F176=1,F176*$B$10/MIN(12,'Simulador - 3º Pilar'!$E$88),0)</f>
      </c>
      <c r="I176" s="560">
        <f>(1+$G$5)^(D176/12)*(H176+IF(E176=$N$7,$N$4,0))</f>
      </c>
      <c r="J176" s="561">
        <f>(1+$G$5)^(D176/12)*(H176*(12-IF(MONTH(E177)=12,0,MONTH(E177)))+IF(AND(F176=1,F177=0),$Q$4,0))*IF(AND(F176=1,F177=0),1,0)</f>
      </c>
      <c r="K176" s="217">
        <f>(1+$G$5)^(D176/12)*(IF(E176=$N$7,$N$4,0)+IF(E176=$C$6,$B$10,0))</f>
      </c>
      <c r="L176" s="217">
        <f>(1+$G$5)^(D176/12)*(IF((E176)&gt;($B$6),H176,0)+IF(E176=$N$7,$N$4,0)+IF(E176=$C$6,0,0))</f>
      </c>
      <c r="M176" s="1"/>
      <c r="N176" s="7"/>
      <c r="O176" s="1"/>
      <c r="P176" s="331">
        <v>169</v>
      </c>
      <c r="Q176" s="544">
        <f>+DATE(YEAR(Q175),MONTH(Q175)-1,DAY(Q175))</f>
        <v>25569.041666666668</v>
      </c>
      <c r="R176" s="341">
        <f>IF($Z$7=$E176,1,IF(MONTH($E176)=1,R177*(1+$F$5),R177))</f>
      </c>
      <c r="S176" s="334">
        <f>R176*$B$8/12</f>
      </c>
      <c r="T176" s="334">
        <f>R176*$B$11/12</f>
      </c>
      <c r="U176" s="565">
        <f>(1+$V$5)^(P176/12)*(T176+IF(Q176=$Z$7,$Z$4,0))</f>
      </c>
      <c r="V176" s="170"/>
      <c r="W176" s="7"/>
      <c r="X176" s="1"/>
      <c r="Y176" s="1"/>
      <c r="Z176" s="1"/>
      <c r="AA176" s="1"/>
      <c r="AB176" s="1"/>
      <c r="AC176" s="331">
        <v>169</v>
      </c>
      <c r="AD176" s="544">
        <f>+DATE(YEAR(AD175),MONTH(AD175)-1,DAY(AD175))</f>
        <v>25569.041666666668</v>
      </c>
      <c r="AE176" s="341">
        <f>IF($AM$7=$E176,1,IF(MONTH($E176)=1,AE177*(1+$F$5),AE177))</f>
      </c>
      <c r="AF176" s="334">
        <f>AE176*$B$8/12</f>
      </c>
      <c r="AG176" s="334">
        <f>AE176*$B$12/12</f>
      </c>
      <c r="AH176" s="565">
        <f>(1+$AI$5)^(AC176/12)*(AG176+IF(AD176=$AM$7,$AM$4,0))</f>
      </c>
      <c r="AI176" s="170"/>
      <c r="AJ176" s="7"/>
      <c r="AK176" s="1"/>
      <c r="AL176" s="1"/>
      <c r="AM176" s="1"/>
    </row>
    <row x14ac:dyDescent="0.25" r="177" customHeight="1" ht="18.75">
      <c r="A177" s="1"/>
      <c r="B177" s="169"/>
      <c r="C177" s="170"/>
      <c r="D177" s="331">
        <v>170</v>
      </c>
      <c r="E177" s="544">
        <f>+DATE(YEAR(E176),MONTH(E176)-1,DAY(E176))</f>
        <v>25569.041666666668</v>
      </c>
      <c r="F177" s="333">
        <f>IF($C$6=$E177,1,IF(MONTH($E177)=1,F178*(1+$F$5),F178))</f>
      </c>
      <c r="G177" s="333">
        <f>F177*$B$8/12</f>
      </c>
      <c r="H177" s="333">
        <f>IF(F177=1,F177*$B$10/MIN(12,'Simulador - 3º Pilar'!$E$88),0)</f>
      </c>
      <c r="I177" s="560">
        <f>(1+$G$5)^(D177/12)*(H177+IF(E177=$N$7,$N$4,0))</f>
      </c>
      <c r="J177" s="561">
        <f>(1+$G$5)^(D177/12)*(H177*(12-IF(MONTH(E178)=12,0,MONTH(E178)))+IF(AND(F177=1,F178=0),$Q$4,0))*IF(AND(F177=1,F178=0),1,0)</f>
      </c>
      <c r="K177" s="217">
        <f>(1+$G$5)^(D177/12)*(IF(E177=$N$7,$N$4,0)+IF(E177=$C$6,$B$10,0))</f>
      </c>
      <c r="L177" s="217">
        <f>(1+$G$5)^(D177/12)*(IF((E177)&gt;($B$6),H177,0)+IF(E177=$N$7,$N$4,0)+IF(E177=$C$6,0,0))</f>
      </c>
      <c r="M177" s="1"/>
      <c r="N177" s="7"/>
      <c r="O177" s="1"/>
      <c r="P177" s="331">
        <v>170</v>
      </c>
      <c r="Q177" s="544">
        <f>+DATE(YEAR(Q176),MONTH(Q176)-1,DAY(Q176))</f>
        <v>25569.041666666668</v>
      </c>
      <c r="R177" s="341">
        <f>IF($Z$7=$E177,1,IF(MONTH($E177)=1,R178*(1+$F$5),R178))</f>
      </c>
      <c r="S177" s="334">
        <f>R177*$B$8/12</f>
      </c>
      <c r="T177" s="334">
        <f>R177*$B$11/12</f>
      </c>
      <c r="U177" s="565">
        <f>(1+$V$5)^(P177/12)*(T177+IF(Q177=$Z$7,$Z$4,0))</f>
      </c>
      <c r="V177" s="170"/>
      <c r="W177" s="7"/>
      <c r="X177" s="1"/>
      <c r="Y177" s="1"/>
      <c r="Z177" s="1"/>
      <c r="AA177" s="1"/>
      <c r="AB177" s="1"/>
      <c r="AC177" s="331">
        <v>170</v>
      </c>
      <c r="AD177" s="544">
        <f>+DATE(YEAR(AD176),MONTH(AD176)-1,DAY(AD176))</f>
        <v>25569.041666666668</v>
      </c>
      <c r="AE177" s="341">
        <f>IF($AM$7=$E177,1,IF(MONTH($E177)=1,AE178*(1+$F$5),AE178))</f>
      </c>
      <c r="AF177" s="334">
        <f>AE177*$B$8/12</f>
      </c>
      <c r="AG177" s="334">
        <f>AE177*$B$12/12</f>
      </c>
      <c r="AH177" s="565">
        <f>(1+$AI$5)^(AC177/12)*(AG177+IF(AD177=$AM$7,$AM$4,0))</f>
      </c>
      <c r="AI177" s="170"/>
      <c r="AJ177" s="7"/>
      <c r="AK177" s="1"/>
      <c r="AL177" s="1"/>
      <c r="AM177" s="1"/>
    </row>
    <row x14ac:dyDescent="0.25" r="178" customHeight="1" ht="18.75">
      <c r="A178" s="1"/>
      <c r="B178" s="169"/>
      <c r="C178" s="170"/>
      <c r="D178" s="331">
        <v>171</v>
      </c>
      <c r="E178" s="544">
        <f>+DATE(YEAR(E177),MONTH(E177)-1,DAY(E177))</f>
        <v>25569.041666666668</v>
      </c>
      <c r="F178" s="333">
        <f>IF($C$6=$E178,1,IF(MONTH($E178)=1,F179*(1+$F$5),F179))</f>
      </c>
      <c r="G178" s="333">
        <f>F178*$B$8/12</f>
      </c>
      <c r="H178" s="333">
        <f>IF(F178=1,F178*$B$10/MIN(12,'Simulador - 3º Pilar'!$E$88),0)</f>
      </c>
      <c r="I178" s="560">
        <f>(1+$G$5)^(D178/12)*(H178+IF(E178=$N$7,$N$4,0))</f>
      </c>
      <c r="J178" s="561">
        <f>(1+$G$5)^(D178/12)*(H178*(12-IF(MONTH(E179)=12,0,MONTH(E179)))+IF(AND(F178=1,F179=0),$Q$4,0))*IF(AND(F178=1,F179=0),1,0)</f>
      </c>
      <c r="K178" s="217">
        <f>(1+$G$5)^(D178/12)*(IF(E178=$N$7,$N$4,0)+IF(E178=$C$6,$B$10,0))</f>
      </c>
      <c r="L178" s="217">
        <f>(1+$G$5)^(D178/12)*(IF((E178)&gt;($B$6),H178,0)+IF(E178=$N$7,$N$4,0)+IF(E178=$C$6,0,0))</f>
      </c>
      <c r="M178" s="1"/>
      <c r="N178" s="7"/>
      <c r="O178" s="1"/>
      <c r="P178" s="331">
        <v>171</v>
      </c>
      <c r="Q178" s="544">
        <f>+DATE(YEAR(Q177),MONTH(Q177)-1,DAY(Q177))</f>
        <v>25569.041666666668</v>
      </c>
      <c r="R178" s="341">
        <f>IF($Z$7=$E178,1,IF(MONTH($E178)=1,R179*(1+$F$5),R179))</f>
      </c>
      <c r="S178" s="334">
        <f>R178*$B$8/12</f>
      </c>
      <c r="T178" s="334">
        <f>R178*$B$11/12</f>
      </c>
      <c r="U178" s="565">
        <f>(1+$V$5)^(P178/12)*(T178+IF(Q178=$Z$7,$Z$4,0))</f>
      </c>
      <c r="V178" s="170"/>
      <c r="W178" s="7"/>
      <c r="X178" s="1"/>
      <c r="Y178" s="1"/>
      <c r="Z178" s="1"/>
      <c r="AA178" s="1"/>
      <c r="AB178" s="1"/>
      <c r="AC178" s="331">
        <v>171</v>
      </c>
      <c r="AD178" s="544">
        <f>+DATE(YEAR(AD177),MONTH(AD177)-1,DAY(AD177))</f>
        <v>25569.041666666668</v>
      </c>
      <c r="AE178" s="341">
        <f>IF($AM$7=$E178,1,IF(MONTH($E178)=1,AE179*(1+$F$5),AE179))</f>
      </c>
      <c r="AF178" s="334">
        <f>AE178*$B$8/12</f>
      </c>
      <c r="AG178" s="334">
        <f>AE178*$B$12/12</f>
      </c>
      <c r="AH178" s="565">
        <f>(1+$AI$5)^(AC178/12)*(AG178+IF(AD178=$AM$7,$AM$4,0))</f>
      </c>
      <c r="AI178" s="170"/>
      <c r="AJ178" s="7"/>
      <c r="AK178" s="1"/>
      <c r="AL178" s="1"/>
      <c r="AM178" s="1"/>
    </row>
    <row x14ac:dyDescent="0.25" r="179" customHeight="1" ht="18.75">
      <c r="A179" s="1"/>
      <c r="B179" s="169"/>
      <c r="C179" s="170"/>
      <c r="D179" s="331">
        <v>172</v>
      </c>
      <c r="E179" s="544">
        <f>+DATE(YEAR(E178),MONTH(E178)-1,DAY(E178))</f>
        <v>25569.041666666668</v>
      </c>
      <c r="F179" s="333">
        <f>IF($C$6=$E179,1,IF(MONTH($E179)=1,F180*(1+$F$5),F180))</f>
      </c>
      <c r="G179" s="333">
        <f>F179*$B$8/12</f>
      </c>
      <c r="H179" s="333">
        <f>IF(F179=1,F179*$B$10/MIN(12,'Simulador - 3º Pilar'!$E$88),0)</f>
      </c>
      <c r="I179" s="560">
        <f>(1+$G$5)^(D179/12)*(H179+IF(E179=$N$7,$N$4,0))</f>
      </c>
      <c r="J179" s="561">
        <f>(1+$G$5)^(D179/12)*(H179*(12-IF(MONTH(E180)=12,0,MONTH(E180)))+IF(AND(F179=1,F180=0),$Q$4,0))*IF(AND(F179=1,F180=0),1,0)</f>
      </c>
      <c r="K179" s="217">
        <f>(1+$G$5)^(D179/12)*(IF(E179=$N$7,$N$4,0)+IF(E179=$C$6,$B$10,0))</f>
      </c>
      <c r="L179" s="217">
        <f>(1+$G$5)^(D179/12)*(IF((E179)&gt;($B$6),H179,0)+IF(E179=$N$7,$N$4,0)+IF(E179=$C$6,0,0))</f>
      </c>
      <c r="M179" s="1"/>
      <c r="N179" s="7"/>
      <c r="O179" s="1"/>
      <c r="P179" s="331">
        <v>172</v>
      </c>
      <c r="Q179" s="544">
        <f>+DATE(YEAR(Q178),MONTH(Q178)-1,DAY(Q178))</f>
        <v>25569.041666666668</v>
      </c>
      <c r="R179" s="341">
        <f>IF($Z$7=$E179,1,IF(MONTH($E179)=1,R180*(1+$F$5),R180))</f>
      </c>
      <c r="S179" s="334">
        <f>R179*$B$8/12</f>
      </c>
      <c r="T179" s="334">
        <f>R179*$B$11/12</f>
      </c>
      <c r="U179" s="565">
        <f>(1+$V$5)^(P179/12)*(T179+IF(Q179=$Z$7,$Z$4,0))</f>
      </c>
      <c r="V179" s="170"/>
      <c r="W179" s="7"/>
      <c r="X179" s="1"/>
      <c r="Y179" s="1"/>
      <c r="Z179" s="1"/>
      <c r="AA179" s="1"/>
      <c r="AB179" s="1"/>
      <c r="AC179" s="331">
        <v>172</v>
      </c>
      <c r="AD179" s="544">
        <f>+DATE(YEAR(AD178),MONTH(AD178)-1,DAY(AD178))</f>
        <v>25569.041666666668</v>
      </c>
      <c r="AE179" s="341">
        <f>IF($AM$7=$E179,1,IF(MONTH($E179)=1,AE180*(1+$F$5),AE180))</f>
      </c>
      <c r="AF179" s="334">
        <f>AE179*$B$8/12</f>
      </c>
      <c r="AG179" s="334">
        <f>AE179*$B$12/12</f>
      </c>
      <c r="AH179" s="565">
        <f>(1+$AI$5)^(AC179/12)*(AG179+IF(AD179=$AM$7,$AM$4,0))</f>
      </c>
      <c r="AI179" s="170"/>
      <c r="AJ179" s="7"/>
      <c r="AK179" s="1"/>
      <c r="AL179" s="1"/>
      <c r="AM179" s="1"/>
    </row>
    <row x14ac:dyDescent="0.25" r="180" customHeight="1" ht="18.75">
      <c r="A180" s="1"/>
      <c r="B180" s="169"/>
      <c r="C180" s="170"/>
      <c r="D180" s="331">
        <v>173</v>
      </c>
      <c r="E180" s="544">
        <f>+DATE(YEAR(E179),MONTH(E179)-1,DAY(E179))</f>
        <v>25569.041666666668</v>
      </c>
      <c r="F180" s="333">
        <f>IF($C$6=$E180,1,IF(MONTH($E180)=1,F181*(1+$F$5),F181))</f>
      </c>
      <c r="G180" s="333">
        <f>F180*$B$8/12</f>
      </c>
      <c r="H180" s="333">
        <f>IF(F180=1,F180*$B$10/MIN(12,'Simulador - 3º Pilar'!$E$88),0)</f>
      </c>
      <c r="I180" s="560">
        <f>(1+$G$5)^(D180/12)*(H180+IF(E180=$N$7,$N$4,0))</f>
      </c>
      <c r="J180" s="561">
        <f>(1+$G$5)^(D180/12)*(H180*(12-IF(MONTH(E181)=12,0,MONTH(E181)))+IF(AND(F180=1,F181=0),$Q$4,0))*IF(AND(F180=1,F181=0),1,0)</f>
      </c>
      <c r="K180" s="217">
        <f>(1+$G$5)^(D180/12)*(IF(E180=$N$7,$N$4,0)+IF(E180=$C$6,$B$10,0))</f>
      </c>
      <c r="L180" s="217">
        <f>(1+$G$5)^(D180/12)*(IF((E180)&gt;($B$6),H180,0)+IF(E180=$N$7,$N$4,0)+IF(E180=$C$6,0,0))</f>
      </c>
      <c r="M180" s="1"/>
      <c r="N180" s="7"/>
      <c r="O180" s="1"/>
      <c r="P180" s="331">
        <v>173</v>
      </c>
      <c r="Q180" s="544">
        <f>+DATE(YEAR(Q179),MONTH(Q179)-1,DAY(Q179))</f>
        <v>25569.041666666668</v>
      </c>
      <c r="R180" s="341">
        <f>IF($Z$7=$E180,1,IF(MONTH($E180)=1,R181*(1+$F$5),R181))</f>
      </c>
      <c r="S180" s="334">
        <f>R180*$B$8/12</f>
      </c>
      <c r="T180" s="334">
        <f>R180*$B$11/12</f>
      </c>
      <c r="U180" s="565">
        <f>(1+$V$5)^(P180/12)*(T180+IF(Q180=$Z$7,$Z$4,0))</f>
      </c>
      <c r="V180" s="170"/>
      <c r="W180" s="7"/>
      <c r="X180" s="1"/>
      <c r="Y180" s="1"/>
      <c r="Z180" s="1"/>
      <c r="AA180" s="1"/>
      <c r="AB180" s="1"/>
      <c r="AC180" s="331">
        <v>173</v>
      </c>
      <c r="AD180" s="544">
        <f>+DATE(YEAR(AD179),MONTH(AD179)-1,DAY(AD179))</f>
        <v>25569.041666666668</v>
      </c>
      <c r="AE180" s="341">
        <f>IF($AM$7=$E180,1,IF(MONTH($E180)=1,AE181*(1+$F$5),AE181))</f>
      </c>
      <c r="AF180" s="334">
        <f>AE180*$B$8/12</f>
      </c>
      <c r="AG180" s="334">
        <f>AE180*$B$12/12</f>
      </c>
      <c r="AH180" s="565">
        <f>(1+$AI$5)^(AC180/12)*(AG180+IF(AD180=$AM$7,$AM$4,0))</f>
      </c>
      <c r="AI180" s="170"/>
      <c r="AJ180" s="7"/>
      <c r="AK180" s="1"/>
      <c r="AL180" s="1"/>
      <c r="AM180" s="1"/>
    </row>
    <row x14ac:dyDescent="0.25" r="181" customHeight="1" ht="18.75">
      <c r="A181" s="1"/>
      <c r="B181" s="169"/>
      <c r="C181" s="170"/>
      <c r="D181" s="331">
        <v>174</v>
      </c>
      <c r="E181" s="544">
        <f>+DATE(YEAR(E180),MONTH(E180)-1,DAY(E180))</f>
        <v>25569.041666666668</v>
      </c>
      <c r="F181" s="333">
        <f>IF($C$6=$E181,1,IF(MONTH($E181)=1,F182*(1+$F$5),F182))</f>
      </c>
      <c r="G181" s="333">
        <f>F181*$B$8/12</f>
      </c>
      <c r="H181" s="333">
        <f>IF(F181=1,F181*$B$10/MIN(12,'Simulador - 3º Pilar'!$E$88),0)</f>
      </c>
      <c r="I181" s="560">
        <f>(1+$G$5)^(D181/12)*(H181+IF(E181=$N$7,$N$4,0))</f>
      </c>
      <c r="J181" s="561">
        <f>(1+$G$5)^(D181/12)*(H181*(12-IF(MONTH(E182)=12,0,MONTH(E182)))+IF(AND(F181=1,F182=0),$Q$4,0))*IF(AND(F181=1,F182=0),1,0)</f>
      </c>
      <c r="K181" s="217">
        <f>(1+$G$5)^(D181/12)*(IF(E181=$N$7,$N$4,0)+IF(E181=$C$6,$B$10,0))</f>
      </c>
      <c r="L181" s="217">
        <f>(1+$G$5)^(D181/12)*(IF((E181)&gt;($B$6),H181,0)+IF(E181=$N$7,$N$4,0)+IF(E181=$C$6,0,0))</f>
      </c>
      <c r="M181" s="1"/>
      <c r="N181" s="7"/>
      <c r="O181" s="1"/>
      <c r="P181" s="331">
        <v>174</v>
      </c>
      <c r="Q181" s="544">
        <f>+DATE(YEAR(Q180),MONTH(Q180)-1,DAY(Q180))</f>
        <v>25569.041666666668</v>
      </c>
      <c r="R181" s="341">
        <f>IF($Z$7=$E181,1,IF(MONTH($E181)=1,R182*(1+$F$5),R182))</f>
      </c>
      <c r="S181" s="334">
        <f>R181*$B$8/12</f>
      </c>
      <c r="T181" s="334">
        <f>R181*$B$11/12</f>
      </c>
      <c r="U181" s="565">
        <f>(1+$V$5)^(P181/12)*(T181+IF(Q181=$Z$7,$Z$4,0))</f>
      </c>
      <c r="V181" s="170"/>
      <c r="W181" s="7"/>
      <c r="X181" s="1"/>
      <c r="Y181" s="1"/>
      <c r="Z181" s="1"/>
      <c r="AA181" s="1"/>
      <c r="AB181" s="1"/>
      <c r="AC181" s="331">
        <v>174</v>
      </c>
      <c r="AD181" s="544">
        <f>+DATE(YEAR(AD180),MONTH(AD180)-1,DAY(AD180))</f>
        <v>25569.041666666668</v>
      </c>
      <c r="AE181" s="341">
        <f>IF($AM$7=$E181,1,IF(MONTH($E181)=1,AE182*(1+$F$5),AE182))</f>
      </c>
      <c r="AF181" s="334">
        <f>AE181*$B$8/12</f>
      </c>
      <c r="AG181" s="334">
        <f>AE181*$B$12/12</f>
      </c>
      <c r="AH181" s="565">
        <f>(1+$AI$5)^(AC181/12)*(AG181+IF(AD181=$AM$7,$AM$4,0))</f>
      </c>
      <c r="AI181" s="170"/>
      <c r="AJ181" s="7"/>
      <c r="AK181" s="1"/>
      <c r="AL181" s="1"/>
      <c r="AM181" s="1"/>
    </row>
    <row x14ac:dyDescent="0.25" r="182" customHeight="1" ht="18.75">
      <c r="A182" s="1"/>
      <c r="B182" s="169"/>
      <c r="C182" s="170"/>
      <c r="D182" s="331">
        <v>175</v>
      </c>
      <c r="E182" s="544">
        <f>+DATE(YEAR(E181),MONTH(E181)-1,DAY(E181))</f>
        <v>25569.041666666668</v>
      </c>
      <c r="F182" s="333">
        <f>IF($C$6=$E182,1,IF(MONTH($E182)=1,F183*(1+$F$5),F183))</f>
      </c>
      <c r="G182" s="333">
        <f>F182*$B$8/12</f>
      </c>
      <c r="H182" s="333">
        <f>IF(F182=1,F182*$B$10/MIN(12,'Simulador - 3º Pilar'!$E$88),0)</f>
      </c>
      <c r="I182" s="560">
        <f>(1+$G$5)^(D182/12)*(H182+IF(E182=$N$7,$N$4,0))</f>
      </c>
      <c r="J182" s="561">
        <f>(1+$G$5)^(D182/12)*(H182*(12-IF(MONTH(E183)=12,0,MONTH(E183)))+IF(AND(F182=1,F183=0),$Q$4,0))*IF(AND(F182=1,F183=0),1,0)</f>
      </c>
      <c r="K182" s="217">
        <f>(1+$G$5)^(D182/12)*(IF(E182=$N$7,$N$4,0)+IF(E182=$C$6,$B$10,0))</f>
      </c>
      <c r="L182" s="217">
        <f>(1+$G$5)^(D182/12)*(IF((E182)&gt;($B$6),H182,0)+IF(E182=$N$7,$N$4,0)+IF(E182=$C$6,0,0))</f>
      </c>
      <c r="M182" s="1"/>
      <c r="N182" s="7"/>
      <c r="O182" s="1"/>
      <c r="P182" s="331">
        <v>175</v>
      </c>
      <c r="Q182" s="544">
        <f>+DATE(YEAR(Q181),MONTH(Q181)-1,DAY(Q181))</f>
        <v>25569.041666666668</v>
      </c>
      <c r="R182" s="341">
        <f>IF($Z$7=$E182,1,IF(MONTH($E182)=1,R183*(1+$F$5),R183))</f>
      </c>
      <c r="S182" s="334">
        <f>R182*$B$8/12</f>
      </c>
      <c r="T182" s="334">
        <f>R182*$B$11/12</f>
      </c>
      <c r="U182" s="565">
        <f>(1+$V$5)^(P182/12)*(T182+IF(Q182=$Z$7,$Z$4,0))</f>
      </c>
      <c r="V182" s="170"/>
      <c r="W182" s="7"/>
      <c r="X182" s="1"/>
      <c r="Y182" s="1"/>
      <c r="Z182" s="1"/>
      <c r="AA182" s="1"/>
      <c r="AB182" s="1"/>
      <c r="AC182" s="331">
        <v>175</v>
      </c>
      <c r="AD182" s="544">
        <f>+DATE(YEAR(AD181),MONTH(AD181)-1,DAY(AD181))</f>
        <v>25569.041666666668</v>
      </c>
      <c r="AE182" s="341">
        <f>IF($AM$7=$E182,1,IF(MONTH($E182)=1,AE183*(1+$F$5),AE183))</f>
      </c>
      <c r="AF182" s="334">
        <f>AE182*$B$8/12</f>
      </c>
      <c r="AG182" s="334">
        <f>AE182*$B$12/12</f>
      </c>
      <c r="AH182" s="565">
        <f>(1+$AI$5)^(AC182/12)*(AG182+IF(AD182=$AM$7,$AM$4,0))</f>
      </c>
      <c r="AI182" s="170"/>
      <c r="AJ182" s="7"/>
      <c r="AK182" s="1"/>
      <c r="AL182" s="1"/>
      <c r="AM182" s="1"/>
    </row>
    <row x14ac:dyDescent="0.25" r="183" customHeight="1" ht="18.75">
      <c r="A183" s="1"/>
      <c r="B183" s="169"/>
      <c r="C183" s="170"/>
      <c r="D183" s="331">
        <v>176</v>
      </c>
      <c r="E183" s="544">
        <f>+DATE(YEAR(E182),MONTH(E182)-1,DAY(E182))</f>
        <v>25569.041666666668</v>
      </c>
      <c r="F183" s="333">
        <f>IF($C$6=$E183,1,IF(MONTH($E183)=1,F184*(1+$F$5),F184))</f>
      </c>
      <c r="G183" s="333">
        <f>F183*$B$8/12</f>
      </c>
      <c r="H183" s="333">
        <f>IF(F183=1,F183*$B$10/MIN(12,'Simulador - 3º Pilar'!$E$88),0)</f>
      </c>
      <c r="I183" s="560">
        <f>(1+$G$5)^(D183/12)*(H183+IF(E183=$N$7,$N$4,0))</f>
      </c>
      <c r="J183" s="561">
        <f>(1+$G$5)^(D183/12)*(H183*(12-IF(MONTH(E184)=12,0,MONTH(E184)))+IF(AND(F183=1,F184=0),$Q$4,0))*IF(AND(F183=1,F184=0),1,0)</f>
      </c>
      <c r="K183" s="217">
        <f>(1+$G$5)^(D183/12)*(IF(E183=$N$7,$N$4,0)+IF(E183=$C$6,$B$10,0))</f>
      </c>
      <c r="L183" s="217">
        <f>(1+$G$5)^(D183/12)*(IF((E183)&gt;($B$6),H183,0)+IF(E183=$N$7,$N$4,0)+IF(E183=$C$6,0,0))</f>
      </c>
      <c r="M183" s="1"/>
      <c r="N183" s="7"/>
      <c r="O183" s="1"/>
      <c r="P183" s="331">
        <v>176</v>
      </c>
      <c r="Q183" s="544">
        <f>+DATE(YEAR(Q182),MONTH(Q182)-1,DAY(Q182))</f>
        <v>25569.041666666668</v>
      </c>
      <c r="R183" s="341">
        <f>IF($Z$7=$E183,1,IF(MONTH($E183)=1,R184*(1+$F$5),R184))</f>
      </c>
      <c r="S183" s="334">
        <f>R183*$B$8/12</f>
      </c>
      <c r="T183" s="334">
        <f>R183*$B$11/12</f>
      </c>
      <c r="U183" s="565">
        <f>(1+$V$5)^(P183/12)*(T183+IF(Q183=$Z$7,$Z$4,0))</f>
      </c>
      <c r="V183" s="170"/>
      <c r="W183" s="7"/>
      <c r="X183" s="1"/>
      <c r="Y183" s="1"/>
      <c r="Z183" s="1"/>
      <c r="AA183" s="1"/>
      <c r="AB183" s="1"/>
      <c r="AC183" s="331">
        <v>176</v>
      </c>
      <c r="AD183" s="544">
        <f>+DATE(YEAR(AD182),MONTH(AD182)-1,DAY(AD182))</f>
        <v>25569.041666666668</v>
      </c>
      <c r="AE183" s="341">
        <f>IF($AM$7=$E183,1,IF(MONTH($E183)=1,AE184*(1+$F$5),AE184))</f>
      </c>
      <c r="AF183" s="334">
        <f>AE183*$B$8/12</f>
      </c>
      <c r="AG183" s="334">
        <f>AE183*$B$12/12</f>
      </c>
      <c r="AH183" s="565">
        <f>(1+$AI$5)^(AC183/12)*(AG183+IF(AD183=$AM$7,$AM$4,0))</f>
      </c>
      <c r="AI183" s="170"/>
      <c r="AJ183" s="7"/>
      <c r="AK183" s="1"/>
      <c r="AL183" s="1"/>
      <c r="AM183" s="1"/>
    </row>
    <row x14ac:dyDescent="0.25" r="184" customHeight="1" ht="18.75">
      <c r="A184" s="1"/>
      <c r="B184" s="169"/>
      <c r="C184" s="170"/>
      <c r="D184" s="331">
        <v>177</v>
      </c>
      <c r="E184" s="544">
        <f>+DATE(YEAR(E183),MONTH(E183)-1,DAY(E183))</f>
        <v>25569.041666666668</v>
      </c>
      <c r="F184" s="333">
        <f>IF($C$6=$E184,1,IF(MONTH($E184)=1,F185*(1+$F$5),F185))</f>
      </c>
      <c r="G184" s="333">
        <f>F184*$B$8/12</f>
      </c>
      <c r="H184" s="333">
        <f>IF(F184=1,F184*$B$10/MIN(12,'Simulador - 3º Pilar'!$E$88),0)</f>
      </c>
      <c r="I184" s="560">
        <f>(1+$G$5)^(D184/12)*(H184+IF(E184=$N$7,$N$4,0))</f>
      </c>
      <c r="J184" s="561">
        <f>(1+$G$5)^(D184/12)*(H184*(12-IF(MONTH(E185)=12,0,MONTH(E185)))+IF(AND(F184=1,F185=0),$Q$4,0))*IF(AND(F184=1,F185=0),1,0)</f>
      </c>
      <c r="K184" s="217">
        <f>(1+$G$5)^(D184/12)*(IF(E184=$N$7,$N$4,0)+IF(E184=$C$6,$B$10,0))</f>
      </c>
      <c r="L184" s="217">
        <f>(1+$G$5)^(D184/12)*(IF((E184)&gt;($B$6),H184,0)+IF(E184=$N$7,$N$4,0)+IF(E184=$C$6,0,0))</f>
      </c>
      <c r="M184" s="1"/>
      <c r="N184" s="7"/>
      <c r="O184" s="1"/>
      <c r="P184" s="331">
        <v>177</v>
      </c>
      <c r="Q184" s="544">
        <f>+DATE(YEAR(Q183),MONTH(Q183)-1,DAY(Q183))</f>
        <v>25569.041666666668</v>
      </c>
      <c r="R184" s="341">
        <f>IF($Z$7=$E184,1,IF(MONTH($E184)=1,R185*(1+$F$5),R185))</f>
      </c>
      <c r="S184" s="334">
        <f>R184*$B$8/12</f>
      </c>
      <c r="T184" s="334">
        <f>R184*$B$11/12</f>
      </c>
      <c r="U184" s="565">
        <f>(1+$V$5)^(P184/12)*(T184+IF(Q184=$Z$7,$Z$4,0))</f>
      </c>
      <c r="V184" s="170"/>
      <c r="W184" s="7"/>
      <c r="X184" s="1"/>
      <c r="Y184" s="1"/>
      <c r="Z184" s="1"/>
      <c r="AA184" s="1"/>
      <c r="AB184" s="1"/>
      <c r="AC184" s="331">
        <v>177</v>
      </c>
      <c r="AD184" s="544">
        <f>+DATE(YEAR(AD183),MONTH(AD183)-1,DAY(AD183))</f>
        <v>25569.041666666668</v>
      </c>
      <c r="AE184" s="341">
        <f>IF($AM$7=$E184,1,IF(MONTH($E184)=1,AE185*(1+$F$5),AE185))</f>
      </c>
      <c r="AF184" s="334">
        <f>AE184*$B$8/12</f>
      </c>
      <c r="AG184" s="334">
        <f>AE184*$B$12/12</f>
      </c>
      <c r="AH184" s="565">
        <f>(1+$AI$5)^(AC184/12)*(AG184+IF(AD184=$AM$7,$AM$4,0))</f>
      </c>
      <c r="AI184" s="170"/>
      <c r="AJ184" s="7"/>
      <c r="AK184" s="1"/>
      <c r="AL184" s="1"/>
      <c r="AM184" s="1"/>
    </row>
    <row x14ac:dyDescent="0.25" r="185" customHeight="1" ht="18.75">
      <c r="A185" s="1"/>
      <c r="B185" s="169"/>
      <c r="C185" s="170"/>
      <c r="D185" s="331">
        <v>178</v>
      </c>
      <c r="E185" s="544">
        <f>+DATE(YEAR(E184),MONTH(E184)-1,DAY(E184))</f>
        <v>25569.041666666668</v>
      </c>
      <c r="F185" s="333">
        <f>IF($C$6=$E185,1,IF(MONTH($E185)=1,F186*(1+$F$5),F186))</f>
      </c>
      <c r="G185" s="333">
        <f>F185*$B$8/12</f>
      </c>
      <c r="H185" s="333">
        <f>IF(F185=1,F185*$B$10/MIN(12,'Simulador - 3º Pilar'!$E$88),0)</f>
      </c>
      <c r="I185" s="560">
        <f>(1+$G$5)^(D185/12)*(H185+IF(E185=$N$7,$N$4,0))</f>
      </c>
      <c r="J185" s="561">
        <f>(1+$G$5)^(D185/12)*(H185*(12-IF(MONTH(E186)=12,0,MONTH(E186)))+IF(AND(F185=1,F186=0),$Q$4,0))*IF(AND(F185=1,F186=0),1,0)</f>
      </c>
      <c r="K185" s="217">
        <f>(1+$G$5)^(D185/12)*(IF(E185=$N$7,$N$4,0)+IF(E185=$C$6,$B$10,0))</f>
      </c>
      <c r="L185" s="217">
        <f>(1+$G$5)^(D185/12)*(IF((E185)&gt;($B$6),H185,0)+IF(E185=$N$7,$N$4,0)+IF(E185=$C$6,0,0))</f>
      </c>
      <c r="M185" s="1"/>
      <c r="N185" s="7"/>
      <c r="O185" s="1"/>
      <c r="P185" s="331">
        <v>178</v>
      </c>
      <c r="Q185" s="544">
        <f>+DATE(YEAR(Q184),MONTH(Q184)-1,DAY(Q184))</f>
        <v>25569.041666666668</v>
      </c>
      <c r="R185" s="341">
        <f>IF($Z$7=$E185,1,IF(MONTH($E185)=1,R186*(1+$F$5),R186))</f>
      </c>
      <c r="S185" s="334">
        <f>R185*$B$8/12</f>
      </c>
      <c r="T185" s="334">
        <f>R185*$B$11/12</f>
      </c>
      <c r="U185" s="565">
        <f>(1+$V$5)^(P185/12)*(T185+IF(Q185=$Z$7,$Z$4,0))</f>
      </c>
      <c r="V185" s="170"/>
      <c r="W185" s="7"/>
      <c r="X185" s="1"/>
      <c r="Y185" s="1"/>
      <c r="Z185" s="1"/>
      <c r="AA185" s="1"/>
      <c r="AB185" s="1"/>
      <c r="AC185" s="331">
        <v>178</v>
      </c>
      <c r="AD185" s="544">
        <f>+DATE(YEAR(AD184),MONTH(AD184)-1,DAY(AD184))</f>
        <v>25569.041666666668</v>
      </c>
      <c r="AE185" s="341">
        <f>IF($AM$7=$E185,1,IF(MONTH($E185)=1,AE186*(1+$F$5),AE186))</f>
      </c>
      <c r="AF185" s="334">
        <f>AE185*$B$8/12</f>
      </c>
      <c r="AG185" s="334">
        <f>AE185*$B$12/12</f>
      </c>
      <c r="AH185" s="565">
        <f>(1+$AI$5)^(AC185/12)*(AG185+IF(AD185=$AM$7,$AM$4,0))</f>
      </c>
      <c r="AI185" s="170"/>
      <c r="AJ185" s="7"/>
      <c r="AK185" s="1"/>
      <c r="AL185" s="1"/>
      <c r="AM185" s="1"/>
    </row>
    <row x14ac:dyDescent="0.25" r="186" customHeight="1" ht="18.75">
      <c r="A186" s="1"/>
      <c r="B186" s="169"/>
      <c r="C186" s="170"/>
      <c r="D186" s="331">
        <v>179</v>
      </c>
      <c r="E186" s="544">
        <f>+DATE(YEAR(E185),MONTH(E185)-1,DAY(E185))</f>
        <v>25569.041666666668</v>
      </c>
      <c r="F186" s="333">
        <f>IF($C$6=$E186,1,IF(MONTH($E186)=1,F187*(1+$F$5),F187))</f>
      </c>
      <c r="G186" s="333">
        <f>F186*$B$8/12</f>
      </c>
      <c r="H186" s="333">
        <f>IF(F186=1,F186*$B$10/MIN(12,'Simulador - 3º Pilar'!$E$88),0)</f>
      </c>
      <c r="I186" s="560">
        <f>(1+$G$5)^(D186/12)*(H186+IF(E186=$N$7,$N$4,0))</f>
      </c>
      <c r="J186" s="561">
        <f>(1+$G$5)^(D186/12)*(H186*(12-IF(MONTH(E187)=12,0,MONTH(E187)))+IF(AND(F186=1,F187=0),$Q$4,0))*IF(AND(F186=1,F187=0),1,0)</f>
      </c>
      <c r="K186" s="217">
        <f>(1+$G$5)^(D186/12)*(IF(E186=$N$7,$N$4,0)+IF(E186=$C$6,$B$10,0))</f>
      </c>
      <c r="L186" s="217">
        <f>(1+$G$5)^(D186/12)*(IF((E186)&gt;($B$6),H186,0)+IF(E186=$N$7,$N$4,0)+IF(E186=$C$6,0,0))</f>
      </c>
      <c r="M186" s="1"/>
      <c r="N186" s="7"/>
      <c r="O186" s="1"/>
      <c r="P186" s="331">
        <v>179</v>
      </c>
      <c r="Q186" s="544">
        <f>+DATE(YEAR(Q185),MONTH(Q185)-1,DAY(Q185))</f>
        <v>25569.041666666668</v>
      </c>
      <c r="R186" s="341">
        <f>IF($Z$7=$E186,1,IF(MONTH($E186)=1,R187*(1+$F$5),R187))</f>
      </c>
      <c r="S186" s="334">
        <f>R186*$B$8/12</f>
      </c>
      <c r="T186" s="334">
        <f>R186*$B$11/12</f>
      </c>
      <c r="U186" s="565">
        <f>(1+$V$5)^(P186/12)*(T186+IF(Q186=$Z$7,$Z$4,0))</f>
      </c>
      <c r="V186" s="170"/>
      <c r="W186" s="7"/>
      <c r="X186" s="1"/>
      <c r="Y186" s="1"/>
      <c r="Z186" s="1"/>
      <c r="AA186" s="1"/>
      <c r="AB186" s="1"/>
      <c r="AC186" s="331">
        <v>179</v>
      </c>
      <c r="AD186" s="544">
        <f>+DATE(YEAR(AD185),MONTH(AD185)-1,DAY(AD185))</f>
        <v>25569.041666666668</v>
      </c>
      <c r="AE186" s="341">
        <f>IF($AM$7=$E186,1,IF(MONTH($E186)=1,AE187*(1+$F$5),AE187))</f>
      </c>
      <c r="AF186" s="334">
        <f>AE186*$B$8/12</f>
      </c>
      <c r="AG186" s="334">
        <f>AE186*$B$12/12</f>
      </c>
      <c r="AH186" s="565">
        <f>(1+$AI$5)^(AC186/12)*(AG186+IF(AD186=$AM$7,$AM$4,0))</f>
      </c>
      <c r="AI186" s="170"/>
      <c r="AJ186" s="7"/>
      <c r="AK186" s="1"/>
      <c r="AL186" s="1"/>
      <c r="AM186" s="1"/>
    </row>
    <row x14ac:dyDescent="0.25" r="187" customHeight="1" ht="18.75">
      <c r="A187" s="1"/>
      <c r="B187" s="169"/>
      <c r="C187" s="170"/>
      <c r="D187" s="331">
        <v>180</v>
      </c>
      <c r="E187" s="544">
        <f>+DATE(YEAR(E186),MONTH(E186)-1,DAY(E186))</f>
        <v>25569.041666666668</v>
      </c>
      <c r="F187" s="333">
        <f>IF($C$6=$E187,1,IF(MONTH($E187)=1,F188*(1+$F$5),F188))</f>
      </c>
      <c r="G187" s="333">
        <f>F187*$B$8/12</f>
      </c>
      <c r="H187" s="333">
        <f>IF(F187=1,F187*$B$10/MIN(12,'Simulador - 3º Pilar'!$E$88),0)</f>
      </c>
      <c r="I187" s="560">
        <f>(1+$G$5)^(D187/12)*(H187+IF(E187=$N$7,$N$4,0))</f>
      </c>
      <c r="J187" s="561">
        <f>(1+$G$5)^(D187/12)*(H187*(12-IF(MONTH(E188)=12,0,MONTH(E188)))+IF(AND(F187=1,F188=0),$Q$4,0))*IF(AND(F187=1,F188=0),1,0)</f>
      </c>
      <c r="K187" s="217">
        <f>(1+$G$5)^(D187/12)*(IF(E187=$N$7,$N$4,0)+IF(E187=$C$6,$B$10,0))</f>
      </c>
      <c r="L187" s="217">
        <f>(1+$G$5)^(D187/12)*(IF((E187)&gt;($B$6),H187,0)+IF(E187=$N$7,$N$4,0)+IF(E187=$C$6,0,0))</f>
      </c>
      <c r="M187" s="1"/>
      <c r="N187" s="7"/>
      <c r="O187" s="1"/>
      <c r="P187" s="331">
        <v>180</v>
      </c>
      <c r="Q187" s="544">
        <f>+DATE(YEAR(Q186),MONTH(Q186)-1,DAY(Q186))</f>
        <v>25569.041666666668</v>
      </c>
      <c r="R187" s="341">
        <f>IF($Z$7=$E187,1,IF(MONTH($E187)=1,R188*(1+$F$5),R188))</f>
      </c>
      <c r="S187" s="334">
        <f>R187*$B$8/12</f>
      </c>
      <c r="T187" s="334">
        <f>R187*$B$11/12</f>
      </c>
      <c r="U187" s="565">
        <f>(1+$V$5)^(P187/12)*(T187+IF(Q187=$Z$7,$Z$4,0))</f>
      </c>
      <c r="V187" s="170"/>
      <c r="W187" s="7"/>
      <c r="X187" s="1"/>
      <c r="Y187" s="1"/>
      <c r="Z187" s="1"/>
      <c r="AA187" s="1"/>
      <c r="AB187" s="1"/>
      <c r="AC187" s="331">
        <v>180</v>
      </c>
      <c r="AD187" s="544">
        <f>+DATE(YEAR(AD186),MONTH(AD186)-1,DAY(AD186))</f>
        <v>25569.041666666668</v>
      </c>
      <c r="AE187" s="341">
        <f>IF($AM$7=$E187,1,IF(MONTH($E187)=1,AE188*(1+$F$5),AE188))</f>
      </c>
      <c r="AF187" s="334">
        <f>AE187*$B$8/12</f>
      </c>
      <c r="AG187" s="334">
        <f>AE187*$B$12/12</f>
      </c>
      <c r="AH187" s="565">
        <f>(1+$AI$5)^(AC187/12)*(AG187+IF(AD187=$AM$7,$AM$4,0))</f>
      </c>
      <c r="AI187" s="170"/>
      <c r="AJ187" s="7"/>
      <c r="AK187" s="1"/>
      <c r="AL187" s="1"/>
      <c r="AM187" s="1"/>
    </row>
    <row x14ac:dyDescent="0.25" r="188" customHeight="1" ht="18.75">
      <c r="A188" s="1"/>
      <c r="B188" s="169"/>
      <c r="C188" s="170"/>
      <c r="D188" s="331">
        <v>181</v>
      </c>
      <c r="E188" s="544">
        <f>+DATE(YEAR(E187),MONTH(E187)-1,DAY(E187))</f>
        <v>25569.041666666668</v>
      </c>
      <c r="F188" s="333">
        <f>IF($C$6=$E188,1,IF(MONTH($E188)=1,F189*(1+$F$5),F189))</f>
      </c>
      <c r="G188" s="333">
        <f>F188*$B$8/12</f>
      </c>
      <c r="H188" s="333">
        <f>IF(F188=1,F188*$B$10/MIN(12,'Simulador - 3º Pilar'!$E$88),0)</f>
      </c>
      <c r="I188" s="560">
        <f>(1+$G$5)^(D188/12)*(H188+IF(E188=$N$7,$N$4,0))</f>
      </c>
      <c r="J188" s="561">
        <f>(1+$G$5)^(D188/12)*(H188*(12-IF(MONTH(E189)=12,0,MONTH(E189)))+IF(AND(F188=1,F189=0),$Q$4,0))*IF(AND(F188=1,F189=0),1,0)</f>
      </c>
      <c r="K188" s="217">
        <f>(1+$G$5)^(D188/12)*(IF(E188=$N$7,$N$4,0)+IF(E188=$C$6,$B$10,0))</f>
      </c>
      <c r="L188" s="217">
        <f>(1+$G$5)^(D188/12)*(IF((E188)&gt;($B$6),H188,0)+IF(E188=$N$7,$N$4,0)+IF(E188=$C$6,0,0))</f>
      </c>
      <c r="M188" s="1"/>
      <c r="N188" s="7"/>
      <c r="O188" s="1"/>
      <c r="P188" s="331">
        <v>181</v>
      </c>
      <c r="Q188" s="544">
        <f>+DATE(YEAR(Q187),MONTH(Q187)-1,DAY(Q187))</f>
        <v>25569.041666666668</v>
      </c>
      <c r="R188" s="341">
        <f>IF($Z$7=$E188,1,IF(MONTH($E188)=1,R189*(1+$F$5),R189))</f>
      </c>
      <c r="S188" s="334">
        <f>R188*$B$8/12</f>
      </c>
      <c r="T188" s="334">
        <f>R188*$B$11/12</f>
      </c>
      <c r="U188" s="565">
        <f>(1+$V$5)^(P188/12)*(T188+IF(Q188=$Z$7,$Z$4,0))</f>
      </c>
      <c r="V188" s="170"/>
      <c r="W188" s="7"/>
      <c r="X188" s="1"/>
      <c r="Y188" s="1"/>
      <c r="Z188" s="1"/>
      <c r="AA188" s="1"/>
      <c r="AB188" s="1"/>
      <c r="AC188" s="331">
        <v>181</v>
      </c>
      <c r="AD188" s="544">
        <f>+DATE(YEAR(AD187),MONTH(AD187)-1,DAY(AD187))</f>
        <v>25569.041666666668</v>
      </c>
      <c r="AE188" s="341">
        <f>IF($AM$7=$E188,1,IF(MONTH($E188)=1,AE189*(1+$F$5),AE189))</f>
      </c>
      <c r="AF188" s="334">
        <f>AE188*$B$8/12</f>
      </c>
      <c r="AG188" s="334">
        <f>AE188*$B$12/12</f>
      </c>
      <c r="AH188" s="565">
        <f>(1+$AI$5)^(AC188/12)*(AG188+IF(AD188=$AM$7,$AM$4,0))</f>
      </c>
      <c r="AI188" s="170"/>
      <c r="AJ188" s="7"/>
      <c r="AK188" s="1"/>
      <c r="AL188" s="1"/>
      <c r="AM188" s="1"/>
    </row>
    <row x14ac:dyDescent="0.25" r="189" customHeight="1" ht="18.75">
      <c r="A189" s="1"/>
      <c r="B189" s="169"/>
      <c r="C189" s="170"/>
      <c r="D189" s="331">
        <v>182</v>
      </c>
      <c r="E189" s="544">
        <f>+DATE(YEAR(E188),MONTH(E188)-1,DAY(E188))</f>
        <v>25569.041666666668</v>
      </c>
      <c r="F189" s="333">
        <f>IF($C$6=$E189,1,IF(MONTH($E189)=1,F190*(1+$F$5),F190))</f>
      </c>
      <c r="G189" s="333">
        <f>F189*$B$8/12</f>
      </c>
      <c r="H189" s="333">
        <f>IF(F189=1,F189*$B$10/MIN(12,'Simulador - 3º Pilar'!$E$88),0)</f>
      </c>
      <c r="I189" s="560">
        <f>(1+$G$5)^(D189/12)*(H189+IF(E189=$N$7,$N$4,0))</f>
      </c>
      <c r="J189" s="561">
        <f>(1+$G$5)^(D189/12)*(H189*(12-IF(MONTH(E190)=12,0,MONTH(E190)))+IF(AND(F189=1,F190=0),$Q$4,0))*IF(AND(F189=1,F190=0),1,0)</f>
      </c>
      <c r="K189" s="217">
        <f>(1+$G$5)^(D189/12)*(IF(E189=$N$7,$N$4,0)+IF(E189=$C$6,$B$10,0))</f>
      </c>
      <c r="L189" s="217">
        <f>(1+$G$5)^(D189/12)*(IF((E189)&gt;($B$6),H189,0)+IF(E189=$N$7,$N$4,0)+IF(E189=$C$6,0,0))</f>
      </c>
      <c r="M189" s="1"/>
      <c r="N189" s="7"/>
      <c r="O189" s="1"/>
      <c r="P189" s="331">
        <v>182</v>
      </c>
      <c r="Q189" s="544">
        <f>+DATE(YEAR(Q188),MONTH(Q188)-1,DAY(Q188))</f>
        <v>25569.041666666668</v>
      </c>
      <c r="R189" s="341">
        <f>IF($Z$7=$E189,1,IF(MONTH($E189)=1,R190*(1+$F$5),R190))</f>
      </c>
      <c r="S189" s="334">
        <f>R189*$B$8/12</f>
      </c>
      <c r="T189" s="334">
        <f>R189*$B$11/12</f>
      </c>
      <c r="U189" s="565">
        <f>(1+$V$5)^(P189/12)*(T189+IF(Q189=$Z$7,$Z$4,0))</f>
      </c>
      <c r="V189" s="170"/>
      <c r="W189" s="7"/>
      <c r="X189" s="1"/>
      <c r="Y189" s="1"/>
      <c r="Z189" s="1"/>
      <c r="AA189" s="1"/>
      <c r="AB189" s="1"/>
      <c r="AC189" s="331">
        <v>182</v>
      </c>
      <c r="AD189" s="544">
        <f>+DATE(YEAR(AD188),MONTH(AD188)-1,DAY(AD188))</f>
        <v>25569.041666666668</v>
      </c>
      <c r="AE189" s="341">
        <f>IF($AM$7=$E189,1,IF(MONTH($E189)=1,AE190*(1+$F$5),AE190))</f>
      </c>
      <c r="AF189" s="334">
        <f>AE189*$B$8/12</f>
      </c>
      <c r="AG189" s="334">
        <f>AE189*$B$12/12</f>
      </c>
      <c r="AH189" s="565">
        <f>(1+$AI$5)^(AC189/12)*(AG189+IF(AD189=$AM$7,$AM$4,0))</f>
      </c>
      <c r="AI189" s="170"/>
      <c r="AJ189" s="7"/>
      <c r="AK189" s="1"/>
      <c r="AL189" s="1"/>
      <c r="AM189" s="1"/>
    </row>
    <row x14ac:dyDescent="0.25" r="190" customHeight="1" ht="18.75">
      <c r="A190" s="1"/>
      <c r="B190" s="169"/>
      <c r="C190" s="170"/>
      <c r="D190" s="331">
        <v>183</v>
      </c>
      <c r="E190" s="544">
        <f>+DATE(YEAR(E189),MONTH(E189)-1,DAY(E189))</f>
        <v>25569.041666666668</v>
      </c>
      <c r="F190" s="333">
        <f>IF($C$6=$E190,1,IF(MONTH($E190)=1,F191*(1+$F$5),F191))</f>
      </c>
      <c r="G190" s="333">
        <f>F190*$B$8/12</f>
      </c>
      <c r="H190" s="333">
        <f>IF(F190=1,F190*$B$10/MIN(12,'Simulador - 3º Pilar'!$E$88),0)</f>
      </c>
      <c r="I190" s="560">
        <f>(1+$G$5)^(D190/12)*(H190+IF(E190=$N$7,$N$4,0))</f>
      </c>
      <c r="J190" s="561">
        <f>(1+$G$5)^(D190/12)*(H190*(12-IF(MONTH(E191)=12,0,MONTH(E191)))+IF(AND(F190=1,F191=0),$Q$4,0))*IF(AND(F190=1,F191=0),1,0)</f>
      </c>
      <c r="K190" s="217">
        <f>(1+$G$5)^(D190/12)*(IF(E190=$N$7,$N$4,0)+IF(E190=$C$6,$B$10,0))</f>
      </c>
      <c r="L190" s="217">
        <f>(1+$G$5)^(D190/12)*(IF((E190)&gt;($B$6),H190,0)+IF(E190=$N$7,$N$4,0)+IF(E190=$C$6,0,0))</f>
      </c>
      <c r="M190" s="1"/>
      <c r="N190" s="7"/>
      <c r="O190" s="1"/>
      <c r="P190" s="331">
        <v>183</v>
      </c>
      <c r="Q190" s="544">
        <f>+DATE(YEAR(Q189),MONTH(Q189)-1,DAY(Q189))</f>
        <v>25569.041666666668</v>
      </c>
      <c r="R190" s="341">
        <f>IF($Z$7=$E190,1,IF(MONTH($E190)=1,R191*(1+$F$5),R191))</f>
      </c>
      <c r="S190" s="334">
        <f>R190*$B$8/12</f>
      </c>
      <c r="T190" s="334">
        <f>R190*$B$11/12</f>
      </c>
      <c r="U190" s="565">
        <f>(1+$V$5)^(P190/12)*(T190+IF(Q190=$Z$7,$Z$4,0))</f>
      </c>
      <c r="V190" s="170"/>
      <c r="W190" s="7"/>
      <c r="X190" s="1"/>
      <c r="Y190" s="1"/>
      <c r="Z190" s="1"/>
      <c r="AA190" s="1"/>
      <c r="AB190" s="1"/>
      <c r="AC190" s="331">
        <v>183</v>
      </c>
      <c r="AD190" s="544">
        <f>+DATE(YEAR(AD189),MONTH(AD189)-1,DAY(AD189))</f>
        <v>25569.041666666668</v>
      </c>
      <c r="AE190" s="341">
        <f>IF($AM$7=$E190,1,IF(MONTH($E190)=1,AE191*(1+$F$5),AE191))</f>
      </c>
      <c r="AF190" s="334">
        <f>AE190*$B$8/12</f>
      </c>
      <c r="AG190" s="334">
        <f>AE190*$B$12/12</f>
      </c>
      <c r="AH190" s="565">
        <f>(1+$AI$5)^(AC190/12)*(AG190+IF(AD190=$AM$7,$AM$4,0))</f>
      </c>
      <c r="AI190" s="170"/>
      <c r="AJ190" s="7"/>
      <c r="AK190" s="1"/>
      <c r="AL190" s="1"/>
      <c r="AM190" s="1"/>
    </row>
    <row x14ac:dyDescent="0.25" r="191" customHeight="1" ht="18.75">
      <c r="A191" s="1"/>
      <c r="B191" s="169"/>
      <c r="C191" s="170"/>
      <c r="D191" s="331">
        <v>184</v>
      </c>
      <c r="E191" s="544">
        <f>+DATE(YEAR(E190),MONTH(E190)-1,DAY(E190))</f>
        <v>25569.041666666668</v>
      </c>
      <c r="F191" s="333">
        <f>IF($C$6=$E191,1,IF(MONTH($E191)=1,F192*(1+$F$5),F192))</f>
      </c>
      <c r="G191" s="333">
        <f>F191*$B$8/12</f>
      </c>
      <c r="H191" s="333">
        <f>IF(F191=1,F191*$B$10/MIN(12,'Simulador - 3º Pilar'!$E$88),0)</f>
      </c>
      <c r="I191" s="560">
        <f>(1+$G$5)^(D191/12)*(H191+IF(E191=$N$7,$N$4,0))</f>
      </c>
      <c r="J191" s="561">
        <f>(1+$G$5)^(D191/12)*(H191*(12-IF(MONTH(E192)=12,0,MONTH(E192)))+IF(AND(F191=1,F192=0),$Q$4,0))*IF(AND(F191=1,F192=0),1,0)</f>
      </c>
      <c r="K191" s="217">
        <f>(1+$G$5)^(D191/12)*(IF(E191=$N$7,$N$4,0)+IF(E191=$C$6,$B$10,0))</f>
      </c>
      <c r="L191" s="217">
        <f>(1+$G$5)^(D191/12)*(IF((E191)&gt;($B$6),H191,0)+IF(E191=$N$7,$N$4,0)+IF(E191=$C$6,0,0))</f>
      </c>
      <c r="M191" s="1"/>
      <c r="N191" s="7"/>
      <c r="O191" s="1"/>
      <c r="P191" s="331">
        <v>184</v>
      </c>
      <c r="Q191" s="544">
        <f>+DATE(YEAR(Q190),MONTH(Q190)-1,DAY(Q190))</f>
        <v>25569.041666666668</v>
      </c>
      <c r="R191" s="341">
        <f>IF($Z$7=$E191,1,IF(MONTH($E191)=1,R192*(1+$F$5),R192))</f>
      </c>
      <c r="S191" s="334">
        <f>R191*$B$8/12</f>
      </c>
      <c r="T191" s="334">
        <f>R191*$B$11/12</f>
      </c>
      <c r="U191" s="565">
        <f>(1+$V$5)^(P191/12)*(T191+IF(Q191=$Z$7,$Z$4,0))</f>
      </c>
      <c r="V191" s="170"/>
      <c r="W191" s="7"/>
      <c r="X191" s="1"/>
      <c r="Y191" s="1"/>
      <c r="Z191" s="1"/>
      <c r="AA191" s="1"/>
      <c r="AB191" s="1"/>
      <c r="AC191" s="331">
        <v>184</v>
      </c>
      <c r="AD191" s="544">
        <f>+DATE(YEAR(AD190),MONTH(AD190)-1,DAY(AD190))</f>
        <v>25569.041666666668</v>
      </c>
      <c r="AE191" s="341">
        <f>IF($AM$7=$E191,1,IF(MONTH($E191)=1,AE192*(1+$F$5),AE192))</f>
      </c>
      <c r="AF191" s="334">
        <f>AE191*$B$8/12</f>
      </c>
      <c r="AG191" s="334">
        <f>AE191*$B$12/12</f>
      </c>
      <c r="AH191" s="565">
        <f>(1+$AI$5)^(AC191/12)*(AG191+IF(AD191=$AM$7,$AM$4,0))</f>
      </c>
      <c r="AI191" s="170"/>
      <c r="AJ191" s="7"/>
      <c r="AK191" s="1"/>
      <c r="AL191" s="1"/>
      <c r="AM191" s="1"/>
    </row>
    <row x14ac:dyDescent="0.25" r="192" customHeight="1" ht="18.75">
      <c r="A192" s="1"/>
      <c r="B192" s="169"/>
      <c r="C192" s="170"/>
      <c r="D192" s="331">
        <v>185</v>
      </c>
      <c r="E192" s="544">
        <f>+DATE(YEAR(E191),MONTH(E191)-1,DAY(E191))</f>
        <v>25569.041666666668</v>
      </c>
      <c r="F192" s="333">
        <f>IF($C$6=$E192,1,IF(MONTH($E192)=1,F193*(1+$F$5),F193))</f>
      </c>
      <c r="G192" s="333">
        <f>F192*$B$8/12</f>
      </c>
      <c r="H192" s="333">
        <f>IF(F192=1,F192*$B$10/MIN(12,'Simulador - 3º Pilar'!$E$88),0)</f>
      </c>
      <c r="I192" s="560">
        <f>(1+$G$5)^(D192/12)*(H192+IF(E192=$N$7,$N$4,0))</f>
      </c>
      <c r="J192" s="561">
        <f>(1+$G$5)^(D192/12)*(H192*(12-IF(MONTH(E193)=12,0,MONTH(E193)))+IF(AND(F192=1,F193=0),$Q$4,0))*IF(AND(F192=1,F193=0),1,0)</f>
      </c>
      <c r="K192" s="217">
        <f>(1+$G$5)^(D192/12)*(IF(E192=$N$7,$N$4,0)+IF(E192=$C$6,$B$10,0))</f>
      </c>
      <c r="L192" s="217">
        <f>(1+$G$5)^(D192/12)*(IF((E192)&gt;($B$6),H192,0)+IF(E192=$N$7,$N$4,0)+IF(E192=$C$6,0,0))</f>
      </c>
      <c r="M192" s="1"/>
      <c r="N192" s="7"/>
      <c r="O192" s="1"/>
      <c r="P192" s="331">
        <v>185</v>
      </c>
      <c r="Q192" s="544">
        <f>+DATE(YEAR(Q191),MONTH(Q191)-1,DAY(Q191))</f>
        <v>25569.041666666668</v>
      </c>
      <c r="R192" s="341">
        <f>IF($Z$7=$E192,1,IF(MONTH($E192)=1,R193*(1+$F$5),R193))</f>
      </c>
      <c r="S192" s="334">
        <f>R192*$B$8/12</f>
      </c>
      <c r="T192" s="334">
        <f>R192*$B$11/12</f>
      </c>
      <c r="U192" s="565">
        <f>(1+$V$5)^(P192/12)*(T192+IF(Q192=$Z$7,$Z$4,0))</f>
      </c>
      <c r="V192" s="170"/>
      <c r="W192" s="7"/>
      <c r="X192" s="1"/>
      <c r="Y192" s="1"/>
      <c r="Z192" s="1"/>
      <c r="AA192" s="1"/>
      <c r="AB192" s="1"/>
      <c r="AC192" s="331">
        <v>185</v>
      </c>
      <c r="AD192" s="544">
        <f>+DATE(YEAR(AD191),MONTH(AD191)-1,DAY(AD191))</f>
        <v>25569.041666666668</v>
      </c>
      <c r="AE192" s="341">
        <f>IF($AM$7=$E192,1,IF(MONTH($E192)=1,AE193*(1+$F$5),AE193))</f>
      </c>
      <c r="AF192" s="334">
        <f>AE192*$B$8/12</f>
      </c>
      <c r="AG192" s="334">
        <f>AE192*$B$12/12</f>
      </c>
      <c r="AH192" s="565">
        <f>(1+$AI$5)^(AC192/12)*(AG192+IF(AD192=$AM$7,$AM$4,0))</f>
      </c>
      <c r="AI192" s="170"/>
      <c r="AJ192" s="7"/>
      <c r="AK192" s="1"/>
      <c r="AL192" s="1"/>
      <c r="AM192" s="1"/>
    </row>
    <row x14ac:dyDescent="0.25" r="193" customHeight="1" ht="18.75">
      <c r="A193" s="1"/>
      <c r="B193" s="169"/>
      <c r="C193" s="170"/>
      <c r="D193" s="331">
        <v>186</v>
      </c>
      <c r="E193" s="544">
        <f>+DATE(YEAR(E192),MONTH(E192)-1,DAY(E192))</f>
        <v>25569.041666666668</v>
      </c>
      <c r="F193" s="333">
        <f>IF($C$6=$E193,1,IF(MONTH($E193)=1,F194*(1+$F$5),F194))</f>
      </c>
      <c r="G193" s="333">
        <f>F193*$B$8/12</f>
      </c>
      <c r="H193" s="333">
        <f>IF(F193=1,F193*$B$10/MIN(12,'Simulador - 3º Pilar'!$E$88),0)</f>
      </c>
      <c r="I193" s="560">
        <f>(1+$G$5)^(D193/12)*(H193+IF(E193=$N$7,$N$4,0))</f>
      </c>
      <c r="J193" s="561">
        <f>(1+$G$5)^(D193/12)*(H193*(12-IF(MONTH(E194)=12,0,MONTH(E194)))+IF(AND(F193=1,F194=0),$Q$4,0))*IF(AND(F193=1,F194=0),1,0)</f>
      </c>
      <c r="K193" s="217">
        <f>(1+$G$5)^(D193/12)*(IF(E193=$N$7,$N$4,0)+IF(E193=$C$6,$B$10,0))</f>
      </c>
      <c r="L193" s="217">
        <f>(1+$G$5)^(D193/12)*(IF((E193)&gt;($B$6),H193,0)+IF(E193=$N$7,$N$4,0)+IF(E193=$C$6,0,0))</f>
      </c>
      <c r="M193" s="1"/>
      <c r="N193" s="7"/>
      <c r="O193" s="1"/>
      <c r="P193" s="331">
        <v>186</v>
      </c>
      <c r="Q193" s="544">
        <f>+DATE(YEAR(Q192),MONTH(Q192)-1,DAY(Q192))</f>
        <v>25569.041666666668</v>
      </c>
      <c r="R193" s="341">
        <f>IF($Z$7=$E193,1,IF(MONTH($E193)=1,R194*(1+$F$5),R194))</f>
      </c>
      <c r="S193" s="334">
        <f>R193*$B$8/12</f>
      </c>
      <c r="T193" s="334">
        <f>R193*$B$11/12</f>
      </c>
      <c r="U193" s="565">
        <f>(1+$V$5)^(P193/12)*(T193+IF(Q193=$Z$7,$Z$4,0))</f>
      </c>
      <c r="V193" s="170"/>
      <c r="W193" s="7"/>
      <c r="X193" s="1"/>
      <c r="Y193" s="1"/>
      <c r="Z193" s="1"/>
      <c r="AA193" s="1"/>
      <c r="AB193" s="1"/>
      <c r="AC193" s="331">
        <v>186</v>
      </c>
      <c r="AD193" s="544">
        <f>+DATE(YEAR(AD192),MONTH(AD192)-1,DAY(AD192))</f>
        <v>25569.041666666668</v>
      </c>
      <c r="AE193" s="341">
        <f>IF($AM$7=$E193,1,IF(MONTH($E193)=1,AE194*(1+$F$5),AE194))</f>
      </c>
      <c r="AF193" s="334">
        <f>AE193*$B$8/12</f>
      </c>
      <c r="AG193" s="334">
        <f>AE193*$B$12/12</f>
      </c>
      <c r="AH193" s="565">
        <f>(1+$AI$5)^(AC193/12)*(AG193+IF(AD193=$AM$7,$AM$4,0))</f>
      </c>
      <c r="AI193" s="170"/>
      <c r="AJ193" s="7"/>
      <c r="AK193" s="1"/>
      <c r="AL193" s="1"/>
      <c r="AM193" s="1"/>
    </row>
    <row x14ac:dyDescent="0.25" r="194" customHeight="1" ht="18.75">
      <c r="A194" s="1"/>
      <c r="B194" s="169"/>
      <c r="C194" s="170"/>
      <c r="D194" s="331">
        <v>187</v>
      </c>
      <c r="E194" s="544">
        <f>+DATE(YEAR(E193),MONTH(E193)-1,DAY(E193))</f>
        <v>25569.041666666668</v>
      </c>
      <c r="F194" s="333">
        <f>IF($C$6=$E194,1,IF(MONTH($E194)=1,F195*(1+$F$5),F195))</f>
      </c>
      <c r="G194" s="333">
        <f>F194*$B$8/12</f>
      </c>
      <c r="H194" s="333">
        <f>IF(F194=1,F194*$B$10/MIN(12,'Simulador - 3º Pilar'!$E$88),0)</f>
      </c>
      <c r="I194" s="560">
        <f>(1+$G$5)^(D194/12)*(H194+IF(E194=$N$7,$N$4,0))</f>
      </c>
      <c r="J194" s="561">
        <f>(1+$G$5)^(D194/12)*(H194*(12-IF(MONTH(E195)=12,0,MONTH(E195)))+IF(AND(F194=1,F195=0),$Q$4,0))*IF(AND(F194=1,F195=0),1,0)</f>
      </c>
      <c r="K194" s="217">
        <f>(1+$G$5)^(D194/12)*(IF(E194=$N$7,$N$4,0)+IF(E194=$C$6,$B$10,0))</f>
      </c>
      <c r="L194" s="217">
        <f>(1+$G$5)^(D194/12)*(IF((E194)&gt;($B$6),H194,0)+IF(E194=$N$7,$N$4,0)+IF(E194=$C$6,0,0))</f>
      </c>
      <c r="M194" s="1"/>
      <c r="N194" s="7"/>
      <c r="O194" s="1"/>
      <c r="P194" s="331">
        <v>187</v>
      </c>
      <c r="Q194" s="544">
        <f>+DATE(YEAR(Q193),MONTH(Q193)-1,DAY(Q193))</f>
        <v>25569.041666666668</v>
      </c>
      <c r="R194" s="341">
        <f>IF($Z$7=$E194,1,IF(MONTH($E194)=1,R195*(1+$F$5),R195))</f>
      </c>
      <c r="S194" s="334">
        <f>R194*$B$8/12</f>
      </c>
      <c r="T194" s="334">
        <f>R194*$B$11/12</f>
      </c>
      <c r="U194" s="565">
        <f>(1+$V$5)^(P194/12)*(T194+IF(Q194=$Z$7,$Z$4,0))</f>
      </c>
      <c r="V194" s="170"/>
      <c r="W194" s="7"/>
      <c r="X194" s="1"/>
      <c r="Y194" s="1"/>
      <c r="Z194" s="1"/>
      <c r="AA194" s="1"/>
      <c r="AB194" s="1"/>
      <c r="AC194" s="331">
        <v>187</v>
      </c>
      <c r="AD194" s="544">
        <f>+DATE(YEAR(AD193),MONTH(AD193)-1,DAY(AD193))</f>
        <v>25569.041666666668</v>
      </c>
      <c r="AE194" s="341">
        <f>IF($AM$7=$E194,1,IF(MONTH($E194)=1,AE195*(1+$F$5),AE195))</f>
      </c>
      <c r="AF194" s="334">
        <f>AE194*$B$8/12</f>
      </c>
      <c r="AG194" s="334">
        <f>AE194*$B$12/12</f>
      </c>
      <c r="AH194" s="565">
        <f>(1+$AI$5)^(AC194/12)*(AG194+IF(AD194=$AM$7,$AM$4,0))</f>
      </c>
      <c r="AI194" s="170"/>
      <c r="AJ194" s="7"/>
      <c r="AK194" s="1"/>
      <c r="AL194" s="1"/>
      <c r="AM194" s="1"/>
    </row>
    <row x14ac:dyDescent="0.25" r="195" customHeight="1" ht="18.75">
      <c r="A195" s="1"/>
      <c r="B195" s="169"/>
      <c r="C195" s="170"/>
      <c r="D195" s="331">
        <v>188</v>
      </c>
      <c r="E195" s="544">
        <f>+DATE(YEAR(E194),MONTH(E194)-1,DAY(E194))</f>
        <v>25569.041666666668</v>
      </c>
      <c r="F195" s="333">
        <f>IF($C$6=$E195,1,IF(MONTH($E195)=1,F196*(1+$F$5),F196))</f>
      </c>
      <c r="G195" s="333">
        <f>F195*$B$8/12</f>
      </c>
      <c r="H195" s="333">
        <f>IF(F195=1,F195*$B$10/MIN(12,'Simulador - 3º Pilar'!$E$88),0)</f>
      </c>
      <c r="I195" s="560">
        <f>(1+$G$5)^(D195/12)*(H195+IF(E195=$N$7,$N$4,0))</f>
      </c>
      <c r="J195" s="561">
        <f>(1+$G$5)^(D195/12)*(H195*(12-IF(MONTH(E196)=12,0,MONTH(E196)))+IF(AND(F195=1,F196=0),$Q$4,0))*IF(AND(F195=1,F196=0),1,0)</f>
      </c>
      <c r="K195" s="217">
        <f>(1+$G$5)^(D195/12)*(IF(E195=$N$7,$N$4,0)+IF(E195=$C$6,$B$10,0))</f>
      </c>
      <c r="L195" s="217">
        <f>(1+$G$5)^(D195/12)*(IF((E195)&gt;($B$6),H195,0)+IF(E195=$N$7,$N$4,0)+IF(E195=$C$6,0,0))</f>
      </c>
      <c r="M195" s="1"/>
      <c r="N195" s="7"/>
      <c r="O195" s="1"/>
      <c r="P195" s="331">
        <v>188</v>
      </c>
      <c r="Q195" s="544">
        <f>+DATE(YEAR(Q194),MONTH(Q194)-1,DAY(Q194))</f>
        <v>25569.041666666668</v>
      </c>
      <c r="R195" s="341">
        <f>IF($Z$7=$E195,1,IF(MONTH($E195)=1,R196*(1+$F$5),R196))</f>
      </c>
      <c r="S195" s="334">
        <f>R195*$B$8/12</f>
      </c>
      <c r="T195" s="334">
        <f>R195*$B$11/12</f>
      </c>
      <c r="U195" s="565">
        <f>(1+$V$5)^(P195/12)*(T195+IF(Q195=$Z$7,$Z$4,0))</f>
      </c>
      <c r="V195" s="170"/>
      <c r="W195" s="7"/>
      <c r="X195" s="1"/>
      <c r="Y195" s="1"/>
      <c r="Z195" s="1"/>
      <c r="AA195" s="1"/>
      <c r="AB195" s="1"/>
      <c r="AC195" s="331">
        <v>188</v>
      </c>
      <c r="AD195" s="544">
        <f>+DATE(YEAR(AD194),MONTH(AD194)-1,DAY(AD194))</f>
        <v>25569.041666666668</v>
      </c>
      <c r="AE195" s="341">
        <f>IF($AM$7=$E195,1,IF(MONTH($E195)=1,AE196*(1+$F$5),AE196))</f>
      </c>
      <c r="AF195" s="334">
        <f>AE195*$B$8/12</f>
      </c>
      <c r="AG195" s="334">
        <f>AE195*$B$12/12</f>
      </c>
      <c r="AH195" s="565">
        <f>(1+$AI$5)^(AC195/12)*(AG195+IF(AD195=$AM$7,$AM$4,0))</f>
      </c>
      <c r="AI195" s="170"/>
      <c r="AJ195" s="7"/>
      <c r="AK195" s="1"/>
      <c r="AL195" s="1"/>
      <c r="AM195" s="1"/>
    </row>
    <row x14ac:dyDescent="0.25" r="196" customHeight="1" ht="18.75">
      <c r="A196" s="1"/>
      <c r="B196" s="169"/>
      <c r="C196" s="170"/>
      <c r="D196" s="331">
        <v>189</v>
      </c>
      <c r="E196" s="544">
        <f>+DATE(YEAR(E195),MONTH(E195)-1,DAY(E195))</f>
        <v>25569.041666666668</v>
      </c>
      <c r="F196" s="333">
        <f>IF($C$6=$E196,1,IF(MONTH($E196)=1,F197*(1+$F$5),F197))</f>
      </c>
      <c r="G196" s="333">
        <f>F196*$B$8/12</f>
      </c>
      <c r="H196" s="333">
        <f>IF(F196=1,F196*$B$10/MIN(12,'Simulador - 3º Pilar'!$E$88),0)</f>
      </c>
      <c r="I196" s="560">
        <f>(1+$G$5)^(D196/12)*(H196+IF(E196=$N$7,$N$4,0))</f>
      </c>
      <c r="J196" s="561">
        <f>(1+$G$5)^(D196/12)*(H196*(12-IF(MONTH(E197)=12,0,MONTH(E197)))+IF(AND(F196=1,F197=0),$Q$4,0))*IF(AND(F196=1,F197=0),1,0)</f>
      </c>
      <c r="K196" s="217">
        <f>(1+$G$5)^(D196/12)*(IF(E196=$N$7,$N$4,0)+IF(E196=$C$6,$B$10,0))</f>
      </c>
      <c r="L196" s="217">
        <f>(1+$G$5)^(D196/12)*(IF((E196)&gt;($B$6),H196,0)+IF(E196=$N$7,$N$4,0)+IF(E196=$C$6,0,0))</f>
      </c>
      <c r="M196" s="1"/>
      <c r="N196" s="7"/>
      <c r="O196" s="1"/>
      <c r="P196" s="331">
        <v>189</v>
      </c>
      <c r="Q196" s="544">
        <f>+DATE(YEAR(Q195),MONTH(Q195)-1,DAY(Q195))</f>
        <v>25569.041666666668</v>
      </c>
      <c r="R196" s="341">
        <f>IF($Z$7=$E196,1,IF(MONTH($E196)=1,R197*(1+$F$5),R197))</f>
      </c>
      <c r="S196" s="334">
        <f>R196*$B$8/12</f>
      </c>
      <c r="T196" s="334">
        <f>R196*$B$11/12</f>
      </c>
      <c r="U196" s="565">
        <f>(1+$V$5)^(P196/12)*(T196+IF(Q196=$Z$7,$Z$4,0))</f>
      </c>
      <c r="V196" s="170"/>
      <c r="W196" s="7"/>
      <c r="X196" s="1"/>
      <c r="Y196" s="1"/>
      <c r="Z196" s="1"/>
      <c r="AA196" s="1"/>
      <c r="AB196" s="1"/>
      <c r="AC196" s="331">
        <v>189</v>
      </c>
      <c r="AD196" s="544">
        <f>+DATE(YEAR(AD195),MONTH(AD195)-1,DAY(AD195))</f>
        <v>25569.041666666668</v>
      </c>
      <c r="AE196" s="341">
        <f>IF($AM$7=$E196,1,IF(MONTH($E196)=1,AE197*(1+$F$5),AE197))</f>
      </c>
      <c r="AF196" s="334">
        <f>AE196*$B$8/12</f>
      </c>
      <c r="AG196" s="334">
        <f>AE196*$B$12/12</f>
      </c>
      <c r="AH196" s="565">
        <f>(1+$AI$5)^(AC196/12)*(AG196+IF(AD196=$AM$7,$AM$4,0))</f>
      </c>
      <c r="AI196" s="170"/>
      <c r="AJ196" s="7"/>
      <c r="AK196" s="1"/>
      <c r="AL196" s="1"/>
      <c r="AM196" s="1"/>
    </row>
    <row x14ac:dyDescent="0.25" r="197" customHeight="1" ht="18.75">
      <c r="A197" s="1"/>
      <c r="B197" s="169"/>
      <c r="C197" s="170"/>
      <c r="D197" s="331">
        <v>190</v>
      </c>
      <c r="E197" s="544">
        <f>+DATE(YEAR(E196),MONTH(E196)-1,DAY(E196))</f>
        <v>25569.041666666668</v>
      </c>
      <c r="F197" s="333">
        <f>IF($C$6=$E197,1,IF(MONTH($E197)=1,F198*(1+$F$5),F198))</f>
      </c>
      <c r="G197" s="333">
        <f>F197*$B$8/12</f>
      </c>
      <c r="H197" s="333">
        <f>IF(F197=1,F197*$B$10/MIN(12,'Simulador - 3º Pilar'!$E$88),0)</f>
      </c>
      <c r="I197" s="560">
        <f>(1+$G$5)^(D197/12)*(H197+IF(E197=$N$7,$N$4,0))</f>
      </c>
      <c r="J197" s="561">
        <f>(1+$G$5)^(D197/12)*(H197*(12-IF(MONTH(E198)=12,0,MONTH(E198)))+IF(AND(F197=1,F198=0),$Q$4,0))*IF(AND(F197=1,F198=0),1,0)</f>
      </c>
      <c r="K197" s="217">
        <f>(1+$G$5)^(D197/12)*(IF(E197=$N$7,$N$4,0)+IF(E197=$C$6,$B$10,0))</f>
      </c>
      <c r="L197" s="217">
        <f>(1+$G$5)^(D197/12)*(IF((E197)&gt;($B$6),H197,0)+IF(E197=$N$7,$N$4,0)+IF(E197=$C$6,0,0))</f>
      </c>
      <c r="M197" s="1"/>
      <c r="N197" s="7"/>
      <c r="O197" s="1"/>
      <c r="P197" s="331">
        <v>190</v>
      </c>
      <c r="Q197" s="544">
        <f>+DATE(YEAR(Q196),MONTH(Q196)-1,DAY(Q196))</f>
        <v>25569.041666666668</v>
      </c>
      <c r="R197" s="341">
        <f>IF($Z$7=$E197,1,IF(MONTH($E197)=1,R198*(1+$F$5),R198))</f>
      </c>
      <c r="S197" s="334">
        <f>R197*$B$8/12</f>
      </c>
      <c r="T197" s="334">
        <f>R197*$B$11/12</f>
      </c>
      <c r="U197" s="565">
        <f>(1+$V$5)^(P197/12)*(T197+IF(Q197=$Z$7,$Z$4,0))</f>
      </c>
      <c r="V197" s="170"/>
      <c r="W197" s="7"/>
      <c r="X197" s="1"/>
      <c r="Y197" s="1"/>
      <c r="Z197" s="1"/>
      <c r="AA197" s="1"/>
      <c r="AB197" s="1"/>
      <c r="AC197" s="331">
        <v>190</v>
      </c>
      <c r="AD197" s="544">
        <f>+DATE(YEAR(AD196),MONTH(AD196)-1,DAY(AD196))</f>
        <v>25569.041666666668</v>
      </c>
      <c r="AE197" s="341">
        <f>IF($AM$7=$E197,1,IF(MONTH($E197)=1,AE198*(1+$F$5),AE198))</f>
      </c>
      <c r="AF197" s="334">
        <f>AE197*$B$8/12</f>
      </c>
      <c r="AG197" s="334">
        <f>AE197*$B$12/12</f>
      </c>
      <c r="AH197" s="565">
        <f>(1+$AI$5)^(AC197/12)*(AG197+IF(AD197=$AM$7,$AM$4,0))</f>
      </c>
      <c r="AI197" s="170"/>
      <c r="AJ197" s="7"/>
      <c r="AK197" s="1"/>
      <c r="AL197" s="1"/>
      <c r="AM197" s="1"/>
    </row>
    <row x14ac:dyDescent="0.25" r="198" customHeight="1" ht="18.75">
      <c r="A198" s="1"/>
      <c r="B198" s="169"/>
      <c r="C198" s="170"/>
      <c r="D198" s="331">
        <v>191</v>
      </c>
      <c r="E198" s="544">
        <f>+DATE(YEAR(E197),MONTH(E197)-1,DAY(E197))</f>
        <v>25569.041666666668</v>
      </c>
      <c r="F198" s="333">
        <f>IF($C$6=$E198,1,IF(MONTH($E198)=1,F199*(1+$F$5),F199))</f>
      </c>
      <c r="G198" s="333">
        <f>F198*$B$8/12</f>
      </c>
      <c r="H198" s="333">
        <f>IF(F198=1,F198*$B$10/MIN(12,'Simulador - 3º Pilar'!$E$88),0)</f>
      </c>
      <c r="I198" s="560">
        <f>(1+$G$5)^(D198/12)*(H198+IF(E198=$N$7,$N$4,0))</f>
      </c>
      <c r="J198" s="561">
        <f>(1+$G$5)^(D198/12)*(H198*(12-IF(MONTH(E199)=12,0,MONTH(E199)))+IF(AND(F198=1,F199=0),$Q$4,0))*IF(AND(F198=1,F199=0),1,0)</f>
      </c>
      <c r="K198" s="217">
        <f>(1+$G$5)^(D198/12)*(IF(E198=$N$7,$N$4,0)+IF(E198=$C$6,$B$10,0))</f>
      </c>
      <c r="L198" s="217">
        <f>(1+$G$5)^(D198/12)*(IF((E198)&gt;($B$6),H198,0)+IF(E198=$N$7,$N$4,0)+IF(E198=$C$6,0,0))</f>
      </c>
      <c r="M198" s="1"/>
      <c r="N198" s="7"/>
      <c r="O198" s="1"/>
      <c r="P198" s="331">
        <v>191</v>
      </c>
      <c r="Q198" s="544">
        <f>+DATE(YEAR(Q197),MONTH(Q197)-1,DAY(Q197))</f>
        <v>25569.041666666668</v>
      </c>
      <c r="R198" s="341">
        <f>IF($Z$7=$E198,1,IF(MONTH($E198)=1,R199*(1+$F$5),R199))</f>
      </c>
      <c r="S198" s="334">
        <f>R198*$B$8/12</f>
      </c>
      <c r="T198" s="334">
        <f>R198*$B$11/12</f>
      </c>
      <c r="U198" s="565">
        <f>(1+$V$5)^(P198/12)*(T198+IF(Q198=$Z$7,$Z$4,0))</f>
      </c>
      <c r="V198" s="170"/>
      <c r="W198" s="7"/>
      <c r="X198" s="1"/>
      <c r="Y198" s="1"/>
      <c r="Z198" s="1"/>
      <c r="AA198" s="1"/>
      <c r="AB198" s="1"/>
      <c r="AC198" s="331">
        <v>191</v>
      </c>
      <c r="AD198" s="544">
        <f>+DATE(YEAR(AD197),MONTH(AD197)-1,DAY(AD197))</f>
        <v>25569.041666666668</v>
      </c>
      <c r="AE198" s="341">
        <f>IF($AM$7=$E198,1,IF(MONTH($E198)=1,AE199*(1+$F$5),AE199))</f>
      </c>
      <c r="AF198" s="334">
        <f>AE198*$B$8/12</f>
      </c>
      <c r="AG198" s="334">
        <f>AE198*$B$12/12</f>
      </c>
      <c r="AH198" s="565">
        <f>(1+$AI$5)^(AC198/12)*(AG198+IF(AD198=$AM$7,$AM$4,0))</f>
      </c>
      <c r="AI198" s="170"/>
      <c r="AJ198" s="7"/>
      <c r="AK198" s="1"/>
      <c r="AL198" s="1"/>
      <c r="AM198" s="1"/>
    </row>
    <row x14ac:dyDescent="0.25" r="199" customHeight="1" ht="18.75">
      <c r="A199" s="1"/>
      <c r="B199" s="169"/>
      <c r="C199" s="170"/>
      <c r="D199" s="331">
        <v>192</v>
      </c>
      <c r="E199" s="544">
        <f>+DATE(YEAR(E198),MONTH(E198)-1,DAY(E198))</f>
        <v>25569.041666666668</v>
      </c>
      <c r="F199" s="333">
        <f>IF($C$6=$E199,1,IF(MONTH($E199)=1,F200*(1+$F$5),F200))</f>
      </c>
      <c r="G199" s="333">
        <f>F199*$B$8/12</f>
      </c>
      <c r="H199" s="333">
        <f>IF(F199=1,F199*$B$10/MIN(12,'Simulador - 3º Pilar'!$E$88),0)</f>
      </c>
      <c r="I199" s="560">
        <f>(1+$G$5)^(D199/12)*(H199+IF(E199=$N$7,$N$4,0))</f>
      </c>
      <c r="J199" s="561">
        <f>(1+$G$5)^(D199/12)*(H199*(12-IF(MONTH(E200)=12,0,MONTH(E200)))+IF(AND(F199=1,F200=0),$Q$4,0))*IF(AND(F199=1,F200=0),1,0)</f>
      </c>
      <c r="K199" s="217">
        <f>(1+$G$5)^(D199/12)*(IF(E199=$N$7,$N$4,0)+IF(E199=$C$6,$B$10,0))</f>
      </c>
      <c r="L199" s="217">
        <f>(1+$G$5)^(D199/12)*(IF((E199)&gt;($B$6),H199,0)+IF(E199=$N$7,$N$4,0)+IF(E199=$C$6,0,0))</f>
      </c>
      <c r="M199" s="1"/>
      <c r="N199" s="7"/>
      <c r="O199" s="1"/>
      <c r="P199" s="331">
        <v>192</v>
      </c>
      <c r="Q199" s="544">
        <f>+DATE(YEAR(Q198),MONTH(Q198)-1,DAY(Q198))</f>
        <v>25569.041666666668</v>
      </c>
      <c r="R199" s="341">
        <f>IF($Z$7=$E199,1,IF(MONTH($E199)=1,R200*(1+$F$5),R200))</f>
      </c>
      <c r="S199" s="334">
        <f>R199*$B$8/12</f>
      </c>
      <c r="T199" s="334">
        <f>R199*$B$11/12</f>
      </c>
      <c r="U199" s="565">
        <f>(1+$V$5)^(P199/12)*(T199+IF(Q199=$Z$7,$Z$4,0))</f>
      </c>
      <c r="V199" s="170"/>
      <c r="W199" s="7"/>
      <c r="X199" s="1"/>
      <c r="Y199" s="1"/>
      <c r="Z199" s="1"/>
      <c r="AA199" s="1"/>
      <c r="AB199" s="1"/>
      <c r="AC199" s="331">
        <v>192</v>
      </c>
      <c r="AD199" s="544">
        <f>+DATE(YEAR(AD198),MONTH(AD198)-1,DAY(AD198))</f>
        <v>25569.041666666668</v>
      </c>
      <c r="AE199" s="341">
        <f>IF($AM$7=$E199,1,IF(MONTH($E199)=1,AE200*(1+$F$5),AE200))</f>
      </c>
      <c r="AF199" s="334">
        <f>AE199*$B$8/12</f>
      </c>
      <c r="AG199" s="334">
        <f>AE199*$B$12/12</f>
      </c>
      <c r="AH199" s="565">
        <f>(1+$AI$5)^(AC199/12)*(AG199+IF(AD199=$AM$7,$AM$4,0))</f>
      </c>
      <c r="AI199" s="170"/>
      <c r="AJ199" s="7"/>
      <c r="AK199" s="1"/>
      <c r="AL199" s="1"/>
      <c r="AM199" s="1"/>
    </row>
    <row x14ac:dyDescent="0.25" r="200" customHeight="1" ht="18.75">
      <c r="A200" s="1"/>
      <c r="B200" s="169"/>
      <c r="C200" s="170"/>
      <c r="D200" s="331">
        <v>193</v>
      </c>
      <c r="E200" s="544">
        <f>+DATE(YEAR(E199),MONTH(E199)-1,DAY(E199))</f>
        <v>25569.041666666668</v>
      </c>
      <c r="F200" s="333">
        <f>IF($C$6=$E200,1,IF(MONTH($E200)=1,F201*(1+$F$5),F201))</f>
      </c>
      <c r="G200" s="333">
        <f>F200*$B$8/12</f>
      </c>
      <c r="H200" s="333">
        <f>IF(F200=1,F200*$B$10/MIN(12,'Simulador - 3º Pilar'!$E$88),0)</f>
      </c>
      <c r="I200" s="560">
        <f>(1+$G$5)^(D200/12)*(H200+IF(E200=$N$7,$N$4,0))</f>
      </c>
      <c r="J200" s="561">
        <f>(1+$G$5)^(D200/12)*(H200*(12-IF(MONTH(E201)=12,0,MONTH(E201)))+IF(AND(F200=1,F201=0),$Q$4,0))*IF(AND(F200=1,F201=0),1,0)</f>
      </c>
      <c r="K200" s="217">
        <f>(1+$G$5)^(D200/12)*(IF(E200=$N$7,$N$4,0)+IF(E200=$C$6,$B$10,0))</f>
      </c>
      <c r="L200" s="217">
        <f>(1+$G$5)^(D200/12)*(IF((E200)&gt;($B$6),H200,0)+IF(E200=$N$7,$N$4,0)+IF(E200=$C$6,0,0))</f>
      </c>
      <c r="M200" s="1"/>
      <c r="N200" s="7"/>
      <c r="O200" s="1"/>
      <c r="P200" s="331">
        <v>193</v>
      </c>
      <c r="Q200" s="544">
        <f>+DATE(YEAR(Q199),MONTH(Q199)-1,DAY(Q199))</f>
        <v>25569.041666666668</v>
      </c>
      <c r="R200" s="341">
        <f>IF($Z$7=$E200,1,IF(MONTH($E200)=1,R201*(1+$F$5),R201))</f>
      </c>
      <c r="S200" s="334">
        <f>R200*$B$8/12</f>
      </c>
      <c r="T200" s="334">
        <f>R200*$B$11/12</f>
      </c>
      <c r="U200" s="565">
        <f>(1+$V$5)^(P200/12)*(T200+IF(Q200=$Z$7,$Z$4,0))</f>
      </c>
      <c r="V200" s="170"/>
      <c r="W200" s="7"/>
      <c r="X200" s="1"/>
      <c r="Y200" s="1"/>
      <c r="Z200" s="1"/>
      <c r="AA200" s="1"/>
      <c r="AB200" s="1"/>
      <c r="AC200" s="331">
        <v>193</v>
      </c>
      <c r="AD200" s="544">
        <f>+DATE(YEAR(AD199),MONTH(AD199)-1,DAY(AD199))</f>
        <v>25569.041666666668</v>
      </c>
      <c r="AE200" s="341">
        <f>IF($AM$7=$E200,1,IF(MONTH($E200)=1,AE201*(1+$F$5),AE201))</f>
      </c>
      <c r="AF200" s="334">
        <f>AE200*$B$8/12</f>
      </c>
      <c r="AG200" s="334">
        <f>AE200*$B$12/12</f>
      </c>
      <c r="AH200" s="565">
        <f>(1+$AI$5)^(AC200/12)*(AG200+IF(AD200=$AM$7,$AM$4,0))</f>
      </c>
      <c r="AI200" s="170"/>
      <c r="AJ200" s="7"/>
      <c r="AK200" s="1"/>
      <c r="AL200" s="1"/>
      <c r="AM200" s="1"/>
    </row>
    <row x14ac:dyDescent="0.25" r="201" customHeight="1" ht="18.75">
      <c r="A201" s="1"/>
      <c r="B201" s="169"/>
      <c r="C201" s="170"/>
      <c r="D201" s="331">
        <v>194</v>
      </c>
      <c r="E201" s="544">
        <f>+DATE(YEAR(E200),MONTH(E200)-1,DAY(E200))</f>
        <v>25569.041666666668</v>
      </c>
      <c r="F201" s="333">
        <f>IF($C$6=$E201,1,IF(MONTH($E201)=1,F202*(1+$F$5),F202))</f>
      </c>
      <c r="G201" s="333">
        <f>F201*$B$8/12</f>
      </c>
      <c r="H201" s="333">
        <f>IF(F201=1,F201*$B$10/MIN(12,'Simulador - 3º Pilar'!$E$88),0)</f>
      </c>
      <c r="I201" s="560">
        <f>(1+$G$5)^(D201/12)*(H201+IF(E201=$N$7,$N$4,0))</f>
      </c>
      <c r="J201" s="561">
        <f>(1+$G$5)^(D201/12)*(H201*(12-IF(MONTH(E202)=12,0,MONTH(E202)))+IF(AND(F201=1,F202=0),$Q$4,0))*IF(AND(F201=1,F202=0),1,0)</f>
      </c>
      <c r="K201" s="217">
        <f>(1+$G$5)^(D201/12)*(IF(E201=$N$7,$N$4,0)+IF(E201=$C$6,$B$10,0))</f>
      </c>
      <c r="L201" s="217">
        <f>(1+$G$5)^(D201/12)*(IF((E201)&gt;($B$6),H201,0)+IF(E201=$N$7,$N$4,0)+IF(E201=$C$6,0,0))</f>
      </c>
      <c r="M201" s="1"/>
      <c r="N201" s="7"/>
      <c r="O201" s="1"/>
      <c r="P201" s="331">
        <v>194</v>
      </c>
      <c r="Q201" s="544">
        <f>+DATE(YEAR(Q200),MONTH(Q200)-1,DAY(Q200))</f>
        <v>25569.041666666668</v>
      </c>
      <c r="R201" s="341">
        <f>IF($Z$7=$E201,1,IF(MONTH($E201)=1,R202*(1+$F$5),R202))</f>
      </c>
      <c r="S201" s="334">
        <f>R201*$B$8/12</f>
      </c>
      <c r="T201" s="334">
        <f>R201*$B$11/12</f>
      </c>
      <c r="U201" s="565">
        <f>(1+$V$5)^(P201/12)*(T201+IF(Q201=$Z$7,$Z$4,0))</f>
      </c>
      <c r="V201" s="170"/>
      <c r="W201" s="7"/>
      <c r="X201" s="1"/>
      <c r="Y201" s="1"/>
      <c r="Z201" s="1"/>
      <c r="AA201" s="1"/>
      <c r="AB201" s="1"/>
      <c r="AC201" s="331">
        <v>194</v>
      </c>
      <c r="AD201" s="544">
        <f>+DATE(YEAR(AD200),MONTH(AD200)-1,DAY(AD200))</f>
        <v>25569.041666666668</v>
      </c>
      <c r="AE201" s="341">
        <f>IF($AM$7=$E201,1,IF(MONTH($E201)=1,AE202*(1+$F$5),AE202))</f>
      </c>
      <c r="AF201" s="334">
        <f>AE201*$B$8/12</f>
      </c>
      <c r="AG201" s="334">
        <f>AE201*$B$12/12</f>
      </c>
      <c r="AH201" s="565">
        <f>(1+$AI$5)^(AC201/12)*(AG201+IF(AD201=$AM$7,$AM$4,0))</f>
      </c>
      <c r="AI201" s="170"/>
      <c r="AJ201" s="7"/>
      <c r="AK201" s="1"/>
      <c r="AL201" s="1"/>
      <c r="AM201" s="1"/>
    </row>
    <row x14ac:dyDescent="0.25" r="202" customHeight="1" ht="18.75">
      <c r="A202" s="1"/>
      <c r="B202" s="169"/>
      <c r="C202" s="170"/>
      <c r="D202" s="331">
        <v>195</v>
      </c>
      <c r="E202" s="544">
        <f>+DATE(YEAR(E201),MONTH(E201)-1,DAY(E201))</f>
        <v>25569.041666666668</v>
      </c>
      <c r="F202" s="333">
        <f>IF($C$6=$E202,1,IF(MONTH($E202)=1,F203*(1+$F$5),F203))</f>
      </c>
      <c r="G202" s="333">
        <f>F202*$B$8/12</f>
      </c>
      <c r="H202" s="333">
        <f>IF(F202=1,F202*$B$10/MIN(12,'Simulador - 3º Pilar'!$E$88),0)</f>
      </c>
      <c r="I202" s="560">
        <f>(1+$G$5)^(D202/12)*(H202+IF(E202=$N$7,$N$4,0))</f>
      </c>
      <c r="J202" s="561">
        <f>(1+$G$5)^(D202/12)*(H202*(12-IF(MONTH(E203)=12,0,MONTH(E203)))+IF(AND(F202=1,F203=0),$Q$4,0))*IF(AND(F202=1,F203=0),1,0)</f>
      </c>
      <c r="K202" s="217">
        <f>(1+$G$5)^(D202/12)*(IF(E202=$N$7,$N$4,0)+IF(E202=$C$6,$B$10,0))</f>
      </c>
      <c r="L202" s="217">
        <f>(1+$G$5)^(D202/12)*(IF((E202)&gt;($B$6),H202,0)+IF(E202=$N$7,$N$4,0)+IF(E202=$C$6,0,0))</f>
      </c>
      <c r="M202" s="1"/>
      <c r="N202" s="7"/>
      <c r="O202" s="1"/>
      <c r="P202" s="331">
        <v>195</v>
      </c>
      <c r="Q202" s="544">
        <f>+DATE(YEAR(Q201),MONTH(Q201)-1,DAY(Q201))</f>
        <v>25569.041666666668</v>
      </c>
      <c r="R202" s="341">
        <f>IF($Z$7=$E202,1,IF(MONTH($E202)=1,R203*(1+$F$5),R203))</f>
      </c>
      <c r="S202" s="334">
        <f>R202*$B$8/12</f>
      </c>
      <c r="T202" s="334">
        <f>R202*$B$11/12</f>
      </c>
      <c r="U202" s="565">
        <f>(1+$V$5)^(P202/12)*(T202+IF(Q202=$Z$7,$Z$4,0))</f>
      </c>
      <c r="V202" s="170"/>
      <c r="W202" s="7"/>
      <c r="X202" s="1"/>
      <c r="Y202" s="1"/>
      <c r="Z202" s="1"/>
      <c r="AA202" s="1"/>
      <c r="AB202" s="1"/>
      <c r="AC202" s="331">
        <v>195</v>
      </c>
      <c r="AD202" s="544">
        <f>+DATE(YEAR(AD201),MONTH(AD201)-1,DAY(AD201))</f>
        <v>25569.041666666668</v>
      </c>
      <c r="AE202" s="341">
        <f>IF($AM$7=$E202,1,IF(MONTH($E202)=1,AE203*(1+$F$5),AE203))</f>
      </c>
      <c r="AF202" s="334">
        <f>AE202*$B$8/12</f>
      </c>
      <c r="AG202" s="334">
        <f>AE202*$B$12/12</f>
      </c>
      <c r="AH202" s="565">
        <f>(1+$AI$5)^(AC202/12)*(AG202+IF(AD202=$AM$7,$AM$4,0))</f>
      </c>
      <c r="AI202" s="170"/>
      <c r="AJ202" s="7"/>
      <c r="AK202" s="1"/>
      <c r="AL202" s="1"/>
      <c r="AM202" s="1"/>
    </row>
    <row x14ac:dyDescent="0.25" r="203" customHeight="1" ht="18.75">
      <c r="A203" s="1"/>
      <c r="B203" s="169"/>
      <c r="C203" s="170"/>
      <c r="D203" s="331">
        <v>196</v>
      </c>
      <c r="E203" s="544">
        <f>+DATE(YEAR(E202),MONTH(E202)-1,DAY(E202))</f>
        <v>25569.041666666668</v>
      </c>
      <c r="F203" s="333">
        <f>IF($C$6=$E203,1,IF(MONTH($E203)=1,F204*(1+$F$5),F204))</f>
      </c>
      <c r="G203" s="333">
        <f>F203*$B$8/12</f>
      </c>
      <c r="H203" s="333">
        <f>IF(F203=1,F203*$B$10/MIN(12,'Simulador - 3º Pilar'!$E$88),0)</f>
      </c>
      <c r="I203" s="560">
        <f>(1+$G$5)^(D203/12)*(H203+IF(E203=$N$7,$N$4,0))</f>
      </c>
      <c r="J203" s="561">
        <f>(1+$G$5)^(D203/12)*(H203*(12-IF(MONTH(E204)=12,0,MONTH(E204)))+IF(AND(F203=1,F204=0),$Q$4,0))*IF(AND(F203=1,F204=0),1,0)</f>
      </c>
      <c r="K203" s="217">
        <f>(1+$G$5)^(D203/12)*(IF(E203=$N$7,$N$4,0)+IF(E203=$C$6,$B$10,0))</f>
      </c>
      <c r="L203" s="217">
        <f>(1+$G$5)^(D203/12)*(IF((E203)&gt;($B$6),H203,0)+IF(E203=$N$7,$N$4,0)+IF(E203=$C$6,0,0))</f>
      </c>
      <c r="M203" s="1"/>
      <c r="N203" s="7"/>
      <c r="O203" s="1"/>
      <c r="P203" s="331">
        <v>196</v>
      </c>
      <c r="Q203" s="544">
        <f>+DATE(YEAR(Q202),MONTH(Q202)-1,DAY(Q202))</f>
        <v>25569.041666666668</v>
      </c>
      <c r="R203" s="341">
        <f>IF($Z$7=$E203,1,IF(MONTH($E203)=1,R204*(1+$F$5),R204))</f>
      </c>
      <c r="S203" s="334">
        <f>R203*$B$8/12</f>
      </c>
      <c r="T203" s="334">
        <f>R203*$B$11/12</f>
      </c>
      <c r="U203" s="565">
        <f>(1+$V$5)^(P203/12)*(T203+IF(Q203=$Z$7,$Z$4,0))</f>
      </c>
      <c r="V203" s="170"/>
      <c r="W203" s="7"/>
      <c r="X203" s="1"/>
      <c r="Y203" s="1"/>
      <c r="Z203" s="1"/>
      <c r="AA203" s="1"/>
      <c r="AB203" s="1"/>
      <c r="AC203" s="331">
        <v>196</v>
      </c>
      <c r="AD203" s="544">
        <f>+DATE(YEAR(AD202),MONTH(AD202)-1,DAY(AD202))</f>
        <v>25569.041666666668</v>
      </c>
      <c r="AE203" s="341">
        <f>IF($AM$7=$E203,1,IF(MONTH($E203)=1,AE204*(1+$F$5),AE204))</f>
      </c>
      <c r="AF203" s="334">
        <f>AE203*$B$8/12</f>
      </c>
      <c r="AG203" s="334">
        <f>AE203*$B$12/12</f>
      </c>
      <c r="AH203" s="565">
        <f>(1+$AI$5)^(AC203/12)*(AG203+IF(AD203=$AM$7,$AM$4,0))</f>
      </c>
      <c r="AI203" s="170"/>
      <c r="AJ203" s="7"/>
      <c r="AK203" s="1"/>
      <c r="AL203" s="1"/>
      <c r="AM203" s="1"/>
    </row>
    <row x14ac:dyDescent="0.25" r="204" customHeight="1" ht="18.75">
      <c r="A204" s="1"/>
      <c r="B204" s="169"/>
      <c r="C204" s="170"/>
      <c r="D204" s="331">
        <v>197</v>
      </c>
      <c r="E204" s="544">
        <f>+DATE(YEAR(E203),MONTH(E203)-1,DAY(E203))</f>
        <v>25569.041666666668</v>
      </c>
      <c r="F204" s="333">
        <f>IF($C$6=$E204,1,IF(MONTH($E204)=1,F205*(1+$F$5),F205))</f>
      </c>
      <c r="G204" s="333">
        <f>F204*$B$8/12</f>
      </c>
      <c r="H204" s="333">
        <f>IF(F204=1,F204*$B$10/MIN(12,'Simulador - 3º Pilar'!$E$88),0)</f>
      </c>
      <c r="I204" s="560">
        <f>(1+$G$5)^(D204/12)*(H204+IF(E204=$N$7,$N$4,0))</f>
      </c>
      <c r="J204" s="561">
        <f>(1+$G$5)^(D204/12)*(H204*(12-IF(MONTH(E205)=12,0,MONTH(E205)))+IF(AND(F204=1,F205=0),$Q$4,0))*IF(AND(F204=1,F205=0),1,0)</f>
      </c>
      <c r="K204" s="217">
        <f>(1+$G$5)^(D204/12)*(IF(E204=$N$7,$N$4,0)+IF(E204=$C$6,$B$10,0))</f>
      </c>
      <c r="L204" s="217">
        <f>(1+$G$5)^(D204/12)*(IF((E204)&gt;($B$6),H204,0)+IF(E204=$N$7,$N$4,0)+IF(E204=$C$6,0,0))</f>
      </c>
      <c r="M204" s="1"/>
      <c r="N204" s="7"/>
      <c r="O204" s="1"/>
      <c r="P204" s="331">
        <v>197</v>
      </c>
      <c r="Q204" s="544">
        <f>+DATE(YEAR(Q203),MONTH(Q203)-1,DAY(Q203))</f>
        <v>25569.041666666668</v>
      </c>
      <c r="R204" s="341">
        <f>IF($Z$7=$E204,1,IF(MONTH($E204)=1,R205*(1+$F$5),R205))</f>
      </c>
      <c r="S204" s="334">
        <f>R204*$B$8/12</f>
      </c>
      <c r="T204" s="334">
        <f>R204*$B$11/12</f>
      </c>
      <c r="U204" s="565">
        <f>(1+$V$5)^(P204/12)*(T204+IF(Q204=$Z$7,$Z$4,0))</f>
      </c>
      <c r="V204" s="170"/>
      <c r="W204" s="7"/>
      <c r="X204" s="1"/>
      <c r="Y204" s="1"/>
      <c r="Z204" s="1"/>
      <c r="AA204" s="1"/>
      <c r="AB204" s="1"/>
      <c r="AC204" s="331">
        <v>197</v>
      </c>
      <c r="AD204" s="544">
        <f>+DATE(YEAR(AD203),MONTH(AD203)-1,DAY(AD203))</f>
        <v>25569.041666666668</v>
      </c>
      <c r="AE204" s="341">
        <f>IF($AM$7=$E204,1,IF(MONTH($E204)=1,AE205*(1+$F$5),AE205))</f>
      </c>
      <c r="AF204" s="334">
        <f>AE204*$B$8/12</f>
      </c>
      <c r="AG204" s="334">
        <f>AE204*$B$12/12</f>
      </c>
      <c r="AH204" s="565">
        <f>(1+$AI$5)^(AC204/12)*(AG204+IF(AD204=$AM$7,$AM$4,0))</f>
      </c>
      <c r="AI204" s="170"/>
      <c r="AJ204" s="7"/>
      <c r="AK204" s="1"/>
      <c r="AL204" s="1"/>
      <c r="AM204" s="1"/>
    </row>
    <row x14ac:dyDescent="0.25" r="205" customHeight="1" ht="18.75">
      <c r="A205" s="1"/>
      <c r="B205" s="169"/>
      <c r="C205" s="170"/>
      <c r="D205" s="331">
        <v>198</v>
      </c>
      <c r="E205" s="544">
        <f>+DATE(YEAR(E204),MONTH(E204)-1,DAY(E204))</f>
        <v>25569.041666666668</v>
      </c>
      <c r="F205" s="333">
        <f>IF($C$6=$E205,1,IF(MONTH($E205)=1,F206*(1+$F$5),F206))</f>
      </c>
      <c r="G205" s="333">
        <f>F205*$B$8/12</f>
      </c>
      <c r="H205" s="333">
        <f>IF(F205=1,F205*$B$10/MIN(12,'Simulador - 3º Pilar'!$E$88),0)</f>
      </c>
      <c r="I205" s="560">
        <f>(1+$G$5)^(D205/12)*(H205+IF(E205=$N$7,$N$4,0))</f>
      </c>
      <c r="J205" s="561">
        <f>(1+$G$5)^(D205/12)*(H205*(12-IF(MONTH(E206)=12,0,MONTH(E206)))+IF(AND(F205=1,F206=0),$Q$4,0))*IF(AND(F205=1,F206=0),1,0)</f>
      </c>
      <c r="K205" s="217">
        <f>(1+$G$5)^(D205/12)*(IF(E205=$N$7,$N$4,0)+IF(E205=$C$6,$B$10,0))</f>
      </c>
      <c r="L205" s="217">
        <f>(1+$G$5)^(D205/12)*(IF((E205)&gt;($B$6),H205,0)+IF(E205=$N$7,$N$4,0)+IF(E205=$C$6,0,0))</f>
      </c>
      <c r="M205" s="1"/>
      <c r="N205" s="7"/>
      <c r="O205" s="1"/>
      <c r="P205" s="331">
        <v>198</v>
      </c>
      <c r="Q205" s="544">
        <f>+DATE(YEAR(Q204),MONTH(Q204)-1,DAY(Q204))</f>
        <v>25569.041666666668</v>
      </c>
      <c r="R205" s="341">
        <f>IF($Z$7=$E205,1,IF(MONTH($E205)=1,R206*(1+$F$5),R206))</f>
      </c>
      <c r="S205" s="334">
        <f>R205*$B$8/12</f>
      </c>
      <c r="T205" s="334">
        <f>R205*$B$11/12</f>
      </c>
      <c r="U205" s="565">
        <f>(1+$V$5)^(P205/12)*(T205+IF(Q205=$Z$7,$Z$4,0))</f>
      </c>
      <c r="V205" s="170"/>
      <c r="W205" s="7"/>
      <c r="X205" s="1"/>
      <c r="Y205" s="1"/>
      <c r="Z205" s="1"/>
      <c r="AA205" s="1"/>
      <c r="AB205" s="1"/>
      <c r="AC205" s="331">
        <v>198</v>
      </c>
      <c r="AD205" s="544">
        <f>+DATE(YEAR(AD204),MONTH(AD204)-1,DAY(AD204))</f>
        <v>25569.041666666668</v>
      </c>
      <c r="AE205" s="341">
        <f>IF($AM$7=$E205,1,IF(MONTH($E205)=1,AE206*(1+$F$5),AE206))</f>
      </c>
      <c r="AF205" s="334">
        <f>AE205*$B$8/12</f>
      </c>
      <c r="AG205" s="334">
        <f>AE205*$B$12/12</f>
      </c>
      <c r="AH205" s="565">
        <f>(1+$AI$5)^(AC205/12)*(AG205+IF(AD205=$AM$7,$AM$4,0))</f>
      </c>
      <c r="AI205" s="170"/>
      <c r="AJ205" s="7"/>
      <c r="AK205" s="1"/>
      <c r="AL205" s="1"/>
      <c r="AM205" s="1"/>
    </row>
    <row x14ac:dyDescent="0.25" r="206" customHeight="1" ht="18.75">
      <c r="A206" s="1"/>
      <c r="B206" s="169"/>
      <c r="C206" s="170"/>
      <c r="D206" s="331">
        <v>199</v>
      </c>
      <c r="E206" s="544">
        <f>+DATE(YEAR(E205),MONTH(E205)-1,DAY(E205))</f>
        <v>25569.041666666668</v>
      </c>
      <c r="F206" s="333">
        <f>IF($C$6=$E206,1,IF(MONTH($E206)=1,F207*(1+$F$5),F207))</f>
      </c>
      <c r="G206" s="333">
        <f>F206*$B$8/12</f>
      </c>
      <c r="H206" s="333">
        <f>IF(F206=1,F206*$B$10/MIN(12,'Simulador - 3º Pilar'!$E$88),0)</f>
      </c>
      <c r="I206" s="560">
        <f>(1+$G$5)^(D206/12)*(H206+IF(E206=$N$7,$N$4,0))</f>
      </c>
      <c r="J206" s="561">
        <f>(1+$G$5)^(D206/12)*(H206*(12-IF(MONTH(E207)=12,0,MONTH(E207)))+IF(AND(F206=1,F207=0),$Q$4,0))*IF(AND(F206=1,F207=0),1,0)</f>
      </c>
      <c r="K206" s="217">
        <f>(1+$G$5)^(D206/12)*(IF(E206=$N$7,$N$4,0)+IF(E206=$C$6,$B$10,0))</f>
      </c>
      <c r="L206" s="217">
        <f>(1+$G$5)^(D206/12)*(IF((E206)&gt;($B$6),H206,0)+IF(E206=$N$7,$N$4,0)+IF(E206=$C$6,0,0))</f>
      </c>
      <c r="M206" s="1"/>
      <c r="N206" s="7"/>
      <c r="O206" s="1"/>
      <c r="P206" s="331">
        <v>199</v>
      </c>
      <c r="Q206" s="544">
        <f>+DATE(YEAR(Q205),MONTH(Q205)-1,DAY(Q205))</f>
        <v>25569.041666666668</v>
      </c>
      <c r="R206" s="341">
        <f>IF($Z$7=$E206,1,IF(MONTH($E206)=1,R207*(1+$F$5),R207))</f>
      </c>
      <c r="S206" s="334">
        <f>R206*$B$8/12</f>
      </c>
      <c r="T206" s="334">
        <f>R206*$B$11/12</f>
      </c>
      <c r="U206" s="565">
        <f>(1+$V$5)^(P206/12)*(T206+IF(Q206=$Z$7,$Z$4,0))</f>
      </c>
      <c r="V206" s="170"/>
      <c r="W206" s="7"/>
      <c r="X206" s="1"/>
      <c r="Y206" s="1"/>
      <c r="Z206" s="1"/>
      <c r="AA206" s="1"/>
      <c r="AB206" s="1"/>
      <c r="AC206" s="331">
        <v>199</v>
      </c>
      <c r="AD206" s="544">
        <f>+DATE(YEAR(AD205),MONTH(AD205)-1,DAY(AD205))</f>
        <v>25569.041666666668</v>
      </c>
      <c r="AE206" s="341">
        <f>IF($AM$7=$E206,1,IF(MONTH($E206)=1,AE207*(1+$F$5),AE207))</f>
      </c>
      <c r="AF206" s="334">
        <f>AE206*$B$8/12</f>
      </c>
      <c r="AG206" s="334">
        <f>AE206*$B$12/12</f>
      </c>
      <c r="AH206" s="565">
        <f>(1+$AI$5)^(AC206/12)*(AG206+IF(AD206=$AM$7,$AM$4,0))</f>
      </c>
      <c r="AI206" s="170"/>
      <c r="AJ206" s="7"/>
      <c r="AK206" s="1"/>
      <c r="AL206" s="1"/>
      <c r="AM206" s="1"/>
    </row>
    <row x14ac:dyDescent="0.25" r="207" customHeight="1" ht="18.75">
      <c r="A207" s="1"/>
      <c r="B207" s="169"/>
      <c r="C207" s="170"/>
      <c r="D207" s="331">
        <v>200</v>
      </c>
      <c r="E207" s="544">
        <f>+DATE(YEAR(E206),MONTH(E206)-1,DAY(E206))</f>
        <v>25569.041666666668</v>
      </c>
      <c r="F207" s="333">
        <f>IF($C$6=$E207,1,IF(MONTH($E207)=1,F208*(1+$F$5),F208))</f>
      </c>
      <c r="G207" s="333">
        <f>F207*$B$8/12</f>
      </c>
      <c r="H207" s="333">
        <f>IF(F207=1,F207*$B$10/MIN(12,'Simulador - 3º Pilar'!$E$88),0)</f>
      </c>
      <c r="I207" s="560">
        <f>(1+$G$5)^(D207/12)*(H207+IF(E207=$N$7,$N$4,0))</f>
      </c>
      <c r="J207" s="561">
        <f>(1+$G$5)^(D207/12)*(H207*(12-IF(MONTH(E208)=12,0,MONTH(E208)))+IF(AND(F207=1,F208=0),$Q$4,0))*IF(AND(F207=1,F208=0),1,0)</f>
      </c>
      <c r="K207" s="217">
        <f>(1+$G$5)^(D207/12)*(IF(E207=$N$7,$N$4,0)+IF(E207=$C$6,$B$10,0))</f>
      </c>
      <c r="L207" s="217">
        <f>(1+$G$5)^(D207/12)*(IF((E207)&gt;($B$6),H207,0)+IF(E207=$N$7,$N$4,0)+IF(E207=$C$6,0,0))</f>
      </c>
      <c r="M207" s="1"/>
      <c r="N207" s="7"/>
      <c r="O207" s="1"/>
      <c r="P207" s="331">
        <v>200</v>
      </c>
      <c r="Q207" s="544">
        <f>+DATE(YEAR(Q206),MONTH(Q206)-1,DAY(Q206))</f>
        <v>25569.041666666668</v>
      </c>
      <c r="R207" s="341">
        <f>IF($Z$7=$E207,1,IF(MONTH($E207)=1,R208*(1+$F$5),R208))</f>
      </c>
      <c r="S207" s="334">
        <f>R207*$B$8/12</f>
      </c>
      <c r="T207" s="334">
        <f>R207*$B$11/12</f>
      </c>
      <c r="U207" s="565">
        <f>(1+$V$5)^(P207/12)*(T207+IF(Q207=$Z$7,$Z$4,0))</f>
      </c>
      <c r="V207" s="170"/>
      <c r="W207" s="7"/>
      <c r="X207" s="1"/>
      <c r="Y207" s="1"/>
      <c r="Z207" s="1"/>
      <c r="AA207" s="1"/>
      <c r="AB207" s="1"/>
      <c r="AC207" s="331">
        <v>200</v>
      </c>
      <c r="AD207" s="544">
        <f>+DATE(YEAR(AD206),MONTH(AD206)-1,DAY(AD206))</f>
        <v>25569.041666666668</v>
      </c>
      <c r="AE207" s="341">
        <f>IF($AM$7=$E207,1,IF(MONTH($E207)=1,AE208*(1+$F$5),AE208))</f>
      </c>
      <c r="AF207" s="334">
        <f>AE207*$B$8/12</f>
      </c>
      <c r="AG207" s="334">
        <f>AE207*$B$12/12</f>
      </c>
      <c r="AH207" s="565">
        <f>(1+$AI$5)^(AC207/12)*(AG207+IF(AD207=$AM$7,$AM$4,0))</f>
      </c>
      <c r="AI207" s="170"/>
      <c r="AJ207" s="7"/>
      <c r="AK207" s="1"/>
      <c r="AL207" s="1"/>
      <c r="AM207" s="1"/>
    </row>
    <row x14ac:dyDescent="0.25" r="208" customHeight="1" ht="18.75">
      <c r="A208" s="1"/>
      <c r="B208" s="169"/>
      <c r="C208" s="170"/>
      <c r="D208" s="331">
        <v>201</v>
      </c>
      <c r="E208" s="544">
        <f>+DATE(YEAR(E207),MONTH(E207)-1,DAY(E207))</f>
        <v>25569.041666666668</v>
      </c>
      <c r="F208" s="333">
        <f>IF($C$6=$E208,1,IF(MONTH($E208)=1,F209*(1+$F$5),F209))</f>
      </c>
      <c r="G208" s="333">
        <f>F208*$B$8/12</f>
      </c>
      <c r="H208" s="333">
        <f>IF(F208=1,F208*$B$10/MIN(12,'Simulador - 3º Pilar'!$E$88),0)</f>
      </c>
      <c r="I208" s="560">
        <f>(1+$G$5)^(D208/12)*(H208+IF(E208=$N$7,$N$4,0))</f>
      </c>
      <c r="J208" s="561">
        <f>(1+$G$5)^(D208/12)*(H208*(12-IF(MONTH(E209)=12,0,MONTH(E209)))+IF(AND(F208=1,F209=0),$Q$4,0))*IF(AND(F208=1,F209=0),1,0)</f>
      </c>
      <c r="K208" s="217">
        <f>(1+$G$5)^(D208/12)*(IF(E208=$N$7,$N$4,0)+IF(E208=$C$6,$B$10,0))</f>
      </c>
      <c r="L208" s="217">
        <f>(1+$G$5)^(D208/12)*(IF((E208)&gt;($B$6),H208,0)+IF(E208=$N$7,$N$4,0)+IF(E208=$C$6,0,0))</f>
      </c>
      <c r="M208" s="1"/>
      <c r="N208" s="7"/>
      <c r="O208" s="1"/>
      <c r="P208" s="331">
        <v>201</v>
      </c>
      <c r="Q208" s="544">
        <f>+DATE(YEAR(Q207),MONTH(Q207)-1,DAY(Q207))</f>
        <v>25569.041666666668</v>
      </c>
      <c r="R208" s="341">
        <f>IF($Z$7=$E208,1,IF(MONTH($E208)=1,R209*(1+$F$5),R209))</f>
      </c>
      <c r="S208" s="334">
        <f>R208*$B$8/12</f>
      </c>
      <c r="T208" s="334">
        <f>R208*$B$11/12</f>
      </c>
      <c r="U208" s="565">
        <f>(1+$V$5)^(P208/12)*(T208+IF(Q208=$Z$7,$Z$4,0))</f>
      </c>
      <c r="V208" s="170"/>
      <c r="W208" s="7"/>
      <c r="X208" s="1"/>
      <c r="Y208" s="1"/>
      <c r="Z208" s="1"/>
      <c r="AA208" s="1"/>
      <c r="AB208" s="1"/>
      <c r="AC208" s="331">
        <v>201</v>
      </c>
      <c r="AD208" s="544">
        <f>+DATE(YEAR(AD207),MONTH(AD207)-1,DAY(AD207))</f>
        <v>25569.041666666668</v>
      </c>
      <c r="AE208" s="341">
        <f>IF($AM$7=$E208,1,IF(MONTH($E208)=1,AE209*(1+$F$5),AE209))</f>
      </c>
      <c r="AF208" s="334">
        <f>AE208*$B$8/12</f>
      </c>
      <c r="AG208" s="334">
        <f>AE208*$B$12/12</f>
      </c>
      <c r="AH208" s="565">
        <f>(1+$AI$5)^(AC208/12)*(AG208+IF(AD208=$AM$7,$AM$4,0))</f>
      </c>
      <c r="AI208" s="170"/>
      <c r="AJ208" s="7"/>
      <c r="AK208" s="1"/>
      <c r="AL208" s="1"/>
      <c r="AM208" s="1"/>
    </row>
    <row x14ac:dyDescent="0.25" r="209" customHeight="1" ht="18.75">
      <c r="A209" s="1"/>
      <c r="B209" s="169"/>
      <c r="C209" s="170"/>
      <c r="D209" s="331">
        <v>202</v>
      </c>
      <c r="E209" s="544">
        <f>+DATE(YEAR(E208),MONTH(E208)-1,DAY(E208))</f>
        <v>25569.041666666668</v>
      </c>
      <c r="F209" s="333">
        <f>IF($C$6=$E209,1,IF(MONTH($E209)=1,F210*(1+$F$5),F210))</f>
      </c>
      <c r="G209" s="333">
        <f>F209*$B$8/12</f>
      </c>
      <c r="H209" s="333">
        <f>IF(F209=1,F209*$B$10/MIN(12,'Simulador - 3º Pilar'!$E$88),0)</f>
      </c>
      <c r="I209" s="560">
        <f>(1+$G$5)^(D209/12)*(H209+IF(E209=$N$7,$N$4,0))</f>
      </c>
      <c r="J209" s="561">
        <f>(1+$G$5)^(D209/12)*(H209*(12-IF(MONTH(E210)=12,0,MONTH(E210)))+IF(AND(F209=1,F210=0),$Q$4,0))*IF(AND(F209=1,F210=0),1,0)</f>
      </c>
      <c r="K209" s="217">
        <f>(1+$G$5)^(D209/12)*(IF(E209=$N$7,$N$4,0)+IF(E209=$C$6,$B$10,0))</f>
      </c>
      <c r="L209" s="217">
        <f>(1+$G$5)^(D209/12)*(IF((E209)&gt;($B$6),H209,0)+IF(E209=$N$7,$N$4,0)+IF(E209=$C$6,0,0))</f>
      </c>
      <c r="M209" s="1"/>
      <c r="N209" s="7"/>
      <c r="O209" s="1"/>
      <c r="P209" s="331">
        <v>202</v>
      </c>
      <c r="Q209" s="544">
        <f>+DATE(YEAR(Q208),MONTH(Q208)-1,DAY(Q208))</f>
        <v>25569.041666666668</v>
      </c>
      <c r="R209" s="341">
        <f>IF($Z$7=$E209,1,IF(MONTH($E209)=1,R210*(1+$F$5),R210))</f>
      </c>
      <c r="S209" s="334">
        <f>R209*$B$8/12</f>
      </c>
      <c r="T209" s="334">
        <f>R209*$B$11/12</f>
      </c>
      <c r="U209" s="565">
        <f>(1+$V$5)^(P209/12)*(T209+IF(Q209=$Z$7,$Z$4,0))</f>
      </c>
      <c r="V209" s="170"/>
      <c r="W209" s="7"/>
      <c r="X209" s="1"/>
      <c r="Y209" s="1"/>
      <c r="Z209" s="1"/>
      <c r="AA209" s="1"/>
      <c r="AB209" s="1"/>
      <c r="AC209" s="331">
        <v>202</v>
      </c>
      <c r="AD209" s="544">
        <f>+DATE(YEAR(AD208),MONTH(AD208)-1,DAY(AD208))</f>
        <v>25569.041666666668</v>
      </c>
      <c r="AE209" s="341">
        <f>IF($AM$7=$E209,1,IF(MONTH($E209)=1,AE210*(1+$F$5),AE210))</f>
      </c>
      <c r="AF209" s="334">
        <f>AE209*$B$8/12</f>
      </c>
      <c r="AG209" s="334">
        <f>AE209*$B$12/12</f>
      </c>
      <c r="AH209" s="565">
        <f>(1+$AI$5)^(AC209/12)*(AG209+IF(AD209=$AM$7,$AM$4,0))</f>
      </c>
      <c r="AI209" s="170"/>
      <c r="AJ209" s="7"/>
      <c r="AK209" s="1"/>
      <c r="AL209" s="1"/>
      <c r="AM209" s="1"/>
    </row>
    <row x14ac:dyDescent="0.25" r="210" customHeight="1" ht="18.75">
      <c r="A210" s="1"/>
      <c r="B210" s="169"/>
      <c r="C210" s="170"/>
      <c r="D210" s="331">
        <v>203</v>
      </c>
      <c r="E210" s="544">
        <f>+DATE(YEAR(E209),MONTH(E209)-1,DAY(E209))</f>
        <v>25569.041666666668</v>
      </c>
      <c r="F210" s="333">
        <f>IF($C$6=$E210,1,IF(MONTH($E210)=1,F211*(1+$F$5),F211))</f>
      </c>
      <c r="G210" s="333">
        <f>F210*$B$8/12</f>
      </c>
      <c r="H210" s="333">
        <f>IF(F210=1,F210*$B$10/MIN(12,'Simulador - 3º Pilar'!$E$88),0)</f>
      </c>
      <c r="I210" s="560">
        <f>(1+$G$5)^(D210/12)*(H210+IF(E210=$N$7,$N$4,0))</f>
      </c>
      <c r="J210" s="561">
        <f>(1+$G$5)^(D210/12)*(H210*(12-IF(MONTH(E211)=12,0,MONTH(E211)))+IF(AND(F210=1,F211=0),$Q$4,0))*IF(AND(F210=1,F211=0),1,0)</f>
      </c>
      <c r="K210" s="217">
        <f>(1+$G$5)^(D210/12)*(IF(E210=$N$7,$N$4,0)+IF(E210=$C$6,$B$10,0))</f>
      </c>
      <c r="L210" s="217">
        <f>(1+$G$5)^(D210/12)*(IF((E210)&gt;($B$6),H210,0)+IF(E210=$N$7,$N$4,0)+IF(E210=$C$6,0,0))</f>
      </c>
      <c r="M210" s="1"/>
      <c r="N210" s="7"/>
      <c r="O210" s="1"/>
      <c r="P210" s="331">
        <v>203</v>
      </c>
      <c r="Q210" s="544">
        <f>+DATE(YEAR(Q209),MONTH(Q209)-1,DAY(Q209))</f>
        <v>25569.041666666668</v>
      </c>
      <c r="R210" s="341">
        <f>IF($Z$7=$E210,1,IF(MONTH($E210)=1,R211*(1+$F$5),R211))</f>
      </c>
      <c r="S210" s="334">
        <f>R210*$B$8/12</f>
      </c>
      <c r="T210" s="334">
        <f>R210*$B$11/12</f>
      </c>
      <c r="U210" s="565">
        <f>(1+$V$5)^(P210/12)*(T210+IF(Q210=$Z$7,$Z$4,0))</f>
      </c>
      <c r="V210" s="170"/>
      <c r="W210" s="7"/>
      <c r="X210" s="1"/>
      <c r="Y210" s="1"/>
      <c r="Z210" s="1"/>
      <c r="AA210" s="1"/>
      <c r="AB210" s="1"/>
      <c r="AC210" s="331">
        <v>203</v>
      </c>
      <c r="AD210" s="544">
        <f>+DATE(YEAR(AD209),MONTH(AD209)-1,DAY(AD209))</f>
        <v>25569.041666666668</v>
      </c>
      <c r="AE210" s="341">
        <f>IF($AM$7=$E210,1,IF(MONTH($E210)=1,AE211*(1+$F$5),AE211))</f>
      </c>
      <c r="AF210" s="334">
        <f>AE210*$B$8/12</f>
      </c>
      <c r="AG210" s="334">
        <f>AE210*$B$12/12</f>
      </c>
      <c r="AH210" s="565">
        <f>(1+$AI$5)^(AC210/12)*(AG210+IF(AD210=$AM$7,$AM$4,0))</f>
      </c>
      <c r="AI210" s="170"/>
      <c r="AJ210" s="7"/>
      <c r="AK210" s="1"/>
      <c r="AL210" s="1"/>
      <c r="AM210" s="1"/>
    </row>
    <row x14ac:dyDescent="0.25" r="211" customHeight="1" ht="18.75">
      <c r="A211" s="1"/>
      <c r="B211" s="169"/>
      <c r="C211" s="170"/>
      <c r="D211" s="331">
        <v>204</v>
      </c>
      <c r="E211" s="544">
        <f>+DATE(YEAR(E210),MONTH(E210)-1,DAY(E210))</f>
        <v>25569.041666666668</v>
      </c>
      <c r="F211" s="333">
        <f>IF($C$6=$E211,1,IF(MONTH($E211)=1,F212*(1+$F$5),F212))</f>
      </c>
      <c r="G211" s="333">
        <f>F211*$B$8/12</f>
      </c>
      <c r="H211" s="333">
        <f>IF(F211=1,F211*$B$10/MIN(12,'Simulador - 3º Pilar'!$E$88),0)</f>
      </c>
      <c r="I211" s="560">
        <f>(1+$G$5)^(D211/12)*(H211+IF(E211=$N$7,$N$4,0))</f>
      </c>
      <c r="J211" s="561">
        <f>(1+$G$5)^(D211/12)*(H211*(12-IF(MONTH(E212)=12,0,MONTH(E212)))+IF(AND(F211=1,F212=0),$Q$4,0))*IF(AND(F211=1,F212=0),1,0)</f>
      </c>
      <c r="K211" s="217">
        <f>(1+$G$5)^(D211/12)*(IF(E211=$N$7,$N$4,0)+IF(E211=$C$6,$B$10,0))</f>
      </c>
      <c r="L211" s="217">
        <f>(1+$G$5)^(D211/12)*(IF((E211)&gt;($B$6),H211,0)+IF(E211=$N$7,$N$4,0)+IF(E211=$C$6,0,0))</f>
      </c>
      <c r="M211" s="1"/>
      <c r="N211" s="7"/>
      <c r="O211" s="1"/>
      <c r="P211" s="331">
        <v>204</v>
      </c>
      <c r="Q211" s="544">
        <f>+DATE(YEAR(Q210),MONTH(Q210)-1,DAY(Q210))</f>
        <v>25569.041666666668</v>
      </c>
      <c r="R211" s="341">
        <f>IF($Z$7=$E211,1,IF(MONTH($E211)=1,R212*(1+$F$5),R212))</f>
      </c>
      <c r="S211" s="334">
        <f>R211*$B$8/12</f>
      </c>
      <c r="T211" s="334">
        <f>R211*$B$11/12</f>
      </c>
      <c r="U211" s="565">
        <f>(1+$V$5)^(P211/12)*(T211+IF(Q211=$Z$7,$Z$4,0))</f>
      </c>
      <c r="V211" s="170"/>
      <c r="W211" s="7"/>
      <c r="X211" s="1"/>
      <c r="Y211" s="1"/>
      <c r="Z211" s="1"/>
      <c r="AA211" s="1"/>
      <c r="AB211" s="1"/>
      <c r="AC211" s="331">
        <v>204</v>
      </c>
      <c r="AD211" s="544">
        <f>+DATE(YEAR(AD210),MONTH(AD210)-1,DAY(AD210))</f>
        <v>25569.041666666668</v>
      </c>
      <c r="AE211" s="341">
        <f>IF($AM$7=$E211,1,IF(MONTH($E211)=1,AE212*(1+$F$5),AE212))</f>
      </c>
      <c r="AF211" s="334">
        <f>AE211*$B$8/12</f>
      </c>
      <c r="AG211" s="334">
        <f>AE211*$B$12/12</f>
      </c>
      <c r="AH211" s="565">
        <f>(1+$AI$5)^(AC211/12)*(AG211+IF(AD211=$AM$7,$AM$4,0))</f>
      </c>
      <c r="AI211" s="170"/>
      <c r="AJ211" s="7"/>
      <c r="AK211" s="1"/>
      <c r="AL211" s="1"/>
      <c r="AM211" s="1"/>
    </row>
    <row x14ac:dyDescent="0.25" r="212" customHeight="1" ht="18.75">
      <c r="A212" s="1"/>
      <c r="B212" s="169"/>
      <c r="C212" s="170"/>
      <c r="D212" s="331">
        <v>205</v>
      </c>
      <c r="E212" s="544">
        <f>+DATE(YEAR(E211),MONTH(E211)-1,DAY(E211))</f>
        <v>25569.041666666668</v>
      </c>
      <c r="F212" s="333">
        <f>IF($C$6=$E212,1,IF(MONTH($E212)=1,F213*(1+$F$5),F213))</f>
      </c>
      <c r="G212" s="333">
        <f>F212*$B$8/12</f>
      </c>
      <c r="H212" s="333">
        <f>IF(F212=1,F212*$B$10/MIN(12,'Simulador - 3º Pilar'!$E$88),0)</f>
      </c>
      <c r="I212" s="560">
        <f>(1+$G$5)^(D212/12)*(H212+IF(E212=$N$7,$N$4,0))</f>
      </c>
      <c r="J212" s="561">
        <f>(1+$G$5)^(D212/12)*(H212*(12-IF(MONTH(E213)=12,0,MONTH(E213)))+IF(AND(F212=1,F213=0),$Q$4,0))*IF(AND(F212=1,F213=0),1,0)</f>
      </c>
      <c r="K212" s="217">
        <f>(1+$G$5)^(D212/12)*(IF(E212=$N$7,$N$4,0)+IF(E212=$C$6,$B$10,0))</f>
      </c>
      <c r="L212" s="217">
        <f>(1+$G$5)^(D212/12)*(IF((E212)&gt;($B$6),H212,0)+IF(E212=$N$7,$N$4,0)+IF(E212=$C$6,0,0))</f>
      </c>
      <c r="M212" s="1"/>
      <c r="N212" s="7"/>
      <c r="O212" s="1"/>
      <c r="P212" s="331">
        <v>205</v>
      </c>
      <c r="Q212" s="544">
        <f>+DATE(YEAR(Q211),MONTH(Q211)-1,DAY(Q211))</f>
        <v>25569.041666666668</v>
      </c>
      <c r="R212" s="341">
        <f>IF($Z$7=$E212,1,IF(MONTH($E212)=1,R213*(1+$F$5),R213))</f>
      </c>
      <c r="S212" s="334">
        <f>R212*$B$8/12</f>
      </c>
      <c r="T212" s="334">
        <f>R212*$B$11/12</f>
      </c>
      <c r="U212" s="565">
        <f>(1+$V$5)^(P212/12)*(T212+IF(Q212=$Z$7,$Z$4,0))</f>
      </c>
      <c r="V212" s="170"/>
      <c r="W212" s="7"/>
      <c r="X212" s="1"/>
      <c r="Y212" s="1"/>
      <c r="Z212" s="1"/>
      <c r="AA212" s="1"/>
      <c r="AB212" s="1"/>
      <c r="AC212" s="331">
        <v>205</v>
      </c>
      <c r="AD212" s="544">
        <f>+DATE(YEAR(AD211),MONTH(AD211)-1,DAY(AD211))</f>
        <v>25569.041666666668</v>
      </c>
      <c r="AE212" s="341">
        <f>IF($AM$7=$E212,1,IF(MONTH($E212)=1,AE213*(1+$F$5),AE213))</f>
      </c>
      <c r="AF212" s="334">
        <f>AE212*$B$8/12</f>
      </c>
      <c r="AG212" s="334">
        <f>AE212*$B$12/12</f>
      </c>
      <c r="AH212" s="565">
        <f>(1+$AI$5)^(AC212/12)*(AG212+IF(AD212=$AM$7,$AM$4,0))</f>
      </c>
      <c r="AI212" s="170"/>
      <c r="AJ212" s="7"/>
      <c r="AK212" s="1"/>
      <c r="AL212" s="1"/>
      <c r="AM212" s="1"/>
    </row>
    <row x14ac:dyDescent="0.25" r="213" customHeight="1" ht="18.75">
      <c r="A213" s="1"/>
      <c r="B213" s="169"/>
      <c r="C213" s="170"/>
      <c r="D213" s="331">
        <v>206</v>
      </c>
      <c r="E213" s="544">
        <f>+DATE(YEAR(E212),MONTH(E212)-1,DAY(E212))</f>
        <v>25569.041666666668</v>
      </c>
      <c r="F213" s="333">
        <f>IF($C$6=$E213,1,IF(MONTH($E213)=1,F214*(1+$F$5),F214))</f>
      </c>
      <c r="G213" s="333">
        <f>F213*$B$8/12</f>
      </c>
      <c r="H213" s="333">
        <f>IF(F213=1,F213*$B$10/MIN(12,'Simulador - 3º Pilar'!$E$88),0)</f>
      </c>
      <c r="I213" s="560">
        <f>(1+$G$5)^(D213/12)*(H213+IF(E213=$N$7,$N$4,0))</f>
      </c>
      <c r="J213" s="561">
        <f>(1+$G$5)^(D213/12)*(H213*(12-IF(MONTH(E214)=12,0,MONTH(E214)))+IF(AND(F213=1,F214=0),$Q$4,0))*IF(AND(F213=1,F214=0),1,0)</f>
      </c>
      <c r="K213" s="217">
        <f>(1+$G$5)^(D213/12)*(IF(E213=$N$7,$N$4,0)+IF(E213=$C$6,$B$10,0))</f>
      </c>
      <c r="L213" s="217">
        <f>(1+$G$5)^(D213/12)*(IF((E213)&gt;($B$6),H213,0)+IF(E213=$N$7,$N$4,0)+IF(E213=$C$6,0,0))</f>
      </c>
      <c r="M213" s="1"/>
      <c r="N213" s="7"/>
      <c r="O213" s="1"/>
      <c r="P213" s="331">
        <v>206</v>
      </c>
      <c r="Q213" s="544">
        <f>+DATE(YEAR(Q212),MONTH(Q212)-1,DAY(Q212))</f>
        <v>25569.041666666668</v>
      </c>
      <c r="R213" s="341">
        <f>IF($Z$7=$E213,1,IF(MONTH($E213)=1,R214*(1+$F$5),R214))</f>
      </c>
      <c r="S213" s="334">
        <f>R213*$B$8/12</f>
      </c>
      <c r="T213" s="334">
        <f>R213*$B$11/12</f>
      </c>
      <c r="U213" s="565">
        <f>(1+$V$5)^(P213/12)*(T213+IF(Q213=$Z$7,$Z$4,0))</f>
      </c>
      <c r="V213" s="170"/>
      <c r="W213" s="7"/>
      <c r="X213" s="1"/>
      <c r="Y213" s="1"/>
      <c r="Z213" s="1"/>
      <c r="AA213" s="1"/>
      <c r="AB213" s="1"/>
      <c r="AC213" s="331">
        <v>206</v>
      </c>
      <c r="AD213" s="544">
        <f>+DATE(YEAR(AD212),MONTH(AD212)-1,DAY(AD212))</f>
        <v>25569.041666666668</v>
      </c>
      <c r="AE213" s="341">
        <f>IF($AM$7=$E213,1,IF(MONTH($E213)=1,AE214*(1+$F$5),AE214))</f>
      </c>
      <c r="AF213" s="334">
        <f>AE213*$B$8/12</f>
      </c>
      <c r="AG213" s="334">
        <f>AE213*$B$12/12</f>
      </c>
      <c r="AH213" s="565">
        <f>(1+$AI$5)^(AC213/12)*(AG213+IF(AD213=$AM$7,$AM$4,0))</f>
      </c>
      <c r="AI213" s="170"/>
      <c r="AJ213" s="7"/>
      <c r="AK213" s="1"/>
      <c r="AL213" s="1"/>
      <c r="AM213" s="1"/>
    </row>
    <row x14ac:dyDescent="0.25" r="214" customHeight="1" ht="18.75">
      <c r="A214" s="1"/>
      <c r="B214" s="169"/>
      <c r="C214" s="170"/>
      <c r="D214" s="331">
        <v>207</v>
      </c>
      <c r="E214" s="544">
        <f>+DATE(YEAR(E213),MONTH(E213)-1,DAY(E213))</f>
        <v>25569.041666666668</v>
      </c>
      <c r="F214" s="333">
        <f>IF($C$6=$E214,1,IF(MONTH($E214)=1,F215*(1+$F$5),F215))</f>
      </c>
      <c r="G214" s="333">
        <f>F214*$B$8/12</f>
      </c>
      <c r="H214" s="333">
        <f>IF(F214=1,F214*$B$10/MIN(12,'Simulador - 3º Pilar'!$E$88),0)</f>
      </c>
      <c r="I214" s="560">
        <f>(1+$G$5)^(D214/12)*(H214+IF(E214=$N$7,$N$4,0))</f>
      </c>
      <c r="J214" s="561">
        <f>(1+$G$5)^(D214/12)*(H214*(12-IF(MONTH(E215)=12,0,MONTH(E215)))+IF(AND(F214=1,F215=0),$Q$4,0))*IF(AND(F214=1,F215=0),1,0)</f>
      </c>
      <c r="K214" s="217">
        <f>(1+$G$5)^(D214/12)*(IF(E214=$N$7,$N$4,0)+IF(E214=$C$6,$B$10,0))</f>
      </c>
      <c r="L214" s="217">
        <f>(1+$G$5)^(D214/12)*(IF((E214)&gt;($B$6),H214,0)+IF(E214=$N$7,$N$4,0)+IF(E214=$C$6,0,0))</f>
      </c>
      <c r="M214" s="1"/>
      <c r="N214" s="7"/>
      <c r="O214" s="1"/>
      <c r="P214" s="331">
        <v>207</v>
      </c>
      <c r="Q214" s="544">
        <f>+DATE(YEAR(Q213),MONTH(Q213)-1,DAY(Q213))</f>
        <v>25569.041666666668</v>
      </c>
      <c r="R214" s="341">
        <f>IF($Z$7=$E214,1,IF(MONTH($E214)=1,R215*(1+$F$5),R215))</f>
      </c>
      <c r="S214" s="334">
        <f>R214*$B$8/12</f>
      </c>
      <c r="T214" s="334">
        <f>R214*$B$11/12</f>
      </c>
      <c r="U214" s="565">
        <f>(1+$V$5)^(P214/12)*(T214+IF(Q214=$Z$7,$Z$4,0))</f>
      </c>
      <c r="V214" s="170"/>
      <c r="W214" s="7"/>
      <c r="X214" s="1"/>
      <c r="Y214" s="1"/>
      <c r="Z214" s="1"/>
      <c r="AA214" s="1"/>
      <c r="AB214" s="1"/>
      <c r="AC214" s="331">
        <v>207</v>
      </c>
      <c r="AD214" s="544">
        <f>+DATE(YEAR(AD213),MONTH(AD213)-1,DAY(AD213))</f>
        <v>25569.041666666668</v>
      </c>
      <c r="AE214" s="341">
        <f>IF($AM$7=$E214,1,IF(MONTH($E214)=1,AE215*(1+$F$5),AE215))</f>
      </c>
      <c r="AF214" s="334">
        <f>AE214*$B$8/12</f>
      </c>
      <c r="AG214" s="334">
        <f>AE214*$B$12/12</f>
      </c>
      <c r="AH214" s="565">
        <f>(1+$AI$5)^(AC214/12)*(AG214+IF(AD214=$AM$7,$AM$4,0))</f>
      </c>
      <c r="AI214" s="170"/>
      <c r="AJ214" s="7"/>
      <c r="AK214" s="1"/>
      <c r="AL214" s="1"/>
      <c r="AM214" s="1"/>
    </row>
    <row x14ac:dyDescent="0.25" r="215" customHeight="1" ht="18.75">
      <c r="A215" s="1"/>
      <c r="B215" s="169"/>
      <c r="C215" s="170"/>
      <c r="D215" s="331">
        <v>208</v>
      </c>
      <c r="E215" s="544">
        <f>+DATE(YEAR(E214),MONTH(E214)-1,DAY(E214))</f>
        <v>25569.041666666668</v>
      </c>
      <c r="F215" s="333">
        <f>IF($C$6=$E215,1,IF(MONTH($E215)=1,F216*(1+$F$5),F216))</f>
      </c>
      <c r="G215" s="333">
        <f>F215*$B$8/12</f>
      </c>
      <c r="H215" s="333">
        <f>IF(F215=1,F215*$B$10/MIN(12,'Simulador - 3º Pilar'!$E$88),0)</f>
      </c>
      <c r="I215" s="560">
        <f>(1+$G$5)^(D215/12)*(H215+IF(E215=$N$7,$N$4,0))</f>
      </c>
      <c r="J215" s="561">
        <f>(1+$G$5)^(D215/12)*(H215*(12-IF(MONTH(E216)=12,0,MONTH(E216)))+IF(AND(F215=1,F216=0),$Q$4,0))*IF(AND(F215=1,F216=0),1,0)</f>
      </c>
      <c r="K215" s="217">
        <f>(1+$G$5)^(D215/12)*(IF(E215=$N$7,$N$4,0)+IF(E215=$C$6,$B$10,0))</f>
      </c>
      <c r="L215" s="217">
        <f>(1+$G$5)^(D215/12)*(IF((E215)&gt;($B$6),H215,0)+IF(E215=$N$7,$N$4,0)+IF(E215=$C$6,0,0))</f>
      </c>
      <c r="M215" s="1"/>
      <c r="N215" s="7"/>
      <c r="O215" s="1"/>
      <c r="P215" s="331">
        <v>208</v>
      </c>
      <c r="Q215" s="544">
        <f>+DATE(YEAR(Q214),MONTH(Q214)-1,DAY(Q214))</f>
        <v>25569.041666666668</v>
      </c>
      <c r="R215" s="341">
        <f>IF($Z$7=$E215,1,IF(MONTH($E215)=1,R216*(1+$F$5),R216))</f>
      </c>
      <c r="S215" s="334">
        <f>R215*$B$8/12</f>
      </c>
      <c r="T215" s="334">
        <f>R215*$B$11/12</f>
      </c>
      <c r="U215" s="565">
        <f>(1+$V$5)^(P215/12)*(T215+IF(Q215=$Z$7,$Z$4,0))</f>
      </c>
      <c r="V215" s="170"/>
      <c r="W215" s="7"/>
      <c r="X215" s="1"/>
      <c r="Y215" s="1"/>
      <c r="Z215" s="1"/>
      <c r="AA215" s="1"/>
      <c r="AB215" s="1"/>
      <c r="AC215" s="331">
        <v>208</v>
      </c>
      <c r="AD215" s="544">
        <f>+DATE(YEAR(AD214),MONTH(AD214)-1,DAY(AD214))</f>
        <v>25569.041666666668</v>
      </c>
      <c r="AE215" s="341">
        <f>IF($AM$7=$E215,1,IF(MONTH($E215)=1,AE216*(1+$F$5),AE216))</f>
      </c>
      <c r="AF215" s="334">
        <f>AE215*$B$8/12</f>
      </c>
      <c r="AG215" s="334">
        <f>AE215*$B$12/12</f>
      </c>
      <c r="AH215" s="565">
        <f>(1+$AI$5)^(AC215/12)*(AG215+IF(AD215=$AM$7,$AM$4,0))</f>
      </c>
      <c r="AI215" s="170"/>
      <c r="AJ215" s="7"/>
      <c r="AK215" s="1"/>
      <c r="AL215" s="1"/>
      <c r="AM215" s="1"/>
    </row>
    <row x14ac:dyDescent="0.25" r="216" customHeight="1" ht="18.75">
      <c r="A216" s="1"/>
      <c r="B216" s="169"/>
      <c r="C216" s="170"/>
      <c r="D216" s="331">
        <v>209</v>
      </c>
      <c r="E216" s="544">
        <f>+DATE(YEAR(E215),MONTH(E215)-1,DAY(E215))</f>
        <v>25569.041666666668</v>
      </c>
      <c r="F216" s="333">
        <f>IF($C$6=$E216,1,IF(MONTH($E216)=1,F217*(1+$F$5),F217))</f>
      </c>
      <c r="G216" s="333">
        <f>F216*$B$8/12</f>
      </c>
      <c r="H216" s="333">
        <f>IF(F216=1,F216*$B$10/MIN(12,'Simulador - 3º Pilar'!$E$88),0)</f>
      </c>
      <c r="I216" s="560">
        <f>(1+$G$5)^(D216/12)*(H216+IF(E216=$N$7,$N$4,0))</f>
      </c>
      <c r="J216" s="561">
        <f>(1+$G$5)^(D216/12)*(H216*(12-IF(MONTH(E217)=12,0,MONTH(E217)))+IF(AND(F216=1,F217=0),$Q$4,0))*IF(AND(F216=1,F217=0),1,0)</f>
      </c>
      <c r="K216" s="217">
        <f>(1+$G$5)^(D216/12)*(IF(E216=$N$7,$N$4,0)+IF(E216=$C$6,$B$10,0))</f>
      </c>
      <c r="L216" s="217">
        <f>(1+$G$5)^(D216/12)*(IF((E216)&gt;($B$6),H216,0)+IF(E216=$N$7,$N$4,0)+IF(E216=$C$6,0,0))</f>
      </c>
      <c r="M216" s="1"/>
      <c r="N216" s="7"/>
      <c r="O216" s="1"/>
      <c r="P216" s="331">
        <v>209</v>
      </c>
      <c r="Q216" s="544">
        <f>+DATE(YEAR(Q215),MONTH(Q215)-1,DAY(Q215))</f>
        <v>25569.041666666668</v>
      </c>
      <c r="R216" s="341">
        <f>IF($Z$7=$E216,1,IF(MONTH($E216)=1,R217*(1+$F$5),R217))</f>
      </c>
      <c r="S216" s="334">
        <f>R216*$B$8/12</f>
      </c>
      <c r="T216" s="334">
        <f>R216*$B$11/12</f>
      </c>
      <c r="U216" s="565">
        <f>(1+$V$5)^(P216/12)*(T216+IF(Q216=$Z$7,$Z$4,0))</f>
      </c>
      <c r="V216" s="170"/>
      <c r="W216" s="7"/>
      <c r="X216" s="1"/>
      <c r="Y216" s="1"/>
      <c r="Z216" s="1"/>
      <c r="AA216" s="1"/>
      <c r="AB216" s="1"/>
      <c r="AC216" s="331">
        <v>209</v>
      </c>
      <c r="AD216" s="544">
        <f>+DATE(YEAR(AD215),MONTH(AD215)-1,DAY(AD215))</f>
        <v>25569.041666666668</v>
      </c>
      <c r="AE216" s="341">
        <f>IF($AM$7=$E216,1,IF(MONTH($E216)=1,AE217*(1+$F$5),AE217))</f>
      </c>
      <c r="AF216" s="334">
        <f>AE216*$B$8/12</f>
      </c>
      <c r="AG216" s="334">
        <f>AE216*$B$12/12</f>
      </c>
      <c r="AH216" s="565">
        <f>(1+$AI$5)^(AC216/12)*(AG216+IF(AD216=$AM$7,$AM$4,0))</f>
      </c>
      <c r="AI216" s="170"/>
      <c r="AJ216" s="7"/>
      <c r="AK216" s="1"/>
      <c r="AL216" s="1"/>
      <c r="AM216" s="1"/>
    </row>
    <row x14ac:dyDescent="0.25" r="217" customHeight="1" ht="18.75">
      <c r="A217" s="1"/>
      <c r="B217" s="169"/>
      <c r="C217" s="170"/>
      <c r="D217" s="331">
        <v>210</v>
      </c>
      <c r="E217" s="544">
        <f>+DATE(YEAR(E216),MONTH(E216)-1,DAY(E216))</f>
        <v>25569.041666666668</v>
      </c>
      <c r="F217" s="333">
        <f>IF($C$6=$E217,1,IF(MONTH($E217)=1,F218*(1+$F$5),F218))</f>
      </c>
      <c r="G217" s="333">
        <f>F217*$B$8/12</f>
      </c>
      <c r="H217" s="333">
        <f>IF(F217=1,F217*$B$10/MIN(12,'Simulador - 3º Pilar'!$E$88),0)</f>
      </c>
      <c r="I217" s="560">
        <f>(1+$G$5)^(D217/12)*(H217+IF(E217=$N$7,$N$4,0))</f>
      </c>
      <c r="J217" s="561">
        <f>(1+$G$5)^(D217/12)*(H217*(12-IF(MONTH(E218)=12,0,MONTH(E218)))+IF(AND(F217=1,F218=0),$Q$4,0))*IF(AND(F217=1,F218=0),1,0)</f>
      </c>
      <c r="K217" s="217">
        <f>(1+$G$5)^(D217/12)*(IF(E217=$N$7,$N$4,0)+IF(E217=$C$6,$B$10,0))</f>
      </c>
      <c r="L217" s="217">
        <f>(1+$G$5)^(D217/12)*(IF((E217)&gt;($B$6),H217,0)+IF(E217=$N$7,$N$4,0)+IF(E217=$C$6,0,0))</f>
      </c>
      <c r="M217" s="1"/>
      <c r="N217" s="7"/>
      <c r="O217" s="1"/>
      <c r="P217" s="331">
        <v>210</v>
      </c>
      <c r="Q217" s="544">
        <f>+DATE(YEAR(Q216),MONTH(Q216)-1,DAY(Q216))</f>
        <v>25569.041666666668</v>
      </c>
      <c r="R217" s="341">
        <f>IF($Z$7=$E217,1,IF(MONTH($E217)=1,R218*(1+$F$5),R218))</f>
      </c>
      <c r="S217" s="334">
        <f>R217*$B$8/12</f>
      </c>
      <c r="T217" s="334">
        <f>R217*$B$11/12</f>
      </c>
      <c r="U217" s="565">
        <f>(1+$V$5)^(P217/12)*(T217+IF(Q217=$Z$7,$Z$4,0))</f>
      </c>
      <c r="V217" s="170"/>
      <c r="W217" s="7"/>
      <c r="X217" s="1"/>
      <c r="Y217" s="1"/>
      <c r="Z217" s="1"/>
      <c r="AA217" s="1"/>
      <c r="AB217" s="1"/>
      <c r="AC217" s="331">
        <v>210</v>
      </c>
      <c r="AD217" s="544">
        <f>+DATE(YEAR(AD216),MONTH(AD216)-1,DAY(AD216))</f>
        <v>25569.041666666668</v>
      </c>
      <c r="AE217" s="341">
        <f>IF($AM$7=$E217,1,IF(MONTH($E217)=1,AE218*(1+$F$5),AE218))</f>
      </c>
      <c r="AF217" s="334">
        <f>AE217*$B$8/12</f>
      </c>
      <c r="AG217" s="334">
        <f>AE217*$B$12/12</f>
      </c>
      <c r="AH217" s="565">
        <f>(1+$AI$5)^(AC217/12)*(AG217+IF(AD217=$AM$7,$AM$4,0))</f>
      </c>
      <c r="AI217" s="170"/>
      <c r="AJ217" s="7"/>
      <c r="AK217" s="1"/>
      <c r="AL217" s="1"/>
      <c r="AM217" s="1"/>
    </row>
    <row x14ac:dyDescent="0.25" r="218" customHeight="1" ht="18.75">
      <c r="A218" s="1"/>
      <c r="B218" s="169"/>
      <c r="C218" s="170"/>
      <c r="D218" s="331">
        <v>211</v>
      </c>
      <c r="E218" s="544">
        <f>+DATE(YEAR(E217),MONTH(E217)-1,DAY(E217))</f>
        <v>25569.041666666668</v>
      </c>
      <c r="F218" s="333">
        <f>IF($C$6=$E218,1,IF(MONTH($E218)=1,F219*(1+$F$5),F219))</f>
      </c>
      <c r="G218" s="333">
        <f>F218*$B$8/12</f>
      </c>
      <c r="H218" s="333">
        <f>IF(F218=1,F218*$B$10/MIN(12,'Simulador - 3º Pilar'!$E$88),0)</f>
      </c>
      <c r="I218" s="560">
        <f>(1+$G$5)^(D218/12)*(H218+IF(E218=$N$7,$N$4,0))</f>
      </c>
      <c r="J218" s="561">
        <f>(1+$G$5)^(D218/12)*(H218*(12-IF(MONTH(E219)=12,0,MONTH(E219)))+IF(AND(F218=1,F219=0),$Q$4,0))*IF(AND(F218=1,F219=0),1,0)</f>
      </c>
      <c r="K218" s="217">
        <f>(1+$G$5)^(D218/12)*(IF(E218=$N$7,$N$4,0)+IF(E218=$C$6,$B$10,0))</f>
      </c>
      <c r="L218" s="217">
        <f>(1+$G$5)^(D218/12)*(IF((E218)&gt;($B$6),H218,0)+IF(E218=$N$7,$N$4,0)+IF(E218=$C$6,0,0))</f>
      </c>
      <c r="M218" s="1"/>
      <c r="N218" s="7"/>
      <c r="O218" s="1"/>
      <c r="P218" s="331">
        <v>211</v>
      </c>
      <c r="Q218" s="544">
        <f>+DATE(YEAR(Q217),MONTH(Q217)-1,DAY(Q217))</f>
        <v>25569.041666666668</v>
      </c>
      <c r="R218" s="341">
        <f>IF($Z$7=$E218,1,IF(MONTH($E218)=1,R219*(1+$F$5),R219))</f>
      </c>
      <c r="S218" s="334">
        <f>R218*$B$8/12</f>
      </c>
      <c r="T218" s="334">
        <f>R218*$B$11/12</f>
      </c>
      <c r="U218" s="565">
        <f>(1+$V$5)^(P218/12)*(T218+IF(Q218=$Z$7,$Z$4,0))</f>
      </c>
      <c r="V218" s="170"/>
      <c r="W218" s="7"/>
      <c r="X218" s="1"/>
      <c r="Y218" s="1"/>
      <c r="Z218" s="1"/>
      <c r="AA218" s="1"/>
      <c r="AB218" s="1"/>
      <c r="AC218" s="331">
        <v>211</v>
      </c>
      <c r="AD218" s="544">
        <f>+DATE(YEAR(AD217),MONTH(AD217)-1,DAY(AD217))</f>
        <v>25569.041666666668</v>
      </c>
      <c r="AE218" s="341">
        <f>IF($AM$7=$E218,1,IF(MONTH($E218)=1,AE219*(1+$F$5),AE219))</f>
      </c>
      <c r="AF218" s="334">
        <f>AE218*$B$8/12</f>
      </c>
      <c r="AG218" s="334">
        <f>AE218*$B$12/12</f>
      </c>
      <c r="AH218" s="565">
        <f>(1+$AI$5)^(AC218/12)*(AG218+IF(AD218=$AM$7,$AM$4,0))</f>
      </c>
      <c r="AI218" s="170"/>
      <c r="AJ218" s="7"/>
      <c r="AK218" s="1"/>
      <c r="AL218" s="1"/>
      <c r="AM218" s="1"/>
    </row>
    <row x14ac:dyDescent="0.25" r="219" customHeight="1" ht="18.75">
      <c r="A219" s="1"/>
      <c r="B219" s="169"/>
      <c r="C219" s="170"/>
      <c r="D219" s="331">
        <v>212</v>
      </c>
      <c r="E219" s="544">
        <f>+DATE(YEAR(E218),MONTH(E218)-1,DAY(E218))</f>
        <v>25569.041666666668</v>
      </c>
      <c r="F219" s="333">
        <f>IF($C$6=$E219,1,IF(MONTH($E219)=1,F220*(1+$F$5),F220))</f>
      </c>
      <c r="G219" s="333">
        <f>F219*$B$8/12</f>
      </c>
      <c r="H219" s="333">
        <f>IF(F219=1,F219*$B$10/MIN(12,'Simulador - 3º Pilar'!$E$88),0)</f>
      </c>
      <c r="I219" s="560">
        <f>(1+$G$5)^(D219/12)*(H219+IF(E219=$N$7,$N$4,0))</f>
      </c>
      <c r="J219" s="561">
        <f>(1+$G$5)^(D219/12)*(H219*(12-IF(MONTH(E220)=12,0,MONTH(E220)))+IF(AND(F219=1,F220=0),$Q$4,0))*IF(AND(F219=1,F220=0),1,0)</f>
      </c>
      <c r="K219" s="217">
        <f>(1+$G$5)^(D219/12)*(IF(E219=$N$7,$N$4,0)+IF(E219=$C$6,$B$10,0))</f>
      </c>
      <c r="L219" s="217">
        <f>(1+$G$5)^(D219/12)*(IF((E219)&gt;($B$6),H219,0)+IF(E219=$N$7,$N$4,0)+IF(E219=$C$6,0,0))</f>
      </c>
      <c r="M219" s="1"/>
      <c r="N219" s="7"/>
      <c r="O219" s="1"/>
      <c r="P219" s="331">
        <v>212</v>
      </c>
      <c r="Q219" s="544">
        <f>+DATE(YEAR(Q218),MONTH(Q218)-1,DAY(Q218))</f>
        <v>25569.041666666668</v>
      </c>
      <c r="R219" s="341">
        <f>IF($Z$7=$E219,1,IF(MONTH($E219)=1,R220*(1+$F$5),R220))</f>
      </c>
      <c r="S219" s="334">
        <f>R219*$B$8/12</f>
      </c>
      <c r="T219" s="334">
        <f>R219*$B$11/12</f>
      </c>
      <c r="U219" s="565">
        <f>(1+$V$5)^(P219/12)*(T219+IF(Q219=$Z$7,$Z$4,0))</f>
      </c>
      <c r="V219" s="170"/>
      <c r="W219" s="7"/>
      <c r="X219" s="1"/>
      <c r="Y219" s="1"/>
      <c r="Z219" s="1"/>
      <c r="AA219" s="1"/>
      <c r="AB219" s="1"/>
      <c r="AC219" s="331">
        <v>212</v>
      </c>
      <c r="AD219" s="544">
        <f>+DATE(YEAR(AD218),MONTH(AD218)-1,DAY(AD218))</f>
        <v>25569.041666666668</v>
      </c>
      <c r="AE219" s="341">
        <f>IF($AM$7=$E219,1,IF(MONTH($E219)=1,AE220*(1+$F$5),AE220))</f>
      </c>
      <c r="AF219" s="334">
        <f>AE219*$B$8/12</f>
      </c>
      <c r="AG219" s="334">
        <f>AE219*$B$12/12</f>
      </c>
      <c r="AH219" s="565">
        <f>(1+$AI$5)^(AC219/12)*(AG219+IF(AD219=$AM$7,$AM$4,0))</f>
      </c>
      <c r="AI219" s="170"/>
      <c r="AJ219" s="7"/>
      <c r="AK219" s="1"/>
      <c r="AL219" s="1"/>
      <c r="AM219" s="1"/>
    </row>
    <row x14ac:dyDescent="0.25" r="220" customHeight="1" ht="18.75">
      <c r="A220" s="1"/>
      <c r="B220" s="169"/>
      <c r="C220" s="170"/>
      <c r="D220" s="331">
        <v>213</v>
      </c>
      <c r="E220" s="544">
        <f>+DATE(YEAR(E219),MONTH(E219)-1,DAY(E219))</f>
        <v>25569.041666666668</v>
      </c>
      <c r="F220" s="333">
        <f>IF($C$6=$E220,1,IF(MONTH($E220)=1,F221*(1+$F$5),F221))</f>
      </c>
      <c r="G220" s="333">
        <f>F220*$B$8/12</f>
      </c>
      <c r="H220" s="333">
        <f>IF(F220=1,F220*$B$10/MIN(12,'Simulador - 3º Pilar'!$E$88),0)</f>
      </c>
      <c r="I220" s="560">
        <f>(1+$G$5)^(D220/12)*(H220+IF(E220=$N$7,$N$4,0))</f>
      </c>
      <c r="J220" s="561">
        <f>(1+$G$5)^(D220/12)*(H220*(12-IF(MONTH(E221)=12,0,MONTH(E221)))+IF(AND(F220=1,F221=0),$Q$4,0))*IF(AND(F220=1,F221=0),1,0)</f>
      </c>
      <c r="K220" s="217">
        <f>(1+$G$5)^(D220/12)*(IF(E220=$N$7,$N$4,0)+IF(E220=$C$6,$B$10,0))</f>
      </c>
      <c r="L220" s="217">
        <f>(1+$G$5)^(D220/12)*(IF((E220)&gt;($B$6),H220,0)+IF(E220=$N$7,$N$4,0)+IF(E220=$C$6,0,0))</f>
      </c>
      <c r="M220" s="1"/>
      <c r="N220" s="7"/>
      <c r="O220" s="1"/>
      <c r="P220" s="331">
        <v>213</v>
      </c>
      <c r="Q220" s="544">
        <f>+DATE(YEAR(Q219),MONTH(Q219)-1,DAY(Q219))</f>
        <v>25569.041666666668</v>
      </c>
      <c r="R220" s="341">
        <f>IF($Z$7=$E220,1,IF(MONTH($E220)=1,R221*(1+$F$5),R221))</f>
      </c>
      <c r="S220" s="334">
        <f>R220*$B$8/12</f>
      </c>
      <c r="T220" s="334">
        <f>R220*$B$11/12</f>
      </c>
      <c r="U220" s="565">
        <f>(1+$V$5)^(P220/12)*(T220+IF(Q220=$Z$7,$Z$4,0))</f>
      </c>
      <c r="V220" s="170"/>
      <c r="W220" s="7"/>
      <c r="X220" s="1"/>
      <c r="Y220" s="1"/>
      <c r="Z220" s="1"/>
      <c r="AA220" s="1"/>
      <c r="AB220" s="1"/>
      <c r="AC220" s="331">
        <v>213</v>
      </c>
      <c r="AD220" s="544">
        <f>+DATE(YEAR(AD219),MONTH(AD219)-1,DAY(AD219))</f>
        <v>25569.041666666668</v>
      </c>
      <c r="AE220" s="341">
        <f>IF($AM$7=$E220,1,IF(MONTH($E220)=1,AE221*(1+$F$5),AE221))</f>
      </c>
      <c r="AF220" s="334">
        <f>AE220*$B$8/12</f>
      </c>
      <c r="AG220" s="334">
        <f>AE220*$B$12/12</f>
      </c>
      <c r="AH220" s="565">
        <f>(1+$AI$5)^(AC220/12)*(AG220+IF(AD220=$AM$7,$AM$4,0))</f>
      </c>
      <c r="AI220" s="170"/>
      <c r="AJ220" s="7"/>
      <c r="AK220" s="1"/>
      <c r="AL220" s="1"/>
      <c r="AM220" s="1"/>
    </row>
    <row x14ac:dyDescent="0.25" r="221" customHeight="1" ht="18.75">
      <c r="A221" s="1"/>
      <c r="B221" s="169"/>
      <c r="C221" s="170"/>
      <c r="D221" s="331">
        <v>214</v>
      </c>
      <c r="E221" s="544">
        <f>+DATE(YEAR(E220),MONTH(E220)-1,DAY(E220))</f>
        <v>25569.041666666668</v>
      </c>
      <c r="F221" s="333">
        <f>IF($C$6=$E221,1,IF(MONTH($E221)=1,F222*(1+$F$5),F222))</f>
      </c>
      <c r="G221" s="333">
        <f>F221*$B$8/12</f>
      </c>
      <c r="H221" s="333">
        <f>IF(F221=1,F221*$B$10/MIN(12,'Simulador - 3º Pilar'!$E$88),0)</f>
      </c>
      <c r="I221" s="560">
        <f>(1+$G$5)^(D221/12)*(H221+IF(E221=$N$7,$N$4,0))</f>
      </c>
      <c r="J221" s="561">
        <f>(1+$G$5)^(D221/12)*(H221*(12-IF(MONTH(E222)=12,0,MONTH(E222)))+IF(AND(F221=1,F222=0),$Q$4,0))*IF(AND(F221=1,F222=0),1,0)</f>
      </c>
      <c r="K221" s="217">
        <f>(1+$G$5)^(D221/12)*(IF(E221=$N$7,$N$4,0)+IF(E221=$C$6,$B$10,0))</f>
      </c>
      <c r="L221" s="217">
        <f>(1+$G$5)^(D221/12)*(IF((E221)&gt;($B$6),H221,0)+IF(E221=$N$7,$N$4,0)+IF(E221=$C$6,0,0))</f>
      </c>
      <c r="M221" s="1"/>
      <c r="N221" s="7"/>
      <c r="O221" s="1"/>
      <c r="P221" s="331">
        <v>214</v>
      </c>
      <c r="Q221" s="544">
        <f>+DATE(YEAR(Q220),MONTH(Q220)-1,DAY(Q220))</f>
        <v>25569.041666666668</v>
      </c>
      <c r="R221" s="341">
        <f>IF($Z$7=$E221,1,IF(MONTH($E221)=1,R222*(1+$F$5),R222))</f>
      </c>
      <c r="S221" s="334">
        <f>R221*$B$8/12</f>
      </c>
      <c r="T221" s="334">
        <f>R221*$B$11/12</f>
      </c>
      <c r="U221" s="565">
        <f>(1+$V$5)^(P221/12)*(T221+IF(Q221=$Z$7,$Z$4,0))</f>
      </c>
      <c r="V221" s="170"/>
      <c r="W221" s="7"/>
      <c r="X221" s="1"/>
      <c r="Y221" s="1"/>
      <c r="Z221" s="1"/>
      <c r="AA221" s="1"/>
      <c r="AB221" s="1"/>
      <c r="AC221" s="331">
        <v>214</v>
      </c>
      <c r="AD221" s="544">
        <f>+DATE(YEAR(AD220),MONTH(AD220)-1,DAY(AD220))</f>
        <v>25569.041666666668</v>
      </c>
      <c r="AE221" s="341">
        <f>IF($AM$7=$E221,1,IF(MONTH($E221)=1,AE222*(1+$F$5),AE222))</f>
      </c>
      <c r="AF221" s="334">
        <f>AE221*$B$8/12</f>
      </c>
      <c r="AG221" s="334">
        <f>AE221*$B$12/12</f>
      </c>
      <c r="AH221" s="565">
        <f>(1+$AI$5)^(AC221/12)*(AG221+IF(AD221=$AM$7,$AM$4,0))</f>
      </c>
      <c r="AI221" s="170"/>
      <c r="AJ221" s="7"/>
      <c r="AK221" s="1"/>
      <c r="AL221" s="1"/>
      <c r="AM221" s="1"/>
    </row>
    <row x14ac:dyDescent="0.25" r="222" customHeight="1" ht="18.75">
      <c r="A222" s="1"/>
      <c r="B222" s="169"/>
      <c r="C222" s="170"/>
      <c r="D222" s="331">
        <v>215</v>
      </c>
      <c r="E222" s="544">
        <f>+DATE(YEAR(E221),MONTH(E221)-1,DAY(E221))</f>
        <v>25569.041666666668</v>
      </c>
      <c r="F222" s="333">
        <f>IF($C$6=$E222,1,IF(MONTH($E222)=1,F223*(1+$F$5),F223))</f>
      </c>
      <c r="G222" s="333">
        <f>F222*$B$8/12</f>
      </c>
      <c r="H222" s="333">
        <f>IF(F222=1,F222*$B$10/MIN(12,'Simulador - 3º Pilar'!$E$88),0)</f>
      </c>
      <c r="I222" s="560">
        <f>(1+$G$5)^(D222/12)*(H222+IF(E222=$N$7,$N$4,0))</f>
      </c>
      <c r="J222" s="561">
        <f>(1+$G$5)^(D222/12)*(H222*(12-IF(MONTH(E223)=12,0,MONTH(E223)))+IF(AND(F222=1,F223=0),$Q$4,0))*IF(AND(F222=1,F223=0),1,0)</f>
      </c>
      <c r="K222" s="217">
        <f>(1+$G$5)^(D222/12)*(IF(E222=$N$7,$N$4,0)+IF(E222=$C$6,$B$10,0))</f>
      </c>
      <c r="L222" s="217">
        <f>(1+$G$5)^(D222/12)*(IF((E222)&gt;($B$6),H222,0)+IF(E222=$N$7,$N$4,0)+IF(E222=$C$6,0,0))</f>
      </c>
      <c r="M222" s="1"/>
      <c r="N222" s="7"/>
      <c r="O222" s="1"/>
      <c r="P222" s="331">
        <v>215</v>
      </c>
      <c r="Q222" s="544">
        <f>+DATE(YEAR(Q221),MONTH(Q221)-1,DAY(Q221))</f>
        <v>25569.041666666668</v>
      </c>
      <c r="R222" s="341">
        <f>IF($Z$7=$E222,1,IF(MONTH($E222)=1,R223*(1+$F$5),R223))</f>
      </c>
      <c r="S222" s="334">
        <f>R222*$B$8/12</f>
      </c>
      <c r="T222" s="334">
        <f>R222*$B$11/12</f>
      </c>
      <c r="U222" s="565">
        <f>(1+$V$5)^(P222/12)*(T222+IF(Q222=$Z$7,$Z$4,0))</f>
      </c>
      <c r="V222" s="170"/>
      <c r="W222" s="7"/>
      <c r="X222" s="1"/>
      <c r="Y222" s="1"/>
      <c r="Z222" s="1"/>
      <c r="AA222" s="1"/>
      <c r="AB222" s="1"/>
      <c r="AC222" s="331">
        <v>215</v>
      </c>
      <c r="AD222" s="544">
        <f>+DATE(YEAR(AD221),MONTH(AD221)-1,DAY(AD221))</f>
        <v>25569.041666666668</v>
      </c>
      <c r="AE222" s="341">
        <f>IF($AM$7=$E222,1,IF(MONTH($E222)=1,AE223*(1+$F$5),AE223))</f>
      </c>
      <c r="AF222" s="334">
        <f>AE222*$B$8/12</f>
      </c>
      <c r="AG222" s="334">
        <f>AE222*$B$12/12</f>
      </c>
      <c r="AH222" s="565">
        <f>(1+$AI$5)^(AC222/12)*(AG222+IF(AD222=$AM$7,$AM$4,0))</f>
      </c>
      <c r="AI222" s="170"/>
      <c r="AJ222" s="7"/>
      <c r="AK222" s="1"/>
      <c r="AL222" s="1"/>
      <c r="AM222" s="1"/>
    </row>
    <row x14ac:dyDescent="0.25" r="223" customHeight="1" ht="18.75">
      <c r="A223" s="1"/>
      <c r="B223" s="169"/>
      <c r="C223" s="170"/>
      <c r="D223" s="331">
        <v>216</v>
      </c>
      <c r="E223" s="544">
        <f>+DATE(YEAR(E222),MONTH(E222)-1,DAY(E222))</f>
        <v>25569.041666666668</v>
      </c>
      <c r="F223" s="333">
        <f>IF($C$6=$E223,1,IF(MONTH($E223)=1,F224*(1+$F$5),F224))</f>
      </c>
      <c r="G223" s="333">
        <f>F223*$B$8/12</f>
      </c>
      <c r="H223" s="333">
        <f>IF(F223=1,F223*$B$10/MIN(12,'Simulador - 3º Pilar'!$E$88),0)</f>
      </c>
      <c r="I223" s="560">
        <f>(1+$G$5)^(D223/12)*(H223+IF(E223=$N$7,$N$4,0))</f>
      </c>
      <c r="J223" s="561">
        <f>(1+$G$5)^(D223/12)*(H223*(12-IF(MONTH(E224)=12,0,MONTH(E224)))+IF(AND(F223=1,F224=0),$Q$4,0))*IF(AND(F223=1,F224=0),1,0)</f>
      </c>
      <c r="K223" s="217">
        <f>(1+$G$5)^(D223/12)*(IF(E223=$N$7,$N$4,0)+IF(E223=$C$6,$B$10,0))</f>
      </c>
      <c r="L223" s="217">
        <f>(1+$G$5)^(D223/12)*(IF((E223)&gt;($B$6),H223,0)+IF(E223=$N$7,$N$4,0)+IF(E223=$C$6,0,0))</f>
      </c>
      <c r="M223" s="1"/>
      <c r="N223" s="7"/>
      <c r="O223" s="1"/>
      <c r="P223" s="331">
        <v>216</v>
      </c>
      <c r="Q223" s="544">
        <f>+DATE(YEAR(Q222),MONTH(Q222)-1,DAY(Q222))</f>
        <v>25569.041666666668</v>
      </c>
      <c r="R223" s="341">
        <f>IF($Z$7=$E223,1,IF(MONTH($E223)=1,R224*(1+$F$5),R224))</f>
      </c>
      <c r="S223" s="334">
        <f>R223*$B$8/12</f>
      </c>
      <c r="T223" s="334">
        <f>R223*$B$11/12</f>
      </c>
      <c r="U223" s="565">
        <f>(1+$V$5)^(P223/12)*(T223+IF(Q223=$Z$7,$Z$4,0))</f>
      </c>
      <c r="V223" s="170"/>
      <c r="W223" s="7"/>
      <c r="X223" s="1"/>
      <c r="Y223" s="1"/>
      <c r="Z223" s="1"/>
      <c r="AA223" s="1"/>
      <c r="AB223" s="1"/>
      <c r="AC223" s="331">
        <v>216</v>
      </c>
      <c r="AD223" s="544">
        <f>+DATE(YEAR(AD222),MONTH(AD222)-1,DAY(AD222))</f>
        <v>25569.041666666668</v>
      </c>
      <c r="AE223" s="341">
        <f>IF($AM$7=$E223,1,IF(MONTH($E223)=1,AE224*(1+$F$5),AE224))</f>
      </c>
      <c r="AF223" s="334">
        <f>AE223*$B$8/12</f>
      </c>
      <c r="AG223" s="334">
        <f>AE223*$B$12/12</f>
      </c>
      <c r="AH223" s="565">
        <f>(1+$AI$5)^(AC223/12)*(AG223+IF(AD223=$AM$7,$AM$4,0))</f>
      </c>
      <c r="AI223" s="170"/>
      <c r="AJ223" s="7"/>
      <c r="AK223" s="1"/>
      <c r="AL223" s="1"/>
      <c r="AM223" s="1"/>
    </row>
    <row x14ac:dyDescent="0.25" r="224" customHeight="1" ht="18.75">
      <c r="A224" s="1"/>
      <c r="B224" s="169"/>
      <c r="C224" s="170"/>
      <c r="D224" s="331">
        <v>217</v>
      </c>
      <c r="E224" s="544">
        <f>+DATE(YEAR(E223),MONTH(E223)-1,DAY(E223))</f>
        <v>25569.041666666668</v>
      </c>
      <c r="F224" s="333">
        <f>IF($C$6=$E224,1,IF(MONTH($E224)=1,F225*(1+$F$5),F225))</f>
      </c>
      <c r="G224" s="333">
        <f>F224*$B$8/12</f>
      </c>
      <c r="H224" s="333">
        <f>IF(F224=1,F224*$B$10/MIN(12,'Simulador - 3º Pilar'!$E$88),0)</f>
      </c>
      <c r="I224" s="560">
        <f>(1+$G$5)^(D224/12)*(H224+IF(E224=$N$7,$N$4,0))</f>
      </c>
      <c r="J224" s="561">
        <f>(1+$G$5)^(D224/12)*(H224*(12-IF(MONTH(E225)=12,0,MONTH(E225)))+IF(AND(F224=1,F225=0),$Q$4,0))*IF(AND(F224=1,F225=0),1,0)</f>
      </c>
      <c r="K224" s="217">
        <f>(1+$G$5)^(D224/12)*(IF(E224=$N$7,$N$4,0)+IF(E224=$C$6,$B$10,0))</f>
      </c>
      <c r="L224" s="217">
        <f>(1+$G$5)^(D224/12)*(IF((E224)&gt;($B$6),H224,0)+IF(E224=$N$7,$N$4,0)+IF(E224=$C$6,0,0))</f>
      </c>
      <c r="M224" s="1"/>
      <c r="N224" s="7"/>
      <c r="O224" s="1"/>
      <c r="P224" s="331">
        <v>217</v>
      </c>
      <c r="Q224" s="544">
        <f>+DATE(YEAR(Q223),MONTH(Q223)-1,DAY(Q223))</f>
        <v>25569.041666666668</v>
      </c>
      <c r="R224" s="341">
        <f>IF($Z$7=$E224,1,IF(MONTH($E224)=1,R225*(1+$F$5),R225))</f>
      </c>
      <c r="S224" s="334">
        <f>R224*$B$8/12</f>
      </c>
      <c r="T224" s="334">
        <f>R224*$B$11/12</f>
      </c>
      <c r="U224" s="565">
        <f>(1+$V$5)^(P224/12)*(T224+IF(Q224=$Z$7,$Z$4,0))</f>
      </c>
      <c r="V224" s="170"/>
      <c r="W224" s="7"/>
      <c r="X224" s="1"/>
      <c r="Y224" s="1"/>
      <c r="Z224" s="1"/>
      <c r="AA224" s="1"/>
      <c r="AB224" s="1"/>
      <c r="AC224" s="331">
        <v>217</v>
      </c>
      <c r="AD224" s="544">
        <f>+DATE(YEAR(AD223),MONTH(AD223)-1,DAY(AD223))</f>
        <v>25569.041666666668</v>
      </c>
      <c r="AE224" s="341">
        <f>IF($AM$7=$E224,1,IF(MONTH($E224)=1,AE225*(1+$F$5),AE225))</f>
      </c>
      <c r="AF224" s="334">
        <f>AE224*$B$8/12</f>
      </c>
      <c r="AG224" s="334">
        <f>AE224*$B$12/12</f>
      </c>
      <c r="AH224" s="565">
        <f>(1+$AI$5)^(AC224/12)*(AG224+IF(AD224=$AM$7,$AM$4,0))</f>
      </c>
      <c r="AI224" s="170"/>
      <c r="AJ224" s="7"/>
      <c r="AK224" s="1"/>
      <c r="AL224" s="1"/>
      <c r="AM224" s="1"/>
    </row>
    <row x14ac:dyDescent="0.25" r="225" customHeight="1" ht="18.75">
      <c r="A225" s="1"/>
      <c r="B225" s="169"/>
      <c r="C225" s="170"/>
      <c r="D225" s="331">
        <v>218</v>
      </c>
      <c r="E225" s="544">
        <f>+DATE(YEAR(E224),MONTH(E224)-1,DAY(E224))</f>
        <v>25569.041666666668</v>
      </c>
      <c r="F225" s="333">
        <f>IF($C$6=$E225,1,IF(MONTH($E225)=1,F226*(1+$F$5),F226))</f>
      </c>
      <c r="G225" s="333">
        <f>F225*$B$8/12</f>
      </c>
      <c r="H225" s="333">
        <f>IF(F225=1,F225*$B$10/MIN(12,'Simulador - 3º Pilar'!$E$88),0)</f>
      </c>
      <c r="I225" s="560">
        <f>(1+$G$5)^(D225/12)*(H225+IF(E225=$N$7,$N$4,0))</f>
      </c>
      <c r="J225" s="561">
        <f>(1+$G$5)^(D225/12)*(H225*(12-IF(MONTH(E226)=12,0,MONTH(E226)))+IF(AND(F225=1,F226=0),$Q$4,0))*IF(AND(F225=1,F226=0),1,0)</f>
      </c>
      <c r="K225" s="217">
        <f>(1+$G$5)^(D225/12)*(IF(E225=$N$7,$N$4,0)+IF(E225=$C$6,$B$10,0))</f>
      </c>
      <c r="L225" s="217">
        <f>(1+$G$5)^(D225/12)*(IF((E225)&gt;($B$6),H225,0)+IF(E225=$N$7,$N$4,0)+IF(E225=$C$6,0,0))</f>
      </c>
      <c r="M225" s="1"/>
      <c r="N225" s="7"/>
      <c r="O225" s="1"/>
      <c r="P225" s="331">
        <v>218</v>
      </c>
      <c r="Q225" s="544">
        <f>+DATE(YEAR(Q224),MONTH(Q224)-1,DAY(Q224))</f>
        <v>25569.041666666668</v>
      </c>
      <c r="R225" s="341">
        <f>IF($Z$7=$E225,1,IF(MONTH($E225)=1,R226*(1+$F$5),R226))</f>
      </c>
      <c r="S225" s="334">
        <f>R225*$B$8/12</f>
      </c>
      <c r="T225" s="334">
        <f>R225*$B$11/12</f>
      </c>
      <c r="U225" s="565">
        <f>(1+$V$5)^(P225/12)*(T225+IF(Q225=$Z$7,$Z$4,0))</f>
      </c>
      <c r="V225" s="170"/>
      <c r="W225" s="7"/>
      <c r="X225" s="1"/>
      <c r="Y225" s="1"/>
      <c r="Z225" s="1"/>
      <c r="AA225" s="1"/>
      <c r="AB225" s="1"/>
      <c r="AC225" s="331">
        <v>218</v>
      </c>
      <c r="AD225" s="544">
        <f>+DATE(YEAR(AD224),MONTH(AD224)-1,DAY(AD224))</f>
        <v>25569.041666666668</v>
      </c>
      <c r="AE225" s="341">
        <f>IF($AM$7=$E225,1,IF(MONTH($E225)=1,AE226*(1+$F$5),AE226))</f>
      </c>
      <c r="AF225" s="334">
        <f>AE225*$B$8/12</f>
      </c>
      <c r="AG225" s="334">
        <f>AE225*$B$12/12</f>
      </c>
      <c r="AH225" s="565">
        <f>(1+$AI$5)^(AC225/12)*(AG225+IF(AD225=$AM$7,$AM$4,0))</f>
      </c>
      <c r="AI225" s="170"/>
      <c r="AJ225" s="7"/>
      <c r="AK225" s="1"/>
      <c r="AL225" s="1"/>
      <c r="AM225" s="1"/>
    </row>
    <row x14ac:dyDescent="0.25" r="226" customHeight="1" ht="18.75">
      <c r="A226" s="1"/>
      <c r="B226" s="169"/>
      <c r="C226" s="170"/>
      <c r="D226" s="331">
        <v>219</v>
      </c>
      <c r="E226" s="544">
        <f>+DATE(YEAR(E225),MONTH(E225)-1,DAY(E225))</f>
        <v>25569.041666666668</v>
      </c>
      <c r="F226" s="333">
        <f>IF($C$6=$E226,1,IF(MONTH($E226)=1,F227*(1+$F$5),F227))</f>
      </c>
      <c r="G226" s="333">
        <f>F226*$B$8/12</f>
      </c>
      <c r="H226" s="333">
        <f>IF(F226=1,F226*$B$10/MIN(12,'Simulador - 3º Pilar'!$E$88),0)</f>
      </c>
      <c r="I226" s="560">
        <f>(1+$G$5)^(D226/12)*(H226+IF(E226=$N$7,$N$4,0))</f>
      </c>
      <c r="J226" s="561">
        <f>(1+$G$5)^(D226/12)*(H226*(12-IF(MONTH(E227)=12,0,MONTH(E227)))+IF(AND(F226=1,F227=0),$Q$4,0))*IF(AND(F226=1,F227=0),1,0)</f>
      </c>
      <c r="K226" s="217">
        <f>(1+$G$5)^(D226/12)*(IF(E226=$N$7,$N$4,0)+IF(E226=$C$6,$B$10,0))</f>
      </c>
      <c r="L226" s="217">
        <f>(1+$G$5)^(D226/12)*(IF((E226)&gt;($B$6),H226,0)+IF(E226=$N$7,$N$4,0)+IF(E226=$C$6,0,0))</f>
      </c>
      <c r="M226" s="1"/>
      <c r="N226" s="7"/>
      <c r="O226" s="1"/>
      <c r="P226" s="331">
        <v>219</v>
      </c>
      <c r="Q226" s="544">
        <f>+DATE(YEAR(Q225),MONTH(Q225)-1,DAY(Q225))</f>
        <v>25569.041666666668</v>
      </c>
      <c r="R226" s="341">
        <f>IF($Z$7=$E226,1,IF(MONTH($E226)=1,R227*(1+$F$5),R227))</f>
      </c>
      <c r="S226" s="334">
        <f>R226*$B$8/12</f>
      </c>
      <c r="T226" s="334">
        <f>R226*$B$11/12</f>
      </c>
      <c r="U226" s="565">
        <f>(1+$V$5)^(P226/12)*(T226+IF(Q226=$Z$7,$Z$4,0))</f>
      </c>
      <c r="V226" s="170"/>
      <c r="W226" s="7"/>
      <c r="X226" s="1"/>
      <c r="Y226" s="1"/>
      <c r="Z226" s="1"/>
      <c r="AA226" s="1"/>
      <c r="AB226" s="1"/>
      <c r="AC226" s="331">
        <v>219</v>
      </c>
      <c r="AD226" s="544">
        <f>+DATE(YEAR(AD225),MONTH(AD225)-1,DAY(AD225))</f>
        <v>25569.041666666668</v>
      </c>
      <c r="AE226" s="341">
        <f>IF($AM$7=$E226,1,IF(MONTH($E226)=1,AE227*(1+$F$5),AE227))</f>
      </c>
      <c r="AF226" s="334">
        <f>AE226*$B$8/12</f>
      </c>
      <c r="AG226" s="334">
        <f>AE226*$B$12/12</f>
      </c>
      <c r="AH226" s="565">
        <f>(1+$AI$5)^(AC226/12)*(AG226+IF(AD226=$AM$7,$AM$4,0))</f>
      </c>
      <c r="AI226" s="170"/>
      <c r="AJ226" s="7"/>
      <c r="AK226" s="1"/>
      <c r="AL226" s="1"/>
      <c r="AM226" s="1"/>
    </row>
    <row x14ac:dyDescent="0.25" r="227" customHeight="1" ht="18.75">
      <c r="A227" s="1"/>
      <c r="B227" s="169"/>
      <c r="C227" s="170"/>
      <c r="D227" s="331">
        <v>220</v>
      </c>
      <c r="E227" s="544">
        <f>+DATE(YEAR(E226),MONTH(E226)-1,DAY(E226))</f>
        <v>25569.041666666668</v>
      </c>
      <c r="F227" s="333">
        <f>IF($C$6=$E227,1,IF(MONTH($E227)=1,F228*(1+$F$5),F228))</f>
      </c>
      <c r="G227" s="333">
        <f>F227*$B$8/12</f>
      </c>
      <c r="H227" s="333">
        <f>IF(F227=1,F227*$B$10/MIN(12,'Simulador - 3º Pilar'!$E$88),0)</f>
      </c>
      <c r="I227" s="560">
        <f>(1+$G$5)^(D227/12)*(H227+IF(E227=$N$7,$N$4,0))</f>
      </c>
      <c r="J227" s="561">
        <f>(1+$G$5)^(D227/12)*(H227*(12-IF(MONTH(E228)=12,0,MONTH(E228)))+IF(AND(F227=1,F228=0),$Q$4,0))*IF(AND(F227=1,F228=0),1,0)</f>
      </c>
      <c r="K227" s="217">
        <f>(1+$G$5)^(D227/12)*(IF(E227=$N$7,$N$4,0)+IF(E227=$C$6,$B$10,0))</f>
      </c>
      <c r="L227" s="217">
        <f>(1+$G$5)^(D227/12)*(IF((E227)&gt;($B$6),H227,0)+IF(E227=$N$7,$N$4,0)+IF(E227=$C$6,0,0))</f>
      </c>
      <c r="M227" s="1"/>
      <c r="N227" s="7"/>
      <c r="O227" s="1"/>
      <c r="P227" s="331">
        <v>220</v>
      </c>
      <c r="Q227" s="544">
        <f>+DATE(YEAR(Q226),MONTH(Q226)-1,DAY(Q226))</f>
        <v>25569.041666666668</v>
      </c>
      <c r="R227" s="341">
        <f>IF($Z$7=$E227,1,IF(MONTH($E227)=1,R228*(1+$F$5),R228))</f>
      </c>
      <c r="S227" s="334">
        <f>R227*$B$8/12</f>
      </c>
      <c r="T227" s="334">
        <f>R227*$B$11/12</f>
      </c>
      <c r="U227" s="565">
        <f>(1+$V$5)^(P227/12)*(T227+IF(Q227=$Z$7,$Z$4,0))</f>
      </c>
      <c r="V227" s="170"/>
      <c r="W227" s="7"/>
      <c r="X227" s="1"/>
      <c r="Y227" s="1"/>
      <c r="Z227" s="1"/>
      <c r="AA227" s="1"/>
      <c r="AB227" s="1"/>
      <c r="AC227" s="331">
        <v>220</v>
      </c>
      <c r="AD227" s="544">
        <f>+DATE(YEAR(AD226),MONTH(AD226)-1,DAY(AD226))</f>
        <v>25569.041666666668</v>
      </c>
      <c r="AE227" s="341">
        <f>IF($AM$7=$E227,1,IF(MONTH($E227)=1,AE228*(1+$F$5),AE228))</f>
      </c>
      <c r="AF227" s="334">
        <f>AE227*$B$8/12</f>
      </c>
      <c r="AG227" s="334">
        <f>AE227*$B$12/12</f>
      </c>
      <c r="AH227" s="565">
        <f>(1+$AI$5)^(AC227/12)*(AG227+IF(AD227=$AM$7,$AM$4,0))</f>
      </c>
      <c r="AI227" s="170"/>
      <c r="AJ227" s="7"/>
      <c r="AK227" s="1"/>
      <c r="AL227" s="1"/>
      <c r="AM227" s="1"/>
    </row>
    <row x14ac:dyDescent="0.25" r="228" customHeight="1" ht="18.75">
      <c r="A228" s="1"/>
      <c r="B228" s="169"/>
      <c r="C228" s="170"/>
      <c r="D228" s="331">
        <v>221</v>
      </c>
      <c r="E228" s="544">
        <f>+DATE(YEAR(E227),MONTH(E227)-1,DAY(E227))</f>
        <v>25569.041666666668</v>
      </c>
      <c r="F228" s="333">
        <f>IF($C$6=$E228,1,IF(MONTH($E228)=1,F229*(1+$F$5),F229))</f>
      </c>
      <c r="G228" s="333">
        <f>F228*$B$8/12</f>
      </c>
      <c r="H228" s="333">
        <f>IF(F228=1,F228*$B$10/MIN(12,'Simulador - 3º Pilar'!$E$88),0)</f>
      </c>
      <c r="I228" s="560">
        <f>(1+$G$5)^(D228/12)*(H228+IF(E228=$N$7,$N$4,0))</f>
      </c>
      <c r="J228" s="561">
        <f>(1+$G$5)^(D228/12)*(H228*(12-IF(MONTH(E229)=12,0,MONTH(E229)))+IF(AND(F228=1,F229=0),$Q$4,0))*IF(AND(F228=1,F229=0),1,0)</f>
      </c>
      <c r="K228" s="217">
        <f>(1+$G$5)^(D228/12)*(IF(E228=$N$7,$N$4,0)+IF(E228=$C$6,$B$10,0))</f>
      </c>
      <c r="L228" s="217">
        <f>(1+$G$5)^(D228/12)*(IF((E228)&gt;($B$6),H228,0)+IF(E228=$N$7,$N$4,0)+IF(E228=$C$6,0,0))</f>
      </c>
      <c r="M228" s="1"/>
      <c r="N228" s="7"/>
      <c r="O228" s="1"/>
      <c r="P228" s="331">
        <v>221</v>
      </c>
      <c r="Q228" s="544">
        <f>+DATE(YEAR(Q227),MONTH(Q227)-1,DAY(Q227))</f>
        <v>25569.041666666668</v>
      </c>
      <c r="R228" s="341">
        <f>IF($Z$7=$E228,1,IF(MONTH($E228)=1,R229*(1+$F$5),R229))</f>
      </c>
      <c r="S228" s="334">
        <f>R228*$B$8/12</f>
      </c>
      <c r="T228" s="334">
        <f>R228*$B$11/12</f>
      </c>
      <c r="U228" s="565">
        <f>(1+$V$5)^(P228/12)*(T228+IF(Q228=$Z$7,$Z$4,0))</f>
      </c>
      <c r="V228" s="170"/>
      <c r="W228" s="7"/>
      <c r="X228" s="1"/>
      <c r="Y228" s="1"/>
      <c r="Z228" s="1"/>
      <c r="AA228" s="1"/>
      <c r="AB228" s="1"/>
      <c r="AC228" s="331">
        <v>221</v>
      </c>
      <c r="AD228" s="544">
        <f>+DATE(YEAR(AD227),MONTH(AD227)-1,DAY(AD227))</f>
        <v>25569.041666666668</v>
      </c>
      <c r="AE228" s="341">
        <f>IF($AM$7=$E228,1,IF(MONTH($E228)=1,AE229*(1+$F$5),AE229))</f>
      </c>
      <c r="AF228" s="334">
        <f>AE228*$B$8/12</f>
      </c>
      <c r="AG228" s="334">
        <f>AE228*$B$12/12</f>
      </c>
      <c r="AH228" s="565">
        <f>(1+$AI$5)^(AC228/12)*(AG228+IF(AD228=$AM$7,$AM$4,0))</f>
      </c>
      <c r="AI228" s="170"/>
      <c r="AJ228" s="7"/>
      <c r="AK228" s="1"/>
      <c r="AL228" s="1"/>
      <c r="AM228" s="1"/>
    </row>
    <row x14ac:dyDescent="0.25" r="229" customHeight="1" ht="18.75">
      <c r="A229" s="1"/>
      <c r="B229" s="169"/>
      <c r="C229" s="170"/>
      <c r="D229" s="331">
        <v>222</v>
      </c>
      <c r="E229" s="544">
        <f>+DATE(YEAR(E228),MONTH(E228)-1,DAY(E228))</f>
        <v>25569.041666666668</v>
      </c>
      <c r="F229" s="333">
        <f>IF($C$6=$E229,1,IF(MONTH($E229)=1,F230*(1+$F$5),F230))</f>
      </c>
      <c r="G229" s="333">
        <f>F229*$B$8/12</f>
      </c>
      <c r="H229" s="333">
        <f>IF(F229=1,F229*$B$10/MIN(12,'Simulador - 3º Pilar'!$E$88),0)</f>
      </c>
      <c r="I229" s="560">
        <f>(1+$G$5)^(D229/12)*(H229+IF(E229=$N$7,$N$4,0))</f>
      </c>
      <c r="J229" s="561">
        <f>(1+$G$5)^(D229/12)*(H229*(12-IF(MONTH(E230)=12,0,MONTH(E230)))+IF(AND(F229=1,F230=0),$Q$4,0))*IF(AND(F229=1,F230=0),1,0)</f>
      </c>
      <c r="K229" s="217">
        <f>(1+$G$5)^(D229/12)*(IF(E229=$N$7,$N$4,0)+IF(E229=$C$6,$B$10,0))</f>
      </c>
      <c r="L229" s="217">
        <f>(1+$G$5)^(D229/12)*(IF((E229)&gt;($B$6),H229,0)+IF(E229=$N$7,$N$4,0)+IF(E229=$C$6,0,0))</f>
      </c>
      <c r="M229" s="1"/>
      <c r="N229" s="7"/>
      <c r="O229" s="1"/>
      <c r="P229" s="331">
        <v>222</v>
      </c>
      <c r="Q229" s="544">
        <f>+DATE(YEAR(Q228),MONTH(Q228)-1,DAY(Q228))</f>
        <v>25569.041666666668</v>
      </c>
      <c r="R229" s="341">
        <f>IF($Z$7=$E229,1,IF(MONTH($E229)=1,R230*(1+$F$5),R230))</f>
      </c>
      <c r="S229" s="334">
        <f>R229*$B$8/12</f>
      </c>
      <c r="T229" s="334">
        <f>R229*$B$11/12</f>
      </c>
      <c r="U229" s="565">
        <f>(1+$V$5)^(P229/12)*(T229+IF(Q229=$Z$7,$Z$4,0))</f>
      </c>
      <c r="V229" s="170"/>
      <c r="W229" s="7"/>
      <c r="X229" s="1"/>
      <c r="Y229" s="1"/>
      <c r="Z229" s="1"/>
      <c r="AA229" s="1"/>
      <c r="AB229" s="1"/>
      <c r="AC229" s="331">
        <v>222</v>
      </c>
      <c r="AD229" s="544">
        <f>+DATE(YEAR(AD228),MONTH(AD228)-1,DAY(AD228))</f>
        <v>25569.041666666668</v>
      </c>
      <c r="AE229" s="341">
        <f>IF($AM$7=$E229,1,IF(MONTH($E229)=1,AE230*(1+$F$5),AE230))</f>
      </c>
      <c r="AF229" s="334">
        <f>AE229*$B$8/12</f>
      </c>
      <c r="AG229" s="334">
        <f>AE229*$B$12/12</f>
      </c>
      <c r="AH229" s="565">
        <f>(1+$AI$5)^(AC229/12)*(AG229+IF(AD229=$AM$7,$AM$4,0))</f>
      </c>
      <c r="AI229" s="170"/>
      <c r="AJ229" s="7"/>
      <c r="AK229" s="1"/>
      <c r="AL229" s="1"/>
      <c r="AM229" s="1"/>
    </row>
    <row x14ac:dyDescent="0.25" r="230" customHeight="1" ht="18.75">
      <c r="A230" s="1"/>
      <c r="B230" s="169"/>
      <c r="C230" s="170"/>
      <c r="D230" s="331">
        <v>223</v>
      </c>
      <c r="E230" s="544">
        <f>+DATE(YEAR(E229),MONTH(E229)-1,DAY(E229))</f>
        <v>25569.041666666668</v>
      </c>
      <c r="F230" s="333">
        <f>IF($C$6=$E230,1,IF(MONTH($E230)=1,F231*(1+$F$5),F231))</f>
      </c>
      <c r="G230" s="333">
        <f>F230*$B$8/12</f>
      </c>
      <c r="H230" s="333">
        <f>IF(F230=1,F230*$B$10/MIN(12,'Simulador - 3º Pilar'!$E$88),0)</f>
      </c>
      <c r="I230" s="560">
        <f>(1+$G$5)^(D230/12)*(H230+IF(E230=$N$7,$N$4,0))</f>
      </c>
      <c r="J230" s="561">
        <f>(1+$G$5)^(D230/12)*(H230*(12-IF(MONTH(E231)=12,0,MONTH(E231)))+IF(AND(F230=1,F231=0),$Q$4,0))*IF(AND(F230=1,F231=0),1,0)</f>
      </c>
      <c r="K230" s="217">
        <f>(1+$G$5)^(D230/12)*(IF(E230=$N$7,$N$4,0)+IF(E230=$C$6,$B$10,0))</f>
      </c>
      <c r="L230" s="217">
        <f>(1+$G$5)^(D230/12)*(IF((E230)&gt;($B$6),H230,0)+IF(E230=$N$7,$N$4,0)+IF(E230=$C$6,0,0))</f>
      </c>
      <c r="M230" s="1"/>
      <c r="N230" s="7"/>
      <c r="O230" s="1"/>
      <c r="P230" s="331">
        <v>223</v>
      </c>
      <c r="Q230" s="544">
        <f>+DATE(YEAR(Q229),MONTH(Q229)-1,DAY(Q229))</f>
        <v>25569.041666666668</v>
      </c>
      <c r="R230" s="341">
        <f>IF($Z$7=$E230,1,IF(MONTH($E230)=1,R231*(1+$F$5),R231))</f>
      </c>
      <c r="S230" s="334">
        <f>R230*$B$8/12</f>
      </c>
      <c r="T230" s="334">
        <f>R230*$B$11/12</f>
      </c>
      <c r="U230" s="565">
        <f>(1+$V$5)^(P230/12)*(T230+IF(Q230=$Z$7,$Z$4,0))</f>
      </c>
      <c r="V230" s="170"/>
      <c r="W230" s="7"/>
      <c r="X230" s="1"/>
      <c r="Y230" s="1"/>
      <c r="Z230" s="1"/>
      <c r="AA230" s="1"/>
      <c r="AB230" s="1"/>
      <c r="AC230" s="331">
        <v>223</v>
      </c>
      <c r="AD230" s="544">
        <f>+DATE(YEAR(AD229),MONTH(AD229)-1,DAY(AD229))</f>
        <v>25569.041666666668</v>
      </c>
      <c r="AE230" s="341">
        <f>IF($AM$7=$E230,1,IF(MONTH($E230)=1,AE231*(1+$F$5),AE231))</f>
      </c>
      <c r="AF230" s="334">
        <f>AE230*$B$8/12</f>
      </c>
      <c r="AG230" s="334">
        <f>AE230*$B$12/12</f>
      </c>
      <c r="AH230" s="565">
        <f>(1+$AI$5)^(AC230/12)*(AG230+IF(AD230=$AM$7,$AM$4,0))</f>
      </c>
      <c r="AI230" s="170"/>
      <c r="AJ230" s="7"/>
      <c r="AK230" s="1"/>
      <c r="AL230" s="1"/>
      <c r="AM230" s="1"/>
    </row>
    <row x14ac:dyDescent="0.25" r="231" customHeight="1" ht="18.75">
      <c r="A231" s="1"/>
      <c r="B231" s="169"/>
      <c r="C231" s="170"/>
      <c r="D231" s="331">
        <v>224</v>
      </c>
      <c r="E231" s="544">
        <f>+DATE(YEAR(E230),MONTH(E230)-1,DAY(E230))</f>
        <v>25569.041666666668</v>
      </c>
      <c r="F231" s="333">
        <f>IF($C$6=$E231,1,IF(MONTH($E231)=1,F232*(1+$F$5),F232))</f>
      </c>
      <c r="G231" s="333">
        <f>F231*$B$8/12</f>
      </c>
      <c r="H231" s="333">
        <f>IF(F231=1,F231*$B$10/MIN(12,'Simulador - 3º Pilar'!$E$88),0)</f>
      </c>
      <c r="I231" s="560">
        <f>(1+$G$5)^(D231/12)*(H231+IF(E231=$N$7,$N$4,0))</f>
      </c>
      <c r="J231" s="561">
        <f>(1+$G$5)^(D231/12)*(H231*(12-IF(MONTH(E232)=12,0,MONTH(E232)))+IF(AND(F231=1,F232=0),$Q$4,0))*IF(AND(F231=1,F232=0),1,0)</f>
      </c>
      <c r="K231" s="217">
        <f>(1+$G$5)^(D231/12)*(IF(E231=$N$7,$N$4,0)+IF(E231=$C$6,$B$10,0))</f>
      </c>
      <c r="L231" s="217">
        <f>(1+$G$5)^(D231/12)*(IF((E231)&gt;($B$6),H231,0)+IF(E231=$N$7,$N$4,0)+IF(E231=$C$6,0,0))</f>
      </c>
      <c r="M231" s="1"/>
      <c r="N231" s="7"/>
      <c r="O231" s="1"/>
      <c r="P231" s="331">
        <v>224</v>
      </c>
      <c r="Q231" s="544">
        <f>+DATE(YEAR(Q230),MONTH(Q230)-1,DAY(Q230))</f>
        <v>25569.041666666668</v>
      </c>
      <c r="R231" s="341">
        <f>IF($Z$7=$E231,1,IF(MONTH($E231)=1,R232*(1+$F$5),R232))</f>
      </c>
      <c r="S231" s="334">
        <f>R231*$B$8/12</f>
      </c>
      <c r="T231" s="334">
        <f>R231*$B$11/12</f>
      </c>
      <c r="U231" s="565">
        <f>(1+$V$5)^(P231/12)*(T231+IF(Q231=$Z$7,$Z$4,0))</f>
      </c>
      <c r="V231" s="170"/>
      <c r="W231" s="7"/>
      <c r="X231" s="1"/>
      <c r="Y231" s="1"/>
      <c r="Z231" s="1"/>
      <c r="AA231" s="1"/>
      <c r="AB231" s="1"/>
      <c r="AC231" s="331">
        <v>224</v>
      </c>
      <c r="AD231" s="544">
        <f>+DATE(YEAR(AD230),MONTH(AD230)-1,DAY(AD230))</f>
        <v>25569.041666666668</v>
      </c>
      <c r="AE231" s="341">
        <f>IF($AM$7=$E231,1,IF(MONTH($E231)=1,AE232*(1+$F$5),AE232))</f>
      </c>
      <c r="AF231" s="334">
        <f>AE231*$B$8/12</f>
      </c>
      <c r="AG231" s="334">
        <f>AE231*$B$12/12</f>
      </c>
      <c r="AH231" s="565">
        <f>(1+$AI$5)^(AC231/12)*(AG231+IF(AD231=$AM$7,$AM$4,0))</f>
      </c>
      <c r="AI231" s="170"/>
      <c r="AJ231" s="7"/>
      <c r="AK231" s="1"/>
      <c r="AL231" s="1"/>
      <c r="AM231" s="1"/>
    </row>
    <row x14ac:dyDescent="0.25" r="232" customHeight="1" ht="18.75">
      <c r="A232" s="1"/>
      <c r="B232" s="169"/>
      <c r="C232" s="170"/>
      <c r="D232" s="331">
        <v>225</v>
      </c>
      <c r="E232" s="544">
        <f>+DATE(YEAR(E231),MONTH(E231)-1,DAY(E231))</f>
        <v>25569.041666666668</v>
      </c>
      <c r="F232" s="333">
        <f>IF($C$6=$E232,1,IF(MONTH($E232)=1,F233*(1+$F$5),F233))</f>
      </c>
      <c r="G232" s="333">
        <f>F232*$B$8/12</f>
      </c>
      <c r="H232" s="333">
        <f>IF(F232=1,F232*$B$10/MIN(12,'Simulador - 3º Pilar'!$E$88),0)</f>
      </c>
      <c r="I232" s="560">
        <f>(1+$G$5)^(D232/12)*(H232+IF(E232=$N$7,$N$4,0))</f>
      </c>
      <c r="J232" s="561">
        <f>(1+$G$5)^(D232/12)*(H232*(12-IF(MONTH(E233)=12,0,MONTH(E233)))+IF(AND(F232=1,F233=0),$Q$4,0))*IF(AND(F232=1,F233=0),1,0)</f>
      </c>
      <c r="K232" s="217">
        <f>(1+$G$5)^(D232/12)*(IF(E232=$N$7,$N$4,0)+IF(E232=$C$6,$B$10,0))</f>
      </c>
      <c r="L232" s="217">
        <f>(1+$G$5)^(D232/12)*(IF((E232)&gt;($B$6),H232,0)+IF(E232=$N$7,$N$4,0)+IF(E232=$C$6,0,0))</f>
      </c>
      <c r="M232" s="1"/>
      <c r="N232" s="7"/>
      <c r="O232" s="1"/>
      <c r="P232" s="331">
        <v>225</v>
      </c>
      <c r="Q232" s="544">
        <f>+DATE(YEAR(Q231),MONTH(Q231)-1,DAY(Q231))</f>
        <v>25569.041666666668</v>
      </c>
      <c r="R232" s="341">
        <f>IF($Z$7=$E232,1,IF(MONTH($E232)=1,R233*(1+$F$5),R233))</f>
      </c>
      <c r="S232" s="334">
        <f>R232*$B$8/12</f>
      </c>
      <c r="T232" s="334">
        <f>R232*$B$11/12</f>
      </c>
      <c r="U232" s="565">
        <f>(1+$V$5)^(P232/12)*(T232+IF(Q232=$Z$7,$Z$4,0))</f>
      </c>
      <c r="V232" s="170"/>
      <c r="W232" s="7"/>
      <c r="X232" s="1"/>
      <c r="Y232" s="1"/>
      <c r="Z232" s="1"/>
      <c r="AA232" s="1"/>
      <c r="AB232" s="1"/>
      <c r="AC232" s="331">
        <v>225</v>
      </c>
      <c r="AD232" s="544">
        <f>+DATE(YEAR(AD231),MONTH(AD231)-1,DAY(AD231))</f>
        <v>25569.041666666668</v>
      </c>
      <c r="AE232" s="341">
        <f>IF($AM$7=$E232,1,IF(MONTH($E232)=1,AE233*(1+$F$5),AE233))</f>
      </c>
      <c r="AF232" s="334">
        <f>AE232*$B$8/12</f>
      </c>
      <c r="AG232" s="334">
        <f>AE232*$B$12/12</f>
      </c>
      <c r="AH232" s="565">
        <f>(1+$AI$5)^(AC232/12)*(AG232+IF(AD232=$AM$7,$AM$4,0))</f>
      </c>
      <c r="AI232" s="170"/>
      <c r="AJ232" s="7"/>
      <c r="AK232" s="1"/>
      <c r="AL232" s="1"/>
      <c r="AM232" s="1"/>
    </row>
    <row x14ac:dyDescent="0.25" r="233" customHeight="1" ht="18.75">
      <c r="A233" s="1"/>
      <c r="B233" s="169"/>
      <c r="C233" s="170"/>
      <c r="D233" s="331">
        <v>226</v>
      </c>
      <c r="E233" s="544">
        <f>+DATE(YEAR(E232),MONTH(E232)-1,DAY(E232))</f>
        <v>25569.041666666668</v>
      </c>
      <c r="F233" s="333">
        <f>IF($C$6=$E233,1,IF(MONTH($E233)=1,F234*(1+$F$5),F234))</f>
      </c>
      <c r="G233" s="333">
        <f>F233*$B$8/12</f>
      </c>
      <c r="H233" s="333">
        <f>IF(F233=1,F233*$B$10/MIN(12,'Simulador - 3º Pilar'!$E$88),0)</f>
      </c>
      <c r="I233" s="560">
        <f>(1+$G$5)^(D233/12)*(H233+IF(E233=$N$7,$N$4,0))</f>
      </c>
      <c r="J233" s="561">
        <f>(1+$G$5)^(D233/12)*(H233*(12-IF(MONTH(E234)=12,0,MONTH(E234)))+IF(AND(F233=1,F234=0),$Q$4,0))*IF(AND(F233=1,F234=0),1,0)</f>
      </c>
      <c r="K233" s="217">
        <f>(1+$G$5)^(D233/12)*(IF(E233=$N$7,$N$4,0)+IF(E233=$C$6,$B$10,0))</f>
      </c>
      <c r="L233" s="217">
        <f>(1+$G$5)^(D233/12)*(IF((E233)&gt;($B$6),H233,0)+IF(E233=$N$7,$N$4,0)+IF(E233=$C$6,0,0))</f>
      </c>
      <c r="M233" s="1"/>
      <c r="N233" s="7"/>
      <c r="O233" s="1"/>
      <c r="P233" s="331">
        <v>226</v>
      </c>
      <c r="Q233" s="544">
        <f>+DATE(YEAR(Q232),MONTH(Q232)-1,DAY(Q232))</f>
        <v>25569.041666666668</v>
      </c>
      <c r="R233" s="341">
        <f>IF($Z$7=$E233,1,IF(MONTH($E233)=1,R234*(1+$F$5),R234))</f>
      </c>
      <c r="S233" s="334">
        <f>R233*$B$8/12</f>
      </c>
      <c r="T233" s="334">
        <f>R233*$B$11/12</f>
      </c>
      <c r="U233" s="565">
        <f>(1+$V$5)^(P233/12)*(T233+IF(Q233=$Z$7,$Z$4,0))</f>
      </c>
      <c r="V233" s="170"/>
      <c r="W233" s="7"/>
      <c r="X233" s="1"/>
      <c r="Y233" s="1"/>
      <c r="Z233" s="1"/>
      <c r="AA233" s="1"/>
      <c r="AB233" s="1"/>
      <c r="AC233" s="331">
        <v>226</v>
      </c>
      <c r="AD233" s="544">
        <f>+DATE(YEAR(AD232),MONTH(AD232)-1,DAY(AD232))</f>
        <v>25569.041666666668</v>
      </c>
      <c r="AE233" s="341">
        <f>IF($AM$7=$E233,1,IF(MONTH($E233)=1,AE234*(1+$F$5),AE234))</f>
      </c>
      <c r="AF233" s="334">
        <f>AE233*$B$8/12</f>
      </c>
      <c r="AG233" s="334">
        <f>AE233*$B$12/12</f>
      </c>
      <c r="AH233" s="565">
        <f>(1+$AI$5)^(AC233/12)*(AG233+IF(AD233=$AM$7,$AM$4,0))</f>
      </c>
      <c r="AI233" s="170"/>
      <c r="AJ233" s="7"/>
      <c r="AK233" s="1"/>
      <c r="AL233" s="1"/>
      <c r="AM233" s="1"/>
    </row>
    <row x14ac:dyDescent="0.25" r="234" customHeight="1" ht="18.75">
      <c r="A234" s="1"/>
      <c r="B234" s="169"/>
      <c r="C234" s="170"/>
      <c r="D234" s="331">
        <v>227</v>
      </c>
      <c r="E234" s="544">
        <f>+DATE(YEAR(E233),MONTH(E233)-1,DAY(E233))</f>
        <v>25569.041666666668</v>
      </c>
      <c r="F234" s="333">
        <f>IF($C$6=$E234,1,IF(MONTH($E234)=1,F235*(1+$F$5),F235))</f>
      </c>
      <c r="G234" s="333">
        <f>F234*$B$8/12</f>
      </c>
      <c r="H234" s="333">
        <f>IF(F234=1,F234*$B$10/MIN(12,'Simulador - 3º Pilar'!$E$88),0)</f>
      </c>
      <c r="I234" s="560">
        <f>(1+$G$5)^(D234/12)*(H234+IF(E234=$N$7,$N$4,0))</f>
      </c>
      <c r="J234" s="561">
        <f>(1+$G$5)^(D234/12)*(H234*(12-IF(MONTH(E235)=12,0,MONTH(E235)))+IF(AND(F234=1,F235=0),$Q$4,0))*IF(AND(F234=1,F235=0),1,0)</f>
      </c>
      <c r="K234" s="217">
        <f>(1+$G$5)^(D234/12)*(IF(E234=$N$7,$N$4,0)+IF(E234=$C$6,$B$10,0))</f>
      </c>
      <c r="L234" s="217">
        <f>(1+$G$5)^(D234/12)*(IF((E234)&gt;($B$6),H234,0)+IF(E234=$N$7,$N$4,0)+IF(E234=$C$6,0,0))</f>
      </c>
      <c r="M234" s="1"/>
      <c r="N234" s="7"/>
      <c r="O234" s="1"/>
      <c r="P234" s="331">
        <v>227</v>
      </c>
      <c r="Q234" s="544">
        <f>+DATE(YEAR(Q233),MONTH(Q233)-1,DAY(Q233))</f>
        <v>25569.041666666668</v>
      </c>
      <c r="R234" s="341">
        <f>IF($Z$7=$E234,1,IF(MONTH($E234)=1,R235*(1+$F$5),R235))</f>
      </c>
      <c r="S234" s="334">
        <f>R234*$B$8/12</f>
      </c>
      <c r="T234" s="334">
        <f>R234*$B$11/12</f>
      </c>
      <c r="U234" s="565">
        <f>(1+$V$5)^(P234/12)*(T234+IF(Q234=$Z$7,$Z$4,0))</f>
      </c>
      <c r="V234" s="170"/>
      <c r="W234" s="7"/>
      <c r="X234" s="1"/>
      <c r="Y234" s="1"/>
      <c r="Z234" s="1"/>
      <c r="AA234" s="1"/>
      <c r="AB234" s="1"/>
      <c r="AC234" s="331">
        <v>227</v>
      </c>
      <c r="AD234" s="544">
        <f>+DATE(YEAR(AD233),MONTH(AD233)-1,DAY(AD233))</f>
        <v>25569.041666666668</v>
      </c>
      <c r="AE234" s="341">
        <f>IF($AM$7=$E234,1,IF(MONTH($E234)=1,AE235*(1+$F$5),AE235))</f>
      </c>
      <c r="AF234" s="334">
        <f>AE234*$B$8/12</f>
      </c>
      <c r="AG234" s="334">
        <f>AE234*$B$12/12</f>
      </c>
      <c r="AH234" s="565">
        <f>(1+$AI$5)^(AC234/12)*(AG234+IF(AD234=$AM$7,$AM$4,0))</f>
      </c>
      <c r="AI234" s="170"/>
      <c r="AJ234" s="7"/>
      <c r="AK234" s="1"/>
      <c r="AL234" s="1"/>
      <c r="AM234" s="1"/>
    </row>
    <row x14ac:dyDescent="0.25" r="235" customHeight="1" ht="18.75">
      <c r="A235" s="1"/>
      <c r="B235" s="169"/>
      <c r="C235" s="170"/>
      <c r="D235" s="331">
        <v>228</v>
      </c>
      <c r="E235" s="544">
        <f>+DATE(YEAR(E234),MONTH(E234)-1,DAY(E234))</f>
        <v>25569.041666666668</v>
      </c>
      <c r="F235" s="333">
        <f>IF($C$6=$E235,1,IF(MONTH($E235)=1,F236*(1+$F$5),F236))</f>
      </c>
      <c r="G235" s="333">
        <f>F235*$B$8/12</f>
      </c>
      <c r="H235" s="333">
        <f>IF(F235=1,F235*$B$10/MIN(12,'Simulador - 3º Pilar'!$E$88),0)</f>
      </c>
      <c r="I235" s="560">
        <f>(1+$G$5)^(D235/12)*(H235+IF(E235=$N$7,$N$4,0))</f>
      </c>
      <c r="J235" s="561">
        <f>(1+$G$5)^(D235/12)*(H235*(12-IF(MONTH(E236)=12,0,MONTH(E236)))+IF(AND(F235=1,F236=0),$Q$4,0))*IF(AND(F235=1,F236=0),1,0)</f>
      </c>
      <c r="K235" s="217">
        <f>(1+$G$5)^(D235/12)*(IF(E235=$N$7,$N$4,0)+IF(E235=$C$6,$B$10,0))</f>
      </c>
      <c r="L235" s="217">
        <f>(1+$G$5)^(D235/12)*(IF((E235)&gt;($B$6),H235,0)+IF(E235=$N$7,$N$4,0)+IF(E235=$C$6,0,0))</f>
      </c>
      <c r="M235" s="1"/>
      <c r="N235" s="7"/>
      <c r="O235" s="1"/>
      <c r="P235" s="331">
        <v>228</v>
      </c>
      <c r="Q235" s="544">
        <f>+DATE(YEAR(Q234),MONTH(Q234)-1,DAY(Q234))</f>
        <v>25569.041666666668</v>
      </c>
      <c r="R235" s="341">
        <f>IF($Z$7=$E235,1,IF(MONTH($E235)=1,R236*(1+$F$5),R236))</f>
      </c>
      <c r="S235" s="334">
        <f>R235*$B$8/12</f>
      </c>
      <c r="T235" s="334">
        <f>R235*$B$11/12</f>
      </c>
      <c r="U235" s="565">
        <f>(1+$V$5)^(P235/12)*(T235+IF(Q235=$Z$7,$Z$4,0))</f>
      </c>
      <c r="V235" s="170"/>
      <c r="W235" s="7"/>
      <c r="X235" s="1"/>
      <c r="Y235" s="1"/>
      <c r="Z235" s="1"/>
      <c r="AA235" s="1"/>
      <c r="AB235" s="1"/>
      <c r="AC235" s="331">
        <v>228</v>
      </c>
      <c r="AD235" s="544">
        <f>+DATE(YEAR(AD234),MONTH(AD234)-1,DAY(AD234))</f>
        <v>25569.041666666668</v>
      </c>
      <c r="AE235" s="341">
        <f>IF($AM$7=$E235,1,IF(MONTH($E235)=1,AE236*(1+$F$5),AE236))</f>
      </c>
      <c r="AF235" s="334">
        <f>AE235*$B$8/12</f>
      </c>
      <c r="AG235" s="334">
        <f>AE235*$B$12/12</f>
      </c>
      <c r="AH235" s="565">
        <f>(1+$AI$5)^(AC235/12)*(AG235+IF(AD235=$AM$7,$AM$4,0))</f>
      </c>
      <c r="AI235" s="170"/>
      <c r="AJ235" s="7"/>
      <c r="AK235" s="1"/>
      <c r="AL235" s="1"/>
      <c r="AM235" s="1"/>
    </row>
    <row x14ac:dyDescent="0.25" r="236" customHeight="1" ht="18.75">
      <c r="A236" s="1"/>
      <c r="B236" s="169"/>
      <c r="C236" s="170"/>
      <c r="D236" s="331">
        <v>229</v>
      </c>
      <c r="E236" s="544">
        <f>+DATE(YEAR(E235),MONTH(E235)-1,DAY(E235))</f>
        <v>25569.041666666668</v>
      </c>
      <c r="F236" s="333">
        <f>IF($C$6=$E236,1,IF(MONTH($E236)=1,F237*(1+$F$5),F237))</f>
      </c>
      <c r="G236" s="333">
        <f>F236*$B$8/12</f>
      </c>
      <c r="H236" s="333">
        <f>IF(F236=1,F236*$B$10/MIN(12,'Simulador - 3º Pilar'!$E$88),0)</f>
      </c>
      <c r="I236" s="560">
        <f>(1+$G$5)^(D236/12)*(H236+IF(E236=$N$7,$N$4,0))</f>
      </c>
      <c r="J236" s="561">
        <f>(1+$G$5)^(D236/12)*(H236*(12-IF(MONTH(E237)=12,0,MONTH(E237)))+IF(AND(F236=1,F237=0),$Q$4,0))*IF(AND(F236=1,F237=0),1,0)</f>
      </c>
      <c r="K236" s="217">
        <f>(1+$G$5)^(D236/12)*(IF(E236=$N$7,$N$4,0)+IF(E236=$C$6,$B$10,0))</f>
      </c>
      <c r="L236" s="217">
        <f>(1+$G$5)^(D236/12)*(IF((E236)&gt;($B$6),H236,0)+IF(E236=$N$7,$N$4,0)+IF(E236=$C$6,0,0))</f>
      </c>
      <c r="M236" s="1"/>
      <c r="N236" s="7"/>
      <c r="O236" s="1"/>
      <c r="P236" s="331">
        <v>229</v>
      </c>
      <c r="Q236" s="544">
        <f>+DATE(YEAR(Q235),MONTH(Q235)-1,DAY(Q235))</f>
        <v>25569.041666666668</v>
      </c>
      <c r="R236" s="341">
        <f>IF($Z$7=$E236,1,IF(MONTH($E236)=1,R237*(1+$F$5),R237))</f>
      </c>
      <c r="S236" s="334">
        <f>R236*$B$8/12</f>
      </c>
      <c r="T236" s="334">
        <f>R236*$B$11/12</f>
      </c>
      <c r="U236" s="565">
        <f>(1+$V$5)^(P236/12)*(T236+IF(Q236=$Z$7,$Z$4,0))</f>
      </c>
      <c r="V236" s="170"/>
      <c r="W236" s="7"/>
      <c r="X236" s="1"/>
      <c r="Y236" s="1"/>
      <c r="Z236" s="1"/>
      <c r="AA236" s="1"/>
      <c r="AB236" s="1"/>
      <c r="AC236" s="331">
        <v>229</v>
      </c>
      <c r="AD236" s="544">
        <f>+DATE(YEAR(AD235),MONTH(AD235)-1,DAY(AD235))</f>
        <v>25569.041666666668</v>
      </c>
      <c r="AE236" s="341">
        <f>IF($AM$7=$E236,1,IF(MONTH($E236)=1,AE237*(1+$F$5),AE237))</f>
      </c>
      <c r="AF236" s="334">
        <f>AE236*$B$8/12</f>
      </c>
      <c r="AG236" s="334">
        <f>AE236*$B$12/12</f>
      </c>
      <c r="AH236" s="565">
        <f>(1+$AI$5)^(AC236/12)*(AG236+IF(AD236=$AM$7,$AM$4,0))</f>
      </c>
      <c r="AI236" s="170"/>
      <c r="AJ236" s="7"/>
      <c r="AK236" s="1"/>
      <c r="AL236" s="1"/>
      <c r="AM236" s="1"/>
    </row>
    <row x14ac:dyDescent="0.25" r="237" customHeight="1" ht="18.75">
      <c r="A237" s="1"/>
      <c r="B237" s="169"/>
      <c r="C237" s="170"/>
      <c r="D237" s="331">
        <v>230</v>
      </c>
      <c r="E237" s="544">
        <f>+DATE(YEAR(E236),MONTH(E236)-1,DAY(E236))</f>
        <v>25569.041666666668</v>
      </c>
      <c r="F237" s="333">
        <f>IF($C$6=$E237,1,IF(MONTH($E237)=1,F238*(1+$F$5),F238))</f>
      </c>
      <c r="G237" s="333">
        <f>F237*$B$8/12</f>
      </c>
      <c r="H237" s="333">
        <f>IF(F237=1,F237*$B$10/MIN(12,'Simulador - 3º Pilar'!$E$88),0)</f>
      </c>
      <c r="I237" s="560">
        <f>(1+$G$5)^(D237/12)*(H237+IF(E237=$N$7,$N$4,0))</f>
      </c>
      <c r="J237" s="561">
        <f>(1+$G$5)^(D237/12)*(H237*(12-IF(MONTH(E238)=12,0,MONTH(E238)))+IF(AND(F237=1,F238=0),$Q$4,0))*IF(AND(F237=1,F238=0),1,0)</f>
      </c>
      <c r="K237" s="217">
        <f>(1+$G$5)^(D237/12)*(IF(E237=$N$7,$N$4,0)+IF(E237=$C$6,$B$10,0))</f>
      </c>
      <c r="L237" s="217">
        <f>(1+$G$5)^(D237/12)*(IF((E237)&gt;($B$6),H237,0)+IF(E237=$N$7,$N$4,0)+IF(E237=$C$6,0,0))</f>
      </c>
      <c r="M237" s="1"/>
      <c r="N237" s="7"/>
      <c r="O237" s="1"/>
      <c r="P237" s="331">
        <v>230</v>
      </c>
      <c r="Q237" s="544">
        <f>+DATE(YEAR(Q236),MONTH(Q236)-1,DAY(Q236))</f>
        <v>25569.041666666668</v>
      </c>
      <c r="R237" s="341">
        <f>IF($Z$7=$E237,1,IF(MONTH($E237)=1,R238*(1+$F$5),R238))</f>
      </c>
      <c r="S237" s="334">
        <f>R237*$B$8/12</f>
      </c>
      <c r="T237" s="334">
        <f>R237*$B$11/12</f>
      </c>
      <c r="U237" s="565">
        <f>(1+$V$5)^(P237/12)*(T237+IF(Q237=$Z$7,$Z$4,0))</f>
      </c>
      <c r="V237" s="170"/>
      <c r="W237" s="7"/>
      <c r="X237" s="1"/>
      <c r="Y237" s="1"/>
      <c r="Z237" s="1"/>
      <c r="AA237" s="1"/>
      <c r="AB237" s="1"/>
      <c r="AC237" s="331">
        <v>230</v>
      </c>
      <c r="AD237" s="544">
        <f>+DATE(YEAR(AD236),MONTH(AD236)-1,DAY(AD236))</f>
        <v>25569.041666666668</v>
      </c>
      <c r="AE237" s="341">
        <f>IF($AM$7=$E237,1,IF(MONTH($E237)=1,AE238*(1+$F$5),AE238))</f>
      </c>
      <c r="AF237" s="334">
        <f>AE237*$B$8/12</f>
      </c>
      <c r="AG237" s="334">
        <f>AE237*$B$12/12</f>
      </c>
      <c r="AH237" s="565">
        <f>(1+$AI$5)^(AC237/12)*(AG237+IF(AD237=$AM$7,$AM$4,0))</f>
      </c>
      <c r="AI237" s="170"/>
      <c r="AJ237" s="7"/>
      <c r="AK237" s="1"/>
      <c r="AL237" s="1"/>
      <c r="AM237" s="1"/>
    </row>
    <row x14ac:dyDescent="0.25" r="238" customHeight="1" ht="18.75">
      <c r="A238" s="1"/>
      <c r="B238" s="169"/>
      <c r="C238" s="170"/>
      <c r="D238" s="331">
        <v>231</v>
      </c>
      <c r="E238" s="544">
        <f>+DATE(YEAR(E237),MONTH(E237)-1,DAY(E237))</f>
        <v>25569.041666666668</v>
      </c>
      <c r="F238" s="333">
        <f>IF($C$6=$E238,1,IF(MONTH($E238)=1,F239*(1+$F$5),F239))</f>
      </c>
      <c r="G238" s="333">
        <f>F238*$B$8/12</f>
      </c>
      <c r="H238" s="333">
        <f>IF(F238=1,F238*$B$10/MIN(12,'Simulador - 3º Pilar'!$E$88),0)</f>
      </c>
      <c r="I238" s="560">
        <f>(1+$G$5)^(D238/12)*(H238+IF(E238=$N$7,$N$4,0))</f>
      </c>
      <c r="J238" s="561">
        <f>(1+$G$5)^(D238/12)*(H238*(12-IF(MONTH(E239)=12,0,MONTH(E239)))+IF(AND(F238=1,F239=0),$Q$4,0))*IF(AND(F238=1,F239=0),1,0)</f>
      </c>
      <c r="K238" s="217">
        <f>(1+$G$5)^(D238/12)*(IF(E238=$N$7,$N$4,0)+IF(E238=$C$6,$B$10,0))</f>
      </c>
      <c r="L238" s="217">
        <f>(1+$G$5)^(D238/12)*(IF((E238)&gt;($B$6),H238,0)+IF(E238=$N$7,$N$4,0)+IF(E238=$C$6,0,0))</f>
      </c>
      <c r="M238" s="1"/>
      <c r="N238" s="7"/>
      <c r="O238" s="1"/>
      <c r="P238" s="331">
        <v>231</v>
      </c>
      <c r="Q238" s="544">
        <f>+DATE(YEAR(Q237),MONTH(Q237)-1,DAY(Q237))</f>
        <v>25569.041666666668</v>
      </c>
      <c r="R238" s="341">
        <f>IF($Z$7=$E238,1,IF(MONTH($E238)=1,R239*(1+$F$5),R239))</f>
      </c>
      <c r="S238" s="334">
        <f>R238*$B$8/12</f>
      </c>
      <c r="T238" s="334">
        <f>R238*$B$11/12</f>
      </c>
      <c r="U238" s="565">
        <f>(1+$V$5)^(P238/12)*(T238+IF(Q238=$Z$7,$Z$4,0))</f>
      </c>
      <c r="V238" s="170"/>
      <c r="W238" s="7"/>
      <c r="X238" s="1"/>
      <c r="Y238" s="1"/>
      <c r="Z238" s="1"/>
      <c r="AA238" s="1"/>
      <c r="AB238" s="1"/>
      <c r="AC238" s="331">
        <v>231</v>
      </c>
      <c r="AD238" s="544">
        <f>+DATE(YEAR(AD237),MONTH(AD237)-1,DAY(AD237))</f>
        <v>25569.041666666668</v>
      </c>
      <c r="AE238" s="341">
        <f>IF($AM$7=$E238,1,IF(MONTH($E238)=1,AE239*(1+$F$5),AE239))</f>
      </c>
      <c r="AF238" s="334">
        <f>AE238*$B$8/12</f>
      </c>
      <c r="AG238" s="334">
        <f>AE238*$B$12/12</f>
      </c>
      <c r="AH238" s="565">
        <f>(1+$AI$5)^(AC238/12)*(AG238+IF(AD238=$AM$7,$AM$4,0))</f>
      </c>
      <c r="AI238" s="170"/>
      <c r="AJ238" s="7"/>
      <c r="AK238" s="1"/>
      <c r="AL238" s="1"/>
      <c r="AM238" s="1"/>
    </row>
    <row x14ac:dyDescent="0.25" r="239" customHeight="1" ht="18.75">
      <c r="A239" s="1"/>
      <c r="B239" s="169"/>
      <c r="C239" s="170"/>
      <c r="D239" s="331">
        <v>232</v>
      </c>
      <c r="E239" s="544">
        <f>+DATE(YEAR(E238),MONTH(E238)-1,DAY(E238))</f>
        <v>25569.041666666668</v>
      </c>
      <c r="F239" s="333">
        <f>IF($C$6=$E239,1,IF(MONTH($E239)=1,F240*(1+$F$5),F240))</f>
      </c>
      <c r="G239" s="333">
        <f>F239*$B$8/12</f>
      </c>
      <c r="H239" s="333">
        <f>IF(F239=1,F239*$B$10/MIN(12,'Simulador - 3º Pilar'!$E$88),0)</f>
      </c>
      <c r="I239" s="560">
        <f>(1+$G$5)^(D239/12)*(H239+IF(E239=$N$7,$N$4,0))</f>
      </c>
      <c r="J239" s="561">
        <f>(1+$G$5)^(D239/12)*(H239*(12-IF(MONTH(E240)=12,0,MONTH(E240)))+IF(AND(F239=1,F240=0),$Q$4,0))*IF(AND(F239=1,F240=0),1,0)</f>
      </c>
      <c r="K239" s="217">
        <f>(1+$G$5)^(D239/12)*(IF(E239=$N$7,$N$4,0)+IF(E239=$C$6,$B$10,0))</f>
      </c>
      <c r="L239" s="217">
        <f>(1+$G$5)^(D239/12)*(IF((E239)&gt;($B$6),H239,0)+IF(E239=$N$7,$N$4,0)+IF(E239=$C$6,0,0))</f>
      </c>
      <c r="M239" s="1"/>
      <c r="N239" s="7"/>
      <c r="O239" s="1"/>
      <c r="P239" s="331">
        <v>232</v>
      </c>
      <c r="Q239" s="544">
        <f>+DATE(YEAR(Q238),MONTH(Q238)-1,DAY(Q238))</f>
        <v>25569.041666666668</v>
      </c>
      <c r="R239" s="341">
        <f>IF($Z$7=$E239,1,IF(MONTH($E239)=1,R240*(1+$F$5),R240))</f>
      </c>
      <c r="S239" s="334">
        <f>R239*$B$8/12</f>
      </c>
      <c r="T239" s="334">
        <f>R239*$B$11/12</f>
      </c>
      <c r="U239" s="565">
        <f>(1+$V$5)^(P239/12)*(T239+IF(Q239=$Z$7,$Z$4,0))</f>
      </c>
      <c r="V239" s="170"/>
      <c r="W239" s="7"/>
      <c r="X239" s="1"/>
      <c r="Y239" s="1"/>
      <c r="Z239" s="1"/>
      <c r="AA239" s="1"/>
      <c r="AB239" s="1"/>
      <c r="AC239" s="331">
        <v>232</v>
      </c>
      <c r="AD239" s="544">
        <f>+DATE(YEAR(AD238),MONTH(AD238)-1,DAY(AD238))</f>
        <v>25569.041666666668</v>
      </c>
      <c r="AE239" s="341">
        <f>IF($AM$7=$E239,1,IF(MONTH($E239)=1,AE240*(1+$F$5),AE240))</f>
      </c>
      <c r="AF239" s="334">
        <f>AE239*$B$8/12</f>
      </c>
      <c r="AG239" s="334">
        <f>AE239*$B$12/12</f>
      </c>
      <c r="AH239" s="565">
        <f>(1+$AI$5)^(AC239/12)*(AG239+IF(AD239=$AM$7,$AM$4,0))</f>
      </c>
      <c r="AI239" s="170"/>
      <c r="AJ239" s="7"/>
      <c r="AK239" s="1"/>
      <c r="AL239" s="1"/>
      <c r="AM239" s="1"/>
    </row>
    <row x14ac:dyDescent="0.25" r="240" customHeight="1" ht="18.75">
      <c r="A240" s="1"/>
      <c r="B240" s="169"/>
      <c r="C240" s="170"/>
      <c r="D240" s="331">
        <v>233</v>
      </c>
      <c r="E240" s="544">
        <f>+DATE(YEAR(E239),MONTH(E239)-1,DAY(E239))</f>
        <v>25569.041666666668</v>
      </c>
      <c r="F240" s="333">
        <f>IF($C$6=$E240,1,IF(MONTH($E240)=1,F241*(1+$F$5),F241))</f>
      </c>
      <c r="G240" s="333">
        <f>F240*$B$8/12</f>
      </c>
      <c r="H240" s="333">
        <f>IF(F240=1,F240*$B$10/MIN(12,'Simulador - 3º Pilar'!$E$88),0)</f>
      </c>
      <c r="I240" s="560">
        <f>(1+$G$5)^(D240/12)*(H240+IF(E240=$N$7,$N$4,0))</f>
      </c>
      <c r="J240" s="561">
        <f>(1+$G$5)^(D240/12)*(H240*(12-IF(MONTH(E241)=12,0,MONTH(E241)))+IF(AND(F240=1,F241=0),$Q$4,0))*IF(AND(F240=1,F241=0),1,0)</f>
      </c>
      <c r="K240" s="217">
        <f>(1+$G$5)^(D240/12)*(IF(E240=$N$7,$N$4,0)+IF(E240=$C$6,$B$10,0))</f>
      </c>
      <c r="L240" s="217">
        <f>(1+$G$5)^(D240/12)*(IF((E240)&gt;($B$6),H240,0)+IF(E240=$N$7,$N$4,0)+IF(E240=$C$6,0,0))</f>
      </c>
      <c r="M240" s="1"/>
      <c r="N240" s="7"/>
      <c r="O240" s="1"/>
      <c r="P240" s="331">
        <v>233</v>
      </c>
      <c r="Q240" s="544">
        <f>+DATE(YEAR(Q239),MONTH(Q239)-1,DAY(Q239))</f>
        <v>25569.041666666668</v>
      </c>
      <c r="R240" s="341">
        <f>IF($Z$7=$E240,1,IF(MONTH($E240)=1,R241*(1+$F$5),R241))</f>
      </c>
      <c r="S240" s="334">
        <f>R240*$B$8/12</f>
      </c>
      <c r="T240" s="334">
        <f>R240*$B$11/12</f>
      </c>
      <c r="U240" s="565">
        <f>(1+$V$5)^(P240/12)*(T240+IF(Q240=$Z$7,$Z$4,0))</f>
      </c>
      <c r="V240" s="170"/>
      <c r="W240" s="7"/>
      <c r="X240" s="1"/>
      <c r="Y240" s="1"/>
      <c r="Z240" s="1"/>
      <c r="AA240" s="1"/>
      <c r="AB240" s="1"/>
      <c r="AC240" s="331">
        <v>233</v>
      </c>
      <c r="AD240" s="544">
        <f>+DATE(YEAR(AD239),MONTH(AD239)-1,DAY(AD239))</f>
        <v>25569.041666666668</v>
      </c>
      <c r="AE240" s="341">
        <f>IF($AM$7=$E240,1,IF(MONTH($E240)=1,AE241*(1+$F$5),AE241))</f>
      </c>
      <c r="AF240" s="334">
        <f>AE240*$B$8/12</f>
      </c>
      <c r="AG240" s="334">
        <f>AE240*$B$12/12</f>
      </c>
      <c r="AH240" s="565">
        <f>(1+$AI$5)^(AC240/12)*(AG240+IF(AD240=$AM$7,$AM$4,0))</f>
      </c>
      <c r="AI240" s="170"/>
      <c r="AJ240" s="7"/>
      <c r="AK240" s="1"/>
      <c r="AL240" s="1"/>
      <c r="AM240" s="1"/>
    </row>
    <row x14ac:dyDescent="0.25" r="241" customHeight="1" ht="18.75">
      <c r="A241" s="1"/>
      <c r="B241" s="169"/>
      <c r="C241" s="170"/>
      <c r="D241" s="331">
        <v>234</v>
      </c>
      <c r="E241" s="544">
        <f>+DATE(YEAR(E240),MONTH(E240)-1,DAY(E240))</f>
        <v>25569.041666666668</v>
      </c>
      <c r="F241" s="333">
        <f>IF($C$6=$E241,1,IF(MONTH($E241)=1,F242*(1+$F$5),F242))</f>
      </c>
      <c r="G241" s="333">
        <f>F241*$B$8/12</f>
      </c>
      <c r="H241" s="333">
        <f>IF(F241=1,F241*$B$10/MIN(12,'Simulador - 3º Pilar'!$E$88),0)</f>
      </c>
      <c r="I241" s="560">
        <f>(1+$G$5)^(D241/12)*(H241+IF(E241=$N$7,$N$4,0))</f>
      </c>
      <c r="J241" s="561">
        <f>(1+$G$5)^(D241/12)*(H241*(12-IF(MONTH(E242)=12,0,MONTH(E242)))+IF(AND(F241=1,F242=0),$Q$4,0))*IF(AND(F241=1,F242=0),1,0)</f>
      </c>
      <c r="K241" s="217">
        <f>(1+$G$5)^(D241/12)*(IF(E241=$N$7,$N$4,0)+IF(E241=$C$6,$B$10,0))</f>
      </c>
      <c r="L241" s="217">
        <f>(1+$G$5)^(D241/12)*(IF((E241)&gt;($B$6),H241,0)+IF(E241=$N$7,$N$4,0)+IF(E241=$C$6,0,0))</f>
      </c>
      <c r="M241" s="1"/>
      <c r="N241" s="7"/>
      <c r="O241" s="1"/>
      <c r="P241" s="331">
        <v>234</v>
      </c>
      <c r="Q241" s="544">
        <f>+DATE(YEAR(Q240),MONTH(Q240)-1,DAY(Q240))</f>
        <v>25569.041666666668</v>
      </c>
      <c r="R241" s="341">
        <f>IF($Z$7=$E241,1,IF(MONTH($E241)=1,R242*(1+$F$5),R242))</f>
      </c>
      <c r="S241" s="334">
        <f>R241*$B$8/12</f>
      </c>
      <c r="T241" s="334">
        <f>R241*$B$11/12</f>
      </c>
      <c r="U241" s="565">
        <f>(1+$V$5)^(P241/12)*(T241+IF(Q241=$Z$7,$Z$4,0))</f>
      </c>
      <c r="V241" s="170"/>
      <c r="W241" s="7"/>
      <c r="X241" s="1"/>
      <c r="Y241" s="1"/>
      <c r="Z241" s="1"/>
      <c r="AA241" s="1"/>
      <c r="AB241" s="1"/>
      <c r="AC241" s="331">
        <v>234</v>
      </c>
      <c r="AD241" s="544">
        <f>+DATE(YEAR(AD240),MONTH(AD240)-1,DAY(AD240))</f>
        <v>25569.041666666668</v>
      </c>
      <c r="AE241" s="341">
        <f>IF($AM$7=$E241,1,IF(MONTH($E241)=1,AE242*(1+$F$5),AE242))</f>
      </c>
      <c r="AF241" s="334">
        <f>AE241*$B$8/12</f>
      </c>
      <c r="AG241" s="334">
        <f>AE241*$B$12/12</f>
      </c>
      <c r="AH241" s="565">
        <f>(1+$AI$5)^(AC241/12)*(AG241+IF(AD241=$AM$7,$AM$4,0))</f>
      </c>
      <c r="AI241" s="170"/>
      <c r="AJ241" s="7"/>
      <c r="AK241" s="1"/>
      <c r="AL241" s="1"/>
      <c r="AM241" s="1"/>
    </row>
    <row x14ac:dyDescent="0.25" r="242" customHeight="1" ht="18.75">
      <c r="A242" s="1"/>
      <c r="B242" s="169"/>
      <c r="C242" s="170"/>
      <c r="D242" s="331">
        <v>235</v>
      </c>
      <c r="E242" s="544">
        <f>+DATE(YEAR(E241),MONTH(E241)-1,DAY(E241))</f>
        <v>25569.041666666668</v>
      </c>
      <c r="F242" s="333">
        <f>IF($C$6=$E242,1,IF(MONTH($E242)=1,F243*(1+$F$5),F243))</f>
      </c>
      <c r="G242" s="333">
        <f>F242*$B$8/12</f>
      </c>
      <c r="H242" s="333">
        <f>IF(F242=1,F242*$B$10/MIN(12,'Simulador - 3º Pilar'!$E$88),0)</f>
      </c>
      <c r="I242" s="560">
        <f>(1+$G$5)^(D242/12)*(H242+IF(E242=$N$7,$N$4,0))</f>
      </c>
      <c r="J242" s="561">
        <f>(1+$G$5)^(D242/12)*(H242*(12-IF(MONTH(E243)=12,0,MONTH(E243)))+IF(AND(F242=1,F243=0),$Q$4,0))*IF(AND(F242=1,F243=0),1,0)</f>
      </c>
      <c r="K242" s="217">
        <f>(1+$G$5)^(D242/12)*(IF(E242=$N$7,$N$4,0)+IF(E242=$C$6,$B$10,0))</f>
      </c>
      <c r="L242" s="217">
        <f>(1+$G$5)^(D242/12)*(IF((E242)&gt;($B$6),H242,0)+IF(E242=$N$7,$N$4,0)+IF(E242=$C$6,0,0))</f>
      </c>
      <c r="M242" s="1"/>
      <c r="N242" s="7"/>
      <c r="O242" s="1"/>
      <c r="P242" s="331">
        <v>235</v>
      </c>
      <c r="Q242" s="544">
        <f>+DATE(YEAR(Q241),MONTH(Q241)-1,DAY(Q241))</f>
        <v>25569.041666666668</v>
      </c>
      <c r="R242" s="341">
        <f>IF($Z$7=$E242,1,IF(MONTH($E242)=1,R243*(1+$F$5),R243))</f>
      </c>
      <c r="S242" s="334">
        <f>R242*$B$8/12</f>
      </c>
      <c r="T242" s="334">
        <f>R242*$B$11/12</f>
      </c>
      <c r="U242" s="565">
        <f>(1+$V$5)^(P242/12)*(T242+IF(Q242=$Z$7,$Z$4,0))</f>
      </c>
      <c r="V242" s="170"/>
      <c r="W242" s="7"/>
      <c r="X242" s="1"/>
      <c r="Y242" s="1"/>
      <c r="Z242" s="1"/>
      <c r="AA242" s="1"/>
      <c r="AB242" s="1"/>
      <c r="AC242" s="331">
        <v>235</v>
      </c>
      <c r="AD242" s="544">
        <f>+DATE(YEAR(AD241),MONTH(AD241)-1,DAY(AD241))</f>
        <v>25569.041666666668</v>
      </c>
      <c r="AE242" s="341">
        <f>IF($AM$7=$E242,1,IF(MONTH($E242)=1,AE243*(1+$F$5),AE243))</f>
      </c>
      <c r="AF242" s="334">
        <f>AE242*$B$8/12</f>
      </c>
      <c r="AG242" s="334">
        <f>AE242*$B$12/12</f>
      </c>
      <c r="AH242" s="565">
        <f>(1+$AI$5)^(AC242/12)*(AG242+IF(AD242=$AM$7,$AM$4,0))</f>
      </c>
      <c r="AI242" s="170"/>
      <c r="AJ242" s="7"/>
      <c r="AK242" s="1"/>
      <c r="AL242" s="1"/>
      <c r="AM242" s="1"/>
    </row>
    <row x14ac:dyDescent="0.25" r="243" customHeight="1" ht="18.75">
      <c r="A243" s="1"/>
      <c r="B243" s="169"/>
      <c r="C243" s="170"/>
      <c r="D243" s="331">
        <v>236</v>
      </c>
      <c r="E243" s="544">
        <f>+DATE(YEAR(E242),MONTH(E242)-1,DAY(E242))</f>
        <v>25569.041666666668</v>
      </c>
      <c r="F243" s="333">
        <f>IF($C$6=$E243,1,IF(MONTH($E243)=1,F244*(1+$F$5),F244))</f>
      </c>
      <c r="G243" s="333">
        <f>F243*$B$8/12</f>
      </c>
      <c r="H243" s="333">
        <f>IF(F243=1,F243*$B$10/MIN(12,'Simulador - 3º Pilar'!$E$88),0)</f>
      </c>
      <c r="I243" s="560">
        <f>(1+$G$5)^(D243/12)*(H243+IF(E243=$N$7,$N$4,0))</f>
      </c>
      <c r="J243" s="561">
        <f>(1+$G$5)^(D243/12)*(H243*(12-IF(MONTH(E244)=12,0,MONTH(E244)))+IF(AND(F243=1,F244=0),$Q$4,0))*IF(AND(F243=1,F244=0),1,0)</f>
      </c>
      <c r="K243" s="217">
        <f>(1+$G$5)^(D243/12)*(IF(E243=$N$7,$N$4,0)+IF(E243=$C$6,$B$10,0))</f>
      </c>
      <c r="L243" s="217">
        <f>(1+$G$5)^(D243/12)*(IF((E243)&gt;($B$6),H243,0)+IF(E243=$N$7,$N$4,0)+IF(E243=$C$6,0,0))</f>
      </c>
      <c r="M243" s="1"/>
      <c r="N243" s="7"/>
      <c r="O243" s="1"/>
      <c r="P243" s="331">
        <v>236</v>
      </c>
      <c r="Q243" s="544">
        <f>+DATE(YEAR(Q242),MONTH(Q242)-1,DAY(Q242))</f>
        <v>25569.041666666668</v>
      </c>
      <c r="R243" s="341">
        <f>IF($Z$7=$E243,1,IF(MONTH($E243)=1,R244*(1+$F$5),R244))</f>
      </c>
      <c r="S243" s="334">
        <f>R243*$B$8/12</f>
      </c>
      <c r="T243" s="334">
        <f>R243*$B$11/12</f>
      </c>
      <c r="U243" s="565">
        <f>(1+$V$5)^(P243/12)*(T243+IF(Q243=$Z$7,$Z$4,0))</f>
      </c>
      <c r="V243" s="170"/>
      <c r="W243" s="7"/>
      <c r="X243" s="1"/>
      <c r="Y243" s="1"/>
      <c r="Z243" s="1"/>
      <c r="AA243" s="1"/>
      <c r="AB243" s="1"/>
      <c r="AC243" s="331">
        <v>236</v>
      </c>
      <c r="AD243" s="544">
        <f>+DATE(YEAR(AD242),MONTH(AD242)-1,DAY(AD242))</f>
        <v>25569.041666666668</v>
      </c>
      <c r="AE243" s="341">
        <f>IF($AM$7=$E243,1,IF(MONTH($E243)=1,AE244*(1+$F$5),AE244))</f>
      </c>
      <c r="AF243" s="334">
        <f>AE243*$B$8/12</f>
      </c>
      <c r="AG243" s="334">
        <f>AE243*$B$12/12</f>
      </c>
      <c r="AH243" s="565">
        <f>(1+$AI$5)^(AC243/12)*(AG243+IF(AD243=$AM$7,$AM$4,0))</f>
      </c>
      <c r="AI243" s="170"/>
      <c r="AJ243" s="7"/>
      <c r="AK243" s="1"/>
      <c r="AL243" s="1"/>
      <c r="AM243" s="1"/>
    </row>
    <row x14ac:dyDescent="0.25" r="244" customHeight="1" ht="18.75">
      <c r="A244" s="1"/>
      <c r="B244" s="169"/>
      <c r="C244" s="170"/>
      <c r="D244" s="331">
        <v>237</v>
      </c>
      <c r="E244" s="544">
        <f>+DATE(YEAR(E243),MONTH(E243)-1,DAY(E243))</f>
        <v>25569.041666666668</v>
      </c>
      <c r="F244" s="333">
        <f>IF($C$6=$E244,1,IF(MONTH($E244)=1,F245*(1+$F$5),F245))</f>
      </c>
      <c r="G244" s="333">
        <f>F244*$B$8/12</f>
      </c>
      <c r="H244" s="333">
        <f>IF(F244=1,F244*$B$10/MIN(12,'Simulador - 3º Pilar'!$E$88),0)</f>
      </c>
      <c r="I244" s="560">
        <f>(1+$G$5)^(D244/12)*(H244+IF(E244=$N$7,$N$4,0))</f>
      </c>
      <c r="J244" s="566">
        <f>(1+$G$5)^(D244/12)*(H244*(12-IF(MONTH(E245)=12,0,MONTH(E245)))+IF(AND(F244=1,F245=0),$Q$4,0))*IF(AND(F244=1,F245=0),1,0)</f>
      </c>
      <c r="K244" s="217">
        <f>(1+$G$5)^(D244/12)*(IF(E244=$N$7,$N$4,0)+IF(E244=$C$6,$B$10,0))</f>
      </c>
      <c r="L244" s="217">
        <f>(1+$G$5)^(D244/12)*(IF((E244)&gt;($B$6),H244,0)+IF(E244=$N$7,$N$4,0)+IF(E244=$C$6,0,0))</f>
      </c>
      <c r="M244" s="1"/>
      <c r="N244" s="7"/>
      <c r="O244" s="1"/>
      <c r="P244" s="331">
        <v>237</v>
      </c>
      <c r="Q244" s="544">
        <f>+DATE(YEAR(Q243),MONTH(Q243)-1,DAY(Q243))</f>
        <v>25569.041666666668</v>
      </c>
      <c r="R244" s="341">
        <f>IF($Z$7=$E244,1,IF(MONTH($E244)=1,R245*(1+$F$5),R245))</f>
      </c>
      <c r="S244" s="334">
        <f>R244*$B$8/12</f>
      </c>
      <c r="T244" s="334">
        <f>R244*$B$11/12</f>
      </c>
      <c r="U244" s="565">
        <f>(1+$V$5)^(P244/12)*(T244+IF(Q244=$Z$7,$Z$4,0))</f>
      </c>
      <c r="V244" s="170"/>
      <c r="W244" s="7"/>
      <c r="X244" s="1"/>
      <c r="Y244" s="1"/>
      <c r="Z244" s="1"/>
      <c r="AA244" s="1"/>
      <c r="AB244" s="1"/>
      <c r="AC244" s="331">
        <v>237</v>
      </c>
      <c r="AD244" s="544">
        <f>+DATE(YEAR(AD243),MONTH(AD243)-1,DAY(AD243))</f>
        <v>25569.041666666668</v>
      </c>
      <c r="AE244" s="341">
        <f>IF($AM$7=$E244,1,IF(MONTH($E244)=1,AE245*(1+$F$5),AE245))</f>
      </c>
      <c r="AF244" s="334">
        <f>AE244*$B$8/12</f>
      </c>
      <c r="AG244" s="334">
        <f>AE244*$B$12/12</f>
      </c>
      <c r="AH244" s="565">
        <f>(1+$AI$5)^(AC244/12)*(AG244+IF(AD244=$AM$7,$AM$4,0))</f>
      </c>
      <c r="AI244" s="170"/>
      <c r="AJ244" s="7"/>
      <c r="AK244" s="1"/>
      <c r="AL244" s="1"/>
      <c r="AM244" s="1"/>
    </row>
    <row x14ac:dyDescent="0.25" r="245" customHeight="1" ht="18.75">
      <c r="A245" s="1"/>
      <c r="B245" s="169"/>
      <c r="C245" s="170"/>
      <c r="D245" s="331">
        <v>238</v>
      </c>
      <c r="E245" s="544">
        <f>+DATE(YEAR(E244),MONTH(E244)-1,DAY(E244))</f>
        <v>25569.041666666668</v>
      </c>
      <c r="F245" s="333">
        <f>IF($C$6=$E245,1,IF(MONTH($E245)=1,F246*(1+$F$5),F246))</f>
      </c>
      <c r="G245" s="333">
        <f>F245*$B$8/12</f>
      </c>
      <c r="H245" s="333">
        <f>IF(F245=1,F245*$B$10/MIN(12,'Simulador - 3º Pilar'!$E$88),0)</f>
      </c>
      <c r="I245" s="560">
        <f>(1+$G$5)^(D245/12)*(H245+IF(E245=$N$7,$N$4,0))</f>
      </c>
      <c r="J245" s="561">
        <f>(1+$G$5)^(D245/12)*(H245*(12-IF(MONTH(E246)=12,0,MONTH(E246)))+IF(AND(F245=1,F246=0),$Q$4,0))*IF(AND(F245=1,F246=0),1,0)</f>
      </c>
      <c r="K245" s="217">
        <f>(1+$G$5)^(D245/12)*(IF(E245=$N$7,$N$4,0)+IF(E245=$C$6,$B$10,0))</f>
      </c>
      <c r="L245" s="217">
        <f>(1+$G$5)^(D245/12)*(IF((E245)&gt;($B$6),H245,0)+IF(E245=$N$7,$N$4,0)+IF(E245=$C$6,0,0))</f>
      </c>
      <c r="M245" s="1"/>
      <c r="N245" s="7"/>
      <c r="O245" s="1"/>
      <c r="P245" s="331">
        <v>238</v>
      </c>
      <c r="Q245" s="544">
        <f>+DATE(YEAR(Q244),MONTH(Q244)-1,DAY(Q244))</f>
        <v>25569.041666666668</v>
      </c>
      <c r="R245" s="341">
        <f>IF($Z$7=$E245,1,IF(MONTH($E245)=1,R246*(1+$F$5),R246))</f>
      </c>
      <c r="S245" s="334">
        <f>R245*$B$8/12</f>
      </c>
      <c r="T245" s="334">
        <f>R245*$B$11/12</f>
      </c>
      <c r="U245" s="565">
        <f>(1+$V$5)^(P245/12)*(T245+IF(Q245=$Z$7,$Z$4,0))</f>
      </c>
      <c r="V245" s="170"/>
      <c r="W245" s="7"/>
      <c r="X245" s="1"/>
      <c r="Y245" s="1"/>
      <c r="Z245" s="1"/>
      <c r="AA245" s="1"/>
      <c r="AB245" s="1"/>
      <c r="AC245" s="331">
        <v>238</v>
      </c>
      <c r="AD245" s="544">
        <f>+DATE(YEAR(AD244),MONTH(AD244)-1,DAY(AD244))</f>
        <v>25569.041666666668</v>
      </c>
      <c r="AE245" s="341">
        <f>IF($AM$7=$E245,1,IF(MONTH($E245)=1,AE246*(1+$F$5),AE246))</f>
      </c>
      <c r="AF245" s="334">
        <f>AE245*$B$8/12</f>
      </c>
      <c r="AG245" s="334">
        <f>AE245*$B$12/12</f>
      </c>
      <c r="AH245" s="565">
        <f>(1+$AI$5)^(AC245/12)*(AG245+IF(AD245=$AM$7,$AM$4,0))</f>
      </c>
      <c r="AI245" s="170"/>
      <c r="AJ245" s="7"/>
      <c r="AK245" s="1"/>
      <c r="AL245" s="1"/>
      <c r="AM245" s="1"/>
    </row>
    <row x14ac:dyDescent="0.25" r="246" customHeight="1" ht="18.75">
      <c r="A246" s="1"/>
      <c r="B246" s="169"/>
      <c r="C246" s="170"/>
      <c r="D246" s="331">
        <v>239</v>
      </c>
      <c r="E246" s="544">
        <f>+DATE(YEAR(E245),MONTH(E245)-1,DAY(E245))</f>
        <v>25569.041666666668</v>
      </c>
      <c r="F246" s="333">
        <f>IF($C$6=$E246,1,IF(MONTH($E246)=1,F247*(1+$F$5),F247))</f>
      </c>
      <c r="G246" s="333">
        <f>F246*$B$8/12</f>
      </c>
      <c r="H246" s="333">
        <f>IF(F246=1,F246*$B$10/MIN(12,'Simulador - 3º Pilar'!$E$88),0)</f>
      </c>
      <c r="I246" s="560">
        <f>(1+$G$5)^(D246/12)*(H246+IF(E246=$N$7,$N$4,0))</f>
      </c>
      <c r="J246" s="561">
        <f>(1+$G$5)^(D246/12)*(H246*(12-IF(MONTH(E247)=12,0,MONTH(E247)))+IF(AND(F246=1,F247=0),$Q$4,0))*IF(AND(F246=1,F247=0),1,0)</f>
      </c>
      <c r="K246" s="217">
        <f>(1+$G$5)^(D246/12)*(IF(E246=$N$7,$N$4,0)+IF(E246=$C$6,$B$10,0))</f>
      </c>
      <c r="L246" s="217">
        <f>(1+$G$5)^(D246/12)*(IF((E246)&gt;($B$6),H246,0)+IF(E246=$N$7,$N$4,0)+IF(E246=$C$6,0,0))</f>
      </c>
      <c r="M246" s="1"/>
      <c r="N246" s="7"/>
      <c r="O246" s="1"/>
      <c r="P246" s="331">
        <v>239</v>
      </c>
      <c r="Q246" s="544">
        <f>+DATE(YEAR(Q245),MONTH(Q245)-1,DAY(Q245))</f>
        <v>25569.041666666668</v>
      </c>
      <c r="R246" s="341">
        <f>IF($Z$7=$E246,1,IF(MONTH($E246)=1,R247*(1+$F$5),R247))</f>
      </c>
      <c r="S246" s="334">
        <f>R246*$B$8/12</f>
      </c>
      <c r="T246" s="334">
        <f>R246*$B$11/12</f>
      </c>
      <c r="U246" s="565">
        <f>(1+$V$5)^(P246/12)*(T246+IF(Q246=$Z$7,$Z$4,0))</f>
      </c>
      <c r="V246" s="170"/>
      <c r="W246" s="7"/>
      <c r="X246" s="1"/>
      <c r="Y246" s="1"/>
      <c r="Z246" s="1"/>
      <c r="AA246" s="1"/>
      <c r="AB246" s="1"/>
      <c r="AC246" s="331">
        <v>239</v>
      </c>
      <c r="AD246" s="544">
        <f>+DATE(YEAR(AD245),MONTH(AD245)-1,DAY(AD245))</f>
        <v>25569.041666666668</v>
      </c>
      <c r="AE246" s="341">
        <f>IF($AM$7=$E246,1,IF(MONTH($E246)=1,AE247*(1+$F$5),AE247))</f>
      </c>
      <c r="AF246" s="334">
        <f>AE246*$B$8/12</f>
      </c>
      <c r="AG246" s="334">
        <f>AE246*$B$12/12</f>
      </c>
      <c r="AH246" s="565">
        <f>(1+$AI$5)^(AC246/12)*(AG246+IF(AD246=$AM$7,$AM$4,0))</f>
      </c>
      <c r="AI246" s="170"/>
      <c r="AJ246" s="7"/>
      <c r="AK246" s="1"/>
      <c r="AL246" s="1"/>
      <c r="AM246" s="1"/>
    </row>
    <row x14ac:dyDescent="0.25" r="247" customHeight="1" ht="18.75">
      <c r="A247" s="1"/>
      <c r="B247" s="169"/>
      <c r="C247" s="170"/>
      <c r="D247" s="331">
        <v>240</v>
      </c>
      <c r="E247" s="544">
        <f>+DATE(YEAR(E246),MONTH(E246)-1,DAY(E246))</f>
        <v>25569.041666666668</v>
      </c>
      <c r="F247" s="333">
        <f>IF($C$6=$E247,1,IF(MONTH($E247)=1,F248*(1+$F$5),F248))</f>
      </c>
      <c r="G247" s="333">
        <f>F247*$B$8/12</f>
      </c>
      <c r="H247" s="333">
        <f>IF(F247=1,F247*$B$10/MIN(12,'Simulador - 3º Pilar'!$E$88),0)</f>
      </c>
      <c r="I247" s="560">
        <f>(1+$G$5)^(D247/12)*(H247+IF(E247=$N$7,$N$4,0))</f>
      </c>
      <c r="J247" s="561">
        <f>(1+$G$5)^(D247/12)*(H247*(12-IF(MONTH(E248)=12,0,MONTH(E248)))+IF(AND(F247=1,F248=0),$Q$4,0))*IF(AND(F247=1,F248=0),1,0)</f>
      </c>
      <c r="K247" s="217">
        <f>(1+$G$5)^(D247/12)*(IF(E247=$N$7,$N$4,0)+IF(E247=$C$6,$B$10,0))</f>
      </c>
      <c r="L247" s="217">
        <f>(1+$G$5)^(D247/12)*(IF((E247)&gt;($B$6),H247,0)+IF(E247=$N$7,$N$4,0)+IF(E247=$C$6,0,0))</f>
      </c>
      <c r="M247" s="1"/>
      <c r="N247" s="7"/>
      <c r="O247" s="1"/>
      <c r="P247" s="331">
        <v>240</v>
      </c>
      <c r="Q247" s="544">
        <f>+DATE(YEAR(Q246),MONTH(Q246)-1,DAY(Q246))</f>
        <v>25569.041666666668</v>
      </c>
      <c r="R247" s="341">
        <f>IF($Z$7=$E247,1,IF(MONTH($E247)=1,R248*(1+$F$5),R248))</f>
      </c>
      <c r="S247" s="334">
        <f>R247*$B$8/12</f>
      </c>
      <c r="T247" s="334">
        <f>R247*$B$11/12</f>
      </c>
      <c r="U247" s="565">
        <f>(1+$V$5)^(P247/12)*(T247+IF(Q247=$Z$7,$Z$4,0))</f>
      </c>
      <c r="V247" s="170"/>
      <c r="W247" s="7"/>
      <c r="X247" s="1"/>
      <c r="Y247" s="1"/>
      <c r="Z247" s="1"/>
      <c r="AA247" s="1"/>
      <c r="AB247" s="1"/>
      <c r="AC247" s="331">
        <v>240</v>
      </c>
      <c r="AD247" s="544">
        <f>+DATE(YEAR(AD246),MONTH(AD246)-1,DAY(AD246))</f>
        <v>25569.041666666668</v>
      </c>
      <c r="AE247" s="341">
        <f>IF($AM$7=$E247,1,IF(MONTH($E247)=1,AE248*(1+$F$5),AE248))</f>
      </c>
      <c r="AF247" s="334">
        <f>AE247*$B$8/12</f>
      </c>
      <c r="AG247" s="334">
        <f>AE247*$B$12/12</f>
      </c>
      <c r="AH247" s="565">
        <f>(1+$AI$5)^(AC247/12)*(AG247+IF(AD247=$AM$7,$AM$4,0))</f>
      </c>
      <c r="AI247" s="170"/>
      <c r="AJ247" s="7"/>
      <c r="AK247" s="1"/>
      <c r="AL247" s="1"/>
      <c r="AM247" s="1"/>
    </row>
    <row x14ac:dyDescent="0.25" r="248" customHeight="1" ht="18.75">
      <c r="A248" s="1"/>
      <c r="B248" s="169"/>
      <c r="C248" s="170"/>
      <c r="D248" s="331">
        <v>241</v>
      </c>
      <c r="E248" s="544">
        <f>+DATE(YEAR(E247),MONTH(E247)-1,DAY(E247))</f>
        <v>25569.041666666668</v>
      </c>
      <c r="F248" s="333">
        <f>IF($C$6=$E248,1,IF(MONTH($E248)=1,F249*(1+$F$5),F249))</f>
      </c>
      <c r="G248" s="333">
        <f>F248*$B$8/12</f>
      </c>
      <c r="H248" s="333">
        <f>IF(F248=1,F248*$B$10/MIN(12,'Simulador - 3º Pilar'!$E$88),0)</f>
      </c>
      <c r="I248" s="560">
        <f>(1+$G$5)^(D248/12)*(H248+IF(E248=$N$7,$N$4,0))</f>
      </c>
      <c r="J248" s="561">
        <f>(1+$G$5)^(D248/12)*(H248*(12-IF(MONTH(E249)=12,0,MONTH(E249)))+IF(AND(F248=1,F249=0),$Q$4,0))*IF(AND(F248=1,F249=0),1,0)</f>
      </c>
      <c r="K248" s="217">
        <f>(1+$G$5)^(D248/12)*(IF(E248=$N$7,$N$4,0)+IF(E248=$C$6,$B$10,0))</f>
      </c>
      <c r="L248" s="217">
        <f>(1+$G$5)^(D248/12)*(IF((E248)&gt;($B$6),H248,0)+IF(E248=$N$7,$N$4,0)+IF(E248=$C$6,0,0))</f>
      </c>
      <c r="M248" s="1"/>
      <c r="N248" s="7"/>
      <c r="O248" s="1"/>
      <c r="P248" s="331">
        <v>241</v>
      </c>
      <c r="Q248" s="544">
        <f>+DATE(YEAR(Q247),MONTH(Q247)-1,DAY(Q247))</f>
        <v>25569.041666666668</v>
      </c>
      <c r="R248" s="341">
        <f>IF($Z$7=$E248,1,IF(MONTH($E248)=1,R249*(1+$F$5),R249))</f>
      </c>
      <c r="S248" s="334">
        <f>R248*$B$8/12</f>
      </c>
      <c r="T248" s="334">
        <f>R248*$B$11/12</f>
      </c>
      <c r="U248" s="565">
        <f>(1+$V$5)^(P248/12)*(T248+IF(Q248=$Z$7,$Z$4,0))</f>
      </c>
      <c r="V248" s="170"/>
      <c r="W248" s="7"/>
      <c r="X248" s="1"/>
      <c r="Y248" s="1"/>
      <c r="Z248" s="1"/>
      <c r="AA248" s="1"/>
      <c r="AB248" s="1"/>
      <c r="AC248" s="331">
        <v>241</v>
      </c>
      <c r="AD248" s="544">
        <f>+DATE(YEAR(AD247),MONTH(AD247)-1,DAY(AD247))</f>
        <v>25569.041666666668</v>
      </c>
      <c r="AE248" s="341">
        <f>IF($AM$7=$E248,1,IF(MONTH($E248)=1,AE249*(1+$F$5),AE249))</f>
      </c>
      <c r="AF248" s="334">
        <f>AE248*$B$8/12</f>
      </c>
      <c r="AG248" s="334">
        <f>AE248*$B$12/12</f>
      </c>
      <c r="AH248" s="565">
        <f>(1+$AI$5)^(AC248/12)*(AG248+IF(AD248=$AM$7,$AM$4,0))</f>
      </c>
      <c r="AI248" s="170"/>
      <c r="AJ248" s="7"/>
      <c r="AK248" s="1"/>
      <c r="AL248" s="1"/>
      <c r="AM248" s="1"/>
    </row>
    <row x14ac:dyDescent="0.25" r="249" customHeight="1" ht="18.75">
      <c r="A249" s="1"/>
      <c r="B249" s="169"/>
      <c r="C249" s="170"/>
      <c r="D249" s="331">
        <v>242</v>
      </c>
      <c r="E249" s="544">
        <f>+DATE(YEAR(E248),MONTH(E248)-1,DAY(E248))</f>
        <v>25569.041666666668</v>
      </c>
      <c r="F249" s="333">
        <f>IF($C$6=$E249,1,IF(MONTH($E249)=1,F250*(1+$F$5),F250))</f>
      </c>
      <c r="G249" s="333">
        <f>F249*$B$8/12</f>
      </c>
      <c r="H249" s="333">
        <f>IF(F249=1,F249*$B$10/MIN(12,'Simulador - 3º Pilar'!$E$88),0)</f>
      </c>
      <c r="I249" s="560">
        <f>(1+$G$5)^(D249/12)*(H249+IF(E249=$N$7,$N$4,0))</f>
      </c>
      <c r="J249" s="561">
        <f>(1+$G$5)^(D249/12)*(H249*(12-IF(MONTH(E250)=12,0,MONTH(E250)))+IF(AND(F249=1,F250=0),$Q$4,0))*IF(AND(F249=1,F250=0),1,0)</f>
      </c>
      <c r="K249" s="217">
        <f>(1+$G$5)^(D249/12)*(IF(E249=$N$7,$N$4,0)+IF(E249=$C$6,$B$10,0))</f>
      </c>
      <c r="L249" s="217">
        <f>(1+$G$5)^(D249/12)*(IF((E249)&gt;($B$6),H249,0)+IF(E249=$N$7,$N$4,0)+IF(E249=$C$6,0,0))</f>
      </c>
      <c r="M249" s="1"/>
      <c r="N249" s="7"/>
      <c r="O249" s="1"/>
      <c r="P249" s="331">
        <v>242</v>
      </c>
      <c r="Q249" s="544">
        <f>+DATE(YEAR(Q248),MONTH(Q248)-1,DAY(Q248))</f>
        <v>25569.041666666668</v>
      </c>
      <c r="R249" s="341">
        <f>IF($Z$7=$E249,1,IF(MONTH($E249)=1,R250*(1+$F$5),R250))</f>
      </c>
      <c r="S249" s="334">
        <f>R249*$B$8/12</f>
      </c>
      <c r="T249" s="334">
        <f>R249*$B$11/12</f>
      </c>
      <c r="U249" s="565">
        <f>(1+$V$5)^(P249/12)*(T249+IF(Q249=$Z$7,$Z$4,0))</f>
      </c>
      <c r="V249" s="170"/>
      <c r="W249" s="7"/>
      <c r="X249" s="1"/>
      <c r="Y249" s="1"/>
      <c r="Z249" s="1"/>
      <c r="AA249" s="1"/>
      <c r="AB249" s="1"/>
      <c r="AC249" s="331">
        <v>242</v>
      </c>
      <c r="AD249" s="544">
        <f>+DATE(YEAR(AD248),MONTH(AD248)-1,DAY(AD248))</f>
        <v>25569.041666666668</v>
      </c>
      <c r="AE249" s="341">
        <f>IF($AM$7=$E249,1,IF(MONTH($E249)=1,AE250*(1+$F$5),AE250))</f>
      </c>
      <c r="AF249" s="334">
        <f>AE249*$B$8/12</f>
      </c>
      <c r="AG249" s="334">
        <f>AE249*$B$12/12</f>
      </c>
      <c r="AH249" s="565">
        <f>(1+$AI$5)^(AC249/12)*(AG249+IF(AD249=$AM$7,$AM$4,0))</f>
      </c>
      <c r="AI249" s="170"/>
      <c r="AJ249" s="7"/>
      <c r="AK249" s="1"/>
      <c r="AL249" s="1"/>
      <c r="AM249" s="1"/>
    </row>
    <row x14ac:dyDescent="0.25" r="250" customHeight="1" ht="18.75">
      <c r="A250" s="1"/>
      <c r="B250" s="169"/>
      <c r="C250" s="170"/>
      <c r="D250" s="331">
        <v>243</v>
      </c>
      <c r="E250" s="544">
        <f>+DATE(YEAR(E249),MONTH(E249)-1,DAY(E249))</f>
        <v>25569.041666666668</v>
      </c>
      <c r="F250" s="333">
        <f>IF($C$6=$E250,1,IF(MONTH($E250)=1,F251*(1+$F$5),F251))</f>
      </c>
      <c r="G250" s="333">
        <f>F250*$B$8/12</f>
      </c>
      <c r="H250" s="333">
        <f>IF(F250=1,F250*$B$10/MIN(12,'Simulador - 3º Pilar'!$E$88),0)</f>
      </c>
      <c r="I250" s="560">
        <f>(1+$G$5)^(D250/12)*(H250+IF(E250=$N$7,$N$4,0))</f>
      </c>
      <c r="J250" s="561">
        <f>(1+$G$5)^(D250/12)*(H250*(12-IF(MONTH(E251)=12,0,MONTH(E251)))+IF(AND(F250=1,F251=0),$Q$4,0))*IF(AND(F250=1,F251=0),1,0)</f>
      </c>
      <c r="K250" s="217">
        <f>(1+$G$5)^(D250/12)*(IF(E250=$N$7,$N$4,0)+IF(E250=$C$6,$B$10,0))</f>
      </c>
      <c r="L250" s="217">
        <f>(1+$G$5)^(D250/12)*(IF((E250)&gt;($B$6),H250,0)+IF(E250=$N$7,$N$4,0)+IF(E250=$C$6,0,0))</f>
      </c>
      <c r="M250" s="1"/>
      <c r="N250" s="7"/>
      <c r="O250" s="1"/>
      <c r="P250" s="331">
        <v>243</v>
      </c>
      <c r="Q250" s="544">
        <f>+DATE(YEAR(Q249),MONTH(Q249)-1,DAY(Q249))</f>
        <v>25569.041666666668</v>
      </c>
      <c r="R250" s="341">
        <f>IF($Z$7=$E250,1,IF(MONTH($E250)=1,R251*(1+$F$5),R251))</f>
      </c>
      <c r="S250" s="334">
        <f>R250*$B$8/12</f>
      </c>
      <c r="T250" s="334">
        <f>R250*$B$11/12</f>
      </c>
      <c r="U250" s="565">
        <f>(1+$V$5)^(P250/12)*(T250+IF(Q250=$Z$7,$Z$4,0))</f>
      </c>
      <c r="V250" s="170"/>
      <c r="W250" s="7"/>
      <c r="X250" s="1"/>
      <c r="Y250" s="1"/>
      <c r="Z250" s="1"/>
      <c r="AA250" s="1"/>
      <c r="AB250" s="1"/>
      <c r="AC250" s="331">
        <v>243</v>
      </c>
      <c r="AD250" s="544">
        <f>+DATE(YEAR(AD249),MONTH(AD249)-1,DAY(AD249))</f>
        <v>25569.041666666668</v>
      </c>
      <c r="AE250" s="341">
        <f>IF($AM$7=$E250,1,IF(MONTH($E250)=1,AE251*(1+$F$5),AE251))</f>
      </c>
      <c r="AF250" s="334">
        <f>AE250*$B$8/12</f>
      </c>
      <c r="AG250" s="334">
        <f>AE250*$B$12/12</f>
      </c>
      <c r="AH250" s="565">
        <f>(1+$AI$5)^(AC250/12)*(AG250+IF(AD250=$AM$7,$AM$4,0))</f>
      </c>
      <c r="AI250" s="170"/>
      <c r="AJ250" s="7"/>
      <c r="AK250" s="1"/>
      <c r="AL250" s="1"/>
      <c r="AM250" s="1"/>
    </row>
    <row x14ac:dyDescent="0.25" r="251" customHeight="1" ht="18.75">
      <c r="A251" s="1"/>
      <c r="B251" s="169"/>
      <c r="C251" s="170"/>
      <c r="D251" s="331">
        <v>244</v>
      </c>
      <c r="E251" s="544">
        <f>+DATE(YEAR(E250),MONTH(E250)-1,DAY(E250))</f>
        <v>25569.041666666668</v>
      </c>
      <c r="F251" s="333">
        <f>IF($C$6=$E251,1,IF(MONTH($E251)=1,F252*(1+$F$5),F252))</f>
      </c>
      <c r="G251" s="333">
        <f>F251*$B$8/12</f>
      </c>
      <c r="H251" s="333">
        <f>IF(F251=1,F251*$B$10/MIN(12,'Simulador - 3º Pilar'!$E$88),0)</f>
      </c>
      <c r="I251" s="560">
        <f>(1+$G$5)^(D251/12)*(H251+IF(E251=$N$7,$N$4,0))</f>
      </c>
      <c r="J251" s="561">
        <f>(1+$G$5)^(D251/12)*(H251*(12-IF(MONTH(E252)=12,0,MONTH(E252)))+IF(AND(F251=1,F252=0),$Q$4,0))*IF(AND(F251=1,F252=0),1,0)</f>
      </c>
      <c r="K251" s="217">
        <f>(1+$G$5)^(D251/12)*(IF(E251=$N$7,$N$4,0)+IF(E251=$C$6,$B$10,0))</f>
      </c>
      <c r="L251" s="217">
        <f>(1+$G$5)^(D251/12)*(IF((E251)&gt;($B$6),H251,0)+IF(E251=$N$7,$N$4,0)+IF(E251=$C$6,0,0))</f>
      </c>
      <c r="M251" s="1"/>
      <c r="N251" s="7"/>
      <c r="O251" s="1"/>
      <c r="P251" s="331">
        <v>244</v>
      </c>
      <c r="Q251" s="544">
        <f>+DATE(YEAR(Q250),MONTH(Q250)-1,DAY(Q250))</f>
        <v>25569.041666666668</v>
      </c>
      <c r="R251" s="341">
        <f>IF($Z$7=$E251,1,IF(MONTH($E251)=1,R252*(1+$F$5),R252))</f>
      </c>
      <c r="S251" s="334">
        <f>R251*$B$8/12</f>
      </c>
      <c r="T251" s="334">
        <f>R251*$B$11/12</f>
      </c>
      <c r="U251" s="565">
        <f>(1+$V$5)^(P251/12)*(T251+IF(Q251=$Z$7,$Z$4,0))</f>
      </c>
      <c r="V251" s="170"/>
      <c r="W251" s="7"/>
      <c r="X251" s="1"/>
      <c r="Y251" s="1"/>
      <c r="Z251" s="1"/>
      <c r="AA251" s="1"/>
      <c r="AB251" s="1"/>
      <c r="AC251" s="331">
        <v>244</v>
      </c>
      <c r="AD251" s="544">
        <f>+DATE(YEAR(AD250),MONTH(AD250)-1,DAY(AD250))</f>
        <v>25569.041666666668</v>
      </c>
      <c r="AE251" s="341">
        <f>IF($AM$7=$E251,1,IF(MONTH($E251)=1,AE252*(1+$F$5),AE252))</f>
      </c>
      <c r="AF251" s="334">
        <f>AE251*$B$8/12</f>
      </c>
      <c r="AG251" s="334">
        <f>AE251*$B$12/12</f>
      </c>
      <c r="AH251" s="565">
        <f>(1+$AI$5)^(AC251/12)*(AG251+IF(AD251=$AM$7,$AM$4,0))</f>
      </c>
      <c r="AI251" s="170"/>
      <c r="AJ251" s="7"/>
      <c r="AK251" s="1"/>
      <c r="AL251" s="1"/>
      <c r="AM251" s="1"/>
    </row>
    <row x14ac:dyDescent="0.25" r="252" customHeight="1" ht="18.75">
      <c r="A252" s="1"/>
      <c r="B252" s="169"/>
      <c r="C252" s="170"/>
      <c r="D252" s="331">
        <v>245</v>
      </c>
      <c r="E252" s="544">
        <f>+DATE(YEAR(E251),MONTH(E251)-1,DAY(E251))</f>
        <v>25569.041666666668</v>
      </c>
      <c r="F252" s="333">
        <f>IF($C$6=$E252,1,IF(MONTH($E252)=1,F253*(1+$F$5),F253))</f>
      </c>
      <c r="G252" s="333">
        <f>F252*$B$8/12</f>
      </c>
      <c r="H252" s="333">
        <f>IF(F252=1,F252*$B$10/MIN(12,'Simulador - 3º Pilar'!$E$88),0)</f>
      </c>
      <c r="I252" s="560">
        <f>(1+$G$5)^(D252/12)*(H252+IF(E252=$N$7,$N$4,0))</f>
      </c>
      <c r="J252" s="561">
        <f>(1+$G$5)^(D252/12)*(H252*(12-IF(MONTH(E253)=12,0,MONTH(E253)))+IF(AND(F252=1,F253=0),$Q$4,0))*IF(AND(F252=1,F253=0),1,0)</f>
      </c>
      <c r="K252" s="217">
        <f>(1+$G$5)^(D252/12)*(IF(E252=$N$7,$N$4,0)+IF(E252=$C$6,$B$10,0))</f>
      </c>
      <c r="L252" s="217">
        <f>(1+$G$5)^(D252/12)*(IF((E252)&gt;($B$6),H252,0)+IF(E252=$N$7,$N$4,0)+IF(E252=$C$6,0,0))</f>
      </c>
      <c r="M252" s="1"/>
      <c r="N252" s="7"/>
      <c r="O252" s="1"/>
      <c r="P252" s="331">
        <v>245</v>
      </c>
      <c r="Q252" s="544">
        <f>+DATE(YEAR(Q251),MONTH(Q251)-1,DAY(Q251))</f>
        <v>25569.041666666668</v>
      </c>
      <c r="R252" s="341">
        <f>IF($Z$7=$E252,1,IF(MONTH($E252)=1,R253*(1+$F$5),R253))</f>
      </c>
      <c r="S252" s="334">
        <f>R252*$B$8/12</f>
      </c>
      <c r="T252" s="334">
        <f>R252*$B$11/12</f>
      </c>
      <c r="U252" s="565">
        <f>(1+$V$5)^(P252/12)*(T252+IF(Q252=$Z$7,$Z$4,0))</f>
      </c>
      <c r="V252" s="170"/>
      <c r="W252" s="7"/>
      <c r="X252" s="1"/>
      <c r="Y252" s="1"/>
      <c r="Z252" s="1"/>
      <c r="AA252" s="1"/>
      <c r="AB252" s="1"/>
      <c r="AC252" s="331">
        <v>245</v>
      </c>
      <c r="AD252" s="544">
        <f>+DATE(YEAR(AD251),MONTH(AD251)-1,DAY(AD251))</f>
        <v>25569.041666666668</v>
      </c>
      <c r="AE252" s="341">
        <f>IF($AM$7=$E252,1,IF(MONTH($E252)=1,AE253*(1+$F$5),AE253))</f>
      </c>
      <c r="AF252" s="334">
        <f>AE252*$B$8/12</f>
      </c>
      <c r="AG252" s="334">
        <f>AE252*$B$12/12</f>
      </c>
      <c r="AH252" s="565">
        <f>(1+$AI$5)^(AC252/12)*(AG252+IF(AD252=$AM$7,$AM$4,0))</f>
      </c>
      <c r="AI252" s="170"/>
      <c r="AJ252" s="7"/>
      <c r="AK252" s="1"/>
      <c r="AL252" s="1"/>
      <c r="AM252" s="1"/>
    </row>
    <row x14ac:dyDescent="0.25" r="253" customHeight="1" ht="18.75">
      <c r="A253" s="1"/>
      <c r="B253" s="169"/>
      <c r="C253" s="170"/>
      <c r="D253" s="331">
        <v>246</v>
      </c>
      <c r="E253" s="544">
        <f>+DATE(YEAR(E252),MONTH(E252)-1,DAY(E252))</f>
        <v>25569.041666666668</v>
      </c>
      <c r="F253" s="333">
        <f>IF($C$6=$E253,1,IF(MONTH($E253)=1,F254*(1+$F$5),F254))</f>
      </c>
      <c r="G253" s="333">
        <f>F253*$B$8/12</f>
      </c>
      <c r="H253" s="333">
        <f>IF(F253=1,F253*$B$10/MIN(12,'Simulador - 3º Pilar'!$E$88),0)</f>
      </c>
      <c r="I253" s="560">
        <f>(1+$G$5)^(D253/12)*(H253+IF(E253=$N$7,$N$4,0))</f>
      </c>
      <c r="J253" s="561">
        <f>(1+$G$5)^(D253/12)*(H253*(12-IF(MONTH(E254)=12,0,MONTH(E254)))+IF(AND(F253=1,F254=0),$Q$4,0))*IF(AND(F253=1,F254=0),1,0)</f>
      </c>
      <c r="K253" s="217">
        <f>(1+$G$5)^(D253/12)*(IF(E253=$N$7,$N$4,0)+IF(E253=$C$6,$B$10,0))</f>
      </c>
      <c r="L253" s="217">
        <f>(1+$G$5)^(D253/12)*(IF((E253)&gt;($B$6),H253,0)+IF(E253=$N$7,$N$4,0)+IF(E253=$C$6,0,0))</f>
      </c>
      <c r="M253" s="1"/>
      <c r="N253" s="7"/>
      <c r="O253" s="1"/>
      <c r="P253" s="331">
        <v>246</v>
      </c>
      <c r="Q253" s="544">
        <f>+DATE(YEAR(Q252),MONTH(Q252)-1,DAY(Q252))</f>
        <v>25569.041666666668</v>
      </c>
      <c r="R253" s="341">
        <f>IF($Z$7=$E253,1,IF(MONTH($E253)=1,R254*(1+$F$5),R254))</f>
      </c>
      <c r="S253" s="334">
        <f>R253*$B$8/12</f>
      </c>
      <c r="T253" s="334">
        <f>R253*$B$11/12</f>
      </c>
      <c r="U253" s="565">
        <f>(1+$V$5)^(P253/12)*(T253+IF(Q253=$Z$7,$Z$4,0))</f>
      </c>
      <c r="V253" s="170"/>
      <c r="W253" s="7"/>
      <c r="X253" s="1"/>
      <c r="Y253" s="1"/>
      <c r="Z253" s="1"/>
      <c r="AA253" s="1"/>
      <c r="AB253" s="1"/>
      <c r="AC253" s="331">
        <v>246</v>
      </c>
      <c r="AD253" s="544">
        <f>+DATE(YEAR(AD252),MONTH(AD252)-1,DAY(AD252))</f>
        <v>25569.041666666668</v>
      </c>
      <c r="AE253" s="341">
        <f>IF($AM$7=$E253,1,IF(MONTH($E253)=1,AE254*(1+$F$5),AE254))</f>
      </c>
      <c r="AF253" s="334">
        <f>AE253*$B$8/12</f>
      </c>
      <c r="AG253" s="334">
        <f>AE253*$B$12/12</f>
      </c>
      <c r="AH253" s="565">
        <f>(1+$AI$5)^(AC253/12)*(AG253+IF(AD253=$AM$7,$AM$4,0))</f>
      </c>
      <c r="AI253" s="170"/>
      <c r="AJ253" s="7"/>
      <c r="AK253" s="1"/>
      <c r="AL253" s="1"/>
      <c r="AM253" s="1"/>
    </row>
    <row x14ac:dyDescent="0.25" r="254" customHeight="1" ht="18.75">
      <c r="A254" s="1"/>
      <c r="B254" s="169"/>
      <c r="C254" s="170"/>
      <c r="D254" s="331">
        <v>247</v>
      </c>
      <c r="E254" s="544">
        <f>+DATE(YEAR(E253),MONTH(E253)-1,DAY(E253))</f>
        <v>25569.041666666668</v>
      </c>
      <c r="F254" s="333">
        <f>IF($C$6=$E254,1,IF(MONTH($E254)=1,F255*(1+$F$5),F255))</f>
      </c>
      <c r="G254" s="333">
        <f>F254*$B$8/12</f>
      </c>
      <c r="H254" s="333">
        <f>IF(F254=1,F254*$B$10/MIN(12,'Simulador - 3º Pilar'!$E$88),0)</f>
      </c>
      <c r="I254" s="560">
        <f>(1+$G$5)^(D254/12)*(H254+IF(E254=$N$7,$N$4,0))</f>
      </c>
      <c r="J254" s="561">
        <f>(1+$G$5)^(D254/12)*(H254*(12-IF(MONTH(E255)=12,0,MONTH(E255)))+IF(AND(F254=1,F255=0),$Q$4,0))*IF(AND(F254=1,F255=0),1,0)</f>
      </c>
      <c r="K254" s="217">
        <f>(1+$G$5)^(D254/12)*(IF(E254=$N$7,$N$4,0)+IF(E254=$C$6,$B$10,0))</f>
      </c>
      <c r="L254" s="217">
        <f>(1+$G$5)^(D254/12)*(IF((E254)&gt;($B$6),H254,0)+IF(E254=$N$7,$N$4,0)+IF(E254=$C$6,0,0))</f>
      </c>
      <c r="M254" s="1"/>
      <c r="N254" s="7"/>
      <c r="O254" s="1"/>
      <c r="P254" s="331">
        <v>247</v>
      </c>
      <c r="Q254" s="544">
        <f>+DATE(YEAR(Q253),MONTH(Q253)-1,DAY(Q253))</f>
        <v>25569.041666666668</v>
      </c>
      <c r="R254" s="341">
        <f>IF($Z$7=$E254,1,IF(MONTH($E254)=1,R255*(1+$F$5),R255))</f>
      </c>
      <c r="S254" s="334">
        <f>R254*$B$8/12</f>
      </c>
      <c r="T254" s="334">
        <f>R254*$B$11/12</f>
      </c>
      <c r="U254" s="565">
        <f>(1+$V$5)^(P254/12)*(T254+IF(Q254=$Z$7,$Z$4,0))</f>
      </c>
      <c r="V254" s="170"/>
      <c r="W254" s="7"/>
      <c r="X254" s="1"/>
      <c r="Y254" s="1"/>
      <c r="Z254" s="1"/>
      <c r="AA254" s="1"/>
      <c r="AB254" s="1"/>
      <c r="AC254" s="331">
        <v>247</v>
      </c>
      <c r="AD254" s="544">
        <f>+DATE(YEAR(AD253),MONTH(AD253)-1,DAY(AD253))</f>
        <v>25569.041666666668</v>
      </c>
      <c r="AE254" s="341">
        <f>IF($AM$7=$E254,1,IF(MONTH($E254)=1,AE255*(1+$F$5),AE255))</f>
      </c>
      <c r="AF254" s="334">
        <f>AE254*$B$8/12</f>
      </c>
      <c r="AG254" s="334">
        <f>AE254*$B$12/12</f>
      </c>
      <c r="AH254" s="565">
        <f>(1+$AI$5)^(AC254/12)*(AG254+IF(AD254=$AM$7,$AM$4,0))</f>
      </c>
      <c r="AI254" s="170"/>
      <c r="AJ254" s="7"/>
      <c r="AK254" s="1"/>
      <c r="AL254" s="1"/>
      <c r="AM254" s="1"/>
    </row>
    <row x14ac:dyDescent="0.25" r="255" customHeight="1" ht="18.75">
      <c r="A255" s="1"/>
      <c r="B255" s="169"/>
      <c r="C255" s="170"/>
      <c r="D255" s="331">
        <v>248</v>
      </c>
      <c r="E255" s="544">
        <f>+DATE(YEAR(E254),MONTH(E254)-1,DAY(E254))</f>
        <v>25569.041666666668</v>
      </c>
      <c r="F255" s="333">
        <f>IF($C$6=$E255,1,IF(MONTH($E255)=1,F256*(1+$F$5),F256))</f>
      </c>
      <c r="G255" s="333">
        <f>F255*$B$8/12</f>
      </c>
      <c r="H255" s="333">
        <f>IF(F255=1,F255*$B$10/MIN(12,'Simulador - 3º Pilar'!$E$88),0)</f>
      </c>
      <c r="I255" s="560">
        <f>(1+$G$5)^(D255/12)*(H255+IF(E255=$N$7,$N$4,0))</f>
      </c>
      <c r="J255" s="561">
        <f>(1+$G$5)^(D255/12)*(H255*(12-IF(MONTH(E256)=12,0,MONTH(E256)))+IF(AND(F255=1,F256=0),$Q$4,0))*IF(AND(F255=1,F256=0),1,0)</f>
      </c>
      <c r="K255" s="217">
        <f>(1+$G$5)^(D255/12)*(IF(E255=$N$7,$N$4,0)+IF(E255=$C$6,$B$10,0))</f>
      </c>
      <c r="L255" s="217">
        <f>(1+$G$5)^(D255/12)*(IF((E255)&gt;($B$6),H255,0)+IF(E255=$N$7,$N$4,0)+IF(E255=$C$6,0,0))</f>
      </c>
      <c r="M255" s="1"/>
      <c r="N255" s="7"/>
      <c r="O255" s="1"/>
      <c r="P255" s="331">
        <v>248</v>
      </c>
      <c r="Q255" s="544">
        <f>+DATE(YEAR(Q254),MONTH(Q254)-1,DAY(Q254))</f>
        <v>25569.041666666668</v>
      </c>
      <c r="R255" s="341">
        <f>IF($Z$7=$E255,1,IF(MONTH($E255)=1,R256*(1+$F$5),R256))</f>
      </c>
      <c r="S255" s="334">
        <f>R255*$B$8/12</f>
      </c>
      <c r="T255" s="334">
        <f>R255*$B$11/12</f>
      </c>
      <c r="U255" s="565">
        <f>(1+$V$5)^(P255/12)*(T255+IF(Q255=$Z$7,$Z$4,0))</f>
      </c>
      <c r="V255" s="170"/>
      <c r="W255" s="7"/>
      <c r="X255" s="1"/>
      <c r="Y255" s="1"/>
      <c r="Z255" s="1"/>
      <c r="AA255" s="1"/>
      <c r="AB255" s="1"/>
      <c r="AC255" s="331">
        <v>248</v>
      </c>
      <c r="AD255" s="544">
        <f>+DATE(YEAR(AD254),MONTH(AD254)-1,DAY(AD254))</f>
        <v>25569.041666666668</v>
      </c>
      <c r="AE255" s="341">
        <f>IF($AM$7=$E255,1,IF(MONTH($E255)=1,AE256*(1+$F$5),AE256))</f>
      </c>
      <c r="AF255" s="334">
        <f>AE255*$B$8/12</f>
      </c>
      <c r="AG255" s="334">
        <f>AE255*$B$12/12</f>
      </c>
      <c r="AH255" s="565">
        <f>(1+$AI$5)^(AC255/12)*(AG255+IF(AD255=$AM$7,$AM$4,0))</f>
      </c>
      <c r="AI255" s="170"/>
      <c r="AJ255" s="7"/>
      <c r="AK255" s="1"/>
      <c r="AL255" s="1"/>
      <c r="AM255" s="1"/>
    </row>
    <row x14ac:dyDescent="0.25" r="256" customHeight="1" ht="18.75">
      <c r="A256" s="1"/>
      <c r="B256" s="169"/>
      <c r="C256" s="170"/>
      <c r="D256" s="331">
        <v>249</v>
      </c>
      <c r="E256" s="544">
        <f>+DATE(YEAR(E255),MONTH(E255)-1,DAY(E255))</f>
        <v>25569.041666666668</v>
      </c>
      <c r="F256" s="333">
        <f>IF($C$6=$E256,1,IF(MONTH($E256)=1,F257*(1+$F$5),F257))</f>
      </c>
      <c r="G256" s="333">
        <f>F256*$B$8/12</f>
      </c>
      <c r="H256" s="333">
        <f>IF(F256=1,F256*$B$10/MIN(12,'Simulador - 3º Pilar'!$E$88),0)</f>
      </c>
      <c r="I256" s="560">
        <f>(1+$G$5)^(D256/12)*(H256+IF(E256=$N$7,$N$4,0))</f>
      </c>
      <c r="J256" s="561">
        <f>(1+$G$5)^(D256/12)*(H256*(12-IF(MONTH(E257)=12,0,MONTH(E257)))+IF(AND(F256=1,F257=0),$Q$4,0))*IF(AND(F256=1,F257=0),1,0)</f>
      </c>
      <c r="K256" s="217">
        <f>(1+$G$5)^(D256/12)*(IF(E256=$N$7,$N$4,0)+IF(E256=$C$6,$B$10,0))</f>
      </c>
      <c r="L256" s="217">
        <f>(1+$G$5)^(D256/12)*(IF((E256)&gt;($B$6),H256,0)+IF(E256=$N$7,$N$4,0)+IF(E256=$C$6,0,0))</f>
      </c>
      <c r="M256" s="1"/>
      <c r="N256" s="7"/>
      <c r="O256" s="1"/>
      <c r="P256" s="331">
        <v>249</v>
      </c>
      <c r="Q256" s="544">
        <f>+DATE(YEAR(Q255),MONTH(Q255)-1,DAY(Q255))</f>
        <v>25569.041666666668</v>
      </c>
      <c r="R256" s="341">
        <f>IF($Z$7=$E256,1,IF(MONTH($E256)=1,R257*(1+$F$5),R257))</f>
      </c>
      <c r="S256" s="334">
        <f>R256*$B$8/12</f>
      </c>
      <c r="T256" s="334">
        <f>R256*$B$11/12</f>
      </c>
      <c r="U256" s="565">
        <f>(1+$V$5)^(P256/12)*(T256+IF(Q256=$Z$7,$Z$4,0))</f>
      </c>
      <c r="V256" s="170"/>
      <c r="W256" s="7"/>
      <c r="X256" s="1"/>
      <c r="Y256" s="1"/>
      <c r="Z256" s="1"/>
      <c r="AA256" s="1"/>
      <c r="AB256" s="1"/>
      <c r="AC256" s="331">
        <v>249</v>
      </c>
      <c r="AD256" s="544">
        <f>+DATE(YEAR(AD255),MONTH(AD255)-1,DAY(AD255))</f>
        <v>25569.041666666668</v>
      </c>
      <c r="AE256" s="341">
        <f>IF($AM$7=$E256,1,IF(MONTH($E256)=1,AE257*(1+$F$5),AE257))</f>
      </c>
      <c r="AF256" s="334">
        <f>AE256*$B$8/12</f>
      </c>
      <c r="AG256" s="334">
        <f>AE256*$B$12/12</f>
      </c>
      <c r="AH256" s="565">
        <f>(1+$AI$5)^(AC256/12)*(AG256+IF(AD256=$AM$7,$AM$4,0))</f>
      </c>
      <c r="AI256" s="170"/>
      <c r="AJ256" s="7"/>
      <c r="AK256" s="1"/>
      <c r="AL256" s="1"/>
      <c r="AM256" s="1"/>
    </row>
    <row x14ac:dyDescent="0.25" r="257" customHeight="1" ht="18.75">
      <c r="A257" s="1"/>
      <c r="B257" s="169"/>
      <c r="C257" s="170"/>
      <c r="D257" s="331">
        <v>250</v>
      </c>
      <c r="E257" s="544">
        <f>+DATE(YEAR(E256),MONTH(E256)-1,DAY(E256))</f>
        <v>25569.041666666668</v>
      </c>
      <c r="F257" s="333">
        <f>IF($C$6=$E257,1,IF(MONTH($E257)=1,F258*(1+$F$5),F258))</f>
      </c>
      <c r="G257" s="333">
        <f>F257*$B$8/12</f>
      </c>
      <c r="H257" s="333">
        <f>IF(F257=1,F257*$B$10/MIN(12,'Simulador - 3º Pilar'!$E$88),0)</f>
      </c>
      <c r="I257" s="560">
        <f>(1+$G$5)^(D257/12)*(H257+IF(E257=$N$7,$N$4,0))</f>
      </c>
      <c r="J257" s="561">
        <f>(1+$G$5)^(D257/12)*(H257*(12-IF(MONTH(E258)=12,0,MONTH(E258)))+IF(AND(F257=1,F258=0),$Q$4,0))*IF(AND(F257=1,F258=0),1,0)</f>
      </c>
      <c r="K257" s="217">
        <f>(1+$G$5)^(D257/12)*(IF(E257=$N$7,$N$4,0)+IF(E257=$C$6,$B$10,0))</f>
      </c>
      <c r="L257" s="217">
        <f>(1+$G$5)^(D257/12)*(IF((E257)&gt;($B$6),H257,0)+IF(E257=$N$7,$N$4,0)+IF(E257=$C$6,0,0))</f>
      </c>
      <c r="M257" s="1"/>
      <c r="N257" s="7"/>
      <c r="O257" s="1"/>
      <c r="P257" s="331">
        <v>250</v>
      </c>
      <c r="Q257" s="544">
        <f>+DATE(YEAR(Q256),MONTH(Q256)-1,DAY(Q256))</f>
        <v>25569.041666666668</v>
      </c>
      <c r="R257" s="341">
        <f>IF($Z$7=$E257,1,IF(MONTH($E257)=1,R258*(1+$F$5),R258))</f>
      </c>
      <c r="S257" s="334">
        <f>R257*$B$8/12</f>
      </c>
      <c r="T257" s="334">
        <f>R257*$B$11/12</f>
      </c>
      <c r="U257" s="565">
        <f>(1+$V$5)^(P257/12)*(T257+IF(Q257=$Z$7,$Z$4,0))</f>
      </c>
      <c r="V257" s="170"/>
      <c r="W257" s="7"/>
      <c r="X257" s="1"/>
      <c r="Y257" s="1"/>
      <c r="Z257" s="1"/>
      <c r="AA257" s="1"/>
      <c r="AB257" s="1"/>
      <c r="AC257" s="331">
        <v>250</v>
      </c>
      <c r="AD257" s="544">
        <f>+DATE(YEAR(AD256),MONTH(AD256)-1,DAY(AD256))</f>
        <v>25569.041666666668</v>
      </c>
      <c r="AE257" s="341">
        <f>IF($AM$7=$E257,1,IF(MONTH($E257)=1,AE258*(1+$F$5),AE258))</f>
      </c>
      <c r="AF257" s="334">
        <f>AE257*$B$8/12</f>
      </c>
      <c r="AG257" s="334">
        <f>AE257*$B$12/12</f>
      </c>
      <c r="AH257" s="565">
        <f>(1+$AI$5)^(AC257/12)*(AG257+IF(AD257=$AM$7,$AM$4,0))</f>
      </c>
      <c r="AI257" s="170"/>
      <c r="AJ257" s="7"/>
      <c r="AK257" s="1"/>
      <c r="AL257" s="1"/>
      <c r="AM257" s="1"/>
    </row>
    <row x14ac:dyDescent="0.25" r="258" customHeight="1" ht="18.75">
      <c r="A258" s="1"/>
      <c r="B258" s="169"/>
      <c r="C258" s="170"/>
      <c r="D258" s="331">
        <v>251</v>
      </c>
      <c r="E258" s="544">
        <f>+DATE(YEAR(E257),MONTH(E257)-1,DAY(E257))</f>
        <v>25569.041666666668</v>
      </c>
      <c r="F258" s="333">
        <f>IF($C$6=$E258,1,IF(MONTH($E258)=1,F259*(1+$F$5),F259))</f>
      </c>
      <c r="G258" s="333">
        <f>F258*$B$8/12</f>
      </c>
      <c r="H258" s="333">
        <f>IF(F258=1,F258*$B$10/MIN(12,'Simulador - 3º Pilar'!$E$88),0)</f>
      </c>
      <c r="I258" s="560">
        <f>(1+$G$5)^(D258/12)*(H258+IF(E258=$N$7,$N$4,0))</f>
      </c>
      <c r="J258" s="561">
        <f>(1+$G$5)^(D258/12)*(H258*(12-IF(MONTH(E259)=12,0,MONTH(E259)))+IF(AND(F258=1,F259=0),$Q$4,0))*IF(AND(F258=1,F259=0),1,0)</f>
      </c>
      <c r="K258" s="217">
        <f>(1+$G$5)^(D258/12)*(IF(E258=$N$7,$N$4,0)+IF(E258=$C$6,$B$10,0))</f>
      </c>
      <c r="L258" s="217">
        <f>(1+$G$5)^(D258/12)*(IF((E258)&gt;($B$6),H258,0)+IF(E258=$N$7,$N$4,0)+IF(E258=$C$6,0,0))</f>
      </c>
      <c r="M258" s="1"/>
      <c r="N258" s="7"/>
      <c r="O258" s="1"/>
      <c r="P258" s="331">
        <v>251</v>
      </c>
      <c r="Q258" s="544">
        <f>+DATE(YEAR(Q257),MONTH(Q257)-1,DAY(Q257))</f>
        <v>25569.041666666668</v>
      </c>
      <c r="R258" s="341">
        <f>IF($Z$7=$E258,1,IF(MONTH($E258)=1,R259*(1+$F$5),R259))</f>
      </c>
      <c r="S258" s="334">
        <f>R258*$B$8/12</f>
      </c>
      <c r="T258" s="334">
        <f>R258*$B$11/12</f>
      </c>
      <c r="U258" s="565">
        <f>(1+$V$5)^(P258/12)*(T258+IF(Q258=$Z$7,$Z$4,0))</f>
      </c>
      <c r="V258" s="170"/>
      <c r="W258" s="7"/>
      <c r="X258" s="1"/>
      <c r="Y258" s="1"/>
      <c r="Z258" s="1"/>
      <c r="AA258" s="1"/>
      <c r="AB258" s="1"/>
      <c r="AC258" s="331">
        <v>251</v>
      </c>
      <c r="AD258" s="544">
        <f>+DATE(YEAR(AD257),MONTH(AD257)-1,DAY(AD257))</f>
        <v>25569.041666666668</v>
      </c>
      <c r="AE258" s="341">
        <f>IF($AM$7=$E258,1,IF(MONTH($E258)=1,AE259*(1+$F$5),AE259))</f>
      </c>
      <c r="AF258" s="334">
        <f>AE258*$B$8/12</f>
      </c>
      <c r="AG258" s="334">
        <f>AE258*$B$12/12</f>
      </c>
      <c r="AH258" s="565">
        <f>(1+$AI$5)^(AC258/12)*(AG258+IF(AD258=$AM$7,$AM$4,0))</f>
      </c>
      <c r="AI258" s="170"/>
      <c r="AJ258" s="7"/>
      <c r="AK258" s="1"/>
      <c r="AL258" s="1"/>
      <c r="AM258" s="1"/>
    </row>
    <row x14ac:dyDescent="0.25" r="259" customHeight="1" ht="18.75">
      <c r="A259" s="1"/>
      <c r="B259" s="169"/>
      <c r="C259" s="170"/>
      <c r="D259" s="331">
        <v>252</v>
      </c>
      <c r="E259" s="544">
        <f>+DATE(YEAR(E258),MONTH(E258)-1,DAY(E258))</f>
        <v>25569.041666666668</v>
      </c>
      <c r="F259" s="333">
        <f>IF($C$6=$E259,1,IF(MONTH($E259)=1,F260*(1+$F$5),F260))</f>
      </c>
      <c r="G259" s="333">
        <f>F259*$B$8/12</f>
      </c>
      <c r="H259" s="333">
        <f>IF(F259=1,F259*$B$10/MIN(12,'Simulador - 3º Pilar'!$E$88),0)</f>
      </c>
      <c r="I259" s="560">
        <f>(1+$G$5)^(D259/12)*(H259+IF(E259=$N$7,$N$4,0))</f>
      </c>
      <c r="J259" s="561">
        <f>(1+$G$5)^(D259/12)*(H259*(12-IF(MONTH(E260)=12,0,MONTH(E260)))+IF(AND(F259=1,F260=0),$Q$4,0))*IF(AND(F259=1,F260=0),1,0)</f>
      </c>
      <c r="K259" s="217">
        <f>(1+$G$5)^(D259/12)*(IF(E259=$N$7,$N$4,0)+IF(E259=$C$6,$B$10,0))</f>
      </c>
      <c r="L259" s="217">
        <f>(1+$G$5)^(D259/12)*(IF((E259)&gt;($B$6),H259,0)+IF(E259=$N$7,$N$4,0)+IF(E259=$C$6,0,0))</f>
      </c>
      <c r="M259" s="1"/>
      <c r="N259" s="7"/>
      <c r="O259" s="1"/>
      <c r="P259" s="331">
        <v>252</v>
      </c>
      <c r="Q259" s="544">
        <f>+DATE(YEAR(Q258),MONTH(Q258)-1,DAY(Q258))</f>
        <v>25569.041666666668</v>
      </c>
      <c r="R259" s="341">
        <f>IF($Z$7=$E259,1,IF(MONTH($E259)=1,R260*(1+$F$5),R260))</f>
      </c>
      <c r="S259" s="334">
        <f>R259*$B$8/12</f>
      </c>
      <c r="T259" s="334">
        <f>R259*$B$11/12</f>
      </c>
      <c r="U259" s="565">
        <f>(1+$V$5)^(P259/12)*(T259+IF(Q259=$Z$7,$Z$4,0))</f>
      </c>
      <c r="V259" s="170"/>
      <c r="W259" s="7"/>
      <c r="X259" s="1"/>
      <c r="Y259" s="1"/>
      <c r="Z259" s="1"/>
      <c r="AA259" s="1"/>
      <c r="AB259" s="1"/>
      <c r="AC259" s="331">
        <v>252</v>
      </c>
      <c r="AD259" s="544">
        <f>+DATE(YEAR(AD258),MONTH(AD258)-1,DAY(AD258))</f>
        <v>25569.041666666668</v>
      </c>
      <c r="AE259" s="341">
        <f>IF($AM$7=$E259,1,IF(MONTH($E259)=1,AE260*(1+$F$5),AE260))</f>
      </c>
      <c r="AF259" s="334">
        <f>AE259*$B$8/12</f>
      </c>
      <c r="AG259" s="334">
        <f>AE259*$B$12/12</f>
      </c>
      <c r="AH259" s="565">
        <f>(1+$AI$5)^(AC259/12)*(AG259+IF(AD259=$AM$7,$AM$4,0))</f>
      </c>
      <c r="AI259" s="170"/>
      <c r="AJ259" s="7"/>
      <c r="AK259" s="1"/>
      <c r="AL259" s="1"/>
      <c r="AM259" s="1"/>
    </row>
    <row x14ac:dyDescent="0.25" r="260" customHeight="1" ht="18.75">
      <c r="A260" s="1"/>
      <c r="B260" s="169"/>
      <c r="C260" s="170"/>
      <c r="D260" s="331">
        <v>253</v>
      </c>
      <c r="E260" s="544">
        <f>+DATE(YEAR(E259),MONTH(E259)-1,DAY(E259))</f>
        <v>25569.041666666668</v>
      </c>
      <c r="F260" s="333">
        <f>IF($C$6=$E260,1,IF(MONTH($E260)=1,F261*(1+$F$5),F261))</f>
      </c>
      <c r="G260" s="333">
        <f>F260*$B$8/12</f>
      </c>
      <c r="H260" s="333">
        <f>IF(F260=1,F260*$B$10/MIN(12,'Simulador - 3º Pilar'!$E$88),0)</f>
      </c>
      <c r="I260" s="560">
        <f>(1+$G$5)^(D260/12)*(H260+IF(E260=$N$7,$N$4,0))</f>
      </c>
      <c r="J260" s="561">
        <f>(1+$G$5)^(D260/12)*(H260*(12-IF(MONTH(E261)=12,0,MONTH(E261)))+IF(AND(F260=1,F261=0),$Q$4,0))*IF(AND(F260=1,F261=0),1,0)</f>
      </c>
      <c r="K260" s="217">
        <f>(1+$G$5)^(D260/12)*(IF(E260=$N$7,$N$4,0)+IF(E260=$C$6,$B$10,0))</f>
      </c>
      <c r="L260" s="217">
        <f>(1+$G$5)^(D260/12)*(IF((E260)&gt;($B$6),H260,0)+IF(E260=$N$7,$N$4,0)+IF(E260=$C$6,0,0))</f>
      </c>
      <c r="M260" s="1"/>
      <c r="N260" s="7"/>
      <c r="O260" s="1"/>
      <c r="P260" s="331">
        <v>253</v>
      </c>
      <c r="Q260" s="544">
        <f>+DATE(YEAR(Q259),MONTH(Q259)-1,DAY(Q259))</f>
        <v>25569.041666666668</v>
      </c>
      <c r="R260" s="341">
        <f>IF($Z$7=$E260,1,IF(MONTH($E260)=1,R261*(1+$F$5),R261))</f>
      </c>
      <c r="S260" s="334">
        <f>R260*$B$8/12</f>
      </c>
      <c r="T260" s="334">
        <f>R260*$B$11/12</f>
      </c>
      <c r="U260" s="565">
        <f>(1+$V$5)^(P260/12)*(T260+IF(Q260=$Z$7,$Z$4,0))</f>
      </c>
      <c r="V260" s="170"/>
      <c r="W260" s="7"/>
      <c r="X260" s="1"/>
      <c r="Y260" s="1"/>
      <c r="Z260" s="1"/>
      <c r="AA260" s="1"/>
      <c r="AB260" s="1"/>
      <c r="AC260" s="331">
        <v>253</v>
      </c>
      <c r="AD260" s="544">
        <f>+DATE(YEAR(AD259),MONTH(AD259)-1,DAY(AD259))</f>
        <v>25569.041666666668</v>
      </c>
      <c r="AE260" s="341">
        <f>IF($AM$7=$E260,1,IF(MONTH($E260)=1,AE261*(1+$F$5),AE261))</f>
      </c>
      <c r="AF260" s="334">
        <f>AE260*$B$8/12</f>
      </c>
      <c r="AG260" s="334">
        <f>AE260*$B$12/12</f>
      </c>
      <c r="AH260" s="565">
        <f>(1+$AI$5)^(AC260/12)*(AG260+IF(AD260=$AM$7,$AM$4,0))</f>
      </c>
      <c r="AI260" s="170"/>
      <c r="AJ260" s="7"/>
      <c r="AK260" s="1"/>
      <c r="AL260" s="1"/>
      <c r="AM260" s="1"/>
    </row>
    <row x14ac:dyDescent="0.25" r="261" customHeight="1" ht="18.75">
      <c r="A261" s="1"/>
      <c r="B261" s="169"/>
      <c r="C261" s="170"/>
      <c r="D261" s="331">
        <v>254</v>
      </c>
      <c r="E261" s="544">
        <f>+DATE(YEAR(E260),MONTH(E260)-1,DAY(E260))</f>
        <v>25569.041666666668</v>
      </c>
      <c r="F261" s="333">
        <f>IF($C$6=$E261,1,IF(MONTH($E261)=1,F262*(1+$F$5),F262))</f>
      </c>
      <c r="G261" s="333">
        <f>F261*$B$8/12</f>
      </c>
      <c r="H261" s="333">
        <f>IF(F261=1,F261*$B$10/MIN(12,'Simulador - 3º Pilar'!$E$88),0)</f>
      </c>
      <c r="I261" s="560">
        <f>(1+$G$5)^(D261/12)*(H261+IF(E261=$N$7,$N$4,0))</f>
      </c>
      <c r="J261" s="561">
        <f>(1+$G$5)^(D261/12)*(H261*(12-IF(MONTH(E262)=12,0,MONTH(E262)))+IF(AND(F261=1,F262=0),$Q$4,0))*IF(AND(F261=1,F262=0),1,0)</f>
      </c>
      <c r="K261" s="217">
        <f>(1+$G$5)^(D261/12)*(IF(E261=$N$7,$N$4,0)+IF(E261=$C$6,$B$10,0))</f>
      </c>
      <c r="L261" s="217">
        <f>(1+$G$5)^(D261/12)*(IF((E261)&gt;($B$6),H261,0)+IF(E261=$N$7,$N$4,0)+IF(E261=$C$6,0,0))</f>
      </c>
      <c r="M261" s="1"/>
      <c r="N261" s="7"/>
      <c r="O261" s="1"/>
      <c r="P261" s="331">
        <v>254</v>
      </c>
      <c r="Q261" s="544">
        <f>+DATE(YEAR(Q260),MONTH(Q260)-1,DAY(Q260))</f>
        <v>25569.041666666668</v>
      </c>
      <c r="R261" s="341">
        <f>IF($Z$7=$E261,1,IF(MONTH($E261)=1,R262*(1+$F$5),R262))</f>
      </c>
      <c r="S261" s="334">
        <f>R261*$B$8/12</f>
      </c>
      <c r="T261" s="334">
        <f>R261*$B$11/12</f>
      </c>
      <c r="U261" s="565">
        <f>(1+$V$5)^(P261/12)*(T261+IF(Q261=$Z$7,$Z$4,0))</f>
      </c>
      <c r="V261" s="170"/>
      <c r="W261" s="7"/>
      <c r="X261" s="1"/>
      <c r="Y261" s="1"/>
      <c r="Z261" s="1"/>
      <c r="AA261" s="1"/>
      <c r="AB261" s="1"/>
      <c r="AC261" s="331">
        <v>254</v>
      </c>
      <c r="AD261" s="544">
        <f>+DATE(YEAR(AD260),MONTH(AD260)-1,DAY(AD260))</f>
        <v>25569.041666666668</v>
      </c>
      <c r="AE261" s="341">
        <f>IF($AM$7=$E261,1,IF(MONTH($E261)=1,AE262*(1+$F$5),AE262))</f>
      </c>
      <c r="AF261" s="334">
        <f>AE261*$B$8/12</f>
      </c>
      <c r="AG261" s="334">
        <f>AE261*$B$12/12</f>
      </c>
      <c r="AH261" s="565">
        <f>(1+$AI$5)^(AC261/12)*(AG261+IF(AD261=$AM$7,$AM$4,0))</f>
      </c>
      <c r="AI261" s="170"/>
      <c r="AJ261" s="7"/>
      <c r="AK261" s="1"/>
      <c r="AL261" s="1"/>
      <c r="AM261" s="1"/>
    </row>
    <row x14ac:dyDescent="0.25" r="262" customHeight="1" ht="18.75">
      <c r="A262" s="1"/>
      <c r="B262" s="169"/>
      <c r="C262" s="170"/>
      <c r="D262" s="331">
        <v>255</v>
      </c>
      <c r="E262" s="544">
        <f>+DATE(YEAR(E261),MONTH(E261)-1,DAY(E261))</f>
        <v>25569.041666666668</v>
      </c>
      <c r="F262" s="333">
        <f>IF($C$6=$E262,1,IF(MONTH($E262)=1,F263*(1+$F$5),F263))</f>
      </c>
      <c r="G262" s="333">
        <f>F262*$B$8/12</f>
      </c>
      <c r="H262" s="333">
        <f>IF(F262=1,F262*$B$10/MIN(12,'Simulador - 3º Pilar'!$E$88),0)</f>
      </c>
      <c r="I262" s="560">
        <f>(1+$G$5)^(D262/12)*(H262+IF(E262=$N$7,$N$4,0))</f>
      </c>
      <c r="J262" s="561">
        <f>(1+$G$5)^(D262/12)*(H262*(12-IF(MONTH(E263)=12,0,MONTH(E263)))+IF(AND(F262=1,F263=0),$Q$4,0))*IF(AND(F262=1,F263=0),1,0)</f>
      </c>
      <c r="K262" s="217">
        <f>(1+$G$5)^(D262/12)*(IF(E262=$N$7,$N$4,0)+IF(E262=$C$6,$B$10,0))</f>
      </c>
      <c r="L262" s="217">
        <f>(1+$G$5)^(D262/12)*(IF((E262)&gt;($B$6),H262,0)+IF(E262=$N$7,$N$4,0)+IF(E262=$C$6,0,0))</f>
      </c>
      <c r="M262" s="1"/>
      <c r="N262" s="7"/>
      <c r="O262" s="1"/>
      <c r="P262" s="331">
        <v>255</v>
      </c>
      <c r="Q262" s="544">
        <f>+DATE(YEAR(Q261),MONTH(Q261)-1,DAY(Q261))</f>
        <v>25569.041666666668</v>
      </c>
      <c r="R262" s="341">
        <f>IF($Z$7=$E262,1,IF(MONTH($E262)=1,R263*(1+$F$5),R263))</f>
      </c>
      <c r="S262" s="334">
        <f>R262*$B$8/12</f>
      </c>
      <c r="T262" s="334">
        <f>R262*$B$11/12</f>
      </c>
      <c r="U262" s="565">
        <f>(1+$V$5)^(P262/12)*(T262+IF(Q262=$Z$7,$Z$4,0))</f>
      </c>
      <c r="V262" s="170"/>
      <c r="W262" s="7"/>
      <c r="X262" s="1"/>
      <c r="Y262" s="1"/>
      <c r="Z262" s="1"/>
      <c r="AA262" s="1"/>
      <c r="AB262" s="1"/>
      <c r="AC262" s="331">
        <v>255</v>
      </c>
      <c r="AD262" s="544">
        <f>+DATE(YEAR(AD261),MONTH(AD261)-1,DAY(AD261))</f>
        <v>25569.041666666668</v>
      </c>
      <c r="AE262" s="341">
        <f>IF($AM$7=$E262,1,IF(MONTH($E262)=1,AE263*(1+$F$5),AE263))</f>
      </c>
      <c r="AF262" s="334">
        <f>AE262*$B$8/12</f>
      </c>
      <c r="AG262" s="334">
        <f>AE262*$B$12/12</f>
      </c>
      <c r="AH262" s="565">
        <f>(1+$AI$5)^(AC262/12)*(AG262+IF(AD262=$AM$7,$AM$4,0))</f>
      </c>
      <c r="AI262" s="170"/>
      <c r="AJ262" s="7"/>
      <c r="AK262" s="1"/>
      <c r="AL262" s="1"/>
      <c r="AM262" s="1"/>
    </row>
    <row x14ac:dyDescent="0.25" r="263" customHeight="1" ht="18.75">
      <c r="A263" s="1"/>
      <c r="B263" s="169"/>
      <c r="C263" s="170"/>
      <c r="D263" s="331">
        <v>256</v>
      </c>
      <c r="E263" s="544">
        <f>+DATE(YEAR(E262),MONTH(E262)-1,DAY(E262))</f>
        <v>25569.041666666668</v>
      </c>
      <c r="F263" s="333">
        <f>IF($C$6=$E263,1,IF(MONTH($E263)=1,F264*(1+$F$5),F264))</f>
      </c>
      <c r="G263" s="333">
        <f>F263*$B$8/12</f>
      </c>
      <c r="H263" s="333">
        <f>IF(F263=1,F263*$B$10/MIN(12,'Simulador - 3º Pilar'!$E$88),0)</f>
      </c>
      <c r="I263" s="560">
        <f>(1+$G$5)^(D263/12)*(H263+IF(E263=$N$7,$N$4,0))</f>
      </c>
      <c r="J263" s="561">
        <f>(1+$G$5)^(D263/12)*(H263*(12-IF(MONTH(E264)=12,0,MONTH(E264)))+IF(AND(F263=1,F264=0),$Q$4,0))*IF(AND(F263=1,F264=0),1,0)</f>
      </c>
      <c r="K263" s="217">
        <f>(1+$G$5)^(D263/12)*(IF(E263=$N$7,$N$4,0)+IF(E263=$C$6,$B$10,0))</f>
      </c>
      <c r="L263" s="217">
        <f>(1+$G$5)^(D263/12)*(IF((E263)&gt;($B$6),H263,0)+IF(E263=$N$7,$N$4,0)+IF(E263=$C$6,0,0))</f>
      </c>
      <c r="M263" s="1"/>
      <c r="N263" s="7"/>
      <c r="O263" s="1"/>
      <c r="P263" s="331">
        <v>256</v>
      </c>
      <c r="Q263" s="544">
        <f>+DATE(YEAR(Q262),MONTH(Q262)-1,DAY(Q262))</f>
        <v>25569.041666666668</v>
      </c>
      <c r="R263" s="341">
        <f>IF($Z$7=$E263,1,IF(MONTH($E263)=1,R264*(1+$F$5),R264))</f>
      </c>
      <c r="S263" s="334">
        <f>R263*$B$8/12</f>
      </c>
      <c r="T263" s="334">
        <f>R263*$B$11/12</f>
      </c>
      <c r="U263" s="565">
        <f>(1+$V$5)^(P263/12)*(T263+IF(Q263=$Z$7,$Z$4,0))</f>
      </c>
      <c r="V263" s="170"/>
      <c r="W263" s="7"/>
      <c r="X263" s="1"/>
      <c r="Y263" s="1"/>
      <c r="Z263" s="1"/>
      <c r="AA263" s="1"/>
      <c r="AB263" s="1"/>
      <c r="AC263" s="331">
        <v>256</v>
      </c>
      <c r="AD263" s="544">
        <f>+DATE(YEAR(AD262),MONTH(AD262)-1,DAY(AD262))</f>
        <v>25569.041666666668</v>
      </c>
      <c r="AE263" s="341">
        <f>IF($AM$7=$E263,1,IF(MONTH($E263)=1,AE264*(1+$F$5),AE264))</f>
      </c>
      <c r="AF263" s="334">
        <f>AE263*$B$8/12</f>
      </c>
      <c r="AG263" s="334">
        <f>AE263*$B$12/12</f>
      </c>
      <c r="AH263" s="565">
        <f>(1+$AI$5)^(AC263/12)*(AG263+IF(AD263=$AM$7,$AM$4,0))</f>
      </c>
      <c r="AI263" s="170"/>
      <c r="AJ263" s="7"/>
      <c r="AK263" s="1"/>
      <c r="AL263" s="1"/>
      <c r="AM263" s="1"/>
    </row>
    <row x14ac:dyDescent="0.25" r="264" customHeight="1" ht="18.75">
      <c r="A264" s="1"/>
      <c r="B264" s="169"/>
      <c r="C264" s="170"/>
      <c r="D264" s="331">
        <v>257</v>
      </c>
      <c r="E264" s="544">
        <f>+DATE(YEAR(E263),MONTH(E263)-1,DAY(E263))</f>
        <v>25569.041666666668</v>
      </c>
      <c r="F264" s="333">
        <f>IF($C$6=$E264,1,IF(MONTH($E264)=1,F265*(1+$F$5),F265))</f>
      </c>
      <c r="G264" s="333">
        <f>F264*$B$8/12</f>
      </c>
      <c r="H264" s="333">
        <f>IF(F264=1,F264*$B$10/MIN(12,'Simulador - 3º Pilar'!$E$88),0)</f>
      </c>
      <c r="I264" s="560">
        <f>(1+$G$5)^(D264/12)*(H264+IF(E264=$N$7,$N$4,0))</f>
      </c>
      <c r="J264" s="561">
        <f>(1+$G$5)^(D264/12)*(H264*(12-IF(MONTH(E265)=12,0,MONTH(E265)))+IF(AND(F264=1,F265=0),$Q$4,0))*IF(AND(F264=1,F265=0),1,0)</f>
      </c>
      <c r="K264" s="217">
        <f>(1+$G$5)^(D264/12)*(IF(E264=$N$7,$N$4,0)+IF(E264=$C$6,$B$10,0))</f>
      </c>
      <c r="L264" s="217">
        <f>(1+$G$5)^(D264/12)*(IF((E264)&gt;($B$6),H264,0)+IF(E264=$N$7,$N$4,0)+IF(E264=$C$6,0,0))</f>
      </c>
      <c r="M264" s="1"/>
      <c r="N264" s="7"/>
      <c r="O264" s="1"/>
      <c r="P264" s="331">
        <v>257</v>
      </c>
      <c r="Q264" s="544">
        <f>+DATE(YEAR(Q263),MONTH(Q263)-1,DAY(Q263))</f>
        <v>25569.041666666668</v>
      </c>
      <c r="R264" s="341">
        <f>IF($Z$7=$E264,1,IF(MONTH($E264)=1,R265*(1+$F$5),R265))</f>
      </c>
      <c r="S264" s="334">
        <f>R264*$B$8/12</f>
      </c>
      <c r="T264" s="334">
        <f>R264*$B$11/12</f>
      </c>
      <c r="U264" s="565">
        <f>(1+$V$5)^(P264/12)*(T264+IF(Q264=$Z$7,$Z$4,0))</f>
      </c>
      <c r="V264" s="170"/>
      <c r="W264" s="7"/>
      <c r="X264" s="1"/>
      <c r="Y264" s="1"/>
      <c r="Z264" s="1"/>
      <c r="AA264" s="1"/>
      <c r="AB264" s="1"/>
      <c r="AC264" s="331">
        <v>257</v>
      </c>
      <c r="AD264" s="544">
        <f>+DATE(YEAR(AD263),MONTH(AD263)-1,DAY(AD263))</f>
        <v>25569.041666666668</v>
      </c>
      <c r="AE264" s="341">
        <f>IF($AM$7=$E264,1,IF(MONTH($E264)=1,AE265*(1+$F$5),AE265))</f>
      </c>
      <c r="AF264" s="334">
        <f>AE264*$B$8/12</f>
      </c>
      <c r="AG264" s="334">
        <f>AE264*$B$12/12</f>
      </c>
      <c r="AH264" s="565">
        <f>(1+$AI$5)^(AC264/12)*(AG264+IF(AD264=$AM$7,$AM$4,0))</f>
      </c>
      <c r="AI264" s="170"/>
      <c r="AJ264" s="7"/>
      <c r="AK264" s="1"/>
      <c r="AL264" s="1"/>
      <c r="AM264" s="1"/>
    </row>
    <row x14ac:dyDescent="0.25" r="265" customHeight="1" ht="18.75">
      <c r="A265" s="1"/>
      <c r="B265" s="169"/>
      <c r="C265" s="170"/>
      <c r="D265" s="331">
        <v>258</v>
      </c>
      <c r="E265" s="544">
        <f>+DATE(YEAR(E264),MONTH(E264)-1,DAY(E264))</f>
        <v>25569.041666666668</v>
      </c>
      <c r="F265" s="333">
        <f>IF($C$6=$E265,1,IF(MONTH($E265)=1,F266*(1+$F$5),F266))</f>
      </c>
      <c r="G265" s="333">
        <f>F265*$B$8/12</f>
      </c>
      <c r="H265" s="333">
        <f>IF(F265=1,F265*$B$10/MIN(12,'Simulador - 3º Pilar'!$E$88),0)</f>
      </c>
      <c r="I265" s="560">
        <f>(1+$G$5)^(D265/12)*(H265+IF(E265=$N$7,$N$4,0))</f>
      </c>
      <c r="J265" s="561">
        <f>(1+$G$5)^(D265/12)*(H265*(12-IF(MONTH(E266)=12,0,MONTH(E266)))+IF(AND(F265=1,F266=0),$Q$4,0))*IF(AND(F265=1,F266=0),1,0)</f>
      </c>
      <c r="K265" s="217">
        <f>(1+$G$5)^(D265/12)*(IF(E265=$N$7,$N$4,0)+IF(E265=$C$6,$B$10,0))</f>
      </c>
      <c r="L265" s="217">
        <f>(1+$G$5)^(D265/12)*(IF((E265)&gt;($B$6),H265,0)+IF(E265=$N$7,$N$4,0)+IF(E265=$C$6,0,0))</f>
      </c>
      <c r="M265" s="1"/>
      <c r="N265" s="7"/>
      <c r="O265" s="1"/>
      <c r="P265" s="331">
        <v>258</v>
      </c>
      <c r="Q265" s="544">
        <f>+DATE(YEAR(Q264),MONTH(Q264)-1,DAY(Q264))</f>
        <v>25569.041666666668</v>
      </c>
      <c r="R265" s="341">
        <f>IF($Z$7=$E265,1,IF(MONTH($E265)=1,R266*(1+$F$5),R266))</f>
      </c>
      <c r="S265" s="334">
        <f>R265*$B$8/12</f>
      </c>
      <c r="T265" s="334">
        <f>R265*$B$11/12</f>
      </c>
      <c r="U265" s="565">
        <f>(1+$V$5)^(P265/12)*(T265+IF(Q265=$Z$7,$Z$4,0))</f>
      </c>
      <c r="V265" s="170"/>
      <c r="W265" s="7"/>
      <c r="X265" s="1"/>
      <c r="Y265" s="1"/>
      <c r="Z265" s="1"/>
      <c r="AA265" s="1"/>
      <c r="AB265" s="1"/>
      <c r="AC265" s="331">
        <v>258</v>
      </c>
      <c r="AD265" s="544">
        <f>+DATE(YEAR(AD264),MONTH(AD264)-1,DAY(AD264))</f>
        <v>25569.041666666668</v>
      </c>
      <c r="AE265" s="341">
        <f>IF($AM$7=$E265,1,IF(MONTH($E265)=1,AE266*(1+$F$5),AE266))</f>
      </c>
      <c r="AF265" s="334">
        <f>AE265*$B$8/12</f>
      </c>
      <c r="AG265" s="334">
        <f>AE265*$B$12/12</f>
      </c>
      <c r="AH265" s="565">
        <f>(1+$AI$5)^(AC265/12)*(AG265+IF(AD265=$AM$7,$AM$4,0))</f>
      </c>
      <c r="AI265" s="170"/>
      <c r="AJ265" s="7"/>
      <c r="AK265" s="1"/>
      <c r="AL265" s="1"/>
      <c r="AM265" s="1"/>
    </row>
    <row x14ac:dyDescent="0.25" r="266" customHeight="1" ht="18.75">
      <c r="A266" s="1"/>
      <c r="B266" s="169"/>
      <c r="C266" s="170"/>
      <c r="D266" s="331">
        <v>259</v>
      </c>
      <c r="E266" s="544">
        <f>+DATE(YEAR(E265),MONTH(E265)-1,DAY(E265))</f>
        <v>25569.041666666668</v>
      </c>
      <c r="F266" s="333">
        <f>IF($C$6=$E266,1,IF(MONTH($E266)=1,F267*(1+$F$5),F267))</f>
      </c>
      <c r="G266" s="333">
        <f>F266*$B$8/12</f>
      </c>
      <c r="H266" s="333">
        <f>IF(F266=1,F266*$B$10/MIN(12,'Simulador - 3º Pilar'!$E$88),0)</f>
      </c>
      <c r="I266" s="560">
        <f>(1+$G$5)^(D266/12)*(H266+IF(E266=$N$7,$N$4,0))</f>
      </c>
      <c r="J266" s="561">
        <f>(1+$G$5)^(D266/12)*(H266*(12-IF(MONTH(E267)=12,0,MONTH(E267)))+IF(AND(F266=1,F267=0),$Q$4,0))*IF(AND(F266=1,F267=0),1,0)</f>
      </c>
      <c r="K266" s="217">
        <f>(1+$G$5)^(D266/12)*(IF(E266=$N$7,$N$4,0)+IF(E266=$C$6,$B$10,0))</f>
      </c>
      <c r="L266" s="217">
        <f>(1+$G$5)^(D266/12)*(IF((E266)&gt;($B$6),H266,0)+IF(E266=$N$7,$N$4,0)+IF(E266=$C$6,0,0))</f>
      </c>
      <c r="M266" s="1"/>
      <c r="N266" s="7"/>
      <c r="O266" s="1"/>
      <c r="P266" s="331">
        <v>259</v>
      </c>
      <c r="Q266" s="544">
        <f>+DATE(YEAR(Q265),MONTH(Q265)-1,DAY(Q265))</f>
        <v>25569.041666666668</v>
      </c>
      <c r="R266" s="341">
        <f>IF($Z$7=$E266,1,IF(MONTH($E266)=1,R267*(1+$F$5),R267))</f>
      </c>
      <c r="S266" s="334">
        <f>R266*$B$8/12</f>
      </c>
      <c r="T266" s="334">
        <f>R266*$B$11/12</f>
      </c>
      <c r="U266" s="565">
        <f>(1+$V$5)^(P266/12)*(T266+IF(Q266=$Z$7,$Z$4,0))</f>
      </c>
      <c r="V266" s="170"/>
      <c r="W266" s="7"/>
      <c r="X266" s="1"/>
      <c r="Y266" s="1"/>
      <c r="Z266" s="1"/>
      <c r="AA266" s="1"/>
      <c r="AB266" s="1"/>
      <c r="AC266" s="331">
        <v>259</v>
      </c>
      <c r="AD266" s="544">
        <f>+DATE(YEAR(AD265),MONTH(AD265)-1,DAY(AD265))</f>
        <v>25569.041666666668</v>
      </c>
      <c r="AE266" s="341">
        <f>IF($AM$7=$E266,1,IF(MONTH($E266)=1,AE267*(1+$F$5),AE267))</f>
      </c>
      <c r="AF266" s="334">
        <f>AE266*$B$8/12</f>
      </c>
      <c r="AG266" s="334">
        <f>AE266*$B$12/12</f>
      </c>
      <c r="AH266" s="565">
        <f>(1+$AI$5)^(AC266/12)*(AG266+IF(AD266=$AM$7,$AM$4,0))</f>
      </c>
      <c r="AI266" s="170"/>
      <c r="AJ266" s="7"/>
      <c r="AK266" s="1"/>
      <c r="AL266" s="1"/>
      <c r="AM266" s="1"/>
    </row>
    <row x14ac:dyDescent="0.25" r="267" customHeight="1" ht="18.75">
      <c r="A267" s="1"/>
      <c r="B267" s="169"/>
      <c r="C267" s="170"/>
      <c r="D267" s="331">
        <v>260</v>
      </c>
      <c r="E267" s="544">
        <f>+DATE(YEAR(E266),MONTH(E266)-1,DAY(E266))</f>
        <v>25569.041666666668</v>
      </c>
      <c r="F267" s="333">
        <f>IF($C$6=$E267,1,IF(MONTH($E267)=1,F268*(1+$F$5),F268))</f>
      </c>
      <c r="G267" s="333">
        <f>F267*$B$8/12</f>
      </c>
      <c r="H267" s="333">
        <f>IF(F267=1,F267*$B$10/MIN(12,'Simulador - 3º Pilar'!$E$88),0)</f>
      </c>
      <c r="I267" s="560">
        <f>(1+$G$5)^(D267/12)*(H267+IF(E267=$N$7,$N$4,0))</f>
      </c>
      <c r="J267" s="561">
        <f>(1+$G$5)^(D267/12)*(H267*(12-IF(MONTH(E268)=12,0,MONTH(E268)))+IF(AND(F267=1,F268=0),$Q$4,0))*IF(AND(F267=1,F268=0),1,0)</f>
      </c>
      <c r="K267" s="217">
        <f>(1+$G$5)^(D267/12)*(IF(E267=$N$7,$N$4,0)+IF(E267=$C$6,$B$10,0))</f>
      </c>
      <c r="L267" s="217">
        <f>(1+$G$5)^(D267/12)*(IF((E267)&gt;($B$6),H267,0)+IF(E267=$N$7,$N$4,0)+IF(E267=$C$6,0,0))</f>
      </c>
      <c r="M267" s="1"/>
      <c r="N267" s="7"/>
      <c r="O267" s="1"/>
      <c r="P267" s="331">
        <v>260</v>
      </c>
      <c r="Q267" s="544">
        <f>+DATE(YEAR(Q266),MONTH(Q266)-1,DAY(Q266))</f>
        <v>25569.041666666668</v>
      </c>
      <c r="R267" s="341">
        <f>IF($Z$7=$E267,1,IF(MONTH($E267)=1,R268*(1+$F$5),R268))</f>
      </c>
      <c r="S267" s="334">
        <f>R267*$B$8/12</f>
      </c>
      <c r="T267" s="334">
        <f>R267*$B$11/12</f>
      </c>
      <c r="U267" s="565">
        <f>(1+$V$5)^(P267/12)*(T267+IF(Q267=$Z$7,$Z$4,0))</f>
      </c>
      <c r="V267" s="170"/>
      <c r="W267" s="7"/>
      <c r="X267" s="1"/>
      <c r="Y267" s="1"/>
      <c r="Z267" s="1"/>
      <c r="AA267" s="1"/>
      <c r="AB267" s="1"/>
      <c r="AC267" s="331">
        <v>260</v>
      </c>
      <c r="AD267" s="544">
        <f>+DATE(YEAR(AD266),MONTH(AD266)-1,DAY(AD266))</f>
        <v>25569.041666666668</v>
      </c>
      <c r="AE267" s="341">
        <f>IF($AM$7=$E267,1,IF(MONTH($E267)=1,AE268*(1+$F$5),AE268))</f>
      </c>
      <c r="AF267" s="334">
        <f>AE267*$B$8/12</f>
      </c>
      <c r="AG267" s="334">
        <f>AE267*$B$12/12</f>
      </c>
      <c r="AH267" s="565">
        <f>(1+$AI$5)^(AC267/12)*(AG267+IF(AD267=$AM$7,$AM$4,0))</f>
      </c>
      <c r="AI267" s="170"/>
      <c r="AJ267" s="7"/>
      <c r="AK267" s="1"/>
      <c r="AL267" s="1"/>
      <c r="AM267" s="1"/>
    </row>
    <row x14ac:dyDescent="0.25" r="268" customHeight="1" ht="18.75">
      <c r="A268" s="1"/>
      <c r="B268" s="169"/>
      <c r="C268" s="170"/>
      <c r="D268" s="331">
        <v>261</v>
      </c>
      <c r="E268" s="544">
        <f>+DATE(YEAR(E267),MONTH(E267)-1,DAY(E267))</f>
        <v>25569.041666666668</v>
      </c>
      <c r="F268" s="333">
        <f>IF($C$6=$E268,1,IF(MONTH($E268)=1,F269*(1+$F$5),F269))</f>
      </c>
      <c r="G268" s="333">
        <f>F268*$B$8/12</f>
      </c>
      <c r="H268" s="333">
        <f>IF(F268=1,F268*$B$10/MIN(12,'Simulador - 3º Pilar'!$E$88),0)</f>
      </c>
      <c r="I268" s="560">
        <f>(1+$G$5)^(D268/12)*(H268+IF(E268=$N$7,$N$4,0))</f>
      </c>
      <c r="J268" s="561">
        <f>(1+$G$5)^(D268/12)*(H268*(12-IF(MONTH(E269)=12,0,MONTH(E269)))+IF(AND(F268=1,F269=0),$Q$4,0))*IF(AND(F268=1,F269=0),1,0)</f>
      </c>
      <c r="K268" s="217">
        <f>(1+$G$5)^(D268/12)*(IF(E268=$N$7,$N$4,0)+IF(E268=$C$6,$B$10,0))</f>
      </c>
      <c r="L268" s="217">
        <f>(1+$G$5)^(D268/12)*(IF((E268)&gt;($B$6),H268,0)+IF(E268=$N$7,$N$4,0)+IF(E268=$C$6,0,0))</f>
      </c>
      <c r="M268" s="1"/>
      <c r="N268" s="7"/>
      <c r="O268" s="1"/>
      <c r="P268" s="331">
        <v>261</v>
      </c>
      <c r="Q268" s="544">
        <f>+DATE(YEAR(Q267),MONTH(Q267)-1,DAY(Q267))</f>
        <v>25569.041666666668</v>
      </c>
      <c r="R268" s="341">
        <f>IF($Z$7=$E268,1,IF(MONTH($E268)=1,R269*(1+$F$5),R269))</f>
      </c>
      <c r="S268" s="334">
        <f>R268*$B$8/12</f>
      </c>
      <c r="T268" s="334">
        <f>R268*$B$11/12</f>
      </c>
      <c r="U268" s="565">
        <f>(1+$V$5)^(P268/12)*(T268+IF(Q268=$Z$7,$Z$4,0))</f>
      </c>
      <c r="V268" s="170"/>
      <c r="W268" s="7"/>
      <c r="X268" s="1"/>
      <c r="Y268" s="1"/>
      <c r="Z268" s="1"/>
      <c r="AA268" s="1"/>
      <c r="AB268" s="1"/>
      <c r="AC268" s="331">
        <v>261</v>
      </c>
      <c r="AD268" s="544">
        <f>+DATE(YEAR(AD267),MONTH(AD267)-1,DAY(AD267))</f>
        <v>25569.041666666668</v>
      </c>
      <c r="AE268" s="341">
        <f>IF($AM$7=$E268,1,IF(MONTH($E268)=1,AE269*(1+$F$5),AE269))</f>
      </c>
      <c r="AF268" s="334">
        <f>AE268*$B$8/12</f>
      </c>
      <c r="AG268" s="334">
        <f>AE268*$B$12/12</f>
      </c>
      <c r="AH268" s="565">
        <f>(1+$AI$5)^(AC268/12)*(AG268+IF(AD268=$AM$7,$AM$4,0))</f>
      </c>
      <c r="AI268" s="170"/>
      <c r="AJ268" s="7"/>
      <c r="AK268" s="1"/>
      <c r="AL268" s="1"/>
      <c r="AM268" s="1"/>
    </row>
    <row x14ac:dyDescent="0.25" r="269" customHeight="1" ht="18.75">
      <c r="A269" s="1"/>
      <c r="B269" s="169"/>
      <c r="C269" s="170"/>
      <c r="D269" s="331">
        <v>262</v>
      </c>
      <c r="E269" s="544">
        <f>+DATE(YEAR(E268),MONTH(E268)-1,DAY(E268))</f>
        <v>25569.041666666668</v>
      </c>
      <c r="F269" s="333">
        <f>IF($C$6=$E269,1,IF(MONTH($E269)=1,F270*(1+$F$5),F270))</f>
      </c>
      <c r="G269" s="333">
        <f>F269*$B$8/12</f>
      </c>
      <c r="H269" s="333">
        <f>IF(F269=1,F269*$B$10/MIN(12,'Simulador - 3º Pilar'!$E$88),0)</f>
      </c>
      <c r="I269" s="560">
        <f>(1+$G$5)^(D269/12)*(H269+IF(E269=$N$7,$N$4,0))</f>
      </c>
      <c r="J269" s="561">
        <f>(1+$G$5)^(D269/12)*(H269*(12-IF(MONTH(E270)=12,0,MONTH(E270)))+IF(AND(F269=1,F270=0),$Q$4,0))*IF(AND(F269=1,F270=0),1,0)</f>
      </c>
      <c r="K269" s="217">
        <f>(1+$G$5)^(D269/12)*(IF(E269=$N$7,$N$4,0)+IF(E269=$C$6,$B$10,0))</f>
      </c>
      <c r="L269" s="217">
        <f>(1+$G$5)^(D269/12)*(IF((E269)&gt;($B$6),H269,0)+IF(E269=$N$7,$N$4,0)+IF(E269=$C$6,0,0))</f>
      </c>
      <c r="M269" s="1"/>
      <c r="N269" s="7"/>
      <c r="O269" s="1"/>
      <c r="P269" s="331">
        <v>262</v>
      </c>
      <c r="Q269" s="544">
        <f>+DATE(YEAR(Q268),MONTH(Q268)-1,DAY(Q268))</f>
        <v>25569.041666666668</v>
      </c>
      <c r="R269" s="341">
        <f>IF($Z$7=$E269,1,IF(MONTH($E269)=1,R270*(1+$F$5),R270))</f>
      </c>
      <c r="S269" s="334">
        <f>R269*$B$8/12</f>
      </c>
      <c r="T269" s="334">
        <f>R269*$B$11/12</f>
      </c>
      <c r="U269" s="565">
        <f>(1+$V$5)^(P269/12)*(T269+IF(Q269=$Z$7,$Z$4,0))</f>
      </c>
      <c r="V269" s="170"/>
      <c r="W269" s="7"/>
      <c r="X269" s="1"/>
      <c r="Y269" s="1"/>
      <c r="Z269" s="1"/>
      <c r="AA269" s="1"/>
      <c r="AB269" s="1"/>
      <c r="AC269" s="331">
        <v>262</v>
      </c>
      <c r="AD269" s="544">
        <f>+DATE(YEAR(AD268),MONTH(AD268)-1,DAY(AD268))</f>
        <v>25569.041666666668</v>
      </c>
      <c r="AE269" s="341">
        <f>IF($AM$7=$E269,1,IF(MONTH($E269)=1,AE270*(1+$F$5),AE270))</f>
      </c>
      <c r="AF269" s="334">
        <f>AE269*$B$8/12</f>
      </c>
      <c r="AG269" s="334">
        <f>AE269*$B$12/12</f>
      </c>
      <c r="AH269" s="565">
        <f>(1+$AI$5)^(AC269/12)*(AG269+IF(AD269=$AM$7,$AM$4,0))</f>
      </c>
      <c r="AI269" s="170"/>
      <c r="AJ269" s="7"/>
      <c r="AK269" s="1"/>
      <c r="AL269" s="1"/>
      <c r="AM269" s="1"/>
    </row>
    <row x14ac:dyDescent="0.25" r="270" customHeight="1" ht="18.75">
      <c r="A270" s="1"/>
      <c r="B270" s="169"/>
      <c r="C270" s="170"/>
      <c r="D270" s="331">
        <v>263</v>
      </c>
      <c r="E270" s="544">
        <f>+DATE(YEAR(E269),MONTH(E269)-1,DAY(E269))</f>
        <v>25569.041666666668</v>
      </c>
      <c r="F270" s="333">
        <f>IF($C$6=$E270,1,IF(MONTH($E270)=1,F271*(1+$F$5),F271))</f>
      </c>
      <c r="G270" s="333">
        <f>F270*$B$8/12</f>
      </c>
      <c r="H270" s="333">
        <f>IF(F270=1,F270*$B$10/MIN(12,'Simulador - 3º Pilar'!$E$88),0)</f>
      </c>
      <c r="I270" s="560">
        <f>(1+$G$5)^(D270/12)*(H270+IF(E270=$N$7,$N$4,0))</f>
      </c>
      <c r="J270" s="561">
        <f>(1+$G$5)^(D270/12)*(H270*(12-IF(MONTH(E271)=12,0,MONTH(E271)))+IF(AND(F270=1,F271=0),$Q$4,0))*IF(AND(F270=1,F271=0),1,0)</f>
      </c>
      <c r="K270" s="217">
        <f>(1+$G$5)^(D270/12)*(IF(E270=$N$7,$N$4,0)+IF(E270=$C$6,$B$10,0))</f>
      </c>
      <c r="L270" s="217">
        <f>(1+$G$5)^(D270/12)*(IF((E270)&gt;($B$6),H270,0)+IF(E270=$N$7,$N$4,0)+IF(E270=$C$6,0,0))</f>
      </c>
      <c r="M270" s="1"/>
      <c r="N270" s="7"/>
      <c r="O270" s="1"/>
      <c r="P270" s="331">
        <v>263</v>
      </c>
      <c r="Q270" s="544">
        <f>+DATE(YEAR(Q269),MONTH(Q269)-1,DAY(Q269))</f>
        <v>25569.041666666668</v>
      </c>
      <c r="R270" s="341">
        <f>IF($Z$7=$E270,1,IF(MONTH($E270)=1,R271*(1+$F$5),R271))</f>
      </c>
      <c r="S270" s="334">
        <f>R270*$B$8/12</f>
      </c>
      <c r="T270" s="334">
        <f>R270*$B$11/12</f>
      </c>
      <c r="U270" s="565">
        <f>(1+$V$5)^(P270/12)*(T270+IF(Q270=$Z$7,$Z$4,0))</f>
      </c>
      <c r="V270" s="170"/>
      <c r="W270" s="7"/>
      <c r="X270" s="1"/>
      <c r="Y270" s="1"/>
      <c r="Z270" s="1"/>
      <c r="AA270" s="1"/>
      <c r="AB270" s="1"/>
      <c r="AC270" s="331">
        <v>263</v>
      </c>
      <c r="AD270" s="544">
        <f>+DATE(YEAR(AD269),MONTH(AD269)-1,DAY(AD269))</f>
        <v>25569.041666666668</v>
      </c>
      <c r="AE270" s="341">
        <f>IF($AM$7=$E270,1,IF(MONTH($E270)=1,AE271*(1+$F$5),AE271))</f>
      </c>
      <c r="AF270" s="334">
        <f>AE270*$B$8/12</f>
      </c>
      <c r="AG270" s="334">
        <f>AE270*$B$12/12</f>
      </c>
      <c r="AH270" s="565">
        <f>(1+$AI$5)^(AC270/12)*(AG270+IF(AD270=$AM$7,$AM$4,0))</f>
      </c>
      <c r="AI270" s="170"/>
      <c r="AJ270" s="7"/>
      <c r="AK270" s="1"/>
      <c r="AL270" s="1"/>
      <c r="AM270" s="1"/>
    </row>
    <row x14ac:dyDescent="0.25" r="271" customHeight="1" ht="18.75">
      <c r="A271" s="1"/>
      <c r="B271" s="169"/>
      <c r="C271" s="170"/>
      <c r="D271" s="331">
        <v>264</v>
      </c>
      <c r="E271" s="544">
        <f>+DATE(YEAR(E270),MONTH(E270)-1,DAY(E270))</f>
        <v>25569.041666666668</v>
      </c>
      <c r="F271" s="333">
        <f>IF($C$6=$E271,1,IF(MONTH($E271)=1,F272*(1+$F$5),F272))</f>
      </c>
      <c r="G271" s="333">
        <f>F271*$B$8/12</f>
      </c>
      <c r="H271" s="333">
        <f>IF(F271=1,F271*$B$10/MIN(12,'Simulador - 3º Pilar'!$E$88),0)</f>
      </c>
      <c r="I271" s="560">
        <f>(1+$G$5)^(D271/12)*(H271+IF(E271=$N$7,$N$4,0))</f>
      </c>
      <c r="J271" s="561">
        <f>(1+$G$5)^(D271/12)*(H271*(12-IF(MONTH(E272)=12,0,MONTH(E272)))+IF(AND(F271=1,F272=0),$Q$4,0))*IF(AND(F271=1,F272=0),1,0)</f>
      </c>
      <c r="K271" s="217">
        <f>(1+$G$5)^(D271/12)*(IF(E271=$N$7,$N$4,0)+IF(E271=$C$6,$B$10,0))</f>
      </c>
      <c r="L271" s="217">
        <f>(1+$G$5)^(D271/12)*(IF((E271)&gt;($B$6),H271,0)+IF(E271=$N$7,$N$4,0)+IF(E271=$C$6,0,0))</f>
      </c>
      <c r="M271" s="1"/>
      <c r="N271" s="7"/>
      <c r="O271" s="1"/>
      <c r="P271" s="331">
        <v>264</v>
      </c>
      <c r="Q271" s="544">
        <f>+DATE(YEAR(Q270),MONTH(Q270)-1,DAY(Q270))</f>
        <v>25569.041666666668</v>
      </c>
      <c r="R271" s="341">
        <f>IF($Z$7=$E271,1,IF(MONTH($E271)=1,R272*(1+$F$5),R272))</f>
      </c>
      <c r="S271" s="334">
        <f>R271*$B$8/12</f>
      </c>
      <c r="T271" s="334">
        <f>R271*$B$11/12</f>
      </c>
      <c r="U271" s="565">
        <f>(1+$V$5)^(P271/12)*(T271+IF(Q271=$Z$7,$Z$4,0))</f>
      </c>
      <c r="V271" s="170"/>
      <c r="W271" s="7"/>
      <c r="X271" s="1"/>
      <c r="Y271" s="1"/>
      <c r="Z271" s="1"/>
      <c r="AA271" s="1"/>
      <c r="AB271" s="1"/>
      <c r="AC271" s="331">
        <v>264</v>
      </c>
      <c r="AD271" s="544">
        <f>+DATE(YEAR(AD270),MONTH(AD270)-1,DAY(AD270))</f>
        <v>25569.041666666668</v>
      </c>
      <c r="AE271" s="341">
        <f>IF($AM$7=$E271,1,IF(MONTH($E271)=1,AE272*(1+$F$5),AE272))</f>
      </c>
      <c r="AF271" s="334">
        <f>AE271*$B$8/12</f>
      </c>
      <c r="AG271" s="334">
        <f>AE271*$B$12/12</f>
      </c>
      <c r="AH271" s="565">
        <f>(1+$AI$5)^(AC271/12)*(AG271+IF(AD271=$AM$7,$AM$4,0))</f>
      </c>
      <c r="AI271" s="170"/>
      <c r="AJ271" s="7"/>
      <c r="AK271" s="1"/>
      <c r="AL271" s="1"/>
      <c r="AM271" s="1"/>
    </row>
    <row x14ac:dyDescent="0.25" r="272" customHeight="1" ht="18.75">
      <c r="A272" s="1"/>
      <c r="B272" s="169"/>
      <c r="C272" s="170"/>
      <c r="D272" s="331">
        <v>265</v>
      </c>
      <c r="E272" s="544">
        <f>+DATE(YEAR(E271),MONTH(E271)-1,DAY(E271))</f>
        <v>25569.041666666668</v>
      </c>
      <c r="F272" s="333">
        <f>IF($C$6=$E272,1,IF(MONTH($E272)=1,F273*(1+$F$5),F273))</f>
      </c>
      <c r="G272" s="333">
        <f>F272*$B$8/12</f>
      </c>
      <c r="H272" s="333">
        <f>IF(F272=1,F272*$B$10/MIN(12,'Simulador - 3º Pilar'!$E$88),0)</f>
      </c>
      <c r="I272" s="560">
        <f>(1+$G$5)^(D272/12)*(H272+IF(E272=$N$7,$N$4,0))</f>
      </c>
      <c r="J272" s="561">
        <f>(1+$G$5)^(D272/12)*(H272*(12-IF(MONTH(E273)=12,0,MONTH(E273)))+IF(AND(F272=1,F273=0),$Q$4,0))*IF(AND(F272=1,F273=0),1,0)</f>
      </c>
      <c r="K272" s="217">
        <f>(1+$G$5)^(D272/12)*(IF(E272=$N$7,$N$4,0)+IF(E272=$C$6,$B$10,0))</f>
      </c>
      <c r="L272" s="217">
        <f>(1+$G$5)^(D272/12)*(IF((E272)&gt;($B$6),H272,0)+IF(E272=$N$7,$N$4,0)+IF(E272=$C$6,0,0))</f>
      </c>
      <c r="M272" s="1"/>
      <c r="N272" s="7"/>
      <c r="O272" s="1"/>
      <c r="P272" s="331">
        <v>265</v>
      </c>
      <c r="Q272" s="544">
        <f>+DATE(YEAR(Q271),MONTH(Q271)-1,DAY(Q271))</f>
        <v>25569.041666666668</v>
      </c>
      <c r="R272" s="341">
        <f>IF($Z$7=$E272,1,IF(MONTH($E272)=1,R273*(1+$F$5),R273))</f>
      </c>
      <c r="S272" s="334">
        <f>R272*$B$8/12</f>
      </c>
      <c r="T272" s="334">
        <f>R272*$B$11/12</f>
      </c>
      <c r="U272" s="565">
        <f>(1+$V$5)^(P272/12)*(T272+IF(Q272=$Z$7,$Z$4,0))</f>
      </c>
      <c r="V272" s="170"/>
      <c r="W272" s="7"/>
      <c r="X272" s="1"/>
      <c r="Y272" s="1"/>
      <c r="Z272" s="1"/>
      <c r="AA272" s="1"/>
      <c r="AB272" s="1"/>
      <c r="AC272" s="331">
        <v>265</v>
      </c>
      <c r="AD272" s="544">
        <f>+DATE(YEAR(AD271),MONTH(AD271)-1,DAY(AD271))</f>
        <v>25569.041666666668</v>
      </c>
      <c r="AE272" s="341">
        <f>IF($AM$7=$E272,1,IF(MONTH($E272)=1,AE273*(1+$F$5),AE273))</f>
      </c>
      <c r="AF272" s="334">
        <f>AE272*$B$8/12</f>
      </c>
      <c r="AG272" s="334">
        <f>AE272*$B$12/12</f>
      </c>
      <c r="AH272" s="565">
        <f>(1+$AI$5)^(AC272/12)*(AG272+IF(AD272=$AM$7,$AM$4,0))</f>
      </c>
      <c r="AI272" s="170"/>
      <c r="AJ272" s="7"/>
      <c r="AK272" s="1"/>
      <c r="AL272" s="1"/>
      <c r="AM272" s="1"/>
    </row>
    <row x14ac:dyDescent="0.25" r="273" customHeight="1" ht="18.75">
      <c r="A273" s="1"/>
      <c r="B273" s="169"/>
      <c r="C273" s="170"/>
      <c r="D273" s="331">
        <v>266</v>
      </c>
      <c r="E273" s="544">
        <f>+DATE(YEAR(E272),MONTH(E272)-1,DAY(E272))</f>
        <v>25569.041666666668</v>
      </c>
      <c r="F273" s="333">
        <f>IF($C$6=$E273,1,IF(MONTH($E273)=1,F274*(1+$F$5),F274))</f>
      </c>
      <c r="G273" s="333">
        <f>F273*$B$8/12</f>
      </c>
      <c r="H273" s="333">
        <f>IF(F273=1,F273*$B$10/MIN(12,'Simulador - 3º Pilar'!$E$88),0)</f>
      </c>
      <c r="I273" s="560">
        <f>(1+$G$5)^(D273/12)*(H273+IF(E273=$N$7,$N$4,0))</f>
      </c>
      <c r="J273" s="561">
        <f>(1+$G$5)^(D273/12)*(H273*(12-IF(MONTH(E274)=12,0,MONTH(E274)))+IF(AND(F273=1,F274=0),$Q$4,0))*IF(AND(F273=1,F274=0),1,0)</f>
      </c>
      <c r="K273" s="217">
        <f>(1+$G$5)^(D273/12)*(IF(E273=$N$7,$N$4,0)+IF(E273=$C$6,$B$10,0))</f>
      </c>
      <c r="L273" s="217">
        <f>(1+$G$5)^(D273/12)*(IF((E273)&gt;($B$6),H273,0)+IF(E273=$N$7,$N$4,0)+IF(E273=$C$6,0,0))</f>
      </c>
      <c r="M273" s="1"/>
      <c r="N273" s="7"/>
      <c r="O273" s="1"/>
      <c r="P273" s="331">
        <v>266</v>
      </c>
      <c r="Q273" s="544">
        <f>+DATE(YEAR(Q272),MONTH(Q272)-1,DAY(Q272))</f>
        <v>25569.041666666668</v>
      </c>
      <c r="R273" s="341">
        <f>IF($Z$7=$E273,1,IF(MONTH($E273)=1,R274*(1+$F$5),R274))</f>
      </c>
      <c r="S273" s="334">
        <f>R273*$B$8/12</f>
      </c>
      <c r="T273" s="334">
        <f>R273*$B$11/12</f>
      </c>
      <c r="U273" s="565">
        <f>(1+$V$5)^(P273/12)*(T273+IF(Q273=$Z$7,$Z$4,0))</f>
      </c>
      <c r="V273" s="170"/>
      <c r="W273" s="7"/>
      <c r="X273" s="1"/>
      <c r="Y273" s="1"/>
      <c r="Z273" s="1"/>
      <c r="AA273" s="1"/>
      <c r="AB273" s="1"/>
      <c r="AC273" s="331">
        <v>266</v>
      </c>
      <c r="AD273" s="544">
        <f>+DATE(YEAR(AD272),MONTH(AD272)-1,DAY(AD272))</f>
        <v>25569.041666666668</v>
      </c>
      <c r="AE273" s="341">
        <f>IF($AM$7=$E273,1,IF(MONTH($E273)=1,AE274*(1+$F$5),AE274))</f>
      </c>
      <c r="AF273" s="334">
        <f>AE273*$B$8/12</f>
      </c>
      <c r="AG273" s="334">
        <f>AE273*$B$12/12</f>
      </c>
      <c r="AH273" s="565">
        <f>(1+$AI$5)^(AC273/12)*(AG273+IF(AD273=$AM$7,$AM$4,0))</f>
      </c>
      <c r="AI273" s="170"/>
      <c r="AJ273" s="7"/>
      <c r="AK273" s="1"/>
      <c r="AL273" s="1"/>
      <c r="AM273" s="1"/>
    </row>
    <row x14ac:dyDescent="0.25" r="274" customHeight="1" ht="18.75">
      <c r="A274" s="1"/>
      <c r="B274" s="169"/>
      <c r="C274" s="170"/>
      <c r="D274" s="331">
        <v>267</v>
      </c>
      <c r="E274" s="544">
        <f>+DATE(YEAR(E273),MONTH(E273)-1,DAY(E273))</f>
        <v>25569.041666666668</v>
      </c>
      <c r="F274" s="333">
        <f>IF($C$6=$E274,1,IF(MONTH($E274)=1,F275*(1+$F$5),F275))</f>
      </c>
      <c r="G274" s="333">
        <f>F274*$B$8/12</f>
      </c>
      <c r="H274" s="333">
        <f>IF(F274=1,F274*$B$10/MIN(12,'Simulador - 3º Pilar'!$E$88),0)</f>
      </c>
      <c r="I274" s="560">
        <f>(1+$G$5)^(D274/12)*(H274+IF(E274=$N$7,$N$4,0))</f>
      </c>
      <c r="J274" s="561">
        <f>(1+$G$5)^(D274/12)*(H274*(12-IF(MONTH(E275)=12,0,MONTH(E275)))+IF(AND(F274=1,F275=0),$Q$4,0))*IF(AND(F274=1,F275=0),1,0)</f>
      </c>
      <c r="K274" s="217">
        <f>(1+$G$5)^(D274/12)*(IF(E274=$N$7,$N$4,0)+IF(E274=$C$6,$B$10,0))</f>
      </c>
      <c r="L274" s="217">
        <f>(1+$G$5)^(D274/12)*(IF((E274)&gt;($B$6),H274,0)+IF(E274=$N$7,$N$4,0)+IF(E274=$C$6,0,0))</f>
      </c>
      <c r="M274" s="1"/>
      <c r="N274" s="7"/>
      <c r="O274" s="1"/>
      <c r="P274" s="331">
        <v>267</v>
      </c>
      <c r="Q274" s="544">
        <f>+DATE(YEAR(Q273),MONTH(Q273)-1,DAY(Q273))</f>
        <v>25569.041666666668</v>
      </c>
      <c r="R274" s="341">
        <f>IF($Z$7=$E274,1,IF(MONTH($E274)=1,R275*(1+$F$5),R275))</f>
      </c>
      <c r="S274" s="334">
        <f>R274*$B$8/12</f>
      </c>
      <c r="T274" s="334">
        <f>R274*$B$11/12</f>
      </c>
      <c r="U274" s="565">
        <f>(1+$V$5)^(P274/12)*(T274+IF(Q274=$Z$7,$Z$4,0))</f>
      </c>
      <c r="V274" s="170"/>
      <c r="W274" s="7"/>
      <c r="X274" s="1"/>
      <c r="Y274" s="1"/>
      <c r="Z274" s="1"/>
      <c r="AA274" s="1"/>
      <c r="AB274" s="1"/>
      <c r="AC274" s="331">
        <v>267</v>
      </c>
      <c r="AD274" s="544">
        <f>+DATE(YEAR(AD273),MONTH(AD273)-1,DAY(AD273))</f>
        <v>25569.041666666668</v>
      </c>
      <c r="AE274" s="341">
        <f>IF($AM$7=$E274,1,IF(MONTH($E274)=1,AE275*(1+$F$5),AE275))</f>
      </c>
      <c r="AF274" s="334">
        <f>AE274*$B$8/12</f>
      </c>
      <c r="AG274" s="334">
        <f>AE274*$B$12/12</f>
      </c>
      <c r="AH274" s="565">
        <f>(1+$AI$5)^(AC274/12)*(AG274+IF(AD274=$AM$7,$AM$4,0))</f>
      </c>
      <c r="AI274" s="170"/>
      <c r="AJ274" s="7"/>
      <c r="AK274" s="1"/>
      <c r="AL274" s="1"/>
      <c r="AM274" s="1"/>
    </row>
    <row x14ac:dyDescent="0.25" r="275" customHeight="1" ht="18.75">
      <c r="A275" s="1"/>
      <c r="B275" s="169"/>
      <c r="C275" s="170"/>
      <c r="D275" s="331">
        <v>268</v>
      </c>
      <c r="E275" s="544">
        <f>+DATE(YEAR(E274),MONTH(E274)-1,DAY(E274))</f>
        <v>25569.041666666668</v>
      </c>
      <c r="F275" s="333">
        <f>IF($C$6=$E275,1,IF(MONTH($E275)=1,F276*(1+$F$5),F276))</f>
      </c>
      <c r="G275" s="333">
        <f>F275*$B$8/12</f>
      </c>
      <c r="H275" s="333">
        <f>IF(F275=1,F275*$B$10/MIN(12,'Simulador - 3º Pilar'!$E$88),0)</f>
      </c>
      <c r="I275" s="560">
        <f>(1+$G$5)^(D275/12)*(H275+IF(E275=$N$7,$N$4,0))</f>
      </c>
      <c r="J275" s="561">
        <f>(1+$G$5)^(D275/12)*(H275*(12-IF(MONTH(E276)=12,0,MONTH(E276)))+IF(AND(F275=1,F276=0),$Q$4,0))*IF(AND(F275=1,F276=0),1,0)</f>
      </c>
      <c r="K275" s="217">
        <f>(1+$G$5)^(D275/12)*(IF(E275=$N$7,$N$4,0)+IF(E275=$C$6,$B$10,0))</f>
      </c>
      <c r="L275" s="217">
        <f>(1+$G$5)^(D275/12)*(IF((E275)&gt;($B$6),H275,0)+IF(E275=$N$7,$N$4,0)+IF(E275=$C$6,0,0))</f>
      </c>
      <c r="M275" s="1"/>
      <c r="N275" s="7"/>
      <c r="O275" s="1"/>
      <c r="P275" s="331">
        <v>268</v>
      </c>
      <c r="Q275" s="544">
        <f>+DATE(YEAR(Q274),MONTH(Q274)-1,DAY(Q274))</f>
        <v>25569.041666666668</v>
      </c>
      <c r="R275" s="341">
        <f>IF($Z$7=$E275,1,IF(MONTH($E275)=1,R276*(1+$F$5),R276))</f>
      </c>
      <c r="S275" s="334">
        <f>R275*$B$8/12</f>
      </c>
      <c r="T275" s="334">
        <f>R275*$B$11/12</f>
      </c>
      <c r="U275" s="565">
        <f>(1+$V$5)^(P275/12)*(T275+IF(Q275=$Z$7,$Z$4,0))</f>
      </c>
      <c r="V275" s="170"/>
      <c r="W275" s="7"/>
      <c r="X275" s="1"/>
      <c r="Y275" s="1"/>
      <c r="Z275" s="1"/>
      <c r="AA275" s="1"/>
      <c r="AB275" s="1"/>
      <c r="AC275" s="331">
        <v>268</v>
      </c>
      <c r="AD275" s="544">
        <f>+DATE(YEAR(AD274),MONTH(AD274)-1,DAY(AD274))</f>
        <v>25569.041666666668</v>
      </c>
      <c r="AE275" s="341">
        <f>IF($AM$7=$E275,1,IF(MONTH($E275)=1,AE276*(1+$F$5),AE276))</f>
      </c>
      <c r="AF275" s="334">
        <f>AE275*$B$8/12</f>
      </c>
      <c r="AG275" s="334">
        <f>AE275*$B$12/12</f>
      </c>
      <c r="AH275" s="565">
        <f>(1+$AI$5)^(AC275/12)*(AG275+IF(AD275=$AM$7,$AM$4,0))</f>
      </c>
      <c r="AI275" s="170"/>
      <c r="AJ275" s="7"/>
      <c r="AK275" s="1"/>
      <c r="AL275" s="1"/>
      <c r="AM275" s="1"/>
    </row>
    <row x14ac:dyDescent="0.25" r="276" customHeight="1" ht="18.75">
      <c r="A276" s="1"/>
      <c r="B276" s="169"/>
      <c r="C276" s="170"/>
      <c r="D276" s="331">
        <v>269</v>
      </c>
      <c r="E276" s="544">
        <f>+DATE(YEAR(E275),MONTH(E275)-1,DAY(E275))</f>
        <v>25569.041666666668</v>
      </c>
      <c r="F276" s="333">
        <f>IF($C$6=$E276,1,IF(MONTH($E276)=1,F277*(1+$F$5),F277))</f>
      </c>
      <c r="G276" s="333">
        <f>F276*$B$8/12</f>
      </c>
      <c r="H276" s="333">
        <f>IF(F276=1,F276*$B$10/MIN(12,'Simulador - 3º Pilar'!$E$88),0)</f>
      </c>
      <c r="I276" s="560">
        <f>(1+$G$5)^(D276/12)*(H276+IF(E276=$N$7,$N$4,0))</f>
      </c>
      <c r="J276" s="561">
        <f>(1+$G$5)^(D276/12)*(H276*(12-IF(MONTH(E277)=12,0,MONTH(E277)))+IF(AND(F276=1,F277=0),$Q$4,0))*IF(AND(F276=1,F277=0),1,0)</f>
      </c>
      <c r="K276" s="217">
        <f>(1+$G$5)^(D276/12)*(IF(E276=$N$7,$N$4,0)+IF(E276=$C$6,$B$10,0))</f>
      </c>
      <c r="L276" s="217">
        <f>(1+$G$5)^(D276/12)*(IF((E276)&gt;($B$6),H276,0)+IF(E276=$N$7,$N$4,0)+IF(E276=$C$6,0,0))</f>
      </c>
      <c r="M276" s="1"/>
      <c r="N276" s="7"/>
      <c r="O276" s="1"/>
      <c r="P276" s="331">
        <v>269</v>
      </c>
      <c r="Q276" s="544">
        <f>+DATE(YEAR(Q275),MONTH(Q275)-1,DAY(Q275))</f>
        <v>25569.041666666668</v>
      </c>
      <c r="R276" s="341">
        <f>IF($Z$7=$E276,1,IF(MONTH($E276)=1,R277*(1+$F$5),R277))</f>
      </c>
      <c r="S276" s="334">
        <f>R276*$B$8/12</f>
      </c>
      <c r="T276" s="334">
        <f>R276*$B$11/12</f>
      </c>
      <c r="U276" s="565">
        <f>(1+$V$5)^(P276/12)*(T276+IF(Q276=$Z$7,$Z$4,0))</f>
      </c>
      <c r="V276" s="170"/>
      <c r="W276" s="7"/>
      <c r="X276" s="1"/>
      <c r="Y276" s="1"/>
      <c r="Z276" s="1"/>
      <c r="AA276" s="1"/>
      <c r="AB276" s="1"/>
      <c r="AC276" s="331">
        <v>269</v>
      </c>
      <c r="AD276" s="544">
        <f>+DATE(YEAR(AD275),MONTH(AD275)-1,DAY(AD275))</f>
        <v>25569.041666666668</v>
      </c>
      <c r="AE276" s="341">
        <f>IF($AM$7=$E276,1,IF(MONTH($E276)=1,AE277*(1+$F$5),AE277))</f>
      </c>
      <c r="AF276" s="334">
        <f>AE276*$B$8/12</f>
      </c>
      <c r="AG276" s="334">
        <f>AE276*$B$12/12</f>
      </c>
      <c r="AH276" s="565">
        <f>(1+$AI$5)^(AC276/12)*(AG276+IF(AD276=$AM$7,$AM$4,0))</f>
      </c>
      <c r="AI276" s="170"/>
      <c r="AJ276" s="7"/>
      <c r="AK276" s="1"/>
      <c r="AL276" s="1"/>
      <c r="AM276" s="1"/>
    </row>
    <row x14ac:dyDescent="0.25" r="277" customHeight="1" ht="18.75">
      <c r="A277" s="1"/>
      <c r="B277" s="169"/>
      <c r="C277" s="170"/>
      <c r="D277" s="331">
        <v>270</v>
      </c>
      <c r="E277" s="544">
        <f>+DATE(YEAR(E276),MONTH(E276)-1,DAY(E276))</f>
        <v>25569.041666666668</v>
      </c>
      <c r="F277" s="333">
        <f>IF($C$6=$E277,1,IF(MONTH($E277)=1,F278*(1+$F$5),F278))</f>
      </c>
      <c r="G277" s="333">
        <f>F277*$B$8/12</f>
      </c>
      <c r="H277" s="333">
        <f>IF(F277=1,F277*$B$10/MIN(12,'Simulador - 3º Pilar'!$E$88),0)</f>
      </c>
      <c r="I277" s="560">
        <f>(1+$G$5)^(D277/12)*(H277+IF(E277=$N$7,$N$4,0))</f>
      </c>
      <c r="J277" s="561">
        <f>(1+$G$5)^(D277/12)*(H277*(12-IF(MONTH(E278)=12,0,MONTH(E278)))+IF(AND(F277=1,F278=0),$Q$4,0))*IF(AND(F277=1,F278=0),1,0)</f>
      </c>
      <c r="K277" s="217">
        <f>(1+$G$5)^(D277/12)*(IF(E277=$N$7,$N$4,0)+IF(E277=$C$6,$B$10,0))</f>
      </c>
      <c r="L277" s="217">
        <f>(1+$G$5)^(D277/12)*(IF((E277)&gt;($B$6),H277,0)+IF(E277=$N$7,$N$4,0)+IF(E277=$C$6,0,0))</f>
      </c>
      <c r="M277" s="1"/>
      <c r="N277" s="7"/>
      <c r="O277" s="1"/>
      <c r="P277" s="331">
        <v>270</v>
      </c>
      <c r="Q277" s="544">
        <f>+DATE(YEAR(Q276),MONTH(Q276)-1,DAY(Q276))</f>
        <v>25569.041666666668</v>
      </c>
      <c r="R277" s="341">
        <f>IF($Z$7=$E277,1,IF(MONTH($E277)=1,R278*(1+$F$5),R278))</f>
      </c>
      <c r="S277" s="334">
        <f>R277*$B$8/12</f>
      </c>
      <c r="T277" s="334">
        <f>R277*$B$11/12</f>
      </c>
      <c r="U277" s="565">
        <f>(1+$V$5)^(P277/12)*(T277+IF(Q277=$Z$7,$Z$4,0))</f>
      </c>
      <c r="V277" s="170"/>
      <c r="W277" s="7"/>
      <c r="X277" s="1"/>
      <c r="Y277" s="1"/>
      <c r="Z277" s="1"/>
      <c r="AA277" s="1"/>
      <c r="AB277" s="1"/>
      <c r="AC277" s="331">
        <v>270</v>
      </c>
      <c r="AD277" s="544">
        <f>+DATE(YEAR(AD276),MONTH(AD276)-1,DAY(AD276))</f>
        <v>25569.041666666668</v>
      </c>
      <c r="AE277" s="341">
        <f>IF($AM$7=$E277,1,IF(MONTH($E277)=1,AE278*(1+$F$5),AE278))</f>
      </c>
      <c r="AF277" s="334">
        <f>AE277*$B$8/12</f>
      </c>
      <c r="AG277" s="334">
        <f>AE277*$B$12/12</f>
      </c>
      <c r="AH277" s="565">
        <f>(1+$AI$5)^(AC277/12)*(AG277+IF(AD277=$AM$7,$AM$4,0))</f>
      </c>
      <c r="AI277" s="170"/>
      <c r="AJ277" s="7"/>
      <c r="AK277" s="1"/>
      <c r="AL277" s="1"/>
      <c r="AM277" s="1"/>
    </row>
    <row x14ac:dyDescent="0.25" r="278" customHeight="1" ht="18.75">
      <c r="A278" s="1"/>
      <c r="B278" s="169"/>
      <c r="C278" s="170"/>
      <c r="D278" s="331">
        <v>271</v>
      </c>
      <c r="E278" s="544">
        <f>+DATE(YEAR(E277),MONTH(E277)-1,DAY(E277))</f>
        <v>25569.041666666668</v>
      </c>
      <c r="F278" s="333">
        <f>IF($C$6=$E278,1,IF(MONTH($E278)=1,F279*(1+$F$5),F279))</f>
      </c>
      <c r="G278" s="333">
        <f>F278*$B$8/12</f>
      </c>
      <c r="H278" s="333">
        <f>IF(F278=1,F278*$B$10/MIN(12,'Simulador - 3º Pilar'!$E$88),0)</f>
      </c>
      <c r="I278" s="560">
        <f>(1+$G$5)^(D278/12)*(H278+IF(E278=$N$7,$N$4,0))</f>
      </c>
      <c r="J278" s="561">
        <f>(1+$G$5)^(D278/12)*(H278*(12-IF(MONTH(E279)=12,0,MONTH(E279)))+IF(AND(F278=1,F279=0),$Q$4,0))*IF(AND(F278=1,F279=0),1,0)</f>
      </c>
      <c r="K278" s="217">
        <f>(1+$G$5)^(D278/12)*(IF(E278=$N$7,$N$4,0)+IF(E278=$C$6,$B$10,0))</f>
      </c>
      <c r="L278" s="217">
        <f>(1+$G$5)^(D278/12)*(IF((E278)&gt;($B$6),H278,0)+IF(E278=$N$7,$N$4,0)+IF(E278=$C$6,0,0))</f>
      </c>
      <c r="M278" s="1"/>
      <c r="N278" s="7"/>
      <c r="O278" s="1"/>
      <c r="P278" s="331">
        <v>271</v>
      </c>
      <c r="Q278" s="544">
        <f>+DATE(YEAR(Q277),MONTH(Q277)-1,DAY(Q277))</f>
        <v>25569.041666666668</v>
      </c>
      <c r="R278" s="341">
        <f>IF($Z$7=$E278,1,IF(MONTH($E278)=1,R279*(1+$F$5),R279))</f>
      </c>
      <c r="S278" s="334">
        <f>R278*$B$8/12</f>
      </c>
      <c r="T278" s="334">
        <f>R278*$B$11/12</f>
      </c>
      <c r="U278" s="565">
        <f>(1+$V$5)^(P278/12)*(T278+IF(Q278=$Z$7,$Z$4,0))</f>
      </c>
      <c r="V278" s="170"/>
      <c r="W278" s="7"/>
      <c r="X278" s="1"/>
      <c r="Y278" s="1"/>
      <c r="Z278" s="1"/>
      <c r="AA278" s="1"/>
      <c r="AB278" s="1"/>
      <c r="AC278" s="331">
        <v>271</v>
      </c>
      <c r="AD278" s="544">
        <f>+DATE(YEAR(AD277),MONTH(AD277)-1,DAY(AD277))</f>
        <v>25569.041666666668</v>
      </c>
      <c r="AE278" s="341">
        <f>IF($AM$7=$E278,1,IF(MONTH($E278)=1,AE279*(1+$F$5),AE279))</f>
      </c>
      <c r="AF278" s="334">
        <f>AE278*$B$8/12</f>
      </c>
      <c r="AG278" s="334">
        <f>AE278*$B$12/12</f>
      </c>
      <c r="AH278" s="565">
        <f>(1+$AI$5)^(AC278/12)*(AG278+IF(AD278=$AM$7,$AM$4,0))</f>
      </c>
      <c r="AI278" s="170"/>
      <c r="AJ278" s="7"/>
      <c r="AK278" s="1"/>
      <c r="AL278" s="1"/>
      <c r="AM278" s="1"/>
    </row>
    <row x14ac:dyDescent="0.25" r="279" customHeight="1" ht="18.75">
      <c r="A279" s="1"/>
      <c r="B279" s="169"/>
      <c r="C279" s="170"/>
      <c r="D279" s="331">
        <v>272</v>
      </c>
      <c r="E279" s="544">
        <f>+DATE(YEAR(E278),MONTH(E278)-1,DAY(E278))</f>
        <v>25569.041666666668</v>
      </c>
      <c r="F279" s="333">
        <f>IF($C$6=$E279,1,IF(MONTH($E279)=1,F280*(1+$F$5),F280))</f>
      </c>
      <c r="G279" s="333">
        <f>F279*$B$8/12</f>
      </c>
      <c r="H279" s="333">
        <f>IF(F279=1,F279*$B$10/MIN(12,'Simulador - 3º Pilar'!$E$88),0)</f>
      </c>
      <c r="I279" s="560">
        <f>(1+$G$5)^(D279/12)*(H279+IF(E279=$N$7,$N$4,0))</f>
      </c>
      <c r="J279" s="561">
        <f>(1+$G$5)^(D279/12)*(H279*(12-IF(MONTH(E280)=12,0,MONTH(E280)))+IF(AND(F279=1,F280=0),$Q$4,0))*IF(AND(F279=1,F280=0),1,0)</f>
      </c>
      <c r="K279" s="217">
        <f>(1+$G$5)^(D279/12)*(IF(E279=$N$7,$N$4,0)+IF(E279=$C$6,$B$10,0))</f>
      </c>
      <c r="L279" s="217">
        <f>(1+$G$5)^(D279/12)*(IF((E279)&gt;($B$6),H279,0)+IF(E279=$N$7,$N$4,0)+IF(E279=$C$6,0,0))</f>
      </c>
      <c r="M279" s="1"/>
      <c r="N279" s="7"/>
      <c r="O279" s="1"/>
      <c r="P279" s="331">
        <v>272</v>
      </c>
      <c r="Q279" s="544">
        <f>+DATE(YEAR(Q278),MONTH(Q278)-1,DAY(Q278))</f>
        <v>25569.041666666668</v>
      </c>
      <c r="R279" s="341">
        <f>IF($Z$7=$E279,1,IF(MONTH($E279)=1,R280*(1+$F$5),R280))</f>
      </c>
      <c r="S279" s="334">
        <f>R279*$B$8/12</f>
      </c>
      <c r="T279" s="334">
        <f>R279*$B$11/12</f>
      </c>
      <c r="U279" s="565">
        <f>(1+$V$5)^(P279/12)*(T279+IF(Q279=$Z$7,$Z$4,0))</f>
      </c>
      <c r="V279" s="170"/>
      <c r="W279" s="7"/>
      <c r="X279" s="1"/>
      <c r="Y279" s="1"/>
      <c r="Z279" s="1"/>
      <c r="AA279" s="1"/>
      <c r="AB279" s="1"/>
      <c r="AC279" s="331">
        <v>272</v>
      </c>
      <c r="AD279" s="544">
        <f>+DATE(YEAR(AD278),MONTH(AD278)-1,DAY(AD278))</f>
        <v>25569.041666666668</v>
      </c>
      <c r="AE279" s="341">
        <f>IF($AM$7=$E279,1,IF(MONTH($E279)=1,AE280*(1+$F$5),AE280))</f>
      </c>
      <c r="AF279" s="334">
        <f>AE279*$B$8/12</f>
      </c>
      <c r="AG279" s="334">
        <f>AE279*$B$12/12</f>
      </c>
      <c r="AH279" s="565">
        <f>(1+$AI$5)^(AC279/12)*(AG279+IF(AD279=$AM$7,$AM$4,0))</f>
      </c>
      <c r="AI279" s="170"/>
      <c r="AJ279" s="7"/>
      <c r="AK279" s="1"/>
      <c r="AL279" s="1"/>
      <c r="AM279" s="1"/>
    </row>
    <row x14ac:dyDescent="0.25" r="280" customHeight="1" ht="18.75">
      <c r="A280" s="1"/>
      <c r="B280" s="169"/>
      <c r="C280" s="170"/>
      <c r="D280" s="331">
        <v>273</v>
      </c>
      <c r="E280" s="544">
        <f>+DATE(YEAR(E279),MONTH(E279)-1,DAY(E279))</f>
        <v>25569.041666666668</v>
      </c>
      <c r="F280" s="333">
        <f>IF($C$6=$E280,1,IF(MONTH($E280)=1,F281*(1+$F$5),F281))</f>
      </c>
      <c r="G280" s="333">
        <f>F280*$B$8/12</f>
      </c>
      <c r="H280" s="333">
        <f>IF(F280=1,F280*$B$10/MIN(12,'Simulador - 3º Pilar'!$E$88),0)</f>
      </c>
      <c r="I280" s="560">
        <f>(1+$G$5)^(D280/12)*(H280+IF(E280=$N$7,$N$4,0))</f>
      </c>
      <c r="J280" s="561">
        <f>(1+$G$5)^(D280/12)*(H280*(12-IF(MONTH(E281)=12,0,MONTH(E281)))+IF(AND(F280=1,F281=0),$Q$4,0))*IF(AND(F280=1,F281=0),1,0)</f>
      </c>
      <c r="K280" s="217">
        <f>(1+$G$5)^(D280/12)*(IF(E280=$N$7,$N$4,0)+IF(E280=$C$6,$B$10,0))</f>
      </c>
      <c r="L280" s="217">
        <f>(1+$G$5)^(D280/12)*(IF((E280)&gt;($B$6),H280,0)+IF(E280=$N$7,$N$4,0)+IF(E280=$C$6,0,0))</f>
      </c>
      <c r="M280" s="1"/>
      <c r="N280" s="7"/>
      <c r="O280" s="1"/>
      <c r="P280" s="331">
        <v>273</v>
      </c>
      <c r="Q280" s="544">
        <f>+DATE(YEAR(Q279),MONTH(Q279)-1,DAY(Q279))</f>
        <v>25569.041666666668</v>
      </c>
      <c r="R280" s="341">
        <f>IF($Z$7=$E280,1,IF(MONTH($E280)=1,R281*(1+$F$5),R281))</f>
      </c>
      <c r="S280" s="334">
        <f>R280*$B$8/12</f>
      </c>
      <c r="T280" s="334">
        <f>R280*$B$11/12</f>
      </c>
      <c r="U280" s="565">
        <f>(1+$V$5)^(P280/12)*(T280+IF(Q280=$Z$7,$Z$4,0))</f>
      </c>
      <c r="V280" s="170"/>
      <c r="W280" s="7"/>
      <c r="X280" s="1"/>
      <c r="Y280" s="1"/>
      <c r="Z280" s="1"/>
      <c r="AA280" s="1"/>
      <c r="AB280" s="1"/>
      <c r="AC280" s="331">
        <v>273</v>
      </c>
      <c r="AD280" s="544">
        <f>+DATE(YEAR(AD279),MONTH(AD279)-1,DAY(AD279))</f>
        <v>25569.041666666668</v>
      </c>
      <c r="AE280" s="341">
        <f>IF($AM$7=$E280,1,IF(MONTH($E280)=1,AE281*(1+$F$5),AE281))</f>
      </c>
      <c r="AF280" s="334">
        <f>AE280*$B$8/12</f>
      </c>
      <c r="AG280" s="334">
        <f>AE280*$B$12/12</f>
      </c>
      <c r="AH280" s="565">
        <f>(1+$AI$5)^(AC280/12)*(AG280+IF(AD280=$AM$7,$AM$4,0))</f>
      </c>
      <c r="AI280" s="170"/>
      <c r="AJ280" s="7"/>
      <c r="AK280" s="1"/>
      <c r="AL280" s="1"/>
      <c r="AM280" s="1"/>
    </row>
    <row x14ac:dyDescent="0.25" r="281" customHeight="1" ht="18.75">
      <c r="A281" s="1"/>
      <c r="B281" s="169"/>
      <c r="C281" s="170"/>
      <c r="D281" s="331">
        <v>274</v>
      </c>
      <c r="E281" s="544">
        <f>+DATE(YEAR(E280),MONTH(E280)-1,DAY(E280))</f>
        <v>25569.041666666668</v>
      </c>
      <c r="F281" s="333">
        <f>IF($C$6=$E281,1,IF(MONTH($E281)=1,F282*(1+$F$5),F282))</f>
      </c>
      <c r="G281" s="333">
        <f>F281*$B$8/12</f>
      </c>
      <c r="H281" s="333">
        <f>IF(F281=1,F281*$B$10/MIN(12,'Simulador - 3º Pilar'!$E$88),0)</f>
      </c>
      <c r="I281" s="560">
        <f>(1+$G$5)^(D281/12)*(H281+IF(E281=$N$7,$N$4,0))</f>
      </c>
      <c r="J281" s="561">
        <f>(1+$G$5)^(D281/12)*(H281*(12-IF(MONTH(E282)=12,0,MONTH(E282)))+IF(AND(F281=1,F282=0),$Q$4,0))*IF(AND(F281=1,F282=0),1,0)</f>
      </c>
      <c r="K281" s="217">
        <f>(1+$G$5)^(D281/12)*(IF(E281=$N$7,$N$4,0)+IF(E281=$C$6,$B$10,0))</f>
      </c>
      <c r="L281" s="217">
        <f>(1+$G$5)^(D281/12)*(IF((E281)&gt;($B$6),H281,0)+IF(E281=$N$7,$N$4,0)+IF(E281=$C$6,0,0))</f>
      </c>
      <c r="M281" s="1"/>
      <c r="N281" s="7"/>
      <c r="O281" s="1"/>
      <c r="P281" s="331">
        <v>274</v>
      </c>
      <c r="Q281" s="544">
        <f>+DATE(YEAR(Q280),MONTH(Q280)-1,DAY(Q280))</f>
        <v>25569.041666666668</v>
      </c>
      <c r="R281" s="341">
        <f>IF($Z$7=$E281,1,IF(MONTH($E281)=1,R282*(1+$F$5),R282))</f>
      </c>
      <c r="S281" s="334">
        <f>R281*$B$8/12</f>
      </c>
      <c r="T281" s="334">
        <f>R281*$B$11/12</f>
      </c>
      <c r="U281" s="565">
        <f>(1+$V$5)^(P281/12)*(T281+IF(Q281=$Z$7,$Z$4,0))</f>
      </c>
      <c r="V281" s="170"/>
      <c r="W281" s="7"/>
      <c r="X281" s="1"/>
      <c r="Y281" s="1"/>
      <c r="Z281" s="1"/>
      <c r="AA281" s="1"/>
      <c r="AB281" s="1"/>
      <c r="AC281" s="331">
        <v>274</v>
      </c>
      <c r="AD281" s="544">
        <f>+DATE(YEAR(AD280),MONTH(AD280)-1,DAY(AD280))</f>
        <v>25569.041666666668</v>
      </c>
      <c r="AE281" s="341">
        <f>IF($AM$7=$E281,1,IF(MONTH($E281)=1,AE282*(1+$F$5),AE282))</f>
      </c>
      <c r="AF281" s="334">
        <f>AE281*$B$8/12</f>
      </c>
      <c r="AG281" s="334">
        <f>AE281*$B$12/12</f>
      </c>
      <c r="AH281" s="565">
        <f>(1+$AI$5)^(AC281/12)*(AG281+IF(AD281=$AM$7,$AM$4,0))</f>
      </c>
      <c r="AI281" s="170"/>
      <c r="AJ281" s="7"/>
      <c r="AK281" s="1"/>
      <c r="AL281" s="1"/>
      <c r="AM281" s="1"/>
    </row>
    <row x14ac:dyDescent="0.25" r="282" customHeight="1" ht="18.75">
      <c r="A282" s="1"/>
      <c r="B282" s="169"/>
      <c r="C282" s="170"/>
      <c r="D282" s="331">
        <v>275</v>
      </c>
      <c r="E282" s="544">
        <f>+DATE(YEAR(E281),MONTH(E281)-1,DAY(E281))</f>
        <v>25569.041666666668</v>
      </c>
      <c r="F282" s="333">
        <f>IF($C$6=$E282,1,IF(MONTH($E282)=1,F283*(1+$F$5),F283))</f>
      </c>
      <c r="G282" s="333">
        <f>F282*$B$8/12</f>
      </c>
      <c r="H282" s="333">
        <f>IF(F282=1,F282*$B$10/MIN(12,'Simulador - 3º Pilar'!$E$88),0)</f>
      </c>
      <c r="I282" s="560">
        <f>(1+$G$5)^(D282/12)*(H282+IF(E282=$N$7,$N$4,0))</f>
      </c>
      <c r="J282" s="561">
        <f>(1+$G$5)^(D282/12)*(H282*(12-IF(MONTH(E283)=12,0,MONTH(E283)))+IF(AND(F282=1,F283=0),$Q$4,0))*IF(AND(F282=1,F283=0),1,0)</f>
      </c>
      <c r="K282" s="217">
        <f>(1+$G$5)^(D282/12)*(IF(E282=$N$7,$N$4,0)+IF(E282=$C$6,$B$10,0))</f>
      </c>
      <c r="L282" s="217">
        <f>(1+$G$5)^(D282/12)*(IF((E282)&gt;($B$6),H282,0)+IF(E282=$N$7,$N$4,0)+IF(E282=$C$6,0,0))</f>
      </c>
      <c r="M282" s="1"/>
      <c r="N282" s="7"/>
      <c r="O282" s="1"/>
      <c r="P282" s="331">
        <v>275</v>
      </c>
      <c r="Q282" s="544">
        <f>+DATE(YEAR(Q281),MONTH(Q281)-1,DAY(Q281))</f>
        <v>25569.041666666668</v>
      </c>
      <c r="R282" s="341">
        <f>IF($Z$7=$E282,1,IF(MONTH($E282)=1,R283*(1+$F$5),R283))</f>
      </c>
      <c r="S282" s="334">
        <f>R282*$B$8/12</f>
      </c>
      <c r="T282" s="334">
        <f>R282*$B$11/12</f>
      </c>
      <c r="U282" s="565">
        <f>(1+$V$5)^(P282/12)*(T282+IF(Q282=$Z$7,$Z$4,0))</f>
      </c>
      <c r="V282" s="170"/>
      <c r="W282" s="7"/>
      <c r="X282" s="1"/>
      <c r="Y282" s="1"/>
      <c r="Z282" s="1"/>
      <c r="AA282" s="1"/>
      <c r="AB282" s="1"/>
      <c r="AC282" s="331">
        <v>275</v>
      </c>
      <c r="AD282" s="544">
        <f>+DATE(YEAR(AD281),MONTH(AD281)-1,DAY(AD281))</f>
        <v>25569.041666666668</v>
      </c>
      <c r="AE282" s="341">
        <f>IF($AM$7=$E282,1,IF(MONTH($E282)=1,AE283*(1+$F$5),AE283))</f>
      </c>
      <c r="AF282" s="334">
        <f>AE282*$B$8/12</f>
      </c>
      <c r="AG282" s="334">
        <f>AE282*$B$12/12</f>
      </c>
      <c r="AH282" s="565">
        <f>(1+$AI$5)^(AC282/12)*(AG282+IF(AD282=$AM$7,$AM$4,0))</f>
      </c>
      <c r="AI282" s="170"/>
      <c r="AJ282" s="7"/>
      <c r="AK282" s="1"/>
      <c r="AL282" s="1"/>
      <c r="AM282" s="1"/>
    </row>
    <row x14ac:dyDescent="0.25" r="283" customHeight="1" ht="18.75">
      <c r="A283" s="1"/>
      <c r="B283" s="169"/>
      <c r="C283" s="170"/>
      <c r="D283" s="331">
        <v>276</v>
      </c>
      <c r="E283" s="544">
        <f>+DATE(YEAR(E282),MONTH(E282)-1,DAY(E282))</f>
        <v>25569.041666666668</v>
      </c>
      <c r="F283" s="333">
        <f>IF($C$6=$E283,1,IF(MONTH($E283)=1,F284*(1+$F$5),F284))</f>
      </c>
      <c r="G283" s="333">
        <f>F283*$B$8/12</f>
      </c>
      <c r="H283" s="333">
        <f>IF(F283=1,F283*$B$10/MIN(12,'Simulador - 3º Pilar'!$E$88),0)</f>
      </c>
      <c r="I283" s="560">
        <f>(1+$G$5)^(D283/12)*(H283+IF(E283=$N$7,$N$4,0))</f>
      </c>
      <c r="J283" s="561">
        <f>(1+$G$5)^(D283/12)*(H283*(12-IF(MONTH(E284)=12,0,MONTH(E284)))+IF(AND(F283=1,F284=0),$Q$4,0))*IF(AND(F283=1,F284=0),1,0)</f>
      </c>
      <c r="K283" s="217">
        <f>(1+$G$5)^(D283/12)*(IF(E283=$N$7,$N$4,0)+IF(E283=$C$6,$B$10,0))</f>
      </c>
      <c r="L283" s="217">
        <f>(1+$G$5)^(D283/12)*(IF((E283)&gt;($B$6),H283,0)+IF(E283=$N$7,$N$4,0)+IF(E283=$C$6,0,0))</f>
      </c>
      <c r="M283" s="1"/>
      <c r="N283" s="7"/>
      <c r="O283" s="1"/>
      <c r="P283" s="331">
        <v>276</v>
      </c>
      <c r="Q283" s="544">
        <f>+DATE(YEAR(Q282),MONTH(Q282)-1,DAY(Q282))</f>
        <v>25569.041666666668</v>
      </c>
      <c r="R283" s="341">
        <f>IF($Z$7=$E283,1,IF(MONTH($E283)=1,R284*(1+$F$5),R284))</f>
      </c>
      <c r="S283" s="334">
        <f>R283*$B$8/12</f>
      </c>
      <c r="T283" s="334">
        <f>R283*$B$11/12</f>
      </c>
      <c r="U283" s="565">
        <f>(1+$V$5)^(P283/12)*(T283+IF(Q283=$Z$7,$Z$4,0))</f>
      </c>
      <c r="V283" s="170"/>
      <c r="W283" s="7"/>
      <c r="X283" s="1"/>
      <c r="Y283" s="1"/>
      <c r="Z283" s="1"/>
      <c r="AA283" s="1"/>
      <c r="AB283" s="1"/>
      <c r="AC283" s="331">
        <v>276</v>
      </c>
      <c r="AD283" s="544">
        <f>+DATE(YEAR(AD282),MONTH(AD282)-1,DAY(AD282))</f>
        <v>25569.041666666668</v>
      </c>
      <c r="AE283" s="341">
        <f>IF($AM$7=$E283,1,IF(MONTH($E283)=1,AE284*(1+$F$5),AE284))</f>
      </c>
      <c r="AF283" s="334">
        <f>AE283*$B$8/12</f>
      </c>
      <c r="AG283" s="334">
        <f>AE283*$B$12/12</f>
      </c>
      <c r="AH283" s="565">
        <f>(1+$AI$5)^(AC283/12)*(AG283+IF(AD283=$AM$7,$AM$4,0))</f>
      </c>
      <c r="AI283" s="170"/>
      <c r="AJ283" s="7"/>
      <c r="AK283" s="1"/>
      <c r="AL283" s="1"/>
      <c r="AM283" s="1"/>
    </row>
    <row x14ac:dyDescent="0.25" r="284" customHeight="1" ht="18.75">
      <c r="A284" s="1"/>
      <c r="B284" s="169"/>
      <c r="C284" s="170"/>
      <c r="D284" s="331">
        <v>277</v>
      </c>
      <c r="E284" s="544">
        <f>+DATE(YEAR(E283),MONTH(E283)-1,DAY(E283))</f>
        <v>25569.041666666668</v>
      </c>
      <c r="F284" s="333">
        <f>IF($C$6=$E284,1,IF(MONTH($E284)=1,F285*(1+$F$5),F285))</f>
      </c>
      <c r="G284" s="333">
        <f>F284*$B$8/12</f>
      </c>
      <c r="H284" s="333">
        <f>IF(F284=1,F284*$B$10/MIN(12,'Simulador - 3º Pilar'!$E$88),0)</f>
      </c>
      <c r="I284" s="560">
        <f>(1+$G$5)^(D284/12)*(H284+IF(E284=$N$7,$N$4,0))</f>
      </c>
      <c r="J284" s="561">
        <f>(1+$G$5)^(D284/12)*(H284*(12-IF(MONTH(E285)=12,0,MONTH(E285)))+IF(AND(F284=1,F285=0),$Q$4,0))*IF(AND(F284=1,F285=0),1,0)</f>
      </c>
      <c r="K284" s="217">
        <f>(1+$G$5)^(D284/12)*(IF(E284=$N$7,$N$4,0)+IF(E284=$C$6,$B$10,0))</f>
      </c>
      <c r="L284" s="217">
        <f>(1+$G$5)^(D284/12)*(IF((E284)&gt;($B$6),H284,0)+IF(E284=$N$7,$N$4,0)+IF(E284=$C$6,0,0))</f>
      </c>
      <c r="M284" s="1"/>
      <c r="N284" s="7"/>
      <c r="O284" s="1"/>
      <c r="P284" s="331">
        <v>277</v>
      </c>
      <c r="Q284" s="544">
        <f>+DATE(YEAR(Q283),MONTH(Q283)-1,DAY(Q283))</f>
        <v>25569.041666666668</v>
      </c>
      <c r="R284" s="341">
        <f>IF($Z$7=$E284,1,IF(MONTH($E284)=1,R285*(1+$F$5),R285))</f>
      </c>
      <c r="S284" s="334">
        <f>R284*$B$8/12</f>
      </c>
      <c r="T284" s="334">
        <f>R284*$B$11/12</f>
      </c>
      <c r="U284" s="565">
        <f>(1+$V$5)^(P284/12)*(T284+IF(Q284=$Z$7,$Z$4,0))</f>
      </c>
      <c r="V284" s="170"/>
      <c r="W284" s="7"/>
      <c r="X284" s="1"/>
      <c r="Y284" s="1"/>
      <c r="Z284" s="1"/>
      <c r="AA284" s="1"/>
      <c r="AB284" s="1"/>
      <c r="AC284" s="331">
        <v>277</v>
      </c>
      <c r="AD284" s="544">
        <f>+DATE(YEAR(AD283),MONTH(AD283)-1,DAY(AD283))</f>
        <v>25569.041666666668</v>
      </c>
      <c r="AE284" s="341">
        <f>IF($AM$7=$E284,1,IF(MONTH($E284)=1,AE285*(1+$F$5),AE285))</f>
      </c>
      <c r="AF284" s="334">
        <f>AE284*$B$8/12</f>
      </c>
      <c r="AG284" s="334">
        <f>AE284*$B$12/12</f>
      </c>
      <c r="AH284" s="565">
        <f>(1+$AI$5)^(AC284/12)*(AG284+IF(AD284=$AM$7,$AM$4,0))</f>
      </c>
      <c r="AI284" s="170"/>
      <c r="AJ284" s="7"/>
      <c r="AK284" s="1"/>
      <c r="AL284" s="1"/>
      <c r="AM284" s="1"/>
    </row>
    <row x14ac:dyDescent="0.25" r="285" customHeight="1" ht="18.75">
      <c r="A285" s="1"/>
      <c r="B285" s="169"/>
      <c r="C285" s="170"/>
      <c r="D285" s="331">
        <v>278</v>
      </c>
      <c r="E285" s="544">
        <f>+DATE(YEAR(E284),MONTH(E284)-1,DAY(E284))</f>
        <v>25569.041666666668</v>
      </c>
      <c r="F285" s="333">
        <f>IF($C$6=$E285,1,IF(MONTH($E285)=1,F286*(1+$F$5),F286))</f>
      </c>
      <c r="G285" s="333">
        <f>F285*$B$8/12</f>
      </c>
      <c r="H285" s="333">
        <f>IF(F285=1,F285*$B$10/MIN(12,'Simulador - 3º Pilar'!$E$88),0)</f>
      </c>
      <c r="I285" s="560">
        <f>(1+$G$5)^(D285/12)*(H285+IF(E285=$N$7,$N$4,0))</f>
      </c>
      <c r="J285" s="561">
        <f>(1+$G$5)^(D285/12)*(H285*(12-IF(MONTH(E286)=12,0,MONTH(E286)))+IF(AND(F285=1,F286=0),$Q$4,0))*IF(AND(F285=1,F286=0),1,0)</f>
      </c>
      <c r="K285" s="217">
        <f>(1+$G$5)^(D285/12)*(IF(E285=$N$7,$N$4,0)+IF(E285=$C$6,$B$10,0))</f>
      </c>
      <c r="L285" s="217">
        <f>(1+$G$5)^(D285/12)*(IF((E285)&gt;($B$6),H285,0)+IF(E285=$N$7,$N$4,0)+IF(E285=$C$6,0,0))</f>
      </c>
      <c r="M285" s="1"/>
      <c r="N285" s="7"/>
      <c r="O285" s="1"/>
      <c r="P285" s="331">
        <v>278</v>
      </c>
      <c r="Q285" s="544">
        <f>+DATE(YEAR(Q284),MONTH(Q284)-1,DAY(Q284))</f>
        <v>25569.041666666668</v>
      </c>
      <c r="R285" s="341">
        <f>IF($Z$7=$E285,1,IF(MONTH($E285)=1,R286*(1+$F$5),R286))</f>
      </c>
      <c r="S285" s="334">
        <f>R285*$B$8/12</f>
      </c>
      <c r="T285" s="334">
        <f>R285*$B$11/12</f>
      </c>
      <c r="U285" s="565">
        <f>(1+$V$5)^(P285/12)*(T285+IF(Q285=$Z$7,$Z$4,0))</f>
      </c>
      <c r="V285" s="170"/>
      <c r="W285" s="7"/>
      <c r="X285" s="1"/>
      <c r="Y285" s="1"/>
      <c r="Z285" s="1"/>
      <c r="AA285" s="1"/>
      <c r="AB285" s="1"/>
      <c r="AC285" s="331">
        <v>278</v>
      </c>
      <c r="AD285" s="544">
        <f>+DATE(YEAR(AD284),MONTH(AD284)-1,DAY(AD284))</f>
        <v>25569.041666666668</v>
      </c>
      <c r="AE285" s="341">
        <f>IF($AM$7=$E285,1,IF(MONTH($E285)=1,AE286*(1+$F$5),AE286))</f>
      </c>
      <c r="AF285" s="334">
        <f>AE285*$B$8/12</f>
      </c>
      <c r="AG285" s="334">
        <f>AE285*$B$12/12</f>
      </c>
      <c r="AH285" s="565">
        <f>(1+$AI$5)^(AC285/12)*(AG285+IF(AD285=$AM$7,$AM$4,0))</f>
      </c>
      <c r="AI285" s="170"/>
      <c r="AJ285" s="7"/>
      <c r="AK285" s="1"/>
      <c r="AL285" s="1"/>
      <c r="AM285" s="1"/>
    </row>
    <row x14ac:dyDescent="0.25" r="286" customHeight="1" ht="18.75">
      <c r="A286" s="1"/>
      <c r="B286" s="169"/>
      <c r="C286" s="170"/>
      <c r="D286" s="331">
        <v>279</v>
      </c>
      <c r="E286" s="544">
        <f>+DATE(YEAR(E285),MONTH(E285)-1,DAY(E285))</f>
        <v>25569.041666666668</v>
      </c>
      <c r="F286" s="333">
        <f>IF($C$6=$E286,1,IF(MONTH($E286)=1,F287*(1+$F$5),F287))</f>
      </c>
      <c r="G286" s="333">
        <f>F286*$B$8/12</f>
      </c>
      <c r="H286" s="333">
        <f>IF(F286=1,F286*$B$10/MIN(12,'Simulador - 3º Pilar'!$E$88),0)</f>
      </c>
      <c r="I286" s="560">
        <f>(1+$G$5)^(D286/12)*(H286+IF(E286=$N$7,$N$4,0))</f>
      </c>
      <c r="J286" s="561">
        <f>(1+$G$5)^(D286/12)*(H286*(12-IF(MONTH(E287)=12,0,MONTH(E287)))+IF(AND(F286=1,F287=0),$Q$4,0))*IF(AND(F286=1,F287=0),1,0)</f>
      </c>
      <c r="K286" s="217">
        <f>(1+$G$5)^(D286/12)*(IF(E286=$N$7,$N$4,0)+IF(E286=$C$6,$B$10,0))</f>
      </c>
      <c r="L286" s="217">
        <f>(1+$G$5)^(D286/12)*(IF((E286)&gt;($B$6),H286,0)+IF(E286=$N$7,$N$4,0)+IF(E286=$C$6,0,0))</f>
      </c>
      <c r="M286" s="1"/>
      <c r="N286" s="7"/>
      <c r="O286" s="1"/>
      <c r="P286" s="331">
        <v>279</v>
      </c>
      <c r="Q286" s="544">
        <f>+DATE(YEAR(Q285),MONTH(Q285)-1,DAY(Q285))</f>
        <v>25569.041666666668</v>
      </c>
      <c r="R286" s="341">
        <f>IF($Z$7=$E286,1,IF(MONTH($E286)=1,R287*(1+$F$5),R287))</f>
      </c>
      <c r="S286" s="334">
        <f>R286*$B$8/12</f>
      </c>
      <c r="T286" s="334">
        <f>R286*$B$11/12</f>
      </c>
      <c r="U286" s="565">
        <f>(1+$V$5)^(P286/12)*(T286+IF(Q286=$Z$7,$Z$4,0))</f>
      </c>
      <c r="V286" s="170"/>
      <c r="W286" s="7"/>
      <c r="X286" s="1"/>
      <c r="Y286" s="1"/>
      <c r="Z286" s="1"/>
      <c r="AA286" s="1"/>
      <c r="AB286" s="1"/>
      <c r="AC286" s="331">
        <v>279</v>
      </c>
      <c r="AD286" s="544">
        <f>+DATE(YEAR(AD285),MONTH(AD285)-1,DAY(AD285))</f>
        <v>25569.041666666668</v>
      </c>
      <c r="AE286" s="341">
        <f>IF($AM$7=$E286,1,IF(MONTH($E286)=1,AE287*(1+$F$5),AE287))</f>
      </c>
      <c r="AF286" s="334">
        <f>AE286*$B$8/12</f>
      </c>
      <c r="AG286" s="334">
        <f>AE286*$B$12/12</f>
      </c>
      <c r="AH286" s="565">
        <f>(1+$AI$5)^(AC286/12)*(AG286+IF(AD286=$AM$7,$AM$4,0))</f>
      </c>
      <c r="AI286" s="170"/>
      <c r="AJ286" s="7"/>
      <c r="AK286" s="1"/>
      <c r="AL286" s="1"/>
      <c r="AM286" s="1"/>
    </row>
    <row x14ac:dyDescent="0.25" r="287" customHeight="1" ht="18.75">
      <c r="A287" s="1"/>
      <c r="B287" s="169"/>
      <c r="C287" s="170"/>
      <c r="D287" s="331">
        <v>280</v>
      </c>
      <c r="E287" s="544">
        <f>+DATE(YEAR(E286),MONTH(E286)-1,DAY(E286))</f>
        <v>25569.041666666668</v>
      </c>
      <c r="F287" s="333">
        <f>IF($C$6=$E287,1,IF(MONTH($E287)=1,F288*(1+$F$5),F288))</f>
      </c>
      <c r="G287" s="333">
        <f>F287*$B$8/12</f>
      </c>
      <c r="H287" s="333">
        <f>IF(F287=1,F287*$B$10/MIN(12,'Simulador - 3º Pilar'!$E$88),0)</f>
      </c>
      <c r="I287" s="560">
        <f>(1+$G$5)^(D287/12)*(H287+IF(E287=$N$7,$N$4,0))</f>
      </c>
      <c r="J287" s="561">
        <f>(1+$G$5)^(D287/12)*(H287*(12-IF(MONTH(E288)=12,0,MONTH(E288)))+IF(AND(F287=1,F288=0),$Q$4,0))*IF(AND(F287=1,F288=0),1,0)</f>
      </c>
      <c r="K287" s="217">
        <f>(1+$G$5)^(D287/12)*(IF(E287=$N$7,$N$4,0)+IF(E287=$C$6,$B$10,0))</f>
      </c>
      <c r="L287" s="217">
        <f>(1+$G$5)^(D287/12)*(IF((E287)&gt;($B$6),H287,0)+IF(E287=$N$7,$N$4,0)+IF(E287=$C$6,0,0))</f>
      </c>
      <c r="M287" s="1"/>
      <c r="N287" s="7"/>
      <c r="O287" s="1"/>
      <c r="P287" s="331">
        <v>280</v>
      </c>
      <c r="Q287" s="544">
        <f>+DATE(YEAR(Q286),MONTH(Q286)-1,DAY(Q286))</f>
        <v>25569.041666666668</v>
      </c>
      <c r="R287" s="341">
        <f>IF($Z$7=$E287,1,IF(MONTH($E287)=1,R288*(1+$F$5),R288))</f>
      </c>
      <c r="S287" s="334">
        <f>R287*$B$8/12</f>
      </c>
      <c r="T287" s="334">
        <f>R287*$B$11/12</f>
      </c>
      <c r="U287" s="565">
        <f>(1+$V$5)^(P287/12)*(T287+IF(Q287=$Z$7,$Z$4,0))</f>
      </c>
      <c r="V287" s="170"/>
      <c r="W287" s="7"/>
      <c r="X287" s="1"/>
      <c r="Y287" s="1"/>
      <c r="Z287" s="1"/>
      <c r="AA287" s="1"/>
      <c r="AB287" s="1"/>
      <c r="AC287" s="331">
        <v>280</v>
      </c>
      <c r="AD287" s="544">
        <f>+DATE(YEAR(AD286),MONTH(AD286)-1,DAY(AD286))</f>
        <v>25569.041666666668</v>
      </c>
      <c r="AE287" s="341">
        <f>IF($AM$7=$E287,1,IF(MONTH($E287)=1,AE288*(1+$F$5),AE288))</f>
      </c>
      <c r="AF287" s="334">
        <f>AE287*$B$8/12</f>
      </c>
      <c r="AG287" s="334">
        <f>AE287*$B$12/12</f>
      </c>
      <c r="AH287" s="565">
        <f>(1+$AI$5)^(AC287/12)*(AG287+IF(AD287=$AM$7,$AM$4,0))</f>
      </c>
      <c r="AI287" s="170"/>
      <c r="AJ287" s="7"/>
      <c r="AK287" s="1"/>
      <c r="AL287" s="1"/>
      <c r="AM287" s="1"/>
    </row>
    <row x14ac:dyDescent="0.25" r="288" customHeight="1" ht="18.75">
      <c r="A288" s="1"/>
      <c r="B288" s="169"/>
      <c r="C288" s="170"/>
      <c r="D288" s="331">
        <v>281</v>
      </c>
      <c r="E288" s="544">
        <f>+DATE(YEAR(E287),MONTH(E287)-1,DAY(E287))</f>
        <v>25569.041666666668</v>
      </c>
      <c r="F288" s="333">
        <f>IF($C$6=$E288,1,IF(MONTH($E288)=1,F289*(1+$F$5),F289))</f>
      </c>
      <c r="G288" s="333">
        <f>F288*$B$8/12</f>
      </c>
      <c r="H288" s="333">
        <f>IF(F288=1,F288*$B$10/MIN(12,'Simulador - 3º Pilar'!$E$88),0)</f>
      </c>
      <c r="I288" s="560">
        <f>(1+$G$5)^(D288/12)*(H288+IF(E288=$N$7,$N$4,0))</f>
      </c>
      <c r="J288" s="561">
        <f>(1+$G$5)^(D288/12)*(H288*(12-IF(MONTH(E289)=12,0,MONTH(E289)))+IF(AND(F288=1,F289=0),$Q$4,0))*IF(AND(F288=1,F289=0),1,0)</f>
      </c>
      <c r="K288" s="217">
        <f>(1+$G$5)^(D288/12)*(IF(E288=$N$7,$N$4,0)+IF(E288=$C$6,$B$10,0))</f>
      </c>
      <c r="L288" s="217">
        <f>(1+$G$5)^(D288/12)*(IF((E288)&gt;($B$6),H288,0)+IF(E288=$N$7,$N$4,0)+IF(E288=$C$6,0,0))</f>
      </c>
      <c r="M288" s="1"/>
      <c r="N288" s="7"/>
      <c r="O288" s="1"/>
      <c r="P288" s="331">
        <v>281</v>
      </c>
      <c r="Q288" s="544">
        <f>+DATE(YEAR(Q287),MONTH(Q287)-1,DAY(Q287))</f>
        <v>25569.041666666668</v>
      </c>
      <c r="R288" s="341">
        <f>IF($Z$7=$E288,1,IF(MONTH($E288)=1,R289*(1+$F$5),R289))</f>
      </c>
      <c r="S288" s="334">
        <f>R288*$B$8/12</f>
      </c>
      <c r="T288" s="334">
        <f>R288*$B$11/12</f>
      </c>
      <c r="U288" s="565">
        <f>(1+$V$5)^(P288/12)*(T288+IF(Q288=$Z$7,$Z$4,0))</f>
      </c>
      <c r="V288" s="170"/>
      <c r="W288" s="7"/>
      <c r="X288" s="1"/>
      <c r="Y288" s="1"/>
      <c r="Z288" s="1"/>
      <c r="AA288" s="1"/>
      <c r="AB288" s="1"/>
      <c r="AC288" s="331">
        <v>281</v>
      </c>
      <c r="AD288" s="544">
        <f>+DATE(YEAR(AD287),MONTH(AD287)-1,DAY(AD287))</f>
        <v>25569.041666666668</v>
      </c>
      <c r="AE288" s="341">
        <f>IF($AM$7=$E288,1,IF(MONTH($E288)=1,AE289*(1+$F$5),AE289))</f>
      </c>
      <c r="AF288" s="334">
        <f>AE288*$B$8/12</f>
      </c>
      <c r="AG288" s="334">
        <f>AE288*$B$12/12</f>
      </c>
      <c r="AH288" s="565">
        <f>(1+$AI$5)^(AC288/12)*(AG288+IF(AD288=$AM$7,$AM$4,0))</f>
      </c>
      <c r="AI288" s="170"/>
      <c r="AJ288" s="7"/>
      <c r="AK288" s="1"/>
      <c r="AL288" s="1"/>
      <c r="AM288" s="1"/>
    </row>
    <row x14ac:dyDescent="0.25" r="289" customHeight="1" ht="18.75">
      <c r="A289" s="1"/>
      <c r="B289" s="169"/>
      <c r="C289" s="170"/>
      <c r="D289" s="331">
        <v>282</v>
      </c>
      <c r="E289" s="544">
        <f>+DATE(YEAR(E288),MONTH(E288)-1,DAY(E288))</f>
        <v>25569.041666666668</v>
      </c>
      <c r="F289" s="333">
        <f>IF($C$6=$E289,1,IF(MONTH($E289)=1,F290*(1+$F$5),F290))</f>
      </c>
      <c r="G289" s="333">
        <f>F289*$B$8/12</f>
      </c>
      <c r="H289" s="333">
        <f>IF(F289=1,F289*$B$10/MIN(12,'Simulador - 3º Pilar'!$E$88),0)</f>
      </c>
      <c r="I289" s="560">
        <f>(1+$G$5)^(D289/12)*(H289+IF(E289=$N$7,$N$4,0))</f>
      </c>
      <c r="J289" s="561">
        <f>(1+$G$5)^(D289/12)*(H289*(12-IF(MONTH(E290)=12,0,MONTH(E290)))+IF(AND(F289=1,F290=0),$Q$4,0))*IF(AND(F289=1,F290=0),1,0)</f>
      </c>
      <c r="K289" s="217">
        <f>(1+$G$5)^(D289/12)*(IF(E289=$N$7,$N$4,0)+IF(E289=$C$6,$B$10,0))</f>
      </c>
      <c r="L289" s="217">
        <f>(1+$G$5)^(D289/12)*(IF((E289)&gt;($B$6),H289,0)+IF(E289=$N$7,$N$4,0)+IF(E289=$C$6,0,0))</f>
      </c>
      <c r="M289" s="1"/>
      <c r="N289" s="7"/>
      <c r="O289" s="1"/>
      <c r="P289" s="331">
        <v>282</v>
      </c>
      <c r="Q289" s="544">
        <f>+DATE(YEAR(Q288),MONTH(Q288)-1,DAY(Q288))</f>
        <v>25569.041666666668</v>
      </c>
      <c r="R289" s="341">
        <f>IF($Z$7=$E289,1,IF(MONTH($E289)=1,R290*(1+$F$5),R290))</f>
      </c>
      <c r="S289" s="334">
        <f>R289*$B$8/12</f>
      </c>
      <c r="T289" s="334">
        <f>R289*$B$11/12</f>
      </c>
      <c r="U289" s="565">
        <f>(1+$V$5)^(P289/12)*(T289+IF(Q289=$Z$7,$Z$4,0))</f>
      </c>
      <c r="V289" s="170"/>
      <c r="W289" s="7"/>
      <c r="X289" s="1"/>
      <c r="Y289" s="1"/>
      <c r="Z289" s="1"/>
      <c r="AA289" s="1"/>
      <c r="AB289" s="1"/>
      <c r="AC289" s="331">
        <v>282</v>
      </c>
      <c r="AD289" s="544">
        <f>+DATE(YEAR(AD288),MONTH(AD288)-1,DAY(AD288))</f>
        <v>25569.041666666668</v>
      </c>
      <c r="AE289" s="341">
        <f>IF($AM$7=$E289,1,IF(MONTH($E289)=1,AE290*(1+$F$5),AE290))</f>
      </c>
      <c r="AF289" s="334">
        <f>AE289*$B$8/12</f>
      </c>
      <c r="AG289" s="334">
        <f>AE289*$B$12/12</f>
      </c>
      <c r="AH289" s="565">
        <f>(1+$AI$5)^(AC289/12)*(AG289+IF(AD289=$AM$7,$AM$4,0))</f>
      </c>
      <c r="AI289" s="170"/>
      <c r="AJ289" s="7"/>
      <c r="AK289" s="1"/>
      <c r="AL289" s="1"/>
      <c r="AM289" s="1"/>
    </row>
    <row x14ac:dyDescent="0.25" r="290" customHeight="1" ht="18.75">
      <c r="A290" s="1"/>
      <c r="B290" s="169"/>
      <c r="C290" s="170"/>
      <c r="D290" s="331">
        <v>283</v>
      </c>
      <c r="E290" s="544">
        <f>+DATE(YEAR(E289),MONTH(E289)-1,DAY(E289))</f>
        <v>25569.041666666668</v>
      </c>
      <c r="F290" s="333">
        <f>IF($C$6=$E290,1,IF(MONTH($E290)=1,F291*(1+$F$5),F291))</f>
      </c>
      <c r="G290" s="333">
        <f>F290*$B$8/12</f>
      </c>
      <c r="H290" s="333">
        <f>IF(F290=1,F290*$B$10/MIN(12,'Simulador - 3º Pilar'!$E$88),0)</f>
      </c>
      <c r="I290" s="560">
        <f>(1+$G$5)^(D290/12)*(H290+IF(E290=$N$7,$N$4,0))</f>
      </c>
      <c r="J290" s="561">
        <f>(1+$G$5)^(D290/12)*(H290*(12-IF(MONTH(E291)=12,0,MONTH(E291)))+IF(AND(F290=1,F291=0),$Q$4,0))*IF(AND(F290=1,F291=0),1,0)</f>
      </c>
      <c r="K290" s="217">
        <f>(1+$G$5)^(D290/12)*(IF(E290=$N$7,$N$4,0)+IF(E290=$C$6,$B$10,0))</f>
      </c>
      <c r="L290" s="217">
        <f>(1+$G$5)^(D290/12)*(IF((E290)&gt;($B$6),H290,0)+IF(E290=$N$7,$N$4,0)+IF(E290=$C$6,0,0))</f>
      </c>
      <c r="M290" s="1"/>
      <c r="N290" s="7"/>
      <c r="O290" s="1"/>
      <c r="P290" s="331">
        <v>283</v>
      </c>
      <c r="Q290" s="544">
        <f>+DATE(YEAR(Q289),MONTH(Q289)-1,DAY(Q289))</f>
        <v>25569.041666666668</v>
      </c>
      <c r="R290" s="341">
        <f>IF($Z$7=$E290,1,IF(MONTH($E290)=1,R291*(1+$F$5),R291))</f>
      </c>
      <c r="S290" s="334">
        <f>R290*$B$8/12</f>
      </c>
      <c r="T290" s="334">
        <f>R290*$B$11/12</f>
      </c>
      <c r="U290" s="565">
        <f>(1+$V$5)^(P290/12)*(T290+IF(Q290=$Z$7,$Z$4,0))</f>
      </c>
      <c r="V290" s="170"/>
      <c r="W290" s="7"/>
      <c r="X290" s="1"/>
      <c r="Y290" s="1"/>
      <c r="Z290" s="1"/>
      <c r="AA290" s="1"/>
      <c r="AB290" s="1"/>
      <c r="AC290" s="331">
        <v>283</v>
      </c>
      <c r="AD290" s="544">
        <f>+DATE(YEAR(AD289),MONTH(AD289)-1,DAY(AD289))</f>
        <v>25569.041666666668</v>
      </c>
      <c r="AE290" s="341">
        <f>IF($AM$7=$E290,1,IF(MONTH($E290)=1,AE291*(1+$F$5),AE291))</f>
      </c>
      <c r="AF290" s="334">
        <f>AE290*$B$8/12</f>
      </c>
      <c r="AG290" s="334">
        <f>AE290*$B$12/12</f>
      </c>
      <c r="AH290" s="565">
        <f>(1+$AI$5)^(AC290/12)*(AG290+IF(AD290=$AM$7,$AM$4,0))</f>
      </c>
      <c r="AI290" s="170"/>
      <c r="AJ290" s="7"/>
      <c r="AK290" s="1"/>
      <c r="AL290" s="1"/>
      <c r="AM290" s="1"/>
    </row>
    <row x14ac:dyDescent="0.25" r="291" customHeight="1" ht="18.75">
      <c r="A291" s="1"/>
      <c r="B291" s="169"/>
      <c r="C291" s="170"/>
      <c r="D291" s="331">
        <v>284</v>
      </c>
      <c r="E291" s="544">
        <f>+DATE(YEAR(E290),MONTH(E290)-1,DAY(E290))</f>
        <v>25569.041666666668</v>
      </c>
      <c r="F291" s="333">
        <f>IF($C$6=$E291,1,IF(MONTH($E291)=1,F292*(1+$F$5),F292))</f>
      </c>
      <c r="G291" s="333">
        <f>F291*$B$8/12</f>
      </c>
      <c r="H291" s="333">
        <f>IF(F291=1,F291*$B$10/MIN(12,'Simulador - 3º Pilar'!$E$88),0)</f>
      </c>
      <c r="I291" s="560">
        <f>(1+$G$5)^(D291/12)*(H291+IF(E291=$N$7,$N$4,0))</f>
      </c>
      <c r="J291" s="561">
        <f>(1+$G$5)^(D291/12)*(H291*(12-IF(MONTH(E292)=12,0,MONTH(E292)))+IF(AND(F291=1,F292=0),$Q$4,0))*IF(AND(F291=1,F292=0),1,0)</f>
      </c>
      <c r="K291" s="217">
        <f>(1+$G$5)^(D291/12)*(IF(E291=$N$7,$N$4,0)+IF(E291=$C$6,$B$10,0))</f>
      </c>
      <c r="L291" s="217">
        <f>(1+$G$5)^(D291/12)*(IF((E291)&gt;($B$6),H291,0)+IF(E291=$N$7,$N$4,0)+IF(E291=$C$6,0,0))</f>
      </c>
      <c r="M291" s="1"/>
      <c r="N291" s="7"/>
      <c r="O291" s="1"/>
      <c r="P291" s="331">
        <v>284</v>
      </c>
      <c r="Q291" s="544">
        <f>+DATE(YEAR(Q290),MONTH(Q290)-1,DAY(Q290))</f>
        <v>25569.041666666668</v>
      </c>
      <c r="R291" s="341">
        <f>IF($Z$7=$E291,1,IF(MONTH($E291)=1,R292*(1+$F$5),R292))</f>
      </c>
      <c r="S291" s="334">
        <f>R291*$B$8/12</f>
      </c>
      <c r="T291" s="334">
        <f>R291*$B$11/12</f>
      </c>
      <c r="U291" s="565">
        <f>(1+$V$5)^(P291/12)*(T291+IF(Q291=$Z$7,$Z$4,0))</f>
      </c>
      <c r="V291" s="170"/>
      <c r="W291" s="7"/>
      <c r="X291" s="1"/>
      <c r="Y291" s="1"/>
      <c r="Z291" s="1"/>
      <c r="AA291" s="1"/>
      <c r="AB291" s="1"/>
      <c r="AC291" s="331">
        <v>284</v>
      </c>
      <c r="AD291" s="544">
        <f>+DATE(YEAR(AD290),MONTH(AD290)-1,DAY(AD290))</f>
        <v>25569.041666666668</v>
      </c>
      <c r="AE291" s="341">
        <f>IF($AM$7=$E291,1,IF(MONTH($E291)=1,AE292*(1+$F$5),AE292))</f>
      </c>
      <c r="AF291" s="334">
        <f>AE291*$B$8/12</f>
      </c>
      <c r="AG291" s="334">
        <f>AE291*$B$12/12</f>
      </c>
      <c r="AH291" s="565">
        <f>(1+$AI$5)^(AC291/12)*(AG291+IF(AD291=$AM$7,$AM$4,0))</f>
      </c>
      <c r="AI291" s="170"/>
      <c r="AJ291" s="7"/>
      <c r="AK291" s="1"/>
      <c r="AL291" s="1"/>
      <c r="AM291" s="1"/>
    </row>
    <row x14ac:dyDescent="0.25" r="292" customHeight="1" ht="18.75">
      <c r="A292" s="1"/>
      <c r="B292" s="169"/>
      <c r="C292" s="170"/>
      <c r="D292" s="331">
        <v>285</v>
      </c>
      <c r="E292" s="544">
        <f>+DATE(YEAR(E291),MONTH(E291)-1,DAY(E291))</f>
        <v>25569.041666666668</v>
      </c>
      <c r="F292" s="333">
        <f>IF($C$6=$E292,1,IF(MONTH($E292)=1,F293*(1+$F$5),F293))</f>
      </c>
      <c r="G292" s="333">
        <f>F292*$B$8/12</f>
      </c>
      <c r="H292" s="333">
        <f>IF(F292=1,F292*$B$10/MIN(12,'Simulador - 3º Pilar'!$E$88),0)</f>
      </c>
      <c r="I292" s="560">
        <f>(1+$G$5)^(D292/12)*(H292+IF(E292=$N$7,$N$4,0))</f>
      </c>
      <c r="J292" s="561">
        <f>(1+$G$5)^(D292/12)*(H292*(12-IF(MONTH(E293)=12,0,MONTH(E293)))+IF(AND(F292=1,F293=0),$Q$4,0))*IF(AND(F292=1,F293=0),1,0)</f>
      </c>
      <c r="K292" s="217">
        <f>(1+$G$5)^(D292/12)*(IF(E292=$N$7,$N$4,0)+IF(E292=$C$6,$B$10,0))</f>
      </c>
      <c r="L292" s="217">
        <f>(1+$G$5)^(D292/12)*(IF((E292)&gt;($B$6),H292,0)+IF(E292=$N$7,$N$4,0)+IF(E292=$C$6,0,0))</f>
      </c>
      <c r="M292" s="1"/>
      <c r="N292" s="7"/>
      <c r="O292" s="1"/>
      <c r="P292" s="331">
        <v>285</v>
      </c>
      <c r="Q292" s="544">
        <f>+DATE(YEAR(Q291),MONTH(Q291)-1,DAY(Q291))</f>
        <v>25569.041666666668</v>
      </c>
      <c r="R292" s="341">
        <f>IF($Z$7=$E292,1,IF(MONTH($E292)=1,R293*(1+$F$5),R293))</f>
      </c>
      <c r="S292" s="334">
        <f>R292*$B$8/12</f>
      </c>
      <c r="T292" s="334">
        <f>R292*$B$11/12</f>
      </c>
      <c r="U292" s="565">
        <f>(1+$V$5)^(P292/12)*(T292+IF(Q292=$Z$7,$Z$4,0))</f>
      </c>
      <c r="V292" s="170"/>
      <c r="W292" s="7"/>
      <c r="X292" s="1"/>
      <c r="Y292" s="1"/>
      <c r="Z292" s="1"/>
      <c r="AA292" s="1"/>
      <c r="AB292" s="1"/>
      <c r="AC292" s="331">
        <v>285</v>
      </c>
      <c r="AD292" s="544">
        <f>+DATE(YEAR(AD291),MONTH(AD291)-1,DAY(AD291))</f>
        <v>25569.041666666668</v>
      </c>
      <c r="AE292" s="341">
        <f>IF($AM$7=$E292,1,IF(MONTH($E292)=1,AE293*(1+$F$5),AE293))</f>
      </c>
      <c r="AF292" s="334">
        <f>AE292*$B$8/12</f>
      </c>
      <c r="AG292" s="334">
        <f>AE292*$B$12/12</f>
      </c>
      <c r="AH292" s="565">
        <f>(1+$AI$5)^(AC292/12)*(AG292+IF(AD292=$AM$7,$AM$4,0))</f>
      </c>
      <c r="AI292" s="170"/>
      <c r="AJ292" s="7"/>
      <c r="AK292" s="1"/>
      <c r="AL292" s="1"/>
      <c r="AM292" s="1"/>
    </row>
    <row x14ac:dyDescent="0.25" r="293" customHeight="1" ht="18.75">
      <c r="A293" s="1"/>
      <c r="B293" s="169"/>
      <c r="C293" s="170"/>
      <c r="D293" s="331">
        <v>286</v>
      </c>
      <c r="E293" s="544">
        <f>+DATE(YEAR(E292),MONTH(E292)-1,DAY(E292))</f>
        <v>25569.041666666668</v>
      </c>
      <c r="F293" s="333">
        <f>IF($C$6=$E293,1,IF(MONTH($E293)=1,F294*(1+$F$5),F294))</f>
      </c>
      <c r="G293" s="333">
        <f>F293*$B$8/12</f>
      </c>
      <c r="H293" s="333">
        <f>IF(F293=1,F293*$B$10/MIN(12,'Simulador - 3º Pilar'!$E$88),0)</f>
      </c>
      <c r="I293" s="560">
        <f>(1+$G$5)^(D293/12)*(H293+IF(E293=$N$7,$N$4,0))</f>
      </c>
      <c r="J293" s="561">
        <f>(1+$G$5)^(D293/12)*(H293*(12-IF(MONTH(E294)=12,0,MONTH(E294)))+IF(AND(F293=1,F294=0),$Q$4,0))*IF(AND(F293=1,F294=0),1,0)</f>
      </c>
      <c r="K293" s="217">
        <f>(1+$G$5)^(D293/12)*(IF(E293=$N$7,$N$4,0)+IF(E293=$C$6,$B$10,0))</f>
      </c>
      <c r="L293" s="217">
        <f>(1+$G$5)^(D293/12)*(IF((E293)&gt;($B$6),H293,0)+IF(E293=$N$7,$N$4,0)+IF(E293=$C$6,0,0))</f>
      </c>
      <c r="M293" s="1"/>
      <c r="N293" s="7"/>
      <c r="O293" s="1"/>
      <c r="P293" s="331">
        <v>286</v>
      </c>
      <c r="Q293" s="544">
        <f>+DATE(YEAR(Q292),MONTH(Q292)-1,DAY(Q292))</f>
        <v>25569.041666666668</v>
      </c>
      <c r="R293" s="341">
        <f>IF($Z$7=$E293,1,IF(MONTH($E293)=1,R294*(1+$F$5),R294))</f>
      </c>
      <c r="S293" s="334">
        <f>R293*$B$8/12</f>
      </c>
      <c r="T293" s="334">
        <f>R293*$B$11/12</f>
      </c>
      <c r="U293" s="565">
        <f>(1+$V$5)^(P293/12)*(T293+IF(Q293=$Z$7,$Z$4,0))</f>
      </c>
      <c r="V293" s="170"/>
      <c r="W293" s="7"/>
      <c r="X293" s="1"/>
      <c r="Y293" s="1"/>
      <c r="Z293" s="1"/>
      <c r="AA293" s="1"/>
      <c r="AB293" s="1"/>
      <c r="AC293" s="331">
        <v>286</v>
      </c>
      <c r="AD293" s="544">
        <f>+DATE(YEAR(AD292),MONTH(AD292)-1,DAY(AD292))</f>
        <v>25569.041666666668</v>
      </c>
      <c r="AE293" s="341">
        <f>IF($AM$7=$E293,1,IF(MONTH($E293)=1,AE294*(1+$F$5),AE294))</f>
      </c>
      <c r="AF293" s="334">
        <f>AE293*$B$8/12</f>
      </c>
      <c r="AG293" s="334">
        <f>AE293*$B$12/12</f>
      </c>
      <c r="AH293" s="565">
        <f>(1+$AI$5)^(AC293/12)*(AG293+IF(AD293=$AM$7,$AM$4,0))</f>
      </c>
      <c r="AI293" s="170"/>
      <c r="AJ293" s="7"/>
      <c r="AK293" s="1"/>
      <c r="AL293" s="1"/>
      <c r="AM293" s="1"/>
    </row>
    <row x14ac:dyDescent="0.25" r="294" customHeight="1" ht="18.75">
      <c r="A294" s="1"/>
      <c r="B294" s="169"/>
      <c r="C294" s="170"/>
      <c r="D294" s="331">
        <v>287</v>
      </c>
      <c r="E294" s="544">
        <f>+DATE(YEAR(E293),MONTH(E293)-1,DAY(E293))</f>
        <v>25569.041666666668</v>
      </c>
      <c r="F294" s="333">
        <f>IF($C$6=$E294,1,IF(MONTH($E294)=1,F295*(1+$F$5),F295))</f>
      </c>
      <c r="G294" s="333">
        <f>F294*$B$8/12</f>
      </c>
      <c r="H294" s="333">
        <f>IF(F294=1,F294*$B$10/MIN(12,'Simulador - 3º Pilar'!$E$88),0)</f>
      </c>
      <c r="I294" s="560">
        <f>(1+$G$5)^(D294/12)*(H294+IF(E294=$N$7,$N$4,0))</f>
      </c>
      <c r="J294" s="561">
        <f>(1+$G$5)^(D294/12)*(H294*(12-IF(MONTH(E295)=12,0,MONTH(E295)))+IF(AND(F294=1,F295=0),$Q$4,0))*IF(AND(F294=1,F295=0),1,0)</f>
      </c>
      <c r="K294" s="217">
        <f>(1+$G$5)^(D294/12)*(IF(E294=$N$7,$N$4,0)+IF(E294=$C$6,$B$10,0))</f>
      </c>
      <c r="L294" s="217">
        <f>(1+$G$5)^(D294/12)*(IF((E294)&gt;($B$6),H294,0)+IF(E294=$N$7,$N$4,0)+IF(E294=$C$6,0,0))</f>
      </c>
      <c r="M294" s="1"/>
      <c r="N294" s="7"/>
      <c r="O294" s="1"/>
      <c r="P294" s="331">
        <v>287</v>
      </c>
      <c r="Q294" s="544">
        <f>+DATE(YEAR(Q293),MONTH(Q293)-1,DAY(Q293))</f>
        <v>25569.041666666668</v>
      </c>
      <c r="R294" s="341">
        <f>IF($Z$7=$E294,1,IF(MONTH($E294)=1,R295*(1+$F$5),R295))</f>
      </c>
      <c r="S294" s="334">
        <f>R294*$B$8/12</f>
      </c>
      <c r="T294" s="334">
        <f>R294*$B$11/12</f>
      </c>
      <c r="U294" s="565">
        <f>(1+$V$5)^(P294/12)*(T294+IF(Q294=$Z$7,$Z$4,0))</f>
      </c>
      <c r="V294" s="170"/>
      <c r="W294" s="7"/>
      <c r="X294" s="1"/>
      <c r="Y294" s="1"/>
      <c r="Z294" s="1"/>
      <c r="AA294" s="1"/>
      <c r="AB294" s="1"/>
      <c r="AC294" s="331">
        <v>287</v>
      </c>
      <c r="AD294" s="544">
        <f>+DATE(YEAR(AD293),MONTH(AD293)-1,DAY(AD293))</f>
        <v>25569.041666666668</v>
      </c>
      <c r="AE294" s="341">
        <f>IF($AM$7=$E294,1,IF(MONTH($E294)=1,AE295*(1+$F$5),AE295))</f>
      </c>
      <c r="AF294" s="334">
        <f>AE294*$B$8/12</f>
      </c>
      <c r="AG294" s="334">
        <f>AE294*$B$12/12</f>
      </c>
      <c r="AH294" s="565">
        <f>(1+$AI$5)^(AC294/12)*(AG294+IF(AD294=$AM$7,$AM$4,0))</f>
      </c>
      <c r="AI294" s="170"/>
      <c r="AJ294" s="7"/>
      <c r="AK294" s="1"/>
      <c r="AL294" s="1"/>
      <c r="AM294" s="1"/>
    </row>
    <row x14ac:dyDescent="0.25" r="295" customHeight="1" ht="18.75">
      <c r="A295" s="1"/>
      <c r="B295" s="169"/>
      <c r="C295" s="170"/>
      <c r="D295" s="331">
        <v>288</v>
      </c>
      <c r="E295" s="544">
        <f>+DATE(YEAR(E294),MONTH(E294)-1,DAY(E294))</f>
        <v>25569.041666666668</v>
      </c>
      <c r="F295" s="333">
        <f>IF($C$6=$E295,1,IF(MONTH($E295)=1,F296*(1+$F$5),F296))</f>
      </c>
      <c r="G295" s="333">
        <f>F295*$B$8/12</f>
      </c>
      <c r="H295" s="333">
        <f>IF(F295=1,F295*$B$10/MIN(12,'Simulador - 3º Pilar'!$E$88),0)</f>
      </c>
      <c r="I295" s="560">
        <f>(1+$G$5)^(D295/12)*(H295+IF(E295=$N$7,$N$4,0))</f>
      </c>
      <c r="J295" s="561">
        <f>(1+$G$5)^(D295/12)*(H295*(12-IF(MONTH(E296)=12,0,MONTH(E296)))+IF(AND(F295=1,F296=0),$Q$4,0))*IF(AND(F295=1,F296=0),1,0)</f>
      </c>
      <c r="K295" s="217">
        <f>(1+$G$5)^(D295/12)*(IF(E295=$N$7,$N$4,0)+IF(E295=$C$6,$B$10,0))</f>
      </c>
      <c r="L295" s="217">
        <f>(1+$G$5)^(D295/12)*(IF((E295)&gt;($B$6),H295,0)+IF(E295=$N$7,$N$4,0)+IF(E295=$C$6,0,0))</f>
      </c>
      <c r="M295" s="1"/>
      <c r="N295" s="7"/>
      <c r="O295" s="1"/>
      <c r="P295" s="331">
        <v>288</v>
      </c>
      <c r="Q295" s="544">
        <f>+DATE(YEAR(Q294),MONTH(Q294)-1,DAY(Q294))</f>
        <v>25569.041666666668</v>
      </c>
      <c r="R295" s="341">
        <f>IF($Z$7=$E295,1,IF(MONTH($E295)=1,R296*(1+$F$5),R296))</f>
      </c>
      <c r="S295" s="334">
        <f>R295*$B$8/12</f>
      </c>
      <c r="T295" s="334">
        <f>R295*$B$11/12</f>
      </c>
      <c r="U295" s="565">
        <f>(1+$V$5)^(P295/12)*(T295+IF(Q295=$Z$7,$Z$4,0))</f>
      </c>
      <c r="V295" s="170"/>
      <c r="W295" s="7"/>
      <c r="X295" s="1"/>
      <c r="Y295" s="1"/>
      <c r="Z295" s="1"/>
      <c r="AA295" s="1"/>
      <c r="AB295" s="1"/>
      <c r="AC295" s="331">
        <v>288</v>
      </c>
      <c r="AD295" s="544">
        <f>+DATE(YEAR(AD294),MONTH(AD294)-1,DAY(AD294))</f>
        <v>25569.041666666668</v>
      </c>
      <c r="AE295" s="341">
        <f>IF($AM$7=$E295,1,IF(MONTH($E295)=1,AE296*(1+$F$5),AE296))</f>
      </c>
      <c r="AF295" s="334">
        <f>AE295*$B$8/12</f>
      </c>
      <c r="AG295" s="334">
        <f>AE295*$B$12/12</f>
      </c>
      <c r="AH295" s="565">
        <f>(1+$AI$5)^(AC295/12)*(AG295+IF(AD295=$AM$7,$AM$4,0))</f>
      </c>
      <c r="AI295" s="170"/>
      <c r="AJ295" s="7"/>
      <c r="AK295" s="1"/>
      <c r="AL295" s="1"/>
      <c r="AM295" s="1"/>
    </row>
    <row x14ac:dyDescent="0.25" r="296" customHeight="1" ht="18.75">
      <c r="A296" s="1"/>
      <c r="B296" s="169"/>
      <c r="C296" s="170"/>
      <c r="D296" s="331">
        <v>289</v>
      </c>
      <c r="E296" s="544">
        <f>+DATE(YEAR(E295),MONTH(E295)-1,DAY(E295))</f>
        <v>25569.041666666668</v>
      </c>
      <c r="F296" s="333">
        <f>IF($C$6=$E296,1,IF(MONTH($E296)=1,F297*(1+$F$5),F297))</f>
      </c>
      <c r="G296" s="333">
        <f>F296*$B$8/12</f>
      </c>
      <c r="H296" s="333">
        <f>IF(F296=1,F296*$B$10/MIN(12,'Simulador - 3º Pilar'!$E$88),0)</f>
      </c>
      <c r="I296" s="560">
        <f>(1+$G$5)^(D296/12)*(H296+IF(E296=$N$7,$N$4,0))</f>
      </c>
      <c r="J296" s="561">
        <f>(1+$G$5)^(D296/12)*(H296*(12-IF(MONTH(E297)=12,0,MONTH(E297)))+IF(AND(F296=1,F297=0),$Q$4,0))*IF(AND(F296=1,F297=0),1,0)</f>
      </c>
      <c r="K296" s="217">
        <f>(1+$G$5)^(D296/12)*(IF(E296=$N$7,$N$4,0)+IF(E296=$C$6,$B$10,0))</f>
      </c>
      <c r="L296" s="217">
        <f>(1+$G$5)^(D296/12)*(IF((E296)&gt;($B$6),H296,0)+IF(E296=$N$7,$N$4,0)+IF(E296=$C$6,0,0))</f>
      </c>
      <c r="M296" s="1"/>
      <c r="N296" s="7"/>
      <c r="O296" s="1"/>
      <c r="P296" s="331">
        <v>289</v>
      </c>
      <c r="Q296" s="544">
        <f>+DATE(YEAR(Q295),MONTH(Q295)-1,DAY(Q295))</f>
        <v>25569.041666666668</v>
      </c>
      <c r="R296" s="341">
        <f>IF($Z$7=$E296,1,IF(MONTH($E296)=1,R297*(1+$F$5),R297))</f>
      </c>
      <c r="S296" s="334">
        <f>R296*$B$8/12</f>
      </c>
      <c r="T296" s="334">
        <f>R296*$B$11/12</f>
      </c>
      <c r="U296" s="565">
        <f>(1+$V$5)^(P296/12)*(T296+IF(Q296=$Z$7,$Z$4,0))</f>
      </c>
      <c r="V296" s="170"/>
      <c r="W296" s="7"/>
      <c r="X296" s="1"/>
      <c r="Y296" s="1"/>
      <c r="Z296" s="1"/>
      <c r="AA296" s="1"/>
      <c r="AB296" s="1"/>
      <c r="AC296" s="331">
        <v>289</v>
      </c>
      <c r="AD296" s="544">
        <f>+DATE(YEAR(AD295),MONTH(AD295)-1,DAY(AD295))</f>
        <v>25569.041666666668</v>
      </c>
      <c r="AE296" s="341">
        <f>IF($AM$7=$E296,1,IF(MONTH($E296)=1,AE297*(1+$F$5),AE297))</f>
      </c>
      <c r="AF296" s="334">
        <f>AE296*$B$8/12</f>
      </c>
      <c r="AG296" s="334">
        <f>AE296*$B$12/12</f>
      </c>
      <c r="AH296" s="565">
        <f>(1+$AI$5)^(AC296/12)*(AG296+IF(AD296=$AM$7,$AM$4,0))</f>
      </c>
      <c r="AI296" s="170"/>
      <c r="AJ296" s="7"/>
      <c r="AK296" s="1"/>
      <c r="AL296" s="1"/>
      <c r="AM296" s="1"/>
    </row>
    <row x14ac:dyDescent="0.25" r="297" customHeight="1" ht="18.75">
      <c r="A297" s="1"/>
      <c r="B297" s="169"/>
      <c r="C297" s="170"/>
      <c r="D297" s="331">
        <v>290</v>
      </c>
      <c r="E297" s="544">
        <f>+DATE(YEAR(E296),MONTH(E296)-1,DAY(E296))</f>
        <v>25569.041666666668</v>
      </c>
      <c r="F297" s="333">
        <f>IF($C$6=$E297,1,IF(MONTH($E297)=1,F298*(1+$F$5),F298))</f>
      </c>
      <c r="G297" s="333">
        <f>F297*$B$8/12</f>
      </c>
      <c r="H297" s="333">
        <f>IF(F297=1,F297*$B$10/MIN(12,'Simulador - 3º Pilar'!$E$88),0)</f>
      </c>
      <c r="I297" s="560">
        <f>(1+$G$5)^(D297/12)*(H297+IF(E297=$N$7,$N$4,0))</f>
      </c>
      <c r="J297" s="561">
        <f>(1+$G$5)^(D297/12)*(H297*(12-IF(MONTH(E298)=12,0,MONTH(E298)))+IF(AND(F297=1,F298=0),$Q$4,0))*IF(AND(F297=1,F298=0),1,0)</f>
      </c>
      <c r="K297" s="217">
        <f>(1+$G$5)^(D297/12)*(IF(E297=$N$7,$N$4,0)+IF(E297=$C$6,$B$10,0))</f>
      </c>
      <c r="L297" s="217">
        <f>(1+$G$5)^(D297/12)*(IF((E297)&gt;($B$6),H297,0)+IF(E297=$N$7,$N$4,0)+IF(E297=$C$6,0,0))</f>
      </c>
      <c r="M297" s="1"/>
      <c r="N297" s="7"/>
      <c r="O297" s="1"/>
      <c r="P297" s="331">
        <v>290</v>
      </c>
      <c r="Q297" s="544">
        <f>+DATE(YEAR(Q296),MONTH(Q296)-1,DAY(Q296))</f>
        <v>25569.041666666668</v>
      </c>
      <c r="R297" s="341">
        <f>IF($Z$7=$E297,1,IF(MONTH($E297)=1,R298*(1+$F$5),R298))</f>
      </c>
      <c r="S297" s="334">
        <f>R297*$B$8/12</f>
      </c>
      <c r="T297" s="334">
        <f>R297*$B$11/12</f>
      </c>
      <c r="U297" s="565">
        <f>(1+$V$5)^(P297/12)*(T297+IF(Q297=$Z$7,$Z$4,0))</f>
      </c>
      <c r="V297" s="170"/>
      <c r="W297" s="7"/>
      <c r="X297" s="1"/>
      <c r="Y297" s="1"/>
      <c r="Z297" s="1"/>
      <c r="AA297" s="1"/>
      <c r="AB297" s="1"/>
      <c r="AC297" s="331">
        <v>290</v>
      </c>
      <c r="AD297" s="544">
        <f>+DATE(YEAR(AD296),MONTH(AD296)-1,DAY(AD296))</f>
        <v>25569.041666666668</v>
      </c>
      <c r="AE297" s="341">
        <f>IF($AM$7=$E297,1,IF(MONTH($E297)=1,AE298*(1+$F$5),AE298))</f>
      </c>
      <c r="AF297" s="334">
        <f>AE297*$B$8/12</f>
      </c>
      <c r="AG297" s="334">
        <f>AE297*$B$12/12</f>
      </c>
      <c r="AH297" s="565">
        <f>(1+$AI$5)^(AC297/12)*(AG297+IF(AD297=$AM$7,$AM$4,0))</f>
      </c>
      <c r="AI297" s="170"/>
      <c r="AJ297" s="7"/>
      <c r="AK297" s="1"/>
      <c r="AL297" s="1"/>
      <c r="AM297" s="1"/>
    </row>
    <row x14ac:dyDescent="0.25" r="298" customHeight="1" ht="18.75">
      <c r="A298" s="1"/>
      <c r="B298" s="169"/>
      <c r="C298" s="170"/>
      <c r="D298" s="331">
        <v>291</v>
      </c>
      <c r="E298" s="544">
        <f>+DATE(YEAR(E297),MONTH(E297)-1,DAY(E297))</f>
        <v>25569.041666666668</v>
      </c>
      <c r="F298" s="333">
        <f>IF($C$6=$E298,1,IF(MONTH($E298)=1,F299*(1+$F$5),F299))</f>
      </c>
      <c r="G298" s="333">
        <f>F298*$B$8/12</f>
      </c>
      <c r="H298" s="333">
        <f>IF(F298=1,F298*$B$10/MIN(12,'Simulador - 3º Pilar'!$E$88),0)</f>
      </c>
      <c r="I298" s="560">
        <f>(1+$G$5)^(D298/12)*(H298+IF(E298=$N$7,$N$4,0))</f>
      </c>
      <c r="J298" s="561">
        <f>(1+$G$5)^(D298/12)*(H298*(12-IF(MONTH(E299)=12,0,MONTH(E299)))+IF(AND(F298=1,F299=0),$Q$4,0))*IF(AND(F298=1,F299=0),1,0)</f>
      </c>
      <c r="K298" s="217">
        <f>(1+$G$5)^(D298/12)*(IF(E298=$N$7,$N$4,0)+IF(E298=$C$6,$B$10,0))</f>
      </c>
      <c r="L298" s="217">
        <f>(1+$G$5)^(D298/12)*(IF((E298)&gt;($B$6),H298,0)+IF(E298=$N$7,$N$4,0)+IF(E298=$C$6,0,0))</f>
      </c>
      <c r="M298" s="1"/>
      <c r="N298" s="7"/>
      <c r="O298" s="1"/>
      <c r="P298" s="331">
        <v>291</v>
      </c>
      <c r="Q298" s="544">
        <f>+DATE(YEAR(Q297),MONTH(Q297)-1,DAY(Q297))</f>
        <v>25569.041666666668</v>
      </c>
      <c r="R298" s="341">
        <f>IF($Z$7=$E298,1,IF(MONTH($E298)=1,R299*(1+$F$5),R299))</f>
      </c>
      <c r="S298" s="334">
        <f>R298*$B$8/12</f>
      </c>
      <c r="T298" s="334">
        <f>R298*$B$11/12</f>
      </c>
      <c r="U298" s="565">
        <f>(1+$V$5)^(P298/12)*(T298+IF(Q298=$Z$7,$Z$4,0))</f>
      </c>
      <c r="V298" s="170"/>
      <c r="W298" s="7"/>
      <c r="X298" s="1"/>
      <c r="Y298" s="1"/>
      <c r="Z298" s="1"/>
      <c r="AA298" s="1"/>
      <c r="AB298" s="1"/>
      <c r="AC298" s="331">
        <v>291</v>
      </c>
      <c r="AD298" s="544">
        <f>+DATE(YEAR(AD297),MONTH(AD297)-1,DAY(AD297))</f>
        <v>25569.041666666668</v>
      </c>
      <c r="AE298" s="341">
        <f>IF($AM$7=$E298,1,IF(MONTH($E298)=1,AE299*(1+$F$5),AE299))</f>
      </c>
      <c r="AF298" s="334">
        <f>AE298*$B$8/12</f>
      </c>
      <c r="AG298" s="334">
        <f>AE298*$B$12/12</f>
      </c>
      <c r="AH298" s="565">
        <f>(1+$AI$5)^(AC298/12)*(AG298+IF(AD298=$AM$7,$AM$4,0))</f>
      </c>
      <c r="AI298" s="170"/>
      <c r="AJ298" s="7"/>
      <c r="AK298" s="1"/>
      <c r="AL298" s="1"/>
      <c r="AM298" s="1"/>
    </row>
    <row x14ac:dyDescent="0.25" r="299" customHeight="1" ht="18.75">
      <c r="A299" s="1"/>
      <c r="B299" s="169"/>
      <c r="C299" s="170"/>
      <c r="D299" s="331">
        <v>292</v>
      </c>
      <c r="E299" s="544">
        <f>+DATE(YEAR(E298),MONTH(E298)-1,DAY(E298))</f>
        <v>25569.041666666668</v>
      </c>
      <c r="F299" s="333">
        <f>IF($C$6=$E299,1,IF(MONTH($E299)=1,F300*(1+$F$5),F300))</f>
      </c>
      <c r="G299" s="333">
        <f>F299*$B$8/12</f>
      </c>
      <c r="H299" s="333">
        <f>IF(F299=1,F299*$B$10/MIN(12,'Simulador - 3º Pilar'!$E$88),0)</f>
      </c>
      <c r="I299" s="560">
        <f>(1+$G$5)^(D299/12)*(H299+IF(E299=$N$7,$N$4,0))</f>
      </c>
      <c r="J299" s="561">
        <f>(1+$G$5)^(D299/12)*(H299*(12-IF(MONTH(E300)=12,0,MONTH(E300)))+IF(AND(F299=1,F300=0),$Q$4,0))*IF(AND(F299=1,F300=0),1,0)</f>
      </c>
      <c r="K299" s="217">
        <f>(1+$G$5)^(D299/12)*(IF(E299=$N$7,$N$4,0)+IF(E299=$C$6,$B$10,0))</f>
      </c>
      <c r="L299" s="217">
        <f>(1+$G$5)^(D299/12)*(IF((E299)&gt;($B$6),H299,0)+IF(E299=$N$7,$N$4,0)+IF(E299=$C$6,0,0))</f>
      </c>
      <c r="M299" s="1"/>
      <c r="N299" s="7"/>
      <c r="O299" s="1"/>
      <c r="P299" s="331">
        <v>292</v>
      </c>
      <c r="Q299" s="544">
        <f>+DATE(YEAR(Q298),MONTH(Q298)-1,DAY(Q298))</f>
        <v>25569.041666666668</v>
      </c>
      <c r="R299" s="341">
        <f>IF($Z$7=$E299,1,IF(MONTH($E299)=1,R300*(1+$F$5),R300))</f>
      </c>
      <c r="S299" s="334">
        <f>R299*$B$8/12</f>
      </c>
      <c r="T299" s="334">
        <f>R299*$B$11/12</f>
      </c>
      <c r="U299" s="565">
        <f>(1+$V$5)^(P299/12)*(T299+IF(Q299=$Z$7,$Z$4,0))</f>
      </c>
      <c r="V299" s="170"/>
      <c r="W299" s="7"/>
      <c r="X299" s="1"/>
      <c r="Y299" s="1"/>
      <c r="Z299" s="1"/>
      <c r="AA299" s="1"/>
      <c r="AB299" s="1"/>
      <c r="AC299" s="331">
        <v>292</v>
      </c>
      <c r="AD299" s="544">
        <f>+DATE(YEAR(AD298),MONTH(AD298)-1,DAY(AD298))</f>
        <v>25569.041666666668</v>
      </c>
      <c r="AE299" s="341">
        <f>IF($AM$7=$E299,1,IF(MONTH($E299)=1,AE300*(1+$F$5),AE300))</f>
      </c>
      <c r="AF299" s="334">
        <f>AE299*$B$8/12</f>
      </c>
      <c r="AG299" s="334">
        <f>AE299*$B$12/12</f>
      </c>
      <c r="AH299" s="565">
        <f>(1+$AI$5)^(AC299/12)*(AG299+IF(AD299=$AM$7,$AM$4,0))</f>
      </c>
      <c r="AI299" s="170"/>
      <c r="AJ299" s="7"/>
      <c r="AK299" s="1"/>
      <c r="AL299" s="1"/>
      <c r="AM299" s="1"/>
    </row>
    <row x14ac:dyDescent="0.25" r="300" customHeight="1" ht="18.75">
      <c r="A300" s="1"/>
      <c r="B300" s="169"/>
      <c r="C300" s="170"/>
      <c r="D300" s="331">
        <v>293</v>
      </c>
      <c r="E300" s="544">
        <f>+DATE(YEAR(E299),MONTH(E299)-1,DAY(E299))</f>
        <v>25569.041666666668</v>
      </c>
      <c r="F300" s="333">
        <f>IF($C$6=$E300,1,IF(MONTH($E300)=1,F301*(1+$F$5),F301))</f>
      </c>
      <c r="G300" s="333">
        <f>F300*$B$8/12</f>
      </c>
      <c r="H300" s="333">
        <f>IF(F300=1,F300*$B$10/MIN(12,'Simulador - 3º Pilar'!$E$88),0)</f>
      </c>
      <c r="I300" s="560">
        <f>(1+$G$5)^(D300/12)*(H300+IF(E300=$N$7,$N$4,0))</f>
      </c>
      <c r="J300" s="561">
        <f>(1+$G$5)^(D300/12)*(H300*(12-IF(MONTH(E301)=12,0,MONTH(E301)))+IF(AND(F300=1,F301=0),$Q$4,0))*IF(AND(F300=1,F301=0),1,0)</f>
      </c>
      <c r="K300" s="217">
        <f>(1+$G$5)^(D300/12)*(IF(E300=$N$7,$N$4,0)+IF(E300=$C$6,$B$10,0))</f>
      </c>
      <c r="L300" s="217">
        <f>(1+$G$5)^(D300/12)*(IF((E300)&gt;($B$6),H300,0)+IF(E300=$N$7,$N$4,0)+IF(E300=$C$6,0,0))</f>
      </c>
      <c r="M300" s="1"/>
      <c r="N300" s="7"/>
      <c r="O300" s="1"/>
      <c r="P300" s="331">
        <v>293</v>
      </c>
      <c r="Q300" s="544">
        <f>+DATE(YEAR(Q299),MONTH(Q299)-1,DAY(Q299))</f>
        <v>25569.041666666668</v>
      </c>
      <c r="R300" s="341">
        <f>IF($Z$7=$E300,1,IF(MONTH($E300)=1,R301*(1+$F$5),R301))</f>
      </c>
      <c r="S300" s="334">
        <f>R300*$B$8/12</f>
      </c>
      <c r="T300" s="334">
        <f>R300*$B$11/12</f>
      </c>
      <c r="U300" s="565">
        <f>(1+$V$5)^(P300/12)*(T300+IF(Q300=$Z$7,$Z$4,0))</f>
      </c>
      <c r="V300" s="170"/>
      <c r="W300" s="7"/>
      <c r="X300" s="1"/>
      <c r="Y300" s="1"/>
      <c r="Z300" s="1"/>
      <c r="AA300" s="1"/>
      <c r="AB300" s="1"/>
      <c r="AC300" s="331">
        <v>293</v>
      </c>
      <c r="AD300" s="544">
        <f>+DATE(YEAR(AD299),MONTH(AD299)-1,DAY(AD299))</f>
        <v>25569.041666666668</v>
      </c>
      <c r="AE300" s="341">
        <f>IF($AM$7=$E300,1,IF(MONTH($E300)=1,AE301*(1+$F$5),AE301))</f>
      </c>
      <c r="AF300" s="334">
        <f>AE300*$B$8/12</f>
      </c>
      <c r="AG300" s="334">
        <f>AE300*$B$12/12</f>
      </c>
      <c r="AH300" s="565">
        <f>(1+$AI$5)^(AC300/12)*(AG300+IF(AD300=$AM$7,$AM$4,0))</f>
      </c>
      <c r="AI300" s="170"/>
      <c r="AJ300" s="7"/>
      <c r="AK300" s="1"/>
      <c r="AL300" s="1"/>
      <c r="AM300" s="1"/>
    </row>
    <row x14ac:dyDescent="0.25" r="301" customHeight="1" ht="18.75">
      <c r="A301" s="1"/>
      <c r="B301" s="169"/>
      <c r="C301" s="170"/>
      <c r="D301" s="331">
        <v>294</v>
      </c>
      <c r="E301" s="544">
        <f>+DATE(YEAR(E300),MONTH(E300)-1,DAY(E300))</f>
        <v>25569.041666666668</v>
      </c>
      <c r="F301" s="333">
        <f>IF($C$6=$E301,1,IF(MONTH($E301)=1,F302*(1+$F$5),F302))</f>
      </c>
      <c r="G301" s="333">
        <f>F301*$B$8/12</f>
      </c>
      <c r="H301" s="333">
        <f>IF(F301=1,F301*$B$10/MIN(12,'Simulador - 3º Pilar'!$E$88),0)</f>
      </c>
      <c r="I301" s="560">
        <f>(1+$G$5)^(D301/12)*(H301+IF(E301=$N$7,$N$4,0))</f>
      </c>
      <c r="J301" s="561">
        <f>(1+$G$5)^(D301/12)*(H301*(12-IF(MONTH(E302)=12,0,MONTH(E302)))+IF(AND(F301=1,F302=0),$Q$4,0))*IF(AND(F301=1,F302=0),1,0)</f>
      </c>
      <c r="K301" s="217">
        <f>(1+$G$5)^(D301/12)*(IF(E301=$N$7,$N$4,0)+IF(E301=$C$6,$B$10,0))</f>
      </c>
      <c r="L301" s="217">
        <f>(1+$G$5)^(D301/12)*(IF((E301)&gt;($B$6),H301,0)+IF(E301=$N$7,$N$4,0)+IF(E301=$C$6,0,0))</f>
      </c>
      <c r="M301" s="1"/>
      <c r="N301" s="7"/>
      <c r="O301" s="1"/>
      <c r="P301" s="331">
        <v>294</v>
      </c>
      <c r="Q301" s="544">
        <f>+DATE(YEAR(Q300),MONTH(Q300)-1,DAY(Q300))</f>
        <v>25569.041666666668</v>
      </c>
      <c r="R301" s="341">
        <f>IF($Z$7=$E301,1,IF(MONTH($E301)=1,R302*(1+$F$5),R302))</f>
      </c>
      <c r="S301" s="334">
        <f>R301*$B$8/12</f>
      </c>
      <c r="T301" s="334">
        <f>R301*$B$11/12</f>
      </c>
      <c r="U301" s="565">
        <f>(1+$V$5)^(P301/12)*(T301+IF(Q301=$Z$7,$Z$4,0))</f>
      </c>
      <c r="V301" s="170"/>
      <c r="W301" s="7"/>
      <c r="X301" s="1"/>
      <c r="Y301" s="1"/>
      <c r="Z301" s="1"/>
      <c r="AA301" s="1"/>
      <c r="AB301" s="1"/>
      <c r="AC301" s="331">
        <v>294</v>
      </c>
      <c r="AD301" s="544">
        <f>+DATE(YEAR(AD300),MONTH(AD300)-1,DAY(AD300))</f>
        <v>25569.041666666668</v>
      </c>
      <c r="AE301" s="341">
        <f>IF($AM$7=$E301,1,IF(MONTH($E301)=1,AE302*(1+$F$5),AE302))</f>
      </c>
      <c r="AF301" s="334">
        <f>AE301*$B$8/12</f>
      </c>
      <c r="AG301" s="334">
        <f>AE301*$B$12/12</f>
      </c>
      <c r="AH301" s="565">
        <f>(1+$AI$5)^(AC301/12)*(AG301+IF(AD301=$AM$7,$AM$4,0))</f>
      </c>
      <c r="AI301" s="170"/>
      <c r="AJ301" s="7"/>
      <c r="AK301" s="1"/>
      <c r="AL301" s="1"/>
      <c r="AM301" s="1"/>
    </row>
    <row x14ac:dyDescent="0.25" r="302" customHeight="1" ht="18.75">
      <c r="A302" s="1"/>
      <c r="B302" s="169"/>
      <c r="C302" s="170"/>
      <c r="D302" s="331">
        <v>295</v>
      </c>
      <c r="E302" s="544">
        <f>+DATE(YEAR(E301),MONTH(E301)-1,DAY(E301))</f>
        <v>25569.041666666668</v>
      </c>
      <c r="F302" s="333">
        <f>IF($C$6=$E302,1,IF(MONTH($E302)=1,F303*(1+$F$5),F303))</f>
      </c>
      <c r="G302" s="333">
        <f>F302*$B$8/12</f>
      </c>
      <c r="H302" s="333">
        <f>IF(F302=1,F302*$B$10/MIN(12,'Simulador - 3º Pilar'!$E$88),0)</f>
      </c>
      <c r="I302" s="560">
        <f>(1+$G$5)^(D302/12)*(H302+IF(E302=$N$7,$N$4,0))</f>
      </c>
      <c r="J302" s="561">
        <f>(1+$G$5)^(D302/12)*(H302*(12-IF(MONTH(E303)=12,0,MONTH(E303)))+IF(AND(F302=1,F303=0),$Q$4,0))*IF(AND(F302=1,F303=0),1,0)</f>
      </c>
      <c r="K302" s="217">
        <f>(1+$G$5)^(D302/12)*(IF(E302=$N$7,$N$4,0)+IF(E302=$C$6,$B$10,0))</f>
      </c>
      <c r="L302" s="217">
        <f>(1+$G$5)^(D302/12)*(IF((E302)&gt;($B$6),H302,0)+IF(E302=$N$7,$N$4,0)+IF(E302=$C$6,0,0))</f>
      </c>
      <c r="M302" s="1"/>
      <c r="N302" s="7"/>
      <c r="O302" s="1"/>
      <c r="P302" s="331">
        <v>295</v>
      </c>
      <c r="Q302" s="544">
        <f>+DATE(YEAR(Q301),MONTH(Q301)-1,DAY(Q301))</f>
        <v>25569.041666666668</v>
      </c>
      <c r="R302" s="341">
        <f>IF($Z$7=$E302,1,IF(MONTH($E302)=1,R303*(1+$F$5),R303))</f>
      </c>
      <c r="S302" s="334">
        <f>R302*$B$8/12</f>
      </c>
      <c r="T302" s="334">
        <f>R302*$B$11/12</f>
      </c>
      <c r="U302" s="565">
        <f>(1+$V$5)^(P302/12)*(T302+IF(Q302=$Z$7,$Z$4,0))</f>
      </c>
      <c r="V302" s="170"/>
      <c r="W302" s="7"/>
      <c r="X302" s="1"/>
      <c r="Y302" s="1"/>
      <c r="Z302" s="1"/>
      <c r="AA302" s="1"/>
      <c r="AB302" s="1"/>
      <c r="AC302" s="331">
        <v>295</v>
      </c>
      <c r="AD302" s="544">
        <f>+DATE(YEAR(AD301),MONTH(AD301)-1,DAY(AD301))</f>
        <v>25569.041666666668</v>
      </c>
      <c r="AE302" s="341">
        <f>IF($AM$7=$E302,1,IF(MONTH($E302)=1,AE303*(1+$F$5),AE303))</f>
      </c>
      <c r="AF302" s="334">
        <f>AE302*$B$8/12</f>
      </c>
      <c r="AG302" s="334">
        <f>AE302*$B$12/12</f>
      </c>
      <c r="AH302" s="565">
        <f>(1+$AI$5)^(AC302/12)*(AG302+IF(AD302=$AM$7,$AM$4,0))</f>
      </c>
      <c r="AI302" s="170"/>
      <c r="AJ302" s="7"/>
      <c r="AK302" s="1"/>
      <c r="AL302" s="1"/>
      <c r="AM302" s="1"/>
    </row>
    <row x14ac:dyDescent="0.25" r="303" customHeight="1" ht="18.75">
      <c r="A303" s="1"/>
      <c r="B303" s="169"/>
      <c r="C303" s="170"/>
      <c r="D303" s="331">
        <v>296</v>
      </c>
      <c r="E303" s="544">
        <f>+DATE(YEAR(E302),MONTH(E302)-1,DAY(E302))</f>
        <v>25569.041666666668</v>
      </c>
      <c r="F303" s="333">
        <f>IF($C$6=$E303,1,IF(MONTH($E303)=1,F304*(1+$F$5),F304))</f>
      </c>
      <c r="G303" s="333">
        <f>F303*$B$8/12</f>
      </c>
      <c r="H303" s="333">
        <f>IF(F303=1,F303*$B$10/MIN(12,'Simulador - 3º Pilar'!$E$88),0)</f>
      </c>
      <c r="I303" s="560">
        <f>(1+$G$5)^(D303/12)*(H303+IF(E303=$N$7,$N$4,0))</f>
      </c>
      <c r="J303" s="561">
        <f>(1+$G$5)^(D303/12)*(H303*(12-IF(MONTH(E304)=12,0,MONTH(E304)))+IF(AND(F303=1,F304=0),$Q$4,0))*IF(AND(F303=1,F304=0),1,0)</f>
      </c>
      <c r="K303" s="217">
        <f>(1+$G$5)^(D303/12)*(IF(E303=$N$7,$N$4,0)+IF(E303=$C$6,$B$10,0))</f>
      </c>
      <c r="L303" s="217">
        <f>(1+$G$5)^(D303/12)*(IF((E303)&gt;($B$6),H303,0)+IF(E303=$N$7,$N$4,0)+IF(E303=$C$6,0,0))</f>
      </c>
      <c r="M303" s="1"/>
      <c r="N303" s="7"/>
      <c r="O303" s="1"/>
      <c r="P303" s="331">
        <v>296</v>
      </c>
      <c r="Q303" s="544">
        <f>+DATE(YEAR(Q302),MONTH(Q302)-1,DAY(Q302))</f>
        <v>25569.041666666668</v>
      </c>
      <c r="R303" s="341">
        <f>IF($Z$7=$E303,1,IF(MONTH($E303)=1,R304*(1+$F$5),R304))</f>
      </c>
      <c r="S303" s="334">
        <f>R303*$B$8/12</f>
      </c>
      <c r="T303" s="334">
        <f>R303*$B$11/12</f>
      </c>
      <c r="U303" s="565">
        <f>(1+$V$5)^(P303/12)*(T303+IF(Q303=$Z$7,$Z$4,0))</f>
      </c>
      <c r="V303" s="170"/>
      <c r="W303" s="7"/>
      <c r="X303" s="1"/>
      <c r="Y303" s="1"/>
      <c r="Z303" s="1"/>
      <c r="AA303" s="1"/>
      <c r="AB303" s="1"/>
      <c r="AC303" s="331">
        <v>296</v>
      </c>
      <c r="AD303" s="544">
        <f>+DATE(YEAR(AD302),MONTH(AD302)-1,DAY(AD302))</f>
        <v>25569.041666666668</v>
      </c>
      <c r="AE303" s="341">
        <f>IF($AM$7=$E303,1,IF(MONTH($E303)=1,AE304*(1+$F$5),AE304))</f>
      </c>
      <c r="AF303" s="334">
        <f>AE303*$B$8/12</f>
      </c>
      <c r="AG303" s="334">
        <f>AE303*$B$12/12</f>
      </c>
      <c r="AH303" s="565">
        <f>(1+$AI$5)^(AC303/12)*(AG303+IF(AD303=$AM$7,$AM$4,0))</f>
      </c>
      <c r="AI303" s="170"/>
      <c r="AJ303" s="7"/>
      <c r="AK303" s="1"/>
      <c r="AL303" s="1"/>
      <c r="AM303" s="1"/>
    </row>
    <row x14ac:dyDescent="0.25" r="304" customHeight="1" ht="18.75">
      <c r="A304" s="1"/>
      <c r="B304" s="169"/>
      <c r="C304" s="170"/>
      <c r="D304" s="331">
        <v>297</v>
      </c>
      <c r="E304" s="544">
        <f>+DATE(YEAR(E303),MONTH(E303)-1,DAY(E303))</f>
        <v>25569.041666666668</v>
      </c>
      <c r="F304" s="333">
        <f>IF($C$6=$E304,1,IF(MONTH($E304)=1,F305*(1+$F$5),F305))</f>
      </c>
      <c r="G304" s="333">
        <f>F304*$B$8/12</f>
      </c>
      <c r="H304" s="333">
        <f>IF(F304=1,F304*$B$10/MIN(12,'Simulador - 3º Pilar'!$E$88),0)</f>
      </c>
      <c r="I304" s="560">
        <f>(1+$G$5)^(D304/12)*(H304+IF(E304=$N$7,$N$4,0))</f>
      </c>
      <c r="J304" s="561">
        <f>(1+$G$5)^(D304/12)*(H304*(12-IF(MONTH(E305)=12,0,MONTH(E305)))+IF(AND(F304=1,F305=0),$Q$4,0))*IF(AND(F304=1,F305=0),1,0)</f>
      </c>
      <c r="K304" s="217">
        <f>(1+$G$5)^(D304/12)*(IF(E304=$N$7,$N$4,0)+IF(E304=$C$6,$B$10,0))</f>
      </c>
      <c r="L304" s="217">
        <f>(1+$G$5)^(D304/12)*(IF((E304)&gt;($B$6),H304,0)+IF(E304=$N$7,$N$4,0)+IF(E304=$C$6,0,0))</f>
      </c>
      <c r="M304" s="1"/>
      <c r="N304" s="7"/>
      <c r="O304" s="1"/>
      <c r="P304" s="331">
        <v>297</v>
      </c>
      <c r="Q304" s="544">
        <f>+DATE(YEAR(Q303),MONTH(Q303)-1,DAY(Q303))</f>
        <v>25569.041666666668</v>
      </c>
      <c r="R304" s="341">
        <f>IF($Z$7=$E304,1,IF(MONTH($E304)=1,R305*(1+$F$5),R305))</f>
      </c>
      <c r="S304" s="334">
        <f>R304*$B$8/12</f>
      </c>
      <c r="T304" s="334">
        <f>R304*$B$11/12</f>
      </c>
      <c r="U304" s="565">
        <f>(1+$V$5)^(P304/12)*(T304+IF(Q304=$Z$7,$Z$4,0))</f>
      </c>
      <c r="V304" s="170"/>
      <c r="W304" s="7"/>
      <c r="X304" s="1"/>
      <c r="Y304" s="1"/>
      <c r="Z304" s="1"/>
      <c r="AA304" s="1"/>
      <c r="AB304" s="1"/>
      <c r="AC304" s="331">
        <v>297</v>
      </c>
      <c r="AD304" s="544">
        <f>+DATE(YEAR(AD303),MONTH(AD303)-1,DAY(AD303))</f>
        <v>25569.041666666668</v>
      </c>
      <c r="AE304" s="341">
        <f>IF($AM$7=$E304,1,IF(MONTH($E304)=1,AE305*(1+$F$5),AE305))</f>
      </c>
      <c r="AF304" s="334">
        <f>AE304*$B$8/12</f>
      </c>
      <c r="AG304" s="334">
        <f>AE304*$B$12/12</f>
      </c>
      <c r="AH304" s="565">
        <f>(1+$AI$5)^(AC304/12)*(AG304+IF(AD304=$AM$7,$AM$4,0))</f>
      </c>
      <c r="AI304" s="170"/>
      <c r="AJ304" s="7"/>
      <c r="AK304" s="1"/>
      <c r="AL304" s="1"/>
      <c r="AM304" s="1"/>
    </row>
    <row x14ac:dyDescent="0.25" r="305" customHeight="1" ht="18.75">
      <c r="A305" s="1"/>
      <c r="B305" s="169"/>
      <c r="C305" s="170"/>
      <c r="D305" s="331">
        <v>298</v>
      </c>
      <c r="E305" s="544">
        <f>+DATE(YEAR(E304),MONTH(E304)-1,DAY(E304))</f>
        <v>25569.041666666668</v>
      </c>
      <c r="F305" s="333">
        <f>IF($C$6=$E305,1,IF(MONTH($E305)=1,F306*(1+$F$5),F306))</f>
      </c>
      <c r="G305" s="333">
        <f>F305*$B$8/12</f>
      </c>
      <c r="H305" s="333">
        <f>IF(F305=1,F305*$B$10/MIN(12,'Simulador - 3º Pilar'!$E$88),0)</f>
      </c>
      <c r="I305" s="560">
        <f>(1+$G$5)^(D305/12)*(H305+IF(E305=$N$7,$N$4,0))</f>
      </c>
      <c r="J305" s="561">
        <f>(1+$G$5)^(D305/12)*(H305*(12-IF(MONTH(E306)=12,0,MONTH(E306)))+IF(AND(F305=1,F306=0),$Q$4,0))*IF(AND(F305=1,F306=0),1,0)</f>
      </c>
      <c r="K305" s="217">
        <f>(1+$G$5)^(D305/12)*(IF(E305=$N$7,$N$4,0)+IF(E305=$C$6,$B$10,0))</f>
      </c>
      <c r="L305" s="217">
        <f>(1+$G$5)^(D305/12)*(IF((E305)&gt;($B$6),H305,0)+IF(E305=$N$7,$N$4,0)+IF(E305=$C$6,0,0))</f>
      </c>
      <c r="M305" s="1"/>
      <c r="N305" s="7"/>
      <c r="O305" s="1"/>
      <c r="P305" s="331">
        <v>298</v>
      </c>
      <c r="Q305" s="544">
        <f>+DATE(YEAR(Q304),MONTH(Q304)-1,DAY(Q304))</f>
        <v>25569.041666666668</v>
      </c>
      <c r="R305" s="341">
        <f>IF($Z$7=$E305,1,IF(MONTH($E305)=1,R306*(1+$F$5),R306))</f>
      </c>
      <c r="S305" s="334">
        <f>R305*$B$8/12</f>
      </c>
      <c r="T305" s="334">
        <f>R305*$B$11/12</f>
      </c>
      <c r="U305" s="565">
        <f>(1+$V$5)^(P305/12)*(T305+IF(Q305=$Z$7,$Z$4,0))</f>
      </c>
      <c r="V305" s="170"/>
      <c r="W305" s="7"/>
      <c r="X305" s="1"/>
      <c r="Y305" s="1"/>
      <c r="Z305" s="1"/>
      <c r="AA305" s="1"/>
      <c r="AB305" s="1"/>
      <c r="AC305" s="331">
        <v>298</v>
      </c>
      <c r="AD305" s="544">
        <f>+DATE(YEAR(AD304),MONTH(AD304)-1,DAY(AD304))</f>
        <v>25569.041666666668</v>
      </c>
      <c r="AE305" s="341">
        <f>IF($AM$7=$E305,1,IF(MONTH($E305)=1,AE306*(1+$F$5),AE306))</f>
      </c>
      <c r="AF305" s="334">
        <f>AE305*$B$8/12</f>
      </c>
      <c r="AG305" s="334">
        <f>AE305*$B$12/12</f>
      </c>
      <c r="AH305" s="565">
        <f>(1+$AI$5)^(AC305/12)*(AG305+IF(AD305=$AM$7,$AM$4,0))</f>
      </c>
      <c r="AI305" s="170"/>
      <c r="AJ305" s="7"/>
      <c r="AK305" s="1"/>
      <c r="AL305" s="1"/>
      <c r="AM305" s="1"/>
    </row>
    <row x14ac:dyDescent="0.25" r="306" customHeight="1" ht="18.75">
      <c r="A306" s="1"/>
      <c r="B306" s="169"/>
      <c r="C306" s="170"/>
      <c r="D306" s="331">
        <v>299</v>
      </c>
      <c r="E306" s="544">
        <f>+DATE(YEAR(E305),MONTH(E305)-1,DAY(E305))</f>
        <v>25569.041666666668</v>
      </c>
      <c r="F306" s="333">
        <f>IF($C$6=$E306,1,IF(MONTH($E306)=1,F307*(1+$F$5),F307))</f>
      </c>
      <c r="G306" s="333">
        <f>F306*$B$8/12</f>
      </c>
      <c r="H306" s="333">
        <f>IF(F306=1,F306*$B$10/MIN(12,'Simulador - 3º Pilar'!$E$88),0)</f>
      </c>
      <c r="I306" s="560">
        <f>(1+$G$5)^(D306/12)*(H306+IF(E306=$N$7,$N$4,0))</f>
      </c>
      <c r="J306" s="561">
        <f>(1+$G$5)^(D306/12)*(H306*(12-IF(MONTH(E307)=12,0,MONTH(E307)))+IF(AND(F306=1,F307=0),$Q$4,0))*IF(AND(F306=1,F307=0),1,0)</f>
      </c>
      <c r="K306" s="217">
        <f>(1+$G$5)^(D306/12)*(IF(E306=$N$7,$N$4,0)+IF(E306=$C$6,$B$10,0))</f>
      </c>
      <c r="L306" s="217">
        <f>(1+$G$5)^(D306/12)*(IF((E306)&gt;($B$6),H306,0)+IF(E306=$N$7,$N$4,0)+IF(E306=$C$6,0,0))</f>
      </c>
      <c r="M306" s="1"/>
      <c r="N306" s="7"/>
      <c r="O306" s="1"/>
      <c r="P306" s="331">
        <v>299</v>
      </c>
      <c r="Q306" s="544">
        <f>+DATE(YEAR(Q305),MONTH(Q305)-1,DAY(Q305))</f>
        <v>25569.041666666668</v>
      </c>
      <c r="R306" s="341">
        <f>IF($Z$7=$E306,1,IF(MONTH($E306)=1,R307*(1+$F$5),R307))</f>
      </c>
      <c r="S306" s="334">
        <f>R306*$B$8/12</f>
      </c>
      <c r="T306" s="334">
        <f>R306*$B$11/12</f>
      </c>
      <c r="U306" s="565">
        <f>(1+$V$5)^(P306/12)*(T306+IF(Q306=$Z$7,$Z$4,0))</f>
      </c>
      <c r="V306" s="170"/>
      <c r="W306" s="7"/>
      <c r="X306" s="1"/>
      <c r="Y306" s="1"/>
      <c r="Z306" s="1"/>
      <c r="AA306" s="1"/>
      <c r="AB306" s="1"/>
      <c r="AC306" s="331">
        <v>299</v>
      </c>
      <c r="AD306" s="544">
        <f>+DATE(YEAR(AD305),MONTH(AD305)-1,DAY(AD305))</f>
        <v>25569.041666666668</v>
      </c>
      <c r="AE306" s="341">
        <f>IF($AM$7=$E306,1,IF(MONTH($E306)=1,AE307*(1+$F$5),AE307))</f>
      </c>
      <c r="AF306" s="334">
        <f>AE306*$B$8/12</f>
      </c>
      <c r="AG306" s="334">
        <f>AE306*$B$12/12</f>
      </c>
      <c r="AH306" s="565">
        <f>(1+$AI$5)^(AC306/12)*(AG306+IF(AD306=$AM$7,$AM$4,0))</f>
      </c>
      <c r="AI306" s="170"/>
      <c r="AJ306" s="7"/>
      <c r="AK306" s="1"/>
      <c r="AL306" s="1"/>
      <c r="AM306" s="1"/>
    </row>
    <row x14ac:dyDescent="0.25" r="307" customHeight="1" ht="18.75">
      <c r="A307" s="1"/>
      <c r="B307" s="169"/>
      <c r="C307" s="170"/>
      <c r="D307" s="331">
        <v>300</v>
      </c>
      <c r="E307" s="544">
        <f>+DATE(YEAR(E306),MONTH(E306)-1,DAY(E306))</f>
        <v>25569.041666666668</v>
      </c>
      <c r="F307" s="333">
        <f>IF($C$6=$E307,1,IF(MONTH($E307)=1,F308*(1+$F$5),F308))</f>
      </c>
      <c r="G307" s="333">
        <f>F307*$B$8/12</f>
      </c>
      <c r="H307" s="333">
        <f>IF(F307=1,F307*$B$10/MIN(12,'Simulador - 3º Pilar'!$E$88),0)</f>
      </c>
      <c r="I307" s="560">
        <f>(1+$G$5)^(D307/12)*(H307+IF(E307=$N$7,$N$4,0))</f>
      </c>
      <c r="J307" s="561">
        <f>(1+$G$5)^(D307/12)*(H307*(12-IF(MONTH(E308)=12,0,MONTH(E308)))+IF(AND(F307=1,F308=0),$Q$4,0))*IF(AND(F307=1,F308=0),1,0)</f>
      </c>
      <c r="K307" s="217">
        <f>(1+$G$5)^(D307/12)*(IF(E307=$N$7,$N$4,0)+IF(E307=$C$6,$B$10,0))</f>
      </c>
      <c r="L307" s="217">
        <f>(1+$G$5)^(D307/12)*(IF((E307)&gt;($B$6),H307,0)+IF(E307=$N$7,$N$4,0)+IF(E307=$C$6,0,0))</f>
      </c>
      <c r="M307" s="1"/>
      <c r="N307" s="7"/>
      <c r="O307" s="1"/>
      <c r="P307" s="331">
        <v>300</v>
      </c>
      <c r="Q307" s="544">
        <f>+DATE(YEAR(Q306),MONTH(Q306)-1,DAY(Q306))</f>
        <v>25569.041666666668</v>
      </c>
      <c r="R307" s="341">
        <f>IF($Z$7=$E307,1,IF(MONTH($E307)=1,R308*(1+$F$5),R308))</f>
      </c>
      <c r="S307" s="334">
        <f>R307*$B$8/12</f>
      </c>
      <c r="T307" s="334">
        <f>R307*$B$11/12</f>
      </c>
      <c r="U307" s="565">
        <f>(1+$V$5)^(P307/12)*(T307+IF(Q307=$Z$7,$Z$4,0))</f>
      </c>
      <c r="V307" s="170"/>
      <c r="W307" s="7"/>
      <c r="X307" s="1"/>
      <c r="Y307" s="1"/>
      <c r="Z307" s="1"/>
      <c r="AA307" s="1"/>
      <c r="AB307" s="1"/>
      <c r="AC307" s="331">
        <v>300</v>
      </c>
      <c r="AD307" s="544">
        <f>+DATE(YEAR(AD306),MONTH(AD306)-1,DAY(AD306))</f>
        <v>25569.041666666668</v>
      </c>
      <c r="AE307" s="341">
        <f>IF($AM$7=$E307,1,IF(MONTH($E307)=1,AE308*(1+$F$5),AE308))</f>
      </c>
      <c r="AF307" s="334">
        <f>AE307*$B$8/12</f>
      </c>
      <c r="AG307" s="334">
        <f>AE307*$B$12/12</f>
      </c>
      <c r="AH307" s="565">
        <f>(1+$AI$5)^(AC307/12)*(AG307+IF(AD307=$AM$7,$AM$4,0))</f>
      </c>
      <c r="AI307" s="170"/>
      <c r="AJ307" s="7"/>
      <c r="AK307" s="1"/>
      <c r="AL307" s="1"/>
      <c r="AM307" s="1"/>
    </row>
    <row x14ac:dyDescent="0.25" r="308" customHeight="1" ht="18.75">
      <c r="A308" s="1"/>
      <c r="B308" s="169"/>
      <c r="C308" s="170"/>
      <c r="D308" s="331">
        <v>301</v>
      </c>
      <c r="E308" s="544">
        <f>+DATE(YEAR(E307),MONTH(E307)-1,DAY(E307))</f>
        <v>25569.041666666668</v>
      </c>
      <c r="F308" s="333">
        <f>IF($C$6=$E308,1,IF(MONTH($E308)=1,F309*(1+$F$5),F309))</f>
      </c>
      <c r="G308" s="333">
        <f>F308*$B$8/12</f>
      </c>
      <c r="H308" s="333">
        <f>IF(F308=1,F308*$B$10/MIN(12,'Simulador - 3º Pilar'!$E$88),0)</f>
      </c>
      <c r="I308" s="560">
        <f>(1+$G$5)^(D308/12)*(H308+IF(E308=$N$7,$N$4,0))</f>
      </c>
      <c r="J308" s="561">
        <f>(1+$G$5)^(D308/12)*(H308*(12-IF(MONTH(E309)=12,0,MONTH(E309)))+IF(AND(F308=1,F309=0),$Q$4,0))*IF(AND(F308=1,F309=0),1,0)</f>
      </c>
      <c r="K308" s="217">
        <f>(1+$G$5)^(D308/12)*(IF(E308=$N$7,$N$4,0)+IF(E308=$C$6,$B$10,0))</f>
      </c>
      <c r="L308" s="217">
        <f>(1+$G$5)^(D308/12)*(IF((E308)&gt;($B$6),H308,0)+IF(E308=$N$7,$N$4,0)+IF(E308=$C$6,0,0))</f>
      </c>
      <c r="M308" s="1"/>
      <c r="N308" s="7"/>
      <c r="O308" s="1"/>
      <c r="P308" s="331">
        <v>301</v>
      </c>
      <c r="Q308" s="544">
        <f>+DATE(YEAR(Q307),MONTH(Q307)-1,DAY(Q307))</f>
        <v>25569.041666666668</v>
      </c>
      <c r="R308" s="341">
        <f>IF($Z$7=$E308,1,IF(MONTH($E308)=1,R309*(1+$F$5),R309))</f>
      </c>
      <c r="S308" s="334">
        <f>R308*$B$8/12</f>
      </c>
      <c r="T308" s="334">
        <f>R308*$B$11/12</f>
      </c>
      <c r="U308" s="565">
        <f>(1+$V$5)^(P308/12)*(T308+IF(Q308=$Z$7,$Z$4,0))</f>
      </c>
      <c r="V308" s="170"/>
      <c r="W308" s="7"/>
      <c r="X308" s="1"/>
      <c r="Y308" s="1"/>
      <c r="Z308" s="1"/>
      <c r="AA308" s="1"/>
      <c r="AB308" s="1"/>
      <c r="AC308" s="331">
        <v>301</v>
      </c>
      <c r="AD308" s="544">
        <f>+DATE(YEAR(AD307),MONTH(AD307)-1,DAY(AD307))</f>
        <v>25569.041666666668</v>
      </c>
      <c r="AE308" s="341">
        <f>IF($AM$7=$E308,1,IF(MONTH($E308)=1,AE309*(1+$F$5),AE309))</f>
      </c>
      <c r="AF308" s="334">
        <f>AE308*$B$8/12</f>
      </c>
      <c r="AG308" s="334">
        <f>AE308*$B$12/12</f>
      </c>
      <c r="AH308" s="565">
        <f>(1+$AI$5)^(AC308/12)*(AG308+IF(AD308=$AM$7,$AM$4,0))</f>
      </c>
      <c r="AI308" s="170"/>
      <c r="AJ308" s="7"/>
      <c r="AK308" s="1"/>
      <c r="AL308" s="1"/>
      <c r="AM308" s="1"/>
    </row>
    <row x14ac:dyDescent="0.25" r="309" customHeight="1" ht="18.75">
      <c r="A309" s="1"/>
      <c r="B309" s="169"/>
      <c r="C309" s="170"/>
      <c r="D309" s="331">
        <v>302</v>
      </c>
      <c r="E309" s="544">
        <f>+DATE(YEAR(E308),MONTH(E308)-1,DAY(E308))</f>
        <v>25569.041666666668</v>
      </c>
      <c r="F309" s="333">
        <f>IF($C$6=$E309,1,IF(MONTH($E309)=1,F310*(1+$F$5),F310))</f>
      </c>
      <c r="G309" s="333">
        <f>F309*$B$8/12</f>
      </c>
      <c r="H309" s="333">
        <f>IF(F309=1,F309*$B$10/MIN(12,'Simulador - 3º Pilar'!$E$88),0)</f>
      </c>
      <c r="I309" s="560">
        <f>(1+$G$5)^(D309/12)*(H309+IF(E309=$N$7,$N$4,0))</f>
      </c>
      <c r="J309" s="561">
        <f>(1+$G$5)^(D309/12)*(H309*(12-IF(MONTH(E310)=12,0,MONTH(E310)))+IF(AND(F309=1,F310=0),$Q$4,0))*IF(AND(F309=1,F310=0),1,0)</f>
      </c>
      <c r="K309" s="217">
        <f>(1+$G$5)^(D309/12)*(IF(E309=$N$7,$N$4,0)+IF(E309=$C$6,$B$10,0))</f>
      </c>
      <c r="L309" s="217">
        <f>(1+$G$5)^(D309/12)*(IF((E309)&gt;($B$6),H309,0)+IF(E309=$N$7,$N$4,0)+IF(E309=$C$6,0,0))</f>
      </c>
      <c r="M309" s="1"/>
      <c r="N309" s="7"/>
      <c r="O309" s="1"/>
      <c r="P309" s="331">
        <v>302</v>
      </c>
      <c r="Q309" s="544">
        <f>+DATE(YEAR(Q308),MONTH(Q308)-1,DAY(Q308))</f>
        <v>25569.041666666668</v>
      </c>
      <c r="R309" s="341">
        <f>IF($Z$7=$E309,1,IF(MONTH($E309)=1,R310*(1+$F$5),R310))</f>
      </c>
      <c r="S309" s="334">
        <f>R309*$B$8/12</f>
      </c>
      <c r="T309" s="334">
        <f>R309*$B$11/12</f>
      </c>
      <c r="U309" s="565">
        <f>(1+$V$5)^(P309/12)*(T309+IF(Q309=$Z$7,$Z$4,0))</f>
      </c>
      <c r="V309" s="170"/>
      <c r="W309" s="7"/>
      <c r="X309" s="1"/>
      <c r="Y309" s="1"/>
      <c r="Z309" s="1"/>
      <c r="AA309" s="1"/>
      <c r="AB309" s="1"/>
      <c r="AC309" s="331">
        <v>302</v>
      </c>
      <c r="AD309" s="544">
        <f>+DATE(YEAR(AD308),MONTH(AD308)-1,DAY(AD308))</f>
        <v>25569.041666666668</v>
      </c>
      <c r="AE309" s="341">
        <f>IF($AM$7=$E309,1,IF(MONTH($E309)=1,AE310*(1+$F$5),AE310))</f>
      </c>
      <c r="AF309" s="334">
        <f>AE309*$B$8/12</f>
      </c>
      <c r="AG309" s="334">
        <f>AE309*$B$12/12</f>
      </c>
      <c r="AH309" s="565">
        <f>(1+$AI$5)^(AC309/12)*(AG309+IF(AD309=$AM$7,$AM$4,0))</f>
      </c>
      <c r="AI309" s="170"/>
      <c r="AJ309" s="7"/>
      <c r="AK309" s="1"/>
      <c r="AL309" s="1"/>
      <c r="AM309" s="1"/>
    </row>
    <row x14ac:dyDescent="0.25" r="310" customHeight="1" ht="18.75">
      <c r="A310" s="1"/>
      <c r="B310" s="169"/>
      <c r="C310" s="170"/>
      <c r="D310" s="331">
        <v>303</v>
      </c>
      <c r="E310" s="544">
        <f>+DATE(YEAR(E309),MONTH(E309)-1,DAY(E309))</f>
        <v>25569.041666666668</v>
      </c>
      <c r="F310" s="333">
        <f>IF($C$6=$E310,1,IF(MONTH($E310)=1,F311*(1+$F$5),F311))</f>
      </c>
      <c r="G310" s="333">
        <f>F310*$B$8/12</f>
      </c>
      <c r="H310" s="333">
        <f>IF(F310=1,F310*$B$10/MIN(12,'Simulador - 3º Pilar'!$E$88),0)</f>
      </c>
      <c r="I310" s="560">
        <f>(1+$G$5)^(D310/12)*(H310+IF(E310=$N$7,$N$4,0))</f>
      </c>
      <c r="J310" s="561">
        <f>(1+$G$5)^(D310/12)*(H310*(12-IF(MONTH(E311)=12,0,MONTH(E311)))+IF(AND(F310=1,F311=0),$Q$4,0))*IF(AND(F310=1,F311=0),1,0)</f>
      </c>
      <c r="K310" s="217">
        <f>(1+$G$5)^(D310/12)*(IF(E310=$N$7,$N$4,0)+IF(E310=$C$6,$B$10,0))</f>
      </c>
      <c r="L310" s="217">
        <f>(1+$G$5)^(D310/12)*(IF((E310)&gt;($B$6),H310,0)+IF(E310=$N$7,$N$4,0)+IF(E310=$C$6,0,0))</f>
      </c>
      <c r="M310" s="1"/>
      <c r="N310" s="7"/>
      <c r="O310" s="1"/>
      <c r="P310" s="331">
        <v>303</v>
      </c>
      <c r="Q310" s="544">
        <f>+DATE(YEAR(Q309),MONTH(Q309)-1,DAY(Q309))</f>
        <v>25569.041666666668</v>
      </c>
      <c r="R310" s="341">
        <f>IF($Z$7=$E310,1,IF(MONTH($E310)=1,R311*(1+$F$5),R311))</f>
      </c>
      <c r="S310" s="334">
        <f>R310*$B$8/12</f>
      </c>
      <c r="T310" s="334">
        <f>R310*$B$11/12</f>
      </c>
      <c r="U310" s="565">
        <f>(1+$V$5)^(P310/12)*(T310+IF(Q310=$Z$7,$Z$4,0))</f>
      </c>
      <c r="V310" s="170"/>
      <c r="W310" s="7"/>
      <c r="X310" s="1"/>
      <c r="Y310" s="1"/>
      <c r="Z310" s="1"/>
      <c r="AA310" s="1"/>
      <c r="AB310" s="1"/>
      <c r="AC310" s="331">
        <v>303</v>
      </c>
      <c r="AD310" s="544">
        <f>+DATE(YEAR(AD309),MONTH(AD309)-1,DAY(AD309))</f>
        <v>25569.041666666668</v>
      </c>
      <c r="AE310" s="341">
        <f>IF($AM$7=$E310,1,IF(MONTH($E310)=1,AE311*(1+$F$5),AE311))</f>
      </c>
      <c r="AF310" s="334">
        <f>AE310*$B$8/12</f>
      </c>
      <c r="AG310" s="334">
        <f>AE310*$B$12/12</f>
      </c>
      <c r="AH310" s="565">
        <f>(1+$AI$5)^(AC310/12)*(AG310+IF(AD310=$AM$7,$AM$4,0))</f>
      </c>
      <c r="AI310" s="170"/>
      <c r="AJ310" s="7"/>
      <c r="AK310" s="1"/>
      <c r="AL310" s="1"/>
      <c r="AM310" s="1"/>
    </row>
    <row x14ac:dyDescent="0.25" r="311" customHeight="1" ht="18.75">
      <c r="A311" s="1"/>
      <c r="B311" s="169"/>
      <c r="C311" s="170"/>
      <c r="D311" s="331">
        <v>304</v>
      </c>
      <c r="E311" s="544">
        <f>+DATE(YEAR(E310),MONTH(E310)-1,DAY(E310))</f>
        <v>25569.041666666668</v>
      </c>
      <c r="F311" s="333">
        <f>IF($C$6=$E311,1,IF(MONTH($E311)=1,F312*(1+$F$5),F312))</f>
      </c>
      <c r="G311" s="333">
        <f>F311*$B$8/12</f>
      </c>
      <c r="H311" s="333">
        <f>IF(F311=1,F311*$B$10/MIN(12,'Simulador - 3º Pilar'!$E$88),0)</f>
      </c>
      <c r="I311" s="560">
        <f>(1+$G$5)^(D311/12)*(H311+IF(E311=$N$7,$N$4,0))</f>
      </c>
      <c r="J311" s="561">
        <f>(1+$G$5)^(D311/12)*(H311*(12-IF(MONTH(E312)=12,0,MONTH(E312)))+IF(AND(F311=1,F312=0),$Q$4,0))*IF(AND(F311=1,F312=0),1,0)</f>
      </c>
      <c r="K311" s="217">
        <f>(1+$G$5)^(D311/12)*(IF(E311=$N$7,$N$4,0)+IF(E311=$C$6,$B$10,0))</f>
      </c>
      <c r="L311" s="217">
        <f>(1+$G$5)^(D311/12)*(IF((E311)&gt;($B$6),H311,0)+IF(E311=$N$7,$N$4,0)+IF(E311=$C$6,0,0))</f>
      </c>
      <c r="M311" s="1"/>
      <c r="N311" s="7"/>
      <c r="O311" s="1"/>
      <c r="P311" s="331">
        <v>304</v>
      </c>
      <c r="Q311" s="544">
        <f>+DATE(YEAR(Q310),MONTH(Q310)-1,DAY(Q310))</f>
        <v>25569.041666666668</v>
      </c>
      <c r="R311" s="341">
        <f>IF($Z$7=$E311,1,IF(MONTH($E311)=1,R312*(1+$F$5),R312))</f>
      </c>
      <c r="S311" s="334">
        <f>R311*$B$8/12</f>
      </c>
      <c r="T311" s="334">
        <f>R311*$B$11/12</f>
      </c>
      <c r="U311" s="565">
        <f>(1+$V$5)^(P311/12)*(T311+IF(Q311=$Z$7,$Z$4,0))</f>
      </c>
      <c r="V311" s="170"/>
      <c r="W311" s="7"/>
      <c r="X311" s="1"/>
      <c r="Y311" s="1"/>
      <c r="Z311" s="1"/>
      <c r="AA311" s="1"/>
      <c r="AB311" s="1"/>
      <c r="AC311" s="331">
        <v>304</v>
      </c>
      <c r="AD311" s="544">
        <f>+DATE(YEAR(AD310),MONTH(AD310)-1,DAY(AD310))</f>
        <v>25569.041666666668</v>
      </c>
      <c r="AE311" s="341">
        <f>IF($AM$7=$E311,1,IF(MONTH($E311)=1,AE312*(1+$F$5),AE312))</f>
      </c>
      <c r="AF311" s="334">
        <f>AE311*$B$8/12</f>
      </c>
      <c r="AG311" s="334">
        <f>AE311*$B$12/12</f>
      </c>
      <c r="AH311" s="565">
        <f>(1+$AI$5)^(AC311/12)*(AG311+IF(AD311=$AM$7,$AM$4,0))</f>
      </c>
      <c r="AI311" s="170"/>
      <c r="AJ311" s="7"/>
      <c r="AK311" s="1"/>
      <c r="AL311" s="1"/>
      <c r="AM311" s="1"/>
    </row>
    <row x14ac:dyDescent="0.25" r="312" customHeight="1" ht="18.75">
      <c r="A312" s="1"/>
      <c r="B312" s="169"/>
      <c r="C312" s="170"/>
      <c r="D312" s="331">
        <v>305</v>
      </c>
      <c r="E312" s="544">
        <f>+DATE(YEAR(E311),MONTH(E311)-1,DAY(E311))</f>
        <v>25569.041666666668</v>
      </c>
      <c r="F312" s="333">
        <f>IF($C$6=$E312,1,IF(MONTH($E312)=1,F313*(1+$F$5),F313))</f>
      </c>
      <c r="G312" s="333">
        <f>F312*$B$8/12</f>
      </c>
      <c r="H312" s="333">
        <f>IF(F312=1,F312*$B$10/MIN(12,'Simulador - 3º Pilar'!$E$88),0)</f>
      </c>
      <c r="I312" s="560">
        <f>(1+$G$5)^(D312/12)*(H312+IF(E312=$N$7,$N$4,0))</f>
      </c>
      <c r="J312" s="561">
        <f>(1+$G$5)^(D312/12)*(H312*(12-IF(MONTH(E313)=12,0,MONTH(E313)))+IF(AND(F312=1,F313=0),$Q$4,0))*IF(AND(F312=1,F313=0),1,0)</f>
      </c>
      <c r="K312" s="217">
        <f>(1+$G$5)^(D312/12)*(IF(E312=$N$7,$N$4,0)+IF(E312=$C$6,$B$10,0))</f>
      </c>
      <c r="L312" s="217">
        <f>(1+$G$5)^(D312/12)*(IF((E312)&gt;($B$6),H312,0)+IF(E312=$N$7,$N$4,0)+IF(E312=$C$6,0,0))</f>
      </c>
      <c r="M312" s="1"/>
      <c r="N312" s="7"/>
      <c r="O312" s="1"/>
      <c r="P312" s="331">
        <v>305</v>
      </c>
      <c r="Q312" s="544">
        <f>+DATE(YEAR(Q311),MONTH(Q311)-1,DAY(Q311))</f>
        <v>25569.041666666668</v>
      </c>
      <c r="R312" s="341">
        <f>IF($Z$7=$E312,1,IF(MONTH($E312)=1,R313*(1+$F$5),R313))</f>
      </c>
      <c r="S312" s="334">
        <f>R312*$B$8/12</f>
      </c>
      <c r="T312" s="334">
        <f>R312*$B$11/12</f>
      </c>
      <c r="U312" s="565">
        <f>(1+$V$5)^(P312/12)*(T312+IF(Q312=$Z$7,$Z$4,0))</f>
      </c>
      <c r="V312" s="170"/>
      <c r="W312" s="7"/>
      <c r="X312" s="1"/>
      <c r="Y312" s="1"/>
      <c r="Z312" s="1"/>
      <c r="AA312" s="1"/>
      <c r="AB312" s="1"/>
      <c r="AC312" s="331">
        <v>305</v>
      </c>
      <c r="AD312" s="544">
        <f>+DATE(YEAR(AD311),MONTH(AD311)-1,DAY(AD311))</f>
        <v>25569.041666666668</v>
      </c>
      <c r="AE312" s="341">
        <f>IF($AM$7=$E312,1,IF(MONTH($E312)=1,AE313*(1+$F$5),AE313))</f>
      </c>
      <c r="AF312" s="334">
        <f>AE312*$B$8/12</f>
      </c>
      <c r="AG312" s="334">
        <f>AE312*$B$12/12</f>
      </c>
      <c r="AH312" s="565">
        <f>(1+$AI$5)^(AC312/12)*(AG312+IF(AD312=$AM$7,$AM$4,0))</f>
      </c>
      <c r="AI312" s="170"/>
      <c r="AJ312" s="7"/>
      <c r="AK312" s="1"/>
      <c r="AL312" s="1"/>
      <c r="AM312" s="1"/>
    </row>
    <row x14ac:dyDescent="0.25" r="313" customHeight="1" ht="18.75">
      <c r="A313" s="1"/>
      <c r="B313" s="169"/>
      <c r="C313" s="170"/>
      <c r="D313" s="331">
        <v>306</v>
      </c>
      <c r="E313" s="544">
        <f>+DATE(YEAR(E312),MONTH(E312)-1,DAY(E312))</f>
        <v>25569.041666666668</v>
      </c>
      <c r="F313" s="333">
        <f>IF($C$6=$E313,1,IF(MONTH($E313)=1,F314*(1+$F$5),F314))</f>
      </c>
      <c r="G313" s="333">
        <f>F313*$B$8/12</f>
      </c>
      <c r="H313" s="333">
        <f>IF(F313=1,F313*$B$10/MIN(12,'Simulador - 3º Pilar'!$E$88),0)</f>
      </c>
      <c r="I313" s="560">
        <f>(1+$G$5)^(D313/12)*(H313+IF(E313=$N$7,$N$4,0))</f>
      </c>
      <c r="J313" s="561">
        <f>(1+$G$5)^(D313/12)*(H313*(12-IF(MONTH(E314)=12,0,MONTH(E314)))+IF(AND(F313=1,F314=0),$Q$4,0))*IF(AND(F313=1,F314=0),1,0)</f>
      </c>
      <c r="K313" s="217">
        <f>(1+$G$5)^(D313/12)*(IF(E313=$N$7,$N$4,0)+IF(E313=$C$6,$B$10,0))</f>
      </c>
      <c r="L313" s="217">
        <f>(1+$G$5)^(D313/12)*(IF((E313)&gt;($B$6),H313,0)+IF(E313=$N$7,$N$4,0)+IF(E313=$C$6,0,0))</f>
      </c>
      <c r="M313" s="1"/>
      <c r="N313" s="7"/>
      <c r="O313" s="1"/>
      <c r="P313" s="331">
        <v>306</v>
      </c>
      <c r="Q313" s="544">
        <f>+DATE(YEAR(Q312),MONTH(Q312)-1,DAY(Q312))</f>
        <v>25569.041666666668</v>
      </c>
      <c r="R313" s="341">
        <f>IF($Z$7=$E313,1,IF(MONTH($E313)=1,R314*(1+$F$5),R314))</f>
      </c>
      <c r="S313" s="334">
        <f>R313*$B$8/12</f>
      </c>
      <c r="T313" s="334">
        <f>R313*$B$11/12</f>
      </c>
      <c r="U313" s="565">
        <f>(1+$V$5)^(P313/12)*(T313+IF(Q313=$Z$7,$Z$4,0))</f>
      </c>
      <c r="V313" s="217"/>
      <c r="W313" s="7"/>
      <c r="X313" s="1"/>
      <c r="Y313" s="1"/>
      <c r="Z313" s="1"/>
      <c r="AA313" s="1"/>
      <c r="AB313" s="1"/>
      <c r="AC313" s="331">
        <v>306</v>
      </c>
      <c r="AD313" s="544">
        <f>+DATE(YEAR(AD312),MONTH(AD312)-1,DAY(AD312))</f>
        <v>25569.041666666668</v>
      </c>
      <c r="AE313" s="341">
        <f>IF($AM$7=$E313,1,IF(MONTH($E313)=1,AE314*(1+$F$5),AE314))</f>
      </c>
      <c r="AF313" s="334">
        <f>AE313*$B$8/12</f>
      </c>
      <c r="AG313" s="334">
        <f>AE313*$B$12/12</f>
      </c>
      <c r="AH313" s="565">
        <f>(1+$AI$5)^(AC313/12)*(AG313+IF(AD313=$AM$7,$AM$4,0))</f>
      </c>
      <c r="AI313" s="217"/>
      <c r="AJ313" s="7"/>
      <c r="AK313" s="1"/>
      <c r="AL313" s="1"/>
      <c r="AM313" s="1"/>
    </row>
    <row x14ac:dyDescent="0.25" r="314" customHeight="1" ht="18.75">
      <c r="A314" s="1"/>
      <c r="B314" s="169"/>
      <c r="C314" s="170"/>
      <c r="D314" s="331">
        <v>307</v>
      </c>
      <c r="E314" s="544">
        <f>+DATE(YEAR(E313),MONTH(E313)-1,DAY(E313))</f>
        <v>25569.041666666668</v>
      </c>
      <c r="F314" s="333">
        <f>IF($C$6=$E314,1,IF(MONTH($E314)=1,F315*(1+$F$5),F315))</f>
      </c>
      <c r="G314" s="333">
        <f>F314*$B$8/12</f>
      </c>
      <c r="H314" s="333">
        <f>IF(F314=1,F314*$B$10/MIN(12,'Simulador - 3º Pilar'!$E$88),0)</f>
      </c>
      <c r="I314" s="560">
        <f>(1+$G$5)^(D314/12)*(H314+IF(E314=$N$7,$N$4,0))</f>
      </c>
      <c r="J314" s="561">
        <f>(1+$G$5)^(D314/12)*(H314*(12-IF(MONTH(E315)=12,0,MONTH(E315)))+IF(AND(F314=1,F315=0),$Q$4,0))*IF(AND(F314=1,F315=0),1,0)</f>
      </c>
      <c r="K314" s="217">
        <f>(1+$G$5)^(D314/12)*(IF(E314=$N$7,$N$4,0)+IF(E314=$C$6,$B$10,0))</f>
      </c>
      <c r="L314" s="217">
        <f>(1+$G$5)^(D314/12)*(IF((E314)&gt;($B$6),H314,0)+IF(E314=$N$7,$N$4,0)+IF(E314=$C$6,0,0))</f>
      </c>
      <c r="M314" s="217"/>
      <c r="N314" s="7"/>
      <c r="O314" s="1"/>
      <c r="P314" s="331">
        <v>307</v>
      </c>
      <c r="Q314" s="544">
        <f>+DATE(YEAR(Q313),MONTH(Q313)-1,DAY(Q313))</f>
        <v>25569.041666666668</v>
      </c>
      <c r="R314" s="341">
        <f>IF($Z$7=$E314,1,IF(MONTH($E314)=1,R315*(1+$F$5),R315))</f>
      </c>
      <c r="S314" s="334">
        <f>R314*$B$8/12</f>
      </c>
      <c r="T314" s="334">
        <f>R314*$B$11/12</f>
      </c>
      <c r="U314" s="565">
        <f>(1+$V$5)^(P314/12)*(T314+IF(Q314=$Z$7,$Z$4,0))</f>
      </c>
      <c r="V314" s="170"/>
      <c r="W314" s="7"/>
      <c r="X314" s="1"/>
      <c r="Y314" s="1"/>
      <c r="Z314" s="1"/>
      <c r="AA314" s="1"/>
      <c r="AB314" s="1"/>
      <c r="AC314" s="331">
        <v>307</v>
      </c>
      <c r="AD314" s="544">
        <f>+DATE(YEAR(AD313),MONTH(AD313)-1,DAY(AD313))</f>
        <v>25569.041666666668</v>
      </c>
      <c r="AE314" s="341">
        <f>IF($AM$7=$E314,1,IF(MONTH($E314)=1,AE315*(1+$F$5),AE315))</f>
      </c>
      <c r="AF314" s="334">
        <f>AE314*$B$8/12</f>
      </c>
      <c r="AG314" s="334">
        <f>AE314*$B$12/12</f>
      </c>
      <c r="AH314" s="565">
        <f>(1+$AI$5)^(AC314/12)*(AG314+IF(AD314=$AM$7,$AM$4,0))</f>
      </c>
      <c r="AI314" s="170"/>
      <c r="AJ314" s="7"/>
      <c r="AK314" s="1"/>
      <c r="AL314" s="1"/>
      <c r="AM314" s="1"/>
    </row>
    <row x14ac:dyDescent="0.25" r="315" customHeight="1" ht="18.75">
      <c r="A315" s="1"/>
      <c r="B315" s="169"/>
      <c r="C315" s="170"/>
      <c r="D315" s="331">
        <v>308</v>
      </c>
      <c r="E315" s="544">
        <f>+DATE(YEAR(E314),MONTH(E314)-1,DAY(E314))</f>
        <v>25569.041666666668</v>
      </c>
      <c r="F315" s="333">
        <f>IF($C$6=$E315,1,IF(MONTH($E315)=1,F316*(1+$F$5),F316))</f>
      </c>
      <c r="G315" s="333">
        <f>F315*$B$8/12</f>
      </c>
      <c r="H315" s="333">
        <f>IF(F315=1,F315*$B$10/MIN(12,'Simulador - 3º Pilar'!$E$88),0)</f>
      </c>
      <c r="I315" s="560">
        <f>(1+$G$5)^(D315/12)*(H315+IF(E315=$N$7,$N$4,0))</f>
      </c>
      <c r="J315" s="561">
        <f>(1+$G$5)^(D315/12)*(H315*(12-IF(MONTH(E316)=12,0,MONTH(E316)))+IF(AND(F315=1,F316=0),$Q$4,0))*IF(AND(F315=1,F316=0),1,0)</f>
      </c>
      <c r="K315" s="217">
        <f>(1+$G$5)^(D315/12)*(IF(E315=$N$7,$N$4,0)+IF(E315=$C$6,$B$10,0))</f>
      </c>
      <c r="L315" s="217">
        <f>(1+$G$5)^(D315/12)*(IF((E315)&gt;($B$6),H315,0)+IF(E315=$N$7,$N$4,0)+IF(E315=$C$6,0,0))</f>
      </c>
      <c r="M315" s="217"/>
      <c r="N315" s="7"/>
      <c r="O315" s="1"/>
      <c r="P315" s="331">
        <v>308</v>
      </c>
      <c r="Q315" s="544">
        <f>+DATE(YEAR(Q314),MONTH(Q314)-1,DAY(Q314))</f>
        <v>25569.041666666668</v>
      </c>
      <c r="R315" s="341">
        <f>IF($Z$7=$E315,1,IF(MONTH($E315)=1,R316*(1+$F$5),R316))</f>
      </c>
      <c r="S315" s="334">
        <f>R315*$B$8/12</f>
      </c>
      <c r="T315" s="334">
        <f>R315*$B$11/12</f>
      </c>
      <c r="U315" s="565">
        <f>(1+$V$5)^(P315/12)*(T315+IF(Q315=$Z$7,$Z$4,0))</f>
      </c>
      <c r="V315" s="170"/>
      <c r="W315" s="7"/>
      <c r="X315" s="1"/>
      <c r="Y315" s="1"/>
      <c r="Z315" s="1"/>
      <c r="AA315" s="1"/>
      <c r="AB315" s="1"/>
      <c r="AC315" s="331">
        <v>308</v>
      </c>
      <c r="AD315" s="544">
        <f>+DATE(YEAR(AD314),MONTH(AD314)-1,DAY(AD314))</f>
        <v>25569.041666666668</v>
      </c>
      <c r="AE315" s="341">
        <f>IF($AM$7=$E315,1,IF(MONTH($E315)=1,AE316*(1+$F$5),AE316))</f>
      </c>
      <c r="AF315" s="334">
        <f>AE315*$B$8/12</f>
      </c>
      <c r="AG315" s="334">
        <f>AE315*$B$12/12</f>
      </c>
      <c r="AH315" s="565">
        <f>(1+$AI$5)^(AC315/12)*(AG315+IF(AD315=$AM$7,$AM$4,0))</f>
      </c>
      <c r="AI315" s="170"/>
      <c r="AJ315" s="7"/>
      <c r="AK315" s="1"/>
      <c r="AL315" s="1"/>
      <c r="AM315" s="1"/>
    </row>
    <row x14ac:dyDescent="0.25" r="316" customHeight="1" ht="18.75">
      <c r="A316" s="1"/>
      <c r="B316" s="169"/>
      <c r="C316" s="170"/>
      <c r="D316" s="331">
        <v>309</v>
      </c>
      <c r="E316" s="544">
        <f>+DATE(YEAR(E315),MONTH(E315)-1,DAY(E315))</f>
        <v>25569.041666666668</v>
      </c>
      <c r="F316" s="333">
        <f>IF($C$6=$E316,1,IF(MONTH($E316)=1,F317*(1+$F$5),F317))</f>
      </c>
      <c r="G316" s="333">
        <f>F316*$B$8/12</f>
      </c>
      <c r="H316" s="333">
        <f>IF(F316=1,F316*$B$10/MIN(12,'Simulador - 3º Pilar'!$E$88),0)</f>
      </c>
      <c r="I316" s="560">
        <f>(1+$G$5)^(D316/12)*(H316+IF(E316=$N$7,$N$4,0))</f>
      </c>
      <c r="J316" s="561">
        <f>(1+$G$5)^(D316/12)*(H316*(12-IF(MONTH(E317)=12,0,MONTH(E317)))+IF(AND(F316=1,F317=0),$Q$4,0))*IF(AND(F316=1,F317=0),1,0)</f>
      </c>
      <c r="K316" s="217">
        <f>(1+$G$5)^(D316/12)*(IF(E316=$N$7,$N$4,0)+IF(E316=$C$6,$B$10,0))</f>
      </c>
      <c r="L316" s="217">
        <f>(1+$G$5)^(D316/12)*(IF((E316)&gt;($B$6),H316,0)+IF(E316=$N$7,$N$4,0)+IF(E316=$C$6,0,0))</f>
      </c>
      <c r="M316" s="1"/>
      <c r="N316" s="7"/>
      <c r="O316" s="1"/>
      <c r="P316" s="331">
        <v>309</v>
      </c>
      <c r="Q316" s="544">
        <f>+DATE(YEAR(Q315),MONTH(Q315)-1,DAY(Q315))</f>
        <v>25569.041666666668</v>
      </c>
      <c r="R316" s="341">
        <f>IF($Z$7=$E316,1,IF(MONTH($E316)=1,R317*(1+$F$5),R317))</f>
      </c>
      <c r="S316" s="334">
        <f>R316*$B$8/12</f>
      </c>
      <c r="T316" s="334">
        <f>R316*$B$11/12</f>
      </c>
      <c r="U316" s="565">
        <f>(1+$V$5)^(P316/12)*(T316+IF(Q316=$Z$7,$Z$4,0))</f>
      </c>
      <c r="V316" s="170"/>
      <c r="W316" s="7"/>
      <c r="X316" s="1"/>
      <c r="Y316" s="1"/>
      <c r="Z316" s="1"/>
      <c r="AA316" s="1"/>
      <c r="AB316" s="1"/>
      <c r="AC316" s="331">
        <v>309</v>
      </c>
      <c r="AD316" s="544">
        <f>+DATE(YEAR(AD315),MONTH(AD315)-1,DAY(AD315))</f>
        <v>25569.041666666668</v>
      </c>
      <c r="AE316" s="341">
        <f>IF($AM$7=$E316,1,IF(MONTH($E316)=1,AE317*(1+$F$5),AE317))</f>
      </c>
      <c r="AF316" s="334">
        <f>AE316*$B$8/12</f>
      </c>
      <c r="AG316" s="334">
        <f>AE316*$B$12/12</f>
      </c>
      <c r="AH316" s="565">
        <f>(1+$AI$5)^(AC316/12)*(AG316+IF(AD316=$AM$7,$AM$4,0))</f>
      </c>
      <c r="AI316" s="170"/>
      <c r="AJ316" s="7"/>
      <c r="AK316" s="1"/>
      <c r="AL316" s="1"/>
      <c r="AM316" s="1"/>
    </row>
    <row x14ac:dyDescent="0.25" r="317" customHeight="1" ht="18.75">
      <c r="A317" s="1"/>
      <c r="B317" s="169"/>
      <c r="C317" s="170"/>
      <c r="D317" s="331">
        <v>310</v>
      </c>
      <c r="E317" s="544">
        <f>+DATE(YEAR(E316),MONTH(E316)-1,DAY(E316))</f>
        <v>25569.041666666668</v>
      </c>
      <c r="F317" s="333">
        <f>IF($C$6=$E317,1,IF(MONTH($E317)=1,F318*(1+$F$5),F318))</f>
      </c>
      <c r="G317" s="333">
        <f>F317*$B$8/12</f>
      </c>
      <c r="H317" s="333">
        <f>IF(F317=1,F317*$B$10/MIN(12,'Simulador - 3º Pilar'!$E$88),0)</f>
      </c>
      <c r="I317" s="560">
        <f>(1+$G$5)^(D317/12)*(H317+IF(E317=$N$7,$N$4,0))</f>
      </c>
      <c r="J317" s="561">
        <f>(1+$G$5)^(D317/12)*(H317*(12-IF(MONTH(E318)=12,0,MONTH(E318)))+IF(AND(F317=1,F318=0),$Q$4,0))*IF(AND(F317=1,F318=0),1,0)</f>
      </c>
      <c r="K317" s="217">
        <f>(1+$G$5)^(D317/12)*(IF(E317=$N$7,$N$4,0)+IF(E317=$C$6,$B$10,0))</f>
      </c>
      <c r="L317" s="217">
        <f>(1+$G$5)^(D317/12)*(IF((E317)&gt;($B$6),H317,0)+IF(E317=$N$7,$N$4,0)+IF(E317=$C$6,0,0))</f>
      </c>
      <c r="M317" s="1"/>
      <c r="N317" s="7"/>
      <c r="O317" s="1"/>
      <c r="P317" s="331">
        <v>310</v>
      </c>
      <c r="Q317" s="544">
        <f>+DATE(YEAR(Q316),MONTH(Q316)-1,DAY(Q316))</f>
        <v>25569.041666666668</v>
      </c>
      <c r="R317" s="341">
        <f>IF($Z$7=$E317,1,IF(MONTH($E317)=1,R318*(1+$F$5),R318))</f>
      </c>
      <c r="S317" s="334">
        <f>R317*$B$8/12</f>
      </c>
      <c r="T317" s="334">
        <f>R317*$B$11/12</f>
      </c>
      <c r="U317" s="565">
        <f>(1+$V$5)^(P317/12)*(T317+IF(Q317=$Z$7,$Z$4,0))</f>
      </c>
      <c r="V317" s="170"/>
      <c r="W317" s="7"/>
      <c r="X317" s="1"/>
      <c r="Y317" s="1"/>
      <c r="Z317" s="1"/>
      <c r="AA317" s="1"/>
      <c r="AB317" s="1"/>
      <c r="AC317" s="331">
        <v>310</v>
      </c>
      <c r="AD317" s="544">
        <f>+DATE(YEAR(AD316),MONTH(AD316)-1,DAY(AD316))</f>
        <v>25569.041666666668</v>
      </c>
      <c r="AE317" s="341">
        <f>IF($AM$7=$E317,1,IF(MONTH($E317)=1,AE318*(1+$F$5),AE318))</f>
      </c>
      <c r="AF317" s="334">
        <f>AE317*$B$8/12</f>
      </c>
      <c r="AG317" s="334">
        <f>AE317*$B$12/12</f>
      </c>
      <c r="AH317" s="565">
        <f>(1+$AI$5)^(AC317/12)*(AG317+IF(AD317=$AM$7,$AM$4,0))</f>
      </c>
      <c r="AI317" s="170"/>
      <c r="AJ317" s="7"/>
      <c r="AK317" s="1"/>
      <c r="AL317" s="1"/>
      <c r="AM317" s="1"/>
    </row>
    <row x14ac:dyDescent="0.25" r="318" customHeight="1" ht="18.75">
      <c r="A318" s="1"/>
      <c r="B318" s="169"/>
      <c r="C318" s="170"/>
      <c r="D318" s="331">
        <v>311</v>
      </c>
      <c r="E318" s="544">
        <f>+DATE(YEAR(E317),MONTH(E317)-1,DAY(E317))</f>
        <v>25569.041666666668</v>
      </c>
      <c r="F318" s="333">
        <f>IF($C$6=$E318,1,IF(MONTH($E318)=1,F319*(1+$F$5),F319))</f>
      </c>
      <c r="G318" s="333">
        <f>F318*$B$8/12</f>
      </c>
      <c r="H318" s="333">
        <f>IF(F318=1,F318*$B$10/MIN(12,'Simulador - 3º Pilar'!$E$88),0)</f>
      </c>
      <c r="I318" s="560">
        <f>(1+$G$5)^(D318/12)*(H318+IF(E318=$N$7,$N$4,0))</f>
      </c>
      <c r="J318" s="561">
        <f>(1+$G$5)^(D318/12)*(H318*(12-IF(MONTH(E319)=12,0,MONTH(E319)))+IF(AND(F318=1,F319=0),$Q$4,0))*IF(AND(F318=1,F319=0),1,0)</f>
      </c>
      <c r="K318" s="217">
        <f>(1+$G$5)^(D318/12)*(IF(E318=$N$7,$N$4,0)+IF(E318=$C$6,$B$10,0))</f>
      </c>
      <c r="L318" s="217">
        <f>(1+$G$5)^(D318/12)*(IF((E318)&gt;($B$6),H318,0)+IF(E318=$N$7,$N$4,0)+IF(E318=$C$6,0,0))</f>
      </c>
      <c r="M318" s="1"/>
      <c r="N318" s="7"/>
      <c r="O318" s="1"/>
      <c r="P318" s="331">
        <v>311</v>
      </c>
      <c r="Q318" s="544">
        <f>+DATE(YEAR(Q317),MONTH(Q317)-1,DAY(Q317))</f>
        <v>25569.041666666668</v>
      </c>
      <c r="R318" s="341">
        <f>IF($Z$7=$E318,1,IF(MONTH($E318)=1,R319*(1+$F$5),R319))</f>
      </c>
      <c r="S318" s="334">
        <f>R318*$B$8/12</f>
      </c>
      <c r="T318" s="334">
        <f>R318*$B$11/12</f>
      </c>
      <c r="U318" s="565">
        <f>(1+$V$5)^(P318/12)*(T318+IF(Q318=$Z$7,$Z$4,0))</f>
      </c>
      <c r="V318" s="170"/>
      <c r="W318" s="7"/>
      <c r="X318" s="1"/>
      <c r="Y318" s="1"/>
      <c r="Z318" s="1"/>
      <c r="AA318" s="1"/>
      <c r="AB318" s="1"/>
      <c r="AC318" s="331">
        <v>311</v>
      </c>
      <c r="AD318" s="544">
        <f>+DATE(YEAR(AD317),MONTH(AD317)-1,DAY(AD317))</f>
        <v>25569.041666666668</v>
      </c>
      <c r="AE318" s="341">
        <f>IF($AM$7=$E318,1,IF(MONTH($E318)=1,AE319*(1+$F$5),AE319))</f>
      </c>
      <c r="AF318" s="334">
        <f>AE318*$B$8/12</f>
      </c>
      <c r="AG318" s="334">
        <f>AE318*$B$12/12</f>
      </c>
      <c r="AH318" s="565">
        <f>(1+$AI$5)^(AC318/12)*(AG318+IF(AD318=$AM$7,$AM$4,0))</f>
      </c>
      <c r="AI318" s="170"/>
      <c r="AJ318" s="7"/>
      <c r="AK318" s="1"/>
      <c r="AL318" s="1"/>
      <c r="AM318" s="1"/>
    </row>
    <row x14ac:dyDescent="0.25" r="319" customHeight="1" ht="18.75">
      <c r="A319" s="1"/>
      <c r="B319" s="169"/>
      <c r="C319" s="170"/>
      <c r="D319" s="331">
        <v>312</v>
      </c>
      <c r="E319" s="544">
        <f>+DATE(YEAR(E318),MONTH(E318)-1,DAY(E318))</f>
        <v>25569.041666666668</v>
      </c>
      <c r="F319" s="333">
        <f>IF($C$6=$E319,1,IF(MONTH($E319)=1,F320*(1+$F$5),F320))</f>
      </c>
      <c r="G319" s="333">
        <f>F319*$B$8/12</f>
      </c>
      <c r="H319" s="333">
        <f>IF(F319=1,F319*$B$10/MIN(12,'Simulador - 3º Pilar'!$E$88),0)</f>
      </c>
      <c r="I319" s="560">
        <f>(1+$G$5)^(D319/12)*(H319+IF(E319=$N$7,$N$4,0))</f>
      </c>
      <c r="J319" s="561">
        <f>(1+$G$5)^(D319/12)*(H319*(12-IF(MONTH(E320)=12,0,MONTH(E320)))+IF(AND(F319=1,F320=0),$Q$4,0))*IF(AND(F319=1,F320=0),1,0)</f>
      </c>
      <c r="K319" s="217">
        <f>(1+$G$5)^(D319/12)*(IF(E319=$N$7,$N$4,0)+IF(E319=$C$6,$B$10,0))</f>
      </c>
      <c r="L319" s="217">
        <f>(1+$G$5)^(D319/12)*(IF((E319)&gt;($B$6),H319,0)+IF(E319=$N$7,$N$4,0)+IF(E319=$C$6,0,0))</f>
      </c>
      <c r="M319" s="1"/>
      <c r="N319" s="7"/>
      <c r="O319" s="1"/>
      <c r="P319" s="331">
        <v>312</v>
      </c>
      <c r="Q319" s="544">
        <f>+DATE(YEAR(Q318),MONTH(Q318)-1,DAY(Q318))</f>
        <v>25569.041666666668</v>
      </c>
      <c r="R319" s="341">
        <f>IF($Z$7=$E319,1,IF(MONTH($E319)=1,R320*(1+$F$5),R320))</f>
      </c>
      <c r="S319" s="334">
        <f>R319*$B$8/12</f>
      </c>
      <c r="T319" s="334">
        <f>R319*$B$11/12</f>
      </c>
      <c r="U319" s="565">
        <f>(1+$V$5)^(P319/12)*(T319+IF(Q319=$Z$7,$Z$4,0))</f>
      </c>
      <c r="V319" s="170"/>
      <c r="W319" s="7"/>
      <c r="X319" s="1"/>
      <c r="Y319" s="1"/>
      <c r="Z319" s="1"/>
      <c r="AA319" s="1"/>
      <c r="AB319" s="1"/>
      <c r="AC319" s="331">
        <v>312</v>
      </c>
      <c r="AD319" s="544">
        <f>+DATE(YEAR(AD318),MONTH(AD318)-1,DAY(AD318))</f>
        <v>25569.041666666668</v>
      </c>
      <c r="AE319" s="341">
        <f>IF($AM$7=$E319,1,IF(MONTH($E319)=1,AE320*(1+$F$5),AE320))</f>
      </c>
      <c r="AF319" s="334">
        <f>AE319*$B$8/12</f>
      </c>
      <c r="AG319" s="334">
        <f>AE319*$B$12/12</f>
      </c>
      <c r="AH319" s="565">
        <f>(1+$AI$5)^(AC319/12)*(AG319+IF(AD319=$AM$7,$AM$4,0))</f>
      </c>
      <c r="AI319" s="170"/>
      <c r="AJ319" s="7"/>
      <c r="AK319" s="1"/>
      <c r="AL319" s="1"/>
      <c r="AM319" s="1"/>
    </row>
    <row x14ac:dyDescent="0.25" r="320" customHeight="1" ht="18.75">
      <c r="A320" s="1"/>
      <c r="B320" s="169"/>
      <c r="C320" s="170"/>
      <c r="D320" s="331">
        <v>313</v>
      </c>
      <c r="E320" s="544">
        <f>+DATE(YEAR(E319),MONTH(E319)-1,DAY(E319))</f>
        <v>25569.041666666668</v>
      </c>
      <c r="F320" s="333">
        <f>IF($C$6=$E320,1,IF(MONTH($E320)=1,F321*(1+$F$5),F321))</f>
      </c>
      <c r="G320" s="333">
        <f>F320*$B$8/12</f>
      </c>
      <c r="H320" s="333">
        <f>IF(F320=1,F320*$B$10/MIN(12,'Simulador - 3º Pilar'!$E$88),0)</f>
      </c>
      <c r="I320" s="560">
        <f>(1+$G$5)^(D320/12)*(H320+IF(E320=$N$7,$N$4,0))</f>
      </c>
      <c r="J320" s="561">
        <f>(1+$G$5)^(D320/12)*(H320*(12-IF(MONTH(E321)=12,0,MONTH(E321)))+IF(AND(F320=1,F321=0),$Q$4,0))*IF(AND(F320=1,F321=0),1,0)</f>
      </c>
      <c r="K320" s="217">
        <f>(1+$G$5)^(D320/12)*(IF(E320=$N$7,$N$4,0)+IF(E320=$C$6,$B$10,0))</f>
      </c>
      <c r="L320" s="217">
        <f>(1+$G$5)^(D320/12)*(IF((E320)&gt;($B$6),H320,0)+IF(E320=$N$7,$N$4,0)+IF(E320=$C$6,0,0))</f>
      </c>
      <c r="M320" s="1"/>
      <c r="N320" s="7"/>
      <c r="O320" s="1"/>
      <c r="P320" s="331">
        <v>313</v>
      </c>
      <c r="Q320" s="544">
        <f>+DATE(YEAR(Q319),MONTH(Q319)-1,DAY(Q319))</f>
        <v>25569.041666666668</v>
      </c>
      <c r="R320" s="341">
        <f>IF($Z$7=$E320,1,IF(MONTH($E320)=1,R321*(1+$F$5),R321))</f>
      </c>
      <c r="S320" s="334">
        <f>R320*$B$8/12</f>
      </c>
      <c r="T320" s="334">
        <f>R320*$B$11/12</f>
      </c>
      <c r="U320" s="565">
        <f>(1+$V$5)^(P320/12)*(T320+IF(Q320=$Z$7,$Z$4,0))</f>
      </c>
      <c r="V320" s="170"/>
      <c r="W320" s="7"/>
      <c r="X320" s="1"/>
      <c r="Y320" s="1"/>
      <c r="Z320" s="1"/>
      <c r="AA320" s="1"/>
      <c r="AB320" s="1"/>
      <c r="AC320" s="331">
        <v>313</v>
      </c>
      <c r="AD320" s="544">
        <f>+DATE(YEAR(AD319),MONTH(AD319)-1,DAY(AD319))</f>
        <v>25569.041666666668</v>
      </c>
      <c r="AE320" s="341">
        <f>IF($AM$7=$E320,1,IF(MONTH($E320)=1,AE321*(1+$F$5),AE321))</f>
      </c>
      <c r="AF320" s="334">
        <f>AE320*$B$8/12</f>
      </c>
      <c r="AG320" s="334">
        <f>AE320*$B$12/12</f>
      </c>
      <c r="AH320" s="565">
        <f>(1+$AI$5)^(AC320/12)*(AG320+IF(AD320=$AM$7,$AM$4,0))</f>
      </c>
      <c r="AI320" s="170"/>
      <c r="AJ320" s="7"/>
      <c r="AK320" s="1"/>
      <c r="AL320" s="1"/>
      <c r="AM320" s="1"/>
    </row>
    <row x14ac:dyDescent="0.25" r="321" customHeight="1" ht="18.75">
      <c r="A321" s="1"/>
      <c r="B321" s="169"/>
      <c r="C321" s="170"/>
      <c r="D321" s="331">
        <v>314</v>
      </c>
      <c r="E321" s="544">
        <f>+DATE(YEAR(E320),MONTH(E320)-1,DAY(E320))</f>
        <v>25569.041666666668</v>
      </c>
      <c r="F321" s="333">
        <f>IF($C$6=$E321,1,IF(MONTH($E321)=1,F322*(1+$F$5),F322))</f>
      </c>
      <c r="G321" s="333">
        <f>F321*$B$8/12</f>
      </c>
      <c r="H321" s="333">
        <f>IF(F321=1,F321*$B$10/MIN(12,'Simulador - 3º Pilar'!$E$88),0)</f>
      </c>
      <c r="I321" s="560">
        <f>(1+$G$5)^(D321/12)*(H321+IF(E321=$N$7,$N$4,0))</f>
      </c>
      <c r="J321" s="561">
        <f>(1+$G$5)^(D321/12)*(H321*(12-IF(MONTH(E322)=12,0,MONTH(E322)))+IF(AND(F321=1,F322=0),$Q$4,0))*IF(AND(F321=1,F322=0),1,0)</f>
      </c>
      <c r="K321" s="217">
        <f>(1+$G$5)^(D321/12)*(IF(E321=$N$7,$N$4,0)+IF(E321=$C$6,$B$10,0))</f>
      </c>
      <c r="L321" s="217">
        <f>(1+$G$5)^(D321/12)*(IF((E321)&gt;($B$6),H321,0)+IF(E321=$N$7,$N$4,0)+IF(E321=$C$6,0,0))</f>
      </c>
      <c r="M321" s="1"/>
      <c r="N321" s="7"/>
      <c r="O321" s="1"/>
      <c r="P321" s="331">
        <v>314</v>
      </c>
      <c r="Q321" s="544">
        <f>+DATE(YEAR(Q320),MONTH(Q320)-1,DAY(Q320))</f>
        <v>25569.041666666668</v>
      </c>
      <c r="R321" s="341">
        <f>IF($Z$7=$E321,1,IF(MONTH($E321)=1,R322*(1+$F$5),R322))</f>
      </c>
      <c r="S321" s="334">
        <f>R321*$B$8/12</f>
      </c>
      <c r="T321" s="334">
        <f>R321*$B$11/12</f>
      </c>
      <c r="U321" s="565">
        <f>(1+$V$5)^(P321/12)*(T321+IF(Q321=$Z$7,$Z$4,0))</f>
      </c>
      <c r="V321" s="170"/>
      <c r="W321" s="7"/>
      <c r="X321" s="1"/>
      <c r="Y321" s="1"/>
      <c r="Z321" s="1"/>
      <c r="AA321" s="1"/>
      <c r="AB321" s="1"/>
      <c r="AC321" s="331">
        <v>314</v>
      </c>
      <c r="AD321" s="544">
        <f>+DATE(YEAR(AD320),MONTH(AD320)-1,DAY(AD320))</f>
        <v>25569.041666666668</v>
      </c>
      <c r="AE321" s="341">
        <f>IF($AM$7=$E321,1,IF(MONTH($E321)=1,AE322*(1+$F$5),AE322))</f>
      </c>
      <c r="AF321" s="334">
        <f>AE321*$B$8/12</f>
      </c>
      <c r="AG321" s="334">
        <f>AE321*$B$12/12</f>
      </c>
      <c r="AH321" s="565">
        <f>(1+$AI$5)^(AC321/12)*(AG321+IF(AD321=$AM$7,$AM$4,0))</f>
      </c>
      <c r="AI321" s="170"/>
      <c r="AJ321" s="7"/>
      <c r="AK321" s="1"/>
      <c r="AL321" s="1"/>
      <c r="AM321" s="1"/>
    </row>
    <row x14ac:dyDescent="0.25" r="322" customHeight="1" ht="18.75">
      <c r="A322" s="1"/>
      <c r="B322" s="169"/>
      <c r="C322" s="170"/>
      <c r="D322" s="331">
        <v>315</v>
      </c>
      <c r="E322" s="544">
        <f>+DATE(YEAR(E321),MONTH(E321)-1,DAY(E321))</f>
        <v>25569.041666666668</v>
      </c>
      <c r="F322" s="333">
        <f>IF($C$6=$E322,1,IF(MONTH($E322)=1,F323*(1+$F$5),F323))</f>
      </c>
      <c r="G322" s="333">
        <f>F322*$B$8/12</f>
      </c>
      <c r="H322" s="333">
        <f>IF(F322=1,F322*$B$10/MIN(12,'Simulador - 3º Pilar'!$E$88),0)</f>
      </c>
      <c r="I322" s="560">
        <f>(1+$G$5)^(D322/12)*(H322+IF(E322=$N$7,$N$4,0))</f>
      </c>
      <c r="J322" s="561">
        <f>(1+$G$5)^(D322/12)*(H322*(12-IF(MONTH(E323)=12,0,MONTH(E323)))+IF(AND(F322=1,F323=0),$Q$4,0))*IF(AND(F322=1,F323=0),1,0)</f>
      </c>
      <c r="K322" s="217">
        <f>(1+$G$5)^(D322/12)*(IF(E322=$N$7,$N$4,0)+IF(E322=$C$6,$B$10,0))</f>
      </c>
      <c r="L322" s="217">
        <f>(1+$G$5)^(D322/12)*(IF((E322)&gt;($B$6),H322,0)+IF(E322=$N$7,$N$4,0)+IF(E322=$C$6,0,0))</f>
      </c>
      <c r="M322" s="1"/>
      <c r="N322" s="7"/>
      <c r="O322" s="1"/>
      <c r="P322" s="331">
        <v>315</v>
      </c>
      <c r="Q322" s="544">
        <f>+DATE(YEAR(Q321),MONTH(Q321)-1,DAY(Q321))</f>
        <v>25569.041666666668</v>
      </c>
      <c r="R322" s="341">
        <f>IF($Z$7=$E322,1,IF(MONTH($E322)=1,R323*(1+$F$5),R323))</f>
      </c>
      <c r="S322" s="334">
        <f>R322*$B$8/12</f>
      </c>
      <c r="T322" s="334">
        <f>R322*$B$11/12</f>
      </c>
      <c r="U322" s="565">
        <f>(1+$V$5)^(P322/12)*(T322+IF(Q322=$Z$7,$Z$4,0))</f>
      </c>
      <c r="V322" s="170"/>
      <c r="W322" s="7"/>
      <c r="X322" s="1"/>
      <c r="Y322" s="1"/>
      <c r="Z322" s="1"/>
      <c r="AA322" s="1"/>
      <c r="AB322" s="1"/>
      <c r="AC322" s="331">
        <v>315</v>
      </c>
      <c r="AD322" s="544">
        <f>+DATE(YEAR(AD321),MONTH(AD321)-1,DAY(AD321))</f>
        <v>25569.041666666668</v>
      </c>
      <c r="AE322" s="341">
        <f>IF($AM$7=$E322,1,IF(MONTH($E322)=1,AE323*(1+$F$5),AE323))</f>
      </c>
      <c r="AF322" s="334">
        <f>AE322*$B$8/12</f>
      </c>
      <c r="AG322" s="334">
        <f>AE322*$B$12/12</f>
      </c>
      <c r="AH322" s="565">
        <f>(1+$AI$5)^(AC322/12)*(AG322+IF(AD322=$AM$7,$AM$4,0))</f>
      </c>
      <c r="AI322" s="170"/>
      <c r="AJ322" s="7"/>
      <c r="AK322" s="1"/>
      <c r="AL322" s="1"/>
      <c r="AM322" s="1"/>
    </row>
    <row x14ac:dyDescent="0.25" r="323" customHeight="1" ht="18.75">
      <c r="A323" s="1"/>
      <c r="B323" s="169"/>
      <c r="C323" s="170"/>
      <c r="D323" s="331">
        <v>316</v>
      </c>
      <c r="E323" s="544">
        <f>+DATE(YEAR(E322),MONTH(E322)-1,DAY(E322))</f>
        <v>25569.041666666668</v>
      </c>
      <c r="F323" s="333">
        <f>IF($C$6=$E323,1,IF(MONTH($E323)=1,F324*(1+$F$5),F324))</f>
      </c>
      <c r="G323" s="333">
        <f>F323*$B$8/12</f>
      </c>
      <c r="H323" s="333">
        <f>IF(F323=1,F323*$B$10/MIN(12,'Simulador - 3º Pilar'!$E$88),0)</f>
      </c>
      <c r="I323" s="560">
        <f>(1+$G$5)^(D323/12)*(H323+IF(E323=$N$7,$N$4,0))</f>
      </c>
      <c r="J323" s="561">
        <f>(1+$G$5)^(D323/12)*(H323*(12-IF(MONTH(E324)=12,0,MONTH(E324)))+IF(AND(F323=1,F324=0),$Q$4,0))*IF(AND(F323=1,F324=0),1,0)</f>
      </c>
      <c r="K323" s="217">
        <f>(1+$G$5)^(D323/12)*(IF(E323=$N$7,$N$4,0)+IF(E323=$C$6,$B$10,0))</f>
      </c>
      <c r="L323" s="217">
        <f>(1+$G$5)^(D323/12)*(IF((E323)&gt;($B$6),H323,0)+IF(E323=$N$7,$N$4,0)+IF(E323=$C$6,0,0))</f>
      </c>
      <c r="M323" s="1"/>
      <c r="N323" s="7"/>
      <c r="O323" s="1"/>
      <c r="P323" s="331">
        <v>316</v>
      </c>
      <c r="Q323" s="544">
        <f>+DATE(YEAR(Q322),MONTH(Q322)-1,DAY(Q322))</f>
        <v>25569.041666666668</v>
      </c>
      <c r="R323" s="341">
        <f>IF($Z$7=$E323,1,IF(MONTH($E323)=1,R324*(1+$F$5),R324))</f>
      </c>
      <c r="S323" s="334">
        <f>R323*$B$8/12</f>
      </c>
      <c r="T323" s="334">
        <f>R323*$B$11/12</f>
      </c>
      <c r="U323" s="565">
        <f>(1+$V$5)^(P323/12)*(T323+IF(Q323=$Z$7,$Z$4,0))</f>
      </c>
      <c r="V323" s="170"/>
      <c r="W323" s="7"/>
      <c r="X323" s="1"/>
      <c r="Y323" s="1"/>
      <c r="Z323" s="1"/>
      <c r="AA323" s="1"/>
      <c r="AB323" s="1"/>
      <c r="AC323" s="331">
        <v>316</v>
      </c>
      <c r="AD323" s="544">
        <f>+DATE(YEAR(AD322),MONTH(AD322)-1,DAY(AD322))</f>
        <v>25569.041666666668</v>
      </c>
      <c r="AE323" s="341">
        <f>IF($AM$7=$E323,1,IF(MONTH($E323)=1,AE324*(1+$F$5),AE324))</f>
      </c>
      <c r="AF323" s="334">
        <f>AE323*$B$8/12</f>
      </c>
      <c r="AG323" s="334">
        <f>AE323*$B$12/12</f>
      </c>
      <c r="AH323" s="565">
        <f>(1+$AI$5)^(AC323/12)*(AG323+IF(AD323=$AM$7,$AM$4,0))</f>
      </c>
      <c r="AI323" s="170"/>
      <c r="AJ323" s="7"/>
      <c r="AK323" s="1"/>
      <c r="AL323" s="1"/>
      <c r="AM323" s="1"/>
    </row>
    <row x14ac:dyDescent="0.25" r="324" customHeight="1" ht="18.75">
      <c r="A324" s="1"/>
      <c r="B324" s="169"/>
      <c r="C324" s="170"/>
      <c r="D324" s="331">
        <v>317</v>
      </c>
      <c r="E324" s="544">
        <f>+DATE(YEAR(E323),MONTH(E323)-1,DAY(E323))</f>
        <v>25569.041666666668</v>
      </c>
      <c r="F324" s="333">
        <f>IF($C$6=$E324,1,IF(MONTH($E324)=1,F325*(1+$F$5),F325))</f>
      </c>
      <c r="G324" s="333">
        <f>F324*$B$8/12</f>
      </c>
      <c r="H324" s="333">
        <f>IF(F324=1,F324*$B$10/MIN(12,'Simulador - 3º Pilar'!$E$88),0)</f>
      </c>
      <c r="I324" s="560">
        <f>(1+$G$5)^(D324/12)*(H324+IF(E324=$N$7,$N$4,0))</f>
      </c>
      <c r="J324" s="561">
        <f>(1+$G$5)^(D324/12)*(H324*(12-IF(MONTH(E325)=12,0,MONTH(E325)))+IF(AND(F324=1,F325=0),$Q$4,0))*IF(AND(F324=1,F325=0),1,0)</f>
      </c>
      <c r="K324" s="217">
        <f>(1+$G$5)^(D324/12)*(IF(E324=$N$7,$N$4,0)+IF(E324=$C$6,$B$10,0))</f>
      </c>
      <c r="L324" s="217">
        <f>(1+$G$5)^(D324/12)*(IF((E324)&gt;($B$6),H324,0)+IF(E324=$N$7,$N$4,0)+IF(E324=$C$6,0,0))</f>
      </c>
      <c r="M324" s="217"/>
      <c r="N324" s="7"/>
      <c r="O324" s="1"/>
      <c r="P324" s="331">
        <v>317</v>
      </c>
      <c r="Q324" s="544">
        <f>+DATE(YEAR(Q323),MONTH(Q323)-1,DAY(Q323))</f>
        <v>25569.041666666668</v>
      </c>
      <c r="R324" s="341">
        <f>IF($Z$7=$E324,1,IF(MONTH($E324)=1,R325*(1+$F$5),R325))</f>
      </c>
      <c r="S324" s="334">
        <f>R324*$B$8/12</f>
      </c>
      <c r="T324" s="334">
        <f>R324*$B$11/12</f>
      </c>
      <c r="U324" s="565">
        <f>(1+$V$5)^(P324/12)*(T324+IF(Q324=$Z$7,$Z$4,0))</f>
      </c>
      <c r="V324" s="170"/>
      <c r="W324" s="7"/>
      <c r="X324" s="1"/>
      <c r="Y324" s="1"/>
      <c r="Z324" s="1"/>
      <c r="AA324" s="1"/>
      <c r="AB324" s="1"/>
      <c r="AC324" s="331">
        <v>317</v>
      </c>
      <c r="AD324" s="544">
        <f>+DATE(YEAR(AD323),MONTH(AD323)-1,DAY(AD323))</f>
        <v>25569.041666666668</v>
      </c>
      <c r="AE324" s="341">
        <f>IF($AM$7=$E324,1,IF(MONTH($E324)=1,AE325*(1+$F$5),AE325))</f>
      </c>
      <c r="AF324" s="334">
        <f>AE324*$B$8/12</f>
      </c>
      <c r="AG324" s="334">
        <f>AE324*$B$12/12</f>
      </c>
      <c r="AH324" s="565">
        <f>(1+$AI$5)^(AC324/12)*(AG324+IF(AD324=$AM$7,$AM$4,0))</f>
      </c>
      <c r="AI324" s="170"/>
      <c r="AJ324" s="7"/>
      <c r="AK324" s="1"/>
      <c r="AL324" s="1"/>
      <c r="AM324" s="1"/>
    </row>
    <row x14ac:dyDescent="0.25" r="325" customHeight="1" ht="18.75">
      <c r="A325" s="1"/>
      <c r="B325" s="169"/>
      <c r="C325" s="170"/>
      <c r="D325" s="331">
        <v>318</v>
      </c>
      <c r="E325" s="544">
        <f>+DATE(YEAR(E324),MONTH(E324)-1,DAY(E324))</f>
        <v>25569.041666666668</v>
      </c>
      <c r="F325" s="333">
        <f>IF($C$6=$E325,1,IF(MONTH($E325)=1,F326*(1+$F$5),F326))</f>
      </c>
      <c r="G325" s="333">
        <f>F325*$B$8/12</f>
      </c>
      <c r="H325" s="333">
        <f>IF(F325=1,F325*$B$10/MIN(12,'Simulador - 3º Pilar'!$E$88),0)</f>
      </c>
      <c r="I325" s="560">
        <f>(1+$G$5)^(D325/12)*(H325+IF(E325=$N$7,$N$4,0))</f>
      </c>
      <c r="J325" s="561">
        <f>(1+$G$5)^(D325/12)*(H325*(12-IF(MONTH(E326)=12,0,MONTH(E326)))+IF(AND(F325=1,F326=0),$Q$4,0))*IF(AND(F325=1,F326=0),1,0)</f>
      </c>
      <c r="K325" s="217">
        <f>(1+$G$5)^(D325/12)*(IF(E325=$N$7,$N$4,0)+IF(E325=$C$6,$B$10,0))</f>
      </c>
      <c r="L325" s="217">
        <f>(1+$G$5)^(D325/12)*(IF((E325)&gt;($B$6),H325,0)+IF(E325=$N$7,$N$4,0)+IF(E325=$C$6,0,0))</f>
      </c>
      <c r="M325" s="1"/>
      <c r="N325" s="7"/>
      <c r="O325" s="1"/>
      <c r="P325" s="331">
        <v>318</v>
      </c>
      <c r="Q325" s="544">
        <f>+DATE(YEAR(Q324),MONTH(Q324)-1,DAY(Q324))</f>
        <v>25569.041666666668</v>
      </c>
      <c r="R325" s="341">
        <f>IF($Z$7=$E325,1,IF(MONTH($E325)=1,R326*(1+$F$5),R326))</f>
      </c>
      <c r="S325" s="334">
        <f>R325*$B$8/12</f>
      </c>
      <c r="T325" s="334">
        <f>R325*$B$11/12</f>
      </c>
      <c r="U325" s="565">
        <f>(1+$V$5)^(P325/12)*(T325+IF(Q325=$Z$7,$Z$4,0))</f>
      </c>
      <c r="V325" s="170"/>
      <c r="W325" s="7"/>
      <c r="X325" s="1"/>
      <c r="Y325" s="1"/>
      <c r="Z325" s="1"/>
      <c r="AA325" s="1"/>
      <c r="AB325" s="1"/>
      <c r="AC325" s="331">
        <v>318</v>
      </c>
      <c r="AD325" s="544">
        <f>+DATE(YEAR(AD324),MONTH(AD324)-1,DAY(AD324))</f>
        <v>25569.041666666668</v>
      </c>
      <c r="AE325" s="341">
        <f>IF($AM$7=$E325,1,IF(MONTH($E325)=1,AE326*(1+$F$5),AE326))</f>
      </c>
      <c r="AF325" s="334">
        <f>AE325*$B$8/12</f>
      </c>
      <c r="AG325" s="334">
        <f>AE325*$B$12/12</f>
      </c>
      <c r="AH325" s="565">
        <f>(1+$AI$5)^(AC325/12)*(AG325+IF(AD325=$AM$7,$AM$4,0))</f>
      </c>
      <c r="AI325" s="170"/>
      <c r="AJ325" s="7"/>
      <c r="AK325" s="1"/>
      <c r="AL325" s="1"/>
      <c r="AM325" s="1"/>
    </row>
    <row x14ac:dyDescent="0.25" r="326" customHeight="1" ht="18.75">
      <c r="A326" s="1"/>
      <c r="B326" s="169"/>
      <c r="C326" s="170"/>
      <c r="D326" s="331">
        <v>319</v>
      </c>
      <c r="E326" s="544">
        <f>+DATE(YEAR(E325),MONTH(E325)-1,DAY(E325))</f>
        <v>25569.041666666668</v>
      </c>
      <c r="F326" s="333">
        <f>IF($C$6=$E326,1,IF(MONTH($E326)=1,F327*(1+$F$5),F327))</f>
      </c>
      <c r="G326" s="333">
        <f>F326*$B$8/12</f>
      </c>
      <c r="H326" s="333">
        <f>IF(F326=1,F326*$B$10/MIN(12,'Simulador - 3º Pilar'!$E$88),0)</f>
      </c>
      <c r="I326" s="560">
        <f>(1+$G$5)^(D326/12)*(H326+IF(E326=$N$7,$N$4,0))</f>
      </c>
      <c r="J326" s="561">
        <f>(1+$G$5)^(D326/12)*(H326*(12-IF(MONTH(E327)=12,0,MONTH(E327)))+IF(AND(F326=1,F327=0),$Q$4,0))*IF(AND(F326=1,F327=0),1,0)</f>
      </c>
      <c r="K326" s="217">
        <f>(1+$G$5)^(D326/12)*(IF(E326=$N$7,$N$4,0)+IF(E326=$C$6,$B$10,0))</f>
      </c>
      <c r="L326" s="217">
        <f>(1+$G$5)^(D326/12)*(IF((E326)&gt;($B$6),H326,0)+IF(E326=$N$7,$N$4,0)+IF(E326=$C$6,0,0))</f>
      </c>
      <c r="M326" s="1"/>
      <c r="N326" s="7"/>
      <c r="O326" s="1"/>
      <c r="P326" s="331">
        <v>319</v>
      </c>
      <c r="Q326" s="544">
        <f>+DATE(YEAR(Q325),MONTH(Q325)-1,DAY(Q325))</f>
        <v>25569.041666666668</v>
      </c>
      <c r="R326" s="341">
        <f>IF($Z$7=$E326,1,IF(MONTH($E326)=1,R327*(1+$F$5),R327))</f>
      </c>
      <c r="S326" s="334">
        <f>R326*$B$8/12</f>
      </c>
      <c r="T326" s="334">
        <f>R326*$B$11/12</f>
      </c>
      <c r="U326" s="565">
        <f>(1+$V$5)^(P326/12)*(T326+IF(Q326=$Z$7,$Z$4,0))</f>
      </c>
      <c r="V326" s="170"/>
      <c r="W326" s="7"/>
      <c r="X326" s="1"/>
      <c r="Y326" s="1"/>
      <c r="Z326" s="1"/>
      <c r="AA326" s="1"/>
      <c r="AB326" s="1"/>
      <c r="AC326" s="331">
        <v>319</v>
      </c>
      <c r="AD326" s="544">
        <f>+DATE(YEAR(AD325),MONTH(AD325)-1,DAY(AD325))</f>
        <v>25569.041666666668</v>
      </c>
      <c r="AE326" s="341">
        <f>IF($AM$7=$E326,1,IF(MONTH($E326)=1,AE327*(1+$F$5),AE327))</f>
      </c>
      <c r="AF326" s="334">
        <f>AE326*$B$8/12</f>
      </c>
      <c r="AG326" s="334">
        <f>AE326*$B$12/12</f>
      </c>
      <c r="AH326" s="565">
        <f>(1+$AI$5)^(AC326/12)*(AG326+IF(AD326=$AM$7,$AM$4,0))</f>
      </c>
      <c r="AI326" s="170"/>
      <c r="AJ326" s="7"/>
      <c r="AK326" s="1"/>
      <c r="AL326" s="1"/>
      <c r="AM326" s="1"/>
    </row>
    <row x14ac:dyDescent="0.25" r="327" customHeight="1" ht="18.75">
      <c r="A327" s="1"/>
      <c r="B327" s="169"/>
      <c r="C327" s="170"/>
      <c r="D327" s="331">
        <v>320</v>
      </c>
      <c r="E327" s="544">
        <f>+DATE(YEAR(E326),MONTH(E326)-1,DAY(E326))</f>
        <v>25569.041666666668</v>
      </c>
      <c r="F327" s="333">
        <f>IF($C$6=$E327,1,IF(MONTH($E327)=1,F328*(1+$F$5),F328))</f>
      </c>
      <c r="G327" s="333">
        <f>F327*$B$8/12</f>
      </c>
      <c r="H327" s="333">
        <f>IF(F327=1,F327*$B$10/MIN(12,'Simulador - 3º Pilar'!$E$88),0)</f>
      </c>
      <c r="I327" s="560">
        <f>(1+$G$5)^(D327/12)*(H327+IF(E327=$N$7,$N$4,0))</f>
      </c>
      <c r="J327" s="561">
        <f>(1+$G$5)^(D327/12)*(H327*(12-IF(MONTH(E328)=12,0,MONTH(E328)))+IF(AND(F327=1,F328=0),$Q$4,0))*IF(AND(F327=1,F328=0),1,0)</f>
      </c>
      <c r="K327" s="217">
        <f>(1+$G$5)^(D327/12)*(IF(E327=$N$7,$N$4,0)+IF(E327=$C$6,$B$10,0))</f>
      </c>
      <c r="L327" s="217">
        <f>(1+$G$5)^(D327/12)*(IF((E327)&gt;($B$6),H327,0)+IF(E327=$N$7,$N$4,0)+IF(E327=$C$6,0,0))</f>
      </c>
      <c r="M327" s="1"/>
      <c r="N327" s="7"/>
      <c r="O327" s="1"/>
      <c r="P327" s="331">
        <v>320</v>
      </c>
      <c r="Q327" s="544">
        <f>+DATE(YEAR(Q326),MONTH(Q326)-1,DAY(Q326))</f>
        <v>25569.041666666668</v>
      </c>
      <c r="R327" s="341">
        <f>IF($Z$7=$E327,1,IF(MONTH($E327)=1,R328*(1+$F$5),R328))</f>
      </c>
      <c r="S327" s="334">
        <f>R327*$B$8/12</f>
      </c>
      <c r="T327" s="334">
        <f>R327*$B$11/12</f>
      </c>
      <c r="U327" s="565">
        <f>(1+$V$5)^(P327/12)*(T327+IF(Q327=$Z$7,$Z$4,0))</f>
      </c>
      <c r="V327" s="170"/>
      <c r="W327" s="7"/>
      <c r="X327" s="1"/>
      <c r="Y327" s="1"/>
      <c r="Z327" s="1"/>
      <c r="AA327" s="1"/>
      <c r="AB327" s="1"/>
      <c r="AC327" s="331">
        <v>320</v>
      </c>
      <c r="AD327" s="544">
        <f>+DATE(YEAR(AD326),MONTH(AD326)-1,DAY(AD326))</f>
        <v>25569.041666666668</v>
      </c>
      <c r="AE327" s="341">
        <f>IF($AM$7=$E327,1,IF(MONTH($E327)=1,AE328*(1+$F$5),AE328))</f>
      </c>
      <c r="AF327" s="334">
        <f>AE327*$B$8/12</f>
      </c>
      <c r="AG327" s="334">
        <f>AE327*$B$12/12</f>
      </c>
      <c r="AH327" s="565">
        <f>(1+$AI$5)^(AC327/12)*(AG327+IF(AD327=$AM$7,$AM$4,0))</f>
      </c>
      <c r="AI327" s="170"/>
      <c r="AJ327" s="7"/>
      <c r="AK327" s="1"/>
      <c r="AL327" s="1"/>
      <c r="AM327" s="1"/>
    </row>
    <row x14ac:dyDescent="0.25" r="328" customHeight="1" ht="18.75">
      <c r="A328" s="1"/>
      <c r="B328" s="169"/>
      <c r="C328" s="170"/>
      <c r="D328" s="331">
        <v>321</v>
      </c>
      <c r="E328" s="544">
        <f>+DATE(YEAR(E327),MONTH(E327)-1,DAY(E327))</f>
        <v>25569.041666666668</v>
      </c>
      <c r="F328" s="333">
        <f>IF($C$6=$E328,1,IF(MONTH($E328)=1,F329*(1+$F$5),F329))</f>
      </c>
      <c r="G328" s="333">
        <f>F328*$B$8/12</f>
      </c>
      <c r="H328" s="333">
        <f>IF(F328=1,F328*$B$10/MIN(12,'Simulador - 3º Pilar'!$E$88),0)</f>
      </c>
      <c r="I328" s="560">
        <f>(1+$G$5)^(D328/12)*(H328+IF(E328=$N$7,$N$4,0))</f>
      </c>
      <c r="J328" s="561">
        <f>(1+$G$5)^(D328/12)*(H328*(12-IF(MONTH(E329)=12,0,MONTH(E329)))+IF(AND(F328=1,F329=0),$Q$4,0))*IF(AND(F328=1,F329=0),1,0)</f>
      </c>
      <c r="K328" s="217">
        <f>(1+$G$5)^(D328/12)*(IF(E328=$N$7,$N$4,0)+IF(E328=$C$6,$B$10,0))</f>
      </c>
      <c r="L328" s="217">
        <f>(1+$G$5)^(D328/12)*(IF((E328)&gt;($B$6),H328,0)+IF(E328=$N$7,$N$4,0)+IF(E328=$C$6,0,0))</f>
      </c>
      <c r="M328" s="1"/>
      <c r="N328" s="7"/>
      <c r="O328" s="1"/>
      <c r="P328" s="331">
        <v>321</v>
      </c>
      <c r="Q328" s="544">
        <f>+DATE(YEAR(Q327),MONTH(Q327)-1,DAY(Q327))</f>
        <v>25569.041666666668</v>
      </c>
      <c r="R328" s="341">
        <f>IF($Z$7=$E328,1,IF(MONTH($E328)=1,R329*(1+$F$5),R329))</f>
      </c>
      <c r="S328" s="334">
        <f>R328*$B$8/12</f>
      </c>
      <c r="T328" s="334">
        <f>R328*$B$11/12</f>
      </c>
      <c r="U328" s="565">
        <f>(1+$V$5)^(P328/12)*(T328+IF(Q328=$Z$7,$Z$4,0))</f>
      </c>
      <c r="V328" s="170"/>
      <c r="W328" s="7"/>
      <c r="X328" s="1"/>
      <c r="Y328" s="1"/>
      <c r="Z328" s="1"/>
      <c r="AA328" s="1"/>
      <c r="AB328" s="1"/>
      <c r="AC328" s="331">
        <v>321</v>
      </c>
      <c r="AD328" s="544">
        <f>+DATE(YEAR(AD327),MONTH(AD327)-1,DAY(AD327))</f>
        <v>25569.041666666668</v>
      </c>
      <c r="AE328" s="341">
        <f>IF($AM$7=$E328,1,IF(MONTH($E328)=1,AE329*(1+$F$5),AE329))</f>
      </c>
      <c r="AF328" s="334">
        <f>AE328*$B$8/12</f>
      </c>
      <c r="AG328" s="334">
        <f>AE328*$B$12/12</f>
      </c>
      <c r="AH328" s="565">
        <f>(1+$AI$5)^(AC328/12)*(AG328+IF(AD328=$AM$7,$AM$4,0))</f>
      </c>
      <c r="AI328" s="170"/>
      <c r="AJ328" s="7"/>
      <c r="AK328" s="1"/>
      <c r="AL328" s="1"/>
      <c r="AM328" s="1"/>
    </row>
    <row x14ac:dyDescent="0.25" r="329" customHeight="1" ht="18.75">
      <c r="A329" s="1"/>
      <c r="B329" s="169"/>
      <c r="C329" s="170"/>
      <c r="D329" s="331">
        <v>322</v>
      </c>
      <c r="E329" s="544">
        <f>+DATE(YEAR(E328),MONTH(E328)-1,DAY(E328))</f>
        <v>25569.041666666668</v>
      </c>
      <c r="F329" s="333">
        <f>IF($C$6=$E329,1,IF(MONTH($E329)=1,F330*(1+$F$5),F330))</f>
      </c>
      <c r="G329" s="333">
        <f>F329*$B$8/12</f>
      </c>
      <c r="H329" s="333">
        <f>IF(F329=1,F329*$B$10/MIN(12,'Simulador - 3º Pilar'!$E$88),0)</f>
      </c>
      <c r="I329" s="560">
        <f>(1+$G$5)^(D329/12)*(H329+IF(E329=$N$7,$N$4,0))</f>
      </c>
      <c r="J329" s="561">
        <f>(1+$G$5)^(D329/12)*(H329*(12-IF(MONTH(E330)=12,0,MONTH(E330)))+IF(AND(F329=1,F330=0),$Q$4,0))*IF(AND(F329=1,F330=0),1,0)</f>
      </c>
      <c r="K329" s="217">
        <f>(1+$G$5)^(D329/12)*(IF(E329=$N$7,$N$4,0)+IF(E329=$C$6,$B$10,0))</f>
      </c>
      <c r="L329" s="217">
        <f>(1+$G$5)^(D329/12)*(IF((E329)&gt;($B$6),H329,0)+IF(E329=$N$7,$N$4,0)+IF(E329=$C$6,0,0))</f>
      </c>
      <c r="M329" s="1"/>
      <c r="N329" s="7"/>
      <c r="O329" s="1"/>
      <c r="P329" s="331">
        <v>322</v>
      </c>
      <c r="Q329" s="544">
        <f>+DATE(YEAR(Q328),MONTH(Q328)-1,DAY(Q328))</f>
        <v>25569.041666666668</v>
      </c>
      <c r="R329" s="341">
        <f>IF($Z$7=$E329,1,IF(MONTH($E329)=1,R330*(1+$F$5),R330))</f>
      </c>
      <c r="S329" s="334">
        <f>R329*$B$8/12</f>
      </c>
      <c r="T329" s="334">
        <f>R329*$B$11/12</f>
      </c>
      <c r="U329" s="565">
        <f>(1+$V$5)^(P329/12)*(T329+IF(Q329=$Z$7,$Z$4,0))</f>
      </c>
      <c r="V329" s="170"/>
      <c r="W329" s="7"/>
      <c r="X329" s="1"/>
      <c r="Y329" s="1"/>
      <c r="Z329" s="1"/>
      <c r="AA329" s="1"/>
      <c r="AB329" s="1"/>
      <c r="AC329" s="331">
        <v>322</v>
      </c>
      <c r="AD329" s="544">
        <f>+DATE(YEAR(AD328),MONTH(AD328)-1,DAY(AD328))</f>
        <v>25569.041666666668</v>
      </c>
      <c r="AE329" s="341">
        <f>IF($AM$7=$E329,1,IF(MONTH($E329)=1,AE330*(1+$F$5),AE330))</f>
      </c>
      <c r="AF329" s="334">
        <f>AE329*$B$8/12</f>
      </c>
      <c r="AG329" s="334">
        <f>AE329*$B$12/12</f>
      </c>
      <c r="AH329" s="565">
        <f>(1+$AI$5)^(AC329/12)*(AG329+IF(AD329=$AM$7,$AM$4,0))</f>
      </c>
      <c r="AI329" s="170"/>
      <c r="AJ329" s="7"/>
      <c r="AK329" s="1"/>
      <c r="AL329" s="1"/>
      <c r="AM329" s="1"/>
    </row>
    <row x14ac:dyDescent="0.25" r="330" customHeight="1" ht="18.75">
      <c r="A330" s="1"/>
      <c r="B330" s="169"/>
      <c r="C330" s="170"/>
      <c r="D330" s="331">
        <v>323</v>
      </c>
      <c r="E330" s="544">
        <f>+DATE(YEAR(E329),MONTH(E329)-1,DAY(E329))</f>
        <v>25569.041666666668</v>
      </c>
      <c r="F330" s="333">
        <f>IF($C$6=$E330,1,IF(MONTH($E330)=1,F331*(1+$F$5),F331))</f>
      </c>
      <c r="G330" s="333">
        <f>F330*$B$8/12</f>
      </c>
      <c r="H330" s="333">
        <f>IF(F330=1,F330*$B$10/MIN(12,'Simulador - 3º Pilar'!$E$88),0)</f>
      </c>
      <c r="I330" s="560">
        <f>(1+$G$5)^(D330/12)*(H330+IF(E330=$N$7,$N$4,0))</f>
      </c>
      <c r="J330" s="561">
        <f>(1+$G$5)^(D330/12)*(H330*(12-IF(MONTH(E331)=12,0,MONTH(E331)))+IF(AND(F330=1,F331=0),$Q$4,0))*IF(AND(F330=1,F331=0),1,0)</f>
      </c>
      <c r="K330" s="217">
        <f>(1+$G$5)^(D330/12)*(IF(E330=$N$7,$N$4,0)+IF(E330=$C$6,$B$10,0))</f>
      </c>
      <c r="L330" s="217">
        <f>(1+$G$5)^(D330/12)*(IF((E330)&gt;($B$6),H330,0)+IF(E330=$N$7,$N$4,0)+IF(E330=$C$6,0,0))</f>
      </c>
      <c r="M330" s="1"/>
      <c r="N330" s="7"/>
      <c r="O330" s="1"/>
      <c r="P330" s="331">
        <v>323</v>
      </c>
      <c r="Q330" s="544">
        <f>+DATE(YEAR(Q329),MONTH(Q329)-1,DAY(Q329))</f>
        <v>25569.041666666668</v>
      </c>
      <c r="R330" s="341">
        <f>IF($Z$7=$E330,1,IF(MONTH($E330)=1,R331*(1+$F$5),R331))</f>
      </c>
      <c r="S330" s="334">
        <f>R330*$B$8/12</f>
      </c>
      <c r="T330" s="334">
        <f>R330*$B$11/12</f>
      </c>
      <c r="U330" s="565">
        <f>(1+$V$5)^(P330/12)*(T330+IF(Q330=$Z$7,$Z$4,0))</f>
      </c>
      <c r="V330" s="170"/>
      <c r="W330" s="7"/>
      <c r="X330" s="1"/>
      <c r="Y330" s="1"/>
      <c r="Z330" s="1"/>
      <c r="AA330" s="1"/>
      <c r="AB330" s="1"/>
      <c r="AC330" s="331">
        <v>323</v>
      </c>
      <c r="AD330" s="544">
        <f>+DATE(YEAR(AD329),MONTH(AD329)-1,DAY(AD329))</f>
        <v>25569.041666666668</v>
      </c>
      <c r="AE330" s="341">
        <f>IF($AM$7=$E330,1,IF(MONTH($E330)=1,AE331*(1+$F$5),AE331))</f>
      </c>
      <c r="AF330" s="334">
        <f>AE330*$B$8/12</f>
      </c>
      <c r="AG330" s="334">
        <f>AE330*$B$12/12</f>
      </c>
      <c r="AH330" s="565">
        <f>(1+$AI$5)^(AC330/12)*(AG330+IF(AD330=$AM$7,$AM$4,0))</f>
      </c>
      <c r="AI330" s="170"/>
      <c r="AJ330" s="7"/>
      <c r="AK330" s="1"/>
      <c r="AL330" s="1"/>
      <c r="AM330" s="1"/>
    </row>
    <row x14ac:dyDescent="0.25" r="331" customHeight="1" ht="18.75">
      <c r="A331" s="1"/>
      <c r="B331" s="169"/>
      <c r="C331" s="170"/>
      <c r="D331" s="331">
        <v>324</v>
      </c>
      <c r="E331" s="544">
        <f>+DATE(YEAR(E330),MONTH(E330)-1,DAY(E330))</f>
        <v>25569.041666666668</v>
      </c>
      <c r="F331" s="333">
        <f>IF($C$6=$E331,1,IF(MONTH($E331)=1,F332*(1+$F$5),F332))</f>
      </c>
      <c r="G331" s="333">
        <f>F331*$B$8/12</f>
      </c>
      <c r="H331" s="333">
        <f>IF(F331=1,F331*$B$10/MIN(12,'Simulador - 3º Pilar'!$E$88),0)</f>
      </c>
      <c r="I331" s="560">
        <f>(1+$G$5)^(D331/12)*(H331+IF(E331=$N$7,$N$4,0))</f>
      </c>
      <c r="J331" s="561">
        <f>(1+$G$5)^(D331/12)*(H331*(12-IF(MONTH(E332)=12,0,MONTH(E332)))+IF(AND(F331=1,F332=0),$Q$4,0))*IF(AND(F331=1,F332=0),1,0)</f>
      </c>
      <c r="K331" s="217">
        <f>(1+$G$5)^(D331/12)*(IF(E331=$N$7,$N$4,0)+IF(E331=$C$6,$B$10,0))</f>
      </c>
      <c r="L331" s="217">
        <f>(1+$G$5)^(D331/12)*(IF((E331)&gt;($B$6),H331,0)+IF(E331=$N$7,$N$4,0)+IF(E331=$C$6,0,0))</f>
      </c>
      <c r="M331" s="1"/>
      <c r="N331" s="7"/>
      <c r="O331" s="1"/>
      <c r="P331" s="331">
        <v>324</v>
      </c>
      <c r="Q331" s="544">
        <f>+DATE(YEAR(Q330),MONTH(Q330)-1,DAY(Q330))</f>
        <v>25569.041666666668</v>
      </c>
      <c r="R331" s="341">
        <f>IF($Z$7=$E331,1,IF(MONTH($E331)=1,R332*(1+$F$5),R332))</f>
      </c>
      <c r="S331" s="334">
        <f>R331*$B$8/12</f>
      </c>
      <c r="T331" s="334">
        <f>R331*$B$11/12</f>
      </c>
      <c r="U331" s="565">
        <f>(1+$V$5)^(P331/12)*(T331+IF(Q331=$Z$7,$Z$4,0))</f>
      </c>
      <c r="V331" s="170"/>
      <c r="W331" s="7"/>
      <c r="X331" s="1"/>
      <c r="Y331" s="1"/>
      <c r="Z331" s="1"/>
      <c r="AA331" s="1"/>
      <c r="AB331" s="1"/>
      <c r="AC331" s="331">
        <v>324</v>
      </c>
      <c r="AD331" s="544">
        <f>+DATE(YEAR(AD330),MONTH(AD330)-1,DAY(AD330))</f>
        <v>25569.041666666668</v>
      </c>
      <c r="AE331" s="341">
        <f>IF($AM$7=$E331,1,IF(MONTH($E331)=1,AE332*(1+$F$5),AE332))</f>
      </c>
      <c r="AF331" s="334">
        <f>AE331*$B$8/12</f>
      </c>
      <c r="AG331" s="334">
        <f>AE331*$B$12/12</f>
      </c>
      <c r="AH331" s="565">
        <f>(1+$AI$5)^(AC331/12)*(AG331+IF(AD331=$AM$7,$AM$4,0))</f>
      </c>
      <c r="AI331" s="170"/>
      <c r="AJ331" s="7"/>
      <c r="AK331" s="1"/>
      <c r="AL331" s="1"/>
      <c r="AM331" s="1"/>
    </row>
    <row x14ac:dyDescent="0.25" r="332" customHeight="1" ht="18.75">
      <c r="A332" s="1"/>
      <c r="B332" s="169"/>
      <c r="C332" s="170"/>
      <c r="D332" s="331">
        <v>325</v>
      </c>
      <c r="E332" s="544">
        <f>+DATE(YEAR(E331),MONTH(E331)-1,DAY(E331))</f>
        <v>25569.041666666668</v>
      </c>
      <c r="F332" s="333">
        <f>IF($C$6=$E332,1,IF(MONTH($E332)=1,F333*(1+$F$5),F333))</f>
      </c>
      <c r="G332" s="333">
        <f>F332*$B$8/12</f>
      </c>
      <c r="H332" s="333">
        <f>IF(F332=1,F332*$B$10/MIN(12,'Simulador - 3º Pilar'!$E$88),0)</f>
      </c>
      <c r="I332" s="560">
        <f>(1+$G$5)^(D332/12)*(H332+IF(E332=$N$7,$N$4,0))</f>
      </c>
      <c r="J332" s="561">
        <f>(1+$G$5)^(D332/12)*(H332*(12-IF(MONTH(E333)=12,0,MONTH(E333)))+IF(AND(F332=1,F333=0),$Q$4,0))*IF(AND(F332=1,F333=0),1,0)</f>
      </c>
      <c r="K332" s="217">
        <f>(1+$G$5)^(D332/12)*(IF(E332=$N$7,$N$4,0)+IF(E332=$C$6,$B$10,0))</f>
      </c>
      <c r="L332" s="217">
        <f>(1+$G$5)^(D332/12)*(IF((E332)&gt;($B$6),H332,0)+IF(E332=$N$7,$N$4,0)+IF(E332=$C$6,0,0))</f>
      </c>
      <c r="M332" s="1"/>
      <c r="N332" s="7"/>
      <c r="O332" s="1"/>
      <c r="P332" s="331">
        <v>325</v>
      </c>
      <c r="Q332" s="544">
        <f>+DATE(YEAR(Q331),MONTH(Q331)-1,DAY(Q331))</f>
        <v>25569.041666666668</v>
      </c>
      <c r="R332" s="341">
        <f>IF($Z$7=$E332,1,IF(MONTH($E332)=1,R333*(1+$F$5),R333))</f>
      </c>
      <c r="S332" s="334">
        <f>R332*$B$8/12</f>
      </c>
      <c r="T332" s="334">
        <f>R332*$B$11/12</f>
      </c>
      <c r="U332" s="565">
        <f>(1+$V$5)^(P332/12)*(T332+IF(Q332=$Z$7,$Z$4,0))</f>
      </c>
      <c r="V332" s="170"/>
      <c r="W332" s="7"/>
      <c r="X332" s="1"/>
      <c r="Y332" s="1"/>
      <c r="Z332" s="1"/>
      <c r="AA332" s="1"/>
      <c r="AB332" s="1"/>
      <c r="AC332" s="331">
        <v>325</v>
      </c>
      <c r="AD332" s="544">
        <f>+DATE(YEAR(AD331),MONTH(AD331)-1,DAY(AD331))</f>
        <v>25569.041666666668</v>
      </c>
      <c r="AE332" s="341">
        <f>IF($AM$7=$E332,1,IF(MONTH($E332)=1,AE333*(1+$F$5),AE333))</f>
      </c>
      <c r="AF332" s="334">
        <f>AE332*$B$8/12</f>
      </c>
      <c r="AG332" s="334">
        <f>AE332*$B$12/12</f>
      </c>
      <c r="AH332" s="565">
        <f>(1+$AI$5)^(AC332/12)*(AG332+IF(AD332=$AM$7,$AM$4,0))</f>
      </c>
      <c r="AI332" s="170"/>
      <c r="AJ332" s="7"/>
      <c r="AK332" s="1"/>
      <c r="AL332" s="1"/>
      <c r="AM332" s="1"/>
    </row>
    <row x14ac:dyDescent="0.25" r="333" customHeight="1" ht="18.75">
      <c r="A333" s="1"/>
      <c r="B333" s="169"/>
      <c r="C333" s="170"/>
      <c r="D333" s="331">
        <v>326</v>
      </c>
      <c r="E333" s="544">
        <f>+DATE(YEAR(E332),MONTH(E332)-1,DAY(E332))</f>
        <v>25569.041666666668</v>
      </c>
      <c r="F333" s="333">
        <f>IF($C$6=$E333,1,IF(MONTH($E333)=1,F334*(1+$F$5),F334))</f>
      </c>
      <c r="G333" s="333">
        <f>F333*$B$8/12</f>
      </c>
      <c r="H333" s="333">
        <f>IF(F333=1,F333*$B$10/MIN(12,'Simulador - 3º Pilar'!$E$88),0)</f>
      </c>
      <c r="I333" s="560">
        <f>(1+$G$5)^(D333/12)*(H333+IF(E333=$N$7,$N$4,0))</f>
      </c>
      <c r="J333" s="561">
        <f>(1+$G$5)^(D333/12)*(H333*(12-IF(MONTH(E334)=12,0,MONTH(E334)))+IF(AND(F333=1,F334=0),$Q$4,0))*IF(AND(F333=1,F334=0),1,0)</f>
      </c>
      <c r="K333" s="217">
        <f>(1+$G$5)^(D333/12)*(IF(E333=$N$7,$N$4,0)+IF(E333=$C$6,$B$10,0))</f>
      </c>
      <c r="L333" s="217">
        <f>(1+$G$5)^(D333/12)*(IF((E333)&gt;($B$6),H333,0)+IF(E333=$N$7,$N$4,0)+IF(E333=$C$6,0,0))</f>
      </c>
      <c r="M333" s="1"/>
      <c r="N333" s="7"/>
      <c r="O333" s="1"/>
      <c r="P333" s="331">
        <v>326</v>
      </c>
      <c r="Q333" s="544">
        <f>+DATE(YEAR(Q332),MONTH(Q332)-1,DAY(Q332))</f>
        <v>25569.041666666668</v>
      </c>
      <c r="R333" s="341">
        <f>IF($Z$7=$E333,1,IF(MONTH($E333)=1,R334*(1+$F$5),R334))</f>
      </c>
      <c r="S333" s="334">
        <f>R333*$B$8/12</f>
      </c>
      <c r="T333" s="334">
        <f>R333*$B$11/12</f>
      </c>
      <c r="U333" s="565">
        <f>(1+$V$5)^(P333/12)*(T333+IF(Q333=$Z$7,$Z$4,0))</f>
      </c>
      <c r="V333" s="170"/>
      <c r="W333" s="7"/>
      <c r="X333" s="1"/>
      <c r="Y333" s="1"/>
      <c r="Z333" s="1"/>
      <c r="AA333" s="1"/>
      <c r="AB333" s="1"/>
      <c r="AC333" s="331">
        <v>326</v>
      </c>
      <c r="AD333" s="544">
        <f>+DATE(YEAR(AD332),MONTH(AD332)-1,DAY(AD332))</f>
        <v>25569.041666666668</v>
      </c>
      <c r="AE333" s="341">
        <f>IF($AM$7=$E333,1,IF(MONTH($E333)=1,AE334*(1+$F$5),AE334))</f>
      </c>
      <c r="AF333" s="334">
        <f>AE333*$B$8/12</f>
      </c>
      <c r="AG333" s="334">
        <f>AE333*$B$12/12</f>
      </c>
      <c r="AH333" s="565">
        <f>(1+$AI$5)^(AC333/12)*(AG333+IF(AD333=$AM$7,$AM$4,0))</f>
      </c>
      <c r="AI333" s="170"/>
      <c r="AJ333" s="7"/>
      <c r="AK333" s="1"/>
      <c r="AL333" s="1"/>
      <c r="AM333" s="1"/>
    </row>
    <row x14ac:dyDescent="0.25" r="334" customHeight="1" ht="18.75">
      <c r="A334" s="1"/>
      <c r="B334" s="169"/>
      <c r="C334" s="170"/>
      <c r="D334" s="331">
        <v>327</v>
      </c>
      <c r="E334" s="544">
        <f>+DATE(YEAR(E333),MONTH(E333)-1,DAY(E333))</f>
        <v>25569.041666666668</v>
      </c>
      <c r="F334" s="333">
        <f>IF($C$6=$E334,1,IF(MONTH($E334)=1,F335*(1+$F$5),F335))</f>
      </c>
      <c r="G334" s="333">
        <f>F334*$B$8/12</f>
      </c>
      <c r="H334" s="333">
        <f>IF(F334=1,F334*$B$10/MIN(12,'Simulador - 3º Pilar'!$E$88),0)</f>
      </c>
      <c r="I334" s="560">
        <f>(1+$G$5)^(D334/12)*(H334+IF(E334=$N$7,$N$4,0))</f>
      </c>
      <c r="J334" s="561">
        <f>(1+$G$5)^(D334/12)*(H334*(12-IF(MONTH(E335)=12,0,MONTH(E335)))+IF(AND(F334=1,F335=0),$Q$4,0))*IF(AND(F334=1,F335=0),1,0)</f>
      </c>
      <c r="K334" s="217">
        <f>(1+$G$5)^(D334/12)*(IF(E334=$N$7,$N$4,0)+IF(E334=$C$6,$B$10,0))</f>
      </c>
      <c r="L334" s="217">
        <f>(1+$G$5)^(D334/12)*(IF((E334)&gt;($B$6),H334,0)+IF(E334=$N$7,$N$4,0)+IF(E334=$C$6,0,0))</f>
      </c>
      <c r="M334" s="1"/>
      <c r="N334" s="7"/>
      <c r="O334" s="1"/>
      <c r="P334" s="331">
        <v>327</v>
      </c>
      <c r="Q334" s="544">
        <f>+DATE(YEAR(Q333),MONTH(Q333)-1,DAY(Q333))</f>
        <v>25569.041666666668</v>
      </c>
      <c r="R334" s="341">
        <f>IF($Z$7=$E334,1,IF(MONTH($E334)=1,R335*(1+$F$5),R335))</f>
      </c>
      <c r="S334" s="334">
        <f>R334*$B$8/12</f>
      </c>
      <c r="T334" s="334">
        <f>R334*$B$11/12</f>
      </c>
      <c r="U334" s="565">
        <f>(1+$V$5)^(P334/12)*(T334+IF(Q334=$Z$7,$Z$4,0))</f>
      </c>
      <c r="V334" s="170"/>
      <c r="W334" s="7"/>
      <c r="X334" s="1"/>
      <c r="Y334" s="1"/>
      <c r="Z334" s="1"/>
      <c r="AA334" s="1"/>
      <c r="AB334" s="1"/>
      <c r="AC334" s="331">
        <v>327</v>
      </c>
      <c r="AD334" s="544">
        <f>+DATE(YEAR(AD333),MONTH(AD333)-1,DAY(AD333))</f>
        <v>25569.041666666668</v>
      </c>
      <c r="AE334" s="341">
        <f>IF($AM$7=$E334,1,IF(MONTH($E334)=1,AE335*(1+$F$5),AE335))</f>
      </c>
      <c r="AF334" s="334">
        <f>AE334*$B$8/12</f>
      </c>
      <c r="AG334" s="334">
        <f>AE334*$B$12/12</f>
      </c>
      <c r="AH334" s="565">
        <f>(1+$AI$5)^(AC334/12)*(AG334+IF(AD334=$AM$7,$AM$4,0))</f>
      </c>
      <c r="AI334" s="170"/>
      <c r="AJ334" s="7"/>
      <c r="AK334" s="1"/>
      <c r="AL334" s="1"/>
      <c r="AM334" s="1"/>
    </row>
    <row x14ac:dyDescent="0.25" r="335" customHeight="1" ht="18.75">
      <c r="A335" s="1"/>
      <c r="B335" s="169"/>
      <c r="C335" s="170"/>
      <c r="D335" s="331">
        <v>328</v>
      </c>
      <c r="E335" s="544">
        <f>+DATE(YEAR(E334),MONTH(E334)-1,DAY(E334))</f>
        <v>25569.041666666668</v>
      </c>
      <c r="F335" s="333">
        <f>IF($C$6=$E335,1,IF(MONTH($E335)=1,F336*(1+$F$5),F336))</f>
      </c>
      <c r="G335" s="333">
        <f>F335*$B$8/12</f>
      </c>
      <c r="H335" s="333">
        <f>IF(F335=1,F335*$B$10/MIN(12,'Simulador - 3º Pilar'!$E$88),0)</f>
      </c>
      <c r="I335" s="560">
        <f>(1+$G$5)^(D335/12)*(H335+IF(E335=$N$7,$N$4,0))</f>
      </c>
      <c r="J335" s="561">
        <f>(1+$G$5)^(D335/12)*(H335*(12-IF(MONTH(E336)=12,0,MONTH(E336)))+IF(AND(F335=1,F336=0),$Q$4,0))*IF(AND(F335=1,F336=0),1,0)</f>
      </c>
      <c r="K335" s="217">
        <f>(1+$G$5)^(D335/12)*(IF(E335=$N$7,$N$4,0)+IF(E335=$C$6,$B$10,0))</f>
      </c>
      <c r="L335" s="217">
        <f>(1+$G$5)^(D335/12)*(IF((E335)&gt;($B$6),H335,0)+IF(E335=$N$7,$N$4,0)+IF(E335=$C$6,0,0))</f>
      </c>
      <c r="M335" s="1"/>
      <c r="N335" s="7"/>
      <c r="O335" s="1"/>
      <c r="P335" s="331">
        <v>328</v>
      </c>
      <c r="Q335" s="544">
        <f>+DATE(YEAR(Q334),MONTH(Q334)-1,DAY(Q334))</f>
        <v>25569.041666666668</v>
      </c>
      <c r="R335" s="341">
        <f>IF($Z$7=$E335,1,IF(MONTH($E335)=1,R336*(1+$F$5),R336))</f>
      </c>
      <c r="S335" s="334">
        <f>R335*$B$8/12</f>
      </c>
      <c r="T335" s="334">
        <f>R335*$B$11/12</f>
      </c>
      <c r="U335" s="565">
        <f>(1+$V$5)^(P335/12)*(T335+IF(Q335=$Z$7,$Z$4,0))</f>
      </c>
      <c r="V335" s="170"/>
      <c r="W335" s="7"/>
      <c r="X335" s="1"/>
      <c r="Y335" s="1"/>
      <c r="Z335" s="1"/>
      <c r="AA335" s="1"/>
      <c r="AB335" s="1"/>
      <c r="AC335" s="331">
        <v>328</v>
      </c>
      <c r="AD335" s="544">
        <f>+DATE(YEAR(AD334),MONTH(AD334)-1,DAY(AD334))</f>
        <v>25569.041666666668</v>
      </c>
      <c r="AE335" s="341">
        <f>IF($AM$7=$E335,1,IF(MONTH($E335)=1,AE336*(1+$F$5),AE336))</f>
      </c>
      <c r="AF335" s="334">
        <f>AE335*$B$8/12</f>
      </c>
      <c r="AG335" s="334">
        <f>AE335*$B$12/12</f>
      </c>
      <c r="AH335" s="565">
        <f>(1+$AI$5)^(AC335/12)*(AG335+IF(AD335=$AM$7,$AM$4,0))</f>
      </c>
      <c r="AI335" s="170"/>
      <c r="AJ335" s="7"/>
      <c r="AK335" s="1"/>
      <c r="AL335" s="1"/>
      <c r="AM335" s="1"/>
    </row>
    <row x14ac:dyDescent="0.25" r="336" customHeight="1" ht="18.75">
      <c r="A336" s="1"/>
      <c r="B336" s="169"/>
      <c r="C336" s="170"/>
      <c r="D336" s="331">
        <v>329</v>
      </c>
      <c r="E336" s="544">
        <f>+DATE(YEAR(E335),MONTH(E335)-1,DAY(E335))</f>
        <v>25569.041666666668</v>
      </c>
      <c r="F336" s="333">
        <f>IF($C$6=$E336,1,IF(MONTH($E336)=1,F337*(1+$F$5),F337))</f>
      </c>
      <c r="G336" s="333">
        <f>F336*$B$8/12</f>
      </c>
      <c r="H336" s="333">
        <f>IF(F336=1,F336*$B$10/MIN(12,'Simulador - 3º Pilar'!$E$88),0)</f>
      </c>
      <c r="I336" s="560">
        <f>(1+$G$5)^(D336/12)*(H336+IF(E336=$N$7,$N$4,0))</f>
      </c>
      <c r="J336" s="561">
        <f>(1+$G$5)^(D336/12)*(H336*(12-IF(MONTH(E337)=12,0,MONTH(E337)))+IF(AND(F336=1,F337=0),$Q$4,0))*IF(AND(F336=1,F337=0),1,0)</f>
      </c>
      <c r="K336" s="217">
        <f>(1+$G$5)^(D336/12)*(IF(E336=$N$7,$N$4,0)+IF(E336=$C$6,$B$10,0))</f>
      </c>
      <c r="L336" s="217">
        <f>(1+$G$5)^(D336/12)*(IF((E336)&gt;($B$6),H336,0)+IF(E336=$N$7,$N$4,0)+IF(E336=$C$6,0,0))</f>
      </c>
      <c r="M336" s="1"/>
      <c r="N336" s="7"/>
      <c r="O336" s="1"/>
      <c r="P336" s="331">
        <v>329</v>
      </c>
      <c r="Q336" s="544">
        <f>+DATE(YEAR(Q335),MONTH(Q335)-1,DAY(Q335))</f>
        <v>25569.041666666668</v>
      </c>
      <c r="R336" s="341">
        <f>IF($Z$7=$E336,1,IF(MONTH($E336)=1,R337*(1+$F$5),R337))</f>
      </c>
      <c r="S336" s="334">
        <f>R336*$B$8/12</f>
      </c>
      <c r="T336" s="334">
        <f>R336*$B$11/12</f>
      </c>
      <c r="U336" s="565">
        <f>(1+$V$5)^(P336/12)*(T336+IF(Q336=$Z$7,$Z$4,0))</f>
      </c>
      <c r="V336" s="170"/>
      <c r="W336" s="7"/>
      <c r="X336" s="1"/>
      <c r="Y336" s="1"/>
      <c r="Z336" s="1"/>
      <c r="AA336" s="1"/>
      <c r="AB336" s="1"/>
      <c r="AC336" s="331">
        <v>329</v>
      </c>
      <c r="AD336" s="544">
        <f>+DATE(YEAR(AD335),MONTH(AD335)-1,DAY(AD335))</f>
        <v>25569.041666666668</v>
      </c>
      <c r="AE336" s="341">
        <f>IF($AM$7=$E336,1,IF(MONTH($E336)=1,AE337*(1+$F$5),AE337))</f>
      </c>
      <c r="AF336" s="334">
        <f>AE336*$B$8/12</f>
      </c>
      <c r="AG336" s="334">
        <f>AE336*$B$12/12</f>
      </c>
      <c r="AH336" s="565">
        <f>(1+$AI$5)^(AC336/12)*(AG336+IF(AD336=$AM$7,$AM$4,0))</f>
      </c>
      <c r="AI336" s="170"/>
      <c r="AJ336" s="7"/>
      <c r="AK336" s="1"/>
      <c r="AL336" s="1"/>
      <c r="AM336" s="1"/>
    </row>
    <row x14ac:dyDescent="0.25" r="337" customHeight="1" ht="18.75">
      <c r="A337" s="1"/>
      <c r="B337" s="169"/>
      <c r="C337" s="170"/>
      <c r="D337" s="331">
        <v>330</v>
      </c>
      <c r="E337" s="544">
        <f>+DATE(YEAR(E336),MONTH(E336)-1,DAY(E336))</f>
        <v>25569.041666666668</v>
      </c>
      <c r="F337" s="333">
        <f>IF($C$6=$E337,1,IF(MONTH($E337)=1,F338*(1+$F$5),F338))</f>
      </c>
      <c r="G337" s="333">
        <f>F337*$B$8/12</f>
      </c>
      <c r="H337" s="333">
        <f>IF(F337=1,F337*$B$10/MIN(12,'Simulador - 3º Pilar'!$E$88),0)</f>
      </c>
      <c r="I337" s="560">
        <f>(1+$G$5)^(D337/12)*(H337+IF(E337=$N$7,$N$4,0))</f>
      </c>
      <c r="J337" s="561">
        <f>(1+$G$5)^(D337/12)*(H337*(12-IF(MONTH(E338)=12,0,MONTH(E338)))+IF(AND(F337=1,F338=0),$Q$4,0))*IF(AND(F337=1,F338=0),1,0)</f>
      </c>
      <c r="K337" s="217">
        <f>(1+$G$5)^(D337/12)*(IF(E337=$N$7,$N$4,0)+IF(E337=$C$6,$B$10,0))</f>
      </c>
      <c r="L337" s="217">
        <f>(1+$G$5)^(D337/12)*(IF((E337)&gt;($B$6),H337,0)+IF(E337=$N$7,$N$4,0)+IF(E337=$C$6,0,0))</f>
      </c>
      <c r="M337" s="1"/>
      <c r="N337" s="7"/>
      <c r="O337" s="1"/>
      <c r="P337" s="331">
        <v>330</v>
      </c>
      <c r="Q337" s="544">
        <f>+DATE(YEAR(Q336),MONTH(Q336)-1,DAY(Q336))</f>
        <v>25569.041666666668</v>
      </c>
      <c r="R337" s="341">
        <f>IF($Z$7=$E337,1,IF(MONTH($E337)=1,R338*(1+$F$5),R338))</f>
      </c>
      <c r="S337" s="334">
        <f>R337*$B$8/12</f>
      </c>
      <c r="T337" s="334">
        <f>R337*$B$11/12</f>
      </c>
      <c r="U337" s="565">
        <f>(1+$V$5)^(P337/12)*(T337+IF(Q337=$Z$7,$Z$4,0))</f>
      </c>
      <c r="V337" s="170"/>
      <c r="W337" s="7"/>
      <c r="X337" s="1"/>
      <c r="Y337" s="1"/>
      <c r="Z337" s="1"/>
      <c r="AA337" s="1"/>
      <c r="AB337" s="1"/>
      <c r="AC337" s="331">
        <v>330</v>
      </c>
      <c r="AD337" s="544">
        <f>+DATE(YEAR(AD336),MONTH(AD336)-1,DAY(AD336))</f>
        <v>25569.041666666668</v>
      </c>
      <c r="AE337" s="341">
        <f>IF($AM$7=$E337,1,IF(MONTH($E337)=1,AE338*(1+$F$5),AE338))</f>
      </c>
      <c r="AF337" s="334">
        <f>AE337*$B$8/12</f>
      </c>
      <c r="AG337" s="334">
        <f>AE337*$B$12/12</f>
      </c>
      <c r="AH337" s="565">
        <f>(1+$AI$5)^(AC337/12)*(AG337+IF(AD337=$AM$7,$AM$4,0))</f>
      </c>
      <c r="AI337" s="170"/>
      <c r="AJ337" s="7"/>
      <c r="AK337" s="1"/>
      <c r="AL337" s="1"/>
      <c r="AM337" s="1"/>
    </row>
    <row x14ac:dyDescent="0.25" r="338" customHeight="1" ht="18.75">
      <c r="A338" s="1"/>
      <c r="B338" s="169"/>
      <c r="C338" s="170"/>
      <c r="D338" s="331">
        <v>331</v>
      </c>
      <c r="E338" s="544">
        <f>+DATE(YEAR(E337),MONTH(E337)-1,DAY(E337))</f>
        <v>25569.041666666668</v>
      </c>
      <c r="F338" s="333">
        <f>IF($C$6=$E338,1,IF(MONTH($E338)=1,F339*(1+$F$5),F339))</f>
      </c>
      <c r="G338" s="333">
        <f>F338*$B$8/12</f>
      </c>
      <c r="H338" s="333">
        <f>IF(F338=1,F338*$B$10/MIN(12,'Simulador - 3º Pilar'!$E$88),0)</f>
      </c>
      <c r="I338" s="560">
        <f>(1+$G$5)^(D338/12)*(H338+IF(E338=$N$7,$N$4,0))</f>
      </c>
      <c r="J338" s="561">
        <f>(1+$G$5)^(D338/12)*(H338*(12-IF(MONTH(E339)=12,0,MONTH(E339)))+IF(AND(F338=1,F339=0),$Q$4,0))*IF(AND(F338=1,F339=0),1,0)</f>
      </c>
      <c r="K338" s="217">
        <f>(1+$G$5)^(D338/12)*(IF(E338=$N$7,$N$4,0)+IF(E338=$C$6,$B$10,0))</f>
      </c>
      <c r="L338" s="217">
        <f>(1+$G$5)^(D338/12)*(IF((E338)&gt;($B$6),H338,0)+IF(E338=$N$7,$N$4,0)+IF(E338=$C$6,0,0))</f>
      </c>
      <c r="M338" s="1"/>
      <c r="N338" s="7"/>
      <c r="O338" s="1"/>
      <c r="P338" s="331">
        <v>331</v>
      </c>
      <c r="Q338" s="544">
        <f>+DATE(YEAR(Q337),MONTH(Q337)-1,DAY(Q337))</f>
        <v>25569.041666666668</v>
      </c>
      <c r="R338" s="341">
        <f>IF($Z$7=$E338,1,IF(MONTH($E338)=1,R339*(1+$F$5),R339))</f>
      </c>
      <c r="S338" s="334">
        <f>R338*$B$8/12</f>
      </c>
      <c r="T338" s="334">
        <f>R338*$B$11/12</f>
      </c>
      <c r="U338" s="565">
        <f>(1+$V$5)^(P338/12)*(T338+IF(Q338=$Z$7,$Z$4,0))</f>
      </c>
      <c r="V338" s="170"/>
      <c r="W338" s="7"/>
      <c r="X338" s="1"/>
      <c r="Y338" s="1"/>
      <c r="Z338" s="1"/>
      <c r="AA338" s="1"/>
      <c r="AB338" s="1"/>
      <c r="AC338" s="331">
        <v>331</v>
      </c>
      <c r="AD338" s="544">
        <f>+DATE(YEAR(AD337),MONTH(AD337)-1,DAY(AD337))</f>
        <v>25569.041666666668</v>
      </c>
      <c r="AE338" s="341">
        <f>IF($AM$7=$E338,1,IF(MONTH($E338)=1,AE339*(1+$F$5),AE339))</f>
      </c>
      <c r="AF338" s="334">
        <f>AE338*$B$8/12</f>
      </c>
      <c r="AG338" s="334">
        <f>AE338*$B$12/12</f>
      </c>
      <c r="AH338" s="565">
        <f>(1+$AI$5)^(AC338/12)*(AG338+IF(AD338=$AM$7,$AM$4,0))</f>
      </c>
      <c r="AI338" s="170"/>
      <c r="AJ338" s="7"/>
      <c r="AK338" s="1"/>
      <c r="AL338" s="1"/>
      <c r="AM338" s="1"/>
    </row>
    <row x14ac:dyDescent="0.25" r="339" customHeight="1" ht="18.75">
      <c r="A339" s="1"/>
      <c r="B339" s="169"/>
      <c r="C339" s="170"/>
      <c r="D339" s="331">
        <v>332</v>
      </c>
      <c r="E339" s="544">
        <f>+DATE(YEAR(E338),MONTH(E338)-1,DAY(E338))</f>
        <v>25569.041666666668</v>
      </c>
      <c r="F339" s="333">
        <f>IF($C$6=$E339,1,IF(MONTH($E339)=1,F340*(1+$F$5),F340))</f>
      </c>
      <c r="G339" s="333">
        <f>F339*$B$8/12</f>
      </c>
      <c r="H339" s="333">
        <f>IF(F339=1,F339*$B$10/MIN(12,'Simulador - 3º Pilar'!$E$88),0)</f>
      </c>
      <c r="I339" s="560">
        <f>(1+$G$5)^(D339/12)*(H339+IF(E339=$N$7,$N$4,0))</f>
      </c>
      <c r="J339" s="561">
        <f>(1+$G$5)^(D339/12)*(H339*(12-IF(MONTH(E340)=12,0,MONTH(E340)))+IF(AND(F339=1,F340=0),$Q$4,0))*IF(AND(F339=1,F340=0),1,0)</f>
      </c>
      <c r="K339" s="217">
        <f>(1+$G$5)^(D339/12)*(IF(E339=$N$7,$N$4,0)+IF(E339=$C$6,$B$10,0))</f>
      </c>
      <c r="L339" s="217">
        <f>(1+$G$5)^(D339/12)*(IF((E339)&gt;($B$6),H339,0)+IF(E339=$N$7,$N$4,0)+IF(E339=$C$6,0,0))</f>
      </c>
      <c r="M339" s="1"/>
      <c r="N339" s="7"/>
      <c r="O339" s="1"/>
      <c r="P339" s="331">
        <v>332</v>
      </c>
      <c r="Q339" s="544">
        <f>+DATE(YEAR(Q338),MONTH(Q338)-1,DAY(Q338))</f>
        <v>25569.041666666668</v>
      </c>
      <c r="R339" s="341">
        <f>IF($Z$7=$E339,1,IF(MONTH($E339)=1,R340*(1+$F$5),R340))</f>
      </c>
      <c r="S339" s="334">
        <f>R339*$B$8/12</f>
      </c>
      <c r="T339" s="334">
        <f>R339*$B$11/12</f>
      </c>
      <c r="U339" s="565">
        <f>(1+$V$5)^(P339/12)*(T339+IF(Q339=$Z$7,$Z$4,0))</f>
      </c>
      <c r="V339" s="170"/>
      <c r="W339" s="7"/>
      <c r="X339" s="1"/>
      <c r="Y339" s="1"/>
      <c r="Z339" s="1"/>
      <c r="AA339" s="1"/>
      <c r="AB339" s="1"/>
      <c r="AC339" s="331">
        <v>332</v>
      </c>
      <c r="AD339" s="544">
        <f>+DATE(YEAR(AD338),MONTH(AD338)-1,DAY(AD338))</f>
        <v>25569.041666666668</v>
      </c>
      <c r="AE339" s="341">
        <f>IF($AM$7=$E339,1,IF(MONTH($E339)=1,AE340*(1+$F$5),AE340))</f>
      </c>
      <c r="AF339" s="334">
        <f>AE339*$B$8/12</f>
      </c>
      <c r="AG339" s="334">
        <f>AE339*$B$12/12</f>
      </c>
      <c r="AH339" s="565">
        <f>(1+$AI$5)^(AC339/12)*(AG339+IF(AD339=$AM$7,$AM$4,0))</f>
      </c>
      <c r="AI339" s="170"/>
      <c r="AJ339" s="7"/>
      <c r="AK339" s="1"/>
      <c r="AL339" s="1"/>
      <c r="AM339" s="1"/>
    </row>
    <row x14ac:dyDescent="0.25" r="340" customHeight="1" ht="18.75">
      <c r="A340" s="1"/>
      <c r="B340" s="169"/>
      <c r="C340" s="170"/>
      <c r="D340" s="331">
        <v>333</v>
      </c>
      <c r="E340" s="544">
        <f>+DATE(YEAR(E339),MONTH(E339)-1,DAY(E339))</f>
        <v>25569.041666666668</v>
      </c>
      <c r="F340" s="333">
        <f>IF($C$6=$E340,1,IF(MONTH($E340)=1,F341*(1+$F$5),F341))</f>
      </c>
      <c r="G340" s="333">
        <f>F340*$B$8/12</f>
      </c>
      <c r="H340" s="333">
        <f>IF(F340=1,F340*$B$10/MIN(12,'Simulador - 3º Pilar'!$E$88),0)</f>
      </c>
      <c r="I340" s="560">
        <f>(1+$G$5)^(D340/12)*(H340+IF(E340=$N$7,$N$4,0))</f>
      </c>
      <c r="J340" s="561">
        <f>(1+$G$5)^(D340/12)*(H340*(12-IF(MONTH(E341)=12,0,MONTH(E341)))+IF(AND(F340=1,F341=0),$Q$4,0))*IF(AND(F340=1,F341=0),1,0)</f>
      </c>
      <c r="K340" s="217">
        <f>(1+$G$5)^(D340/12)*(IF(E340=$N$7,$N$4,0)+IF(E340=$C$6,$B$10,0))</f>
      </c>
      <c r="L340" s="217">
        <f>(1+$G$5)^(D340/12)*(IF((E340)&gt;($B$6),H340,0)+IF(E340=$N$7,$N$4,0)+IF(E340=$C$6,0,0))</f>
      </c>
      <c r="M340" s="1"/>
      <c r="N340" s="7"/>
      <c r="O340" s="1"/>
      <c r="P340" s="331">
        <v>333</v>
      </c>
      <c r="Q340" s="544">
        <f>+DATE(YEAR(Q339),MONTH(Q339)-1,DAY(Q339))</f>
        <v>25569.041666666668</v>
      </c>
      <c r="R340" s="341">
        <f>IF($Z$7=$E340,1,IF(MONTH($E340)=1,R341*(1+$F$5),R341))</f>
      </c>
      <c r="S340" s="334">
        <f>R340*$B$8/12</f>
      </c>
      <c r="T340" s="334">
        <f>R340*$B$11/12</f>
      </c>
      <c r="U340" s="565">
        <f>(1+$V$5)^(P340/12)*(T340+IF(Q340=$Z$7,$Z$4,0))</f>
      </c>
      <c r="V340" s="170"/>
      <c r="W340" s="7"/>
      <c r="X340" s="1"/>
      <c r="Y340" s="1"/>
      <c r="Z340" s="1"/>
      <c r="AA340" s="1"/>
      <c r="AB340" s="1"/>
      <c r="AC340" s="331">
        <v>333</v>
      </c>
      <c r="AD340" s="544">
        <f>+DATE(YEAR(AD339),MONTH(AD339)-1,DAY(AD339))</f>
        <v>25569.041666666668</v>
      </c>
      <c r="AE340" s="341">
        <f>IF($AM$7=$E340,1,IF(MONTH($E340)=1,AE341*(1+$F$5),AE341))</f>
      </c>
      <c r="AF340" s="334">
        <f>AE340*$B$8/12</f>
      </c>
      <c r="AG340" s="334">
        <f>AE340*$B$12/12</f>
      </c>
      <c r="AH340" s="565">
        <f>(1+$AI$5)^(AC340/12)*(AG340+IF(AD340=$AM$7,$AM$4,0))</f>
      </c>
      <c r="AI340" s="170"/>
      <c r="AJ340" s="7"/>
      <c r="AK340" s="1"/>
      <c r="AL340" s="1"/>
      <c r="AM340" s="1"/>
    </row>
    <row x14ac:dyDescent="0.25" r="341" customHeight="1" ht="18.75">
      <c r="A341" s="1"/>
      <c r="B341" s="169"/>
      <c r="C341" s="170"/>
      <c r="D341" s="331">
        <v>334</v>
      </c>
      <c r="E341" s="544">
        <f>+DATE(YEAR(E340),MONTH(E340)-1,DAY(E340))</f>
        <v>25569.041666666668</v>
      </c>
      <c r="F341" s="333">
        <f>IF($C$6=$E341,1,IF(MONTH($E341)=1,F342*(1+$F$5),F342))</f>
      </c>
      <c r="G341" s="333">
        <f>F341*$B$8/12</f>
      </c>
      <c r="H341" s="333">
        <f>IF(F341=1,F341*$B$10/MIN(12,'Simulador - 3º Pilar'!$E$88),0)</f>
      </c>
      <c r="I341" s="560">
        <f>(1+$G$5)^(D341/12)*(H341+IF(E341=$N$7,$N$4,0))</f>
      </c>
      <c r="J341" s="561">
        <f>(1+$G$5)^(D341/12)*(H341*(12-IF(MONTH(E342)=12,0,MONTH(E342)))+IF(AND(F341=1,F342=0),$Q$4,0))*IF(AND(F341=1,F342=0),1,0)</f>
      </c>
      <c r="K341" s="217">
        <f>(1+$G$5)^(D341/12)*(IF(E341=$N$7,$N$4,0)+IF(E341=$C$6,$B$10,0))</f>
      </c>
      <c r="L341" s="217">
        <f>(1+$G$5)^(D341/12)*(IF((E341)&gt;($B$6),H341,0)+IF(E341=$N$7,$N$4,0)+IF(E341=$C$6,0,0))</f>
      </c>
      <c r="M341" s="1"/>
      <c r="N341" s="7"/>
      <c r="O341" s="1"/>
      <c r="P341" s="331">
        <v>334</v>
      </c>
      <c r="Q341" s="544">
        <f>+DATE(YEAR(Q340),MONTH(Q340)-1,DAY(Q340))</f>
        <v>25569.041666666668</v>
      </c>
      <c r="R341" s="341">
        <f>IF($Z$7=$E341,1,IF(MONTH($E341)=1,R342*(1+$F$5),R342))</f>
      </c>
      <c r="S341" s="334">
        <f>R341*$B$8/12</f>
      </c>
      <c r="T341" s="334">
        <f>R341*$B$11/12</f>
      </c>
      <c r="U341" s="565">
        <f>(1+$V$5)^(P341/12)*(T341+IF(Q341=$Z$7,$Z$4,0))</f>
      </c>
      <c r="V341" s="170"/>
      <c r="W341" s="7"/>
      <c r="X341" s="1"/>
      <c r="Y341" s="1"/>
      <c r="Z341" s="1"/>
      <c r="AA341" s="1"/>
      <c r="AB341" s="1"/>
      <c r="AC341" s="331">
        <v>334</v>
      </c>
      <c r="AD341" s="544">
        <f>+DATE(YEAR(AD340),MONTH(AD340)-1,DAY(AD340))</f>
        <v>25569.041666666668</v>
      </c>
      <c r="AE341" s="341">
        <f>IF($AM$7=$E341,1,IF(MONTH($E341)=1,AE342*(1+$F$5),AE342))</f>
      </c>
      <c r="AF341" s="334">
        <f>AE341*$B$8/12</f>
      </c>
      <c r="AG341" s="334">
        <f>AE341*$B$12/12</f>
      </c>
      <c r="AH341" s="565">
        <f>(1+$AI$5)^(AC341/12)*(AG341+IF(AD341=$AM$7,$AM$4,0))</f>
      </c>
      <c r="AI341" s="170"/>
      <c r="AJ341" s="7"/>
      <c r="AK341" s="1"/>
      <c r="AL341" s="1"/>
      <c r="AM341" s="1"/>
    </row>
    <row x14ac:dyDescent="0.25" r="342" customHeight="1" ht="18.75">
      <c r="A342" s="1"/>
      <c r="B342" s="169"/>
      <c r="C342" s="170"/>
      <c r="D342" s="331">
        <v>335</v>
      </c>
      <c r="E342" s="544">
        <f>+DATE(YEAR(E341),MONTH(E341)-1,DAY(E341))</f>
        <v>25569.041666666668</v>
      </c>
      <c r="F342" s="333">
        <f>IF($C$6=$E342,1,IF(MONTH($E342)=1,F343*(1+$F$5),F343))</f>
      </c>
      <c r="G342" s="333">
        <f>F342*$B$8/12</f>
      </c>
      <c r="H342" s="333">
        <f>IF(F342=1,F342*$B$10/MIN(12,'Simulador - 3º Pilar'!$E$88),0)</f>
      </c>
      <c r="I342" s="560">
        <f>(1+$G$5)^(D342/12)*(H342+IF(E342=$N$7,$N$4,0))</f>
      </c>
      <c r="J342" s="561">
        <f>(1+$G$5)^(D342/12)*(H342*(12-IF(MONTH(E343)=12,0,MONTH(E343)))+IF(AND(F342=1,F343=0),$Q$4,0))*IF(AND(F342=1,F343=0),1,0)</f>
      </c>
      <c r="K342" s="217">
        <f>(1+$G$5)^(D342/12)*(IF(E342=$N$7,$N$4,0)+IF(E342=$C$6,$B$10,0))</f>
      </c>
      <c r="L342" s="217">
        <f>(1+$G$5)^(D342/12)*(IF((E342)&gt;($B$6),H342,0)+IF(E342=$N$7,$N$4,0)+IF(E342=$C$6,0,0))</f>
      </c>
      <c r="M342" s="1"/>
      <c r="N342" s="7"/>
      <c r="O342" s="1"/>
      <c r="P342" s="331">
        <v>335</v>
      </c>
      <c r="Q342" s="544">
        <f>+DATE(YEAR(Q341),MONTH(Q341)-1,DAY(Q341))</f>
        <v>25569.041666666668</v>
      </c>
      <c r="R342" s="341">
        <f>IF($Z$7=$E342,1,IF(MONTH($E342)=1,R343*(1+$F$5),R343))</f>
      </c>
      <c r="S342" s="334">
        <f>R342*$B$8/12</f>
      </c>
      <c r="T342" s="334">
        <f>R342*$B$11/12</f>
      </c>
      <c r="U342" s="565">
        <f>(1+$V$5)^(P342/12)*(T342+IF(Q342=$Z$7,$Z$4,0))</f>
      </c>
      <c r="V342" s="170"/>
      <c r="W342" s="7"/>
      <c r="X342" s="1"/>
      <c r="Y342" s="1"/>
      <c r="Z342" s="1"/>
      <c r="AA342" s="1"/>
      <c r="AB342" s="1"/>
      <c r="AC342" s="331">
        <v>335</v>
      </c>
      <c r="AD342" s="544">
        <f>+DATE(YEAR(AD341),MONTH(AD341)-1,DAY(AD341))</f>
        <v>25569.041666666668</v>
      </c>
      <c r="AE342" s="341">
        <f>IF($AM$7=$E342,1,IF(MONTH($E342)=1,AE343*(1+$F$5),AE343))</f>
      </c>
      <c r="AF342" s="334">
        <f>AE342*$B$8/12</f>
      </c>
      <c r="AG342" s="334">
        <f>AE342*$B$12/12</f>
      </c>
      <c r="AH342" s="565">
        <f>(1+$AI$5)^(AC342/12)*(AG342+IF(AD342=$AM$7,$AM$4,0))</f>
      </c>
      <c r="AI342" s="170"/>
      <c r="AJ342" s="7"/>
      <c r="AK342" s="1"/>
      <c r="AL342" s="1"/>
      <c r="AM342" s="1"/>
    </row>
    <row x14ac:dyDescent="0.25" r="343" customHeight="1" ht="18.75">
      <c r="A343" s="1"/>
      <c r="B343" s="169"/>
      <c r="C343" s="170"/>
      <c r="D343" s="331">
        <v>336</v>
      </c>
      <c r="E343" s="544">
        <f>+DATE(YEAR(E342),MONTH(E342)-1,DAY(E342))</f>
        <v>25569.041666666668</v>
      </c>
      <c r="F343" s="333">
        <f>IF($C$6=$E343,1,IF(MONTH($E343)=1,F344*(1+$F$5),F344))</f>
      </c>
      <c r="G343" s="333">
        <f>F343*$B$8/12</f>
      </c>
      <c r="H343" s="333">
        <f>IF(F343=1,F343*$B$10/MIN(12,'Simulador - 3º Pilar'!$E$88),0)</f>
      </c>
      <c r="I343" s="560">
        <f>(1+$G$5)^(D343/12)*(H343+IF(E343=$N$7,$N$4,0))</f>
      </c>
      <c r="J343" s="561">
        <f>(1+$G$5)^(D343/12)*(H343*(12-IF(MONTH(E344)=12,0,MONTH(E344)))+IF(AND(F343=1,F344=0),$Q$4,0))*IF(AND(F343=1,F344=0),1,0)</f>
      </c>
      <c r="K343" s="217">
        <f>(1+$G$5)^(D343/12)*(IF(E343=$N$7,$N$4,0)+IF(E343=$C$6,$B$10,0))</f>
      </c>
      <c r="L343" s="217">
        <f>(1+$G$5)^(D343/12)*(IF((E343)&gt;($B$6),H343,0)+IF(E343=$N$7,$N$4,0)+IF(E343=$C$6,0,0))</f>
      </c>
      <c r="M343" s="1"/>
      <c r="N343" s="7"/>
      <c r="O343" s="1"/>
      <c r="P343" s="331">
        <v>336</v>
      </c>
      <c r="Q343" s="544">
        <f>+DATE(YEAR(Q342),MONTH(Q342)-1,DAY(Q342))</f>
        <v>25569.041666666668</v>
      </c>
      <c r="R343" s="341">
        <f>IF($Z$7=$E343,1,IF(MONTH($E343)=1,R344*(1+$F$5),R344))</f>
      </c>
      <c r="S343" s="334">
        <f>R343*$B$8/12</f>
      </c>
      <c r="T343" s="334">
        <f>R343*$B$11/12</f>
      </c>
      <c r="U343" s="565">
        <f>(1+$V$5)^(P343/12)*(T343+IF(Q343=$Z$7,$Z$4,0))</f>
      </c>
      <c r="V343" s="170"/>
      <c r="W343" s="7"/>
      <c r="X343" s="1"/>
      <c r="Y343" s="1"/>
      <c r="Z343" s="1"/>
      <c r="AA343" s="1"/>
      <c r="AB343" s="1"/>
      <c r="AC343" s="331">
        <v>336</v>
      </c>
      <c r="AD343" s="544">
        <f>+DATE(YEAR(AD342),MONTH(AD342)-1,DAY(AD342))</f>
        <v>25569.041666666668</v>
      </c>
      <c r="AE343" s="341">
        <f>IF($AM$7=$E343,1,IF(MONTH($E343)=1,AE344*(1+$F$5),AE344))</f>
      </c>
      <c r="AF343" s="334">
        <f>AE343*$B$8/12</f>
      </c>
      <c r="AG343" s="334">
        <f>AE343*$B$12/12</f>
      </c>
      <c r="AH343" s="565">
        <f>(1+$AI$5)^(AC343/12)*(AG343+IF(AD343=$AM$7,$AM$4,0))</f>
      </c>
      <c r="AI343" s="170"/>
      <c r="AJ343" s="7"/>
      <c r="AK343" s="1"/>
      <c r="AL343" s="1"/>
      <c r="AM343" s="1"/>
    </row>
    <row x14ac:dyDescent="0.25" r="344" customHeight="1" ht="18.75">
      <c r="A344" s="1"/>
      <c r="B344" s="169"/>
      <c r="C344" s="170"/>
      <c r="D344" s="331">
        <v>337</v>
      </c>
      <c r="E344" s="544">
        <f>+DATE(YEAR(E343),MONTH(E343)-1,DAY(E343))</f>
        <v>25569.041666666668</v>
      </c>
      <c r="F344" s="333">
        <f>IF($C$6=$E344,1,IF(MONTH($E344)=1,F345*(1+$F$5),F345))</f>
      </c>
      <c r="G344" s="333">
        <f>F344*$B$8/12</f>
      </c>
      <c r="H344" s="333">
        <f>IF(F344=1,F344*$B$10/MIN(12,'Simulador - 3º Pilar'!$E$88),0)</f>
      </c>
      <c r="I344" s="560">
        <f>(1+$G$5)^(D344/12)*(H344+IF(E344=$N$7,$N$4,0))</f>
      </c>
      <c r="J344" s="561">
        <f>(1+$G$5)^(D344/12)*(H344*(12-IF(MONTH(E345)=12,0,MONTH(E345)))+IF(AND(F344=1,F345=0),$Q$4,0))*IF(AND(F344=1,F345=0),1,0)</f>
      </c>
      <c r="K344" s="217">
        <f>(1+$G$5)^(D344/12)*(IF(E344=$N$7,$N$4,0)+IF(E344=$C$6,$B$10,0))</f>
      </c>
      <c r="L344" s="217">
        <f>(1+$G$5)^(D344/12)*(IF((E344)&gt;($B$6),H344,0)+IF(E344=$N$7,$N$4,0)+IF(E344=$C$6,0,0))</f>
      </c>
      <c r="M344" s="1"/>
      <c r="N344" s="7"/>
      <c r="O344" s="1"/>
      <c r="P344" s="331">
        <v>337</v>
      </c>
      <c r="Q344" s="544">
        <f>+DATE(YEAR(Q343),MONTH(Q343)-1,DAY(Q343))</f>
        <v>25569.041666666668</v>
      </c>
      <c r="R344" s="341">
        <f>IF($Z$7=$E344,1,IF(MONTH($E344)=1,R345*(1+$F$5),R345))</f>
      </c>
      <c r="S344" s="334">
        <f>R344*$B$8/12</f>
      </c>
      <c r="T344" s="334">
        <f>R344*$B$11/12</f>
      </c>
      <c r="U344" s="565">
        <f>(1+$V$5)^(P344/12)*(T344+IF(Q344=$Z$7,$Z$4,0))</f>
      </c>
      <c r="V344" s="170"/>
      <c r="W344" s="7"/>
      <c r="X344" s="1"/>
      <c r="Y344" s="1"/>
      <c r="Z344" s="1"/>
      <c r="AA344" s="1"/>
      <c r="AB344" s="1"/>
      <c r="AC344" s="331">
        <v>337</v>
      </c>
      <c r="AD344" s="544">
        <f>+DATE(YEAR(AD343),MONTH(AD343)-1,DAY(AD343))</f>
        <v>25569.041666666668</v>
      </c>
      <c r="AE344" s="341">
        <f>IF($AM$7=$E344,1,IF(MONTH($E344)=1,AE345*(1+$F$5),AE345))</f>
      </c>
      <c r="AF344" s="334">
        <f>AE344*$B$8/12</f>
      </c>
      <c r="AG344" s="334">
        <f>AE344*$B$12/12</f>
      </c>
      <c r="AH344" s="565">
        <f>(1+$AI$5)^(AC344/12)*(AG344+IF(AD344=$AM$7,$AM$4,0))</f>
      </c>
      <c r="AI344" s="170"/>
      <c r="AJ344" s="7"/>
      <c r="AK344" s="1"/>
      <c r="AL344" s="1"/>
      <c r="AM344" s="1"/>
    </row>
    <row x14ac:dyDescent="0.25" r="345" customHeight="1" ht="18.75">
      <c r="A345" s="1"/>
      <c r="B345" s="169"/>
      <c r="C345" s="170"/>
      <c r="D345" s="331">
        <v>338</v>
      </c>
      <c r="E345" s="544">
        <f>+DATE(YEAR(E344),MONTH(E344)-1,DAY(E344))</f>
        <v>25569.041666666668</v>
      </c>
      <c r="F345" s="333">
        <f>IF($C$6=$E345,1,IF(MONTH($E345)=1,F346*(1+$F$5),F346))</f>
      </c>
      <c r="G345" s="333">
        <f>F345*$B$8/12</f>
      </c>
      <c r="H345" s="333">
        <f>IF(F345=1,F345*$B$10/MIN(12,'Simulador - 3º Pilar'!$E$88),0)</f>
      </c>
      <c r="I345" s="560">
        <f>(1+$G$5)^(D345/12)*(H345+IF(E345=$N$7,$N$4,0))</f>
      </c>
      <c r="J345" s="561">
        <f>(1+$G$5)^(D345/12)*(H345*(12-IF(MONTH(E346)=12,0,MONTH(E346)))+IF(AND(F345=1,F346=0),$Q$4,0))*IF(AND(F345=1,F346=0),1,0)</f>
      </c>
      <c r="K345" s="217">
        <f>(1+$G$5)^(D345/12)*(IF(E345=$N$7,$N$4,0)+IF(E345=$C$6,$B$10,0))</f>
      </c>
      <c r="L345" s="217">
        <f>(1+$G$5)^(D345/12)*(IF((E345)&gt;($B$6),H345,0)+IF(E345=$N$7,$N$4,0)+IF(E345=$C$6,0,0))</f>
      </c>
      <c r="M345" s="1"/>
      <c r="N345" s="7"/>
      <c r="O345" s="1"/>
      <c r="P345" s="331">
        <v>338</v>
      </c>
      <c r="Q345" s="544">
        <f>+DATE(YEAR(Q344),MONTH(Q344)-1,DAY(Q344))</f>
        <v>25569.041666666668</v>
      </c>
      <c r="R345" s="341">
        <f>IF($Z$7=$E345,1,IF(MONTH($E345)=1,R346*(1+$F$5),R346))</f>
      </c>
      <c r="S345" s="334">
        <f>R345*$B$8/12</f>
      </c>
      <c r="T345" s="334">
        <f>R345*$B$11/12</f>
      </c>
      <c r="U345" s="565">
        <f>(1+$V$5)^(P345/12)*(T345+IF(Q345=$Z$7,$Z$4,0))</f>
      </c>
      <c r="V345" s="170"/>
      <c r="W345" s="7"/>
      <c r="X345" s="1"/>
      <c r="Y345" s="1"/>
      <c r="Z345" s="1"/>
      <c r="AA345" s="1"/>
      <c r="AB345" s="1"/>
      <c r="AC345" s="331">
        <v>338</v>
      </c>
      <c r="AD345" s="544">
        <f>+DATE(YEAR(AD344),MONTH(AD344)-1,DAY(AD344))</f>
        <v>25569.041666666668</v>
      </c>
      <c r="AE345" s="341">
        <f>IF($AM$7=$E345,1,IF(MONTH($E345)=1,AE346*(1+$F$5),AE346))</f>
      </c>
      <c r="AF345" s="334">
        <f>AE345*$B$8/12</f>
      </c>
      <c r="AG345" s="334">
        <f>AE345*$B$12/12</f>
      </c>
      <c r="AH345" s="565">
        <f>(1+$AI$5)^(AC345/12)*(AG345+IF(AD345=$AM$7,$AM$4,0))</f>
      </c>
      <c r="AI345" s="170"/>
      <c r="AJ345" s="7"/>
      <c r="AK345" s="1"/>
      <c r="AL345" s="1"/>
      <c r="AM345" s="1"/>
    </row>
    <row x14ac:dyDescent="0.25" r="346" customHeight="1" ht="18.75">
      <c r="A346" s="1"/>
      <c r="B346" s="169"/>
      <c r="C346" s="170"/>
      <c r="D346" s="331">
        <v>339</v>
      </c>
      <c r="E346" s="544">
        <f>+DATE(YEAR(E345),MONTH(E345)-1,DAY(E345))</f>
        <v>25569.041666666668</v>
      </c>
      <c r="F346" s="333">
        <f>IF($C$6=$E346,1,IF(MONTH($E346)=1,F347*(1+$F$5),F347))</f>
      </c>
      <c r="G346" s="333">
        <f>F346*$B$8/12</f>
      </c>
      <c r="H346" s="333">
        <f>IF(F346=1,F346*$B$10/MIN(12,'Simulador - 3º Pilar'!$E$88),0)</f>
      </c>
      <c r="I346" s="560">
        <f>(1+$G$5)^(D346/12)*(H346+IF(E346=$N$7,$N$4,0))</f>
      </c>
      <c r="J346" s="561">
        <f>(1+$G$5)^(D346/12)*(H346*(12-IF(MONTH(E347)=12,0,MONTH(E347)))+IF(AND(F346=1,F347=0),$Q$4,0))*IF(AND(F346=1,F347=0),1,0)</f>
      </c>
      <c r="K346" s="217">
        <f>(1+$G$5)^(D346/12)*(IF(E346=$N$7,$N$4,0)+IF(E346=$C$6,$B$10,0))</f>
      </c>
      <c r="L346" s="217">
        <f>(1+$G$5)^(D346/12)*(IF((E346)&gt;($B$6),H346,0)+IF(E346=$N$7,$N$4,0)+IF(E346=$C$6,0,0))</f>
      </c>
      <c r="M346" s="1"/>
      <c r="N346" s="7"/>
      <c r="O346" s="1"/>
      <c r="P346" s="331">
        <v>339</v>
      </c>
      <c r="Q346" s="544">
        <f>+DATE(YEAR(Q345),MONTH(Q345)-1,DAY(Q345))</f>
        <v>25569.041666666668</v>
      </c>
      <c r="R346" s="341">
        <f>IF($Z$7=$E346,1,IF(MONTH($E346)=1,R347*(1+$F$5),R347))</f>
      </c>
      <c r="S346" s="334">
        <f>R346*$B$8/12</f>
      </c>
      <c r="T346" s="334">
        <f>R346*$B$11/12</f>
      </c>
      <c r="U346" s="565">
        <f>(1+$V$5)^(P346/12)*(T346+IF(Q346=$Z$7,$Z$4,0))</f>
      </c>
      <c r="V346" s="170"/>
      <c r="W346" s="7"/>
      <c r="X346" s="1"/>
      <c r="Y346" s="1"/>
      <c r="Z346" s="1"/>
      <c r="AA346" s="1"/>
      <c r="AB346" s="1"/>
      <c r="AC346" s="331">
        <v>339</v>
      </c>
      <c r="AD346" s="544">
        <f>+DATE(YEAR(AD345),MONTH(AD345)-1,DAY(AD345))</f>
        <v>25569.041666666668</v>
      </c>
      <c r="AE346" s="341">
        <f>IF($AM$7=$E346,1,IF(MONTH($E346)=1,AE347*(1+$F$5),AE347))</f>
      </c>
      <c r="AF346" s="334">
        <f>AE346*$B$8/12</f>
      </c>
      <c r="AG346" s="334">
        <f>AE346*$B$12/12</f>
      </c>
      <c r="AH346" s="565">
        <f>(1+$AI$5)^(AC346/12)*(AG346+IF(AD346=$AM$7,$AM$4,0))</f>
      </c>
      <c r="AI346" s="170"/>
      <c r="AJ346" s="7"/>
      <c r="AK346" s="1"/>
      <c r="AL346" s="1"/>
      <c r="AM346" s="1"/>
    </row>
    <row x14ac:dyDescent="0.25" r="347" customHeight="1" ht="18.75">
      <c r="A347" s="1"/>
      <c r="B347" s="169"/>
      <c r="C347" s="170"/>
      <c r="D347" s="331">
        <v>340</v>
      </c>
      <c r="E347" s="544">
        <f>+DATE(YEAR(E346),MONTH(E346)-1,DAY(E346))</f>
        <v>25569.041666666668</v>
      </c>
      <c r="F347" s="333">
        <f>IF($C$6=$E347,1,IF(MONTH($E347)=1,F348*(1+$F$5),F348))</f>
      </c>
      <c r="G347" s="333">
        <f>F347*$B$8/12</f>
      </c>
      <c r="H347" s="333">
        <f>IF(F347=1,F347*$B$10/MIN(12,'Simulador - 3º Pilar'!$E$88),0)</f>
      </c>
      <c r="I347" s="560">
        <f>(1+$G$5)^(D347/12)*(H347+IF(E347=$N$7,$N$4,0))</f>
      </c>
      <c r="J347" s="561">
        <f>(1+$G$5)^(D347/12)*(H347*(12-IF(MONTH(E348)=12,0,MONTH(E348)))+IF(AND(F347=1,F348=0),$Q$4,0))*IF(AND(F347=1,F348=0),1,0)</f>
      </c>
      <c r="K347" s="217">
        <f>(1+$G$5)^(D347/12)*(IF(E347=$N$7,$N$4,0)+IF(E347=$C$6,$B$10,0))</f>
      </c>
      <c r="L347" s="217">
        <f>(1+$G$5)^(D347/12)*(IF((E347)&gt;($B$6),H347,0)+IF(E347=$N$7,$N$4,0)+IF(E347=$C$6,0,0))</f>
      </c>
      <c r="M347" s="1"/>
      <c r="N347" s="7"/>
      <c r="O347" s="1"/>
      <c r="P347" s="331">
        <v>340</v>
      </c>
      <c r="Q347" s="544">
        <f>+DATE(YEAR(Q346),MONTH(Q346)-1,DAY(Q346))</f>
        <v>25569.041666666668</v>
      </c>
      <c r="R347" s="341">
        <f>IF($Z$7=$E347,1,IF(MONTH($E347)=1,R348*(1+$F$5),R348))</f>
      </c>
      <c r="S347" s="334">
        <f>R347*$B$8/12</f>
      </c>
      <c r="T347" s="334">
        <f>R347*$B$11/12</f>
      </c>
      <c r="U347" s="565">
        <f>(1+$V$5)^(P347/12)*(T347+IF(Q347=$Z$7,$Z$4,0))</f>
      </c>
      <c r="V347" s="170"/>
      <c r="W347" s="7"/>
      <c r="X347" s="1"/>
      <c r="Y347" s="1"/>
      <c r="Z347" s="1"/>
      <c r="AA347" s="1"/>
      <c r="AB347" s="1"/>
      <c r="AC347" s="331">
        <v>340</v>
      </c>
      <c r="AD347" s="544">
        <f>+DATE(YEAR(AD346),MONTH(AD346)-1,DAY(AD346))</f>
        <v>25569.041666666668</v>
      </c>
      <c r="AE347" s="341">
        <f>IF($AM$7=$E347,1,IF(MONTH($E347)=1,AE348*(1+$F$5),AE348))</f>
      </c>
      <c r="AF347" s="334">
        <f>AE347*$B$8/12</f>
      </c>
      <c r="AG347" s="334">
        <f>AE347*$B$12/12</f>
      </c>
      <c r="AH347" s="565">
        <f>(1+$AI$5)^(AC347/12)*(AG347+IF(AD347=$AM$7,$AM$4,0))</f>
      </c>
      <c r="AI347" s="170"/>
      <c r="AJ347" s="7"/>
      <c r="AK347" s="1"/>
      <c r="AL347" s="1"/>
      <c r="AM347" s="1"/>
    </row>
    <row x14ac:dyDescent="0.25" r="348" customHeight="1" ht="18.75">
      <c r="A348" s="1"/>
      <c r="B348" s="169"/>
      <c r="C348" s="170"/>
      <c r="D348" s="331">
        <v>341</v>
      </c>
      <c r="E348" s="544">
        <f>+DATE(YEAR(E347),MONTH(E347)-1,DAY(E347))</f>
        <v>25569.041666666668</v>
      </c>
      <c r="F348" s="333">
        <f>IF($C$6=$E348,1,IF(MONTH($E348)=1,F349*(1+$F$5),F349))</f>
      </c>
      <c r="G348" s="333">
        <f>F348*$B$8/12</f>
      </c>
      <c r="H348" s="333">
        <f>IF(F348=1,F348*$B$10/MIN(12,'Simulador - 3º Pilar'!$E$88),0)</f>
      </c>
      <c r="I348" s="560">
        <f>(1+$G$5)^(D348/12)*(H348+IF(E348=$N$7,$N$4,0))</f>
      </c>
      <c r="J348" s="561">
        <f>(1+$G$5)^(D348/12)*(H348*(12-IF(MONTH(E349)=12,0,MONTH(E349)))+IF(AND(F348=1,F349=0),$Q$4,0))*IF(AND(F348=1,F349=0),1,0)</f>
      </c>
      <c r="K348" s="217">
        <f>(1+$G$5)^(D348/12)*(IF(E348=$N$7,$N$4,0)+IF(E348=$C$6,$B$10,0))</f>
      </c>
      <c r="L348" s="217">
        <f>(1+$G$5)^(D348/12)*(IF((E348)&gt;($B$6),H348,0)+IF(E348=$N$7,$N$4,0)+IF(E348=$C$6,0,0))</f>
      </c>
      <c r="M348" s="1"/>
      <c r="N348" s="7"/>
      <c r="O348" s="1"/>
      <c r="P348" s="331">
        <v>341</v>
      </c>
      <c r="Q348" s="544">
        <f>+DATE(YEAR(Q347),MONTH(Q347)-1,DAY(Q347))</f>
        <v>25569.041666666668</v>
      </c>
      <c r="R348" s="341">
        <f>IF($Z$7=$E348,1,IF(MONTH($E348)=1,R349*(1+$F$5),R349))</f>
      </c>
      <c r="S348" s="334">
        <f>R348*$B$8/12</f>
      </c>
      <c r="T348" s="334">
        <f>R348*$B$11/12</f>
      </c>
      <c r="U348" s="565">
        <f>(1+$V$5)^(P348/12)*(T348+IF(Q348=$Z$7,$Z$4,0))</f>
      </c>
      <c r="V348" s="170"/>
      <c r="W348" s="7"/>
      <c r="X348" s="1"/>
      <c r="Y348" s="1"/>
      <c r="Z348" s="1"/>
      <c r="AA348" s="1"/>
      <c r="AB348" s="1"/>
      <c r="AC348" s="331">
        <v>341</v>
      </c>
      <c r="AD348" s="544">
        <f>+DATE(YEAR(AD347),MONTH(AD347)-1,DAY(AD347))</f>
        <v>25569.041666666668</v>
      </c>
      <c r="AE348" s="341">
        <f>IF($AM$7=$E348,1,IF(MONTH($E348)=1,AE349*(1+$F$5),AE349))</f>
      </c>
      <c r="AF348" s="334">
        <f>AE348*$B$8/12</f>
      </c>
      <c r="AG348" s="334">
        <f>AE348*$B$12/12</f>
      </c>
      <c r="AH348" s="565">
        <f>(1+$AI$5)^(AC348/12)*(AG348+IF(AD348=$AM$7,$AM$4,0))</f>
      </c>
      <c r="AI348" s="170"/>
      <c r="AJ348" s="7"/>
      <c r="AK348" s="1"/>
      <c r="AL348" s="1"/>
      <c r="AM348" s="1"/>
    </row>
    <row x14ac:dyDescent="0.25" r="349" customHeight="1" ht="18.75">
      <c r="A349" s="1"/>
      <c r="B349" s="169"/>
      <c r="C349" s="170"/>
      <c r="D349" s="331">
        <v>342</v>
      </c>
      <c r="E349" s="544">
        <f>+DATE(YEAR(E348),MONTH(E348)-1,DAY(E348))</f>
        <v>25569.041666666668</v>
      </c>
      <c r="F349" s="333">
        <f>IF($C$6=$E349,1,IF(MONTH($E349)=1,F350*(1+$F$5),F350))</f>
      </c>
      <c r="G349" s="333">
        <f>F349*$B$8/12</f>
      </c>
      <c r="H349" s="333">
        <f>IF(F349=1,F349*$B$10/MIN(12,'Simulador - 3º Pilar'!$E$88),0)</f>
      </c>
      <c r="I349" s="560">
        <f>(1+$G$5)^(D349/12)*(H349+IF(E349=$N$7,$N$4,0))</f>
      </c>
      <c r="J349" s="561">
        <f>(1+$G$5)^(D349/12)*(H349*(12-IF(MONTH(E350)=12,0,MONTH(E350)))+IF(AND(F349=1,F350=0),$Q$4,0))*IF(AND(F349=1,F350=0),1,0)</f>
      </c>
      <c r="K349" s="217">
        <f>(1+$G$5)^(D349/12)*(IF(E349=$N$7,$N$4,0)+IF(E349=$C$6,$B$10,0))</f>
      </c>
      <c r="L349" s="217">
        <f>(1+$G$5)^(D349/12)*(IF((E349)&gt;($B$6),H349,0)+IF(E349=$N$7,$N$4,0)+IF(E349=$C$6,0,0))</f>
      </c>
      <c r="M349" s="1"/>
      <c r="N349" s="7"/>
      <c r="O349" s="1"/>
      <c r="P349" s="331">
        <v>342</v>
      </c>
      <c r="Q349" s="544">
        <f>+DATE(YEAR(Q348),MONTH(Q348)-1,DAY(Q348))</f>
        <v>25569.041666666668</v>
      </c>
      <c r="R349" s="341">
        <f>IF($Z$7=$E349,1,IF(MONTH($E349)=1,R350*(1+$F$5),R350))</f>
      </c>
      <c r="S349" s="334">
        <f>R349*$B$8/12</f>
      </c>
      <c r="T349" s="334">
        <f>R349*$B$11/12</f>
      </c>
      <c r="U349" s="565">
        <f>(1+$V$5)^(P349/12)*(T349+IF(Q349=$Z$7,$Z$4,0))</f>
      </c>
      <c r="V349" s="170"/>
      <c r="W349" s="7"/>
      <c r="X349" s="1"/>
      <c r="Y349" s="1"/>
      <c r="Z349" s="1"/>
      <c r="AA349" s="1"/>
      <c r="AB349" s="1"/>
      <c r="AC349" s="331">
        <v>342</v>
      </c>
      <c r="AD349" s="544">
        <f>+DATE(YEAR(AD348),MONTH(AD348)-1,DAY(AD348))</f>
        <v>25569.041666666668</v>
      </c>
      <c r="AE349" s="341">
        <f>IF($AM$7=$E349,1,IF(MONTH($E349)=1,AE350*(1+$F$5),AE350))</f>
      </c>
      <c r="AF349" s="334">
        <f>AE349*$B$8/12</f>
      </c>
      <c r="AG349" s="334">
        <f>AE349*$B$12/12</f>
      </c>
      <c r="AH349" s="565">
        <f>(1+$AI$5)^(AC349/12)*(AG349+IF(AD349=$AM$7,$AM$4,0))</f>
      </c>
      <c r="AI349" s="170"/>
      <c r="AJ349" s="7"/>
      <c r="AK349" s="1"/>
      <c r="AL349" s="1"/>
      <c r="AM349" s="1"/>
    </row>
    <row x14ac:dyDescent="0.25" r="350" customHeight="1" ht="18.75">
      <c r="A350" s="1"/>
      <c r="B350" s="169"/>
      <c r="C350" s="170"/>
      <c r="D350" s="331">
        <v>343</v>
      </c>
      <c r="E350" s="544">
        <f>+DATE(YEAR(E349),MONTH(E349)-1,DAY(E349))</f>
        <v>25569.041666666668</v>
      </c>
      <c r="F350" s="333">
        <f>IF($C$6=$E350,1,IF(MONTH($E350)=1,F351*(1+$F$5),F351))</f>
      </c>
      <c r="G350" s="333">
        <f>F350*$B$8/12</f>
      </c>
      <c r="H350" s="333">
        <f>IF(F350=1,F350*$B$10/MIN(12,'Simulador - 3º Pilar'!$E$88),0)</f>
      </c>
      <c r="I350" s="560">
        <f>(1+$G$5)^(D350/12)*(H350+IF(E350=$N$7,$N$4,0))</f>
      </c>
      <c r="J350" s="561">
        <f>(1+$G$5)^(D350/12)*(H350*(12-IF(MONTH(E351)=12,0,MONTH(E351)))+IF(AND(F350=1,F351=0),$Q$4,0))*IF(AND(F350=1,F351=0),1,0)</f>
      </c>
      <c r="K350" s="217">
        <f>(1+$G$5)^(D350/12)*(IF(E350=$N$7,$N$4,0)+IF(E350=$C$6,$B$10,0))</f>
      </c>
      <c r="L350" s="217">
        <f>(1+$G$5)^(D350/12)*(IF((E350)&gt;($B$6),H350,0)+IF(E350=$N$7,$N$4,0)+IF(E350=$C$6,0,0))</f>
      </c>
      <c r="M350" s="1"/>
      <c r="N350" s="7"/>
      <c r="O350" s="1"/>
      <c r="P350" s="331">
        <v>343</v>
      </c>
      <c r="Q350" s="544">
        <f>+DATE(YEAR(Q349),MONTH(Q349)-1,DAY(Q349))</f>
        <v>25569.041666666668</v>
      </c>
      <c r="R350" s="341">
        <f>IF($Z$7=$E350,1,IF(MONTH($E350)=1,R351*(1+$F$5),R351))</f>
      </c>
      <c r="S350" s="334">
        <f>R350*$B$8/12</f>
      </c>
      <c r="T350" s="334">
        <f>R350*$B$11/12</f>
      </c>
      <c r="U350" s="565">
        <f>(1+$V$5)^(P350/12)*(T350+IF(Q350=$Z$7,$Z$4,0))</f>
      </c>
      <c r="V350" s="170"/>
      <c r="W350" s="7"/>
      <c r="X350" s="1"/>
      <c r="Y350" s="1"/>
      <c r="Z350" s="1"/>
      <c r="AA350" s="1"/>
      <c r="AB350" s="1"/>
      <c r="AC350" s="331">
        <v>343</v>
      </c>
      <c r="AD350" s="544">
        <f>+DATE(YEAR(AD349),MONTH(AD349)-1,DAY(AD349))</f>
        <v>25569.041666666668</v>
      </c>
      <c r="AE350" s="341">
        <f>IF($AM$7=$E350,1,IF(MONTH($E350)=1,AE351*(1+$F$5),AE351))</f>
      </c>
      <c r="AF350" s="334">
        <f>AE350*$B$8/12</f>
      </c>
      <c r="AG350" s="334">
        <f>AE350*$B$12/12</f>
      </c>
      <c r="AH350" s="565">
        <f>(1+$AI$5)^(AC350/12)*(AG350+IF(AD350=$AM$7,$AM$4,0))</f>
      </c>
      <c r="AI350" s="170"/>
      <c r="AJ350" s="7"/>
      <c r="AK350" s="1"/>
      <c r="AL350" s="1"/>
      <c r="AM350" s="1"/>
    </row>
    <row x14ac:dyDescent="0.25" r="351" customHeight="1" ht="18.75">
      <c r="A351" s="1"/>
      <c r="B351" s="169"/>
      <c r="C351" s="170"/>
      <c r="D351" s="331">
        <v>344</v>
      </c>
      <c r="E351" s="544">
        <f>+DATE(YEAR(E350),MONTH(E350)-1,DAY(E350))</f>
        <v>25569.041666666668</v>
      </c>
      <c r="F351" s="333">
        <f>IF($C$6=$E351,1,IF(MONTH($E351)=1,F352*(1+$F$5),F352))</f>
      </c>
      <c r="G351" s="333">
        <f>F351*$B$8/12</f>
      </c>
      <c r="H351" s="333">
        <f>IF(F351=1,F351*$B$10/MIN(12,'Simulador - 3º Pilar'!$E$88),0)</f>
      </c>
      <c r="I351" s="560">
        <f>(1+$G$5)^(D351/12)*(H351+IF(E351=$N$7,$N$4,0))</f>
      </c>
      <c r="J351" s="561">
        <f>(1+$G$5)^(D351/12)*(H351*(12-IF(MONTH(E352)=12,0,MONTH(E352)))+IF(AND(F351=1,F352=0),$Q$4,0))*IF(AND(F351=1,F352=0),1,0)</f>
      </c>
      <c r="K351" s="217">
        <f>(1+$G$5)^(D351/12)*(IF(E351=$N$7,$N$4,0)+IF(E351=$C$6,$B$10,0))</f>
      </c>
      <c r="L351" s="217">
        <f>(1+$G$5)^(D351/12)*(IF((E351)&gt;($B$6),H351,0)+IF(E351=$N$7,$N$4,0)+IF(E351=$C$6,0,0))</f>
      </c>
      <c r="M351" s="1"/>
      <c r="N351" s="7"/>
      <c r="O351" s="1"/>
      <c r="P351" s="331">
        <v>344</v>
      </c>
      <c r="Q351" s="544">
        <f>+DATE(YEAR(Q350),MONTH(Q350)-1,DAY(Q350))</f>
        <v>25569.041666666668</v>
      </c>
      <c r="R351" s="341">
        <f>IF($Z$7=$E351,1,IF(MONTH($E351)=1,R352*(1+$F$5),R352))</f>
      </c>
      <c r="S351" s="334">
        <f>R351*$B$8/12</f>
      </c>
      <c r="T351" s="334">
        <f>R351*$B$11/12</f>
      </c>
      <c r="U351" s="565">
        <f>(1+$V$5)^(P351/12)*(T351+IF(Q351=$Z$7,$Z$4,0))</f>
      </c>
      <c r="V351" s="170"/>
      <c r="W351" s="7"/>
      <c r="X351" s="1"/>
      <c r="Y351" s="1"/>
      <c r="Z351" s="1"/>
      <c r="AA351" s="1"/>
      <c r="AB351" s="1"/>
      <c r="AC351" s="331">
        <v>344</v>
      </c>
      <c r="AD351" s="544">
        <f>+DATE(YEAR(AD350),MONTH(AD350)-1,DAY(AD350))</f>
        <v>25569.041666666668</v>
      </c>
      <c r="AE351" s="341">
        <f>IF($AM$7=$E351,1,IF(MONTH($E351)=1,AE352*(1+$F$5),AE352))</f>
      </c>
      <c r="AF351" s="334">
        <f>AE351*$B$8/12</f>
      </c>
      <c r="AG351" s="334">
        <f>AE351*$B$12/12</f>
      </c>
      <c r="AH351" s="565">
        <f>(1+$AI$5)^(AC351/12)*(AG351+IF(AD351=$AM$7,$AM$4,0))</f>
      </c>
      <c r="AI351" s="170"/>
      <c r="AJ351" s="7"/>
      <c r="AK351" s="1"/>
      <c r="AL351" s="1"/>
      <c r="AM351" s="1"/>
    </row>
    <row x14ac:dyDescent="0.25" r="352" customHeight="1" ht="18.75">
      <c r="A352" s="1"/>
      <c r="B352" s="169"/>
      <c r="C352" s="170"/>
      <c r="D352" s="331">
        <v>345</v>
      </c>
      <c r="E352" s="544">
        <f>+DATE(YEAR(E351),MONTH(E351)-1,DAY(E351))</f>
        <v>25569.041666666668</v>
      </c>
      <c r="F352" s="333">
        <f>IF($C$6=$E352,1,IF(MONTH($E352)=1,F353*(1+$F$5),F353))</f>
      </c>
      <c r="G352" s="333">
        <f>F352*$B$8/12</f>
      </c>
      <c r="H352" s="333">
        <f>IF(F352=1,F352*$B$10/MIN(12,'Simulador - 3º Pilar'!$E$88),0)</f>
      </c>
      <c r="I352" s="560">
        <f>(1+$G$5)^(D352/12)*(H352+IF(E352=$N$7,$N$4,0))</f>
      </c>
      <c r="J352" s="561">
        <f>(1+$G$5)^(D352/12)*(H352*(12-IF(MONTH(E353)=12,0,MONTH(E353)))+IF(AND(F352=1,F353=0),$Q$4,0))*IF(AND(F352=1,F353=0),1,0)</f>
      </c>
      <c r="K352" s="217">
        <f>(1+$G$5)^(D352/12)*(IF(E352=$N$7,$N$4,0)+IF(E352=$C$6,$B$10,0))</f>
      </c>
      <c r="L352" s="217">
        <f>(1+$G$5)^(D352/12)*(IF((E352)&gt;($B$6),H352,0)+IF(E352=$N$7,$N$4,0)+IF(E352=$C$6,0,0))</f>
      </c>
      <c r="M352" s="1"/>
      <c r="N352" s="7"/>
      <c r="O352" s="1"/>
      <c r="P352" s="331">
        <v>345</v>
      </c>
      <c r="Q352" s="544">
        <f>+DATE(YEAR(Q351),MONTH(Q351)-1,DAY(Q351))</f>
        <v>25569.041666666668</v>
      </c>
      <c r="R352" s="341">
        <f>IF($Z$7=$E352,1,IF(MONTH($E352)=1,R353*(1+$F$5),R353))</f>
      </c>
      <c r="S352" s="334">
        <f>R352*$B$8/12</f>
      </c>
      <c r="T352" s="334">
        <f>R352*$B$11/12</f>
      </c>
      <c r="U352" s="565">
        <f>(1+$V$5)^(P352/12)*(T352+IF(Q352=$Z$7,$Z$4,0))</f>
      </c>
      <c r="V352" s="170"/>
      <c r="W352" s="7"/>
      <c r="X352" s="1"/>
      <c r="Y352" s="1"/>
      <c r="Z352" s="1"/>
      <c r="AA352" s="1"/>
      <c r="AB352" s="1"/>
      <c r="AC352" s="331">
        <v>345</v>
      </c>
      <c r="AD352" s="544">
        <f>+DATE(YEAR(AD351),MONTH(AD351)-1,DAY(AD351))</f>
        <v>25569.041666666668</v>
      </c>
      <c r="AE352" s="341">
        <f>IF($AM$7=$E352,1,IF(MONTH($E352)=1,AE353*(1+$F$5),AE353))</f>
      </c>
      <c r="AF352" s="334">
        <f>AE352*$B$8/12</f>
      </c>
      <c r="AG352" s="334">
        <f>AE352*$B$12/12</f>
      </c>
      <c r="AH352" s="565">
        <f>(1+$AI$5)^(AC352/12)*(AG352+IF(AD352=$AM$7,$AM$4,0))</f>
      </c>
      <c r="AI352" s="170"/>
      <c r="AJ352" s="7"/>
      <c r="AK352" s="1"/>
      <c r="AL352" s="1"/>
      <c r="AM352" s="1"/>
    </row>
    <row x14ac:dyDescent="0.25" r="353" customHeight="1" ht="18.75">
      <c r="A353" s="1"/>
      <c r="B353" s="169"/>
      <c r="C353" s="170"/>
      <c r="D353" s="331">
        <v>346</v>
      </c>
      <c r="E353" s="544">
        <f>+DATE(YEAR(E352),MONTH(E352)-1,DAY(E352))</f>
        <v>25569.041666666668</v>
      </c>
      <c r="F353" s="333">
        <f>IF($C$6=$E353,1,IF(MONTH($E353)=1,F354*(1+$F$5),F354))</f>
      </c>
      <c r="G353" s="333">
        <f>F353*$B$8/12</f>
      </c>
      <c r="H353" s="333">
        <f>IF(F353=1,F353*$B$10/MIN(12,'Simulador - 3º Pilar'!$E$88),0)</f>
      </c>
      <c r="I353" s="560">
        <f>(1+$G$5)^(D353/12)*(H353+IF(E353=$N$7,$N$4,0))</f>
      </c>
      <c r="J353" s="561">
        <f>(1+$G$5)^(D353/12)*(H353*(12-IF(MONTH(E354)=12,0,MONTH(E354)))+IF(AND(F353=1,F354=0),$Q$4,0))*IF(AND(F353=1,F354=0),1,0)</f>
      </c>
      <c r="K353" s="217">
        <f>(1+$G$5)^(D353/12)*(IF(E353=$N$7,$N$4,0)+IF(E353=$C$6,$B$10,0))</f>
      </c>
      <c r="L353" s="217">
        <f>(1+$G$5)^(D353/12)*(IF((E353)&gt;($B$6),H353,0)+IF(E353=$N$7,$N$4,0)+IF(E353=$C$6,0,0))</f>
      </c>
      <c r="M353" s="1"/>
      <c r="N353" s="7"/>
      <c r="O353" s="1"/>
      <c r="P353" s="331">
        <v>346</v>
      </c>
      <c r="Q353" s="544">
        <f>+DATE(YEAR(Q352),MONTH(Q352)-1,DAY(Q352))</f>
        <v>25569.041666666668</v>
      </c>
      <c r="R353" s="341">
        <f>IF($Z$7=$E353,1,IF(MONTH($E353)=1,R354*(1+$F$5),R354))</f>
      </c>
      <c r="S353" s="334">
        <f>R353*$B$8/12</f>
      </c>
      <c r="T353" s="334">
        <f>R353*$B$11/12</f>
      </c>
      <c r="U353" s="565">
        <f>(1+$V$5)^(P353/12)*(T353+IF(Q353=$Z$7,$Z$4,0))</f>
      </c>
      <c r="V353" s="170"/>
      <c r="W353" s="7"/>
      <c r="X353" s="1"/>
      <c r="Y353" s="1"/>
      <c r="Z353" s="1"/>
      <c r="AA353" s="1"/>
      <c r="AB353" s="1"/>
      <c r="AC353" s="331">
        <v>346</v>
      </c>
      <c r="AD353" s="544">
        <f>+DATE(YEAR(AD352),MONTH(AD352)-1,DAY(AD352))</f>
        <v>25569.041666666668</v>
      </c>
      <c r="AE353" s="341">
        <f>IF($AM$7=$E353,1,IF(MONTH($E353)=1,AE354*(1+$F$5),AE354))</f>
      </c>
      <c r="AF353" s="334">
        <f>AE353*$B$8/12</f>
      </c>
      <c r="AG353" s="334">
        <f>AE353*$B$12/12</f>
      </c>
      <c r="AH353" s="565">
        <f>(1+$AI$5)^(AC353/12)*(AG353+IF(AD353=$AM$7,$AM$4,0))</f>
      </c>
      <c r="AI353" s="170"/>
      <c r="AJ353" s="7"/>
      <c r="AK353" s="1"/>
      <c r="AL353" s="1"/>
      <c r="AM353" s="1"/>
    </row>
    <row x14ac:dyDescent="0.25" r="354" customHeight="1" ht="18.75">
      <c r="A354" s="1"/>
      <c r="B354" s="169"/>
      <c r="C354" s="170"/>
      <c r="D354" s="331">
        <v>347</v>
      </c>
      <c r="E354" s="544">
        <f>+DATE(YEAR(E353),MONTH(E353)-1,DAY(E353))</f>
        <v>25569.041666666668</v>
      </c>
      <c r="F354" s="333">
        <f>IF($C$6=$E354,1,IF(MONTH($E354)=1,F355*(1+$F$5),F355))</f>
      </c>
      <c r="G354" s="333">
        <f>F354*$B$8/12</f>
      </c>
      <c r="H354" s="333">
        <f>IF(F354=1,F354*$B$10/MIN(12,'Simulador - 3º Pilar'!$E$88),0)</f>
      </c>
      <c r="I354" s="560">
        <f>(1+$G$5)^(D354/12)*(H354+IF(E354=$N$7,$N$4,0))</f>
      </c>
      <c r="J354" s="561">
        <f>(1+$G$5)^(D354/12)*(H354*(12-IF(MONTH(E355)=12,0,MONTH(E355)))+IF(AND(F354=1,F355=0),$Q$4,0))*IF(AND(F354=1,F355=0),1,0)</f>
      </c>
      <c r="K354" s="217">
        <f>(1+$G$5)^(D354/12)*(IF(E354=$N$7,$N$4,0)+IF(E354=$C$6,$B$10,0))</f>
      </c>
      <c r="L354" s="217">
        <f>(1+$G$5)^(D354/12)*(IF((E354)&gt;($B$6),H354,0)+IF(E354=$N$7,$N$4,0)+IF(E354=$C$6,0,0))</f>
      </c>
      <c r="M354" s="1"/>
      <c r="N354" s="7"/>
      <c r="O354" s="1"/>
      <c r="P354" s="331">
        <v>347</v>
      </c>
      <c r="Q354" s="544">
        <f>+DATE(YEAR(Q353),MONTH(Q353)-1,DAY(Q353))</f>
        <v>25569.041666666668</v>
      </c>
      <c r="R354" s="341">
        <f>IF($Z$7=$E354,1,IF(MONTH($E354)=1,R355*(1+$F$5),R355))</f>
      </c>
      <c r="S354" s="334">
        <f>R354*$B$8/12</f>
      </c>
      <c r="T354" s="334">
        <f>R354*$B$11/12</f>
      </c>
      <c r="U354" s="565">
        <f>(1+$V$5)^(P354/12)*(T354+IF(Q354=$Z$7,$Z$4,0))</f>
      </c>
      <c r="V354" s="170"/>
      <c r="W354" s="7"/>
      <c r="X354" s="1"/>
      <c r="Y354" s="1"/>
      <c r="Z354" s="1"/>
      <c r="AA354" s="1"/>
      <c r="AB354" s="1"/>
      <c r="AC354" s="331">
        <v>347</v>
      </c>
      <c r="AD354" s="544">
        <f>+DATE(YEAR(AD353),MONTH(AD353)-1,DAY(AD353))</f>
        <v>25569.041666666668</v>
      </c>
      <c r="AE354" s="341">
        <f>IF($AM$7=$E354,1,IF(MONTH($E354)=1,AE355*(1+$F$5),AE355))</f>
      </c>
      <c r="AF354" s="334">
        <f>AE354*$B$8/12</f>
      </c>
      <c r="AG354" s="334">
        <f>AE354*$B$12/12</f>
      </c>
      <c r="AH354" s="565">
        <f>(1+$AI$5)^(AC354/12)*(AG354+IF(AD354=$AM$7,$AM$4,0))</f>
      </c>
      <c r="AI354" s="170"/>
      <c r="AJ354" s="7"/>
      <c r="AK354" s="1"/>
      <c r="AL354" s="1"/>
      <c r="AM354" s="1"/>
    </row>
    <row x14ac:dyDescent="0.25" r="355" customHeight="1" ht="18.75">
      <c r="A355" s="1"/>
      <c r="B355" s="169"/>
      <c r="C355" s="170"/>
      <c r="D355" s="331">
        <v>348</v>
      </c>
      <c r="E355" s="544">
        <f>+DATE(YEAR(E354),MONTH(E354)-1,DAY(E354))</f>
        <v>25569.041666666668</v>
      </c>
      <c r="F355" s="333">
        <f>IF($C$6=$E355,1,IF(MONTH($E355)=1,F356*(1+$F$5),F356))</f>
      </c>
      <c r="G355" s="333">
        <f>F355*$B$8/12</f>
      </c>
      <c r="H355" s="333">
        <f>IF(F355=1,F355*$B$10/MIN(12,'Simulador - 3º Pilar'!$E$88),0)</f>
      </c>
      <c r="I355" s="560">
        <f>(1+$G$5)^(D355/12)*(H355+IF(E355=$N$7,$N$4,0))</f>
      </c>
      <c r="J355" s="561">
        <f>(1+$G$5)^(D355/12)*(H355*(12-IF(MONTH(E356)=12,0,MONTH(E356)))+IF(AND(F355=1,F356=0),$Q$4,0))*IF(AND(F355=1,F356=0),1,0)</f>
      </c>
      <c r="K355" s="217">
        <f>(1+$G$5)^(D355/12)*(IF(E355=$N$7,$N$4,0)+IF(E355=$C$6,$B$10,0))</f>
      </c>
      <c r="L355" s="217">
        <f>(1+$G$5)^(D355/12)*(IF((E355)&gt;($B$6),H355,0)+IF(E355=$N$7,$N$4,0)+IF(E355=$C$6,0,0))</f>
      </c>
      <c r="M355" s="1"/>
      <c r="N355" s="7"/>
      <c r="O355" s="1"/>
      <c r="P355" s="331">
        <v>348</v>
      </c>
      <c r="Q355" s="544">
        <f>+DATE(YEAR(Q354),MONTH(Q354)-1,DAY(Q354))</f>
        <v>25569.041666666668</v>
      </c>
      <c r="R355" s="341">
        <f>IF($Z$7=$E355,1,IF(MONTH($E355)=1,R356*(1+$F$5),R356))</f>
      </c>
      <c r="S355" s="334">
        <f>R355*$B$8/12</f>
      </c>
      <c r="T355" s="334">
        <f>R355*$B$11/12</f>
      </c>
      <c r="U355" s="565">
        <f>(1+$V$5)^(P355/12)*(T355+IF(Q355=$Z$7,$Z$4,0))</f>
      </c>
      <c r="V355" s="170"/>
      <c r="W355" s="7"/>
      <c r="X355" s="1"/>
      <c r="Y355" s="1"/>
      <c r="Z355" s="1"/>
      <c r="AA355" s="1"/>
      <c r="AB355" s="1"/>
      <c r="AC355" s="331">
        <v>348</v>
      </c>
      <c r="AD355" s="544">
        <f>+DATE(YEAR(AD354),MONTH(AD354)-1,DAY(AD354))</f>
        <v>25569.041666666668</v>
      </c>
      <c r="AE355" s="341">
        <f>IF($AM$7=$E355,1,IF(MONTH($E355)=1,AE356*(1+$F$5),AE356))</f>
      </c>
      <c r="AF355" s="334">
        <f>AE355*$B$8/12</f>
      </c>
      <c r="AG355" s="334">
        <f>AE355*$B$12/12</f>
      </c>
      <c r="AH355" s="565">
        <f>(1+$AI$5)^(AC355/12)*(AG355+IF(AD355=$AM$7,$AM$4,0))</f>
      </c>
      <c r="AI355" s="170"/>
      <c r="AJ355" s="7"/>
      <c r="AK355" s="1"/>
      <c r="AL355" s="1"/>
      <c r="AM355" s="1"/>
    </row>
    <row x14ac:dyDescent="0.25" r="356" customHeight="1" ht="18.75">
      <c r="A356" s="1"/>
      <c r="B356" s="169"/>
      <c r="C356" s="170"/>
      <c r="D356" s="331">
        <v>349</v>
      </c>
      <c r="E356" s="544">
        <f>+DATE(YEAR(E355),MONTH(E355)-1,DAY(E355))</f>
        <v>25569.041666666668</v>
      </c>
      <c r="F356" s="333">
        <f>IF($C$6=$E356,1,IF(MONTH($E356)=1,F357*(1+$F$5),F357))</f>
      </c>
      <c r="G356" s="333">
        <f>F356*$B$8/12</f>
      </c>
      <c r="H356" s="333">
        <f>IF(F356=1,F356*$B$10/MIN(12,'Simulador - 3º Pilar'!$E$88),0)</f>
      </c>
      <c r="I356" s="560">
        <f>(1+$G$5)^(D356/12)*(H356+IF(E356=$N$7,$N$4,0))</f>
      </c>
      <c r="J356" s="561">
        <f>(1+$G$5)^(D356/12)*(H356*(12-IF(MONTH(E357)=12,0,MONTH(E357)))+IF(AND(F356=1,F357=0),$Q$4,0))*IF(AND(F356=1,F357=0),1,0)</f>
      </c>
      <c r="K356" s="217">
        <f>(1+$G$5)^(D356/12)*(IF(E356=$N$7,$N$4,0)+IF(E356=$C$6,$B$10,0))</f>
      </c>
      <c r="L356" s="217">
        <f>(1+$G$5)^(D356/12)*(IF((E356)&gt;($B$6),H356,0)+IF(E356=$N$7,$N$4,0)+IF(E356=$C$6,0,0))</f>
      </c>
      <c r="M356" s="1"/>
      <c r="N356" s="7"/>
      <c r="O356" s="1"/>
      <c r="P356" s="331">
        <v>349</v>
      </c>
      <c r="Q356" s="544">
        <f>+DATE(YEAR(Q355),MONTH(Q355)-1,DAY(Q355))</f>
        <v>25569.041666666668</v>
      </c>
      <c r="R356" s="341">
        <f>IF($Z$7=$E356,1,IF(MONTH($E356)=1,R357*(1+$F$5),R357))</f>
      </c>
      <c r="S356" s="334">
        <f>R356*$B$8/12</f>
      </c>
      <c r="T356" s="334">
        <f>R356*$B$11/12</f>
      </c>
      <c r="U356" s="565">
        <f>(1+$V$5)^(P356/12)*(T356+IF(Q356=$Z$7,$Z$4,0))</f>
      </c>
      <c r="V356" s="170"/>
      <c r="W356" s="7"/>
      <c r="X356" s="1"/>
      <c r="Y356" s="1"/>
      <c r="Z356" s="1"/>
      <c r="AA356" s="1"/>
      <c r="AB356" s="1"/>
      <c r="AC356" s="331">
        <v>349</v>
      </c>
      <c r="AD356" s="544">
        <f>+DATE(YEAR(AD355),MONTH(AD355)-1,DAY(AD355))</f>
        <v>25569.041666666668</v>
      </c>
      <c r="AE356" s="341">
        <f>IF($AM$7=$E356,1,IF(MONTH($E356)=1,AE357*(1+$F$5),AE357))</f>
      </c>
      <c r="AF356" s="334">
        <f>AE356*$B$8/12</f>
      </c>
      <c r="AG356" s="334">
        <f>AE356*$B$12/12</f>
      </c>
      <c r="AH356" s="565">
        <f>(1+$AI$5)^(AC356/12)*(AG356+IF(AD356=$AM$7,$AM$4,0))</f>
      </c>
      <c r="AI356" s="170"/>
      <c r="AJ356" s="7"/>
      <c r="AK356" s="1"/>
      <c r="AL356" s="1"/>
      <c r="AM356" s="1"/>
    </row>
    <row x14ac:dyDescent="0.25" r="357" customHeight="1" ht="18.75">
      <c r="A357" s="1"/>
      <c r="B357" s="169"/>
      <c r="C357" s="170"/>
      <c r="D357" s="331">
        <v>350</v>
      </c>
      <c r="E357" s="544">
        <f>+DATE(YEAR(E356),MONTH(E356)-1,DAY(E356))</f>
        <v>25569.041666666668</v>
      </c>
      <c r="F357" s="333">
        <f>IF($C$6=$E357,1,IF(MONTH($E357)=1,F358*(1+$F$5),F358))</f>
      </c>
      <c r="G357" s="333">
        <f>F357*$B$8/12</f>
      </c>
      <c r="H357" s="333">
        <f>IF(F357=1,F357*$B$10/MIN(12,'Simulador - 3º Pilar'!$E$88),0)</f>
      </c>
      <c r="I357" s="560">
        <f>(1+$G$5)^(D357/12)*(H357+IF(E357=$N$7,$N$4,0))</f>
      </c>
      <c r="J357" s="561">
        <f>(1+$G$5)^(D357/12)*(H357*(12-IF(MONTH(E358)=12,0,MONTH(E358)))+IF(AND(F357=1,F358=0),$Q$4,0))*IF(AND(F357=1,F358=0),1,0)</f>
      </c>
      <c r="K357" s="217">
        <f>(1+$G$5)^(D357/12)*(IF(E357=$N$7,$N$4,0)+IF(E357=$C$6,$B$10,0))</f>
      </c>
      <c r="L357" s="217">
        <f>(1+$G$5)^(D357/12)*(IF((E357)&gt;($B$6),H357,0)+IF(E357=$N$7,$N$4,0)+IF(E357=$C$6,0,0))</f>
      </c>
      <c r="M357" s="1"/>
      <c r="N357" s="7"/>
      <c r="O357" s="1"/>
      <c r="P357" s="331">
        <v>350</v>
      </c>
      <c r="Q357" s="544">
        <f>+DATE(YEAR(Q356),MONTH(Q356)-1,DAY(Q356))</f>
        <v>25569.041666666668</v>
      </c>
      <c r="R357" s="341">
        <f>IF($Z$7=$E357,1,IF(MONTH($E357)=1,R358*(1+$F$5),R358))</f>
      </c>
      <c r="S357" s="334">
        <f>R357*$B$8/12</f>
      </c>
      <c r="T357" s="334">
        <f>R357*$B$11/12</f>
      </c>
      <c r="U357" s="565">
        <f>(1+$V$5)^(P357/12)*(T357+IF(Q357=$Z$7,$Z$4,0))</f>
      </c>
      <c r="V357" s="170"/>
      <c r="W357" s="7"/>
      <c r="X357" s="1"/>
      <c r="Y357" s="1"/>
      <c r="Z357" s="1"/>
      <c r="AA357" s="1"/>
      <c r="AB357" s="1"/>
      <c r="AC357" s="331">
        <v>350</v>
      </c>
      <c r="AD357" s="544">
        <f>+DATE(YEAR(AD356),MONTH(AD356)-1,DAY(AD356))</f>
        <v>25569.041666666668</v>
      </c>
      <c r="AE357" s="341">
        <f>IF($AM$7=$E357,1,IF(MONTH($E357)=1,AE358*(1+$F$5),AE358))</f>
      </c>
      <c r="AF357" s="334">
        <f>AE357*$B$8/12</f>
      </c>
      <c r="AG357" s="334">
        <f>AE357*$B$12/12</f>
      </c>
      <c r="AH357" s="565">
        <f>(1+$AI$5)^(AC357/12)*(AG357+IF(AD357=$AM$7,$AM$4,0))</f>
      </c>
      <c r="AI357" s="170"/>
      <c r="AJ357" s="7"/>
      <c r="AK357" s="1"/>
      <c r="AL357" s="1"/>
      <c r="AM357" s="1"/>
    </row>
    <row x14ac:dyDescent="0.25" r="358" customHeight="1" ht="18.75">
      <c r="A358" s="1"/>
      <c r="B358" s="169"/>
      <c r="C358" s="170"/>
      <c r="D358" s="331">
        <v>351</v>
      </c>
      <c r="E358" s="544">
        <f>+DATE(YEAR(E357),MONTH(E357)-1,DAY(E357))</f>
        <v>25569.041666666668</v>
      </c>
      <c r="F358" s="333">
        <f>IF($C$6=$E358,1,IF(MONTH($E358)=1,F359*(1+$F$5),F359))</f>
      </c>
      <c r="G358" s="333">
        <f>F358*$B$8/12</f>
      </c>
      <c r="H358" s="333">
        <f>IF(F358=1,F358*$B$10/MIN(12,'Simulador - 3º Pilar'!$E$88),0)</f>
      </c>
      <c r="I358" s="560">
        <f>(1+$G$5)^(D358/12)*(H358+IF(E358=$N$7,$N$4,0))</f>
      </c>
      <c r="J358" s="561">
        <f>(1+$G$5)^(D358/12)*(H358*(12-IF(MONTH(E359)=12,0,MONTH(E359)))+IF(AND(F358=1,F359=0),$Q$4,0))*IF(AND(F358=1,F359=0),1,0)</f>
      </c>
      <c r="K358" s="217">
        <f>(1+$G$5)^(D358/12)*(IF(E358=$N$7,$N$4,0)+IF(E358=$C$6,$B$10,0))</f>
      </c>
      <c r="L358" s="217">
        <f>(1+$G$5)^(D358/12)*(IF((E358)&gt;($B$6),H358,0)+IF(E358=$N$7,$N$4,0)+IF(E358=$C$6,0,0))</f>
      </c>
      <c r="M358" s="1"/>
      <c r="N358" s="7"/>
      <c r="O358" s="1"/>
      <c r="P358" s="331">
        <v>351</v>
      </c>
      <c r="Q358" s="544">
        <f>+DATE(YEAR(Q357),MONTH(Q357)-1,DAY(Q357))</f>
        <v>25569.041666666668</v>
      </c>
      <c r="R358" s="341">
        <f>IF($Z$7=$E358,1,IF(MONTH($E358)=1,R359*(1+$F$5),R359))</f>
      </c>
      <c r="S358" s="334">
        <f>R358*$B$8/12</f>
      </c>
      <c r="T358" s="334">
        <f>R358*$B$11/12</f>
      </c>
      <c r="U358" s="565">
        <f>(1+$V$5)^(P358/12)*(T358+IF(Q358=$Z$7,$Z$4,0))</f>
      </c>
      <c r="V358" s="170"/>
      <c r="W358" s="7"/>
      <c r="X358" s="1"/>
      <c r="Y358" s="1"/>
      <c r="Z358" s="1"/>
      <c r="AA358" s="1"/>
      <c r="AB358" s="1"/>
      <c r="AC358" s="331">
        <v>351</v>
      </c>
      <c r="AD358" s="544">
        <f>+DATE(YEAR(AD357),MONTH(AD357)-1,DAY(AD357))</f>
        <v>25569.041666666668</v>
      </c>
      <c r="AE358" s="341">
        <f>IF($AM$7=$E358,1,IF(MONTH($E358)=1,AE359*(1+$F$5),AE359))</f>
      </c>
      <c r="AF358" s="334">
        <f>AE358*$B$8/12</f>
      </c>
      <c r="AG358" s="334">
        <f>AE358*$B$12/12</f>
      </c>
      <c r="AH358" s="565">
        <f>(1+$AI$5)^(AC358/12)*(AG358+IF(AD358=$AM$7,$AM$4,0))</f>
      </c>
      <c r="AI358" s="170"/>
      <c r="AJ358" s="7"/>
      <c r="AK358" s="1"/>
      <c r="AL358" s="1"/>
      <c r="AM358" s="1"/>
    </row>
    <row x14ac:dyDescent="0.25" r="359" customHeight="1" ht="18.75">
      <c r="A359" s="1"/>
      <c r="B359" s="169"/>
      <c r="C359" s="170"/>
      <c r="D359" s="331">
        <v>352</v>
      </c>
      <c r="E359" s="544">
        <f>+DATE(YEAR(E358),MONTH(E358)-1,DAY(E358))</f>
        <v>25569.041666666668</v>
      </c>
      <c r="F359" s="333">
        <f>IF($C$6=$E359,1,IF(MONTH($E359)=1,F360*(1+$F$5),F360))</f>
      </c>
      <c r="G359" s="333">
        <f>F359*$B$8/12</f>
      </c>
      <c r="H359" s="333">
        <f>IF(F359=1,F359*$B$10/MIN(12,'Simulador - 3º Pilar'!$E$88),0)</f>
      </c>
      <c r="I359" s="560">
        <f>(1+$G$5)^(D359/12)*(H359+IF(E359=$N$7,$N$4,0))</f>
      </c>
      <c r="J359" s="561">
        <f>(1+$G$5)^(D359/12)*(H359*(12-IF(MONTH(E360)=12,0,MONTH(E360)))+IF(AND(F359=1,F360=0),$Q$4,0))*IF(AND(F359=1,F360=0),1,0)</f>
      </c>
      <c r="K359" s="217">
        <f>(1+$G$5)^(D359/12)*(IF(E359=$N$7,$N$4,0)+IF(E359=$C$6,$B$10,0))</f>
      </c>
      <c r="L359" s="217">
        <f>(1+$G$5)^(D359/12)*(IF((E359)&gt;($B$6),H359,0)+IF(E359=$N$7,$N$4,0)+IF(E359=$C$6,0,0))</f>
      </c>
      <c r="M359" s="1"/>
      <c r="N359" s="7"/>
      <c r="O359" s="1"/>
      <c r="P359" s="331">
        <v>352</v>
      </c>
      <c r="Q359" s="544">
        <f>+DATE(YEAR(Q358),MONTH(Q358)-1,DAY(Q358))</f>
        <v>25569.041666666668</v>
      </c>
      <c r="R359" s="341">
        <f>IF($Z$7=$E359,1,IF(MONTH($E359)=1,R360*(1+$F$5),R360))</f>
      </c>
      <c r="S359" s="334">
        <f>R359*$B$8/12</f>
      </c>
      <c r="T359" s="334">
        <f>R359*$B$11/12</f>
      </c>
      <c r="U359" s="565">
        <f>(1+$V$5)^(P359/12)*(T359+IF(Q359=$Z$7,$Z$4,0))</f>
      </c>
      <c r="V359" s="170"/>
      <c r="W359" s="7"/>
      <c r="X359" s="1"/>
      <c r="Y359" s="1"/>
      <c r="Z359" s="1"/>
      <c r="AA359" s="1"/>
      <c r="AB359" s="1"/>
      <c r="AC359" s="331">
        <v>352</v>
      </c>
      <c r="AD359" s="544">
        <f>+DATE(YEAR(AD358),MONTH(AD358)-1,DAY(AD358))</f>
        <v>25569.041666666668</v>
      </c>
      <c r="AE359" s="341">
        <f>IF($AM$7=$E359,1,IF(MONTH($E359)=1,AE360*(1+$F$5),AE360))</f>
      </c>
      <c r="AF359" s="334">
        <f>AE359*$B$8/12</f>
      </c>
      <c r="AG359" s="334">
        <f>AE359*$B$12/12</f>
      </c>
      <c r="AH359" s="565">
        <f>(1+$AI$5)^(AC359/12)*(AG359+IF(AD359=$AM$7,$AM$4,0))</f>
      </c>
      <c r="AI359" s="170"/>
      <c r="AJ359" s="7"/>
      <c r="AK359" s="1"/>
      <c r="AL359" s="1"/>
      <c r="AM359" s="1"/>
    </row>
    <row x14ac:dyDescent="0.25" r="360" customHeight="1" ht="18.75">
      <c r="A360" s="1"/>
      <c r="B360" s="169"/>
      <c r="C360" s="170"/>
      <c r="D360" s="331">
        <v>353</v>
      </c>
      <c r="E360" s="544">
        <f>+DATE(YEAR(E359),MONTH(E359)-1,DAY(E359))</f>
        <v>25569.041666666668</v>
      </c>
      <c r="F360" s="333">
        <f>IF($C$6=$E360,1,IF(MONTH($E360)=1,F361*(1+$F$5),F361))</f>
      </c>
      <c r="G360" s="333">
        <f>F360*$B$8/12</f>
      </c>
      <c r="H360" s="333">
        <f>IF(F360=1,F360*$B$10/MIN(12,'Simulador - 3º Pilar'!$E$88),0)</f>
      </c>
      <c r="I360" s="560">
        <f>(1+$G$5)^(D360/12)*(H360+IF(E360=$N$7,$N$4,0))</f>
      </c>
      <c r="J360" s="561">
        <f>(1+$G$5)^(D360/12)*(H360*(12-IF(MONTH(E361)=12,0,MONTH(E361)))+IF(AND(F360=1,F361=0),$Q$4,0))*IF(AND(F360=1,F361=0),1,0)</f>
      </c>
      <c r="K360" s="217">
        <f>(1+$G$5)^(D360/12)*(IF(E360=$N$7,$N$4,0)+IF(E360=$C$6,$B$10,0))</f>
      </c>
      <c r="L360" s="217">
        <f>(1+$G$5)^(D360/12)*(IF((E360)&gt;($B$6),H360,0)+IF(E360=$N$7,$N$4,0)+IF(E360=$C$6,0,0))</f>
      </c>
      <c r="M360" s="1"/>
      <c r="N360" s="7"/>
      <c r="O360" s="1"/>
      <c r="P360" s="331">
        <v>353</v>
      </c>
      <c r="Q360" s="544">
        <f>+DATE(YEAR(Q359),MONTH(Q359)-1,DAY(Q359))</f>
        <v>25569.041666666668</v>
      </c>
      <c r="R360" s="341">
        <f>IF($Z$7=$E360,1,IF(MONTH($E360)=1,R361*(1+$F$5),R361))</f>
      </c>
      <c r="S360" s="334">
        <f>R360*$B$8/12</f>
      </c>
      <c r="T360" s="334">
        <f>R360*$B$11/12</f>
      </c>
      <c r="U360" s="565">
        <f>(1+$V$5)^(P360/12)*(T360+IF(Q360=$Z$7,$Z$4,0))</f>
      </c>
      <c r="V360" s="170"/>
      <c r="W360" s="7"/>
      <c r="X360" s="1"/>
      <c r="Y360" s="1"/>
      <c r="Z360" s="1"/>
      <c r="AA360" s="1"/>
      <c r="AB360" s="1"/>
      <c r="AC360" s="331">
        <v>353</v>
      </c>
      <c r="AD360" s="544">
        <f>+DATE(YEAR(AD359),MONTH(AD359)-1,DAY(AD359))</f>
        <v>25569.041666666668</v>
      </c>
      <c r="AE360" s="341">
        <f>IF($AM$7=$E360,1,IF(MONTH($E360)=1,AE361*(1+$F$5),AE361))</f>
      </c>
      <c r="AF360" s="334">
        <f>AE360*$B$8/12</f>
      </c>
      <c r="AG360" s="334">
        <f>AE360*$B$12/12</f>
      </c>
      <c r="AH360" s="565">
        <f>(1+$AI$5)^(AC360/12)*(AG360+IF(AD360=$AM$7,$AM$4,0))</f>
      </c>
      <c r="AI360" s="170"/>
      <c r="AJ360" s="7"/>
      <c r="AK360" s="1"/>
      <c r="AL360" s="1"/>
      <c r="AM360" s="1"/>
    </row>
    <row x14ac:dyDescent="0.25" r="361" customHeight="1" ht="18.75">
      <c r="A361" s="1"/>
      <c r="B361" s="169"/>
      <c r="C361" s="170"/>
      <c r="D361" s="331">
        <v>354</v>
      </c>
      <c r="E361" s="544">
        <f>+DATE(YEAR(E360),MONTH(E360)-1,DAY(E360))</f>
        <v>25569.041666666668</v>
      </c>
      <c r="F361" s="333">
        <f>IF($C$6=$E361,1,IF(MONTH($E361)=1,F362*(1+$F$5),F362))</f>
      </c>
      <c r="G361" s="333">
        <f>F361*$B$8/12</f>
      </c>
      <c r="H361" s="333">
        <f>IF(F361=1,F361*$B$10/MIN(12,'Simulador - 3º Pilar'!$E$88),0)</f>
      </c>
      <c r="I361" s="560">
        <f>(1+$G$5)^(D361/12)*(H361+IF(E361=$N$7,$N$4,0))</f>
      </c>
      <c r="J361" s="561">
        <f>(1+$G$5)^(D361/12)*(H361*(12-IF(MONTH(E362)=12,0,MONTH(E362)))+IF(AND(F361=1,F362=0),$Q$4,0))*IF(AND(F361=1,F362=0),1,0)</f>
      </c>
      <c r="K361" s="217">
        <f>(1+$G$5)^(D361/12)*(IF(E361=$N$7,$N$4,0)+IF(E361=$C$6,$B$10,0))</f>
      </c>
      <c r="L361" s="217">
        <f>(1+$G$5)^(D361/12)*(IF((E361)&gt;($B$6),H361,0)+IF(E361=$N$7,$N$4,0)+IF(E361=$C$6,0,0))</f>
      </c>
      <c r="M361" s="1"/>
      <c r="N361" s="7"/>
      <c r="O361" s="1"/>
      <c r="P361" s="331">
        <v>354</v>
      </c>
      <c r="Q361" s="544">
        <f>+DATE(YEAR(Q360),MONTH(Q360)-1,DAY(Q360))</f>
        <v>25569.041666666668</v>
      </c>
      <c r="R361" s="341">
        <f>IF($Z$7=$E361,1,IF(MONTH($E361)=1,R362*(1+$F$5),R362))</f>
      </c>
      <c r="S361" s="334">
        <f>R361*$B$8/12</f>
      </c>
      <c r="T361" s="334">
        <f>R361*$B$11/12</f>
      </c>
      <c r="U361" s="565">
        <f>(1+$V$5)^(P361/12)*(T361+IF(Q361=$Z$7,$Z$4,0))</f>
      </c>
      <c r="V361" s="170"/>
      <c r="W361" s="7"/>
      <c r="X361" s="1"/>
      <c r="Y361" s="1"/>
      <c r="Z361" s="1"/>
      <c r="AA361" s="1"/>
      <c r="AB361" s="1"/>
      <c r="AC361" s="331">
        <v>354</v>
      </c>
      <c r="AD361" s="544">
        <f>+DATE(YEAR(AD360),MONTH(AD360)-1,DAY(AD360))</f>
        <v>25569.041666666668</v>
      </c>
      <c r="AE361" s="341">
        <f>IF($AM$7=$E361,1,IF(MONTH($E361)=1,AE362*(1+$F$5),AE362))</f>
      </c>
      <c r="AF361" s="334">
        <f>AE361*$B$8/12</f>
      </c>
      <c r="AG361" s="334">
        <f>AE361*$B$12/12</f>
      </c>
      <c r="AH361" s="565">
        <f>(1+$AI$5)^(AC361/12)*(AG361+IF(AD361=$AM$7,$AM$4,0))</f>
      </c>
      <c r="AI361" s="170"/>
      <c r="AJ361" s="7"/>
      <c r="AK361" s="1"/>
      <c r="AL361" s="1"/>
      <c r="AM361" s="1"/>
    </row>
    <row x14ac:dyDescent="0.25" r="362" customHeight="1" ht="18.75">
      <c r="A362" s="1"/>
      <c r="B362" s="169"/>
      <c r="C362" s="170"/>
      <c r="D362" s="331">
        <v>355</v>
      </c>
      <c r="E362" s="544">
        <f>+DATE(YEAR(E361),MONTH(E361)-1,DAY(E361))</f>
        <v>25569.041666666668</v>
      </c>
      <c r="F362" s="333">
        <f>IF($C$6=$E362,1,IF(MONTH($E362)=1,F363*(1+$F$5),F363))</f>
      </c>
      <c r="G362" s="333">
        <f>F362*$B$8/12</f>
      </c>
      <c r="H362" s="333">
        <f>IF(F362=1,F362*$B$10/MIN(12,'Simulador - 3º Pilar'!$E$88),0)</f>
      </c>
      <c r="I362" s="560">
        <f>(1+$G$5)^(D362/12)*(H362+IF(E362=$N$7,$N$4,0))</f>
      </c>
      <c r="J362" s="561">
        <f>(1+$G$5)^(D362/12)*(H362*(12-IF(MONTH(E363)=12,0,MONTH(E363)))+IF(AND(F362=1,F363=0),$Q$4,0))*IF(AND(F362=1,F363=0),1,0)</f>
      </c>
      <c r="K362" s="217">
        <f>(1+$G$5)^(D362/12)*(IF(E362=$N$7,$N$4,0)+IF(E362=$C$6,$B$10,0))</f>
      </c>
      <c r="L362" s="217">
        <f>(1+$G$5)^(D362/12)*(IF((E362)&gt;($B$6),H362,0)+IF(E362=$N$7,$N$4,0)+IF(E362=$C$6,0,0))</f>
      </c>
      <c r="M362" s="1"/>
      <c r="N362" s="7"/>
      <c r="O362" s="1"/>
      <c r="P362" s="331">
        <v>355</v>
      </c>
      <c r="Q362" s="544">
        <f>+DATE(YEAR(Q361),MONTH(Q361)-1,DAY(Q361))</f>
        <v>25569.041666666668</v>
      </c>
      <c r="R362" s="341">
        <f>IF($Z$7=$E362,1,IF(MONTH($E362)=1,R363*(1+$F$5),R363))</f>
      </c>
      <c r="S362" s="334">
        <f>R362*$B$8/12</f>
      </c>
      <c r="T362" s="334">
        <f>R362*$B$11/12</f>
      </c>
      <c r="U362" s="565">
        <f>(1+$V$5)^(P362/12)*(T362+IF(Q362=$Z$7,$Z$4,0))</f>
      </c>
      <c r="V362" s="170"/>
      <c r="W362" s="7"/>
      <c r="X362" s="1"/>
      <c r="Y362" s="1"/>
      <c r="Z362" s="1"/>
      <c r="AA362" s="1"/>
      <c r="AB362" s="1"/>
      <c r="AC362" s="331">
        <v>355</v>
      </c>
      <c r="AD362" s="544">
        <f>+DATE(YEAR(AD361),MONTH(AD361)-1,DAY(AD361))</f>
        <v>25569.041666666668</v>
      </c>
      <c r="AE362" s="341">
        <f>IF($AM$7=$E362,1,IF(MONTH($E362)=1,AE363*(1+$F$5),AE363))</f>
      </c>
      <c r="AF362" s="334">
        <f>AE362*$B$8/12</f>
      </c>
      <c r="AG362" s="334">
        <f>AE362*$B$12/12</f>
      </c>
      <c r="AH362" s="565">
        <f>(1+$AI$5)^(AC362/12)*(AG362+IF(AD362=$AM$7,$AM$4,0))</f>
      </c>
      <c r="AI362" s="170"/>
      <c r="AJ362" s="7"/>
      <c r="AK362" s="1"/>
      <c r="AL362" s="1"/>
      <c r="AM362" s="1"/>
    </row>
    <row x14ac:dyDescent="0.25" r="363" customHeight="1" ht="18.75">
      <c r="A363" s="1"/>
      <c r="B363" s="169"/>
      <c r="C363" s="170"/>
      <c r="D363" s="331">
        <v>356</v>
      </c>
      <c r="E363" s="544">
        <f>+DATE(YEAR(E362),MONTH(E362)-1,DAY(E362))</f>
        <v>25569.041666666668</v>
      </c>
      <c r="F363" s="333">
        <f>IF($C$6=$E363,1,IF(MONTH($E363)=1,F364*(1+$F$5),F364))</f>
      </c>
      <c r="G363" s="333">
        <f>F363*$B$8/12</f>
      </c>
      <c r="H363" s="333">
        <f>IF(F363=1,F363*$B$10/MIN(12,'Simulador - 3º Pilar'!$E$88),0)</f>
      </c>
      <c r="I363" s="560">
        <f>(1+$G$5)^(D363/12)*(H363+IF(E363=$N$7,$N$4,0))</f>
      </c>
      <c r="J363" s="561">
        <f>(1+$G$5)^(D363/12)*(H363*(12-IF(MONTH(E364)=12,0,MONTH(E364)))+IF(AND(F363=1,F364=0),$Q$4,0))*IF(AND(F363=1,F364=0),1,0)</f>
      </c>
      <c r="K363" s="217">
        <f>(1+$G$5)^(D363/12)*(IF(E363=$N$7,$N$4,0)+IF(E363=$C$6,$B$10,0))</f>
      </c>
      <c r="L363" s="217">
        <f>(1+$G$5)^(D363/12)*(IF((E363)&gt;($B$6),H363,0)+IF(E363=$N$7,$N$4,0)+IF(E363=$C$6,0,0))</f>
      </c>
      <c r="M363" s="1"/>
      <c r="N363" s="7"/>
      <c r="O363" s="1"/>
      <c r="P363" s="331">
        <v>356</v>
      </c>
      <c r="Q363" s="544">
        <f>+DATE(YEAR(Q362),MONTH(Q362)-1,DAY(Q362))</f>
        <v>25569.041666666668</v>
      </c>
      <c r="R363" s="341">
        <f>IF($Z$7=$E363,1,IF(MONTH($E363)=1,R364*(1+$F$5),R364))</f>
      </c>
      <c r="S363" s="334">
        <f>R363*$B$8/12</f>
      </c>
      <c r="T363" s="334">
        <f>R363*$B$11/12</f>
      </c>
      <c r="U363" s="565">
        <f>(1+$V$5)^(P363/12)*(T363+IF(Q363=$Z$7,$Z$4,0))</f>
      </c>
      <c r="V363" s="170"/>
      <c r="W363" s="7"/>
      <c r="X363" s="1"/>
      <c r="Y363" s="1"/>
      <c r="Z363" s="1"/>
      <c r="AA363" s="1"/>
      <c r="AB363" s="1"/>
      <c r="AC363" s="331">
        <v>356</v>
      </c>
      <c r="AD363" s="544">
        <f>+DATE(YEAR(AD362),MONTH(AD362)-1,DAY(AD362))</f>
        <v>25569.041666666668</v>
      </c>
      <c r="AE363" s="341">
        <f>IF($AM$7=$E363,1,IF(MONTH($E363)=1,AE364*(1+$F$5),AE364))</f>
      </c>
      <c r="AF363" s="334">
        <f>AE363*$B$8/12</f>
      </c>
      <c r="AG363" s="334">
        <f>AE363*$B$12/12</f>
      </c>
      <c r="AH363" s="565">
        <f>(1+$AI$5)^(AC363/12)*(AG363+IF(AD363=$AM$7,$AM$4,0))</f>
      </c>
      <c r="AI363" s="170"/>
      <c r="AJ363" s="7"/>
      <c r="AK363" s="1"/>
      <c r="AL363" s="1"/>
      <c r="AM363" s="1"/>
    </row>
    <row x14ac:dyDescent="0.25" r="364" customHeight="1" ht="18.75">
      <c r="A364" s="1"/>
      <c r="B364" s="169"/>
      <c r="C364" s="170"/>
      <c r="D364" s="331">
        <v>357</v>
      </c>
      <c r="E364" s="544">
        <f>+DATE(YEAR(E363),MONTH(E363)-1,DAY(E363))</f>
        <v>25569.041666666668</v>
      </c>
      <c r="F364" s="333">
        <f>IF($C$6=$E364,1,IF(MONTH($E364)=1,F365*(1+$F$5),F365))</f>
      </c>
      <c r="G364" s="333">
        <f>F364*$B$8/12</f>
      </c>
      <c r="H364" s="333">
        <f>IF(F364=1,F364*$B$10/MIN(12,'Simulador - 3º Pilar'!$E$88),0)</f>
      </c>
      <c r="I364" s="560">
        <f>(1+$G$5)^(D364/12)*(H364+IF(E364=$N$7,$N$4,0))</f>
      </c>
      <c r="J364" s="561">
        <f>(1+$G$5)^(D364/12)*(H364*(12-IF(MONTH(E365)=12,0,MONTH(E365)))+IF(AND(F364=1,F365=0),$Q$4,0))*IF(AND(F364=1,F365=0),1,0)</f>
      </c>
      <c r="K364" s="217">
        <f>(1+$G$5)^(D364/12)*(IF(E364=$N$7,$N$4,0)+IF(E364=$C$6,$B$10,0))</f>
      </c>
      <c r="L364" s="217">
        <f>(1+$G$5)^(D364/12)*(IF((E364)&gt;($B$6),H364,0)+IF(E364=$N$7,$N$4,0)+IF(E364=$C$6,0,0))</f>
      </c>
      <c r="M364" s="1"/>
      <c r="N364" s="7"/>
      <c r="O364" s="1"/>
      <c r="P364" s="331">
        <v>357</v>
      </c>
      <c r="Q364" s="544">
        <f>+DATE(YEAR(Q363),MONTH(Q363)-1,DAY(Q363))</f>
        <v>25569.041666666668</v>
      </c>
      <c r="R364" s="341">
        <f>IF($Z$7=$E364,1,IF(MONTH($E364)=1,R365*(1+$F$5),R365))</f>
      </c>
      <c r="S364" s="334">
        <f>R364*$B$8/12</f>
      </c>
      <c r="T364" s="334">
        <f>R364*$B$11/12</f>
      </c>
      <c r="U364" s="565">
        <f>(1+$V$5)^(P364/12)*(T364+IF(Q364=$Z$7,$Z$4,0))</f>
      </c>
      <c r="V364" s="170"/>
      <c r="W364" s="7"/>
      <c r="X364" s="1"/>
      <c r="Y364" s="1"/>
      <c r="Z364" s="1"/>
      <c r="AA364" s="1"/>
      <c r="AB364" s="1"/>
      <c r="AC364" s="331">
        <v>357</v>
      </c>
      <c r="AD364" s="544">
        <f>+DATE(YEAR(AD363),MONTH(AD363)-1,DAY(AD363))</f>
        <v>25569.041666666668</v>
      </c>
      <c r="AE364" s="341">
        <f>IF($AM$7=$E364,1,IF(MONTH($E364)=1,AE365*(1+$F$5),AE365))</f>
      </c>
      <c r="AF364" s="334">
        <f>AE364*$B$8/12</f>
      </c>
      <c r="AG364" s="334">
        <f>AE364*$B$12/12</f>
      </c>
      <c r="AH364" s="565">
        <f>(1+$AI$5)^(AC364/12)*(AG364+IF(AD364=$AM$7,$AM$4,0))</f>
      </c>
      <c r="AI364" s="170"/>
      <c r="AJ364" s="7"/>
      <c r="AK364" s="1"/>
      <c r="AL364" s="1"/>
      <c r="AM364" s="1"/>
    </row>
    <row x14ac:dyDescent="0.25" r="365" customHeight="1" ht="18.75">
      <c r="A365" s="1"/>
      <c r="B365" s="169"/>
      <c r="C365" s="170"/>
      <c r="D365" s="331">
        <v>358</v>
      </c>
      <c r="E365" s="544">
        <f>+DATE(YEAR(E364),MONTH(E364)-1,DAY(E364))</f>
        <v>25569.041666666668</v>
      </c>
      <c r="F365" s="333">
        <f>IF($C$6=$E365,1,IF(MONTH($E365)=1,F366*(1+$F$5),F366))</f>
      </c>
      <c r="G365" s="333">
        <f>F365*$B$8/12</f>
      </c>
      <c r="H365" s="333">
        <f>IF(F365=1,F365*$B$10/MIN(12,'Simulador - 3º Pilar'!$E$88),0)</f>
      </c>
      <c r="I365" s="560">
        <f>(1+$G$5)^(D365/12)*(H365+IF(E365=$N$7,$N$4,0))</f>
      </c>
      <c r="J365" s="561">
        <f>(1+$G$5)^(D365/12)*(H365*(12-IF(MONTH(E366)=12,0,MONTH(E366)))+IF(AND(F365=1,F366=0),$Q$4,0))*IF(AND(F365=1,F366=0),1,0)</f>
      </c>
      <c r="K365" s="217">
        <f>(1+$G$5)^(D365/12)*(IF(E365=$N$7,$N$4,0)+IF(E365=$C$6,$B$10,0))</f>
      </c>
      <c r="L365" s="217">
        <f>(1+$G$5)^(D365/12)*(IF((E365)&gt;($B$6),H365,0)+IF(E365=$N$7,$N$4,0)+IF(E365=$C$6,0,0))</f>
      </c>
      <c r="M365" s="1"/>
      <c r="N365" s="7"/>
      <c r="O365" s="1"/>
      <c r="P365" s="331">
        <v>358</v>
      </c>
      <c r="Q365" s="544">
        <f>+DATE(YEAR(Q364),MONTH(Q364)-1,DAY(Q364))</f>
        <v>25569.041666666668</v>
      </c>
      <c r="R365" s="341">
        <f>IF($Z$7=$E365,1,IF(MONTH($E365)=1,R366*(1+$F$5),R366))</f>
      </c>
      <c r="S365" s="334">
        <f>R365*$B$8/12</f>
      </c>
      <c r="T365" s="334">
        <f>R365*$B$11/12</f>
      </c>
      <c r="U365" s="565">
        <f>(1+$V$5)^(P365/12)*(T365+IF(Q365=$Z$7,$Z$4,0))</f>
      </c>
      <c r="V365" s="170"/>
      <c r="W365" s="7"/>
      <c r="X365" s="1"/>
      <c r="Y365" s="1"/>
      <c r="Z365" s="1"/>
      <c r="AA365" s="1"/>
      <c r="AB365" s="1"/>
      <c r="AC365" s="331">
        <v>358</v>
      </c>
      <c r="AD365" s="544">
        <f>+DATE(YEAR(AD364),MONTH(AD364)-1,DAY(AD364))</f>
        <v>25569.041666666668</v>
      </c>
      <c r="AE365" s="341">
        <f>IF($AM$7=$E365,1,IF(MONTH($E365)=1,AE366*(1+$F$5),AE366))</f>
      </c>
      <c r="AF365" s="334">
        <f>AE365*$B$8/12</f>
      </c>
      <c r="AG365" s="334">
        <f>AE365*$B$12/12</f>
      </c>
      <c r="AH365" s="565">
        <f>(1+$AI$5)^(AC365/12)*(AG365+IF(AD365=$AM$7,$AM$4,0))</f>
      </c>
      <c r="AI365" s="170"/>
      <c r="AJ365" s="7"/>
      <c r="AK365" s="1"/>
      <c r="AL365" s="1"/>
      <c r="AM365" s="1"/>
    </row>
    <row x14ac:dyDescent="0.25" r="366" customHeight="1" ht="18.75">
      <c r="A366" s="1"/>
      <c r="B366" s="169"/>
      <c r="C366" s="170"/>
      <c r="D366" s="331">
        <v>359</v>
      </c>
      <c r="E366" s="544">
        <f>+DATE(YEAR(E365),MONTH(E365)-1,DAY(E365))</f>
        <v>25569.041666666668</v>
      </c>
      <c r="F366" s="333">
        <f>IF($C$6=$E366,1,IF(MONTH($E366)=1,F367*(1+$F$5),F367))</f>
      </c>
      <c r="G366" s="333">
        <f>F366*$B$8/12</f>
      </c>
      <c r="H366" s="333">
        <f>IF(F366=1,F366*$B$10/MIN(12,'Simulador - 3º Pilar'!$E$88),0)</f>
      </c>
      <c r="I366" s="560">
        <f>(1+$G$5)^(D366/12)*(H366+IF(E366=$N$7,$N$4,0))</f>
      </c>
      <c r="J366" s="561">
        <f>(1+$G$5)^(D366/12)*(H366*(12-IF(MONTH(E367)=12,0,MONTH(E367)))+IF(AND(F366=1,F367=0),$Q$4,0))*IF(AND(F366=1,F367=0),1,0)</f>
      </c>
      <c r="K366" s="217">
        <f>(1+$G$5)^(D366/12)*(IF(E366=$N$7,$N$4,0)+IF(E366=$C$6,$B$10,0))</f>
      </c>
      <c r="L366" s="217">
        <f>(1+$G$5)^(D366/12)*(IF((E366)&gt;($B$6),H366,0)+IF(E366=$N$7,$N$4,0)+IF(E366=$C$6,0,0))</f>
      </c>
      <c r="M366" s="1"/>
      <c r="N366" s="7"/>
      <c r="O366" s="1"/>
      <c r="P366" s="331">
        <v>359</v>
      </c>
      <c r="Q366" s="544">
        <f>+DATE(YEAR(Q365),MONTH(Q365)-1,DAY(Q365))</f>
        <v>25569.041666666668</v>
      </c>
      <c r="R366" s="341">
        <f>IF($Z$7=$E366,1,IF(MONTH($E366)=1,R367*(1+$F$5),R367))</f>
      </c>
      <c r="S366" s="334">
        <f>R366*$B$8/12</f>
      </c>
      <c r="T366" s="334">
        <f>R366*$B$11/12</f>
      </c>
      <c r="U366" s="565">
        <f>(1+$V$5)^(P366/12)*(T366+IF(Q366=$Z$7,$Z$4,0))</f>
      </c>
      <c r="V366" s="170"/>
      <c r="W366" s="7"/>
      <c r="X366" s="1"/>
      <c r="Y366" s="1"/>
      <c r="Z366" s="1"/>
      <c r="AA366" s="1"/>
      <c r="AB366" s="1"/>
      <c r="AC366" s="331">
        <v>359</v>
      </c>
      <c r="AD366" s="544">
        <f>+DATE(YEAR(AD365),MONTH(AD365)-1,DAY(AD365))</f>
        <v>25569.041666666668</v>
      </c>
      <c r="AE366" s="341">
        <f>IF($AM$7=$E366,1,IF(MONTH($E366)=1,AE367*(1+$F$5),AE367))</f>
      </c>
      <c r="AF366" s="334">
        <f>AE366*$B$8/12</f>
      </c>
      <c r="AG366" s="334">
        <f>AE366*$B$12/12</f>
      </c>
      <c r="AH366" s="565">
        <f>(1+$AI$5)^(AC366/12)*(AG366+IF(AD366=$AM$7,$AM$4,0))</f>
      </c>
      <c r="AI366" s="170"/>
      <c r="AJ366" s="7"/>
      <c r="AK366" s="1"/>
      <c r="AL366" s="1"/>
      <c r="AM366" s="1"/>
    </row>
    <row x14ac:dyDescent="0.25" r="367" customHeight="1" ht="18.75">
      <c r="A367" s="1"/>
      <c r="B367" s="169"/>
      <c r="C367" s="170"/>
      <c r="D367" s="331">
        <v>360</v>
      </c>
      <c r="E367" s="544">
        <f>+DATE(YEAR(E366),MONTH(E366)-1,DAY(E366))</f>
        <v>25569.041666666668</v>
      </c>
      <c r="F367" s="333">
        <f>IF($C$6=$E367,1,IF(MONTH($E367)=1,F368*(1+$F$5),F368))</f>
      </c>
      <c r="G367" s="333">
        <f>F367*$B$8/12</f>
      </c>
      <c r="H367" s="333">
        <f>IF(F367=1,F367*$B$10/MIN(12,'Simulador - 3º Pilar'!$E$88),0)</f>
      </c>
      <c r="I367" s="560">
        <f>(1+$G$5)^(D367/12)*(H367+IF(E367=$N$7,$N$4,0))</f>
      </c>
      <c r="J367" s="561">
        <f>(1+$G$5)^(D367/12)*(H367*(12-IF(MONTH(E368)=12,0,MONTH(E368)))+IF(AND(F367=1,F368=0),$Q$4,0))*IF(AND(F367=1,F368=0),1,0)</f>
      </c>
      <c r="K367" s="217">
        <f>(1+$G$5)^(D367/12)*(IF(E367=$N$7,$N$4,0)+IF(E367=$C$6,$B$10,0))</f>
      </c>
      <c r="L367" s="217">
        <f>(1+$G$5)^(D367/12)*(IF((E367)&gt;($B$6),H367,0)+IF(E367=$N$7,$N$4,0)+IF(E367=$C$6,0,0))</f>
      </c>
      <c r="M367" s="1"/>
      <c r="N367" s="7"/>
      <c r="O367" s="1"/>
      <c r="P367" s="331">
        <v>360</v>
      </c>
      <c r="Q367" s="544">
        <f>+DATE(YEAR(Q366),MONTH(Q366)-1,DAY(Q366))</f>
        <v>25569.041666666668</v>
      </c>
      <c r="R367" s="341">
        <f>IF($Z$7=$E367,1,IF(MONTH($E367)=1,R368*(1+$F$5),R368))</f>
      </c>
      <c r="S367" s="334">
        <f>R367*$B$8/12</f>
      </c>
      <c r="T367" s="334">
        <f>R367*$B$11/12</f>
      </c>
      <c r="U367" s="565">
        <f>(1+$V$5)^(P367/12)*(T367+IF(Q367=$Z$7,$Z$4,0))</f>
      </c>
      <c r="V367" s="170"/>
      <c r="W367" s="7"/>
      <c r="X367" s="1"/>
      <c r="Y367" s="1"/>
      <c r="Z367" s="1"/>
      <c r="AA367" s="1"/>
      <c r="AB367" s="1"/>
      <c r="AC367" s="331">
        <v>360</v>
      </c>
      <c r="AD367" s="544">
        <f>+DATE(YEAR(AD366),MONTH(AD366)-1,DAY(AD366))</f>
        <v>25569.041666666668</v>
      </c>
      <c r="AE367" s="341">
        <f>IF($AM$7=$E367,1,IF(MONTH($E367)=1,AE368*(1+$F$5),AE368))</f>
      </c>
      <c r="AF367" s="334">
        <f>AE367*$B$8/12</f>
      </c>
      <c r="AG367" s="334">
        <f>AE367*$B$12/12</f>
      </c>
      <c r="AH367" s="565">
        <f>(1+$AI$5)^(AC367/12)*(AG367+IF(AD367=$AM$7,$AM$4,0))</f>
      </c>
      <c r="AI367" s="170"/>
      <c r="AJ367" s="7"/>
      <c r="AK367" s="1"/>
      <c r="AL367" s="1"/>
      <c r="AM367" s="1"/>
    </row>
    <row x14ac:dyDescent="0.25" r="368" customHeight="1" ht="18.75">
      <c r="A368" s="1"/>
      <c r="B368" s="169"/>
      <c r="C368" s="170"/>
      <c r="D368" s="331">
        <v>361</v>
      </c>
      <c r="E368" s="544">
        <f>+DATE(YEAR(E367),MONTH(E367)-1,DAY(E367))</f>
        <v>25569.041666666668</v>
      </c>
      <c r="F368" s="333">
        <f>IF($C$6=$E368,1,IF(MONTH($E368)=1,F369*(1+$F$5),F369))</f>
      </c>
      <c r="G368" s="333">
        <f>F368*$B$8/12</f>
      </c>
      <c r="H368" s="333">
        <f>IF(F368=1,F368*$B$10/MIN(12,'Simulador - 3º Pilar'!$E$88),0)</f>
      </c>
      <c r="I368" s="560">
        <f>(1+$G$5)^(D368/12)*(H368+IF(E368=$N$7,$N$4,0))</f>
      </c>
      <c r="J368" s="561">
        <f>(1+$G$5)^(D368/12)*(H368*(12-IF(MONTH(E369)=12,0,MONTH(E369)))+IF(AND(F368=1,F369=0),$Q$4,0))*IF(AND(F368=1,F369=0),1,0)</f>
      </c>
      <c r="K368" s="217">
        <f>(1+$G$5)^(D368/12)*(IF(E368=$N$7,$N$4,0)+IF(E368=$C$6,$B$10,0))</f>
      </c>
      <c r="L368" s="217">
        <f>(1+$G$5)^(D368/12)*(IF((E368)&gt;($B$6),H368,0)+IF(E368=$N$7,$N$4,0)+IF(E368=$C$6,0,0))</f>
      </c>
      <c r="M368" s="1"/>
      <c r="N368" s="7"/>
      <c r="O368" s="1"/>
      <c r="P368" s="331">
        <v>361</v>
      </c>
      <c r="Q368" s="544">
        <f>+DATE(YEAR(Q367),MONTH(Q367)-1,DAY(Q367))</f>
        <v>25569.041666666668</v>
      </c>
      <c r="R368" s="341">
        <f>IF($Z$7=$E368,1,IF(MONTH($E368)=1,R369*(1+$F$5),R369))</f>
      </c>
      <c r="S368" s="334">
        <f>R368*$B$8/12</f>
      </c>
      <c r="T368" s="334">
        <f>R368*$B$11/12</f>
      </c>
      <c r="U368" s="565">
        <f>(1+$V$5)^(P368/12)*(T368+IF(Q368=$Z$7,$Z$4,0))</f>
      </c>
      <c r="V368" s="170"/>
      <c r="W368" s="7"/>
      <c r="X368" s="1"/>
      <c r="Y368" s="1"/>
      <c r="Z368" s="1"/>
      <c r="AA368" s="1"/>
      <c r="AB368" s="1"/>
      <c r="AC368" s="331">
        <v>361</v>
      </c>
      <c r="AD368" s="544">
        <f>+DATE(YEAR(AD367),MONTH(AD367)-1,DAY(AD367))</f>
        <v>25569.041666666668</v>
      </c>
      <c r="AE368" s="341">
        <f>IF($AM$7=$E368,1,IF(MONTH($E368)=1,AE369*(1+$F$5),AE369))</f>
      </c>
      <c r="AF368" s="334">
        <f>AE368*$B$8/12</f>
      </c>
      <c r="AG368" s="334">
        <f>AE368*$B$12/12</f>
      </c>
      <c r="AH368" s="565">
        <f>(1+$AI$5)^(AC368/12)*(AG368+IF(AD368=$AM$7,$AM$4,0))</f>
      </c>
      <c r="AI368" s="170"/>
      <c r="AJ368" s="7"/>
      <c r="AK368" s="1"/>
      <c r="AL368" s="1"/>
      <c r="AM368" s="1"/>
    </row>
    <row x14ac:dyDescent="0.25" r="369" customHeight="1" ht="18.75">
      <c r="A369" s="1"/>
      <c r="B369" s="169"/>
      <c r="C369" s="170"/>
      <c r="D369" s="331">
        <v>362</v>
      </c>
      <c r="E369" s="544">
        <f>+DATE(YEAR(E368),MONTH(E368)-1,DAY(E368))</f>
        <v>25569.041666666668</v>
      </c>
      <c r="F369" s="333">
        <f>IF($C$6=$E369,1,IF(MONTH($E369)=1,F370*(1+$F$5),F370))</f>
      </c>
      <c r="G369" s="333">
        <f>F369*$B$8/12</f>
      </c>
      <c r="H369" s="333">
        <f>IF(F369=1,F369*$B$10/MIN(12,'Simulador - 3º Pilar'!$E$88),0)</f>
      </c>
      <c r="I369" s="560">
        <f>(1+$G$5)^(D369/12)*(H369+IF(E369=$N$7,$N$4,0))</f>
      </c>
      <c r="J369" s="561">
        <f>(1+$G$5)^(D369/12)*(H369*(12-IF(MONTH(E370)=12,0,MONTH(E370)))+IF(AND(F369=1,F370=0),$Q$4,0))*IF(AND(F369=1,F370=0),1,0)</f>
      </c>
      <c r="K369" s="217">
        <f>(1+$G$5)^(D369/12)*(IF(E369=$N$7,$N$4,0)+IF(E369=$C$6,$B$10,0))</f>
      </c>
      <c r="L369" s="217">
        <f>(1+$G$5)^(D369/12)*(IF((E369)&gt;($B$6),H369,0)+IF(E369=$N$7,$N$4,0)+IF(E369=$C$6,0,0))</f>
      </c>
      <c r="M369" s="1"/>
      <c r="N369" s="7"/>
      <c r="O369" s="1"/>
      <c r="P369" s="331">
        <v>362</v>
      </c>
      <c r="Q369" s="544">
        <f>+DATE(YEAR(Q368),MONTH(Q368)-1,DAY(Q368))</f>
        <v>25569.041666666668</v>
      </c>
      <c r="R369" s="341">
        <f>IF($Z$7=$E369,1,IF(MONTH($E369)=1,R370*(1+$F$5),R370))</f>
      </c>
      <c r="S369" s="334">
        <f>R369*$B$8/12</f>
      </c>
      <c r="T369" s="334">
        <f>R369*$B$11/12</f>
      </c>
      <c r="U369" s="565">
        <f>(1+$V$5)^(P369/12)*(T369+IF(Q369=$Z$7,$Z$4,0))</f>
      </c>
      <c r="V369" s="170"/>
      <c r="W369" s="7"/>
      <c r="X369" s="1"/>
      <c r="Y369" s="1"/>
      <c r="Z369" s="1"/>
      <c r="AA369" s="1"/>
      <c r="AB369" s="1"/>
      <c r="AC369" s="331">
        <v>362</v>
      </c>
      <c r="AD369" s="544">
        <f>+DATE(YEAR(AD368),MONTH(AD368)-1,DAY(AD368))</f>
        <v>25569.041666666668</v>
      </c>
      <c r="AE369" s="341">
        <f>IF($AM$7=$E369,1,IF(MONTH($E369)=1,AE370*(1+$F$5),AE370))</f>
      </c>
      <c r="AF369" s="334">
        <f>AE369*$B$8/12</f>
      </c>
      <c r="AG369" s="334">
        <f>AE369*$B$12/12</f>
      </c>
      <c r="AH369" s="565">
        <f>(1+$AI$5)^(AC369/12)*(AG369+IF(AD369=$AM$7,$AM$4,0))</f>
      </c>
      <c r="AI369" s="170"/>
      <c r="AJ369" s="7"/>
      <c r="AK369" s="1"/>
      <c r="AL369" s="1"/>
      <c r="AM369" s="1"/>
    </row>
    <row x14ac:dyDescent="0.25" r="370" customHeight="1" ht="18.75">
      <c r="A370" s="1"/>
      <c r="B370" s="169"/>
      <c r="C370" s="170"/>
      <c r="D370" s="331">
        <v>363</v>
      </c>
      <c r="E370" s="544">
        <f>+DATE(YEAR(E369),MONTH(E369)-1,DAY(E369))</f>
        <v>25569.041666666668</v>
      </c>
      <c r="F370" s="333">
        <f>IF($C$6=$E370,1,IF(MONTH($E370)=1,F371*(1+$F$5),F371))</f>
      </c>
      <c r="G370" s="333">
        <f>F370*$B$8/12</f>
      </c>
      <c r="H370" s="333">
        <f>IF(F370=1,F370*$B$10/MIN(12,'Simulador - 3º Pilar'!$E$88),0)</f>
      </c>
      <c r="I370" s="560">
        <f>(1+$G$5)^(D370/12)*(H370+IF(E370=$N$7,$N$4,0))</f>
      </c>
      <c r="J370" s="561">
        <f>(1+$G$5)^(D370/12)*(H370*(12-IF(MONTH(E371)=12,0,MONTH(E371)))+IF(AND(F370=1,F371=0),$Q$4,0))*IF(AND(F370=1,F371=0),1,0)</f>
      </c>
      <c r="K370" s="217">
        <f>(1+$G$5)^(D370/12)*(IF(E370=$N$7,$N$4,0)+IF(E370=$C$6,$B$10,0))</f>
      </c>
      <c r="L370" s="217">
        <f>(1+$G$5)^(D370/12)*(IF((E370)&gt;($B$6),H370,0)+IF(E370=$N$7,$N$4,0)+IF(E370=$C$6,0,0))</f>
      </c>
      <c r="M370" s="1"/>
      <c r="N370" s="7"/>
      <c r="O370" s="1"/>
      <c r="P370" s="331">
        <v>363</v>
      </c>
      <c r="Q370" s="544">
        <f>+DATE(YEAR(Q369),MONTH(Q369)-1,DAY(Q369))</f>
        <v>25569.041666666668</v>
      </c>
      <c r="R370" s="341">
        <f>IF($Z$7=$E370,1,IF(MONTH($E370)=1,R371*(1+$F$5),R371))</f>
      </c>
      <c r="S370" s="334">
        <f>R370*$B$8/12</f>
      </c>
      <c r="T370" s="334">
        <f>R370*$B$11/12</f>
      </c>
      <c r="U370" s="565">
        <f>(1+$V$5)^(P370/12)*(T370+IF(Q370=$Z$7,$Z$4,0))</f>
      </c>
      <c r="V370" s="170"/>
      <c r="W370" s="7"/>
      <c r="X370" s="1"/>
      <c r="Y370" s="1"/>
      <c r="Z370" s="1"/>
      <c r="AA370" s="1"/>
      <c r="AB370" s="1"/>
      <c r="AC370" s="331">
        <v>363</v>
      </c>
      <c r="AD370" s="544">
        <f>+DATE(YEAR(AD369),MONTH(AD369)-1,DAY(AD369))</f>
        <v>25569.041666666668</v>
      </c>
      <c r="AE370" s="341">
        <f>IF($AM$7=$E370,1,IF(MONTH($E370)=1,AE371*(1+$F$5),AE371))</f>
      </c>
      <c r="AF370" s="334">
        <f>AE370*$B$8/12</f>
      </c>
      <c r="AG370" s="334">
        <f>AE370*$B$12/12</f>
      </c>
      <c r="AH370" s="565">
        <f>(1+$AI$5)^(AC370/12)*(AG370+IF(AD370=$AM$7,$AM$4,0))</f>
      </c>
      <c r="AI370" s="170"/>
      <c r="AJ370" s="7"/>
      <c r="AK370" s="1"/>
      <c r="AL370" s="1"/>
      <c r="AM370" s="1"/>
    </row>
    <row x14ac:dyDescent="0.25" r="371" customHeight="1" ht="18.75">
      <c r="A371" s="1"/>
      <c r="B371" s="169"/>
      <c r="C371" s="170"/>
      <c r="D371" s="331">
        <v>364</v>
      </c>
      <c r="E371" s="544">
        <f>+DATE(YEAR(E370),MONTH(E370)-1,DAY(E370))</f>
        <v>25569.041666666668</v>
      </c>
      <c r="F371" s="333">
        <f>IF($C$6=$E371,1,IF(MONTH($E371)=1,F372*(1+$F$5),F372))</f>
      </c>
      <c r="G371" s="333">
        <f>F371*$B$8/12</f>
      </c>
      <c r="H371" s="333">
        <f>IF(F371=1,F371*$B$10/MIN(12,'Simulador - 3º Pilar'!$E$88),0)</f>
      </c>
      <c r="I371" s="560">
        <f>(1+$G$5)^(D371/12)*(H371+IF(E371=$N$7,$N$4,0))</f>
      </c>
      <c r="J371" s="561">
        <f>(1+$G$5)^(D371/12)*(H371*(12-IF(MONTH(E372)=12,0,MONTH(E372)))+IF(AND(F371=1,F372=0),$Q$4,0))*IF(AND(F371=1,F372=0),1,0)</f>
      </c>
      <c r="K371" s="217">
        <f>(1+$G$5)^(D371/12)*(IF(E371=$N$7,$N$4,0)+IF(E371=$C$6,$B$10,0))</f>
      </c>
      <c r="L371" s="217">
        <f>(1+$G$5)^(D371/12)*(IF((E371)&gt;($B$6),H371,0)+IF(E371=$N$7,$N$4,0)+IF(E371=$C$6,0,0))</f>
      </c>
      <c r="M371" s="1"/>
      <c r="N371" s="7"/>
      <c r="O371" s="1"/>
      <c r="P371" s="331">
        <v>364</v>
      </c>
      <c r="Q371" s="544">
        <f>+DATE(YEAR(Q370),MONTH(Q370)-1,DAY(Q370))</f>
        <v>25569.041666666668</v>
      </c>
      <c r="R371" s="341">
        <f>IF($Z$7=$E371,1,IF(MONTH($E371)=1,R372*(1+$F$5),R372))</f>
      </c>
      <c r="S371" s="334">
        <f>R371*$B$8/12</f>
      </c>
      <c r="T371" s="334">
        <f>R371*$B$11/12</f>
      </c>
      <c r="U371" s="565">
        <f>(1+$V$5)^(P371/12)*(T371+IF(Q371=$Z$7,$Z$4,0))</f>
      </c>
      <c r="V371" s="170"/>
      <c r="W371" s="7"/>
      <c r="X371" s="1"/>
      <c r="Y371" s="1"/>
      <c r="Z371" s="1"/>
      <c r="AA371" s="1"/>
      <c r="AB371" s="1"/>
      <c r="AC371" s="331">
        <v>364</v>
      </c>
      <c r="AD371" s="544">
        <f>+DATE(YEAR(AD370),MONTH(AD370)-1,DAY(AD370))</f>
        <v>25569.041666666668</v>
      </c>
      <c r="AE371" s="341">
        <f>IF($AM$7=$E371,1,IF(MONTH($E371)=1,AE372*(1+$F$5),AE372))</f>
      </c>
      <c r="AF371" s="334">
        <f>AE371*$B$8/12</f>
      </c>
      <c r="AG371" s="334">
        <f>AE371*$B$12/12</f>
      </c>
      <c r="AH371" s="565">
        <f>(1+$AI$5)^(AC371/12)*(AG371+IF(AD371=$AM$7,$AM$4,0))</f>
      </c>
      <c r="AI371" s="170"/>
      <c r="AJ371" s="7"/>
      <c r="AK371" s="1"/>
      <c r="AL371" s="1"/>
      <c r="AM371" s="1"/>
    </row>
    <row x14ac:dyDescent="0.25" r="372" customHeight="1" ht="18.75">
      <c r="A372" s="1"/>
      <c r="B372" s="169"/>
      <c r="C372" s="170"/>
      <c r="D372" s="331">
        <v>365</v>
      </c>
      <c r="E372" s="544">
        <f>+DATE(YEAR(E371),MONTH(E371)-1,DAY(E371))</f>
        <v>25569.041666666668</v>
      </c>
      <c r="F372" s="333">
        <f>IF($C$6=$E372,1,IF(MONTH($E372)=1,F373*(1+$F$5),F373))</f>
      </c>
      <c r="G372" s="333">
        <f>F372*$B$8/12</f>
      </c>
      <c r="H372" s="333">
        <f>IF(F372=1,F372*$B$10/MIN(12,'Simulador - 3º Pilar'!$E$88),0)</f>
      </c>
      <c r="I372" s="560">
        <f>(1+$G$5)^(D372/12)*(H372+IF(E372=$N$7,$N$4,0))</f>
      </c>
      <c r="J372" s="561">
        <f>(1+$G$5)^(D372/12)*(H372*(12-IF(MONTH(E373)=12,0,MONTH(E373)))+IF(AND(F372=1,F373=0),$Q$4,0))*IF(AND(F372=1,F373=0),1,0)</f>
      </c>
      <c r="K372" s="217">
        <f>(1+$G$5)^(D372/12)*(IF(E372=$N$7,$N$4,0)+IF(E372=$C$6,$B$10,0))</f>
      </c>
      <c r="L372" s="217">
        <f>(1+$G$5)^(D372/12)*(IF((E372)&gt;($B$6),H372,0)+IF(E372=$N$7,$N$4,0)+IF(E372=$C$6,0,0))</f>
      </c>
      <c r="M372" s="1"/>
      <c r="N372" s="7"/>
      <c r="O372" s="1"/>
      <c r="P372" s="331">
        <v>365</v>
      </c>
      <c r="Q372" s="544">
        <f>+DATE(YEAR(Q371),MONTH(Q371)-1,DAY(Q371))</f>
        <v>25569.041666666668</v>
      </c>
      <c r="R372" s="341">
        <f>IF($Z$7=$E372,1,IF(MONTH($E372)=1,R373*(1+$F$5),R373))</f>
      </c>
      <c r="S372" s="334">
        <f>R372*$B$8/12</f>
      </c>
      <c r="T372" s="334">
        <f>R372*$B$11/12</f>
      </c>
      <c r="U372" s="565">
        <f>(1+$V$5)^(P372/12)*(T372+IF(Q372=$Z$7,$Z$4,0))</f>
      </c>
      <c r="V372" s="170"/>
      <c r="W372" s="7"/>
      <c r="X372" s="1"/>
      <c r="Y372" s="1"/>
      <c r="Z372" s="1"/>
      <c r="AA372" s="1"/>
      <c r="AB372" s="1"/>
      <c r="AC372" s="331">
        <v>365</v>
      </c>
      <c r="AD372" s="544">
        <f>+DATE(YEAR(AD371),MONTH(AD371)-1,DAY(AD371))</f>
        <v>25569.041666666668</v>
      </c>
      <c r="AE372" s="341">
        <f>IF($AM$7=$E372,1,IF(MONTH($E372)=1,AE373*(1+$F$5),AE373))</f>
      </c>
      <c r="AF372" s="334">
        <f>AE372*$B$8/12</f>
      </c>
      <c r="AG372" s="334">
        <f>AE372*$B$12/12</f>
      </c>
      <c r="AH372" s="565">
        <f>(1+$AI$5)^(AC372/12)*(AG372+IF(AD372=$AM$7,$AM$4,0))</f>
      </c>
      <c r="AI372" s="170"/>
      <c r="AJ372" s="7"/>
      <c r="AK372" s="1"/>
      <c r="AL372" s="1"/>
      <c r="AM372" s="1"/>
    </row>
    <row x14ac:dyDescent="0.25" r="373" customHeight="1" ht="18.75">
      <c r="A373" s="1"/>
      <c r="B373" s="169"/>
      <c r="C373" s="170"/>
      <c r="D373" s="331">
        <v>366</v>
      </c>
      <c r="E373" s="544">
        <f>+DATE(YEAR(E372),MONTH(E372)-1,DAY(E372))</f>
        <v>25569.041666666668</v>
      </c>
      <c r="F373" s="333">
        <f>IF($C$6=$E373,1,IF(MONTH($E373)=1,F374*(1+$F$5),F374))</f>
      </c>
      <c r="G373" s="333">
        <f>F373*$B$8/12</f>
      </c>
      <c r="H373" s="333">
        <f>IF(F373=1,F373*$B$10/MIN(12,'Simulador - 3º Pilar'!$E$88),0)</f>
      </c>
      <c r="I373" s="560">
        <f>(1+$G$5)^(D373/12)*(H373+IF(E373=$N$7,$N$4,0))</f>
      </c>
      <c r="J373" s="561">
        <f>(1+$G$5)^(D373/12)*(H373*(12-IF(MONTH(E374)=12,0,MONTH(E374)))+IF(AND(F373=1,F374=0),$Q$4,0))*IF(AND(F373=1,F374=0),1,0)</f>
      </c>
      <c r="K373" s="217">
        <f>(1+$G$5)^(D373/12)*(IF(E373=$N$7,$N$4,0)+IF(E373=$C$6,$B$10,0))</f>
      </c>
      <c r="L373" s="217">
        <f>(1+$G$5)^(D373/12)*(IF((E373)&gt;($B$6),H373,0)+IF(E373=$N$7,$N$4,0)+IF(E373=$C$6,0,0))</f>
      </c>
      <c r="M373" s="1"/>
      <c r="N373" s="7"/>
      <c r="O373" s="1"/>
      <c r="P373" s="331">
        <v>366</v>
      </c>
      <c r="Q373" s="544">
        <f>+DATE(YEAR(Q372),MONTH(Q372)-1,DAY(Q372))</f>
        <v>25569.041666666668</v>
      </c>
      <c r="R373" s="341">
        <f>IF($Z$7=$E373,1,IF(MONTH($E373)=1,R374*(1+$F$5),R374))</f>
      </c>
      <c r="S373" s="334">
        <f>R373*$B$8/12</f>
      </c>
      <c r="T373" s="334">
        <f>R373*$B$11/12</f>
      </c>
      <c r="U373" s="565">
        <f>(1+$V$5)^(P373/12)*(T373+IF(Q373=$Z$7,$Z$4,0))</f>
      </c>
      <c r="V373" s="170"/>
      <c r="W373" s="7"/>
      <c r="X373" s="1"/>
      <c r="Y373" s="1"/>
      <c r="Z373" s="1"/>
      <c r="AA373" s="1"/>
      <c r="AB373" s="1"/>
      <c r="AC373" s="331">
        <v>366</v>
      </c>
      <c r="AD373" s="544">
        <f>+DATE(YEAR(AD372),MONTH(AD372)-1,DAY(AD372))</f>
        <v>25569.041666666668</v>
      </c>
      <c r="AE373" s="341">
        <f>IF($AM$7=$E373,1,IF(MONTH($E373)=1,AE374*(1+$F$5),AE374))</f>
      </c>
      <c r="AF373" s="334">
        <f>AE373*$B$8/12</f>
      </c>
      <c r="AG373" s="334">
        <f>AE373*$B$12/12</f>
      </c>
      <c r="AH373" s="565">
        <f>(1+$AI$5)^(AC373/12)*(AG373+IF(AD373=$AM$7,$AM$4,0))</f>
      </c>
      <c r="AI373" s="170"/>
      <c r="AJ373" s="7"/>
      <c r="AK373" s="1"/>
      <c r="AL373" s="1"/>
      <c r="AM373" s="1"/>
    </row>
    <row x14ac:dyDescent="0.25" r="374" customHeight="1" ht="18.75">
      <c r="A374" s="1"/>
      <c r="B374" s="169"/>
      <c r="C374" s="170"/>
      <c r="D374" s="331">
        <v>367</v>
      </c>
      <c r="E374" s="544">
        <f>+DATE(YEAR(E373),MONTH(E373)-1,DAY(E373))</f>
        <v>25569.041666666668</v>
      </c>
      <c r="F374" s="333">
        <f>IF($C$6=$E374,1,IF(MONTH($E374)=1,F375*(1+$F$5),F375))</f>
      </c>
      <c r="G374" s="333">
        <f>F374*$B$8/12</f>
      </c>
      <c r="H374" s="333">
        <f>IF(F374=1,F374*$B$10/MIN(12,'Simulador - 3º Pilar'!$E$88),0)</f>
      </c>
      <c r="I374" s="560">
        <f>(1+$G$5)^(D374/12)*(H374+IF(E374=$N$7,$N$4,0))</f>
      </c>
      <c r="J374" s="561">
        <f>(1+$G$5)^(D374/12)*(H374*(12-IF(MONTH(E375)=12,0,MONTH(E375)))+IF(AND(F374=1,F375=0),$Q$4,0))*IF(AND(F374=1,F375=0),1,0)</f>
      </c>
      <c r="K374" s="217">
        <f>(1+$G$5)^(D374/12)*(IF(E374=$N$7,$N$4,0)+IF(E374=$C$6,$B$10,0))</f>
      </c>
      <c r="L374" s="217">
        <f>(1+$G$5)^(D374/12)*(IF((E374)&gt;($B$6),H374,0)+IF(E374=$N$7,$N$4,0)+IF(E374=$C$6,0,0))</f>
      </c>
      <c r="M374" s="1"/>
      <c r="N374" s="7"/>
      <c r="O374" s="1"/>
      <c r="P374" s="331">
        <v>367</v>
      </c>
      <c r="Q374" s="544">
        <f>+DATE(YEAR(Q373),MONTH(Q373)-1,DAY(Q373))</f>
        <v>25569.041666666668</v>
      </c>
      <c r="R374" s="341">
        <f>IF($Z$7=$E374,1,IF(MONTH($E374)=1,R375*(1+$F$5),R375))</f>
      </c>
      <c r="S374" s="334">
        <f>R374*$B$8/12</f>
      </c>
      <c r="T374" s="334">
        <f>R374*$B$11/12</f>
      </c>
      <c r="U374" s="565">
        <f>(1+$V$5)^(P374/12)*(T374+IF(Q374=$Z$7,$Z$4,0))</f>
      </c>
      <c r="V374" s="170"/>
      <c r="W374" s="7"/>
      <c r="X374" s="1"/>
      <c r="Y374" s="1"/>
      <c r="Z374" s="1"/>
      <c r="AA374" s="1"/>
      <c r="AB374" s="1"/>
      <c r="AC374" s="331">
        <v>367</v>
      </c>
      <c r="AD374" s="544">
        <f>+DATE(YEAR(AD373),MONTH(AD373)-1,DAY(AD373))</f>
        <v>25569.041666666668</v>
      </c>
      <c r="AE374" s="341">
        <f>IF($AM$7=$E374,1,IF(MONTH($E374)=1,AE375*(1+$F$5),AE375))</f>
      </c>
      <c r="AF374" s="334">
        <f>AE374*$B$8/12</f>
      </c>
      <c r="AG374" s="334">
        <f>AE374*$B$12/12</f>
      </c>
      <c r="AH374" s="565">
        <f>(1+$AI$5)^(AC374/12)*(AG374+IF(AD374=$AM$7,$AM$4,0))</f>
      </c>
      <c r="AI374" s="170"/>
      <c r="AJ374" s="7"/>
      <c r="AK374" s="1"/>
      <c r="AL374" s="1"/>
      <c r="AM374" s="1"/>
    </row>
    <row x14ac:dyDescent="0.25" r="375" customHeight="1" ht="18.75">
      <c r="A375" s="1"/>
      <c r="B375" s="169"/>
      <c r="C375" s="170"/>
      <c r="D375" s="331">
        <v>368</v>
      </c>
      <c r="E375" s="544">
        <f>+DATE(YEAR(E374),MONTH(E374)-1,DAY(E374))</f>
        <v>25569.041666666668</v>
      </c>
      <c r="F375" s="333">
        <f>IF($C$6=$E375,1,IF(MONTH($E375)=1,F376*(1+$F$5),F376))</f>
      </c>
      <c r="G375" s="333">
        <f>F375*$B$8/12</f>
      </c>
      <c r="H375" s="333">
        <f>IF(F375=1,F375*$B$10/MIN(12,'Simulador - 3º Pilar'!$E$88),0)</f>
      </c>
      <c r="I375" s="560">
        <f>(1+$G$5)^(D375/12)*(H375+IF(E375=$N$7,$N$4,0))</f>
      </c>
      <c r="J375" s="561">
        <f>(1+$G$5)^(D375/12)*(H375*(12-IF(MONTH(E376)=12,0,MONTH(E376)))+IF(AND(F375=1,F376=0),$Q$4,0))*IF(AND(F375=1,F376=0),1,0)</f>
      </c>
      <c r="K375" s="217">
        <f>(1+$G$5)^(D375/12)*(IF(E375=$N$7,$N$4,0)+IF(E375=$C$6,$B$10,0))</f>
      </c>
      <c r="L375" s="217">
        <f>(1+$G$5)^(D375/12)*(IF((E375)&gt;($B$6),H375,0)+IF(E375=$N$7,$N$4,0)+IF(E375=$C$6,0,0))</f>
      </c>
      <c r="M375" s="1"/>
      <c r="N375" s="7"/>
      <c r="O375" s="1"/>
      <c r="P375" s="331">
        <v>368</v>
      </c>
      <c r="Q375" s="544">
        <f>+DATE(YEAR(Q374),MONTH(Q374)-1,DAY(Q374))</f>
        <v>25569.041666666668</v>
      </c>
      <c r="R375" s="341">
        <f>IF($Z$7=$E375,1,IF(MONTH($E375)=1,R376*(1+$F$5),R376))</f>
      </c>
      <c r="S375" s="334">
        <f>R375*$B$8/12</f>
      </c>
      <c r="T375" s="334">
        <f>R375*$B$11/12</f>
      </c>
      <c r="U375" s="565">
        <f>(1+$V$5)^(P375/12)*(T375+IF(Q375=$Z$7,$Z$4,0))</f>
      </c>
      <c r="V375" s="170"/>
      <c r="W375" s="7"/>
      <c r="X375" s="1"/>
      <c r="Y375" s="1"/>
      <c r="Z375" s="1"/>
      <c r="AA375" s="1"/>
      <c r="AB375" s="1"/>
      <c r="AC375" s="331">
        <v>368</v>
      </c>
      <c r="AD375" s="544">
        <f>+DATE(YEAR(AD374),MONTH(AD374)-1,DAY(AD374))</f>
        <v>25569.041666666668</v>
      </c>
      <c r="AE375" s="341">
        <f>IF($AM$7=$E375,1,IF(MONTH($E375)=1,AE376*(1+$F$5),AE376))</f>
      </c>
      <c r="AF375" s="334">
        <f>AE375*$B$8/12</f>
      </c>
      <c r="AG375" s="334">
        <f>AE375*$B$12/12</f>
      </c>
      <c r="AH375" s="565">
        <f>(1+$AI$5)^(AC375/12)*(AG375+IF(AD375=$AM$7,$AM$4,0))</f>
      </c>
      <c r="AI375" s="170"/>
      <c r="AJ375" s="7"/>
      <c r="AK375" s="1"/>
      <c r="AL375" s="1"/>
      <c r="AM375" s="1"/>
    </row>
    <row x14ac:dyDescent="0.25" r="376" customHeight="1" ht="18.75">
      <c r="A376" s="1"/>
      <c r="B376" s="169"/>
      <c r="C376" s="170"/>
      <c r="D376" s="331">
        <v>369</v>
      </c>
      <c r="E376" s="544">
        <f>+DATE(YEAR(E375),MONTH(E375)-1,DAY(E375))</f>
        <v>25569.041666666668</v>
      </c>
      <c r="F376" s="333">
        <f>IF($C$6=$E376,1,IF(MONTH($E376)=1,F377*(1+$F$5),F377))</f>
      </c>
      <c r="G376" s="333">
        <f>F376*$B$8/12</f>
      </c>
      <c r="H376" s="333">
        <f>IF(F376=1,F376*$B$10/MIN(12,'Simulador - 3º Pilar'!$E$88),0)</f>
      </c>
      <c r="I376" s="560">
        <f>(1+$G$5)^(D376/12)*(H376+IF(E376=$N$7,$N$4,0))</f>
      </c>
      <c r="J376" s="561">
        <f>(1+$G$5)^(D376/12)*(H376*(12-IF(MONTH(E377)=12,0,MONTH(E377)))+IF(AND(F376=1,F377=0),$Q$4,0))*IF(AND(F376=1,F377=0),1,0)</f>
      </c>
      <c r="K376" s="217">
        <f>(1+$G$5)^(D376/12)*(IF(E376=$N$7,$N$4,0)+IF(E376=$C$6,$B$10,0))</f>
      </c>
      <c r="L376" s="217">
        <f>(1+$G$5)^(D376/12)*(IF((E376)&gt;($B$6),H376,0)+IF(E376=$N$7,$N$4,0)+IF(E376=$C$6,0,0))</f>
      </c>
      <c r="M376" s="1"/>
      <c r="N376" s="7"/>
      <c r="O376" s="1"/>
      <c r="P376" s="331">
        <v>369</v>
      </c>
      <c r="Q376" s="544">
        <f>+DATE(YEAR(Q375),MONTH(Q375)-1,DAY(Q375))</f>
        <v>25569.041666666668</v>
      </c>
      <c r="R376" s="341">
        <f>IF($Z$7=$E376,1,IF(MONTH($E376)=1,R377*(1+$F$5),R377))</f>
      </c>
      <c r="S376" s="334">
        <f>R376*$B$8/12</f>
      </c>
      <c r="T376" s="334">
        <f>R376*$B$11/12</f>
      </c>
      <c r="U376" s="565">
        <f>(1+$V$5)^(P376/12)*(T376+IF(Q376=$Z$7,$Z$4,0))</f>
      </c>
      <c r="V376" s="170"/>
      <c r="W376" s="7"/>
      <c r="X376" s="1"/>
      <c r="Y376" s="1"/>
      <c r="Z376" s="1"/>
      <c r="AA376" s="1"/>
      <c r="AB376" s="1"/>
      <c r="AC376" s="331">
        <v>369</v>
      </c>
      <c r="AD376" s="544">
        <f>+DATE(YEAR(AD375),MONTH(AD375)-1,DAY(AD375))</f>
        <v>25569.041666666668</v>
      </c>
      <c r="AE376" s="341">
        <f>IF($AM$7=$E376,1,IF(MONTH($E376)=1,AE377*(1+$F$5),AE377))</f>
      </c>
      <c r="AF376" s="334">
        <f>AE376*$B$8/12</f>
      </c>
      <c r="AG376" s="334">
        <f>AE376*$B$12/12</f>
      </c>
      <c r="AH376" s="565">
        <f>(1+$AI$5)^(AC376/12)*(AG376+IF(AD376=$AM$7,$AM$4,0))</f>
      </c>
      <c r="AI376" s="170"/>
      <c r="AJ376" s="7"/>
      <c r="AK376" s="1"/>
      <c r="AL376" s="1"/>
      <c r="AM376" s="1"/>
    </row>
    <row x14ac:dyDescent="0.25" r="377" customHeight="1" ht="18.75">
      <c r="A377" s="1"/>
      <c r="B377" s="169"/>
      <c r="C377" s="170"/>
      <c r="D377" s="331">
        <v>370</v>
      </c>
      <c r="E377" s="544">
        <f>+DATE(YEAR(E376),MONTH(E376)-1,DAY(E376))</f>
        <v>25569.041666666668</v>
      </c>
      <c r="F377" s="333">
        <f>IF($C$6=$E377,1,IF(MONTH($E377)=1,F378*(1+$F$5),F378))</f>
      </c>
      <c r="G377" s="333">
        <f>F377*$B$8/12</f>
      </c>
      <c r="H377" s="333">
        <f>IF(F377=1,F377*$B$10/MIN(12,'Simulador - 3º Pilar'!$E$88),0)</f>
      </c>
      <c r="I377" s="560">
        <f>(1+$G$5)^(D377/12)*(H377+IF(E377=$N$7,$N$4,0))</f>
      </c>
      <c r="J377" s="561">
        <f>(1+$G$5)^(D377/12)*(H377*(12-IF(MONTH(E378)=12,0,MONTH(E378)))+IF(AND(F377=1,F378=0),$Q$4,0))*IF(AND(F377=1,F378=0),1,0)</f>
      </c>
      <c r="K377" s="217">
        <f>(1+$G$5)^(D377/12)*(IF(E377=$N$7,$N$4,0)+IF(E377=$C$6,$B$10,0))</f>
      </c>
      <c r="L377" s="217">
        <f>(1+$G$5)^(D377/12)*(IF((E377)&gt;($B$6),H377,0)+IF(E377=$N$7,$N$4,0)+IF(E377=$C$6,0,0))</f>
      </c>
      <c r="M377" s="1"/>
      <c r="N377" s="7"/>
      <c r="O377" s="1"/>
      <c r="P377" s="331">
        <v>370</v>
      </c>
      <c r="Q377" s="544">
        <f>+DATE(YEAR(Q376),MONTH(Q376)-1,DAY(Q376))</f>
        <v>25569.041666666668</v>
      </c>
      <c r="R377" s="341">
        <f>IF($Z$7=$E377,1,IF(MONTH($E377)=1,R378*(1+$F$5),R378))</f>
      </c>
      <c r="S377" s="334">
        <f>R377*$B$8/12</f>
      </c>
      <c r="T377" s="334">
        <f>R377*$B$11/12</f>
      </c>
      <c r="U377" s="565">
        <f>(1+$V$5)^(P377/12)*(T377+IF(Q377=$Z$7,$Z$4,0))</f>
      </c>
      <c r="V377" s="170"/>
      <c r="W377" s="7"/>
      <c r="X377" s="1"/>
      <c r="Y377" s="1"/>
      <c r="Z377" s="1"/>
      <c r="AA377" s="1"/>
      <c r="AB377" s="1"/>
      <c r="AC377" s="331">
        <v>370</v>
      </c>
      <c r="AD377" s="544">
        <f>+DATE(YEAR(AD376),MONTH(AD376)-1,DAY(AD376))</f>
        <v>25569.041666666668</v>
      </c>
      <c r="AE377" s="341">
        <f>IF($AM$7=$E377,1,IF(MONTH($E377)=1,AE378*(1+$F$5),AE378))</f>
      </c>
      <c r="AF377" s="334">
        <f>AE377*$B$8/12</f>
      </c>
      <c r="AG377" s="334">
        <f>AE377*$B$12/12</f>
      </c>
      <c r="AH377" s="565">
        <f>(1+$AI$5)^(AC377/12)*(AG377+IF(AD377=$AM$7,$AM$4,0))</f>
      </c>
      <c r="AI377" s="170"/>
      <c r="AJ377" s="7"/>
      <c r="AK377" s="1"/>
      <c r="AL377" s="1"/>
      <c r="AM377" s="1"/>
    </row>
    <row x14ac:dyDescent="0.25" r="378" customHeight="1" ht="18.75">
      <c r="A378" s="1"/>
      <c r="B378" s="169"/>
      <c r="C378" s="170"/>
      <c r="D378" s="331">
        <v>371</v>
      </c>
      <c r="E378" s="544">
        <f>+DATE(YEAR(E377),MONTH(E377)-1,DAY(E377))</f>
        <v>25569.041666666668</v>
      </c>
      <c r="F378" s="333">
        <f>IF($C$6=$E378,1,IF(MONTH($E378)=1,F379*(1+$F$5),F379))</f>
      </c>
      <c r="G378" s="333">
        <f>F378*$B$8/12</f>
      </c>
      <c r="H378" s="333">
        <f>IF(F378=1,F378*$B$10/MIN(12,'Simulador - 3º Pilar'!$E$88),0)</f>
      </c>
      <c r="I378" s="560">
        <f>(1+$G$5)^(D378/12)*(H378+IF(E378=$N$7,$N$4,0))</f>
      </c>
      <c r="J378" s="561">
        <f>(1+$G$5)^(D378/12)*(H378*(12-IF(MONTH(E379)=12,0,MONTH(E379)))+IF(AND(F378=1,F379=0),$Q$4,0))*IF(AND(F378=1,F379=0),1,0)</f>
      </c>
      <c r="K378" s="217">
        <f>(1+$G$5)^(D378/12)*(IF(E378=$N$7,$N$4,0)+IF(E378=$C$6,$B$10,0))</f>
      </c>
      <c r="L378" s="217">
        <f>(1+$G$5)^(D378/12)*(IF((E378)&gt;($B$6),H378,0)+IF(E378=$N$7,$N$4,0)+IF(E378=$C$6,0,0))</f>
      </c>
      <c r="M378" s="1"/>
      <c r="N378" s="7"/>
      <c r="O378" s="1"/>
      <c r="P378" s="331">
        <v>371</v>
      </c>
      <c r="Q378" s="544">
        <f>+DATE(YEAR(Q377),MONTH(Q377)-1,DAY(Q377))</f>
        <v>25569.041666666668</v>
      </c>
      <c r="R378" s="341">
        <f>IF($Z$7=$E378,1,IF(MONTH($E378)=1,R379*(1+$F$5),R379))</f>
      </c>
      <c r="S378" s="334">
        <f>R378*$B$8/12</f>
      </c>
      <c r="T378" s="334">
        <f>R378*$B$11/12</f>
      </c>
      <c r="U378" s="565">
        <f>(1+$V$5)^(P378/12)*(T378+IF(Q378=$Z$7,$Z$4,0))</f>
      </c>
      <c r="V378" s="170"/>
      <c r="W378" s="7"/>
      <c r="X378" s="1"/>
      <c r="Y378" s="1"/>
      <c r="Z378" s="1"/>
      <c r="AA378" s="1"/>
      <c r="AB378" s="1"/>
      <c r="AC378" s="331">
        <v>371</v>
      </c>
      <c r="AD378" s="544">
        <f>+DATE(YEAR(AD377),MONTH(AD377)-1,DAY(AD377))</f>
        <v>25569.041666666668</v>
      </c>
      <c r="AE378" s="341">
        <f>IF($AM$7=$E378,1,IF(MONTH($E378)=1,AE379*(1+$F$5),AE379))</f>
      </c>
      <c r="AF378" s="334">
        <f>AE378*$B$8/12</f>
      </c>
      <c r="AG378" s="334">
        <f>AE378*$B$12/12</f>
      </c>
      <c r="AH378" s="565">
        <f>(1+$AI$5)^(AC378/12)*(AG378+IF(AD378=$AM$7,$AM$4,0))</f>
      </c>
      <c r="AI378" s="170"/>
      <c r="AJ378" s="7"/>
      <c r="AK378" s="1"/>
      <c r="AL378" s="1"/>
      <c r="AM378" s="1"/>
    </row>
    <row x14ac:dyDescent="0.25" r="379" customHeight="1" ht="18.75">
      <c r="A379" s="1"/>
      <c r="B379" s="169"/>
      <c r="C379" s="170"/>
      <c r="D379" s="331">
        <v>372</v>
      </c>
      <c r="E379" s="544">
        <f>+DATE(YEAR(E378),MONTH(E378)-1,DAY(E378))</f>
        <v>25569.041666666668</v>
      </c>
      <c r="F379" s="333">
        <f>IF($C$6=$E379,1,IF(MONTH($E379)=1,F380*(1+$F$5),F380))</f>
      </c>
      <c r="G379" s="333">
        <f>F379*$B$8/12</f>
      </c>
      <c r="H379" s="333">
        <f>IF(F379=1,F379*$B$10/MIN(12,'Simulador - 3º Pilar'!$E$88),0)</f>
      </c>
      <c r="I379" s="560">
        <f>(1+$G$5)^(D379/12)*(H379+IF(E379=$N$7,$N$4,0))</f>
      </c>
      <c r="J379" s="561">
        <f>(1+$G$5)^(D379/12)*(H379*(12-IF(MONTH(E380)=12,0,MONTH(E380)))+IF(AND(F379=1,F380=0),$Q$4,0))*IF(AND(F379=1,F380=0),1,0)</f>
      </c>
      <c r="K379" s="217">
        <f>(1+$G$5)^(D379/12)*(IF(E379=$N$7,$N$4,0)+IF(E379=$C$6,$B$10,0))</f>
      </c>
      <c r="L379" s="217">
        <f>(1+$G$5)^(D379/12)*(IF((E379)&gt;($B$6),H379,0)+IF(E379=$N$7,$N$4,0)+IF(E379=$C$6,0,0))</f>
      </c>
      <c r="M379" s="1"/>
      <c r="N379" s="7"/>
      <c r="O379" s="1"/>
      <c r="P379" s="331">
        <v>372</v>
      </c>
      <c r="Q379" s="544">
        <f>+DATE(YEAR(Q378),MONTH(Q378)-1,DAY(Q378))</f>
        <v>25569.041666666668</v>
      </c>
      <c r="R379" s="341">
        <f>IF($Z$7=$E379,1,IF(MONTH($E379)=1,R380*(1+$F$5),R380))</f>
      </c>
      <c r="S379" s="334">
        <f>R379*$B$8/12</f>
      </c>
      <c r="T379" s="334">
        <f>R379*$B$11/12</f>
      </c>
      <c r="U379" s="565">
        <f>(1+$V$5)^(P379/12)*(T379+IF(Q379=$Z$7,$Z$4,0))</f>
      </c>
      <c r="V379" s="170"/>
      <c r="W379" s="7"/>
      <c r="X379" s="1"/>
      <c r="Y379" s="1"/>
      <c r="Z379" s="1"/>
      <c r="AA379" s="1"/>
      <c r="AB379" s="1"/>
      <c r="AC379" s="331">
        <v>372</v>
      </c>
      <c r="AD379" s="544">
        <f>+DATE(YEAR(AD378),MONTH(AD378)-1,DAY(AD378))</f>
        <v>25569.041666666668</v>
      </c>
      <c r="AE379" s="341">
        <f>IF($AM$7=$E379,1,IF(MONTH($E379)=1,AE380*(1+$F$5),AE380))</f>
      </c>
      <c r="AF379" s="334">
        <f>AE379*$B$8/12</f>
      </c>
      <c r="AG379" s="334">
        <f>AE379*$B$12/12</f>
      </c>
      <c r="AH379" s="565">
        <f>(1+$AI$5)^(AC379/12)*(AG379+IF(AD379=$AM$7,$AM$4,0))</f>
      </c>
      <c r="AI379" s="170"/>
      <c r="AJ379" s="7"/>
      <c r="AK379" s="1"/>
      <c r="AL379" s="1"/>
      <c r="AM379" s="1"/>
    </row>
    <row x14ac:dyDescent="0.25" r="380" customHeight="1" ht="18.75">
      <c r="A380" s="1"/>
      <c r="B380" s="169"/>
      <c r="C380" s="170"/>
      <c r="D380" s="331">
        <v>373</v>
      </c>
      <c r="E380" s="544">
        <f>+DATE(YEAR(E379),MONTH(E379)-1,DAY(E379))</f>
        <v>25569.041666666668</v>
      </c>
      <c r="F380" s="333">
        <f>IF($C$6=$E380,1,IF(MONTH($E380)=1,F381*(1+$F$5),F381))</f>
      </c>
      <c r="G380" s="333">
        <f>F380*$B$8/12</f>
      </c>
      <c r="H380" s="333">
        <f>IF(F380=1,F380*$B$10/MIN(12,'Simulador - 3º Pilar'!$E$88),0)</f>
      </c>
      <c r="I380" s="560">
        <f>(1+$G$5)^(D380/12)*(H380+IF(E380=$N$7,$N$4,0))</f>
      </c>
      <c r="J380" s="561">
        <f>(1+$G$5)^(D380/12)*(H380*(12-IF(MONTH(E381)=12,0,MONTH(E381)))+IF(AND(F380=1,F381=0),$Q$4,0))*IF(AND(F380=1,F381=0),1,0)</f>
      </c>
      <c r="K380" s="217">
        <f>(1+$G$5)^(D380/12)*(IF(E380=$N$7,$N$4,0)+IF(E380=$C$6,$B$10,0))</f>
      </c>
      <c r="L380" s="217">
        <f>(1+$G$5)^(D380/12)*(IF((E380)&gt;($B$6),H380,0)+IF(E380=$N$7,$N$4,0)+IF(E380=$C$6,0,0))</f>
      </c>
      <c r="M380" s="1"/>
      <c r="N380" s="7"/>
      <c r="O380" s="1"/>
      <c r="P380" s="331">
        <v>373</v>
      </c>
      <c r="Q380" s="544">
        <f>+DATE(YEAR(Q379),MONTH(Q379)-1,DAY(Q379))</f>
        <v>25569.041666666668</v>
      </c>
      <c r="R380" s="341">
        <f>IF($Z$7=$E380,1,IF(MONTH($E380)=1,R381*(1+$F$5),R381))</f>
      </c>
      <c r="S380" s="334">
        <f>R380*$B$8/12</f>
      </c>
      <c r="T380" s="334">
        <f>R380*$B$11/12</f>
      </c>
      <c r="U380" s="565">
        <f>(1+$V$5)^(P380/12)*(T380+IF(Q380=$Z$7,$Z$4,0))</f>
      </c>
      <c r="V380" s="170"/>
      <c r="W380" s="7"/>
      <c r="X380" s="1"/>
      <c r="Y380" s="1"/>
      <c r="Z380" s="1"/>
      <c r="AA380" s="1"/>
      <c r="AB380" s="1"/>
      <c r="AC380" s="331">
        <v>373</v>
      </c>
      <c r="AD380" s="544">
        <f>+DATE(YEAR(AD379),MONTH(AD379)-1,DAY(AD379))</f>
        <v>25569.041666666668</v>
      </c>
      <c r="AE380" s="341">
        <f>IF($AM$7=$E380,1,IF(MONTH($E380)=1,AE381*(1+$F$5),AE381))</f>
      </c>
      <c r="AF380" s="334">
        <f>AE380*$B$8/12</f>
      </c>
      <c r="AG380" s="334">
        <f>AE380*$B$12/12</f>
      </c>
      <c r="AH380" s="565">
        <f>(1+$AI$5)^(AC380/12)*(AG380+IF(AD380=$AM$7,$AM$4,0))</f>
      </c>
      <c r="AI380" s="170"/>
      <c r="AJ380" s="7"/>
      <c r="AK380" s="1"/>
      <c r="AL380" s="1"/>
      <c r="AM380" s="1"/>
    </row>
    <row x14ac:dyDescent="0.25" r="381" customHeight="1" ht="18.75">
      <c r="A381" s="1"/>
      <c r="B381" s="169"/>
      <c r="C381" s="170"/>
      <c r="D381" s="331">
        <v>374</v>
      </c>
      <c r="E381" s="544">
        <f>+DATE(YEAR(E380),MONTH(E380)-1,DAY(E380))</f>
        <v>25569.041666666668</v>
      </c>
      <c r="F381" s="333">
        <f>IF($C$6=$E381,1,IF(MONTH($E381)=1,F382*(1+$F$5),F382))</f>
      </c>
      <c r="G381" s="333">
        <f>F381*$B$8/12</f>
      </c>
      <c r="H381" s="333">
        <f>IF(F381=1,F381*$B$10/MIN(12,'Simulador - 3º Pilar'!$E$88),0)</f>
      </c>
      <c r="I381" s="560">
        <f>(1+$G$5)^(D381/12)*(H381+IF(E381=$N$7,$N$4,0))</f>
      </c>
      <c r="J381" s="561">
        <f>(1+$G$5)^(D381/12)*(H381*(12-IF(MONTH(E382)=12,0,MONTH(E382)))+IF(AND(F381=1,F382=0),$Q$4,0))*IF(AND(F381=1,F382=0),1,0)</f>
      </c>
      <c r="K381" s="217">
        <f>(1+$G$5)^(D381/12)*(IF(E381=$N$7,$N$4,0)+IF(E381=$C$6,$B$10,0))</f>
      </c>
      <c r="L381" s="217">
        <f>(1+$G$5)^(D381/12)*(IF((E381)&gt;($B$6),H381,0)+IF(E381=$N$7,$N$4,0)+IF(E381=$C$6,0,0))</f>
      </c>
      <c r="M381" s="1"/>
      <c r="N381" s="7"/>
      <c r="O381" s="1"/>
      <c r="P381" s="331">
        <v>374</v>
      </c>
      <c r="Q381" s="544">
        <f>+DATE(YEAR(Q380),MONTH(Q380)-1,DAY(Q380))</f>
        <v>25569.041666666668</v>
      </c>
      <c r="R381" s="341">
        <f>IF($Z$7=$E381,1,IF(MONTH($E381)=1,R382*(1+$F$5),R382))</f>
      </c>
      <c r="S381" s="334">
        <f>R381*$B$8/12</f>
      </c>
      <c r="T381" s="334">
        <f>R381*$B$11/12</f>
      </c>
      <c r="U381" s="565">
        <f>(1+$V$5)^(P381/12)*(T381+IF(Q381=$Z$7,$Z$4,0))</f>
      </c>
      <c r="V381" s="170"/>
      <c r="W381" s="7"/>
      <c r="X381" s="1"/>
      <c r="Y381" s="1"/>
      <c r="Z381" s="1"/>
      <c r="AA381" s="1"/>
      <c r="AB381" s="1"/>
      <c r="AC381" s="331">
        <v>374</v>
      </c>
      <c r="AD381" s="544">
        <f>+DATE(YEAR(AD380),MONTH(AD380)-1,DAY(AD380))</f>
        <v>25569.041666666668</v>
      </c>
      <c r="AE381" s="341">
        <f>IF($AM$7=$E381,1,IF(MONTH($E381)=1,AE382*(1+$F$5),AE382))</f>
      </c>
      <c r="AF381" s="334">
        <f>AE381*$B$8/12</f>
      </c>
      <c r="AG381" s="334">
        <f>AE381*$B$12/12</f>
      </c>
      <c r="AH381" s="565">
        <f>(1+$AI$5)^(AC381/12)*(AG381+IF(AD381=$AM$7,$AM$4,0))</f>
      </c>
      <c r="AI381" s="170"/>
      <c r="AJ381" s="7"/>
      <c r="AK381" s="1"/>
      <c r="AL381" s="1"/>
      <c r="AM381" s="1"/>
    </row>
    <row x14ac:dyDescent="0.25" r="382" customHeight="1" ht="18.75">
      <c r="A382" s="1"/>
      <c r="B382" s="169"/>
      <c r="C382" s="170"/>
      <c r="D382" s="331">
        <v>375</v>
      </c>
      <c r="E382" s="544">
        <f>+DATE(YEAR(E381),MONTH(E381)-1,DAY(E381))</f>
        <v>25569.041666666668</v>
      </c>
      <c r="F382" s="333">
        <f>IF($C$6=$E382,1,IF(MONTH($E382)=1,F383*(1+$F$5),F383))</f>
      </c>
      <c r="G382" s="333">
        <f>F382*$B$8/12</f>
      </c>
      <c r="H382" s="333">
        <f>IF(F382=1,F382*$B$10/MIN(12,'Simulador - 3º Pilar'!$E$88),0)</f>
      </c>
      <c r="I382" s="560">
        <f>(1+$G$5)^(D382/12)*(H382+IF(E382=$N$7,$N$4,0))</f>
      </c>
      <c r="J382" s="561">
        <f>(1+$G$5)^(D382/12)*(H382*(12-IF(MONTH(E383)=12,0,MONTH(E383)))+IF(AND(F382=1,F383=0),$Q$4,0))*IF(AND(F382=1,F383=0),1,0)</f>
      </c>
      <c r="K382" s="217">
        <f>(1+$G$5)^(D382/12)*(IF(E382=$N$7,$N$4,0)+IF(E382=$C$6,$B$10,0))</f>
      </c>
      <c r="L382" s="217">
        <f>(1+$G$5)^(D382/12)*(IF((E382)&gt;($B$6),H382,0)+IF(E382=$N$7,$N$4,0)+IF(E382=$C$6,0,0))</f>
      </c>
      <c r="M382" s="1"/>
      <c r="N382" s="7"/>
      <c r="O382" s="1"/>
      <c r="P382" s="331">
        <v>375</v>
      </c>
      <c r="Q382" s="544">
        <f>+DATE(YEAR(Q381),MONTH(Q381)-1,DAY(Q381))</f>
        <v>25569.041666666668</v>
      </c>
      <c r="R382" s="341">
        <f>IF($Z$7=$E382,1,IF(MONTH($E382)=1,R383*(1+$F$5),R383))</f>
      </c>
      <c r="S382" s="334">
        <f>R382*$B$8/12</f>
      </c>
      <c r="T382" s="334">
        <f>R382*$B$11/12</f>
      </c>
      <c r="U382" s="565">
        <f>(1+$V$5)^(P382/12)*(T382+IF(Q382=$Z$7,$Z$4,0))</f>
      </c>
      <c r="V382" s="170"/>
      <c r="W382" s="7"/>
      <c r="X382" s="1"/>
      <c r="Y382" s="1"/>
      <c r="Z382" s="1"/>
      <c r="AA382" s="1"/>
      <c r="AB382" s="1"/>
      <c r="AC382" s="331">
        <v>375</v>
      </c>
      <c r="AD382" s="544">
        <f>+DATE(YEAR(AD381),MONTH(AD381)-1,DAY(AD381))</f>
        <v>25569.041666666668</v>
      </c>
      <c r="AE382" s="341">
        <f>IF($AM$7=$E382,1,IF(MONTH($E382)=1,AE383*(1+$F$5),AE383))</f>
      </c>
      <c r="AF382" s="334">
        <f>AE382*$B$8/12</f>
      </c>
      <c r="AG382" s="334">
        <f>AE382*$B$12/12</f>
      </c>
      <c r="AH382" s="565">
        <f>(1+$AI$5)^(AC382/12)*(AG382+IF(AD382=$AM$7,$AM$4,0))</f>
      </c>
      <c r="AI382" s="170"/>
      <c r="AJ382" s="7"/>
      <c r="AK382" s="1"/>
      <c r="AL382" s="1"/>
      <c r="AM382" s="1"/>
    </row>
    <row x14ac:dyDescent="0.25" r="383" customHeight="1" ht="18.75">
      <c r="A383" s="1"/>
      <c r="B383" s="169"/>
      <c r="C383" s="170"/>
      <c r="D383" s="331">
        <v>376</v>
      </c>
      <c r="E383" s="544">
        <f>+DATE(YEAR(E382),MONTH(E382)-1,DAY(E382))</f>
        <v>25569.041666666668</v>
      </c>
      <c r="F383" s="333">
        <f>IF($C$6=$E383,1,IF(MONTH($E383)=1,F384*(1+$F$5),F384))</f>
      </c>
      <c r="G383" s="333">
        <f>F383*$B$8/12</f>
      </c>
      <c r="H383" s="333">
        <f>IF(F383=1,F383*$B$10/MIN(12,'Simulador - 3º Pilar'!$E$88),0)</f>
      </c>
      <c r="I383" s="560">
        <f>(1+$G$5)^(D383/12)*(H383+IF(E383=$N$7,$N$4,0))</f>
      </c>
      <c r="J383" s="561">
        <f>(1+$G$5)^(D383/12)*(H383*(12-IF(MONTH(E384)=12,0,MONTH(E384)))+IF(AND(F383=1,F384=0),$Q$4,0))*IF(AND(F383=1,F384=0),1,0)</f>
      </c>
      <c r="K383" s="217">
        <f>(1+$G$5)^(D383/12)*(IF(E383=$N$7,$N$4,0)+IF(E383=$C$6,$B$10,0))</f>
      </c>
      <c r="L383" s="217">
        <f>(1+$G$5)^(D383/12)*(IF((E383)&gt;($B$6),H383,0)+IF(E383=$N$7,$N$4,0)+IF(E383=$C$6,0,0))</f>
      </c>
      <c r="M383" s="1"/>
      <c r="N383" s="7"/>
      <c r="O383" s="1"/>
      <c r="P383" s="331">
        <v>376</v>
      </c>
      <c r="Q383" s="544">
        <f>+DATE(YEAR(Q382),MONTH(Q382)-1,DAY(Q382))</f>
        <v>25569.041666666668</v>
      </c>
      <c r="R383" s="341">
        <f>IF($Z$7=$E383,1,IF(MONTH($E383)=1,R384*(1+$F$5),R384))</f>
      </c>
      <c r="S383" s="334">
        <f>R383*$B$8/12</f>
      </c>
      <c r="T383" s="334">
        <f>R383*$B$11/12</f>
      </c>
      <c r="U383" s="565">
        <f>(1+$V$5)^(P383/12)*(T383+IF(Q383=$Z$7,$Z$4,0))</f>
      </c>
      <c r="V383" s="170"/>
      <c r="W383" s="7"/>
      <c r="X383" s="1"/>
      <c r="Y383" s="1"/>
      <c r="Z383" s="1"/>
      <c r="AA383" s="1"/>
      <c r="AB383" s="1"/>
      <c r="AC383" s="331">
        <v>376</v>
      </c>
      <c r="AD383" s="544">
        <f>+DATE(YEAR(AD382),MONTH(AD382)-1,DAY(AD382))</f>
        <v>25569.041666666668</v>
      </c>
      <c r="AE383" s="341">
        <f>IF($AM$7=$E383,1,IF(MONTH($E383)=1,AE384*(1+$F$5),AE384))</f>
      </c>
      <c r="AF383" s="334">
        <f>AE383*$B$8/12</f>
      </c>
      <c r="AG383" s="334">
        <f>AE383*$B$12/12</f>
      </c>
      <c r="AH383" s="565">
        <f>(1+$AI$5)^(AC383/12)*(AG383+IF(AD383=$AM$7,$AM$4,0))</f>
      </c>
      <c r="AI383" s="170"/>
      <c r="AJ383" s="7"/>
      <c r="AK383" s="1"/>
      <c r="AL383" s="1"/>
      <c r="AM383" s="1"/>
    </row>
    <row x14ac:dyDescent="0.25" r="384" customHeight="1" ht="18.75">
      <c r="A384" s="1"/>
      <c r="B384" s="169"/>
      <c r="C384" s="170"/>
      <c r="D384" s="331">
        <v>377</v>
      </c>
      <c r="E384" s="544">
        <f>+DATE(YEAR(E383),MONTH(E383)-1,DAY(E383))</f>
        <v>25569.041666666668</v>
      </c>
      <c r="F384" s="333">
        <f>IF($C$6=$E384,1,IF(MONTH($E384)=1,F385*(1+$F$5),F385))</f>
      </c>
      <c r="G384" s="333">
        <f>F384*$B$8/12</f>
      </c>
      <c r="H384" s="333">
        <f>IF(F384=1,F384*$B$10/MIN(12,'Simulador - 3º Pilar'!$E$88),0)</f>
      </c>
      <c r="I384" s="560">
        <f>(1+$G$5)^(D384/12)*(H384+IF(E384=$N$7,$N$4,0))</f>
      </c>
      <c r="J384" s="561">
        <f>(1+$G$5)^(D384/12)*(H384*(12-IF(MONTH(E385)=12,0,MONTH(E385)))+IF(AND(F384=1,F385=0),$Q$4,0))*IF(AND(F384=1,F385=0),1,0)</f>
      </c>
      <c r="K384" s="217">
        <f>(1+$G$5)^(D384/12)*(IF(E384=$N$7,$N$4,0)+IF(E384=$C$6,$B$10,0))</f>
      </c>
      <c r="L384" s="217">
        <f>(1+$G$5)^(D384/12)*(IF((E384)&gt;($B$6),H384,0)+IF(E384=$N$7,$N$4,0)+IF(E384=$C$6,0,0))</f>
      </c>
      <c r="M384" s="1"/>
      <c r="N384" s="7"/>
      <c r="O384" s="1"/>
      <c r="P384" s="331">
        <v>377</v>
      </c>
      <c r="Q384" s="544">
        <f>+DATE(YEAR(Q383),MONTH(Q383)-1,DAY(Q383))</f>
        <v>25569.041666666668</v>
      </c>
      <c r="R384" s="341">
        <f>IF($Z$7=$E384,1,IF(MONTH($E384)=1,R385*(1+$F$5),R385))</f>
      </c>
      <c r="S384" s="334">
        <f>R384*$B$8/12</f>
      </c>
      <c r="T384" s="334">
        <f>R384*$B$11/12</f>
      </c>
      <c r="U384" s="565">
        <f>(1+$V$5)^(P384/12)*(T384+IF(Q384=$Z$7,$Z$4,0))</f>
      </c>
      <c r="V384" s="170"/>
      <c r="W384" s="7"/>
      <c r="X384" s="1"/>
      <c r="Y384" s="1"/>
      <c r="Z384" s="1"/>
      <c r="AA384" s="1"/>
      <c r="AB384" s="1"/>
      <c r="AC384" s="331">
        <v>377</v>
      </c>
      <c r="AD384" s="544">
        <f>+DATE(YEAR(AD383),MONTH(AD383)-1,DAY(AD383))</f>
        <v>25569.041666666668</v>
      </c>
      <c r="AE384" s="341">
        <f>IF($AM$7=$E384,1,IF(MONTH($E384)=1,AE385*(1+$F$5),AE385))</f>
      </c>
      <c r="AF384" s="334">
        <f>AE384*$B$8/12</f>
      </c>
      <c r="AG384" s="334">
        <f>AE384*$B$12/12</f>
      </c>
      <c r="AH384" s="565">
        <f>(1+$AI$5)^(AC384/12)*(AG384+IF(AD384=$AM$7,$AM$4,0))</f>
      </c>
      <c r="AI384" s="170"/>
      <c r="AJ384" s="7"/>
      <c r="AK384" s="1"/>
      <c r="AL384" s="1"/>
      <c r="AM384" s="1"/>
    </row>
    <row x14ac:dyDescent="0.25" r="385" customHeight="1" ht="18.75">
      <c r="A385" s="1"/>
      <c r="B385" s="169"/>
      <c r="C385" s="170"/>
      <c r="D385" s="331">
        <v>378</v>
      </c>
      <c r="E385" s="544">
        <f>+DATE(YEAR(E384),MONTH(E384)-1,DAY(E384))</f>
        <v>25569.041666666668</v>
      </c>
      <c r="F385" s="333">
        <f>IF($C$6=$E385,1,IF(MONTH($E385)=1,F386*(1+$F$5),F386))</f>
      </c>
      <c r="G385" s="333">
        <f>F385*$B$8/12</f>
      </c>
      <c r="H385" s="333">
        <f>IF(F385=1,F385*$B$10/MIN(12,'Simulador - 3º Pilar'!$E$88),0)</f>
      </c>
      <c r="I385" s="560">
        <f>(1+$G$5)^(D385/12)*(H385+IF(E385=$N$7,$N$4,0))</f>
      </c>
      <c r="J385" s="561">
        <f>(1+$G$5)^(D385/12)*(H385*(12-IF(MONTH(E386)=12,0,MONTH(E386)))+IF(AND(F385=1,F386=0),$Q$4,0))*IF(AND(F385=1,F386=0),1,0)</f>
      </c>
      <c r="K385" s="217">
        <f>(1+$G$5)^(D385/12)*(IF(E385=$N$7,$N$4,0)+IF(E385=$C$6,$B$10,0))</f>
      </c>
      <c r="L385" s="217">
        <f>(1+$G$5)^(D385/12)*(IF((E385)&gt;($B$6),H385,0)+IF(E385=$N$7,$N$4,0)+IF(E385=$C$6,0,0))</f>
      </c>
      <c r="M385" s="1"/>
      <c r="N385" s="7"/>
      <c r="O385" s="1"/>
      <c r="P385" s="331">
        <v>378</v>
      </c>
      <c r="Q385" s="544">
        <f>+DATE(YEAR(Q384),MONTH(Q384)-1,DAY(Q384))</f>
        <v>25569.041666666668</v>
      </c>
      <c r="R385" s="341">
        <f>IF($Z$7=$E385,1,IF(MONTH($E385)=1,R386*(1+$F$5),R386))</f>
      </c>
      <c r="S385" s="334">
        <f>R385*$B$8/12</f>
      </c>
      <c r="T385" s="334">
        <f>R385*$B$11/12</f>
      </c>
      <c r="U385" s="565">
        <f>(1+$V$5)^(P385/12)*(T385+IF(Q385=$Z$7,$Z$4,0))</f>
      </c>
      <c r="V385" s="170"/>
      <c r="W385" s="7"/>
      <c r="X385" s="1"/>
      <c r="Y385" s="1"/>
      <c r="Z385" s="1"/>
      <c r="AA385" s="1"/>
      <c r="AB385" s="1"/>
      <c r="AC385" s="331">
        <v>378</v>
      </c>
      <c r="AD385" s="544">
        <f>+DATE(YEAR(AD384),MONTH(AD384)-1,DAY(AD384))</f>
        <v>25569.041666666668</v>
      </c>
      <c r="AE385" s="341">
        <f>IF($AM$7=$E385,1,IF(MONTH($E385)=1,AE386*(1+$F$5),AE386))</f>
      </c>
      <c r="AF385" s="334">
        <f>AE385*$B$8/12</f>
      </c>
      <c r="AG385" s="334">
        <f>AE385*$B$12/12</f>
      </c>
      <c r="AH385" s="565">
        <f>(1+$AI$5)^(AC385/12)*(AG385+IF(AD385=$AM$7,$AM$4,0))</f>
      </c>
      <c r="AI385" s="170"/>
      <c r="AJ385" s="7"/>
      <c r="AK385" s="1"/>
      <c r="AL385" s="1"/>
      <c r="AM385" s="1"/>
    </row>
    <row x14ac:dyDescent="0.25" r="386" customHeight="1" ht="18.75">
      <c r="A386" s="1"/>
      <c r="B386" s="169"/>
      <c r="C386" s="170"/>
      <c r="D386" s="331">
        <v>379</v>
      </c>
      <c r="E386" s="544">
        <f>+DATE(YEAR(E385),MONTH(E385)-1,DAY(E385))</f>
        <v>25569.041666666668</v>
      </c>
      <c r="F386" s="333">
        <f>IF($C$6=$E386,1,IF(MONTH($E386)=1,F387*(1+$F$5),F387))</f>
      </c>
      <c r="G386" s="333">
        <f>F386*$B$8/12</f>
      </c>
      <c r="H386" s="333">
        <f>IF(F386=1,F386*$B$10/MIN(12,'Simulador - 3º Pilar'!$E$88),0)</f>
      </c>
      <c r="I386" s="560">
        <f>(1+$G$5)^(D386/12)*(H386+IF(E386=$N$7,$N$4,0))</f>
      </c>
      <c r="J386" s="561">
        <f>(1+$G$5)^(D386/12)*(H386*(12-IF(MONTH(E387)=12,0,MONTH(E387)))+IF(AND(F386=1,F387=0),$Q$4,0))*IF(AND(F386=1,F387=0),1,0)</f>
      </c>
      <c r="K386" s="217">
        <f>(1+$G$5)^(D386/12)*(IF(E386=$N$7,$N$4,0)+IF(E386=$C$6,$B$10,0))</f>
      </c>
      <c r="L386" s="217">
        <f>(1+$G$5)^(D386/12)*(IF((E386)&gt;($B$6),H386,0)+IF(E386=$N$7,$N$4,0)+IF(E386=$C$6,0,0))</f>
      </c>
      <c r="M386" s="1"/>
      <c r="N386" s="7"/>
      <c r="O386" s="1"/>
      <c r="P386" s="331">
        <v>379</v>
      </c>
      <c r="Q386" s="544">
        <f>+DATE(YEAR(Q385),MONTH(Q385)-1,DAY(Q385))</f>
        <v>25569.041666666668</v>
      </c>
      <c r="R386" s="341">
        <f>IF($Z$7=$E386,1,IF(MONTH($E386)=1,R387*(1+$F$5),R387))</f>
      </c>
      <c r="S386" s="334">
        <f>R386*$B$8/12</f>
      </c>
      <c r="T386" s="334">
        <f>R386*$B$11/12</f>
      </c>
      <c r="U386" s="565">
        <f>(1+$V$5)^(P386/12)*(T386+IF(Q386=$Z$7,$Z$4,0))</f>
      </c>
      <c r="V386" s="170"/>
      <c r="W386" s="7"/>
      <c r="X386" s="1"/>
      <c r="Y386" s="1"/>
      <c r="Z386" s="1"/>
      <c r="AA386" s="1"/>
      <c r="AB386" s="1"/>
      <c r="AC386" s="331">
        <v>379</v>
      </c>
      <c r="AD386" s="544">
        <f>+DATE(YEAR(AD385),MONTH(AD385)-1,DAY(AD385))</f>
        <v>25569.041666666668</v>
      </c>
      <c r="AE386" s="341">
        <f>IF($AM$7=$E386,1,IF(MONTH($E386)=1,AE387*(1+$F$5),AE387))</f>
      </c>
      <c r="AF386" s="334">
        <f>AE386*$B$8/12</f>
      </c>
      <c r="AG386" s="334">
        <f>AE386*$B$12/12</f>
      </c>
      <c r="AH386" s="565">
        <f>(1+$AI$5)^(AC386/12)*(AG386+IF(AD386=$AM$7,$AM$4,0))</f>
      </c>
      <c r="AI386" s="170"/>
      <c r="AJ386" s="7"/>
      <c r="AK386" s="1"/>
      <c r="AL386" s="1"/>
      <c r="AM386" s="1"/>
    </row>
    <row x14ac:dyDescent="0.25" r="387" customHeight="1" ht="18.75">
      <c r="A387" s="1"/>
      <c r="B387" s="169"/>
      <c r="C387" s="170"/>
      <c r="D387" s="331">
        <v>380</v>
      </c>
      <c r="E387" s="544">
        <f>+DATE(YEAR(E386),MONTH(E386)-1,DAY(E386))</f>
        <v>25569.041666666668</v>
      </c>
      <c r="F387" s="333">
        <f>IF($C$6=$E387,1,IF(MONTH($E387)=1,F388*(1+$F$5),F388))</f>
      </c>
      <c r="G387" s="333">
        <f>F387*$B$8/12</f>
      </c>
      <c r="H387" s="333">
        <f>IF(F387=1,F387*$B$10/MIN(12,'Simulador - 3º Pilar'!$E$88),0)</f>
      </c>
      <c r="I387" s="560">
        <f>(1+$G$5)^(D387/12)*(H387+IF(E387=$N$7,$N$4,0))</f>
      </c>
      <c r="J387" s="561">
        <f>(1+$G$5)^(D387/12)*(H387*(12-IF(MONTH(E388)=12,0,MONTH(E388)))+IF(AND(F387=1,F388=0),$Q$4,0))*IF(AND(F387=1,F388=0),1,0)</f>
      </c>
      <c r="K387" s="217">
        <f>(1+$G$5)^(D387/12)*(IF(E387=$N$7,$N$4,0)+IF(E387=$C$6,$B$10,0))</f>
      </c>
      <c r="L387" s="217">
        <f>(1+$G$5)^(D387/12)*(IF((E387)&gt;($B$6),H387,0)+IF(E387=$N$7,$N$4,0)+IF(E387=$C$6,0,0))</f>
      </c>
      <c r="M387" s="1"/>
      <c r="N387" s="7"/>
      <c r="O387" s="1"/>
      <c r="P387" s="331">
        <v>380</v>
      </c>
      <c r="Q387" s="544">
        <f>+DATE(YEAR(Q386),MONTH(Q386)-1,DAY(Q386))</f>
        <v>25569.041666666668</v>
      </c>
      <c r="R387" s="341">
        <f>IF($Z$7=$E387,1,IF(MONTH($E387)=1,R388*(1+$F$5),R388))</f>
      </c>
      <c r="S387" s="334">
        <f>R387*$B$8/12</f>
      </c>
      <c r="T387" s="334">
        <f>R387*$B$11/12</f>
      </c>
      <c r="U387" s="565">
        <f>(1+$V$5)^(P387/12)*(T387+IF(Q387=$Z$7,$Z$4,0))</f>
      </c>
      <c r="V387" s="170"/>
      <c r="W387" s="7"/>
      <c r="X387" s="1"/>
      <c r="Y387" s="1"/>
      <c r="Z387" s="1"/>
      <c r="AA387" s="1"/>
      <c r="AB387" s="1"/>
      <c r="AC387" s="331">
        <v>380</v>
      </c>
      <c r="AD387" s="544">
        <f>+DATE(YEAR(AD386),MONTH(AD386)-1,DAY(AD386))</f>
        <v>25569.041666666668</v>
      </c>
      <c r="AE387" s="341">
        <f>IF($AM$7=$E387,1,IF(MONTH($E387)=1,AE388*(1+$F$5),AE388))</f>
      </c>
      <c r="AF387" s="334">
        <f>AE387*$B$8/12</f>
      </c>
      <c r="AG387" s="334">
        <f>AE387*$B$12/12</f>
      </c>
      <c r="AH387" s="565">
        <f>(1+$AI$5)^(AC387/12)*(AG387+IF(AD387=$AM$7,$AM$4,0))</f>
      </c>
      <c r="AI387" s="170"/>
      <c r="AJ387" s="7"/>
      <c r="AK387" s="1"/>
      <c r="AL387" s="1"/>
      <c r="AM387" s="1"/>
    </row>
    <row x14ac:dyDescent="0.25" r="388" customHeight="1" ht="18.75">
      <c r="A388" s="1"/>
      <c r="B388" s="169"/>
      <c r="C388" s="170"/>
      <c r="D388" s="331">
        <v>381</v>
      </c>
      <c r="E388" s="544">
        <f>+DATE(YEAR(E387),MONTH(E387)-1,DAY(E387))</f>
        <v>25569.041666666668</v>
      </c>
      <c r="F388" s="333">
        <f>IF($C$6=$E388,1,IF(MONTH($E388)=1,F389*(1+$F$5),F389))</f>
      </c>
      <c r="G388" s="333">
        <f>F388*$B$8/12</f>
      </c>
      <c r="H388" s="333">
        <f>IF(F388=1,F388*$B$10/MIN(12,'Simulador - 3º Pilar'!$E$88),0)</f>
      </c>
      <c r="I388" s="560">
        <f>(1+$G$5)^(D388/12)*(H388+IF(E388=$N$7,$N$4,0))</f>
      </c>
      <c r="J388" s="561">
        <f>(1+$G$5)^(D388/12)*(H388*(12-IF(MONTH(E389)=12,0,MONTH(E389)))+IF(AND(F388=1,F389=0),$Q$4,0))*IF(AND(F388=1,F389=0),1,0)</f>
      </c>
      <c r="K388" s="217">
        <f>(1+$G$5)^(D388/12)*(IF(E388=$N$7,$N$4,0)+IF(E388=$C$6,$B$10,0))</f>
      </c>
      <c r="L388" s="217">
        <f>(1+$G$5)^(D388/12)*(IF((E388)&gt;($B$6),H388,0)+IF(E388=$N$7,$N$4,0)+IF(E388=$C$6,0,0))</f>
      </c>
      <c r="M388" s="1"/>
      <c r="N388" s="7"/>
      <c r="O388" s="1"/>
      <c r="P388" s="331">
        <v>381</v>
      </c>
      <c r="Q388" s="544">
        <f>+DATE(YEAR(Q387),MONTH(Q387)-1,DAY(Q387))</f>
        <v>25569.041666666668</v>
      </c>
      <c r="R388" s="341">
        <f>IF($Z$7=$E388,1,IF(MONTH($E388)=1,R389*(1+$F$5),R389))</f>
      </c>
      <c r="S388" s="334">
        <f>R388*$B$8/12</f>
      </c>
      <c r="T388" s="334">
        <f>R388*$B$11/12</f>
      </c>
      <c r="U388" s="565">
        <f>(1+$V$5)^(P388/12)*(T388+IF(Q388=$Z$7,$Z$4,0))</f>
      </c>
      <c r="V388" s="170"/>
      <c r="W388" s="7"/>
      <c r="X388" s="1"/>
      <c r="Y388" s="1"/>
      <c r="Z388" s="1"/>
      <c r="AA388" s="1"/>
      <c r="AB388" s="1"/>
      <c r="AC388" s="331">
        <v>381</v>
      </c>
      <c r="AD388" s="544">
        <f>+DATE(YEAR(AD387),MONTH(AD387)-1,DAY(AD387))</f>
        <v>25569.041666666668</v>
      </c>
      <c r="AE388" s="341">
        <f>IF($AM$7=$E388,1,IF(MONTH($E388)=1,AE389*(1+$F$5),AE389))</f>
      </c>
      <c r="AF388" s="334">
        <f>AE388*$B$8/12</f>
      </c>
      <c r="AG388" s="334">
        <f>AE388*$B$12/12</f>
      </c>
      <c r="AH388" s="565">
        <f>(1+$AI$5)^(AC388/12)*(AG388+IF(AD388=$AM$7,$AM$4,0))</f>
      </c>
      <c r="AI388" s="170"/>
      <c r="AJ388" s="7"/>
      <c r="AK388" s="1"/>
      <c r="AL388" s="1"/>
      <c r="AM388" s="1"/>
    </row>
    <row x14ac:dyDescent="0.25" r="389" customHeight="1" ht="18.75">
      <c r="A389" s="1"/>
      <c r="B389" s="169"/>
      <c r="C389" s="170"/>
      <c r="D389" s="331">
        <v>382</v>
      </c>
      <c r="E389" s="544">
        <f>+DATE(YEAR(E388),MONTH(E388)-1,DAY(E388))</f>
        <v>25569.041666666668</v>
      </c>
      <c r="F389" s="333">
        <f>IF($C$6=$E389,1,IF(MONTH($E389)=1,F390*(1+$F$5),F390))</f>
      </c>
      <c r="G389" s="333">
        <f>F389*$B$8/12</f>
      </c>
      <c r="H389" s="333">
        <f>IF(F389=1,F389*$B$10/MIN(12,'Simulador - 3º Pilar'!$E$88),0)</f>
      </c>
      <c r="I389" s="560">
        <f>(1+$G$5)^(D389/12)*(H389+IF(E389=$N$7,$N$4,0))</f>
      </c>
      <c r="J389" s="561">
        <f>(1+$G$5)^(D389/12)*(H389*(12-IF(MONTH(E390)=12,0,MONTH(E390)))+IF(AND(F389=1,F390=0),$Q$4,0))*IF(AND(F389=1,F390=0),1,0)</f>
      </c>
      <c r="K389" s="217">
        <f>(1+$G$5)^(D389/12)*(IF(E389=$N$7,$N$4,0)+IF(E389=$C$6,$B$10,0))</f>
      </c>
      <c r="L389" s="217">
        <f>(1+$G$5)^(D389/12)*(IF((E389)&gt;($B$6),H389,0)+IF(E389=$N$7,$N$4,0)+IF(E389=$C$6,0,0))</f>
      </c>
      <c r="M389" s="1"/>
      <c r="N389" s="7"/>
      <c r="O389" s="1"/>
      <c r="P389" s="331">
        <v>382</v>
      </c>
      <c r="Q389" s="544">
        <f>+DATE(YEAR(Q388),MONTH(Q388)-1,DAY(Q388))</f>
        <v>25569.041666666668</v>
      </c>
      <c r="R389" s="341">
        <f>IF($Z$7=$E389,1,IF(MONTH($E389)=1,R390*(1+$F$5),R390))</f>
      </c>
      <c r="S389" s="334">
        <f>R389*$B$8/12</f>
      </c>
      <c r="T389" s="334">
        <f>R389*$B$11/12</f>
      </c>
      <c r="U389" s="565">
        <f>(1+$V$5)^(P389/12)*(T389+IF(Q389=$Z$7,$Z$4,0))</f>
      </c>
      <c r="V389" s="170"/>
      <c r="W389" s="7"/>
      <c r="X389" s="1"/>
      <c r="Y389" s="1"/>
      <c r="Z389" s="1"/>
      <c r="AA389" s="1"/>
      <c r="AB389" s="1"/>
      <c r="AC389" s="331">
        <v>382</v>
      </c>
      <c r="AD389" s="544">
        <f>+DATE(YEAR(AD388),MONTH(AD388)-1,DAY(AD388))</f>
        <v>25569.041666666668</v>
      </c>
      <c r="AE389" s="341">
        <f>IF($AM$7=$E389,1,IF(MONTH($E389)=1,AE390*(1+$F$5),AE390))</f>
      </c>
      <c r="AF389" s="334">
        <f>AE389*$B$8/12</f>
      </c>
      <c r="AG389" s="334">
        <f>AE389*$B$12/12</f>
      </c>
      <c r="AH389" s="565">
        <f>(1+$AI$5)^(AC389/12)*(AG389+IF(AD389=$AM$7,$AM$4,0))</f>
      </c>
      <c r="AI389" s="170"/>
      <c r="AJ389" s="7"/>
      <c r="AK389" s="1"/>
      <c r="AL389" s="1"/>
      <c r="AM389" s="1"/>
    </row>
    <row x14ac:dyDescent="0.25" r="390" customHeight="1" ht="18.75">
      <c r="A390" s="1"/>
      <c r="B390" s="169"/>
      <c r="C390" s="170"/>
      <c r="D390" s="331">
        <v>383</v>
      </c>
      <c r="E390" s="544">
        <f>+DATE(YEAR(E389),MONTH(E389)-1,DAY(E389))</f>
        <v>25569.041666666668</v>
      </c>
      <c r="F390" s="333">
        <f>IF($C$6=$E390,1,IF(MONTH($E390)=1,F391*(1+$F$5),F391))</f>
      </c>
      <c r="G390" s="333">
        <f>F390*$B$8/12</f>
      </c>
      <c r="H390" s="333">
        <f>IF(F390=1,F390*$B$10/MIN(12,'Simulador - 3º Pilar'!$E$88),0)</f>
      </c>
      <c r="I390" s="560">
        <f>(1+$G$5)^(D390/12)*(H390+IF(E390=$N$7,$N$4,0))</f>
      </c>
      <c r="J390" s="561">
        <f>(1+$G$5)^(D390/12)*(H390*(12-IF(MONTH(E391)=12,0,MONTH(E391)))+IF(AND(F390=1,F391=0),$Q$4,0))*IF(AND(F390=1,F391=0),1,0)</f>
      </c>
      <c r="K390" s="217">
        <f>(1+$G$5)^(D390/12)*(IF(E390=$N$7,$N$4,0)+IF(E390=$C$6,$B$10,0))</f>
      </c>
      <c r="L390" s="217">
        <f>(1+$G$5)^(D390/12)*(IF((E390)&gt;($B$6),H390,0)+IF(E390=$N$7,$N$4,0)+IF(E390=$C$6,0,0))</f>
      </c>
      <c r="M390" s="1"/>
      <c r="N390" s="7"/>
      <c r="O390" s="1"/>
      <c r="P390" s="331">
        <v>383</v>
      </c>
      <c r="Q390" s="544">
        <f>+DATE(YEAR(Q389),MONTH(Q389)-1,DAY(Q389))</f>
        <v>25569.041666666668</v>
      </c>
      <c r="R390" s="341">
        <f>IF($Z$7=$E390,1,IF(MONTH($E390)=1,R391*(1+$F$5),R391))</f>
      </c>
      <c r="S390" s="334">
        <f>R390*$B$8/12</f>
      </c>
      <c r="T390" s="334">
        <f>R390*$B$11/12</f>
      </c>
      <c r="U390" s="565">
        <f>(1+$V$5)^(P390/12)*(T390+IF(Q390=$Z$7,$Z$4,0))</f>
      </c>
      <c r="V390" s="170"/>
      <c r="W390" s="7"/>
      <c r="X390" s="1"/>
      <c r="Y390" s="1"/>
      <c r="Z390" s="1"/>
      <c r="AA390" s="1"/>
      <c r="AB390" s="1"/>
      <c r="AC390" s="331">
        <v>383</v>
      </c>
      <c r="AD390" s="544">
        <f>+DATE(YEAR(AD389),MONTH(AD389)-1,DAY(AD389))</f>
        <v>25569.041666666668</v>
      </c>
      <c r="AE390" s="341">
        <f>IF($AM$7=$E390,1,IF(MONTH($E390)=1,AE391*(1+$F$5),AE391))</f>
      </c>
      <c r="AF390" s="334">
        <f>AE390*$B$8/12</f>
      </c>
      <c r="AG390" s="334">
        <f>AE390*$B$12/12</f>
      </c>
      <c r="AH390" s="565">
        <f>(1+$AI$5)^(AC390/12)*(AG390+IF(AD390=$AM$7,$AM$4,0))</f>
      </c>
      <c r="AI390" s="170"/>
      <c r="AJ390" s="7"/>
      <c r="AK390" s="1"/>
      <c r="AL390" s="1"/>
      <c r="AM390" s="1"/>
    </row>
    <row x14ac:dyDescent="0.25" r="391" customHeight="1" ht="18.75">
      <c r="A391" s="1"/>
      <c r="B391" s="169"/>
      <c r="C391" s="170"/>
      <c r="D391" s="331">
        <v>384</v>
      </c>
      <c r="E391" s="544">
        <f>+DATE(YEAR(E390),MONTH(E390)-1,DAY(E390))</f>
        <v>25569.041666666668</v>
      </c>
      <c r="F391" s="333">
        <f>IF($C$6=$E391,1,IF(MONTH($E391)=1,F392*(1+$F$5),F392))</f>
      </c>
      <c r="G391" s="333">
        <f>F391*$B$8/12</f>
      </c>
      <c r="H391" s="333">
        <f>IF(F391=1,F391*$B$10/MIN(12,'Simulador - 3º Pilar'!$E$88),0)</f>
      </c>
      <c r="I391" s="560">
        <f>(1+$G$5)^(D391/12)*(H391+IF(E391=$N$7,$N$4,0))</f>
      </c>
      <c r="J391" s="561">
        <f>(1+$G$5)^(D391/12)*(H391*(12-IF(MONTH(E392)=12,0,MONTH(E392)))+IF(AND(F391=1,F392=0),$Q$4,0))*IF(AND(F391=1,F392=0),1,0)</f>
      </c>
      <c r="K391" s="217">
        <f>(1+$G$5)^(D391/12)*(IF(E391=$N$7,$N$4,0)+IF(E391=$C$6,$B$10,0))</f>
      </c>
      <c r="L391" s="217">
        <f>(1+$G$5)^(D391/12)*(IF((E391)&gt;($B$6),H391,0)+IF(E391=$N$7,$N$4,0)+IF(E391=$C$6,0,0))</f>
      </c>
      <c r="M391" s="1"/>
      <c r="N391" s="7"/>
      <c r="O391" s="1"/>
      <c r="P391" s="331">
        <v>384</v>
      </c>
      <c r="Q391" s="544">
        <f>+DATE(YEAR(Q390),MONTH(Q390)-1,DAY(Q390))</f>
        <v>25569.041666666668</v>
      </c>
      <c r="R391" s="341">
        <f>IF($Z$7=$E391,1,IF(MONTH($E391)=1,R392*(1+$F$5),R392))</f>
      </c>
      <c r="S391" s="334">
        <f>R391*$B$8/12</f>
      </c>
      <c r="T391" s="334">
        <f>R391*$B$11/12</f>
      </c>
      <c r="U391" s="565">
        <f>(1+$V$5)^(P391/12)*(T391+IF(Q391=$Z$7,$Z$4,0))</f>
      </c>
      <c r="V391" s="170"/>
      <c r="W391" s="7"/>
      <c r="X391" s="1"/>
      <c r="Y391" s="1"/>
      <c r="Z391" s="1"/>
      <c r="AA391" s="1"/>
      <c r="AB391" s="1"/>
      <c r="AC391" s="331">
        <v>384</v>
      </c>
      <c r="AD391" s="544">
        <f>+DATE(YEAR(AD390),MONTH(AD390)-1,DAY(AD390))</f>
        <v>25569.041666666668</v>
      </c>
      <c r="AE391" s="341">
        <f>IF($AM$7=$E391,1,IF(MONTH($E391)=1,AE392*(1+$F$5),AE392))</f>
      </c>
      <c r="AF391" s="334">
        <f>AE391*$B$8/12</f>
      </c>
      <c r="AG391" s="334">
        <f>AE391*$B$12/12</f>
      </c>
      <c r="AH391" s="565">
        <f>(1+$AI$5)^(AC391/12)*(AG391+IF(AD391=$AM$7,$AM$4,0))</f>
      </c>
      <c r="AI391" s="170"/>
      <c r="AJ391" s="7"/>
      <c r="AK391" s="1"/>
      <c r="AL391" s="1"/>
      <c r="AM391" s="1"/>
    </row>
    <row x14ac:dyDescent="0.25" r="392" customHeight="1" ht="18.75">
      <c r="A392" s="1"/>
      <c r="B392" s="169"/>
      <c r="C392" s="170"/>
      <c r="D392" s="331">
        <v>385</v>
      </c>
      <c r="E392" s="544">
        <f>+DATE(YEAR(E391),MONTH(E391)-1,DAY(E391))</f>
        <v>25569.041666666668</v>
      </c>
      <c r="F392" s="333">
        <f>IF($C$6=$E392,1,IF(MONTH($E392)=1,F393*(1+$F$5),F393))</f>
      </c>
      <c r="G392" s="333">
        <f>F392*$B$8/12</f>
      </c>
      <c r="H392" s="333">
        <f>IF(F392=1,F392*$B$10/MIN(12,'Simulador - 3º Pilar'!$E$88),0)</f>
      </c>
      <c r="I392" s="560">
        <f>(1+$G$5)^(D392/12)*(H392+IF(E392=$N$7,$N$4,0))</f>
      </c>
      <c r="J392" s="561">
        <f>(1+$G$5)^(D392/12)*(H392*(12-IF(MONTH(E393)=12,0,MONTH(E393)))+IF(AND(F392=1,F393=0),$Q$4,0))*IF(AND(F392=1,F393=0),1,0)</f>
      </c>
      <c r="K392" s="217">
        <f>(1+$G$5)^(D392/12)*(IF(E392=$N$7,$N$4,0)+IF(E392=$C$6,$B$10,0))</f>
      </c>
      <c r="L392" s="217">
        <f>(1+$G$5)^(D392/12)*(IF((E392)&gt;($B$6),H392,0)+IF(E392=$N$7,$N$4,0)+IF(E392=$C$6,0,0))</f>
      </c>
      <c r="M392" s="1"/>
      <c r="N392" s="7"/>
      <c r="O392" s="1"/>
      <c r="P392" s="331">
        <v>385</v>
      </c>
      <c r="Q392" s="544">
        <f>+DATE(YEAR(Q391),MONTH(Q391)-1,DAY(Q391))</f>
        <v>25569.041666666668</v>
      </c>
      <c r="R392" s="341">
        <f>IF($Z$7=$E392,1,IF(MONTH($E392)=1,R393*(1+$F$5),R393))</f>
      </c>
      <c r="S392" s="334">
        <f>R392*$B$8/12</f>
      </c>
      <c r="T392" s="334">
        <f>R392*$B$11/12</f>
      </c>
      <c r="U392" s="565">
        <f>(1+$V$5)^(P392/12)*(T392+IF(Q392=$Z$7,$Z$4,0))</f>
      </c>
      <c r="V392" s="170"/>
      <c r="W392" s="7"/>
      <c r="X392" s="1"/>
      <c r="Y392" s="1"/>
      <c r="Z392" s="1"/>
      <c r="AA392" s="1"/>
      <c r="AB392" s="1"/>
      <c r="AC392" s="331">
        <v>385</v>
      </c>
      <c r="AD392" s="544">
        <f>+DATE(YEAR(AD391),MONTH(AD391)-1,DAY(AD391))</f>
        <v>25569.041666666668</v>
      </c>
      <c r="AE392" s="341">
        <f>IF($AM$7=$E392,1,IF(MONTH($E392)=1,AE393*(1+$F$5),AE393))</f>
      </c>
      <c r="AF392" s="334">
        <f>AE392*$B$8/12</f>
      </c>
      <c r="AG392" s="334">
        <f>AE392*$B$12/12</f>
      </c>
      <c r="AH392" s="565">
        <f>(1+$AI$5)^(AC392/12)*(AG392+IF(AD392=$AM$7,$AM$4,0))</f>
      </c>
      <c r="AI392" s="170"/>
      <c r="AJ392" s="7"/>
      <c r="AK392" s="1"/>
      <c r="AL392" s="1"/>
      <c r="AM392" s="1"/>
    </row>
    <row x14ac:dyDescent="0.25" r="393" customHeight="1" ht="18.75">
      <c r="A393" s="1"/>
      <c r="B393" s="169"/>
      <c r="C393" s="170"/>
      <c r="D393" s="331">
        <v>386</v>
      </c>
      <c r="E393" s="544">
        <f>+DATE(YEAR(E392),MONTH(E392)-1,DAY(E392))</f>
        <v>25569.041666666668</v>
      </c>
      <c r="F393" s="333">
        <f>IF($C$6=$E393,1,IF(MONTH($E393)=1,F394*(1+$F$5),F394))</f>
      </c>
      <c r="G393" s="333">
        <f>F393*$B$8/12</f>
      </c>
      <c r="H393" s="333">
        <f>IF(F393=1,F393*$B$10/MIN(12,'Simulador - 3º Pilar'!$E$88),0)</f>
      </c>
      <c r="I393" s="560">
        <f>(1+$G$5)^(D393/12)*(H393+IF(E393=$N$7,$N$4,0))</f>
      </c>
      <c r="J393" s="561">
        <f>(1+$G$5)^(D393/12)*(H393*(12-IF(MONTH(E394)=12,0,MONTH(E394)))+IF(AND(F393=1,F394=0),$Q$4,0))*IF(AND(F393=1,F394=0),1,0)</f>
      </c>
      <c r="K393" s="217">
        <f>(1+$G$5)^(D393/12)*(IF(E393=$N$7,$N$4,0)+IF(E393=$C$6,$B$10,0))</f>
      </c>
      <c r="L393" s="217">
        <f>(1+$G$5)^(D393/12)*(IF((E393)&gt;($B$6),H393,0)+IF(E393=$N$7,$N$4,0)+IF(E393=$C$6,0,0))</f>
      </c>
      <c r="M393" s="1"/>
      <c r="N393" s="7"/>
      <c r="O393" s="1"/>
      <c r="P393" s="331">
        <v>386</v>
      </c>
      <c r="Q393" s="544">
        <f>+DATE(YEAR(Q392),MONTH(Q392)-1,DAY(Q392))</f>
        <v>25569.041666666668</v>
      </c>
      <c r="R393" s="341">
        <f>IF($Z$7=$E393,1,IF(MONTH($E393)=1,R394*(1+$F$5),R394))</f>
      </c>
      <c r="S393" s="334">
        <f>R393*$B$8/12</f>
      </c>
      <c r="T393" s="334">
        <f>R393*$B$11/12</f>
      </c>
      <c r="U393" s="565">
        <f>(1+$V$5)^(P393/12)*(T393+IF(Q393=$Z$7,$Z$4,0))</f>
      </c>
      <c r="V393" s="170"/>
      <c r="W393" s="7"/>
      <c r="X393" s="1"/>
      <c r="Y393" s="1"/>
      <c r="Z393" s="1"/>
      <c r="AA393" s="1"/>
      <c r="AB393" s="1"/>
      <c r="AC393" s="331">
        <v>386</v>
      </c>
      <c r="AD393" s="544">
        <f>+DATE(YEAR(AD392),MONTH(AD392)-1,DAY(AD392))</f>
        <v>25569.041666666668</v>
      </c>
      <c r="AE393" s="341">
        <f>IF($AM$7=$E393,1,IF(MONTH($E393)=1,AE394*(1+$F$5),AE394))</f>
      </c>
      <c r="AF393" s="334">
        <f>AE393*$B$8/12</f>
      </c>
      <c r="AG393" s="334">
        <f>AE393*$B$12/12</f>
      </c>
      <c r="AH393" s="565">
        <f>(1+$AI$5)^(AC393/12)*(AG393+IF(AD393=$AM$7,$AM$4,0))</f>
      </c>
      <c r="AI393" s="170"/>
      <c r="AJ393" s="7"/>
      <c r="AK393" s="1"/>
      <c r="AL393" s="1"/>
      <c r="AM393" s="1"/>
    </row>
    <row x14ac:dyDescent="0.25" r="394" customHeight="1" ht="18.75">
      <c r="A394" s="1"/>
      <c r="B394" s="169"/>
      <c r="C394" s="170"/>
      <c r="D394" s="331">
        <v>387</v>
      </c>
      <c r="E394" s="544">
        <f>+DATE(YEAR(E393),MONTH(E393)-1,DAY(E393))</f>
        <v>25569.041666666668</v>
      </c>
      <c r="F394" s="333">
        <f>IF($C$6=$E394,1,IF(MONTH($E394)=1,F395*(1+$F$5),F395))</f>
      </c>
      <c r="G394" s="333">
        <f>F394*$B$8/12</f>
      </c>
      <c r="H394" s="333">
        <f>IF(F394=1,F394*$B$10/MIN(12,'Simulador - 3º Pilar'!$E$88),0)</f>
      </c>
      <c r="I394" s="560">
        <f>(1+$G$5)^(D394/12)*(H394+IF(E394=$N$7,$N$4,0))</f>
      </c>
      <c r="J394" s="561">
        <f>(1+$G$5)^(D394/12)*(H394*(12-IF(MONTH(E395)=12,0,MONTH(E395)))+IF(AND(F394=1,F395=0),$Q$4,0))*IF(AND(F394=1,F395=0),1,0)</f>
      </c>
      <c r="K394" s="217">
        <f>(1+$G$5)^(D394/12)*(IF(E394=$N$7,$N$4,0)+IF(E394=$C$6,$B$10,0))</f>
      </c>
      <c r="L394" s="217">
        <f>(1+$G$5)^(D394/12)*(IF((E394)&gt;($B$6),H394,0)+IF(E394=$N$7,$N$4,0)+IF(E394=$C$6,0,0))</f>
      </c>
      <c r="M394" s="1"/>
      <c r="N394" s="7"/>
      <c r="O394" s="1"/>
      <c r="P394" s="331">
        <v>387</v>
      </c>
      <c r="Q394" s="544">
        <f>+DATE(YEAR(Q393),MONTH(Q393)-1,DAY(Q393))</f>
        <v>25569.041666666668</v>
      </c>
      <c r="R394" s="341">
        <f>IF($Z$7=$E394,1,IF(MONTH($E394)=1,R395*(1+$F$5),R395))</f>
      </c>
      <c r="S394" s="334">
        <f>R394*$B$8/12</f>
      </c>
      <c r="T394" s="334">
        <f>R394*$B$11/12</f>
      </c>
      <c r="U394" s="565">
        <f>(1+$V$5)^(P394/12)*(T394+IF(Q394=$Z$7,$Z$4,0))</f>
      </c>
      <c r="V394" s="170"/>
      <c r="W394" s="7"/>
      <c r="X394" s="1"/>
      <c r="Y394" s="1"/>
      <c r="Z394" s="1"/>
      <c r="AA394" s="1"/>
      <c r="AB394" s="1"/>
      <c r="AC394" s="331">
        <v>387</v>
      </c>
      <c r="AD394" s="544">
        <f>+DATE(YEAR(AD393),MONTH(AD393)-1,DAY(AD393))</f>
        <v>25569.041666666668</v>
      </c>
      <c r="AE394" s="341">
        <f>IF($AM$7=$E394,1,IF(MONTH($E394)=1,AE395*(1+$F$5),AE395))</f>
      </c>
      <c r="AF394" s="334">
        <f>AE394*$B$8/12</f>
      </c>
      <c r="AG394" s="334">
        <f>AE394*$B$12/12</f>
      </c>
      <c r="AH394" s="565">
        <f>(1+$AI$5)^(AC394/12)*(AG394+IF(AD394=$AM$7,$AM$4,0))</f>
      </c>
      <c r="AI394" s="170"/>
      <c r="AJ394" s="7"/>
      <c r="AK394" s="1"/>
      <c r="AL394" s="1"/>
      <c r="AM394" s="1"/>
    </row>
    <row x14ac:dyDescent="0.25" r="395" customHeight="1" ht="18.75">
      <c r="A395" s="1"/>
      <c r="B395" s="169"/>
      <c r="C395" s="170"/>
      <c r="D395" s="331">
        <v>388</v>
      </c>
      <c r="E395" s="544">
        <f>+DATE(YEAR(E394),MONTH(E394)-1,DAY(E394))</f>
        <v>25569.041666666668</v>
      </c>
      <c r="F395" s="333">
        <f>IF($C$6=$E395,1,IF(MONTH($E395)=1,F396*(1+$F$5),F396))</f>
      </c>
      <c r="G395" s="333">
        <f>F395*$B$8/12</f>
      </c>
      <c r="H395" s="333">
        <f>IF(F395=1,F395*$B$10/MIN(12,'Simulador - 3º Pilar'!$E$88),0)</f>
      </c>
      <c r="I395" s="560">
        <f>(1+$G$5)^(D395/12)*(H395+IF(E395=$N$7,$N$4,0))</f>
      </c>
      <c r="J395" s="561">
        <f>(1+$G$5)^(D395/12)*(H395*(12-IF(MONTH(E396)=12,0,MONTH(E396)))+IF(AND(F395=1,F396=0),$Q$4,0))*IF(AND(F395=1,F396=0),1,0)</f>
      </c>
      <c r="K395" s="217">
        <f>(1+$G$5)^(D395/12)*(IF(E395=$N$7,$N$4,0)+IF(E395=$C$6,$B$10,0))</f>
      </c>
      <c r="L395" s="217">
        <f>(1+$G$5)^(D395/12)*(IF((E395)&gt;($B$6),H395,0)+IF(E395=$N$7,$N$4,0)+IF(E395=$C$6,0,0))</f>
      </c>
      <c r="M395" s="1"/>
      <c r="N395" s="7"/>
      <c r="O395" s="1"/>
      <c r="P395" s="331">
        <v>388</v>
      </c>
      <c r="Q395" s="544">
        <f>+DATE(YEAR(Q394),MONTH(Q394)-1,DAY(Q394))</f>
        <v>25569.041666666668</v>
      </c>
      <c r="R395" s="341">
        <f>IF($Z$7=$E395,1,IF(MONTH($E395)=1,R396*(1+$F$5),R396))</f>
      </c>
      <c r="S395" s="334">
        <f>R395*$B$8/12</f>
      </c>
      <c r="T395" s="334">
        <f>R395*$B$11/12</f>
      </c>
      <c r="U395" s="565">
        <f>(1+$V$5)^(P395/12)*(T395+IF(Q395=$Z$7,$Z$4,0))</f>
      </c>
      <c r="V395" s="170"/>
      <c r="W395" s="7"/>
      <c r="X395" s="1"/>
      <c r="Y395" s="1"/>
      <c r="Z395" s="1"/>
      <c r="AA395" s="1"/>
      <c r="AB395" s="1"/>
      <c r="AC395" s="331">
        <v>388</v>
      </c>
      <c r="AD395" s="544">
        <f>+DATE(YEAR(AD394),MONTH(AD394)-1,DAY(AD394))</f>
        <v>25569.041666666668</v>
      </c>
      <c r="AE395" s="341">
        <f>IF($AM$7=$E395,1,IF(MONTH($E395)=1,AE396*(1+$F$5),AE396))</f>
      </c>
      <c r="AF395" s="334">
        <f>AE395*$B$8/12</f>
      </c>
      <c r="AG395" s="334">
        <f>AE395*$B$12/12</f>
      </c>
      <c r="AH395" s="565">
        <f>(1+$AI$5)^(AC395/12)*(AG395+IF(AD395=$AM$7,$AM$4,0))</f>
      </c>
      <c r="AI395" s="170"/>
      <c r="AJ395" s="7"/>
      <c r="AK395" s="1"/>
      <c r="AL395" s="1"/>
      <c r="AM395" s="1"/>
    </row>
    <row x14ac:dyDescent="0.25" r="396" customHeight="1" ht="18.75">
      <c r="A396" s="1"/>
      <c r="B396" s="169"/>
      <c r="C396" s="170"/>
      <c r="D396" s="331">
        <v>389</v>
      </c>
      <c r="E396" s="544">
        <f>+DATE(YEAR(E395),MONTH(E395)-1,DAY(E395))</f>
        <v>25569.041666666668</v>
      </c>
      <c r="F396" s="333">
        <f>IF($C$6=$E396,1,IF(MONTH($E396)=1,F397*(1+$F$5),F397))</f>
      </c>
      <c r="G396" s="333">
        <f>F396*$B$8/12</f>
      </c>
      <c r="H396" s="333">
        <f>IF(F396=1,F396*$B$10/MIN(12,'Simulador - 3º Pilar'!$E$88),0)</f>
      </c>
      <c r="I396" s="560">
        <f>(1+$G$5)^(D396/12)*(H396+IF(E396=$N$7,$N$4,0))</f>
      </c>
      <c r="J396" s="561">
        <f>(1+$G$5)^(D396/12)*(H396*(12-IF(MONTH(E397)=12,0,MONTH(E397)))+IF(AND(F396=1,F397=0),$Q$4,0))*IF(AND(F396=1,F397=0),1,0)</f>
      </c>
      <c r="K396" s="217">
        <f>(1+$G$5)^(D396/12)*(IF(E396=$N$7,$N$4,0)+IF(E396=$C$6,$B$10,0))</f>
      </c>
      <c r="L396" s="217">
        <f>(1+$G$5)^(D396/12)*(IF((E396)&gt;($B$6),H396,0)+IF(E396=$N$7,$N$4,0)+IF(E396=$C$6,0,0))</f>
      </c>
      <c r="M396" s="1"/>
      <c r="N396" s="7"/>
      <c r="O396" s="1"/>
      <c r="P396" s="331">
        <v>389</v>
      </c>
      <c r="Q396" s="544">
        <f>+DATE(YEAR(Q395),MONTH(Q395)-1,DAY(Q395))</f>
        <v>25569.041666666668</v>
      </c>
      <c r="R396" s="341">
        <f>IF($Z$7=$E396,1,IF(MONTH($E396)=1,R397*(1+$F$5),R397))</f>
      </c>
      <c r="S396" s="334">
        <f>R396*$B$8/12</f>
      </c>
      <c r="T396" s="334">
        <f>R396*$B$11/12</f>
      </c>
      <c r="U396" s="565">
        <f>(1+$V$5)^(P396/12)*(T396+IF(Q396=$Z$7,$Z$4,0))</f>
      </c>
      <c r="V396" s="170"/>
      <c r="W396" s="7"/>
      <c r="X396" s="1"/>
      <c r="Y396" s="1"/>
      <c r="Z396" s="1"/>
      <c r="AA396" s="1"/>
      <c r="AB396" s="1"/>
      <c r="AC396" s="331">
        <v>389</v>
      </c>
      <c r="AD396" s="544">
        <f>+DATE(YEAR(AD395),MONTH(AD395)-1,DAY(AD395))</f>
        <v>25569.041666666668</v>
      </c>
      <c r="AE396" s="341">
        <f>IF($AM$7=$E396,1,IF(MONTH($E396)=1,AE397*(1+$F$5),AE397))</f>
      </c>
      <c r="AF396" s="334">
        <f>AE396*$B$8/12</f>
      </c>
      <c r="AG396" s="334">
        <f>AE396*$B$12/12</f>
      </c>
      <c r="AH396" s="565">
        <f>(1+$AI$5)^(AC396/12)*(AG396+IF(AD396=$AM$7,$AM$4,0))</f>
      </c>
      <c r="AI396" s="170"/>
      <c r="AJ396" s="7"/>
      <c r="AK396" s="1"/>
      <c r="AL396" s="1"/>
      <c r="AM396" s="1"/>
    </row>
    <row x14ac:dyDescent="0.25" r="397" customHeight="1" ht="18.75">
      <c r="A397" s="1"/>
      <c r="B397" s="169"/>
      <c r="C397" s="170"/>
      <c r="D397" s="331">
        <v>390</v>
      </c>
      <c r="E397" s="544">
        <f>+DATE(YEAR(E396),MONTH(E396)-1,DAY(E396))</f>
        <v>25569.041666666668</v>
      </c>
      <c r="F397" s="333">
        <f>IF($C$6=$E397,1,IF(MONTH($E397)=1,F398*(1+$F$5),F398))</f>
      </c>
      <c r="G397" s="333">
        <f>F397*$B$8/12</f>
      </c>
      <c r="H397" s="333">
        <f>IF(F397=1,F397*$B$10/MIN(12,'Simulador - 3º Pilar'!$E$88),0)</f>
      </c>
      <c r="I397" s="560">
        <f>(1+$G$5)^(D397/12)*(H397+IF(E397=$N$7,$N$4,0))</f>
      </c>
      <c r="J397" s="561">
        <f>(1+$G$5)^(D397/12)*(H397*(12-IF(MONTH(E398)=12,0,MONTH(E398)))+IF(AND(F397=1,F398=0),$Q$4,0))*IF(AND(F397=1,F398=0),1,0)</f>
      </c>
      <c r="K397" s="217">
        <f>(1+$G$5)^(D397/12)*(IF(E397=$N$7,$N$4,0)+IF(E397=$C$6,$B$10,0))</f>
      </c>
      <c r="L397" s="217">
        <f>(1+$G$5)^(D397/12)*(IF((E397)&gt;($B$6),H397,0)+IF(E397=$N$7,$N$4,0)+IF(E397=$C$6,0,0))</f>
      </c>
      <c r="M397" s="1"/>
      <c r="N397" s="7"/>
      <c r="O397" s="1"/>
      <c r="P397" s="331">
        <v>390</v>
      </c>
      <c r="Q397" s="544">
        <f>+DATE(YEAR(Q396),MONTH(Q396)-1,DAY(Q396))</f>
        <v>25569.041666666668</v>
      </c>
      <c r="R397" s="341">
        <f>IF($Z$7=$E397,1,IF(MONTH($E397)=1,R398*(1+$F$5),R398))</f>
      </c>
      <c r="S397" s="334">
        <f>R397*$B$8/12</f>
      </c>
      <c r="T397" s="334">
        <f>R397*$B$11/12</f>
      </c>
      <c r="U397" s="565">
        <f>(1+$V$5)^(P397/12)*(T397+IF(Q397=$Z$7,$Z$4,0))</f>
      </c>
      <c r="V397" s="170"/>
      <c r="W397" s="7"/>
      <c r="X397" s="1"/>
      <c r="Y397" s="1"/>
      <c r="Z397" s="1"/>
      <c r="AA397" s="1"/>
      <c r="AB397" s="1"/>
      <c r="AC397" s="331">
        <v>390</v>
      </c>
      <c r="AD397" s="544">
        <f>+DATE(YEAR(AD396),MONTH(AD396)-1,DAY(AD396))</f>
        <v>25569.041666666668</v>
      </c>
      <c r="AE397" s="341">
        <f>IF($AM$7=$E397,1,IF(MONTH($E397)=1,AE398*(1+$F$5),AE398))</f>
      </c>
      <c r="AF397" s="334">
        <f>AE397*$B$8/12</f>
      </c>
      <c r="AG397" s="334">
        <f>AE397*$B$12/12</f>
      </c>
      <c r="AH397" s="565">
        <f>(1+$AI$5)^(AC397/12)*(AG397+IF(AD397=$AM$7,$AM$4,0))</f>
      </c>
      <c r="AI397" s="170"/>
      <c r="AJ397" s="7"/>
      <c r="AK397" s="1"/>
      <c r="AL397" s="1"/>
      <c r="AM397" s="1"/>
    </row>
    <row x14ac:dyDescent="0.25" r="398" customHeight="1" ht="18.75">
      <c r="A398" s="1"/>
      <c r="B398" s="169"/>
      <c r="C398" s="170"/>
      <c r="D398" s="331">
        <v>391</v>
      </c>
      <c r="E398" s="544">
        <f>+DATE(YEAR(E397),MONTH(E397)-1,DAY(E397))</f>
        <v>25569.041666666668</v>
      </c>
      <c r="F398" s="333">
        <f>IF($C$6=$E398,1,IF(MONTH($E398)=1,F399*(1+$F$5),F399))</f>
      </c>
      <c r="G398" s="333">
        <f>F398*$B$8/12</f>
      </c>
      <c r="H398" s="333">
        <f>IF(F398=1,F398*$B$10/MIN(12,'Simulador - 3º Pilar'!$E$88),0)</f>
      </c>
      <c r="I398" s="560">
        <f>(1+$G$5)^(D398/12)*(H398+IF(E398=$N$7,$N$4,0))</f>
      </c>
      <c r="J398" s="561">
        <f>(1+$G$5)^(D398/12)*(H398*(12-IF(MONTH(E399)=12,0,MONTH(E399)))+IF(AND(F398=1,F399=0),$Q$4,0))*IF(AND(F398=1,F399=0),1,0)</f>
      </c>
      <c r="K398" s="217">
        <f>(1+$G$5)^(D398/12)*(IF(E398=$N$7,$N$4,0)+IF(E398=$C$6,$B$10,0))</f>
      </c>
      <c r="L398" s="217">
        <f>(1+$G$5)^(D398/12)*(IF((E398)&gt;($B$6),H398,0)+IF(E398=$N$7,$N$4,0)+IF(E398=$C$6,0,0))</f>
      </c>
      <c r="M398" s="1"/>
      <c r="N398" s="7"/>
      <c r="O398" s="1"/>
      <c r="P398" s="331">
        <v>391</v>
      </c>
      <c r="Q398" s="544">
        <f>+DATE(YEAR(Q397),MONTH(Q397)-1,DAY(Q397))</f>
        <v>25569.041666666668</v>
      </c>
      <c r="R398" s="341">
        <f>IF($Z$7=$E398,1,IF(MONTH($E398)=1,R399*(1+$F$5),R399))</f>
      </c>
      <c r="S398" s="334">
        <f>R398*$B$8/12</f>
      </c>
      <c r="T398" s="334">
        <f>R398*$B$11/12</f>
      </c>
      <c r="U398" s="565">
        <f>(1+$V$5)^(P398/12)*(T398+IF(Q398=$Z$7,$Z$4,0))</f>
      </c>
      <c r="V398" s="170"/>
      <c r="W398" s="7"/>
      <c r="X398" s="1"/>
      <c r="Y398" s="1"/>
      <c r="Z398" s="1"/>
      <c r="AA398" s="1"/>
      <c r="AB398" s="1"/>
      <c r="AC398" s="331">
        <v>391</v>
      </c>
      <c r="AD398" s="544">
        <f>+DATE(YEAR(AD397),MONTH(AD397)-1,DAY(AD397))</f>
        <v>25569.041666666668</v>
      </c>
      <c r="AE398" s="341">
        <f>IF($AM$7=$E398,1,IF(MONTH($E398)=1,AE399*(1+$F$5),AE399))</f>
      </c>
      <c r="AF398" s="334">
        <f>AE398*$B$8/12</f>
      </c>
      <c r="AG398" s="334">
        <f>AE398*$B$12/12</f>
      </c>
      <c r="AH398" s="565">
        <f>(1+$AI$5)^(AC398/12)*(AG398+IF(AD398=$AM$7,$AM$4,0))</f>
      </c>
      <c r="AI398" s="170"/>
      <c r="AJ398" s="7"/>
      <c r="AK398" s="1"/>
      <c r="AL398" s="1"/>
      <c r="AM398" s="1"/>
    </row>
    <row x14ac:dyDescent="0.25" r="399" customHeight="1" ht="18.75">
      <c r="A399" s="1"/>
      <c r="B399" s="169"/>
      <c r="C399" s="170"/>
      <c r="D399" s="331">
        <v>392</v>
      </c>
      <c r="E399" s="544">
        <f>+DATE(YEAR(E398),MONTH(E398)-1,DAY(E398))</f>
        <v>25569.041666666668</v>
      </c>
      <c r="F399" s="333">
        <f>IF($C$6=$E399,1,IF(MONTH($E399)=1,F400*(1+$F$5),F400))</f>
      </c>
      <c r="G399" s="333">
        <f>F399*$B$8/12</f>
      </c>
      <c r="H399" s="333">
        <f>IF(F399=1,F399*$B$10/MIN(12,'Simulador - 3º Pilar'!$E$88),0)</f>
      </c>
      <c r="I399" s="560">
        <f>(1+$G$5)^(D399/12)*(H399+IF(E399=$N$7,$N$4,0))</f>
      </c>
      <c r="J399" s="561">
        <f>(1+$G$5)^(D399/12)*(H399*(12-IF(MONTH(E400)=12,0,MONTH(E400)))+IF(AND(F399=1,F400=0),$Q$4,0))*IF(AND(F399=1,F400=0),1,0)</f>
      </c>
      <c r="K399" s="217">
        <f>(1+$G$5)^(D399/12)*(IF(E399=$N$7,$N$4,0)+IF(E399=$C$6,$B$10,0))</f>
      </c>
      <c r="L399" s="217">
        <f>(1+$G$5)^(D399/12)*(IF((E399)&gt;($B$6),H399,0)+IF(E399=$N$7,$N$4,0)+IF(E399=$C$6,0,0))</f>
      </c>
      <c r="M399" s="1"/>
      <c r="N399" s="7"/>
      <c r="O399" s="1"/>
      <c r="P399" s="331">
        <v>392</v>
      </c>
      <c r="Q399" s="544">
        <f>+DATE(YEAR(Q398),MONTH(Q398)-1,DAY(Q398))</f>
        <v>25569.041666666668</v>
      </c>
      <c r="R399" s="341">
        <f>IF($Z$7=$E399,1,IF(MONTH($E399)=1,R400*(1+$F$5),R400))</f>
      </c>
      <c r="S399" s="334">
        <f>R399*$B$8/12</f>
      </c>
      <c r="T399" s="334">
        <f>R399*$B$11/12</f>
      </c>
      <c r="U399" s="565">
        <f>(1+$V$5)^(P399/12)*(T399+IF(Q399=$Z$7,$Z$4,0))</f>
      </c>
      <c r="V399" s="170"/>
      <c r="W399" s="7"/>
      <c r="X399" s="1"/>
      <c r="Y399" s="1"/>
      <c r="Z399" s="1"/>
      <c r="AA399" s="1"/>
      <c r="AB399" s="1"/>
      <c r="AC399" s="331">
        <v>392</v>
      </c>
      <c r="AD399" s="544">
        <f>+DATE(YEAR(AD398),MONTH(AD398)-1,DAY(AD398))</f>
        <v>25569.041666666668</v>
      </c>
      <c r="AE399" s="341">
        <f>IF($AM$7=$E399,1,IF(MONTH($E399)=1,AE400*(1+$F$5),AE400))</f>
      </c>
      <c r="AF399" s="334">
        <f>AE399*$B$8/12</f>
      </c>
      <c r="AG399" s="334">
        <f>AE399*$B$12/12</f>
      </c>
      <c r="AH399" s="565">
        <f>(1+$AI$5)^(AC399/12)*(AG399+IF(AD399=$AM$7,$AM$4,0))</f>
      </c>
      <c r="AI399" s="170"/>
      <c r="AJ399" s="7"/>
      <c r="AK399" s="1"/>
      <c r="AL399" s="1"/>
      <c r="AM399" s="1"/>
    </row>
    <row x14ac:dyDescent="0.25" r="400" customHeight="1" ht="18.75">
      <c r="A400" s="1"/>
      <c r="B400" s="169"/>
      <c r="C400" s="170"/>
      <c r="D400" s="331">
        <v>393</v>
      </c>
      <c r="E400" s="544">
        <f>+DATE(YEAR(E399),MONTH(E399)-1,DAY(E399))</f>
        <v>25569.041666666668</v>
      </c>
      <c r="F400" s="333">
        <f>IF($C$6=$E400,1,IF(MONTH($E400)=1,F401*(1+$F$5),F401))</f>
      </c>
      <c r="G400" s="333">
        <f>F400*$B$8/12</f>
      </c>
      <c r="H400" s="333">
        <f>IF(F400=1,F400*$B$10/MIN(12,'Simulador - 3º Pilar'!$E$88),0)</f>
      </c>
      <c r="I400" s="560">
        <f>(1+$G$5)^(D400/12)*(H400+IF(E400=$N$7,$N$4,0))</f>
      </c>
      <c r="J400" s="561">
        <f>(1+$G$5)^(D400/12)*(H400*(12-IF(MONTH(E401)=12,0,MONTH(E401)))+IF(AND(F400=1,F401=0),$Q$4,0))*IF(AND(F400=1,F401=0),1,0)</f>
      </c>
      <c r="K400" s="217">
        <f>(1+$G$5)^(D400/12)*(IF(E400=$N$7,$N$4,0)+IF(E400=$C$6,$B$10,0))</f>
      </c>
      <c r="L400" s="217">
        <f>(1+$G$5)^(D400/12)*(IF((E400)&gt;($B$6),H400,0)+IF(E400=$N$7,$N$4,0)+IF(E400=$C$6,0,0))</f>
      </c>
      <c r="M400" s="1"/>
      <c r="N400" s="7"/>
      <c r="O400" s="1"/>
      <c r="P400" s="331">
        <v>393</v>
      </c>
      <c r="Q400" s="544">
        <f>+DATE(YEAR(Q399),MONTH(Q399)-1,DAY(Q399))</f>
        <v>25569.041666666668</v>
      </c>
      <c r="R400" s="341">
        <f>IF($Z$7=$E400,1,IF(MONTH($E400)=1,R401*(1+$F$5),R401))</f>
      </c>
      <c r="S400" s="334">
        <f>R400*$B$8/12</f>
      </c>
      <c r="T400" s="334">
        <f>R400*$B$11/12</f>
      </c>
      <c r="U400" s="565">
        <f>(1+$V$5)^(P400/12)*(T400+IF(Q400=$Z$7,$Z$4,0))</f>
      </c>
      <c r="V400" s="170"/>
      <c r="W400" s="7"/>
      <c r="X400" s="1"/>
      <c r="Y400" s="1"/>
      <c r="Z400" s="1"/>
      <c r="AA400" s="1"/>
      <c r="AB400" s="1"/>
      <c r="AC400" s="331">
        <v>393</v>
      </c>
      <c r="AD400" s="544">
        <f>+DATE(YEAR(AD399),MONTH(AD399)-1,DAY(AD399))</f>
        <v>25569.041666666668</v>
      </c>
      <c r="AE400" s="341">
        <f>IF($AM$7=$E400,1,IF(MONTH($E400)=1,AE401*(1+$F$5),AE401))</f>
      </c>
      <c r="AF400" s="334">
        <f>AE400*$B$8/12</f>
      </c>
      <c r="AG400" s="334">
        <f>AE400*$B$12/12</f>
      </c>
      <c r="AH400" s="565">
        <f>(1+$AI$5)^(AC400/12)*(AG400+IF(AD400=$AM$7,$AM$4,0))</f>
      </c>
      <c r="AI400" s="170"/>
      <c r="AJ400" s="7"/>
      <c r="AK400" s="1"/>
      <c r="AL400" s="1"/>
      <c r="AM400" s="1"/>
    </row>
    <row x14ac:dyDescent="0.25" r="401" customHeight="1" ht="18.75">
      <c r="A401" s="1"/>
      <c r="B401" s="169"/>
      <c r="C401" s="170"/>
      <c r="D401" s="331">
        <v>394</v>
      </c>
      <c r="E401" s="544">
        <f>+DATE(YEAR(E400),MONTH(E400)-1,DAY(E400))</f>
        <v>25569.041666666668</v>
      </c>
      <c r="F401" s="333">
        <f>IF($C$6=$E401,1,IF(MONTH($E401)=1,F402*(1+$F$5),F402))</f>
      </c>
      <c r="G401" s="333">
        <f>F401*$B$8/12</f>
      </c>
      <c r="H401" s="333">
        <f>IF(F401=1,F401*$B$10/MIN(12,'Simulador - 3º Pilar'!$E$88),0)</f>
      </c>
      <c r="I401" s="560">
        <f>(1+$G$5)^(D401/12)*(H401+IF(E401=$N$7,$N$4,0))</f>
      </c>
      <c r="J401" s="561">
        <f>(1+$G$5)^(D401/12)*(H401*(12-IF(MONTH(E402)=12,0,MONTH(E402)))+IF(AND(F401=1,F402=0),$Q$4,0))*IF(AND(F401=1,F402=0),1,0)</f>
      </c>
      <c r="K401" s="217">
        <f>(1+$G$5)^(D401/12)*(IF(E401=$N$7,$N$4,0)+IF(E401=$C$6,$B$10,0))</f>
      </c>
      <c r="L401" s="217">
        <f>(1+$G$5)^(D401/12)*(IF((E401)&gt;($B$6),H401,0)+IF(E401=$N$7,$N$4,0)+IF(E401=$C$6,0,0))</f>
      </c>
      <c r="M401" s="1"/>
      <c r="N401" s="7"/>
      <c r="O401" s="1"/>
      <c r="P401" s="331">
        <v>394</v>
      </c>
      <c r="Q401" s="544">
        <f>+DATE(YEAR(Q400),MONTH(Q400)-1,DAY(Q400))</f>
        <v>25569.041666666668</v>
      </c>
      <c r="R401" s="341">
        <f>IF($Z$7=$E401,1,IF(MONTH($E401)=1,R402*(1+$F$5),R402))</f>
      </c>
      <c r="S401" s="334">
        <f>R401*$B$8/12</f>
      </c>
      <c r="T401" s="334">
        <f>R401*$B$11/12</f>
      </c>
      <c r="U401" s="565">
        <f>(1+$V$5)^(P401/12)*(T401+IF(Q401=$Z$7,$Z$4,0))</f>
      </c>
      <c r="V401" s="170"/>
      <c r="W401" s="7"/>
      <c r="X401" s="1"/>
      <c r="Y401" s="1"/>
      <c r="Z401" s="1"/>
      <c r="AA401" s="1"/>
      <c r="AB401" s="1"/>
      <c r="AC401" s="331">
        <v>394</v>
      </c>
      <c r="AD401" s="544">
        <f>+DATE(YEAR(AD400),MONTH(AD400)-1,DAY(AD400))</f>
        <v>25569.041666666668</v>
      </c>
      <c r="AE401" s="341">
        <f>IF($AM$7=$E401,1,IF(MONTH($E401)=1,AE402*(1+$F$5),AE402))</f>
      </c>
      <c r="AF401" s="334">
        <f>AE401*$B$8/12</f>
      </c>
      <c r="AG401" s="334">
        <f>AE401*$B$12/12</f>
      </c>
      <c r="AH401" s="565">
        <f>(1+$AI$5)^(AC401/12)*(AG401+IF(AD401=$AM$7,$AM$4,0))</f>
      </c>
      <c r="AI401" s="170"/>
      <c r="AJ401" s="7"/>
      <c r="AK401" s="1"/>
      <c r="AL401" s="1"/>
      <c r="AM401" s="1"/>
    </row>
    <row x14ac:dyDescent="0.25" r="402" customHeight="1" ht="18.75">
      <c r="A402" s="1"/>
      <c r="B402" s="169"/>
      <c r="C402" s="170"/>
      <c r="D402" s="331">
        <v>395</v>
      </c>
      <c r="E402" s="544">
        <f>+DATE(YEAR(E401),MONTH(E401)-1,DAY(E401))</f>
        <v>25569.041666666668</v>
      </c>
      <c r="F402" s="333">
        <f>IF($C$6=$E402,1,IF(MONTH($E402)=1,F403*(1+$F$5),F403))</f>
      </c>
      <c r="G402" s="333">
        <f>F402*$B$8/12</f>
      </c>
      <c r="H402" s="333">
        <f>IF(F402=1,F402*$B$10/MIN(12,'Simulador - 3º Pilar'!$E$88),0)</f>
      </c>
      <c r="I402" s="560">
        <f>(1+$G$5)^(D402/12)*(H402+IF(E402=$N$7,$N$4,0))</f>
      </c>
      <c r="J402" s="561">
        <f>(1+$G$5)^(D402/12)*(H402*(12-IF(MONTH(E403)=12,0,MONTH(E403)))+IF(AND(F402=1,F403=0),$Q$4,0))*IF(AND(F402=1,F403=0),1,0)</f>
      </c>
      <c r="K402" s="217">
        <f>(1+$G$5)^(D402/12)*(IF(E402=$N$7,$N$4,0)+IF(E402=$C$6,$B$10,0))</f>
      </c>
      <c r="L402" s="217">
        <f>(1+$G$5)^(D402/12)*(IF((E402)&gt;($B$6),H402,0)+IF(E402=$N$7,$N$4,0)+IF(E402=$C$6,0,0))</f>
      </c>
      <c r="M402" s="1"/>
      <c r="N402" s="7"/>
      <c r="O402" s="1"/>
      <c r="P402" s="331">
        <v>395</v>
      </c>
      <c r="Q402" s="544">
        <f>+DATE(YEAR(Q401),MONTH(Q401)-1,DAY(Q401))</f>
        <v>25569.041666666668</v>
      </c>
      <c r="R402" s="341">
        <f>IF($Z$7=$E402,1,IF(MONTH($E402)=1,R403*(1+$F$5),R403))</f>
      </c>
      <c r="S402" s="334">
        <f>R402*$B$8/12</f>
      </c>
      <c r="T402" s="334">
        <f>R402*$B$11/12</f>
      </c>
      <c r="U402" s="565">
        <f>(1+$V$5)^(P402/12)*(T402+IF(Q402=$Z$7,$Z$4,0))</f>
      </c>
      <c r="V402" s="170"/>
      <c r="W402" s="7"/>
      <c r="X402" s="1"/>
      <c r="Y402" s="1"/>
      <c r="Z402" s="1"/>
      <c r="AA402" s="1"/>
      <c r="AB402" s="1"/>
      <c r="AC402" s="331">
        <v>395</v>
      </c>
      <c r="AD402" s="544">
        <f>+DATE(YEAR(AD401),MONTH(AD401)-1,DAY(AD401))</f>
        <v>25569.041666666668</v>
      </c>
      <c r="AE402" s="341">
        <f>IF($AM$7=$E402,1,IF(MONTH($E402)=1,AE403*(1+$F$5),AE403))</f>
      </c>
      <c r="AF402" s="334">
        <f>AE402*$B$8/12</f>
      </c>
      <c r="AG402" s="334">
        <f>AE402*$B$12/12</f>
      </c>
      <c r="AH402" s="565">
        <f>(1+$AI$5)^(AC402/12)*(AG402+IF(AD402=$AM$7,$AM$4,0))</f>
      </c>
      <c r="AI402" s="170"/>
      <c r="AJ402" s="7"/>
      <c r="AK402" s="1"/>
      <c r="AL402" s="1"/>
      <c r="AM402" s="1"/>
    </row>
    <row x14ac:dyDescent="0.25" r="403" customHeight="1" ht="18.75">
      <c r="A403" s="1"/>
      <c r="B403" s="169"/>
      <c r="C403" s="170"/>
      <c r="D403" s="331">
        <v>396</v>
      </c>
      <c r="E403" s="544">
        <f>+DATE(YEAR(E402),MONTH(E402)-1,DAY(E402))</f>
        <v>25569.041666666668</v>
      </c>
      <c r="F403" s="333">
        <f>IF($C$6=$E403,1,IF(MONTH($E403)=1,F404*(1+$F$5),F404))</f>
      </c>
      <c r="G403" s="333">
        <f>F403*$B$8/12</f>
      </c>
      <c r="H403" s="333">
        <f>IF(F403=1,F403*$B$10/MIN(12,'Simulador - 3º Pilar'!$E$88),0)</f>
      </c>
      <c r="I403" s="560">
        <f>(1+$G$5)^(D403/12)*(H403+IF(E403=$N$7,$N$4,0))</f>
      </c>
      <c r="J403" s="561">
        <f>(1+$G$5)^(D403/12)*(H403*(12-IF(MONTH(E404)=12,0,MONTH(E404)))+IF(AND(F403=1,F404=0),$Q$4,0))*IF(AND(F403=1,F404=0),1,0)</f>
      </c>
      <c r="K403" s="217">
        <f>(1+$G$5)^(D403/12)*(IF(E403=$N$7,$N$4,0)+IF(E403=$C$6,$B$10,0))</f>
      </c>
      <c r="L403" s="217">
        <f>(1+$G$5)^(D403/12)*(IF((E403)&gt;($B$6),H403,0)+IF(E403=$N$7,$N$4,0)+IF(E403=$C$6,0,0))</f>
      </c>
      <c r="M403" s="1"/>
      <c r="N403" s="7"/>
      <c r="O403" s="1"/>
      <c r="P403" s="331">
        <v>396</v>
      </c>
      <c r="Q403" s="544">
        <f>+DATE(YEAR(Q402),MONTH(Q402)-1,DAY(Q402))</f>
        <v>25569.041666666668</v>
      </c>
      <c r="R403" s="341">
        <f>IF($Z$7=$E403,1,IF(MONTH($E403)=1,R404*(1+$F$5),R404))</f>
      </c>
      <c r="S403" s="334">
        <f>R403*$B$8/12</f>
      </c>
      <c r="T403" s="334">
        <f>R403*$B$11/12</f>
      </c>
      <c r="U403" s="565">
        <f>(1+$V$5)^(P403/12)*(T403+IF(Q403=$Z$7,$Z$4,0))</f>
      </c>
      <c r="V403" s="170"/>
      <c r="W403" s="7"/>
      <c r="X403" s="1"/>
      <c r="Y403" s="1"/>
      <c r="Z403" s="1"/>
      <c r="AA403" s="1"/>
      <c r="AB403" s="1"/>
      <c r="AC403" s="331">
        <v>396</v>
      </c>
      <c r="AD403" s="544">
        <f>+DATE(YEAR(AD402),MONTH(AD402)-1,DAY(AD402))</f>
        <v>25569.041666666668</v>
      </c>
      <c r="AE403" s="341">
        <f>IF($AM$7=$E403,1,IF(MONTH($E403)=1,AE404*(1+$F$5),AE404))</f>
      </c>
      <c r="AF403" s="334">
        <f>AE403*$B$8/12</f>
      </c>
      <c r="AG403" s="334">
        <f>AE403*$B$12/12</f>
      </c>
      <c r="AH403" s="565">
        <f>(1+$AI$5)^(AC403/12)*(AG403+IF(AD403=$AM$7,$AM$4,0))</f>
      </c>
      <c r="AI403" s="170"/>
      <c r="AJ403" s="7"/>
      <c r="AK403" s="1"/>
      <c r="AL403" s="1"/>
      <c r="AM403" s="1"/>
    </row>
    <row x14ac:dyDescent="0.25" r="404" customHeight="1" ht="18.75">
      <c r="A404" s="1"/>
      <c r="B404" s="169"/>
      <c r="C404" s="170"/>
      <c r="D404" s="331">
        <v>397</v>
      </c>
      <c r="E404" s="544">
        <f>+DATE(YEAR(E403),MONTH(E403)-1,DAY(E403))</f>
        <v>25569.041666666668</v>
      </c>
      <c r="F404" s="333">
        <f>IF($C$6=$E404,1,IF(MONTH($E404)=1,F405*(1+$F$5),F405))</f>
      </c>
      <c r="G404" s="333">
        <f>F404*$B$8/12</f>
      </c>
      <c r="H404" s="333">
        <f>IF(F404=1,F404*$B$10/MIN(12,'Simulador - 3º Pilar'!$E$88),0)</f>
      </c>
      <c r="I404" s="560">
        <f>(1+$G$5)^(D404/12)*(H404+IF(E404=$N$7,$N$4,0))</f>
      </c>
      <c r="J404" s="561">
        <f>(1+$G$5)^(D404/12)*(H404*(12-IF(MONTH(E405)=12,0,MONTH(E405)))+IF(AND(F404=1,F405=0),$Q$4,0))*IF(AND(F404=1,F405=0),1,0)</f>
      </c>
      <c r="K404" s="217">
        <f>(1+$G$5)^(D404/12)*(IF(E404=$N$7,$N$4,0)+IF(E404=$C$6,$B$10,0))</f>
      </c>
      <c r="L404" s="217">
        <f>(1+$G$5)^(D404/12)*(IF((E404)&gt;($B$6),H404,0)+IF(E404=$N$7,$N$4,0)+IF(E404=$C$6,0,0))</f>
      </c>
      <c r="M404" s="1"/>
      <c r="N404" s="7"/>
      <c r="O404" s="1"/>
      <c r="P404" s="331">
        <v>397</v>
      </c>
      <c r="Q404" s="544">
        <f>+DATE(YEAR(Q403),MONTH(Q403)-1,DAY(Q403))</f>
        <v>25569.041666666668</v>
      </c>
      <c r="R404" s="341">
        <f>IF($Z$7=$E404,1,IF(MONTH($E404)=1,R405*(1+$F$5),R405))</f>
      </c>
      <c r="S404" s="334">
        <f>R404*$B$8/12</f>
      </c>
      <c r="T404" s="334">
        <f>R404*$B$11/12</f>
      </c>
      <c r="U404" s="565">
        <f>(1+$V$5)^(P404/12)*(T404+IF(Q404=$Z$7,$Z$4,0))</f>
      </c>
      <c r="V404" s="170"/>
      <c r="W404" s="7"/>
      <c r="X404" s="1"/>
      <c r="Y404" s="1"/>
      <c r="Z404" s="1"/>
      <c r="AA404" s="1"/>
      <c r="AB404" s="1"/>
      <c r="AC404" s="331">
        <v>397</v>
      </c>
      <c r="AD404" s="544">
        <f>+DATE(YEAR(AD403),MONTH(AD403)-1,DAY(AD403))</f>
        <v>25569.041666666668</v>
      </c>
      <c r="AE404" s="341">
        <f>IF($AM$7=$E404,1,IF(MONTH($E404)=1,AE405*(1+$F$5),AE405))</f>
      </c>
      <c r="AF404" s="334">
        <f>AE404*$B$8/12</f>
      </c>
      <c r="AG404" s="334">
        <f>AE404*$B$12/12</f>
      </c>
      <c r="AH404" s="565">
        <f>(1+$AI$5)^(AC404/12)*(AG404+IF(AD404=$AM$7,$AM$4,0))</f>
      </c>
      <c r="AI404" s="170"/>
      <c r="AJ404" s="7"/>
      <c r="AK404" s="1"/>
      <c r="AL404" s="1"/>
      <c r="AM404" s="1"/>
    </row>
    <row x14ac:dyDescent="0.25" r="405" customHeight="1" ht="18.75">
      <c r="A405" s="1"/>
      <c r="B405" s="169"/>
      <c r="C405" s="170"/>
      <c r="D405" s="331">
        <v>398</v>
      </c>
      <c r="E405" s="544">
        <f>+DATE(YEAR(E404),MONTH(E404)-1,DAY(E404))</f>
        <v>25569.041666666668</v>
      </c>
      <c r="F405" s="333">
        <f>IF($C$6=$E405,1,IF(MONTH($E405)=1,F406*(1+$F$5),F406))</f>
      </c>
      <c r="G405" s="333">
        <f>F405*$B$8/12</f>
      </c>
      <c r="H405" s="333">
        <f>IF(F405=1,F405*$B$10/MIN(12,'Simulador - 3º Pilar'!$E$88),0)</f>
      </c>
      <c r="I405" s="560">
        <f>(1+$G$5)^(D405/12)*(H405+IF(E405=$N$7,$N$4,0))</f>
      </c>
      <c r="J405" s="561">
        <f>(1+$G$5)^(D405/12)*(H405*(12-IF(MONTH(E406)=12,0,MONTH(E406)))+IF(AND(F405=1,F406=0),$Q$4,0))*IF(AND(F405=1,F406=0),1,0)</f>
      </c>
      <c r="K405" s="217">
        <f>(1+$G$5)^(D405/12)*(IF(E405=$N$7,$N$4,0)+IF(E405=$C$6,$B$10,0))</f>
      </c>
      <c r="L405" s="217">
        <f>(1+$G$5)^(D405/12)*(IF((E405)&gt;($B$6),H405,0)+IF(E405=$N$7,$N$4,0)+IF(E405=$C$6,0,0))</f>
      </c>
      <c r="M405" s="1"/>
      <c r="N405" s="7"/>
      <c r="O405" s="1"/>
      <c r="P405" s="331">
        <v>398</v>
      </c>
      <c r="Q405" s="544">
        <f>+DATE(YEAR(Q404),MONTH(Q404)-1,DAY(Q404))</f>
        <v>25569.041666666668</v>
      </c>
      <c r="R405" s="341">
        <f>IF($Z$7=$E405,1,IF(MONTH($E405)=1,R406*(1+$F$5),R406))</f>
      </c>
      <c r="S405" s="334">
        <f>R405*$B$8/12</f>
      </c>
      <c r="T405" s="334">
        <f>R405*$B$11/12</f>
      </c>
      <c r="U405" s="565">
        <f>(1+$V$5)^(P405/12)*(T405+IF(Q405=$Z$7,$Z$4,0))</f>
      </c>
      <c r="V405" s="170"/>
      <c r="W405" s="7"/>
      <c r="X405" s="1"/>
      <c r="Y405" s="1"/>
      <c r="Z405" s="1"/>
      <c r="AA405" s="1"/>
      <c r="AB405" s="1"/>
      <c r="AC405" s="331">
        <v>398</v>
      </c>
      <c r="AD405" s="544">
        <f>+DATE(YEAR(AD404),MONTH(AD404)-1,DAY(AD404))</f>
        <v>25569.041666666668</v>
      </c>
      <c r="AE405" s="341">
        <f>IF($AM$7=$E405,1,IF(MONTH($E405)=1,AE406*(1+$F$5),AE406))</f>
      </c>
      <c r="AF405" s="334">
        <f>AE405*$B$8/12</f>
      </c>
      <c r="AG405" s="334">
        <f>AE405*$B$12/12</f>
      </c>
      <c r="AH405" s="565">
        <f>(1+$AI$5)^(AC405/12)*(AG405+IF(AD405=$AM$7,$AM$4,0))</f>
      </c>
      <c r="AI405" s="170"/>
      <c r="AJ405" s="7"/>
      <c r="AK405" s="1"/>
      <c r="AL405" s="1"/>
      <c r="AM405" s="1"/>
    </row>
    <row x14ac:dyDescent="0.25" r="406" customHeight="1" ht="18.75">
      <c r="A406" s="1"/>
      <c r="B406" s="169"/>
      <c r="C406" s="170"/>
      <c r="D406" s="331">
        <v>399</v>
      </c>
      <c r="E406" s="544">
        <f>+DATE(YEAR(E405),MONTH(E405)-1,DAY(E405))</f>
        <v>25569.041666666668</v>
      </c>
      <c r="F406" s="333">
        <f>IF($C$6=$E406,1,IF(MONTH($E406)=1,F407*(1+$F$5),F407))</f>
      </c>
      <c r="G406" s="333">
        <f>F406*$B$8/12</f>
      </c>
      <c r="H406" s="333">
        <f>IF(F406=1,F406*$B$10/MIN(12,'Simulador - 3º Pilar'!$E$88),0)</f>
      </c>
      <c r="I406" s="560">
        <f>(1+$G$5)^(D406/12)*(H406+IF(E406=$N$7,$N$4,0))</f>
      </c>
      <c r="J406" s="561">
        <f>(1+$G$5)^(D406/12)*(H406*(12-IF(MONTH(E407)=12,0,MONTH(E407)))+IF(AND(F406=1,F407=0),$Q$4,0))*IF(AND(F406=1,F407=0),1,0)</f>
      </c>
      <c r="K406" s="217">
        <f>(1+$G$5)^(D406/12)*(IF(E406=$N$7,$N$4,0)+IF(E406=$C$6,$B$10,0))</f>
      </c>
      <c r="L406" s="217">
        <f>(1+$G$5)^(D406/12)*(IF((E406)&gt;($B$6),H406,0)+IF(E406=$N$7,$N$4,0)+IF(E406=$C$6,0,0))</f>
      </c>
      <c r="M406" s="1"/>
      <c r="N406" s="7"/>
      <c r="O406" s="1"/>
      <c r="P406" s="331">
        <v>399</v>
      </c>
      <c r="Q406" s="544">
        <f>+DATE(YEAR(Q405),MONTH(Q405)-1,DAY(Q405))</f>
        <v>25569.041666666668</v>
      </c>
      <c r="R406" s="341">
        <f>IF($Z$7=$E406,1,IF(MONTH($E406)=1,R407*(1+$F$5),R407))</f>
      </c>
      <c r="S406" s="334">
        <f>R406*$B$8/12</f>
      </c>
      <c r="T406" s="334">
        <f>R406*$B$11/12</f>
      </c>
      <c r="U406" s="565">
        <f>(1+$V$5)^(P406/12)*(T406+IF(Q406=$Z$7,$Z$4,0))</f>
      </c>
      <c r="V406" s="170"/>
      <c r="W406" s="7"/>
      <c r="X406" s="1"/>
      <c r="Y406" s="1"/>
      <c r="Z406" s="1"/>
      <c r="AA406" s="1"/>
      <c r="AB406" s="1"/>
      <c r="AC406" s="331">
        <v>399</v>
      </c>
      <c r="AD406" s="544">
        <f>+DATE(YEAR(AD405),MONTH(AD405)-1,DAY(AD405))</f>
        <v>25569.041666666668</v>
      </c>
      <c r="AE406" s="341">
        <f>IF($AM$7=$E406,1,IF(MONTH($E406)=1,AE407*(1+$F$5),AE407))</f>
      </c>
      <c r="AF406" s="334">
        <f>AE406*$B$8/12</f>
      </c>
      <c r="AG406" s="334">
        <f>AE406*$B$12/12</f>
      </c>
      <c r="AH406" s="565">
        <f>(1+$AI$5)^(AC406/12)*(AG406+IF(AD406=$AM$7,$AM$4,0))</f>
      </c>
      <c r="AI406" s="170"/>
      <c r="AJ406" s="7"/>
      <c r="AK406" s="1"/>
      <c r="AL406" s="1"/>
      <c r="AM406" s="1"/>
    </row>
    <row x14ac:dyDescent="0.25" r="407" customHeight="1" ht="18.75">
      <c r="A407" s="1"/>
      <c r="B407" s="169"/>
      <c r="C407" s="170"/>
      <c r="D407" s="331">
        <v>400</v>
      </c>
      <c r="E407" s="544">
        <f>+DATE(YEAR(E406),MONTH(E406)-1,DAY(E406))</f>
        <v>25569.041666666668</v>
      </c>
      <c r="F407" s="333">
        <f>IF($C$6=$E407,1,IF(MONTH($E407)=1,F408*(1+$F$5),F408))</f>
      </c>
      <c r="G407" s="333">
        <f>F407*$B$8/12</f>
      </c>
      <c r="H407" s="333">
        <f>IF(F407=1,F407*$B$10/MIN(12,'Simulador - 3º Pilar'!$E$88),0)</f>
      </c>
      <c r="I407" s="560">
        <f>(1+$G$5)^(D407/12)*(H407+IF(E407=$N$7,$N$4,0))</f>
      </c>
      <c r="J407" s="561">
        <f>(1+$G$5)^(D407/12)*(H407*(12-IF(MONTH(E408)=12,0,MONTH(E408)))+IF(AND(F407=1,F408=0),$Q$4,0))*IF(AND(F407=1,F408=0),1,0)</f>
      </c>
      <c r="K407" s="217">
        <f>(1+$G$5)^(D407/12)*(IF(E407=$N$7,$N$4,0)+IF(E407=$C$6,$B$10,0))</f>
      </c>
      <c r="L407" s="217">
        <f>(1+$G$5)^(D407/12)*(IF((E407)&gt;($B$6),H407,0)+IF(E407=$N$7,$N$4,0)+IF(E407=$C$6,0,0))</f>
      </c>
      <c r="M407" s="1"/>
      <c r="N407" s="7"/>
      <c r="O407" s="1"/>
      <c r="P407" s="331">
        <v>400</v>
      </c>
      <c r="Q407" s="544">
        <f>+DATE(YEAR(Q406),MONTH(Q406)-1,DAY(Q406))</f>
        <v>25569.041666666668</v>
      </c>
      <c r="R407" s="341">
        <f>IF($Z$7=$E407,1,IF(MONTH($E407)=1,R408*(1+$F$5),R408))</f>
      </c>
      <c r="S407" s="334">
        <f>R407*$B$8/12</f>
      </c>
      <c r="T407" s="334">
        <f>R407*$B$11/12</f>
      </c>
      <c r="U407" s="565">
        <f>(1+$V$5)^(P407/12)*(T407+IF(Q407=$Z$7,$Z$4,0))</f>
      </c>
      <c r="V407" s="170"/>
      <c r="W407" s="7"/>
      <c r="X407" s="1"/>
      <c r="Y407" s="1"/>
      <c r="Z407" s="1"/>
      <c r="AA407" s="1"/>
      <c r="AB407" s="1"/>
      <c r="AC407" s="331">
        <v>400</v>
      </c>
      <c r="AD407" s="544">
        <f>+DATE(YEAR(AD406),MONTH(AD406)-1,DAY(AD406))</f>
        <v>25569.041666666668</v>
      </c>
      <c r="AE407" s="341">
        <f>IF($AM$7=$E407,1,IF(MONTH($E407)=1,AE408*(1+$F$5),AE408))</f>
      </c>
      <c r="AF407" s="334">
        <f>AE407*$B$8/12</f>
      </c>
      <c r="AG407" s="334">
        <f>AE407*$B$12/12</f>
      </c>
      <c r="AH407" s="565">
        <f>(1+$AI$5)^(AC407/12)*(AG407+IF(AD407=$AM$7,$AM$4,0))</f>
      </c>
      <c r="AI407" s="170"/>
      <c r="AJ407" s="7"/>
      <c r="AK407" s="1"/>
      <c r="AL407" s="1"/>
      <c r="AM407" s="1"/>
    </row>
    <row x14ac:dyDescent="0.25" r="408" customHeight="1" ht="18.75">
      <c r="A408" s="1"/>
      <c r="B408" s="169"/>
      <c r="C408" s="170"/>
      <c r="D408" s="331">
        <v>401</v>
      </c>
      <c r="E408" s="544">
        <f>+DATE(YEAR(E407),MONTH(E407)-1,DAY(E407))</f>
        <v>25569.041666666668</v>
      </c>
      <c r="F408" s="333">
        <f>IF($C$6=$E408,1,IF(MONTH($E408)=1,F409*(1+$F$5),F409))</f>
      </c>
      <c r="G408" s="333">
        <f>F408*$B$8/12</f>
      </c>
      <c r="H408" s="333">
        <f>IF(F408=1,F408*$B$10/MIN(12,'Simulador - 3º Pilar'!$E$88),0)</f>
      </c>
      <c r="I408" s="560">
        <f>(1+$G$5)^(D408/12)*(H408+IF(E408=$N$7,$N$4,0))</f>
      </c>
      <c r="J408" s="561">
        <f>(1+$G$5)^(D408/12)*(H408*(12-IF(MONTH(E409)=12,0,MONTH(E409)))+IF(AND(F408=1,F409=0),$Q$4,0))*IF(AND(F408=1,F409=0),1,0)</f>
      </c>
      <c r="K408" s="217">
        <f>(1+$G$5)^(D408/12)*(IF(E408=$N$7,$N$4,0)+IF(E408=$C$6,$B$10,0))</f>
      </c>
      <c r="L408" s="217">
        <f>(1+$G$5)^(D408/12)*(IF((E408)&gt;($B$6),H408,0)+IF(E408=$N$7,$N$4,0)+IF(E408=$C$6,0,0))</f>
      </c>
      <c r="M408" s="1"/>
      <c r="N408" s="7"/>
      <c r="O408" s="1"/>
      <c r="P408" s="331">
        <v>401</v>
      </c>
      <c r="Q408" s="544">
        <f>+DATE(YEAR(Q407),MONTH(Q407)-1,DAY(Q407))</f>
        <v>25569.041666666668</v>
      </c>
      <c r="R408" s="341">
        <f>IF($Z$7=$E408,1,IF(MONTH($E408)=1,R409*(1+$F$5),R409))</f>
      </c>
      <c r="S408" s="334">
        <f>R408*$B$8/12</f>
      </c>
      <c r="T408" s="334">
        <f>R408*$B$11/12</f>
      </c>
      <c r="U408" s="565">
        <f>(1+$V$5)^(P408/12)*(T408+IF(Q408=$Z$7,$Z$4,0))</f>
      </c>
      <c r="V408" s="170"/>
      <c r="W408" s="7"/>
      <c r="X408" s="1"/>
      <c r="Y408" s="1"/>
      <c r="Z408" s="1"/>
      <c r="AA408" s="1"/>
      <c r="AB408" s="1"/>
      <c r="AC408" s="331">
        <v>401</v>
      </c>
      <c r="AD408" s="544">
        <f>+DATE(YEAR(AD407),MONTH(AD407)-1,DAY(AD407))</f>
        <v>25569.041666666668</v>
      </c>
      <c r="AE408" s="341">
        <f>IF($AM$7=$E408,1,IF(MONTH($E408)=1,AE409*(1+$F$5),AE409))</f>
      </c>
      <c r="AF408" s="334">
        <f>AE408*$B$8/12</f>
      </c>
      <c r="AG408" s="334">
        <f>AE408*$B$12/12</f>
      </c>
      <c r="AH408" s="565">
        <f>(1+$AI$5)^(AC408/12)*(AG408+IF(AD408=$AM$7,$AM$4,0))</f>
      </c>
      <c r="AI408" s="170"/>
      <c r="AJ408" s="7"/>
      <c r="AK408" s="1"/>
      <c r="AL408" s="1"/>
      <c r="AM408" s="1"/>
    </row>
    <row x14ac:dyDescent="0.25" r="409" customHeight="1" ht="18.75">
      <c r="A409" s="1"/>
      <c r="B409" s="169"/>
      <c r="C409" s="170"/>
      <c r="D409" s="331">
        <v>402</v>
      </c>
      <c r="E409" s="544">
        <f>+DATE(YEAR(E408),MONTH(E408)-1,DAY(E408))</f>
        <v>25569.041666666668</v>
      </c>
      <c r="F409" s="333">
        <f>IF($C$6=$E409,1,IF(MONTH($E409)=1,F410*(1+$F$5),F410))</f>
      </c>
      <c r="G409" s="333">
        <f>F409*$B$8/12</f>
      </c>
      <c r="H409" s="333">
        <f>IF(F409=1,F409*$B$10/MIN(12,'Simulador - 3º Pilar'!$E$88),0)</f>
      </c>
      <c r="I409" s="560">
        <f>(1+$G$5)^(D409/12)*(H409+IF(E409=$N$7,$N$4,0))</f>
      </c>
      <c r="J409" s="561">
        <f>(1+$G$5)^(D409/12)*(H409*(12-IF(MONTH(E410)=12,0,MONTH(E410)))+IF(AND(F409=1,F410=0),$Q$4,0))*IF(AND(F409=1,F410=0),1,0)</f>
      </c>
      <c r="K409" s="217">
        <f>(1+$G$5)^(D409/12)*(IF(E409=$N$7,$N$4,0)+IF(E409=$C$6,$B$10,0))</f>
      </c>
      <c r="L409" s="217">
        <f>(1+$G$5)^(D409/12)*(IF((E409)&gt;($B$6),H409,0)+IF(E409=$N$7,$N$4,0)+IF(E409=$C$6,0,0))</f>
      </c>
      <c r="M409" s="1"/>
      <c r="N409" s="7"/>
      <c r="O409" s="1"/>
      <c r="P409" s="331">
        <v>402</v>
      </c>
      <c r="Q409" s="544">
        <f>+DATE(YEAR(Q408),MONTH(Q408)-1,DAY(Q408))</f>
        <v>25569.041666666668</v>
      </c>
      <c r="R409" s="341">
        <f>IF($Z$7=$E409,1,IF(MONTH($E409)=1,R410*(1+$F$5),R410))</f>
      </c>
      <c r="S409" s="334">
        <f>R409*$B$8/12</f>
      </c>
      <c r="T409" s="334">
        <f>R409*$B$11/12</f>
      </c>
      <c r="U409" s="565">
        <f>(1+$V$5)^(P409/12)*(T409+IF(Q409=$Z$7,$Z$4,0))</f>
      </c>
      <c r="V409" s="170"/>
      <c r="W409" s="7"/>
      <c r="X409" s="1"/>
      <c r="Y409" s="1"/>
      <c r="Z409" s="1"/>
      <c r="AA409" s="1"/>
      <c r="AB409" s="1"/>
      <c r="AC409" s="331">
        <v>402</v>
      </c>
      <c r="AD409" s="544">
        <f>+DATE(YEAR(AD408),MONTH(AD408)-1,DAY(AD408))</f>
        <v>25569.041666666668</v>
      </c>
      <c r="AE409" s="341">
        <f>IF($AM$7=$E409,1,IF(MONTH($E409)=1,AE410*(1+$F$5),AE410))</f>
      </c>
      <c r="AF409" s="334">
        <f>AE409*$B$8/12</f>
      </c>
      <c r="AG409" s="334">
        <f>AE409*$B$12/12</f>
      </c>
      <c r="AH409" s="565">
        <f>(1+$AI$5)^(AC409/12)*(AG409+IF(AD409=$AM$7,$AM$4,0))</f>
      </c>
      <c r="AI409" s="170"/>
      <c r="AJ409" s="7"/>
      <c r="AK409" s="1"/>
      <c r="AL409" s="1"/>
      <c r="AM409" s="1"/>
    </row>
    <row x14ac:dyDescent="0.25" r="410" customHeight="1" ht="18.75">
      <c r="A410" s="1"/>
      <c r="B410" s="169"/>
      <c r="C410" s="170"/>
      <c r="D410" s="331">
        <v>403</v>
      </c>
      <c r="E410" s="544">
        <f>+DATE(YEAR(E409),MONTH(E409)-1,DAY(E409))</f>
        <v>25569.041666666668</v>
      </c>
      <c r="F410" s="333">
        <f>IF($C$6=$E410,1,IF(MONTH($E410)=1,F411*(1+$F$5),F411))</f>
      </c>
      <c r="G410" s="333">
        <f>F410*$B$8/12</f>
      </c>
      <c r="H410" s="333">
        <f>IF(F410=1,F410*$B$10/MIN(12,'Simulador - 3º Pilar'!$E$88),0)</f>
      </c>
      <c r="I410" s="560">
        <f>(1+$G$5)^(D410/12)*(H410+IF(E410=$N$7,$N$4,0))</f>
      </c>
      <c r="J410" s="561">
        <f>(1+$G$5)^(D410/12)*(H410*(12-IF(MONTH(E411)=12,0,MONTH(E411)))+IF(AND(F410=1,F411=0),$Q$4,0))*IF(AND(F410=1,F411=0),1,0)</f>
      </c>
      <c r="K410" s="217">
        <f>(1+$G$5)^(D410/12)*(IF(E410=$N$7,$N$4,0)+IF(E410=$C$6,$B$10,0))</f>
      </c>
      <c r="L410" s="217">
        <f>(1+$G$5)^(D410/12)*(IF((E410)&gt;($B$6),H410,0)+IF(E410=$N$7,$N$4,0)+IF(E410=$C$6,0,0))</f>
      </c>
      <c r="M410" s="1"/>
      <c r="N410" s="7"/>
      <c r="O410" s="1"/>
      <c r="P410" s="331">
        <v>403</v>
      </c>
      <c r="Q410" s="544">
        <f>+DATE(YEAR(Q409),MONTH(Q409)-1,DAY(Q409))</f>
        <v>25569.041666666668</v>
      </c>
      <c r="R410" s="341">
        <f>IF($Z$7=$E410,1,IF(MONTH($E410)=1,R411*(1+$F$5),R411))</f>
      </c>
      <c r="S410" s="334">
        <f>R410*$B$8/12</f>
      </c>
      <c r="T410" s="334">
        <f>R410*$B$11/12</f>
      </c>
      <c r="U410" s="565">
        <f>(1+$V$5)^(P410/12)*(T410+IF(Q410=$Z$7,$Z$4,0))</f>
      </c>
      <c r="V410" s="170"/>
      <c r="W410" s="7"/>
      <c r="X410" s="1"/>
      <c r="Y410" s="1"/>
      <c r="Z410" s="1"/>
      <c r="AA410" s="1"/>
      <c r="AB410" s="1"/>
      <c r="AC410" s="331">
        <v>403</v>
      </c>
      <c r="AD410" s="544">
        <f>+DATE(YEAR(AD409),MONTH(AD409)-1,DAY(AD409))</f>
        <v>25569.041666666668</v>
      </c>
      <c r="AE410" s="341">
        <f>IF($AM$7=$E410,1,IF(MONTH($E410)=1,AE411*(1+$F$5),AE411))</f>
      </c>
      <c r="AF410" s="334">
        <f>AE410*$B$8/12</f>
      </c>
      <c r="AG410" s="334">
        <f>AE410*$B$12/12</f>
      </c>
      <c r="AH410" s="565">
        <f>(1+$AI$5)^(AC410/12)*(AG410+IF(AD410=$AM$7,$AM$4,0))</f>
      </c>
      <c r="AI410" s="170"/>
      <c r="AJ410" s="7"/>
      <c r="AK410" s="1"/>
      <c r="AL410" s="1"/>
      <c r="AM410" s="1"/>
    </row>
    <row x14ac:dyDescent="0.25" r="411" customHeight="1" ht="18.75">
      <c r="A411" s="1"/>
      <c r="B411" s="169"/>
      <c r="C411" s="170"/>
      <c r="D411" s="331">
        <v>404</v>
      </c>
      <c r="E411" s="544">
        <f>+DATE(YEAR(E410),MONTH(E410)-1,DAY(E410))</f>
        <v>25569.041666666668</v>
      </c>
      <c r="F411" s="333">
        <f>IF($C$6=$E411,1,IF(MONTH($E411)=1,F412*(1+$F$5),F412))</f>
      </c>
      <c r="G411" s="333">
        <f>F411*$B$8/12</f>
      </c>
      <c r="H411" s="333">
        <f>IF(F411=1,F411*$B$10/MIN(12,'Simulador - 3º Pilar'!$E$88),0)</f>
      </c>
      <c r="I411" s="560">
        <f>(1+$G$5)^(D411/12)*(H411+IF(E411=$N$7,$N$4,0))</f>
      </c>
      <c r="J411" s="561">
        <f>(1+$G$5)^(D411/12)*(H411*(12-IF(MONTH(E412)=12,0,MONTH(E412)))+IF(AND(F411=1,F412=0),$Q$4,0))*IF(AND(F411=1,F412=0),1,0)</f>
      </c>
      <c r="K411" s="217">
        <f>(1+$G$5)^(D411/12)*(IF(E411=$N$7,$N$4,0)+IF(E411=$C$6,$B$10,0))</f>
      </c>
      <c r="L411" s="217">
        <f>(1+$G$5)^(D411/12)*(IF((E411)&gt;($B$6),H411,0)+IF(E411=$N$7,$N$4,0)+IF(E411=$C$6,0,0))</f>
      </c>
      <c r="M411" s="1"/>
      <c r="N411" s="7"/>
      <c r="O411" s="1"/>
      <c r="P411" s="331">
        <v>404</v>
      </c>
      <c r="Q411" s="544">
        <f>+DATE(YEAR(Q410),MONTH(Q410)-1,DAY(Q410))</f>
        <v>25569.041666666668</v>
      </c>
      <c r="R411" s="341">
        <f>IF($Z$7=$E411,1,IF(MONTH($E411)=1,R412*(1+$F$5),R412))</f>
      </c>
      <c r="S411" s="334">
        <f>R411*$B$8/12</f>
      </c>
      <c r="T411" s="334">
        <f>R411*$B$11/12</f>
      </c>
      <c r="U411" s="565">
        <f>(1+$V$5)^(P411/12)*(T411+IF(Q411=$Z$7,$Z$4,0))</f>
      </c>
      <c r="V411" s="170"/>
      <c r="W411" s="7"/>
      <c r="X411" s="1"/>
      <c r="Y411" s="1"/>
      <c r="Z411" s="1"/>
      <c r="AA411" s="1"/>
      <c r="AB411" s="1"/>
      <c r="AC411" s="331">
        <v>404</v>
      </c>
      <c r="AD411" s="544">
        <f>+DATE(YEAR(AD410),MONTH(AD410)-1,DAY(AD410))</f>
        <v>25569.041666666668</v>
      </c>
      <c r="AE411" s="341">
        <f>IF($AM$7=$E411,1,IF(MONTH($E411)=1,AE412*(1+$F$5),AE412))</f>
      </c>
      <c r="AF411" s="334">
        <f>AE411*$B$8/12</f>
      </c>
      <c r="AG411" s="334">
        <f>AE411*$B$12/12</f>
      </c>
      <c r="AH411" s="565">
        <f>(1+$AI$5)^(AC411/12)*(AG411+IF(AD411=$AM$7,$AM$4,0))</f>
      </c>
      <c r="AI411" s="170"/>
      <c r="AJ411" s="7"/>
      <c r="AK411" s="1"/>
      <c r="AL411" s="1"/>
      <c r="AM411" s="1"/>
    </row>
    <row x14ac:dyDescent="0.25" r="412" customHeight="1" ht="18.75">
      <c r="A412" s="1"/>
      <c r="B412" s="169"/>
      <c r="C412" s="170"/>
      <c r="D412" s="331">
        <v>405</v>
      </c>
      <c r="E412" s="544">
        <f>+DATE(YEAR(E411),MONTH(E411)-1,DAY(E411))</f>
        <v>25569.041666666668</v>
      </c>
      <c r="F412" s="333">
        <f>IF($C$6=$E412,1,IF(MONTH($E412)=1,F413*(1+$F$5),F413))</f>
      </c>
      <c r="G412" s="333">
        <f>F412*$B$8/12</f>
      </c>
      <c r="H412" s="333">
        <f>IF(F412=1,F412*$B$10/MIN(12,'Simulador - 3º Pilar'!$E$88),0)</f>
      </c>
      <c r="I412" s="560">
        <f>(1+$G$5)^(D412/12)*(H412+IF(E412=$N$7,$N$4,0))</f>
      </c>
      <c r="J412" s="561">
        <f>(1+$G$5)^(D412/12)*(H412*(12-IF(MONTH(E413)=12,0,MONTH(E413)))+IF(AND(F412=1,F413=0),$Q$4,0))*IF(AND(F412=1,F413=0),1,0)</f>
      </c>
      <c r="K412" s="217">
        <f>(1+$G$5)^(D412/12)*(IF(E412=$N$7,$N$4,0)+IF(E412=$C$6,$B$10,0))</f>
      </c>
      <c r="L412" s="217">
        <f>(1+$G$5)^(D412/12)*(IF((E412)&gt;($B$6),H412,0)+IF(E412=$N$7,$N$4,0)+IF(E412=$C$6,0,0))</f>
      </c>
      <c r="M412" s="1"/>
      <c r="N412" s="7"/>
      <c r="O412" s="1"/>
      <c r="P412" s="331">
        <v>405</v>
      </c>
      <c r="Q412" s="544">
        <f>+DATE(YEAR(Q411),MONTH(Q411)-1,DAY(Q411))</f>
        <v>25569.041666666668</v>
      </c>
      <c r="R412" s="341">
        <f>IF($Z$7=$E412,1,IF(MONTH($E412)=1,R413*(1+$F$5),R413))</f>
      </c>
      <c r="S412" s="334">
        <f>R412*$B$8/12</f>
      </c>
      <c r="T412" s="334">
        <f>R412*$B$11/12</f>
      </c>
      <c r="U412" s="565">
        <f>(1+$V$5)^(P412/12)*(T412+IF(Q412=$Z$7,$Z$4,0))</f>
      </c>
      <c r="V412" s="170"/>
      <c r="W412" s="7"/>
      <c r="X412" s="1"/>
      <c r="Y412" s="1"/>
      <c r="Z412" s="1"/>
      <c r="AA412" s="1"/>
      <c r="AB412" s="1"/>
      <c r="AC412" s="331">
        <v>405</v>
      </c>
      <c r="AD412" s="544">
        <f>+DATE(YEAR(AD411),MONTH(AD411)-1,DAY(AD411))</f>
        <v>25569.041666666668</v>
      </c>
      <c r="AE412" s="341">
        <f>IF($AM$7=$E412,1,IF(MONTH($E412)=1,AE413*(1+$F$5),AE413))</f>
      </c>
      <c r="AF412" s="334">
        <f>AE412*$B$8/12</f>
      </c>
      <c r="AG412" s="334">
        <f>AE412*$B$12/12</f>
      </c>
      <c r="AH412" s="565">
        <f>(1+$AI$5)^(AC412/12)*(AG412+IF(AD412=$AM$7,$AM$4,0))</f>
      </c>
      <c r="AI412" s="170"/>
      <c r="AJ412" s="7"/>
      <c r="AK412" s="1"/>
      <c r="AL412" s="1"/>
      <c r="AM412" s="1"/>
    </row>
    <row x14ac:dyDescent="0.25" r="413" customHeight="1" ht="18.75">
      <c r="A413" s="1"/>
      <c r="B413" s="169"/>
      <c r="C413" s="170"/>
      <c r="D413" s="331">
        <v>406</v>
      </c>
      <c r="E413" s="544">
        <f>+DATE(YEAR(E412),MONTH(E412)-1,DAY(E412))</f>
        <v>25569.041666666668</v>
      </c>
      <c r="F413" s="333">
        <f>IF($C$6=$E413,1,IF(MONTH($E413)=1,F414*(1+$F$5),F414))</f>
      </c>
      <c r="G413" s="333">
        <f>F413*$B$8/12</f>
      </c>
      <c r="H413" s="333">
        <f>IF(F413=1,F413*$B$10/MIN(12,'Simulador - 3º Pilar'!$E$88),0)</f>
      </c>
      <c r="I413" s="560">
        <f>(1+$G$5)^(D413/12)*(H413+IF(E413=$N$7,$N$4,0))</f>
      </c>
      <c r="J413" s="561">
        <f>(1+$G$5)^(D413/12)*(H413*(12-IF(MONTH(E414)=12,0,MONTH(E414)))+IF(AND(F413=1,F414=0),$Q$4,0))*IF(AND(F413=1,F414=0),1,0)</f>
      </c>
      <c r="K413" s="217">
        <f>(1+$G$5)^(D413/12)*(IF(E413=$N$7,$N$4,0)+IF(E413=$C$6,$B$10,0))</f>
      </c>
      <c r="L413" s="217">
        <f>(1+$G$5)^(D413/12)*(IF((E413)&gt;($B$6),H413,0)+IF(E413=$N$7,$N$4,0)+IF(E413=$C$6,0,0))</f>
      </c>
      <c r="M413" s="1"/>
      <c r="N413" s="7"/>
      <c r="O413" s="1"/>
      <c r="P413" s="331">
        <v>406</v>
      </c>
      <c r="Q413" s="544">
        <f>+DATE(YEAR(Q412),MONTH(Q412)-1,DAY(Q412))</f>
        <v>25569.041666666668</v>
      </c>
      <c r="R413" s="341">
        <f>IF($Z$7=$E413,1,IF(MONTH($E413)=1,R414*(1+$F$5),R414))</f>
      </c>
      <c r="S413" s="334">
        <f>R413*$B$8/12</f>
      </c>
      <c r="T413" s="334">
        <f>R413*$B$11/12</f>
      </c>
      <c r="U413" s="565">
        <f>(1+$V$5)^(P413/12)*(T413+IF(Q413=$Z$7,$Z$4,0))</f>
      </c>
      <c r="V413" s="170"/>
      <c r="W413" s="7"/>
      <c r="X413" s="1"/>
      <c r="Y413" s="1"/>
      <c r="Z413" s="1"/>
      <c r="AA413" s="1"/>
      <c r="AB413" s="1"/>
      <c r="AC413" s="331">
        <v>406</v>
      </c>
      <c r="AD413" s="544">
        <f>+DATE(YEAR(AD412),MONTH(AD412)-1,DAY(AD412))</f>
        <v>25569.041666666668</v>
      </c>
      <c r="AE413" s="341">
        <f>IF($AM$7=$E413,1,IF(MONTH($E413)=1,AE414*(1+$F$5),AE414))</f>
      </c>
      <c r="AF413" s="334">
        <f>AE413*$B$8/12</f>
      </c>
      <c r="AG413" s="334">
        <f>AE413*$B$12/12</f>
      </c>
      <c r="AH413" s="565">
        <f>(1+$AI$5)^(AC413/12)*(AG413+IF(AD413=$AM$7,$AM$4,0))</f>
      </c>
      <c r="AI413" s="170"/>
      <c r="AJ413" s="7"/>
      <c r="AK413" s="1"/>
      <c r="AL413" s="1"/>
      <c r="AM413" s="1"/>
    </row>
    <row x14ac:dyDescent="0.25" r="414" customHeight="1" ht="18.75">
      <c r="A414" s="1"/>
      <c r="B414" s="169"/>
      <c r="C414" s="170"/>
      <c r="D414" s="331">
        <v>407</v>
      </c>
      <c r="E414" s="544">
        <f>+DATE(YEAR(E413),MONTH(E413)-1,DAY(E413))</f>
        <v>25569.041666666668</v>
      </c>
      <c r="F414" s="333">
        <f>IF($C$6=$E414,1,IF(MONTH($E414)=1,F415*(1+$F$5),F415))</f>
      </c>
      <c r="G414" s="333">
        <f>F414*$B$8/12</f>
      </c>
      <c r="H414" s="333">
        <f>IF(F414=1,F414*$B$10/MIN(12,'Simulador - 3º Pilar'!$E$88),0)</f>
      </c>
      <c r="I414" s="560">
        <f>(1+$G$5)^(D414/12)*(H414+IF(E414=$N$7,$N$4,0))</f>
      </c>
      <c r="J414" s="561">
        <f>(1+$G$5)^(D414/12)*(H414*(12-IF(MONTH(E415)=12,0,MONTH(E415)))+IF(AND(F414=1,F415=0),$Q$4,0))*IF(AND(F414=1,F415=0),1,0)</f>
      </c>
      <c r="K414" s="217">
        <f>(1+$G$5)^(D414/12)*(IF(E414=$N$7,$N$4,0)+IF(E414=$C$6,$B$10,0))</f>
      </c>
      <c r="L414" s="217">
        <f>(1+$G$5)^(D414/12)*(IF((E414)&gt;($B$6),H414,0)+IF(E414=$N$7,$N$4,0)+IF(E414=$C$6,0,0))</f>
      </c>
      <c r="M414" s="1"/>
      <c r="N414" s="7"/>
      <c r="O414" s="1"/>
      <c r="P414" s="331">
        <v>407</v>
      </c>
      <c r="Q414" s="544">
        <f>+DATE(YEAR(Q413),MONTH(Q413)-1,DAY(Q413))</f>
        <v>25569.041666666668</v>
      </c>
      <c r="R414" s="341">
        <f>IF($Z$7=$E414,1,IF(MONTH($E414)=1,R415*(1+$F$5),R415))</f>
      </c>
      <c r="S414" s="334">
        <f>R414*$B$8/12</f>
      </c>
      <c r="T414" s="334">
        <f>R414*$B$11/12</f>
      </c>
      <c r="U414" s="565">
        <f>(1+$V$5)^(P414/12)*(T414+IF(Q414=$Z$7,$Z$4,0))</f>
      </c>
      <c r="V414" s="170"/>
      <c r="W414" s="7"/>
      <c r="X414" s="1"/>
      <c r="Y414" s="1"/>
      <c r="Z414" s="1"/>
      <c r="AA414" s="1"/>
      <c r="AB414" s="1"/>
      <c r="AC414" s="331">
        <v>407</v>
      </c>
      <c r="AD414" s="544">
        <f>+DATE(YEAR(AD413),MONTH(AD413)-1,DAY(AD413))</f>
        <v>25569.041666666668</v>
      </c>
      <c r="AE414" s="341">
        <f>IF($AM$7=$E414,1,IF(MONTH($E414)=1,AE415*(1+$F$5),AE415))</f>
      </c>
      <c r="AF414" s="334">
        <f>AE414*$B$8/12</f>
      </c>
      <c r="AG414" s="334">
        <f>AE414*$B$12/12</f>
      </c>
      <c r="AH414" s="565">
        <f>(1+$AI$5)^(AC414/12)*(AG414+IF(AD414=$AM$7,$AM$4,0))</f>
      </c>
      <c r="AI414" s="170"/>
      <c r="AJ414" s="7"/>
      <c r="AK414" s="1"/>
      <c r="AL414" s="1"/>
      <c r="AM414" s="1"/>
    </row>
    <row x14ac:dyDescent="0.25" r="415" customHeight="1" ht="18.75">
      <c r="A415" s="1"/>
      <c r="B415" s="169"/>
      <c r="C415" s="170"/>
      <c r="D415" s="331">
        <v>408</v>
      </c>
      <c r="E415" s="544">
        <f>+DATE(YEAR(E414),MONTH(E414)-1,DAY(E414))</f>
        <v>25569.041666666668</v>
      </c>
      <c r="F415" s="333">
        <f>IF($C$6=$E415,1,IF(MONTH($E415)=1,F416*(1+$F$5),F416))</f>
      </c>
      <c r="G415" s="333">
        <f>F415*$B$8/12</f>
      </c>
      <c r="H415" s="333">
        <f>IF(F415=1,F415*$B$10/MIN(12,'Simulador - 3º Pilar'!$E$88),0)</f>
      </c>
      <c r="I415" s="560">
        <f>(1+$G$5)^(D415/12)*(H415+IF(E415=$N$7,$N$4,0))</f>
      </c>
      <c r="J415" s="561">
        <f>(1+$G$5)^(D415/12)*(H415*(12-IF(MONTH(E416)=12,0,MONTH(E416)))+IF(AND(F415=1,F416=0),$Q$4,0))*IF(AND(F415=1,F416=0),1,0)</f>
      </c>
      <c r="K415" s="217">
        <f>(1+$G$5)^(D415/12)*(IF(E415=$N$7,$N$4,0)+IF(E415=$C$6,$B$10,0))</f>
      </c>
      <c r="L415" s="217">
        <f>(1+$G$5)^(D415/12)*(IF((E415)&gt;($B$6),H415,0)+IF(E415=$N$7,$N$4,0)+IF(E415=$C$6,0,0))</f>
      </c>
      <c r="M415" s="1"/>
      <c r="N415" s="7"/>
      <c r="O415" s="1"/>
      <c r="P415" s="331">
        <v>408</v>
      </c>
      <c r="Q415" s="544">
        <f>+DATE(YEAR(Q414),MONTH(Q414)-1,DAY(Q414))</f>
        <v>25569.041666666668</v>
      </c>
      <c r="R415" s="341">
        <f>IF($Z$7=$E415,1,IF(MONTH($E415)=1,R416*(1+$F$5),R416))</f>
      </c>
      <c r="S415" s="334">
        <f>R415*$B$8/12</f>
      </c>
      <c r="T415" s="334">
        <f>R415*$B$11/12</f>
      </c>
      <c r="U415" s="565">
        <f>(1+$V$5)^(P415/12)*(T415+IF(Q415=$Z$7,$Z$4,0))</f>
      </c>
      <c r="V415" s="170"/>
      <c r="W415" s="7"/>
      <c r="X415" s="1"/>
      <c r="Y415" s="1"/>
      <c r="Z415" s="1"/>
      <c r="AA415" s="1"/>
      <c r="AB415" s="1"/>
      <c r="AC415" s="331">
        <v>408</v>
      </c>
      <c r="AD415" s="544">
        <f>+DATE(YEAR(AD414),MONTH(AD414)-1,DAY(AD414))</f>
        <v>25569.041666666668</v>
      </c>
      <c r="AE415" s="341">
        <f>IF($AM$7=$E415,1,IF(MONTH($E415)=1,AE416*(1+$F$5),AE416))</f>
      </c>
      <c r="AF415" s="334">
        <f>AE415*$B$8/12</f>
      </c>
      <c r="AG415" s="334">
        <f>AE415*$B$12/12</f>
      </c>
      <c r="AH415" s="565">
        <f>(1+$AI$5)^(AC415/12)*(AG415+IF(AD415=$AM$7,$AM$4,0))</f>
      </c>
      <c r="AI415" s="170"/>
      <c r="AJ415" s="7"/>
      <c r="AK415" s="1"/>
      <c r="AL415" s="1"/>
      <c r="AM415" s="1"/>
    </row>
    <row x14ac:dyDescent="0.25" r="416" customHeight="1" ht="18.75">
      <c r="A416" s="1"/>
      <c r="B416" s="169"/>
      <c r="C416" s="170"/>
      <c r="D416" s="331">
        <v>409</v>
      </c>
      <c r="E416" s="544">
        <f>+DATE(YEAR(E415),MONTH(E415)-1,DAY(E415))</f>
        <v>25569.041666666668</v>
      </c>
      <c r="F416" s="333">
        <f>IF($C$6=$E416,1,IF(MONTH($E416)=1,F417*(1+$F$5),F417))</f>
      </c>
      <c r="G416" s="333">
        <f>F416*$B$8/12</f>
      </c>
      <c r="H416" s="333">
        <f>IF(F416=1,F416*$B$10/MIN(12,'Simulador - 3º Pilar'!$E$88),0)</f>
      </c>
      <c r="I416" s="560">
        <f>(1+$G$5)^(D416/12)*(H416+IF(E416=$N$7,$N$4,0))</f>
      </c>
      <c r="J416" s="561">
        <f>(1+$G$5)^(D416/12)*(H416*(12-IF(MONTH(E417)=12,0,MONTH(E417)))+IF(AND(F416=1,F417=0),$Q$4,0))*IF(AND(F416=1,F417=0),1,0)</f>
      </c>
      <c r="K416" s="217">
        <f>(1+$G$5)^(D416/12)*(IF(E416=$N$7,$N$4,0)+IF(E416=$C$6,$B$10,0))</f>
      </c>
      <c r="L416" s="217">
        <f>(1+$G$5)^(D416/12)*(IF((E416)&gt;($B$6),H416,0)+IF(E416=$N$7,$N$4,0)+IF(E416=$C$6,0,0))</f>
      </c>
      <c r="M416" s="1"/>
      <c r="N416" s="7"/>
      <c r="O416" s="1"/>
      <c r="P416" s="331">
        <v>409</v>
      </c>
      <c r="Q416" s="544">
        <f>+DATE(YEAR(Q415),MONTH(Q415)-1,DAY(Q415))</f>
        <v>25569.041666666668</v>
      </c>
      <c r="R416" s="341">
        <f>IF($Z$7=$E416,1,IF(MONTH($E416)=1,R417*(1+$F$5),R417))</f>
      </c>
      <c r="S416" s="334">
        <f>R416*$B$8/12</f>
      </c>
      <c r="T416" s="334">
        <f>R416*$B$11/12</f>
      </c>
      <c r="U416" s="565">
        <f>(1+$V$5)^(P416/12)*(T416+IF(Q416=$Z$7,$Z$4,0))</f>
      </c>
      <c r="V416" s="170"/>
      <c r="W416" s="7"/>
      <c r="X416" s="1"/>
      <c r="Y416" s="1"/>
      <c r="Z416" s="1"/>
      <c r="AA416" s="1"/>
      <c r="AB416" s="1"/>
      <c r="AC416" s="331">
        <v>409</v>
      </c>
      <c r="AD416" s="544">
        <f>+DATE(YEAR(AD415),MONTH(AD415)-1,DAY(AD415))</f>
        <v>25569.041666666668</v>
      </c>
      <c r="AE416" s="341">
        <f>IF($AM$7=$E416,1,IF(MONTH($E416)=1,AE417*(1+$F$5),AE417))</f>
      </c>
      <c r="AF416" s="334">
        <f>AE416*$B$8/12</f>
      </c>
      <c r="AG416" s="334">
        <f>AE416*$B$12/12</f>
      </c>
      <c r="AH416" s="565">
        <f>(1+$AI$5)^(AC416/12)*(AG416+IF(AD416=$AM$7,$AM$4,0))</f>
      </c>
      <c r="AI416" s="170"/>
      <c r="AJ416" s="7"/>
      <c r="AK416" s="1"/>
      <c r="AL416" s="1"/>
      <c r="AM416" s="1"/>
    </row>
    <row x14ac:dyDescent="0.25" r="417" customHeight="1" ht="18.75">
      <c r="A417" s="1"/>
      <c r="B417" s="169"/>
      <c r="C417" s="170"/>
      <c r="D417" s="331">
        <v>410</v>
      </c>
      <c r="E417" s="544">
        <f>+DATE(YEAR(E416),MONTH(E416)-1,DAY(E416))</f>
        <v>25569.041666666668</v>
      </c>
      <c r="F417" s="333">
        <f>IF($C$6=$E417,1,IF(MONTH($E417)=1,F418*(1+$F$5),F418))</f>
      </c>
      <c r="G417" s="333">
        <f>F417*$B$8/12</f>
      </c>
      <c r="H417" s="333">
        <f>IF(F417=1,F417*$B$10/MIN(12,'Simulador - 3º Pilar'!$E$88),0)</f>
      </c>
      <c r="I417" s="560">
        <f>(1+$G$5)^(D417/12)*(H417+IF(E417=$N$7,$N$4,0))</f>
      </c>
      <c r="J417" s="561">
        <f>(1+$G$5)^(D417/12)*(H417*(12-IF(MONTH(E418)=12,0,MONTH(E418)))+IF(AND(F417=1,F418=0),$Q$4,0))*IF(AND(F417=1,F418=0),1,0)</f>
      </c>
      <c r="K417" s="217">
        <f>(1+$G$5)^(D417/12)*(IF(E417=$N$7,$N$4,0)+IF(E417=$C$6,$B$10,0))</f>
      </c>
      <c r="L417" s="217">
        <f>(1+$G$5)^(D417/12)*(IF((E417)&gt;($B$6),H417,0)+IF(E417=$N$7,$N$4,0)+IF(E417=$C$6,0,0))</f>
      </c>
      <c r="M417" s="1"/>
      <c r="N417" s="7"/>
      <c r="O417" s="1"/>
      <c r="P417" s="331">
        <v>410</v>
      </c>
      <c r="Q417" s="544">
        <f>+DATE(YEAR(Q416),MONTH(Q416)-1,DAY(Q416))</f>
        <v>25569.041666666668</v>
      </c>
      <c r="R417" s="341">
        <f>IF($Z$7=$E417,1,IF(MONTH($E417)=1,R418*(1+$F$5),R418))</f>
      </c>
      <c r="S417" s="334">
        <f>R417*$B$8/12</f>
      </c>
      <c r="T417" s="334">
        <f>R417*$B$11/12</f>
      </c>
      <c r="U417" s="565">
        <f>(1+$V$5)^(P417/12)*(T417+IF(Q417=$Z$7,$Z$4,0))</f>
      </c>
      <c r="V417" s="170"/>
      <c r="W417" s="7"/>
      <c r="X417" s="1"/>
      <c r="Y417" s="1"/>
      <c r="Z417" s="1"/>
      <c r="AA417" s="1"/>
      <c r="AB417" s="1"/>
      <c r="AC417" s="331">
        <v>410</v>
      </c>
      <c r="AD417" s="544">
        <f>+DATE(YEAR(AD416),MONTH(AD416)-1,DAY(AD416))</f>
        <v>25569.041666666668</v>
      </c>
      <c r="AE417" s="341">
        <f>IF($AM$7=$E417,1,IF(MONTH($E417)=1,AE418*(1+$F$5),AE418))</f>
      </c>
      <c r="AF417" s="334">
        <f>AE417*$B$8/12</f>
      </c>
      <c r="AG417" s="334">
        <f>AE417*$B$12/12</f>
      </c>
      <c r="AH417" s="565">
        <f>(1+$AI$5)^(AC417/12)*(AG417+IF(AD417=$AM$7,$AM$4,0))</f>
      </c>
      <c r="AI417" s="170"/>
      <c r="AJ417" s="7"/>
      <c r="AK417" s="1"/>
      <c r="AL417" s="1"/>
      <c r="AM417" s="1"/>
    </row>
    <row x14ac:dyDescent="0.25" r="418" customHeight="1" ht="18.75">
      <c r="A418" s="1"/>
      <c r="B418" s="169"/>
      <c r="C418" s="170"/>
      <c r="D418" s="331">
        <v>411</v>
      </c>
      <c r="E418" s="544">
        <f>+DATE(YEAR(E417),MONTH(E417)-1,DAY(E417))</f>
        <v>25569.041666666668</v>
      </c>
      <c r="F418" s="333">
        <f>IF($C$6=$E418,1,IF(MONTH($E418)=1,F419*(1+$F$5),F419))</f>
      </c>
      <c r="G418" s="333">
        <f>F418*$B$8/12</f>
      </c>
      <c r="H418" s="333">
        <f>IF(F418=1,F418*$B$10/MIN(12,'Simulador - 3º Pilar'!$E$88),0)</f>
      </c>
      <c r="I418" s="560">
        <f>(1+$G$5)^(D418/12)*(H418+IF(E418=$N$7,$N$4,0))</f>
      </c>
      <c r="J418" s="561">
        <f>(1+$G$5)^(D418/12)*(H418*(12-IF(MONTH(E419)=12,0,MONTH(E419)))+IF(AND(F418=1,F419=0),$Q$4,0))*IF(AND(F418=1,F419=0),1,0)</f>
      </c>
      <c r="K418" s="217">
        <f>(1+$G$5)^(D418/12)*(IF(E418=$N$7,$N$4,0)+IF(E418=$C$6,$B$10,0))</f>
      </c>
      <c r="L418" s="217">
        <f>(1+$G$5)^(D418/12)*(IF((E418)&gt;($B$6),H418,0)+IF(E418=$N$7,$N$4,0)+IF(E418=$C$6,0,0))</f>
      </c>
      <c r="M418" s="1"/>
      <c r="N418" s="7"/>
      <c r="O418" s="1"/>
      <c r="P418" s="331">
        <v>411</v>
      </c>
      <c r="Q418" s="544">
        <f>+DATE(YEAR(Q417),MONTH(Q417)-1,DAY(Q417))</f>
        <v>25569.041666666668</v>
      </c>
      <c r="R418" s="341">
        <f>IF($Z$7=$E418,1,IF(MONTH($E418)=1,R419*(1+$F$5),R419))</f>
      </c>
      <c r="S418" s="334">
        <f>R418*$B$8/12</f>
      </c>
      <c r="T418" s="334">
        <f>R418*$B$11/12</f>
      </c>
      <c r="U418" s="565">
        <f>(1+$V$5)^(P418/12)*(T418+IF(Q418=$Z$7,$Z$4,0))</f>
      </c>
      <c r="V418" s="170"/>
      <c r="W418" s="7"/>
      <c r="X418" s="1"/>
      <c r="Y418" s="1"/>
      <c r="Z418" s="1"/>
      <c r="AA418" s="1"/>
      <c r="AB418" s="1"/>
      <c r="AC418" s="331">
        <v>411</v>
      </c>
      <c r="AD418" s="544">
        <f>+DATE(YEAR(AD417),MONTH(AD417)-1,DAY(AD417))</f>
        <v>25569.041666666668</v>
      </c>
      <c r="AE418" s="341">
        <f>IF($AM$7=$E418,1,IF(MONTH($E418)=1,AE419*(1+$F$5),AE419))</f>
      </c>
      <c r="AF418" s="334">
        <f>AE418*$B$8/12</f>
      </c>
      <c r="AG418" s="334">
        <f>AE418*$B$12/12</f>
      </c>
      <c r="AH418" s="565">
        <f>(1+$AI$5)^(AC418/12)*(AG418+IF(AD418=$AM$7,$AM$4,0))</f>
      </c>
      <c r="AI418" s="170"/>
      <c r="AJ418" s="7"/>
      <c r="AK418" s="1"/>
      <c r="AL418" s="1"/>
      <c r="AM418" s="1"/>
    </row>
    <row x14ac:dyDescent="0.25" r="419" customHeight="1" ht="18.75">
      <c r="A419" s="1"/>
      <c r="B419" s="169"/>
      <c r="C419" s="170"/>
      <c r="D419" s="331">
        <v>412</v>
      </c>
      <c r="E419" s="544">
        <f>+DATE(YEAR(E418),MONTH(E418)-1,DAY(E418))</f>
        <v>25569.041666666668</v>
      </c>
      <c r="F419" s="333">
        <f>IF($C$6=$E419,1,IF(MONTH($E419)=1,F420*(1+$F$5),F420))</f>
      </c>
      <c r="G419" s="333">
        <f>F419*$B$8/12</f>
      </c>
      <c r="H419" s="333">
        <f>IF(F419=1,F419*$B$10/MIN(12,'Simulador - 3º Pilar'!$E$88),0)</f>
      </c>
      <c r="I419" s="560">
        <f>(1+$G$5)^(D419/12)*(H419+IF(E419=$N$7,$N$4,0))</f>
      </c>
      <c r="J419" s="561">
        <f>(1+$G$5)^(D419/12)*(H419*(12-IF(MONTH(E420)=12,0,MONTH(E420)))+IF(AND(F419=1,F420=0),$Q$4,0))*IF(AND(F419=1,F420=0),1,0)</f>
      </c>
      <c r="K419" s="217">
        <f>(1+$G$5)^(D419/12)*(IF(E419=$N$7,$N$4,0)+IF(E419=$C$6,$B$10,0))</f>
      </c>
      <c r="L419" s="217">
        <f>(1+$G$5)^(D419/12)*(IF((E419)&gt;($B$6),H419,0)+IF(E419=$N$7,$N$4,0)+IF(E419=$C$6,0,0))</f>
      </c>
      <c r="M419" s="1"/>
      <c r="N419" s="7"/>
      <c r="O419" s="1"/>
      <c r="P419" s="331">
        <v>412</v>
      </c>
      <c r="Q419" s="544">
        <f>+DATE(YEAR(Q418),MONTH(Q418)-1,DAY(Q418))</f>
        <v>25569.041666666668</v>
      </c>
      <c r="R419" s="341">
        <f>IF($Z$7=$E419,1,IF(MONTH($E419)=1,R420*(1+$F$5),R420))</f>
      </c>
      <c r="S419" s="334">
        <f>R419*$B$8/12</f>
      </c>
      <c r="T419" s="334">
        <f>R419*$B$11/12</f>
      </c>
      <c r="U419" s="565">
        <f>(1+$V$5)^(P419/12)*(T419+IF(Q419=$Z$7,$Z$4,0))</f>
      </c>
      <c r="V419" s="170"/>
      <c r="W419" s="7"/>
      <c r="X419" s="1"/>
      <c r="Y419" s="1"/>
      <c r="Z419" s="1"/>
      <c r="AA419" s="1"/>
      <c r="AB419" s="1"/>
      <c r="AC419" s="331">
        <v>412</v>
      </c>
      <c r="AD419" s="544">
        <f>+DATE(YEAR(AD418),MONTH(AD418)-1,DAY(AD418))</f>
        <v>25569.041666666668</v>
      </c>
      <c r="AE419" s="341">
        <f>IF($AM$7=$E419,1,IF(MONTH($E419)=1,AE420*(1+$F$5),AE420))</f>
      </c>
      <c r="AF419" s="334">
        <f>AE419*$B$8/12</f>
      </c>
      <c r="AG419" s="334">
        <f>AE419*$B$12/12</f>
      </c>
      <c r="AH419" s="565">
        <f>(1+$AI$5)^(AC419/12)*(AG419+IF(AD419=$AM$7,$AM$4,0))</f>
      </c>
      <c r="AI419" s="170"/>
      <c r="AJ419" s="7"/>
      <c r="AK419" s="1"/>
      <c r="AL419" s="1"/>
      <c r="AM419" s="1"/>
    </row>
    <row x14ac:dyDescent="0.25" r="420" customHeight="1" ht="18.75">
      <c r="A420" s="1"/>
      <c r="B420" s="169"/>
      <c r="C420" s="170"/>
      <c r="D420" s="331">
        <v>413</v>
      </c>
      <c r="E420" s="544">
        <f>+DATE(YEAR(E419),MONTH(E419)-1,DAY(E419))</f>
        <v>25569.041666666668</v>
      </c>
      <c r="F420" s="333">
        <f>IF($C$6=$E420,1,IF(MONTH($E420)=1,F421*(1+$F$5),F421))</f>
      </c>
      <c r="G420" s="333">
        <f>F420*$B$8/12</f>
      </c>
      <c r="H420" s="333">
        <f>IF(F420=1,F420*$B$10/MIN(12,'Simulador - 3º Pilar'!$E$88),0)</f>
      </c>
      <c r="I420" s="560">
        <f>(1+$G$5)^(D420/12)*(H420+IF(E420=$N$7,$N$4,0))</f>
      </c>
      <c r="J420" s="561">
        <f>(1+$G$5)^(D420/12)*(H420*(12-IF(MONTH(E421)=12,0,MONTH(E421)))+IF(AND(F420=1,F421=0),$Q$4,0))*IF(AND(F420=1,F421=0),1,0)</f>
      </c>
      <c r="K420" s="217">
        <f>(1+$G$5)^(D420/12)*(IF(E420=$N$7,$N$4,0)+IF(E420=$C$6,$B$10,0))</f>
      </c>
      <c r="L420" s="217">
        <f>(1+$G$5)^(D420/12)*(IF((E420)&gt;($B$6),H420,0)+IF(E420=$N$7,$N$4,0)+IF(E420=$C$6,0,0))</f>
      </c>
      <c r="M420" s="1"/>
      <c r="N420" s="7"/>
      <c r="O420" s="1"/>
      <c r="P420" s="331">
        <v>413</v>
      </c>
      <c r="Q420" s="544">
        <f>+DATE(YEAR(Q419),MONTH(Q419)-1,DAY(Q419))</f>
        <v>25569.041666666668</v>
      </c>
      <c r="R420" s="341">
        <f>IF($Z$7=$E420,1,IF(MONTH($E420)=1,R421*(1+$F$5),R421))</f>
      </c>
      <c r="S420" s="334">
        <f>R420*$B$8/12</f>
      </c>
      <c r="T420" s="334">
        <f>R420*$B$11/12</f>
      </c>
      <c r="U420" s="565">
        <f>(1+$V$5)^(P420/12)*(T420+IF(Q420=$Z$7,$Z$4,0))</f>
      </c>
      <c r="V420" s="170"/>
      <c r="W420" s="7"/>
      <c r="X420" s="1"/>
      <c r="Y420" s="1"/>
      <c r="Z420" s="1"/>
      <c r="AA420" s="1"/>
      <c r="AB420" s="1"/>
      <c r="AC420" s="331">
        <v>413</v>
      </c>
      <c r="AD420" s="544">
        <f>+DATE(YEAR(AD419),MONTH(AD419)-1,DAY(AD419))</f>
        <v>25569.041666666668</v>
      </c>
      <c r="AE420" s="341">
        <f>IF($AM$7=$E420,1,IF(MONTH($E420)=1,AE421*(1+$F$5),AE421))</f>
      </c>
      <c r="AF420" s="334">
        <f>AE420*$B$8/12</f>
      </c>
      <c r="AG420" s="334">
        <f>AE420*$B$12/12</f>
      </c>
      <c r="AH420" s="565">
        <f>(1+$AI$5)^(AC420/12)*(AG420+IF(AD420=$AM$7,$AM$4,0))</f>
      </c>
      <c r="AI420" s="170"/>
      <c r="AJ420" s="7"/>
      <c r="AK420" s="1"/>
      <c r="AL420" s="1"/>
      <c r="AM420" s="1"/>
    </row>
    <row x14ac:dyDescent="0.25" r="421" customHeight="1" ht="18.75">
      <c r="A421" s="1"/>
      <c r="B421" s="169"/>
      <c r="C421" s="170"/>
      <c r="D421" s="331">
        <v>414</v>
      </c>
      <c r="E421" s="544">
        <f>+DATE(YEAR(E420),MONTH(E420)-1,DAY(E420))</f>
        <v>25569.041666666668</v>
      </c>
      <c r="F421" s="333">
        <f>IF($C$6=$E421,1,IF(MONTH($E421)=1,F422*(1+$F$5),F422))</f>
      </c>
      <c r="G421" s="333">
        <f>F421*$B$8/12</f>
      </c>
      <c r="H421" s="333">
        <f>IF(F421=1,F421*$B$10/MIN(12,'Simulador - 3º Pilar'!$E$88),0)</f>
      </c>
      <c r="I421" s="560">
        <f>(1+$G$5)^(D421/12)*(H421+IF(E421=$N$7,$N$4,0))</f>
      </c>
      <c r="J421" s="561">
        <f>(1+$G$5)^(D421/12)*(H421*(12-IF(MONTH(E422)=12,0,MONTH(E422)))+IF(AND(F421=1,F422=0),$Q$4,0))*IF(AND(F421=1,F422=0),1,0)</f>
      </c>
      <c r="K421" s="217">
        <f>(1+$G$5)^(D421/12)*(IF(E421=$N$7,$N$4,0)+IF(E421=$C$6,$B$10,0))</f>
      </c>
      <c r="L421" s="217">
        <f>(1+$G$5)^(D421/12)*(IF((E421)&gt;($B$6),H421,0)+IF(E421=$N$7,$N$4,0)+IF(E421=$C$6,0,0))</f>
      </c>
      <c r="M421" s="1"/>
      <c r="N421" s="7"/>
      <c r="O421" s="1"/>
      <c r="P421" s="331">
        <v>414</v>
      </c>
      <c r="Q421" s="544">
        <f>+DATE(YEAR(Q420),MONTH(Q420)-1,DAY(Q420))</f>
        <v>25569.041666666668</v>
      </c>
      <c r="R421" s="341">
        <f>IF($Z$7=$E421,1,IF(MONTH($E421)=1,R422*(1+$F$5),R422))</f>
      </c>
      <c r="S421" s="334">
        <f>R421*$B$8/12</f>
      </c>
      <c r="T421" s="334">
        <f>R421*$B$11/12</f>
      </c>
      <c r="U421" s="565">
        <f>(1+$V$5)^(P421/12)*(T421+IF(Q421=$Z$7,$Z$4,0))</f>
      </c>
      <c r="V421" s="170"/>
      <c r="W421" s="7"/>
      <c r="X421" s="1"/>
      <c r="Y421" s="1"/>
      <c r="Z421" s="1"/>
      <c r="AA421" s="1"/>
      <c r="AB421" s="1"/>
      <c r="AC421" s="331">
        <v>414</v>
      </c>
      <c r="AD421" s="544">
        <f>+DATE(YEAR(AD420),MONTH(AD420)-1,DAY(AD420))</f>
        <v>25569.041666666668</v>
      </c>
      <c r="AE421" s="341">
        <f>IF($AM$7=$E421,1,IF(MONTH($E421)=1,AE422*(1+$F$5),AE422))</f>
      </c>
      <c r="AF421" s="334">
        <f>AE421*$B$8/12</f>
      </c>
      <c r="AG421" s="334">
        <f>AE421*$B$12/12</f>
      </c>
      <c r="AH421" s="565">
        <f>(1+$AI$5)^(AC421/12)*(AG421+IF(AD421=$AM$7,$AM$4,0))</f>
      </c>
      <c r="AI421" s="170"/>
      <c r="AJ421" s="7"/>
      <c r="AK421" s="1"/>
      <c r="AL421" s="1"/>
      <c r="AM421" s="1"/>
    </row>
    <row x14ac:dyDescent="0.25" r="422" customHeight="1" ht="18.75">
      <c r="A422" s="1"/>
      <c r="B422" s="169"/>
      <c r="C422" s="170"/>
      <c r="D422" s="331">
        <v>415</v>
      </c>
      <c r="E422" s="544">
        <f>+DATE(YEAR(E421),MONTH(E421)-1,DAY(E421))</f>
        <v>25569.041666666668</v>
      </c>
      <c r="F422" s="333">
        <f>IF($C$6=$E422,1,IF(MONTH($E422)=1,F423*(1+$F$5),F423))</f>
      </c>
      <c r="G422" s="333">
        <f>F422*$B$8/12</f>
      </c>
      <c r="H422" s="333">
        <f>IF(F422=1,F422*$B$10/MIN(12,'Simulador - 3º Pilar'!$E$88),0)</f>
      </c>
      <c r="I422" s="560">
        <f>(1+$G$5)^(D422/12)*(H422+IF(E422=$N$7,$N$4,0))</f>
      </c>
      <c r="J422" s="561">
        <f>(1+$G$5)^(D422/12)*(H422*(12-IF(MONTH(E423)=12,0,MONTH(E423)))+IF(AND(F422=1,F423=0),$Q$4,0))*IF(AND(F422=1,F423=0),1,0)</f>
      </c>
      <c r="K422" s="217">
        <f>(1+$G$5)^(D422/12)*(IF(E422=$N$7,$N$4,0)+IF(E422=$C$6,$B$10,0))</f>
      </c>
      <c r="L422" s="217">
        <f>(1+$G$5)^(D422/12)*(IF((E422)&gt;($B$6),H422,0)+IF(E422=$N$7,$N$4,0)+IF(E422=$C$6,0,0))</f>
      </c>
      <c r="M422" s="1"/>
      <c r="N422" s="7"/>
      <c r="O422" s="1"/>
      <c r="P422" s="331">
        <v>415</v>
      </c>
      <c r="Q422" s="544">
        <f>+DATE(YEAR(Q421),MONTH(Q421)-1,DAY(Q421))</f>
        <v>25569.041666666668</v>
      </c>
      <c r="R422" s="341">
        <f>IF($Z$7=$E422,1,IF(MONTH($E422)=1,R423*(1+$F$5),R423))</f>
      </c>
      <c r="S422" s="334">
        <f>R422*$B$8/12</f>
      </c>
      <c r="T422" s="334">
        <f>R422*$B$11/12</f>
      </c>
      <c r="U422" s="565">
        <f>(1+$V$5)^(P422/12)*(T422+IF(Q422=$Z$7,$Z$4,0))</f>
      </c>
      <c r="V422" s="170"/>
      <c r="W422" s="7"/>
      <c r="X422" s="1"/>
      <c r="Y422" s="1"/>
      <c r="Z422" s="1"/>
      <c r="AA422" s="1"/>
      <c r="AB422" s="1"/>
      <c r="AC422" s="331">
        <v>415</v>
      </c>
      <c r="AD422" s="544">
        <f>+DATE(YEAR(AD421),MONTH(AD421)-1,DAY(AD421))</f>
        <v>25569.041666666668</v>
      </c>
      <c r="AE422" s="341">
        <f>IF($AM$7=$E422,1,IF(MONTH($E422)=1,AE423*(1+$F$5),AE423))</f>
      </c>
      <c r="AF422" s="334">
        <f>AE422*$B$8/12</f>
      </c>
      <c r="AG422" s="334">
        <f>AE422*$B$12/12</f>
      </c>
      <c r="AH422" s="565">
        <f>(1+$AI$5)^(AC422/12)*(AG422+IF(AD422=$AM$7,$AM$4,0))</f>
      </c>
      <c r="AI422" s="170"/>
      <c r="AJ422" s="7"/>
      <c r="AK422" s="1"/>
      <c r="AL422" s="1"/>
      <c r="AM422" s="1"/>
    </row>
    <row x14ac:dyDescent="0.25" r="423" customHeight="1" ht="18.75">
      <c r="A423" s="1"/>
      <c r="B423" s="169"/>
      <c r="C423" s="170"/>
      <c r="D423" s="331">
        <v>416</v>
      </c>
      <c r="E423" s="544">
        <f>+DATE(YEAR(E422),MONTH(E422)-1,DAY(E422))</f>
        <v>25569.041666666668</v>
      </c>
      <c r="F423" s="333">
        <f>IF($C$6=$E423,1,IF(MONTH($E423)=1,F424*(1+$F$5),F424))</f>
      </c>
      <c r="G423" s="333">
        <f>F423*$B$8/12</f>
      </c>
      <c r="H423" s="333">
        <f>IF(F423=1,F423*$B$10/MIN(12,'Simulador - 3º Pilar'!$E$88),0)</f>
      </c>
      <c r="I423" s="560">
        <f>(1+$G$5)^(D423/12)*(H423+IF(E423=$N$7,$N$4,0))</f>
      </c>
      <c r="J423" s="561">
        <f>(1+$G$5)^(D423/12)*(H423*(12-IF(MONTH(E424)=12,0,MONTH(E424)))+IF(AND(F423=1,F424=0),$Q$4,0))*IF(AND(F423=1,F424=0),1,0)</f>
      </c>
      <c r="K423" s="217">
        <f>(1+$G$5)^(D423/12)*(IF(E423=$N$7,$N$4,0)+IF(E423=$C$6,$B$10,0))</f>
      </c>
      <c r="L423" s="217">
        <f>(1+$G$5)^(D423/12)*(IF((E423)&gt;($B$6),H423,0)+IF(E423=$N$7,$N$4,0)+IF(E423=$C$6,0,0))</f>
      </c>
      <c r="M423" s="1"/>
      <c r="N423" s="7"/>
      <c r="O423" s="1"/>
      <c r="P423" s="331">
        <v>416</v>
      </c>
      <c r="Q423" s="544">
        <f>+DATE(YEAR(Q422),MONTH(Q422)-1,DAY(Q422))</f>
        <v>25569.041666666668</v>
      </c>
      <c r="R423" s="341">
        <f>IF($Z$7=$E423,1,IF(MONTH($E423)=1,R424*(1+$F$5),R424))</f>
      </c>
      <c r="S423" s="334">
        <f>R423*$B$8/12</f>
      </c>
      <c r="T423" s="334">
        <f>R423*$B$11/12</f>
      </c>
      <c r="U423" s="565">
        <f>(1+$V$5)^(P423/12)*(T423+IF(Q423=$Z$7,$Z$4,0))</f>
      </c>
      <c r="V423" s="170"/>
      <c r="W423" s="7"/>
      <c r="X423" s="1"/>
      <c r="Y423" s="1"/>
      <c r="Z423" s="1"/>
      <c r="AA423" s="1"/>
      <c r="AB423" s="1"/>
      <c r="AC423" s="331">
        <v>416</v>
      </c>
      <c r="AD423" s="544">
        <f>+DATE(YEAR(AD422),MONTH(AD422)-1,DAY(AD422))</f>
        <v>25569.041666666668</v>
      </c>
      <c r="AE423" s="341">
        <f>IF($AM$7=$E423,1,IF(MONTH($E423)=1,AE424*(1+$F$5),AE424))</f>
      </c>
      <c r="AF423" s="334">
        <f>AE423*$B$8/12</f>
      </c>
      <c r="AG423" s="334">
        <f>AE423*$B$12/12</f>
      </c>
      <c r="AH423" s="565">
        <f>(1+$AI$5)^(AC423/12)*(AG423+IF(AD423=$AM$7,$AM$4,0))</f>
      </c>
      <c r="AI423" s="170"/>
      <c r="AJ423" s="7"/>
      <c r="AK423" s="1"/>
      <c r="AL423" s="1"/>
      <c r="AM423" s="1"/>
    </row>
    <row x14ac:dyDescent="0.25" r="424" customHeight="1" ht="18.75">
      <c r="A424" s="1"/>
      <c r="B424" s="169"/>
      <c r="C424" s="170"/>
      <c r="D424" s="331">
        <v>417</v>
      </c>
      <c r="E424" s="544">
        <f>+DATE(YEAR(E423),MONTH(E423)-1,DAY(E423))</f>
        <v>25569.041666666668</v>
      </c>
      <c r="F424" s="333">
        <f>IF($C$6=$E424,1,IF(MONTH($E424)=1,F425*(1+$F$5),F425))</f>
      </c>
      <c r="G424" s="333">
        <f>F424*$B$8/12</f>
      </c>
      <c r="H424" s="333">
        <f>IF(F424=1,F424*$B$10/MIN(12,'Simulador - 3º Pilar'!$E$88),0)</f>
      </c>
      <c r="I424" s="560">
        <f>(1+$G$5)^(D424/12)*(H424+IF(E424=$N$7,$N$4,0))</f>
      </c>
      <c r="J424" s="561">
        <f>(1+$G$5)^(D424/12)*(H424*(12-IF(MONTH(E425)=12,0,MONTH(E425)))+IF(AND(F424=1,F425=0),$Q$4,0))*IF(AND(F424=1,F425=0),1,0)</f>
      </c>
      <c r="K424" s="217">
        <f>(1+$G$5)^(D424/12)*(IF(E424=$N$7,$N$4,0)+IF(E424=$C$6,$B$10,0))</f>
      </c>
      <c r="L424" s="217">
        <f>(1+$G$5)^(D424/12)*(IF((E424)&gt;($B$6),H424,0)+IF(E424=$N$7,$N$4,0)+IF(E424=$C$6,0,0))</f>
      </c>
      <c r="M424" s="1"/>
      <c r="N424" s="7"/>
      <c r="O424" s="1"/>
      <c r="P424" s="331">
        <v>417</v>
      </c>
      <c r="Q424" s="544">
        <f>+DATE(YEAR(Q423),MONTH(Q423)-1,DAY(Q423))</f>
        <v>25569.041666666668</v>
      </c>
      <c r="R424" s="341">
        <f>IF($Z$7=$E424,1,IF(MONTH($E424)=1,R425*(1+$F$5),R425))</f>
      </c>
      <c r="S424" s="334">
        <f>R424*$B$8/12</f>
      </c>
      <c r="T424" s="334">
        <f>R424*$B$11/12</f>
      </c>
      <c r="U424" s="565">
        <f>(1+$V$5)^(P424/12)*(T424+IF(Q424=$Z$7,$Z$4,0))</f>
      </c>
      <c r="V424" s="170"/>
      <c r="W424" s="7"/>
      <c r="X424" s="1"/>
      <c r="Y424" s="1"/>
      <c r="Z424" s="1"/>
      <c r="AA424" s="1"/>
      <c r="AB424" s="1"/>
      <c r="AC424" s="331">
        <v>417</v>
      </c>
      <c r="AD424" s="544">
        <f>+DATE(YEAR(AD423),MONTH(AD423)-1,DAY(AD423))</f>
        <v>25569.041666666668</v>
      </c>
      <c r="AE424" s="341">
        <f>IF($AM$7=$E424,1,IF(MONTH($E424)=1,AE425*(1+$F$5),AE425))</f>
      </c>
      <c r="AF424" s="334">
        <f>AE424*$B$8/12</f>
      </c>
      <c r="AG424" s="334">
        <f>AE424*$B$12/12</f>
      </c>
      <c r="AH424" s="565">
        <f>(1+$AI$5)^(AC424/12)*(AG424+IF(AD424=$AM$7,$AM$4,0))</f>
      </c>
      <c r="AI424" s="170"/>
      <c r="AJ424" s="7"/>
      <c r="AK424" s="1"/>
      <c r="AL424" s="1"/>
      <c r="AM424" s="1"/>
    </row>
    <row x14ac:dyDescent="0.25" r="425" customHeight="1" ht="18.75">
      <c r="A425" s="1"/>
      <c r="B425" s="169"/>
      <c r="C425" s="170"/>
      <c r="D425" s="331">
        <v>418</v>
      </c>
      <c r="E425" s="544">
        <f>+DATE(YEAR(E424),MONTH(E424)-1,DAY(E424))</f>
        <v>25569.041666666668</v>
      </c>
      <c r="F425" s="333">
        <f>IF($C$6=$E425,1,IF(MONTH($E425)=1,F426*(1+$F$5),F426))</f>
      </c>
      <c r="G425" s="333">
        <f>F425*$B$8/12</f>
      </c>
      <c r="H425" s="333">
        <f>IF(F425=1,F425*$B$10/MIN(12,'Simulador - 3º Pilar'!$E$88),0)</f>
      </c>
      <c r="I425" s="560">
        <f>(1+$G$5)^(D425/12)*(H425+IF(E425=$N$7,$N$4,0))</f>
      </c>
      <c r="J425" s="561">
        <f>(1+$G$5)^(D425/12)*(H425*(12-IF(MONTH(E426)=12,0,MONTH(E426)))+IF(AND(F425=1,F426=0),$Q$4,0))*IF(AND(F425=1,F426=0),1,0)</f>
      </c>
      <c r="K425" s="217">
        <f>(1+$G$5)^(D425/12)*(IF(E425=$N$7,$N$4,0)+IF(E425=$C$6,$B$10,0))</f>
      </c>
      <c r="L425" s="217">
        <f>(1+$G$5)^(D425/12)*(IF((E425)&gt;($B$6),H425,0)+IF(E425=$N$7,$N$4,0)+IF(E425=$C$6,0,0))</f>
      </c>
      <c r="M425" s="1"/>
      <c r="N425" s="7"/>
      <c r="O425" s="1"/>
      <c r="P425" s="331">
        <v>418</v>
      </c>
      <c r="Q425" s="544">
        <f>+DATE(YEAR(Q424),MONTH(Q424)-1,DAY(Q424))</f>
        <v>25569.041666666668</v>
      </c>
      <c r="R425" s="341">
        <f>IF($Z$7=$E425,1,IF(MONTH($E425)=1,R426*(1+$F$5),R426))</f>
      </c>
      <c r="S425" s="334">
        <f>R425*$B$8/12</f>
      </c>
      <c r="T425" s="334">
        <f>R425*$B$11/12</f>
      </c>
      <c r="U425" s="565">
        <f>(1+$V$5)^(P425/12)*(T425+IF(Q425=$Z$7,$Z$4,0))</f>
      </c>
      <c r="V425" s="170"/>
      <c r="W425" s="7"/>
      <c r="X425" s="1"/>
      <c r="Y425" s="1"/>
      <c r="Z425" s="1"/>
      <c r="AA425" s="1"/>
      <c r="AB425" s="1"/>
      <c r="AC425" s="331">
        <v>418</v>
      </c>
      <c r="AD425" s="544">
        <f>+DATE(YEAR(AD424),MONTH(AD424)-1,DAY(AD424))</f>
        <v>25569.041666666668</v>
      </c>
      <c r="AE425" s="341">
        <f>IF($AM$7=$E425,1,IF(MONTH($E425)=1,AE426*(1+$F$5),AE426))</f>
      </c>
      <c r="AF425" s="334">
        <f>AE425*$B$8/12</f>
      </c>
      <c r="AG425" s="334">
        <f>AE425*$B$12/12</f>
      </c>
      <c r="AH425" s="565">
        <f>(1+$AI$5)^(AC425/12)*(AG425+IF(AD425=$AM$7,$AM$4,0))</f>
      </c>
      <c r="AI425" s="170"/>
      <c r="AJ425" s="7"/>
      <c r="AK425" s="1"/>
      <c r="AL425" s="1"/>
      <c r="AM425" s="1"/>
    </row>
    <row x14ac:dyDescent="0.25" r="426" customHeight="1" ht="18.75">
      <c r="A426" s="1"/>
      <c r="B426" s="169"/>
      <c r="C426" s="170"/>
      <c r="D426" s="331">
        <v>419</v>
      </c>
      <c r="E426" s="544">
        <f>+DATE(YEAR(E425),MONTH(E425)-1,DAY(E425))</f>
        <v>25569.041666666668</v>
      </c>
      <c r="F426" s="333">
        <f>IF($C$6=$E426,1,IF(MONTH($E426)=1,F427*(1+$F$5),F427))</f>
      </c>
      <c r="G426" s="333">
        <f>F426*$B$8/12</f>
      </c>
      <c r="H426" s="333">
        <f>IF(F426=1,F426*$B$10/MIN(12,'Simulador - 3º Pilar'!$E$88),0)</f>
      </c>
      <c r="I426" s="560">
        <f>(1+$G$5)^(D426/12)*(H426+IF(E426=$N$7,$N$4,0))</f>
      </c>
      <c r="J426" s="561">
        <f>(1+$G$5)^(D426/12)*(H426*(12-IF(MONTH(E427)=12,0,MONTH(E427)))+IF(AND(F426=1,F427=0),$Q$4,0))*IF(AND(F426=1,F427=0),1,0)</f>
      </c>
      <c r="K426" s="217">
        <f>(1+$G$5)^(D426/12)*(IF(E426=$N$7,$N$4,0)+IF(E426=$C$6,$B$10,0))</f>
      </c>
      <c r="L426" s="217">
        <f>(1+$G$5)^(D426/12)*(IF((E426)&gt;($B$6),H426,0)+IF(E426=$N$7,$N$4,0)+IF(E426=$C$6,0,0))</f>
      </c>
      <c r="M426" s="1"/>
      <c r="N426" s="7"/>
      <c r="O426" s="1"/>
      <c r="P426" s="331">
        <v>419</v>
      </c>
      <c r="Q426" s="544">
        <f>+DATE(YEAR(Q425),MONTH(Q425)-1,DAY(Q425))</f>
        <v>25569.041666666668</v>
      </c>
      <c r="R426" s="341">
        <f>IF($Z$7=$E426,1,IF(MONTH($E426)=1,R427*(1+$F$5),R427))</f>
      </c>
      <c r="S426" s="334">
        <f>R426*$B$8/12</f>
      </c>
      <c r="T426" s="334">
        <f>R426*$B$11/12</f>
      </c>
      <c r="U426" s="565">
        <f>(1+$V$5)^(P426/12)*(T426+IF(Q426=$Z$7,$Z$4,0))</f>
      </c>
      <c r="V426" s="170"/>
      <c r="W426" s="7"/>
      <c r="X426" s="1"/>
      <c r="Y426" s="1"/>
      <c r="Z426" s="1"/>
      <c r="AA426" s="1"/>
      <c r="AB426" s="1"/>
      <c r="AC426" s="331">
        <v>419</v>
      </c>
      <c r="AD426" s="544">
        <f>+DATE(YEAR(AD425),MONTH(AD425)-1,DAY(AD425))</f>
        <v>25569.041666666668</v>
      </c>
      <c r="AE426" s="341">
        <f>IF($AM$7=$E426,1,IF(MONTH($E426)=1,AE427*(1+$F$5),AE427))</f>
      </c>
      <c r="AF426" s="334">
        <f>AE426*$B$8/12</f>
      </c>
      <c r="AG426" s="334">
        <f>AE426*$B$12/12</f>
      </c>
      <c r="AH426" s="565">
        <f>(1+$AI$5)^(AC426/12)*(AG426+IF(AD426=$AM$7,$AM$4,0))</f>
      </c>
      <c r="AI426" s="170"/>
      <c r="AJ426" s="7"/>
      <c r="AK426" s="1"/>
      <c r="AL426" s="1"/>
      <c r="AM426" s="1"/>
    </row>
    <row x14ac:dyDescent="0.25" r="427" customHeight="1" ht="18.75">
      <c r="A427" s="1"/>
      <c r="B427" s="169"/>
      <c r="C427" s="170"/>
      <c r="D427" s="331">
        <v>420</v>
      </c>
      <c r="E427" s="544">
        <f>+DATE(YEAR(E426),MONTH(E426)-1,DAY(E426))</f>
        <v>25569.041666666668</v>
      </c>
      <c r="F427" s="333">
        <f>IF($C$6=$E427,1,IF(MONTH($E427)=1,F428*(1+$F$5),F428))</f>
      </c>
      <c r="G427" s="333">
        <f>F427*$B$8/12</f>
      </c>
      <c r="H427" s="333">
        <f>IF(F427=1,F427*$B$10/MIN(12,'Simulador - 3º Pilar'!$E$88),0)</f>
      </c>
      <c r="I427" s="560">
        <f>(1+$G$5)^(D427/12)*(H427+IF(E427=$N$7,$N$4,0))</f>
      </c>
      <c r="J427" s="561">
        <f>(1+$G$5)^(D427/12)*(H427*(12-IF(MONTH(E428)=12,0,MONTH(E428)))+IF(AND(F427=1,F428=0),$Q$4,0))*IF(AND(F427=1,F428=0),1,0)</f>
      </c>
      <c r="K427" s="217">
        <f>(1+$G$5)^(D427/12)*(IF(E427=$N$7,$N$4,0)+IF(E427=$C$6,$B$10,0))</f>
      </c>
      <c r="L427" s="217">
        <f>(1+$G$5)^(D427/12)*(IF((E427)&gt;($B$6),H427,0)+IF(E427=$N$7,$N$4,0)+IF(E427=$C$6,0,0))</f>
      </c>
      <c r="M427" s="1"/>
      <c r="N427" s="7"/>
      <c r="O427" s="1"/>
      <c r="P427" s="331">
        <v>420</v>
      </c>
      <c r="Q427" s="544">
        <f>+DATE(YEAR(Q426),MONTH(Q426)-1,DAY(Q426))</f>
        <v>25569.041666666668</v>
      </c>
      <c r="R427" s="341">
        <f>IF($Z$7=$E427,1,IF(MONTH($E427)=1,R428*(1+$F$5),R428))</f>
      </c>
      <c r="S427" s="334">
        <f>R427*$B$8/12</f>
      </c>
      <c r="T427" s="334">
        <f>R427*$B$11/12</f>
      </c>
      <c r="U427" s="565">
        <f>(1+$V$5)^(P427/12)*(T427+IF(Q427=$Z$7,$Z$4,0))</f>
      </c>
      <c r="V427" s="170"/>
      <c r="W427" s="7"/>
      <c r="X427" s="1"/>
      <c r="Y427" s="1"/>
      <c r="Z427" s="1"/>
      <c r="AA427" s="1"/>
      <c r="AB427" s="1"/>
      <c r="AC427" s="331">
        <v>420</v>
      </c>
      <c r="AD427" s="544">
        <f>+DATE(YEAR(AD426),MONTH(AD426)-1,DAY(AD426))</f>
        <v>25569.041666666668</v>
      </c>
      <c r="AE427" s="341">
        <f>IF($AM$7=$E427,1,IF(MONTH($E427)=1,AE428*(1+$F$5),AE428))</f>
      </c>
      <c r="AF427" s="334">
        <f>AE427*$B$8/12</f>
      </c>
      <c r="AG427" s="334">
        <f>AE427*$B$12/12</f>
      </c>
      <c r="AH427" s="565">
        <f>(1+$AI$5)^(AC427/12)*(AG427+IF(AD427=$AM$7,$AM$4,0))</f>
      </c>
      <c r="AI427" s="170"/>
      <c r="AJ427" s="7"/>
      <c r="AK427" s="1"/>
      <c r="AL427" s="1"/>
      <c r="AM427" s="1"/>
    </row>
    <row x14ac:dyDescent="0.25" r="428" customHeight="1" ht="18.75">
      <c r="A428" s="1"/>
      <c r="B428" s="169"/>
      <c r="C428" s="170"/>
      <c r="D428" s="331">
        <v>421</v>
      </c>
      <c r="E428" s="544">
        <f>+DATE(YEAR(E427),MONTH(E427)-1,DAY(E427))</f>
        <v>25569.041666666668</v>
      </c>
      <c r="F428" s="333">
        <f>IF($C$6=$E428,1,IF(MONTH($E428)=1,F429*(1+$F$5),F429))</f>
      </c>
      <c r="G428" s="333">
        <f>F428*$B$8/12</f>
      </c>
      <c r="H428" s="333">
        <f>IF(F428=1,F428*$B$10/MIN(12,'Simulador - 3º Pilar'!$E$88),0)</f>
      </c>
      <c r="I428" s="560">
        <f>(1+$G$5)^(D428/12)*(H428+IF(E428=$N$7,$N$4,0))</f>
      </c>
      <c r="J428" s="561">
        <f>(1+$G$5)^(D428/12)*(H428*(12-IF(MONTH(E429)=12,0,MONTH(E429)))+IF(AND(F428=1,F429=0),$Q$4,0))*IF(AND(F428=1,F429=0),1,0)</f>
      </c>
      <c r="K428" s="217">
        <f>(1+$G$5)^(D428/12)*(IF(E428=$N$7,$N$4,0)+IF(E428=$C$6,$B$10,0))</f>
      </c>
      <c r="L428" s="217">
        <f>(1+$G$5)^(D428/12)*(IF((E428)&gt;($B$6),H428,0)+IF(E428=$N$7,$N$4,0)+IF(E428=$C$6,0,0))</f>
      </c>
      <c r="M428" s="1"/>
      <c r="N428" s="7"/>
      <c r="O428" s="1"/>
      <c r="P428" s="331">
        <v>421</v>
      </c>
      <c r="Q428" s="544">
        <f>+DATE(YEAR(Q427),MONTH(Q427)-1,DAY(Q427))</f>
        <v>25569.041666666668</v>
      </c>
      <c r="R428" s="341">
        <f>IF($Z$7=$E428,1,IF(MONTH($E428)=1,R429*(1+$F$5),R429))</f>
      </c>
      <c r="S428" s="334">
        <f>R428*$B$8/12</f>
      </c>
      <c r="T428" s="334">
        <f>R428*$B$11/12</f>
      </c>
      <c r="U428" s="565">
        <f>(1+$V$5)^(P428/12)*(T428+IF(Q428=$Z$7,$Z$4,0))</f>
      </c>
      <c r="V428" s="170"/>
      <c r="W428" s="7"/>
      <c r="X428" s="1"/>
      <c r="Y428" s="1"/>
      <c r="Z428" s="1"/>
      <c r="AA428" s="1"/>
      <c r="AB428" s="1"/>
      <c r="AC428" s="331">
        <v>421</v>
      </c>
      <c r="AD428" s="544">
        <f>+DATE(YEAR(AD427),MONTH(AD427)-1,DAY(AD427))</f>
        <v>25569.041666666668</v>
      </c>
      <c r="AE428" s="341">
        <f>IF($AM$7=$E428,1,IF(MONTH($E428)=1,AE429*(1+$F$5),AE429))</f>
      </c>
      <c r="AF428" s="334">
        <f>AE428*$B$8/12</f>
      </c>
      <c r="AG428" s="334">
        <f>AE428*$B$12/12</f>
      </c>
      <c r="AH428" s="565">
        <f>(1+$AI$5)^(AC428/12)*(AG428+IF(AD428=$AM$7,$AM$4,0))</f>
      </c>
      <c r="AI428" s="170"/>
      <c r="AJ428" s="7"/>
      <c r="AK428" s="1"/>
      <c r="AL428" s="1"/>
      <c r="AM428" s="1"/>
    </row>
    <row x14ac:dyDescent="0.25" r="429" customHeight="1" ht="18.75">
      <c r="A429" s="1"/>
      <c r="B429" s="169"/>
      <c r="C429" s="170"/>
      <c r="D429" s="331">
        <v>422</v>
      </c>
      <c r="E429" s="544">
        <f>+DATE(YEAR(E428),MONTH(E428)-1,DAY(E428))</f>
        <v>25569.041666666668</v>
      </c>
      <c r="F429" s="333">
        <f>IF($C$6=$E429,1,IF(MONTH($E429)=1,F430*(1+$F$5),F430))</f>
      </c>
      <c r="G429" s="333">
        <f>F429*$B$8/12</f>
      </c>
      <c r="H429" s="333">
        <f>IF(F429=1,F429*$B$10/MIN(12,'Simulador - 3º Pilar'!$E$88),0)</f>
      </c>
      <c r="I429" s="560">
        <f>(1+$G$5)^(D429/12)*(H429+IF(E429=$N$7,$N$4,0))</f>
      </c>
      <c r="J429" s="561">
        <f>(1+$G$5)^(D429/12)*(H429*(12-IF(MONTH(E430)=12,0,MONTH(E430)))+IF(AND(F429=1,F430=0),$Q$4,0))*IF(AND(F429=1,F430=0),1,0)</f>
      </c>
      <c r="K429" s="217">
        <f>(1+$G$5)^(D429/12)*(IF(E429=$N$7,$N$4,0)+IF(E429=$C$6,$B$10,0))</f>
      </c>
      <c r="L429" s="217">
        <f>(1+$G$5)^(D429/12)*(IF((E429)&gt;($B$6),H429,0)+IF(E429=$N$7,$N$4,0)+IF(E429=$C$6,0,0))</f>
      </c>
      <c r="M429" s="1"/>
      <c r="N429" s="7"/>
      <c r="O429" s="1"/>
      <c r="P429" s="331">
        <v>422</v>
      </c>
      <c r="Q429" s="544">
        <f>+DATE(YEAR(Q428),MONTH(Q428)-1,DAY(Q428))</f>
        <v>25569.041666666668</v>
      </c>
      <c r="R429" s="341">
        <f>IF($Z$7=$E429,1,IF(MONTH($E429)=1,R430*(1+$F$5),R430))</f>
      </c>
      <c r="S429" s="334">
        <f>R429*$B$8/12</f>
      </c>
      <c r="T429" s="334">
        <f>R429*$B$11/12</f>
      </c>
      <c r="U429" s="565">
        <f>(1+$V$5)^(P429/12)*(T429+IF(Q429=$Z$7,$Z$4,0))</f>
      </c>
      <c r="V429" s="170"/>
      <c r="W429" s="7"/>
      <c r="X429" s="1"/>
      <c r="Y429" s="1"/>
      <c r="Z429" s="1"/>
      <c r="AA429" s="1"/>
      <c r="AB429" s="1"/>
      <c r="AC429" s="331">
        <v>422</v>
      </c>
      <c r="AD429" s="544">
        <f>+DATE(YEAR(AD428),MONTH(AD428)-1,DAY(AD428))</f>
        <v>25569.041666666668</v>
      </c>
      <c r="AE429" s="341">
        <f>IF($AM$7=$E429,1,IF(MONTH($E429)=1,AE430*(1+$F$5),AE430))</f>
      </c>
      <c r="AF429" s="334">
        <f>AE429*$B$8/12</f>
      </c>
      <c r="AG429" s="334">
        <f>AE429*$B$12/12</f>
      </c>
      <c r="AH429" s="565">
        <f>(1+$AI$5)^(AC429/12)*(AG429+IF(AD429=$AM$7,$AM$4,0))</f>
      </c>
      <c r="AI429" s="170"/>
      <c r="AJ429" s="7"/>
      <c r="AK429" s="1"/>
      <c r="AL429" s="1"/>
      <c r="AM429" s="1"/>
    </row>
    <row x14ac:dyDescent="0.25" r="430" customHeight="1" ht="18.75">
      <c r="A430" s="1"/>
      <c r="B430" s="169"/>
      <c r="C430" s="170"/>
      <c r="D430" s="331">
        <v>423</v>
      </c>
      <c r="E430" s="544">
        <f>+DATE(YEAR(E429),MONTH(E429)-1,DAY(E429))</f>
        <v>25569.041666666668</v>
      </c>
      <c r="F430" s="333">
        <f>IF($C$6=$E430,1,IF(MONTH($E430)=1,F431*(1+$F$5),F431))</f>
      </c>
      <c r="G430" s="333">
        <f>F430*$B$8/12</f>
      </c>
      <c r="H430" s="333">
        <f>IF(F430=1,F430*$B$10/MIN(12,'Simulador - 3º Pilar'!$E$88),0)</f>
      </c>
      <c r="I430" s="560">
        <f>(1+$G$5)^(D430/12)*(H430+IF(E430=$N$7,$N$4,0))</f>
      </c>
      <c r="J430" s="561">
        <f>(1+$G$5)^(D430/12)*(H430*(12-IF(MONTH(E431)=12,0,MONTH(E431)))+IF(AND(F430=1,F431=0),$Q$4,0))*IF(AND(F430=1,F431=0),1,0)</f>
      </c>
      <c r="K430" s="217">
        <f>(1+$G$5)^(D430/12)*(IF(E430=$N$7,$N$4,0)+IF(E430=$C$6,$B$10,0))</f>
      </c>
      <c r="L430" s="217">
        <f>(1+$G$5)^(D430/12)*(IF((E430)&gt;($B$6),H430,0)+IF(E430=$N$7,$N$4,0)+IF(E430=$C$6,0,0))</f>
      </c>
      <c r="M430" s="1"/>
      <c r="N430" s="7"/>
      <c r="O430" s="1"/>
      <c r="P430" s="331">
        <v>423</v>
      </c>
      <c r="Q430" s="544">
        <f>+DATE(YEAR(Q429),MONTH(Q429)-1,DAY(Q429))</f>
        <v>25569.041666666668</v>
      </c>
      <c r="R430" s="341">
        <f>IF($Z$7=$E430,1,IF(MONTH($E430)=1,R431*(1+$F$5),R431))</f>
      </c>
      <c r="S430" s="334">
        <f>R430*$B$8/12</f>
      </c>
      <c r="T430" s="334">
        <f>R430*$B$11/12</f>
      </c>
      <c r="U430" s="565">
        <f>(1+$V$5)^(P430/12)*(T430+IF(Q430=$Z$7,$Z$4,0))</f>
      </c>
      <c r="V430" s="170"/>
      <c r="W430" s="7"/>
      <c r="X430" s="1"/>
      <c r="Y430" s="1"/>
      <c r="Z430" s="1"/>
      <c r="AA430" s="1"/>
      <c r="AB430" s="1"/>
      <c r="AC430" s="331">
        <v>423</v>
      </c>
      <c r="AD430" s="544">
        <f>+DATE(YEAR(AD429),MONTH(AD429)-1,DAY(AD429))</f>
        <v>25569.041666666668</v>
      </c>
      <c r="AE430" s="341">
        <f>IF($AM$7=$E430,1,IF(MONTH($E430)=1,AE431*(1+$F$5),AE431))</f>
      </c>
      <c r="AF430" s="334">
        <f>AE430*$B$8/12</f>
      </c>
      <c r="AG430" s="334">
        <f>AE430*$B$12/12</f>
      </c>
      <c r="AH430" s="565">
        <f>(1+$AI$5)^(AC430/12)*(AG430+IF(AD430=$AM$7,$AM$4,0))</f>
      </c>
      <c r="AI430" s="170"/>
      <c r="AJ430" s="7"/>
      <c r="AK430" s="1"/>
      <c r="AL430" s="1"/>
      <c r="AM430" s="1"/>
    </row>
    <row x14ac:dyDescent="0.25" r="431" customHeight="1" ht="18.75">
      <c r="A431" s="1"/>
      <c r="B431" s="169"/>
      <c r="C431" s="170"/>
      <c r="D431" s="331">
        <v>424</v>
      </c>
      <c r="E431" s="544">
        <f>+DATE(YEAR(E430),MONTH(E430)-1,DAY(E430))</f>
        <v>25569.041666666668</v>
      </c>
      <c r="F431" s="333">
        <f>IF($C$6=$E431,1,IF(MONTH($E431)=1,F432*(1+$F$5),F432))</f>
      </c>
      <c r="G431" s="333">
        <f>F431*$B$8/12</f>
      </c>
      <c r="H431" s="333">
        <f>IF(F431=1,F431*$B$10/MIN(12,'Simulador - 3º Pilar'!$E$88),0)</f>
      </c>
      <c r="I431" s="560">
        <f>(1+$G$5)^(D431/12)*(H431+IF(E431=$N$7,$N$4,0))</f>
      </c>
      <c r="J431" s="561">
        <f>(1+$G$5)^(D431/12)*(H431*(12-IF(MONTH(E432)=12,0,MONTH(E432)))+IF(AND(F431=1,F432=0),$Q$4,0))*IF(AND(F431=1,F432=0),1,0)</f>
      </c>
      <c r="K431" s="217">
        <f>(1+$G$5)^(D431/12)*(IF(E431=$N$7,$N$4,0)+IF(E431=$C$6,$B$10,0))</f>
      </c>
      <c r="L431" s="217">
        <f>(1+$G$5)^(D431/12)*(IF((E431)&gt;($B$6),H431,0)+IF(E431=$N$7,$N$4,0)+IF(E431=$C$6,0,0))</f>
      </c>
      <c r="M431" s="1"/>
      <c r="N431" s="7"/>
      <c r="O431" s="1"/>
      <c r="P431" s="331">
        <v>424</v>
      </c>
      <c r="Q431" s="544">
        <f>+DATE(YEAR(Q430),MONTH(Q430)-1,DAY(Q430))</f>
        <v>25569.041666666668</v>
      </c>
      <c r="R431" s="341">
        <f>IF($Z$7=$E431,1,IF(MONTH($E431)=1,R432*(1+$F$5),R432))</f>
      </c>
      <c r="S431" s="334">
        <f>R431*$B$8/12</f>
      </c>
      <c r="T431" s="334">
        <f>R431*$B$11/12</f>
      </c>
      <c r="U431" s="565">
        <f>(1+$V$5)^(P431/12)*(T431+IF(Q431=$Z$7,$Z$4,0))</f>
      </c>
      <c r="V431" s="170"/>
      <c r="W431" s="7"/>
      <c r="X431" s="1"/>
      <c r="Y431" s="1"/>
      <c r="Z431" s="1"/>
      <c r="AA431" s="1"/>
      <c r="AB431" s="1"/>
      <c r="AC431" s="331">
        <v>424</v>
      </c>
      <c r="AD431" s="544">
        <f>+DATE(YEAR(AD430),MONTH(AD430)-1,DAY(AD430))</f>
        <v>25569.041666666668</v>
      </c>
      <c r="AE431" s="341">
        <f>IF($AM$7=$E431,1,IF(MONTH($E431)=1,AE432*(1+$F$5),AE432))</f>
      </c>
      <c r="AF431" s="334">
        <f>AE431*$B$8/12</f>
      </c>
      <c r="AG431" s="334">
        <f>AE431*$B$12/12</f>
      </c>
      <c r="AH431" s="565">
        <f>(1+$AI$5)^(AC431/12)*(AG431+IF(AD431=$AM$7,$AM$4,0))</f>
      </c>
      <c r="AI431" s="170"/>
      <c r="AJ431" s="7"/>
      <c r="AK431" s="1"/>
      <c r="AL431" s="1"/>
      <c r="AM431" s="1"/>
    </row>
    <row x14ac:dyDescent="0.25" r="432" customHeight="1" ht="18.75">
      <c r="A432" s="1"/>
      <c r="B432" s="169"/>
      <c r="C432" s="170"/>
      <c r="D432" s="331">
        <v>425</v>
      </c>
      <c r="E432" s="544">
        <f>+DATE(YEAR(E431),MONTH(E431)-1,DAY(E431))</f>
        <v>25569.041666666668</v>
      </c>
      <c r="F432" s="333">
        <f>IF($C$6=$E432,1,IF(MONTH($E432)=1,F433*(1+$F$5),F433))</f>
      </c>
      <c r="G432" s="333">
        <f>F432*$B$8/12</f>
      </c>
      <c r="H432" s="333">
        <f>IF(F432=1,F432*$B$10/MIN(12,'Simulador - 3º Pilar'!$E$88),0)</f>
      </c>
      <c r="I432" s="560">
        <f>(1+$G$5)^(D432/12)*(H432+IF(E432=$N$7,$N$4,0))</f>
      </c>
      <c r="J432" s="561">
        <f>(1+$G$5)^(D432/12)*(H432*(12-IF(MONTH(E433)=12,0,MONTH(E433)))+IF(AND(F432=1,F433=0),$Q$4,0))*IF(AND(F432=1,F433=0),1,0)</f>
      </c>
      <c r="K432" s="217">
        <f>(1+$G$5)^(D432/12)*(IF(E432=$N$7,$N$4,0)+IF(E432=$C$6,$B$10,0))</f>
      </c>
      <c r="L432" s="217">
        <f>(1+$G$5)^(D432/12)*(IF((E432)&gt;($B$6),H432,0)+IF(E432=$N$7,$N$4,0)+IF(E432=$C$6,0,0))</f>
      </c>
      <c r="M432" s="1"/>
      <c r="N432" s="7"/>
      <c r="O432" s="1"/>
      <c r="P432" s="331">
        <v>425</v>
      </c>
      <c r="Q432" s="544">
        <f>+DATE(YEAR(Q431),MONTH(Q431)-1,DAY(Q431))</f>
        <v>25569.041666666668</v>
      </c>
      <c r="R432" s="341">
        <f>IF($Z$7=$E432,1,IF(MONTH($E432)=1,R433*(1+$F$5),R433))</f>
      </c>
      <c r="S432" s="334">
        <f>R432*$B$8/12</f>
      </c>
      <c r="T432" s="334">
        <f>R432*$B$11/12</f>
      </c>
      <c r="U432" s="565">
        <f>(1+$V$5)^(P432/12)*(T432+IF(Q432=$Z$7,$Z$4,0))</f>
      </c>
      <c r="V432" s="170"/>
      <c r="W432" s="7"/>
      <c r="X432" s="1"/>
      <c r="Y432" s="1"/>
      <c r="Z432" s="1"/>
      <c r="AA432" s="1"/>
      <c r="AB432" s="1"/>
      <c r="AC432" s="331">
        <v>425</v>
      </c>
      <c r="AD432" s="544">
        <f>+DATE(YEAR(AD431),MONTH(AD431)-1,DAY(AD431))</f>
        <v>25569.041666666668</v>
      </c>
      <c r="AE432" s="341">
        <f>IF($AM$7=$E432,1,IF(MONTH($E432)=1,AE433*(1+$F$5),AE433))</f>
      </c>
      <c r="AF432" s="334">
        <f>AE432*$B$8/12</f>
      </c>
      <c r="AG432" s="334">
        <f>AE432*$B$12/12</f>
      </c>
      <c r="AH432" s="565">
        <f>(1+$AI$5)^(AC432/12)*(AG432+IF(AD432=$AM$7,$AM$4,0))</f>
      </c>
      <c r="AI432" s="170"/>
      <c r="AJ432" s="7"/>
      <c r="AK432" s="1"/>
      <c r="AL432" s="1"/>
      <c r="AM432" s="1"/>
    </row>
    <row x14ac:dyDescent="0.25" r="433" customHeight="1" ht="18.75">
      <c r="A433" s="1"/>
      <c r="B433" s="169"/>
      <c r="C433" s="170"/>
      <c r="D433" s="331">
        <v>426</v>
      </c>
      <c r="E433" s="544">
        <f>+DATE(YEAR(E432),MONTH(E432)-1,DAY(E432))</f>
        <v>25569.041666666668</v>
      </c>
      <c r="F433" s="333">
        <f>IF($C$6=$E433,1,IF(MONTH($E433)=1,F434*(1+$F$5),F434))</f>
      </c>
      <c r="G433" s="333">
        <f>F433*$B$8/12</f>
      </c>
      <c r="H433" s="333">
        <f>IF(F433=1,F433*$B$10/MIN(12,'Simulador - 3º Pilar'!$E$88),0)</f>
      </c>
      <c r="I433" s="560">
        <f>(1+$G$5)^(D433/12)*(H433+IF(E433=$N$7,$N$4,0))</f>
      </c>
      <c r="J433" s="561">
        <f>(1+$G$5)^(D433/12)*(H433*(12-IF(MONTH(E434)=12,0,MONTH(E434)))+IF(AND(F433=1,F434=0),$Q$4,0))*IF(AND(F433=1,F434=0),1,0)</f>
      </c>
      <c r="K433" s="217">
        <f>(1+$G$5)^(D433/12)*(IF(E433=$N$7,$N$4,0)+IF(E433=$C$6,$B$10,0))</f>
      </c>
      <c r="L433" s="217">
        <f>(1+$G$5)^(D433/12)*(IF((E433)&gt;($B$6),H433,0)+IF(E433=$N$7,$N$4,0)+IF(E433=$C$6,0,0))</f>
      </c>
      <c r="M433" s="1"/>
      <c r="N433" s="7"/>
      <c r="O433" s="1"/>
      <c r="P433" s="331">
        <v>426</v>
      </c>
      <c r="Q433" s="544">
        <f>+DATE(YEAR(Q432),MONTH(Q432)-1,DAY(Q432))</f>
        <v>25569.041666666668</v>
      </c>
      <c r="R433" s="341">
        <f>IF($Z$7=$E433,1,IF(MONTH($E433)=1,R434*(1+$F$5),R434))</f>
      </c>
      <c r="S433" s="334">
        <f>R433*$B$8/12</f>
      </c>
      <c r="T433" s="334">
        <f>R433*$B$11/12</f>
      </c>
      <c r="U433" s="565">
        <f>(1+$V$5)^(P433/12)*(T433+IF(Q433=$Z$7,$Z$4,0))</f>
      </c>
      <c r="V433" s="170"/>
      <c r="W433" s="7"/>
      <c r="X433" s="1"/>
      <c r="Y433" s="1"/>
      <c r="Z433" s="1"/>
      <c r="AA433" s="1"/>
      <c r="AB433" s="1"/>
      <c r="AC433" s="331">
        <v>426</v>
      </c>
      <c r="AD433" s="544">
        <f>+DATE(YEAR(AD432),MONTH(AD432)-1,DAY(AD432))</f>
        <v>25569.041666666668</v>
      </c>
      <c r="AE433" s="341">
        <f>IF($AM$7=$E433,1,IF(MONTH($E433)=1,AE434*(1+$F$5),AE434))</f>
      </c>
      <c r="AF433" s="334">
        <f>AE433*$B$8/12</f>
      </c>
      <c r="AG433" s="334">
        <f>AE433*$B$12/12</f>
      </c>
      <c r="AH433" s="565">
        <f>(1+$AI$5)^(AC433/12)*(AG433+IF(AD433=$AM$7,$AM$4,0))</f>
      </c>
      <c r="AI433" s="170"/>
      <c r="AJ433" s="7"/>
      <c r="AK433" s="1"/>
      <c r="AL433" s="1"/>
      <c r="AM433" s="1"/>
    </row>
    <row x14ac:dyDescent="0.25" r="434" customHeight="1" ht="18.75">
      <c r="A434" s="1"/>
      <c r="B434" s="169"/>
      <c r="C434" s="170"/>
      <c r="D434" s="331">
        <v>427</v>
      </c>
      <c r="E434" s="544">
        <f>+DATE(YEAR(E433),MONTH(E433)-1,DAY(E433))</f>
        <v>25569.041666666668</v>
      </c>
      <c r="F434" s="333">
        <f>IF($C$6=$E434,1,IF(MONTH($E434)=1,F435*(1+$F$5),F435))</f>
      </c>
      <c r="G434" s="333">
        <f>F434*$B$8/12</f>
      </c>
      <c r="H434" s="333">
        <f>IF(F434=1,F434*$B$10/MIN(12,'Simulador - 3º Pilar'!$E$88),0)</f>
      </c>
      <c r="I434" s="560">
        <f>(1+$G$5)^(D434/12)*(H434+IF(E434=$N$7,$N$4,0))</f>
      </c>
      <c r="J434" s="561">
        <f>(1+$G$5)^(D434/12)*(H434*(12-IF(MONTH(E435)=12,0,MONTH(E435)))+IF(AND(F434=1,F435=0),$Q$4,0))*IF(AND(F434=1,F435=0),1,0)</f>
      </c>
      <c r="K434" s="217">
        <f>(1+$G$5)^(D434/12)*(IF(E434=$N$7,$N$4,0)+IF(E434=$C$6,$B$10,0))</f>
      </c>
      <c r="L434" s="217">
        <f>(1+$G$5)^(D434/12)*(IF((E434)&gt;($B$6),H434,0)+IF(E434=$N$7,$N$4,0)+IF(E434=$C$6,0,0))</f>
      </c>
      <c r="M434" s="1"/>
      <c r="N434" s="7"/>
      <c r="O434" s="1"/>
      <c r="P434" s="331">
        <v>427</v>
      </c>
      <c r="Q434" s="544">
        <f>+DATE(YEAR(Q433),MONTH(Q433)-1,DAY(Q433))</f>
        <v>25569.041666666668</v>
      </c>
      <c r="R434" s="341">
        <f>IF($Z$7=$E434,1,IF(MONTH($E434)=1,R435*(1+$F$5),R435))</f>
      </c>
      <c r="S434" s="334">
        <f>R434*$B$8/12</f>
      </c>
      <c r="T434" s="334">
        <f>R434*$B$11/12</f>
      </c>
      <c r="U434" s="565">
        <f>(1+$V$5)^(P434/12)*(T434+IF(Q434=$Z$7,$Z$4,0))</f>
      </c>
      <c r="V434" s="170"/>
      <c r="W434" s="7"/>
      <c r="X434" s="1"/>
      <c r="Y434" s="1"/>
      <c r="Z434" s="1"/>
      <c r="AA434" s="1"/>
      <c r="AB434" s="1"/>
      <c r="AC434" s="331">
        <v>427</v>
      </c>
      <c r="AD434" s="544">
        <f>+DATE(YEAR(AD433),MONTH(AD433)-1,DAY(AD433))</f>
        <v>25569.041666666668</v>
      </c>
      <c r="AE434" s="341">
        <f>IF($AM$7=$E434,1,IF(MONTH($E434)=1,AE435*(1+$F$5),AE435))</f>
      </c>
      <c r="AF434" s="334">
        <f>AE434*$B$8/12</f>
      </c>
      <c r="AG434" s="334">
        <f>AE434*$B$12/12</f>
      </c>
      <c r="AH434" s="565">
        <f>(1+$AI$5)^(AC434/12)*(AG434+IF(AD434=$AM$7,$AM$4,0))</f>
      </c>
      <c r="AI434" s="170"/>
      <c r="AJ434" s="7"/>
      <c r="AK434" s="1"/>
      <c r="AL434" s="1"/>
      <c r="AM434" s="1"/>
    </row>
    <row x14ac:dyDescent="0.25" r="435" customHeight="1" ht="18.75">
      <c r="A435" s="1"/>
      <c r="B435" s="169"/>
      <c r="C435" s="170"/>
      <c r="D435" s="331">
        <v>428</v>
      </c>
      <c r="E435" s="544">
        <f>+DATE(YEAR(E434),MONTH(E434)-1,DAY(E434))</f>
        <v>25569.041666666668</v>
      </c>
      <c r="F435" s="333">
        <f>IF($C$6=$E435,1,IF(MONTH($E435)=1,F436*(1+$F$5),F436))</f>
      </c>
      <c r="G435" s="333">
        <f>F435*$B$8/12</f>
      </c>
      <c r="H435" s="333">
        <f>IF(F435=1,F435*$B$10/MIN(12,'Simulador - 3º Pilar'!$E$88),0)</f>
      </c>
      <c r="I435" s="560">
        <f>(1+$G$5)^(D435/12)*(H435+IF(E435=$N$7,$N$4,0))</f>
      </c>
      <c r="J435" s="561">
        <f>(1+$G$5)^(D435/12)*(H435*(12-IF(MONTH(E436)=12,0,MONTH(E436)))+IF(AND(F435=1,F436=0),$Q$4,0))*IF(AND(F435=1,F436=0),1,0)</f>
      </c>
      <c r="K435" s="217">
        <f>(1+$G$5)^(D435/12)*(IF(E435=$N$7,$N$4,0)+IF(E435=$C$6,$B$10,0))</f>
      </c>
      <c r="L435" s="217">
        <f>(1+$G$5)^(D435/12)*(IF((E435)&gt;($B$6),H435,0)+IF(E435=$N$7,$N$4,0)+IF(E435=$C$6,0,0))</f>
      </c>
      <c r="M435" s="1"/>
      <c r="N435" s="7"/>
      <c r="O435" s="1"/>
      <c r="P435" s="331">
        <v>428</v>
      </c>
      <c r="Q435" s="544">
        <f>+DATE(YEAR(Q434),MONTH(Q434)-1,DAY(Q434))</f>
        <v>25569.041666666668</v>
      </c>
      <c r="R435" s="341">
        <f>IF($Z$7=$E435,1,IF(MONTH($E435)=1,R436*(1+$F$5),R436))</f>
      </c>
      <c r="S435" s="334">
        <f>R435*$B$8/12</f>
      </c>
      <c r="T435" s="334">
        <f>R435*$B$11/12</f>
      </c>
      <c r="U435" s="565">
        <f>(1+$V$5)^(P435/12)*(T435+IF(Q435=$Z$7,$Z$4,0))</f>
      </c>
      <c r="V435" s="170"/>
      <c r="W435" s="7"/>
      <c r="X435" s="1"/>
      <c r="Y435" s="1"/>
      <c r="Z435" s="1"/>
      <c r="AA435" s="1"/>
      <c r="AB435" s="1"/>
      <c r="AC435" s="331">
        <v>428</v>
      </c>
      <c r="AD435" s="544">
        <f>+DATE(YEAR(AD434),MONTH(AD434)-1,DAY(AD434))</f>
        <v>25569.041666666668</v>
      </c>
      <c r="AE435" s="341">
        <f>IF($AM$7=$E435,1,IF(MONTH($E435)=1,AE436*(1+$F$5),AE436))</f>
      </c>
      <c r="AF435" s="334">
        <f>AE435*$B$8/12</f>
      </c>
      <c r="AG435" s="334">
        <f>AE435*$B$12/12</f>
      </c>
      <c r="AH435" s="565">
        <f>(1+$AI$5)^(AC435/12)*(AG435+IF(AD435=$AM$7,$AM$4,0))</f>
      </c>
      <c r="AI435" s="170"/>
      <c r="AJ435" s="7"/>
      <c r="AK435" s="1"/>
      <c r="AL435" s="1"/>
      <c r="AM435" s="1"/>
    </row>
    <row x14ac:dyDescent="0.25" r="436" customHeight="1" ht="18.75">
      <c r="A436" s="1"/>
      <c r="B436" s="169"/>
      <c r="C436" s="170"/>
      <c r="D436" s="331">
        <v>429</v>
      </c>
      <c r="E436" s="544">
        <f>+DATE(YEAR(E435),MONTH(E435)-1,DAY(E435))</f>
        <v>25569.041666666668</v>
      </c>
      <c r="F436" s="333">
        <f>IF($C$6=$E436,1,IF(MONTH($E436)=1,F437*(1+$F$5),F437))</f>
      </c>
      <c r="G436" s="333">
        <f>F436*$B$8/12</f>
      </c>
      <c r="H436" s="333">
        <f>IF(F436=1,F436*$B$10/MIN(12,'Simulador - 3º Pilar'!$E$88),0)</f>
      </c>
      <c r="I436" s="560">
        <f>(1+$G$5)^(D436/12)*(H436+IF(E436=$N$7,$N$4,0))</f>
      </c>
      <c r="J436" s="561">
        <f>(1+$G$5)^(D436/12)*(H436*(12-IF(MONTH(E437)=12,0,MONTH(E437)))+IF(AND(F436=1,F437=0),$Q$4,0))*IF(AND(F436=1,F437=0),1,0)</f>
      </c>
      <c r="K436" s="217">
        <f>(1+$G$5)^(D436/12)*(IF(E436=$N$7,$N$4,0)+IF(E436=$C$6,$B$10,0))</f>
      </c>
      <c r="L436" s="217">
        <f>(1+$G$5)^(D436/12)*(IF((E436)&gt;($B$6),H436,0)+IF(E436=$N$7,$N$4,0)+IF(E436=$C$6,0,0))</f>
      </c>
      <c r="M436" s="1"/>
      <c r="N436" s="7"/>
      <c r="O436" s="1"/>
      <c r="P436" s="331">
        <v>429</v>
      </c>
      <c r="Q436" s="544">
        <f>+DATE(YEAR(Q435),MONTH(Q435)-1,DAY(Q435))</f>
        <v>25569.041666666668</v>
      </c>
      <c r="R436" s="341">
        <f>IF($Z$7=$E436,1,IF(MONTH($E436)=1,R437*(1+$F$5),R437))</f>
      </c>
      <c r="S436" s="334">
        <f>R436*$B$8/12</f>
      </c>
      <c r="T436" s="334">
        <f>R436*$B$11/12</f>
      </c>
      <c r="U436" s="565">
        <f>(1+$V$5)^(P436/12)*(T436+IF(Q436=$Z$7,$Z$4,0))</f>
      </c>
      <c r="V436" s="170"/>
      <c r="W436" s="7"/>
      <c r="X436" s="1"/>
      <c r="Y436" s="1"/>
      <c r="Z436" s="1"/>
      <c r="AA436" s="1"/>
      <c r="AB436" s="1"/>
      <c r="AC436" s="331">
        <v>429</v>
      </c>
      <c r="AD436" s="544">
        <f>+DATE(YEAR(AD435),MONTH(AD435)-1,DAY(AD435))</f>
        <v>25569.041666666668</v>
      </c>
      <c r="AE436" s="341">
        <f>IF($AM$7=$E436,1,IF(MONTH($E436)=1,AE437*(1+$F$5),AE437))</f>
      </c>
      <c r="AF436" s="334">
        <f>AE436*$B$8/12</f>
      </c>
      <c r="AG436" s="334">
        <f>AE436*$B$12/12</f>
      </c>
      <c r="AH436" s="565">
        <f>(1+$AI$5)^(AC436/12)*(AG436+IF(AD436=$AM$7,$AM$4,0))</f>
      </c>
      <c r="AI436" s="170"/>
      <c r="AJ436" s="7"/>
      <c r="AK436" s="1"/>
      <c r="AL436" s="1"/>
      <c r="AM436" s="1"/>
    </row>
    <row x14ac:dyDescent="0.25" r="437" customHeight="1" ht="18.75">
      <c r="A437" s="1"/>
      <c r="B437" s="169"/>
      <c r="C437" s="170"/>
      <c r="D437" s="331">
        <v>430</v>
      </c>
      <c r="E437" s="544">
        <f>+DATE(YEAR(E436),MONTH(E436)-1,DAY(E436))</f>
        <v>25569.041666666668</v>
      </c>
      <c r="F437" s="333">
        <f>IF($C$6=$E437,1,IF(MONTH($E437)=1,F438*(1+$F$5),F438))</f>
      </c>
      <c r="G437" s="333">
        <f>F437*$B$8/12</f>
      </c>
      <c r="H437" s="333">
        <f>IF(F437=1,F437*$B$10/MIN(12,'Simulador - 3º Pilar'!$E$88),0)</f>
      </c>
      <c r="I437" s="560">
        <f>(1+$G$5)^(D437/12)*(H437+IF(E437=$N$7,$N$4,0))</f>
      </c>
      <c r="J437" s="561">
        <f>(1+$G$5)^(D437/12)*(H437*(12-IF(MONTH(E438)=12,0,MONTH(E438)))+IF(AND(F437=1,F438=0),$Q$4,0))*IF(AND(F437=1,F438=0),1,0)</f>
      </c>
      <c r="K437" s="217">
        <f>(1+$G$5)^(D437/12)*(IF(E437=$N$7,$N$4,0)+IF(E437=$C$6,$B$10,0))</f>
      </c>
      <c r="L437" s="217">
        <f>(1+$G$5)^(D437/12)*(IF((E437)&gt;($B$6),H437,0)+IF(E437=$N$7,$N$4,0)+IF(E437=$C$6,0,0))</f>
      </c>
      <c r="M437" s="1"/>
      <c r="N437" s="7"/>
      <c r="O437" s="1"/>
      <c r="P437" s="331">
        <v>430</v>
      </c>
      <c r="Q437" s="544">
        <f>+DATE(YEAR(Q436),MONTH(Q436)-1,DAY(Q436))</f>
        <v>25569.041666666668</v>
      </c>
      <c r="R437" s="341">
        <f>IF($Z$7=$E437,1,IF(MONTH($E437)=1,R438*(1+$F$5),R438))</f>
      </c>
      <c r="S437" s="334">
        <f>R437*$B$8/12</f>
      </c>
      <c r="T437" s="334">
        <f>R437*$B$11/12</f>
      </c>
      <c r="U437" s="565">
        <f>(1+$V$5)^(P437/12)*(T437+IF(Q437=$Z$7,$Z$4,0))</f>
      </c>
      <c r="V437" s="170"/>
      <c r="W437" s="7"/>
      <c r="X437" s="1"/>
      <c r="Y437" s="1"/>
      <c r="Z437" s="1"/>
      <c r="AA437" s="1"/>
      <c r="AB437" s="1"/>
      <c r="AC437" s="331">
        <v>430</v>
      </c>
      <c r="AD437" s="544">
        <f>+DATE(YEAR(AD436),MONTH(AD436)-1,DAY(AD436))</f>
        <v>25569.041666666668</v>
      </c>
      <c r="AE437" s="341">
        <f>IF($AM$7=$E437,1,IF(MONTH($E437)=1,AE438*(1+$F$5),AE438))</f>
      </c>
      <c r="AF437" s="334">
        <f>AE437*$B$8/12</f>
      </c>
      <c r="AG437" s="334">
        <f>AE437*$B$12/12</f>
      </c>
      <c r="AH437" s="565">
        <f>(1+$AI$5)^(AC437/12)*(AG437+IF(AD437=$AM$7,$AM$4,0))</f>
      </c>
      <c r="AI437" s="170"/>
      <c r="AJ437" s="7"/>
      <c r="AK437" s="1"/>
      <c r="AL437" s="1"/>
      <c r="AM437" s="1"/>
    </row>
    <row x14ac:dyDescent="0.25" r="438" customHeight="1" ht="18.75">
      <c r="A438" s="1"/>
      <c r="B438" s="169"/>
      <c r="C438" s="170"/>
      <c r="D438" s="331">
        <v>431</v>
      </c>
      <c r="E438" s="544">
        <f>+DATE(YEAR(E437),MONTH(E437)-1,DAY(E437))</f>
        <v>25569.041666666668</v>
      </c>
      <c r="F438" s="333">
        <f>IF($C$6=$E438,1,IF(MONTH($E438)=1,F439*(1+$F$5),F439))</f>
      </c>
      <c r="G438" s="333">
        <f>F438*$B$8/12</f>
      </c>
      <c r="H438" s="333">
        <f>IF(F438=1,F438*$B$10/MIN(12,'Simulador - 3º Pilar'!$E$88),0)</f>
      </c>
      <c r="I438" s="560">
        <f>(1+$G$5)^(D438/12)*(H438+IF(E438=$N$7,$N$4,0))</f>
      </c>
      <c r="J438" s="561">
        <f>(1+$G$5)^(D438/12)*(H438*(12-IF(MONTH(E439)=12,0,MONTH(E439)))+IF(AND(F438=1,F439=0),$Q$4,0))*IF(AND(F438=1,F439=0),1,0)</f>
      </c>
      <c r="K438" s="217">
        <f>(1+$G$5)^(D438/12)*(IF(E438=$N$7,$N$4,0)+IF(E438=$C$6,$B$10,0))</f>
      </c>
      <c r="L438" s="217">
        <f>(1+$G$5)^(D438/12)*(IF((E438)&gt;($B$6),H438,0)+IF(E438=$N$7,$N$4,0)+IF(E438=$C$6,0,0))</f>
      </c>
      <c r="M438" s="1"/>
      <c r="N438" s="7"/>
      <c r="O438" s="1"/>
      <c r="P438" s="331">
        <v>431</v>
      </c>
      <c r="Q438" s="544">
        <f>+DATE(YEAR(Q437),MONTH(Q437)-1,DAY(Q437))</f>
        <v>25569.041666666668</v>
      </c>
      <c r="R438" s="341">
        <f>IF($Z$7=$E438,1,IF(MONTH($E438)=1,R439*(1+$F$5),R439))</f>
      </c>
      <c r="S438" s="334">
        <f>R438*$B$8/12</f>
      </c>
      <c r="T438" s="334">
        <f>R438*$B$11/12</f>
      </c>
      <c r="U438" s="565">
        <f>(1+$V$5)^(P438/12)*(T438+IF(Q438=$Z$7,$Z$4,0))</f>
      </c>
      <c r="V438" s="170"/>
      <c r="W438" s="7"/>
      <c r="X438" s="1"/>
      <c r="Y438" s="1"/>
      <c r="Z438" s="1"/>
      <c r="AA438" s="1"/>
      <c r="AB438" s="1"/>
      <c r="AC438" s="331">
        <v>431</v>
      </c>
      <c r="AD438" s="544">
        <f>+DATE(YEAR(AD437),MONTH(AD437)-1,DAY(AD437))</f>
        <v>25569.041666666668</v>
      </c>
      <c r="AE438" s="341">
        <f>IF($AM$7=$E438,1,IF(MONTH($E438)=1,AE439*(1+$F$5),AE439))</f>
      </c>
      <c r="AF438" s="334">
        <f>AE438*$B$8/12</f>
      </c>
      <c r="AG438" s="334">
        <f>AE438*$B$12/12</f>
      </c>
      <c r="AH438" s="565">
        <f>(1+$AI$5)^(AC438/12)*(AG438+IF(AD438=$AM$7,$AM$4,0))</f>
      </c>
      <c r="AI438" s="170"/>
      <c r="AJ438" s="7"/>
      <c r="AK438" s="1"/>
      <c r="AL438" s="1"/>
      <c r="AM438" s="1"/>
    </row>
    <row x14ac:dyDescent="0.25" r="439" customHeight="1" ht="18.75">
      <c r="A439" s="1"/>
      <c r="B439" s="169"/>
      <c r="C439" s="170"/>
      <c r="D439" s="331">
        <v>432</v>
      </c>
      <c r="E439" s="544">
        <f>+DATE(YEAR(E438),MONTH(E438)-1,DAY(E438))</f>
        <v>25569.041666666668</v>
      </c>
      <c r="F439" s="333">
        <f>IF($C$6=$E439,1,IF(MONTH($E439)=1,F440*(1+$F$5),F440))</f>
      </c>
      <c r="G439" s="333">
        <f>F439*$B$8/12</f>
      </c>
      <c r="H439" s="333">
        <f>IF(F439=1,F439*$B$10/MIN(12,'Simulador - 3º Pilar'!$E$88),0)</f>
      </c>
      <c r="I439" s="560">
        <f>(1+$G$5)^(D439/12)*(H439+IF(E439=$N$7,$N$4,0))</f>
      </c>
      <c r="J439" s="561">
        <f>(1+$G$5)^(D439/12)*(H439*(12-IF(MONTH(E440)=12,0,MONTH(E440)))+IF(AND(F439=1,F440=0),$Q$4,0))*IF(AND(F439=1,F440=0),1,0)</f>
      </c>
      <c r="K439" s="217">
        <f>(1+$G$5)^(D439/12)*(IF(E439=$N$7,$N$4,0)+IF(E439=$C$6,$B$10,0))</f>
      </c>
      <c r="L439" s="217">
        <f>(1+$G$5)^(D439/12)*(IF((E439)&gt;($B$6),H439,0)+IF(E439=$N$7,$N$4,0)+IF(E439=$C$6,0,0))</f>
      </c>
      <c r="M439" s="1"/>
      <c r="N439" s="7"/>
      <c r="O439" s="1"/>
      <c r="P439" s="331">
        <v>432</v>
      </c>
      <c r="Q439" s="544">
        <f>+DATE(YEAR(Q438),MONTH(Q438)-1,DAY(Q438))</f>
        <v>25569.041666666668</v>
      </c>
      <c r="R439" s="341">
        <f>IF($Z$7=$E439,1,IF(MONTH($E439)=1,R440*(1+$F$5),R440))</f>
      </c>
      <c r="S439" s="334">
        <f>R439*$B$8/12</f>
      </c>
      <c r="T439" s="334">
        <f>R439*$B$11/12</f>
      </c>
      <c r="U439" s="565">
        <f>(1+$V$5)^(P439/12)*(T439+IF(Q439=$Z$7,$Z$4,0))</f>
      </c>
      <c r="V439" s="170"/>
      <c r="W439" s="7"/>
      <c r="X439" s="1"/>
      <c r="Y439" s="1"/>
      <c r="Z439" s="1"/>
      <c r="AA439" s="1"/>
      <c r="AB439" s="1"/>
      <c r="AC439" s="331">
        <v>432</v>
      </c>
      <c r="AD439" s="544">
        <f>+DATE(YEAR(AD438),MONTH(AD438)-1,DAY(AD438))</f>
        <v>25569.041666666668</v>
      </c>
      <c r="AE439" s="341">
        <f>IF($AM$7=$E439,1,IF(MONTH($E439)=1,AE440*(1+$F$5),AE440))</f>
      </c>
      <c r="AF439" s="334">
        <f>AE439*$B$8/12</f>
      </c>
      <c r="AG439" s="334">
        <f>AE439*$B$12/12</f>
      </c>
      <c r="AH439" s="565">
        <f>(1+$AI$5)^(AC439/12)*(AG439+IF(AD439=$AM$7,$AM$4,0))</f>
      </c>
      <c r="AI439" s="170"/>
      <c r="AJ439" s="7"/>
      <c r="AK439" s="1"/>
      <c r="AL439" s="1"/>
      <c r="AM439" s="1"/>
    </row>
    <row x14ac:dyDescent="0.25" r="440" customHeight="1" ht="18.75">
      <c r="A440" s="1"/>
      <c r="B440" s="169"/>
      <c r="C440" s="170"/>
      <c r="D440" s="331">
        <v>433</v>
      </c>
      <c r="E440" s="544">
        <f>+DATE(YEAR(E439),MONTH(E439)-1,DAY(E439))</f>
        <v>25569.041666666668</v>
      </c>
      <c r="F440" s="333">
        <f>IF($C$6=$E440,1,IF(MONTH($E440)=1,F441*(1+$F$5),F441))</f>
      </c>
      <c r="G440" s="333">
        <f>F440*$B$8/12</f>
      </c>
      <c r="H440" s="333">
        <f>IF(F440=1,F440*$B$10/MIN(12,'Simulador - 3º Pilar'!$E$88),0)</f>
      </c>
      <c r="I440" s="560">
        <f>(1+$G$5)^(D440/12)*(H440+IF(E440=$N$7,$N$4,0))</f>
      </c>
      <c r="J440" s="561">
        <f>(1+$G$5)^(D440/12)*(H440*(12-IF(MONTH(E441)=12,0,MONTH(E441)))+IF(AND(F440=1,F441=0),$Q$4,0))*IF(AND(F440=1,F441=0),1,0)</f>
      </c>
      <c r="K440" s="217">
        <f>(1+$G$5)^(D440/12)*(IF(E440=$N$7,$N$4,0)+IF(E440=$C$6,$B$10,0))</f>
      </c>
      <c r="L440" s="217">
        <f>(1+$G$5)^(D440/12)*(IF((E440)&gt;($B$6),H440,0)+IF(E440=$N$7,$N$4,0)+IF(E440=$C$6,0,0))</f>
      </c>
      <c r="M440" s="1"/>
      <c r="N440" s="7"/>
      <c r="O440" s="1"/>
      <c r="P440" s="331">
        <v>433</v>
      </c>
      <c r="Q440" s="544">
        <f>+DATE(YEAR(Q439),MONTH(Q439)-1,DAY(Q439))</f>
        <v>25569.041666666668</v>
      </c>
      <c r="R440" s="341">
        <f>IF($Z$7=$E440,1,IF(MONTH($E440)=1,R441*(1+$F$5),R441))</f>
      </c>
      <c r="S440" s="334">
        <f>R440*$B$8/12</f>
      </c>
      <c r="T440" s="334">
        <f>R440*$B$11/12</f>
      </c>
      <c r="U440" s="565">
        <f>(1+$V$5)^(P440/12)*(T440+IF(Q440=$Z$7,$Z$4,0))</f>
      </c>
      <c r="V440" s="170"/>
      <c r="W440" s="7"/>
      <c r="X440" s="1"/>
      <c r="Y440" s="1"/>
      <c r="Z440" s="1"/>
      <c r="AA440" s="1"/>
      <c r="AB440" s="1"/>
      <c r="AC440" s="331">
        <v>433</v>
      </c>
      <c r="AD440" s="544">
        <f>+DATE(YEAR(AD439),MONTH(AD439)-1,DAY(AD439))</f>
        <v>25569.041666666668</v>
      </c>
      <c r="AE440" s="341">
        <f>IF($AM$7=$E440,1,IF(MONTH($E440)=1,AE441*(1+$F$5),AE441))</f>
      </c>
      <c r="AF440" s="334">
        <f>AE440*$B$8/12</f>
      </c>
      <c r="AG440" s="334">
        <f>AE440*$B$12/12</f>
      </c>
      <c r="AH440" s="565">
        <f>(1+$AI$5)^(AC440/12)*(AG440+IF(AD440=$AM$7,$AM$4,0))</f>
      </c>
      <c r="AI440" s="170"/>
      <c r="AJ440" s="7"/>
      <c r="AK440" s="1"/>
      <c r="AL440" s="1"/>
      <c r="AM440" s="1"/>
    </row>
    <row x14ac:dyDescent="0.25" r="441" customHeight="1" ht="18.75">
      <c r="A441" s="1"/>
      <c r="B441" s="169"/>
      <c r="C441" s="170"/>
      <c r="D441" s="331">
        <v>434</v>
      </c>
      <c r="E441" s="544">
        <f>+DATE(YEAR(E440),MONTH(E440)-1,DAY(E440))</f>
        <v>25569.041666666668</v>
      </c>
      <c r="F441" s="333">
        <f>IF($C$6=$E441,1,IF(MONTH($E441)=1,F442*(1+$F$5),F442))</f>
      </c>
      <c r="G441" s="333">
        <f>F441*$B$8/12</f>
      </c>
      <c r="H441" s="333">
        <f>IF(F441=1,F441*$B$10/MIN(12,'Simulador - 3º Pilar'!$E$88),0)</f>
      </c>
      <c r="I441" s="560">
        <f>(1+$G$5)^(D441/12)*(H441+IF(E441=$N$7,$N$4,0))</f>
      </c>
      <c r="J441" s="561">
        <f>(1+$G$5)^(D441/12)*(H441*(12-IF(MONTH(E442)=12,0,MONTH(E442)))+IF(AND(F441=1,F442=0),$Q$4,0))*IF(AND(F441=1,F442=0),1,0)</f>
      </c>
      <c r="K441" s="217">
        <f>(1+$G$5)^(D441/12)*(IF(E441=$N$7,$N$4,0)+IF(E441=$C$6,$B$10,0))</f>
      </c>
      <c r="L441" s="217">
        <f>(1+$G$5)^(D441/12)*(IF((E441)&gt;($B$6),H441,0)+IF(E441=$N$7,$N$4,0)+IF(E441=$C$6,0,0))</f>
      </c>
      <c r="M441" s="1"/>
      <c r="N441" s="7"/>
      <c r="O441" s="1"/>
      <c r="P441" s="331">
        <v>434</v>
      </c>
      <c r="Q441" s="544">
        <f>+DATE(YEAR(Q440),MONTH(Q440)-1,DAY(Q440))</f>
        <v>25569.041666666668</v>
      </c>
      <c r="R441" s="341">
        <f>IF($Z$7=$E441,1,IF(MONTH($E441)=1,R442*(1+$F$5),R442))</f>
      </c>
      <c r="S441" s="334">
        <f>R441*$B$8/12</f>
      </c>
      <c r="T441" s="334">
        <f>R441*$B$11/12</f>
      </c>
      <c r="U441" s="565">
        <f>(1+$V$5)^(P441/12)*(T441+IF(Q441=$Z$7,$Z$4,0))</f>
      </c>
      <c r="V441" s="170"/>
      <c r="W441" s="7"/>
      <c r="X441" s="1"/>
      <c r="Y441" s="1"/>
      <c r="Z441" s="1"/>
      <c r="AA441" s="1"/>
      <c r="AB441" s="1"/>
      <c r="AC441" s="331">
        <v>434</v>
      </c>
      <c r="AD441" s="544">
        <f>+DATE(YEAR(AD440),MONTH(AD440)-1,DAY(AD440))</f>
        <v>25569.041666666668</v>
      </c>
      <c r="AE441" s="341">
        <f>IF($AM$7=$E441,1,IF(MONTH($E441)=1,AE442*(1+$F$5),AE442))</f>
      </c>
      <c r="AF441" s="334">
        <f>AE441*$B$8/12</f>
      </c>
      <c r="AG441" s="334">
        <f>AE441*$B$12/12</f>
      </c>
      <c r="AH441" s="565">
        <f>(1+$AI$5)^(AC441/12)*(AG441+IF(AD441=$AM$7,$AM$4,0))</f>
      </c>
      <c r="AI441" s="170"/>
      <c r="AJ441" s="7"/>
      <c r="AK441" s="1"/>
      <c r="AL441" s="1"/>
      <c r="AM441" s="1"/>
    </row>
    <row x14ac:dyDescent="0.25" r="442" customHeight="1" ht="18.75">
      <c r="A442" s="1"/>
      <c r="B442" s="169"/>
      <c r="C442" s="170"/>
      <c r="D442" s="331">
        <v>435</v>
      </c>
      <c r="E442" s="544">
        <f>+DATE(YEAR(E441),MONTH(E441)-1,DAY(E441))</f>
        <v>25569.041666666668</v>
      </c>
      <c r="F442" s="333">
        <f>IF($C$6=$E442,1,IF(MONTH($E442)=1,F443*(1+$F$5),F443))</f>
      </c>
      <c r="G442" s="333">
        <f>F442*$B$8/12</f>
      </c>
      <c r="H442" s="333">
        <f>IF(F442=1,F442*$B$10/MIN(12,'Simulador - 3º Pilar'!$E$88),0)</f>
      </c>
      <c r="I442" s="560">
        <f>(1+$G$5)^(D442/12)*(H442+IF(E442=$N$7,$N$4,0))</f>
      </c>
      <c r="J442" s="561">
        <f>(1+$G$5)^(D442/12)*(H442*(12-IF(MONTH(E443)=12,0,MONTH(E443)))+IF(AND(F442=1,F443=0),$Q$4,0))*IF(AND(F442=1,F443=0),1,0)</f>
      </c>
      <c r="K442" s="217">
        <f>(1+$G$5)^(D442/12)*(IF(E442=$N$7,$N$4,0)+IF(E442=$C$6,$B$10,0))</f>
      </c>
      <c r="L442" s="217">
        <f>(1+$G$5)^(D442/12)*(IF((E442)&gt;($B$6),H442,0)+IF(E442=$N$7,$N$4,0)+IF(E442=$C$6,0,0))</f>
      </c>
      <c r="M442" s="1"/>
      <c r="N442" s="7"/>
      <c r="O442" s="1"/>
      <c r="P442" s="331">
        <v>435</v>
      </c>
      <c r="Q442" s="544">
        <f>+DATE(YEAR(Q441),MONTH(Q441)-1,DAY(Q441))</f>
        <v>25569.041666666668</v>
      </c>
      <c r="R442" s="341">
        <f>IF($Z$7=$E442,1,IF(MONTH($E442)=1,R443*(1+$F$5),R443))</f>
      </c>
      <c r="S442" s="334">
        <f>R442*$B$8/12</f>
      </c>
      <c r="T442" s="334">
        <f>R442*$B$11/12</f>
      </c>
      <c r="U442" s="565">
        <f>(1+$V$5)^(P442/12)*(T442+IF(Q442=$Z$7,$Z$4,0))</f>
      </c>
      <c r="V442" s="170"/>
      <c r="W442" s="7"/>
      <c r="X442" s="1"/>
      <c r="Y442" s="1"/>
      <c r="Z442" s="1"/>
      <c r="AA442" s="1"/>
      <c r="AB442" s="1"/>
      <c r="AC442" s="331">
        <v>435</v>
      </c>
      <c r="AD442" s="544">
        <f>+DATE(YEAR(AD441),MONTH(AD441)-1,DAY(AD441))</f>
        <v>25569.041666666668</v>
      </c>
      <c r="AE442" s="341">
        <f>IF($AM$7=$E442,1,IF(MONTH($E442)=1,AE443*(1+$F$5),AE443))</f>
      </c>
      <c r="AF442" s="334">
        <f>AE442*$B$8/12</f>
      </c>
      <c r="AG442" s="334">
        <f>AE442*$B$12/12</f>
      </c>
      <c r="AH442" s="565">
        <f>(1+$AI$5)^(AC442/12)*(AG442+IF(AD442=$AM$7,$AM$4,0))</f>
      </c>
      <c r="AI442" s="170"/>
      <c r="AJ442" s="7"/>
      <c r="AK442" s="1"/>
      <c r="AL442" s="1"/>
      <c r="AM442" s="1"/>
    </row>
    <row x14ac:dyDescent="0.25" r="443" customHeight="1" ht="18.75">
      <c r="A443" s="1"/>
      <c r="B443" s="169"/>
      <c r="C443" s="170"/>
      <c r="D443" s="331">
        <v>436</v>
      </c>
      <c r="E443" s="544">
        <f>+DATE(YEAR(E442),MONTH(E442)-1,DAY(E442))</f>
        <v>25569.041666666668</v>
      </c>
      <c r="F443" s="333">
        <f>IF($C$6=$E443,1,IF(MONTH($E443)=1,F444*(1+$F$5),F444))</f>
      </c>
      <c r="G443" s="333">
        <f>F443*$B$8/12</f>
      </c>
      <c r="H443" s="333">
        <f>IF(F443=1,F443*$B$10/MIN(12,'Simulador - 3º Pilar'!$E$88),0)</f>
      </c>
      <c r="I443" s="560">
        <f>(1+$G$5)^(D443/12)*(H443+IF(E443=$N$7,$N$4,0))</f>
      </c>
      <c r="J443" s="561">
        <f>(1+$G$5)^(D443/12)*(H443*(12-IF(MONTH(E444)=12,0,MONTH(E444)))+IF(AND(F443=1,F444=0),$Q$4,0))*IF(AND(F443=1,F444=0),1,0)</f>
      </c>
      <c r="K443" s="217">
        <f>(1+$G$5)^(D443/12)*(IF(E443=$N$7,$N$4,0)+IF(E443=$C$6,$B$10,0))</f>
      </c>
      <c r="L443" s="217">
        <f>(1+$G$5)^(D443/12)*(IF((E443)&gt;($B$6),H443,0)+IF(E443=$N$7,$N$4,0)+IF(E443=$C$6,0,0))</f>
      </c>
      <c r="M443" s="1"/>
      <c r="N443" s="7"/>
      <c r="O443" s="1"/>
      <c r="P443" s="331">
        <v>436</v>
      </c>
      <c r="Q443" s="544">
        <f>+DATE(YEAR(Q442),MONTH(Q442)-1,DAY(Q442))</f>
        <v>25569.041666666668</v>
      </c>
      <c r="R443" s="341">
        <f>IF($Z$7=$E443,1,IF(MONTH($E443)=1,R444*(1+$F$5),R444))</f>
      </c>
      <c r="S443" s="334">
        <f>R443*$B$8/12</f>
      </c>
      <c r="T443" s="334">
        <f>R443*$B$11/12</f>
      </c>
      <c r="U443" s="565">
        <f>(1+$V$5)^(P443/12)*(T443+IF(Q443=$Z$7,$Z$4,0))</f>
      </c>
      <c r="V443" s="170"/>
      <c r="W443" s="7"/>
      <c r="X443" s="1"/>
      <c r="Y443" s="1"/>
      <c r="Z443" s="1"/>
      <c r="AA443" s="1"/>
      <c r="AB443" s="1"/>
      <c r="AC443" s="331">
        <v>436</v>
      </c>
      <c r="AD443" s="544">
        <f>+DATE(YEAR(AD442),MONTH(AD442)-1,DAY(AD442))</f>
        <v>25569.041666666668</v>
      </c>
      <c r="AE443" s="341">
        <f>IF($AM$7=$E443,1,IF(MONTH($E443)=1,AE444*(1+$F$5),AE444))</f>
      </c>
      <c r="AF443" s="334">
        <f>AE443*$B$8/12</f>
      </c>
      <c r="AG443" s="334">
        <f>AE443*$B$12/12</f>
      </c>
      <c r="AH443" s="565">
        <f>(1+$AI$5)^(AC443/12)*(AG443+IF(AD443=$AM$7,$AM$4,0))</f>
      </c>
      <c r="AI443" s="170"/>
      <c r="AJ443" s="7"/>
      <c r="AK443" s="1"/>
      <c r="AL443" s="1"/>
      <c r="AM443" s="1"/>
    </row>
    <row x14ac:dyDescent="0.25" r="444" customHeight="1" ht="18.75">
      <c r="A444" s="1"/>
      <c r="B444" s="169"/>
      <c r="C444" s="170"/>
      <c r="D444" s="331">
        <v>437</v>
      </c>
      <c r="E444" s="544">
        <f>+DATE(YEAR(E443),MONTH(E443)-1,DAY(E443))</f>
        <v>25569.041666666668</v>
      </c>
      <c r="F444" s="333">
        <f>IF($C$6=$E444,1,IF(MONTH($E444)=1,F445*(1+$F$5),F445))</f>
      </c>
      <c r="G444" s="333">
        <f>F444*$B$8/12</f>
      </c>
      <c r="H444" s="333">
        <f>IF(F444=1,F444*$B$10/MIN(12,'Simulador - 3º Pilar'!$E$88),0)</f>
      </c>
      <c r="I444" s="560">
        <f>(1+$G$5)^(D444/12)*(H444+IF(E444=$N$7,$N$4,0))</f>
      </c>
      <c r="J444" s="561">
        <f>(1+$G$5)^(D444/12)*(H444*(12-IF(MONTH(E445)=12,0,MONTH(E445)))+IF(AND(F444=1,F445=0),$Q$4,0))*IF(AND(F444=1,F445=0),1,0)</f>
      </c>
      <c r="K444" s="217">
        <f>(1+$G$5)^(D444/12)*(IF(E444=$N$7,$N$4,0)+IF(E444=$C$6,$B$10,0))</f>
      </c>
      <c r="L444" s="217">
        <f>(1+$G$5)^(D444/12)*(IF((E444)&gt;($B$6),H444,0)+IF(E444=$N$7,$N$4,0)+IF(E444=$C$6,0,0))</f>
      </c>
      <c r="M444" s="1"/>
      <c r="N444" s="7"/>
      <c r="O444" s="1"/>
      <c r="P444" s="331">
        <v>437</v>
      </c>
      <c r="Q444" s="544">
        <f>+DATE(YEAR(Q443),MONTH(Q443)-1,DAY(Q443))</f>
        <v>25569.041666666668</v>
      </c>
      <c r="R444" s="341">
        <f>IF($Z$7=$E444,1,IF(MONTH($E444)=1,R445*(1+$F$5),R445))</f>
      </c>
      <c r="S444" s="334">
        <f>R444*$B$8/12</f>
      </c>
      <c r="T444" s="334">
        <f>R444*$B$11/12</f>
      </c>
      <c r="U444" s="565">
        <f>(1+$V$5)^(P444/12)*(T444+IF(Q444=$Z$7,$Z$4,0))</f>
      </c>
      <c r="V444" s="170"/>
      <c r="W444" s="7"/>
      <c r="X444" s="1"/>
      <c r="Y444" s="1"/>
      <c r="Z444" s="1"/>
      <c r="AA444" s="1"/>
      <c r="AB444" s="1"/>
      <c r="AC444" s="331">
        <v>437</v>
      </c>
      <c r="AD444" s="544">
        <f>+DATE(YEAR(AD443),MONTH(AD443)-1,DAY(AD443))</f>
        <v>25569.041666666668</v>
      </c>
      <c r="AE444" s="341">
        <f>IF($AM$7=$E444,1,IF(MONTH($E444)=1,AE445*(1+$F$5),AE445))</f>
      </c>
      <c r="AF444" s="334">
        <f>AE444*$B$8/12</f>
      </c>
      <c r="AG444" s="334">
        <f>AE444*$B$12/12</f>
      </c>
      <c r="AH444" s="565">
        <f>(1+$AI$5)^(AC444/12)*(AG444+IF(AD444=$AM$7,$AM$4,0))</f>
      </c>
      <c r="AI444" s="170"/>
      <c r="AJ444" s="7"/>
      <c r="AK444" s="1"/>
      <c r="AL444" s="1"/>
      <c r="AM444" s="1"/>
    </row>
    <row x14ac:dyDescent="0.25" r="445" customHeight="1" ht="18.75">
      <c r="A445" s="1"/>
      <c r="B445" s="169"/>
      <c r="C445" s="170"/>
      <c r="D445" s="331">
        <v>438</v>
      </c>
      <c r="E445" s="544">
        <f>+DATE(YEAR(E444),MONTH(E444)-1,DAY(E444))</f>
        <v>25569.041666666668</v>
      </c>
      <c r="F445" s="333">
        <f>IF($C$6=$E445,1,IF(MONTH($E445)=1,F446*(1+$F$5),F446))</f>
      </c>
      <c r="G445" s="333">
        <f>F445*$B$8/12</f>
      </c>
      <c r="H445" s="333">
        <f>IF(F445=1,F445*$B$10/MIN(12,'Simulador - 3º Pilar'!$E$88),0)</f>
      </c>
      <c r="I445" s="560">
        <f>(1+$G$5)^(D445/12)*(H445+IF(E445=$N$7,$N$4,0))</f>
      </c>
      <c r="J445" s="561">
        <f>(1+$G$5)^(D445/12)*(H445*(12-IF(MONTH(E446)=12,0,MONTH(E446)))+IF(AND(F445=1,F446=0),$Q$4,0))*IF(AND(F445=1,F446=0),1,0)</f>
      </c>
      <c r="K445" s="217">
        <f>(1+$G$5)^(D445/12)*(IF(E445=$N$7,$N$4,0)+IF(E445=$C$6,$B$10,0))</f>
      </c>
      <c r="L445" s="217">
        <f>(1+$G$5)^(D445/12)*(IF((E445)&gt;($B$6),H445,0)+IF(E445=$N$7,$N$4,0)+IF(E445=$C$6,0,0))</f>
      </c>
      <c r="M445" s="1"/>
      <c r="N445" s="7"/>
      <c r="O445" s="1"/>
      <c r="P445" s="331">
        <v>438</v>
      </c>
      <c r="Q445" s="544">
        <f>+DATE(YEAR(Q444),MONTH(Q444)-1,DAY(Q444))</f>
        <v>25569.041666666668</v>
      </c>
      <c r="R445" s="341">
        <f>IF($Z$7=$E445,1,IF(MONTH($E445)=1,R446*(1+$F$5),R446))</f>
      </c>
      <c r="S445" s="334">
        <f>R445*$B$8/12</f>
      </c>
      <c r="T445" s="334">
        <f>R445*$B$11/12</f>
      </c>
      <c r="U445" s="565">
        <f>(1+$V$5)^(P445/12)*(T445+IF(Q445=$Z$7,$Z$4,0))</f>
      </c>
      <c r="V445" s="170"/>
      <c r="W445" s="7"/>
      <c r="X445" s="1"/>
      <c r="Y445" s="1"/>
      <c r="Z445" s="1"/>
      <c r="AA445" s="1"/>
      <c r="AB445" s="1"/>
      <c r="AC445" s="331">
        <v>438</v>
      </c>
      <c r="AD445" s="544">
        <f>+DATE(YEAR(AD444),MONTH(AD444)-1,DAY(AD444))</f>
        <v>25569.041666666668</v>
      </c>
      <c r="AE445" s="341">
        <f>IF($AM$7=$E445,1,IF(MONTH($E445)=1,AE446*(1+$F$5),AE446))</f>
      </c>
      <c r="AF445" s="334">
        <f>AE445*$B$8/12</f>
      </c>
      <c r="AG445" s="334">
        <f>AE445*$B$12/12</f>
      </c>
      <c r="AH445" s="565">
        <f>(1+$AI$5)^(AC445/12)*(AG445+IF(AD445=$AM$7,$AM$4,0))</f>
      </c>
      <c r="AI445" s="170"/>
      <c r="AJ445" s="7"/>
      <c r="AK445" s="1"/>
      <c r="AL445" s="1"/>
      <c r="AM445" s="1"/>
    </row>
    <row x14ac:dyDescent="0.25" r="446" customHeight="1" ht="18.75">
      <c r="A446" s="1"/>
      <c r="B446" s="169"/>
      <c r="C446" s="170"/>
      <c r="D446" s="331">
        <v>439</v>
      </c>
      <c r="E446" s="544">
        <f>+DATE(YEAR(E445),MONTH(E445)-1,DAY(E445))</f>
        <v>25569.041666666668</v>
      </c>
      <c r="F446" s="333">
        <f>IF($C$6=$E446,1,IF(MONTH($E446)=1,F447*(1+$F$5),F447))</f>
      </c>
      <c r="G446" s="333">
        <f>F446*$B$8/12</f>
      </c>
      <c r="H446" s="333">
        <f>IF(F446=1,F446*$B$10/MIN(12,'Simulador - 3º Pilar'!$E$88),0)</f>
      </c>
      <c r="I446" s="560">
        <f>(1+$G$5)^(D446/12)*(H446+IF(E446=$N$7,$N$4,0))</f>
      </c>
      <c r="J446" s="561">
        <f>(1+$G$5)^(D446/12)*(H446*(12-IF(MONTH(E447)=12,0,MONTH(E447)))+IF(AND(F446=1,F447=0),$Q$4,0))*IF(AND(F446=1,F447=0),1,0)</f>
      </c>
      <c r="K446" s="217">
        <f>(1+$G$5)^(D446/12)*(IF(E446=$N$7,$N$4,0)+IF(E446=$C$6,$B$10,0))</f>
      </c>
      <c r="L446" s="217">
        <f>(1+$G$5)^(D446/12)*(IF((E446)&gt;($B$6),H446,0)+IF(E446=$N$7,$N$4,0)+IF(E446=$C$6,0,0))</f>
      </c>
      <c r="M446" s="1"/>
      <c r="N446" s="7"/>
      <c r="O446" s="1"/>
      <c r="P446" s="331">
        <v>439</v>
      </c>
      <c r="Q446" s="544">
        <f>+DATE(YEAR(Q445),MONTH(Q445)-1,DAY(Q445))</f>
        <v>25569.041666666668</v>
      </c>
      <c r="R446" s="341">
        <f>IF($Z$7=$E446,1,IF(MONTH($E446)=1,R447*(1+$F$5),R447))</f>
      </c>
      <c r="S446" s="334">
        <f>R446*$B$8/12</f>
      </c>
      <c r="T446" s="334">
        <f>R446*$B$11/12</f>
      </c>
      <c r="U446" s="565">
        <f>(1+$V$5)^(P446/12)*(T446+IF(Q446=$Z$7,$Z$4,0))</f>
      </c>
      <c r="V446" s="170"/>
      <c r="W446" s="7"/>
      <c r="X446" s="1"/>
      <c r="Y446" s="1"/>
      <c r="Z446" s="1"/>
      <c r="AA446" s="1"/>
      <c r="AB446" s="1"/>
      <c r="AC446" s="331">
        <v>439</v>
      </c>
      <c r="AD446" s="544">
        <f>+DATE(YEAR(AD445),MONTH(AD445)-1,DAY(AD445))</f>
        <v>25569.041666666668</v>
      </c>
      <c r="AE446" s="341">
        <f>IF($AM$7=$E446,1,IF(MONTH($E446)=1,AE447*(1+$F$5),AE447))</f>
      </c>
      <c r="AF446" s="334">
        <f>AE446*$B$8/12</f>
      </c>
      <c r="AG446" s="334">
        <f>AE446*$B$12/12</f>
      </c>
      <c r="AH446" s="565">
        <f>(1+$AI$5)^(AC446/12)*(AG446+IF(AD446=$AM$7,$AM$4,0))</f>
      </c>
      <c r="AI446" s="170"/>
      <c r="AJ446" s="7"/>
      <c r="AK446" s="1"/>
      <c r="AL446" s="1"/>
      <c r="AM446" s="1"/>
    </row>
    <row x14ac:dyDescent="0.25" r="447" customHeight="1" ht="18.75">
      <c r="A447" s="1"/>
      <c r="B447" s="169"/>
      <c r="C447" s="170"/>
      <c r="D447" s="331">
        <v>440</v>
      </c>
      <c r="E447" s="544">
        <f>+DATE(YEAR(E446),MONTH(E446)-1,DAY(E446))</f>
        <v>25569.041666666668</v>
      </c>
      <c r="F447" s="333">
        <f>IF($C$6=$E447,1,IF(MONTH($E447)=1,F448*(1+$F$5),F448))</f>
      </c>
      <c r="G447" s="333">
        <f>F447*$B$8/12</f>
      </c>
      <c r="H447" s="333">
        <f>IF(F447=1,F447*$B$10/MIN(12,'Simulador - 3º Pilar'!$E$88),0)</f>
      </c>
      <c r="I447" s="560">
        <f>(1+$G$5)^(D447/12)*(H447+IF(E447=$N$7,$N$4,0))</f>
      </c>
      <c r="J447" s="561">
        <f>(1+$G$5)^(D447/12)*(H447*(12-IF(MONTH(E448)=12,0,MONTH(E448)))+IF(AND(F447=1,F448=0),$Q$4,0))*IF(AND(F447=1,F448=0),1,0)</f>
      </c>
      <c r="K447" s="217">
        <f>(1+$G$5)^(D447/12)*(IF(E447=$N$7,$N$4,0)+IF(E447=$C$6,$B$10,0))</f>
      </c>
      <c r="L447" s="217">
        <f>(1+$G$5)^(D447/12)*(IF((E447)&gt;($B$6),H447,0)+IF(E447=$N$7,$N$4,0)+IF(E447=$C$6,0,0))</f>
      </c>
      <c r="M447" s="1"/>
      <c r="N447" s="7"/>
      <c r="O447" s="1"/>
      <c r="P447" s="331">
        <v>440</v>
      </c>
      <c r="Q447" s="544">
        <f>+DATE(YEAR(Q446),MONTH(Q446)-1,DAY(Q446))</f>
        <v>25569.041666666668</v>
      </c>
      <c r="R447" s="341">
        <f>IF($Z$7=$E447,1,IF(MONTH($E447)=1,R448*(1+$F$5),R448))</f>
      </c>
      <c r="S447" s="334">
        <f>R447*$B$8/12</f>
      </c>
      <c r="T447" s="334">
        <f>R447*$B$11/12</f>
      </c>
      <c r="U447" s="565">
        <f>(1+$V$5)^(P447/12)*(T447+IF(Q447=$Z$7,$Z$4,0))</f>
      </c>
      <c r="V447" s="170"/>
      <c r="W447" s="7"/>
      <c r="X447" s="1"/>
      <c r="Y447" s="1"/>
      <c r="Z447" s="1"/>
      <c r="AA447" s="1"/>
      <c r="AB447" s="1"/>
      <c r="AC447" s="331">
        <v>440</v>
      </c>
      <c r="AD447" s="544">
        <f>+DATE(YEAR(AD446),MONTH(AD446)-1,DAY(AD446))</f>
        <v>25569.041666666668</v>
      </c>
      <c r="AE447" s="341">
        <f>IF($AM$7=$E447,1,IF(MONTH($E447)=1,AE448*(1+$F$5),AE448))</f>
      </c>
      <c r="AF447" s="334">
        <f>AE447*$B$8/12</f>
      </c>
      <c r="AG447" s="334">
        <f>AE447*$B$12/12</f>
      </c>
      <c r="AH447" s="565">
        <f>(1+$AI$5)^(AC447/12)*(AG447+IF(AD447=$AM$7,$AM$4,0))</f>
      </c>
      <c r="AI447" s="170"/>
      <c r="AJ447" s="7"/>
      <c r="AK447" s="1"/>
      <c r="AL447" s="1"/>
      <c r="AM447" s="1"/>
    </row>
    <row x14ac:dyDescent="0.25" r="448" customHeight="1" ht="18.75">
      <c r="A448" s="1"/>
      <c r="B448" s="169"/>
      <c r="C448" s="170"/>
      <c r="D448" s="331">
        <v>441</v>
      </c>
      <c r="E448" s="544">
        <f>+DATE(YEAR(E447),MONTH(E447)-1,DAY(E447))</f>
        <v>25569.041666666668</v>
      </c>
      <c r="F448" s="333">
        <f>IF($C$6=$E448,1,IF(MONTH($E448)=1,F449*(1+$F$5),F449))</f>
      </c>
      <c r="G448" s="333">
        <f>F448*$B$8/12</f>
      </c>
      <c r="H448" s="333">
        <f>IF(F448=1,F448*$B$10/MIN(12,'Simulador - 3º Pilar'!$E$88),0)</f>
      </c>
      <c r="I448" s="560">
        <f>(1+$G$5)^(D448/12)*(H448+IF(E448=$N$7,$N$4,0))</f>
      </c>
      <c r="J448" s="561">
        <f>(1+$G$5)^(D448/12)*(H448*(12-IF(MONTH(E449)=12,0,MONTH(E449)))+IF(AND(F448=1,F449=0),$Q$4,0))*IF(AND(F448=1,F449=0),1,0)</f>
      </c>
      <c r="K448" s="217">
        <f>(1+$G$5)^(D448/12)*(IF(E448=$N$7,$N$4,0)+IF(E448=$C$6,$B$10,0))</f>
      </c>
      <c r="L448" s="217">
        <f>(1+$G$5)^(D448/12)*(IF((E448)&gt;($B$6),H448,0)+IF(E448=$N$7,$N$4,0)+IF(E448=$C$6,0,0))</f>
      </c>
      <c r="M448" s="1"/>
      <c r="N448" s="7"/>
      <c r="O448" s="1"/>
      <c r="P448" s="331">
        <v>441</v>
      </c>
      <c r="Q448" s="544">
        <f>+DATE(YEAR(Q447),MONTH(Q447)-1,DAY(Q447))</f>
        <v>25569.041666666668</v>
      </c>
      <c r="R448" s="341">
        <f>IF($Z$7=$E448,1,IF(MONTH($E448)=1,R449*(1+$F$5),R449))</f>
      </c>
      <c r="S448" s="334">
        <f>R448*$B$8/12</f>
      </c>
      <c r="T448" s="334">
        <f>R448*$B$11/12</f>
      </c>
      <c r="U448" s="565">
        <f>(1+$V$5)^(P448/12)*(T448+IF(Q448=$Z$7,$Z$4,0))</f>
      </c>
      <c r="V448" s="170"/>
      <c r="W448" s="7"/>
      <c r="X448" s="1"/>
      <c r="Y448" s="1"/>
      <c r="Z448" s="1"/>
      <c r="AA448" s="1"/>
      <c r="AB448" s="1"/>
      <c r="AC448" s="331">
        <v>441</v>
      </c>
      <c r="AD448" s="544">
        <f>+DATE(YEAR(AD447),MONTH(AD447)-1,DAY(AD447))</f>
        <v>25569.041666666668</v>
      </c>
      <c r="AE448" s="341">
        <f>IF($AM$7=$E448,1,IF(MONTH($E448)=1,AE449*(1+$F$5),AE449))</f>
      </c>
      <c r="AF448" s="334">
        <f>AE448*$B$8/12</f>
      </c>
      <c r="AG448" s="334">
        <f>AE448*$B$12/12</f>
      </c>
      <c r="AH448" s="565">
        <f>(1+$AI$5)^(AC448/12)*(AG448+IF(AD448=$AM$7,$AM$4,0))</f>
      </c>
      <c r="AI448" s="170"/>
      <c r="AJ448" s="7"/>
      <c r="AK448" s="1"/>
      <c r="AL448" s="1"/>
      <c r="AM448" s="1"/>
    </row>
    <row x14ac:dyDescent="0.25" r="449" customHeight="1" ht="18.75">
      <c r="A449" s="1"/>
      <c r="B449" s="169"/>
      <c r="C449" s="170"/>
      <c r="D449" s="331">
        <v>442</v>
      </c>
      <c r="E449" s="544">
        <f>+DATE(YEAR(E448),MONTH(E448)-1,DAY(E448))</f>
        <v>25569.041666666668</v>
      </c>
      <c r="F449" s="333">
        <f>IF($C$6=$E449,1,IF(MONTH($E449)=1,F450*(1+$F$5),F450))</f>
      </c>
      <c r="G449" s="333">
        <f>F449*$B$8/12</f>
      </c>
      <c r="H449" s="333">
        <f>IF(F449=1,F449*$B$10/MIN(12,'Simulador - 3º Pilar'!$E$88),0)</f>
      </c>
      <c r="I449" s="560">
        <f>(1+$G$5)^(D449/12)*(H449+IF(E449=$N$7,$N$4,0))</f>
      </c>
      <c r="J449" s="561">
        <f>(1+$G$5)^(D449/12)*(H449*(12-IF(MONTH(E450)=12,0,MONTH(E450)))+IF(AND(F449=1,F450=0),$Q$4,0))*IF(AND(F449=1,F450=0),1,0)</f>
      </c>
      <c r="K449" s="217">
        <f>(1+$G$5)^(D449/12)*(IF(E449=$N$7,$N$4,0)+IF(E449=$C$6,$B$10,0))</f>
      </c>
      <c r="L449" s="217">
        <f>(1+$G$5)^(D449/12)*(IF((E449)&gt;($B$6),H449,0)+IF(E449=$N$7,$N$4,0)+IF(E449=$C$6,0,0))</f>
      </c>
      <c r="M449" s="1"/>
      <c r="N449" s="7"/>
      <c r="O449" s="1"/>
      <c r="P449" s="331">
        <v>442</v>
      </c>
      <c r="Q449" s="544">
        <f>+DATE(YEAR(Q448),MONTH(Q448)-1,DAY(Q448))</f>
        <v>25569.041666666668</v>
      </c>
      <c r="R449" s="341">
        <f>IF($Z$7=$E449,1,IF(MONTH($E449)=1,R450*(1+$F$5),R450))</f>
      </c>
      <c r="S449" s="334">
        <f>R449*$B$8/12</f>
      </c>
      <c r="T449" s="334">
        <f>R449*$B$11/12</f>
      </c>
      <c r="U449" s="565">
        <f>(1+$V$5)^(P449/12)*(T449+IF(Q449=$Z$7,$Z$4,0))</f>
      </c>
      <c r="V449" s="170"/>
      <c r="W449" s="7"/>
      <c r="X449" s="1"/>
      <c r="Y449" s="1"/>
      <c r="Z449" s="1"/>
      <c r="AA449" s="1"/>
      <c r="AB449" s="1"/>
      <c r="AC449" s="331">
        <v>442</v>
      </c>
      <c r="AD449" s="544">
        <f>+DATE(YEAR(AD448),MONTH(AD448)-1,DAY(AD448))</f>
        <v>25569.041666666668</v>
      </c>
      <c r="AE449" s="341">
        <f>IF($AM$7=$E449,1,IF(MONTH($E449)=1,AE450*(1+$F$5),AE450))</f>
      </c>
      <c r="AF449" s="334">
        <f>AE449*$B$8/12</f>
      </c>
      <c r="AG449" s="334">
        <f>AE449*$B$12/12</f>
      </c>
      <c r="AH449" s="565">
        <f>(1+$AI$5)^(AC449/12)*(AG449+IF(AD449=$AM$7,$AM$4,0))</f>
      </c>
      <c r="AI449" s="170"/>
      <c r="AJ449" s="7"/>
      <c r="AK449" s="1"/>
      <c r="AL449" s="1"/>
      <c r="AM449" s="1"/>
    </row>
    <row x14ac:dyDescent="0.25" r="450" customHeight="1" ht="18.75">
      <c r="A450" s="1"/>
      <c r="B450" s="169"/>
      <c r="C450" s="170"/>
      <c r="D450" s="331">
        <v>443</v>
      </c>
      <c r="E450" s="544">
        <f>+DATE(YEAR(E449),MONTH(E449)-1,DAY(E449))</f>
        <v>25569.041666666668</v>
      </c>
      <c r="F450" s="333">
        <f>IF($C$6=$E450,1,IF(MONTH($E450)=1,F451*(1+$F$5),F451))</f>
      </c>
      <c r="G450" s="333">
        <f>F450*$B$8/12</f>
      </c>
      <c r="H450" s="333">
        <f>IF(F450=1,F450*$B$10/MIN(12,'Simulador - 3º Pilar'!$E$88),0)</f>
      </c>
      <c r="I450" s="560">
        <f>(1+$G$5)^(D450/12)*(H450+IF(E450=$N$7,$N$4,0))</f>
      </c>
      <c r="J450" s="561">
        <f>(1+$G$5)^(D450/12)*(H450*(12-IF(MONTH(E451)=12,0,MONTH(E451)))+IF(AND(F450=1,F451=0),$Q$4,0))*IF(AND(F450=1,F451=0),1,0)</f>
      </c>
      <c r="K450" s="217">
        <f>(1+$G$5)^(D450/12)*(IF(E450=$N$7,$N$4,0)+IF(E450=$C$6,$B$10,0))</f>
      </c>
      <c r="L450" s="217">
        <f>(1+$G$5)^(D450/12)*(IF((E450)&gt;($B$6),H450,0)+IF(E450=$N$7,$N$4,0)+IF(E450=$C$6,0,0))</f>
      </c>
      <c r="M450" s="1"/>
      <c r="N450" s="7"/>
      <c r="O450" s="1"/>
      <c r="P450" s="331">
        <v>443</v>
      </c>
      <c r="Q450" s="544">
        <f>+DATE(YEAR(Q449),MONTH(Q449)-1,DAY(Q449))</f>
        <v>25569.041666666668</v>
      </c>
      <c r="R450" s="341">
        <f>IF($Z$7=$E450,1,IF(MONTH($E450)=1,R451*(1+$F$5),R451))</f>
      </c>
      <c r="S450" s="334">
        <f>R450*$B$8/12</f>
      </c>
      <c r="T450" s="334">
        <f>R450*$B$11/12</f>
      </c>
      <c r="U450" s="565">
        <f>(1+$V$5)^(P450/12)*(T450+IF(Q450=$Z$7,$Z$4,0))</f>
      </c>
      <c r="V450" s="170"/>
      <c r="W450" s="7"/>
      <c r="X450" s="1"/>
      <c r="Y450" s="1"/>
      <c r="Z450" s="1"/>
      <c r="AA450" s="1"/>
      <c r="AB450" s="1"/>
      <c r="AC450" s="331">
        <v>443</v>
      </c>
      <c r="AD450" s="544">
        <f>+DATE(YEAR(AD449),MONTH(AD449)-1,DAY(AD449))</f>
        <v>25569.041666666668</v>
      </c>
      <c r="AE450" s="341">
        <f>IF($AM$7=$E450,1,IF(MONTH($E450)=1,AE451*(1+$F$5),AE451))</f>
      </c>
      <c r="AF450" s="334">
        <f>AE450*$B$8/12</f>
      </c>
      <c r="AG450" s="334">
        <f>AE450*$B$12/12</f>
      </c>
      <c r="AH450" s="565">
        <f>(1+$AI$5)^(AC450/12)*(AG450+IF(AD450=$AM$7,$AM$4,0))</f>
      </c>
      <c r="AI450" s="170"/>
      <c r="AJ450" s="7"/>
      <c r="AK450" s="1"/>
      <c r="AL450" s="1"/>
      <c r="AM450" s="1"/>
    </row>
    <row x14ac:dyDescent="0.25" r="451" customHeight="1" ht="18.75">
      <c r="A451" s="1"/>
      <c r="B451" s="169"/>
      <c r="C451" s="170"/>
      <c r="D451" s="331">
        <v>444</v>
      </c>
      <c r="E451" s="544">
        <f>+DATE(YEAR(E450),MONTH(E450)-1,DAY(E450))</f>
        <v>25569.041666666668</v>
      </c>
      <c r="F451" s="333">
        <f>IF($C$6=$E451,1,IF(MONTH($E451)=1,F452*(1+$F$5),F452))</f>
      </c>
      <c r="G451" s="333">
        <f>F451*$B$8/12</f>
      </c>
      <c r="H451" s="333">
        <f>IF(F451=1,F451*$B$10/MIN(12,'Simulador - 3º Pilar'!$E$88),0)</f>
      </c>
      <c r="I451" s="560">
        <f>(1+$G$5)^(D451/12)*(H451+IF(E451=$N$7,$N$4,0))</f>
      </c>
      <c r="J451" s="561">
        <f>(1+$G$5)^(D451/12)*(H451*(12-IF(MONTH(E452)=12,0,MONTH(E452)))+IF(AND(F451=1,F452=0),$Q$4,0))*IF(AND(F451=1,F452=0),1,0)</f>
      </c>
      <c r="K451" s="217">
        <f>(1+$G$5)^(D451/12)*(IF(E451=$N$7,$N$4,0)+IF(E451=$C$6,$B$10,0))</f>
      </c>
      <c r="L451" s="217">
        <f>(1+$G$5)^(D451/12)*(IF((E451)&gt;($B$6),H451,0)+IF(E451=$N$7,$N$4,0)+IF(E451=$C$6,0,0))</f>
      </c>
      <c r="M451" s="1"/>
      <c r="N451" s="7"/>
      <c r="O451" s="1"/>
      <c r="P451" s="331">
        <v>444</v>
      </c>
      <c r="Q451" s="544">
        <f>+DATE(YEAR(Q450),MONTH(Q450)-1,DAY(Q450))</f>
        <v>25569.041666666668</v>
      </c>
      <c r="R451" s="341">
        <f>IF($Z$7=$E451,1,IF(MONTH($E451)=1,R452*(1+$F$5),R452))</f>
      </c>
      <c r="S451" s="334">
        <f>R451*$B$8/12</f>
      </c>
      <c r="T451" s="334">
        <f>R451*$B$11/12</f>
      </c>
      <c r="U451" s="565">
        <f>(1+$V$5)^(P451/12)*(T451+IF(Q451=$Z$7,$Z$4,0))</f>
      </c>
      <c r="V451" s="170"/>
      <c r="W451" s="7"/>
      <c r="X451" s="1"/>
      <c r="Y451" s="1"/>
      <c r="Z451" s="1"/>
      <c r="AA451" s="1"/>
      <c r="AB451" s="1"/>
      <c r="AC451" s="331">
        <v>444</v>
      </c>
      <c r="AD451" s="544">
        <f>+DATE(YEAR(AD450),MONTH(AD450)-1,DAY(AD450))</f>
        <v>25569.041666666668</v>
      </c>
      <c r="AE451" s="341">
        <f>IF($AM$7=$E451,1,IF(MONTH($E451)=1,AE452*(1+$F$5),AE452))</f>
      </c>
      <c r="AF451" s="334">
        <f>AE451*$B$8/12</f>
      </c>
      <c r="AG451" s="334">
        <f>AE451*$B$12/12</f>
      </c>
      <c r="AH451" s="565">
        <f>(1+$AI$5)^(AC451/12)*(AG451+IF(AD451=$AM$7,$AM$4,0))</f>
      </c>
      <c r="AI451" s="170"/>
      <c r="AJ451" s="7"/>
      <c r="AK451" s="1"/>
      <c r="AL451" s="1"/>
      <c r="AM451" s="1"/>
    </row>
    <row x14ac:dyDescent="0.25" r="452" customHeight="1" ht="18.75">
      <c r="A452" s="1"/>
      <c r="B452" s="169"/>
      <c r="C452" s="170"/>
      <c r="D452" s="331">
        <v>445</v>
      </c>
      <c r="E452" s="544">
        <f>+DATE(YEAR(E451),MONTH(E451)-1,DAY(E451))</f>
        <v>25569.041666666668</v>
      </c>
      <c r="F452" s="333">
        <f>IF($C$6=$E452,1,IF(MONTH($E452)=1,F453*(1+$F$5),F453))</f>
      </c>
      <c r="G452" s="333">
        <f>F452*$B$8/12</f>
      </c>
      <c r="H452" s="333">
        <f>IF(F452=1,F452*$B$10/MIN(12,'Simulador - 3º Pilar'!$E$88),0)</f>
      </c>
      <c r="I452" s="560">
        <f>(1+$G$5)^(D452/12)*(H452+IF(E452=$N$7,$N$4,0))</f>
      </c>
      <c r="J452" s="561">
        <f>(1+$G$5)^(D452/12)*(H452*(12-IF(MONTH(E453)=12,0,MONTH(E453)))+IF(AND(F452=1,F453=0),$Q$4,0))*IF(AND(F452=1,F453=0),1,0)</f>
      </c>
      <c r="K452" s="217">
        <f>(1+$G$5)^(D452/12)*(IF(E452=$N$7,$N$4,0)+IF(E452=$C$6,$B$10,0))</f>
      </c>
      <c r="L452" s="217">
        <f>(1+$G$5)^(D452/12)*(IF((E452)&gt;($B$6),H452,0)+IF(E452=$N$7,$N$4,0)+IF(E452=$C$6,0,0))</f>
      </c>
      <c r="M452" s="1"/>
      <c r="N452" s="7"/>
      <c r="O452" s="1"/>
      <c r="P452" s="331">
        <v>445</v>
      </c>
      <c r="Q452" s="544">
        <f>+DATE(YEAR(Q451),MONTH(Q451)-1,DAY(Q451))</f>
        <v>25569.041666666668</v>
      </c>
      <c r="R452" s="341">
        <f>IF($Z$7=$E452,1,IF(MONTH($E452)=1,R453*(1+$F$5),R453))</f>
      </c>
      <c r="S452" s="334">
        <f>R452*$B$8/12</f>
      </c>
      <c r="T452" s="334">
        <f>R452*$B$11/12</f>
      </c>
      <c r="U452" s="565">
        <f>(1+$V$5)^(P452/12)*(T452+IF(Q452=$Z$7,$Z$4,0))</f>
      </c>
      <c r="V452" s="170"/>
      <c r="W452" s="7"/>
      <c r="X452" s="1"/>
      <c r="Y452" s="1"/>
      <c r="Z452" s="1"/>
      <c r="AA452" s="1"/>
      <c r="AB452" s="1"/>
      <c r="AC452" s="331">
        <v>445</v>
      </c>
      <c r="AD452" s="544">
        <f>+DATE(YEAR(AD451),MONTH(AD451)-1,DAY(AD451))</f>
        <v>25569.041666666668</v>
      </c>
      <c r="AE452" s="341">
        <f>IF($AM$7=$E452,1,IF(MONTH($E452)=1,AE453*(1+$F$5),AE453))</f>
      </c>
      <c r="AF452" s="334">
        <f>AE452*$B$8/12</f>
      </c>
      <c r="AG452" s="334">
        <f>AE452*$B$12/12</f>
      </c>
      <c r="AH452" s="565">
        <f>(1+$AI$5)^(AC452/12)*(AG452+IF(AD452=$AM$7,$AM$4,0))</f>
      </c>
      <c r="AI452" s="170"/>
      <c r="AJ452" s="7"/>
      <c r="AK452" s="1"/>
      <c r="AL452" s="1"/>
      <c r="AM452" s="1"/>
    </row>
    <row x14ac:dyDescent="0.25" r="453" customHeight="1" ht="18.75">
      <c r="A453" s="1"/>
      <c r="B453" s="169"/>
      <c r="C453" s="170"/>
      <c r="D453" s="331">
        <v>446</v>
      </c>
      <c r="E453" s="544">
        <f>+DATE(YEAR(E452),MONTH(E452)-1,DAY(E452))</f>
        <v>25569.041666666668</v>
      </c>
      <c r="F453" s="333">
        <f>IF($C$6=$E453,1,IF(MONTH($E453)=1,F454*(1+$F$5),F454))</f>
      </c>
      <c r="G453" s="333">
        <f>F453*$B$8/12</f>
      </c>
      <c r="H453" s="333">
        <f>IF(F453=1,F453*$B$10/MIN(12,'Simulador - 3º Pilar'!$E$88),0)</f>
      </c>
      <c r="I453" s="560">
        <f>(1+$G$5)^(D453/12)*(H453+IF(E453=$N$7,$N$4,0))</f>
      </c>
      <c r="J453" s="561">
        <f>(1+$G$5)^(D453/12)*(H453*(12-IF(MONTH(E454)=12,0,MONTH(E454)))+IF(AND(F453=1,F454=0),$Q$4,0))*IF(AND(F453=1,F454=0),1,0)</f>
      </c>
      <c r="K453" s="217">
        <f>(1+$G$5)^(D453/12)*(IF(E453=$N$7,$N$4,0)+IF(E453=$C$6,$B$10,0))</f>
      </c>
      <c r="L453" s="217">
        <f>(1+$G$5)^(D453/12)*(IF((E453)&gt;($B$6),H453,0)+IF(E453=$N$7,$N$4,0)+IF(E453=$C$6,0,0))</f>
      </c>
      <c r="M453" s="1"/>
      <c r="N453" s="7"/>
      <c r="O453" s="1"/>
      <c r="P453" s="331">
        <v>446</v>
      </c>
      <c r="Q453" s="544">
        <f>+DATE(YEAR(Q452),MONTH(Q452)-1,DAY(Q452))</f>
        <v>25569.041666666668</v>
      </c>
      <c r="R453" s="341">
        <f>IF($Z$7=$E453,1,IF(MONTH($E453)=1,R454*(1+$F$5),R454))</f>
      </c>
      <c r="S453" s="334">
        <f>R453*$B$8/12</f>
      </c>
      <c r="T453" s="334">
        <f>R453*$B$11/12</f>
      </c>
      <c r="U453" s="565">
        <f>(1+$V$5)^(P453/12)*(T453+IF(Q453=$Z$7,$Z$4,0))</f>
      </c>
      <c r="V453" s="170"/>
      <c r="W453" s="7"/>
      <c r="X453" s="1"/>
      <c r="Y453" s="1"/>
      <c r="Z453" s="1"/>
      <c r="AA453" s="1"/>
      <c r="AB453" s="1"/>
      <c r="AC453" s="331">
        <v>446</v>
      </c>
      <c r="AD453" s="544">
        <f>+DATE(YEAR(AD452),MONTH(AD452)-1,DAY(AD452))</f>
        <v>25569.041666666668</v>
      </c>
      <c r="AE453" s="341">
        <f>IF($AM$7=$E453,1,IF(MONTH($E453)=1,AE454*(1+$F$5),AE454))</f>
      </c>
      <c r="AF453" s="334">
        <f>AE453*$B$8/12</f>
      </c>
      <c r="AG453" s="334">
        <f>AE453*$B$12/12</f>
      </c>
      <c r="AH453" s="565">
        <f>(1+$AI$5)^(AC453/12)*(AG453+IF(AD453=$AM$7,$AM$4,0))</f>
      </c>
      <c r="AI453" s="170"/>
      <c r="AJ453" s="7"/>
      <c r="AK453" s="1"/>
      <c r="AL453" s="1"/>
      <c r="AM453" s="1"/>
    </row>
    <row x14ac:dyDescent="0.25" r="454" customHeight="1" ht="18.75">
      <c r="A454" s="1"/>
      <c r="B454" s="169"/>
      <c r="C454" s="170"/>
      <c r="D454" s="331">
        <v>447</v>
      </c>
      <c r="E454" s="544">
        <f>+DATE(YEAR(E453),MONTH(E453)-1,DAY(E453))</f>
        <v>25569.041666666668</v>
      </c>
      <c r="F454" s="333">
        <f>IF($C$6=$E454,1,IF(MONTH($E454)=1,F455*(1+$F$5),F455))</f>
      </c>
      <c r="G454" s="333">
        <f>F454*$B$8/12</f>
      </c>
      <c r="H454" s="333">
        <f>IF(F454=1,F454*$B$10/MIN(12,'Simulador - 3º Pilar'!$E$88),0)</f>
      </c>
      <c r="I454" s="560">
        <f>(1+$G$5)^(D454/12)*(H454+IF(E454=$N$7,$N$4,0))</f>
      </c>
      <c r="J454" s="561">
        <f>(1+$G$5)^(D454/12)*(H454*(12-IF(MONTH(E455)=12,0,MONTH(E455)))+IF(AND(F454=1,F455=0),$Q$4,0))*IF(AND(F454=1,F455=0),1,0)</f>
      </c>
      <c r="K454" s="217">
        <f>(1+$G$5)^(D454/12)*(IF(E454=$N$7,$N$4,0)+IF(E454=$C$6,$B$10,0))</f>
      </c>
      <c r="L454" s="217">
        <f>(1+$G$5)^(D454/12)*(IF((E454)&gt;($B$6),H454,0)+IF(E454=$N$7,$N$4,0)+IF(E454=$C$6,0,0))</f>
      </c>
      <c r="M454" s="1"/>
      <c r="N454" s="7"/>
      <c r="O454" s="1"/>
      <c r="P454" s="331">
        <v>447</v>
      </c>
      <c r="Q454" s="544">
        <f>+DATE(YEAR(Q453),MONTH(Q453)-1,DAY(Q453))</f>
        <v>25569.041666666668</v>
      </c>
      <c r="R454" s="341">
        <f>IF($Z$7=$E454,1,IF(MONTH($E454)=1,R455*(1+$F$5),R455))</f>
      </c>
      <c r="S454" s="334">
        <f>R454*$B$8/12</f>
      </c>
      <c r="T454" s="334">
        <f>R454*$B$11/12</f>
      </c>
      <c r="U454" s="565">
        <f>(1+$V$5)^(P454/12)*(T454+IF(Q454=$Z$7,$Z$4,0))</f>
      </c>
      <c r="V454" s="170"/>
      <c r="W454" s="7"/>
      <c r="X454" s="1"/>
      <c r="Y454" s="1"/>
      <c r="Z454" s="1"/>
      <c r="AA454" s="1"/>
      <c r="AB454" s="1"/>
      <c r="AC454" s="331">
        <v>447</v>
      </c>
      <c r="AD454" s="544">
        <f>+DATE(YEAR(AD453),MONTH(AD453)-1,DAY(AD453))</f>
        <v>25569.041666666668</v>
      </c>
      <c r="AE454" s="341">
        <f>IF($AM$7=$E454,1,IF(MONTH($E454)=1,AE455*(1+$F$5),AE455))</f>
      </c>
      <c r="AF454" s="334">
        <f>AE454*$B$8/12</f>
      </c>
      <c r="AG454" s="334">
        <f>AE454*$B$12/12</f>
      </c>
      <c r="AH454" s="565">
        <f>(1+$AI$5)^(AC454/12)*(AG454+IF(AD454=$AM$7,$AM$4,0))</f>
      </c>
      <c r="AI454" s="170"/>
      <c r="AJ454" s="7"/>
      <c r="AK454" s="1"/>
      <c r="AL454" s="1"/>
      <c r="AM454" s="1"/>
    </row>
    <row x14ac:dyDescent="0.25" r="455" customHeight="1" ht="18.75">
      <c r="A455" s="1"/>
      <c r="B455" s="169"/>
      <c r="C455" s="170"/>
      <c r="D455" s="331">
        <v>448</v>
      </c>
      <c r="E455" s="544">
        <f>+DATE(YEAR(E454),MONTH(E454)-1,DAY(E454))</f>
        <v>25569.041666666668</v>
      </c>
      <c r="F455" s="333">
        <f>IF($C$6=$E455,1,IF(MONTH($E455)=1,F456*(1+$F$5),F456))</f>
      </c>
      <c r="G455" s="333">
        <f>F455*$B$8/12</f>
      </c>
      <c r="H455" s="333">
        <f>IF(F455=1,F455*$B$10/MIN(12,'Simulador - 3º Pilar'!$E$88),0)</f>
      </c>
      <c r="I455" s="560">
        <f>(1+$G$5)^(D455/12)*(H455+IF(E455=$N$7,$N$4,0))</f>
      </c>
      <c r="J455" s="561">
        <f>(1+$G$5)^(D455/12)*(H455*(12-IF(MONTH(E456)=12,0,MONTH(E456)))+IF(AND(F455=1,F456=0),$Q$4,0))*IF(AND(F455=1,F456=0),1,0)</f>
      </c>
      <c r="K455" s="217">
        <f>(1+$G$5)^(D455/12)*(IF(E455=$N$7,$N$4,0)+IF(E455=$C$6,$B$10,0))</f>
      </c>
      <c r="L455" s="217">
        <f>(1+$G$5)^(D455/12)*(IF((E455)&gt;($B$6),H455,0)+IF(E455=$N$7,$N$4,0)+IF(E455=$C$6,0,0))</f>
      </c>
      <c r="M455" s="1"/>
      <c r="N455" s="7"/>
      <c r="O455" s="1"/>
      <c r="P455" s="331">
        <v>448</v>
      </c>
      <c r="Q455" s="544">
        <f>+DATE(YEAR(Q454),MONTH(Q454)-1,DAY(Q454))</f>
        <v>25569.041666666668</v>
      </c>
      <c r="R455" s="341">
        <f>IF($Z$7=$E455,1,IF(MONTH($E455)=1,R456*(1+$F$5),R456))</f>
      </c>
      <c r="S455" s="334">
        <f>R455*$B$8/12</f>
      </c>
      <c r="T455" s="334">
        <f>R455*$B$11/12</f>
      </c>
      <c r="U455" s="565">
        <f>(1+$V$5)^(P455/12)*(T455+IF(Q455=$Z$7,$Z$4,0))</f>
      </c>
      <c r="V455" s="170"/>
      <c r="W455" s="7"/>
      <c r="X455" s="1"/>
      <c r="Y455" s="1"/>
      <c r="Z455" s="1"/>
      <c r="AA455" s="1"/>
      <c r="AB455" s="1"/>
      <c r="AC455" s="331">
        <v>448</v>
      </c>
      <c r="AD455" s="544">
        <f>+DATE(YEAR(AD454),MONTH(AD454)-1,DAY(AD454))</f>
        <v>25569.041666666668</v>
      </c>
      <c r="AE455" s="341">
        <f>IF($AM$7=$E455,1,IF(MONTH($E455)=1,AE456*(1+$F$5),AE456))</f>
      </c>
      <c r="AF455" s="334">
        <f>AE455*$B$8/12</f>
      </c>
      <c r="AG455" s="334">
        <f>AE455*$B$12/12</f>
      </c>
      <c r="AH455" s="565">
        <f>(1+$AI$5)^(AC455/12)*(AG455+IF(AD455=$AM$7,$AM$4,0))</f>
      </c>
      <c r="AI455" s="170"/>
      <c r="AJ455" s="7"/>
      <c r="AK455" s="1"/>
      <c r="AL455" s="1"/>
      <c r="AM455" s="1"/>
    </row>
    <row x14ac:dyDescent="0.25" r="456" customHeight="1" ht="18.75">
      <c r="A456" s="1"/>
      <c r="B456" s="169"/>
      <c r="C456" s="170"/>
      <c r="D456" s="331">
        <v>449</v>
      </c>
      <c r="E456" s="544">
        <f>+DATE(YEAR(E455),MONTH(E455)-1,DAY(E455))</f>
        <v>25569.041666666668</v>
      </c>
      <c r="F456" s="333">
        <f>IF($C$6=$E456,1,IF(MONTH($E456)=1,F457*(1+$F$5),F457))</f>
      </c>
      <c r="G456" s="333">
        <f>F456*$B$8/12</f>
      </c>
      <c r="H456" s="333">
        <f>IF(F456=1,F456*$B$10/MIN(12,'Simulador - 3º Pilar'!$E$88),0)</f>
      </c>
      <c r="I456" s="560">
        <f>(1+$G$5)^(D456/12)*(H456+IF(E456=$N$7,$N$4,0))</f>
      </c>
      <c r="J456" s="561">
        <f>(1+$G$5)^(D456/12)*(H456*(12-IF(MONTH(E457)=12,0,MONTH(E457)))+IF(AND(F456=1,F457=0),$Q$4,0))*IF(AND(F456=1,F457=0),1,0)</f>
      </c>
      <c r="K456" s="217">
        <f>(1+$G$5)^(D456/12)*(IF(E456=$N$7,$N$4,0)+IF(E456=$C$6,$B$10,0))</f>
      </c>
      <c r="L456" s="217">
        <f>(1+$G$5)^(D456/12)*(IF((E456)&gt;($B$6),H456,0)+IF(E456=$N$7,$N$4,0)+IF(E456=$C$6,0,0))</f>
      </c>
      <c r="M456" s="1"/>
      <c r="N456" s="7"/>
      <c r="O456" s="1"/>
      <c r="P456" s="331">
        <v>449</v>
      </c>
      <c r="Q456" s="544">
        <f>+DATE(YEAR(Q455),MONTH(Q455)-1,DAY(Q455))</f>
        <v>25569.041666666668</v>
      </c>
      <c r="R456" s="341">
        <f>IF($Z$7=$E456,1,IF(MONTH($E456)=1,R457*(1+$F$5),R457))</f>
      </c>
      <c r="S456" s="334">
        <f>R456*$B$8/12</f>
      </c>
      <c r="T456" s="334">
        <f>R456*$B$11/12</f>
      </c>
      <c r="U456" s="565">
        <f>(1+$V$5)^(P456/12)*(T456+IF(Q456=$Z$7,$Z$4,0))</f>
      </c>
      <c r="V456" s="170"/>
      <c r="W456" s="7"/>
      <c r="X456" s="1"/>
      <c r="Y456" s="1"/>
      <c r="Z456" s="1"/>
      <c r="AA456" s="1"/>
      <c r="AB456" s="1"/>
      <c r="AC456" s="331">
        <v>449</v>
      </c>
      <c r="AD456" s="544">
        <f>+DATE(YEAR(AD455),MONTH(AD455)-1,DAY(AD455))</f>
        <v>25569.041666666668</v>
      </c>
      <c r="AE456" s="341">
        <f>IF($AM$7=$E456,1,IF(MONTH($E456)=1,AE457*(1+$F$5),AE457))</f>
      </c>
      <c r="AF456" s="334">
        <f>AE456*$B$8/12</f>
      </c>
      <c r="AG456" s="334">
        <f>AE456*$B$12/12</f>
      </c>
      <c r="AH456" s="565">
        <f>(1+$AI$5)^(AC456/12)*(AG456+IF(AD456=$AM$7,$AM$4,0))</f>
      </c>
      <c r="AI456" s="170"/>
      <c r="AJ456" s="7"/>
      <c r="AK456" s="1"/>
      <c r="AL456" s="1"/>
      <c r="AM456" s="1"/>
    </row>
    <row x14ac:dyDescent="0.25" r="457" customHeight="1" ht="18.75">
      <c r="A457" s="1"/>
      <c r="B457" s="169"/>
      <c r="C457" s="170"/>
      <c r="D457" s="331">
        <v>450</v>
      </c>
      <c r="E457" s="544">
        <f>+DATE(YEAR(E456),MONTH(E456)-1,DAY(E456))</f>
        <v>25569.041666666668</v>
      </c>
      <c r="F457" s="333">
        <f>IF($C$6=$E457,1,IF(MONTH($E457)=1,F458*(1+$F$5),F458))</f>
      </c>
      <c r="G457" s="333">
        <f>F457*$B$8/12</f>
      </c>
      <c r="H457" s="333">
        <f>IF(F457=1,F457*$B$10/MIN(12,'Simulador - 3º Pilar'!$E$88),0)</f>
      </c>
      <c r="I457" s="560">
        <f>(1+$G$5)^(D457/12)*(H457+IF(E457=$N$7,$N$4,0))</f>
      </c>
      <c r="J457" s="561">
        <f>(1+$G$5)^(D457/12)*(H457*(12-IF(MONTH(E458)=12,0,MONTH(E458)))+IF(AND(F457=1,F458=0),$Q$4,0))*IF(AND(F457=1,F458=0),1,0)</f>
      </c>
      <c r="K457" s="217">
        <f>(1+$G$5)^(D457/12)*(IF(E457=$N$7,$N$4,0)+IF(E457=$C$6,$B$10,0))</f>
      </c>
      <c r="L457" s="217">
        <f>(1+$G$5)^(D457/12)*(IF((E457)&gt;($B$6),H457,0)+IF(E457=$N$7,$N$4,0)+IF(E457=$C$6,0,0))</f>
      </c>
      <c r="M457" s="1"/>
      <c r="N457" s="7"/>
      <c r="O457" s="1"/>
      <c r="P457" s="331">
        <v>450</v>
      </c>
      <c r="Q457" s="544">
        <f>+DATE(YEAR(Q456),MONTH(Q456)-1,DAY(Q456))</f>
        <v>25569.041666666668</v>
      </c>
      <c r="R457" s="341">
        <f>IF($Z$7=$E457,1,IF(MONTH($E457)=1,R458*(1+$F$5),R458))</f>
      </c>
      <c r="S457" s="334">
        <f>R457*$B$8/12</f>
      </c>
      <c r="T457" s="334">
        <f>R457*$B$11/12</f>
      </c>
      <c r="U457" s="565">
        <f>(1+$V$5)^(P457/12)*(T457+IF(Q457=$Z$7,$Z$4,0))</f>
      </c>
      <c r="V457" s="170"/>
      <c r="W457" s="7"/>
      <c r="X457" s="1"/>
      <c r="Y457" s="1"/>
      <c r="Z457" s="1"/>
      <c r="AA457" s="1"/>
      <c r="AB457" s="1"/>
      <c r="AC457" s="331">
        <v>450</v>
      </c>
      <c r="AD457" s="544">
        <f>+DATE(YEAR(AD456),MONTH(AD456)-1,DAY(AD456))</f>
        <v>25569.041666666668</v>
      </c>
      <c r="AE457" s="341">
        <f>IF($AM$7=$E457,1,IF(MONTH($E457)=1,AE458*(1+$F$5),AE458))</f>
      </c>
      <c r="AF457" s="334">
        <f>AE457*$B$8/12</f>
      </c>
      <c r="AG457" s="334">
        <f>AE457*$B$12/12</f>
      </c>
      <c r="AH457" s="565">
        <f>(1+$AI$5)^(AC457/12)*(AG457+IF(AD457=$AM$7,$AM$4,0))</f>
      </c>
      <c r="AI457" s="170"/>
      <c r="AJ457" s="7"/>
      <c r="AK457" s="1"/>
      <c r="AL457" s="1"/>
      <c r="AM457" s="1"/>
    </row>
    <row x14ac:dyDescent="0.25" r="458" customHeight="1" ht="18.75">
      <c r="A458" s="1"/>
      <c r="B458" s="169"/>
      <c r="C458" s="170"/>
      <c r="D458" s="331">
        <v>451</v>
      </c>
      <c r="E458" s="544">
        <f>+DATE(YEAR(E457),MONTH(E457)-1,DAY(E457))</f>
        <v>25569.041666666668</v>
      </c>
      <c r="F458" s="333">
        <f>IF($C$6=$E458,1,IF(MONTH($E458)=1,F459*(1+$F$5),F459))</f>
      </c>
      <c r="G458" s="333">
        <f>F458*$B$8/12</f>
      </c>
      <c r="H458" s="333">
        <f>IF(F458=1,F458*$B$10/MIN(12,'Simulador - 3º Pilar'!$E$88),0)</f>
      </c>
      <c r="I458" s="560">
        <f>(1+$G$5)^(D458/12)*(H458+IF(E458=$N$7,$N$4,0))</f>
      </c>
      <c r="J458" s="561">
        <f>(1+$G$5)^(D458/12)*(H458*(12-IF(MONTH(E459)=12,0,MONTH(E459)))+IF(AND(F458=1,F459=0),$Q$4,0))*IF(AND(F458=1,F459=0),1,0)</f>
      </c>
      <c r="K458" s="217">
        <f>(1+$G$5)^(D458/12)*(IF(E458=$N$7,$N$4,0)+IF(E458=$C$6,$B$10,0))</f>
      </c>
      <c r="L458" s="217">
        <f>(1+$G$5)^(D458/12)*(IF((E458)&gt;($B$6),H458,0)+IF(E458=$N$7,$N$4,0)+IF(E458=$C$6,0,0))</f>
      </c>
      <c r="M458" s="1"/>
      <c r="N458" s="7"/>
      <c r="O458" s="1"/>
      <c r="P458" s="331">
        <v>451</v>
      </c>
      <c r="Q458" s="544">
        <f>+DATE(YEAR(Q457),MONTH(Q457)-1,DAY(Q457))</f>
        <v>25569.041666666668</v>
      </c>
      <c r="R458" s="341">
        <f>IF($Z$7=$E458,1,IF(MONTH($E458)=1,R459*(1+$F$5),R459))</f>
      </c>
      <c r="S458" s="334">
        <f>R458*$B$8/12</f>
      </c>
      <c r="T458" s="334">
        <f>R458*$B$11/12</f>
      </c>
      <c r="U458" s="565">
        <f>(1+$V$5)^(P458/12)*(T458+IF(Q458=$Z$7,$Z$4,0))</f>
      </c>
      <c r="V458" s="170"/>
      <c r="W458" s="7"/>
      <c r="X458" s="1"/>
      <c r="Y458" s="1"/>
      <c r="Z458" s="1"/>
      <c r="AA458" s="1"/>
      <c r="AB458" s="1"/>
      <c r="AC458" s="331">
        <v>451</v>
      </c>
      <c r="AD458" s="544">
        <f>+DATE(YEAR(AD457),MONTH(AD457)-1,DAY(AD457))</f>
        <v>25569.041666666668</v>
      </c>
      <c r="AE458" s="341">
        <f>IF($AM$7=$E458,1,IF(MONTH($E458)=1,AE459*(1+$F$5),AE459))</f>
      </c>
      <c r="AF458" s="334">
        <f>AE458*$B$8/12</f>
      </c>
      <c r="AG458" s="334">
        <f>AE458*$B$12/12</f>
      </c>
      <c r="AH458" s="565">
        <f>(1+$AI$5)^(AC458/12)*(AG458+IF(AD458=$AM$7,$AM$4,0))</f>
      </c>
      <c r="AI458" s="170"/>
      <c r="AJ458" s="7"/>
      <c r="AK458" s="1"/>
      <c r="AL458" s="1"/>
      <c r="AM458" s="1"/>
    </row>
    <row x14ac:dyDescent="0.25" r="459" customHeight="1" ht="18.75">
      <c r="A459" s="1"/>
      <c r="B459" s="169"/>
      <c r="C459" s="170"/>
      <c r="D459" s="331">
        <v>452</v>
      </c>
      <c r="E459" s="544">
        <f>+DATE(YEAR(E458),MONTH(E458)-1,DAY(E458))</f>
        <v>25569.041666666668</v>
      </c>
      <c r="F459" s="333">
        <f>IF($C$6=$E459,1,IF(MONTH($E459)=1,F460*(1+$F$5),F460))</f>
      </c>
      <c r="G459" s="333">
        <f>F459*$B$8/12</f>
      </c>
      <c r="H459" s="333">
        <f>IF(F459=1,F459*$B$10/MIN(12,'Simulador - 3º Pilar'!$E$88),0)</f>
      </c>
      <c r="I459" s="560">
        <f>(1+$G$5)^(D459/12)*(H459+IF(E459=$N$7,$N$4,0))</f>
      </c>
      <c r="J459" s="561">
        <f>(1+$G$5)^(D459/12)*(H459*(12-IF(MONTH(E460)=12,0,MONTH(E460)))+IF(AND(F459=1,F460=0),$Q$4,0))*IF(AND(F459=1,F460=0),1,0)</f>
      </c>
      <c r="K459" s="217">
        <f>(1+$G$5)^(D459/12)*(IF(E459=$N$7,$N$4,0)+IF(E459=$C$6,$B$10,0))</f>
      </c>
      <c r="L459" s="217">
        <f>(1+$G$5)^(D459/12)*(IF((E459)&gt;($B$6),H459,0)+IF(E459=$N$7,$N$4,0)+IF(E459=$C$6,0,0))</f>
      </c>
      <c r="M459" s="1"/>
      <c r="N459" s="7"/>
      <c r="O459" s="1"/>
      <c r="P459" s="331">
        <v>452</v>
      </c>
      <c r="Q459" s="544">
        <f>+DATE(YEAR(Q458),MONTH(Q458)-1,DAY(Q458))</f>
        <v>25569.041666666668</v>
      </c>
      <c r="R459" s="341">
        <f>IF($Z$7=$E459,1,IF(MONTH($E459)=1,R460*(1+$F$5),R460))</f>
      </c>
      <c r="S459" s="334">
        <f>R459*$B$8/12</f>
      </c>
      <c r="T459" s="334">
        <f>R459*$B$11/12</f>
      </c>
      <c r="U459" s="565">
        <f>(1+$V$5)^(P459/12)*(T459+IF(Q459=$Z$7,$Z$4,0))</f>
      </c>
      <c r="V459" s="170"/>
      <c r="W459" s="7"/>
      <c r="X459" s="1"/>
      <c r="Y459" s="1"/>
      <c r="Z459" s="1"/>
      <c r="AA459" s="1"/>
      <c r="AB459" s="1"/>
      <c r="AC459" s="331">
        <v>452</v>
      </c>
      <c r="AD459" s="544">
        <f>+DATE(YEAR(AD458),MONTH(AD458)-1,DAY(AD458))</f>
        <v>25569.041666666668</v>
      </c>
      <c r="AE459" s="341">
        <f>IF($AM$7=$E459,1,IF(MONTH($E459)=1,AE460*(1+$F$5),AE460))</f>
      </c>
      <c r="AF459" s="334">
        <f>AE459*$B$8/12</f>
      </c>
      <c r="AG459" s="334">
        <f>AE459*$B$12/12</f>
      </c>
      <c r="AH459" s="565">
        <f>(1+$AI$5)^(AC459/12)*(AG459+IF(AD459=$AM$7,$AM$4,0))</f>
      </c>
      <c r="AI459" s="170"/>
      <c r="AJ459" s="7"/>
      <c r="AK459" s="1"/>
      <c r="AL459" s="1"/>
      <c r="AM459" s="1"/>
    </row>
    <row x14ac:dyDescent="0.25" r="460" customHeight="1" ht="18.75">
      <c r="A460" s="1"/>
      <c r="B460" s="169"/>
      <c r="C460" s="170"/>
      <c r="D460" s="331">
        <v>453</v>
      </c>
      <c r="E460" s="544">
        <f>+DATE(YEAR(E459),MONTH(E459)-1,DAY(E459))</f>
        <v>25569.041666666668</v>
      </c>
      <c r="F460" s="333">
        <f>IF($C$6=$E460,1,IF(MONTH($E460)=1,F461*(1+$F$5),F461))</f>
      </c>
      <c r="G460" s="333">
        <f>F460*$B$8/12</f>
      </c>
      <c r="H460" s="333">
        <f>IF(F460=1,F460*$B$10/MIN(12,'Simulador - 3º Pilar'!$E$88),0)</f>
      </c>
      <c r="I460" s="560">
        <f>(1+$G$5)^(D460/12)*(H460+IF(E460=$N$7,$N$4,0))</f>
      </c>
      <c r="J460" s="561">
        <f>(1+$G$5)^(D460/12)*(H460*(12-IF(MONTH(E461)=12,0,MONTH(E461)))+IF(AND(F460=1,F461=0),$Q$4,0))*IF(AND(F460=1,F461=0),1,0)</f>
      </c>
      <c r="K460" s="217">
        <f>(1+$G$5)^(D460/12)*(IF(E460=$N$7,$N$4,0)+IF(E460=$C$6,$B$10,0))</f>
      </c>
      <c r="L460" s="217">
        <f>(1+$G$5)^(D460/12)*(IF((E460)&gt;($B$6),H460,0)+IF(E460=$N$7,$N$4,0)+IF(E460=$C$6,0,0))</f>
      </c>
      <c r="M460" s="1"/>
      <c r="N460" s="7"/>
      <c r="O460" s="1"/>
      <c r="P460" s="331">
        <v>453</v>
      </c>
      <c r="Q460" s="544">
        <f>+DATE(YEAR(Q459),MONTH(Q459)-1,DAY(Q459))</f>
        <v>25569.041666666668</v>
      </c>
      <c r="R460" s="341">
        <f>IF($Z$7=$E460,1,IF(MONTH($E460)=1,R461*(1+$F$5),R461))</f>
      </c>
      <c r="S460" s="334">
        <f>R460*$B$8/12</f>
      </c>
      <c r="T460" s="334">
        <f>R460*$B$11/12</f>
      </c>
      <c r="U460" s="565">
        <f>(1+$V$5)^(P460/12)*(T460+IF(Q460=$Z$7,$Z$4,0))</f>
      </c>
      <c r="V460" s="170"/>
      <c r="W460" s="7"/>
      <c r="X460" s="1"/>
      <c r="Y460" s="1"/>
      <c r="Z460" s="1"/>
      <c r="AA460" s="1"/>
      <c r="AB460" s="1"/>
      <c r="AC460" s="331">
        <v>453</v>
      </c>
      <c r="AD460" s="544">
        <f>+DATE(YEAR(AD459),MONTH(AD459)-1,DAY(AD459))</f>
        <v>25569.041666666668</v>
      </c>
      <c r="AE460" s="341">
        <f>IF($AM$7=$E460,1,IF(MONTH($E460)=1,AE461*(1+$F$5),AE461))</f>
      </c>
      <c r="AF460" s="334">
        <f>AE460*$B$8/12</f>
      </c>
      <c r="AG460" s="334">
        <f>AE460*$B$12/12</f>
      </c>
      <c r="AH460" s="565">
        <f>(1+$AI$5)^(AC460/12)*(AG460+IF(AD460=$AM$7,$AM$4,0))</f>
      </c>
      <c r="AI460" s="170"/>
      <c r="AJ460" s="7"/>
      <c r="AK460" s="1"/>
      <c r="AL460" s="1"/>
      <c r="AM460" s="1"/>
    </row>
    <row x14ac:dyDescent="0.25" r="461" customHeight="1" ht="18.75">
      <c r="A461" s="1"/>
      <c r="B461" s="169"/>
      <c r="C461" s="170"/>
      <c r="D461" s="331">
        <v>454</v>
      </c>
      <c r="E461" s="544">
        <f>+DATE(YEAR(E460),MONTH(E460)-1,DAY(E460))</f>
        <v>25569.041666666668</v>
      </c>
      <c r="F461" s="333">
        <f>IF($C$6=$E461,1,IF(MONTH($E461)=1,F462*(1+$F$5),F462))</f>
      </c>
      <c r="G461" s="333">
        <f>F461*$B$8/12</f>
      </c>
      <c r="H461" s="333">
        <f>IF(F461=1,F461*$B$10/MIN(12,'Simulador - 3º Pilar'!$E$88),0)</f>
      </c>
      <c r="I461" s="560">
        <f>(1+$G$5)^(D461/12)*(H461+IF(E461=$N$7,$N$4,0))</f>
      </c>
      <c r="J461" s="561">
        <f>(1+$G$5)^(D461/12)*(H461*(12-IF(MONTH(E462)=12,0,MONTH(E462)))+IF(AND(F461=1,F462=0),$Q$4,0))*IF(AND(F461=1,F462=0),1,0)</f>
      </c>
      <c r="K461" s="217">
        <f>(1+$G$5)^(D461/12)*(IF(E461=$N$7,$N$4,0)+IF(E461=$C$6,$B$10,0))</f>
      </c>
      <c r="L461" s="217">
        <f>(1+$G$5)^(D461/12)*(IF((E461)&gt;($B$6),H461,0)+IF(E461=$N$7,$N$4,0)+IF(E461=$C$6,0,0))</f>
      </c>
      <c r="M461" s="1"/>
      <c r="N461" s="7"/>
      <c r="O461" s="1"/>
      <c r="P461" s="331">
        <v>454</v>
      </c>
      <c r="Q461" s="544">
        <f>+DATE(YEAR(Q460),MONTH(Q460)-1,DAY(Q460))</f>
        <v>25569.041666666668</v>
      </c>
      <c r="R461" s="341">
        <f>IF($Z$7=$E461,1,IF(MONTH($E461)=1,R462*(1+$F$5),R462))</f>
      </c>
      <c r="S461" s="334">
        <f>R461*$B$8/12</f>
      </c>
      <c r="T461" s="334">
        <f>R461*$B$11/12</f>
      </c>
      <c r="U461" s="565">
        <f>(1+$V$5)^(P461/12)*(T461+IF(Q461=$Z$7,$Z$4,0))</f>
      </c>
      <c r="V461" s="170"/>
      <c r="W461" s="7"/>
      <c r="X461" s="1"/>
      <c r="Y461" s="1"/>
      <c r="Z461" s="1"/>
      <c r="AA461" s="1"/>
      <c r="AB461" s="1"/>
      <c r="AC461" s="331">
        <v>454</v>
      </c>
      <c r="AD461" s="544">
        <f>+DATE(YEAR(AD460),MONTH(AD460)-1,DAY(AD460))</f>
        <v>25569.041666666668</v>
      </c>
      <c r="AE461" s="341">
        <f>IF($AM$7=$E461,1,IF(MONTH($E461)=1,AE462*(1+$F$5),AE462))</f>
      </c>
      <c r="AF461" s="334">
        <f>AE461*$B$8/12</f>
      </c>
      <c r="AG461" s="334">
        <f>AE461*$B$12/12</f>
      </c>
      <c r="AH461" s="565">
        <f>(1+$AI$5)^(AC461/12)*(AG461+IF(AD461=$AM$7,$AM$4,0))</f>
      </c>
      <c r="AI461" s="170"/>
      <c r="AJ461" s="7"/>
      <c r="AK461" s="1"/>
      <c r="AL461" s="1"/>
      <c r="AM461" s="1"/>
    </row>
    <row x14ac:dyDescent="0.25" r="462" customHeight="1" ht="18.75">
      <c r="A462" s="1"/>
      <c r="B462" s="169"/>
      <c r="C462" s="170"/>
      <c r="D462" s="331">
        <v>455</v>
      </c>
      <c r="E462" s="544">
        <f>+DATE(YEAR(E461),MONTH(E461)-1,DAY(E461))</f>
        <v>25569.041666666668</v>
      </c>
      <c r="F462" s="333">
        <f>IF($C$6=$E462,1,IF(MONTH($E462)=1,F463*(1+$F$5),F463))</f>
      </c>
      <c r="G462" s="333">
        <f>F462*$B$8/12</f>
      </c>
      <c r="H462" s="333">
        <f>IF(F462=1,F462*$B$10/MIN(12,'Simulador - 3º Pilar'!$E$88),0)</f>
      </c>
      <c r="I462" s="560">
        <f>(1+$G$5)^(D462/12)*(H462+IF(E462=$N$7,$N$4,0))</f>
      </c>
      <c r="J462" s="561">
        <f>(1+$G$5)^(D462/12)*(H462*(12-IF(MONTH(E463)=12,0,MONTH(E463)))+IF(AND(F462=1,F463=0),$Q$4,0))*IF(AND(F462=1,F463=0),1,0)</f>
      </c>
      <c r="K462" s="217">
        <f>(1+$G$5)^(D462/12)*(IF(E462=$N$7,$N$4,0)+IF(E462=$C$6,$B$10,0))</f>
      </c>
      <c r="L462" s="217">
        <f>(1+$G$5)^(D462/12)*(IF((E462)&gt;($B$6),H462,0)+IF(E462=$N$7,$N$4,0)+IF(E462=$C$6,0,0))</f>
      </c>
      <c r="M462" s="1"/>
      <c r="N462" s="7"/>
      <c r="O462" s="1"/>
      <c r="P462" s="331">
        <v>455</v>
      </c>
      <c r="Q462" s="544">
        <f>+DATE(YEAR(Q461),MONTH(Q461)-1,DAY(Q461))</f>
        <v>25569.041666666668</v>
      </c>
      <c r="R462" s="341">
        <f>IF($Z$7=$E462,1,IF(MONTH($E462)=1,R463*(1+$F$5),R463))</f>
      </c>
      <c r="S462" s="334">
        <f>R462*$B$8/12</f>
      </c>
      <c r="T462" s="334">
        <f>R462*$B$11/12</f>
      </c>
      <c r="U462" s="565">
        <f>(1+$V$5)^(P462/12)*(T462+IF(Q462=$Z$7,$Z$4,0))</f>
      </c>
      <c r="V462" s="170"/>
      <c r="W462" s="7"/>
      <c r="X462" s="1"/>
      <c r="Y462" s="1"/>
      <c r="Z462" s="1"/>
      <c r="AA462" s="1"/>
      <c r="AB462" s="1"/>
      <c r="AC462" s="331">
        <v>455</v>
      </c>
      <c r="AD462" s="544">
        <f>+DATE(YEAR(AD461),MONTH(AD461)-1,DAY(AD461))</f>
        <v>25569.041666666668</v>
      </c>
      <c r="AE462" s="341">
        <f>IF($AM$7=$E462,1,IF(MONTH($E462)=1,AE463*(1+$F$5),AE463))</f>
      </c>
      <c r="AF462" s="334">
        <f>AE462*$B$8/12</f>
      </c>
      <c r="AG462" s="334">
        <f>AE462*$B$12/12</f>
      </c>
      <c r="AH462" s="565">
        <f>(1+$AI$5)^(AC462/12)*(AG462+IF(AD462=$AM$7,$AM$4,0))</f>
      </c>
      <c r="AI462" s="170"/>
      <c r="AJ462" s="7"/>
      <c r="AK462" s="1"/>
      <c r="AL462" s="1"/>
      <c r="AM462" s="1"/>
    </row>
    <row x14ac:dyDescent="0.25" r="463" customHeight="1" ht="18.75">
      <c r="A463" s="1"/>
      <c r="B463" s="169"/>
      <c r="C463" s="170"/>
      <c r="D463" s="331">
        <v>456</v>
      </c>
      <c r="E463" s="544">
        <f>+DATE(YEAR(E462),MONTH(E462)-1,DAY(E462))</f>
        <v>25569.041666666668</v>
      </c>
      <c r="F463" s="333">
        <f>IF($C$6=$E463,1,IF(MONTH($E463)=1,F464*(1+$F$5),F464))</f>
      </c>
      <c r="G463" s="333">
        <f>F463*$B$8/12</f>
      </c>
      <c r="H463" s="333">
        <f>IF(F463=1,F463*$B$10/MIN(12,'Simulador - 3º Pilar'!$E$88),0)</f>
      </c>
      <c r="I463" s="560">
        <f>(1+$G$5)^(D463/12)*(H463+IF(E463=$N$7,$N$4,0))</f>
      </c>
      <c r="J463" s="561">
        <f>(1+$G$5)^(D463/12)*(H463*(12-IF(MONTH(E464)=12,0,MONTH(E464)))+IF(AND(F463=1,F464=0),$Q$4,0))*IF(AND(F463=1,F464=0),1,0)</f>
      </c>
      <c r="K463" s="217">
        <f>(1+$G$5)^(D463/12)*(IF(E463=$N$7,$N$4,0)+IF(E463=$C$6,$B$10,0))</f>
      </c>
      <c r="L463" s="217">
        <f>(1+$G$5)^(D463/12)*(IF((E463)&gt;($B$6),H463,0)+IF(E463=$N$7,$N$4,0)+IF(E463=$C$6,0,0))</f>
      </c>
      <c r="M463" s="1"/>
      <c r="N463" s="7"/>
      <c r="O463" s="1"/>
      <c r="P463" s="331">
        <v>456</v>
      </c>
      <c r="Q463" s="544">
        <f>+DATE(YEAR(Q462),MONTH(Q462)-1,DAY(Q462))</f>
        <v>25569.041666666668</v>
      </c>
      <c r="R463" s="341">
        <f>IF($Z$7=$E463,1,IF(MONTH($E463)=1,R464*(1+$F$5),R464))</f>
      </c>
      <c r="S463" s="334">
        <f>R463*$B$8/12</f>
      </c>
      <c r="T463" s="334">
        <f>R463*$B$11/12</f>
      </c>
      <c r="U463" s="565">
        <f>(1+$V$5)^(P463/12)*(T463+IF(Q463=$Z$7,$Z$4,0))</f>
      </c>
      <c r="V463" s="170"/>
      <c r="W463" s="7"/>
      <c r="X463" s="1"/>
      <c r="Y463" s="1"/>
      <c r="Z463" s="1"/>
      <c r="AA463" s="1"/>
      <c r="AB463" s="1"/>
      <c r="AC463" s="331">
        <v>456</v>
      </c>
      <c r="AD463" s="544">
        <f>+DATE(YEAR(AD462),MONTH(AD462)-1,DAY(AD462))</f>
        <v>25569.041666666668</v>
      </c>
      <c r="AE463" s="341">
        <f>IF($AM$7=$E463,1,IF(MONTH($E463)=1,AE464*(1+$F$5),AE464))</f>
      </c>
      <c r="AF463" s="334">
        <f>AE463*$B$8/12</f>
      </c>
      <c r="AG463" s="334">
        <f>AE463*$B$12/12</f>
      </c>
      <c r="AH463" s="565">
        <f>(1+$AI$5)^(AC463/12)*(AG463+IF(AD463=$AM$7,$AM$4,0))</f>
      </c>
      <c r="AI463" s="170"/>
      <c r="AJ463" s="7"/>
      <c r="AK463" s="1"/>
      <c r="AL463" s="1"/>
      <c r="AM463" s="1"/>
    </row>
    <row x14ac:dyDescent="0.25" r="464" customHeight="1" ht="18.75">
      <c r="A464" s="1"/>
      <c r="B464" s="169"/>
      <c r="C464" s="170"/>
      <c r="D464" s="331">
        <v>457</v>
      </c>
      <c r="E464" s="544">
        <f>+DATE(YEAR(E463),MONTH(E463)-1,DAY(E463))</f>
        <v>25569.041666666668</v>
      </c>
      <c r="F464" s="333">
        <f>IF($C$6=$E464,1,IF(MONTH($E464)=1,F465*(1+$F$5),F465))</f>
      </c>
      <c r="G464" s="333">
        <f>F464*$B$8/12</f>
      </c>
      <c r="H464" s="333">
        <f>IF(F464=1,F464*$B$10/MIN(12,'Simulador - 3º Pilar'!$E$88),0)</f>
      </c>
      <c r="I464" s="560">
        <f>(1+$G$5)^(D464/12)*(H464+IF(E464=$N$7,$N$4,0))</f>
      </c>
      <c r="J464" s="561">
        <f>(1+$G$5)^(D464/12)*(H464*(12-IF(MONTH(E465)=12,0,MONTH(E465)))+IF(AND(F464=1,F465=0),$Q$4,0))*IF(AND(F464=1,F465=0),1,0)</f>
      </c>
      <c r="K464" s="217">
        <f>(1+$G$5)^(D464/12)*(IF(E464=$N$7,$N$4,0)+IF(E464=$C$6,$B$10,0))</f>
      </c>
      <c r="L464" s="217">
        <f>(1+$G$5)^(D464/12)*(IF((E464)&gt;($B$6),H464,0)+IF(E464=$N$7,$N$4,0)+IF(E464=$C$6,0,0))</f>
      </c>
      <c r="M464" s="1"/>
      <c r="N464" s="7"/>
      <c r="O464" s="1"/>
      <c r="P464" s="331">
        <v>457</v>
      </c>
      <c r="Q464" s="544">
        <f>+DATE(YEAR(Q463),MONTH(Q463)-1,DAY(Q463))</f>
        <v>25569.041666666668</v>
      </c>
      <c r="R464" s="341">
        <f>IF($Z$7=$E464,1,IF(MONTH($E464)=1,R465*(1+$F$5),R465))</f>
      </c>
      <c r="S464" s="334">
        <f>R464*$B$8/12</f>
      </c>
      <c r="T464" s="334">
        <f>R464*$B$11/12</f>
      </c>
      <c r="U464" s="565">
        <f>(1+$V$5)^(P464/12)*(T464+IF(Q464=$Z$7,$Z$4,0))</f>
      </c>
      <c r="V464" s="170"/>
      <c r="W464" s="7"/>
      <c r="X464" s="1"/>
      <c r="Y464" s="1"/>
      <c r="Z464" s="1"/>
      <c r="AA464" s="1"/>
      <c r="AB464" s="1"/>
      <c r="AC464" s="331">
        <v>457</v>
      </c>
      <c r="AD464" s="544">
        <f>+DATE(YEAR(AD463),MONTH(AD463)-1,DAY(AD463))</f>
        <v>25569.041666666668</v>
      </c>
      <c r="AE464" s="341">
        <f>IF($AM$7=$E464,1,IF(MONTH($E464)=1,AE465*(1+$F$5),AE465))</f>
      </c>
      <c r="AF464" s="334">
        <f>AE464*$B$8/12</f>
      </c>
      <c r="AG464" s="334">
        <f>AE464*$B$12/12</f>
      </c>
      <c r="AH464" s="565">
        <f>(1+$AI$5)^(AC464/12)*(AG464+IF(AD464=$AM$7,$AM$4,0))</f>
      </c>
      <c r="AI464" s="170"/>
      <c r="AJ464" s="7"/>
      <c r="AK464" s="1"/>
      <c r="AL464" s="1"/>
      <c r="AM464" s="1"/>
    </row>
    <row x14ac:dyDescent="0.25" r="465" customHeight="1" ht="18.75">
      <c r="A465" s="1"/>
      <c r="B465" s="169"/>
      <c r="C465" s="170"/>
      <c r="D465" s="331">
        <v>458</v>
      </c>
      <c r="E465" s="544">
        <f>+DATE(YEAR(E464),MONTH(E464)-1,DAY(E464))</f>
        <v>25569.041666666668</v>
      </c>
      <c r="F465" s="333">
        <f>IF($C$6=$E465,1,IF(MONTH($E465)=1,F466*(1+$F$5),F466))</f>
      </c>
      <c r="G465" s="333">
        <f>F465*$B$8/12</f>
      </c>
      <c r="H465" s="333">
        <f>IF(F465=1,F465*$B$10/MIN(12,'Simulador - 3º Pilar'!$E$88),0)</f>
      </c>
      <c r="I465" s="560">
        <f>(1+$G$5)^(D465/12)*(H465+IF(E465=$N$7,$N$4,0))</f>
      </c>
      <c r="J465" s="561">
        <f>(1+$G$5)^(D465/12)*(H465*(12-IF(MONTH(E466)=12,0,MONTH(E466)))+IF(AND(F465=1,F466=0),$Q$4,0))*IF(AND(F465=1,F466=0),1,0)</f>
      </c>
      <c r="K465" s="217">
        <f>(1+$G$5)^(D465/12)*(IF(E465=$N$7,$N$4,0)+IF(E465=$C$6,$B$10,0))</f>
      </c>
      <c r="L465" s="217">
        <f>(1+$G$5)^(D465/12)*(IF((E465)&gt;($B$6),H465,0)+IF(E465=$N$7,$N$4,0)+IF(E465=$C$6,0,0))</f>
      </c>
      <c r="M465" s="1"/>
      <c r="N465" s="7"/>
      <c r="O465" s="1"/>
      <c r="P465" s="331">
        <v>458</v>
      </c>
      <c r="Q465" s="544">
        <f>+DATE(YEAR(Q464),MONTH(Q464)-1,DAY(Q464))</f>
        <v>25569.041666666668</v>
      </c>
      <c r="R465" s="341">
        <f>IF($Z$7=$E465,1,IF(MONTH($E465)=1,R466*(1+$F$5),R466))</f>
      </c>
      <c r="S465" s="334">
        <f>R465*$B$8/12</f>
      </c>
      <c r="T465" s="334">
        <f>R465*$B$11/12</f>
      </c>
      <c r="U465" s="565">
        <f>(1+$V$5)^(P465/12)*(T465+IF(Q465=$Z$7,$Z$4,0))</f>
      </c>
      <c r="V465" s="170"/>
      <c r="W465" s="7"/>
      <c r="X465" s="1"/>
      <c r="Y465" s="1"/>
      <c r="Z465" s="1"/>
      <c r="AA465" s="1"/>
      <c r="AB465" s="1"/>
      <c r="AC465" s="331">
        <v>458</v>
      </c>
      <c r="AD465" s="544">
        <f>+DATE(YEAR(AD464),MONTH(AD464)-1,DAY(AD464))</f>
        <v>25569.041666666668</v>
      </c>
      <c r="AE465" s="341">
        <f>IF($AM$7=$E465,1,IF(MONTH($E465)=1,AE466*(1+$F$5),AE466))</f>
      </c>
      <c r="AF465" s="334">
        <f>AE465*$B$8/12</f>
      </c>
      <c r="AG465" s="334">
        <f>AE465*$B$12/12</f>
      </c>
      <c r="AH465" s="565">
        <f>(1+$AI$5)^(AC465/12)*(AG465+IF(AD465=$AM$7,$AM$4,0))</f>
      </c>
      <c r="AI465" s="170"/>
      <c r="AJ465" s="7"/>
      <c r="AK465" s="1"/>
      <c r="AL465" s="1"/>
      <c r="AM465" s="1"/>
    </row>
    <row x14ac:dyDescent="0.25" r="466" customHeight="1" ht="18.75">
      <c r="A466" s="1"/>
      <c r="B466" s="169"/>
      <c r="C466" s="170"/>
      <c r="D466" s="331">
        <v>459</v>
      </c>
      <c r="E466" s="544">
        <f>+DATE(YEAR(E465),MONTH(E465)-1,DAY(E465))</f>
        <v>25569.041666666668</v>
      </c>
      <c r="F466" s="333">
        <f>IF($C$6=$E466,1,IF(MONTH($E466)=1,F467*(1+$F$5),F467))</f>
      </c>
      <c r="G466" s="333">
        <f>F466*$B$8/12</f>
      </c>
      <c r="H466" s="333">
        <f>IF(F466=1,F466*$B$10/MIN(12,'Simulador - 3º Pilar'!$E$88),0)</f>
      </c>
      <c r="I466" s="560">
        <f>(1+$G$5)^(D466/12)*(H466+IF(E466=$N$7,$N$4,0))</f>
      </c>
      <c r="J466" s="561">
        <f>(1+$G$5)^(D466/12)*(H466*(12-IF(MONTH(E467)=12,0,MONTH(E467)))+IF(AND(F466=1,F467=0),$Q$4,0))*IF(AND(F466=1,F467=0),1,0)</f>
      </c>
      <c r="K466" s="217">
        <f>(1+$G$5)^(D466/12)*(IF(E466=$N$7,$N$4,0)+IF(E466=$C$6,$B$10,0))</f>
      </c>
      <c r="L466" s="217">
        <f>(1+$G$5)^(D466/12)*(IF((E466)&gt;($B$6),H466,0)+IF(E466=$N$7,$N$4,0)+IF(E466=$C$6,0,0))</f>
      </c>
      <c r="M466" s="1"/>
      <c r="N466" s="7"/>
      <c r="O466" s="1"/>
      <c r="P466" s="331">
        <v>459</v>
      </c>
      <c r="Q466" s="544">
        <f>+DATE(YEAR(Q465),MONTH(Q465)-1,DAY(Q465))</f>
        <v>25569.041666666668</v>
      </c>
      <c r="R466" s="341">
        <f>IF($Z$7=$E466,1,IF(MONTH($E466)=1,R467*(1+$F$5),R467))</f>
      </c>
      <c r="S466" s="334">
        <f>R466*$B$8/12</f>
      </c>
      <c r="T466" s="334">
        <f>R466*$B$11/12</f>
      </c>
      <c r="U466" s="565">
        <f>(1+$V$5)^(P466/12)*(T466+IF(Q466=$Z$7,$Z$4,0))</f>
      </c>
      <c r="V466" s="170"/>
      <c r="W466" s="7"/>
      <c r="X466" s="1"/>
      <c r="Y466" s="1"/>
      <c r="Z466" s="1"/>
      <c r="AA466" s="1"/>
      <c r="AB466" s="1"/>
      <c r="AC466" s="331">
        <v>459</v>
      </c>
      <c r="AD466" s="544">
        <f>+DATE(YEAR(AD465),MONTH(AD465)-1,DAY(AD465))</f>
        <v>25569.041666666668</v>
      </c>
      <c r="AE466" s="341">
        <f>IF($AM$7=$E466,1,IF(MONTH($E466)=1,AE467*(1+$F$5),AE467))</f>
      </c>
      <c r="AF466" s="334">
        <f>AE466*$B$8/12</f>
      </c>
      <c r="AG466" s="334">
        <f>AE466*$B$12/12</f>
      </c>
      <c r="AH466" s="565">
        <f>(1+$AI$5)^(AC466/12)*(AG466+IF(AD466=$AM$7,$AM$4,0))</f>
      </c>
      <c r="AI466" s="170"/>
      <c r="AJ466" s="7"/>
      <c r="AK466" s="1"/>
      <c r="AL466" s="1"/>
      <c r="AM466" s="1"/>
    </row>
    <row x14ac:dyDescent="0.25" r="467" customHeight="1" ht="18.75">
      <c r="A467" s="1"/>
      <c r="B467" s="169"/>
      <c r="C467" s="170"/>
      <c r="D467" s="331">
        <v>460</v>
      </c>
      <c r="E467" s="544">
        <f>+DATE(YEAR(E466),MONTH(E466)-1,DAY(E466))</f>
        <v>25569.041666666668</v>
      </c>
      <c r="F467" s="333">
        <f>IF($C$6=$E467,1,IF(MONTH($E467)=1,F468*(1+$F$5),F468))</f>
      </c>
      <c r="G467" s="333">
        <f>F467*$B$8/12</f>
      </c>
      <c r="H467" s="333">
        <f>IF(F467=1,F467*$B$10/MIN(12,'Simulador - 3º Pilar'!$E$88),0)</f>
      </c>
      <c r="I467" s="560">
        <f>(1+$G$5)^(D467/12)*(H467+IF(E467=$N$7,$N$4,0))</f>
      </c>
      <c r="J467" s="561">
        <f>(1+$G$5)^(D467/12)*(H467*(12-IF(MONTH(E468)=12,0,MONTH(E468)))+IF(AND(F467=1,F468=0),$Q$4,0))*IF(AND(F467=1,F468=0),1,0)</f>
      </c>
      <c r="K467" s="217">
        <f>(1+$G$5)^(D467/12)*(IF(E467=$N$7,$N$4,0)+IF(E467=$C$6,$B$10,0))</f>
      </c>
      <c r="L467" s="217">
        <f>(1+$G$5)^(D467/12)*(IF((E467)&gt;($B$6),H467,0)+IF(E467=$N$7,$N$4,0)+IF(E467=$C$6,0,0))</f>
      </c>
      <c r="M467" s="1"/>
      <c r="N467" s="7"/>
      <c r="O467" s="1"/>
      <c r="P467" s="331">
        <v>460</v>
      </c>
      <c r="Q467" s="544">
        <f>+DATE(YEAR(Q466),MONTH(Q466)-1,DAY(Q466))</f>
        <v>25569.041666666668</v>
      </c>
      <c r="R467" s="341">
        <f>IF($Z$7=$E467,1,IF(MONTH($E467)=1,R468*(1+$F$5),R468))</f>
      </c>
      <c r="S467" s="334">
        <f>R467*$B$8/12</f>
      </c>
      <c r="T467" s="334">
        <f>R467*$B$11/12</f>
      </c>
      <c r="U467" s="565">
        <f>(1+$V$5)^(P467/12)*(T467+IF(Q467=$Z$7,$Z$4,0))</f>
      </c>
      <c r="V467" s="170"/>
      <c r="W467" s="7"/>
      <c r="X467" s="1"/>
      <c r="Y467" s="1"/>
      <c r="Z467" s="1"/>
      <c r="AA467" s="1"/>
      <c r="AB467" s="1"/>
      <c r="AC467" s="331">
        <v>460</v>
      </c>
      <c r="AD467" s="544">
        <f>+DATE(YEAR(AD466),MONTH(AD466)-1,DAY(AD466))</f>
        <v>25569.041666666668</v>
      </c>
      <c r="AE467" s="341">
        <f>IF($AM$7=$E467,1,IF(MONTH($E467)=1,AE468*(1+$F$5),AE468))</f>
      </c>
      <c r="AF467" s="334">
        <f>AE467*$B$8/12</f>
      </c>
      <c r="AG467" s="334">
        <f>AE467*$B$12/12</f>
      </c>
      <c r="AH467" s="565">
        <f>(1+$AI$5)^(AC467/12)*(AG467+IF(AD467=$AM$7,$AM$4,0))</f>
      </c>
      <c r="AI467" s="170"/>
      <c r="AJ467" s="7"/>
      <c r="AK467" s="1"/>
      <c r="AL467" s="1"/>
      <c r="AM467" s="1"/>
    </row>
    <row x14ac:dyDescent="0.25" r="468" customHeight="1" ht="18.75">
      <c r="A468" s="1"/>
      <c r="B468" s="169"/>
      <c r="C468" s="170"/>
      <c r="D468" s="331">
        <v>461</v>
      </c>
      <c r="E468" s="544">
        <f>+DATE(YEAR(E467),MONTH(E467)-1,DAY(E467))</f>
        <v>25569.041666666668</v>
      </c>
      <c r="F468" s="333">
        <f>IF($C$6=$E468,1,IF(MONTH($E468)=1,F469*(1+$F$5),F469))</f>
      </c>
      <c r="G468" s="333">
        <f>F468*$B$8/12</f>
      </c>
      <c r="H468" s="333">
        <f>IF(F468=1,F468*$B$10/MIN(12,'Simulador - 3º Pilar'!$E$88),0)</f>
      </c>
      <c r="I468" s="560">
        <f>(1+$G$5)^(D468/12)*(H468+IF(E468=$N$7,$N$4,0))</f>
      </c>
      <c r="J468" s="561">
        <f>(1+$G$5)^(D468/12)*(H468*(12-IF(MONTH(E469)=12,0,MONTH(E469)))+IF(AND(F468=1,F469=0),$Q$4,0))*IF(AND(F468=1,F469=0),1,0)</f>
      </c>
      <c r="K468" s="217">
        <f>(1+$G$5)^(D468/12)*(IF(E468=$N$7,$N$4,0)+IF(E468=$C$6,$B$10,0))</f>
      </c>
      <c r="L468" s="217">
        <f>(1+$G$5)^(D468/12)*(IF((E468)&gt;($B$6),H468,0)+IF(E468=$N$7,$N$4,0)+IF(E468=$C$6,0,0))</f>
      </c>
      <c r="M468" s="1"/>
      <c r="N468" s="7"/>
      <c r="O468" s="1"/>
      <c r="P468" s="331">
        <v>461</v>
      </c>
      <c r="Q468" s="544">
        <f>+DATE(YEAR(Q467),MONTH(Q467)-1,DAY(Q467))</f>
        <v>25569.041666666668</v>
      </c>
      <c r="R468" s="341">
        <f>IF($Z$7=$E468,1,IF(MONTH($E468)=1,R469*(1+$F$5),R469))</f>
      </c>
      <c r="S468" s="334">
        <f>R468*$B$8/12</f>
      </c>
      <c r="T468" s="334">
        <f>R468*$B$11/12</f>
      </c>
      <c r="U468" s="565">
        <f>(1+$V$5)^(P468/12)*(T468+IF(Q468=$Z$7,$Z$4,0))</f>
      </c>
      <c r="V468" s="170"/>
      <c r="W468" s="7"/>
      <c r="X468" s="1"/>
      <c r="Y468" s="1"/>
      <c r="Z468" s="1"/>
      <c r="AA468" s="1"/>
      <c r="AB468" s="1"/>
      <c r="AC468" s="331">
        <v>461</v>
      </c>
      <c r="AD468" s="544">
        <f>+DATE(YEAR(AD467),MONTH(AD467)-1,DAY(AD467))</f>
        <v>25569.041666666668</v>
      </c>
      <c r="AE468" s="341">
        <f>IF($AM$7=$E468,1,IF(MONTH($E468)=1,AE469*(1+$F$5),AE469))</f>
      </c>
      <c r="AF468" s="334">
        <f>AE468*$B$8/12</f>
      </c>
      <c r="AG468" s="334">
        <f>AE468*$B$12/12</f>
      </c>
      <c r="AH468" s="565">
        <f>(1+$AI$5)^(AC468/12)*(AG468+IF(AD468=$AM$7,$AM$4,0))</f>
      </c>
      <c r="AI468" s="170"/>
      <c r="AJ468" s="7"/>
      <c r="AK468" s="1"/>
      <c r="AL468" s="1"/>
      <c r="AM468" s="1"/>
    </row>
    <row x14ac:dyDescent="0.25" r="469" customHeight="1" ht="18.75">
      <c r="A469" s="1"/>
      <c r="B469" s="169"/>
      <c r="C469" s="170"/>
      <c r="D469" s="331">
        <v>462</v>
      </c>
      <c r="E469" s="544">
        <f>+DATE(YEAR(E468),MONTH(E468)-1,DAY(E468))</f>
        <v>25569.041666666668</v>
      </c>
      <c r="F469" s="333">
        <f>IF($C$6=$E469,1,IF(MONTH($E469)=1,F470*(1+$F$5),F470))</f>
      </c>
      <c r="G469" s="333">
        <f>F469*$B$8/12</f>
      </c>
      <c r="H469" s="333">
        <f>IF(F469=1,F469*$B$10/MIN(12,'Simulador - 3º Pilar'!$E$88),0)</f>
      </c>
      <c r="I469" s="560">
        <f>(1+$G$5)^(D469/12)*(H469+IF(E469=$N$7,$N$4,0))</f>
      </c>
      <c r="J469" s="561">
        <f>(1+$G$5)^(D469/12)*(H469*(12-IF(MONTH(E470)=12,0,MONTH(E470)))+IF(AND(F469=1,F470=0),$Q$4,0))*IF(AND(F469=1,F470=0),1,0)</f>
      </c>
      <c r="K469" s="217">
        <f>(1+$G$5)^(D469/12)*(IF(E469=$N$7,$N$4,0)+IF(E469=$C$6,$B$10,0))</f>
      </c>
      <c r="L469" s="217">
        <f>(1+$G$5)^(D469/12)*(IF((E469)&gt;($B$6),H469,0)+IF(E469=$N$7,$N$4,0)+IF(E469=$C$6,0,0))</f>
      </c>
      <c r="M469" s="1"/>
      <c r="N469" s="7"/>
      <c r="O469" s="1"/>
      <c r="P469" s="331">
        <v>462</v>
      </c>
      <c r="Q469" s="544">
        <f>+DATE(YEAR(Q468),MONTH(Q468)-1,DAY(Q468))</f>
        <v>25569.041666666668</v>
      </c>
      <c r="R469" s="341">
        <f>IF($Z$7=$E469,1,IF(MONTH($E469)=1,R470*(1+$F$5),R470))</f>
      </c>
      <c r="S469" s="334">
        <f>R469*$B$8/12</f>
      </c>
      <c r="T469" s="334">
        <f>R469*$B$11/12</f>
      </c>
      <c r="U469" s="565">
        <f>(1+$V$5)^(P469/12)*(T469+IF(Q469=$Z$7,$Z$4,0))</f>
      </c>
      <c r="V469" s="170"/>
      <c r="W469" s="7"/>
      <c r="X469" s="1"/>
      <c r="Y469" s="1"/>
      <c r="Z469" s="1"/>
      <c r="AA469" s="1"/>
      <c r="AB469" s="1"/>
      <c r="AC469" s="331">
        <v>462</v>
      </c>
      <c r="AD469" s="544">
        <f>+DATE(YEAR(AD468),MONTH(AD468)-1,DAY(AD468))</f>
        <v>25569.041666666668</v>
      </c>
      <c r="AE469" s="341">
        <f>IF($AM$7=$E469,1,IF(MONTH($E469)=1,AE470*(1+$F$5),AE470))</f>
      </c>
      <c r="AF469" s="334">
        <f>AE469*$B$8/12</f>
      </c>
      <c r="AG469" s="334">
        <f>AE469*$B$12/12</f>
      </c>
      <c r="AH469" s="565">
        <f>(1+$AI$5)^(AC469/12)*(AG469+IF(AD469=$AM$7,$AM$4,0))</f>
      </c>
      <c r="AI469" s="170"/>
      <c r="AJ469" s="7"/>
      <c r="AK469" s="1"/>
      <c r="AL469" s="1"/>
      <c r="AM469" s="1"/>
    </row>
    <row x14ac:dyDescent="0.25" r="470" customHeight="1" ht="18.75">
      <c r="A470" s="1"/>
      <c r="B470" s="169"/>
      <c r="C470" s="170"/>
      <c r="D470" s="331">
        <v>463</v>
      </c>
      <c r="E470" s="544">
        <f>+DATE(YEAR(E469),MONTH(E469)-1,DAY(E469))</f>
        <v>25569.041666666668</v>
      </c>
      <c r="F470" s="333">
        <f>IF($C$6=$E470,1,IF(MONTH($E470)=1,F471*(1+$F$5),F471))</f>
      </c>
      <c r="G470" s="333">
        <f>F470*$B$8/12</f>
      </c>
      <c r="H470" s="333">
        <f>IF(F470=1,F470*$B$10/MIN(12,'Simulador - 3º Pilar'!$E$88),0)</f>
      </c>
      <c r="I470" s="560">
        <f>(1+$G$5)^(D470/12)*(H470+IF(E470=$N$7,$N$4,0))</f>
      </c>
      <c r="J470" s="561">
        <f>(1+$G$5)^(D470/12)*(H470*(12-IF(MONTH(E471)=12,0,MONTH(E471)))+IF(AND(F470=1,F471=0),$Q$4,0))*IF(AND(F470=1,F471=0),1,0)</f>
      </c>
      <c r="K470" s="217">
        <f>(1+$G$5)^(D470/12)*(IF(E470=$N$7,$N$4,0)+IF(E470=$C$6,$B$10,0))</f>
      </c>
      <c r="L470" s="217">
        <f>(1+$G$5)^(D470/12)*(IF((E470)&gt;($B$6),H470,0)+IF(E470=$N$7,$N$4,0)+IF(E470=$C$6,0,0))</f>
      </c>
      <c r="M470" s="1"/>
      <c r="N470" s="7"/>
      <c r="O470" s="1"/>
      <c r="P470" s="331">
        <v>463</v>
      </c>
      <c r="Q470" s="544">
        <f>+DATE(YEAR(Q469),MONTH(Q469)-1,DAY(Q469))</f>
        <v>25569.041666666668</v>
      </c>
      <c r="R470" s="341">
        <f>IF($Z$7=$E470,1,IF(MONTH($E470)=1,R471*(1+$F$5),R471))</f>
      </c>
      <c r="S470" s="334">
        <f>R470*$B$8/12</f>
      </c>
      <c r="T470" s="334">
        <f>R470*$B$11/12</f>
      </c>
      <c r="U470" s="565">
        <f>(1+$V$5)^(P470/12)*(T470+IF(Q470=$Z$7,$Z$4,0))</f>
      </c>
      <c r="V470" s="170"/>
      <c r="W470" s="7"/>
      <c r="X470" s="1"/>
      <c r="Y470" s="1"/>
      <c r="Z470" s="1"/>
      <c r="AA470" s="1"/>
      <c r="AB470" s="1"/>
      <c r="AC470" s="331">
        <v>463</v>
      </c>
      <c r="AD470" s="544">
        <f>+DATE(YEAR(AD469),MONTH(AD469)-1,DAY(AD469))</f>
        <v>25569.041666666668</v>
      </c>
      <c r="AE470" s="341">
        <f>IF($AM$7=$E470,1,IF(MONTH($E470)=1,AE471*(1+$F$5),AE471))</f>
      </c>
      <c r="AF470" s="334">
        <f>AE470*$B$8/12</f>
      </c>
      <c r="AG470" s="334">
        <f>AE470*$B$12/12</f>
      </c>
      <c r="AH470" s="565">
        <f>(1+$AI$5)^(AC470/12)*(AG470+IF(AD470=$AM$7,$AM$4,0))</f>
      </c>
      <c r="AI470" s="170"/>
      <c r="AJ470" s="7"/>
      <c r="AK470" s="1"/>
      <c r="AL470" s="1"/>
      <c r="AM470" s="1"/>
    </row>
    <row x14ac:dyDescent="0.25" r="471" customHeight="1" ht="18.75">
      <c r="A471" s="1"/>
      <c r="B471" s="169"/>
      <c r="C471" s="170"/>
      <c r="D471" s="331">
        <v>464</v>
      </c>
      <c r="E471" s="544">
        <f>+DATE(YEAR(E470),MONTH(E470)-1,DAY(E470))</f>
        <v>25569.041666666668</v>
      </c>
      <c r="F471" s="333">
        <f>IF($C$6=$E471,1,IF(MONTH($E471)=1,F472*(1+$F$5),F472))</f>
      </c>
      <c r="G471" s="333">
        <f>F471*$B$8/12</f>
      </c>
      <c r="H471" s="333">
        <f>IF(F471=1,F471*$B$10/MIN(12,'Simulador - 3º Pilar'!$E$88),0)</f>
      </c>
      <c r="I471" s="560">
        <f>(1+$G$5)^(D471/12)*(H471+IF(E471=$N$7,$N$4,0))</f>
      </c>
      <c r="J471" s="561">
        <f>(1+$G$5)^(D471/12)*(H471*(12-IF(MONTH(E472)=12,0,MONTH(E472)))+IF(AND(F471=1,F472=0),$Q$4,0))*IF(AND(F471=1,F472=0),1,0)</f>
      </c>
      <c r="K471" s="217">
        <f>(1+$G$5)^(D471/12)*(IF(E471=$N$7,$N$4,0)+IF(E471=$C$6,$B$10,0))</f>
      </c>
      <c r="L471" s="217">
        <f>(1+$G$5)^(D471/12)*(IF((E471)&gt;($B$6),H471,0)+IF(E471=$N$7,$N$4,0)+IF(E471=$C$6,0,0))</f>
      </c>
      <c r="M471" s="1"/>
      <c r="N471" s="7"/>
      <c r="O471" s="1"/>
      <c r="P471" s="331">
        <v>464</v>
      </c>
      <c r="Q471" s="544">
        <f>+DATE(YEAR(Q470),MONTH(Q470)-1,DAY(Q470))</f>
        <v>25569.041666666668</v>
      </c>
      <c r="R471" s="341">
        <f>IF($Z$7=$E471,1,IF(MONTH($E471)=1,R472*(1+$F$5),R472))</f>
      </c>
      <c r="S471" s="334">
        <f>R471*$B$8/12</f>
      </c>
      <c r="T471" s="334">
        <f>R471*$B$11/12</f>
      </c>
      <c r="U471" s="565">
        <f>(1+$V$5)^(P471/12)*(T471+IF(Q471=$Z$7,$Z$4,0))</f>
      </c>
      <c r="V471" s="170"/>
      <c r="W471" s="7"/>
      <c r="X471" s="1"/>
      <c r="Y471" s="1"/>
      <c r="Z471" s="1"/>
      <c r="AA471" s="1"/>
      <c r="AB471" s="1"/>
      <c r="AC471" s="331">
        <v>464</v>
      </c>
      <c r="AD471" s="544">
        <f>+DATE(YEAR(AD470),MONTH(AD470)-1,DAY(AD470))</f>
        <v>25569.041666666668</v>
      </c>
      <c r="AE471" s="341">
        <f>IF($AM$7=$E471,1,IF(MONTH($E471)=1,AE472*(1+$F$5),AE472))</f>
      </c>
      <c r="AF471" s="334">
        <f>AE471*$B$8/12</f>
      </c>
      <c r="AG471" s="334">
        <f>AE471*$B$12/12</f>
      </c>
      <c r="AH471" s="565">
        <f>(1+$AI$5)^(AC471/12)*(AG471+IF(AD471=$AM$7,$AM$4,0))</f>
      </c>
      <c r="AI471" s="170"/>
      <c r="AJ471" s="7"/>
      <c r="AK471" s="1"/>
      <c r="AL471" s="1"/>
      <c r="AM471" s="1"/>
    </row>
    <row x14ac:dyDescent="0.25" r="472" customHeight="1" ht="18.75">
      <c r="A472" s="1"/>
      <c r="B472" s="169"/>
      <c r="C472" s="170"/>
      <c r="D472" s="331">
        <v>465</v>
      </c>
      <c r="E472" s="544">
        <f>+DATE(YEAR(E471),MONTH(E471)-1,DAY(E471))</f>
        <v>25569.041666666668</v>
      </c>
      <c r="F472" s="333">
        <f>IF($C$6=$E472,1,IF(MONTH($E472)=1,F473*(1+$F$5),F473))</f>
      </c>
      <c r="G472" s="333">
        <f>F472*$B$8/12</f>
      </c>
      <c r="H472" s="333">
        <f>IF(F472=1,F472*$B$10/MIN(12,'Simulador - 3º Pilar'!$E$88),0)</f>
      </c>
      <c r="I472" s="560">
        <f>(1+$G$5)^(D472/12)*(H472+IF(E472=$N$7,$N$4,0))</f>
      </c>
      <c r="J472" s="561">
        <f>(1+$G$5)^(D472/12)*(H472*(12-IF(MONTH(E473)=12,0,MONTH(E473)))+IF(AND(F472=1,F473=0),$Q$4,0))*IF(AND(F472=1,F473=0),1,0)</f>
      </c>
      <c r="K472" s="217">
        <f>(1+$G$5)^(D472/12)*(IF(E472=$N$7,$N$4,0)+IF(E472=$C$6,$B$10,0))</f>
      </c>
      <c r="L472" s="217">
        <f>(1+$G$5)^(D472/12)*(IF((E472)&gt;($B$6),H472,0)+IF(E472=$N$7,$N$4,0)+IF(E472=$C$6,0,0))</f>
      </c>
      <c r="M472" s="1"/>
      <c r="N472" s="7"/>
      <c r="O472" s="1"/>
      <c r="P472" s="331">
        <v>465</v>
      </c>
      <c r="Q472" s="544">
        <f>+DATE(YEAR(Q471),MONTH(Q471)-1,DAY(Q471))</f>
        <v>25569.041666666668</v>
      </c>
      <c r="R472" s="341">
        <f>IF($Z$7=$E472,1,IF(MONTH($E472)=1,R473*(1+$F$5),R473))</f>
      </c>
      <c r="S472" s="334">
        <f>R472*$B$8/12</f>
      </c>
      <c r="T472" s="334">
        <f>R472*$B$11/12</f>
      </c>
      <c r="U472" s="565">
        <f>(1+$V$5)^(P472/12)*(T472+IF(Q472=$Z$7,$Z$4,0))</f>
      </c>
      <c r="V472" s="170"/>
      <c r="W472" s="7"/>
      <c r="X472" s="1"/>
      <c r="Y472" s="1"/>
      <c r="Z472" s="1"/>
      <c r="AA472" s="1"/>
      <c r="AB472" s="1"/>
      <c r="AC472" s="331">
        <v>465</v>
      </c>
      <c r="AD472" s="544">
        <f>+DATE(YEAR(AD471),MONTH(AD471)-1,DAY(AD471))</f>
        <v>25569.041666666668</v>
      </c>
      <c r="AE472" s="341">
        <f>IF($AM$7=$E472,1,IF(MONTH($E472)=1,AE473*(1+$F$5),AE473))</f>
      </c>
      <c r="AF472" s="334">
        <f>AE472*$B$8/12</f>
      </c>
      <c r="AG472" s="334">
        <f>AE472*$B$12/12</f>
      </c>
      <c r="AH472" s="565">
        <f>(1+$AI$5)^(AC472/12)*(AG472+IF(AD472=$AM$7,$AM$4,0))</f>
      </c>
      <c r="AI472" s="170"/>
      <c r="AJ472" s="7"/>
      <c r="AK472" s="1"/>
      <c r="AL472" s="1"/>
      <c r="AM472" s="1"/>
    </row>
    <row x14ac:dyDescent="0.25" r="473" customHeight="1" ht="18.75">
      <c r="A473" s="1"/>
      <c r="B473" s="169"/>
      <c r="C473" s="170"/>
      <c r="D473" s="331">
        <v>466</v>
      </c>
      <c r="E473" s="544">
        <f>+DATE(YEAR(E472),MONTH(E472)-1,DAY(E472))</f>
        <v>25569.041666666668</v>
      </c>
      <c r="F473" s="333">
        <f>IF($C$6=$E473,1,IF(MONTH($E473)=1,F474*(1+$F$5),F474))</f>
      </c>
      <c r="G473" s="333">
        <f>F473*$B$8/12</f>
      </c>
      <c r="H473" s="333">
        <f>IF(F473=1,F473*$B$10/MIN(12,'Simulador - 3º Pilar'!$E$88),0)</f>
      </c>
      <c r="I473" s="560">
        <f>(1+$G$5)^(D473/12)*(H473+IF(E473=$N$7,$N$4,0))</f>
      </c>
      <c r="J473" s="561">
        <f>(1+$G$5)^(D473/12)*(H473*(12-IF(MONTH(E474)=12,0,MONTH(E474)))+IF(AND(F473=1,F474=0),$Q$4,0))*IF(AND(F473=1,F474=0),1,0)</f>
      </c>
      <c r="K473" s="217">
        <f>(1+$G$5)^(D473/12)*(IF(E473=$N$7,$N$4,0)+IF(E473=$C$6,$B$10,0))</f>
      </c>
      <c r="L473" s="217">
        <f>(1+$G$5)^(D473/12)*(IF((E473)&gt;($B$6),H473,0)+IF(E473=$N$7,$N$4,0)+IF(E473=$C$6,0,0))</f>
      </c>
      <c r="M473" s="1"/>
      <c r="N473" s="7"/>
      <c r="O473" s="1"/>
      <c r="P473" s="331">
        <v>466</v>
      </c>
      <c r="Q473" s="544">
        <f>+DATE(YEAR(Q472),MONTH(Q472)-1,DAY(Q472))</f>
        <v>25569.041666666668</v>
      </c>
      <c r="R473" s="341">
        <f>IF($Z$7=$E473,1,IF(MONTH($E473)=1,R474*(1+$F$5),R474))</f>
      </c>
      <c r="S473" s="334">
        <f>R473*$B$8/12</f>
      </c>
      <c r="T473" s="334">
        <f>R473*$B$11/12</f>
      </c>
      <c r="U473" s="565">
        <f>(1+$V$5)^(P473/12)*(T473+IF(Q473=$Z$7,$Z$4,0))</f>
      </c>
      <c r="V473" s="170"/>
      <c r="W473" s="7"/>
      <c r="X473" s="1"/>
      <c r="Y473" s="1"/>
      <c r="Z473" s="1"/>
      <c r="AA473" s="1"/>
      <c r="AB473" s="1"/>
      <c r="AC473" s="331">
        <v>466</v>
      </c>
      <c r="AD473" s="544">
        <f>+DATE(YEAR(AD472),MONTH(AD472)-1,DAY(AD472))</f>
        <v>25569.041666666668</v>
      </c>
      <c r="AE473" s="341">
        <f>IF($AM$7=$E473,1,IF(MONTH($E473)=1,AE474*(1+$F$5),AE474))</f>
      </c>
      <c r="AF473" s="334">
        <f>AE473*$B$8/12</f>
      </c>
      <c r="AG473" s="334">
        <f>AE473*$B$12/12</f>
      </c>
      <c r="AH473" s="565">
        <f>(1+$AI$5)^(AC473/12)*(AG473+IF(AD473=$AM$7,$AM$4,0))</f>
      </c>
      <c r="AI473" s="170"/>
      <c r="AJ473" s="7"/>
      <c r="AK473" s="1"/>
      <c r="AL473" s="1"/>
      <c r="AM473" s="1"/>
    </row>
    <row x14ac:dyDescent="0.25" r="474" customHeight="1" ht="18.75">
      <c r="A474" s="1"/>
      <c r="B474" s="169"/>
      <c r="C474" s="170"/>
      <c r="D474" s="331">
        <v>467</v>
      </c>
      <c r="E474" s="544">
        <f>+DATE(YEAR(E473),MONTH(E473)-1,DAY(E473))</f>
        <v>25569.041666666668</v>
      </c>
      <c r="F474" s="333">
        <f>IF($C$6=$E474,1,IF(MONTH($E474)=1,F475*(1+$F$5),F475))</f>
      </c>
      <c r="G474" s="333">
        <f>F474*$B$8/12</f>
      </c>
      <c r="H474" s="333">
        <f>IF(F474=1,F474*$B$10/MIN(12,'Simulador - 3º Pilar'!$E$88),0)</f>
      </c>
      <c r="I474" s="560">
        <f>(1+$G$5)^(D474/12)*(H474+IF(E474=$N$7,$N$4,0))</f>
      </c>
      <c r="J474" s="561">
        <f>(1+$G$5)^(D474/12)*(H474*(12-IF(MONTH(E475)=12,0,MONTH(E475)))+IF(AND(F474=1,F475=0),$Q$4,0))*IF(AND(F474=1,F475=0),1,0)</f>
      </c>
      <c r="K474" s="217">
        <f>(1+$G$5)^(D474/12)*(IF(E474=$N$7,$N$4,0)+IF(E474=$C$6,$B$10,0))</f>
      </c>
      <c r="L474" s="217">
        <f>(1+$G$5)^(D474/12)*(IF((E474)&gt;($B$6),H474,0)+IF(E474=$N$7,$N$4,0)+IF(E474=$C$6,0,0))</f>
      </c>
      <c r="M474" s="1"/>
      <c r="N474" s="7"/>
      <c r="O474" s="1"/>
      <c r="P474" s="331">
        <v>467</v>
      </c>
      <c r="Q474" s="544">
        <f>+DATE(YEAR(Q473),MONTH(Q473)-1,DAY(Q473))</f>
        <v>25569.041666666668</v>
      </c>
      <c r="R474" s="341">
        <f>IF($Z$7=$E474,1,IF(MONTH($E474)=1,R475*(1+$F$5),R475))</f>
      </c>
      <c r="S474" s="334">
        <f>R474*$B$8/12</f>
      </c>
      <c r="T474" s="334">
        <f>R474*$B$11/12</f>
      </c>
      <c r="U474" s="565">
        <f>(1+$V$5)^(P474/12)*(T474+IF(Q474=$Z$7,$Z$4,0))</f>
      </c>
      <c r="V474" s="170"/>
      <c r="W474" s="7"/>
      <c r="X474" s="1"/>
      <c r="Y474" s="1"/>
      <c r="Z474" s="1"/>
      <c r="AA474" s="1"/>
      <c r="AB474" s="1"/>
      <c r="AC474" s="331">
        <v>467</v>
      </c>
      <c r="AD474" s="544">
        <f>+DATE(YEAR(AD473),MONTH(AD473)-1,DAY(AD473))</f>
        <v>25569.041666666668</v>
      </c>
      <c r="AE474" s="341">
        <f>IF($AM$7=$E474,1,IF(MONTH($E474)=1,AE475*(1+$F$5),AE475))</f>
      </c>
      <c r="AF474" s="334">
        <f>AE474*$B$8/12</f>
      </c>
      <c r="AG474" s="334">
        <f>AE474*$B$12/12</f>
      </c>
      <c r="AH474" s="565">
        <f>(1+$AI$5)^(AC474/12)*(AG474+IF(AD474=$AM$7,$AM$4,0))</f>
      </c>
      <c r="AI474" s="170"/>
      <c r="AJ474" s="7"/>
      <c r="AK474" s="1"/>
      <c r="AL474" s="1"/>
      <c r="AM474" s="1"/>
    </row>
    <row x14ac:dyDescent="0.25" r="475" customHeight="1" ht="18.75">
      <c r="A475" s="1"/>
      <c r="B475" s="169"/>
      <c r="C475" s="170"/>
      <c r="D475" s="331">
        <v>468</v>
      </c>
      <c r="E475" s="544">
        <f>+DATE(YEAR(E474),MONTH(E474)-1,DAY(E474))</f>
        <v>25569.041666666668</v>
      </c>
      <c r="F475" s="333">
        <f>IF($C$6=$E475,1,IF(MONTH($E475)=1,F476*(1+$F$5),F476))</f>
      </c>
      <c r="G475" s="333">
        <f>F475*$B$8/12</f>
      </c>
      <c r="H475" s="333">
        <f>IF(F475=1,F475*$B$10/MIN(12,'Simulador - 3º Pilar'!$E$88),0)</f>
      </c>
      <c r="I475" s="560">
        <f>(1+$G$5)^(D475/12)*(H475+IF(E475=$N$7,$N$4,0))</f>
      </c>
      <c r="J475" s="561">
        <f>(1+$G$5)^(D475/12)*(H475*(12-IF(MONTH(E476)=12,0,MONTH(E476)))+IF(AND(F475=1,F476=0),$Q$4,0))*IF(AND(F475=1,F476=0),1,0)</f>
      </c>
      <c r="K475" s="217">
        <f>(1+$G$5)^(D475/12)*(IF(E475=$N$7,$N$4,0)+IF(E475=$C$6,$B$10,0))</f>
      </c>
      <c r="L475" s="217">
        <f>(1+$G$5)^(D475/12)*(IF((E475)&gt;($B$6),H475,0)+IF(E475=$N$7,$N$4,0)+IF(E475=$C$6,0,0))</f>
      </c>
      <c r="M475" s="1"/>
      <c r="N475" s="7"/>
      <c r="O475" s="1"/>
      <c r="P475" s="331">
        <v>468</v>
      </c>
      <c r="Q475" s="544">
        <f>+DATE(YEAR(Q474),MONTH(Q474)-1,DAY(Q474))</f>
        <v>25569.041666666668</v>
      </c>
      <c r="R475" s="341">
        <f>IF($Z$7=$E475,1,IF(MONTH($E475)=1,R476*(1+$F$5),R476))</f>
      </c>
      <c r="S475" s="334">
        <f>R475*$B$8/12</f>
      </c>
      <c r="T475" s="334">
        <f>R475*$B$11/12</f>
      </c>
      <c r="U475" s="565">
        <f>(1+$V$5)^(P475/12)*(T475+IF(Q475=$Z$7,$Z$4,0))</f>
      </c>
      <c r="V475" s="170"/>
      <c r="W475" s="7"/>
      <c r="X475" s="1"/>
      <c r="Y475" s="1"/>
      <c r="Z475" s="1"/>
      <c r="AA475" s="1"/>
      <c r="AB475" s="1"/>
      <c r="AC475" s="331">
        <v>468</v>
      </c>
      <c r="AD475" s="544">
        <f>+DATE(YEAR(AD474),MONTH(AD474)-1,DAY(AD474))</f>
        <v>25569.041666666668</v>
      </c>
      <c r="AE475" s="341">
        <f>IF($AM$7=$E475,1,IF(MONTH($E475)=1,AE476*(1+$F$5),AE476))</f>
      </c>
      <c r="AF475" s="334">
        <f>AE475*$B$8/12</f>
      </c>
      <c r="AG475" s="334">
        <f>AE475*$B$12/12</f>
      </c>
      <c r="AH475" s="565">
        <f>(1+$AI$5)^(AC475/12)*(AG475+IF(AD475=$AM$7,$AM$4,0))</f>
      </c>
      <c r="AI475" s="170"/>
      <c r="AJ475" s="7"/>
      <c r="AK475" s="1"/>
      <c r="AL475" s="1"/>
      <c r="AM475" s="1"/>
    </row>
    <row x14ac:dyDescent="0.25" r="476" customHeight="1" ht="18.75">
      <c r="A476" s="1"/>
      <c r="B476" s="169"/>
      <c r="C476" s="170"/>
      <c r="D476" s="331">
        <v>469</v>
      </c>
      <c r="E476" s="544">
        <f>+DATE(YEAR(E475),MONTH(E475)-1,DAY(E475))</f>
        <v>25569.041666666668</v>
      </c>
      <c r="F476" s="333">
        <f>IF($C$6=$E476,1,IF(MONTH($E476)=1,F477*(1+$F$5),F477))</f>
      </c>
      <c r="G476" s="333">
        <f>F476*$B$8/12</f>
      </c>
      <c r="H476" s="333">
        <f>IF(F476=1,F476*$B$10/MIN(12,'Simulador - 3º Pilar'!$E$88),0)</f>
      </c>
      <c r="I476" s="560">
        <f>(1+$G$5)^(D476/12)*(H476+IF(E476=$N$7,$N$4,0))</f>
      </c>
      <c r="J476" s="561">
        <f>(1+$G$5)^(D476/12)*(H476*(12-IF(MONTH(E477)=12,0,MONTH(E477)))+IF(AND(F476=1,F477=0),$Q$4,0))*IF(AND(F476=1,F477=0),1,0)</f>
      </c>
      <c r="K476" s="217">
        <f>(1+$G$5)^(D476/12)*(IF(E476=$N$7,$N$4,0)+IF(E476=$C$6,$B$10,0))</f>
      </c>
      <c r="L476" s="217">
        <f>(1+$G$5)^(D476/12)*(IF((E476)&gt;($B$6),H476,0)+IF(E476=$N$7,$N$4,0)+IF(E476=$C$6,0,0))</f>
      </c>
      <c r="M476" s="1"/>
      <c r="N476" s="7"/>
      <c r="O476" s="1"/>
      <c r="P476" s="331">
        <v>469</v>
      </c>
      <c r="Q476" s="544">
        <f>+DATE(YEAR(Q475),MONTH(Q475)-1,DAY(Q475))</f>
        <v>25569.041666666668</v>
      </c>
      <c r="R476" s="341">
        <f>IF($Z$7=$E476,1,IF(MONTH($E476)=1,R477*(1+$F$5),R477))</f>
      </c>
      <c r="S476" s="334">
        <f>R476*$B$8/12</f>
      </c>
      <c r="T476" s="334">
        <f>R476*$B$11/12</f>
      </c>
      <c r="U476" s="565">
        <f>(1+$V$5)^(P476/12)*(T476+IF(Q476=$Z$7,$Z$4,0))</f>
      </c>
      <c r="V476" s="170"/>
      <c r="W476" s="7"/>
      <c r="X476" s="1"/>
      <c r="Y476" s="1"/>
      <c r="Z476" s="1"/>
      <c r="AA476" s="1"/>
      <c r="AB476" s="1"/>
      <c r="AC476" s="331">
        <v>469</v>
      </c>
      <c r="AD476" s="544">
        <f>+DATE(YEAR(AD475),MONTH(AD475)-1,DAY(AD475))</f>
        <v>25569.041666666668</v>
      </c>
      <c r="AE476" s="341">
        <f>IF($AM$7=$E476,1,IF(MONTH($E476)=1,AE477*(1+$F$5),AE477))</f>
      </c>
      <c r="AF476" s="334">
        <f>AE476*$B$8/12</f>
      </c>
      <c r="AG476" s="334">
        <f>AE476*$B$12/12</f>
      </c>
      <c r="AH476" s="565">
        <f>(1+$AI$5)^(AC476/12)*(AG476+IF(AD476=$AM$7,$AM$4,0))</f>
      </c>
      <c r="AI476" s="170"/>
      <c r="AJ476" s="7"/>
      <c r="AK476" s="1"/>
      <c r="AL476" s="1"/>
      <c r="AM476" s="1"/>
    </row>
    <row x14ac:dyDescent="0.25" r="477" customHeight="1" ht="18.75">
      <c r="A477" s="1"/>
      <c r="B477" s="169"/>
      <c r="C477" s="170"/>
      <c r="D477" s="331">
        <v>470</v>
      </c>
      <c r="E477" s="544">
        <f>+DATE(YEAR(E476),MONTH(E476)-1,DAY(E476))</f>
        <v>25569.041666666668</v>
      </c>
      <c r="F477" s="333">
        <f>IF($C$6=$E477,1,IF(MONTH($E477)=1,F478*(1+$F$5),F478))</f>
      </c>
      <c r="G477" s="333">
        <f>F477*$B$8/12</f>
      </c>
      <c r="H477" s="333">
        <f>IF(F477=1,F477*$B$10/MIN(12,'Simulador - 3º Pilar'!$E$88),0)</f>
      </c>
      <c r="I477" s="560">
        <f>(1+$G$5)^(D477/12)*(H477+IF(E477=$N$7,$N$4,0))</f>
      </c>
      <c r="J477" s="561">
        <f>(1+$G$5)^(D477/12)*(H477*(12-IF(MONTH(E478)=12,0,MONTH(E478)))+IF(AND(F477=1,F478=0),$Q$4,0))*IF(AND(F477=1,F478=0),1,0)</f>
      </c>
      <c r="K477" s="217">
        <f>(1+$G$5)^(D477/12)*(IF(E477=$N$7,$N$4,0)+IF(E477=$C$6,$B$10,0))</f>
      </c>
      <c r="L477" s="217">
        <f>(1+$G$5)^(D477/12)*(IF((E477)&gt;($B$6),H477,0)+IF(E477=$N$7,$N$4,0)+IF(E477=$C$6,0,0))</f>
      </c>
      <c r="M477" s="1"/>
      <c r="N477" s="7"/>
      <c r="O477" s="1"/>
      <c r="P477" s="331">
        <v>470</v>
      </c>
      <c r="Q477" s="544">
        <f>+DATE(YEAR(Q476),MONTH(Q476)-1,DAY(Q476))</f>
        <v>25569.041666666668</v>
      </c>
      <c r="R477" s="341">
        <f>IF($Z$7=$E477,1,IF(MONTH($E477)=1,R478*(1+$F$5),R478))</f>
      </c>
      <c r="S477" s="334">
        <f>R477*$B$8/12</f>
      </c>
      <c r="T477" s="334">
        <f>R477*$B$11/12</f>
      </c>
      <c r="U477" s="565">
        <f>(1+$V$5)^(P477/12)*(T477+IF(Q477=$Z$7,$Z$4,0))</f>
      </c>
      <c r="V477" s="170"/>
      <c r="W477" s="7"/>
      <c r="X477" s="1"/>
      <c r="Y477" s="1"/>
      <c r="Z477" s="1"/>
      <c r="AA477" s="1"/>
      <c r="AB477" s="1"/>
      <c r="AC477" s="331">
        <v>470</v>
      </c>
      <c r="AD477" s="544">
        <f>+DATE(YEAR(AD476),MONTH(AD476)-1,DAY(AD476))</f>
        <v>25569.041666666668</v>
      </c>
      <c r="AE477" s="341">
        <f>IF($AM$7=$E477,1,IF(MONTH($E477)=1,AE478*(1+$F$5),AE478))</f>
      </c>
      <c r="AF477" s="334">
        <f>AE477*$B$8/12</f>
      </c>
      <c r="AG477" s="334">
        <f>AE477*$B$12/12</f>
      </c>
      <c r="AH477" s="565">
        <f>(1+$AI$5)^(AC477/12)*(AG477+IF(AD477=$AM$7,$AM$4,0))</f>
      </c>
      <c r="AI477" s="170"/>
      <c r="AJ477" s="7"/>
      <c r="AK477" s="1"/>
      <c r="AL477" s="1"/>
      <c r="AM477" s="1"/>
    </row>
    <row x14ac:dyDescent="0.25" r="478" customHeight="1" ht="18.75">
      <c r="A478" s="1"/>
      <c r="B478" s="169"/>
      <c r="C478" s="170"/>
      <c r="D478" s="331">
        <v>471</v>
      </c>
      <c r="E478" s="544">
        <f>+DATE(YEAR(E477),MONTH(E477)-1,DAY(E477))</f>
        <v>25569.041666666668</v>
      </c>
      <c r="F478" s="333">
        <f>IF($C$6=$E478,1,IF(MONTH($E478)=1,F479*(1+$F$5),F479))</f>
      </c>
      <c r="G478" s="333">
        <f>F478*$B$8/12</f>
      </c>
      <c r="H478" s="333">
        <f>IF(F478=1,F478*$B$10/MIN(12,'Simulador - 3º Pilar'!$E$88),0)</f>
      </c>
      <c r="I478" s="560">
        <f>(1+$G$5)^(D478/12)*(H478+IF(E478=$N$7,$N$4,0))</f>
      </c>
      <c r="J478" s="561">
        <f>(1+$G$5)^(D478/12)*(H478*(12-IF(MONTH(E479)=12,0,MONTH(E479)))+IF(AND(F478=1,F479=0),$Q$4,0))*IF(AND(F478=1,F479=0),1,0)</f>
      </c>
      <c r="K478" s="217">
        <f>(1+$G$5)^(D478/12)*(IF(E478=$N$7,$N$4,0)+IF(E478=$C$6,$B$10,0))</f>
      </c>
      <c r="L478" s="217">
        <f>(1+$G$5)^(D478/12)*(IF((E478)&gt;($B$6),H478,0)+IF(E478=$N$7,$N$4,0)+IF(E478=$C$6,0,0))</f>
      </c>
      <c r="M478" s="1"/>
      <c r="N478" s="7"/>
      <c r="O478" s="1"/>
      <c r="P478" s="331">
        <v>471</v>
      </c>
      <c r="Q478" s="544">
        <f>+DATE(YEAR(Q477),MONTH(Q477)-1,DAY(Q477))</f>
        <v>25569.041666666668</v>
      </c>
      <c r="R478" s="341">
        <f>IF($Z$7=$E478,1,IF(MONTH($E478)=1,R479*(1+$F$5),R479))</f>
      </c>
      <c r="S478" s="334">
        <f>R478*$B$8/12</f>
      </c>
      <c r="T478" s="334">
        <f>R478*$B$11/12</f>
      </c>
      <c r="U478" s="565">
        <f>(1+$V$5)^(P478/12)*(T478+IF(Q478=$Z$7,$Z$4,0))</f>
      </c>
      <c r="V478" s="170"/>
      <c r="W478" s="7"/>
      <c r="X478" s="1"/>
      <c r="Y478" s="1"/>
      <c r="Z478" s="1"/>
      <c r="AA478" s="1"/>
      <c r="AB478" s="1"/>
      <c r="AC478" s="331">
        <v>471</v>
      </c>
      <c r="AD478" s="544">
        <f>+DATE(YEAR(AD477),MONTH(AD477)-1,DAY(AD477))</f>
        <v>25569.041666666668</v>
      </c>
      <c r="AE478" s="341">
        <f>IF($AM$7=$E478,1,IF(MONTH($E478)=1,AE479*(1+$F$5),AE479))</f>
      </c>
      <c r="AF478" s="334">
        <f>AE478*$B$8/12</f>
      </c>
      <c r="AG478" s="334">
        <f>AE478*$B$12/12</f>
      </c>
      <c r="AH478" s="565">
        <f>(1+$AI$5)^(AC478/12)*(AG478+IF(AD478=$AM$7,$AM$4,0))</f>
      </c>
      <c r="AI478" s="170"/>
      <c r="AJ478" s="7"/>
      <c r="AK478" s="1"/>
      <c r="AL478" s="1"/>
      <c r="AM478" s="1"/>
    </row>
    <row x14ac:dyDescent="0.25" r="479" customHeight="1" ht="18.75">
      <c r="A479" s="1"/>
      <c r="B479" s="169"/>
      <c r="C479" s="170"/>
      <c r="D479" s="331">
        <v>472</v>
      </c>
      <c r="E479" s="544">
        <f>+DATE(YEAR(E478),MONTH(E478)-1,DAY(E478))</f>
        <v>25569.041666666668</v>
      </c>
      <c r="F479" s="333">
        <f>IF($C$6=$E479,1,IF(MONTH($E479)=1,F480*(1+$F$5),F480))</f>
      </c>
      <c r="G479" s="333">
        <f>F479*$B$8/12</f>
      </c>
      <c r="H479" s="333">
        <f>IF(F479=1,F479*$B$10/MIN(12,'Simulador - 3º Pilar'!$E$88),0)</f>
      </c>
      <c r="I479" s="560">
        <f>(1+$G$5)^(D479/12)*(H479+IF(E479=$N$7,$N$4,0))</f>
      </c>
      <c r="J479" s="561">
        <f>(1+$G$5)^(D479/12)*(H479*(12-IF(MONTH(E480)=12,0,MONTH(E480)))+IF(AND(F479=1,F480=0),$Q$4,0))*IF(AND(F479=1,F480=0),1,0)</f>
      </c>
      <c r="K479" s="217">
        <f>(1+$G$5)^(D479/12)*(IF(E479=$N$7,$N$4,0)+IF(E479=$C$6,$B$10,0))</f>
      </c>
      <c r="L479" s="217">
        <f>(1+$G$5)^(D479/12)*(IF((E479)&gt;($B$6),H479,0)+IF(E479=$N$7,$N$4,0)+IF(E479=$C$6,0,0))</f>
      </c>
      <c r="M479" s="1"/>
      <c r="N479" s="7"/>
      <c r="O479" s="1"/>
      <c r="P479" s="331">
        <v>472</v>
      </c>
      <c r="Q479" s="544">
        <f>+DATE(YEAR(Q478),MONTH(Q478)-1,DAY(Q478))</f>
        <v>25569.041666666668</v>
      </c>
      <c r="R479" s="341">
        <f>IF($Z$7=$E479,1,IF(MONTH($E479)=1,R480*(1+$F$5),R480))</f>
      </c>
      <c r="S479" s="334">
        <f>R479*$B$8/12</f>
      </c>
      <c r="T479" s="334">
        <f>R479*$B$11/12</f>
      </c>
      <c r="U479" s="565">
        <f>(1+$V$5)^(P479/12)*(T479+IF(Q479=$Z$7,$Z$4,0))</f>
      </c>
      <c r="V479" s="170"/>
      <c r="W479" s="7"/>
      <c r="X479" s="1"/>
      <c r="Y479" s="1"/>
      <c r="Z479" s="1"/>
      <c r="AA479" s="1"/>
      <c r="AB479" s="1"/>
      <c r="AC479" s="331">
        <v>472</v>
      </c>
      <c r="AD479" s="544">
        <f>+DATE(YEAR(AD478),MONTH(AD478)-1,DAY(AD478))</f>
        <v>25569.041666666668</v>
      </c>
      <c r="AE479" s="341">
        <f>IF($AM$7=$E479,1,IF(MONTH($E479)=1,AE480*(1+$F$5),AE480))</f>
      </c>
      <c r="AF479" s="334">
        <f>AE479*$B$8/12</f>
      </c>
      <c r="AG479" s="334">
        <f>AE479*$B$12/12</f>
      </c>
      <c r="AH479" s="565">
        <f>(1+$AI$5)^(AC479/12)*(AG479+IF(AD479=$AM$7,$AM$4,0))</f>
      </c>
      <c r="AI479" s="170"/>
      <c r="AJ479" s="7"/>
      <c r="AK479" s="1"/>
      <c r="AL479" s="1"/>
      <c r="AM479" s="1"/>
    </row>
    <row x14ac:dyDescent="0.25" r="480" customHeight="1" ht="18.75">
      <c r="A480" s="1"/>
      <c r="B480" s="169"/>
      <c r="C480" s="170"/>
      <c r="D480" s="331">
        <v>473</v>
      </c>
      <c r="E480" s="544">
        <f>+DATE(YEAR(E479),MONTH(E479)-1,DAY(E479))</f>
        <v>25569.041666666668</v>
      </c>
      <c r="F480" s="333">
        <f>IF($C$6=$E480,1,IF(MONTH($E480)=1,F481*(1+$F$5),F481))</f>
      </c>
      <c r="G480" s="333">
        <f>F480*$B$8/12</f>
      </c>
      <c r="H480" s="333">
        <f>IF(F480=1,F480*$B$10/MIN(12,'Simulador - 3º Pilar'!$E$88),0)</f>
      </c>
      <c r="I480" s="560">
        <f>(1+$G$5)^(D480/12)*(H480+IF(E480=$N$7,$N$4,0))</f>
      </c>
      <c r="J480" s="561">
        <f>(1+$G$5)^(D480/12)*(H480*(12-IF(MONTH(E481)=12,0,MONTH(E481)))+IF(AND(F480=1,F481=0),$Q$4,0))*IF(AND(F480=1,F481=0),1,0)</f>
      </c>
      <c r="K480" s="217">
        <f>(1+$G$5)^(D480/12)*(IF(E480=$N$7,$N$4,0)+IF(E480=$C$6,$B$10,0))</f>
      </c>
      <c r="L480" s="217">
        <f>(1+$G$5)^(D480/12)*(IF((E480)&gt;($B$6),H480,0)+IF(E480=$N$7,$N$4,0)+IF(E480=$C$6,0,0))</f>
      </c>
      <c r="M480" s="1"/>
      <c r="N480" s="7"/>
      <c r="O480" s="1"/>
      <c r="P480" s="331">
        <v>473</v>
      </c>
      <c r="Q480" s="544">
        <f>+DATE(YEAR(Q479),MONTH(Q479)-1,DAY(Q479))</f>
        <v>25569.041666666668</v>
      </c>
      <c r="R480" s="341">
        <f>IF($Z$7=$E480,1,IF(MONTH($E480)=1,R481*(1+$F$5),R481))</f>
      </c>
      <c r="S480" s="334">
        <f>R480*$B$8/12</f>
      </c>
      <c r="T480" s="334">
        <f>R480*$B$11/12</f>
      </c>
      <c r="U480" s="565">
        <f>(1+$V$5)^(P480/12)*(T480+IF(Q480=$Z$7,$Z$4,0))</f>
      </c>
      <c r="V480" s="170"/>
      <c r="W480" s="7"/>
      <c r="X480" s="1"/>
      <c r="Y480" s="1"/>
      <c r="Z480" s="1"/>
      <c r="AA480" s="1"/>
      <c r="AB480" s="1"/>
      <c r="AC480" s="331">
        <v>473</v>
      </c>
      <c r="AD480" s="544">
        <f>+DATE(YEAR(AD479),MONTH(AD479)-1,DAY(AD479))</f>
        <v>25569.041666666668</v>
      </c>
      <c r="AE480" s="341">
        <f>IF($AM$7=$E480,1,IF(MONTH($E480)=1,AE481*(1+$F$5),AE481))</f>
      </c>
      <c r="AF480" s="334">
        <f>AE480*$B$8/12</f>
      </c>
      <c r="AG480" s="334">
        <f>AE480*$B$12/12</f>
      </c>
      <c r="AH480" s="565">
        <f>(1+$AI$5)^(AC480/12)*(AG480+IF(AD480=$AM$7,$AM$4,0))</f>
      </c>
      <c r="AI480" s="170"/>
      <c r="AJ480" s="7"/>
      <c r="AK480" s="1"/>
      <c r="AL480" s="1"/>
      <c r="AM480" s="1"/>
    </row>
    <row x14ac:dyDescent="0.25" r="481" customHeight="1" ht="18.75">
      <c r="A481" s="1"/>
      <c r="B481" s="169"/>
      <c r="C481" s="170"/>
      <c r="D481" s="331">
        <v>474</v>
      </c>
      <c r="E481" s="544">
        <f>+DATE(YEAR(E480),MONTH(E480)-1,DAY(E480))</f>
        <v>25569.041666666668</v>
      </c>
      <c r="F481" s="333">
        <f>IF($C$6=$E481,1,IF(MONTH($E481)=1,F482*(1+$F$5),F482))</f>
      </c>
      <c r="G481" s="333">
        <f>F481*$B$8/12</f>
      </c>
      <c r="H481" s="333">
        <f>IF(F481=1,F481*$B$10/MIN(12,'Simulador - 3º Pilar'!$E$88),0)</f>
      </c>
      <c r="I481" s="560">
        <f>(1+$G$5)^(D481/12)*(H481+IF(E481=$N$7,$N$4,0))</f>
      </c>
      <c r="J481" s="561">
        <f>(1+$G$5)^(D481/12)*(H481*(12-IF(MONTH(E482)=12,0,MONTH(E482)))+IF(AND(F481=1,F482=0),$Q$4,0))*IF(AND(F481=1,F482=0),1,0)</f>
      </c>
      <c r="K481" s="217">
        <f>(1+$G$5)^(D481/12)*(IF(E481=$N$7,$N$4,0)+IF(E481=$C$6,$B$10,0))</f>
      </c>
      <c r="L481" s="217">
        <f>(1+$G$5)^(D481/12)*(IF((E481)&gt;($B$6),H481,0)+IF(E481=$N$7,$N$4,0)+IF(E481=$C$6,0,0))</f>
      </c>
      <c r="M481" s="1"/>
      <c r="N481" s="7"/>
      <c r="O481" s="1"/>
      <c r="P481" s="331">
        <v>474</v>
      </c>
      <c r="Q481" s="544">
        <f>+DATE(YEAR(Q480),MONTH(Q480)-1,DAY(Q480))</f>
        <v>25569.041666666668</v>
      </c>
      <c r="R481" s="341">
        <f>IF($Z$7=$E481,1,IF(MONTH($E481)=1,R482*(1+$F$5),R482))</f>
      </c>
      <c r="S481" s="334">
        <f>R481*$B$8/12</f>
      </c>
      <c r="T481" s="334">
        <f>R481*$B$11/12</f>
      </c>
      <c r="U481" s="565">
        <f>(1+$V$5)^(P481/12)*(T481+IF(Q481=$Z$7,$Z$4,0))</f>
      </c>
      <c r="V481" s="170"/>
      <c r="W481" s="7"/>
      <c r="X481" s="1"/>
      <c r="Y481" s="1"/>
      <c r="Z481" s="1"/>
      <c r="AA481" s="1"/>
      <c r="AB481" s="1"/>
      <c r="AC481" s="331">
        <v>474</v>
      </c>
      <c r="AD481" s="544">
        <f>+DATE(YEAR(AD480),MONTH(AD480)-1,DAY(AD480))</f>
        <v>25569.041666666668</v>
      </c>
      <c r="AE481" s="341">
        <f>IF($AM$7=$E481,1,IF(MONTH($E481)=1,AE482*(1+$F$5),AE482))</f>
      </c>
      <c r="AF481" s="334">
        <f>AE481*$B$8/12</f>
      </c>
      <c r="AG481" s="334">
        <f>AE481*$B$12/12</f>
      </c>
      <c r="AH481" s="565">
        <f>(1+$AI$5)^(AC481/12)*(AG481+IF(AD481=$AM$7,$AM$4,0))</f>
      </c>
      <c r="AI481" s="170"/>
      <c r="AJ481" s="7"/>
      <c r="AK481" s="1"/>
      <c r="AL481" s="1"/>
      <c r="AM481" s="1"/>
    </row>
    <row x14ac:dyDescent="0.25" r="482" customHeight="1" ht="18.75">
      <c r="A482" s="1"/>
      <c r="B482" s="169"/>
      <c r="C482" s="170"/>
      <c r="D482" s="331">
        <v>475</v>
      </c>
      <c r="E482" s="544">
        <f>+DATE(YEAR(E481),MONTH(E481)-1,DAY(E481))</f>
        <v>25569.041666666668</v>
      </c>
      <c r="F482" s="333">
        <f>IF($C$6=$E482,1,IF(MONTH($E482)=1,F483*(1+$F$5),F483))</f>
      </c>
      <c r="G482" s="333">
        <f>F482*$B$8/12</f>
      </c>
      <c r="H482" s="333">
        <f>IF(F482=1,F482*$B$10/MIN(12,'Simulador - 3º Pilar'!$E$88),0)</f>
      </c>
      <c r="I482" s="560">
        <f>(1+$G$5)^(D482/12)*(H482+IF(E482=$N$7,$N$4,0))</f>
      </c>
      <c r="J482" s="561">
        <f>(1+$G$5)^(D482/12)*(H482*(12-IF(MONTH(E483)=12,0,MONTH(E483)))+IF(AND(F482=1,F483=0),$Q$4,0))*IF(AND(F482=1,F483=0),1,0)</f>
      </c>
      <c r="K482" s="217">
        <f>(1+$G$5)^(D482/12)*(IF(E482=$N$7,$N$4,0)+IF(E482=$C$6,$B$10,0))</f>
      </c>
      <c r="L482" s="217">
        <f>(1+$G$5)^(D482/12)*(IF((E482)&gt;($B$6),H482,0)+IF(E482=$N$7,$N$4,0)+IF(E482=$C$6,0,0))</f>
      </c>
      <c r="M482" s="1"/>
      <c r="N482" s="7"/>
      <c r="O482" s="1"/>
      <c r="P482" s="331">
        <v>475</v>
      </c>
      <c r="Q482" s="544">
        <f>+DATE(YEAR(Q481),MONTH(Q481)-1,DAY(Q481))</f>
        <v>25569.041666666668</v>
      </c>
      <c r="R482" s="341">
        <f>IF($Z$7=$E482,1,IF(MONTH($E482)=1,R483*(1+$F$5),R483))</f>
      </c>
      <c r="S482" s="334">
        <f>R482*$B$8/12</f>
      </c>
      <c r="T482" s="334">
        <f>R482*$B$11/12</f>
      </c>
      <c r="U482" s="565">
        <f>(1+$V$5)^(P482/12)*(T482+IF(Q482=$Z$7,$Z$4,0))</f>
      </c>
      <c r="V482" s="170"/>
      <c r="W482" s="7"/>
      <c r="X482" s="1"/>
      <c r="Y482" s="1"/>
      <c r="Z482" s="1"/>
      <c r="AA482" s="1"/>
      <c r="AB482" s="1"/>
      <c r="AC482" s="331">
        <v>475</v>
      </c>
      <c r="AD482" s="544">
        <f>+DATE(YEAR(AD481),MONTH(AD481)-1,DAY(AD481))</f>
        <v>25569.041666666668</v>
      </c>
      <c r="AE482" s="341">
        <f>IF($AM$7=$E482,1,IF(MONTH($E482)=1,AE483*(1+$F$5),AE483))</f>
      </c>
      <c r="AF482" s="334">
        <f>AE482*$B$8/12</f>
      </c>
      <c r="AG482" s="334">
        <f>AE482*$B$12/12</f>
      </c>
      <c r="AH482" s="565">
        <f>(1+$AI$5)^(AC482/12)*(AG482+IF(AD482=$AM$7,$AM$4,0))</f>
      </c>
      <c r="AI482" s="170"/>
      <c r="AJ482" s="7"/>
      <c r="AK482" s="1"/>
      <c r="AL482" s="1"/>
      <c r="AM482" s="1"/>
    </row>
    <row x14ac:dyDescent="0.25" r="483" customHeight="1" ht="18.75">
      <c r="A483" s="1"/>
      <c r="B483" s="169"/>
      <c r="C483" s="170"/>
      <c r="D483" s="331">
        <v>476</v>
      </c>
      <c r="E483" s="544">
        <f>+DATE(YEAR(E482),MONTH(E482)-1,DAY(E482))</f>
        <v>25569.041666666668</v>
      </c>
      <c r="F483" s="333">
        <f>IF($C$6=$E483,1,IF(MONTH($E483)=1,F484*(1+$F$5),F484))</f>
      </c>
      <c r="G483" s="333">
        <f>F483*$B$8/12</f>
      </c>
      <c r="H483" s="333">
        <f>IF(F483=1,F483*$B$10/MIN(12,'Simulador - 3º Pilar'!$E$88),0)</f>
      </c>
      <c r="I483" s="560">
        <f>(1+$G$5)^(D483/12)*(H483+IF(E483=$N$7,$N$4,0))</f>
      </c>
      <c r="J483" s="561">
        <f>(1+$G$5)^(D483/12)*(H483*(12-IF(MONTH(E484)=12,0,MONTH(E484)))+IF(AND(F483=1,F484=0),$Q$4,0))*IF(AND(F483=1,F484=0),1,0)</f>
      </c>
      <c r="K483" s="217">
        <f>(1+$G$5)^(D483/12)*(IF(E483=$N$7,$N$4,0)+IF(E483=$C$6,$B$10,0))</f>
      </c>
      <c r="L483" s="217">
        <f>(1+$G$5)^(D483/12)*(IF((E483)&gt;($B$6),H483,0)+IF(E483=$N$7,$N$4,0)+IF(E483=$C$6,0,0))</f>
      </c>
      <c r="M483" s="1"/>
      <c r="N483" s="7"/>
      <c r="O483" s="1"/>
      <c r="P483" s="331">
        <v>476</v>
      </c>
      <c r="Q483" s="544">
        <f>+DATE(YEAR(Q482),MONTH(Q482)-1,DAY(Q482))</f>
        <v>25569.041666666668</v>
      </c>
      <c r="R483" s="341">
        <f>IF($Z$7=$E483,1,IF(MONTH($E483)=1,R484*(1+$F$5),R484))</f>
      </c>
      <c r="S483" s="334">
        <f>R483*$B$8/12</f>
      </c>
      <c r="T483" s="334">
        <f>R483*$B$11/12</f>
      </c>
      <c r="U483" s="565">
        <f>(1+$V$5)^(P483/12)*(T483+IF(Q483=$Z$7,$Z$4,0))</f>
      </c>
      <c r="V483" s="170"/>
      <c r="W483" s="7"/>
      <c r="X483" s="1"/>
      <c r="Y483" s="1"/>
      <c r="Z483" s="1"/>
      <c r="AA483" s="1"/>
      <c r="AB483" s="1"/>
      <c r="AC483" s="331">
        <v>476</v>
      </c>
      <c r="AD483" s="544">
        <f>+DATE(YEAR(AD482),MONTH(AD482)-1,DAY(AD482))</f>
        <v>25569.041666666668</v>
      </c>
      <c r="AE483" s="341">
        <f>IF($AM$7=$E483,1,IF(MONTH($E483)=1,AE484*(1+$F$5),AE484))</f>
      </c>
      <c r="AF483" s="334">
        <f>AE483*$B$8/12</f>
      </c>
      <c r="AG483" s="334">
        <f>AE483*$B$12/12</f>
      </c>
      <c r="AH483" s="565">
        <f>(1+$AI$5)^(AC483/12)*(AG483+IF(AD483=$AM$7,$AM$4,0))</f>
      </c>
      <c r="AI483" s="170"/>
      <c r="AJ483" s="7"/>
      <c r="AK483" s="1"/>
      <c r="AL483" s="1"/>
      <c r="AM483" s="1"/>
    </row>
    <row x14ac:dyDescent="0.25" r="484" customHeight="1" ht="18.75">
      <c r="A484" s="1"/>
      <c r="B484" s="169"/>
      <c r="C484" s="170"/>
      <c r="D484" s="331">
        <v>477</v>
      </c>
      <c r="E484" s="544">
        <f>+DATE(YEAR(E483),MONTH(E483)-1,DAY(E483))</f>
        <v>25569.041666666668</v>
      </c>
      <c r="F484" s="333">
        <f>IF($C$6=$E484,1,IF(MONTH($E484)=1,F485*(1+$F$5),F485))</f>
      </c>
      <c r="G484" s="333">
        <f>F484*$B$8/12</f>
      </c>
      <c r="H484" s="333">
        <f>IF(F484=1,F484*$B$10/MIN(12,'Simulador - 3º Pilar'!$E$88),0)</f>
      </c>
      <c r="I484" s="560">
        <f>(1+$G$5)^(D484/12)*(H484+IF(E484=$N$7,$N$4,0))</f>
      </c>
      <c r="J484" s="561">
        <f>(1+$G$5)^(D484/12)*(H484*(12-IF(MONTH(E485)=12,0,MONTH(E485)))+IF(AND(F484=1,F485=0),$Q$4,0))*IF(AND(F484=1,F485=0),1,0)</f>
      </c>
      <c r="K484" s="217">
        <f>(1+$G$5)^(D484/12)*(IF(E484=$N$7,$N$4,0)+IF(E484=$C$6,$B$10,0))</f>
      </c>
      <c r="L484" s="217">
        <f>(1+$G$5)^(D484/12)*(IF((E484)&gt;($B$6),H484,0)+IF(E484=$N$7,$N$4,0)+IF(E484=$C$6,0,0))</f>
      </c>
      <c r="M484" s="1"/>
      <c r="N484" s="7"/>
      <c r="O484" s="1"/>
      <c r="P484" s="331">
        <v>477</v>
      </c>
      <c r="Q484" s="544">
        <f>+DATE(YEAR(Q483),MONTH(Q483)-1,DAY(Q483))</f>
        <v>25569.041666666668</v>
      </c>
      <c r="R484" s="341">
        <f>IF($Z$7=$E484,1,IF(MONTH($E484)=1,R485*(1+$F$5),R485))</f>
      </c>
      <c r="S484" s="334">
        <f>R484*$B$8/12</f>
      </c>
      <c r="T484" s="334">
        <f>R484*$B$11/12</f>
      </c>
      <c r="U484" s="565">
        <f>(1+$V$5)^(P484/12)*(T484+IF(Q484=$Z$7,$Z$4,0))</f>
      </c>
      <c r="V484" s="170"/>
      <c r="W484" s="7"/>
      <c r="X484" s="1"/>
      <c r="Y484" s="1"/>
      <c r="Z484" s="1"/>
      <c r="AA484" s="1"/>
      <c r="AB484" s="1"/>
      <c r="AC484" s="331">
        <v>477</v>
      </c>
      <c r="AD484" s="544">
        <f>+DATE(YEAR(AD483),MONTH(AD483)-1,DAY(AD483))</f>
        <v>25569.041666666668</v>
      </c>
      <c r="AE484" s="341">
        <f>IF($AM$7=$E484,1,IF(MONTH($E484)=1,AE485*(1+$F$5),AE485))</f>
      </c>
      <c r="AF484" s="334">
        <f>AE484*$B$8/12</f>
      </c>
      <c r="AG484" s="334">
        <f>AE484*$B$12/12</f>
      </c>
      <c r="AH484" s="565">
        <f>(1+$AI$5)^(AC484/12)*(AG484+IF(AD484=$AM$7,$AM$4,0))</f>
      </c>
      <c r="AI484" s="170"/>
      <c r="AJ484" s="7"/>
      <c r="AK484" s="1"/>
      <c r="AL484" s="1"/>
      <c r="AM484" s="1"/>
    </row>
    <row x14ac:dyDescent="0.25" r="485" customHeight="1" ht="18.75">
      <c r="A485" s="1"/>
      <c r="B485" s="169"/>
      <c r="C485" s="170"/>
      <c r="D485" s="331">
        <v>478</v>
      </c>
      <c r="E485" s="544">
        <f>+DATE(YEAR(E484),MONTH(E484)-1,DAY(E484))</f>
        <v>25569.041666666668</v>
      </c>
      <c r="F485" s="333">
        <f>IF($C$6=$E485,1,IF(MONTH($E485)=1,F486*(1+$F$5),F486))</f>
      </c>
      <c r="G485" s="333">
        <f>F485*$B$8/12</f>
      </c>
      <c r="H485" s="333">
        <f>IF(F485=1,F485*$B$10/MIN(12,'Simulador - 3º Pilar'!$E$88),0)</f>
      </c>
      <c r="I485" s="560">
        <f>(1+$G$5)^(D485/12)*(H485+IF(E485=$N$7,$N$4,0))</f>
      </c>
      <c r="J485" s="561">
        <f>(1+$G$5)^(D485/12)*(H485*(12-IF(MONTH(E486)=12,0,MONTH(E486)))+IF(AND(F485=1,F486=0),$Q$4,0))*IF(AND(F485=1,F486=0),1,0)</f>
      </c>
      <c r="K485" s="217">
        <f>(1+$G$5)^(D485/12)*(IF(E485=$N$7,$N$4,0)+IF(E485=$C$6,$B$10,0))</f>
      </c>
      <c r="L485" s="217">
        <f>(1+$G$5)^(D485/12)*(IF((E485)&gt;($B$6),H485,0)+IF(E485=$N$7,$N$4,0)+IF(E485=$C$6,0,0))</f>
      </c>
      <c r="M485" s="1"/>
      <c r="N485" s="7"/>
      <c r="O485" s="1"/>
      <c r="P485" s="331">
        <v>478</v>
      </c>
      <c r="Q485" s="544">
        <f>+DATE(YEAR(Q484),MONTH(Q484)-1,DAY(Q484))</f>
        <v>25569.041666666668</v>
      </c>
      <c r="R485" s="341">
        <f>IF($Z$7=$E485,1,IF(MONTH($E485)=1,R486*(1+$F$5),R486))</f>
      </c>
      <c r="S485" s="334">
        <f>R485*$B$8/12</f>
      </c>
      <c r="T485" s="334">
        <f>R485*$B$11/12</f>
      </c>
      <c r="U485" s="565">
        <f>(1+$V$5)^(P485/12)*(T485+IF(Q485=$Z$7,$Z$4,0))</f>
      </c>
      <c r="V485" s="170"/>
      <c r="W485" s="7"/>
      <c r="X485" s="1"/>
      <c r="Y485" s="1"/>
      <c r="Z485" s="1"/>
      <c r="AA485" s="1"/>
      <c r="AB485" s="1"/>
      <c r="AC485" s="331">
        <v>478</v>
      </c>
      <c r="AD485" s="544">
        <f>+DATE(YEAR(AD484),MONTH(AD484)-1,DAY(AD484))</f>
        <v>25569.041666666668</v>
      </c>
      <c r="AE485" s="341">
        <f>IF($AM$7=$E485,1,IF(MONTH($E485)=1,AE486*(1+$F$5),AE486))</f>
      </c>
      <c r="AF485" s="334">
        <f>AE485*$B$8/12</f>
      </c>
      <c r="AG485" s="334">
        <f>AE485*$B$12/12</f>
      </c>
      <c r="AH485" s="565">
        <f>(1+$AI$5)^(AC485/12)*(AG485+IF(AD485=$AM$7,$AM$4,0))</f>
      </c>
      <c r="AI485" s="170"/>
      <c r="AJ485" s="7"/>
      <c r="AK485" s="1"/>
      <c r="AL485" s="1"/>
      <c r="AM485" s="1"/>
    </row>
    <row x14ac:dyDescent="0.25" r="486" customHeight="1" ht="18.75">
      <c r="A486" s="1"/>
      <c r="B486" s="169"/>
      <c r="C486" s="170"/>
      <c r="D486" s="331">
        <v>479</v>
      </c>
      <c r="E486" s="544">
        <f>+DATE(YEAR(E485),MONTH(E485)-1,DAY(E485))</f>
        <v>25569.041666666668</v>
      </c>
      <c r="F486" s="333">
        <f>IF($C$6=$E486,1,IF(MONTH($E486)=1,F487*(1+$F$5),F487))</f>
      </c>
      <c r="G486" s="333">
        <f>F486*$B$8/12</f>
      </c>
      <c r="H486" s="333">
        <f>IF(F486=1,F486*$B$10/MIN(12,'Simulador - 3º Pilar'!$E$88),0)</f>
      </c>
      <c r="I486" s="560">
        <f>(1+$G$5)^(D486/12)*(H486+IF(E486=$N$7,$N$4,0))</f>
      </c>
      <c r="J486" s="561">
        <f>(1+$G$5)^(D486/12)*(H486*(12-IF(MONTH(E487)=12,0,MONTH(E487)))+IF(AND(F486=1,F487=0),$Q$4,0))*IF(AND(F486=1,F487=0),1,0)</f>
      </c>
      <c r="K486" s="217">
        <f>(1+$G$5)^(D486/12)*(IF(E486=$N$7,$N$4,0)+IF(E486=$C$6,$B$10,0))</f>
      </c>
      <c r="L486" s="217">
        <f>(1+$G$5)^(D486/12)*(IF((E486)&gt;($B$6),H486,0)+IF(E486=$N$7,$N$4,0)+IF(E486=$C$6,0,0))</f>
      </c>
      <c r="M486" s="1"/>
      <c r="N486" s="7"/>
      <c r="O486" s="1"/>
      <c r="P486" s="331">
        <v>479</v>
      </c>
      <c r="Q486" s="544">
        <f>+DATE(YEAR(Q485),MONTH(Q485)-1,DAY(Q485))</f>
        <v>25569.041666666668</v>
      </c>
      <c r="R486" s="341">
        <f>IF($Z$7=$E486,1,IF(MONTH($E486)=1,R487*(1+$F$5),R487))</f>
      </c>
      <c r="S486" s="334">
        <f>R486*$B$8/12</f>
      </c>
      <c r="T486" s="334">
        <f>R486*$B$11/12</f>
      </c>
      <c r="U486" s="565">
        <f>(1+$V$5)^(P486/12)*(T486+IF(Q486=$Z$7,$Z$4,0))</f>
      </c>
      <c r="V486" s="170"/>
      <c r="W486" s="7"/>
      <c r="X486" s="1"/>
      <c r="Y486" s="1"/>
      <c r="Z486" s="1"/>
      <c r="AA486" s="1"/>
      <c r="AB486" s="1"/>
      <c r="AC486" s="331">
        <v>479</v>
      </c>
      <c r="AD486" s="544">
        <f>+DATE(YEAR(AD485),MONTH(AD485)-1,DAY(AD485))</f>
        <v>25569.041666666668</v>
      </c>
      <c r="AE486" s="341">
        <f>IF($AM$7=$E486,1,IF(MONTH($E486)=1,AE487*(1+$F$5),AE487))</f>
      </c>
      <c r="AF486" s="334">
        <f>AE486*$B$8/12</f>
      </c>
      <c r="AG486" s="334">
        <f>AE486*$B$12/12</f>
      </c>
      <c r="AH486" s="565">
        <f>(1+$AI$5)^(AC486/12)*(AG486+IF(AD486=$AM$7,$AM$4,0))</f>
      </c>
      <c r="AI486" s="170"/>
      <c r="AJ486" s="7"/>
      <c r="AK486" s="1"/>
      <c r="AL486" s="1"/>
      <c r="AM486" s="1"/>
    </row>
    <row x14ac:dyDescent="0.25" r="487" customHeight="1" ht="18.75">
      <c r="A487" s="1"/>
      <c r="B487" s="169"/>
      <c r="C487" s="170"/>
      <c r="D487" s="331">
        <v>480</v>
      </c>
      <c r="E487" s="544">
        <f>+DATE(YEAR(E486),MONTH(E486)-1,DAY(E486))</f>
        <v>25569.041666666668</v>
      </c>
      <c r="F487" s="333">
        <f>IF($C$6=$E487,1,IF(MONTH($E487)=1,F488*(1+$F$5),F488))</f>
      </c>
      <c r="G487" s="333">
        <f>F487*$B$8/12</f>
      </c>
      <c r="H487" s="333">
        <f>IF(F487=1,F487*$B$10/MIN(12,'Simulador - 3º Pilar'!$E$88),0)</f>
      </c>
      <c r="I487" s="560">
        <f>(1+$G$5)^(D487/12)*(H487+IF(E487=$N$7,$N$4,0))</f>
      </c>
      <c r="J487" s="561">
        <f>(1+$G$5)^(D487/12)*(H487*(12-IF(MONTH(E488)=12,0,MONTH(E488)))+IF(AND(F487=1,F488=0),$Q$4,0))*IF(AND(F487=1,F488=0),1,0)</f>
      </c>
      <c r="K487" s="217">
        <f>(1+$G$5)^(D487/12)*(IF(E487=$N$7,$N$4,0)+IF(E487=$C$6,$B$10,0))</f>
      </c>
      <c r="L487" s="217">
        <f>(1+$G$5)^(D487/12)*(IF((E487)&gt;($B$6),H487,0)+IF(E487=$N$7,$N$4,0)+IF(E487=$C$6,0,0))</f>
      </c>
      <c r="M487" s="1"/>
      <c r="N487" s="7"/>
      <c r="O487" s="1"/>
      <c r="P487" s="331">
        <v>480</v>
      </c>
      <c r="Q487" s="544">
        <f>+DATE(YEAR(Q486),MONTH(Q486)-1,DAY(Q486))</f>
        <v>25569.041666666668</v>
      </c>
      <c r="R487" s="341">
        <f>IF($Z$7=$E487,1,IF(MONTH($E487)=1,R488*(1+$F$5),R488))</f>
      </c>
      <c r="S487" s="334">
        <f>R487*$B$8/12</f>
      </c>
      <c r="T487" s="334">
        <f>R487*$B$11/12</f>
      </c>
      <c r="U487" s="565">
        <f>(1+$V$5)^(P487/12)*(T487+IF(Q487=$Z$7,$Z$4,0))</f>
      </c>
      <c r="V487" s="170"/>
      <c r="W487" s="7"/>
      <c r="X487" s="1"/>
      <c r="Y487" s="1"/>
      <c r="Z487" s="1"/>
      <c r="AA487" s="1"/>
      <c r="AB487" s="1"/>
      <c r="AC487" s="331">
        <v>480</v>
      </c>
      <c r="AD487" s="544">
        <f>+DATE(YEAR(AD486),MONTH(AD486)-1,DAY(AD486))</f>
        <v>25569.041666666668</v>
      </c>
      <c r="AE487" s="341">
        <f>IF($AM$7=$E487,1,IF(MONTH($E487)=1,AE488*(1+$F$5),AE488))</f>
      </c>
      <c r="AF487" s="334">
        <f>AE487*$B$8/12</f>
      </c>
      <c r="AG487" s="334">
        <f>AE487*$B$12/12</f>
      </c>
      <c r="AH487" s="565">
        <f>(1+$AI$5)^(AC487/12)*(AG487+IF(AD487=$AM$7,$AM$4,0))</f>
      </c>
      <c r="AI487" s="170"/>
      <c r="AJ487" s="7"/>
      <c r="AK487" s="1"/>
      <c r="AL487" s="1"/>
      <c r="AM487" s="1"/>
    </row>
    <row x14ac:dyDescent="0.25" r="488" customHeight="1" ht="18.75">
      <c r="A488" s="1"/>
      <c r="B488" s="169"/>
      <c r="C488" s="170"/>
      <c r="D488" s="331">
        <v>481</v>
      </c>
      <c r="E488" s="544">
        <f>+DATE(YEAR(E487),MONTH(E487)-1,DAY(E487))</f>
        <v>25569.041666666668</v>
      </c>
      <c r="F488" s="333">
        <f>IF($C$6=$E488,1,IF(MONTH($E488)=1,F489*(1+$F$5),F489))</f>
      </c>
      <c r="G488" s="333">
        <f>F488*$B$8/12</f>
      </c>
      <c r="H488" s="333">
        <f>IF(F488=1,F488*$B$10/MIN(12,'Simulador - 3º Pilar'!$E$88),0)</f>
      </c>
      <c r="I488" s="560">
        <f>(1+$G$5)^(D488/12)*(H488+IF(E488=$N$7,$N$4,0))</f>
      </c>
      <c r="J488" s="561">
        <f>(1+$G$5)^(D488/12)*(H488*(12-IF(MONTH(E489)=12,0,MONTH(E489)))+IF(AND(F488=1,F489=0),$Q$4,0))*IF(AND(F488=1,F489=0),1,0)</f>
      </c>
      <c r="K488" s="217">
        <f>(1+$G$5)^(D488/12)*(IF(E488=$N$7,$N$4,0)+IF(E488=$C$6,$B$10,0))</f>
      </c>
      <c r="L488" s="217">
        <f>(1+$G$5)^(D488/12)*(IF((E488)&gt;($B$6),H488,0)+IF(E488=$N$7,$N$4,0)+IF(E488=$C$6,0,0))</f>
      </c>
      <c r="M488" s="1"/>
      <c r="N488" s="7"/>
      <c r="O488" s="1"/>
      <c r="P488" s="331">
        <v>481</v>
      </c>
      <c r="Q488" s="544">
        <f>+DATE(YEAR(Q487),MONTH(Q487)-1,DAY(Q487))</f>
        <v>25569.041666666668</v>
      </c>
      <c r="R488" s="341">
        <f>IF($Z$7=$E488,1,IF(MONTH($E488)=1,R489*(1+$F$5),R489))</f>
      </c>
      <c r="S488" s="334">
        <f>R488*$B$8/12</f>
      </c>
      <c r="T488" s="334">
        <f>R488*$B$11/12</f>
      </c>
      <c r="U488" s="565">
        <f>(1+$V$5)^(P488/12)*(T488+IF(Q488=$Z$7,$Z$4,0))</f>
      </c>
      <c r="V488" s="170"/>
      <c r="W488" s="7"/>
      <c r="X488" s="1"/>
      <c r="Y488" s="1"/>
      <c r="Z488" s="1"/>
      <c r="AA488" s="1"/>
      <c r="AB488" s="1"/>
      <c r="AC488" s="331">
        <v>481</v>
      </c>
      <c r="AD488" s="544">
        <f>+DATE(YEAR(AD487),MONTH(AD487)-1,DAY(AD487))</f>
        <v>25569.041666666668</v>
      </c>
      <c r="AE488" s="341">
        <f>IF($AM$7=$E488,1,IF(MONTH($E488)=1,AE489*(1+$F$5),AE489))</f>
      </c>
      <c r="AF488" s="334">
        <f>AE488*$B$8/12</f>
      </c>
      <c r="AG488" s="334">
        <f>AE488*$B$12/12</f>
      </c>
      <c r="AH488" s="565">
        <f>(1+$AI$5)^(AC488/12)*(AG488+IF(AD488=$AM$7,$AM$4,0))</f>
      </c>
      <c r="AI488" s="170"/>
      <c r="AJ488" s="7"/>
      <c r="AK488" s="1"/>
      <c r="AL488" s="1"/>
      <c r="AM488" s="1"/>
    </row>
    <row x14ac:dyDescent="0.25" r="489" customHeight="1" ht="18.75">
      <c r="A489" s="1"/>
      <c r="B489" s="169"/>
      <c r="C489" s="170"/>
      <c r="D489" s="331">
        <v>482</v>
      </c>
      <c r="E489" s="544">
        <f>+DATE(YEAR(E488),MONTH(E488)-1,DAY(E488))</f>
        <v>25569.041666666668</v>
      </c>
      <c r="F489" s="333">
        <f>IF($C$6=$E489,1,IF(MONTH($E489)=1,F490*(1+$F$5),F490))</f>
      </c>
      <c r="G489" s="333">
        <f>F489*$B$8/12</f>
      </c>
      <c r="H489" s="333">
        <f>IF(F489=1,F489*$B$10/MIN(12,'Simulador - 3º Pilar'!$E$88),0)</f>
      </c>
      <c r="I489" s="560">
        <f>(1+$G$5)^(D489/12)*(H489+IF(E489=$N$7,$N$4,0))</f>
      </c>
      <c r="J489" s="561">
        <f>(1+$G$5)^(D489/12)*(H489*(12-IF(MONTH(E490)=12,0,MONTH(E490)))+IF(AND(F489=1,F490=0),$Q$4,0))*IF(AND(F489=1,F490=0),1,0)</f>
      </c>
      <c r="K489" s="217">
        <f>(1+$G$5)^(D489/12)*(IF(E489=$N$7,$N$4,0)+IF(E489=$C$6,$B$10,0))</f>
      </c>
      <c r="L489" s="217">
        <f>(1+$G$5)^(D489/12)*(IF((E489)&gt;($B$6),H489,0)+IF(E489=$N$7,$N$4,0)+IF(E489=$C$6,0,0))</f>
      </c>
      <c r="M489" s="1"/>
      <c r="N489" s="7"/>
      <c r="O489" s="1"/>
      <c r="P489" s="331">
        <v>482</v>
      </c>
      <c r="Q489" s="544">
        <f>+DATE(YEAR(Q488),MONTH(Q488)-1,DAY(Q488))</f>
        <v>25569.041666666668</v>
      </c>
      <c r="R489" s="341">
        <f>IF($Z$7=$E489,1,IF(MONTH($E489)=1,R490*(1+$F$5),R490))</f>
      </c>
      <c r="S489" s="334">
        <f>R489*$B$8/12</f>
      </c>
      <c r="T489" s="334">
        <f>R489*$B$11/12</f>
      </c>
      <c r="U489" s="565">
        <f>(1+$V$5)^(P489/12)*(T489+IF(Q489=$Z$7,$Z$4,0))</f>
      </c>
      <c r="V489" s="170"/>
      <c r="W489" s="7"/>
      <c r="X489" s="1"/>
      <c r="Y489" s="1"/>
      <c r="Z489" s="1"/>
      <c r="AA489" s="1"/>
      <c r="AB489" s="1"/>
      <c r="AC489" s="331">
        <v>482</v>
      </c>
      <c r="AD489" s="544">
        <f>+DATE(YEAR(AD488),MONTH(AD488)-1,DAY(AD488))</f>
        <v>25569.041666666668</v>
      </c>
      <c r="AE489" s="341">
        <f>IF($AM$7=$E489,1,IF(MONTH($E489)=1,AE490*(1+$F$5),AE490))</f>
      </c>
      <c r="AF489" s="334">
        <f>AE489*$B$8/12</f>
      </c>
      <c r="AG489" s="334">
        <f>AE489*$B$12/12</f>
      </c>
      <c r="AH489" s="565">
        <f>(1+$AI$5)^(AC489/12)*(AG489+IF(AD489=$AM$7,$AM$4,0))</f>
      </c>
      <c r="AI489" s="170"/>
      <c r="AJ489" s="7"/>
      <c r="AK489" s="1"/>
      <c r="AL489" s="1"/>
      <c r="AM489" s="1"/>
    </row>
    <row x14ac:dyDescent="0.25" r="490" customHeight="1" ht="18.75">
      <c r="A490" s="1"/>
      <c r="B490" s="169"/>
      <c r="C490" s="170"/>
      <c r="D490" s="331">
        <v>483</v>
      </c>
      <c r="E490" s="544">
        <f>+DATE(YEAR(E489),MONTH(E489)-1,DAY(E489))</f>
        <v>25569.041666666668</v>
      </c>
      <c r="F490" s="333">
        <f>IF($C$6=$E490,1,IF(MONTH($E490)=1,F491*(1+$F$5),F491))</f>
      </c>
      <c r="G490" s="333">
        <f>F490*$B$8/12</f>
      </c>
      <c r="H490" s="333">
        <f>IF(F490=1,F490*$B$10/MIN(12,'Simulador - 3º Pilar'!$E$88),0)</f>
      </c>
      <c r="I490" s="560">
        <f>(1+$G$5)^(D490/12)*(H490+IF(E490=$N$7,$N$4,0))</f>
      </c>
      <c r="J490" s="561">
        <f>(1+$G$5)^(D490/12)*(H490*(12-IF(MONTH(E491)=12,0,MONTH(E491)))+IF(AND(F490=1,F491=0),$Q$4,0))*IF(AND(F490=1,F491=0),1,0)</f>
      </c>
      <c r="K490" s="217">
        <f>(1+$G$5)^(D490/12)*(IF(E490=$N$7,$N$4,0)+IF(E490=$C$6,$B$10,0))</f>
      </c>
      <c r="L490" s="217">
        <f>(1+$G$5)^(D490/12)*(IF((E490)&gt;($B$6),H490,0)+IF(E490=$N$7,$N$4,0)+IF(E490=$C$6,0,0))</f>
      </c>
      <c r="M490" s="1"/>
      <c r="N490" s="7"/>
      <c r="O490" s="1"/>
      <c r="P490" s="331">
        <v>483</v>
      </c>
      <c r="Q490" s="544">
        <f>+DATE(YEAR(Q489),MONTH(Q489)-1,DAY(Q489))</f>
        <v>25569.041666666668</v>
      </c>
      <c r="R490" s="341">
        <f>IF($Z$7=$E490,1,IF(MONTH($E490)=1,R491*(1+$F$5),R491))</f>
      </c>
      <c r="S490" s="334">
        <f>R490*$B$8/12</f>
      </c>
      <c r="T490" s="334">
        <f>R490*$B$11/12</f>
      </c>
      <c r="U490" s="565">
        <f>(1+$V$5)^(P490/12)*(T490+IF(Q490=$Z$7,$Z$4,0))</f>
      </c>
      <c r="V490" s="170"/>
      <c r="W490" s="7"/>
      <c r="X490" s="1"/>
      <c r="Y490" s="1"/>
      <c r="Z490" s="1"/>
      <c r="AA490" s="1"/>
      <c r="AB490" s="1"/>
      <c r="AC490" s="331">
        <v>483</v>
      </c>
      <c r="AD490" s="544">
        <f>+DATE(YEAR(AD489),MONTH(AD489)-1,DAY(AD489))</f>
        <v>25569.041666666668</v>
      </c>
      <c r="AE490" s="341">
        <f>IF($AM$7=$E490,1,IF(MONTH($E490)=1,AE491*(1+$F$5),AE491))</f>
      </c>
      <c r="AF490" s="334">
        <f>AE490*$B$8/12</f>
      </c>
      <c r="AG490" s="334">
        <f>AE490*$B$12/12</f>
      </c>
      <c r="AH490" s="565">
        <f>(1+$AI$5)^(AC490/12)*(AG490+IF(AD490=$AM$7,$AM$4,0))</f>
      </c>
      <c r="AI490" s="170"/>
      <c r="AJ490" s="7"/>
      <c r="AK490" s="1"/>
      <c r="AL490" s="1"/>
      <c r="AM490" s="1"/>
    </row>
    <row x14ac:dyDescent="0.25" r="491" customHeight="1" ht="18.75">
      <c r="A491" s="1"/>
      <c r="B491" s="169"/>
      <c r="C491" s="170"/>
      <c r="D491" s="331">
        <v>484</v>
      </c>
      <c r="E491" s="544">
        <f>+DATE(YEAR(E490),MONTH(E490)-1,DAY(E490))</f>
        <v>25569.041666666668</v>
      </c>
      <c r="F491" s="333">
        <f>IF($C$6=$E491,1,IF(MONTH($E491)=1,F492*(1+$F$5),F492))</f>
      </c>
      <c r="G491" s="333">
        <f>F491*$B$8/12</f>
      </c>
      <c r="H491" s="333">
        <f>IF(F491=1,F491*$B$10/MIN(12,'Simulador - 3º Pilar'!$E$88),0)</f>
      </c>
      <c r="I491" s="560">
        <f>(1+$G$5)^(D491/12)*(H491+IF(E491=$N$7,$N$4,0))</f>
      </c>
      <c r="J491" s="561">
        <f>(1+$G$5)^(D491/12)*(H491*(12-IF(MONTH(E492)=12,0,MONTH(E492)))+IF(AND(F491=1,F492=0),$Q$4,0))*IF(AND(F491=1,F492=0),1,0)</f>
      </c>
      <c r="K491" s="217">
        <f>(1+$G$5)^(D491/12)*(IF(E491=$N$7,$N$4,0)+IF(E491=$C$6,$B$10,0))</f>
      </c>
      <c r="L491" s="217">
        <f>(1+$G$5)^(D491/12)*(IF((E491)&gt;($B$6),H491,0)+IF(E491=$N$7,$N$4,0)+IF(E491=$C$6,0,0))</f>
      </c>
      <c r="M491" s="1"/>
      <c r="N491" s="7"/>
      <c r="O491" s="1"/>
      <c r="P491" s="331">
        <v>484</v>
      </c>
      <c r="Q491" s="544">
        <f>+DATE(YEAR(Q490),MONTH(Q490)-1,DAY(Q490))</f>
        <v>25569.041666666668</v>
      </c>
      <c r="R491" s="341">
        <f>IF($Z$7=$E491,1,IF(MONTH($E491)=1,R492*(1+$F$5),R492))</f>
      </c>
      <c r="S491" s="334">
        <f>R491*$B$8/12</f>
      </c>
      <c r="T491" s="334">
        <f>R491*$B$11/12</f>
      </c>
      <c r="U491" s="565">
        <f>(1+$V$5)^(P491/12)*(T491+IF(Q491=$Z$7,$Z$4,0))</f>
      </c>
      <c r="V491" s="170"/>
      <c r="W491" s="7"/>
      <c r="X491" s="1"/>
      <c r="Y491" s="1"/>
      <c r="Z491" s="1"/>
      <c r="AA491" s="1"/>
      <c r="AB491" s="1"/>
      <c r="AC491" s="331">
        <v>484</v>
      </c>
      <c r="AD491" s="544">
        <f>+DATE(YEAR(AD490),MONTH(AD490)-1,DAY(AD490))</f>
        <v>25569.041666666668</v>
      </c>
      <c r="AE491" s="341">
        <f>IF($AM$7=$E491,1,IF(MONTH($E491)=1,AE492*(1+$F$5),AE492))</f>
      </c>
      <c r="AF491" s="334">
        <f>AE491*$B$8/12</f>
      </c>
      <c r="AG491" s="334">
        <f>AE491*$B$12/12</f>
      </c>
      <c r="AH491" s="565">
        <f>(1+$AI$5)^(AC491/12)*(AG491+IF(AD491=$AM$7,$AM$4,0))</f>
      </c>
      <c r="AI491" s="170"/>
      <c r="AJ491" s="7"/>
      <c r="AK491" s="1"/>
      <c r="AL491" s="1"/>
      <c r="AM491" s="1"/>
    </row>
    <row x14ac:dyDescent="0.25" r="492" customHeight="1" ht="18.75">
      <c r="A492" s="1"/>
      <c r="B492" s="169"/>
      <c r="C492" s="170"/>
      <c r="D492" s="331">
        <v>485</v>
      </c>
      <c r="E492" s="544">
        <f>+DATE(YEAR(E491),MONTH(E491)-1,DAY(E491))</f>
        <v>25569.041666666668</v>
      </c>
      <c r="F492" s="333">
        <f>IF($C$6=$E492,1,IF(MONTH($E492)=1,F493*(1+$F$5),F493))</f>
      </c>
      <c r="G492" s="333">
        <f>F492*$B$8/12</f>
      </c>
      <c r="H492" s="333">
        <f>IF(F492=1,F492*$B$10/MIN(12,'Simulador - 3º Pilar'!$E$88),0)</f>
      </c>
      <c r="I492" s="560">
        <f>(1+$G$5)^(D492/12)*(H492+IF(E492=$N$7,$N$4,0))</f>
      </c>
      <c r="J492" s="561">
        <f>(1+$G$5)^(D492/12)*(H492*(12-IF(MONTH(E493)=12,0,MONTH(E493)))+IF(AND(F492=1,F493=0),$Q$4,0))*IF(AND(F492=1,F493=0),1,0)</f>
      </c>
      <c r="K492" s="217">
        <f>(1+$G$5)^(D492/12)*(IF(E492=$N$7,$N$4,0)+IF(E492=$C$6,$B$10,0))</f>
      </c>
      <c r="L492" s="217">
        <f>(1+$G$5)^(D492/12)*(IF((E492)&gt;($B$6),H492,0)+IF(E492=$N$7,$N$4,0)+IF(E492=$C$6,0,0))</f>
      </c>
      <c r="M492" s="1"/>
      <c r="N492" s="7"/>
      <c r="O492" s="1"/>
      <c r="P492" s="331">
        <v>485</v>
      </c>
      <c r="Q492" s="544">
        <f>+DATE(YEAR(Q491),MONTH(Q491)-1,DAY(Q491))</f>
        <v>25569.041666666668</v>
      </c>
      <c r="R492" s="341">
        <f>IF($Z$7=$E492,1,IF(MONTH($E492)=1,R493*(1+$F$5),R493))</f>
      </c>
      <c r="S492" s="334">
        <f>R492*$B$8/12</f>
      </c>
      <c r="T492" s="334">
        <f>R492*$B$11/12</f>
      </c>
      <c r="U492" s="565">
        <f>(1+$V$5)^(P492/12)*(T492+IF(Q492=$Z$7,$Z$4,0))</f>
      </c>
      <c r="V492" s="170"/>
      <c r="W492" s="7"/>
      <c r="X492" s="1"/>
      <c r="Y492" s="1"/>
      <c r="Z492" s="1"/>
      <c r="AA492" s="1"/>
      <c r="AB492" s="1"/>
      <c r="AC492" s="331">
        <v>485</v>
      </c>
      <c r="AD492" s="544">
        <f>+DATE(YEAR(AD491),MONTH(AD491)-1,DAY(AD491))</f>
        <v>25569.041666666668</v>
      </c>
      <c r="AE492" s="341">
        <f>IF($AM$7=$E492,1,IF(MONTH($E492)=1,AE493*(1+$F$5),AE493))</f>
      </c>
      <c r="AF492" s="334">
        <f>AE492*$B$8/12</f>
      </c>
      <c r="AG492" s="334">
        <f>AE492*$B$12/12</f>
      </c>
      <c r="AH492" s="565">
        <f>(1+$AI$5)^(AC492/12)*(AG492+IF(AD492=$AM$7,$AM$4,0))</f>
      </c>
      <c r="AI492" s="170"/>
      <c r="AJ492" s="7"/>
      <c r="AK492" s="1"/>
      <c r="AL492" s="1"/>
      <c r="AM492" s="1"/>
    </row>
    <row x14ac:dyDescent="0.25" r="493" customHeight="1" ht="18.75">
      <c r="A493" s="1"/>
      <c r="B493" s="169"/>
      <c r="C493" s="170"/>
      <c r="D493" s="331">
        <v>486</v>
      </c>
      <c r="E493" s="544">
        <f>+DATE(YEAR(E492),MONTH(E492)-1,DAY(E492))</f>
        <v>25569.041666666668</v>
      </c>
      <c r="F493" s="333">
        <f>IF($C$6=$E493,1,IF(MONTH($E493)=1,F494*(1+$F$5),F494))</f>
      </c>
      <c r="G493" s="333">
        <f>F493*$B$8/12</f>
      </c>
      <c r="H493" s="333">
        <f>IF(F493=1,F493*$B$10/MIN(12,'Simulador - 3º Pilar'!$E$88),0)</f>
      </c>
      <c r="I493" s="560">
        <f>(1+$G$5)^(D493/12)*(H493+IF(E493=$N$7,$N$4,0))</f>
      </c>
      <c r="J493" s="561">
        <f>(1+$G$5)^(D493/12)*(H493*(12-IF(MONTH(E494)=12,0,MONTH(E494)))+IF(AND(F493=1,F494=0),$Q$4,0))*IF(AND(F493=1,F494=0),1,0)</f>
      </c>
      <c r="K493" s="217">
        <f>(1+$G$5)^(D493/12)*(IF(E493=$N$7,$N$4,0)+IF(E493=$C$6,$B$10,0))</f>
      </c>
      <c r="L493" s="217">
        <f>(1+$G$5)^(D493/12)*(IF((E493)&gt;($B$6),H493,0)+IF(E493=$N$7,$N$4,0)+IF(E493=$C$6,0,0))</f>
      </c>
      <c r="M493" s="1"/>
      <c r="N493" s="7"/>
      <c r="O493" s="1"/>
      <c r="P493" s="331">
        <v>486</v>
      </c>
      <c r="Q493" s="544">
        <f>+DATE(YEAR(Q492),MONTH(Q492)-1,DAY(Q492))</f>
        <v>25569.041666666668</v>
      </c>
      <c r="R493" s="341">
        <f>IF($Z$7=$E493,1,IF(MONTH($E493)=1,R494*(1+$F$5),R494))</f>
      </c>
      <c r="S493" s="334">
        <f>R493*$B$8/12</f>
      </c>
      <c r="T493" s="334">
        <f>R493*$B$11/12</f>
      </c>
      <c r="U493" s="565">
        <f>(1+$V$5)^(P493/12)*(T493+IF(Q493=$Z$7,$Z$4,0))</f>
      </c>
      <c r="V493" s="170"/>
      <c r="W493" s="7"/>
      <c r="X493" s="1"/>
      <c r="Y493" s="1"/>
      <c r="Z493" s="1"/>
      <c r="AA493" s="1"/>
      <c r="AB493" s="1"/>
      <c r="AC493" s="331">
        <v>486</v>
      </c>
      <c r="AD493" s="544">
        <f>+DATE(YEAR(AD492),MONTH(AD492)-1,DAY(AD492))</f>
        <v>25569.041666666668</v>
      </c>
      <c r="AE493" s="341">
        <f>IF($AM$7=$E493,1,IF(MONTH($E493)=1,AE494*(1+$F$5),AE494))</f>
      </c>
      <c r="AF493" s="334">
        <f>AE493*$B$8/12</f>
      </c>
      <c r="AG493" s="334">
        <f>AE493*$B$12/12</f>
      </c>
      <c r="AH493" s="565">
        <f>(1+$AI$5)^(AC493/12)*(AG493+IF(AD493=$AM$7,$AM$4,0))</f>
      </c>
      <c r="AI493" s="170"/>
      <c r="AJ493" s="7"/>
      <c r="AK493" s="1"/>
      <c r="AL493" s="1"/>
      <c r="AM493" s="1"/>
    </row>
    <row x14ac:dyDescent="0.25" r="494" customHeight="1" ht="18.75">
      <c r="A494" s="1"/>
      <c r="B494" s="169"/>
      <c r="C494" s="170"/>
      <c r="D494" s="331">
        <v>487</v>
      </c>
      <c r="E494" s="544">
        <f>+DATE(YEAR(E493),MONTH(E493)-1,DAY(E493))</f>
        <v>25569.041666666668</v>
      </c>
      <c r="F494" s="333">
        <f>IF($C$6=$E494,1,IF(MONTH($E494)=1,F495*(1+$F$5),F495))</f>
      </c>
      <c r="G494" s="333">
        <f>F494*$B$8/12</f>
      </c>
      <c r="H494" s="333">
        <f>IF(F494=1,F494*$B$10/MIN(12,'Simulador - 3º Pilar'!$E$88),0)</f>
      </c>
      <c r="I494" s="560">
        <f>(1+$G$5)^(D494/12)*(H494+IF(E494=$N$7,$N$4,0))</f>
      </c>
      <c r="J494" s="561">
        <f>(1+$G$5)^(D494/12)*(H494*(12-IF(MONTH(E495)=12,0,MONTH(E495)))+IF(AND(F494=1,F495=0),$Q$4,0))*IF(AND(F494=1,F495=0),1,0)</f>
      </c>
      <c r="K494" s="217">
        <f>(1+$G$5)^(D494/12)*(IF(E494=$N$7,$N$4,0)+IF(E494=$C$6,$B$10,0))</f>
      </c>
      <c r="L494" s="217">
        <f>(1+$G$5)^(D494/12)*(IF((E494)&gt;($B$6),H494,0)+IF(E494=$N$7,$N$4,0)+IF(E494=$C$6,0,0))</f>
      </c>
      <c r="M494" s="1"/>
      <c r="N494" s="7"/>
      <c r="O494" s="1"/>
      <c r="P494" s="331">
        <v>487</v>
      </c>
      <c r="Q494" s="544">
        <f>+DATE(YEAR(Q493),MONTH(Q493)-1,DAY(Q493))</f>
        <v>25569.041666666668</v>
      </c>
      <c r="R494" s="341">
        <f>IF($Z$7=$E494,1,IF(MONTH($E494)=1,R495*(1+$F$5),R495))</f>
      </c>
      <c r="S494" s="334">
        <f>R494*$B$8/12</f>
      </c>
      <c r="T494" s="334">
        <f>R494*$B$11/12</f>
      </c>
      <c r="U494" s="565">
        <f>(1+$V$5)^(P494/12)*(T494+IF(Q494=$Z$7,$Z$4,0))</f>
      </c>
      <c r="V494" s="170"/>
      <c r="W494" s="7"/>
      <c r="X494" s="1"/>
      <c r="Y494" s="1"/>
      <c r="Z494" s="1"/>
      <c r="AA494" s="1"/>
      <c r="AB494" s="1"/>
      <c r="AC494" s="331">
        <v>487</v>
      </c>
      <c r="AD494" s="544">
        <f>+DATE(YEAR(AD493),MONTH(AD493)-1,DAY(AD493))</f>
        <v>25569.041666666668</v>
      </c>
      <c r="AE494" s="341">
        <f>IF($AM$7=$E494,1,IF(MONTH($E494)=1,AE495*(1+$F$5),AE495))</f>
      </c>
      <c r="AF494" s="334">
        <f>AE494*$B$8/12</f>
      </c>
      <c r="AG494" s="334">
        <f>AE494*$B$12/12</f>
      </c>
      <c r="AH494" s="565">
        <f>(1+$AI$5)^(AC494/12)*(AG494+IF(AD494=$AM$7,$AM$4,0))</f>
      </c>
      <c r="AI494" s="170"/>
      <c r="AJ494" s="7"/>
      <c r="AK494" s="1"/>
      <c r="AL494" s="1"/>
      <c r="AM494" s="1"/>
    </row>
    <row x14ac:dyDescent="0.25" r="495" customHeight="1" ht="18.75">
      <c r="A495" s="1"/>
      <c r="B495" s="169"/>
      <c r="C495" s="170"/>
      <c r="D495" s="331">
        <v>488</v>
      </c>
      <c r="E495" s="544">
        <f>+DATE(YEAR(E494),MONTH(E494)-1,DAY(E494))</f>
        <v>25569.041666666668</v>
      </c>
      <c r="F495" s="333">
        <f>IF($C$6=$E495,1,IF(MONTH($E495)=1,F496*(1+$F$5),F496))</f>
      </c>
      <c r="G495" s="333">
        <f>F495*$B$8/12</f>
      </c>
      <c r="H495" s="333">
        <f>IF(F495=1,F495*$B$10/MIN(12,'Simulador - 3º Pilar'!$E$88),0)</f>
      </c>
      <c r="I495" s="560">
        <f>(1+$G$5)^(D495/12)*(H495+IF(E495=$N$7,$N$4,0))</f>
      </c>
      <c r="J495" s="561">
        <f>(1+$G$5)^(D495/12)*(H495*(12-IF(MONTH(E496)=12,0,MONTH(E496)))+IF(AND(F495=1,F496=0),$Q$4,0))*IF(AND(F495=1,F496=0),1,0)</f>
      </c>
      <c r="K495" s="217">
        <f>(1+$G$5)^(D495/12)*(IF(E495=$N$7,$N$4,0)+IF(E495=$C$6,$B$10,0))</f>
      </c>
      <c r="L495" s="217">
        <f>(1+$G$5)^(D495/12)*(IF((E495)&gt;($B$6),H495,0)+IF(E495=$N$7,$N$4,0)+IF(E495=$C$6,0,0))</f>
      </c>
      <c r="M495" s="1"/>
      <c r="N495" s="7"/>
      <c r="O495" s="1"/>
      <c r="P495" s="331">
        <v>488</v>
      </c>
      <c r="Q495" s="544">
        <f>+DATE(YEAR(Q494),MONTH(Q494)-1,DAY(Q494))</f>
        <v>25569.041666666668</v>
      </c>
      <c r="R495" s="341">
        <f>IF($Z$7=$E495,1,IF(MONTH($E495)=1,R496*(1+$F$5),R496))</f>
      </c>
      <c r="S495" s="334">
        <f>R495*$B$8/12</f>
      </c>
      <c r="T495" s="334">
        <f>R495*$B$11/12</f>
      </c>
      <c r="U495" s="565">
        <f>(1+$V$5)^(P495/12)*(T495+IF(Q495=$Z$7,$Z$4,0))</f>
      </c>
      <c r="V495" s="170"/>
      <c r="W495" s="7"/>
      <c r="X495" s="1"/>
      <c r="Y495" s="1"/>
      <c r="Z495" s="1"/>
      <c r="AA495" s="1"/>
      <c r="AB495" s="1"/>
      <c r="AC495" s="331">
        <v>488</v>
      </c>
      <c r="AD495" s="544">
        <f>+DATE(YEAR(AD494),MONTH(AD494)-1,DAY(AD494))</f>
        <v>25569.041666666668</v>
      </c>
      <c r="AE495" s="341">
        <f>IF($AM$7=$E495,1,IF(MONTH($E495)=1,AE496*(1+$F$5),AE496))</f>
      </c>
      <c r="AF495" s="334">
        <f>AE495*$B$8/12</f>
      </c>
      <c r="AG495" s="334">
        <f>AE495*$B$12/12</f>
      </c>
      <c r="AH495" s="565">
        <f>(1+$AI$5)^(AC495/12)*(AG495+IF(AD495=$AM$7,$AM$4,0))</f>
      </c>
      <c r="AI495" s="170"/>
      <c r="AJ495" s="7"/>
      <c r="AK495" s="1"/>
      <c r="AL495" s="1"/>
      <c r="AM495" s="1"/>
    </row>
    <row x14ac:dyDescent="0.25" r="496" customHeight="1" ht="18.75">
      <c r="A496" s="1"/>
      <c r="B496" s="169"/>
      <c r="C496" s="170"/>
      <c r="D496" s="331">
        <v>489</v>
      </c>
      <c r="E496" s="544">
        <f>+DATE(YEAR(E495),MONTH(E495)-1,DAY(E495))</f>
        <v>25569.041666666668</v>
      </c>
      <c r="F496" s="333">
        <f>IF($C$6=$E496,1,IF(MONTH($E496)=1,F497*(1+$F$5),F497))</f>
      </c>
      <c r="G496" s="333">
        <f>F496*$B$8/12</f>
      </c>
      <c r="H496" s="333">
        <f>IF(F496=1,F496*$B$10/MIN(12,'Simulador - 3º Pilar'!$E$88),0)</f>
      </c>
      <c r="I496" s="560">
        <f>(1+$G$5)^(D496/12)*(H496+IF(E496=$N$7,$N$4,0))</f>
      </c>
      <c r="J496" s="561">
        <f>(1+$G$5)^(D496/12)*(H496*(12-IF(MONTH(E497)=12,0,MONTH(E497)))+IF(AND(F496=1,F497=0),$Q$4,0))*IF(AND(F496=1,F497=0),1,0)</f>
      </c>
      <c r="K496" s="217">
        <f>(1+$G$5)^(D496/12)*(IF(E496=$N$7,$N$4,0)+IF(E496=$C$6,$B$10,0))</f>
      </c>
      <c r="L496" s="217">
        <f>(1+$G$5)^(D496/12)*(IF((E496)&gt;($B$6),H496,0)+IF(E496=$N$7,$N$4,0)+IF(E496=$C$6,0,0))</f>
      </c>
      <c r="M496" s="1"/>
      <c r="N496" s="7"/>
      <c r="O496" s="1"/>
      <c r="P496" s="331">
        <v>489</v>
      </c>
      <c r="Q496" s="544">
        <f>+DATE(YEAR(Q495),MONTH(Q495)-1,DAY(Q495))</f>
        <v>25569.041666666668</v>
      </c>
      <c r="R496" s="341">
        <f>IF($Z$7=$E496,1,IF(MONTH($E496)=1,R497*(1+$F$5),R497))</f>
      </c>
      <c r="S496" s="334">
        <f>R496*$B$8/12</f>
      </c>
      <c r="T496" s="334">
        <f>R496*$B$11/12</f>
      </c>
      <c r="U496" s="565">
        <f>(1+$V$5)^(P496/12)*(T496+IF(Q496=$Z$7,$Z$4,0))</f>
      </c>
      <c r="V496" s="170"/>
      <c r="W496" s="7"/>
      <c r="X496" s="1"/>
      <c r="Y496" s="1"/>
      <c r="Z496" s="1"/>
      <c r="AA496" s="1"/>
      <c r="AB496" s="1"/>
      <c r="AC496" s="331">
        <v>489</v>
      </c>
      <c r="AD496" s="544">
        <f>+DATE(YEAR(AD495),MONTH(AD495)-1,DAY(AD495))</f>
        <v>25569.041666666668</v>
      </c>
      <c r="AE496" s="341">
        <f>IF($AM$7=$E496,1,IF(MONTH($E496)=1,AE497*(1+$F$5),AE497))</f>
      </c>
      <c r="AF496" s="334">
        <f>AE496*$B$8/12</f>
      </c>
      <c r="AG496" s="334">
        <f>AE496*$B$12/12</f>
      </c>
      <c r="AH496" s="565">
        <f>(1+$AI$5)^(AC496/12)*(AG496+IF(AD496=$AM$7,$AM$4,0))</f>
      </c>
      <c r="AI496" s="170"/>
      <c r="AJ496" s="7"/>
      <c r="AK496" s="1"/>
      <c r="AL496" s="1"/>
      <c r="AM496" s="1"/>
    </row>
    <row x14ac:dyDescent="0.25" r="497" customHeight="1" ht="18.75">
      <c r="A497" s="1"/>
      <c r="B497" s="169"/>
      <c r="C497" s="170"/>
      <c r="D497" s="331">
        <v>490</v>
      </c>
      <c r="E497" s="544">
        <f>+DATE(YEAR(E496),MONTH(E496)-1,DAY(E496))</f>
        <v>25569.041666666668</v>
      </c>
      <c r="F497" s="333">
        <f>IF($C$6=$E497,1,IF(MONTH($E497)=1,F498*(1+$F$5),F498))</f>
      </c>
      <c r="G497" s="333">
        <f>F497*$B$8/12</f>
      </c>
      <c r="H497" s="333">
        <f>IF(F497=1,F497*$B$10/MIN(12,'Simulador - 3º Pilar'!$E$88),0)</f>
      </c>
      <c r="I497" s="560">
        <f>(1+$G$5)^(D497/12)*(H497+IF(E497=$N$7,$N$4,0))</f>
      </c>
      <c r="J497" s="561">
        <f>(1+$G$5)^(D497/12)*(H497*(12-IF(MONTH(E498)=12,0,MONTH(E498)))+IF(AND(F497=1,F498=0),$Q$4,0))*IF(AND(F497=1,F498=0),1,0)</f>
      </c>
      <c r="K497" s="217">
        <f>(1+$G$5)^(D497/12)*(IF(E497=$N$7,$N$4,0)+IF(E497=$C$6,$B$10,0))</f>
      </c>
      <c r="L497" s="217">
        <f>(1+$G$5)^(D497/12)*(IF((E497)&gt;($B$6),H497,0)+IF(E497=$N$7,$N$4,0)+IF(E497=$C$6,0,0))</f>
      </c>
      <c r="M497" s="1"/>
      <c r="N497" s="7"/>
      <c r="O497" s="1"/>
      <c r="P497" s="331">
        <v>490</v>
      </c>
      <c r="Q497" s="544">
        <f>+DATE(YEAR(Q496),MONTH(Q496)-1,DAY(Q496))</f>
        <v>25569.041666666668</v>
      </c>
      <c r="R497" s="341">
        <f>IF($Z$7=$E497,1,IF(MONTH($E497)=1,R498*(1+$F$5),R498))</f>
      </c>
      <c r="S497" s="334">
        <f>R497*$B$8/12</f>
      </c>
      <c r="T497" s="334">
        <f>R497*$B$11/12</f>
      </c>
      <c r="U497" s="565">
        <f>(1+$V$5)^(P497/12)*(T497+IF(Q497=$Z$7,$Z$4,0))</f>
      </c>
      <c r="V497" s="170"/>
      <c r="W497" s="7"/>
      <c r="X497" s="1"/>
      <c r="Y497" s="1"/>
      <c r="Z497" s="1"/>
      <c r="AA497" s="1"/>
      <c r="AB497" s="1"/>
      <c r="AC497" s="331">
        <v>490</v>
      </c>
      <c r="AD497" s="544">
        <f>+DATE(YEAR(AD496),MONTH(AD496)-1,DAY(AD496))</f>
        <v>25569.041666666668</v>
      </c>
      <c r="AE497" s="341">
        <f>IF($AM$7=$E497,1,IF(MONTH($E497)=1,AE498*(1+$F$5),AE498))</f>
      </c>
      <c r="AF497" s="334">
        <f>AE497*$B$8/12</f>
      </c>
      <c r="AG497" s="334">
        <f>AE497*$B$12/12</f>
      </c>
      <c r="AH497" s="565">
        <f>(1+$AI$5)^(AC497/12)*(AG497+IF(AD497=$AM$7,$AM$4,0))</f>
      </c>
      <c r="AI497" s="170"/>
      <c r="AJ497" s="7"/>
      <c r="AK497" s="1"/>
      <c r="AL497" s="1"/>
      <c r="AM497" s="1"/>
    </row>
    <row x14ac:dyDescent="0.25" r="498" customHeight="1" ht="18.75">
      <c r="A498" s="1"/>
      <c r="B498" s="169"/>
      <c r="C498" s="170"/>
      <c r="D498" s="331">
        <v>491</v>
      </c>
      <c r="E498" s="544">
        <f>+DATE(YEAR(E497),MONTH(E497)-1,DAY(E497))</f>
        <v>25569.041666666668</v>
      </c>
      <c r="F498" s="333">
        <f>IF($C$6=$E498,1,IF(MONTH($E498)=1,F499*(1+$F$5),F499))</f>
      </c>
      <c r="G498" s="333">
        <f>F498*$B$8/12</f>
      </c>
      <c r="H498" s="333">
        <f>IF(F498=1,F498*$B$10/MIN(12,'Simulador - 3º Pilar'!$E$88),0)</f>
      </c>
      <c r="I498" s="560">
        <f>(1+$G$5)^(D498/12)*(H498+IF(E498=$N$7,$N$4,0))</f>
      </c>
      <c r="J498" s="561">
        <f>(1+$G$5)^(D498/12)*(H498*(12-IF(MONTH(E499)=12,0,MONTH(E499)))+IF(AND(F498=1,F499=0),$Q$4,0))*IF(AND(F498=1,F499=0),1,0)</f>
      </c>
      <c r="K498" s="217">
        <f>(1+$G$5)^(D498/12)*(IF(E498=$N$7,$N$4,0)+IF(E498=$C$6,$B$10,0))</f>
      </c>
      <c r="L498" s="217">
        <f>(1+$G$5)^(D498/12)*(IF((E498)&gt;($B$6),H498,0)+IF(E498=$N$7,$N$4,0)+IF(E498=$C$6,0,0))</f>
      </c>
      <c r="M498" s="1"/>
      <c r="N498" s="7"/>
      <c r="O498" s="1"/>
      <c r="P498" s="331">
        <v>491</v>
      </c>
      <c r="Q498" s="544">
        <f>+DATE(YEAR(Q497),MONTH(Q497)-1,DAY(Q497))</f>
        <v>25569.041666666668</v>
      </c>
      <c r="R498" s="341">
        <f>IF($Z$7=$E498,1,IF(MONTH($E498)=1,R499*(1+$F$5),R499))</f>
      </c>
      <c r="S498" s="334">
        <f>R498*$B$8/12</f>
      </c>
      <c r="T498" s="334">
        <f>R498*$B$11/12</f>
      </c>
      <c r="U498" s="565">
        <f>(1+$V$5)^(P498/12)*(T498+IF(Q498=$Z$7,$Z$4,0))</f>
      </c>
      <c r="V498" s="170"/>
      <c r="W498" s="7"/>
      <c r="X498" s="1"/>
      <c r="Y498" s="1"/>
      <c r="Z498" s="1"/>
      <c r="AA498" s="1"/>
      <c r="AB498" s="1"/>
      <c r="AC498" s="331">
        <v>491</v>
      </c>
      <c r="AD498" s="544">
        <f>+DATE(YEAR(AD497),MONTH(AD497)-1,DAY(AD497))</f>
        <v>25569.041666666668</v>
      </c>
      <c r="AE498" s="341">
        <f>IF($AM$7=$E498,1,IF(MONTH($E498)=1,AE499*(1+$F$5),AE499))</f>
      </c>
      <c r="AF498" s="334">
        <f>AE498*$B$8/12</f>
      </c>
      <c r="AG498" s="334">
        <f>AE498*$B$12/12</f>
      </c>
      <c r="AH498" s="565">
        <f>(1+$AI$5)^(AC498/12)*(AG498+IF(AD498=$AM$7,$AM$4,0))</f>
      </c>
      <c r="AI498" s="170"/>
      <c r="AJ498" s="7"/>
      <c r="AK498" s="1"/>
      <c r="AL498" s="1"/>
      <c r="AM498" s="1"/>
    </row>
    <row x14ac:dyDescent="0.25" r="499" customHeight="1" ht="18.75">
      <c r="A499" s="1"/>
      <c r="B499" s="169"/>
      <c r="C499" s="170"/>
      <c r="D499" s="331">
        <v>492</v>
      </c>
      <c r="E499" s="544">
        <f>+DATE(YEAR(E498),MONTH(E498)-1,DAY(E498))</f>
        <v>25569.041666666668</v>
      </c>
      <c r="F499" s="333">
        <f>IF($C$6=$E499,1,IF(MONTH($E499)=1,F500*(1+$F$5),F500))</f>
      </c>
      <c r="G499" s="333">
        <f>F499*$B$8/12</f>
      </c>
      <c r="H499" s="333">
        <f>IF(F499=1,F499*$B$10/MIN(12,'Simulador - 3º Pilar'!$E$88),0)</f>
      </c>
      <c r="I499" s="560">
        <f>(1+$G$5)^(D499/12)*(H499+IF(E499=$N$7,$N$4,0))</f>
      </c>
      <c r="J499" s="561">
        <f>(1+$G$5)^(D499/12)*(H499*(12-IF(MONTH(E500)=12,0,MONTH(E500)))+IF(AND(F499=1,F500=0),$Q$4,0))*IF(AND(F499=1,F500=0),1,0)</f>
      </c>
      <c r="K499" s="217">
        <f>(1+$G$5)^(D499/12)*(IF(E499=$N$7,$N$4,0)+IF(E499=$C$6,$B$10,0))</f>
      </c>
      <c r="L499" s="217">
        <f>(1+$G$5)^(D499/12)*(IF((E499)&gt;($B$6),H499,0)+IF(E499=$N$7,$N$4,0)+IF(E499=$C$6,0,0))</f>
      </c>
      <c r="M499" s="1"/>
      <c r="N499" s="7"/>
      <c r="O499" s="1"/>
      <c r="P499" s="331">
        <v>492</v>
      </c>
      <c r="Q499" s="544">
        <f>+DATE(YEAR(Q498),MONTH(Q498)-1,DAY(Q498))</f>
        <v>25569.041666666668</v>
      </c>
      <c r="R499" s="341">
        <f>IF($Z$7=$E499,1,IF(MONTH($E499)=1,R500*(1+$F$5),R500))</f>
      </c>
      <c r="S499" s="334">
        <f>R499*$B$8/12</f>
      </c>
      <c r="T499" s="334">
        <f>R499*$B$11/12</f>
      </c>
      <c r="U499" s="565">
        <f>(1+$V$5)^(P499/12)*(T499+IF(Q499=$Z$7,$Z$4,0))</f>
      </c>
      <c r="V499" s="170"/>
      <c r="W499" s="7"/>
      <c r="X499" s="1"/>
      <c r="Y499" s="1"/>
      <c r="Z499" s="1"/>
      <c r="AA499" s="1"/>
      <c r="AB499" s="1"/>
      <c r="AC499" s="331">
        <v>492</v>
      </c>
      <c r="AD499" s="544">
        <f>+DATE(YEAR(AD498),MONTH(AD498)-1,DAY(AD498))</f>
        <v>25569.041666666668</v>
      </c>
      <c r="AE499" s="341">
        <f>IF($AM$7=$E499,1,IF(MONTH($E499)=1,AE500*(1+$F$5),AE500))</f>
      </c>
      <c r="AF499" s="334">
        <f>AE499*$B$8/12</f>
      </c>
      <c r="AG499" s="334">
        <f>AE499*$B$12/12</f>
      </c>
      <c r="AH499" s="565">
        <f>(1+$AI$5)^(AC499/12)*(AG499+IF(AD499=$AM$7,$AM$4,0))</f>
      </c>
      <c r="AI499" s="170"/>
      <c r="AJ499" s="7"/>
      <c r="AK499" s="1"/>
      <c r="AL499" s="1"/>
      <c r="AM499" s="1"/>
    </row>
    <row x14ac:dyDescent="0.25" r="500" customHeight="1" ht="18.75">
      <c r="A500" s="1"/>
      <c r="B500" s="169"/>
      <c r="C500" s="170"/>
      <c r="D500" s="331">
        <v>493</v>
      </c>
      <c r="E500" s="544">
        <f>+DATE(YEAR(E499),MONTH(E499)-1,DAY(E499))</f>
        <v>25569.041666666668</v>
      </c>
      <c r="F500" s="333">
        <f>IF($C$6=$E500,1,IF(MONTH($E500)=1,F501*(1+$F$5),F501))</f>
      </c>
      <c r="G500" s="333">
        <f>F500*$B$8/12</f>
      </c>
      <c r="H500" s="333">
        <f>IF(F500=1,F500*$B$10/MIN(12,'Simulador - 3º Pilar'!$E$88),0)</f>
      </c>
      <c r="I500" s="560">
        <f>(1+$G$5)^(D500/12)*(H500+IF(E500=$N$7,$N$4,0))</f>
      </c>
      <c r="J500" s="561">
        <f>(1+$G$5)^(D500/12)*(H500*(12-IF(MONTH(E501)=12,0,MONTH(E501)))+IF(AND(F500=1,F501=0),$Q$4,0))*IF(AND(F500=1,F501=0),1,0)</f>
      </c>
      <c r="K500" s="217">
        <f>(1+$G$5)^(D500/12)*(IF(E500=$N$7,$N$4,0)+IF(E500=$C$6,$B$10,0))</f>
      </c>
      <c r="L500" s="217">
        <f>(1+$G$5)^(D500/12)*(IF((E500)&gt;($B$6),H500,0)+IF(E500=$N$7,$N$4,0)+IF(E500=$C$6,0,0))</f>
      </c>
      <c r="M500" s="1"/>
      <c r="N500" s="7"/>
      <c r="O500" s="1"/>
      <c r="P500" s="331">
        <v>493</v>
      </c>
      <c r="Q500" s="544">
        <f>+DATE(YEAR(Q499),MONTH(Q499)-1,DAY(Q499))</f>
        <v>25569.041666666668</v>
      </c>
      <c r="R500" s="341">
        <f>IF($Z$7=$E500,1,IF(MONTH($E500)=1,R501*(1+$F$5),R501))</f>
      </c>
      <c r="S500" s="334">
        <f>R500*$B$8/12</f>
      </c>
      <c r="T500" s="334">
        <f>R500*$B$11/12</f>
      </c>
      <c r="U500" s="565">
        <f>(1+$V$5)^(P500/12)*(T500+IF(Q500=$Z$7,$Z$4,0))</f>
      </c>
      <c r="V500" s="170"/>
      <c r="W500" s="7"/>
      <c r="X500" s="1"/>
      <c r="Y500" s="1"/>
      <c r="Z500" s="1"/>
      <c r="AA500" s="1"/>
      <c r="AB500" s="1"/>
      <c r="AC500" s="331">
        <v>493</v>
      </c>
      <c r="AD500" s="544">
        <f>+DATE(YEAR(AD499),MONTH(AD499)-1,DAY(AD499))</f>
        <v>25569.041666666668</v>
      </c>
      <c r="AE500" s="341">
        <f>IF($AM$7=$E500,1,IF(MONTH($E500)=1,AE501*(1+$F$5),AE501))</f>
      </c>
      <c r="AF500" s="334">
        <f>AE500*$B$8/12</f>
      </c>
      <c r="AG500" s="334">
        <f>AE500*$B$12/12</f>
      </c>
      <c r="AH500" s="565">
        <f>(1+$AI$5)^(AC500/12)*(AG500+IF(AD500=$AM$7,$AM$4,0))</f>
      </c>
      <c r="AI500" s="170"/>
      <c r="AJ500" s="7"/>
      <c r="AK500" s="1"/>
      <c r="AL500" s="1"/>
      <c r="AM500" s="1"/>
    </row>
    <row x14ac:dyDescent="0.25" r="501" customHeight="1" ht="18.75">
      <c r="A501" s="1"/>
      <c r="B501" s="169"/>
      <c r="C501" s="170"/>
      <c r="D501" s="331">
        <v>494</v>
      </c>
      <c r="E501" s="544">
        <f>+DATE(YEAR(E500),MONTH(E500)-1,DAY(E500))</f>
        <v>25569.041666666668</v>
      </c>
      <c r="F501" s="333">
        <f>IF($C$6=$E501,1,IF(MONTH($E501)=1,F502*(1+$F$5),F502))</f>
      </c>
      <c r="G501" s="333">
        <f>F501*$B$8/12</f>
      </c>
      <c r="H501" s="333">
        <f>IF(F501=1,F501*$B$10/MIN(12,'Simulador - 3º Pilar'!$E$88),0)</f>
      </c>
      <c r="I501" s="560">
        <f>(1+$G$5)^(D501/12)*(H501+IF(E501=$N$7,$N$4,0))</f>
      </c>
      <c r="J501" s="561">
        <f>(1+$G$5)^(D501/12)*(H501*(12-IF(MONTH(E502)=12,0,MONTH(E502)))+IF(AND(F501=1,F502=0),$Q$4,0))*IF(AND(F501=1,F502=0),1,0)</f>
      </c>
      <c r="K501" s="217">
        <f>(1+$G$5)^(D501/12)*(IF(E501=$N$7,$N$4,0)+IF(E501=$C$6,$B$10,0))</f>
      </c>
      <c r="L501" s="217">
        <f>(1+$G$5)^(D501/12)*(IF((E501)&gt;($B$6),H501,0)+IF(E501=$N$7,$N$4,0)+IF(E501=$C$6,0,0))</f>
      </c>
      <c r="M501" s="1"/>
      <c r="N501" s="7"/>
      <c r="O501" s="1"/>
      <c r="P501" s="331">
        <v>494</v>
      </c>
      <c r="Q501" s="544">
        <f>+DATE(YEAR(Q500),MONTH(Q500)-1,DAY(Q500))</f>
        <v>25569.041666666668</v>
      </c>
      <c r="R501" s="341">
        <f>IF($Z$7=$E501,1,IF(MONTH($E501)=1,R502*(1+$F$5),R502))</f>
      </c>
      <c r="S501" s="334">
        <f>R501*$B$8/12</f>
      </c>
      <c r="T501" s="334">
        <f>R501*$B$11/12</f>
      </c>
      <c r="U501" s="565">
        <f>(1+$V$5)^(P501/12)*(T501+IF(Q501=$Z$7,$Z$4,0))</f>
      </c>
      <c r="V501" s="170"/>
      <c r="W501" s="7"/>
      <c r="X501" s="1"/>
      <c r="Y501" s="1"/>
      <c r="Z501" s="1"/>
      <c r="AA501" s="1"/>
      <c r="AB501" s="1"/>
      <c r="AC501" s="331">
        <v>494</v>
      </c>
      <c r="AD501" s="544">
        <f>+DATE(YEAR(AD500),MONTH(AD500)-1,DAY(AD500))</f>
        <v>25569.041666666668</v>
      </c>
      <c r="AE501" s="341">
        <f>IF($AM$7=$E501,1,IF(MONTH($E501)=1,AE502*(1+$F$5),AE502))</f>
      </c>
      <c r="AF501" s="334">
        <f>AE501*$B$8/12</f>
      </c>
      <c r="AG501" s="334">
        <f>AE501*$B$12/12</f>
      </c>
      <c r="AH501" s="565">
        <f>(1+$AI$5)^(AC501/12)*(AG501+IF(AD501=$AM$7,$AM$4,0))</f>
      </c>
      <c r="AI501" s="170"/>
      <c r="AJ501" s="7"/>
      <c r="AK501" s="1"/>
      <c r="AL501" s="1"/>
      <c r="AM501" s="1"/>
    </row>
    <row x14ac:dyDescent="0.25" r="502" customHeight="1" ht="18.75">
      <c r="A502" s="1"/>
      <c r="B502" s="169"/>
      <c r="C502" s="170"/>
      <c r="D502" s="331">
        <v>495</v>
      </c>
      <c r="E502" s="544">
        <f>+DATE(YEAR(E501),MONTH(E501)-1,DAY(E501))</f>
        <v>25569.041666666668</v>
      </c>
      <c r="F502" s="333">
        <f>IF($C$6=$E502,1,IF(MONTH($E502)=1,F503*(1+$F$5),F503))</f>
      </c>
      <c r="G502" s="333">
        <f>F502*$B$8/12</f>
      </c>
      <c r="H502" s="333">
        <f>IF(F502=1,F502*$B$10/MIN(12,'Simulador - 3º Pilar'!$E$88),0)</f>
      </c>
      <c r="I502" s="560">
        <f>(1+$G$5)^(D502/12)*(H502+IF(E502=$N$7,$N$4,0))</f>
      </c>
      <c r="J502" s="561">
        <f>(1+$G$5)^(D502/12)*(H502*(12-IF(MONTH(E503)=12,0,MONTH(E503)))+IF(AND(F502=1,F503=0),$Q$4,0))*IF(AND(F502=1,F503=0),1,0)</f>
      </c>
      <c r="K502" s="217">
        <f>(1+$G$5)^(D502/12)*(IF(E502=$N$7,$N$4,0)+IF(E502=$C$6,$B$10,0))</f>
      </c>
      <c r="L502" s="217">
        <f>(1+$G$5)^(D502/12)*(IF((E502)&gt;($B$6),H502,0)+IF(E502=$N$7,$N$4,0)+IF(E502=$C$6,0,0))</f>
      </c>
      <c r="M502" s="1"/>
      <c r="N502" s="7"/>
      <c r="O502" s="1"/>
      <c r="P502" s="331">
        <v>495</v>
      </c>
      <c r="Q502" s="544">
        <f>+DATE(YEAR(Q501),MONTH(Q501)-1,DAY(Q501))</f>
        <v>25569.041666666668</v>
      </c>
      <c r="R502" s="341">
        <f>IF($Z$7=$E502,1,IF(MONTH($E502)=1,R503*(1+$F$5),R503))</f>
      </c>
      <c r="S502" s="334">
        <f>R502*$B$8/12</f>
      </c>
      <c r="T502" s="334">
        <f>R502*$B$11/12</f>
      </c>
      <c r="U502" s="565">
        <f>(1+$V$5)^(P502/12)*(T502+IF(Q502=$Z$7,$Z$4,0))</f>
      </c>
      <c r="V502" s="170"/>
      <c r="W502" s="7"/>
      <c r="X502" s="1"/>
      <c r="Y502" s="1"/>
      <c r="Z502" s="1"/>
      <c r="AA502" s="1"/>
      <c r="AB502" s="1"/>
      <c r="AC502" s="331">
        <v>495</v>
      </c>
      <c r="AD502" s="544">
        <f>+DATE(YEAR(AD501),MONTH(AD501)-1,DAY(AD501))</f>
        <v>25569.041666666668</v>
      </c>
      <c r="AE502" s="341">
        <f>IF($AM$7=$E502,1,IF(MONTH($E502)=1,AE503*(1+$F$5),AE503))</f>
      </c>
      <c r="AF502" s="334">
        <f>AE502*$B$8/12</f>
      </c>
      <c r="AG502" s="334">
        <f>AE502*$B$12/12</f>
      </c>
      <c r="AH502" s="565">
        <f>(1+$AI$5)^(AC502/12)*(AG502+IF(AD502=$AM$7,$AM$4,0))</f>
      </c>
      <c r="AI502" s="170"/>
      <c r="AJ502" s="7"/>
      <c r="AK502" s="1"/>
      <c r="AL502" s="1"/>
      <c r="AM502" s="1"/>
    </row>
    <row x14ac:dyDescent="0.25" r="503" customHeight="1" ht="18.75">
      <c r="A503" s="1"/>
      <c r="B503" s="169"/>
      <c r="C503" s="170"/>
      <c r="D503" s="331">
        <v>496</v>
      </c>
      <c r="E503" s="544">
        <f>+DATE(YEAR(E502),MONTH(E502)-1,DAY(E502))</f>
        <v>25569.041666666668</v>
      </c>
      <c r="F503" s="333">
        <f>IF($C$6=$E503,1,IF(MONTH($E503)=1,F504*(1+$F$5),F504))</f>
      </c>
      <c r="G503" s="333">
        <f>F503*$B$8/12</f>
      </c>
      <c r="H503" s="333">
        <f>IF(F503=1,F503*$B$10/MIN(12,'Simulador - 3º Pilar'!$E$88),0)</f>
      </c>
      <c r="I503" s="560">
        <f>(1+$G$5)^(D503/12)*(H503+IF(E503=$N$7,$N$4,0))</f>
      </c>
      <c r="J503" s="561">
        <f>(1+$G$5)^(D503/12)*(H503*(12-IF(MONTH(E504)=12,0,MONTH(E504)))+IF(AND(F503=1,F504=0),$Q$4,0))*IF(AND(F503=1,F504=0),1,0)</f>
      </c>
      <c r="K503" s="217">
        <f>(1+$G$5)^(D503/12)*(IF(E503=$N$7,$N$4,0)+IF(E503=$C$6,$B$10,0))</f>
      </c>
      <c r="L503" s="217">
        <f>(1+$G$5)^(D503/12)*(IF((E503)&gt;($B$6),H503,0)+IF(E503=$N$7,$N$4,0)+IF(E503=$C$6,0,0))</f>
      </c>
      <c r="M503" s="1"/>
      <c r="N503" s="7"/>
      <c r="O503" s="1"/>
      <c r="P503" s="331">
        <v>496</v>
      </c>
      <c r="Q503" s="544">
        <f>+DATE(YEAR(Q502),MONTH(Q502)-1,DAY(Q502))</f>
        <v>25569.041666666668</v>
      </c>
      <c r="R503" s="341">
        <f>IF($Z$7=$E503,1,IF(MONTH($E503)=1,R504*(1+$F$5),R504))</f>
      </c>
      <c r="S503" s="334">
        <f>R503*$B$8/12</f>
      </c>
      <c r="T503" s="334">
        <f>R503*$B$11/12</f>
      </c>
      <c r="U503" s="565">
        <f>(1+$V$5)^(P503/12)*(T503+IF(Q503=$Z$7,$Z$4,0))</f>
      </c>
      <c r="V503" s="170"/>
      <c r="W503" s="7"/>
      <c r="X503" s="1"/>
      <c r="Y503" s="1"/>
      <c r="Z503" s="1"/>
      <c r="AA503" s="1"/>
      <c r="AB503" s="1"/>
      <c r="AC503" s="331">
        <v>496</v>
      </c>
      <c r="AD503" s="544">
        <f>+DATE(YEAR(AD502),MONTH(AD502)-1,DAY(AD502))</f>
        <v>25569.041666666668</v>
      </c>
      <c r="AE503" s="341">
        <f>IF($AM$7=$E503,1,IF(MONTH($E503)=1,AE504*(1+$F$5),AE504))</f>
      </c>
      <c r="AF503" s="334">
        <f>AE503*$B$8/12</f>
      </c>
      <c r="AG503" s="334">
        <f>AE503*$B$12/12</f>
      </c>
      <c r="AH503" s="565">
        <f>(1+$AI$5)^(AC503/12)*(AG503+IF(AD503=$AM$7,$AM$4,0))</f>
      </c>
      <c r="AI503" s="170"/>
      <c r="AJ503" s="7"/>
      <c r="AK503" s="1"/>
      <c r="AL503" s="1"/>
      <c r="AM503" s="1"/>
    </row>
    <row x14ac:dyDescent="0.25" r="504" customHeight="1" ht="18.75">
      <c r="A504" s="1"/>
      <c r="B504" s="169"/>
      <c r="C504" s="170"/>
      <c r="D504" s="331">
        <v>497</v>
      </c>
      <c r="E504" s="544">
        <f>+DATE(YEAR(E503),MONTH(E503)-1,DAY(E503))</f>
        <v>25569.041666666668</v>
      </c>
      <c r="F504" s="333">
        <f>IF($C$6=$E504,1,IF(MONTH($E504)=1,F505*(1+$F$5),F505))</f>
      </c>
      <c r="G504" s="333">
        <f>F504*$B$8/12</f>
      </c>
      <c r="H504" s="333">
        <f>IF(F504=1,F504*$B$10/MIN(12,'Simulador - 3º Pilar'!$E$88),0)</f>
      </c>
      <c r="I504" s="560">
        <f>(1+$G$5)^(D504/12)*(H504+IF(E504=$N$7,$N$4,0))</f>
      </c>
      <c r="J504" s="561">
        <f>(1+$G$5)^(D504/12)*(H504*(12-IF(MONTH(E505)=12,0,MONTH(E505)))+IF(AND(F504=1,F505=0),$Q$4,0))*IF(AND(F504=1,F505=0),1,0)</f>
      </c>
      <c r="K504" s="217">
        <f>(1+$G$5)^(D504/12)*(IF(E504=$N$7,$N$4,0)+IF(E504=$C$6,$B$10,0))</f>
      </c>
      <c r="L504" s="217">
        <f>(1+$G$5)^(D504/12)*(IF((E504)&gt;($B$6),H504,0)+IF(E504=$N$7,$N$4,0)+IF(E504=$C$6,0,0))</f>
      </c>
      <c r="M504" s="1"/>
      <c r="N504" s="7"/>
      <c r="O504" s="1"/>
      <c r="P504" s="331">
        <v>497</v>
      </c>
      <c r="Q504" s="544">
        <f>+DATE(YEAR(Q503),MONTH(Q503)-1,DAY(Q503))</f>
        <v>25569.041666666668</v>
      </c>
      <c r="R504" s="341">
        <f>IF($Z$7=$E504,1,IF(MONTH($E504)=1,R505*(1+$F$5),R505))</f>
      </c>
      <c r="S504" s="334">
        <f>R504*$B$8/12</f>
      </c>
      <c r="T504" s="334">
        <f>R504*$B$11/12</f>
      </c>
      <c r="U504" s="565">
        <f>(1+$V$5)^(P504/12)*(T504+IF(Q504=$Z$7,$Z$4,0))</f>
      </c>
      <c r="V504" s="170"/>
      <c r="W504" s="7"/>
      <c r="X504" s="1"/>
      <c r="Y504" s="1"/>
      <c r="Z504" s="1"/>
      <c r="AA504" s="1"/>
      <c r="AB504" s="1"/>
      <c r="AC504" s="331">
        <v>497</v>
      </c>
      <c r="AD504" s="544">
        <f>+DATE(YEAR(AD503),MONTH(AD503)-1,DAY(AD503))</f>
        <v>25569.041666666668</v>
      </c>
      <c r="AE504" s="341">
        <f>IF($AM$7=$E504,1,IF(MONTH($E504)=1,AE505*(1+$F$5),AE505))</f>
      </c>
      <c r="AF504" s="334">
        <f>AE504*$B$8/12</f>
      </c>
      <c r="AG504" s="334">
        <f>AE504*$B$12/12</f>
      </c>
      <c r="AH504" s="565">
        <f>(1+$AI$5)^(AC504/12)*(AG504+IF(AD504=$AM$7,$AM$4,0))</f>
      </c>
      <c r="AI504" s="170"/>
      <c r="AJ504" s="7"/>
      <c r="AK504" s="1"/>
      <c r="AL504" s="1"/>
      <c r="AM504" s="1"/>
    </row>
    <row x14ac:dyDescent="0.25" r="505" customHeight="1" ht="18.75">
      <c r="A505" s="1"/>
      <c r="B505" s="169"/>
      <c r="C505" s="170"/>
      <c r="D505" s="331">
        <v>498</v>
      </c>
      <c r="E505" s="544">
        <f>+DATE(YEAR(E504),MONTH(E504)-1,DAY(E504))</f>
        <v>25569.041666666668</v>
      </c>
      <c r="F505" s="333">
        <f>IF($C$6=$E505,1,IF(MONTH($E505)=1,F506*(1+$F$5),F506))</f>
      </c>
      <c r="G505" s="333">
        <f>F505*$B$8/12</f>
      </c>
      <c r="H505" s="333">
        <f>IF(F505=1,F505*$B$10/MIN(12,'Simulador - 3º Pilar'!$E$88),0)</f>
      </c>
      <c r="I505" s="560">
        <f>(1+$G$5)^(D505/12)*(H505+IF(E505=$N$7,$N$4,0))</f>
      </c>
      <c r="J505" s="561">
        <f>(1+$G$5)^(D505/12)*(H505*(12-IF(MONTH(E506)=12,0,MONTH(E506)))+IF(AND(F505=1,F506=0),$Q$4,0))*IF(AND(F505=1,F506=0),1,0)</f>
      </c>
      <c r="K505" s="217">
        <f>(1+$G$5)^(D505/12)*(IF(E505=$N$7,$N$4,0)+IF(E505=$C$6,$B$10,0))</f>
      </c>
      <c r="L505" s="217">
        <f>(1+$G$5)^(D505/12)*(IF((E505)&gt;($B$6),H505,0)+IF(E505=$N$7,$N$4,0)+IF(E505=$C$6,0,0))</f>
      </c>
      <c r="M505" s="1"/>
      <c r="N505" s="7"/>
      <c r="O505" s="1"/>
      <c r="P505" s="331">
        <v>498</v>
      </c>
      <c r="Q505" s="544">
        <f>+DATE(YEAR(Q504),MONTH(Q504)-1,DAY(Q504))</f>
        <v>25569.041666666668</v>
      </c>
      <c r="R505" s="341">
        <f>IF($Z$7=$E505,1,IF(MONTH($E505)=1,R506*(1+$F$5),R506))</f>
      </c>
      <c r="S505" s="334">
        <f>R505*$B$8/12</f>
      </c>
      <c r="T505" s="334">
        <f>R505*$B$11/12</f>
      </c>
      <c r="U505" s="565">
        <f>(1+$V$5)^(P505/12)*(T505+IF(Q505=$Z$7,$Z$4,0))</f>
      </c>
      <c r="V505" s="170"/>
      <c r="W505" s="7"/>
      <c r="X505" s="1"/>
      <c r="Y505" s="1"/>
      <c r="Z505" s="1"/>
      <c r="AA505" s="1"/>
      <c r="AB505" s="1"/>
      <c r="AC505" s="331">
        <v>498</v>
      </c>
      <c r="AD505" s="544">
        <f>+DATE(YEAR(AD504),MONTH(AD504)-1,DAY(AD504))</f>
        <v>25569.041666666668</v>
      </c>
      <c r="AE505" s="341">
        <f>IF($AM$7=$E505,1,IF(MONTH($E505)=1,AE506*(1+$F$5),AE506))</f>
      </c>
      <c r="AF505" s="334">
        <f>AE505*$B$8/12</f>
      </c>
      <c r="AG505" s="334">
        <f>AE505*$B$12/12</f>
      </c>
      <c r="AH505" s="565">
        <f>(1+$AI$5)^(AC505/12)*(AG505+IF(AD505=$AM$7,$AM$4,0))</f>
      </c>
      <c r="AI505" s="170"/>
      <c r="AJ505" s="7"/>
      <c r="AK505" s="1"/>
      <c r="AL505" s="1"/>
      <c r="AM505" s="1"/>
    </row>
    <row x14ac:dyDescent="0.25" r="506" customHeight="1" ht="18.75">
      <c r="A506" s="1"/>
      <c r="B506" s="169"/>
      <c r="C506" s="170"/>
      <c r="D506" s="331">
        <v>499</v>
      </c>
      <c r="E506" s="544">
        <f>+DATE(YEAR(E505),MONTH(E505)-1,DAY(E505))</f>
        <v>25569.041666666668</v>
      </c>
      <c r="F506" s="333">
        <f>IF($C$6=$E506,1,IF(MONTH($E506)=1,F507*(1+$F$5),F507))</f>
      </c>
      <c r="G506" s="333">
        <f>F506*$B$8/12</f>
      </c>
      <c r="H506" s="333">
        <f>IF(F506=1,F506*$B$10/MIN(12,'Simulador - 3º Pilar'!$E$88),0)</f>
      </c>
      <c r="I506" s="560">
        <f>(1+$G$5)^(D506/12)*(H506+IF(E506=$N$7,$N$4,0))</f>
      </c>
      <c r="J506" s="561">
        <f>(1+$G$5)^(D506/12)*(H506*(12-IF(MONTH(E507)=12,0,MONTH(E507)))+IF(AND(F506=1,F507=0),$Q$4,0))*IF(AND(F506=1,F507=0),1,0)</f>
      </c>
      <c r="K506" s="217">
        <f>(1+$G$5)^(D506/12)*(IF(E506=$N$7,$N$4,0)+IF(E506=$C$6,$B$10,0))</f>
      </c>
      <c r="L506" s="217">
        <f>(1+$G$5)^(D506/12)*(IF((E506)&gt;($B$6),H506,0)+IF(E506=$N$7,$N$4,0)+IF(E506=$C$6,0,0))</f>
      </c>
      <c r="M506" s="1"/>
      <c r="N506" s="7"/>
      <c r="O506" s="1"/>
      <c r="P506" s="331">
        <v>499</v>
      </c>
      <c r="Q506" s="544">
        <f>+DATE(YEAR(Q505),MONTH(Q505)-1,DAY(Q505))</f>
        <v>25569.041666666668</v>
      </c>
      <c r="R506" s="341">
        <f>IF($Z$7=$E506,1,IF(MONTH($E506)=1,R507*(1+$F$5),R507))</f>
      </c>
      <c r="S506" s="334">
        <f>R506*$B$8/12</f>
      </c>
      <c r="T506" s="334">
        <f>R506*$B$11/12</f>
      </c>
      <c r="U506" s="565">
        <f>(1+$V$5)^(P506/12)*(T506+IF(Q506=$Z$7,$Z$4,0))</f>
      </c>
      <c r="V506" s="170"/>
      <c r="W506" s="7"/>
      <c r="X506" s="1"/>
      <c r="Y506" s="1"/>
      <c r="Z506" s="1"/>
      <c r="AA506" s="1"/>
      <c r="AB506" s="1"/>
      <c r="AC506" s="331">
        <v>499</v>
      </c>
      <c r="AD506" s="544">
        <f>+DATE(YEAR(AD505),MONTH(AD505)-1,DAY(AD505))</f>
        <v>25569.041666666668</v>
      </c>
      <c r="AE506" s="341">
        <f>IF($AM$7=$E506,1,IF(MONTH($E506)=1,AE507*(1+$F$5),AE507))</f>
      </c>
      <c r="AF506" s="334">
        <f>AE506*$B$8/12</f>
      </c>
      <c r="AG506" s="334">
        <f>AE506*$B$12/12</f>
      </c>
      <c r="AH506" s="565">
        <f>(1+$AI$5)^(AC506/12)*(AG506+IF(AD506=$AM$7,$AM$4,0))</f>
      </c>
      <c r="AI506" s="170"/>
      <c r="AJ506" s="7"/>
      <c r="AK506" s="1"/>
      <c r="AL506" s="1"/>
      <c r="AM506" s="1"/>
    </row>
    <row x14ac:dyDescent="0.25" r="507" customHeight="1" ht="18.75">
      <c r="A507" s="1"/>
      <c r="B507" s="169"/>
      <c r="C507" s="170"/>
      <c r="D507" s="331">
        <v>500</v>
      </c>
      <c r="E507" s="544">
        <f>+DATE(YEAR(E506),MONTH(E506)-1,DAY(E506))</f>
        <v>25569.041666666668</v>
      </c>
      <c r="F507" s="333">
        <f>IF($C$6=$E507,1,IF(MONTH($E507)=1,F508*(1+$F$5),F508))</f>
      </c>
      <c r="G507" s="333">
        <f>F507*$B$8/12</f>
      </c>
      <c r="H507" s="333">
        <f>IF(F507=1,F507*$B$10/MIN(12,'Simulador - 3º Pilar'!$E$88),0)</f>
      </c>
      <c r="I507" s="560">
        <f>(1+$G$5)^(D507/12)*(H507+IF(E507=$N$7,$N$4,0))</f>
      </c>
      <c r="J507" s="561">
        <f>(1+$G$5)^(D507/12)*(H507*(12-IF(MONTH(E508)=12,0,MONTH(E508)))+IF(AND(F507=1,F508=0),$Q$4,0))*IF(AND(F507=1,F508=0),1,0)</f>
      </c>
      <c r="K507" s="217">
        <f>(1+$G$5)^(D507/12)*(IF(E507=$N$7,$N$4,0)+IF(E507=$C$6,$B$10,0))</f>
      </c>
      <c r="L507" s="217">
        <f>(1+$G$5)^(D507/12)*(IF((E507)&gt;($B$6),H507,0)+IF(E507=$N$7,$N$4,0)+IF(E507=$C$6,0,0))</f>
      </c>
      <c r="M507" s="1"/>
      <c r="N507" s="7"/>
      <c r="O507" s="1"/>
      <c r="P507" s="331">
        <v>500</v>
      </c>
      <c r="Q507" s="544">
        <f>+DATE(YEAR(Q506),MONTH(Q506)-1,DAY(Q506))</f>
        <v>25569.041666666668</v>
      </c>
      <c r="R507" s="341">
        <f>IF($Z$7=$E507,1,IF(MONTH($E507)=1,R508*(1+$F$5),R508))</f>
      </c>
      <c r="S507" s="334">
        <f>R507*$B$8/12</f>
      </c>
      <c r="T507" s="334">
        <f>R507*$B$11/12</f>
      </c>
      <c r="U507" s="565">
        <f>(1+$V$5)^(P507/12)*(T507+IF(Q507=$Z$7,$Z$4,0))</f>
      </c>
      <c r="V507" s="170"/>
      <c r="W507" s="7"/>
      <c r="X507" s="1"/>
      <c r="Y507" s="1"/>
      <c r="Z507" s="1"/>
      <c r="AA507" s="1"/>
      <c r="AB507" s="1"/>
      <c r="AC507" s="331">
        <v>500</v>
      </c>
      <c r="AD507" s="544">
        <f>+DATE(YEAR(AD506),MONTH(AD506)-1,DAY(AD506))</f>
        <v>25569.041666666668</v>
      </c>
      <c r="AE507" s="341">
        <f>IF($AM$7=$E507,1,IF(MONTH($E507)=1,AE508*(1+$F$5),AE508))</f>
      </c>
      <c r="AF507" s="334">
        <f>AE507*$B$8/12</f>
      </c>
      <c r="AG507" s="334">
        <f>AE507*$B$12/12</f>
      </c>
      <c r="AH507" s="565">
        <f>(1+$AI$5)^(AC507/12)*(AG507+IF(AD507=$AM$7,$AM$4,0))</f>
      </c>
      <c r="AI507" s="170"/>
      <c r="AJ507" s="7"/>
      <c r="AK507" s="1"/>
      <c r="AL507" s="1"/>
      <c r="AM507" s="1"/>
    </row>
    <row x14ac:dyDescent="0.25" r="508" customHeight="1" ht="18.75">
      <c r="A508" s="1"/>
      <c r="B508" s="169"/>
      <c r="C508" s="170"/>
      <c r="D508" s="331">
        <v>501</v>
      </c>
      <c r="E508" s="544">
        <f>+DATE(YEAR(E507),MONTH(E507)-1,DAY(E507))</f>
        <v>25569.041666666668</v>
      </c>
      <c r="F508" s="333">
        <f>IF($C$6=$E508,1,IF(MONTH($E508)=1,F509*(1+$F$5),F509))</f>
      </c>
      <c r="G508" s="333">
        <f>F508*$B$8/12</f>
      </c>
      <c r="H508" s="333">
        <f>IF(F508=1,F508*$B$10/MIN(12,'Simulador - 3º Pilar'!$E$88),0)</f>
      </c>
      <c r="I508" s="560">
        <f>(1+$G$5)^(D508/12)*(H508+IF(E508=$N$7,$N$4,0))</f>
      </c>
      <c r="J508" s="561">
        <f>(1+$G$5)^(D508/12)*(H508*(12-IF(MONTH(E509)=12,0,MONTH(E509)))+IF(AND(F508=1,F509=0),$Q$4,0))*IF(AND(F508=1,F509=0),1,0)</f>
      </c>
      <c r="K508" s="217">
        <f>(1+$G$5)^(D508/12)*(IF(E508=$N$7,$N$4,0)+IF(E508=$C$6,$B$10,0))</f>
      </c>
      <c r="L508" s="217">
        <f>(1+$G$5)^(D508/12)*(IF((E508)&gt;($B$6),H508,0)+IF(E508=$N$7,$N$4,0)+IF(E508=$C$6,0,0))</f>
      </c>
      <c r="M508" s="1"/>
      <c r="N508" s="7"/>
      <c r="O508" s="1"/>
      <c r="P508" s="331">
        <v>501</v>
      </c>
      <c r="Q508" s="544">
        <f>+DATE(YEAR(Q507),MONTH(Q507)-1,DAY(Q507))</f>
        <v>25569.041666666668</v>
      </c>
      <c r="R508" s="341">
        <f>IF($Z$7=$E508,1,IF(MONTH($E508)=1,R509*(1+$F$5),R509))</f>
      </c>
      <c r="S508" s="334">
        <f>R508*$B$8/12</f>
      </c>
      <c r="T508" s="334">
        <f>R508*$B$11/12</f>
      </c>
      <c r="U508" s="565">
        <f>(1+$V$5)^(P508/12)*(T508+IF(Q508=$Z$7,$Z$4,0))</f>
      </c>
      <c r="V508" s="170"/>
      <c r="W508" s="7"/>
      <c r="X508" s="1"/>
      <c r="Y508" s="1"/>
      <c r="Z508" s="1"/>
      <c r="AA508" s="1"/>
      <c r="AB508" s="1"/>
      <c r="AC508" s="331">
        <v>501</v>
      </c>
      <c r="AD508" s="544">
        <f>+DATE(YEAR(AD507),MONTH(AD507)-1,DAY(AD507))</f>
        <v>25569.041666666668</v>
      </c>
      <c r="AE508" s="341">
        <f>IF($AM$7=$E508,1,IF(MONTH($E508)=1,AE509*(1+$F$5),AE509))</f>
      </c>
      <c r="AF508" s="334">
        <f>AE508*$B$8/12</f>
      </c>
      <c r="AG508" s="334">
        <f>AE508*$B$12/12</f>
      </c>
      <c r="AH508" s="565">
        <f>(1+$AI$5)^(AC508/12)*(AG508+IF(AD508=$AM$7,$AM$4,0))</f>
      </c>
      <c r="AI508" s="170"/>
      <c r="AJ508" s="7"/>
      <c r="AK508" s="1"/>
      <c r="AL508" s="1"/>
      <c r="AM508" s="1"/>
    </row>
    <row x14ac:dyDescent="0.25" r="509" customHeight="1" ht="18.75">
      <c r="A509" s="1"/>
      <c r="B509" s="169"/>
      <c r="C509" s="170"/>
      <c r="D509" s="331">
        <v>502</v>
      </c>
      <c r="E509" s="544">
        <f>+DATE(YEAR(E508),MONTH(E508)-1,DAY(E508))</f>
        <v>25569.041666666668</v>
      </c>
      <c r="F509" s="333">
        <f>IF($C$6=$E509,1,IF(MONTH($E509)=1,F510*(1+$F$5),F510))</f>
      </c>
      <c r="G509" s="333">
        <f>F509*$B$8/12</f>
      </c>
      <c r="H509" s="333">
        <f>IF(F509=1,F509*$B$10/MIN(12,'Simulador - 3º Pilar'!$E$88),0)</f>
      </c>
      <c r="I509" s="560">
        <f>(1+$G$5)^(D509/12)*(H509+IF(E509=$N$7,$N$4,0))</f>
      </c>
      <c r="J509" s="561">
        <f>(1+$G$5)^(D509/12)*(H509*(12-IF(MONTH(E510)=12,0,MONTH(E510)))+IF(AND(F509=1,F510=0),$Q$4,0))*IF(AND(F509=1,F510=0),1,0)</f>
      </c>
      <c r="K509" s="217">
        <f>(1+$G$5)^(D509/12)*(IF(E509=$N$7,$N$4,0)+IF(E509=$C$6,$B$10,0))</f>
      </c>
      <c r="L509" s="217">
        <f>(1+$G$5)^(D509/12)*(IF((E509)&gt;($B$6),H509,0)+IF(E509=$N$7,$N$4,0)+IF(E509=$C$6,0,0))</f>
      </c>
      <c r="M509" s="1"/>
      <c r="N509" s="7"/>
      <c r="O509" s="1"/>
      <c r="P509" s="331">
        <v>502</v>
      </c>
      <c r="Q509" s="544">
        <f>+DATE(YEAR(Q508),MONTH(Q508)-1,DAY(Q508))</f>
        <v>25569.041666666668</v>
      </c>
      <c r="R509" s="341">
        <f>IF($Z$7=$E509,1,IF(MONTH($E509)=1,R510*(1+$F$5),R510))</f>
      </c>
      <c r="S509" s="334">
        <f>R509*$B$8/12</f>
      </c>
      <c r="T509" s="334">
        <f>R509*$B$11/12</f>
      </c>
      <c r="U509" s="565">
        <f>(1+$V$5)^(P509/12)*(T509+IF(Q509=$Z$7,$Z$4,0))</f>
      </c>
      <c r="V509" s="170"/>
      <c r="W509" s="7"/>
      <c r="X509" s="1"/>
      <c r="Y509" s="1"/>
      <c r="Z509" s="1"/>
      <c r="AA509" s="1"/>
      <c r="AB509" s="1"/>
      <c r="AC509" s="331">
        <v>502</v>
      </c>
      <c r="AD509" s="544">
        <f>+DATE(YEAR(AD508),MONTH(AD508)-1,DAY(AD508))</f>
        <v>25569.041666666668</v>
      </c>
      <c r="AE509" s="341">
        <f>IF($AM$7=$E509,1,IF(MONTH($E509)=1,AE510*(1+$F$5),AE510))</f>
      </c>
      <c r="AF509" s="334">
        <f>AE509*$B$8/12</f>
      </c>
      <c r="AG509" s="334">
        <f>AE509*$B$12/12</f>
      </c>
      <c r="AH509" s="565">
        <f>(1+$AI$5)^(AC509/12)*(AG509+IF(AD509=$AM$7,$AM$4,0))</f>
      </c>
      <c r="AI509" s="170"/>
      <c r="AJ509" s="7"/>
      <c r="AK509" s="1"/>
      <c r="AL509" s="1"/>
      <c r="AM509" s="1"/>
    </row>
    <row x14ac:dyDescent="0.25" r="510" customHeight="1" ht="18.75">
      <c r="A510" s="1"/>
      <c r="B510" s="169"/>
      <c r="C510" s="170"/>
      <c r="D510" s="331">
        <v>503</v>
      </c>
      <c r="E510" s="544">
        <f>+DATE(YEAR(E509),MONTH(E509)-1,DAY(E509))</f>
        <v>25569.041666666668</v>
      </c>
      <c r="F510" s="333">
        <f>IF($C$6=$E510,1,IF(MONTH($E510)=1,F511*(1+$F$5),F511))</f>
      </c>
      <c r="G510" s="333">
        <f>F510*$B$8/12</f>
      </c>
      <c r="H510" s="333">
        <f>IF(F510=1,F510*$B$10/MIN(12,'Simulador - 3º Pilar'!$E$88),0)</f>
      </c>
      <c r="I510" s="560">
        <f>(1+$G$5)^(D510/12)*(H510+IF(E510=$N$7,$N$4,0))</f>
      </c>
      <c r="J510" s="561">
        <f>(1+$G$5)^(D510/12)*(H510*(12-IF(MONTH(E511)=12,0,MONTH(E511)))+IF(AND(F510=1,F511=0),$Q$4,0))*IF(AND(F510=1,F511=0),1,0)</f>
      </c>
      <c r="K510" s="217">
        <f>(1+$G$5)^(D510/12)*(IF(E510=$N$7,$N$4,0)+IF(E510=$C$6,$B$10,0))</f>
      </c>
      <c r="L510" s="217">
        <f>(1+$G$5)^(D510/12)*(IF((E510)&gt;($B$6),H510,0)+IF(E510=$N$7,$N$4,0)+IF(E510=$C$6,0,0))</f>
      </c>
      <c r="M510" s="1"/>
      <c r="N510" s="7"/>
      <c r="O510" s="1"/>
      <c r="P510" s="331">
        <v>503</v>
      </c>
      <c r="Q510" s="544">
        <f>+DATE(YEAR(Q509),MONTH(Q509)-1,DAY(Q509))</f>
        <v>25569.041666666668</v>
      </c>
      <c r="R510" s="341">
        <f>IF($Z$7=$E510,1,IF(MONTH($E510)=1,R511*(1+$F$5),R511))</f>
      </c>
      <c r="S510" s="334">
        <f>R510*$B$8/12</f>
      </c>
      <c r="T510" s="334">
        <f>R510*$B$11/12</f>
      </c>
      <c r="U510" s="565">
        <f>(1+$V$5)^(P510/12)*(T510+IF(Q510=$Z$7,$Z$4,0))</f>
      </c>
      <c r="V510" s="170"/>
      <c r="W510" s="7"/>
      <c r="X510" s="1"/>
      <c r="Y510" s="1"/>
      <c r="Z510" s="1"/>
      <c r="AA510" s="1"/>
      <c r="AB510" s="1"/>
      <c r="AC510" s="331">
        <v>503</v>
      </c>
      <c r="AD510" s="544">
        <f>+DATE(YEAR(AD509),MONTH(AD509)-1,DAY(AD509))</f>
        <v>25569.041666666668</v>
      </c>
      <c r="AE510" s="341">
        <f>IF($AM$7=$E510,1,IF(MONTH($E510)=1,AE511*(1+$F$5),AE511))</f>
      </c>
      <c r="AF510" s="334">
        <f>AE510*$B$8/12</f>
      </c>
      <c r="AG510" s="334">
        <f>AE510*$B$12/12</f>
      </c>
      <c r="AH510" s="565">
        <f>(1+$AI$5)^(AC510/12)*(AG510+IF(AD510=$AM$7,$AM$4,0))</f>
      </c>
      <c r="AI510" s="170"/>
      <c r="AJ510" s="7"/>
      <c r="AK510" s="1"/>
      <c r="AL510" s="1"/>
      <c r="AM510" s="1"/>
    </row>
    <row x14ac:dyDescent="0.25" r="511" customHeight="1" ht="18.75">
      <c r="A511" s="1"/>
      <c r="B511" s="169"/>
      <c r="C511" s="170"/>
      <c r="D511" s="331">
        <v>504</v>
      </c>
      <c r="E511" s="544">
        <f>+DATE(YEAR(E510),MONTH(E510)-1,DAY(E510))</f>
        <v>25569.041666666668</v>
      </c>
      <c r="F511" s="333">
        <f>IF($C$6=$E511,1,IF(MONTH($E511)=1,F512*(1+$F$5),F512))</f>
      </c>
      <c r="G511" s="333">
        <f>F511*$B$8/12</f>
      </c>
      <c r="H511" s="333">
        <f>IF(F511=1,F511*$B$10/MIN(12,'Simulador - 3º Pilar'!$E$88),0)</f>
      </c>
      <c r="I511" s="560">
        <f>(1+$G$5)^(D511/12)*(H511+IF(E511=$N$7,$N$4,0))</f>
      </c>
      <c r="J511" s="561">
        <f>(1+$G$5)^(D511/12)*(H511*(12-IF(MONTH(E512)=12,0,MONTH(E512)))+IF(AND(F511=1,F512=0),$Q$4,0))*IF(AND(F511=1,F512=0),1,0)</f>
      </c>
      <c r="K511" s="217">
        <f>(1+$G$5)^(D511/12)*(IF(E511=$N$7,$N$4,0)+IF(E511=$C$6,$B$10,0))</f>
      </c>
      <c r="L511" s="217">
        <f>(1+$G$5)^(D511/12)*(IF((E511)&gt;($B$6),H511,0)+IF(E511=$N$7,$N$4,0)+IF(E511=$C$6,0,0))</f>
      </c>
      <c r="M511" s="1"/>
      <c r="N511" s="7"/>
      <c r="O511" s="1"/>
      <c r="P511" s="331">
        <v>504</v>
      </c>
      <c r="Q511" s="544">
        <f>+DATE(YEAR(Q510),MONTH(Q510)-1,DAY(Q510))</f>
        <v>25569.041666666668</v>
      </c>
      <c r="R511" s="341">
        <f>IF($Z$7=$E511,1,IF(MONTH($E511)=1,R512*(1+$F$5),R512))</f>
      </c>
      <c r="S511" s="334">
        <f>R511*$B$8/12</f>
      </c>
      <c r="T511" s="334">
        <f>R511*$B$11/12</f>
      </c>
      <c r="U511" s="565">
        <f>(1+$V$5)^(P511/12)*(T511+IF(Q511=$Z$7,$Z$4,0))</f>
      </c>
      <c r="V511" s="170"/>
      <c r="W511" s="7"/>
      <c r="X511" s="1"/>
      <c r="Y511" s="1"/>
      <c r="Z511" s="1"/>
      <c r="AA511" s="1"/>
      <c r="AB511" s="1"/>
      <c r="AC511" s="331">
        <v>504</v>
      </c>
      <c r="AD511" s="544">
        <f>+DATE(YEAR(AD510),MONTH(AD510)-1,DAY(AD510))</f>
        <v>25569.041666666668</v>
      </c>
      <c r="AE511" s="341">
        <f>IF($AM$7=$E511,1,IF(MONTH($E511)=1,AE512*(1+$F$5),AE512))</f>
      </c>
      <c r="AF511" s="334">
        <f>AE511*$B$8/12</f>
      </c>
      <c r="AG511" s="334">
        <f>AE511*$B$12/12</f>
      </c>
      <c r="AH511" s="565">
        <f>(1+$AI$5)^(AC511/12)*(AG511+IF(AD511=$AM$7,$AM$4,0))</f>
      </c>
      <c r="AI511" s="170"/>
      <c r="AJ511" s="7"/>
      <c r="AK511" s="1"/>
      <c r="AL511" s="1"/>
      <c r="AM511" s="1"/>
    </row>
    <row x14ac:dyDescent="0.25" r="512" customHeight="1" ht="18.75">
      <c r="A512" s="1"/>
      <c r="B512" s="169"/>
      <c r="C512" s="170"/>
      <c r="D512" s="331">
        <v>505</v>
      </c>
      <c r="E512" s="544">
        <f>+DATE(YEAR(E511),MONTH(E511)-1,DAY(E511))</f>
        <v>25569.041666666668</v>
      </c>
      <c r="F512" s="333">
        <f>IF($C$6=$E512,1,IF(MONTH($E512)=1,F513*(1+$F$5),F513))</f>
      </c>
      <c r="G512" s="333">
        <f>F512*$B$8/12</f>
      </c>
      <c r="H512" s="333">
        <f>IF(F512=1,F512*$B$10/MIN(12,'Simulador - 3º Pilar'!$E$88),0)</f>
      </c>
      <c r="I512" s="560">
        <f>(1+$G$5)^(D512/12)*(H512+IF(E512=$N$7,$N$4,0))</f>
      </c>
      <c r="J512" s="561">
        <f>(1+$G$5)^(D512/12)*(H512*(12-IF(MONTH(E513)=12,0,MONTH(E513)))+IF(AND(F512=1,F513=0),$Q$4,0))*IF(AND(F512=1,F513=0),1,0)</f>
      </c>
      <c r="K512" s="217">
        <f>(1+$G$5)^(D512/12)*(IF(E512=$N$7,$N$4,0)+IF(E512=$C$6,$B$10,0))</f>
      </c>
      <c r="L512" s="217">
        <f>(1+$G$5)^(D512/12)*(IF((E512)&gt;($B$6),H512,0)+IF(E512=$N$7,$N$4,0)+IF(E512=$C$6,0,0))</f>
      </c>
      <c r="M512" s="1"/>
      <c r="N512" s="7"/>
      <c r="O512" s="1"/>
      <c r="P512" s="331">
        <v>505</v>
      </c>
      <c r="Q512" s="544">
        <f>+DATE(YEAR(Q511),MONTH(Q511)-1,DAY(Q511))</f>
        <v>25569.041666666668</v>
      </c>
      <c r="R512" s="341">
        <f>IF($Z$7=$E512,1,IF(MONTH($E512)=1,R513*(1+$F$5),R513))</f>
      </c>
      <c r="S512" s="334">
        <f>R512*$B$8/12</f>
      </c>
      <c r="T512" s="334">
        <f>R512*$B$11/12</f>
      </c>
      <c r="U512" s="565">
        <f>(1+$V$5)^(P512/12)*(T512+IF(Q512=$Z$7,$Z$4,0))</f>
      </c>
      <c r="V512" s="170"/>
      <c r="W512" s="7"/>
      <c r="X512" s="1"/>
      <c r="Y512" s="1"/>
      <c r="Z512" s="1"/>
      <c r="AA512" s="1"/>
      <c r="AB512" s="1"/>
      <c r="AC512" s="331">
        <v>505</v>
      </c>
      <c r="AD512" s="544">
        <f>+DATE(YEAR(AD511),MONTH(AD511)-1,DAY(AD511))</f>
        <v>25569.041666666668</v>
      </c>
      <c r="AE512" s="341">
        <f>IF($AM$7=$E512,1,IF(MONTH($E512)=1,AE513*(1+$F$5),AE513))</f>
      </c>
      <c r="AF512" s="334">
        <f>AE512*$B$8/12</f>
      </c>
      <c r="AG512" s="334">
        <f>AE512*$B$12/12</f>
      </c>
      <c r="AH512" s="565">
        <f>(1+$AI$5)^(AC512/12)*(AG512+IF(AD512=$AM$7,$AM$4,0))</f>
      </c>
      <c r="AI512" s="170"/>
      <c r="AJ512" s="7"/>
      <c r="AK512" s="1"/>
      <c r="AL512" s="1"/>
      <c r="AM512" s="1"/>
    </row>
    <row x14ac:dyDescent="0.25" r="513" customHeight="1" ht="18.75">
      <c r="A513" s="1"/>
      <c r="B513" s="169"/>
      <c r="C513" s="170"/>
      <c r="D513" s="331">
        <v>506</v>
      </c>
      <c r="E513" s="544">
        <f>+DATE(YEAR(E512),MONTH(E512)-1,DAY(E512))</f>
        <v>25569.041666666668</v>
      </c>
      <c r="F513" s="333">
        <f>IF($C$6=$E513,1,IF(MONTH($E513)=1,F514*(1+$F$5),F514))</f>
      </c>
      <c r="G513" s="333">
        <f>F513*$B$8/12</f>
      </c>
      <c r="H513" s="333">
        <f>IF(F513=1,F513*$B$10/MIN(12,'Simulador - 3º Pilar'!$E$88),0)</f>
      </c>
      <c r="I513" s="560">
        <f>(1+$G$5)^(D513/12)*(H513+IF(E513=$N$7,$N$4,0))</f>
      </c>
      <c r="J513" s="561">
        <f>(1+$G$5)^(D513/12)*(H513*(12-IF(MONTH(E514)=12,0,MONTH(E514)))+IF(AND(F513=1,F514=0),$Q$4,0))*IF(AND(F513=1,F514=0),1,0)</f>
      </c>
      <c r="K513" s="217">
        <f>(1+$G$5)^(D513/12)*(IF(E513=$N$7,$N$4,0)+IF(E513=$C$6,$B$10,0))</f>
      </c>
      <c r="L513" s="217">
        <f>(1+$G$5)^(D513/12)*(IF((E513)&gt;($B$6),H513,0)+IF(E513=$N$7,$N$4,0)+IF(E513=$C$6,0,0))</f>
      </c>
      <c r="M513" s="1"/>
      <c r="N513" s="7"/>
      <c r="O513" s="1"/>
      <c r="P513" s="331">
        <v>506</v>
      </c>
      <c r="Q513" s="544">
        <f>+DATE(YEAR(Q512),MONTH(Q512)-1,DAY(Q512))</f>
        <v>25569.041666666668</v>
      </c>
      <c r="R513" s="341">
        <f>IF($Z$7=$E513,1,IF(MONTH($E513)=1,R514*(1+$F$5),R514))</f>
      </c>
      <c r="S513" s="334">
        <f>R513*$B$8/12</f>
      </c>
      <c r="T513" s="334">
        <f>R513*$B$11/12</f>
      </c>
      <c r="U513" s="565">
        <f>(1+$V$5)^(P513/12)*(T513+IF(Q513=$Z$7,$Z$4,0))</f>
      </c>
      <c r="V513" s="170"/>
      <c r="W513" s="7"/>
      <c r="X513" s="1"/>
      <c r="Y513" s="1"/>
      <c r="Z513" s="1"/>
      <c r="AA513" s="1"/>
      <c r="AB513" s="1"/>
      <c r="AC513" s="331">
        <v>506</v>
      </c>
      <c r="AD513" s="544">
        <f>+DATE(YEAR(AD512),MONTH(AD512)-1,DAY(AD512))</f>
        <v>25569.041666666668</v>
      </c>
      <c r="AE513" s="341">
        <f>IF($AM$7=$E513,1,IF(MONTH($E513)=1,AE514*(1+$F$5),AE514))</f>
      </c>
      <c r="AF513" s="334">
        <f>AE513*$B$8/12</f>
      </c>
      <c r="AG513" s="334">
        <f>AE513*$B$12/12</f>
      </c>
      <c r="AH513" s="565">
        <f>(1+$AI$5)^(AC513/12)*(AG513+IF(AD513=$AM$7,$AM$4,0))</f>
      </c>
      <c r="AI513" s="170"/>
      <c r="AJ513" s="7"/>
      <c r="AK513" s="1"/>
      <c r="AL513" s="1"/>
      <c r="AM513" s="1"/>
    </row>
    <row x14ac:dyDescent="0.25" r="514" customHeight="1" ht="18.75">
      <c r="A514" s="1"/>
      <c r="B514" s="169"/>
      <c r="C514" s="170"/>
      <c r="D514" s="331">
        <v>507</v>
      </c>
      <c r="E514" s="544">
        <f>+DATE(YEAR(E513),MONTH(E513)-1,DAY(E513))</f>
        <v>25569.041666666668</v>
      </c>
      <c r="F514" s="333">
        <f>IF($C$6=$E514,1,IF(MONTH($E514)=1,F515*(1+$F$5),F515))</f>
      </c>
      <c r="G514" s="333">
        <f>F514*$B$8/12</f>
      </c>
      <c r="H514" s="333">
        <f>IF(F514=1,F514*$B$10/MIN(12,'Simulador - 3º Pilar'!$E$88),0)</f>
      </c>
      <c r="I514" s="560">
        <f>(1+$G$5)^(D514/12)*(H514+IF(E514=$N$7,$N$4,0))</f>
      </c>
      <c r="J514" s="561">
        <f>(1+$G$5)^(D514/12)*(H514*(12-IF(MONTH(E515)=12,0,MONTH(E515)))+IF(AND(F514=1,F515=0),$Q$4,0))*IF(AND(F514=1,F515=0),1,0)</f>
      </c>
      <c r="K514" s="217">
        <f>(1+$G$5)^(D514/12)*(IF(E514=$N$7,$N$4,0)+IF(E514=$C$6,$B$10,0))</f>
      </c>
      <c r="L514" s="217">
        <f>(1+$G$5)^(D514/12)*(IF((E514)&gt;($B$6),H514,0)+IF(E514=$N$7,$N$4,0)+IF(E514=$C$6,0,0))</f>
      </c>
      <c r="M514" s="1"/>
      <c r="N514" s="7"/>
      <c r="O514" s="1"/>
      <c r="P514" s="331">
        <v>507</v>
      </c>
      <c r="Q514" s="544">
        <f>+DATE(YEAR(Q513),MONTH(Q513)-1,DAY(Q513))</f>
        <v>25569.041666666668</v>
      </c>
      <c r="R514" s="341">
        <f>IF($Z$7=$E514,1,IF(MONTH($E514)=1,R515*(1+$F$5),R515))</f>
      </c>
      <c r="S514" s="334">
        <f>R514*$B$8/12</f>
      </c>
      <c r="T514" s="334">
        <f>R514*$B$11/12</f>
      </c>
      <c r="U514" s="565">
        <f>(1+$V$5)^(P514/12)*(T514+IF(Q514=$Z$7,$Z$4,0))</f>
      </c>
      <c r="V514" s="170"/>
      <c r="W514" s="7"/>
      <c r="X514" s="1"/>
      <c r="Y514" s="1"/>
      <c r="Z514" s="1"/>
      <c r="AA514" s="1"/>
      <c r="AB514" s="1"/>
      <c r="AC514" s="331">
        <v>507</v>
      </c>
      <c r="AD514" s="544">
        <f>+DATE(YEAR(AD513),MONTH(AD513)-1,DAY(AD513))</f>
        <v>25569.041666666668</v>
      </c>
      <c r="AE514" s="341">
        <f>IF($AM$7=$E514,1,IF(MONTH($E514)=1,AE515*(1+$F$5),AE515))</f>
      </c>
      <c r="AF514" s="334">
        <f>AE514*$B$8/12</f>
      </c>
      <c r="AG514" s="334">
        <f>AE514*$B$12/12</f>
      </c>
      <c r="AH514" s="565">
        <f>(1+$AI$5)^(AC514/12)*(AG514+IF(AD514=$AM$7,$AM$4,0))</f>
      </c>
      <c r="AI514" s="170"/>
      <c r="AJ514" s="7"/>
      <c r="AK514" s="1"/>
      <c r="AL514" s="1"/>
      <c r="AM514" s="1"/>
    </row>
    <row x14ac:dyDescent="0.25" r="515" customHeight="1" ht="18.75">
      <c r="A515" s="1"/>
      <c r="B515" s="169"/>
      <c r="C515" s="170"/>
      <c r="D515" s="331">
        <v>508</v>
      </c>
      <c r="E515" s="544">
        <f>+DATE(YEAR(E514),MONTH(E514)-1,DAY(E514))</f>
        <v>25569.041666666668</v>
      </c>
      <c r="F515" s="333">
        <f>IF($C$6=$E515,1,IF(MONTH($E515)=1,F516*(1+$F$5),F516))</f>
      </c>
      <c r="G515" s="333">
        <f>F515*$B$8/12</f>
      </c>
      <c r="H515" s="333">
        <f>IF(F515=1,F515*$B$10/MIN(12,'Simulador - 3º Pilar'!$E$88),0)</f>
      </c>
      <c r="I515" s="560">
        <f>(1+$G$5)^(D515/12)*(H515+IF(E515=$N$7,$N$4,0))</f>
      </c>
      <c r="J515" s="561">
        <f>(1+$G$5)^(D515/12)*(H515*(12-IF(MONTH(E516)=12,0,MONTH(E516)))+IF(AND(F515=1,F516=0),$Q$4,0))*IF(AND(F515=1,F516=0),1,0)</f>
      </c>
      <c r="K515" s="217">
        <f>(1+$G$5)^(D515/12)*(IF(E515=$N$7,$N$4,0)+IF(E515=$C$6,$B$10,0))</f>
      </c>
      <c r="L515" s="217">
        <f>(1+$G$5)^(D515/12)*(IF((E515)&gt;($B$6),H515,0)+IF(E515=$N$7,$N$4,0)+IF(E515=$C$6,0,0))</f>
      </c>
      <c r="M515" s="1"/>
      <c r="N515" s="7"/>
      <c r="O515" s="1"/>
      <c r="P515" s="331">
        <v>508</v>
      </c>
      <c r="Q515" s="544">
        <f>+DATE(YEAR(Q514),MONTH(Q514)-1,DAY(Q514))</f>
        <v>25569.041666666668</v>
      </c>
      <c r="R515" s="341">
        <f>IF($Z$7=$E515,1,IF(MONTH($E515)=1,R516*(1+$F$5),R516))</f>
      </c>
      <c r="S515" s="334">
        <f>R515*$B$8/12</f>
      </c>
      <c r="T515" s="334">
        <f>R515*$B$11/12</f>
      </c>
      <c r="U515" s="565">
        <f>(1+$V$5)^(P515/12)*(T515+IF(Q515=$Z$7,$Z$4,0))</f>
      </c>
      <c r="V515" s="170"/>
      <c r="W515" s="7"/>
      <c r="X515" s="1"/>
      <c r="Y515" s="1"/>
      <c r="Z515" s="1"/>
      <c r="AA515" s="1"/>
      <c r="AB515" s="1"/>
      <c r="AC515" s="331">
        <v>508</v>
      </c>
      <c r="AD515" s="544">
        <f>+DATE(YEAR(AD514),MONTH(AD514)-1,DAY(AD514))</f>
        <v>25569.041666666668</v>
      </c>
      <c r="AE515" s="341">
        <f>IF($AM$7=$E515,1,IF(MONTH($E515)=1,AE516*(1+$F$5),AE516))</f>
      </c>
      <c r="AF515" s="334">
        <f>AE515*$B$8/12</f>
      </c>
      <c r="AG515" s="334">
        <f>AE515*$B$12/12</f>
      </c>
      <c r="AH515" s="565">
        <f>(1+$AI$5)^(AC515/12)*(AG515+IF(AD515=$AM$7,$AM$4,0))</f>
      </c>
      <c r="AI515" s="170"/>
      <c r="AJ515" s="7"/>
      <c r="AK515" s="1"/>
      <c r="AL515" s="1"/>
      <c r="AM515" s="1"/>
    </row>
    <row x14ac:dyDescent="0.25" r="516" customHeight="1" ht="18.75">
      <c r="A516" s="1"/>
      <c r="B516" s="169"/>
      <c r="C516" s="170"/>
      <c r="D516" s="331">
        <v>509</v>
      </c>
      <c r="E516" s="544">
        <f>+DATE(YEAR(E515),MONTH(E515)-1,DAY(E515))</f>
        <v>25569.041666666668</v>
      </c>
      <c r="F516" s="333">
        <f>IF($C$6=$E516,1,IF(MONTH($E516)=1,F517*(1+$F$5),F517))</f>
      </c>
      <c r="G516" s="333">
        <f>F516*$B$8/12</f>
      </c>
      <c r="H516" s="333">
        <f>IF(F516=1,F516*$B$10/MIN(12,'Simulador - 3º Pilar'!$E$88),0)</f>
      </c>
      <c r="I516" s="560">
        <f>(1+$G$5)^(D516/12)*(H516+IF(E516=$N$7,$N$4,0))</f>
      </c>
      <c r="J516" s="561">
        <f>(1+$G$5)^(D516/12)*(H516*(12-IF(MONTH(E517)=12,0,MONTH(E517)))+IF(AND(F516=1,F517=0),$Q$4,0))*IF(AND(F516=1,F517=0),1,0)</f>
      </c>
      <c r="K516" s="217">
        <f>(1+$G$5)^(D516/12)*(IF(E516=$N$7,$N$4,0)+IF(E516=$C$6,$B$10,0))</f>
      </c>
      <c r="L516" s="217">
        <f>(1+$G$5)^(D516/12)*(IF((E516)&gt;($B$6),H516,0)+IF(E516=$N$7,$N$4,0)+IF(E516=$C$6,0,0))</f>
      </c>
      <c r="M516" s="1"/>
      <c r="N516" s="7"/>
      <c r="O516" s="1"/>
      <c r="P516" s="331">
        <v>509</v>
      </c>
      <c r="Q516" s="544">
        <f>+DATE(YEAR(Q515),MONTH(Q515)-1,DAY(Q515))</f>
        <v>25569.041666666668</v>
      </c>
      <c r="R516" s="341">
        <f>IF($Z$7=$E516,1,IF(MONTH($E516)=1,R517*(1+$F$5),R517))</f>
      </c>
      <c r="S516" s="334">
        <f>R516*$B$8/12</f>
      </c>
      <c r="T516" s="334">
        <f>R516*$B$11/12</f>
      </c>
      <c r="U516" s="565">
        <f>(1+$V$5)^(P516/12)*(T516+IF(Q516=$Z$7,$Z$4,0))</f>
      </c>
      <c r="V516" s="170"/>
      <c r="W516" s="7"/>
      <c r="X516" s="1"/>
      <c r="Y516" s="1"/>
      <c r="Z516" s="1"/>
      <c r="AA516" s="1"/>
      <c r="AB516" s="1"/>
      <c r="AC516" s="331">
        <v>509</v>
      </c>
      <c r="AD516" s="544">
        <f>+DATE(YEAR(AD515),MONTH(AD515)-1,DAY(AD515))</f>
        <v>25569.041666666668</v>
      </c>
      <c r="AE516" s="341">
        <f>IF($AM$7=$E516,1,IF(MONTH($E516)=1,AE517*(1+$F$5),AE517))</f>
      </c>
      <c r="AF516" s="334">
        <f>AE516*$B$8/12</f>
      </c>
      <c r="AG516" s="334">
        <f>AE516*$B$12/12</f>
      </c>
      <c r="AH516" s="565">
        <f>(1+$AI$5)^(AC516/12)*(AG516+IF(AD516=$AM$7,$AM$4,0))</f>
      </c>
      <c r="AI516" s="170"/>
      <c r="AJ516" s="7"/>
      <c r="AK516" s="1"/>
      <c r="AL516" s="1"/>
      <c r="AM516" s="1"/>
    </row>
    <row x14ac:dyDescent="0.25" r="517" customHeight="1" ht="18.75">
      <c r="A517" s="1"/>
      <c r="B517" s="169"/>
      <c r="C517" s="170"/>
      <c r="D517" s="331">
        <v>510</v>
      </c>
      <c r="E517" s="544">
        <f>+DATE(YEAR(E516),MONTH(E516)-1,DAY(E516))</f>
        <v>25569.041666666668</v>
      </c>
      <c r="F517" s="333">
        <f>IF($C$6=$E517,1,IF(MONTH($E517)=1,F518*(1+$F$5),F518))</f>
      </c>
      <c r="G517" s="333">
        <f>F517*$B$8/12</f>
      </c>
      <c r="H517" s="333">
        <f>IF(F517=1,F517*$B$10/MIN(12,'Simulador - 3º Pilar'!$E$88),0)</f>
      </c>
      <c r="I517" s="560">
        <f>(1+$G$5)^(D517/12)*(H517+IF(E517=$N$7,$N$4,0))</f>
      </c>
      <c r="J517" s="561">
        <f>(1+$G$5)^(D517/12)*(H517*(12-IF(MONTH(E518)=12,0,MONTH(E518)))+IF(AND(F517=1,F518=0),$Q$4,0))*IF(AND(F517=1,F518=0),1,0)</f>
      </c>
      <c r="K517" s="217">
        <f>(1+$G$5)^(D517/12)*(IF(E517=$N$7,$N$4,0)+IF(E517=$C$6,$B$10,0))</f>
      </c>
      <c r="L517" s="217">
        <f>(1+$G$5)^(D517/12)*(IF((E517)&gt;($B$6),H517,0)+IF(E517=$N$7,$N$4,0)+IF(E517=$C$6,0,0))</f>
      </c>
      <c r="M517" s="1"/>
      <c r="N517" s="7"/>
      <c r="O517" s="1"/>
      <c r="P517" s="331">
        <v>510</v>
      </c>
      <c r="Q517" s="544">
        <f>+DATE(YEAR(Q516),MONTH(Q516)-1,DAY(Q516))</f>
        <v>25569.041666666668</v>
      </c>
      <c r="R517" s="341">
        <f>IF($Z$7=$E517,1,IF(MONTH($E517)=1,R518*(1+$F$5),R518))</f>
      </c>
      <c r="S517" s="334">
        <f>R517*$B$8/12</f>
      </c>
      <c r="T517" s="334">
        <f>R517*$B$11/12</f>
      </c>
      <c r="U517" s="565">
        <f>(1+$V$5)^(P517/12)*(T517+IF(Q517=$Z$7,$Z$4,0))</f>
      </c>
      <c r="V517" s="170"/>
      <c r="W517" s="7"/>
      <c r="X517" s="1"/>
      <c r="Y517" s="1"/>
      <c r="Z517" s="1"/>
      <c r="AA517" s="1"/>
      <c r="AB517" s="1"/>
      <c r="AC517" s="331">
        <v>510</v>
      </c>
      <c r="AD517" s="544">
        <f>+DATE(YEAR(AD516),MONTH(AD516)-1,DAY(AD516))</f>
        <v>25569.041666666668</v>
      </c>
      <c r="AE517" s="341">
        <f>IF($AM$7=$E517,1,IF(MONTH($E517)=1,AE518*(1+$F$5),AE518))</f>
      </c>
      <c r="AF517" s="334">
        <f>AE517*$B$8/12</f>
      </c>
      <c r="AG517" s="334">
        <f>AE517*$B$12/12</f>
      </c>
      <c r="AH517" s="565">
        <f>(1+$AI$5)^(AC517/12)*(AG517+IF(AD517=$AM$7,$AM$4,0))</f>
      </c>
      <c r="AI517" s="170"/>
      <c r="AJ517" s="7"/>
      <c r="AK517" s="1"/>
      <c r="AL517" s="1"/>
      <c r="AM517" s="1"/>
    </row>
    <row x14ac:dyDescent="0.25" r="518" customHeight="1" ht="18.75">
      <c r="A518" s="1"/>
      <c r="B518" s="169"/>
      <c r="C518" s="170"/>
      <c r="D518" s="331">
        <v>511</v>
      </c>
      <c r="E518" s="544">
        <f>+DATE(YEAR(E517),MONTH(E517)-1,DAY(E517))</f>
        <v>25569.041666666668</v>
      </c>
      <c r="F518" s="333">
        <f>IF($C$6=$E518,1,IF(MONTH($E518)=1,F519*(1+$F$5),F519))</f>
      </c>
      <c r="G518" s="333">
        <f>F518*$B$8/12</f>
      </c>
      <c r="H518" s="333">
        <f>IF(F518=1,F518*$B$10/MIN(12,'Simulador - 3º Pilar'!$E$88),0)</f>
      </c>
      <c r="I518" s="560">
        <f>(1+$G$5)^(D518/12)*(H518+IF(E518=$N$7,$N$4,0))</f>
      </c>
      <c r="J518" s="561">
        <f>(1+$G$5)^(D518/12)*(H518*(12-IF(MONTH(E519)=12,0,MONTH(E519)))+IF(AND(F518=1,F519=0),$Q$4,0))*IF(AND(F518=1,F519=0),1,0)</f>
      </c>
      <c r="K518" s="217">
        <f>(1+$G$5)^(D518/12)*(IF(E518=$N$7,$N$4,0)+IF(E518=$C$6,$B$10,0))</f>
      </c>
      <c r="L518" s="217">
        <f>(1+$G$5)^(D518/12)*(IF((E518)&gt;($B$6),H518,0)+IF(E518=$N$7,$N$4,0)+IF(E518=$C$6,0,0))</f>
      </c>
      <c r="M518" s="1"/>
      <c r="N518" s="7"/>
      <c r="O518" s="1"/>
      <c r="P518" s="331">
        <v>511</v>
      </c>
      <c r="Q518" s="544">
        <f>+DATE(YEAR(Q517),MONTH(Q517)-1,DAY(Q517))</f>
        <v>25569.041666666668</v>
      </c>
      <c r="R518" s="341">
        <f>IF($Z$7=$E518,1,IF(MONTH($E518)=1,R519*(1+$F$5),R519))</f>
      </c>
      <c r="S518" s="334">
        <f>R518*$B$8/12</f>
      </c>
      <c r="T518" s="334">
        <f>R518*$B$11/12</f>
      </c>
      <c r="U518" s="565">
        <f>(1+$V$5)^(P518/12)*(T518+IF(Q518=$Z$7,$Z$4,0))</f>
      </c>
      <c r="V518" s="170"/>
      <c r="W518" s="7"/>
      <c r="X518" s="1"/>
      <c r="Y518" s="1"/>
      <c r="Z518" s="1"/>
      <c r="AA518" s="1"/>
      <c r="AB518" s="1"/>
      <c r="AC518" s="331">
        <v>511</v>
      </c>
      <c r="AD518" s="544">
        <f>+DATE(YEAR(AD517),MONTH(AD517)-1,DAY(AD517))</f>
        <v>25569.041666666668</v>
      </c>
      <c r="AE518" s="341">
        <f>IF($AM$7=$E518,1,IF(MONTH($E518)=1,AE519*(1+$F$5),AE519))</f>
      </c>
      <c r="AF518" s="334">
        <f>AE518*$B$8/12</f>
      </c>
      <c r="AG518" s="334">
        <f>AE518*$B$12/12</f>
      </c>
      <c r="AH518" s="565">
        <f>(1+$AI$5)^(AC518/12)*(AG518+IF(AD518=$AM$7,$AM$4,0))</f>
      </c>
      <c r="AI518" s="170"/>
      <c r="AJ518" s="7"/>
      <c r="AK518" s="1"/>
      <c r="AL518" s="1"/>
      <c r="AM518" s="1"/>
    </row>
    <row x14ac:dyDescent="0.25" r="519" customHeight="1" ht="18.75">
      <c r="A519" s="1"/>
      <c r="B519" s="169"/>
      <c r="C519" s="170"/>
      <c r="D519" s="331">
        <v>512</v>
      </c>
      <c r="E519" s="544">
        <f>+DATE(YEAR(E518),MONTH(E518)-1,DAY(E518))</f>
        <v>25569.041666666668</v>
      </c>
      <c r="F519" s="333">
        <f>IF($C$6=$E519,1,IF(MONTH($E519)=1,F520*(1+$F$5),F520))</f>
      </c>
      <c r="G519" s="333">
        <f>F519*$B$8/12</f>
      </c>
      <c r="H519" s="333">
        <f>IF(F519=1,F519*$B$10/MIN(12,'Simulador - 3º Pilar'!$E$88),0)</f>
      </c>
      <c r="I519" s="560">
        <f>(1+$G$5)^(D519/12)*(H519+IF(E519=$N$7,$N$4,0))</f>
      </c>
      <c r="J519" s="561">
        <f>(1+$G$5)^(D519/12)*(H519*(12-IF(MONTH(E520)=12,0,MONTH(E520)))+IF(AND(F519=1,F520=0),$Q$4,0))*IF(AND(F519=1,F520=0),1,0)</f>
      </c>
      <c r="K519" s="217">
        <f>(1+$G$5)^(D519/12)*(IF(E519=$N$7,$N$4,0)+IF(E519=$C$6,$B$10,0))</f>
      </c>
      <c r="L519" s="217">
        <f>(1+$G$5)^(D519/12)*(IF((E519)&gt;($B$6),H519,0)+IF(E519=$N$7,$N$4,0)+IF(E519=$C$6,0,0))</f>
      </c>
      <c r="M519" s="1"/>
      <c r="N519" s="7"/>
      <c r="O519" s="1"/>
      <c r="P519" s="331">
        <v>512</v>
      </c>
      <c r="Q519" s="544">
        <f>+DATE(YEAR(Q518),MONTH(Q518)-1,DAY(Q518))</f>
        <v>25569.041666666668</v>
      </c>
      <c r="R519" s="341">
        <f>IF($Z$7=$E519,1,IF(MONTH($E519)=1,R520*(1+$F$5),R520))</f>
      </c>
      <c r="S519" s="334">
        <f>R519*$B$8/12</f>
      </c>
      <c r="T519" s="334">
        <f>R519*$B$11/12</f>
      </c>
      <c r="U519" s="565">
        <f>(1+$V$5)^(P519/12)*(T519+IF(Q519=$Z$7,$Z$4,0))</f>
      </c>
      <c r="V519" s="170"/>
      <c r="W519" s="7"/>
      <c r="X519" s="1"/>
      <c r="Y519" s="1"/>
      <c r="Z519" s="1"/>
      <c r="AA519" s="1"/>
      <c r="AB519" s="1"/>
      <c r="AC519" s="331">
        <v>512</v>
      </c>
      <c r="AD519" s="544">
        <f>+DATE(YEAR(AD518),MONTH(AD518)-1,DAY(AD518))</f>
        <v>25569.041666666668</v>
      </c>
      <c r="AE519" s="341">
        <f>IF($AM$7=$E519,1,IF(MONTH($E519)=1,AE520*(1+$F$5),AE520))</f>
      </c>
      <c r="AF519" s="334">
        <f>AE519*$B$8/12</f>
      </c>
      <c r="AG519" s="334">
        <f>AE519*$B$12/12</f>
      </c>
      <c r="AH519" s="565">
        <f>(1+$AI$5)^(AC519/12)*(AG519+IF(AD519=$AM$7,$AM$4,0))</f>
      </c>
      <c r="AI519" s="170"/>
      <c r="AJ519" s="7"/>
      <c r="AK519" s="1"/>
      <c r="AL519" s="1"/>
      <c r="AM519" s="1"/>
    </row>
    <row x14ac:dyDescent="0.25" r="520" customHeight="1" ht="18.75">
      <c r="A520" s="1"/>
      <c r="B520" s="169"/>
      <c r="C520" s="170"/>
      <c r="D520" s="331">
        <v>513</v>
      </c>
      <c r="E520" s="544">
        <f>+DATE(YEAR(E519),MONTH(E519)-1,DAY(E519))</f>
        <v>25569.041666666668</v>
      </c>
      <c r="F520" s="333">
        <f>IF($C$6=$E520,1,IF(MONTH($E520)=1,F521*(1+$F$5),F521))</f>
      </c>
      <c r="G520" s="333">
        <f>F520*$B$8/12</f>
      </c>
      <c r="H520" s="333">
        <f>IF(F520=1,F520*$B$10/MIN(12,'Simulador - 3º Pilar'!$E$88),0)</f>
      </c>
      <c r="I520" s="560">
        <f>(1+$G$5)^(D520/12)*(H520+IF(E520=$N$7,$N$4,0))</f>
      </c>
      <c r="J520" s="561">
        <f>(1+$G$5)^(D520/12)*(H520*(12-IF(MONTH(E521)=12,0,MONTH(E521)))+IF(AND(F520=1,F521=0),$Q$4,0))*IF(AND(F520=1,F521=0),1,0)</f>
      </c>
      <c r="K520" s="217">
        <f>(1+$G$5)^(D520/12)*(IF(E520=$N$7,$N$4,0)+IF(E520=$C$6,$B$10,0))</f>
      </c>
      <c r="L520" s="217">
        <f>(1+$G$5)^(D520/12)*(IF((E520)&gt;($B$6),H520,0)+IF(E520=$N$7,$N$4,0)+IF(E520=$C$6,0,0))</f>
      </c>
      <c r="M520" s="1"/>
      <c r="N520" s="7"/>
      <c r="O520" s="1"/>
      <c r="P520" s="331">
        <v>513</v>
      </c>
      <c r="Q520" s="544">
        <f>+DATE(YEAR(Q519),MONTH(Q519)-1,DAY(Q519))</f>
        <v>25569.041666666668</v>
      </c>
      <c r="R520" s="341">
        <f>IF($Z$7=$E520,1,IF(MONTH($E520)=1,R521*(1+$F$5),R521))</f>
      </c>
      <c r="S520" s="334">
        <f>R520*$B$8/12</f>
      </c>
      <c r="T520" s="334">
        <f>R520*$B$11/12</f>
      </c>
      <c r="U520" s="565">
        <f>(1+$V$5)^(P520/12)*(T520+IF(Q520=$Z$7,$Z$4,0))</f>
      </c>
      <c r="V520" s="170"/>
      <c r="W520" s="7"/>
      <c r="X520" s="1"/>
      <c r="Y520" s="1"/>
      <c r="Z520" s="1"/>
      <c r="AA520" s="1"/>
      <c r="AB520" s="1"/>
      <c r="AC520" s="331">
        <v>513</v>
      </c>
      <c r="AD520" s="544">
        <f>+DATE(YEAR(AD519),MONTH(AD519)-1,DAY(AD519))</f>
        <v>25569.041666666668</v>
      </c>
      <c r="AE520" s="341">
        <f>IF($AM$7=$E520,1,IF(MONTH($E520)=1,AE521*(1+$F$5),AE521))</f>
      </c>
      <c r="AF520" s="334">
        <f>AE520*$B$8/12</f>
      </c>
      <c r="AG520" s="334">
        <f>AE520*$B$12/12</f>
      </c>
      <c r="AH520" s="565">
        <f>(1+$AI$5)^(AC520/12)*(AG520+IF(AD520=$AM$7,$AM$4,0))</f>
      </c>
      <c r="AI520" s="170"/>
      <c r="AJ520" s="7"/>
      <c r="AK520" s="1"/>
      <c r="AL520" s="1"/>
      <c r="AM520" s="1"/>
    </row>
    <row x14ac:dyDescent="0.25" r="521" customHeight="1" ht="18.75">
      <c r="A521" s="1"/>
      <c r="B521" s="169"/>
      <c r="C521" s="170"/>
      <c r="D521" s="331">
        <v>514</v>
      </c>
      <c r="E521" s="544">
        <f>+DATE(YEAR(E520),MONTH(E520)-1,DAY(E520))</f>
        <v>25569.041666666668</v>
      </c>
      <c r="F521" s="333">
        <f>IF($C$6=$E521,1,IF(MONTH($E521)=1,F522*(1+$F$5),F522))</f>
      </c>
      <c r="G521" s="333">
        <f>F521*$B$8/12</f>
      </c>
      <c r="H521" s="333">
        <f>IF(F521=1,F521*$B$10/MIN(12,'Simulador - 3º Pilar'!$E$88),0)</f>
      </c>
      <c r="I521" s="560">
        <f>(1+$G$5)^(D521/12)*(H521+IF(E521=$N$7,$N$4,0))</f>
      </c>
      <c r="J521" s="561">
        <f>(1+$G$5)^(D521/12)*(H521*(12-IF(MONTH(E522)=12,0,MONTH(E522)))+IF(AND(F521=1,F522=0),$Q$4,0))*IF(AND(F521=1,F522=0),1,0)</f>
      </c>
      <c r="K521" s="217">
        <f>(1+$G$5)^(D521/12)*(IF(E521=$N$7,$N$4,0)+IF(E521=$C$6,$B$10,0))</f>
      </c>
      <c r="L521" s="217">
        <f>(1+$G$5)^(D521/12)*(IF((E521)&gt;($B$6),H521,0)+IF(E521=$N$7,$N$4,0)+IF(E521=$C$6,0,0))</f>
      </c>
      <c r="M521" s="1"/>
      <c r="N521" s="7"/>
      <c r="O521" s="1"/>
      <c r="P521" s="331">
        <v>514</v>
      </c>
      <c r="Q521" s="544">
        <f>+DATE(YEAR(Q520),MONTH(Q520)-1,DAY(Q520))</f>
        <v>25569.041666666668</v>
      </c>
      <c r="R521" s="341">
        <f>IF($Z$7=$E521,1,IF(MONTH($E521)=1,R522*(1+$F$5),R522))</f>
      </c>
      <c r="S521" s="334">
        <f>R521*$B$8/12</f>
      </c>
      <c r="T521" s="334">
        <f>R521*$B$11/12</f>
      </c>
      <c r="U521" s="565">
        <f>(1+$V$5)^(P521/12)*(T521+IF(Q521=$Z$7,$Z$4,0))</f>
      </c>
      <c r="V521" s="170"/>
      <c r="W521" s="7"/>
      <c r="X521" s="1"/>
      <c r="Y521" s="1"/>
      <c r="Z521" s="1"/>
      <c r="AA521" s="1"/>
      <c r="AB521" s="1"/>
      <c r="AC521" s="331">
        <v>514</v>
      </c>
      <c r="AD521" s="544">
        <f>+DATE(YEAR(AD520),MONTH(AD520)-1,DAY(AD520))</f>
        <v>25569.041666666668</v>
      </c>
      <c r="AE521" s="341">
        <f>IF($AM$7=$E521,1,IF(MONTH($E521)=1,AE522*(1+$F$5),AE522))</f>
      </c>
      <c r="AF521" s="334">
        <f>AE521*$B$8/12</f>
      </c>
      <c r="AG521" s="334">
        <f>AE521*$B$12/12</f>
      </c>
      <c r="AH521" s="565">
        <f>(1+$AI$5)^(AC521/12)*(AG521+IF(AD521=$AM$7,$AM$4,0))</f>
      </c>
      <c r="AI521" s="170"/>
      <c r="AJ521" s="7"/>
      <c r="AK521" s="1"/>
      <c r="AL521" s="1"/>
      <c r="AM521" s="1"/>
    </row>
    <row x14ac:dyDescent="0.25" r="522" customHeight="1" ht="18.75">
      <c r="A522" s="1"/>
      <c r="B522" s="169"/>
      <c r="C522" s="170"/>
      <c r="D522" s="331">
        <v>515</v>
      </c>
      <c r="E522" s="544">
        <f>+DATE(YEAR(E521),MONTH(E521)-1,DAY(E521))</f>
        <v>25569.041666666668</v>
      </c>
      <c r="F522" s="333">
        <f>IF($C$6=$E522,1,IF(MONTH($E522)=1,F523*(1+$F$5),F523))</f>
      </c>
      <c r="G522" s="333">
        <f>F522*$B$8/12</f>
      </c>
      <c r="H522" s="333">
        <f>IF(F522=1,F522*$B$10/MIN(12,'Simulador - 3º Pilar'!$E$88),0)</f>
      </c>
      <c r="I522" s="560">
        <f>(1+$G$5)^(D522/12)*(H522+IF(E522=$N$7,$N$4,0))</f>
      </c>
      <c r="J522" s="561">
        <f>(1+$G$5)^(D522/12)*(H522*(12-IF(MONTH(E523)=12,0,MONTH(E523)))+IF(AND(F522=1,F523=0),$Q$4,0))*IF(AND(F522=1,F523=0),1,0)</f>
      </c>
      <c r="K522" s="217">
        <f>(1+$G$5)^(D522/12)*(IF(E522=$N$7,$N$4,0)+IF(E522=$C$6,$B$10,0))</f>
      </c>
      <c r="L522" s="217">
        <f>(1+$G$5)^(D522/12)*(IF((E522)&gt;($B$6),H522,0)+IF(E522=$N$7,$N$4,0)+IF(E522=$C$6,0,0))</f>
      </c>
      <c r="M522" s="1"/>
      <c r="N522" s="7"/>
      <c r="O522" s="1"/>
      <c r="P522" s="331">
        <v>515</v>
      </c>
      <c r="Q522" s="544">
        <f>+DATE(YEAR(Q521),MONTH(Q521)-1,DAY(Q521))</f>
        <v>25569.041666666668</v>
      </c>
      <c r="R522" s="341">
        <f>IF($Z$7=$E522,1,IF(MONTH($E522)=1,R523*(1+$F$5),R523))</f>
      </c>
      <c r="S522" s="334">
        <f>R522*$B$8/12</f>
      </c>
      <c r="T522" s="334">
        <f>R522*$B$11/12</f>
      </c>
      <c r="U522" s="565">
        <f>(1+$V$5)^(P522/12)*(T522+IF(Q522=$Z$7,$Z$4,0))</f>
      </c>
      <c r="V522" s="170"/>
      <c r="W522" s="7"/>
      <c r="X522" s="1"/>
      <c r="Y522" s="1"/>
      <c r="Z522" s="1"/>
      <c r="AA522" s="1"/>
      <c r="AB522" s="1"/>
      <c r="AC522" s="331">
        <v>515</v>
      </c>
      <c r="AD522" s="544">
        <f>+DATE(YEAR(AD521),MONTH(AD521)-1,DAY(AD521))</f>
        <v>25569.041666666668</v>
      </c>
      <c r="AE522" s="341">
        <f>IF($AM$7=$E522,1,IF(MONTH($E522)=1,AE523*(1+$F$5),AE523))</f>
      </c>
      <c r="AF522" s="334">
        <f>AE522*$B$8/12</f>
      </c>
      <c r="AG522" s="334">
        <f>AE522*$B$12/12</f>
      </c>
      <c r="AH522" s="565">
        <f>(1+$AI$5)^(AC522/12)*(AG522+IF(AD522=$AM$7,$AM$4,0))</f>
      </c>
      <c r="AI522" s="170"/>
      <c r="AJ522" s="7"/>
      <c r="AK522" s="1"/>
      <c r="AL522" s="1"/>
      <c r="AM522" s="1"/>
    </row>
    <row x14ac:dyDescent="0.25" r="523" customHeight="1" ht="18.75">
      <c r="A523" s="1"/>
      <c r="B523" s="169"/>
      <c r="C523" s="170"/>
      <c r="D523" s="331">
        <v>516</v>
      </c>
      <c r="E523" s="544">
        <f>+DATE(YEAR(E522),MONTH(E522)-1,DAY(E522))</f>
        <v>25569.041666666668</v>
      </c>
      <c r="F523" s="333">
        <f>IF($C$6=$E523,1,IF(MONTH($E523)=1,F524*(1+$F$5),F524))</f>
      </c>
      <c r="G523" s="333">
        <f>F523*$B$8/12</f>
      </c>
      <c r="H523" s="333">
        <f>IF(F523=1,F523*$B$10/MIN(12,'Simulador - 3º Pilar'!$E$88),0)</f>
      </c>
      <c r="I523" s="560">
        <f>(1+$G$5)^(D523/12)*(H523+IF(E523=$N$7,$N$4,0))</f>
      </c>
      <c r="J523" s="561">
        <f>(1+$G$5)^(D523/12)*(H523*(12-IF(MONTH(E524)=12,0,MONTH(E524)))+IF(AND(F523=1,F524=0),$Q$4,0))*IF(AND(F523=1,F524=0),1,0)</f>
      </c>
      <c r="K523" s="217">
        <f>(1+$G$5)^(D523/12)*(IF(E523=$N$7,$N$4,0)+IF(E523=$C$6,$B$10,0))</f>
      </c>
      <c r="L523" s="217">
        <f>(1+$G$5)^(D523/12)*(IF((E523)&gt;($B$6),H523,0)+IF(E523=$N$7,$N$4,0)+IF(E523=$C$6,0,0))</f>
      </c>
      <c r="M523" s="1"/>
      <c r="N523" s="7"/>
      <c r="O523" s="1"/>
      <c r="P523" s="331">
        <v>516</v>
      </c>
      <c r="Q523" s="544">
        <f>+DATE(YEAR(Q522),MONTH(Q522)-1,DAY(Q522))</f>
        <v>25569.041666666668</v>
      </c>
      <c r="R523" s="341">
        <f>IF($Z$7=$E523,1,IF(MONTH($E523)=1,R524*(1+$F$5),R524))</f>
      </c>
      <c r="S523" s="334">
        <f>R523*$B$8/12</f>
      </c>
      <c r="T523" s="334">
        <f>R523*$B$11/12</f>
      </c>
      <c r="U523" s="565">
        <f>(1+$V$5)^(P523/12)*(T523+IF(Q523=$Z$7,$Z$4,0))</f>
      </c>
      <c r="V523" s="170"/>
      <c r="W523" s="7"/>
      <c r="X523" s="1"/>
      <c r="Y523" s="1"/>
      <c r="Z523" s="1"/>
      <c r="AA523" s="1"/>
      <c r="AB523" s="1"/>
      <c r="AC523" s="331">
        <v>516</v>
      </c>
      <c r="AD523" s="544">
        <f>+DATE(YEAR(AD522),MONTH(AD522)-1,DAY(AD522))</f>
        <v>25569.041666666668</v>
      </c>
      <c r="AE523" s="341">
        <f>IF($AM$7=$E523,1,IF(MONTH($E523)=1,AE524*(1+$F$5),AE524))</f>
      </c>
      <c r="AF523" s="334">
        <f>AE523*$B$8/12</f>
      </c>
      <c r="AG523" s="334">
        <f>AE523*$B$12/12</f>
      </c>
      <c r="AH523" s="565">
        <f>(1+$AI$5)^(AC523/12)*(AG523+IF(AD523=$AM$7,$AM$4,0))</f>
      </c>
      <c r="AI523" s="170"/>
      <c r="AJ523" s="7"/>
      <c r="AK523" s="1"/>
      <c r="AL523" s="1"/>
      <c r="AM523" s="1"/>
    </row>
    <row x14ac:dyDescent="0.25" r="524" customHeight="1" ht="18.75">
      <c r="A524" s="1"/>
      <c r="B524" s="169"/>
      <c r="C524" s="170"/>
      <c r="D524" s="331">
        <v>517</v>
      </c>
      <c r="E524" s="544">
        <f>+DATE(YEAR(E523),MONTH(E523)-1,DAY(E523))</f>
        <v>25569.041666666668</v>
      </c>
      <c r="F524" s="333">
        <f>IF($C$6=$E524,1,IF(MONTH($E524)=1,F525*(1+$F$5),F525))</f>
      </c>
      <c r="G524" s="333">
        <f>F524*$B$8/12</f>
      </c>
      <c r="H524" s="333">
        <f>IF(F524=1,F524*$B$10/MIN(12,'Simulador - 3º Pilar'!$E$88),0)</f>
      </c>
      <c r="I524" s="560">
        <f>(1+$G$5)^(D524/12)*(H524+IF(E524=$N$7,$N$4,0))</f>
      </c>
      <c r="J524" s="561">
        <f>(1+$G$5)^(D524/12)*(H524*(12-IF(MONTH(E525)=12,0,MONTH(E525)))+IF(AND(F524=1,F525=0),$Q$4,0))*IF(AND(F524=1,F525=0),1,0)</f>
      </c>
      <c r="K524" s="217">
        <f>(1+$G$5)^(D524/12)*(IF(E524=$N$7,$N$4,0)+IF(E524=$C$6,$B$10,0))</f>
      </c>
      <c r="L524" s="217">
        <f>(1+$G$5)^(D524/12)*(IF((E524)&gt;($B$6),H524,0)+IF(E524=$N$7,$N$4,0)+IF(E524=$C$6,0,0))</f>
      </c>
      <c r="M524" s="1"/>
      <c r="N524" s="7"/>
      <c r="O524" s="1"/>
      <c r="P524" s="331">
        <v>517</v>
      </c>
      <c r="Q524" s="544">
        <f>+DATE(YEAR(Q523),MONTH(Q523)-1,DAY(Q523))</f>
        <v>25569.041666666668</v>
      </c>
      <c r="R524" s="341">
        <f>IF($Z$7=$E524,1,IF(MONTH($E524)=1,R525*(1+$F$5),R525))</f>
      </c>
      <c r="S524" s="334">
        <f>R524*$B$8/12</f>
      </c>
      <c r="T524" s="334">
        <f>R524*$B$11/12</f>
      </c>
      <c r="U524" s="565">
        <f>(1+$V$5)^(P524/12)*(T524+IF(Q524=$Z$7,$Z$4,0))</f>
      </c>
      <c r="V524" s="170"/>
      <c r="W524" s="7"/>
      <c r="X524" s="1"/>
      <c r="Y524" s="1"/>
      <c r="Z524" s="1"/>
      <c r="AA524" s="1"/>
      <c r="AB524" s="1"/>
      <c r="AC524" s="331">
        <v>517</v>
      </c>
      <c r="AD524" s="544">
        <f>+DATE(YEAR(AD523),MONTH(AD523)-1,DAY(AD523))</f>
        <v>25569.041666666668</v>
      </c>
      <c r="AE524" s="341">
        <f>IF($AM$7=$E524,1,IF(MONTH($E524)=1,AE525*(1+$F$5),AE525))</f>
      </c>
      <c r="AF524" s="334">
        <f>AE524*$B$8/12</f>
      </c>
      <c r="AG524" s="334">
        <f>AE524*$B$12/12</f>
      </c>
      <c r="AH524" s="565">
        <f>(1+$AI$5)^(AC524/12)*(AG524+IF(AD524=$AM$7,$AM$4,0))</f>
      </c>
      <c r="AI524" s="170"/>
      <c r="AJ524" s="7"/>
      <c r="AK524" s="1"/>
      <c r="AL524" s="1"/>
      <c r="AM524" s="1"/>
    </row>
    <row x14ac:dyDescent="0.25" r="525" customHeight="1" ht="18.75">
      <c r="A525" s="1"/>
      <c r="B525" s="169"/>
      <c r="C525" s="170"/>
      <c r="D525" s="331">
        <v>518</v>
      </c>
      <c r="E525" s="544">
        <f>+DATE(YEAR(E524),MONTH(E524)-1,DAY(E524))</f>
        <v>25569.041666666668</v>
      </c>
      <c r="F525" s="333">
        <f>IF($C$6=$E525,1,IF(MONTH($E525)=1,F526*(1+$F$5),F526))</f>
      </c>
      <c r="G525" s="333">
        <f>F525*$B$8/12</f>
      </c>
      <c r="H525" s="333">
        <f>IF(F525=1,F525*$B$10/MIN(12,'Simulador - 3º Pilar'!$E$88),0)</f>
      </c>
      <c r="I525" s="560">
        <f>(1+$G$5)^(D525/12)*(H525+IF(E525=$N$7,$N$4,0))</f>
      </c>
      <c r="J525" s="561">
        <f>(1+$G$5)^(D525/12)*(H525*(12-IF(MONTH(E526)=12,0,MONTH(E526)))+IF(AND(F525=1,F526=0),$Q$4,0))*IF(AND(F525=1,F526=0),1,0)</f>
      </c>
      <c r="K525" s="217">
        <f>(1+$G$5)^(D525/12)*(IF(E525=$N$7,$N$4,0)+IF(E525=$C$6,$B$10,0))</f>
      </c>
      <c r="L525" s="217">
        <f>(1+$G$5)^(D525/12)*(IF((E525)&gt;($B$6),H525,0)+IF(E525=$N$7,$N$4,0)+IF(E525=$C$6,0,0))</f>
      </c>
      <c r="M525" s="1"/>
      <c r="N525" s="7"/>
      <c r="O525" s="1"/>
      <c r="P525" s="331">
        <v>518</v>
      </c>
      <c r="Q525" s="544">
        <f>+DATE(YEAR(Q524),MONTH(Q524)-1,DAY(Q524))</f>
        <v>25569.041666666668</v>
      </c>
      <c r="R525" s="341">
        <f>IF($Z$7=$E525,1,IF(MONTH($E525)=1,R526*(1+$F$5),R526))</f>
      </c>
      <c r="S525" s="334">
        <f>R525*$B$8/12</f>
      </c>
      <c r="T525" s="334">
        <f>R525*$B$11/12</f>
      </c>
      <c r="U525" s="565">
        <f>(1+$V$5)^(P525/12)*(T525+IF(Q525=$Z$7,$Z$4,0))</f>
      </c>
      <c r="V525" s="170"/>
      <c r="W525" s="7"/>
      <c r="X525" s="1"/>
      <c r="Y525" s="1"/>
      <c r="Z525" s="1"/>
      <c r="AA525" s="1"/>
      <c r="AB525" s="1"/>
      <c r="AC525" s="331">
        <v>518</v>
      </c>
      <c r="AD525" s="544">
        <f>+DATE(YEAR(AD524),MONTH(AD524)-1,DAY(AD524))</f>
        <v>25569.041666666668</v>
      </c>
      <c r="AE525" s="341">
        <f>IF($AM$7=$E525,1,IF(MONTH($E525)=1,AE526*(1+$F$5),AE526))</f>
      </c>
      <c r="AF525" s="334">
        <f>AE525*$B$8/12</f>
      </c>
      <c r="AG525" s="334">
        <f>AE525*$B$12/12</f>
      </c>
      <c r="AH525" s="565">
        <f>(1+$AI$5)^(AC525/12)*(AG525+IF(AD525=$AM$7,$AM$4,0))</f>
      </c>
      <c r="AI525" s="170"/>
      <c r="AJ525" s="7"/>
      <c r="AK525" s="1"/>
      <c r="AL525" s="1"/>
      <c r="AM525" s="1"/>
    </row>
    <row x14ac:dyDescent="0.25" r="526" customHeight="1" ht="18.75">
      <c r="A526" s="1"/>
      <c r="B526" s="169"/>
      <c r="C526" s="170"/>
      <c r="D526" s="331">
        <v>519</v>
      </c>
      <c r="E526" s="544">
        <f>+DATE(YEAR(E525),MONTH(E525)-1,DAY(E525))</f>
        <v>25569.041666666668</v>
      </c>
      <c r="F526" s="333">
        <f>IF($C$6=$E526,1,IF(MONTH($E526)=1,F527*(1+$F$5),F527))</f>
      </c>
      <c r="G526" s="333">
        <f>F526*$B$8/12</f>
      </c>
      <c r="H526" s="333">
        <f>IF(F526=1,F526*$B$10/MIN(12,'Simulador - 3º Pilar'!$E$88),0)</f>
      </c>
      <c r="I526" s="560">
        <f>(1+$G$5)^(D526/12)*(H526+IF(E526=$N$7,$N$4,0))</f>
      </c>
      <c r="J526" s="561">
        <f>(1+$G$5)^(D526/12)*(H526*(12-IF(MONTH(E527)=12,0,MONTH(E527)))+IF(AND(F526=1,F527=0),$Q$4,0))*IF(AND(F526=1,F527=0),1,0)</f>
      </c>
      <c r="K526" s="217">
        <f>(1+$G$5)^(D526/12)*(IF(E526=$N$7,$N$4,0)+IF(E526=$C$6,$B$10,0))</f>
      </c>
      <c r="L526" s="217">
        <f>(1+$G$5)^(D526/12)*(IF((E526)&gt;($B$6),H526,0)+IF(E526=$N$7,$N$4,0)+IF(E526=$C$6,0,0))</f>
      </c>
      <c r="M526" s="1"/>
      <c r="N526" s="7"/>
      <c r="O526" s="1"/>
      <c r="P526" s="331">
        <v>519</v>
      </c>
      <c r="Q526" s="544">
        <f>+DATE(YEAR(Q525),MONTH(Q525)-1,DAY(Q525))</f>
        <v>25569.041666666668</v>
      </c>
      <c r="R526" s="341">
        <f>IF($Z$7=$E526,1,IF(MONTH($E526)=1,R527*(1+$F$5),R527))</f>
      </c>
      <c r="S526" s="334">
        <f>R526*$B$8/12</f>
      </c>
      <c r="T526" s="334">
        <f>R526*$B$11/12</f>
      </c>
      <c r="U526" s="565">
        <f>(1+$V$5)^(P526/12)*(T526+IF(Q526=$Z$7,$Z$4,0))</f>
      </c>
      <c r="V526" s="170"/>
      <c r="W526" s="7"/>
      <c r="X526" s="1"/>
      <c r="Y526" s="1"/>
      <c r="Z526" s="1"/>
      <c r="AA526" s="1"/>
      <c r="AB526" s="1"/>
      <c r="AC526" s="331">
        <v>519</v>
      </c>
      <c r="AD526" s="544">
        <f>+DATE(YEAR(AD525),MONTH(AD525)-1,DAY(AD525))</f>
        <v>25569.041666666668</v>
      </c>
      <c r="AE526" s="341">
        <f>IF($AM$7=$E526,1,IF(MONTH($E526)=1,AE527*(1+$F$5),AE527))</f>
      </c>
      <c r="AF526" s="334">
        <f>AE526*$B$8/12</f>
      </c>
      <c r="AG526" s="334">
        <f>AE526*$B$12/12</f>
      </c>
      <c r="AH526" s="565">
        <f>(1+$AI$5)^(AC526/12)*(AG526+IF(AD526=$AM$7,$AM$4,0))</f>
      </c>
      <c r="AI526" s="170"/>
      <c r="AJ526" s="7"/>
      <c r="AK526" s="1"/>
      <c r="AL526" s="1"/>
      <c r="AM526" s="1"/>
    </row>
    <row x14ac:dyDescent="0.25" r="527" customHeight="1" ht="18.75">
      <c r="A527" s="1"/>
      <c r="B527" s="169"/>
      <c r="C527" s="170"/>
      <c r="D527" s="331">
        <v>520</v>
      </c>
      <c r="E527" s="544">
        <f>+DATE(YEAR(E526),MONTH(E526)-1,DAY(E526))</f>
        <v>25569.041666666668</v>
      </c>
      <c r="F527" s="333">
        <f>IF($C$6=$E527,1,IF(MONTH($E527)=1,F528*(1+$F$5),F528))</f>
      </c>
      <c r="G527" s="333">
        <f>F527*$B$8/12</f>
      </c>
      <c r="H527" s="333">
        <f>IF(F527=1,F527*$B$10/MIN(12,'Simulador - 3º Pilar'!$E$88),0)</f>
      </c>
      <c r="I527" s="560">
        <f>(1+$G$5)^(D527/12)*(H527+IF(E527=$N$7,$N$4,0))</f>
      </c>
      <c r="J527" s="561">
        <f>(1+$G$5)^(D527/12)*(H527*(12-IF(MONTH(E528)=12,0,MONTH(E528)))+IF(AND(F527=1,F528=0),$Q$4,0))*IF(AND(F527=1,F528=0),1,0)</f>
      </c>
      <c r="K527" s="217">
        <f>(1+$G$5)^(D527/12)*(IF(E527=$N$7,$N$4,0)+IF(E527=$C$6,$B$10,0))</f>
      </c>
      <c r="L527" s="217">
        <f>(1+$G$5)^(D527/12)*(IF((E527)&gt;($B$6),H527,0)+IF(E527=$N$7,$N$4,0)+IF(E527=$C$6,0,0))</f>
      </c>
      <c r="M527" s="1"/>
      <c r="N527" s="7"/>
      <c r="O527" s="1"/>
      <c r="P527" s="331">
        <v>520</v>
      </c>
      <c r="Q527" s="544">
        <f>+DATE(YEAR(Q526),MONTH(Q526)-1,DAY(Q526))</f>
        <v>25569.041666666668</v>
      </c>
      <c r="R527" s="341">
        <f>IF($Z$7=$E527,1,IF(MONTH($E527)=1,R528*(1+$F$5),R528))</f>
      </c>
      <c r="S527" s="334">
        <f>R527*$B$8/12</f>
      </c>
      <c r="T527" s="334">
        <f>R527*$B$11/12</f>
      </c>
      <c r="U527" s="565">
        <f>(1+$V$5)^(P527/12)*(T527+IF(Q527=$Z$7,$Z$4,0))</f>
      </c>
      <c r="V527" s="170"/>
      <c r="W527" s="7"/>
      <c r="X527" s="1"/>
      <c r="Y527" s="1"/>
      <c r="Z527" s="1"/>
      <c r="AA527" s="1"/>
      <c r="AB527" s="1"/>
      <c r="AC527" s="331">
        <v>520</v>
      </c>
      <c r="AD527" s="544">
        <f>+DATE(YEAR(AD526),MONTH(AD526)-1,DAY(AD526))</f>
        <v>25569.041666666668</v>
      </c>
      <c r="AE527" s="341">
        <f>IF($AM$7=$E527,1,IF(MONTH($E527)=1,AE528*(1+$F$5),AE528))</f>
      </c>
      <c r="AF527" s="334">
        <f>AE527*$B$8/12</f>
      </c>
      <c r="AG527" s="334">
        <f>AE527*$B$12/12</f>
      </c>
      <c r="AH527" s="565">
        <f>(1+$AI$5)^(AC527/12)*(AG527+IF(AD527=$AM$7,$AM$4,0))</f>
      </c>
      <c r="AI527" s="170"/>
      <c r="AJ527" s="7"/>
      <c r="AK527" s="1"/>
      <c r="AL527" s="1"/>
      <c r="AM527" s="1"/>
    </row>
    <row x14ac:dyDescent="0.25" r="528" customHeight="1" ht="18.75">
      <c r="A528" s="1"/>
      <c r="B528" s="169"/>
      <c r="C528" s="170"/>
      <c r="D528" s="331">
        <v>521</v>
      </c>
      <c r="E528" s="544">
        <f>+DATE(YEAR(E527),MONTH(E527)-1,DAY(E527))</f>
        <v>25569.041666666668</v>
      </c>
      <c r="F528" s="333">
        <f>IF($C$6=$E528,1,IF(MONTH($E528)=1,F529*(1+$F$5),F529))</f>
      </c>
      <c r="G528" s="333">
        <f>F528*$B$8/12</f>
      </c>
      <c r="H528" s="333">
        <f>IF(F528=1,F528*$B$10/MIN(12,'Simulador - 3º Pilar'!$E$88),0)</f>
      </c>
      <c r="I528" s="560">
        <f>(1+$G$5)^(D528/12)*(H528+IF(E528=$N$7,$N$4,0))</f>
      </c>
      <c r="J528" s="561">
        <f>(1+$G$5)^(D528/12)*(H528*(12-IF(MONTH(E529)=12,0,MONTH(E529)))+IF(AND(F528=1,F529=0),$Q$4,0))*IF(AND(F528=1,F529=0),1,0)</f>
      </c>
      <c r="K528" s="217">
        <f>(1+$G$5)^(D528/12)*(IF(E528=$N$7,$N$4,0)+IF(E528=$C$6,$B$10,0))</f>
      </c>
      <c r="L528" s="217">
        <f>(1+$G$5)^(D528/12)*(IF((E528)&gt;($B$6),H528,0)+IF(E528=$N$7,$N$4,0)+IF(E528=$C$6,0,0))</f>
      </c>
      <c r="M528" s="1"/>
      <c r="N528" s="7"/>
      <c r="O528" s="1"/>
      <c r="P528" s="331">
        <v>521</v>
      </c>
      <c r="Q528" s="544">
        <f>+DATE(YEAR(Q527),MONTH(Q527)-1,DAY(Q527))</f>
        <v>25569.041666666668</v>
      </c>
      <c r="R528" s="341">
        <f>IF($Z$7=$E528,1,IF(MONTH($E528)=1,R529*(1+$F$5),R529))</f>
      </c>
      <c r="S528" s="334">
        <f>R528*$B$8/12</f>
      </c>
      <c r="T528" s="334">
        <f>R528*$B$11/12</f>
      </c>
      <c r="U528" s="565">
        <f>(1+$V$5)^(P528/12)*(T528+IF(Q528=$Z$7,$Z$4,0))</f>
      </c>
      <c r="V528" s="170"/>
      <c r="W528" s="7"/>
      <c r="X528" s="1"/>
      <c r="Y528" s="1"/>
      <c r="Z528" s="1"/>
      <c r="AA528" s="1"/>
      <c r="AB528" s="1"/>
      <c r="AC528" s="331">
        <v>521</v>
      </c>
      <c r="AD528" s="544">
        <f>+DATE(YEAR(AD527),MONTH(AD527)-1,DAY(AD527))</f>
        <v>25569.041666666668</v>
      </c>
      <c r="AE528" s="341">
        <f>IF($AM$7=$E528,1,IF(MONTH($E528)=1,AE529*(1+$F$5),AE529))</f>
      </c>
      <c r="AF528" s="334">
        <f>AE528*$B$8/12</f>
      </c>
      <c r="AG528" s="334">
        <f>AE528*$B$12/12</f>
      </c>
      <c r="AH528" s="565">
        <f>(1+$AI$5)^(AC528/12)*(AG528+IF(AD528=$AM$7,$AM$4,0))</f>
      </c>
      <c r="AI528" s="170"/>
      <c r="AJ528" s="7"/>
      <c r="AK528" s="1"/>
      <c r="AL528" s="1"/>
      <c r="AM528" s="1"/>
    </row>
    <row x14ac:dyDescent="0.25" r="529" customHeight="1" ht="18.75">
      <c r="A529" s="1"/>
      <c r="B529" s="169"/>
      <c r="C529" s="170"/>
      <c r="D529" s="331">
        <v>522</v>
      </c>
      <c r="E529" s="544">
        <f>+DATE(YEAR(E528),MONTH(E528)-1,DAY(E528))</f>
        <v>25569.041666666668</v>
      </c>
      <c r="F529" s="333">
        <f>IF($C$6=$E529,1,IF(MONTH($E529)=1,F530*(1+$F$5),F530))</f>
      </c>
      <c r="G529" s="333">
        <f>F529*$B$8/12</f>
      </c>
      <c r="H529" s="333">
        <f>IF(F529=1,F529*$B$10/MIN(12,'Simulador - 3º Pilar'!$E$88),0)</f>
      </c>
      <c r="I529" s="560">
        <f>(1+$G$5)^(D529/12)*(H529+IF(E529=$N$7,$N$4,0))</f>
      </c>
      <c r="J529" s="561">
        <f>(1+$G$5)^(D529/12)*(H529*(12-IF(MONTH(E530)=12,0,MONTH(E530)))+IF(AND(F529=1,F530=0),$Q$4,0))*IF(AND(F529=1,F530=0),1,0)</f>
      </c>
      <c r="K529" s="217">
        <f>(1+$G$5)^(D529/12)*(IF(E529=$N$7,$N$4,0)+IF(E529=$C$6,$B$10,0))</f>
      </c>
      <c r="L529" s="217">
        <f>(1+$G$5)^(D529/12)*(IF((E529)&gt;($B$6),H529,0)+IF(E529=$N$7,$N$4,0)+IF(E529=$C$6,0,0))</f>
      </c>
      <c r="M529" s="1"/>
      <c r="N529" s="7"/>
      <c r="O529" s="1"/>
      <c r="P529" s="331">
        <v>522</v>
      </c>
      <c r="Q529" s="544">
        <f>+DATE(YEAR(Q528),MONTH(Q528)-1,DAY(Q528))</f>
        <v>25569.041666666668</v>
      </c>
      <c r="R529" s="341">
        <f>IF($Z$7=$E529,1,IF(MONTH($E529)=1,R530*(1+$F$5),R530))</f>
      </c>
      <c r="S529" s="334">
        <f>R529*$B$8/12</f>
      </c>
      <c r="T529" s="334">
        <f>R529*$B$11/12</f>
      </c>
      <c r="U529" s="565">
        <f>(1+$V$5)^(P529/12)*(T529+IF(Q529=$Z$7,$Z$4,0))</f>
      </c>
      <c r="V529" s="170"/>
      <c r="W529" s="7"/>
      <c r="X529" s="1"/>
      <c r="Y529" s="1"/>
      <c r="Z529" s="1"/>
      <c r="AA529" s="1"/>
      <c r="AB529" s="1"/>
      <c r="AC529" s="331">
        <v>522</v>
      </c>
      <c r="AD529" s="544">
        <f>+DATE(YEAR(AD528),MONTH(AD528)-1,DAY(AD528))</f>
        <v>25569.041666666668</v>
      </c>
      <c r="AE529" s="341">
        <f>IF($AM$7=$E529,1,IF(MONTH($E529)=1,AE530*(1+$F$5),AE530))</f>
      </c>
      <c r="AF529" s="334">
        <f>AE529*$B$8/12</f>
      </c>
      <c r="AG529" s="334">
        <f>AE529*$B$12/12</f>
      </c>
      <c r="AH529" s="565">
        <f>(1+$AI$5)^(AC529/12)*(AG529+IF(AD529=$AM$7,$AM$4,0))</f>
      </c>
      <c r="AI529" s="170"/>
      <c r="AJ529" s="7"/>
      <c r="AK529" s="1"/>
      <c r="AL529" s="1"/>
      <c r="AM529" s="1"/>
    </row>
    <row x14ac:dyDescent="0.25" r="530" customHeight="1" ht="18.75">
      <c r="A530" s="1"/>
      <c r="B530" s="169"/>
      <c r="C530" s="170"/>
      <c r="D530" s="331">
        <v>523</v>
      </c>
      <c r="E530" s="544">
        <f>+DATE(YEAR(E529),MONTH(E529)-1,DAY(E529))</f>
        <v>25569.041666666668</v>
      </c>
      <c r="F530" s="333">
        <f>IF($C$6=$E530,1,IF(MONTH($E530)=1,F531*(1+$F$5),F531))</f>
      </c>
      <c r="G530" s="333">
        <f>F530*$B$8/12</f>
      </c>
      <c r="H530" s="333">
        <f>IF(F530=1,F530*$B$10/MIN(12,'Simulador - 3º Pilar'!$E$88),0)</f>
      </c>
      <c r="I530" s="560">
        <f>(1+$G$5)^(D530/12)*(H530+IF(E530=$N$7,$N$4,0))</f>
      </c>
      <c r="J530" s="561">
        <f>(1+$G$5)^(D530/12)*(H530*(12-IF(MONTH(E531)=12,0,MONTH(E531)))+IF(AND(F530=1,F531=0),$Q$4,0))*IF(AND(F530=1,F531=0),1,0)</f>
      </c>
      <c r="K530" s="217">
        <f>(1+$G$5)^(D530/12)*(IF(E530=$N$7,$N$4,0)+IF(E530=$C$6,$B$10,0))</f>
      </c>
      <c r="L530" s="217">
        <f>(1+$G$5)^(D530/12)*(IF((E530)&gt;($B$6),H530,0)+IF(E530=$N$7,$N$4,0)+IF(E530=$C$6,0,0))</f>
      </c>
      <c r="M530" s="1"/>
      <c r="N530" s="7"/>
      <c r="O530" s="1"/>
      <c r="P530" s="331">
        <v>523</v>
      </c>
      <c r="Q530" s="544">
        <f>+DATE(YEAR(Q529),MONTH(Q529)-1,DAY(Q529))</f>
        <v>25569.041666666668</v>
      </c>
      <c r="R530" s="341">
        <f>IF($Z$7=$E530,1,IF(MONTH($E530)=1,R531*(1+$F$5),R531))</f>
      </c>
      <c r="S530" s="334">
        <f>R530*$B$8/12</f>
      </c>
      <c r="T530" s="334">
        <f>R530*$B$11/12</f>
      </c>
      <c r="U530" s="565">
        <f>(1+$V$5)^(P530/12)*(T530+IF(Q530=$Z$7,$Z$4,0))</f>
      </c>
      <c r="V530" s="170"/>
      <c r="W530" s="7"/>
      <c r="X530" s="1"/>
      <c r="Y530" s="1"/>
      <c r="Z530" s="1"/>
      <c r="AA530" s="1"/>
      <c r="AB530" s="1"/>
      <c r="AC530" s="331">
        <v>523</v>
      </c>
      <c r="AD530" s="544">
        <f>+DATE(YEAR(AD529),MONTH(AD529)-1,DAY(AD529))</f>
        <v>25569.041666666668</v>
      </c>
      <c r="AE530" s="341">
        <f>IF($AM$7=$E530,1,IF(MONTH($E530)=1,AE531*(1+$F$5),AE531))</f>
      </c>
      <c r="AF530" s="334">
        <f>AE530*$B$8/12</f>
      </c>
      <c r="AG530" s="334">
        <f>AE530*$B$12/12</f>
      </c>
      <c r="AH530" s="565">
        <f>(1+$AI$5)^(AC530/12)*(AG530+IF(AD530=$AM$7,$AM$4,0))</f>
      </c>
      <c r="AI530" s="170"/>
      <c r="AJ530" s="7"/>
      <c r="AK530" s="1"/>
      <c r="AL530" s="1"/>
      <c r="AM530" s="1"/>
    </row>
    <row x14ac:dyDescent="0.25" r="531" customHeight="1" ht="18.75">
      <c r="A531" s="1"/>
      <c r="B531" s="169"/>
      <c r="C531" s="170"/>
      <c r="D531" s="331">
        <v>524</v>
      </c>
      <c r="E531" s="544">
        <f>+DATE(YEAR(E530),MONTH(E530)-1,DAY(E530))</f>
        <v>25569.041666666668</v>
      </c>
      <c r="F531" s="333">
        <f>IF($C$6=$E531,1,IF(MONTH($E531)=1,F532*(1+$F$5),F532))</f>
      </c>
      <c r="G531" s="333">
        <f>F531*$B$8/12</f>
      </c>
      <c r="H531" s="333">
        <f>IF(F531=1,F531*$B$10/MIN(12,'Simulador - 3º Pilar'!$E$88),0)</f>
      </c>
      <c r="I531" s="560">
        <f>(1+$G$5)^(D531/12)*(H531+IF(E531=$N$7,$N$4,0))</f>
      </c>
      <c r="J531" s="561">
        <f>(1+$G$5)^(D531/12)*(H531*(12-IF(MONTH(E532)=12,0,MONTH(E532)))+IF(AND(F531=1,F532=0),$Q$4,0))*IF(AND(F531=1,F532=0),1,0)</f>
      </c>
      <c r="K531" s="217">
        <f>(1+$G$5)^(D531/12)*(IF(E531=$N$7,$N$4,0)+IF(E531=$C$6,$B$10,0))</f>
      </c>
      <c r="L531" s="217">
        <f>(1+$G$5)^(D531/12)*(IF((E531)&gt;($B$6),H531,0)+IF(E531=$N$7,$N$4,0)+IF(E531=$C$6,0,0))</f>
      </c>
      <c r="M531" s="1"/>
      <c r="N531" s="7"/>
      <c r="O531" s="1"/>
      <c r="P531" s="331">
        <v>524</v>
      </c>
      <c r="Q531" s="544">
        <f>+DATE(YEAR(Q530),MONTH(Q530)-1,DAY(Q530))</f>
        <v>25569.041666666668</v>
      </c>
      <c r="R531" s="341">
        <f>IF($Z$7=$E531,1,IF(MONTH($E531)=1,R532*(1+$F$5),R532))</f>
      </c>
      <c r="S531" s="334">
        <f>R531*$B$8/12</f>
      </c>
      <c r="T531" s="334">
        <f>R531*$B$11/12</f>
      </c>
      <c r="U531" s="565">
        <f>(1+$V$5)^(P531/12)*(T531+IF(Q531=$Z$7,$Z$4,0))</f>
      </c>
      <c r="V531" s="170"/>
      <c r="W531" s="7"/>
      <c r="X531" s="1"/>
      <c r="Y531" s="1"/>
      <c r="Z531" s="1"/>
      <c r="AA531" s="1"/>
      <c r="AB531" s="1"/>
      <c r="AC531" s="331">
        <v>524</v>
      </c>
      <c r="AD531" s="544">
        <f>+DATE(YEAR(AD530),MONTH(AD530)-1,DAY(AD530))</f>
        <v>25569.041666666668</v>
      </c>
      <c r="AE531" s="341">
        <f>IF($AM$7=$E531,1,IF(MONTH($E531)=1,AE532*(1+$F$5),AE532))</f>
      </c>
      <c r="AF531" s="334">
        <f>AE531*$B$8/12</f>
      </c>
      <c r="AG531" s="334">
        <f>AE531*$B$12/12</f>
      </c>
      <c r="AH531" s="565">
        <f>(1+$AI$5)^(AC531/12)*(AG531+IF(AD531=$AM$7,$AM$4,0))</f>
      </c>
      <c r="AI531" s="170"/>
      <c r="AJ531" s="7"/>
      <c r="AK531" s="1"/>
      <c r="AL531" s="1"/>
      <c r="AM531" s="1"/>
    </row>
    <row x14ac:dyDescent="0.25" r="532" customHeight="1" ht="18.75">
      <c r="A532" s="1"/>
      <c r="B532" s="169"/>
      <c r="C532" s="170"/>
      <c r="D532" s="331">
        <v>525</v>
      </c>
      <c r="E532" s="544">
        <f>+DATE(YEAR(E531),MONTH(E531)-1,DAY(E531))</f>
        <v>25569.041666666668</v>
      </c>
      <c r="F532" s="333">
        <f>IF($C$6=$E532,1,IF(MONTH($E532)=1,F533*(1+$F$5),F533))</f>
      </c>
      <c r="G532" s="333">
        <f>F532*$B$8/12</f>
      </c>
      <c r="H532" s="333">
        <f>IF(F532=1,F532*$B$10/MIN(12,'Simulador - 3º Pilar'!$E$88),0)</f>
      </c>
      <c r="I532" s="560">
        <f>(1+$G$5)^(D532/12)*(H532+IF(E532=$N$7,$N$4,0))</f>
      </c>
      <c r="J532" s="561">
        <f>(1+$G$5)^(D532/12)*(H532*(12-IF(MONTH(E533)=12,0,MONTH(E533)))+IF(AND(F532=1,F533=0),$Q$4,0))*IF(AND(F532=1,F533=0),1,0)</f>
      </c>
      <c r="K532" s="217">
        <f>(1+$G$5)^(D532/12)*(IF(E532=$N$7,$N$4,0)+IF(E532=$C$6,$B$10,0))</f>
      </c>
      <c r="L532" s="217">
        <f>(1+$G$5)^(D532/12)*(IF((E532)&gt;($B$6),H532,0)+IF(E532=$N$7,$N$4,0)+IF(E532=$C$6,0,0))</f>
      </c>
      <c r="M532" s="1"/>
      <c r="N532" s="7"/>
      <c r="O532" s="1"/>
      <c r="P532" s="331">
        <v>525</v>
      </c>
      <c r="Q532" s="544">
        <f>+DATE(YEAR(Q531),MONTH(Q531)-1,DAY(Q531))</f>
        <v>25569.041666666668</v>
      </c>
      <c r="R532" s="341">
        <f>IF($Z$7=$E532,1,IF(MONTH($E532)=1,R533*(1+$F$5),R533))</f>
      </c>
      <c r="S532" s="334">
        <f>R532*$B$8/12</f>
      </c>
      <c r="T532" s="334">
        <f>R532*$B$11/12</f>
      </c>
      <c r="U532" s="565">
        <f>(1+$V$5)^(P532/12)*(T532+IF(Q532=$Z$7,$Z$4,0))</f>
      </c>
      <c r="V532" s="170"/>
      <c r="W532" s="7"/>
      <c r="X532" s="1"/>
      <c r="Y532" s="1"/>
      <c r="Z532" s="1"/>
      <c r="AA532" s="1"/>
      <c r="AB532" s="1"/>
      <c r="AC532" s="331">
        <v>525</v>
      </c>
      <c r="AD532" s="544">
        <f>+DATE(YEAR(AD531),MONTH(AD531)-1,DAY(AD531))</f>
        <v>25569.041666666668</v>
      </c>
      <c r="AE532" s="341">
        <f>IF($AM$7=$E532,1,IF(MONTH($E532)=1,AE533*(1+$F$5),AE533))</f>
      </c>
      <c r="AF532" s="334">
        <f>AE532*$B$8/12</f>
      </c>
      <c r="AG532" s="334">
        <f>AE532*$B$12/12</f>
      </c>
      <c r="AH532" s="565">
        <f>(1+$AI$5)^(AC532/12)*(AG532+IF(AD532=$AM$7,$AM$4,0))</f>
      </c>
      <c r="AI532" s="170"/>
      <c r="AJ532" s="7"/>
      <c r="AK532" s="1"/>
      <c r="AL532" s="1"/>
      <c r="AM532" s="1"/>
    </row>
    <row x14ac:dyDescent="0.25" r="533" customHeight="1" ht="18.75">
      <c r="A533" s="1"/>
      <c r="B533" s="169"/>
      <c r="C533" s="170"/>
      <c r="D533" s="331">
        <v>526</v>
      </c>
      <c r="E533" s="544">
        <f>+DATE(YEAR(E532),MONTH(E532)-1,DAY(E532))</f>
        <v>25569.041666666668</v>
      </c>
      <c r="F533" s="333">
        <f>IF($C$6=$E533,1,IF(MONTH($E533)=1,F534*(1+$F$5),F534))</f>
      </c>
      <c r="G533" s="333">
        <f>F533*$B$8/12</f>
      </c>
      <c r="H533" s="333">
        <f>IF(F533=1,F533*$B$10/MIN(12,'Simulador - 3º Pilar'!$E$88),0)</f>
      </c>
      <c r="I533" s="560">
        <f>(1+$G$5)^(D533/12)*(H533+IF(E533=$N$7,$N$4,0))</f>
      </c>
      <c r="J533" s="561">
        <f>(1+$G$5)^(D533/12)*(H533*(12-IF(MONTH(E534)=12,0,MONTH(E534)))+IF(AND(F533=1,F534=0),$Q$4,0))*IF(AND(F533=1,F534=0),1,0)</f>
      </c>
      <c r="K533" s="217">
        <f>(1+$G$5)^(D533/12)*(IF(E533=$N$7,$N$4,0)+IF(E533=$C$6,$B$10,0))</f>
      </c>
      <c r="L533" s="217">
        <f>(1+$G$5)^(D533/12)*(IF((E533)&gt;($B$6),H533,0)+IF(E533=$N$7,$N$4,0)+IF(E533=$C$6,0,0))</f>
      </c>
      <c r="M533" s="1"/>
      <c r="N533" s="7"/>
      <c r="O533" s="1"/>
      <c r="P533" s="331">
        <v>526</v>
      </c>
      <c r="Q533" s="544">
        <f>+DATE(YEAR(Q532),MONTH(Q532)-1,DAY(Q532))</f>
        <v>25569.041666666668</v>
      </c>
      <c r="R533" s="341">
        <f>IF($Z$7=$E533,1,IF(MONTH($E533)=1,R534*(1+$F$5),R534))</f>
      </c>
      <c r="S533" s="334">
        <f>R533*$B$8/12</f>
      </c>
      <c r="T533" s="334">
        <f>R533*$B$11/12</f>
      </c>
      <c r="U533" s="565">
        <f>(1+$V$5)^(P533/12)*(T533+IF(Q533=$Z$7,$Z$4,0))</f>
      </c>
      <c r="V533" s="170"/>
      <c r="W533" s="7"/>
      <c r="X533" s="1"/>
      <c r="Y533" s="1"/>
      <c r="Z533" s="1"/>
      <c r="AA533" s="1"/>
      <c r="AB533" s="1"/>
      <c r="AC533" s="331">
        <v>526</v>
      </c>
      <c r="AD533" s="544">
        <f>+DATE(YEAR(AD532),MONTH(AD532)-1,DAY(AD532))</f>
        <v>25569.041666666668</v>
      </c>
      <c r="AE533" s="341">
        <f>IF($AM$7=$E533,1,IF(MONTH($E533)=1,AE534*(1+$F$5),AE534))</f>
      </c>
      <c r="AF533" s="334">
        <f>AE533*$B$8/12</f>
      </c>
      <c r="AG533" s="334">
        <f>AE533*$B$12/12</f>
      </c>
      <c r="AH533" s="565">
        <f>(1+$AI$5)^(AC533/12)*(AG533+IF(AD533=$AM$7,$AM$4,0))</f>
      </c>
      <c r="AI533" s="170"/>
      <c r="AJ533" s="7"/>
      <c r="AK533" s="1"/>
      <c r="AL533" s="1"/>
      <c r="AM533" s="1"/>
    </row>
    <row x14ac:dyDescent="0.25" r="534" customHeight="1" ht="18.75">
      <c r="A534" s="1"/>
      <c r="B534" s="169"/>
      <c r="C534" s="170"/>
      <c r="D534" s="331">
        <v>527</v>
      </c>
      <c r="E534" s="544">
        <f>+DATE(YEAR(E533),MONTH(E533)-1,DAY(E533))</f>
        <v>25569.041666666668</v>
      </c>
      <c r="F534" s="333">
        <f>IF($C$6=$E534,1,IF(MONTH($E534)=1,F535*(1+$F$5),F535))</f>
      </c>
      <c r="G534" s="333">
        <f>F534*$B$8/12</f>
      </c>
      <c r="H534" s="333">
        <f>IF(F534=1,F534*$B$10/MIN(12,'Simulador - 3º Pilar'!$E$88),0)</f>
      </c>
      <c r="I534" s="560">
        <f>(1+$G$5)^(D534/12)*(H534+IF(E534=$N$7,$N$4,0))</f>
      </c>
      <c r="J534" s="561">
        <f>(1+$G$5)^(D534/12)*(H534*(12-IF(MONTH(E535)=12,0,MONTH(E535)))+IF(AND(F534=1,F535=0),$Q$4,0))*IF(AND(F534=1,F535=0),1,0)</f>
      </c>
      <c r="K534" s="217">
        <f>(1+$G$5)^(D534/12)*(IF(E534=$N$7,$N$4,0)+IF(E534=$C$6,$B$10,0))</f>
      </c>
      <c r="L534" s="217">
        <f>(1+$G$5)^(D534/12)*(IF((E534)&gt;($B$6),H534,0)+IF(E534=$N$7,$N$4,0)+IF(E534=$C$6,0,0))</f>
      </c>
      <c r="M534" s="1"/>
      <c r="N534" s="7"/>
      <c r="O534" s="1"/>
      <c r="P534" s="331">
        <v>527</v>
      </c>
      <c r="Q534" s="544">
        <f>+DATE(YEAR(Q533),MONTH(Q533)-1,DAY(Q533))</f>
        <v>25569.041666666668</v>
      </c>
      <c r="R534" s="341">
        <f>IF($Z$7=$E534,1,IF(MONTH($E534)=1,R535*(1+$F$5),R535))</f>
      </c>
      <c r="S534" s="334">
        <f>R534*$B$8/12</f>
      </c>
      <c r="T534" s="334">
        <f>R534*$B$11/12</f>
      </c>
      <c r="U534" s="565">
        <f>(1+$V$5)^(P534/12)*(T534+IF(Q534=$Z$7,$Z$4,0))</f>
      </c>
      <c r="V534" s="170"/>
      <c r="W534" s="7"/>
      <c r="X534" s="1"/>
      <c r="Y534" s="1"/>
      <c r="Z534" s="1"/>
      <c r="AA534" s="1"/>
      <c r="AB534" s="1"/>
      <c r="AC534" s="331">
        <v>527</v>
      </c>
      <c r="AD534" s="544">
        <f>+DATE(YEAR(AD533),MONTH(AD533)-1,DAY(AD533))</f>
        <v>25569.041666666668</v>
      </c>
      <c r="AE534" s="341">
        <f>IF($AM$7=$E534,1,IF(MONTH($E534)=1,AE535*(1+$F$5),AE535))</f>
      </c>
      <c r="AF534" s="334">
        <f>AE534*$B$8/12</f>
      </c>
      <c r="AG534" s="334">
        <f>AE534*$B$12/12</f>
      </c>
      <c r="AH534" s="565">
        <f>(1+$AI$5)^(AC534/12)*(AG534+IF(AD534=$AM$7,$AM$4,0))</f>
      </c>
      <c r="AI534" s="170"/>
      <c r="AJ534" s="7"/>
      <c r="AK534" s="1"/>
      <c r="AL534" s="1"/>
      <c r="AM534" s="1"/>
    </row>
    <row x14ac:dyDescent="0.25" r="535" customHeight="1" ht="18.75">
      <c r="A535" s="1"/>
      <c r="B535" s="169"/>
      <c r="C535" s="170"/>
      <c r="D535" s="331">
        <v>528</v>
      </c>
      <c r="E535" s="544">
        <f>+DATE(YEAR(E534),MONTH(E534)-1,DAY(E534))</f>
        <v>25569.041666666668</v>
      </c>
      <c r="F535" s="333">
        <f>IF($C$6=$E535,1,IF(MONTH($E535)=1,F536*(1+$F$5),F536))</f>
      </c>
      <c r="G535" s="333">
        <f>F535*$B$8/12</f>
      </c>
      <c r="H535" s="333">
        <f>IF(F535=1,F535*$B$10/MIN(12,'Simulador - 3º Pilar'!$E$88),0)</f>
      </c>
      <c r="I535" s="560">
        <f>(1+$G$5)^(D535/12)*(H535+IF(E535=$N$7,$N$4,0))</f>
      </c>
      <c r="J535" s="561">
        <f>(1+$G$5)^(D535/12)*(H535*(12-IF(MONTH(E536)=12,0,MONTH(E536)))+IF(AND(F535=1,F536=0),$Q$4,0))*IF(AND(F535=1,F536=0),1,0)</f>
      </c>
      <c r="K535" s="217">
        <f>(1+$G$5)^(D535/12)*(IF(E535=$N$7,$N$4,0)+IF(E535=$C$6,$B$10,0))</f>
      </c>
      <c r="L535" s="217">
        <f>(1+$G$5)^(D535/12)*(IF((E535)&gt;($B$6),H535,0)+IF(E535=$N$7,$N$4,0)+IF(E535=$C$6,0,0))</f>
      </c>
      <c r="M535" s="1"/>
      <c r="N535" s="7"/>
      <c r="O535" s="1"/>
      <c r="P535" s="331">
        <v>528</v>
      </c>
      <c r="Q535" s="544">
        <f>+DATE(YEAR(Q534),MONTH(Q534)-1,DAY(Q534))</f>
        <v>25569.041666666668</v>
      </c>
      <c r="R535" s="341">
        <f>IF($Z$7=$E535,1,IF(MONTH($E535)=1,R536*(1+$F$5),R536))</f>
      </c>
      <c r="S535" s="334">
        <f>R535*$B$8/12</f>
      </c>
      <c r="T535" s="334">
        <f>R535*$B$11/12</f>
      </c>
      <c r="U535" s="565">
        <f>(1+$V$5)^(P535/12)*(T535+IF(Q535=$Z$7,$Z$4,0))</f>
      </c>
      <c r="V535" s="170"/>
      <c r="W535" s="7"/>
      <c r="X535" s="1"/>
      <c r="Y535" s="1"/>
      <c r="Z535" s="1"/>
      <c r="AA535" s="1"/>
      <c r="AB535" s="1"/>
      <c r="AC535" s="331">
        <v>528</v>
      </c>
      <c r="AD535" s="544">
        <f>+DATE(YEAR(AD534),MONTH(AD534)-1,DAY(AD534))</f>
        <v>25569.041666666668</v>
      </c>
      <c r="AE535" s="341">
        <f>IF($AM$7=$E535,1,IF(MONTH($E535)=1,AE536*(1+$F$5),AE536))</f>
      </c>
      <c r="AF535" s="334">
        <f>AE535*$B$8/12</f>
      </c>
      <c r="AG535" s="334">
        <f>AE535*$B$12/12</f>
      </c>
      <c r="AH535" s="565">
        <f>(1+$AI$5)^(AC535/12)*(AG535+IF(AD535=$AM$7,$AM$4,0))</f>
      </c>
      <c r="AI535" s="170"/>
      <c r="AJ535" s="7"/>
      <c r="AK535" s="1"/>
      <c r="AL535" s="1"/>
      <c r="AM535" s="1"/>
    </row>
    <row x14ac:dyDescent="0.25" r="536" customHeight="1" ht="18.75">
      <c r="A536" s="1"/>
      <c r="B536" s="169"/>
      <c r="C536" s="170"/>
      <c r="D536" s="331">
        <v>529</v>
      </c>
      <c r="E536" s="544">
        <f>+DATE(YEAR(E535),MONTH(E535)-1,DAY(E535))</f>
        <v>25569.041666666668</v>
      </c>
      <c r="F536" s="333">
        <f>IF($C$6=$E536,1,IF(MONTH($E536)=1,F537*(1+$F$5),F537))</f>
      </c>
      <c r="G536" s="333">
        <f>F536*$B$8/12</f>
      </c>
      <c r="H536" s="333">
        <f>IF(F536=1,F536*$B$10/MIN(12,'Simulador - 3º Pilar'!$E$88),0)</f>
      </c>
      <c r="I536" s="560">
        <f>(1+$G$5)^(D536/12)*(H536+IF(E536=$N$7,$N$4,0))</f>
      </c>
      <c r="J536" s="561">
        <f>(1+$G$5)^(D536/12)*(H536*(12-IF(MONTH(E537)=12,0,MONTH(E537)))+IF(AND(F536=1,F537=0),$Q$4,0))*IF(AND(F536=1,F537=0),1,0)</f>
      </c>
      <c r="K536" s="217">
        <f>(1+$G$5)^(D536/12)*(IF(E536=$N$7,$N$4,0)+IF(E536=$C$6,$B$10,0))</f>
      </c>
      <c r="L536" s="217">
        <f>(1+$G$5)^(D536/12)*(IF((E536)&gt;($B$6),H536,0)+IF(E536=$N$7,$N$4,0)+IF(E536=$C$6,0,0))</f>
      </c>
      <c r="M536" s="1"/>
      <c r="N536" s="7"/>
      <c r="O536" s="1"/>
      <c r="P536" s="331">
        <v>529</v>
      </c>
      <c r="Q536" s="544">
        <f>+DATE(YEAR(Q535),MONTH(Q535)-1,DAY(Q535))</f>
        <v>25569.041666666668</v>
      </c>
      <c r="R536" s="341">
        <f>IF($Z$7=$E536,1,IF(MONTH($E536)=1,R537*(1+$F$5),R537))</f>
      </c>
      <c r="S536" s="334">
        <f>R536*$B$8/12</f>
      </c>
      <c r="T536" s="334">
        <f>R536*$B$11/12</f>
      </c>
      <c r="U536" s="565">
        <f>(1+$V$5)^(P536/12)*(T536+IF(Q536=$Z$7,$Z$4,0))</f>
      </c>
      <c r="V536" s="170"/>
      <c r="W536" s="7"/>
      <c r="X536" s="1"/>
      <c r="Y536" s="1"/>
      <c r="Z536" s="1"/>
      <c r="AA536" s="1"/>
      <c r="AB536" s="1"/>
      <c r="AC536" s="331">
        <v>529</v>
      </c>
      <c r="AD536" s="544">
        <f>+DATE(YEAR(AD535),MONTH(AD535)-1,DAY(AD535))</f>
        <v>25569.041666666668</v>
      </c>
      <c r="AE536" s="341">
        <f>IF($AM$7=$E536,1,IF(MONTH($E536)=1,AE537*(1+$F$5),AE537))</f>
      </c>
      <c r="AF536" s="334">
        <f>AE536*$B$8/12</f>
      </c>
      <c r="AG536" s="334">
        <f>AE536*$B$12/12</f>
      </c>
      <c r="AH536" s="565">
        <f>(1+$AI$5)^(AC536/12)*(AG536+IF(AD536=$AM$7,$AM$4,0))</f>
      </c>
      <c r="AI536" s="170"/>
      <c r="AJ536" s="7"/>
      <c r="AK536" s="1"/>
      <c r="AL536" s="1"/>
      <c r="AM536" s="1"/>
    </row>
    <row x14ac:dyDescent="0.25" r="537" customHeight="1" ht="18.75">
      <c r="A537" s="1"/>
      <c r="B537" s="169"/>
      <c r="C537" s="170"/>
      <c r="D537" s="331">
        <v>530</v>
      </c>
      <c r="E537" s="544">
        <f>+DATE(YEAR(E536),MONTH(E536)-1,DAY(E536))</f>
        <v>25569.041666666668</v>
      </c>
      <c r="F537" s="333">
        <f>IF($C$6=$E537,1,IF(MONTH($E537)=1,F538*(1+$F$5),F538))</f>
      </c>
      <c r="G537" s="333">
        <f>F537*$B$8/12</f>
      </c>
      <c r="H537" s="333">
        <f>IF(F537=1,F537*$B$10/MIN(12,'Simulador - 3º Pilar'!$E$88),0)</f>
      </c>
      <c r="I537" s="560">
        <f>(1+$G$5)^(D537/12)*(H537+IF(E537=$N$7,$N$4,0))</f>
      </c>
      <c r="J537" s="561">
        <f>(1+$G$5)^(D537/12)*(H537*(12-IF(MONTH(E538)=12,0,MONTH(E538)))+IF(AND(F537=1,F538=0),$Q$4,0))*IF(AND(F537=1,F538=0),1,0)</f>
      </c>
      <c r="K537" s="217">
        <f>(1+$G$5)^(D537/12)*(IF(E537=$N$7,$N$4,0)+IF(E537=$C$6,$B$10,0))</f>
      </c>
      <c r="L537" s="217">
        <f>(1+$G$5)^(D537/12)*(IF((E537)&gt;($B$6),H537,0)+IF(E537=$N$7,$N$4,0)+IF(E537=$C$6,0,0))</f>
      </c>
      <c r="M537" s="1"/>
      <c r="N537" s="7"/>
      <c r="O537" s="1"/>
      <c r="P537" s="331">
        <v>530</v>
      </c>
      <c r="Q537" s="544">
        <f>+DATE(YEAR(Q536),MONTH(Q536)-1,DAY(Q536))</f>
        <v>25569.041666666668</v>
      </c>
      <c r="R537" s="341">
        <f>IF($Z$7=$E537,1,IF(MONTH($E537)=1,R538*(1+$F$5),R538))</f>
      </c>
      <c r="S537" s="334">
        <f>R537*$B$8/12</f>
      </c>
      <c r="T537" s="334">
        <f>R537*$B$11/12</f>
      </c>
      <c r="U537" s="565">
        <f>(1+$V$5)^(P537/12)*(T537+IF(Q537=$Z$7,$Z$4,0))</f>
      </c>
      <c r="V537" s="170"/>
      <c r="W537" s="7"/>
      <c r="X537" s="1"/>
      <c r="Y537" s="1"/>
      <c r="Z537" s="1"/>
      <c r="AA537" s="1"/>
      <c r="AB537" s="1"/>
      <c r="AC537" s="331">
        <v>530</v>
      </c>
      <c r="AD537" s="544">
        <f>+DATE(YEAR(AD536),MONTH(AD536)-1,DAY(AD536))</f>
        <v>25569.041666666668</v>
      </c>
      <c r="AE537" s="341">
        <f>IF($AM$7=$E537,1,IF(MONTH($E537)=1,AE538*(1+$F$5),AE538))</f>
      </c>
      <c r="AF537" s="334">
        <f>AE537*$B$8/12</f>
      </c>
      <c r="AG537" s="334">
        <f>AE537*$B$12/12</f>
      </c>
      <c r="AH537" s="565">
        <f>(1+$AI$5)^(AC537/12)*(AG537+IF(AD537=$AM$7,$AM$4,0))</f>
      </c>
      <c r="AI537" s="170"/>
      <c r="AJ537" s="7"/>
      <c r="AK537" s="1"/>
      <c r="AL537" s="1"/>
      <c r="AM537" s="1"/>
    </row>
    <row x14ac:dyDescent="0.25" r="538" customHeight="1" ht="18.75">
      <c r="A538" s="1"/>
      <c r="B538" s="169"/>
      <c r="C538" s="170"/>
      <c r="D538" s="331">
        <v>531</v>
      </c>
      <c r="E538" s="544">
        <f>+DATE(YEAR(E537),MONTH(E537)-1,DAY(E537))</f>
        <v>25569.041666666668</v>
      </c>
      <c r="F538" s="333">
        <f>IF($C$6=$E538,1,IF(MONTH($E538)=1,F539*(1+$F$5),F539))</f>
      </c>
      <c r="G538" s="333">
        <f>F538*$B$8/12</f>
      </c>
      <c r="H538" s="333">
        <f>IF(F538=1,F538*$B$10/MIN(12,'Simulador - 3º Pilar'!$E$88),0)</f>
      </c>
      <c r="I538" s="560">
        <f>(1+$G$5)^(D538/12)*(H538+IF(E538=$N$7,$N$4,0))</f>
      </c>
      <c r="J538" s="561">
        <f>(1+$G$5)^(D538/12)*(H538*(12-IF(MONTH(E539)=12,0,MONTH(E539)))+IF(AND(F538=1,F539=0),$Q$4,0))*IF(AND(F538=1,F539=0),1,0)</f>
      </c>
      <c r="K538" s="217">
        <f>(1+$G$5)^(D538/12)*(IF(E538=$N$7,$N$4,0)+IF(E538=$C$6,$B$10,0))</f>
      </c>
      <c r="L538" s="217">
        <f>(1+$G$5)^(D538/12)*(IF((E538)&gt;($B$6),H538,0)+IF(E538=$N$7,$N$4,0)+IF(E538=$C$6,0,0))</f>
      </c>
      <c r="M538" s="1"/>
      <c r="N538" s="7"/>
      <c r="O538" s="1"/>
      <c r="P538" s="331">
        <v>531</v>
      </c>
      <c r="Q538" s="544">
        <f>+DATE(YEAR(Q537),MONTH(Q537)-1,DAY(Q537))</f>
        <v>25569.041666666668</v>
      </c>
      <c r="R538" s="341">
        <f>IF($Z$7=$E538,1,IF(MONTH($E538)=1,R539*(1+$F$5),R539))</f>
      </c>
      <c r="S538" s="334">
        <f>R538*$B$8/12</f>
      </c>
      <c r="T538" s="334">
        <f>R538*$B$11/12</f>
      </c>
      <c r="U538" s="565">
        <f>(1+$V$5)^(P538/12)*(T538+IF(Q538=$Z$7,$Z$4,0))</f>
      </c>
      <c r="V538" s="170"/>
      <c r="W538" s="7"/>
      <c r="X538" s="1"/>
      <c r="Y538" s="1"/>
      <c r="Z538" s="1"/>
      <c r="AA538" s="1"/>
      <c r="AB538" s="1"/>
      <c r="AC538" s="331">
        <v>531</v>
      </c>
      <c r="AD538" s="544">
        <f>+DATE(YEAR(AD537),MONTH(AD537)-1,DAY(AD537))</f>
        <v>25569.041666666668</v>
      </c>
      <c r="AE538" s="341">
        <f>IF($AM$7=$E538,1,IF(MONTH($E538)=1,AE539*(1+$F$5),AE539))</f>
      </c>
      <c r="AF538" s="334">
        <f>AE538*$B$8/12</f>
      </c>
      <c r="AG538" s="334">
        <f>AE538*$B$12/12</f>
      </c>
      <c r="AH538" s="565">
        <f>(1+$AI$5)^(AC538/12)*(AG538+IF(AD538=$AM$7,$AM$4,0))</f>
      </c>
      <c r="AI538" s="170"/>
      <c r="AJ538" s="7"/>
      <c r="AK538" s="1"/>
      <c r="AL538" s="1"/>
      <c r="AM538" s="1"/>
    </row>
    <row x14ac:dyDescent="0.25" r="539" customHeight="1" ht="18.75">
      <c r="A539" s="1"/>
      <c r="B539" s="169"/>
      <c r="C539" s="170"/>
      <c r="D539" s="331">
        <v>532</v>
      </c>
      <c r="E539" s="544">
        <f>+DATE(YEAR(E538),MONTH(E538)-1,DAY(E538))</f>
        <v>25569.041666666668</v>
      </c>
      <c r="F539" s="333">
        <f>IF($C$6=$E539,1,IF(MONTH($E539)=1,F540*(1+$F$5),F540))</f>
      </c>
      <c r="G539" s="333">
        <f>F539*$B$8/12</f>
      </c>
      <c r="H539" s="333">
        <f>IF(F539=1,F539*$B$10/MIN(12,'Simulador - 3º Pilar'!$E$88),0)</f>
      </c>
      <c r="I539" s="560">
        <f>(1+$G$5)^(D539/12)*(H539+IF(E539=$N$7,$N$4,0))</f>
      </c>
      <c r="J539" s="561">
        <f>(1+$G$5)^(D539/12)*(H539*(12-IF(MONTH(E540)=12,0,MONTH(E540)))+IF(AND(F539=1,F540=0),$Q$4,0))*IF(AND(F539=1,F540=0),1,0)</f>
      </c>
      <c r="K539" s="217">
        <f>(1+$G$5)^(D539/12)*(IF(E539=$N$7,$N$4,0)+IF(E539=$C$6,$B$10,0))</f>
      </c>
      <c r="L539" s="217">
        <f>(1+$G$5)^(D539/12)*(IF((E539)&gt;($B$6),H539,0)+IF(E539=$N$7,$N$4,0)+IF(E539=$C$6,0,0))</f>
      </c>
      <c r="M539" s="1"/>
      <c r="N539" s="7"/>
      <c r="O539" s="1"/>
      <c r="P539" s="331">
        <v>532</v>
      </c>
      <c r="Q539" s="544">
        <f>+DATE(YEAR(Q538),MONTH(Q538)-1,DAY(Q538))</f>
        <v>25569.041666666668</v>
      </c>
      <c r="R539" s="341">
        <f>IF($Z$7=$E539,1,IF(MONTH($E539)=1,R540*(1+$F$5),R540))</f>
      </c>
      <c r="S539" s="334">
        <f>R539*$B$8/12</f>
      </c>
      <c r="T539" s="334">
        <f>R539*$B$11/12</f>
      </c>
      <c r="U539" s="565">
        <f>(1+$V$5)^(P539/12)*(T539+IF(Q539=$Z$7,$Z$4,0))</f>
      </c>
      <c r="V539" s="170"/>
      <c r="W539" s="7"/>
      <c r="X539" s="1"/>
      <c r="Y539" s="1"/>
      <c r="Z539" s="1"/>
      <c r="AA539" s="1"/>
      <c r="AB539" s="1"/>
      <c r="AC539" s="331">
        <v>532</v>
      </c>
      <c r="AD539" s="544">
        <f>+DATE(YEAR(AD538),MONTH(AD538)-1,DAY(AD538))</f>
        <v>25569.041666666668</v>
      </c>
      <c r="AE539" s="341">
        <f>IF($AM$7=$E539,1,IF(MONTH($E539)=1,AE540*(1+$F$5),AE540))</f>
      </c>
      <c r="AF539" s="334">
        <f>AE539*$B$8/12</f>
      </c>
      <c r="AG539" s="334">
        <f>AE539*$B$12/12</f>
      </c>
      <c r="AH539" s="565">
        <f>(1+$AI$5)^(AC539/12)*(AG539+IF(AD539=$AM$7,$AM$4,0))</f>
      </c>
      <c r="AI539" s="170"/>
      <c r="AJ539" s="7"/>
      <c r="AK539" s="1"/>
      <c r="AL539" s="1"/>
      <c r="AM539" s="1"/>
    </row>
    <row x14ac:dyDescent="0.25" r="540" customHeight="1" ht="18.75">
      <c r="A540" s="1"/>
      <c r="B540" s="169"/>
      <c r="C540" s="170"/>
      <c r="D540" s="331">
        <v>533</v>
      </c>
      <c r="E540" s="544">
        <f>+DATE(YEAR(E539),MONTH(E539)-1,DAY(E539))</f>
        <v>25569.041666666668</v>
      </c>
      <c r="F540" s="333">
        <f>IF($C$6=$E540,1,IF(MONTH($E540)=1,F541*(1+$F$5),F541))</f>
      </c>
      <c r="G540" s="333">
        <f>F540*$B$8/12</f>
      </c>
      <c r="H540" s="333">
        <f>IF(F540=1,F540*$B$10/MIN(12,'Simulador - 3º Pilar'!$E$88),0)</f>
      </c>
      <c r="I540" s="560">
        <f>(1+$G$5)^(D540/12)*(H540+IF(E540=$N$7,$N$4,0))</f>
      </c>
      <c r="J540" s="561">
        <f>(1+$G$5)^(D540/12)*(H540*(12-IF(MONTH(E541)=12,0,MONTH(E541)))+IF(AND(F540=1,F541=0),$Q$4,0))*IF(AND(F540=1,F541=0),1,0)</f>
      </c>
      <c r="K540" s="217">
        <f>(1+$G$5)^(D540/12)*(IF(E540=$N$7,$N$4,0)+IF(E540=$C$6,$B$10,0))</f>
      </c>
      <c r="L540" s="217">
        <f>(1+$G$5)^(D540/12)*(IF((E540)&gt;($B$6),H540,0)+IF(E540=$N$7,$N$4,0)+IF(E540=$C$6,0,0))</f>
      </c>
      <c r="M540" s="1"/>
      <c r="N540" s="7"/>
      <c r="O540" s="1"/>
      <c r="P540" s="331">
        <v>533</v>
      </c>
      <c r="Q540" s="544">
        <f>+DATE(YEAR(Q539),MONTH(Q539)-1,DAY(Q539))</f>
        <v>25569.041666666668</v>
      </c>
      <c r="R540" s="341">
        <f>IF($Z$7=$E540,1,IF(MONTH($E540)=1,R541*(1+$F$5),R541))</f>
      </c>
      <c r="S540" s="334">
        <f>R540*$B$8/12</f>
      </c>
      <c r="T540" s="334">
        <f>R540*$B$11/12</f>
      </c>
      <c r="U540" s="565">
        <f>(1+$V$5)^(P540/12)*(T540+IF(Q540=$Z$7,$Z$4,0))</f>
      </c>
      <c r="V540" s="170"/>
      <c r="W540" s="7"/>
      <c r="X540" s="1"/>
      <c r="Y540" s="1"/>
      <c r="Z540" s="1"/>
      <c r="AA540" s="1"/>
      <c r="AB540" s="1"/>
      <c r="AC540" s="331">
        <v>533</v>
      </c>
      <c r="AD540" s="544">
        <f>+DATE(YEAR(AD539),MONTH(AD539)-1,DAY(AD539))</f>
        <v>25569.041666666668</v>
      </c>
      <c r="AE540" s="341">
        <f>IF($AM$7=$E540,1,IF(MONTH($E540)=1,AE541*(1+$F$5),AE541))</f>
      </c>
      <c r="AF540" s="334">
        <f>AE540*$B$8/12</f>
      </c>
      <c r="AG540" s="334">
        <f>AE540*$B$12/12</f>
      </c>
      <c r="AH540" s="565">
        <f>(1+$AI$5)^(AC540/12)*(AG540+IF(AD540=$AM$7,$AM$4,0))</f>
      </c>
      <c r="AI540" s="170"/>
      <c r="AJ540" s="7"/>
      <c r="AK540" s="1"/>
      <c r="AL540" s="1"/>
      <c r="AM540" s="1"/>
    </row>
    <row x14ac:dyDescent="0.25" r="541" customHeight="1" ht="18.75">
      <c r="A541" s="1"/>
      <c r="B541" s="169"/>
      <c r="C541" s="170"/>
      <c r="D541" s="331">
        <v>534</v>
      </c>
      <c r="E541" s="544">
        <f>+DATE(YEAR(E540),MONTH(E540)-1,DAY(E540))</f>
        <v>25569.041666666668</v>
      </c>
      <c r="F541" s="333">
        <f>IF($C$6=$E541,1,IF(MONTH($E541)=1,F542*(1+$F$5),F542))</f>
      </c>
      <c r="G541" s="333">
        <f>F541*$B$8/12</f>
      </c>
      <c r="H541" s="333">
        <f>IF(F541=1,F541*$B$10/MIN(12,'Simulador - 3º Pilar'!$E$88),0)</f>
      </c>
      <c r="I541" s="560">
        <f>(1+$G$5)^(D541/12)*(H541+IF(E541=$N$7,$N$4,0))</f>
      </c>
      <c r="J541" s="561">
        <f>(1+$G$5)^(D541/12)*(H541*(12-IF(MONTH(E542)=12,0,MONTH(E542)))+IF(AND(F541=1,F542=0),$Q$4,0))*IF(AND(F541=1,F542=0),1,0)</f>
      </c>
      <c r="K541" s="217">
        <f>(1+$G$5)^(D541/12)*(IF(E541=$N$7,$N$4,0)+IF(E541=$C$6,$B$10,0))</f>
      </c>
      <c r="L541" s="217">
        <f>(1+$G$5)^(D541/12)*(IF((E541)&gt;($B$6),H541,0)+IF(E541=$N$7,$N$4,0)+IF(E541=$C$6,0,0))</f>
      </c>
      <c r="M541" s="1"/>
      <c r="N541" s="7"/>
      <c r="O541" s="1"/>
      <c r="P541" s="331">
        <v>534</v>
      </c>
      <c r="Q541" s="544">
        <f>+DATE(YEAR(Q540),MONTH(Q540)-1,DAY(Q540))</f>
        <v>25569.041666666668</v>
      </c>
      <c r="R541" s="341">
        <f>IF($Z$7=$E541,1,IF(MONTH($E541)=1,R542*(1+$F$5),R542))</f>
      </c>
      <c r="S541" s="334">
        <f>R541*$B$8/12</f>
      </c>
      <c r="T541" s="334">
        <f>R541*$B$11/12</f>
      </c>
      <c r="U541" s="565">
        <f>(1+$V$5)^(P541/12)*(T541+IF(Q541=$Z$7,$Z$4,0))</f>
      </c>
      <c r="V541" s="170"/>
      <c r="W541" s="7"/>
      <c r="X541" s="1"/>
      <c r="Y541" s="1"/>
      <c r="Z541" s="1"/>
      <c r="AA541" s="1"/>
      <c r="AB541" s="1"/>
      <c r="AC541" s="331">
        <v>534</v>
      </c>
      <c r="AD541" s="544">
        <f>+DATE(YEAR(AD540),MONTH(AD540)-1,DAY(AD540))</f>
        <v>25569.041666666668</v>
      </c>
      <c r="AE541" s="341">
        <f>IF($AM$7=$E541,1,IF(MONTH($E541)=1,AE542*(1+$F$5),AE542))</f>
      </c>
      <c r="AF541" s="334">
        <f>AE541*$B$8/12</f>
      </c>
      <c r="AG541" s="334">
        <f>AE541*$B$12/12</f>
      </c>
      <c r="AH541" s="565">
        <f>(1+$AI$5)^(AC541/12)*(AG541+IF(AD541=$AM$7,$AM$4,0))</f>
      </c>
      <c r="AI541" s="170"/>
      <c r="AJ541" s="7"/>
      <c r="AK541" s="1"/>
      <c r="AL541" s="1"/>
      <c r="AM541" s="1"/>
    </row>
    <row x14ac:dyDescent="0.25" r="542" customHeight="1" ht="18.75">
      <c r="A542" s="1"/>
      <c r="B542" s="169"/>
      <c r="C542" s="170"/>
      <c r="D542" s="331">
        <v>535</v>
      </c>
      <c r="E542" s="544">
        <f>+DATE(YEAR(E541),MONTH(E541)-1,DAY(E541))</f>
        <v>25569.041666666668</v>
      </c>
      <c r="F542" s="333">
        <f>IF($C$6=$E542,1,IF(MONTH($E542)=1,F543*(1+$F$5),F543))</f>
      </c>
      <c r="G542" s="333">
        <f>F542*$B$8/12</f>
      </c>
      <c r="H542" s="333">
        <f>IF(F542=1,F542*$B$10/MIN(12,'Simulador - 3º Pilar'!$E$88),0)</f>
      </c>
      <c r="I542" s="560">
        <f>(1+$G$5)^(D542/12)*(H542+IF(E542=$N$7,$N$4,0))</f>
      </c>
      <c r="J542" s="561">
        <f>(1+$G$5)^(D542/12)*(H542*(12-IF(MONTH(E543)=12,0,MONTH(E543)))+IF(AND(F542=1,F543=0),$Q$4,0))*IF(AND(F542=1,F543=0),1,0)</f>
      </c>
      <c r="K542" s="217">
        <f>(1+$G$5)^(D542/12)*(IF(E542=$N$7,$N$4,0)+IF(E542=$C$6,$B$10,0))</f>
      </c>
      <c r="L542" s="217">
        <f>(1+$G$5)^(D542/12)*(IF((E542)&gt;($B$6),H542,0)+IF(E542=$N$7,$N$4,0)+IF(E542=$C$6,0,0))</f>
      </c>
      <c r="M542" s="1"/>
      <c r="N542" s="7"/>
      <c r="O542" s="1"/>
      <c r="P542" s="331">
        <v>535</v>
      </c>
      <c r="Q542" s="544">
        <f>+DATE(YEAR(Q541),MONTH(Q541)-1,DAY(Q541))</f>
        <v>25569.041666666668</v>
      </c>
      <c r="R542" s="341">
        <f>IF($Z$7=$E542,1,IF(MONTH($E542)=1,R543*(1+$F$5),R543))</f>
      </c>
      <c r="S542" s="334">
        <f>R542*$B$8/12</f>
      </c>
      <c r="T542" s="334">
        <f>R542*$B$11/12</f>
      </c>
      <c r="U542" s="565">
        <f>(1+$V$5)^(P542/12)*(T542+IF(Q542=$Z$7,$Z$4,0))</f>
      </c>
      <c r="V542" s="170"/>
      <c r="W542" s="7"/>
      <c r="X542" s="1"/>
      <c r="Y542" s="1"/>
      <c r="Z542" s="1"/>
      <c r="AA542" s="1"/>
      <c r="AB542" s="1"/>
      <c r="AC542" s="331">
        <v>535</v>
      </c>
      <c r="AD542" s="544">
        <f>+DATE(YEAR(AD541),MONTH(AD541)-1,DAY(AD541))</f>
        <v>25569.041666666668</v>
      </c>
      <c r="AE542" s="341">
        <f>IF($AM$7=$E542,1,IF(MONTH($E542)=1,AE543*(1+$F$5),AE543))</f>
      </c>
      <c r="AF542" s="334">
        <f>AE542*$B$8/12</f>
      </c>
      <c r="AG542" s="334">
        <f>AE542*$B$12/12</f>
      </c>
      <c r="AH542" s="565">
        <f>(1+$AI$5)^(AC542/12)*(AG542+IF(AD542=$AM$7,$AM$4,0))</f>
      </c>
      <c r="AI542" s="170"/>
      <c r="AJ542" s="7"/>
      <c r="AK542" s="1"/>
      <c r="AL542" s="1"/>
      <c r="AM542" s="1"/>
    </row>
    <row x14ac:dyDescent="0.25" r="543" customHeight="1" ht="18.75">
      <c r="A543" s="1"/>
      <c r="B543" s="169"/>
      <c r="C543" s="170"/>
      <c r="D543" s="331">
        <v>536</v>
      </c>
      <c r="E543" s="544">
        <f>+DATE(YEAR(E542),MONTH(E542)-1,DAY(E542))</f>
        <v>25569.041666666668</v>
      </c>
      <c r="F543" s="333">
        <f>IF($C$6=$E543,1,IF(MONTH($E543)=1,F544*(1+$F$5),F544))</f>
      </c>
      <c r="G543" s="333">
        <f>F543*$B$8/12</f>
      </c>
      <c r="H543" s="333">
        <f>IF(F543=1,F543*$B$10/MIN(12,'Simulador - 3º Pilar'!$E$88),0)</f>
      </c>
      <c r="I543" s="560">
        <f>(1+$G$5)^(D543/12)*(H543+IF(E543=$N$7,$N$4,0))</f>
      </c>
      <c r="J543" s="561">
        <f>(1+$G$5)^(D543/12)*(H543*(12-IF(MONTH(E544)=12,0,MONTH(E544)))+IF(AND(F543=1,F544=0),$Q$4,0))*IF(AND(F543=1,F544=0),1,0)</f>
      </c>
      <c r="K543" s="217">
        <f>(1+$G$5)^(D543/12)*(IF(E543=$N$7,$N$4,0)+IF(E543=$C$6,$B$10,0))</f>
      </c>
      <c r="L543" s="217">
        <f>(1+$G$5)^(D543/12)*(IF((E543)&gt;($B$6),H543,0)+IF(E543=$N$7,$N$4,0)+IF(E543=$C$6,0,0))</f>
      </c>
      <c r="M543" s="1"/>
      <c r="N543" s="7"/>
      <c r="O543" s="1"/>
      <c r="P543" s="331">
        <v>536</v>
      </c>
      <c r="Q543" s="544">
        <f>+DATE(YEAR(Q542),MONTH(Q542)-1,DAY(Q542))</f>
        <v>25569.041666666668</v>
      </c>
      <c r="R543" s="341">
        <f>IF($Z$7=$E543,1,IF(MONTH($E543)=1,R544*(1+$F$5),R544))</f>
      </c>
      <c r="S543" s="334">
        <f>R543*$B$8/12</f>
      </c>
      <c r="T543" s="334">
        <f>R543*$B$11/12</f>
      </c>
      <c r="U543" s="565">
        <f>(1+$V$5)^(P543/12)*(T543+IF(Q543=$Z$7,$Z$4,0))</f>
      </c>
      <c r="V543" s="170"/>
      <c r="W543" s="7"/>
      <c r="X543" s="1"/>
      <c r="Y543" s="1"/>
      <c r="Z543" s="1"/>
      <c r="AA543" s="1"/>
      <c r="AB543" s="1"/>
      <c r="AC543" s="331">
        <v>536</v>
      </c>
      <c r="AD543" s="544">
        <f>+DATE(YEAR(AD542),MONTH(AD542)-1,DAY(AD542))</f>
        <v>25569.041666666668</v>
      </c>
      <c r="AE543" s="341">
        <f>IF($AM$7=$E543,1,IF(MONTH($E543)=1,AE544*(1+$F$5),AE544))</f>
      </c>
      <c r="AF543" s="334">
        <f>AE543*$B$8/12</f>
      </c>
      <c r="AG543" s="334">
        <f>AE543*$B$12/12</f>
      </c>
      <c r="AH543" s="565">
        <f>(1+$AI$5)^(AC543/12)*(AG543+IF(AD543=$AM$7,$AM$4,0))</f>
      </c>
      <c r="AI543" s="170"/>
      <c r="AJ543" s="7"/>
      <c r="AK543" s="1"/>
      <c r="AL543" s="1"/>
      <c r="AM543" s="1"/>
    </row>
    <row x14ac:dyDescent="0.25" r="544" customHeight="1" ht="18.75">
      <c r="A544" s="1"/>
      <c r="B544" s="169"/>
      <c r="C544" s="170"/>
      <c r="D544" s="331">
        <v>537</v>
      </c>
      <c r="E544" s="544">
        <f>+DATE(YEAR(E543),MONTH(E543)-1,DAY(E543))</f>
        <v>25569.041666666668</v>
      </c>
      <c r="F544" s="333">
        <f>IF($C$6=$E544,1,IF(MONTH($E544)=1,F545*(1+$F$5),F545))</f>
      </c>
      <c r="G544" s="333">
        <f>F544*$B$8/12</f>
      </c>
      <c r="H544" s="333">
        <f>IF(F544=1,F544*$B$10/MIN(12,'Simulador - 3º Pilar'!$E$88),0)</f>
      </c>
      <c r="I544" s="560">
        <f>(1+$G$5)^(D544/12)*(H544+IF(E544=$N$7,$N$4,0))</f>
      </c>
      <c r="J544" s="561">
        <f>(1+$G$5)^(D544/12)*(H544*(12-IF(MONTH(E545)=12,0,MONTH(E545)))+IF(AND(F544=1,F545=0),$Q$4,0))*IF(AND(F544=1,F545=0),1,0)</f>
      </c>
      <c r="K544" s="217">
        <f>(1+$G$5)^(D544/12)*(IF(E544=$N$7,$N$4,0)+IF(E544=$C$6,$B$10,0))</f>
      </c>
      <c r="L544" s="217">
        <f>(1+$G$5)^(D544/12)*(IF((E544)&gt;($B$6),H544,0)+IF(E544=$N$7,$N$4,0)+IF(E544=$C$6,0,0))</f>
      </c>
      <c r="M544" s="1"/>
      <c r="N544" s="7"/>
      <c r="O544" s="1"/>
      <c r="P544" s="331">
        <v>537</v>
      </c>
      <c r="Q544" s="544">
        <f>+DATE(YEAR(Q543),MONTH(Q543)-1,DAY(Q543))</f>
        <v>25569.041666666668</v>
      </c>
      <c r="R544" s="341">
        <f>IF($Z$7=$E544,1,IF(MONTH($E544)=1,R545*(1+$F$5),R545))</f>
      </c>
      <c r="S544" s="334">
        <f>R544*$B$8/12</f>
      </c>
      <c r="T544" s="334">
        <f>R544*$B$11/12</f>
      </c>
      <c r="U544" s="565">
        <f>(1+$V$5)^(P544/12)*(T544+IF(Q544=$Z$7,$Z$4,0))</f>
      </c>
      <c r="V544" s="170"/>
      <c r="W544" s="7"/>
      <c r="X544" s="1"/>
      <c r="Y544" s="1"/>
      <c r="Z544" s="1"/>
      <c r="AA544" s="1"/>
      <c r="AB544" s="1"/>
      <c r="AC544" s="331">
        <v>537</v>
      </c>
      <c r="AD544" s="544">
        <f>+DATE(YEAR(AD543),MONTH(AD543)-1,DAY(AD543))</f>
        <v>25569.041666666668</v>
      </c>
      <c r="AE544" s="341">
        <f>IF($AM$7=$E544,1,IF(MONTH($E544)=1,AE545*(1+$F$5),AE545))</f>
      </c>
      <c r="AF544" s="334">
        <f>AE544*$B$8/12</f>
      </c>
      <c r="AG544" s="334">
        <f>AE544*$B$12/12</f>
      </c>
      <c r="AH544" s="565">
        <f>(1+$AI$5)^(AC544/12)*(AG544+IF(AD544=$AM$7,$AM$4,0))</f>
      </c>
      <c r="AI544" s="170"/>
      <c r="AJ544" s="7"/>
      <c r="AK544" s="1"/>
      <c r="AL544" s="1"/>
      <c r="AM544" s="1"/>
    </row>
    <row x14ac:dyDescent="0.25" r="545" customHeight="1" ht="18.75">
      <c r="A545" s="1"/>
      <c r="B545" s="169"/>
      <c r="C545" s="170"/>
      <c r="D545" s="331">
        <v>538</v>
      </c>
      <c r="E545" s="544">
        <f>+DATE(YEAR(E544),MONTH(E544)-1,DAY(E544))</f>
        <v>25569.041666666668</v>
      </c>
      <c r="F545" s="333">
        <f>IF($C$6=$E545,1,IF(MONTH($E545)=1,F546*(1+$F$5),F546))</f>
      </c>
      <c r="G545" s="333">
        <f>F545*$B$8/12</f>
      </c>
      <c r="H545" s="333">
        <f>IF(F545=1,F545*$B$10/MIN(12,'Simulador - 3º Pilar'!$E$88),0)</f>
      </c>
      <c r="I545" s="560">
        <f>(1+$G$5)^(D545/12)*(H545+IF(E545=$N$7,$N$4,0))</f>
      </c>
      <c r="J545" s="561">
        <f>(1+$G$5)^(D545/12)*(H545*(12-IF(MONTH(E546)=12,0,MONTH(E546)))+IF(AND(F545=1,F546=0),$Q$4,0))*IF(AND(F545=1,F546=0),1,0)</f>
      </c>
      <c r="K545" s="217">
        <f>(1+$G$5)^(D545/12)*(IF(E545=$N$7,$N$4,0)+IF(E545=$C$6,$B$10,0))</f>
      </c>
      <c r="L545" s="217">
        <f>(1+$G$5)^(D545/12)*(IF((E545)&gt;($B$6),H545,0)+IF(E545=$N$7,$N$4,0)+IF(E545=$C$6,0,0))</f>
      </c>
      <c r="M545" s="1"/>
      <c r="N545" s="7"/>
      <c r="O545" s="1"/>
      <c r="P545" s="331">
        <v>538</v>
      </c>
      <c r="Q545" s="544">
        <f>+DATE(YEAR(Q544),MONTH(Q544)-1,DAY(Q544))</f>
        <v>25569.041666666668</v>
      </c>
      <c r="R545" s="341">
        <f>IF($Z$7=$E545,1,IF(MONTH($E545)=1,R546*(1+$F$5),R546))</f>
      </c>
      <c r="S545" s="334">
        <f>R545*$B$8/12</f>
      </c>
      <c r="T545" s="334">
        <f>R545*$B$11/12</f>
      </c>
      <c r="U545" s="565">
        <f>(1+$V$5)^(P545/12)*(T545+IF(Q545=$Z$7,$Z$4,0))</f>
      </c>
      <c r="V545" s="170"/>
      <c r="W545" s="7"/>
      <c r="X545" s="1"/>
      <c r="Y545" s="1"/>
      <c r="Z545" s="1"/>
      <c r="AA545" s="1"/>
      <c r="AB545" s="1"/>
      <c r="AC545" s="331">
        <v>538</v>
      </c>
      <c r="AD545" s="544">
        <f>+DATE(YEAR(AD544),MONTH(AD544)-1,DAY(AD544))</f>
        <v>25569.041666666668</v>
      </c>
      <c r="AE545" s="341">
        <f>IF($AM$7=$E545,1,IF(MONTH($E545)=1,AE546*(1+$F$5),AE546))</f>
      </c>
      <c r="AF545" s="334">
        <f>AE545*$B$8/12</f>
      </c>
      <c r="AG545" s="334">
        <f>AE545*$B$12/12</f>
      </c>
      <c r="AH545" s="565">
        <f>(1+$AI$5)^(AC545/12)*(AG545+IF(AD545=$AM$7,$AM$4,0))</f>
      </c>
      <c r="AI545" s="170"/>
      <c r="AJ545" s="7"/>
      <c r="AK545" s="1"/>
      <c r="AL545" s="1"/>
      <c r="AM545" s="1"/>
    </row>
    <row x14ac:dyDescent="0.25" r="546" customHeight="1" ht="18.75">
      <c r="A546" s="1"/>
      <c r="B546" s="169"/>
      <c r="C546" s="170"/>
      <c r="D546" s="331">
        <v>539</v>
      </c>
      <c r="E546" s="544">
        <f>+DATE(YEAR(E545),MONTH(E545)-1,DAY(E545))</f>
        <v>25569.041666666668</v>
      </c>
      <c r="F546" s="333">
        <f>IF($C$6=$E546,1,IF(MONTH($E546)=1,F547*(1+$F$5),F547))</f>
      </c>
      <c r="G546" s="333">
        <f>F546*$B$8/12</f>
      </c>
      <c r="H546" s="333">
        <f>IF(F546=1,F546*$B$10/MIN(12,'Simulador - 3º Pilar'!$E$88),0)</f>
      </c>
      <c r="I546" s="560">
        <f>(1+$G$5)^(D546/12)*(H546+IF(E546=$N$7,$N$4,0))</f>
      </c>
      <c r="J546" s="561">
        <f>(1+$G$5)^(D546/12)*(H546*(12-IF(MONTH(E547)=12,0,MONTH(E547)))+IF(AND(F546=1,F547=0),$Q$4,0))*IF(AND(F546=1,F547=0),1,0)</f>
      </c>
      <c r="K546" s="217">
        <f>(1+$G$5)^(D546/12)*(IF(E546=$N$7,$N$4,0)+IF(E546=$C$6,$B$10,0))</f>
      </c>
      <c r="L546" s="217">
        <f>(1+$G$5)^(D546/12)*(IF((E546)&gt;($B$6),H546,0)+IF(E546=$N$7,$N$4,0)+IF(E546=$C$6,0,0))</f>
      </c>
      <c r="M546" s="1"/>
      <c r="N546" s="7"/>
      <c r="O546" s="1"/>
      <c r="P546" s="331">
        <v>539</v>
      </c>
      <c r="Q546" s="544">
        <f>+DATE(YEAR(Q545),MONTH(Q545)-1,DAY(Q545))</f>
        <v>25569.041666666668</v>
      </c>
      <c r="R546" s="341">
        <f>IF($Z$7=$E546,1,IF(MONTH($E546)=1,R547*(1+$F$5),R547))</f>
      </c>
      <c r="S546" s="334">
        <f>R546*$B$8/12</f>
      </c>
      <c r="T546" s="334">
        <f>R546*$B$11/12</f>
      </c>
      <c r="U546" s="565">
        <f>(1+$V$5)^(P546/12)*(T546+IF(Q546=$Z$7,$Z$4,0))</f>
      </c>
      <c r="V546" s="170"/>
      <c r="W546" s="7"/>
      <c r="X546" s="1"/>
      <c r="Y546" s="1"/>
      <c r="Z546" s="1"/>
      <c r="AA546" s="1"/>
      <c r="AB546" s="1"/>
      <c r="AC546" s="331">
        <v>539</v>
      </c>
      <c r="AD546" s="544">
        <f>+DATE(YEAR(AD545),MONTH(AD545)-1,DAY(AD545))</f>
        <v>25569.041666666668</v>
      </c>
      <c r="AE546" s="341">
        <f>IF($AM$7=$E546,1,IF(MONTH($E546)=1,AE547*(1+$F$5),AE547))</f>
      </c>
      <c r="AF546" s="334">
        <f>AE546*$B$8/12</f>
      </c>
      <c r="AG546" s="334">
        <f>AE546*$B$12/12</f>
      </c>
      <c r="AH546" s="565">
        <f>(1+$AI$5)^(AC546/12)*(AG546+IF(AD546=$AM$7,$AM$4,0))</f>
      </c>
      <c r="AI546" s="170"/>
      <c r="AJ546" s="7"/>
      <c r="AK546" s="1"/>
      <c r="AL546" s="1"/>
      <c r="AM546" s="1"/>
    </row>
    <row x14ac:dyDescent="0.25" r="547" customHeight="1" ht="18.75">
      <c r="A547" s="1"/>
      <c r="B547" s="169"/>
      <c r="C547" s="170"/>
      <c r="D547" s="331">
        <v>540</v>
      </c>
      <c r="E547" s="544">
        <f>+DATE(YEAR(E546),MONTH(E546)-1,DAY(E546))</f>
        <v>25569.041666666668</v>
      </c>
      <c r="F547" s="333">
        <f>IF($C$6=$E547,1,IF(MONTH($E547)=1,F548*(1+$F$5),F548))</f>
      </c>
      <c r="G547" s="333">
        <f>F547*$B$8/12</f>
      </c>
      <c r="H547" s="333">
        <f>IF(F547=1,F547*$B$10/MIN(12,'Simulador - 3º Pilar'!$E$88),0)</f>
      </c>
      <c r="I547" s="560">
        <f>(1+$G$5)^(D547/12)*(H547+IF(E547=$N$7,$N$4,0))</f>
      </c>
      <c r="J547" s="561">
        <f>(1+$G$5)^(D547/12)*(H547*(12-IF(MONTH(E548)=12,0,MONTH(E548)))+IF(AND(F547=1,F548=0),$Q$4,0))*IF(AND(F547=1,F548=0),1,0)</f>
      </c>
      <c r="K547" s="217">
        <f>(1+$G$5)^(D547/12)*(IF(E547=$N$7,$N$4,0)+IF(E547=$C$6,$B$10,0))</f>
      </c>
      <c r="L547" s="217">
        <f>(1+$G$5)^(D547/12)*(IF((E547)&gt;($B$6),H547,0)+IF(E547=$N$7,$N$4,0)+IF(E547=$C$6,0,0))</f>
      </c>
      <c r="M547" s="1"/>
      <c r="N547" s="7"/>
      <c r="O547" s="1"/>
      <c r="P547" s="331">
        <v>540</v>
      </c>
      <c r="Q547" s="544">
        <f>+DATE(YEAR(Q546),MONTH(Q546)-1,DAY(Q546))</f>
        <v>25569.041666666668</v>
      </c>
      <c r="R547" s="341">
        <f>IF($Z$7=$E547,1,IF(MONTH($E547)=1,R548*(1+$F$5),R548))</f>
      </c>
      <c r="S547" s="334">
        <f>R547*$B$8/12</f>
      </c>
      <c r="T547" s="334">
        <f>R547*$B$11/12</f>
      </c>
      <c r="U547" s="565">
        <f>(1+$V$5)^(P547/12)*(T547+IF(Q547=$Z$7,$Z$4,0))</f>
      </c>
      <c r="V547" s="170"/>
      <c r="W547" s="7"/>
      <c r="X547" s="1"/>
      <c r="Y547" s="1"/>
      <c r="Z547" s="1"/>
      <c r="AA547" s="1"/>
      <c r="AB547" s="1"/>
      <c r="AC547" s="331">
        <v>540</v>
      </c>
      <c r="AD547" s="544">
        <f>+DATE(YEAR(AD546),MONTH(AD546)-1,DAY(AD546))</f>
        <v>25569.041666666668</v>
      </c>
      <c r="AE547" s="341">
        <f>IF($AM$7=$E547,1,IF(MONTH($E547)=1,AE548*(1+$F$5),AE548))</f>
      </c>
      <c r="AF547" s="334">
        <f>AE547*$B$8/12</f>
      </c>
      <c r="AG547" s="334">
        <f>AE547*$B$12/12</f>
      </c>
      <c r="AH547" s="565">
        <f>(1+$AI$5)^(AC547/12)*(AG547+IF(AD547=$AM$7,$AM$4,0))</f>
      </c>
      <c r="AI547" s="170"/>
      <c r="AJ547" s="7"/>
      <c r="AK547" s="1"/>
      <c r="AL547" s="1"/>
      <c r="AM547" s="1"/>
    </row>
    <row x14ac:dyDescent="0.25" r="548" customHeight="1" ht="18.75">
      <c r="A548" s="1"/>
      <c r="B548" s="169"/>
      <c r="C548" s="170"/>
      <c r="D548" s="331">
        <v>541</v>
      </c>
      <c r="E548" s="544">
        <f>+DATE(YEAR(E547),MONTH(E547)-1,DAY(E547))</f>
        <v>25569.041666666668</v>
      </c>
      <c r="F548" s="333">
        <f>IF($C$6=$E548,1,IF(MONTH($E548)=1,F549*(1+$F$5),F549))</f>
      </c>
      <c r="G548" s="333">
        <f>F548*$B$8/12</f>
      </c>
      <c r="H548" s="333">
        <f>IF(F548=1,F548*$B$10/MIN(12,'Simulador - 3º Pilar'!$E$88),0)</f>
      </c>
      <c r="I548" s="560">
        <f>(1+$G$5)^(D548/12)*(H548+IF(E548=$N$7,$N$4,0))</f>
      </c>
      <c r="J548" s="561">
        <f>(1+$G$5)^(D548/12)*(H548*(12-IF(MONTH(E549)=12,0,MONTH(E549)))+IF(AND(F548=1,F549=0),$Q$4,0))*IF(AND(F548=1,F549=0),1,0)</f>
      </c>
      <c r="K548" s="217">
        <f>(1+$G$5)^(D548/12)*(IF(E548=$N$7,$N$4,0)+IF(E548=$C$6,$B$10,0))</f>
      </c>
      <c r="L548" s="217">
        <f>(1+$G$5)^(D548/12)*(IF((E548)&gt;($B$6),H548,0)+IF(E548=$N$7,$N$4,0)+IF(E548=$C$6,0,0))</f>
      </c>
      <c r="M548" s="1"/>
      <c r="N548" s="7"/>
      <c r="O548" s="1"/>
      <c r="P548" s="331">
        <v>541</v>
      </c>
      <c r="Q548" s="544">
        <f>+DATE(YEAR(Q547),MONTH(Q547)-1,DAY(Q547))</f>
        <v>25569.041666666668</v>
      </c>
      <c r="R548" s="341">
        <f>IF($Z$7=$E548,1,IF(MONTH($E548)=1,R549*(1+$F$5),R549))</f>
      </c>
      <c r="S548" s="334">
        <f>R548*$B$8/12</f>
      </c>
      <c r="T548" s="334">
        <f>R548*$B$11/12</f>
      </c>
      <c r="U548" s="565">
        <f>(1+$V$5)^(P548/12)*(T548+IF(Q548=$Z$7,$Z$4,0))</f>
      </c>
      <c r="V548" s="170"/>
      <c r="W548" s="7"/>
      <c r="X548" s="1"/>
      <c r="Y548" s="1"/>
      <c r="Z548" s="1"/>
      <c r="AA548" s="1"/>
      <c r="AB548" s="1"/>
      <c r="AC548" s="331">
        <v>541</v>
      </c>
      <c r="AD548" s="544">
        <f>+DATE(YEAR(AD547),MONTH(AD547)-1,DAY(AD547))</f>
        <v>25569.041666666668</v>
      </c>
      <c r="AE548" s="341">
        <f>IF($AM$7=$E548,1,IF(MONTH($E548)=1,AE549*(1+$F$5),AE549))</f>
      </c>
      <c r="AF548" s="334">
        <f>AE548*$B$8/12</f>
      </c>
      <c r="AG548" s="334">
        <f>AE548*$B$12/12</f>
      </c>
      <c r="AH548" s="565">
        <f>(1+$AI$5)^(AC548/12)*(AG548+IF(AD548=$AM$7,$AM$4,0))</f>
      </c>
      <c r="AI548" s="170"/>
      <c r="AJ548" s="7"/>
      <c r="AK548" s="1"/>
      <c r="AL548" s="1"/>
      <c r="AM548" s="1"/>
    </row>
    <row x14ac:dyDescent="0.25" r="549" customHeight="1" ht="18.75">
      <c r="A549" s="1"/>
      <c r="B549" s="169"/>
      <c r="C549" s="170"/>
      <c r="D549" s="331">
        <v>542</v>
      </c>
      <c r="E549" s="544">
        <f>+DATE(YEAR(E548),MONTH(E548)-1,DAY(E548))</f>
        <v>25569.041666666668</v>
      </c>
      <c r="F549" s="333">
        <f>IF($C$6=$E549,1,IF(MONTH($E549)=1,F550*(1+$F$5),F550))</f>
      </c>
      <c r="G549" s="333">
        <f>F549*$B$8/12</f>
      </c>
      <c r="H549" s="333">
        <f>IF(F549=1,F549*$B$10/MIN(12,'Simulador - 3º Pilar'!$E$88),0)</f>
      </c>
      <c r="I549" s="560">
        <f>(1+$G$5)^(D549/12)*(H549+IF(E549=$N$7,$N$4,0))</f>
      </c>
      <c r="J549" s="561">
        <f>(1+$G$5)^(D549/12)*(H549*(12-IF(MONTH(E550)=12,0,MONTH(E550)))+IF(AND(F549=1,F550=0),$Q$4,0))*IF(AND(F549=1,F550=0),1,0)</f>
      </c>
      <c r="K549" s="217">
        <f>(1+$G$5)^(D549/12)*(IF(E549=$N$7,$N$4,0)+IF(E549=$C$6,$B$10,0))</f>
      </c>
      <c r="L549" s="217">
        <f>(1+$G$5)^(D549/12)*(IF((E549)&gt;($B$6),H549,0)+IF(E549=$N$7,$N$4,0)+IF(E549=$C$6,0,0))</f>
      </c>
      <c r="M549" s="1"/>
      <c r="N549" s="7"/>
      <c r="O549" s="1"/>
      <c r="P549" s="331">
        <v>542</v>
      </c>
      <c r="Q549" s="544">
        <f>+DATE(YEAR(Q548),MONTH(Q548)-1,DAY(Q548))</f>
        <v>25569.041666666668</v>
      </c>
      <c r="R549" s="341">
        <f>IF($Z$7=$E549,1,IF(MONTH($E549)=1,R550*(1+$F$5),R550))</f>
      </c>
      <c r="S549" s="334">
        <f>R549*$B$8/12</f>
      </c>
      <c r="T549" s="334">
        <f>R549*$B$11/12</f>
      </c>
      <c r="U549" s="565">
        <f>(1+$V$5)^(P549/12)*(T549+IF(Q549=$Z$7,$Z$4,0))</f>
      </c>
      <c r="V549" s="170"/>
      <c r="W549" s="7"/>
      <c r="X549" s="1"/>
      <c r="Y549" s="1"/>
      <c r="Z549" s="1"/>
      <c r="AA549" s="1"/>
      <c r="AB549" s="1"/>
      <c r="AC549" s="331">
        <v>542</v>
      </c>
      <c r="AD549" s="544">
        <f>+DATE(YEAR(AD548),MONTH(AD548)-1,DAY(AD548))</f>
        <v>25569.041666666668</v>
      </c>
      <c r="AE549" s="341">
        <f>IF($AM$7=$E549,1,IF(MONTH($E549)=1,AE550*(1+$F$5),AE550))</f>
      </c>
      <c r="AF549" s="334">
        <f>AE549*$B$8/12</f>
      </c>
      <c r="AG549" s="334">
        <f>AE549*$B$12/12</f>
      </c>
      <c r="AH549" s="565">
        <f>(1+$AI$5)^(AC549/12)*(AG549+IF(AD549=$AM$7,$AM$4,0))</f>
      </c>
      <c r="AI549" s="170"/>
      <c r="AJ549" s="7"/>
      <c r="AK549" s="1"/>
      <c r="AL549" s="1"/>
      <c r="AM549" s="1"/>
    </row>
    <row x14ac:dyDescent="0.25" r="550" customHeight="1" ht="18.75">
      <c r="A550" s="1"/>
      <c r="B550" s="169"/>
      <c r="C550" s="170"/>
      <c r="D550" s="331">
        <v>543</v>
      </c>
      <c r="E550" s="544">
        <f>+DATE(YEAR(E549),MONTH(E549)-1,DAY(E549))</f>
        <v>25569.041666666668</v>
      </c>
      <c r="F550" s="333">
        <f>IF($C$6=$E550,1,IF(MONTH($E550)=1,F551*(1+$F$5),F551))</f>
      </c>
      <c r="G550" s="333">
        <f>F550*$B$8/12</f>
      </c>
      <c r="H550" s="333">
        <f>IF(F550=1,F550*$B$10/MIN(12,'Simulador - 3º Pilar'!$E$88),0)</f>
      </c>
      <c r="I550" s="560">
        <f>(1+$G$5)^(D550/12)*(H550+IF(E550=$N$7,$N$4,0))</f>
      </c>
      <c r="J550" s="561">
        <f>(1+$G$5)^(D550/12)*(H550*(12-IF(MONTH(E551)=12,0,MONTH(E551)))+IF(AND(F550=1,F551=0),$Q$4,0))*IF(AND(F550=1,F551=0),1,0)</f>
      </c>
      <c r="K550" s="217">
        <f>(1+$G$5)^(D550/12)*(IF(E550=$N$7,$N$4,0)+IF(E550=$C$6,$B$10,0))</f>
      </c>
      <c r="L550" s="217">
        <f>(1+$G$5)^(D550/12)*(IF((E550)&gt;($B$6),H550,0)+IF(E550=$N$7,$N$4,0)+IF(E550=$C$6,0,0))</f>
      </c>
      <c r="M550" s="1"/>
      <c r="N550" s="7"/>
      <c r="O550" s="1"/>
      <c r="P550" s="331">
        <v>543</v>
      </c>
      <c r="Q550" s="544">
        <f>+DATE(YEAR(Q549),MONTH(Q549)-1,DAY(Q549))</f>
        <v>25569.041666666668</v>
      </c>
      <c r="R550" s="341">
        <f>IF($Z$7=$E550,1,IF(MONTH($E550)=1,R551*(1+$F$5),R551))</f>
      </c>
      <c r="S550" s="334">
        <f>R550*$B$8/12</f>
      </c>
      <c r="T550" s="334">
        <f>R550*$B$11/12</f>
      </c>
      <c r="U550" s="565">
        <f>(1+$V$5)^(P550/12)*(T550+IF(Q550=$Z$7,$Z$4,0))</f>
      </c>
      <c r="V550" s="170"/>
      <c r="W550" s="7"/>
      <c r="X550" s="1"/>
      <c r="Y550" s="1"/>
      <c r="Z550" s="1"/>
      <c r="AA550" s="1"/>
      <c r="AB550" s="1"/>
      <c r="AC550" s="331">
        <v>543</v>
      </c>
      <c r="AD550" s="544">
        <f>+DATE(YEAR(AD549),MONTH(AD549)-1,DAY(AD549))</f>
        <v>25569.041666666668</v>
      </c>
      <c r="AE550" s="341">
        <f>IF($AM$7=$E550,1,IF(MONTH($E550)=1,AE551*(1+$F$5),AE551))</f>
      </c>
      <c r="AF550" s="334">
        <f>AE550*$B$8/12</f>
      </c>
      <c r="AG550" s="334">
        <f>AE550*$B$12/12</f>
      </c>
      <c r="AH550" s="565">
        <f>(1+$AI$5)^(AC550/12)*(AG550+IF(AD550=$AM$7,$AM$4,0))</f>
      </c>
      <c r="AI550" s="170"/>
      <c r="AJ550" s="7"/>
      <c r="AK550" s="1"/>
      <c r="AL550" s="1"/>
      <c r="AM550" s="1"/>
    </row>
    <row x14ac:dyDescent="0.25" r="551" customHeight="1" ht="18.75">
      <c r="A551" s="1"/>
      <c r="B551" s="169"/>
      <c r="C551" s="170"/>
      <c r="D551" s="331">
        <v>544</v>
      </c>
      <c r="E551" s="544">
        <f>+DATE(YEAR(E550),MONTH(E550)-1,DAY(E550))</f>
        <v>25569.041666666668</v>
      </c>
      <c r="F551" s="333">
        <f>IF($C$6=$E551,1,IF(MONTH($E551)=1,F552*(1+$F$5),F552))</f>
      </c>
      <c r="G551" s="333">
        <f>F551*$B$8/12</f>
      </c>
      <c r="H551" s="333">
        <f>IF(F551=1,F551*$B$10/MIN(12,'Simulador - 3º Pilar'!$E$88),0)</f>
      </c>
      <c r="I551" s="560">
        <f>(1+$G$5)^(D551/12)*(H551+IF(E551=$N$7,$N$4,0))</f>
      </c>
      <c r="J551" s="561">
        <f>(1+$G$5)^(D551/12)*(H551*(12-IF(MONTH(E552)=12,0,MONTH(E552)))+IF(AND(F551=1,F552=0),$Q$4,0))*IF(AND(F551=1,F552=0),1,0)</f>
      </c>
      <c r="K551" s="217">
        <f>(1+$G$5)^(D551/12)*(IF(E551=$N$7,$N$4,0)+IF(E551=$C$6,$B$10,0))</f>
      </c>
      <c r="L551" s="217">
        <f>(1+$G$5)^(D551/12)*(IF((E551)&gt;($B$6),H551,0)+IF(E551=$N$7,$N$4,0)+IF(E551=$C$6,0,0))</f>
      </c>
      <c r="M551" s="1"/>
      <c r="N551" s="7"/>
      <c r="O551" s="1"/>
      <c r="P551" s="331">
        <v>544</v>
      </c>
      <c r="Q551" s="544">
        <f>+DATE(YEAR(Q550),MONTH(Q550)-1,DAY(Q550))</f>
        <v>25569.041666666668</v>
      </c>
      <c r="R551" s="341">
        <f>IF($Z$7=$E551,1,IF(MONTH($E551)=1,R552*(1+$F$5),R552))</f>
      </c>
      <c r="S551" s="334">
        <f>R551*$B$8/12</f>
      </c>
      <c r="T551" s="334">
        <f>R551*$B$11/12</f>
      </c>
      <c r="U551" s="565">
        <f>(1+$V$5)^(P551/12)*(T551+IF(Q551=$Z$7,$Z$4,0))</f>
      </c>
      <c r="V551" s="170"/>
      <c r="W551" s="7"/>
      <c r="X551" s="1"/>
      <c r="Y551" s="1"/>
      <c r="Z551" s="1"/>
      <c r="AA551" s="1"/>
      <c r="AB551" s="1"/>
      <c r="AC551" s="331">
        <v>544</v>
      </c>
      <c r="AD551" s="544">
        <f>+DATE(YEAR(AD550),MONTH(AD550)-1,DAY(AD550))</f>
        <v>25569.041666666668</v>
      </c>
      <c r="AE551" s="341">
        <f>IF($AM$7=$E551,1,IF(MONTH($E551)=1,AE552*(1+$F$5),AE552))</f>
      </c>
      <c r="AF551" s="334">
        <f>AE551*$B$8/12</f>
      </c>
      <c r="AG551" s="334">
        <f>AE551*$B$12/12</f>
      </c>
      <c r="AH551" s="565">
        <f>(1+$AI$5)^(AC551/12)*(AG551+IF(AD551=$AM$7,$AM$4,0))</f>
      </c>
      <c r="AI551" s="170"/>
      <c r="AJ551" s="7"/>
      <c r="AK551" s="1"/>
      <c r="AL551" s="1"/>
      <c r="AM551" s="1"/>
    </row>
    <row x14ac:dyDescent="0.25" r="552" customHeight="1" ht="18.75">
      <c r="A552" s="1"/>
      <c r="B552" s="169"/>
      <c r="C552" s="170"/>
      <c r="D552" s="331">
        <v>545</v>
      </c>
      <c r="E552" s="544">
        <f>+DATE(YEAR(E551),MONTH(E551)-1,DAY(E551))</f>
        <v>25569.041666666668</v>
      </c>
      <c r="F552" s="333">
        <f>IF($C$6=$E552,1,IF(MONTH($E552)=1,F553*(1+$F$5),F553))</f>
      </c>
      <c r="G552" s="333">
        <f>F552*$B$8/12</f>
      </c>
      <c r="H552" s="333">
        <f>IF(F552=1,F552*$B$10/MIN(12,'Simulador - 3º Pilar'!$E$88),0)</f>
      </c>
      <c r="I552" s="560">
        <f>(1+$G$5)^(D552/12)*(H552+IF(E552=$N$7,$N$4,0))</f>
      </c>
      <c r="J552" s="561">
        <f>(1+$G$5)^(D552/12)*(H552*(12-IF(MONTH(E553)=12,0,MONTH(E553)))+IF(AND(F552=1,F553=0),$Q$4,0))*IF(AND(F552=1,F553=0),1,0)</f>
      </c>
      <c r="K552" s="217">
        <f>(1+$G$5)^(D552/12)*(IF(E552=$N$7,$N$4,0)+IF(E552=$C$6,$B$10,0))</f>
      </c>
      <c r="L552" s="217">
        <f>(1+$G$5)^(D552/12)*(IF((E552)&gt;($B$6),H552,0)+IF(E552=$N$7,$N$4,0)+IF(E552=$C$6,0,0))</f>
      </c>
      <c r="M552" s="1"/>
      <c r="N552" s="7"/>
      <c r="O552" s="1"/>
      <c r="P552" s="331">
        <v>545</v>
      </c>
      <c r="Q552" s="544">
        <f>+DATE(YEAR(Q551),MONTH(Q551)-1,DAY(Q551))</f>
        <v>25569.041666666668</v>
      </c>
      <c r="R552" s="341">
        <f>IF($Z$7=$E552,1,IF(MONTH($E552)=1,R553*(1+$F$5),R553))</f>
      </c>
      <c r="S552" s="334">
        <f>R552*$B$8/12</f>
      </c>
      <c r="T552" s="334">
        <f>R552*$B$11/12</f>
      </c>
      <c r="U552" s="565">
        <f>(1+$V$5)^(P552/12)*(T552+IF(Q552=$Z$7,$Z$4,0))</f>
      </c>
      <c r="V552" s="170"/>
      <c r="W552" s="7"/>
      <c r="X552" s="1"/>
      <c r="Y552" s="1"/>
      <c r="Z552" s="1"/>
      <c r="AA552" s="1"/>
      <c r="AB552" s="1"/>
      <c r="AC552" s="331">
        <v>545</v>
      </c>
      <c r="AD552" s="544">
        <f>+DATE(YEAR(AD551),MONTH(AD551)-1,DAY(AD551))</f>
        <v>25569.041666666668</v>
      </c>
      <c r="AE552" s="341">
        <f>IF($AM$7=$E552,1,IF(MONTH($E552)=1,AE553*(1+$F$5),AE553))</f>
      </c>
      <c r="AF552" s="334">
        <f>AE552*$B$8/12</f>
      </c>
      <c r="AG552" s="334">
        <f>AE552*$B$12/12</f>
      </c>
      <c r="AH552" s="565">
        <f>(1+$AI$5)^(AC552/12)*(AG552+IF(AD552=$AM$7,$AM$4,0))</f>
      </c>
      <c r="AI552" s="170"/>
      <c r="AJ552" s="7"/>
      <c r="AK552" s="1"/>
      <c r="AL552" s="1"/>
      <c r="AM552" s="1"/>
    </row>
    <row x14ac:dyDescent="0.25" r="553" customHeight="1" ht="18.75">
      <c r="A553" s="1"/>
      <c r="B553" s="169"/>
      <c r="C553" s="170"/>
      <c r="D553" s="331">
        <v>546</v>
      </c>
      <c r="E553" s="544">
        <f>+DATE(YEAR(E552),MONTH(E552)-1,DAY(E552))</f>
        <v>25569.041666666668</v>
      </c>
      <c r="F553" s="333">
        <f>IF($C$6=$E553,1,IF(MONTH($E553)=1,F554*(1+$F$5),F554))</f>
      </c>
      <c r="G553" s="333">
        <f>F553*$B$8/12</f>
      </c>
      <c r="H553" s="333">
        <f>IF(F553=1,F553*$B$10/MIN(12,'Simulador - 3º Pilar'!$E$88),0)</f>
      </c>
      <c r="I553" s="560">
        <f>(1+$G$5)^(D553/12)*(H553+IF(E553=$N$7,$N$4,0))</f>
      </c>
      <c r="J553" s="561">
        <f>(1+$G$5)^(D553/12)*(H553*(12-IF(MONTH(E554)=12,0,MONTH(E554)))+IF(AND(F553=1,F554=0),$Q$4,0))*IF(AND(F553=1,F554=0),1,0)</f>
      </c>
      <c r="K553" s="217">
        <f>(1+$G$5)^(D553/12)*(IF(E553=$N$7,$N$4,0)+IF(E553=$C$6,$B$10,0))</f>
      </c>
      <c r="L553" s="217">
        <f>(1+$G$5)^(D553/12)*(IF((E553)&gt;($B$6),H553,0)+IF(E553=$N$7,$N$4,0)+IF(E553=$C$6,0,0))</f>
      </c>
      <c r="M553" s="1"/>
      <c r="N553" s="7"/>
      <c r="O553" s="1"/>
      <c r="P553" s="331">
        <v>546</v>
      </c>
      <c r="Q553" s="544">
        <f>+DATE(YEAR(Q552),MONTH(Q552)-1,DAY(Q552))</f>
        <v>25569.041666666668</v>
      </c>
      <c r="R553" s="341">
        <f>IF($Z$7=$E553,1,IF(MONTH($E553)=1,R554*(1+$F$5),R554))</f>
      </c>
      <c r="S553" s="334">
        <f>R553*$B$8/12</f>
      </c>
      <c r="T553" s="334">
        <f>R553*$B$11/12</f>
      </c>
      <c r="U553" s="565">
        <f>(1+$V$5)^(P553/12)*(T553+IF(Q553=$Z$7,$Z$4,0))</f>
      </c>
      <c r="V553" s="170"/>
      <c r="W553" s="7"/>
      <c r="X553" s="1"/>
      <c r="Y553" s="1"/>
      <c r="Z553" s="1"/>
      <c r="AA553" s="1"/>
      <c r="AB553" s="1"/>
      <c r="AC553" s="331">
        <v>546</v>
      </c>
      <c r="AD553" s="544">
        <f>+DATE(YEAR(AD552),MONTH(AD552)-1,DAY(AD552))</f>
        <v>25569.041666666668</v>
      </c>
      <c r="AE553" s="341">
        <f>IF($AM$7=$E553,1,IF(MONTH($E553)=1,AE554*(1+$F$5),AE554))</f>
      </c>
      <c r="AF553" s="334">
        <f>AE553*$B$8/12</f>
      </c>
      <c r="AG553" s="334">
        <f>AE553*$B$12/12</f>
      </c>
      <c r="AH553" s="565">
        <f>(1+$AI$5)^(AC553/12)*(AG553+IF(AD553=$AM$7,$AM$4,0))</f>
      </c>
      <c r="AI553" s="170"/>
      <c r="AJ553" s="7"/>
      <c r="AK553" s="1"/>
      <c r="AL553" s="1"/>
      <c r="AM553" s="1"/>
    </row>
    <row x14ac:dyDescent="0.25" r="554" customHeight="1" ht="18.75">
      <c r="A554" s="1"/>
      <c r="B554" s="169"/>
      <c r="C554" s="170"/>
      <c r="D554" s="331">
        <v>547</v>
      </c>
      <c r="E554" s="544">
        <f>+DATE(YEAR(E553),MONTH(E553)-1,DAY(E553))</f>
        <v>25569.041666666668</v>
      </c>
      <c r="F554" s="333">
        <f>IF($C$6=$E554,1,IF(MONTH($E554)=1,F555*(1+$F$5),F555))</f>
      </c>
      <c r="G554" s="333">
        <f>F554*$B$8/12</f>
      </c>
      <c r="H554" s="333">
        <f>IF(F554=1,F554*$B$10/MIN(12,'Simulador - 3º Pilar'!$E$88),0)</f>
      </c>
      <c r="I554" s="560">
        <f>(1+$G$5)^(D554/12)*(H554+IF(E554=$N$7,$N$4,0))</f>
      </c>
      <c r="J554" s="561">
        <f>(1+$G$5)^(D554/12)*(H554*(12-IF(MONTH(E555)=12,0,MONTH(E555)))+IF(AND(F554=1,F555=0),$Q$4,0))*IF(AND(F554=1,F555=0),1,0)</f>
      </c>
      <c r="K554" s="217">
        <f>(1+$G$5)^(D554/12)*(IF(E554=$N$7,$N$4,0)+IF(E554=$C$6,$B$10,0))</f>
      </c>
      <c r="L554" s="217">
        <f>(1+$G$5)^(D554/12)*(IF((E554)&gt;($B$6),H554,0)+IF(E554=$N$7,$N$4,0)+IF(E554=$C$6,0,0))</f>
      </c>
      <c r="M554" s="1"/>
      <c r="N554" s="7"/>
      <c r="O554" s="1"/>
      <c r="P554" s="331">
        <v>547</v>
      </c>
      <c r="Q554" s="544">
        <f>+DATE(YEAR(Q553),MONTH(Q553)-1,DAY(Q553))</f>
        <v>25569.041666666668</v>
      </c>
      <c r="R554" s="341">
        <f>IF($Z$7=$E554,1,IF(MONTH($E554)=1,R555*(1+$F$5),R555))</f>
      </c>
      <c r="S554" s="334">
        <f>R554*$B$8/12</f>
      </c>
      <c r="T554" s="334">
        <f>R554*$B$11/12</f>
      </c>
      <c r="U554" s="565">
        <f>(1+$V$5)^(P554/12)*(T554+IF(Q554=$Z$7,$Z$4,0))</f>
      </c>
      <c r="V554" s="170"/>
      <c r="W554" s="7"/>
      <c r="X554" s="1"/>
      <c r="Y554" s="1"/>
      <c r="Z554" s="1"/>
      <c r="AA554" s="1"/>
      <c r="AB554" s="1"/>
      <c r="AC554" s="331">
        <v>547</v>
      </c>
      <c r="AD554" s="544">
        <f>+DATE(YEAR(AD553),MONTH(AD553)-1,DAY(AD553))</f>
        <v>25569.041666666668</v>
      </c>
      <c r="AE554" s="341">
        <f>IF($AM$7=$E554,1,IF(MONTH($E554)=1,AE555*(1+$F$5),AE555))</f>
      </c>
      <c r="AF554" s="334">
        <f>AE554*$B$8/12</f>
      </c>
      <c r="AG554" s="334">
        <f>AE554*$B$12/12</f>
      </c>
      <c r="AH554" s="565">
        <f>(1+$AI$5)^(AC554/12)*(AG554+IF(AD554=$AM$7,$AM$4,0))</f>
      </c>
      <c r="AI554" s="170"/>
      <c r="AJ554" s="7"/>
      <c r="AK554" s="1"/>
      <c r="AL554" s="1"/>
      <c r="AM554" s="1"/>
    </row>
    <row x14ac:dyDescent="0.25" r="555" customHeight="1" ht="18.75">
      <c r="A555" s="1"/>
      <c r="B555" s="169"/>
      <c r="C555" s="170"/>
      <c r="D555" s="331">
        <v>548</v>
      </c>
      <c r="E555" s="544">
        <f>+DATE(YEAR(E554),MONTH(E554)-1,DAY(E554))</f>
        <v>25569.041666666668</v>
      </c>
      <c r="F555" s="333">
        <f>IF($C$6=$E555,1,IF(MONTH($E555)=1,F556*(1+$F$5),F556))</f>
      </c>
      <c r="G555" s="333">
        <f>F555*$B$8/12</f>
      </c>
      <c r="H555" s="333">
        <f>IF(F555=1,F555*$B$10/MIN(12,'Simulador - 3º Pilar'!$E$88),0)</f>
      </c>
      <c r="I555" s="560">
        <f>(1+$G$5)^(D555/12)*(H555+IF(E555=$N$7,$N$4,0))</f>
      </c>
      <c r="J555" s="561">
        <f>(1+$G$5)^(D555/12)*(H555*(12-IF(MONTH(E556)=12,0,MONTH(E556)))+IF(AND(F555=1,F556=0),$Q$4,0))*IF(AND(F555=1,F556=0),1,0)</f>
      </c>
      <c r="K555" s="217">
        <f>(1+$G$5)^(D555/12)*(IF(E555=$N$7,$N$4,0)+IF(E555=$C$6,$B$10,0))</f>
      </c>
      <c r="L555" s="217">
        <f>(1+$G$5)^(D555/12)*(IF((E555)&gt;($B$6),H555,0)+IF(E555=$N$7,$N$4,0)+IF(E555=$C$6,0,0))</f>
      </c>
      <c r="M555" s="1"/>
      <c r="N555" s="7"/>
      <c r="O555" s="1"/>
      <c r="P555" s="331">
        <v>548</v>
      </c>
      <c r="Q555" s="544">
        <f>+DATE(YEAR(Q554),MONTH(Q554)-1,DAY(Q554))</f>
        <v>25569.041666666668</v>
      </c>
      <c r="R555" s="341">
        <f>IF($Z$7=$E555,1,IF(MONTH($E555)=1,R556*(1+$F$5),R556))</f>
      </c>
      <c r="S555" s="334">
        <f>R555*$B$8/12</f>
      </c>
      <c r="T555" s="334">
        <f>R555*$B$11/12</f>
      </c>
      <c r="U555" s="565">
        <f>(1+$V$5)^(P555/12)*(T555+IF(Q555=$Z$7,$Z$4,0))</f>
      </c>
      <c r="V555" s="170"/>
      <c r="W555" s="7"/>
      <c r="X555" s="1"/>
      <c r="Y555" s="1"/>
      <c r="Z555" s="1"/>
      <c r="AA555" s="1"/>
      <c r="AB555" s="1"/>
      <c r="AC555" s="331">
        <v>548</v>
      </c>
      <c r="AD555" s="544">
        <f>+DATE(YEAR(AD554),MONTH(AD554)-1,DAY(AD554))</f>
        <v>25569.041666666668</v>
      </c>
      <c r="AE555" s="341">
        <f>IF($AM$7=$E555,1,IF(MONTH($E555)=1,AE556*(1+$F$5),AE556))</f>
      </c>
      <c r="AF555" s="334">
        <f>AE555*$B$8/12</f>
      </c>
      <c r="AG555" s="334">
        <f>AE555*$B$12/12</f>
      </c>
      <c r="AH555" s="565">
        <f>(1+$AI$5)^(AC555/12)*(AG555+IF(AD555=$AM$7,$AM$4,0))</f>
      </c>
      <c r="AI555" s="170"/>
      <c r="AJ555" s="7"/>
      <c r="AK555" s="1"/>
      <c r="AL555" s="1"/>
      <c r="AM555" s="1"/>
    </row>
    <row x14ac:dyDescent="0.25" r="556" customHeight="1" ht="18.75">
      <c r="A556" s="1"/>
      <c r="B556" s="169"/>
      <c r="C556" s="170"/>
      <c r="D556" s="331">
        <v>549</v>
      </c>
      <c r="E556" s="544">
        <f>+DATE(YEAR(E555),MONTH(E555)-1,DAY(E555))</f>
        <v>25569.041666666668</v>
      </c>
      <c r="F556" s="333">
        <f>IF($C$6=$E556,1,IF(MONTH($E556)=1,F557*(1+$F$5),F557))</f>
      </c>
      <c r="G556" s="333">
        <f>F556*$B$8/12</f>
      </c>
      <c r="H556" s="333">
        <f>IF(F556=1,F556*$B$10/MIN(12,'Simulador - 3º Pilar'!$E$88),0)</f>
      </c>
      <c r="I556" s="560">
        <f>(1+$G$5)^(D556/12)*(H556+IF(E556=$N$7,$N$4,0))</f>
      </c>
      <c r="J556" s="561">
        <f>(1+$G$5)^(D556/12)*(H556*(12-IF(MONTH(E557)=12,0,MONTH(E557)))+IF(AND(F556=1,F557=0),$Q$4,0))*IF(AND(F556=1,F557=0),1,0)</f>
      </c>
      <c r="K556" s="217">
        <f>(1+$G$5)^(D556/12)*(IF(E556=$N$7,$N$4,0)+IF(E556=$C$6,$B$10,0))</f>
      </c>
      <c r="L556" s="217">
        <f>(1+$G$5)^(D556/12)*(IF((E556)&gt;($B$6),H556,0)+IF(E556=$N$7,$N$4,0)+IF(E556=$C$6,0,0))</f>
      </c>
      <c r="M556" s="1"/>
      <c r="N556" s="7"/>
      <c r="O556" s="1"/>
      <c r="P556" s="331">
        <v>549</v>
      </c>
      <c r="Q556" s="544">
        <f>+DATE(YEAR(Q555),MONTH(Q555)-1,DAY(Q555))</f>
        <v>25569.041666666668</v>
      </c>
      <c r="R556" s="341">
        <f>IF($Z$7=$E556,1,IF(MONTH($E556)=1,R557*(1+$F$5),R557))</f>
      </c>
      <c r="S556" s="334">
        <f>R556*$B$8/12</f>
      </c>
      <c r="T556" s="334">
        <f>R556*$B$11/12</f>
      </c>
      <c r="U556" s="565">
        <f>(1+$V$5)^(P556/12)*(T556+IF(Q556=$Z$7,$Z$4,0))</f>
      </c>
      <c r="V556" s="170"/>
      <c r="W556" s="7"/>
      <c r="X556" s="1"/>
      <c r="Y556" s="1"/>
      <c r="Z556" s="1"/>
      <c r="AA556" s="1"/>
      <c r="AB556" s="1"/>
      <c r="AC556" s="331">
        <v>549</v>
      </c>
      <c r="AD556" s="544">
        <f>+DATE(YEAR(AD555),MONTH(AD555)-1,DAY(AD555))</f>
        <v>25569.041666666668</v>
      </c>
      <c r="AE556" s="341">
        <f>IF($AM$7=$E556,1,IF(MONTH($E556)=1,AE557*(1+$F$5),AE557))</f>
      </c>
      <c r="AF556" s="334">
        <f>AE556*$B$8/12</f>
      </c>
      <c r="AG556" s="334">
        <f>AE556*$B$12/12</f>
      </c>
      <c r="AH556" s="565">
        <f>(1+$AI$5)^(AC556/12)*(AG556+IF(AD556=$AM$7,$AM$4,0))</f>
      </c>
      <c r="AI556" s="170"/>
      <c r="AJ556" s="7"/>
      <c r="AK556" s="1"/>
      <c r="AL556" s="1"/>
      <c r="AM556" s="1"/>
    </row>
    <row x14ac:dyDescent="0.25" r="557" customHeight="1" ht="18.75">
      <c r="A557" s="1"/>
      <c r="B557" s="169"/>
      <c r="C557" s="170"/>
      <c r="D557" s="331">
        <v>550</v>
      </c>
      <c r="E557" s="544">
        <f>+DATE(YEAR(E556),MONTH(E556)-1,DAY(E556))</f>
        <v>25569.041666666668</v>
      </c>
      <c r="F557" s="333">
        <f>IF($C$6=$E557,1,IF(MONTH($E557)=1,F558*(1+$F$5),F558))</f>
      </c>
      <c r="G557" s="333">
        <f>F557*$B$8/12</f>
      </c>
      <c r="H557" s="333">
        <f>IF(F557=1,F557*$B$10/MIN(12,'Simulador - 3º Pilar'!$E$88),0)</f>
      </c>
      <c r="I557" s="560">
        <f>(1+$G$5)^(D557/12)*(H557+IF(E557=$N$7,$N$4,0))</f>
      </c>
      <c r="J557" s="561">
        <f>(1+$G$5)^(D557/12)*(H557*(12-IF(MONTH(E558)=12,0,MONTH(E558)))+IF(AND(F557=1,F558=0),$Q$4,0))*IF(AND(F557=1,F558=0),1,0)</f>
      </c>
      <c r="K557" s="217">
        <f>(1+$G$5)^(D557/12)*(IF(E557=$N$7,$N$4,0)+IF(E557=$C$6,$B$10,0))</f>
      </c>
      <c r="L557" s="217">
        <f>(1+$G$5)^(D557/12)*(IF((E557)&gt;($B$6),H557,0)+IF(E557=$N$7,$N$4,0)+IF(E557=$C$6,0,0))</f>
      </c>
      <c r="M557" s="1"/>
      <c r="N557" s="7"/>
      <c r="O557" s="1"/>
      <c r="P557" s="331">
        <v>550</v>
      </c>
      <c r="Q557" s="544">
        <f>+DATE(YEAR(Q556),MONTH(Q556)-1,DAY(Q556))</f>
        <v>25569.041666666668</v>
      </c>
      <c r="R557" s="341">
        <f>IF($Z$7=$E557,1,IF(MONTH($E557)=1,R558*(1+$F$5),R558))</f>
      </c>
      <c r="S557" s="334">
        <f>R557*$B$8/12</f>
      </c>
      <c r="T557" s="334">
        <f>R557*$B$11/12</f>
      </c>
      <c r="U557" s="565">
        <f>(1+$V$5)^(P557/12)*(T557+IF(Q557=$Z$7,$Z$4,0))</f>
      </c>
      <c r="V557" s="170"/>
      <c r="W557" s="7"/>
      <c r="X557" s="1"/>
      <c r="Y557" s="1"/>
      <c r="Z557" s="1"/>
      <c r="AA557" s="1"/>
      <c r="AB557" s="1"/>
      <c r="AC557" s="331">
        <v>550</v>
      </c>
      <c r="AD557" s="544">
        <f>+DATE(YEAR(AD556),MONTH(AD556)-1,DAY(AD556))</f>
        <v>25569.041666666668</v>
      </c>
      <c r="AE557" s="341">
        <f>IF($AM$7=$E557,1,IF(MONTH($E557)=1,AE558*(1+$F$5),AE558))</f>
      </c>
      <c r="AF557" s="334">
        <f>AE557*$B$8/12</f>
      </c>
      <c r="AG557" s="334">
        <f>AE557*$B$12/12</f>
      </c>
      <c r="AH557" s="565">
        <f>(1+$AI$5)^(AC557/12)*(AG557+IF(AD557=$AM$7,$AM$4,0))</f>
      </c>
      <c r="AI557" s="170"/>
      <c r="AJ557" s="7"/>
      <c r="AK557" s="1"/>
      <c r="AL557" s="1"/>
      <c r="AM557" s="1"/>
    </row>
    <row x14ac:dyDescent="0.25" r="558" customHeight="1" ht="18.75">
      <c r="A558" s="1"/>
      <c r="B558" s="169"/>
      <c r="C558" s="170"/>
      <c r="D558" s="331">
        <v>551</v>
      </c>
      <c r="E558" s="544">
        <f>+DATE(YEAR(E557),MONTH(E557)-1,DAY(E557))</f>
        <v>25569.041666666668</v>
      </c>
      <c r="F558" s="333">
        <f>IF($C$6=$E558,1,IF(MONTH($E558)=1,F559*(1+$F$5),F559))</f>
      </c>
      <c r="G558" s="333">
        <f>F558*$B$8/12</f>
      </c>
      <c r="H558" s="333">
        <f>IF(F558=1,F558*$B$10/MIN(12,'Simulador - 3º Pilar'!$E$88),0)</f>
      </c>
      <c r="I558" s="560">
        <f>(1+$G$5)^(D558/12)*(H558+IF(E558=$N$7,$N$4,0))</f>
      </c>
      <c r="J558" s="561">
        <f>(1+$G$5)^(D558/12)*(H558*(12-IF(MONTH(E559)=12,0,MONTH(E559)))+IF(AND(F558=1,F559=0),$Q$4,0))*IF(AND(F558=1,F559=0),1,0)</f>
      </c>
      <c r="K558" s="217">
        <f>(1+$G$5)^(D558/12)*(IF(E558=$N$7,$N$4,0)+IF(E558=$C$6,$B$10,0))</f>
      </c>
      <c r="L558" s="217">
        <f>(1+$G$5)^(D558/12)*(IF((E558)&gt;($B$6),H558,0)+IF(E558=$N$7,$N$4,0)+IF(E558=$C$6,0,0))</f>
      </c>
      <c r="M558" s="1"/>
      <c r="N558" s="7"/>
      <c r="O558" s="1"/>
      <c r="P558" s="331">
        <v>551</v>
      </c>
      <c r="Q558" s="544">
        <f>+DATE(YEAR(Q557),MONTH(Q557)-1,DAY(Q557))</f>
        <v>25569.041666666668</v>
      </c>
      <c r="R558" s="341">
        <f>IF($Z$7=$E558,1,IF(MONTH($E558)=1,R559*(1+$F$5),R559))</f>
      </c>
      <c r="S558" s="334">
        <f>R558*$B$8/12</f>
      </c>
      <c r="T558" s="334">
        <f>R558*$B$11/12</f>
      </c>
      <c r="U558" s="565">
        <f>(1+$V$5)^(P558/12)*(T558+IF(Q558=$Z$7,$Z$4,0))</f>
      </c>
      <c r="V558" s="170"/>
      <c r="W558" s="7"/>
      <c r="X558" s="1"/>
      <c r="Y558" s="1"/>
      <c r="Z558" s="1"/>
      <c r="AA558" s="1"/>
      <c r="AB558" s="1"/>
      <c r="AC558" s="331">
        <v>551</v>
      </c>
      <c r="AD558" s="544">
        <f>+DATE(YEAR(AD557),MONTH(AD557)-1,DAY(AD557))</f>
        <v>25569.041666666668</v>
      </c>
      <c r="AE558" s="341">
        <f>IF($AM$7=$E558,1,IF(MONTH($E558)=1,AE559*(1+$F$5),AE559))</f>
      </c>
      <c r="AF558" s="334">
        <f>AE558*$B$8/12</f>
      </c>
      <c r="AG558" s="334">
        <f>AE558*$B$12/12</f>
      </c>
      <c r="AH558" s="565">
        <f>(1+$AI$5)^(AC558/12)*(AG558+IF(AD558=$AM$7,$AM$4,0))</f>
      </c>
      <c r="AI558" s="170"/>
      <c r="AJ558" s="7"/>
      <c r="AK558" s="1"/>
      <c r="AL558" s="1"/>
      <c r="AM558" s="1"/>
    </row>
    <row x14ac:dyDescent="0.25" r="559" customHeight="1" ht="18.75">
      <c r="A559" s="1"/>
      <c r="B559" s="169"/>
      <c r="C559" s="170"/>
      <c r="D559" s="331">
        <v>552</v>
      </c>
      <c r="E559" s="544">
        <f>+DATE(YEAR(E558),MONTH(E558)-1,DAY(E558))</f>
        <v>25569.041666666668</v>
      </c>
      <c r="F559" s="333">
        <f>IF($C$6=$E559,1,IF(MONTH($E559)=1,F560*(1+$F$5),F560))</f>
      </c>
      <c r="G559" s="333">
        <f>F559*$B$8/12</f>
      </c>
      <c r="H559" s="333">
        <f>IF(F559=1,F559*$B$10/MIN(12,'Simulador - 3º Pilar'!$E$88),0)</f>
      </c>
      <c r="I559" s="560">
        <f>(1+$G$5)^(D559/12)*(H559+IF(E559=$N$7,$N$4,0))</f>
      </c>
      <c r="J559" s="561">
        <f>(1+$G$5)^(D559/12)*(H559*(12-IF(MONTH(E560)=12,0,MONTH(E560)))+IF(AND(F559=1,F560=0),$Q$4,0))*IF(AND(F559=1,F560=0),1,0)</f>
      </c>
      <c r="K559" s="217">
        <f>(1+$G$5)^(D559/12)*(IF(E559=$N$7,$N$4,0)+IF(E559=$C$6,$B$10,0))</f>
      </c>
      <c r="L559" s="217">
        <f>(1+$G$5)^(D559/12)*(IF((E559)&gt;($B$6),H559,0)+IF(E559=$N$7,$N$4,0)+IF(E559=$C$6,0,0))</f>
      </c>
      <c r="M559" s="1"/>
      <c r="N559" s="7"/>
      <c r="O559" s="1"/>
      <c r="P559" s="331">
        <v>552</v>
      </c>
      <c r="Q559" s="544">
        <f>+DATE(YEAR(Q558),MONTH(Q558)-1,DAY(Q558))</f>
        <v>25569.041666666668</v>
      </c>
      <c r="R559" s="341">
        <f>IF($Z$7=$E559,1,IF(MONTH($E559)=1,R560*(1+$F$5),R560))</f>
      </c>
      <c r="S559" s="334">
        <f>R559*$B$8/12</f>
      </c>
      <c r="T559" s="334">
        <f>R559*$B$11/12</f>
      </c>
      <c r="U559" s="565">
        <f>(1+$V$5)^(P559/12)*(T559+IF(Q559=$Z$7,$Z$4,0))</f>
      </c>
      <c r="V559" s="170"/>
      <c r="W559" s="7"/>
      <c r="X559" s="1"/>
      <c r="Y559" s="1"/>
      <c r="Z559" s="1"/>
      <c r="AA559" s="1"/>
      <c r="AB559" s="1"/>
      <c r="AC559" s="331">
        <v>552</v>
      </c>
      <c r="AD559" s="544">
        <f>+DATE(YEAR(AD558),MONTH(AD558)-1,DAY(AD558))</f>
        <v>25569.041666666668</v>
      </c>
      <c r="AE559" s="341">
        <f>IF($AM$7=$E559,1,IF(MONTH($E559)=1,AE560*(1+$F$5),AE560))</f>
      </c>
      <c r="AF559" s="334">
        <f>AE559*$B$8/12</f>
      </c>
      <c r="AG559" s="334">
        <f>AE559*$B$12/12</f>
      </c>
      <c r="AH559" s="565">
        <f>(1+$AI$5)^(AC559/12)*(AG559+IF(AD559=$AM$7,$AM$4,0))</f>
      </c>
      <c r="AI559" s="170"/>
      <c r="AJ559" s="7"/>
      <c r="AK559" s="1"/>
      <c r="AL559" s="1"/>
      <c r="AM559" s="1"/>
    </row>
    <row x14ac:dyDescent="0.25" r="560" customHeight="1" ht="18.75">
      <c r="A560" s="1"/>
      <c r="B560" s="169"/>
      <c r="C560" s="170"/>
      <c r="D560" s="331">
        <v>553</v>
      </c>
      <c r="E560" s="544">
        <f>+DATE(YEAR(E559),MONTH(E559)-1,DAY(E559))</f>
        <v>25569.041666666668</v>
      </c>
      <c r="F560" s="333">
        <f>IF($C$6=$E560,1,IF(MONTH($E560)=1,F561*(1+$F$5),F561))</f>
      </c>
      <c r="G560" s="333">
        <f>F560*$B$8/12</f>
      </c>
      <c r="H560" s="333">
        <f>IF(F560=1,F560*$B$10/MIN(12,'Simulador - 3º Pilar'!$E$88),0)</f>
      </c>
      <c r="I560" s="560">
        <f>(1+$G$5)^(D560/12)*(H560+IF(E560=$N$7,$N$4,0))</f>
      </c>
      <c r="J560" s="561">
        <f>(1+$G$5)^(D560/12)*(H560*(12-IF(MONTH(E561)=12,0,MONTH(E561)))+IF(AND(F560=1,F561=0),$Q$4,0))*IF(AND(F560=1,F561=0),1,0)</f>
      </c>
      <c r="K560" s="217">
        <f>(1+$G$5)^(D560/12)*(IF(E560=$N$7,$N$4,0)+IF(E560=$C$6,$B$10,0))</f>
      </c>
      <c r="L560" s="217">
        <f>(1+$G$5)^(D560/12)*(IF((E560)&gt;($B$6),H560,0)+IF(E560=$N$7,$N$4,0)+IF(E560=$C$6,0,0))</f>
      </c>
      <c r="M560" s="1"/>
      <c r="N560" s="7"/>
      <c r="O560" s="1"/>
      <c r="P560" s="331">
        <v>553</v>
      </c>
      <c r="Q560" s="544">
        <f>+DATE(YEAR(Q559),MONTH(Q559)-1,DAY(Q559))</f>
        <v>25569.041666666668</v>
      </c>
      <c r="R560" s="341">
        <f>IF($Z$7=$E560,1,IF(MONTH($E560)=1,R561*(1+$F$5),R561))</f>
      </c>
      <c r="S560" s="334">
        <f>R560*$B$8/12</f>
      </c>
      <c r="T560" s="334">
        <f>R560*$B$11/12</f>
      </c>
      <c r="U560" s="565">
        <f>(1+$V$5)^(P560/12)*(T560+IF(Q560=$Z$7,$Z$4,0))</f>
      </c>
      <c r="V560" s="170"/>
      <c r="W560" s="7"/>
      <c r="X560" s="1"/>
      <c r="Y560" s="1"/>
      <c r="Z560" s="1"/>
      <c r="AA560" s="1"/>
      <c r="AB560" s="1"/>
      <c r="AC560" s="331">
        <v>553</v>
      </c>
      <c r="AD560" s="544">
        <f>+DATE(YEAR(AD559),MONTH(AD559)-1,DAY(AD559))</f>
        <v>25569.041666666668</v>
      </c>
      <c r="AE560" s="341">
        <f>IF($AM$7=$E560,1,IF(MONTH($E560)=1,AE561*(1+$F$5),AE561))</f>
      </c>
      <c r="AF560" s="334">
        <f>AE560*$B$8/12</f>
      </c>
      <c r="AG560" s="334">
        <f>AE560*$B$12/12</f>
      </c>
      <c r="AH560" s="565">
        <f>(1+$AI$5)^(AC560/12)*(AG560+IF(AD560=$AM$7,$AM$4,0))</f>
      </c>
      <c r="AI560" s="170"/>
      <c r="AJ560" s="7"/>
      <c r="AK560" s="1"/>
      <c r="AL560" s="1"/>
      <c r="AM560" s="1"/>
    </row>
    <row x14ac:dyDescent="0.25" r="561" customHeight="1" ht="18.75">
      <c r="A561" s="1"/>
      <c r="B561" s="169"/>
      <c r="C561" s="170"/>
      <c r="D561" s="331">
        <v>554</v>
      </c>
      <c r="E561" s="544">
        <f>+DATE(YEAR(E560),MONTH(E560)-1,DAY(E560))</f>
        <v>25569.041666666668</v>
      </c>
      <c r="F561" s="333">
        <f>IF($C$6=$E561,1,IF(MONTH($E561)=1,F562*(1+$F$5),F562))</f>
      </c>
      <c r="G561" s="333">
        <f>F561*$B$8/12</f>
      </c>
      <c r="H561" s="333">
        <f>IF(F561=1,F561*$B$10/MIN(12,'Simulador - 3º Pilar'!$E$88),0)</f>
      </c>
      <c r="I561" s="560">
        <f>(1+$G$5)^(D561/12)*(H561+IF(E561=$N$7,$N$4,0))</f>
      </c>
      <c r="J561" s="561">
        <f>(1+$G$5)^(D561/12)*(H561*(12-IF(MONTH(E562)=12,0,MONTH(E562)))+IF(AND(F561=1,F562=0),$Q$4,0))*IF(AND(F561=1,F562=0),1,0)</f>
      </c>
      <c r="K561" s="217">
        <f>(1+$G$5)^(D561/12)*(IF(E561=$N$7,$N$4,0)+IF(E561=$C$6,$B$10,0))</f>
      </c>
      <c r="L561" s="217">
        <f>(1+$G$5)^(D561/12)*(IF((E561)&gt;($B$6),H561,0)+IF(E561=$N$7,$N$4,0)+IF(E561=$C$6,0,0))</f>
      </c>
      <c r="M561" s="1"/>
      <c r="N561" s="7"/>
      <c r="O561" s="1"/>
      <c r="P561" s="331">
        <v>554</v>
      </c>
      <c r="Q561" s="544">
        <f>+DATE(YEAR(Q560),MONTH(Q560)-1,DAY(Q560))</f>
        <v>25569.041666666668</v>
      </c>
      <c r="R561" s="341">
        <f>IF($Z$7=$E561,1,IF(MONTH($E561)=1,R562*(1+$F$5),R562))</f>
      </c>
      <c r="S561" s="334">
        <f>R561*$B$8/12</f>
      </c>
      <c r="T561" s="334">
        <f>R561*$B$11/12</f>
      </c>
      <c r="U561" s="565">
        <f>(1+$V$5)^(P561/12)*(T561+IF(Q561=$Z$7,$Z$4,0))</f>
      </c>
      <c r="V561" s="170"/>
      <c r="W561" s="7"/>
      <c r="X561" s="1"/>
      <c r="Y561" s="1"/>
      <c r="Z561" s="1"/>
      <c r="AA561" s="1"/>
      <c r="AB561" s="1"/>
      <c r="AC561" s="331">
        <v>554</v>
      </c>
      <c r="AD561" s="544">
        <f>+DATE(YEAR(AD560),MONTH(AD560)-1,DAY(AD560))</f>
        <v>25569.041666666668</v>
      </c>
      <c r="AE561" s="341">
        <f>IF($AM$7=$E561,1,IF(MONTH($E561)=1,AE562*(1+$F$5),AE562))</f>
      </c>
      <c r="AF561" s="334">
        <f>AE561*$B$8/12</f>
      </c>
      <c r="AG561" s="334">
        <f>AE561*$B$12/12</f>
      </c>
      <c r="AH561" s="565">
        <f>(1+$AI$5)^(AC561/12)*(AG561+IF(AD561=$AM$7,$AM$4,0))</f>
      </c>
      <c r="AI561" s="170"/>
      <c r="AJ561" s="7"/>
      <c r="AK561" s="1"/>
      <c r="AL561" s="1"/>
      <c r="AM561" s="1"/>
    </row>
    <row x14ac:dyDescent="0.25" r="562" customHeight="1" ht="18.75">
      <c r="A562" s="1"/>
      <c r="B562" s="169"/>
      <c r="C562" s="170"/>
      <c r="D562" s="331">
        <v>555</v>
      </c>
      <c r="E562" s="544">
        <f>+DATE(YEAR(E561),MONTH(E561)-1,DAY(E561))</f>
        <v>25569.041666666668</v>
      </c>
      <c r="F562" s="333">
        <f>IF($C$6=$E562,1,IF(MONTH($E562)=1,F563*(1+$F$5),F563))</f>
      </c>
      <c r="G562" s="333">
        <f>F562*$B$8/12</f>
      </c>
      <c r="H562" s="333">
        <f>IF(F562=1,F562*$B$10/MIN(12,'Simulador - 3º Pilar'!$E$88),0)</f>
      </c>
      <c r="I562" s="560">
        <f>(1+$G$5)^(D562/12)*(H562+IF(E562=$N$7,$N$4,0))</f>
      </c>
      <c r="J562" s="561">
        <f>(1+$G$5)^(D562/12)*(H562*(12-IF(MONTH(E563)=12,0,MONTH(E563)))+IF(AND(F562=1,F563=0),$Q$4,0))*IF(AND(F562=1,F563=0),1,0)</f>
      </c>
      <c r="K562" s="217">
        <f>(1+$G$5)^(D562/12)*(IF(E562=$N$7,$N$4,0)+IF(E562=$C$6,$B$10,0))</f>
      </c>
      <c r="L562" s="217">
        <f>(1+$G$5)^(D562/12)*(IF((E562)&gt;($B$6),H562,0)+IF(E562=$N$7,$N$4,0)+IF(E562=$C$6,0,0))</f>
      </c>
      <c r="M562" s="1"/>
      <c r="N562" s="7"/>
      <c r="O562" s="1"/>
      <c r="P562" s="331">
        <v>555</v>
      </c>
      <c r="Q562" s="544">
        <f>+DATE(YEAR(Q561),MONTH(Q561)-1,DAY(Q561))</f>
        <v>25569.041666666668</v>
      </c>
      <c r="R562" s="341">
        <f>IF($Z$7=$E562,1,IF(MONTH($E562)=1,R563*(1+$F$5),R563))</f>
      </c>
      <c r="S562" s="334">
        <f>R562*$B$8/12</f>
      </c>
      <c r="T562" s="334">
        <f>R562*$B$11/12</f>
      </c>
      <c r="U562" s="565">
        <f>(1+$V$5)^(P562/12)*(T562+IF(Q562=$Z$7,$Z$4,0))</f>
      </c>
      <c r="V562" s="170"/>
      <c r="W562" s="7"/>
      <c r="X562" s="1"/>
      <c r="Y562" s="1"/>
      <c r="Z562" s="1"/>
      <c r="AA562" s="1"/>
      <c r="AB562" s="1"/>
      <c r="AC562" s="331">
        <v>555</v>
      </c>
      <c r="AD562" s="544">
        <f>+DATE(YEAR(AD561),MONTH(AD561)-1,DAY(AD561))</f>
        <v>25569.041666666668</v>
      </c>
      <c r="AE562" s="341">
        <f>IF($AM$7=$E562,1,IF(MONTH($E562)=1,AE563*(1+$F$5),AE563))</f>
      </c>
      <c r="AF562" s="334">
        <f>AE562*$B$8/12</f>
      </c>
      <c r="AG562" s="334">
        <f>AE562*$B$12/12</f>
      </c>
      <c r="AH562" s="565">
        <f>(1+$AI$5)^(AC562/12)*(AG562+IF(AD562=$AM$7,$AM$4,0))</f>
      </c>
      <c r="AI562" s="170"/>
      <c r="AJ562" s="7"/>
      <c r="AK562" s="1"/>
      <c r="AL562" s="1"/>
      <c r="AM562" s="1"/>
    </row>
    <row x14ac:dyDescent="0.25" r="563" customHeight="1" ht="18.75">
      <c r="A563" s="1"/>
      <c r="B563" s="169"/>
      <c r="C563" s="170"/>
      <c r="D563" s="331">
        <v>556</v>
      </c>
      <c r="E563" s="544">
        <f>+DATE(YEAR(E562),MONTH(E562)-1,DAY(E562))</f>
        <v>25569.041666666668</v>
      </c>
      <c r="F563" s="333">
        <f>IF($C$6=$E563,1,IF(MONTH($E563)=1,F564*(1+$F$5),F564))</f>
      </c>
      <c r="G563" s="333">
        <f>F563*$B$8/12</f>
      </c>
      <c r="H563" s="333">
        <f>IF(F563=1,F563*$B$10/MIN(12,'Simulador - 3º Pilar'!$E$88),0)</f>
      </c>
      <c r="I563" s="560">
        <f>(1+$G$5)^(D563/12)*(H563+IF(E563=$N$7,$N$4,0))</f>
      </c>
      <c r="J563" s="561">
        <f>(1+$G$5)^(D563/12)*(H563*(12-IF(MONTH(E564)=12,0,MONTH(E564)))+IF(AND(F563=1,F564=0),$Q$4,0))*IF(AND(F563=1,F564=0),1,0)</f>
      </c>
      <c r="K563" s="217">
        <f>(1+$G$5)^(D563/12)*(IF(E563=$N$7,$N$4,0)+IF(E563=$C$6,$B$10,0))</f>
      </c>
      <c r="L563" s="217">
        <f>(1+$G$5)^(D563/12)*(IF((E563)&gt;($B$6),H563,0)+IF(E563=$N$7,$N$4,0)+IF(E563=$C$6,0,0))</f>
      </c>
      <c r="M563" s="1"/>
      <c r="N563" s="7"/>
      <c r="O563" s="1"/>
      <c r="P563" s="331">
        <v>556</v>
      </c>
      <c r="Q563" s="544">
        <f>+DATE(YEAR(Q562),MONTH(Q562)-1,DAY(Q562))</f>
        <v>25569.041666666668</v>
      </c>
      <c r="R563" s="341">
        <f>IF($Z$7=$E563,1,IF(MONTH($E563)=1,R564*(1+$F$5),R564))</f>
      </c>
      <c r="S563" s="334">
        <f>R563*$B$8/12</f>
      </c>
      <c r="T563" s="334">
        <f>R563*$B$11/12</f>
      </c>
      <c r="U563" s="565">
        <f>(1+$V$5)^(P563/12)*(T563+IF(Q563=$Z$7,$Z$4,0))</f>
      </c>
      <c r="V563" s="170"/>
      <c r="W563" s="7"/>
      <c r="X563" s="1"/>
      <c r="Y563" s="1"/>
      <c r="Z563" s="1"/>
      <c r="AA563" s="1"/>
      <c r="AB563" s="1"/>
      <c r="AC563" s="331">
        <v>556</v>
      </c>
      <c r="AD563" s="544">
        <f>+DATE(YEAR(AD562),MONTH(AD562)-1,DAY(AD562))</f>
        <v>25569.041666666668</v>
      </c>
      <c r="AE563" s="341">
        <f>IF($AM$7=$E563,1,IF(MONTH($E563)=1,AE564*(1+$F$5),AE564))</f>
      </c>
      <c r="AF563" s="334">
        <f>AE563*$B$8/12</f>
      </c>
      <c r="AG563" s="334">
        <f>AE563*$B$12/12</f>
      </c>
      <c r="AH563" s="565">
        <f>(1+$AI$5)^(AC563/12)*(AG563+IF(AD563=$AM$7,$AM$4,0))</f>
      </c>
      <c r="AI563" s="170"/>
      <c r="AJ563" s="7"/>
      <c r="AK563" s="1"/>
      <c r="AL563" s="1"/>
      <c r="AM563" s="1"/>
    </row>
    <row x14ac:dyDescent="0.25" r="564" customHeight="1" ht="18.75">
      <c r="A564" s="1"/>
      <c r="B564" s="169"/>
      <c r="C564" s="170"/>
      <c r="D564" s="331">
        <v>557</v>
      </c>
      <c r="E564" s="544">
        <f>+DATE(YEAR(E563),MONTH(E563)-1,DAY(E563))</f>
        <v>25569.041666666668</v>
      </c>
      <c r="F564" s="333">
        <f>IF($C$6=$E564,1,IF(MONTH($E564)=1,F565*(1+$F$5),F565))</f>
      </c>
      <c r="G564" s="333">
        <f>F564*$B$8/12</f>
      </c>
      <c r="H564" s="333">
        <f>IF(F564=1,F564*$B$10/MIN(12,'Simulador - 3º Pilar'!$E$88),0)</f>
      </c>
      <c r="I564" s="560">
        <f>(1+$G$5)^(D564/12)*(H564+IF(E564=$N$7,$N$4,0))</f>
      </c>
      <c r="J564" s="561">
        <f>(1+$G$5)^(D564/12)*(H564*(12-IF(MONTH(E565)=12,0,MONTH(E565)))+IF(AND(F564=1,F565=0),$Q$4,0))*IF(AND(F564=1,F565=0),1,0)</f>
      </c>
      <c r="K564" s="217">
        <f>(1+$G$5)^(D564/12)*(IF(E564=$N$7,$N$4,0)+IF(E564=$C$6,$B$10,0))</f>
      </c>
      <c r="L564" s="217">
        <f>(1+$G$5)^(D564/12)*(IF((E564)&gt;($B$6),H564,0)+IF(E564=$N$7,$N$4,0)+IF(E564=$C$6,0,0))</f>
      </c>
      <c r="M564" s="1"/>
      <c r="N564" s="7"/>
      <c r="O564" s="1"/>
      <c r="P564" s="331">
        <v>557</v>
      </c>
      <c r="Q564" s="544">
        <f>+DATE(YEAR(Q563),MONTH(Q563)-1,DAY(Q563))</f>
        <v>25569.041666666668</v>
      </c>
      <c r="R564" s="341">
        <f>IF($Z$7=$E564,1,IF(MONTH($E564)=1,R565*(1+$F$5),R565))</f>
      </c>
      <c r="S564" s="334">
        <f>R564*$B$8/12</f>
      </c>
      <c r="T564" s="334">
        <f>R564*$B$11/12</f>
      </c>
      <c r="U564" s="565">
        <f>(1+$V$5)^(P564/12)*(T564+IF(Q564=$Z$7,$Z$4,0))</f>
      </c>
      <c r="V564" s="170"/>
      <c r="W564" s="7"/>
      <c r="X564" s="1"/>
      <c r="Y564" s="1"/>
      <c r="Z564" s="1"/>
      <c r="AA564" s="1"/>
      <c r="AB564" s="1"/>
      <c r="AC564" s="331">
        <v>557</v>
      </c>
      <c r="AD564" s="544">
        <f>+DATE(YEAR(AD563),MONTH(AD563)-1,DAY(AD563))</f>
        <v>25569.041666666668</v>
      </c>
      <c r="AE564" s="341">
        <f>IF($AM$7=$E564,1,IF(MONTH($E564)=1,AE565*(1+$F$5),AE565))</f>
      </c>
      <c r="AF564" s="334">
        <f>AE564*$B$8/12</f>
      </c>
      <c r="AG564" s="334">
        <f>AE564*$B$12/12</f>
      </c>
      <c r="AH564" s="565">
        <f>(1+$AI$5)^(AC564/12)*(AG564+IF(AD564=$AM$7,$AM$4,0))</f>
      </c>
      <c r="AI564" s="170"/>
      <c r="AJ564" s="7"/>
      <c r="AK564" s="1"/>
      <c r="AL564" s="1"/>
      <c r="AM564" s="1"/>
    </row>
    <row x14ac:dyDescent="0.25" r="565" customHeight="1" ht="18.75">
      <c r="A565" s="1"/>
      <c r="B565" s="169"/>
      <c r="C565" s="170"/>
      <c r="D565" s="331">
        <v>558</v>
      </c>
      <c r="E565" s="544">
        <f>+DATE(YEAR(E564),MONTH(E564)-1,DAY(E564))</f>
        <v>25569.041666666668</v>
      </c>
      <c r="F565" s="333">
        <f>IF($C$6=$E565,1,IF(MONTH($E565)=1,F566*(1+$F$5),F566))</f>
      </c>
      <c r="G565" s="333">
        <f>F565*$B$8/12</f>
      </c>
      <c r="H565" s="333">
        <f>IF(F565=1,F565*$B$10/MIN(12,'Simulador - 3º Pilar'!$E$88),0)</f>
      </c>
      <c r="I565" s="560">
        <f>(1+$G$5)^(D565/12)*(H565+IF(E565=$N$7,$N$4,0))</f>
      </c>
      <c r="J565" s="561">
        <f>(1+$G$5)^(D565/12)*(H565*(12-IF(MONTH(E566)=12,0,MONTH(E566)))+IF(AND(F565=1,F566=0),$Q$4,0))*IF(AND(F565=1,F566=0),1,0)</f>
      </c>
      <c r="K565" s="217">
        <f>(1+$G$5)^(D565/12)*(IF(E565=$N$7,$N$4,0)+IF(E565=$C$6,$B$10,0))</f>
      </c>
      <c r="L565" s="217">
        <f>(1+$G$5)^(D565/12)*(IF((E565)&gt;($B$6),H565,0)+IF(E565=$N$7,$N$4,0)+IF(E565=$C$6,0,0))</f>
      </c>
      <c r="M565" s="1"/>
      <c r="N565" s="7"/>
      <c r="O565" s="1"/>
      <c r="P565" s="331">
        <v>558</v>
      </c>
      <c r="Q565" s="544">
        <f>+DATE(YEAR(Q564),MONTH(Q564)-1,DAY(Q564))</f>
        <v>25569.041666666668</v>
      </c>
      <c r="R565" s="341">
        <f>IF($Z$7=$E565,1,IF(MONTH($E565)=1,R566*(1+$F$5),R566))</f>
      </c>
      <c r="S565" s="334">
        <f>R565*$B$8/12</f>
      </c>
      <c r="T565" s="334">
        <f>R565*$B$11/12</f>
      </c>
      <c r="U565" s="565">
        <f>(1+$V$5)^(P565/12)*(T565+IF(Q565=$Z$7,$Z$4,0))</f>
      </c>
      <c r="V565" s="170"/>
      <c r="W565" s="7"/>
      <c r="X565" s="1"/>
      <c r="Y565" s="1"/>
      <c r="Z565" s="1"/>
      <c r="AA565" s="1"/>
      <c r="AB565" s="1"/>
      <c r="AC565" s="331">
        <v>558</v>
      </c>
      <c r="AD565" s="544">
        <f>+DATE(YEAR(AD564),MONTH(AD564)-1,DAY(AD564))</f>
        <v>25569.041666666668</v>
      </c>
      <c r="AE565" s="341">
        <f>IF($AM$7=$E565,1,IF(MONTH($E565)=1,AE566*(1+$F$5),AE566))</f>
      </c>
      <c r="AF565" s="334">
        <f>AE565*$B$8/12</f>
      </c>
      <c r="AG565" s="334">
        <f>AE565*$B$12/12</f>
      </c>
      <c r="AH565" s="565">
        <f>(1+$AI$5)^(AC565/12)*(AG565+IF(AD565=$AM$7,$AM$4,0))</f>
      </c>
      <c r="AI565" s="170"/>
      <c r="AJ565" s="7"/>
      <c r="AK565" s="1"/>
      <c r="AL565" s="1"/>
      <c r="AM565" s="1"/>
    </row>
    <row x14ac:dyDescent="0.25" r="566" customHeight="1" ht="18.75">
      <c r="A566" s="1"/>
      <c r="B566" s="169"/>
      <c r="C566" s="170"/>
      <c r="D566" s="331">
        <v>559</v>
      </c>
      <c r="E566" s="544">
        <f>+DATE(YEAR(E565),MONTH(E565)-1,DAY(E565))</f>
        <v>25569.041666666668</v>
      </c>
      <c r="F566" s="333">
        <f>IF($C$6=$E566,1,IF(MONTH($E566)=1,F567*(1+$F$5),F567))</f>
      </c>
      <c r="G566" s="333">
        <f>F566*$B$8/12</f>
      </c>
      <c r="H566" s="333">
        <f>IF(F566=1,F566*$B$10/MIN(12,'Simulador - 3º Pilar'!$E$88),0)</f>
      </c>
      <c r="I566" s="560">
        <f>(1+$G$5)^(D566/12)*(H566+IF(E566=$N$7,$N$4,0))</f>
      </c>
      <c r="J566" s="561">
        <f>(1+$G$5)^(D566/12)*(H566*(12-IF(MONTH(E567)=12,0,MONTH(E567)))+IF(AND(F566=1,F567=0),$Q$4,0))*IF(AND(F566=1,F567=0),1,0)</f>
      </c>
      <c r="K566" s="217">
        <f>(1+$G$5)^(D566/12)*(IF(E566=$N$7,$N$4,0)+IF(E566=$C$6,$B$10,0))</f>
      </c>
      <c r="L566" s="217">
        <f>(1+$G$5)^(D566/12)*(IF((E566)&gt;($B$6),H566,0)+IF(E566=$N$7,$N$4,0)+IF(E566=$C$6,0,0))</f>
      </c>
      <c r="M566" s="1"/>
      <c r="N566" s="7"/>
      <c r="O566" s="1"/>
      <c r="P566" s="331">
        <v>559</v>
      </c>
      <c r="Q566" s="544">
        <f>+DATE(YEAR(Q565),MONTH(Q565)-1,DAY(Q565))</f>
        <v>25569.041666666668</v>
      </c>
      <c r="R566" s="341">
        <f>IF($Z$7=$E566,1,IF(MONTH($E566)=1,R567*(1+$F$5),R567))</f>
      </c>
      <c r="S566" s="334">
        <f>R566*$B$8/12</f>
      </c>
      <c r="T566" s="334">
        <f>R566*$B$11/12</f>
      </c>
      <c r="U566" s="565">
        <f>(1+$V$5)^(P566/12)*(T566+IF(Q566=$Z$7,$Z$4,0))</f>
      </c>
      <c r="V566" s="170"/>
      <c r="W566" s="7"/>
      <c r="X566" s="1"/>
      <c r="Y566" s="1"/>
      <c r="Z566" s="1"/>
      <c r="AA566" s="1"/>
      <c r="AB566" s="1"/>
      <c r="AC566" s="331">
        <v>559</v>
      </c>
      <c r="AD566" s="544">
        <f>+DATE(YEAR(AD565),MONTH(AD565)-1,DAY(AD565))</f>
        <v>25569.041666666668</v>
      </c>
      <c r="AE566" s="341">
        <f>IF($AM$7=$E566,1,IF(MONTH($E566)=1,AE567*(1+$F$5),AE567))</f>
      </c>
      <c r="AF566" s="334">
        <f>AE566*$B$8/12</f>
      </c>
      <c r="AG566" s="334">
        <f>AE566*$B$12/12</f>
      </c>
      <c r="AH566" s="565">
        <f>(1+$AI$5)^(AC566/12)*(AG566+IF(AD566=$AM$7,$AM$4,0))</f>
      </c>
      <c r="AI566" s="170"/>
      <c r="AJ566" s="7"/>
      <c r="AK566" s="1"/>
      <c r="AL566" s="1"/>
      <c r="AM566" s="1"/>
    </row>
    <row x14ac:dyDescent="0.25" r="567" customHeight="1" ht="18.75">
      <c r="A567" s="1"/>
      <c r="B567" s="169"/>
      <c r="C567" s="170"/>
      <c r="D567" s="331">
        <v>560</v>
      </c>
      <c r="E567" s="544">
        <f>+DATE(YEAR(E566),MONTH(E566)-1,DAY(E566))</f>
        <v>25569.041666666668</v>
      </c>
      <c r="F567" s="333">
        <f>IF($C$6=$E567,1,IF(MONTH($E567)=1,F568*(1+$F$5),F568))</f>
      </c>
      <c r="G567" s="333">
        <f>F567*$B$8/12</f>
      </c>
      <c r="H567" s="333">
        <f>IF(F567=1,F567*$B$10/MIN(12,'Simulador - 3º Pilar'!$E$88),0)</f>
      </c>
      <c r="I567" s="560">
        <f>(1+$G$5)^(D567/12)*(H567+IF(E567=$N$7,$N$4,0))</f>
      </c>
      <c r="J567" s="561">
        <f>(1+$G$5)^(D567/12)*(H567*(12-IF(MONTH(E568)=12,0,MONTH(E568)))+IF(AND(F567=1,F568=0),$Q$4,0))*IF(AND(F567=1,F568=0),1,0)</f>
      </c>
      <c r="K567" s="217">
        <f>(1+$G$5)^(D567/12)*(IF(E567=$N$7,$N$4,0)+IF(E567=$C$6,$B$10,0))</f>
      </c>
      <c r="L567" s="217">
        <f>(1+$G$5)^(D567/12)*(IF((E567)&gt;($B$6),H567,0)+IF(E567=$N$7,$N$4,0)+IF(E567=$C$6,0,0))</f>
      </c>
      <c r="M567" s="1"/>
      <c r="N567" s="7"/>
      <c r="O567" s="1"/>
      <c r="P567" s="331">
        <v>560</v>
      </c>
      <c r="Q567" s="544">
        <f>+DATE(YEAR(Q566),MONTH(Q566)-1,DAY(Q566))</f>
        <v>25569.041666666668</v>
      </c>
      <c r="R567" s="341">
        <f>IF($Z$7=$E567,1,IF(MONTH($E567)=1,R568*(1+$F$5),R568))</f>
      </c>
      <c r="S567" s="334">
        <f>R567*$B$8/12</f>
      </c>
      <c r="T567" s="334">
        <f>R567*$B$11/12</f>
      </c>
      <c r="U567" s="565">
        <f>(1+$V$5)^(P567/12)*(T567+IF(Q567=$Z$7,$Z$4,0))</f>
      </c>
      <c r="V567" s="170"/>
      <c r="W567" s="7"/>
      <c r="X567" s="1"/>
      <c r="Y567" s="1"/>
      <c r="Z567" s="1"/>
      <c r="AA567" s="1"/>
      <c r="AB567" s="1"/>
      <c r="AC567" s="331">
        <v>560</v>
      </c>
      <c r="AD567" s="544">
        <f>+DATE(YEAR(AD566),MONTH(AD566)-1,DAY(AD566))</f>
        <v>25569.041666666668</v>
      </c>
      <c r="AE567" s="341">
        <f>IF($AM$7=$E567,1,IF(MONTH($E567)=1,AE568*(1+$F$5),AE568))</f>
      </c>
      <c r="AF567" s="334">
        <f>AE567*$B$8/12</f>
      </c>
      <c r="AG567" s="334">
        <f>AE567*$B$12/12</f>
      </c>
      <c r="AH567" s="565">
        <f>(1+$AI$5)^(AC567/12)*(AG567+IF(AD567=$AM$7,$AM$4,0))</f>
      </c>
      <c r="AI567" s="170"/>
      <c r="AJ567" s="7"/>
      <c r="AK567" s="1"/>
      <c r="AL567" s="1"/>
      <c r="AM567" s="1"/>
    </row>
    <row x14ac:dyDescent="0.25" r="568" customHeight="1" ht="18.75">
      <c r="A568" s="1"/>
      <c r="B568" s="169"/>
      <c r="C568" s="170"/>
      <c r="D568" s="331">
        <v>561</v>
      </c>
      <c r="E568" s="544">
        <f>+DATE(YEAR(E567),MONTH(E567)-1,DAY(E567))</f>
        <v>25569.041666666668</v>
      </c>
      <c r="F568" s="333">
        <f>IF($C$6=$E568,1,IF(MONTH($E568)=1,F569*(1+$F$5),F569))</f>
      </c>
      <c r="G568" s="333">
        <f>F568*$B$8/12</f>
      </c>
      <c r="H568" s="333">
        <f>IF(F568=1,F568*$B$10/MIN(12,'Simulador - 3º Pilar'!$E$88),0)</f>
      </c>
      <c r="I568" s="560">
        <f>(1+$G$5)^(D568/12)*(H568+IF(E568=$N$7,$N$4,0))</f>
      </c>
      <c r="J568" s="561">
        <f>(1+$G$5)^(D568/12)*(H568*(12-IF(MONTH(E569)=12,0,MONTH(E569)))+IF(AND(F568=1,F569=0),$Q$4,0))*IF(AND(F568=1,F569=0),1,0)</f>
      </c>
      <c r="K568" s="217">
        <f>(1+$G$5)^(D568/12)*(IF(E568=$N$7,$N$4,0)+IF(E568=$C$6,$B$10,0))</f>
      </c>
      <c r="L568" s="217">
        <f>(1+$G$5)^(D568/12)*(IF((E568)&gt;($B$6),H568,0)+IF(E568=$N$7,$N$4,0)+IF(E568=$C$6,0,0))</f>
      </c>
      <c r="M568" s="1"/>
      <c r="N568" s="7"/>
      <c r="O568" s="1"/>
      <c r="P568" s="331">
        <v>561</v>
      </c>
      <c r="Q568" s="544">
        <f>+DATE(YEAR(Q567),MONTH(Q567)-1,DAY(Q567))</f>
        <v>25569.041666666668</v>
      </c>
      <c r="R568" s="341">
        <f>IF($Z$7=$E568,1,IF(MONTH($E568)=1,R569*(1+$F$5),R569))</f>
      </c>
      <c r="S568" s="334">
        <f>R568*$B$8/12</f>
      </c>
      <c r="T568" s="334">
        <f>R568*$B$11/12</f>
      </c>
      <c r="U568" s="565">
        <f>(1+$V$5)^(P568/12)*(T568+IF(Q568=$Z$7,$Z$4,0))</f>
      </c>
      <c r="V568" s="170"/>
      <c r="W568" s="7"/>
      <c r="X568" s="1"/>
      <c r="Y568" s="1"/>
      <c r="Z568" s="1"/>
      <c r="AA568" s="1"/>
      <c r="AB568" s="1"/>
      <c r="AC568" s="331">
        <v>561</v>
      </c>
      <c r="AD568" s="544">
        <f>+DATE(YEAR(AD567),MONTH(AD567)-1,DAY(AD567))</f>
        <v>25569.041666666668</v>
      </c>
      <c r="AE568" s="341">
        <f>IF($AM$7=$E568,1,IF(MONTH($E568)=1,AE569*(1+$F$5),AE569))</f>
      </c>
      <c r="AF568" s="334">
        <f>AE568*$B$8/12</f>
      </c>
      <c r="AG568" s="334">
        <f>AE568*$B$12/12</f>
      </c>
      <c r="AH568" s="565">
        <f>(1+$AI$5)^(AC568/12)*(AG568+IF(AD568=$AM$7,$AM$4,0))</f>
      </c>
      <c r="AI568" s="170"/>
      <c r="AJ568" s="7"/>
      <c r="AK568" s="1"/>
      <c r="AL568" s="1"/>
      <c r="AM568" s="1"/>
    </row>
    <row x14ac:dyDescent="0.25" r="569" customHeight="1" ht="18.75">
      <c r="A569" s="1"/>
      <c r="B569" s="169"/>
      <c r="C569" s="170"/>
      <c r="D569" s="331">
        <v>562</v>
      </c>
      <c r="E569" s="544">
        <f>+DATE(YEAR(E568),MONTH(E568)-1,DAY(E568))</f>
        <v>25569.041666666668</v>
      </c>
      <c r="F569" s="333">
        <f>IF($C$6=$E569,1,IF(MONTH($E569)=1,F570*(1+$F$5),F570))</f>
      </c>
      <c r="G569" s="333">
        <f>F569*$B$8/12</f>
      </c>
      <c r="H569" s="333">
        <f>IF(F569=1,F569*$B$10/MIN(12,'Simulador - 3º Pilar'!$E$88),0)</f>
      </c>
      <c r="I569" s="560">
        <f>(1+$G$5)^(D569/12)*(H569+IF(E569=$N$7,$N$4,0))</f>
      </c>
      <c r="J569" s="561">
        <f>(1+$G$5)^(D569/12)*(H569*(12-IF(MONTH(E570)=12,0,MONTH(E570)))+IF(AND(F569=1,F570=0),$Q$4,0))*IF(AND(F569=1,F570=0),1,0)</f>
      </c>
      <c r="K569" s="217">
        <f>(1+$G$5)^(D569/12)*(IF(E569=$N$7,$N$4,0)+IF(E569=$C$6,$B$10,0))</f>
      </c>
      <c r="L569" s="217">
        <f>(1+$G$5)^(D569/12)*(IF((E569)&gt;($B$6),H569,0)+IF(E569=$N$7,$N$4,0)+IF(E569=$C$6,0,0))</f>
      </c>
      <c r="M569" s="1"/>
      <c r="N569" s="7"/>
      <c r="O569" s="1"/>
      <c r="P569" s="331">
        <v>562</v>
      </c>
      <c r="Q569" s="544">
        <f>+DATE(YEAR(Q568),MONTH(Q568)-1,DAY(Q568))</f>
        <v>25569.041666666668</v>
      </c>
      <c r="R569" s="341">
        <f>IF($Z$7=$E569,1,IF(MONTH($E569)=1,R570*(1+$F$5),R570))</f>
      </c>
      <c r="S569" s="334">
        <f>R569*$B$8/12</f>
      </c>
      <c r="T569" s="334">
        <f>R569*$B$11/12</f>
      </c>
      <c r="U569" s="565">
        <f>(1+$V$5)^(P569/12)*(T569+IF(Q569=$Z$7,$Z$4,0))</f>
      </c>
      <c r="V569" s="170"/>
      <c r="W569" s="7"/>
      <c r="X569" s="1"/>
      <c r="Y569" s="1"/>
      <c r="Z569" s="1"/>
      <c r="AA569" s="1"/>
      <c r="AB569" s="1"/>
      <c r="AC569" s="331">
        <v>562</v>
      </c>
      <c r="AD569" s="544">
        <f>+DATE(YEAR(AD568),MONTH(AD568)-1,DAY(AD568))</f>
        <v>25569.041666666668</v>
      </c>
      <c r="AE569" s="341">
        <f>IF($AM$7=$E569,1,IF(MONTH($E569)=1,AE570*(1+$F$5),AE570))</f>
      </c>
      <c r="AF569" s="334">
        <f>AE569*$B$8/12</f>
      </c>
      <c r="AG569" s="334">
        <f>AE569*$B$12/12</f>
      </c>
      <c r="AH569" s="565">
        <f>(1+$AI$5)^(AC569/12)*(AG569+IF(AD569=$AM$7,$AM$4,0))</f>
      </c>
      <c r="AI569" s="170"/>
      <c r="AJ569" s="7"/>
      <c r="AK569" s="1"/>
      <c r="AL569" s="1"/>
      <c r="AM569" s="1"/>
    </row>
    <row x14ac:dyDescent="0.25" r="570" customHeight="1" ht="18.75">
      <c r="A570" s="1"/>
      <c r="B570" s="169"/>
      <c r="C570" s="170"/>
      <c r="D570" s="331">
        <v>563</v>
      </c>
      <c r="E570" s="544">
        <f>+DATE(YEAR(E569),MONTH(E569)-1,DAY(E569))</f>
        <v>25569.041666666668</v>
      </c>
      <c r="F570" s="333">
        <f>IF($C$6=$E570,1,IF(MONTH($E570)=1,F571*(1+$F$5),F571))</f>
      </c>
      <c r="G570" s="333">
        <f>F570*$B$8/12</f>
      </c>
      <c r="H570" s="333">
        <f>IF(F570=1,F570*$B$10/MIN(12,'Simulador - 3º Pilar'!$E$88),0)</f>
      </c>
      <c r="I570" s="560">
        <f>(1+$G$5)^(D570/12)*(H570+IF(E570=$N$7,$N$4,0))</f>
      </c>
      <c r="J570" s="561">
        <f>(1+$G$5)^(D570/12)*(H570*(12-IF(MONTH(E571)=12,0,MONTH(E571)))+IF(AND(F570=1,F571=0),$Q$4,0))*IF(AND(F570=1,F571=0),1,0)</f>
      </c>
      <c r="K570" s="217">
        <f>(1+$G$5)^(D570/12)*(IF(E570=$N$7,$N$4,0)+IF(E570=$C$6,$B$10,0))</f>
      </c>
      <c r="L570" s="217">
        <f>(1+$G$5)^(D570/12)*(IF((E570)&gt;($B$6),H570,0)+IF(E570=$N$7,$N$4,0)+IF(E570=$C$6,0,0))</f>
      </c>
      <c r="M570" s="1"/>
      <c r="N570" s="7"/>
      <c r="O570" s="1"/>
      <c r="P570" s="331">
        <v>563</v>
      </c>
      <c r="Q570" s="544">
        <f>+DATE(YEAR(Q569),MONTH(Q569)-1,DAY(Q569))</f>
        <v>25569.041666666668</v>
      </c>
      <c r="R570" s="341">
        <f>IF($Z$7=$E570,1,IF(MONTH($E570)=1,R571*(1+$F$5),R571))</f>
      </c>
      <c r="S570" s="334">
        <f>R570*$B$8/12</f>
      </c>
      <c r="T570" s="334">
        <f>R570*$B$11/12</f>
      </c>
      <c r="U570" s="565">
        <f>(1+$V$5)^(P570/12)*(T570+IF(Q570=$Z$7,$Z$4,0))</f>
      </c>
      <c r="V570" s="170"/>
      <c r="W570" s="7"/>
      <c r="X570" s="1"/>
      <c r="Y570" s="1"/>
      <c r="Z570" s="1"/>
      <c r="AA570" s="1"/>
      <c r="AB570" s="1"/>
      <c r="AC570" s="331">
        <v>563</v>
      </c>
      <c r="AD570" s="544">
        <f>+DATE(YEAR(AD569),MONTH(AD569)-1,DAY(AD569))</f>
        <v>25569.041666666668</v>
      </c>
      <c r="AE570" s="341">
        <f>IF($AM$7=$E570,1,IF(MONTH($E570)=1,AE571*(1+$F$5),AE571))</f>
      </c>
      <c r="AF570" s="334">
        <f>AE570*$B$8/12</f>
      </c>
      <c r="AG570" s="334">
        <f>AE570*$B$12/12</f>
      </c>
      <c r="AH570" s="565">
        <f>(1+$AI$5)^(AC570/12)*(AG570+IF(AD570=$AM$7,$AM$4,0))</f>
      </c>
      <c r="AI570" s="170"/>
      <c r="AJ570" s="7"/>
      <c r="AK570" s="1"/>
      <c r="AL570" s="1"/>
      <c r="AM570" s="1"/>
    </row>
    <row x14ac:dyDescent="0.25" r="571" customHeight="1" ht="18.75">
      <c r="A571" s="1"/>
      <c r="B571" s="169"/>
      <c r="C571" s="170"/>
      <c r="D571" s="331">
        <v>564</v>
      </c>
      <c r="E571" s="544">
        <f>+DATE(YEAR(E570),MONTH(E570)-1,DAY(E570))</f>
        <v>25569.041666666668</v>
      </c>
      <c r="F571" s="333">
        <f>IF($C$6=$E571,1,IF(MONTH($E571)=1,F572*(1+$F$5),F572))</f>
      </c>
      <c r="G571" s="333">
        <f>F571*$B$8/12</f>
      </c>
      <c r="H571" s="333">
        <f>IF(F571=1,F571*$B$10/MIN(12,'Simulador - 3º Pilar'!$E$88),0)</f>
      </c>
      <c r="I571" s="560">
        <f>(1+$G$5)^(D571/12)*(H571+IF(E571=$N$7,$N$4,0))</f>
      </c>
      <c r="J571" s="561">
        <f>(1+$G$5)^(D571/12)*(H571*(12-IF(MONTH(E572)=12,0,MONTH(E572)))+IF(AND(F571=1,F572=0),$Q$4,0))*IF(AND(F571=1,F572=0),1,0)</f>
      </c>
      <c r="K571" s="217">
        <f>(1+$G$5)^(D571/12)*(IF(E571=$N$7,$N$4,0)+IF(E571=$C$6,$B$10,0))</f>
      </c>
      <c r="L571" s="217">
        <f>(1+$G$5)^(D571/12)*(IF((E571)&gt;($B$6),H571,0)+IF(E571=$N$7,$N$4,0)+IF(E571=$C$6,0,0))</f>
      </c>
      <c r="M571" s="1"/>
      <c r="N571" s="7"/>
      <c r="O571" s="1"/>
      <c r="P571" s="331">
        <v>564</v>
      </c>
      <c r="Q571" s="544">
        <f>+DATE(YEAR(Q570),MONTH(Q570)-1,DAY(Q570))</f>
        <v>25569.041666666668</v>
      </c>
      <c r="R571" s="341">
        <f>IF($Z$7=$E571,1,IF(MONTH($E571)=1,R572*(1+$F$5),R572))</f>
      </c>
      <c r="S571" s="334">
        <f>R571*$B$8/12</f>
      </c>
      <c r="T571" s="334">
        <f>R571*$B$11/12</f>
      </c>
      <c r="U571" s="565">
        <f>(1+$V$5)^(P571/12)*(T571+IF(Q571=$Z$7,$Z$4,0))</f>
      </c>
      <c r="V571" s="170"/>
      <c r="W571" s="7"/>
      <c r="X571" s="1"/>
      <c r="Y571" s="1"/>
      <c r="Z571" s="1"/>
      <c r="AA571" s="1"/>
      <c r="AB571" s="1"/>
      <c r="AC571" s="331">
        <v>564</v>
      </c>
      <c r="AD571" s="544">
        <f>+DATE(YEAR(AD570),MONTH(AD570)-1,DAY(AD570))</f>
        <v>25569.041666666668</v>
      </c>
      <c r="AE571" s="341">
        <f>IF($AM$7=$E571,1,IF(MONTH($E571)=1,AE572*(1+$F$5),AE572))</f>
      </c>
      <c r="AF571" s="334">
        <f>AE571*$B$8/12</f>
      </c>
      <c r="AG571" s="334">
        <f>AE571*$B$12/12</f>
      </c>
      <c r="AH571" s="565">
        <f>(1+$AI$5)^(AC571/12)*(AG571+IF(AD571=$AM$7,$AM$4,0))</f>
      </c>
      <c r="AI571" s="170"/>
      <c r="AJ571" s="7"/>
      <c r="AK571" s="1"/>
      <c r="AL571" s="1"/>
      <c r="AM571" s="1"/>
    </row>
    <row x14ac:dyDescent="0.25" r="572" customHeight="1" ht="18.75">
      <c r="A572" s="1"/>
      <c r="B572" s="169"/>
      <c r="C572" s="170"/>
      <c r="D572" s="331">
        <v>565</v>
      </c>
      <c r="E572" s="544">
        <f>+DATE(YEAR(E571),MONTH(E571)-1,DAY(E571))</f>
        <v>25569.041666666668</v>
      </c>
      <c r="F572" s="333">
        <f>IF($C$6=$E572,1,IF(MONTH($E572)=1,F573*(1+$F$5),F573))</f>
      </c>
      <c r="G572" s="333">
        <f>F572*$B$8/12</f>
      </c>
      <c r="H572" s="333">
        <f>IF(F572=1,F572*$B$10/MIN(12,'Simulador - 3º Pilar'!$E$88),0)</f>
      </c>
      <c r="I572" s="560">
        <f>(1+$G$5)^(D572/12)*(H572+IF(E572=$N$7,$N$4,0))</f>
      </c>
      <c r="J572" s="561">
        <f>(1+$G$5)^(D572/12)*(H572*(12-IF(MONTH(E573)=12,0,MONTH(E573)))+IF(AND(F572=1,F573=0),$Q$4,0))*IF(AND(F572=1,F573=0),1,0)</f>
      </c>
      <c r="K572" s="217">
        <f>(1+$G$5)^(D572/12)*(IF(E572=$N$7,$N$4,0)+IF(E572=$C$6,$B$10,0))</f>
      </c>
      <c r="L572" s="217">
        <f>(1+$G$5)^(D572/12)*(IF((E572)&gt;($B$6),H572,0)+IF(E572=$N$7,$N$4,0)+IF(E572=$C$6,0,0))</f>
      </c>
      <c r="M572" s="1"/>
      <c r="N572" s="7"/>
      <c r="O572" s="1"/>
      <c r="P572" s="331">
        <v>565</v>
      </c>
      <c r="Q572" s="544">
        <f>+DATE(YEAR(Q571),MONTH(Q571)-1,DAY(Q571))</f>
        <v>25569.041666666668</v>
      </c>
      <c r="R572" s="341">
        <f>IF($Z$7=$E572,1,IF(MONTH($E572)=1,R573*(1+$F$5),R573))</f>
      </c>
      <c r="S572" s="334">
        <f>R572*$B$8/12</f>
      </c>
      <c r="T572" s="334">
        <f>R572*$B$11/12</f>
      </c>
      <c r="U572" s="565">
        <f>(1+$V$5)^(P572/12)*(T572+IF(Q572=$Z$7,$Z$4,0))</f>
      </c>
      <c r="V572" s="170"/>
      <c r="W572" s="7"/>
      <c r="X572" s="1"/>
      <c r="Y572" s="1"/>
      <c r="Z572" s="1"/>
      <c r="AA572" s="1"/>
      <c r="AB572" s="1"/>
      <c r="AC572" s="331">
        <v>565</v>
      </c>
      <c r="AD572" s="544">
        <f>+DATE(YEAR(AD571),MONTH(AD571)-1,DAY(AD571))</f>
        <v>25569.041666666668</v>
      </c>
      <c r="AE572" s="341">
        <f>IF($AM$7=$E572,1,IF(MONTH($E572)=1,AE573*(1+$F$5),AE573))</f>
      </c>
      <c r="AF572" s="334">
        <f>AE572*$B$8/12</f>
      </c>
      <c r="AG572" s="334">
        <f>AE572*$B$12/12</f>
      </c>
      <c r="AH572" s="565">
        <f>(1+$AI$5)^(AC572/12)*(AG572+IF(AD572=$AM$7,$AM$4,0))</f>
      </c>
      <c r="AI572" s="170"/>
      <c r="AJ572" s="7"/>
      <c r="AK572" s="1"/>
      <c r="AL572" s="1"/>
      <c r="AM572" s="1"/>
    </row>
    <row x14ac:dyDescent="0.25" r="573" customHeight="1" ht="18.75">
      <c r="A573" s="1"/>
      <c r="B573" s="169"/>
      <c r="C573" s="170"/>
      <c r="D573" s="331">
        <v>566</v>
      </c>
      <c r="E573" s="544">
        <f>+DATE(YEAR(E572),MONTH(E572)-1,DAY(E572))</f>
        <v>25569.041666666668</v>
      </c>
      <c r="F573" s="333">
        <f>IF($C$6=$E573,1,IF(MONTH($E573)=1,F574*(1+$F$5),F574))</f>
      </c>
      <c r="G573" s="333">
        <f>F573*$B$8/12</f>
      </c>
      <c r="H573" s="333">
        <f>IF(F573=1,F573*$B$10/MIN(12,'Simulador - 3º Pilar'!$E$88),0)</f>
      </c>
      <c r="I573" s="560">
        <f>(1+$G$5)^(D573/12)*(H573+IF(E573=$N$7,$N$4,0))</f>
      </c>
      <c r="J573" s="561">
        <f>(1+$G$5)^(D573/12)*(H573*(12-IF(MONTH(E574)=12,0,MONTH(E574)))+IF(AND(F573=1,F574=0),$Q$4,0))*IF(AND(F573=1,F574=0),1,0)</f>
      </c>
      <c r="K573" s="217">
        <f>(1+$G$5)^(D573/12)*(IF(E573=$N$7,$N$4,0)+IF(E573=$C$6,$B$10,0))</f>
      </c>
      <c r="L573" s="217">
        <f>(1+$G$5)^(D573/12)*(IF((E573)&gt;($B$6),H573,0)+IF(E573=$N$7,$N$4,0)+IF(E573=$C$6,0,0))</f>
      </c>
      <c r="M573" s="1"/>
      <c r="N573" s="7"/>
      <c r="O573" s="1"/>
      <c r="P573" s="331">
        <v>566</v>
      </c>
      <c r="Q573" s="544">
        <f>+DATE(YEAR(Q572),MONTH(Q572)-1,DAY(Q572))</f>
        <v>25569.041666666668</v>
      </c>
      <c r="R573" s="341">
        <f>IF($Z$7=$E573,1,IF(MONTH($E573)=1,R574*(1+$F$5),R574))</f>
      </c>
      <c r="S573" s="334">
        <f>R573*$B$8/12</f>
      </c>
      <c r="T573" s="334">
        <f>R573*$B$11/12</f>
      </c>
      <c r="U573" s="565">
        <f>(1+$V$5)^(P573/12)*(T573+IF(Q573=$Z$7,$Z$4,0))</f>
      </c>
      <c r="V573" s="170"/>
      <c r="W573" s="7"/>
      <c r="X573" s="1"/>
      <c r="Y573" s="1"/>
      <c r="Z573" s="1"/>
      <c r="AA573" s="1"/>
      <c r="AB573" s="1"/>
      <c r="AC573" s="331">
        <v>566</v>
      </c>
      <c r="AD573" s="544">
        <f>+DATE(YEAR(AD572),MONTH(AD572)-1,DAY(AD572))</f>
        <v>25569.041666666668</v>
      </c>
      <c r="AE573" s="341">
        <f>IF($AM$7=$E573,1,IF(MONTH($E573)=1,AE574*(1+$F$5),AE574))</f>
      </c>
      <c r="AF573" s="334">
        <f>AE573*$B$8/12</f>
      </c>
      <c r="AG573" s="334">
        <f>AE573*$B$12/12</f>
      </c>
      <c r="AH573" s="565">
        <f>(1+$AI$5)^(AC573/12)*(AG573+IF(AD573=$AM$7,$AM$4,0))</f>
      </c>
      <c r="AI573" s="170"/>
      <c r="AJ573" s="7"/>
      <c r="AK573" s="1"/>
      <c r="AL573" s="1"/>
      <c r="AM573" s="1"/>
    </row>
    <row x14ac:dyDescent="0.25" r="574" customHeight="1" ht="18.75">
      <c r="A574" s="1"/>
      <c r="B574" s="169"/>
      <c r="C574" s="170"/>
      <c r="D574" s="331">
        <v>567</v>
      </c>
      <c r="E574" s="544">
        <f>+DATE(YEAR(E573),MONTH(E573)-1,DAY(E573))</f>
        <v>25569.041666666668</v>
      </c>
      <c r="F574" s="333">
        <f>IF($C$6=$E574,1,IF(MONTH($E574)=1,F575*(1+$F$5),F575))</f>
      </c>
      <c r="G574" s="333">
        <f>F574*$B$8/12</f>
      </c>
      <c r="H574" s="333">
        <f>IF(F574=1,F574*$B$10/MIN(12,'Simulador - 3º Pilar'!$E$88),0)</f>
      </c>
      <c r="I574" s="560">
        <f>(1+$G$5)^(D574/12)*(H574+IF(E574=$N$7,$N$4,0))</f>
      </c>
      <c r="J574" s="561">
        <f>(1+$G$5)^(D574/12)*(H574*(12-IF(MONTH(E575)=12,0,MONTH(E575)))+IF(AND(F574=1,F575=0),$Q$4,0))*IF(AND(F574=1,F575=0),1,0)</f>
      </c>
      <c r="K574" s="217">
        <f>(1+$G$5)^(D574/12)*(IF(E574=$N$7,$N$4,0)+IF(E574=$C$6,$B$10,0))</f>
      </c>
      <c r="L574" s="217">
        <f>(1+$G$5)^(D574/12)*(IF((E574)&gt;($B$6),H574,0)+IF(E574=$N$7,$N$4,0)+IF(E574=$C$6,0,0))</f>
      </c>
      <c r="M574" s="1"/>
      <c r="N574" s="7"/>
      <c r="O574" s="1"/>
      <c r="P574" s="331">
        <v>567</v>
      </c>
      <c r="Q574" s="544">
        <f>+DATE(YEAR(Q573),MONTH(Q573)-1,DAY(Q573))</f>
        <v>25569.041666666668</v>
      </c>
      <c r="R574" s="341">
        <f>IF($Z$7=$E574,1,IF(MONTH($E574)=1,R575*(1+$F$5),R575))</f>
      </c>
      <c r="S574" s="334">
        <f>R574*$B$8/12</f>
      </c>
      <c r="T574" s="334">
        <f>R574*$B$11/12</f>
      </c>
      <c r="U574" s="565">
        <f>(1+$V$5)^(P574/12)*(T574+IF(Q574=$Z$7,$Z$4,0))</f>
      </c>
      <c r="V574" s="170"/>
      <c r="W574" s="7"/>
      <c r="X574" s="1"/>
      <c r="Y574" s="1"/>
      <c r="Z574" s="1"/>
      <c r="AA574" s="1"/>
      <c r="AB574" s="1"/>
      <c r="AC574" s="331">
        <v>567</v>
      </c>
      <c r="AD574" s="544">
        <f>+DATE(YEAR(AD573),MONTH(AD573)-1,DAY(AD573))</f>
        <v>25569.041666666668</v>
      </c>
      <c r="AE574" s="341">
        <f>IF($AM$7=$E574,1,IF(MONTH($E574)=1,AE575*(1+$F$5),AE575))</f>
      </c>
      <c r="AF574" s="334">
        <f>AE574*$B$8/12</f>
      </c>
      <c r="AG574" s="334">
        <f>AE574*$B$12/12</f>
      </c>
      <c r="AH574" s="565">
        <f>(1+$AI$5)^(AC574/12)*(AG574+IF(AD574=$AM$7,$AM$4,0))</f>
      </c>
      <c r="AI574" s="170"/>
      <c r="AJ574" s="7"/>
      <c r="AK574" s="1"/>
      <c r="AL574" s="1"/>
      <c r="AM574" s="1"/>
    </row>
    <row x14ac:dyDescent="0.25" r="575" customHeight="1" ht="18.75">
      <c r="A575" s="1"/>
      <c r="B575" s="169"/>
      <c r="C575" s="170"/>
      <c r="D575" s="331">
        <v>568</v>
      </c>
      <c r="E575" s="544">
        <f>+DATE(YEAR(E574),MONTH(E574)-1,DAY(E574))</f>
        <v>25569.041666666668</v>
      </c>
      <c r="F575" s="333">
        <f>IF($C$6=$E575,1,IF(MONTH($E575)=1,F576*(1+$F$5),F576))</f>
      </c>
      <c r="G575" s="333">
        <f>F575*$B$8/12</f>
      </c>
      <c r="H575" s="333">
        <f>IF(F575=1,F575*$B$10/MIN(12,'Simulador - 3º Pilar'!$E$88),0)</f>
      </c>
      <c r="I575" s="560">
        <f>(1+$G$5)^(D575/12)*(H575+IF(E575=$N$7,$N$4,0))</f>
      </c>
      <c r="J575" s="561">
        <f>(1+$G$5)^(D575/12)*(H575*(12-IF(MONTH(E576)=12,0,MONTH(E576)))+IF(AND(F575=1,F576=0),$Q$4,0))*IF(AND(F575=1,F576=0),1,0)</f>
      </c>
      <c r="K575" s="217">
        <f>(1+$G$5)^(D575/12)*(IF(E575=$N$7,$N$4,0)+IF(E575=$C$6,$B$10,0))</f>
      </c>
      <c r="L575" s="217">
        <f>(1+$G$5)^(D575/12)*(IF((E575)&gt;($B$6),H575,0)+IF(E575=$N$7,$N$4,0)+IF(E575=$C$6,0,0))</f>
      </c>
      <c r="M575" s="1"/>
      <c r="N575" s="7"/>
      <c r="O575" s="1"/>
      <c r="P575" s="331">
        <v>568</v>
      </c>
      <c r="Q575" s="544">
        <f>+DATE(YEAR(Q574),MONTH(Q574)-1,DAY(Q574))</f>
        <v>25569.041666666668</v>
      </c>
      <c r="R575" s="341">
        <f>IF($Z$7=$E575,1,IF(MONTH($E575)=1,R576*(1+$F$5),R576))</f>
      </c>
      <c r="S575" s="334">
        <f>R575*$B$8/12</f>
      </c>
      <c r="T575" s="334">
        <f>R575*$B$11/12</f>
      </c>
      <c r="U575" s="565">
        <f>(1+$V$5)^(P575/12)*(T575+IF(Q575=$Z$7,$Z$4,0))</f>
      </c>
      <c r="V575" s="170"/>
      <c r="W575" s="7"/>
      <c r="X575" s="1"/>
      <c r="Y575" s="1"/>
      <c r="Z575" s="1"/>
      <c r="AA575" s="1"/>
      <c r="AB575" s="1"/>
      <c r="AC575" s="331">
        <v>568</v>
      </c>
      <c r="AD575" s="544">
        <f>+DATE(YEAR(AD574),MONTH(AD574)-1,DAY(AD574))</f>
        <v>25569.041666666668</v>
      </c>
      <c r="AE575" s="341">
        <f>IF($AM$7=$E575,1,IF(MONTH($E575)=1,AE576*(1+$F$5),AE576))</f>
      </c>
      <c r="AF575" s="334">
        <f>AE575*$B$8/12</f>
      </c>
      <c r="AG575" s="334">
        <f>AE575*$B$12/12</f>
      </c>
      <c r="AH575" s="565">
        <f>(1+$AI$5)^(AC575/12)*(AG575+IF(AD575=$AM$7,$AM$4,0))</f>
      </c>
      <c r="AI575" s="170"/>
      <c r="AJ575" s="7"/>
      <c r="AK575" s="1"/>
      <c r="AL575" s="1"/>
      <c r="AM575" s="1"/>
    </row>
    <row x14ac:dyDescent="0.25" r="576" customHeight="1" ht="18.75">
      <c r="A576" s="1"/>
      <c r="B576" s="169"/>
      <c r="C576" s="170"/>
      <c r="D576" s="331">
        <v>569</v>
      </c>
      <c r="E576" s="544">
        <f>+DATE(YEAR(E575),MONTH(E575)-1,DAY(E575))</f>
        <v>25569.041666666668</v>
      </c>
      <c r="F576" s="333">
        <f>IF($C$6=$E576,1,IF(MONTH($E576)=1,F577*(1+$F$5),F577))</f>
      </c>
      <c r="G576" s="333">
        <f>F576*$B$8/12</f>
      </c>
      <c r="H576" s="333">
        <f>IF(F576=1,F576*$B$10/MIN(12,'Simulador - 3º Pilar'!$E$88),0)</f>
      </c>
      <c r="I576" s="560">
        <f>(1+$G$5)^(D576/12)*(H576+IF(E576=$N$7,$N$4,0))</f>
      </c>
      <c r="J576" s="561">
        <f>(1+$G$5)^(D576/12)*(H576*(12-IF(MONTH(E577)=12,0,MONTH(E577)))+IF(AND(F576=1,F577=0),$Q$4,0))*IF(AND(F576=1,F577=0),1,0)</f>
      </c>
      <c r="K576" s="217">
        <f>(1+$G$5)^(D576/12)*(IF(E576=$N$7,$N$4,0)+IF(E576=$C$6,$B$10,0))</f>
      </c>
      <c r="L576" s="217">
        <f>(1+$G$5)^(D576/12)*(IF((E576)&gt;($B$6),H576,0)+IF(E576=$N$7,$N$4,0)+IF(E576=$C$6,0,0))</f>
      </c>
      <c r="M576" s="1"/>
      <c r="N576" s="7"/>
      <c r="O576" s="1"/>
      <c r="P576" s="331">
        <v>569</v>
      </c>
      <c r="Q576" s="544">
        <f>+DATE(YEAR(Q575),MONTH(Q575)-1,DAY(Q575))</f>
        <v>25569.041666666668</v>
      </c>
      <c r="R576" s="341">
        <f>IF($Z$7=$E576,1,IF(MONTH($E576)=1,R577*(1+$F$5),R577))</f>
      </c>
      <c r="S576" s="334">
        <f>R576*$B$8/12</f>
      </c>
      <c r="T576" s="334">
        <f>R576*$B$11/12</f>
      </c>
      <c r="U576" s="565">
        <f>(1+$V$5)^(P576/12)*(T576+IF(Q576=$Z$7,$Z$4,0))</f>
      </c>
      <c r="V576" s="170"/>
      <c r="W576" s="7"/>
      <c r="X576" s="1"/>
      <c r="Y576" s="1"/>
      <c r="Z576" s="1"/>
      <c r="AA576" s="1"/>
      <c r="AB576" s="1"/>
      <c r="AC576" s="331">
        <v>569</v>
      </c>
      <c r="AD576" s="544">
        <f>+DATE(YEAR(AD575),MONTH(AD575)-1,DAY(AD575))</f>
        <v>25569.041666666668</v>
      </c>
      <c r="AE576" s="341">
        <f>IF($AM$7=$E576,1,IF(MONTH($E576)=1,AE577*(1+$F$5),AE577))</f>
      </c>
      <c r="AF576" s="334">
        <f>AE576*$B$8/12</f>
      </c>
      <c r="AG576" s="334">
        <f>AE576*$B$12/12</f>
      </c>
      <c r="AH576" s="565">
        <f>(1+$AI$5)^(AC576/12)*(AG576+IF(AD576=$AM$7,$AM$4,0))</f>
      </c>
      <c r="AI576" s="170"/>
      <c r="AJ576" s="7"/>
      <c r="AK576" s="1"/>
      <c r="AL576" s="1"/>
      <c r="AM576" s="1"/>
    </row>
    <row x14ac:dyDescent="0.25" r="577" customHeight="1" ht="18.75">
      <c r="A577" s="1"/>
      <c r="B577" s="169"/>
      <c r="C577" s="170"/>
      <c r="D577" s="331">
        <v>570</v>
      </c>
      <c r="E577" s="544">
        <f>+DATE(YEAR(E576),MONTH(E576)-1,DAY(E576))</f>
        <v>25569.041666666668</v>
      </c>
      <c r="F577" s="333">
        <f>IF($C$6=$E577,1,IF(MONTH($E577)=1,F578*(1+$F$5),F578))</f>
      </c>
      <c r="G577" s="333">
        <f>F577*$B$8/12</f>
      </c>
      <c r="H577" s="333">
        <f>IF(F577=1,F577*$B$10/MIN(12,'Simulador - 3º Pilar'!$E$88),0)</f>
      </c>
      <c r="I577" s="560">
        <f>(1+$G$5)^(D577/12)*(H577+IF(E577=$N$7,$N$4,0))</f>
      </c>
      <c r="J577" s="561">
        <f>(1+$G$5)^(D577/12)*(H577*(12-IF(MONTH(E578)=12,0,MONTH(E578)))+IF(AND(F577=1,F578=0),$Q$4,0))*IF(AND(F577=1,F578=0),1,0)</f>
      </c>
      <c r="K577" s="217">
        <f>(1+$G$5)^(D577/12)*(IF(E577=$N$7,$N$4,0)+IF(E577=$C$6,$B$10,0))</f>
      </c>
      <c r="L577" s="217">
        <f>(1+$G$5)^(D577/12)*(IF((E577)&gt;($B$6),H577,0)+IF(E577=$N$7,$N$4,0)+IF(E577=$C$6,0,0))</f>
      </c>
      <c r="M577" s="1"/>
      <c r="N577" s="7"/>
      <c r="O577" s="1"/>
      <c r="P577" s="331">
        <v>570</v>
      </c>
      <c r="Q577" s="544">
        <f>+DATE(YEAR(Q576),MONTH(Q576)-1,DAY(Q576))</f>
        <v>25569.041666666668</v>
      </c>
      <c r="R577" s="341">
        <f>IF($Z$7=$E577,1,IF(MONTH($E577)=1,R578*(1+$F$5),R578))</f>
      </c>
      <c r="S577" s="334">
        <f>R577*$B$8/12</f>
      </c>
      <c r="T577" s="334">
        <f>R577*$B$11/12</f>
      </c>
      <c r="U577" s="565">
        <f>(1+$V$5)^(P577/12)*(T577+IF(Q577=$Z$7,$Z$4,0))</f>
      </c>
      <c r="V577" s="170"/>
      <c r="W577" s="7"/>
      <c r="X577" s="1"/>
      <c r="Y577" s="1"/>
      <c r="Z577" s="1"/>
      <c r="AA577" s="1"/>
      <c r="AB577" s="1"/>
      <c r="AC577" s="331">
        <v>570</v>
      </c>
      <c r="AD577" s="544">
        <f>+DATE(YEAR(AD576),MONTH(AD576)-1,DAY(AD576))</f>
        <v>25569.041666666668</v>
      </c>
      <c r="AE577" s="341">
        <f>IF($AM$7=$E577,1,IF(MONTH($E577)=1,AE578*(1+$F$5),AE578))</f>
      </c>
      <c r="AF577" s="334">
        <f>AE577*$B$8/12</f>
      </c>
      <c r="AG577" s="334">
        <f>AE577*$B$12/12</f>
      </c>
      <c r="AH577" s="565">
        <f>(1+$AI$5)^(AC577/12)*(AG577+IF(AD577=$AM$7,$AM$4,0))</f>
      </c>
      <c r="AI577" s="170"/>
      <c r="AJ577" s="7"/>
      <c r="AK577" s="1"/>
      <c r="AL577" s="1"/>
      <c r="AM577" s="1"/>
    </row>
    <row x14ac:dyDescent="0.25" r="578" customHeight="1" ht="18.75">
      <c r="A578" s="1"/>
      <c r="B578" s="169"/>
      <c r="C578" s="170"/>
      <c r="D578" s="331">
        <v>571</v>
      </c>
      <c r="E578" s="544">
        <f>+DATE(YEAR(E577),MONTH(E577)-1,DAY(E577))</f>
        <v>25569.041666666668</v>
      </c>
      <c r="F578" s="333">
        <f>IF($C$6=$E578,1,IF(MONTH($E578)=1,F579*(1+$F$5),F579))</f>
      </c>
      <c r="G578" s="333">
        <f>F578*$B$8/12</f>
      </c>
      <c r="H578" s="333">
        <f>IF(F578=1,F578*$B$10/MIN(12,'Simulador - 3º Pilar'!$E$88),0)</f>
      </c>
      <c r="I578" s="560">
        <f>(1+$G$5)^(D578/12)*(H578+IF(E578=$N$7,$N$4,0))</f>
      </c>
      <c r="J578" s="561">
        <f>(1+$G$5)^(D578/12)*(H578*(12-IF(MONTH(E579)=12,0,MONTH(E579)))+IF(AND(F578=1,F579=0),$Q$4,0))*IF(AND(F578=1,F579=0),1,0)</f>
      </c>
      <c r="K578" s="217">
        <f>(1+$G$5)^(D578/12)*(IF(E578=$N$7,$N$4,0)+IF(E578=$C$6,$B$10,0))</f>
      </c>
      <c r="L578" s="217">
        <f>(1+$G$5)^(D578/12)*(IF((E578)&gt;($B$6),H578,0)+IF(E578=$N$7,$N$4,0)+IF(E578=$C$6,0,0))</f>
      </c>
      <c r="M578" s="1"/>
      <c r="N578" s="7"/>
      <c r="O578" s="1"/>
      <c r="P578" s="331">
        <v>571</v>
      </c>
      <c r="Q578" s="544">
        <f>+DATE(YEAR(Q577),MONTH(Q577)-1,DAY(Q577))</f>
        <v>25569.041666666668</v>
      </c>
      <c r="R578" s="341">
        <f>IF($Z$7=$E578,1,IF(MONTH($E578)=1,R579*(1+$F$5),R579))</f>
      </c>
      <c r="S578" s="334">
        <f>R578*$B$8/12</f>
      </c>
      <c r="T578" s="334">
        <f>R578*$B$11/12</f>
      </c>
      <c r="U578" s="565">
        <f>(1+$V$5)^(P578/12)*(T578+IF(Q578=$Z$7,$Z$4,0))</f>
      </c>
      <c r="V578" s="170"/>
      <c r="W578" s="7"/>
      <c r="X578" s="1"/>
      <c r="Y578" s="1"/>
      <c r="Z578" s="1"/>
      <c r="AA578" s="1"/>
      <c r="AB578" s="1"/>
      <c r="AC578" s="331">
        <v>571</v>
      </c>
      <c r="AD578" s="544">
        <f>+DATE(YEAR(AD577),MONTH(AD577)-1,DAY(AD577))</f>
        <v>25569.041666666668</v>
      </c>
      <c r="AE578" s="341">
        <f>IF($AM$7=$E578,1,IF(MONTH($E578)=1,AE579*(1+$F$5),AE579))</f>
      </c>
      <c r="AF578" s="334">
        <f>AE578*$B$8/12</f>
      </c>
      <c r="AG578" s="334">
        <f>AE578*$B$12/12</f>
      </c>
      <c r="AH578" s="565">
        <f>(1+$AI$5)^(AC578/12)*(AG578+IF(AD578=$AM$7,$AM$4,0))</f>
      </c>
      <c r="AI578" s="170"/>
      <c r="AJ578" s="7"/>
      <c r="AK578" s="1"/>
      <c r="AL578" s="1"/>
      <c r="AM578" s="1"/>
    </row>
    <row x14ac:dyDescent="0.25" r="579" customHeight="1" ht="18.75">
      <c r="A579" s="1"/>
      <c r="B579" s="169"/>
      <c r="C579" s="170"/>
      <c r="D579" s="331">
        <v>572</v>
      </c>
      <c r="E579" s="544">
        <f>+DATE(YEAR(E578),MONTH(E578)-1,DAY(E578))</f>
        <v>25569.041666666668</v>
      </c>
      <c r="F579" s="333">
        <f>IF($C$6=$E579,1,IF(MONTH($E579)=1,F580*(1+$F$5),F580))</f>
      </c>
      <c r="G579" s="333">
        <f>F579*$B$8/12</f>
      </c>
      <c r="H579" s="333">
        <f>IF(F579=1,F579*$B$10/MIN(12,'Simulador - 3º Pilar'!$E$88),0)</f>
      </c>
      <c r="I579" s="560">
        <f>(1+$G$5)^(D579/12)*(H579+IF(E579=$N$7,$N$4,0))</f>
      </c>
      <c r="J579" s="561">
        <f>(1+$G$5)^(D579/12)*(H579*(12-IF(MONTH(E580)=12,0,MONTH(E580)))+IF(AND(F579=1,F580=0),$Q$4,0))*IF(AND(F579=1,F580=0),1,0)</f>
      </c>
      <c r="K579" s="217">
        <f>(1+$G$5)^(D579/12)*(IF(E579=$N$7,$N$4,0)+IF(E579=$C$6,$B$10,0))</f>
      </c>
      <c r="L579" s="217">
        <f>(1+$G$5)^(D579/12)*(IF((E579)&gt;($B$6),H579,0)+IF(E579=$N$7,$N$4,0)+IF(E579=$C$6,0,0))</f>
      </c>
      <c r="M579" s="1"/>
      <c r="N579" s="7"/>
      <c r="O579" s="1"/>
      <c r="P579" s="331">
        <v>572</v>
      </c>
      <c r="Q579" s="544">
        <f>+DATE(YEAR(Q578),MONTH(Q578)-1,DAY(Q578))</f>
        <v>25569.041666666668</v>
      </c>
      <c r="R579" s="341">
        <f>IF($Z$7=$E579,1,IF(MONTH($E579)=1,R580*(1+$F$5),R580))</f>
      </c>
      <c r="S579" s="334">
        <f>R579*$B$8/12</f>
      </c>
      <c r="T579" s="334">
        <f>R579*$B$11/12</f>
      </c>
      <c r="U579" s="565">
        <f>(1+$V$5)^(P579/12)*(T579+IF(Q579=$Z$7,$Z$4,0))</f>
      </c>
      <c r="V579" s="170"/>
      <c r="W579" s="7"/>
      <c r="X579" s="1"/>
      <c r="Y579" s="1"/>
      <c r="Z579" s="1"/>
      <c r="AA579" s="1"/>
      <c r="AB579" s="1"/>
      <c r="AC579" s="331">
        <v>572</v>
      </c>
      <c r="AD579" s="544">
        <f>+DATE(YEAR(AD578),MONTH(AD578)-1,DAY(AD578))</f>
        <v>25569.041666666668</v>
      </c>
      <c r="AE579" s="341">
        <f>IF($AM$7=$E579,1,IF(MONTH($E579)=1,AE580*(1+$F$5),AE580))</f>
      </c>
      <c r="AF579" s="334">
        <f>AE579*$B$8/12</f>
      </c>
      <c r="AG579" s="334">
        <f>AE579*$B$12/12</f>
      </c>
      <c r="AH579" s="565">
        <f>(1+$AI$5)^(AC579/12)*(AG579+IF(AD579=$AM$7,$AM$4,0))</f>
      </c>
      <c r="AI579" s="170"/>
      <c r="AJ579" s="7"/>
      <c r="AK579" s="1"/>
      <c r="AL579" s="1"/>
      <c r="AM579" s="1"/>
    </row>
    <row x14ac:dyDescent="0.25" r="580" customHeight="1" ht="18.75">
      <c r="A580" s="1"/>
      <c r="B580" s="169"/>
      <c r="C580" s="170"/>
      <c r="D580" s="331">
        <v>573</v>
      </c>
      <c r="E580" s="544">
        <f>+DATE(YEAR(E579),MONTH(E579)-1,DAY(E579))</f>
        <v>25569.041666666668</v>
      </c>
      <c r="F580" s="333">
        <f>IF($C$6=$E580,1,IF(MONTH($E580)=1,F581*(1+$F$5),F581))</f>
      </c>
      <c r="G580" s="333">
        <f>F580*$B$8/12</f>
      </c>
      <c r="H580" s="333">
        <f>IF(F580=1,F580*$B$10/MIN(12,'Simulador - 3º Pilar'!$E$88),0)</f>
      </c>
      <c r="I580" s="560">
        <f>(1+$G$5)^(D580/12)*(H580+IF(E580=$N$7,$N$4,0))</f>
      </c>
      <c r="J580" s="561">
        <f>(1+$G$5)^(D580/12)*(H580*(12-IF(MONTH(E581)=12,0,MONTH(E581)))+IF(AND(F580=1,F581=0),$Q$4,0))*IF(AND(F580=1,F581=0),1,0)</f>
      </c>
      <c r="K580" s="217">
        <f>(1+$G$5)^(D580/12)*(IF(E580=$N$7,$N$4,0)+IF(E580=$C$6,$B$10,0))</f>
      </c>
      <c r="L580" s="217">
        <f>(1+$G$5)^(D580/12)*(IF((E580)&gt;($B$6),H580,0)+IF(E580=$N$7,$N$4,0)+IF(E580=$C$6,0,0))</f>
      </c>
      <c r="M580" s="1"/>
      <c r="N580" s="7"/>
      <c r="O580" s="1"/>
      <c r="P580" s="331">
        <v>573</v>
      </c>
      <c r="Q580" s="544">
        <f>+DATE(YEAR(Q579),MONTH(Q579)-1,DAY(Q579))</f>
        <v>25569.041666666668</v>
      </c>
      <c r="R580" s="341">
        <f>IF($Z$7=$E580,1,IF(MONTH($E580)=1,R581*(1+$F$5),R581))</f>
      </c>
      <c r="S580" s="334">
        <f>R580*$B$8/12</f>
      </c>
      <c r="T580" s="334">
        <f>R580*$B$11/12</f>
      </c>
      <c r="U580" s="565">
        <f>(1+$V$5)^(P580/12)*(T580+IF(Q580=$Z$7,$Z$4,0))</f>
      </c>
      <c r="V580" s="170"/>
      <c r="W580" s="7"/>
      <c r="X580" s="1"/>
      <c r="Y580" s="1"/>
      <c r="Z580" s="1"/>
      <c r="AA580" s="1"/>
      <c r="AB580" s="1"/>
      <c r="AC580" s="331">
        <v>573</v>
      </c>
      <c r="AD580" s="544">
        <f>+DATE(YEAR(AD579),MONTH(AD579)-1,DAY(AD579))</f>
        <v>25569.041666666668</v>
      </c>
      <c r="AE580" s="341">
        <f>IF($AM$7=$E580,1,IF(MONTH($E580)=1,AE581*(1+$F$5),AE581))</f>
      </c>
      <c r="AF580" s="334">
        <f>AE580*$B$8/12</f>
      </c>
      <c r="AG580" s="334">
        <f>AE580*$B$12/12</f>
      </c>
      <c r="AH580" s="565">
        <f>(1+$AI$5)^(AC580/12)*(AG580+IF(AD580=$AM$7,$AM$4,0))</f>
      </c>
      <c r="AI580" s="170"/>
      <c r="AJ580" s="7"/>
      <c r="AK580" s="1"/>
      <c r="AL580" s="1"/>
      <c r="AM580" s="1"/>
    </row>
    <row x14ac:dyDescent="0.25" r="581" customHeight="1" ht="18.75">
      <c r="A581" s="1"/>
      <c r="B581" s="169"/>
      <c r="C581" s="170"/>
      <c r="D581" s="331">
        <v>574</v>
      </c>
      <c r="E581" s="544">
        <f>+DATE(YEAR(E580),MONTH(E580)-1,DAY(E580))</f>
        <v>25569.041666666668</v>
      </c>
      <c r="F581" s="333">
        <f>IF($C$6=$E581,1,IF(MONTH($E581)=1,F582*(1+$F$5),F582))</f>
      </c>
      <c r="G581" s="333">
        <f>F581*$B$8/12</f>
      </c>
      <c r="H581" s="333">
        <f>IF(F581=1,F581*$B$10/MIN(12,'Simulador - 3º Pilar'!$E$88),0)</f>
      </c>
      <c r="I581" s="560">
        <f>(1+$G$5)^(D581/12)*(H581+IF(E581=$N$7,$N$4,0))</f>
      </c>
      <c r="J581" s="561">
        <f>(1+$G$5)^(D581/12)*(H581*(12-IF(MONTH(E582)=12,0,MONTH(E582)))+IF(AND(F581=1,F582=0),$Q$4,0))*IF(AND(F581=1,F582=0),1,0)</f>
      </c>
      <c r="K581" s="217">
        <f>(1+$G$5)^(D581/12)*(IF(E581=$N$7,$N$4,0)+IF(E581=$C$6,$B$10,0))</f>
      </c>
      <c r="L581" s="217">
        <f>(1+$G$5)^(D581/12)*(IF((E581)&gt;($B$6),H581,0)+IF(E581=$N$7,$N$4,0)+IF(E581=$C$6,0,0))</f>
      </c>
      <c r="M581" s="1"/>
      <c r="N581" s="7"/>
      <c r="O581" s="1"/>
      <c r="P581" s="331">
        <v>574</v>
      </c>
      <c r="Q581" s="544">
        <f>+DATE(YEAR(Q580),MONTH(Q580)-1,DAY(Q580))</f>
        <v>25569.041666666668</v>
      </c>
      <c r="R581" s="341">
        <f>IF($Z$7=$E581,1,IF(MONTH($E581)=1,R582*(1+$F$5),R582))</f>
      </c>
      <c r="S581" s="334">
        <f>R581*$B$8/12</f>
      </c>
      <c r="T581" s="334">
        <f>R581*$B$11/12</f>
      </c>
      <c r="U581" s="565">
        <f>(1+$V$5)^(P581/12)*(T581+IF(Q581=$Z$7,$Z$4,0))</f>
      </c>
      <c r="V581" s="170"/>
      <c r="W581" s="7"/>
      <c r="X581" s="1"/>
      <c r="Y581" s="1"/>
      <c r="Z581" s="1"/>
      <c r="AA581" s="1"/>
      <c r="AB581" s="1"/>
      <c r="AC581" s="331">
        <v>574</v>
      </c>
      <c r="AD581" s="544">
        <f>+DATE(YEAR(AD580),MONTH(AD580)-1,DAY(AD580))</f>
        <v>25569.041666666668</v>
      </c>
      <c r="AE581" s="341">
        <f>IF($AM$7=$E581,1,IF(MONTH($E581)=1,AE582*(1+$F$5),AE582))</f>
      </c>
      <c r="AF581" s="334">
        <f>AE581*$B$8/12</f>
      </c>
      <c r="AG581" s="334">
        <f>AE581*$B$12/12</f>
      </c>
      <c r="AH581" s="565">
        <f>(1+$AI$5)^(AC581/12)*(AG581+IF(AD581=$AM$7,$AM$4,0))</f>
      </c>
      <c r="AI581" s="170"/>
      <c r="AJ581" s="7"/>
      <c r="AK581" s="1"/>
      <c r="AL581" s="1"/>
      <c r="AM581" s="1"/>
    </row>
    <row x14ac:dyDescent="0.25" r="582" customHeight="1" ht="18.75">
      <c r="A582" s="1"/>
      <c r="B582" s="169"/>
      <c r="C582" s="170"/>
      <c r="D582" s="331">
        <v>575</v>
      </c>
      <c r="E582" s="544">
        <f>+DATE(YEAR(E581),MONTH(E581)-1,DAY(E581))</f>
        <v>25569.041666666668</v>
      </c>
      <c r="F582" s="333">
        <f>IF($C$6=$E582,1,IF(MONTH($E582)=1,F583*(1+$F$5),F583))</f>
      </c>
      <c r="G582" s="333">
        <f>F582*$B$8/12</f>
      </c>
      <c r="H582" s="333">
        <f>IF(F582=1,F582*$B$10/MIN(12,'Simulador - 3º Pilar'!$E$88),0)</f>
      </c>
      <c r="I582" s="560">
        <f>(1+$G$5)^(D582/12)*(H582+IF(E582=$N$7,$N$4,0))</f>
      </c>
      <c r="J582" s="561">
        <f>(1+$G$5)^(D582/12)*(H582*(12-IF(MONTH(E583)=12,0,MONTH(E583)))+IF(AND(F582=1,F583=0),$Q$4,0))*IF(AND(F582=1,F583=0),1,0)</f>
      </c>
      <c r="K582" s="217">
        <f>(1+$G$5)^(D582/12)*(IF(E582=$N$7,$N$4,0)+IF(E582=$C$6,$B$10,0))</f>
      </c>
      <c r="L582" s="217">
        <f>(1+$G$5)^(D582/12)*(IF((E582)&gt;($B$6),H582,0)+IF(E582=$N$7,$N$4,0)+IF(E582=$C$6,0,0))</f>
      </c>
      <c r="M582" s="1"/>
      <c r="N582" s="7"/>
      <c r="O582" s="1"/>
      <c r="P582" s="331">
        <v>575</v>
      </c>
      <c r="Q582" s="544">
        <f>+DATE(YEAR(Q581),MONTH(Q581)-1,DAY(Q581))</f>
        <v>25569.041666666668</v>
      </c>
      <c r="R582" s="341">
        <f>IF($Z$7=$E582,1,IF(MONTH($E582)=1,R583*(1+$F$5),R583))</f>
      </c>
      <c r="S582" s="334">
        <f>R582*$B$8/12</f>
      </c>
      <c r="T582" s="334">
        <f>R582*$B$11/12</f>
      </c>
      <c r="U582" s="565">
        <f>(1+$V$5)^(P582/12)*(T582+IF(Q582=$Z$7,$Z$4,0))</f>
      </c>
      <c r="V582" s="170"/>
      <c r="W582" s="7"/>
      <c r="X582" s="1"/>
      <c r="Y582" s="1"/>
      <c r="Z582" s="1"/>
      <c r="AA582" s="1"/>
      <c r="AB582" s="1"/>
      <c r="AC582" s="331">
        <v>575</v>
      </c>
      <c r="AD582" s="544">
        <f>+DATE(YEAR(AD581),MONTH(AD581)-1,DAY(AD581))</f>
        <v>25569.041666666668</v>
      </c>
      <c r="AE582" s="341">
        <f>IF($AM$7=$E582,1,IF(MONTH($E582)=1,AE583*(1+$F$5),AE583))</f>
      </c>
      <c r="AF582" s="334">
        <f>AE582*$B$8/12</f>
      </c>
      <c r="AG582" s="334">
        <f>AE582*$B$12/12</f>
      </c>
      <c r="AH582" s="565">
        <f>(1+$AI$5)^(AC582/12)*(AG582+IF(AD582=$AM$7,$AM$4,0))</f>
      </c>
      <c r="AI582" s="170"/>
      <c r="AJ582" s="7"/>
      <c r="AK582" s="1"/>
      <c r="AL582" s="1"/>
      <c r="AM582" s="1"/>
    </row>
    <row x14ac:dyDescent="0.25" r="583" customHeight="1" ht="18.75">
      <c r="A583" s="1"/>
      <c r="B583" s="169"/>
      <c r="C583" s="170"/>
      <c r="D583" s="331">
        <v>576</v>
      </c>
      <c r="E583" s="544">
        <f>+DATE(YEAR(E582),MONTH(E582)-1,DAY(E582))</f>
        <v>25569.041666666668</v>
      </c>
      <c r="F583" s="333">
        <f>IF($C$6=$E583,1,IF(MONTH($E583)=1,F584*(1+$F$5),F584))</f>
      </c>
      <c r="G583" s="333">
        <f>F583*$B$8/12</f>
      </c>
      <c r="H583" s="333">
        <f>IF(F583=1,F583*$B$10/MIN(12,'Simulador - 3º Pilar'!$E$88),0)</f>
      </c>
      <c r="I583" s="560">
        <f>(1+$G$5)^(D583/12)*(H583+IF(E583=$N$7,$N$4,0))</f>
      </c>
      <c r="J583" s="561">
        <f>(1+$G$5)^(D583/12)*(H583*(12-IF(MONTH(E584)=12,0,MONTH(E584)))+IF(AND(F583=1,F584=0),$Q$4,0))*IF(AND(F583=1,F584=0),1,0)</f>
      </c>
      <c r="K583" s="217">
        <f>(1+$G$5)^(D583/12)*(IF(E583=$N$7,$N$4,0)+IF(E583=$C$6,$B$10,0))</f>
      </c>
      <c r="L583" s="217">
        <f>(1+$G$5)^(D583/12)*(IF((E583)&gt;($B$6),H583,0)+IF(E583=$N$7,$N$4,0)+IF(E583=$C$6,0,0))</f>
      </c>
      <c r="M583" s="1"/>
      <c r="N583" s="7"/>
      <c r="O583" s="1"/>
      <c r="P583" s="331">
        <v>576</v>
      </c>
      <c r="Q583" s="544">
        <f>+DATE(YEAR(Q582),MONTH(Q582)-1,DAY(Q582))</f>
        <v>25569.041666666668</v>
      </c>
      <c r="R583" s="341">
        <f>IF($Z$7=$E583,1,IF(MONTH($E583)=1,R584*(1+$F$5),R584))</f>
      </c>
      <c r="S583" s="334">
        <f>R583*$B$8/12</f>
      </c>
      <c r="T583" s="334">
        <f>R583*$B$11/12</f>
      </c>
      <c r="U583" s="565">
        <f>(1+$V$5)^(P583/12)*(T583+IF(Q583=$Z$7,$Z$4,0))</f>
      </c>
      <c r="V583" s="170"/>
      <c r="W583" s="7"/>
      <c r="X583" s="1"/>
      <c r="Y583" s="1"/>
      <c r="Z583" s="1"/>
      <c r="AA583" s="1"/>
      <c r="AB583" s="1"/>
      <c r="AC583" s="331">
        <v>576</v>
      </c>
      <c r="AD583" s="544">
        <f>+DATE(YEAR(AD582),MONTH(AD582)-1,DAY(AD582))</f>
        <v>25569.041666666668</v>
      </c>
      <c r="AE583" s="341">
        <f>IF($AM$7=$E583,1,IF(MONTH($E583)=1,AE584*(1+$F$5),AE584))</f>
      </c>
      <c r="AF583" s="334">
        <f>AE583*$B$8/12</f>
      </c>
      <c r="AG583" s="334">
        <f>AE583*$B$12/12</f>
      </c>
      <c r="AH583" s="565">
        <f>(1+$AI$5)^(AC583/12)*(AG583+IF(AD583=$AM$7,$AM$4,0))</f>
      </c>
      <c r="AI583" s="170"/>
      <c r="AJ583" s="7"/>
      <c r="AK583" s="1"/>
      <c r="AL583" s="1"/>
      <c r="AM583" s="1"/>
    </row>
    <row x14ac:dyDescent="0.25" r="584" customHeight="1" ht="18.75">
      <c r="A584" s="1"/>
      <c r="B584" s="169"/>
      <c r="C584" s="170"/>
      <c r="D584" s="331">
        <v>577</v>
      </c>
      <c r="E584" s="544">
        <f>+DATE(YEAR(E583),MONTH(E583)-1,DAY(E583))</f>
        <v>25569.041666666668</v>
      </c>
      <c r="F584" s="333">
        <f>IF($C$6=$E584,1,IF(MONTH($E584)=1,F585*(1+$F$5),F585))</f>
      </c>
      <c r="G584" s="333">
        <f>F584*$B$8/12</f>
      </c>
      <c r="H584" s="333">
        <f>IF(F584=1,F584*$B$10/MIN(12,'Simulador - 3º Pilar'!$E$88),0)</f>
      </c>
      <c r="I584" s="560">
        <f>(1+$G$5)^(D584/12)*(H584+IF(E584=$N$7,$N$4,0))</f>
      </c>
      <c r="J584" s="561">
        <f>(1+$G$5)^(D584/12)*(H584*(12-IF(MONTH(E585)=12,0,MONTH(E585)))+IF(AND(F584=1,F585=0),$Q$4,0))*IF(AND(F584=1,F585=0),1,0)</f>
      </c>
      <c r="K584" s="217">
        <f>(1+$G$5)^(D584/12)*(IF(E584=$N$7,$N$4,0)+IF(E584=$C$6,$B$10,0))</f>
      </c>
      <c r="L584" s="217">
        <f>(1+$G$5)^(D584/12)*(IF((E584)&gt;($B$6),H584,0)+IF(E584=$N$7,$N$4,0)+IF(E584=$C$6,0,0))</f>
      </c>
      <c r="M584" s="1"/>
      <c r="N584" s="7"/>
      <c r="O584" s="1"/>
      <c r="P584" s="331">
        <v>577</v>
      </c>
      <c r="Q584" s="544">
        <f>+DATE(YEAR(Q583),MONTH(Q583)-1,DAY(Q583))</f>
        <v>25569.041666666668</v>
      </c>
      <c r="R584" s="341">
        <f>IF($Z$7=$E584,1,IF(MONTH($E584)=1,R585*(1+$F$5),R585))</f>
      </c>
      <c r="S584" s="334">
        <f>R584*$B$8/12</f>
      </c>
      <c r="T584" s="334">
        <f>R584*$B$11/12</f>
      </c>
      <c r="U584" s="565">
        <f>(1+$V$5)^(P584/12)*(T584+IF(Q584=$Z$7,$Z$4,0))</f>
      </c>
      <c r="V584" s="170"/>
      <c r="W584" s="7"/>
      <c r="X584" s="1"/>
      <c r="Y584" s="1"/>
      <c r="Z584" s="1"/>
      <c r="AA584" s="1"/>
      <c r="AB584" s="1"/>
      <c r="AC584" s="331">
        <v>577</v>
      </c>
      <c r="AD584" s="544">
        <f>+DATE(YEAR(AD583),MONTH(AD583)-1,DAY(AD583))</f>
        <v>25569.041666666668</v>
      </c>
      <c r="AE584" s="341">
        <f>IF($AM$7=$E584,1,IF(MONTH($E584)=1,AE585*(1+$F$5),AE585))</f>
      </c>
      <c r="AF584" s="334">
        <f>AE584*$B$8/12</f>
      </c>
      <c r="AG584" s="334">
        <f>AE584*$B$12/12</f>
      </c>
      <c r="AH584" s="565">
        <f>(1+$AI$5)^(AC584/12)*(AG584+IF(AD584=$AM$7,$AM$4,0))</f>
      </c>
      <c r="AI584" s="170"/>
      <c r="AJ584" s="7"/>
      <c r="AK584" s="1"/>
      <c r="AL584" s="1"/>
      <c r="AM584" s="1"/>
    </row>
    <row x14ac:dyDescent="0.25" r="585" customHeight="1" ht="18.75">
      <c r="A585" s="1"/>
      <c r="B585" s="169"/>
      <c r="C585" s="170"/>
      <c r="D585" s="331">
        <v>578</v>
      </c>
      <c r="E585" s="544">
        <f>+DATE(YEAR(E584),MONTH(E584)-1,DAY(E584))</f>
        <v>25569.041666666668</v>
      </c>
      <c r="F585" s="333">
        <f>IF($C$6=$E585,1,IF(MONTH($E585)=1,F586*(1+$F$5),F586))</f>
      </c>
      <c r="G585" s="333">
        <f>F585*$B$8/12</f>
      </c>
      <c r="H585" s="333">
        <f>IF(F585=1,F585*$B$10/MIN(12,'Simulador - 3º Pilar'!$E$88),0)</f>
      </c>
      <c r="I585" s="560">
        <f>(1+$G$5)^(D585/12)*(H585+IF(E585=$N$7,$N$4,0))</f>
      </c>
      <c r="J585" s="561">
        <f>(1+$G$5)^(D585/12)*(H585*(12-IF(MONTH(E586)=12,0,MONTH(E586)))+IF(AND(F585=1,F586=0),$Q$4,0))*IF(AND(F585=1,F586=0),1,0)</f>
      </c>
      <c r="K585" s="217">
        <f>(1+$G$5)^(D585/12)*(IF(E585=$N$7,$N$4,0)+IF(E585=$C$6,$B$10,0))</f>
      </c>
      <c r="L585" s="217">
        <f>(1+$G$5)^(D585/12)*(IF((E585)&gt;($B$6),H585,0)+IF(E585=$N$7,$N$4,0)+IF(E585=$C$6,0,0))</f>
      </c>
      <c r="M585" s="1"/>
      <c r="N585" s="7"/>
      <c r="O585" s="1"/>
      <c r="P585" s="331">
        <v>578</v>
      </c>
      <c r="Q585" s="544">
        <f>+DATE(YEAR(Q584),MONTH(Q584)-1,DAY(Q584))</f>
        <v>25569.041666666668</v>
      </c>
      <c r="R585" s="341">
        <f>IF($Z$7=$E585,1,IF(MONTH($E585)=1,R586*(1+$F$5),R586))</f>
      </c>
      <c r="S585" s="334">
        <f>R585*$B$8/12</f>
      </c>
      <c r="T585" s="334">
        <f>R585*$B$11/12</f>
      </c>
      <c r="U585" s="565">
        <f>(1+$V$5)^(P585/12)*(T585+IF(Q585=$Z$7,$Z$4,0))</f>
      </c>
      <c r="V585" s="170"/>
      <c r="W585" s="7"/>
      <c r="X585" s="1"/>
      <c r="Y585" s="1"/>
      <c r="Z585" s="1"/>
      <c r="AA585" s="1"/>
      <c r="AB585" s="1"/>
      <c r="AC585" s="331">
        <v>578</v>
      </c>
      <c r="AD585" s="544">
        <f>+DATE(YEAR(AD584),MONTH(AD584)-1,DAY(AD584))</f>
        <v>25569.041666666668</v>
      </c>
      <c r="AE585" s="341">
        <f>IF($AM$7=$E585,1,IF(MONTH($E585)=1,AE586*(1+$F$5),AE586))</f>
      </c>
      <c r="AF585" s="334">
        <f>AE585*$B$8/12</f>
      </c>
      <c r="AG585" s="334">
        <f>AE585*$B$12/12</f>
      </c>
      <c r="AH585" s="565">
        <f>(1+$AI$5)^(AC585/12)*(AG585+IF(AD585=$AM$7,$AM$4,0))</f>
      </c>
      <c r="AI585" s="170"/>
      <c r="AJ585" s="7"/>
      <c r="AK585" s="1"/>
      <c r="AL585" s="1"/>
      <c r="AM585" s="1"/>
    </row>
    <row x14ac:dyDescent="0.25" r="586" customHeight="1" ht="18.75">
      <c r="A586" s="1"/>
      <c r="B586" s="169"/>
      <c r="C586" s="170"/>
      <c r="D586" s="331">
        <v>579</v>
      </c>
      <c r="E586" s="544">
        <f>+DATE(YEAR(E585),MONTH(E585)-1,DAY(E585))</f>
        <v>25569.041666666668</v>
      </c>
      <c r="F586" s="333">
        <f>IF($C$6=$E586,1,IF(MONTH($E586)=1,F587*(1+$F$5),F587))</f>
      </c>
      <c r="G586" s="333">
        <f>F586*$B$8/12</f>
      </c>
      <c r="H586" s="333">
        <f>IF(F586=1,F586*$B$10/MIN(12,'Simulador - 3º Pilar'!$E$88),0)</f>
      </c>
      <c r="I586" s="560">
        <f>(1+$G$5)^(D586/12)*(H586+IF(E586=$N$7,$N$4,0))</f>
      </c>
      <c r="J586" s="561">
        <f>(1+$G$5)^(D586/12)*(H586*(12-IF(MONTH(E587)=12,0,MONTH(E587)))+IF(AND(F586=1,F587=0),$Q$4,0))*IF(AND(F586=1,F587=0),1,0)</f>
      </c>
      <c r="K586" s="217">
        <f>(1+$G$5)^(D586/12)*(IF(E586=$N$7,$N$4,0)+IF(E586=$C$6,$B$10,0))</f>
      </c>
      <c r="L586" s="217">
        <f>(1+$G$5)^(D586/12)*(IF((E586)&gt;($B$6),H586,0)+IF(E586=$N$7,$N$4,0)+IF(E586=$C$6,0,0))</f>
      </c>
      <c r="M586" s="1"/>
      <c r="N586" s="7"/>
      <c r="O586" s="1"/>
      <c r="P586" s="331">
        <v>579</v>
      </c>
      <c r="Q586" s="544">
        <f>+DATE(YEAR(Q585),MONTH(Q585)-1,DAY(Q585))</f>
        <v>25569.041666666668</v>
      </c>
      <c r="R586" s="341">
        <f>IF($Z$7=$E586,1,IF(MONTH($E586)=1,R587*(1+$F$5),R587))</f>
      </c>
      <c r="S586" s="334">
        <f>R586*$B$8/12</f>
      </c>
      <c r="T586" s="334">
        <f>R586*$B$11/12</f>
      </c>
      <c r="U586" s="565">
        <f>(1+$V$5)^(P586/12)*(T586+IF(Q586=$Z$7,$Z$4,0))</f>
      </c>
      <c r="V586" s="170"/>
      <c r="W586" s="7"/>
      <c r="X586" s="1"/>
      <c r="Y586" s="1"/>
      <c r="Z586" s="1"/>
      <c r="AA586" s="1"/>
      <c r="AB586" s="1"/>
      <c r="AC586" s="331">
        <v>579</v>
      </c>
      <c r="AD586" s="544">
        <f>+DATE(YEAR(AD585),MONTH(AD585)-1,DAY(AD585))</f>
        <v>25569.041666666668</v>
      </c>
      <c r="AE586" s="341">
        <f>IF($AM$7=$E586,1,IF(MONTH($E586)=1,AE587*(1+$F$5),AE587))</f>
      </c>
      <c r="AF586" s="334">
        <f>AE586*$B$8/12</f>
      </c>
      <c r="AG586" s="334">
        <f>AE586*$B$12/12</f>
      </c>
      <c r="AH586" s="565">
        <f>(1+$AI$5)^(AC586/12)*(AG586+IF(AD586=$AM$7,$AM$4,0))</f>
      </c>
      <c r="AI586" s="170"/>
      <c r="AJ586" s="7"/>
      <c r="AK586" s="1"/>
      <c r="AL586" s="1"/>
      <c r="AM586" s="1"/>
    </row>
    <row x14ac:dyDescent="0.25" r="587" customHeight="1" ht="18.75">
      <c r="A587" s="1"/>
      <c r="B587" s="169"/>
      <c r="C587" s="170"/>
      <c r="D587" s="331">
        <v>580</v>
      </c>
      <c r="E587" s="544">
        <f>+DATE(YEAR(E586),MONTH(E586)-1,DAY(E586))</f>
        <v>25569.041666666668</v>
      </c>
      <c r="F587" s="333">
        <f>IF($C$6=$E587,1,IF(MONTH($E587)=1,F588*(1+$F$5),F588))</f>
      </c>
      <c r="G587" s="333">
        <f>F587*$B$8/12</f>
      </c>
      <c r="H587" s="333">
        <f>IF(F587=1,F587*$B$10/MIN(12,'Simulador - 3º Pilar'!$E$88),0)</f>
      </c>
      <c r="I587" s="560">
        <f>(1+$G$5)^(D587/12)*(H587+IF(E587=$N$7,$N$4,0))</f>
      </c>
      <c r="J587" s="561">
        <f>(1+$G$5)^(D587/12)*(H587*(12-IF(MONTH(E588)=12,0,MONTH(E588)))+IF(AND(F587=1,F588=0),$Q$4,0))*IF(AND(F587=1,F588=0),1,0)</f>
      </c>
      <c r="K587" s="217">
        <f>(1+$G$5)^(D587/12)*(IF(E587=$N$7,$N$4,0)+IF(E587=$C$6,$B$10,0))</f>
      </c>
      <c r="L587" s="217">
        <f>(1+$G$5)^(D587/12)*(IF((E587)&gt;($B$6),H587,0)+IF(E587=$N$7,$N$4,0)+IF(E587=$C$6,0,0))</f>
      </c>
      <c r="M587" s="1"/>
      <c r="N587" s="7"/>
      <c r="O587" s="1"/>
      <c r="P587" s="331">
        <v>580</v>
      </c>
      <c r="Q587" s="544">
        <f>+DATE(YEAR(Q586),MONTH(Q586)-1,DAY(Q586))</f>
        <v>25569.041666666668</v>
      </c>
      <c r="R587" s="341">
        <f>IF($Z$7=$E587,1,IF(MONTH($E587)=1,R588*(1+$F$5),R588))</f>
      </c>
      <c r="S587" s="334">
        <f>R587*$B$8/12</f>
      </c>
      <c r="T587" s="334">
        <f>R587*$B$11/12</f>
      </c>
      <c r="U587" s="565">
        <f>(1+$V$5)^(P587/12)*(T587+IF(Q587=$Z$7,$Z$4,0))</f>
      </c>
      <c r="V587" s="170"/>
      <c r="W587" s="7"/>
      <c r="X587" s="1"/>
      <c r="Y587" s="1"/>
      <c r="Z587" s="1"/>
      <c r="AA587" s="1"/>
      <c r="AB587" s="1"/>
      <c r="AC587" s="331">
        <v>580</v>
      </c>
      <c r="AD587" s="544">
        <f>+DATE(YEAR(AD586),MONTH(AD586)-1,DAY(AD586))</f>
        <v>25569.041666666668</v>
      </c>
      <c r="AE587" s="341">
        <f>IF($AM$7=$E587,1,IF(MONTH($E587)=1,AE588*(1+$F$5),AE588))</f>
      </c>
      <c r="AF587" s="334">
        <f>AE587*$B$8/12</f>
      </c>
      <c r="AG587" s="334">
        <f>AE587*$B$12/12</f>
      </c>
      <c r="AH587" s="565">
        <f>(1+$AI$5)^(AC587/12)*(AG587+IF(AD587=$AM$7,$AM$4,0))</f>
      </c>
      <c r="AI587" s="170"/>
      <c r="AJ587" s="7"/>
      <c r="AK587" s="1"/>
      <c r="AL587" s="1"/>
      <c r="AM587" s="1"/>
    </row>
    <row x14ac:dyDescent="0.25" r="588" customHeight="1" ht="18.75">
      <c r="A588" s="1"/>
      <c r="B588" s="169"/>
      <c r="C588" s="170"/>
      <c r="D588" s="331">
        <v>581</v>
      </c>
      <c r="E588" s="544">
        <f>+DATE(YEAR(E587),MONTH(E587)-1,DAY(E587))</f>
        <v>25569.041666666668</v>
      </c>
      <c r="F588" s="333">
        <f>IF($C$6=$E588,1,IF(MONTH($E588)=1,F589*(1+$F$5),F589))</f>
      </c>
      <c r="G588" s="333">
        <f>F588*$B$8/12</f>
      </c>
      <c r="H588" s="333">
        <f>IF(F588=1,F588*$B$10/MIN(12,'Simulador - 3º Pilar'!$E$88),0)</f>
      </c>
      <c r="I588" s="560">
        <f>(1+$G$5)^(D588/12)*(H588+IF(E588=$N$7,$N$4,0))</f>
      </c>
      <c r="J588" s="561">
        <f>(1+$G$5)^(D588/12)*(H588*(12-IF(MONTH(E589)=12,0,MONTH(E589)))+IF(AND(F588=1,F589=0),$Q$4,0))*IF(AND(F588=1,F589=0),1,0)</f>
      </c>
      <c r="K588" s="217">
        <f>(1+$G$5)^(D588/12)*(IF(E588=$N$7,$N$4,0)+IF(E588=$C$6,$B$10,0))</f>
      </c>
      <c r="L588" s="217">
        <f>(1+$G$5)^(D588/12)*(IF((E588)&gt;($B$6),H588,0)+IF(E588=$N$7,$N$4,0)+IF(E588=$C$6,0,0))</f>
      </c>
      <c r="M588" s="1"/>
      <c r="N588" s="7"/>
      <c r="O588" s="1"/>
      <c r="P588" s="331">
        <v>581</v>
      </c>
      <c r="Q588" s="544">
        <f>+DATE(YEAR(Q587),MONTH(Q587)-1,DAY(Q587))</f>
        <v>25569.041666666668</v>
      </c>
      <c r="R588" s="341">
        <f>IF($Z$7=$E588,1,IF(MONTH($E588)=1,R589*(1+$F$5),R589))</f>
      </c>
      <c r="S588" s="334">
        <f>R588*$B$8/12</f>
      </c>
      <c r="T588" s="334">
        <f>R588*$B$11/12</f>
      </c>
      <c r="U588" s="565">
        <f>(1+$V$5)^(P588/12)*(T588+IF(Q588=$Z$7,$Z$4,0))</f>
      </c>
      <c r="V588" s="170"/>
      <c r="W588" s="7"/>
      <c r="X588" s="1"/>
      <c r="Y588" s="1"/>
      <c r="Z588" s="1"/>
      <c r="AA588" s="1"/>
      <c r="AB588" s="1"/>
      <c r="AC588" s="331">
        <v>581</v>
      </c>
      <c r="AD588" s="544">
        <f>+DATE(YEAR(AD587),MONTH(AD587)-1,DAY(AD587))</f>
        <v>25569.041666666668</v>
      </c>
      <c r="AE588" s="341">
        <f>IF($AM$7=$E588,1,IF(MONTH($E588)=1,AE589*(1+$F$5),AE589))</f>
      </c>
      <c r="AF588" s="334">
        <f>AE588*$B$8/12</f>
      </c>
      <c r="AG588" s="334">
        <f>AE588*$B$12/12</f>
      </c>
      <c r="AH588" s="565">
        <f>(1+$AI$5)^(AC588/12)*(AG588+IF(AD588=$AM$7,$AM$4,0))</f>
      </c>
      <c r="AI588" s="170"/>
      <c r="AJ588" s="7"/>
      <c r="AK588" s="1"/>
      <c r="AL588" s="1"/>
      <c r="AM588" s="1"/>
    </row>
    <row x14ac:dyDescent="0.25" r="589" customHeight="1" ht="18.75">
      <c r="A589" s="1"/>
      <c r="B589" s="169"/>
      <c r="C589" s="170"/>
      <c r="D589" s="331">
        <v>582</v>
      </c>
      <c r="E589" s="544">
        <f>+DATE(YEAR(E588),MONTH(E588)-1,DAY(E588))</f>
        <v>25569.041666666668</v>
      </c>
      <c r="F589" s="333">
        <f>IF($C$6=$E589,1,IF(MONTH($E589)=1,F590*(1+$F$5),F590))</f>
      </c>
      <c r="G589" s="333">
        <f>F589*$B$8/12</f>
      </c>
      <c r="H589" s="333">
        <f>IF(F589=1,F589*$B$10/MIN(12,'Simulador - 3º Pilar'!$E$88),0)</f>
      </c>
      <c r="I589" s="560">
        <f>(1+$G$5)^(D589/12)*(H589+IF(E589=$N$7,$N$4,0))</f>
      </c>
      <c r="J589" s="561">
        <f>(1+$G$5)^(D589/12)*(H589*(12-IF(MONTH(E590)=12,0,MONTH(E590)))+IF(AND(F589=1,F590=0),$Q$4,0))*IF(AND(F589=1,F590=0),1,0)</f>
      </c>
      <c r="K589" s="217">
        <f>(1+$G$5)^(D589/12)*(IF(E589=$N$7,$N$4,0)+IF(E589=$C$6,$B$10,0))</f>
      </c>
      <c r="L589" s="217">
        <f>(1+$G$5)^(D589/12)*(IF((E589)&gt;($B$6),H589,0)+IF(E589=$N$7,$N$4,0)+IF(E589=$C$6,0,0))</f>
      </c>
      <c r="M589" s="1"/>
      <c r="N589" s="7"/>
      <c r="O589" s="1"/>
      <c r="P589" s="331">
        <v>582</v>
      </c>
      <c r="Q589" s="544">
        <f>+DATE(YEAR(Q588),MONTH(Q588)-1,DAY(Q588))</f>
        <v>25569.041666666668</v>
      </c>
      <c r="R589" s="341">
        <f>IF($Z$7=$E589,1,IF(MONTH($E589)=1,R590*(1+$F$5),R590))</f>
      </c>
      <c r="S589" s="334">
        <f>R589*$B$8/12</f>
      </c>
      <c r="T589" s="334">
        <f>R589*$B$11/12</f>
      </c>
      <c r="U589" s="565">
        <f>(1+$V$5)^(P589/12)*(T589+IF(Q589=$Z$7,$Z$4,0))</f>
      </c>
      <c r="V589" s="170"/>
      <c r="W589" s="7"/>
      <c r="X589" s="1"/>
      <c r="Y589" s="1"/>
      <c r="Z589" s="1"/>
      <c r="AA589" s="1"/>
      <c r="AB589" s="1"/>
      <c r="AC589" s="331">
        <v>582</v>
      </c>
      <c r="AD589" s="544">
        <f>+DATE(YEAR(AD588),MONTH(AD588)-1,DAY(AD588))</f>
        <v>25569.041666666668</v>
      </c>
      <c r="AE589" s="341">
        <f>IF($AM$7=$E589,1,IF(MONTH($E589)=1,AE590*(1+$F$5),AE590))</f>
      </c>
      <c r="AF589" s="334">
        <f>AE589*$B$8/12</f>
      </c>
      <c r="AG589" s="334">
        <f>AE589*$B$12/12</f>
      </c>
      <c r="AH589" s="565">
        <f>(1+$AI$5)^(AC589/12)*(AG589+IF(AD589=$AM$7,$AM$4,0))</f>
      </c>
      <c r="AI589" s="170"/>
      <c r="AJ589" s="7"/>
      <c r="AK589" s="1"/>
      <c r="AL589" s="1"/>
      <c r="AM589" s="1"/>
    </row>
    <row x14ac:dyDescent="0.25" r="590" customHeight="1" ht="18.75">
      <c r="A590" s="1"/>
      <c r="B590" s="169"/>
      <c r="C590" s="170"/>
      <c r="D590" s="331">
        <v>583</v>
      </c>
      <c r="E590" s="544">
        <f>+DATE(YEAR(E589),MONTH(E589)-1,DAY(E589))</f>
        <v>25569.041666666668</v>
      </c>
      <c r="F590" s="333">
        <f>IF($C$6=$E590,1,IF(MONTH($E590)=1,F591*(1+$F$5),F591))</f>
      </c>
      <c r="G590" s="333">
        <f>F590*$B$8/12</f>
      </c>
      <c r="H590" s="333">
        <f>IF(F590=1,F590*$B$10/MIN(12,'Simulador - 3º Pilar'!$E$88),0)</f>
      </c>
      <c r="I590" s="560">
        <f>(1+$G$5)^(D590/12)*(H590+IF(E590=$N$7,$N$4,0))</f>
      </c>
      <c r="J590" s="561">
        <f>(1+$G$5)^(D590/12)*(H590*(12-IF(MONTH(E591)=12,0,MONTH(E591)))+IF(AND(F590=1,F591=0),$Q$4,0))*IF(AND(F590=1,F591=0),1,0)</f>
      </c>
      <c r="K590" s="217">
        <f>(1+$G$5)^(D590/12)*(IF(E590=$N$7,$N$4,0)+IF(E590=$C$6,$B$10,0))</f>
      </c>
      <c r="L590" s="217">
        <f>(1+$G$5)^(D590/12)*(IF((E590)&gt;($B$6),H590,0)+IF(E590=$N$7,$N$4,0)+IF(E590=$C$6,0,0))</f>
      </c>
      <c r="M590" s="1"/>
      <c r="N590" s="7"/>
      <c r="O590" s="1"/>
      <c r="P590" s="331">
        <v>583</v>
      </c>
      <c r="Q590" s="544">
        <f>+DATE(YEAR(Q589),MONTH(Q589)-1,DAY(Q589))</f>
        <v>25569.041666666668</v>
      </c>
      <c r="R590" s="341">
        <f>IF($Z$7=$E590,1,IF(MONTH($E590)=1,R591*(1+$F$5),R591))</f>
      </c>
      <c r="S590" s="334">
        <f>R590*$B$8/12</f>
      </c>
      <c r="T590" s="334">
        <f>R590*$B$11/12</f>
      </c>
      <c r="U590" s="565">
        <f>(1+$V$5)^(P590/12)*(T590+IF(Q590=$Z$7,$Z$4,0))</f>
      </c>
      <c r="V590" s="170"/>
      <c r="W590" s="7"/>
      <c r="X590" s="1"/>
      <c r="Y590" s="1"/>
      <c r="Z590" s="1"/>
      <c r="AA590" s="1"/>
      <c r="AB590" s="1"/>
      <c r="AC590" s="331">
        <v>583</v>
      </c>
      <c r="AD590" s="544">
        <f>+DATE(YEAR(AD589),MONTH(AD589)-1,DAY(AD589))</f>
        <v>25569.041666666668</v>
      </c>
      <c r="AE590" s="341">
        <f>IF($AM$7=$E590,1,IF(MONTH($E590)=1,AE591*(1+$F$5),AE591))</f>
      </c>
      <c r="AF590" s="334">
        <f>AE590*$B$8/12</f>
      </c>
      <c r="AG590" s="334">
        <f>AE590*$B$12/12</f>
      </c>
      <c r="AH590" s="565">
        <f>(1+$AI$5)^(AC590/12)*(AG590+IF(AD590=$AM$7,$AM$4,0))</f>
      </c>
      <c r="AI590" s="170"/>
      <c r="AJ590" s="7"/>
      <c r="AK590" s="1"/>
      <c r="AL590" s="1"/>
      <c r="AM590" s="1"/>
    </row>
    <row x14ac:dyDescent="0.25" r="591" customHeight="1" ht="18.75">
      <c r="A591" s="1"/>
      <c r="B591" s="169"/>
      <c r="C591" s="170"/>
      <c r="D591" s="331">
        <v>584</v>
      </c>
      <c r="E591" s="544">
        <f>+DATE(YEAR(E590),MONTH(E590)-1,DAY(E590))</f>
        <v>25569.041666666668</v>
      </c>
      <c r="F591" s="333">
        <f>IF($C$6=$E591,1,IF(MONTH($E591)=1,F592*(1+$F$5),F592))</f>
      </c>
      <c r="G591" s="333">
        <f>F591*$B$8/12</f>
      </c>
      <c r="H591" s="333">
        <f>IF(F591=1,F591*$B$10/MIN(12,'Simulador - 3º Pilar'!$E$88),0)</f>
      </c>
      <c r="I591" s="560">
        <f>(1+$G$5)^(D591/12)*(H591+IF(E591=$N$7,$N$4,0))</f>
      </c>
      <c r="J591" s="561">
        <f>(1+$G$5)^(D591/12)*(H591*(12-IF(MONTH(E592)=12,0,MONTH(E592)))+IF(AND(F591=1,F592=0),$Q$4,0))*IF(AND(F591=1,F592=0),1,0)</f>
      </c>
      <c r="K591" s="217">
        <f>(1+$G$5)^(D591/12)*(IF(E591=$N$7,$N$4,0)+IF(E591=$C$6,$B$10,0))</f>
      </c>
      <c r="L591" s="217">
        <f>(1+$G$5)^(D591/12)*(IF((E591)&gt;($B$6),H591,0)+IF(E591=$N$7,$N$4,0)+IF(E591=$C$6,0,0))</f>
      </c>
      <c r="M591" s="1"/>
      <c r="N591" s="7"/>
      <c r="O591" s="1"/>
      <c r="P591" s="331">
        <v>584</v>
      </c>
      <c r="Q591" s="544">
        <f>+DATE(YEAR(Q590),MONTH(Q590)-1,DAY(Q590))</f>
        <v>25569.041666666668</v>
      </c>
      <c r="R591" s="341">
        <f>IF($Z$7=$E591,1,IF(MONTH($E591)=1,R592*(1+$F$5),R592))</f>
      </c>
      <c r="S591" s="334">
        <f>R591*$B$8/12</f>
      </c>
      <c r="T591" s="334">
        <f>R591*$B$11/12</f>
      </c>
      <c r="U591" s="565">
        <f>(1+$V$5)^(P591/12)*(T591+IF(Q591=$Z$7,$Z$4,0))</f>
      </c>
      <c r="V591" s="170"/>
      <c r="W591" s="7"/>
      <c r="X591" s="1"/>
      <c r="Y591" s="1"/>
      <c r="Z591" s="1"/>
      <c r="AA591" s="1"/>
      <c r="AB591" s="1"/>
      <c r="AC591" s="331">
        <v>584</v>
      </c>
      <c r="AD591" s="544">
        <f>+DATE(YEAR(AD590),MONTH(AD590)-1,DAY(AD590))</f>
        <v>25569.041666666668</v>
      </c>
      <c r="AE591" s="341">
        <f>IF($AM$7=$E591,1,IF(MONTH($E591)=1,AE592*(1+$F$5),AE592))</f>
      </c>
      <c r="AF591" s="334">
        <f>AE591*$B$8/12</f>
      </c>
      <c r="AG591" s="334">
        <f>AE591*$B$12/12</f>
      </c>
      <c r="AH591" s="565">
        <f>(1+$AI$5)^(AC591/12)*(AG591+IF(AD591=$AM$7,$AM$4,0))</f>
      </c>
      <c r="AI591" s="170"/>
      <c r="AJ591" s="7"/>
      <c r="AK591" s="1"/>
      <c r="AL591" s="1"/>
      <c r="AM591" s="1"/>
    </row>
    <row x14ac:dyDescent="0.25" r="592" customHeight="1" ht="18.75">
      <c r="A592" s="1"/>
      <c r="B592" s="169"/>
      <c r="C592" s="170"/>
      <c r="D592" s="331">
        <v>585</v>
      </c>
      <c r="E592" s="544">
        <f>+DATE(YEAR(E591),MONTH(E591)-1,DAY(E591))</f>
        <v>25569.041666666668</v>
      </c>
      <c r="F592" s="333">
        <f>IF($C$6=$E592,1,IF(MONTH($E592)=1,F593*(1+$F$5),F593))</f>
      </c>
      <c r="G592" s="333">
        <f>F592*$B$8/12</f>
      </c>
      <c r="H592" s="333">
        <f>IF(F592=1,F592*$B$10/MIN(12,'Simulador - 3º Pilar'!$E$88),0)</f>
      </c>
      <c r="I592" s="560">
        <f>(1+$G$5)^(D592/12)*(H592+IF(E592=$N$7,$N$4,0))</f>
      </c>
      <c r="J592" s="561">
        <f>(1+$G$5)^(D592/12)*(H592*(12-IF(MONTH(E593)=12,0,MONTH(E593)))+IF(AND(F592=1,F593=0),$Q$4,0))*IF(AND(F592=1,F593=0),1,0)</f>
      </c>
      <c r="K592" s="217">
        <f>(1+$G$5)^(D592/12)*(IF(E592=$N$7,$N$4,0)+IF(E592=$C$6,$B$10,0))</f>
      </c>
      <c r="L592" s="217">
        <f>(1+$G$5)^(D592/12)*(IF((E592)&gt;($B$6),H592,0)+IF(E592=$N$7,$N$4,0)+IF(E592=$C$6,0,0))</f>
      </c>
      <c r="M592" s="1"/>
      <c r="N592" s="7"/>
      <c r="O592" s="1"/>
      <c r="P592" s="331">
        <v>585</v>
      </c>
      <c r="Q592" s="544">
        <f>+DATE(YEAR(Q591),MONTH(Q591)-1,DAY(Q591))</f>
        <v>25569.041666666668</v>
      </c>
      <c r="R592" s="341">
        <f>IF($Z$7=$E592,1,IF(MONTH($E592)=1,R593*(1+$F$5),R593))</f>
      </c>
      <c r="S592" s="334">
        <f>R592*$B$8/12</f>
      </c>
      <c r="T592" s="334">
        <f>R592*$B$11/12</f>
      </c>
      <c r="U592" s="565">
        <f>(1+$V$5)^(P592/12)*(T592+IF(Q592=$Z$7,$Z$4,0))</f>
      </c>
      <c r="V592" s="170"/>
      <c r="W592" s="7"/>
      <c r="X592" s="1"/>
      <c r="Y592" s="1"/>
      <c r="Z592" s="1"/>
      <c r="AA592" s="1"/>
      <c r="AB592" s="1"/>
      <c r="AC592" s="331">
        <v>585</v>
      </c>
      <c r="AD592" s="544">
        <f>+DATE(YEAR(AD591),MONTH(AD591)-1,DAY(AD591))</f>
        <v>25569.041666666668</v>
      </c>
      <c r="AE592" s="341">
        <f>IF($AM$7=$E592,1,IF(MONTH($E592)=1,AE593*(1+$F$5),AE593))</f>
      </c>
      <c r="AF592" s="334">
        <f>AE592*$B$8/12</f>
      </c>
      <c r="AG592" s="334">
        <f>AE592*$B$12/12</f>
      </c>
      <c r="AH592" s="565">
        <f>(1+$AI$5)^(AC592/12)*(AG592+IF(AD592=$AM$7,$AM$4,0))</f>
      </c>
      <c r="AI592" s="170"/>
      <c r="AJ592" s="7"/>
      <c r="AK592" s="1"/>
      <c r="AL592" s="1"/>
      <c r="AM592" s="1"/>
    </row>
    <row x14ac:dyDescent="0.25" r="593" customHeight="1" ht="18.75">
      <c r="A593" s="1"/>
      <c r="B593" s="169"/>
      <c r="C593" s="170"/>
      <c r="D593" s="331">
        <v>586</v>
      </c>
      <c r="E593" s="544">
        <f>+DATE(YEAR(E592),MONTH(E592)-1,DAY(E592))</f>
        <v>25569.041666666668</v>
      </c>
      <c r="F593" s="333">
        <f>IF($C$6=$E593,1,IF(MONTH($E593)=1,F594*(1+$F$5),F594))</f>
      </c>
      <c r="G593" s="333">
        <f>F593*$B$8/12</f>
      </c>
      <c r="H593" s="333">
        <f>IF(F593=1,F593*$B$10/MIN(12,'Simulador - 3º Pilar'!$E$88),0)</f>
      </c>
      <c r="I593" s="560">
        <f>(1+$G$5)^(D593/12)*(H593+IF(E593=$N$7,$N$4,0))</f>
      </c>
      <c r="J593" s="561">
        <f>(1+$G$5)^(D593/12)*(H593*(12-IF(MONTH(E594)=12,0,MONTH(E594)))+IF(AND(F593=1,F594=0),$Q$4,0))*IF(AND(F593=1,F594=0),1,0)</f>
      </c>
      <c r="K593" s="217">
        <f>(1+$G$5)^(D593/12)*(IF(E593=$N$7,$N$4,0)+IF(E593=$C$6,$B$10,0))</f>
      </c>
      <c r="L593" s="217">
        <f>(1+$G$5)^(D593/12)*(IF((E593)&gt;($B$6),H593,0)+IF(E593=$N$7,$N$4,0)+IF(E593=$C$6,0,0))</f>
      </c>
      <c r="M593" s="1"/>
      <c r="N593" s="7"/>
      <c r="O593" s="1"/>
      <c r="P593" s="331">
        <v>586</v>
      </c>
      <c r="Q593" s="544">
        <f>+DATE(YEAR(Q592),MONTH(Q592)-1,DAY(Q592))</f>
        <v>25569.041666666668</v>
      </c>
      <c r="R593" s="341">
        <f>IF($Z$7=$E593,1,IF(MONTH($E593)=1,R594*(1+$F$5),R594))</f>
      </c>
      <c r="S593" s="334">
        <f>R593*$B$8/12</f>
      </c>
      <c r="T593" s="334">
        <f>R593*$B$11/12</f>
      </c>
      <c r="U593" s="565">
        <f>(1+$V$5)^(P593/12)*(T593+IF(Q593=$Z$7,$Z$4,0))</f>
      </c>
      <c r="V593" s="170"/>
      <c r="W593" s="7"/>
      <c r="X593" s="1"/>
      <c r="Y593" s="1"/>
      <c r="Z593" s="1"/>
      <c r="AA593" s="1"/>
      <c r="AB593" s="1"/>
      <c r="AC593" s="331">
        <v>586</v>
      </c>
      <c r="AD593" s="544">
        <f>+DATE(YEAR(AD592),MONTH(AD592)-1,DAY(AD592))</f>
        <v>25569.041666666668</v>
      </c>
      <c r="AE593" s="341">
        <f>IF($AM$7=$E593,1,IF(MONTH($E593)=1,AE594*(1+$F$5),AE594))</f>
      </c>
      <c r="AF593" s="334">
        <f>AE593*$B$8/12</f>
      </c>
      <c r="AG593" s="334">
        <f>AE593*$B$12/12</f>
      </c>
      <c r="AH593" s="565">
        <f>(1+$AI$5)^(AC593/12)*(AG593+IF(AD593=$AM$7,$AM$4,0))</f>
      </c>
      <c r="AI593" s="170"/>
      <c r="AJ593" s="7"/>
      <c r="AK593" s="1"/>
      <c r="AL593" s="1"/>
      <c r="AM593" s="1"/>
    </row>
    <row x14ac:dyDescent="0.25" r="594" customHeight="1" ht="18.75">
      <c r="A594" s="1"/>
      <c r="B594" s="169"/>
      <c r="C594" s="170"/>
      <c r="D594" s="331">
        <v>587</v>
      </c>
      <c r="E594" s="544">
        <f>+DATE(YEAR(E593),MONTH(E593)-1,DAY(E593))</f>
        <v>25569.041666666668</v>
      </c>
      <c r="F594" s="333">
        <f>IF($C$6=$E594,1,IF(MONTH($E594)=1,F595*(1+$F$5),F595))</f>
      </c>
      <c r="G594" s="333">
        <f>F594*$B$8/12</f>
      </c>
      <c r="H594" s="333">
        <f>IF(F594=1,F594*$B$10/MIN(12,'Simulador - 3º Pilar'!$E$88),0)</f>
      </c>
      <c r="I594" s="560">
        <f>(1+$G$5)^(D594/12)*(H594+IF(E594=$N$7,$N$4,0))</f>
      </c>
      <c r="J594" s="561">
        <f>(1+$G$5)^(D594/12)*(H594*(12-IF(MONTH(E595)=12,0,MONTH(E595)))+IF(AND(F594=1,F595=0),$Q$4,0))*IF(AND(F594=1,F595=0),1,0)</f>
      </c>
      <c r="K594" s="217">
        <f>(1+$G$5)^(D594/12)*(IF(E594=$N$7,$N$4,0)+IF(E594=$C$6,$B$10,0))</f>
      </c>
      <c r="L594" s="217">
        <f>(1+$G$5)^(D594/12)*(IF((E594)&gt;($B$6),H594,0)+IF(E594=$N$7,$N$4,0)+IF(E594=$C$6,0,0))</f>
      </c>
      <c r="M594" s="1"/>
      <c r="N594" s="7"/>
      <c r="O594" s="1"/>
      <c r="P594" s="331">
        <v>587</v>
      </c>
      <c r="Q594" s="544">
        <f>+DATE(YEAR(Q593),MONTH(Q593)-1,DAY(Q593))</f>
        <v>25569.041666666668</v>
      </c>
      <c r="R594" s="341">
        <f>IF($Z$7=$E594,1,IF(MONTH($E594)=1,R595*(1+$F$5),R595))</f>
      </c>
      <c r="S594" s="334">
        <f>R594*$B$8/12</f>
      </c>
      <c r="T594" s="334">
        <f>R594*$B$11/12</f>
      </c>
      <c r="U594" s="565">
        <f>(1+$V$5)^(P594/12)*(T594+IF(Q594=$Z$7,$Z$4,0))</f>
      </c>
      <c r="V594" s="170"/>
      <c r="W594" s="7"/>
      <c r="X594" s="1"/>
      <c r="Y594" s="1"/>
      <c r="Z594" s="1"/>
      <c r="AA594" s="1"/>
      <c r="AB594" s="1"/>
      <c r="AC594" s="331">
        <v>587</v>
      </c>
      <c r="AD594" s="544">
        <f>+DATE(YEAR(AD593),MONTH(AD593)-1,DAY(AD593))</f>
        <v>25569.041666666668</v>
      </c>
      <c r="AE594" s="341">
        <f>IF($AM$7=$E594,1,IF(MONTH($E594)=1,AE595*(1+$F$5),AE595))</f>
      </c>
      <c r="AF594" s="334">
        <f>AE594*$B$8/12</f>
      </c>
      <c r="AG594" s="334">
        <f>AE594*$B$12/12</f>
      </c>
      <c r="AH594" s="565">
        <f>(1+$AI$5)^(AC594/12)*(AG594+IF(AD594=$AM$7,$AM$4,0))</f>
      </c>
      <c r="AI594" s="170"/>
      <c r="AJ594" s="7"/>
      <c r="AK594" s="1"/>
      <c r="AL594" s="1"/>
      <c r="AM594" s="1"/>
    </row>
    <row x14ac:dyDescent="0.25" r="595" customHeight="1" ht="18.75">
      <c r="A595" s="1"/>
      <c r="B595" s="169"/>
      <c r="C595" s="170"/>
      <c r="D595" s="331">
        <v>588</v>
      </c>
      <c r="E595" s="544">
        <f>+DATE(YEAR(E594),MONTH(E594)-1,DAY(E594))</f>
        <v>25569.041666666668</v>
      </c>
      <c r="F595" s="333">
        <f>IF($C$6=$E595,1,IF(MONTH($E595)=1,F596*(1+$F$5),F596))</f>
      </c>
      <c r="G595" s="333">
        <f>F595*$B$8/12</f>
      </c>
      <c r="H595" s="333">
        <f>IF(F595=1,F595*$B$10/MIN(12,'Simulador - 3º Pilar'!$E$88),0)</f>
      </c>
      <c r="I595" s="560">
        <f>(1+$G$5)^(D595/12)*(H595+IF(E595=$N$7,$N$4,0))</f>
      </c>
      <c r="J595" s="561">
        <f>(1+$G$5)^(D595/12)*(H595*(12-IF(MONTH(E596)=12,0,MONTH(E596)))+IF(AND(F595=1,F596=0),$Q$4,0))*IF(AND(F595=1,F596=0),1,0)</f>
      </c>
      <c r="K595" s="217">
        <f>(1+$G$5)^(D595/12)*(IF(E595=$N$7,$N$4,0)+IF(E595=$C$6,$B$10,0))</f>
      </c>
      <c r="L595" s="217">
        <f>(1+$G$5)^(D595/12)*(IF((E595)&gt;($B$6),H595,0)+IF(E595=$N$7,$N$4,0)+IF(E595=$C$6,0,0))</f>
      </c>
      <c r="M595" s="1"/>
      <c r="N595" s="7"/>
      <c r="O595" s="1"/>
      <c r="P595" s="331">
        <v>588</v>
      </c>
      <c r="Q595" s="544">
        <f>+DATE(YEAR(Q594),MONTH(Q594)-1,DAY(Q594))</f>
        <v>25569.041666666668</v>
      </c>
      <c r="R595" s="341">
        <f>IF($Z$7=$E595,1,IF(MONTH($E595)=1,R596*(1+$F$5),R596))</f>
      </c>
      <c r="S595" s="334">
        <f>R595*$B$8/12</f>
      </c>
      <c r="T595" s="334">
        <f>R595*$B$11/12</f>
      </c>
      <c r="U595" s="565">
        <f>(1+$V$5)^(P595/12)*(T595+IF(Q595=$Z$7,$Z$4,0))</f>
      </c>
      <c r="V595" s="170"/>
      <c r="W595" s="7"/>
      <c r="X595" s="1"/>
      <c r="Y595" s="1"/>
      <c r="Z595" s="1"/>
      <c r="AA595" s="1"/>
      <c r="AB595" s="1"/>
      <c r="AC595" s="331">
        <v>588</v>
      </c>
      <c r="AD595" s="544">
        <f>+DATE(YEAR(AD594),MONTH(AD594)-1,DAY(AD594))</f>
        <v>25569.041666666668</v>
      </c>
      <c r="AE595" s="341">
        <f>IF($AM$7=$E595,1,IF(MONTH($E595)=1,AE596*(1+$F$5),AE596))</f>
      </c>
      <c r="AF595" s="334">
        <f>AE595*$B$8/12</f>
      </c>
      <c r="AG595" s="334">
        <f>AE595*$B$12/12</f>
      </c>
      <c r="AH595" s="565">
        <f>(1+$AI$5)^(AC595/12)*(AG595+IF(AD595=$AM$7,$AM$4,0))</f>
      </c>
      <c r="AI595" s="170"/>
      <c r="AJ595" s="7"/>
      <c r="AK595" s="1"/>
      <c r="AL595" s="1"/>
      <c r="AM595" s="1"/>
    </row>
    <row x14ac:dyDescent="0.25" r="596" customHeight="1" ht="18.75">
      <c r="A596" s="1"/>
      <c r="B596" s="169"/>
      <c r="C596" s="170"/>
      <c r="D596" s="331">
        <v>589</v>
      </c>
      <c r="E596" s="544">
        <f>+DATE(YEAR(E595),MONTH(E595)-1,DAY(E595))</f>
        <v>25569.041666666668</v>
      </c>
      <c r="F596" s="333">
        <f>IF($C$6=$E596,1,IF(MONTH($E596)=1,F597*(1+$F$5),F597))</f>
      </c>
      <c r="G596" s="333">
        <f>F596*$B$8/12</f>
      </c>
      <c r="H596" s="333">
        <f>IF(F596=1,F596*$B$10/MIN(12,'Simulador - 3º Pilar'!$E$88),0)</f>
      </c>
      <c r="I596" s="560">
        <f>(1+$G$5)^(D596/12)*(H596+IF(E596=$N$7,$N$4,0))</f>
      </c>
      <c r="J596" s="561">
        <f>(1+$G$5)^(D596/12)*(H596*(12-IF(MONTH(E597)=12,0,MONTH(E597)))+IF(AND(F596=1,F597=0),$Q$4,0))*IF(AND(F596=1,F597=0),1,0)</f>
      </c>
      <c r="K596" s="217">
        <f>(1+$G$5)^(D596/12)*(IF(E596=$N$7,$N$4,0)+IF(E596=$C$6,$B$10,0))</f>
      </c>
      <c r="L596" s="217">
        <f>(1+$G$5)^(D596/12)*(IF((E596)&gt;($B$6),H596,0)+IF(E596=$N$7,$N$4,0)+IF(E596=$C$6,0,0))</f>
      </c>
      <c r="M596" s="1"/>
      <c r="N596" s="7"/>
      <c r="O596" s="1"/>
      <c r="P596" s="331">
        <v>589</v>
      </c>
      <c r="Q596" s="544">
        <f>+DATE(YEAR(Q595),MONTH(Q595)-1,DAY(Q595))</f>
        <v>25569.041666666668</v>
      </c>
      <c r="R596" s="341">
        <f>IF($Z$7=$E596,1,IF(MONTH($E596)=1,R597*(1+$F$5),R597))</f>
      </c>
      <c r="S596" s="334">
        <f>R596*$B$8/12</f>
      </c>
      <c r="T596" s="334">
        <f>R596*$B$11/12</f>
      </c>
      <c r="U596" s="565">
        <f>(1+$V$5)^(P596/12)*(T596+IF(Q596=$Z$7,$Z$4,0))</f>
      </c>
      <c r="V596" s="170"/>
      <c r="W596" s="7"/>
      <c r="X596" s="1"/>
      <c r="Y596" s="1"/>
      <c r="Z596" s="1"/>
      <c r="AA596" s="1"/>
      <c r="AB596" s="1"/>
      <c r="AC596" s="331">
        <v>589</v>
      </c>
      <c r="AD596" s="544">
        <f>+DATE(YEAR(AD595),MONTH(AD595)-1,DAY(AD595))</f>
        <v>25569.041666666668</v>
      </c>
      <c r="AE596" s="341">
        <f>IF($AM$7=$E596,1,IF(MONTH($E596)=1,AE597*(1+$F$5),AE597))</f>
      </c>
      <c r="AF596" s="334">
        <f>AE596*$B$8/12</f>
      </c>
      <c r="AG596" s="334">
        <f>AE596*$B$12/12</f>
      </c>
      <c r="AH596" s="565">
        <f>(1+$AI$5)^(AC596/12)*(AG596+IF(AD596=$AM$7,$AM$4,0))</f>
      </c>
      <c r="AI596" s="170"/>
      <c r="AJ596" s="7"/>
      <c r="AK596" s="1"/>
      <c r="AL596" s="1"/>
      <c r="AM596" s="1"/>
    </row>
    <row x14ac:dyDescent="0.25" r="597" customHeight="1" ht="18.75">
      <c r="A597" s="1"/>
      <c r="B597" s="169"/>
      <c r="C597" s="170"/>
      <c r="D597" s="331">
        <v>590</v>
      </c>
      <c r="E597" s="544">
        <f>+DATE(YEAR(E596),MONTH(E596)-1,DAY(E596))</f>
        <v>25569.041666666668</v>
      </c>
      <c r="F597" s="333">
        <f>IF($C$6=$E597,1,IF(MONTH($E597)=1,F598*(1+$F$5),F598))</f>
      </c>
      <c r="G597" s="333">
        <f>F597*$B$8/12</f>
      </c>
      <c r="H597" s="333">
        <f>IF(F597=1,F597*$B$10/MIN(12,'Simulador - 3º Pilar'!$E$88),0)</f>
      </c>
      <c r="I597" s="560">
        <f>(1+$G$5)^(D597/12)*(H597+IF(E597=$N$7,$N$4,0))</f>
      </c>
      <c r="J597" s="561">
        <f>(1+$G$5)^(D597/12)*(H597*(12-IF(MONTH(E598)=12,0,MONTH(E598)))+IF(AND(F597=1,F598=0),$Q$4,0))*IF(AND(F597=1,F598=0),1,0)</f>
      </c>
      <c r="K597" s="217">
        <f>(1+$G$5)^(D597/12)*(IF(E597=$N$7,$N$4,0)+IF(E597=$C$6,$B$10,0))</f>
      </c>
      <c r="L597" s="217">
        <f>(1+$G$5)^(D597/12)*(IF((E597)&gt;($B$6),H597,0)+IF(E597=$N$7,$N$4,0)+IF(E597=$C$6,0,0))</f>
      </c>
      <c r="M597" s="1"/>
      <c r="N597" s="7"/>
      <c r="O597" s="1"/>
      <c r="P597" s="331">
        <v>590</v>
      </c>
      <c r="Q597" s="544">
        <f>+DATE(YEAR(Q596),MONTH(Q596)-1,DAY(Q596))</f>
        <v>25569.041666666668</v>
      </c>
      <c r="R597" s="341">
        <f>IF($Z$7=$E597,1,IF(MONTH($E597)=1,R598*(1+$F$5),R598))</f>
      </c>
      <c r="S597" s="334">
        <f>R597*$B$8/12</f>
      </c>
      <c r="T597" s="334">
        <f>R597*$B$11/12</f>
      </c>
      <c r="U597" s="565">
        <f>(1+$V$5)^(P597/12)*(T597+IF(Q597=$Z$7,$Z$4,0))</f>
      </c>
      <c r="V597" s="170"/>
      <c r="W597" s="7"/>
      <c r="X597" s="1"/>
      <c r="Y597" s="1"/>
      <c r="Z597" s="1"/>
      <c r="AA597" s="1"/>
      <c r="AB597" s="1"/>
      <c r="AC597" s="331">
        <v>590</v>
      </c>
      <c r="AD597" s="544">
        <f>+DATE(YEAR(AD596),MONTH(AD596)-1,DAY(AD596))</f>
        <v>25569.041666666668</v>
      </c>
      <c r="AE597" s="341">
        <f>IF($AM$7=$E597,1,IF(MONTH($E597)=1,AE598*(1+$F$5),AE598))</f>
      </c>
      <c r="AF597" s="334">
        <f>AE597*$B$8/12</f>
      </c>
      <c r="AG597" s="334">
        <f>AE597*$B$12/12</f>
      </c>
      <c r="AH597" s="565">
        <f>(1+$AI$5)^(AC597/12)*(AG597+IF(AD597=$AM$7,$AM$4,0))</f>
      </c>
      <c r="AI597" s="170"/>
      <c r="AJ597" s="7"/>
      <c r="AK597" s="1"/>
      <c r="AL597" s="1"/>
      <c r="AM597" s="1"/>
    </row>
    <row x14ac:dyDescent="0.25" r="598" customHeight="1" ht="18.75">
      <c r="A598" s="1"/>
      <c r="B598" s="169"/>
      <c r="C598" s="170"/>
      <c r="D598" s="331">
        <v>591</v>
      </c>
      <c r="E598" s="544">
        <f>+DATE(YEAR(E597),MONTH(E597)-1,DAY(E597))</f>
        <v>25569.041666666668</v>
      </c>
      <c r="F598" s="333">
        <f>IF($C$6=$E598,1,IF(MONTH($E598)=1,F599*(1+$F$5),F599))</f>
      </c>
      <c r="G598" s="333">
        <f>F598*$B$8/12</f>
      </c>
      <c r="H598" s="333">
        <f>IF(F598=1,F598*$B$10/MIN(12,'Simulador - 3º Pilar'!$E$88),0)</f>
      </c>
      <c r="I598" s="560">
        <f>(1+$G$5)^(D598/12)*(H598+IF(E598=$N$7,$N$4,0))</f>
      </c>
      <c r="J598" s="561">
        <f>(1+$G$5)^(D598/12)*(H598*(12-IF(MONTH(E599)=12,0,MONTH(E599)))+IF(AND(F598=1,F599=0),$Q$4,0))*IF(AND(F598=1,F599=0),1,0)</f>
      </c>
      <c r="K598" s="217">
        <f>(1+$G$5)^(D598/12)*(IF(E598=$N$7,$N$4,0)+IF(E598=$C$6,$B$10,0))</f>
      </c>
      <c r="L598" s="217">
        <f>(1+$G$5)^(D598/12)*(IF((E598)&gt;($B$6),H598,0)+IF(E598=$N$7,$N$4,0)+IF(E598=$C$6,0,0))</f>
      </c>
      <c r="M598" s="1"/>
      <c r="N598" s="7"/>
      <c r="O598" s="1"/>
      <c r="P598" s="331">
        <v>591</v>
      </c>
      <c r="Q598" s="544">
        <f>+DATE(YEAR(Q597),MONTH(Q597)-1,DAY(Q597))</f>
        <v>25569.041666666668</v>
      </c>
      <c r="R598" s="341">
        <f>IF($Z$7=$E598,1,IF(MONTH($E598)=1,R599*(1+$F$5),R599))</f>
      </c>
      <c r="S598" s="334">
        <f>R598*$B$8/12</f>
      </c>
      <c r="T598" s="334">
        <f>R598*$B$11/12</f>
      </c>
      <c r="U598" s="565">
        <f>(1+$V$5)^(P598/12)*(T598+IF(Q598=$Z$7,$Z$4,0))</f>
      </c>
      <c r="V598" s="170"/>
      <c r="W598" s="7"/>
      <c r="X598" s="1"/>
      <c r="Y598" s="1"/>
      <c r="Z598" s="1"/>
      <c r="AA598" s="1"/>
      <c r="AB598" s="1"/>
      <c r="AC598" s="331">
        <v>591</v>
      </c>
      <c r="AD598" s="544">
        <f>+DATE(YEAR(AD597),MONTH(AD597)-1,DAY(AD597))</f>
        <v>25569.041666666668</v>
      </c>
      <c r="AE598" s="341">
        <f>IF($AM$7=$E598,1,IF(MONTH($E598)=1,AE599*(1+$F$5),AE599))</f>
      </c>
      <c r="AF598" s="334">
        <f>AE598*$B$8/12</f>
      </c>
      <c r="AG598" s="334">
        <f>AE598*$B$12/12</f>
      </c>
      <c r="AH598" s="565">
        <f>(1+$AI$5)^(AC598/12)*(AG598+IF(AD598=$AM$7,$AM$4,0))</f>
      </c>
      <c r="AI598" s="170"/>
      <c r="AJ598" s="7"/>
      <c r="AK598" s="1"/>
      <c r="AL598" s="1"/>
      <c r="AM598" s="1"/>
    </row>
    <row x14ac:dyDescent="0.25" r="599" customHeight="1" ht="18.75">
      <c r="A599" s="1"/>
      <c r="B599" s="169"/>
      <c r="C599" s="170"/>
      <c r="D599" s="331">
        <v>592</v>
      </c>
      <c r="E599" s="544">
        <f>+DATE(YEAR(E598),MONTH(E598)-1,DAY(E598))</f>
        <v>25569.041666666668</v>
      </c>
      <c r="F599" s="333">
        <f>IF($C$6=$E599,1,IF(MONTH($E599)=1,F600*(1+$F$5),F600))</f>
      </c>
      <c r="G599" s="333">
        <f>F599*$B$8/12</f>
      </c>
      <c r="H599" s="333">
        <f>IF(F599=1,F599*$B$10/MIN(12,'Simulador - 3º Pilar'!$E$88),0)</f>
      </c>
      <c r="I599" s="560">
        <f>(1+$G$5)^(D599/12)*(H599+IF(E599=$N$7,$N$4,0))</f>
      </c>
      <c r="J599" s="561">
        <f>(1+$G$5)^(D599/12)*(H599*(12-IF(MONTH(E600)=12,0,MONTH(E600)))+IF(AND(F599=1,F600=0),$Q$4,0))*IF(AND(F599=1,F600=0),1,0)</f>
      </c>
      <c r="K599" s="217">
        <f>(1+$G$5)^(D599/12)*(IF(E599=$N$7,$N$4,0)+IF(E599=$C$6,$B$10,0))</f>
      </c>
      <c r="L599" s="217">
        <f>(1+$G$5)^(D599/12)*(IF((E599)&gt;($B$6),H599,0)+IF(E599=$N$7,$N$4,0)+IF(E599=$C$6,0,0))</f>
      </c>
      <c r="M599" s="1"/>
      <c r="N599" s="7"/>
      <c r="O599" s="1"/>
      <c r="P599" s="331">
        <v>592</v>
      </c>
      <c r="Q599" s="544">
        <f>+DATE(YEAR(Q598),MONTH(Q598)-1,DAY(Q598))</f>
        <v>25569.041666666668</v>
      </c>
      <c r="R599" s="341">
        <f>IF($Z$7=$E599,1,IF(MONTH($E599)=1,R600*(1+$F$5),R600))</f>
      </c>
      <c r="S599" s="334">
        <f>R599*$B$8/12</f>
      </c>
      <c r="T599" s="334">
        <f>R599*$B$11/12</f>
      </c>
      <c r="U599" s="565">
        <f>(1+$V$5)^(P599/12)*(T599+IF(Q599=$Z$7,$Z$4,0))</f>
      </c>
      <c r="V599" s="170"/>
      <c r="W599" s="7"/>
      <c r="X599" s="1"/>
      <c r="Y599" s="1"/>
      <c r="Z599" s="1"/>
      <c r="AA599" s="1"/>
      <c r="AB599" s="1"/>
      <c r="AC599" s="331">
        <v>592</v>
      </c>
      <c r="AD599" s="544">
        <f>+DATE(YEAR(AD598),MONTH(AD598)-1,DAY(AD598))</f>
        <v>25569.041666666668</v>
      </c>
      <c r="AE599" s="341">
        <f>IF($AM$7=$E599,1,IF(MONTH($E599)=1,AE600*(1+$F$5),AE600))</f>
      </c>
      <c r="AF599" s="334">
        <f>AE599*$B$8/12</f>
      </c>
      <c r="AG599" s="334">
        <f>AE599*$B$12/12</f>
      </c>
      <c r="AH599" s="565">
        <f>(1+$AI$5)^(AC599/12)*(AG599+IF(AD599=$AM$7,$AM$4,0))</f>
      </c>
      <c r="AI599" s="170"/>
      <c r="AJ599" s="7"/>
      <c r="AK599" s="1"/>
      <c r="AL599" s="1"/>
      <c r="AM599" s="1"/>
    </row>
    <row x14ac:dyDescent="0.25" r="600" customHeight="1" ht="18.75">
      <c r="A600" s="1"/>
      <c r="B600" s="169"/>
      <c r="C600" s="170"/>
      <c r="D600" s="331">
        <v>593</v>
      </c>
      <c r="E600" s="544">
        <f>+DATE(YEAR(E599),MONTH(E599)-1,DAY(E599))</f>
        <v>25569.041666666668</v>
      </c>
      <c r="F600" s="333">
        <f>IF($C$6=$E600,1,IF(MONTH($E600)=1,F601*(1+$F$5),F601))</f>
      </c>
      <c r="G600" s="333">
        <f>F600*$B$8/12</f>
      </c>
      <c r="H600" s="333">
        <f>IF(F600=1,F600*$B$10/MIN(12,'Simulador - 3º Pilar'!$E$88),0)</f>
      </c>
      <c r="I600" s="560">
        <f>(1+$G$5)^(D600/12)*(H600+IF(E600=$N$7,$N$4,0))</f>
      </c>
      <c r="J600" s="561">
        <f>(1+$G$5)^(D600/12)*(H600*(12-IF(MONTH(E601)=12,0,MONTH(E601)))+IF(AND(F600=1,F601=0),$Q$4,0))*IF(AND(F600=1,F601=0),1,0)</f>
      </c>
      <c r="K600" s="217">
        <f>(1+$G$5)^(D600/12)*(IF(E600=$N$7,$N$4,0)+IF(E600=$C$6,$B$10,0))</f>
      </c>
      <c r="L600" s="217">
        <f>(1+$G$5)^(D600/12)*(IF((E600)&gt;($B$6),H600,0)+IF(E600=$N$7,$N$4,0)+IF(E600=$C$6,0,0))</f>
      </c>
      <c r="M600" s="1"/>
      <c r="N600" s="7"/>
      <c r="O600" s="1"/>
      <c r="P600" s="331">
        <v>593</v>
      </c>
      <c r="Q600" s="544">
        <f>+DATE(YEAR(Q599),MONTH(Q599)-1,DAY(Q599))</f>
        <v>25569.041666666668</v>
      </c>
      <c r="R600" s="341">
        <f>IF($Z$7=$E600,1,IF(MONTH($E600)=1,R601*(1+$F$5),R601))</f>
      </c>
      <c r="S600" s="334">
        <f>R600*$B$8/12</f>
      </c>
      <c r="T600" s="334">
        <f>R600*$B$11/12</f>
      </c>
      <c r="U600" s="565">
        <f>(1+$V$5)^(P600/12)*(T600+IF(Q600=$Z$7,$Z$4,0))</f>
      </c>
      <c r="V600" s="170"/>
      <c r="W600" s="7"/>
      <c r="X600" s="1"/>
      <c r="Y600" s="1"/>
      <c r="Z600" s="1"/>
      <c r="AA600" s="1"/>
      <c r="AB600" s="1"/>
      <c r="AC600" s="331">
        <v>593</v>
      </c>
      <c r="AD600" s="544">
        <f>+DATE(YEAR(AD599),MONTH(AD599)-1,DAY(AD599))</f>
        <v>25569.041666666668</v>
      </c>
      <c r="AE600" s="341">
        <f>IF($AM$7=$E600,1,IF(MONTH($E600)=1,AE601*(1+$F$5),AE601))</f>
      </c>
      <c r="AF600" s="334">
        <f>AE600*$B$8/12</f>
      </c>
      <c r="AG600" s="334">
        <f>AE600*$B$12/12</f>
      </c>
      <c r="AH600" s="565">
        <f>(1+$AI$5)^(AC600/12)*(AG600+IF(AD600=$AM$7,$AM$4,0))</f>
      </c>
      <c r="AI600" s="170"/>
      <c r="AJ600" s="7"/>
      <c r="AK600" s="1"/>
      <c r="AL600" s="1"/>
      <c r="AM600" s="1"/>
    </row>
    <row x14ac:dyDescent="0.25" r="601" customHeight="1" ht="18.75">
      <c r="A601" s="1"/>
      <c r="B601" s="169"/>
      <c r="C601" s="170"/>
      <c r="D601" s="331">
        <v>594</v>
      </c>
      <c r="E601" s="544">
        <f>+DATE(YEAR(E600),MONTH(E600)-1,DAY(E600))</f>
        <v>25569.041666666668</v>
      </c>
      <c r="F601" s="333">
        <f>IF($C$6=$E601,1,IF(MONTH($E601)=1,F602*(1+$F$5),F602))</f>
      </c>
      <c r="G601" s="333">
        <f>F601*$B$8/12</f>
      </c>
      <c r="H601" s="333">
        <f>IF(F601=1,F601*$B$10/MIN(12,'Simulador - 3º Pilar'!$E$88),0)</f>
      </c>
      <c r="I601" s="560">
        <f>(1+$G$5)^(D601/12)*(H601+IF(E601=$N$7,$N$4,0))</f>
      </c>
      <c r="J601" s="561">
        <f>(1+$G$5)^(D601/12)*(H601*(12-IF(MONTH(E602)=12,0,MONTH(E602)))+IF(AND(F601=1,F602=0),$Q$4,0))*IF(AND(F601=1,F602=0),1,0)</f>
      </c>
      <c r="K601" s="217">
        <f>(1+$G$5)^(D601/12)*(IF(E601=$N$7,$N$4,0)+IF(E601=$C$6,$B$10,0))</f>
      </c>
      <c r="L601" s="217">
        <f>(1+$G$5)^(D601/12)*(IF((E601)&gt;($B$6),H601,0)+IF(E601=$N$7,$N$4,0)+IF(E601=$C$6,0,0))</f>
      </c>
      <c r="M601" s="1"/>
      <c r="N601" s="7"/>
      <c r="O601" s="1"/>
      <c r="P601" s="331">
        <v>594</v>
      </c>
      <c r="Q601" s="544">
        <f>+DATE(YEAR(Q600),MONTH(Q600)-1,DAY(Q600))</f>
        <v>25569.041666666668</v>
      </c>
      <c r="R601" s="341">
        <f>IF($Z$7=$E601,1,IF(MONTH($E601)=1,R602*(1+$F$5),R602))</f>
      </c>
      <c r="S601" s="334">
        <f>R601*$B$8/12</f>
      </c>
      <c r="T601" s="334">
        <f>R601*$B$11/12</f>
      </c>
      <c r="U601" s="565">
        <f>(1+$V$5)^(P601/12)*(T601+IF(Q601=$Z$7,$Z$4,0))</f>
      </c>
      <c r="V601" s="170"/>
      <c r="W601" s="7"/>
      <c r="X601" s="1"/>
      <c r="Y601" s="1"/>
      <c r="Z601" s="1"/>
      <c r="AA601" s="1"/>
      <c r="AB601" s="1"/>
      <c r="AC601" s="331">
        <v>594</v>
      </c>
      <c r="AD601" s="544">
        <f>+DATE(YEAR(AD600),MONTH(AD600)-1,DAY(AD600))</f>
        <v>25569.041666666668</v>
      </c>
      <c r="AE601" s="341">
        <f>IF($AM$7=$E601,1,IF(MONTH($E601)=1,AE602*(1+$F$5),AE602))</f>
      </c>
      <c r="AF601" s="334">
        <f>AE601*$B$8/12</f>
      </c>
      <c r="AG601" s="334">
        <f>AE601*$B$12/12</f>
      </c>
      <c r="AH601" s="565">
        <f>(1+$AI$5)^(AC601/12)*(AG601+IF(AD601=$AM$7,$AM$4,0))</f>
      </c>
      <c r="AI601" s="170"/>
      <c r="AJ601" s="7"/>
      <c r="AK601" s="1"/>
      <c r="AL601" s="1"/>
      <c r="AM601" s="1"/>
    </row>
    <row x14ac:dyDescent="0.25" r="602" customHeight="1" ht="18.75">
      <c r="A602" s="1"/>
      <c r="B602" s="169"/>
      <c r="C602" s="170"/>
      <c r="D602" s="331">
        <v>595</v>
      </c>
      <c r="E602" s="544">
        <f>+DATE(YEAR(E601),MONTH(E601)-1,DAY(E601))</f>
        <v>25569.041666666668</v>
      </c>
      <c r="F602" s="333">
        <f>IF($C$6=$E602,1,IF(MONTH($E602)=1,F603*(1+$F$5),F603))</f>
      </c>
      <c r="G602" s="333">
        <f>F602*$B$8/12</f>
      </c>
      <c r="H602" s="333">
        <f>IF(F602=1,F602*$B$10/MIN(12,'Simulador - 3º Pilar'!$E$88),0)</f>
      </c>
      <c r="I602" s="560">
        <f>(1+$G$5)^(D602/12)*(H602+IF(E602=$N$7,$N$4,0))</f>
      </c>
      <c r="J602" s="561">
        <f>(1+$G$5)^(D602/12)*(H602*(12-IF(MONTH(E603)=12,0,MONTH(E603)))+IF(AND(F602=1,F603=0),$Q$4,0))*IF(AND(F602=1,F603=0),1,0)</f>
      </c>
      <c r="K602" s="217">
        <f>(1+$G$5)^(D602/12)*(IF(E602=$N$7,$N$4,0)+IF(E602=$C$6,$B$10,0))</f>
      </c>
      <c r="L602" s="217">
        <f>(1+$G$5)^(D602/12)*(IF((E602)&gt;($B$6),H602,0)+IF(E602=$N$7,$N$4,0)+IF(E602=$C$6,0,0))</f>
      </c>
      <c r="M602" s="1"/>
      <c r="N602" s="7"/>
      <c r="O602" s="1"/>
      <c r="P602" s="331">
        <v>595</v>
      </c>
      <c r="Q602" s="544">
        <f>+DATE(YEAR(Q601),MONTH(Q601)-1,DAY(Q601))</f>
        <v>25569.041666666668</v>
      </c>
      <c r="R602" s="341">
        <f>IF($Z$7=$E602,1,IF(MONTH($E602)=1,R603*(1+$F$5),R603))</f>
      </c>
      <c r="S602" s="334">
        <f>R602*$B$8/12</f>
      </c>
      <c r="T602" s="334">
        <f>R602*$B$11/12</f>
      </c>
      <c r="U602" s="565">
        <f>(1+$V$5)^(P602/12)*(T602+IF(Q602=$Z$7,$Z$4,0))</f>
      </c>
      <c r="V602" s="170"/>
      <c r="W602" s="7"/>
      <c r="X602" s="1"/>
      <c r="Y602" s="1"/>
      <c r="Z602" s="1"/>
      <c r="AA602" s="1"/>
      <c r="AB602" s="1"/>
      <c r="AC602" s="331">
        <v>595</v>
      </c>
      <c r="AD602" s="544">
        <f>+DATE(YEAR(AD601),MONTH(AD601)-1,DAY(AD601))</f>
        <v>25569.041666666668</v>
      </c>
      <c r="AE602" s="341">
        <f>IF($AM$7=$E602,1,IF(MONTH($E602)=1,AE603*(1+$F$5),AE603))</f>
      </c>
      <c r="AF602" s="334">
        <f>AE602*$B$8/12</f>
      </c>
      <c r="AG602" s="334">
        <f>AE602*$B$12/12</f>
      </c>
      <c r="AH602" s="565">
        <f>(1+$AI$5)^(AC602/12)*(AG602+IF(AD602=$AM$7,$AM$4,0))</f>
      </c>
      <c r="AI602" s="170"/>
      <c r="AJ602" s="7"/>
      <c r="AK602" s="1"/>
      <c r="AL602" s="1"/>
      <c r="AM602" s="1"/>
    </row>
    <row x14ac:dyDescent="0.25" r="603" customHeight="1" ht="18.75">
      <c r="A603" s="1"/>
      <c r="B603" s="169"/>
      <c r="C603" s="170"/>
      <c r="D603" s="331">
        <v>596</v>
      </c>
      <c r="E603" s="544">
        <f>+DATE(YEAR(E602),MONTH(E602)-1,DAY(E602))</f>
        <v>25569.041666666668</v>
      </c>
      <c r="F603" s="333">
        <f>IF($C$6=$E603,1,IF(MONTH($E603)=1,F604*(1+$F$5),F604))</f>
      </c>
      <c r="G603" s="333">
        <f>F603*$B$8/12</f>
      </c>
      <c r="H603" s="333">
        <f>IF(F603=1,F603*$B$10/MIN(12,'Simulador - 3º Pilar'!$E$88),0)</f>
      </c>
      <c r="I603" s="560">
        <f>(1+$G$5)^(D603/12)*(H603+IF(E603=$N$7,$N$4,0))</f>
      </c>
      <c r="J603" s="561">
        <f>(1+$G$5)^(D603/12)*(H603*(12-IF(MONTH(E604)=12,0,MONTH(E604)))+IF(AND(F603=1,F604=0),$Q$4,0))*IF(AND(F603=1,F604=0),1,0)</f>
      </c>
      <c r="K603" s="217">
        <f>(1+$G$5)^(D603/12)*(IF(E603=$N$7,$N$4,0)+IF(E603=$C$6,$B$10,0))</f>
      </c>
      <c r="L603" s="217">
        <f>(1+$G$5)^(D603/12)*(IF((E603)&gt;($B$6),H603,0)+IF(E603=$N$7,$N$4,0)+IF(E603=$C$6,0,0))</f>
      </c>
      <c r="M603" s="1"/>
      <c r="N603" s="7"/>
      <c r="O603" s="1"/>
      <c r="P603" s="331">
        <v>596</v>
      </c>
      <c r="Q603" s="544">
        <f>+DATE(YEAR(Q602),MONTH(Q602)-1,DAY(Q602))</f>
        <v>25569.041666666668</v>
      </c>
      <c r="R603" s="341">
        <f>IF($Z$7=$E603,1,IF(MONTH($E603)=1,R604*(1+$F$5),R604))</f>
      </c>
      <c r="S603" s="334">
        <f>R603*$B$8/12</f>
      </c>
      <c r="T603" s="334">
        <f>R603*$B$11/12</f>
      </c>
      <c r="U603" s="565">
        <f>(1+$V$5)^(P603/12)*(T603+IF(Q603=$Z$7,$Z$4,0))</f>
      </c>
      <c r="V603" s="170"/>
      <c r="W603" s="7"/>
      <c r="X603" s="1"/>
      <c r="Y603" s="1"/>
      <c r="Z603" s="1"/>
      <c r="AA603" s="1"/>
      <c r="AB603" s="1"/>
      <c r="AC603" s="331">
        <v>596</v>
      </c>
      <c r="AD603" s="544">
        <f>+DATE(YEAR(AD602),MONTH(AD602)-1,DAY(AD602))</f>
        <v>25569.041666666668</v>
      </c>
      <c r="AE603" s="341">
        <f>IF($AM$7=$E603,1,IF(MONTH($E603)=1,AE604*(1+$F$5),AE604))</f>
      </c>
      <c r="AF603" s="334">
        <f>AE603*$B$8/12</f>
      </c>
      <c r="AG603" s="334">
        <f>AE603*$B$12/12</f>
      </c>
      <c r="AH603" s="565">
        <f>(1+$AI$5)^(AC603/12)*(AG603+IF(AD603=$AM$7,$AM$4,0))</f>
      </c>
      <c r="AI603" s="170"/>
      <c r="AJ603" s="7"/>
      <c r="AK603" s="1"/>
      <c r="AL603" s="1"/>
      <c r="AM603" s="1"/>
    </row>
    <row x14ac:dyDescent="0.25" r="604" customHeight="1" ht="18.75">
      <c r="A604" s="1"/>
      <c r="B604" s="169"/>
      <c r="C604" s="170"/>
      <c r="D604" s="331">
        <v>597</v>
      </c>
      <c r="E604" s="544">
        <f>+DATE(YEAR(E603),MONTH(E603)-1,DAY(E603))</f>
        <v>25569.041666666668</v>
      </c>
      <c r="F604" s="333">
        <f>IF($C$6=$E604,1,IF(MONTH($E604)=1,F605*(1+$F$5),F605))</f>
      </c>
      <c r="G604" s="333">
        <f>F604*$B$8/12</f>
      </c>
      <c r="H604" s="333">
        <f>IF(F604=1,F604*$B$10/MIN(12,'Simulador - 3º Pilar'!$E$88),0)</f>
      </c>
      <c r="I604" s="560">
        <f>(1+$G$5)^(D604/12)*(H604+IF(E604=$N$7,$N$4,0))</f>
      </c>
      <c r="J604" s="561">
        <f>(1+$G$5)^(D604/12)*(H604*(12-IF(MONTH(E605)=12,0,MONTH(E605)))+IF(AND(F604=1,F605=0),$Q$4,0))*IF(AND(F604=1,F605=0),1,0)</f>
      </c>
      <c r="K604" s="217">
        <f>(1+$G$5)^(D604/12)*(IF(E604=$N$7,$N$4,0)+IF(E604=$C$6,$B$10,0))</f>
      </c>
      <c r="L604" s="217">
        <f>(1+$G$5)^(D604/12)*(IF((E604)&gt;($B$6),H604,0)+IF(E604=$N$7,$N$4,0)+IF(E604=$C$6,0,0))</f>
      </c>
      <c r="M604" s="1"/>
      <c r="N604" s="7"/>
      <c r="O604" s="1"/>
      <c r="P604" s="331">
        <v>597</v>
      </c>
      <c r="Q604" s="544">
        <f>+DATE(YEAR(Q603),MONTH(Q603)-1,DAY(Q603))</f>
        <v>25569.041666666668</v>
      </c>
      <c r="R604" s="341">
        <f>IF($Z$7=$E604,1,IF(MONTH($E604)=1,R605*(1+$F$5),R605))</f>
      </c>
      <c r="S604" s="334">
        <f>R604*$B$8/12</f>
      </c>
      <c r="T604" s="334">
        <f>R604*$B$11/12</f>
      </c>
      <c r="U604" s="565">
        <f>(1+$V$5)^(P604/12)*(T604+IF(Q604=$Z$7,$Z$4,0))</f>
      </c>
      <c r="V604" s="170"/>
      <c r="W604" s="7"/>
      <c r="X604" s="1"/>
      <c r="Y604" s="1"/>
      <c r="Z604" s="1"/>
      <c r="AA604" s="1"/>
      <c r="AB604" s="1"/>
      <c r="AC604" s="331">
        <v>597</v>
      </c>
      <c r="AD604" s="544">
        <f>+DATE(YEAR(AD603),MONTH(AD603)-1,DAY(AD603))</f>
        <v>25569.041666666668</v>
      </c>
      <c r="AE604" s="341">
        <f>IF($AM$7=$E604,1,IF(MONTH($E604)=1,AE605*(1+$F$5),AE605))</f>
      </c>
      <c r="AF604" s="334">
        <f>AE604*$B$8/12</f>
      </c>
      <c r="AG604" s="334">
        <f>AE604*$B$12/12</f>
      </c>
      <c r="AH604" s="565">
        <f>(1+$AI$5)^(AC604/12)*(AG604+IF(AD604=$AM$7,$AM$4,0))</f>
      </c>
      <c r="AI604" s="170"/>
      <c r="AJ604" s="7"/>
      <c r="AK604" s="1"/>
      <c r="AL604" s="1"/>
      <c r="AM604" s="1"/>
    </row>
    <row x14ac:dyDescent="0.25" r="605" customHeight="1" ht="18.75">
      <c r="A605" s="1"/>
      <c r="B605" s="169"/>
      <c r="C605" s="170"/>
      <c r="D605" s="331">
        <v>598</v>
      </c>
      <c r="E605" s="544">
        <f>+DATE(YEAR(E604),MONTH(E604)-1,DAY(E604))</f>
        <v>25569.041666666668</v>
      </c>
      <c r="F605" s="333">
        <f>IF($C$6=$E605,1,IF(MONTH($E605)=1,F606*(1+$F$5),F606))</f>
      </c>
      <c r="G605" s="333">
        <f>F605*$B$8/12</f>
      </c>
      <c r="H605" s="333">
        <f>IF(F605=1,F605*$B$10/MIN(12,'Simulador - 3º Pilar'!$E$88),0)</f>
      </c>
      <c r="I605" s="560">
        <f>(1+$G$5)^(D605/12)*(H605+IF(E605=$N$7,$N$4,0))</f>
      </c>
      <c r="J605" s="561">
        <f>(1+$G$5)^(D605/12)*(H605*(12-IF(MONTH(E606)=12,0,MONTH(E606)))+IF(AND(F605=1,F606=0),$Q$4,0))*IF(AND(F605=1,F606=0),1,0)</f>
      </c>
      <c r="K605" s="217">
        <f>(1+$G$5)^(D605/12)*(IF(E605=$N$7,$N$4,0)+IF(E605=$C$6,$B$10,0))</f>
      </c>
      <c r="L605" s="217">
        <f>(1+$G$5)^(D605/12)*(IF((E605)&gt;($B$6),H605,0)+IF(E605=$N$7,$N$4,0)+IF(E605=$C$6,0,0))</f>
      </c>
      <c r="M605" s="1"/>
      <c r="N605" s="7"/>
      <c r="O605" s="1"/>
      <c r="P605" s="331">
        <v>598</v>
      </c>
      <c r="Q605" s="544">
        <f>+DATE(YEAR(Q604),MONTH(Q604)-1,DAY(Q604))</f>
        <v>25569.041666666668</v>
      </c>
      <c r="R605" s="341">
        <f>IF($Z$7=$E605,1,IF(MONTH($E605)=1,R606*(1+$F$5),R606))</f>
      </c>
      <c r="S605" s="334">
        <f>R605*$B$8/12</f>
      </c>
      <c r="T605" s="334">
        <f>R605*$B$11/12</f>
      </c>
      <c r="U605" s="565">
        <f>(1+$V$5)^(P605/12)*(T605+IF(Q605=$Z$7,$Z$4,0))</f>
      </c>
      <c r="V605" s="170"/>
      <c r="W605" s="7"/>
      <c r="X605" s="1"/>
      <c r="Y605" s="1"/>
      <c r="Z605" s="1"/>
      <c r="AA605" s="1"/>
      <c r="AB605" s="1"/>
      <c r="AC605" s="331">
        <v>598</v>
      </c>
      <c r="AD605" s="544">
        <f>+DATE(YEAR(AD604),MONTH(AD604)-1,DAY(AD604))</f>
        <v>25569.041666666668</v>
      </c>
      <c r="AE605" s="341">
        <f>IF($AM$7=$E605,1,IF(MONTH($E605)=1,AE606*(1+$F$5),AE606))</f>
      </c>
      <c r="AF605" s="334">
        <f>AE605*$B$8/12</f>
      </c>
      <c r="AG605" s="334">
        <f>AE605*$B$12/12</f>
      </c>
      <c r="AH605" s="565">
        <f>(1+$AI$5)^(AC605/12)*(AG605+IF(AD605=$AM$7,$AM$4,0))</f>
      </c>
      <c r="AI605" s="170"/>
      <c r="AJ605" s="7"/>
      <c r="AK605" s="1"/>
      <c r="AL605" s="1"/>
      <c r="AM605" s="1"/>
    </row>
    <row x14ac:dyDescent="0.25" r="606" customHeight="1" ht="18.75">
      <c r="A606" s="1"/>
      <c r="B606" s="169"/>
      <c r="C606" s="170"/>
      <c r="D606" s="331">
        <v>599</v>
      </c>
      <c r="E606" s="544">
        <f>+DATE(YEAR(E605),MONTH(E605)-1,DAY(E605))</f>
        <v>25569.041666666668</v>
      </c>
      <c r="F606" s="333">
        <f>IF($C$6=$E606,1,IF(MONTH($E606)=1,F607*(1+$F$5),F607))</f>
      </c>
      <c r="G606" s="333">
        <f>F606*$B$8/12</f>
      </c>
      <c r="H606" s="333">
        <f>IF(F606=1,F606*$B$10/MIN(12,'Simulador - 3º Pilar'!$E$88),0)</f>
      </c>
      <c r="I606" s="560">
        <f>(1+$G$5)^(D606/12)*(H606+IF(E606=$N$7,$N$4,0))</f>
      </c>
      <c r="J606" s="561">
        <f>(1+$G$5)^(D606/12)*(H606*(12-IF(MONTH(E607)=12,0,MONTH(E607)))+IF(AND(F606=1,F607=0),$Q$4,0))*IF(AND(F606=1,F607=0),1,0)</f>
      </c>
      <c r="K606" s="217">
        <f>(1+$G$5)^(D606/12)*(IF(E606=$N$7,$N$4,0)+IF(E606=$C$6,$B$10,0))</f>
      </c>
      <c r="L606" s="217">
        <f>(1+$G$5)^(D606/12)*(IF((E606)&gt;($B$6),H606,0)+IF(E606=$N$7,$N$4,0)+IF(E606=$C$6,0,0))</f>
      </c>
      <c r="M606" s="1"/>
      <c r="N606" s="7"/>
      <c r="O606" s="1"/>
      <c r="P606" s="331">
        <v>599</v>
      </c>
      <c r="Q606" s="544">
        <f>+DATE(YEAR(Q605),MONTH(Q605)-1,DAY(Q605))</f>
        <v>25569.041666666668</v>
      </c>
      <c r="R606" s="341">
        <f>IF($Z$7=$E606,1,IF(MONTH($E606)=1,R607*(1+$F$5),R607))</f>
      </c>
      <c r="S606" s="334">
        <f>R606*$B$8/12</f>
      </c>
      <c r="T606" s="334">
        <f>R606*$B$11/12</f>
      </c>
      <c r="U606" s="565">
        <f>(1+$V$5)^(P606/12)*(T606+IF(Q606=$Z$7,$Z$4,0))</f>
      </c>
      <c r="V606" s="170"/>
      <c r="W606" s="7"/>
      <c r="X606" s="1"/>
      <c r="Y606" s="1"/>
      <c r="Z606" s="1"/>
      <c r="AA606" s="1"/>
      <c r="AB606" s="1"/>
      <c r="AC606" s="331">
        <v>599</v>
      </c>
      <c r="AD606" s="544">
        <f>+DATE(YEAR(AD605),MONTH(AD605)-1,DAY(AD605))</f>
        <v>25569.041666666668</v>
      </c>
      <c r="AE606" s="341">
        <f>IF($AM$7=$E606,1,IF(MONTH($E606)=1,AE607*(1+$F$5),AE607))</f>
      </c>
      <c r="AF606" s="334">
        <f>AE606*$B$8/12</f>
      </c>
      <c r="AG606" s="334">
        <f>AE606*$B$12/12</f>
      </c>
      <c r="AH606" s="565">
        <f>(1+$AI$5)^(AC606/12)*(AG606+IF(AD606=$AM$7,$AM$4,0))</f>
      </c>
      <c r="AI606" s="170"/>
      <c r="AJ606" s="7"/>
      <c r="AK606" s="1"/>
      <c r="AL606" s="1"/>
      <c r="AM606" s="1"/>
    </row>
    <row x14ac:dyDescent="0.25" r="607" customHeight="1" ht="18.75">
      <c r="A607" s="1"/>
      <c r="B607" s="169"/>
      <c r="C607" s="170"/>
      <c r="D607" s="331">
        <v>600</v>
      </c>
      <c r="E607" s="544">
        <f>+DATE(YEAR(E606),MONTH(E606)-1,DAY(E606))</f>
        <v>25569.041666666668</v>
      </c>
      <c r="F607" s="333">
        <f>IF($C$6=$E607,1,IF(MONTH($E607)=1,F608*(1+$F$5),F608))</f>
      </c>
      <c r="G607" s="333">
        <f>F607*$B$8/12</f>
      </c>
      <c r="H607" s="333">
        <f>IF(F607=1,F607*$B$10/MIN(12,'Simulador - 3º Pilar'!$E$88),0)</f>
      </c>
      <c r="I607" s="560">
        <f>(1+$G$5)^(D607/12)*(H607+IF(E607=$N$7,$N$4,0))</f>
      </c>
      <c r="J607" s="561">
        <f>(1+$G$5)^(D607/12)*(H607*(12-IF(MONTH(E608)=12,0,MONTH(E608)))+IF(AND(F607=1,F608=0),$Q$4,0))*IF(AND(F607=1,F608=0),1,0)</f>
      </c>
      <c r="K607" s="217">
        <f>(1+$G$5)^(D607/12)*(IF(E607=$N$7,$N$4,0)+IF(E607=$C$6,$B$10,0))</f>
      </c>
      <c r="L607" s="217">
        <f>(1+$G$5)^(D607/12)*(IF((E607)&gt;($B$6),H607,0)+IF(E607=$N$7,$N$4,0)+IF(E607=$C$6,0,0))</f>
      </c>
      <c r="M607" s="1"/>
      <c r="N607" s="7"/>
      <c r="O607" s="1"/>
      <c r="P607" s="331">
        <v>600</v>
      </c>
      <c r="Q607" s="544">
        <f>+DATE(YEAR(Q606),MONTH(Q606)-1,DAY(Q606))</f>
        <v>25569.041666666668</v>
      </c>
      <c r="R607" s="341">
        <f>IF($Z$7=$E607,1,IF(MONTH($E607)=1,R608*(1+$F$5),R608))</f>
      </c>
      <c r="S607" s="334">
        <f>R607*$B$8/12</f>
      </c>
      <c r="T607" s="334">
        <f>R607*$B$11/12</f>
      </c>
      <c r="U607" s="565">
        <f>(1+$V$5)^(P607/12)*(T607+IF(Q607=$Z$7,$Z$4,0))</f>
      </c>
      <c r="V607" s="170"/>
      <c r="W607" s="7"/>
      <c r="X607" s="1"/>
      <c r="Y607" s="1"/>
      <c r="Z607" s="1"/>
      <c r="AA607" s="1"/>
      <c r="AB607" s="1"/>
      <c r="AC607" s="331">
        <v>600</v>
      </c>
      <c r="AD607" s="544">
        <f>+DATE(YEAR(AD606),MONTH(AD606)-1,DAY(AD606))</f>
        <v>25569.041666666668</v>
      </c>
      <c r="AE607" s="341">
        <f>IF($AM$7=$E607,1,IF(MONTH($E607)=1,AE608*(1+$F$5),AE608))</f>
      </c>
      <c r="AF607" s="334">
        <f>AE607*$B$8/12</f>
      </c>
      <c r="AG607" s="334">
        <f>AE607*$B$12/12</f>
      </c>
      <c r="AH607" s="565">
        <f>(1+$AI$5)^(AC607/12)*(AG607+IF(AD607=$AM$7,$AM$4,0))</f>
      </c>
      <c r="AI607" s="170"/>
      <c r="AJ607" s="7"/>
      <c r="AK607" s="1"/>
      <c r="AL607" s="1"/>
      <c r="AM607" s="1"/>
    </row>
    <row x14ac:dyDescent="0.25" r="608" customHeight="1" ht="18.75">
      <c r="A608" s="1"/>
      <c r="B608" s="169"/>
      <c r="C608" s="170"/>
      <c r="D608" s="331">
        <v>601</v>
      </c>
      <c r="E608" s="544">
        <f>+DATE(YEAR(E607),MONTH(E607)-1,DAY(E607))</f>
        <v>25569.041666666668</v>
      </c>
      <c r="F608" s="333">
        <f>IF($C$6=$E608,1,IF(MONTH($E608)=1,F609*(1+$F$5),F609))</f>
      </c>
      <c r="G608" s="333">
        <f>F608*$B$8/12</f>
      </c>
      <c r="H608" s="333">
        <f>IF(F608=1,F608*$B$10/MIN(12,'Simulador - 3º Pilar'!$E$88),0)</f>
      </c>
      <c r="I608" s="560">
        <f>(1+$G$5)^(D608/12)*(H608+IF(E608=$N$7,$N$4,0))</f>
      </c>
      <c r="J608" s="561">
        <f>(1+$G$5)^(D608/12)*(H608*(12-IF(MONTH(E609)=12,0,MONTH(E609)))+IF(AND(F608=1,F609=0),$Q$4,0))*IF(AND(F608=1,F609=0),1,0)</f>
      </c>
      <c r="K608" s="217">
        <f>(1+$G$5)^(D608/12)*(IF(E608=$N$7,$N$4,0)+IF(E608=$C$6,$B$10,0))</f>
      </c>
      <c r="L608" s="217">
        <f>(1+$G$5)^(D608/12)*(IF((E608)&gt;($B$6),H608,0)+IF(E608=$N$7,$N$4,0)+IF(E608=$C$6,0,0))</f>
      </c>
      <c r="M608" s="1"/>
      <c r="N608" s="7"/>
      <c r="O608" s="1"/>
      <c r="P608" s="331">
        <v>601</v>
      </c>
      <c r="Q608" s="544">
        <f>+DATE(YEAR(Q607),MONTH(Q607)-1,DAY(Q607))</f>
        <v>25569.041666666668</v>
      </c>
      <c r="R608" s="341">
        <f>IF($Z$7=$E608,1,IF(MONTH($E608)=1,R609*(1+$F$5),R609))</f>
      </c>
      <c r="S608" s="334">
        <f>R608*$B$8/12</f>
      </c>
      <c r="T608" s="334">
        <f>R608*$B$11/12</f>
      </c>
      <c r="U608" s="565">
        <f>(1+$V$5)^(P608/12)*(T608+IF(Q608=$Z$7,$Z$4,0))</f>
      </c>
      <c r="V608" s="170"/>
      <c r="W608" s="7"/>
      <c r="X608" s="1"/>
      <c r="Y608" s="1"/>
      <c r="Z608" s="1"/>
      <c r="AA608" s="1"/>
      <c r="AB608" s="1"/>
      <c r="AC608" s="331">
        <v>601</v>
      </c>
      <c r="AD608" s="544">
        <f>+DATE(YEAR(AD607),MONTH(AD607)-1,DAY(AD607))</f>
        <v>25569.041666666668</v>
      </c>
      <c r="AE608" s="341">
        <f>IF($AM$7=$E608,1,IF(MONTH($E608)=1,AE609*(1+$F$5),AE609))</f>
      </c>
      <c r="AF608" s="334">
        <f>AE608*$B$8/12</f>
      </c>
      <c r="AG608" s="334">
        <f>AE608*$B$12/12</f>
      </c>
      <c r="AH608" s="565">
        <f>(1+$AI$5)^(AC608/12)*(AG608+IF(AD608=$AM$7,$AM$4,0))</f>
      </c>
      <c r="AI608" s="170"/>
      <c r="AJ608" s="7"/>
      <c r="AK608" s="1"/>
      <c r="AL608" s="1"/>
      <c r="AM608" s="1"/>
    </row>
    <row x14ac:dyDescent="0.25" r="609" customHeight="1" ht="18.75">
      <c r="A609" s="1"/>
      <c r="B609" s="169"/>
      <c r="C609" s="170"/>
      <c r="D609" s="331">
        <v>602</v>
      </c>
      <c r="E609" s="544">
        <f>+DATE(YEAR(E608),MONTH(E608)-1,DAY(E608))</f>
        <v>25569.041666666668</v>
      </c>
      <c r="F609" s="333">
        <f>IF($C$6=$E609,1,IF(MONTH($E609)=1,F610*(1+$F$5),F610))</f>
      </c>
      <c r="G609" s="333">
        <f>F609*$B$8/12</f>
      </c>
      <c r="H609" s="333">
        <f>IF(F609=1,F609*$B$10/MIN(12,'Simulador - 3º Pilar'!$E$88),0)</f>
      </c>
      <c r="I609" s="560">
        <f>(1+$G$5)^(D609/12)*(H609+IF(E609=$N$7,$N$4,0))</f>
      </c>
      <c r="J609" s="561">
        <f>(1+$G$5)^(D609/12)*(H609*(12-IF(MONTH(E610)=12,0,MONTH(E610)))+IF(AND(F609=1,F610=0),$Q$4,0))*IF(AND(F609=1,F610=0),1,0)</f>
      </c>
      <c r="K609" s="217">
        <f>(1+$G$5)^(D609/12)*(IF(E609=$N$7,$N$4,0)+IF(E609=$C$6,$B$10,0))</f>
      </c>
      <c r="L609" s="217">
        <f>(1+$G$5)^(D609/12)*(IF((E609)&gt;($B$6),H609,0)+IF(E609=$N$7,$N$4,0)+IF(E609=$C$6,0,0))</f>
      </c>
      <c r="M609" s="1"/>
      <c r="N609" s="7"/>
      <c r="O609" s="1"/>
      <c r="P609" s="331">
        <v>602</v>
      </c>
      <c r="Q609" s="544">
        <f>+DATE(YEAR(Q608),MONTH(Q608)-1,DAY(Q608))</f>
        <v>25569.041666666668</v>
      </c>
      <c r="R609" s="341">
        <f>IF($Z$7=$E609,1,IF(MONTH($E609)=1,R610*(1+$F$5),R610))</f>
      </c>
      <c r="S609" s="334">
        <f>R609*$B$8/12</f>
      </c>
      <c r="T609" s="334">
        <f>R609*$B$11/12</f>
      </c>
      <c r="U609" s="565">
        <f>(1+$V$5)^(P609/12)*(T609+IF(Q609=$Z$7,$Z$4,0))</f>
      </c>
      <c r="V609" s="170"/>
      <c r="W609" s="7"/>
      <c r="X609" s="1"/>
      <c r="Y609" s="1"/>
      <c r="Z609" s="1"/>
      <c r="AA609" s="1"/>
      <c r="AB609" s="1"/>
      <c r="AC609" s="331">
        <v>602</v>
      </c>
      <c r="AD609" s="544">
        <f>+DATE(YEAR(AD608),MONTH(AD608)-1,DAY(AD608))</f>
        <v>25569.041666666668</v>
      </c>
      <c r="AE609" s="341">
        <f>IF($AM$7=$E609,1,IF(MONTH($E609)=1,AE610*(1+$F$5),AE610))</f>
      </c>
      <c r="AF609" s="334">
        <f>AE609*$B$8/12</f>
      </c>
      <c r="AG609" s="334">
        <f>AE609*$B$12/12</f>
      </c>
      <c r="AH609" s="565">
        <f>(1+$AI$5)^(AC609/12)*(AG609+IF(AD609=$AM$7,$AM$4,0))</f>
      </c>
      <c r="AI609" s="170"/>
      <c r="AJ609" s="7"/>
      <c r="AK609" s="1"/>
      <c r="AL609" s="1"/>
      <c r="AM609" s="1"/>
    </row>
    <row x14ac:dyDescent="0.25" r="610" customHeight="1" ht="18.75">
      <c r="A610" s="1"/>
      <c r="B610" s="169"/>
      <c r="C610" s="170"/>
      <c r="D610" s="331">
        <v>603</v>
      </c>
      <c r="E610" s="544">
        <f>+DATE(YEAR(E609),MONTH(E609)-1,DAY(E609))</f>
        <v>25569.041666666668</v>
      </c>
      <c r="F610" s="333">
        <f>IF($C$6=$E610,1,IF(MONTH($E610)=1,F611*(1+$F$5),F611))</f>
      </c>
      <c r="G610" s="333">
        <f>F610*$B$8/12</f>
      </c>
      <c r="H610" s="333">
        <f>IF(F610=1,F610*$B$10/MIN(12,'Simulador - 3º Pilar'!$E$88),0)</f>
      </c>
      <c r="I610" s="560">
        <f>(1+$G$5)^(D610/12)*(H610+IF(E610=$N$7,$N$4,0))</f>
      </c>
      <c r="J610" s="561">
        <f>(1+$G$5)^(D610/12)*(H610*(12-IF(MONTH(E611)=12,0,MONTH(E611)))+IF(AND(F610=1,F611=0),$Q$4,0))*IF(AND(F610=1,F611=0),1,0)</f>
      </c>
      <c r="K610" s="217">
        <f>(1+$G$5)^(D610/12)*(IF(E610=$N$7,$N$4,0)+IF(E610=$C$6,$B$10,0))</f>
      </c>
      <c r="L610" s="217">
        <f>(1+$G$5)^(D610/12)*(IF((E610)&gt;($B$6),H610,0)+IF(E610=$N$7,$N$4,0)+IF(E610=$C$6,0,0))</f>
      </c>
      <c r="M610" s="1"/>
      <c r="N610" s="7"/>
      <c r="O610" s="1"/>
      <c r="P610" s="331">
        <v>603</v>
      </c>
      <c r="Q610" s="544">
        <f>+DATE(YEAR(Q609),MONTH(Q609)-1,DAY(Q609))</f>
        <v>25569.041666666668</v>
      </c>
      <c r="R610" s="341">
        <f>IF($Z$7=$E610,1,IF(MONTH($E610)=1,R611*(1+$F$5),R611))</f>
      </c>
      <c r="S610" s="334">
        <f>R610*$B$8/12</f>
      </c>
      <c r="T610" s="334">
        <f>R610*$B$11/12</f>
      </c>
      <c r="U610" s="565">
        <f>(1+$V$5)^(P610/12)*(T610+IF(Q610=$Z$7,$Z$4,0))</f>
      </c>
      <c r="V610" s="170"/>
      <c r="W610" s="7"/>
      <c r="X610" s="1"/>
      <c r="Y610" s="1"/>
      <c r="Z610" s="1"/>
      <c r="AA610" s="1"/>
      <c r="AB610" s="1"/>
      <c r="AC610" s="331">
        <v>603</v>
      </c>
      <c r="AD610" s="544">
        <f>+DATE(YEAR(AD609),MONTH(AD609)-1,DAY(AD609))</f>
        <v>25569.041666666668</v>
      </c>
      <c r="AE610" s="341">
        <f>IF($AM$7=$E610,1,IF(MONTH($E610)=1,AE611*(1+$F$5),AE611))</f>
      </c>
      <c r="AF610" s="334">
        <f>AE610*$B$8/12</f>
      </c>
      <c r="AG610" s="334">
        <f>AE610*$B$12/12</f>
      </c>
      <c r="AH610" s="565">
        <f>(1+$AI$5)^(AC610/12)*(AG610+IF(AD610=$AM$7,$AM$4,0))</f>
      </c>
      <c r="AI610" s="170"/>
      <c r="AJ610" s="7"/>
      <c r="AK610" s="1"/>
      <c r="AL610" s="1"/>
      <c r="AM610" s="1"/>
    </row>
    <row x14ac:dyDescent="0.25" r="611" customHeight="1" ht="18.75">
      <c r="A611" s="1"/>
      <c r="B611" s="169"/>
      <c r="C611" s="170"/>
      <c r="D611" s="331">
        <v>604</v>
      </c>
      <c r="E611" s="544">
        <f>+DATE(YEAR(E610),MONTH(E610)-1,DAY(E610))</f>
        <v>25569.041666666668</v>
      </c>
      <c r="F611" s="333">
        <f>IF($C$6=$E611,1,IF(MONTH($E611)=1,F612*(1+$F$5),F612))</f>
      </c>
      <c r="G611" s="333">
        <f>F611*$B$8/12</f>
      </c>
      <c r="H611" s="333">
        <f>IF(F611=1,F611*$B$10/MIN(12,'Simulador - 3º Pilar'!$E$88),0)</f>
      </c>
      <c r="I611" s="560">
        <f>(1+$G$5)^(D611/12)*(H611+IF(E611=$N$7,$N$4,0))</f>
      </c>
      <c r="J611" s="561">
        <f>(1+$G$5)^(D611/12)*(H611*(12-IF(MONTH(E612)=12,0,MONTH(E612)))+IF(AND(F611=1,F612=0),$Q$4,0))*IF(AND(F611=1,F612=0),1,0)</f>
      </c>
      <c r="K611" s="217">
        <f>(1+$G$5)^(D611/12)*(IF(E611=$N$7,$N$4,0)+IF(E611=$C$6,$B$10,0))</f>
      </c>
      <c r="L611" s="217">
        <f>(1+$G$5)^(D611/12)*(IF((E611)&gt;($B$6),H611,0)+IF(E611=$N$7,$N$4,0)+IF(E611=$C$6,0,0))</f>
      </c>
      <c r="M611" s="1"/>
      <c r="N611" s="7"/>
      <c r="O611" s="1"/>
      <c r="P611" s="331">
        <v>604</v>
      </c>
      <c r="Q611" s="544">
        <f>+DATE(YEAR(Q610),MONTH(Q610)-1,DAY(Q610))</f>
        <v>25569.041666666668</v>
      </c>
      <c r="R611" s="341">
        <f>IF($Z$7=$E611,1,IF(MONTH($E611)=1,R612*(1+$F$5),R612))</f>
      </c>
      <c r="S611" s="334">
        <f>R611*$B$8/12</f>
      </c>
      <c r="T611" s="334">
        <f>R611*$B$11/12</f>
      </c>
      <c r="U611" s="565">
        <f>(1+$V$5)^(P611/12)*(T611+IF(Q611=$Z$7,$Z$4,0))</f>
      </c>
      <c r="V611" s="170"/>
      <c r="W611" s="7"/>
      <c r="X611" s="1"/>
      <c r="Y611" s="1"/>
      <c r="Z611" s="1"/>
      <c r="AA611" s="1"/>
      <c r="AB611" s="1"/>
      <c r="AC611" s="331">
        <v>604</v>
      </c>
      <c r="AD611" s="544">
        <f>+DATE(YEAR(AD610),MONTH(AD610)-1,DAY(AD610))</f>
        <v>25569.041666666668</v>
      </c>
      <c r="AE611" s="341">
        <f>IF($AM$7=$E611,1,IF(MONTH($E611)=1,AE612*(1+$F$5),AE612))</f>
      </c>
      <c r="AF611" s="334">
        <f>AE611*$B$8/12</f>
      </c>
      <c r="AG611" s="334">
        <f>AE611*$B$12/12</f>
      </c>
      <c r="AH611" s="565">
        <f>(1+$AI$5)^(AC611/12)*(AG611+IF(AD611=$AM$7,$AM$4,0))</f>
      </c>
      <c r="AI611" s="170"/>
      <c r="AJ611" s="7"/>
      <c r="AK611" s="1"/>
      <c r="AL611" s="1"/>
      <c r="AM611" s="1"/>
    </row>
    <row x14ac:dyDescent="0.25" r="612" customHeight="1" ht="18.75">
      <c r="A612" s="1"/>
      <c r="B612" s="169"/>
      <c r="C612" s="170"/>
      <c r="D612" s="331">
        <v>605</v>
      </c>
      <c r="E612" s="544">
        <f>+DATE(YEAR(E611),MONTH(E611)-1,DAY(E611))</f>
        <v>25569.041666666668</v>
      </c>
      <c r="F612" s="333">
        <f>IF($C$6=$E612,1,IF(MONTH($E612)=1,F613*(1+$F$5),F613))</f>
      </c>
      <c r="G612" s="333">
        <f>F612*$B$8/12</f>
      </c>
      <c r="H612" s="333">
        <f>IF(F612=1,F612*$B$10/MIN(12,'Simulador - 3º Pilar'!$E$88),0)</f>
      </c>
      <c r="I612" s="560">
        <f>(1+$G$5)^(D612/12)*(H612+IF(E612=$N$7,$N$4,0))</f>
      </c>
      <c r="J612" s="561">
        <f>(1+$G$5)^(D612/12)*(H612*(12-IF(MONTH(E613)=12,0,MONTH(E613)))+IF(AND(F612=1,F613=0),$Q$4,0))*IF(AND(F612=1,F613=0),1,0)</f>
      </c>
      <c r="K612" s="217">
        <f>(1+$G$5)^(D612/12)*(IF(E612=$N$7,$N$4,0)+IF(E612=$C$6,$B$10,0))</f>
      </c>
      <c r="L612" s="217">
        <f>(1+$G$5)^(D612/12)*(IF((E612)&gt;($B$6),H612,0)+IF(E612=$N$7,$N$4,0)+IF(E612=$C$6,0,0))</f>
      </c>
      <c r="M612" s="1"/>
      <c r="N612" s="7"/>
      <c r="O612" s="1"/>
      <c r="P612" s="331">
        <v>605</v>
      </c>
      <c r="Q612" s="544">
        <f>+DATE(YEAR(Q611),MONTH(Q611)-1,DAY(Q611))</f>
        <v>25569.041666666668</v>
      </c>
      <c r="R612" s="341">
        <f>IF($Z$7=$E612,1,IF(MONTH($E612)=1,R613*(1+$F$5),R613))</f>
      </c>
      <c r="S612" s="334">
        <f>R612*$B$8/12</f>
      </c>
      <c r="T612" s="334">
        <f>R612*$B$11/12</f>
      </c>
      <c r="U612" s="565">
        <f>(1+$V$5)^(P612/12)*(T612+IF(Q612=$Z$7,$Z$4,0))</f>
      </c>
      <c r="V612" s="170"/>
      <c r="W612" s="7"/>
      <c r="X612" s="1"/>
      <c r="Y612" s="1"/>
      <c r="Z612" s="1"/>
      <c r="AA612" s="1"/>
      <c r="AB612" s="1"/>
      <c r="AC612" s="331">
        <v>605</v>
      </c>
      <c r="AD612" s="544">
        <f>+DATE(YEAR(AD611),MONTH(AD611)-1,DAY(AD611))</f>
        <v>25569.041666666668</v>
      </c>
      <c r="AE612" s="341">
        <f>IF($AM$7=$E612,1,IF(MONTH($E612)=1,AE613*(1+$F$5),AE613))</f>
      </c>
      <c r="AF612" s="334">
        <f>AE612*$B$8/12</f>
      </c>
      <c r="AG612" s="334">
        <f>AE612*$B$12/12</f>
      </c>
      <c r="AH612" s="565">
        <f>(1+$AI$5)^(AC612/12)*(AG612+IF(AD612=$AM$7,$AM$4,0))</f>
      </c>
      <c r="AI612" s="170"/>
      <c r="AJ612" s="7"/>
      <c r="AK612" s="1"/>
      <c r="AL612" s="1"/>
      <c r="AM612" s="1"/>
    </row>
    <row x14ac:dyDescent="0.25" r="613" customHeight="1" ht="18.75">
      <c r="A613" s="1"/>
      <c r="B613" s="169"/>
      <c r="C613" s="170"/>
      <c r="D613" s="331">
        <v>606</v>
      </c>
      <c r="E613" s="544">
        <f>+DATE(YEAR(E612),MONTH(E612)-1,DAY(E612))</f>
        <v>25569.041666666668</v>
      </c>
      <c r="F613" s="333">
        <f>IF($C$6=$E613,1,IF(MONTH($E613)=1,F614*(1+$F$5),F614))</f>
      </c>
      <c r="G613" s="333">
        <f>F613*$B$8/12</f>
      </c>
      <c r="H613" s="333">
        <f>IF(F613=1,F613*$B$10/MIN(12,'Simulador - 3º Pilar'!$E$88),0)</f>
      </c>
      <c r="I613" s="560">
        <f>(1+$G$5)^(D613/12)*(H613+IF(E613=$N$7,$N$4,0))</f>
      </c>
      <c r="J613" s="561">
        <f>(1+$G$5)^(D613/12)*(H613*(12-IF(MONTH(E614)=12,0,MONTH(E614)))+IF(AND(F613=1,F614=0),$Q$4,0))*IF(AND(F613=1,F614=0),1,0)</f>
      </c>
      <c r="K613" s="217">
        <f>(1+$G$5)^(D613/12)*(IF(E613=$N$7,$N$4,0)+IF(E613=$C$6,$B$10,0))</f>
      </c>
      <c r="L613" s="217">
        <f>(1+$G$5)^(D613/12)*(IF((E613)&gt;($B$6),H613,0)+IF(E613=$N$7,$N$4,0)+IF(E613=$C$6,0,0))</f>
      </c>
      <c r="M613" s="1"/>
      <c r="N613" s="7"/>
      <c r="O613" s="1"/>
      <c r="P613" s="331">
        <v>606</v>
      </c>
      <c r="Q613" s="544">
        <f>+DATE(YEAR(Q612),MONTH(Q612)-1,DAY(Q612))</f>
        <v>25569.041666666668</v>
      </c>
      <c r="R613" s="341">
        <f>IF($Z$7=$E613,1,IF(MONTH($E613)=1,R614*(1+$F$5),R614))</f>
      </c>
      <c r="S613" s="334">
        <f>R613*$B$8/12</f>
      </c>
      <c r="T613" s="334">
        <f>R613*$B$11/12</f>
      </c>
      <c r="U613" s="565">
        <f>(1+$V$5)^(P613/12)*(T613+IF(Q613=$Z$7,$Z$4,0))</f>
      </c>
      <c r="V613" s="170"/>
      <c r="W613" s="7"/>
      <c r="X613" s="1"/>
      <c r="Y613" s="1"/>
      <c r="Z613" s="1"/>
      <c r="AA613" s="1"/>
      <c r="AB613" s="1"/>
      <c r="AC613" s="331">
        <v>606</v>
      </c>
      <c r="AD613" s="544">
        <f>+DATE(YEAR(AD612),MONTH(AD612)-1,DAY(AD612))</f>
        <v>25569.041666666668</v>
      </c>
      <c r="AE613" s="341">
        <f>IF($AM$7=$E613,1,IF(MONTH($E613)=1,AE614*(1+$F$5),AE614))</f>
      </c>
      <c r="AF613" s="334">
        <f>AE613*$B$8/12</f>
      </c>
      <c r="AG613" s="334">
        <f>AE613*$B$12/12</f>
      </c>
      <c r="AH613" s="565">
        <f>(1+$AI$5)^(AC613/12)*(AG613+IF(AD613=$AM$7,$AM$4,0))</f>
      </c>
      <c r="AI613" s="170"/>
      <c r="AJ613" s="7"/>
      <c r="AK613" s="1"/>
      <c r="AL613" s="1"/>
      <c r="AM613" s="1"/>
    </row>
    <row x14ac:dyDescent="0.25" r="614" customHeight="1" ht="18.75">
      <c r="A614" s="1"/>
      <c r="B614" s="169"/>
      <c r="C614" s="170"/>
      <c r="D614" s="331">
        <v>607</v>
      </c>
      <c r="E614" s="544">
        <f>+DATE(YEAR(E613),MONTH(E613)-1,DAY(E613))</f>
        <v>25569.041666666668</v>
      </c>
      <c r="F614" s="333">
        <f>IF($C$6=$E614,1,IF(MONTH($E614)=1,F615*(1+$F$5),F615))</f>
      </c>
      <c r="G614" s="333">
        <f>F614*$B$8/12</f>
      </c>
      <c r="H614" s="333">
        <f>IF(F614=1,F614*$B$10/MIN(12,'Simulador - 3º Pilar'!$E$88),0)</f>
      </c>
      <c r="I614" s="560">
        <f>(1+$G$5)^(D614/12)*(H614+IF(E614=$N$7,$N$4,0))</f>
      </c>
      <c r="J614" s="561">
        <f>(1+$G$5)^(D614/12)*(H614*(12-IF(MONTH(E615)=12,0,MONTH(E615)))+IF(AND(F614=1,F615=0),$Q$4,0))*IF(AND(F614=1,F615=0),1,0)</f>
      </c>
      <c r="K614" s="217">
        <f>(1+$G$5)^(D614/12)*(IF(E614=$N$7,$N$4,0)+IF(E614=$C$6,$B$10,0))</f>
      </c>
      <c r="L614" s="217">
        <f>(1+$G$5)^(D614/12)*(IF((E614)&gt;($B$6),H614,0)+IF(E614=$N$7,$N$4,0)+IF(E614=$C$6,0,0))</f>
      </c>
      <c r="M614" s="1"/>
      <c r="N614" s="7"/>
      <c r="O614" s="1"/>
      <c r="P614" s="331">
        <v>607</v>
      </c>
      <c r="Q614" s="544">
        <f>+DATE(YEAR(Q613),MONTH(Q613)-1,DAY(Q613))</f>
        <v>25569.041666666668</v>
      </c>
      <c r="R614" s="341">
        <f>IF($Z$7=$E614,1,IF(MONTH($E614)=1,R615*(1+$F$5),R615))</f>
      </c>
      <c r="S614" s="334">
        <f>R614*$B$8/12</f>
      </c>
      <c r="T614" s="334">
        <f>R614*$B$11/12</f>
      </c>
      <c r="U614" s="565">
        <f>(1+$V$5)^(P614/12)*(T614+IF(Q614=$Z$7,$Z$4,0))</f>
      </c>
      <c r="V614" s="170"/>
      <c r="W614" s="7"/>
      <c r="X614" s="1"/>
      <c r="Y614" s="1"/>
      <c r="Z614" s="1"/>
      <c r="AA614" s="1"/>
      <c r="AB614" s="1"/>
      <c r="AC614" s="331">
        <v>607</v>
      </c>
      <c r="AD614" s="544">
        <f>+DATE(YEAR(AD613),MONTH(AD613)-1,DAY(AD613))</f>
        <v>25569.041666666668</v>
      </c>
      <c r="AE614" s="341">
        <f>IF($AM$7=$E614,1,IF(MONTH($E614)=1,AE615*(1+$F$5),AE615))</f>
      </c>
      <c r="AF614" s="334">
        <f>AE614*$B$8/12</f>
      </c>
      <c r="AG614" s="334">
        <f>AE614*$B$12/12</f>
      </c>
      <c r="AH614" s="565">
        <f>(1+$AI$5)^(AC614/12)*(AG614+IF(AD614=$AM$7,$AM$4,0))</f>
      </c>
      <c r="AI614" s="170"/>
      <c r="AJ614" s="7"/>
      <c r="AK614" s="1"/>
      <c r="AL614" s="1"/>
      <c r="AM614" s="1"/>
    </row>
    <row x14ac:dyDescent="0.25" r="615" customHeight="1" ht="18.75">
      <c r="A615" s="1"/>
      <c r="B615" s="169"/>
      <c r="C615" s="170"/>
      <c r="D615" s="331">
        <v>608</v>
      </c>
      <c r="E615" s="544">
        <f>+DATE(YEAR(E614),MONTH(E614)-1,DAY(E614))</f>
        <v>25569.041666666668</v>
      </c>
      <c r="F615" s="333">
        <f>IF($C$6=$E615,1,IF(MONTH($E615)=1,F616*(1+$F$5),F616))</f>
      </c>
      <c r="G615" s="333">
        <f>F615*$B$8/12</f>
      </c>
      <c r="H615" s="333">
        <f>IF(F615=1,F615*$B$10/MIN(12,'Simulador - 3º Pilar'!$E$88),0)</f>
      </c>
      <c r="I615" s="560">
        <f>(1+$G$5)^(D615/12)*(H615+IF(E615=$N$7,$N$4,0))</f>
      </c>
      <c r="J615" s="561">
        <f>(1+$G$5)^(D615/12)*(H615*(12-IF(MONTH(E616)=12,0,MONTH(E616)))+IF(AND(F615=1,F616=0),$Q$4,0))*IF(AND(F615=1,F616=0),1,0)</f>
      </c>
      <c r="K615" s="217">
        <f>(1+$G$5)^(D615/12)*(IF(E615=$N$7,$N$4,0)+IF(E615=$C$6,$B$10,0))</f>
      </c>
      <c r="L615" s="217">
        <f>(1+$G$5)^(D615/12)*(IF((E615)&gt;($B$6),H615,0)+IF(E615=$N$7,$N$4,0)+IF(E615=$C$6,0,0))</f>
      </c>
      <c r="M615" s="1"/>
      <c r="N615" s="7"/>
      <c r="O615" s="1"/>
      <c r="P615" s="331">
        <v>608</v>
      </c>
      <c r="Q615" s="544">
        <f>+DATE(YEAR(Q614),MONTH(Q614)-1,DAY(Q614))</f>
        <v>25569.041666666668</v>
      </c>
      <c r="R615" s="341">
        <f>IF($Z$7=$E615,1,IF(MONTH($E615)=1,R616*(1+$F$5),R616))</f>
      </c>
      <c r="S615" s="334">
        <f>R615*$B$8/12</f>
      </c>
      <c r="T615" s="334">
        <f>R615*$B$11/12</f>
      </c>
      <c r="U615" s="565">
        <f>(1+$V$5)^(P615/12)*(T615+IF(Q615=$Z$7,$Z$4,0))</f>
      </c>
      <c r="V615" s="170"/>
      <c r="W615" s="7"/>
      <c r="X615" s="1"/>
      <c r="Y615" s="1"/>
      <c r="Z615" s="1"/>
      <c r="AA615" s="1"/>
      <c r="AB615" s="1"/>
      <c r="AC615" s="331">
        <v>608</v>
      </c>
      <c r="AD615" s="544">
        <f>+DATE(YEAR(AD614),MONTH(AD614)-1,DAY(AD614))</f>
        <v>25569.041666666668</v>
      </c>
      <c r="AE615" s="341">
        <f>IF($AM$7=$E615,1,IF(MONTH($E615)=1,AE616*(1+$F$5),AE616))</f>
      </c>
      <c r="AF615" s="334">
        <f>AE615*$B$8/12</f>
      </c>
      <c r="AG615" s="334">
        <f>AE615*$B$12/12</f>
      </c>
      <c r="AH615" s="565">
        <f>(1+$AI$5)^(AC615/12)*(AG615+IF(AD615=$AM$7,$AM$4,0))</f>
      </c>
      <c r="AI615" s="170"/>
      <c r="AJ615" s="7"/>
      <c r="AK615" s="1"/>
      <c r="AL615" s="1"/>
      <c r="AM615" s="1"/>
    </row>
    <row x14ac:dyDescent="0.25" r="616" customHeight="1" ht="18.75">
      <c r="A616" s="1"/>
      <c r="B616" s="169"/>
      <c r="C616" s="170"/>
      <c r="D616" s="331">
        <v>609</v>
      </c>
      <c r="E616" s="544">
        <f>+DATE(YEAR(E615),MONTH(E615)-1,DAY(E615))</f>
        <v>25569.041666666668</v>
      </c>
      <c r="F616" s="333">
        <f>IF($C$6=$E616,1,IF(MONTH($E616)=1,F617*(1+$F$5),F617))</f>
      </c>
      <c r="G616" s="333">
        <f>F616*$B$8/12</f>
      </c>
      <c r="H616" s="333">
        <f>IF(F616=1,F616*$B$10/MIN(12,'Simulador - 3º Pilar'!$E$88),0)</f>
      </c>
      <c r="I616" s="560">
        <f>(1+$G$5)^(D616/12)*(H616+IF(E616=$N$7,$N$4,0))</f>
      </c>
      <c r="J616" s="561">
        <f>(1+$G$5)^(D616/12)*(H616*(12-IF(MONTH(E617)=12,0,MONTH(E617)))+IF(AND(F616=1,F617=0),$Q$4,0))*IF(AND(F616=1,F617=0),1,0)</f>
      </c>
      <c r="K616" s="217">
        <f>(1+$G$5)^(D616/12)*(IF(E616=$N$7,$N$4,0)+IF(E616=$C$6,$B$10,0))</f>
      </c>
      <c r="L616" s="217">
        <f>(1+$G$5)^(D616/12)*(IF((E616)&gt;($B$6),H616,0)+IF(E616=$N$7,$N$4,0)+IF(E616=$C$6,0,0))</f>
      </c>
      <c r="M616" s="1"/>
      <c r="N616" s="7"/>
      <c r="O616" s="1"/>
      <c r="P616" s="331">
        <v>609</v>
      </c>
      <c r="Q616" s="544">
        <f>+DATE(YEAR(Q615),MONTH(Q615)-1,DAY(Q615))</f>
        <v>25569.041666666668</v>
      </c>
      <c r="R616" s="341">
        <f>IF($Z$7=$E616,1,IF(MONTH($E616)=1,R617*(1+$F$5),R617))</f>
      </c>
      <c r="S616" s="334">
        <f>R616*$B$8/12</f>
      </c>
      <c r="T616" s="334">
        <f>R616*$B$11/12</f>
      </c>
      <c r="U616" s="565">
        <f>(1+$V$5)^(P616/12)*(T616+IF(Q616=$Z$7,$Z$4,0))</f>
      </c>
      <c r="V616" s="170"/>
      <c r="W616" s="7"/>
      <c r="X616" s="1"/>
      <c r="Y616" s="1"/>
      <c r="Z616" s="1"/>
      <c r="AA616" s="1"/>
      <c r="AB616" s="1"/>
      <c r="AC616" s="331">
        <v>609</v>
      </c>
      <c r="AD616" s="544">
        <f>+DATE(YEAR(AD615),MONTH(AD615)-1,DAY(AD615))</f>
        <v>25569.041666666668</v>
      </c>
      <c r="AE616" s="341">
        <f>IF($AM$7=$E616,1,IF(MONTH($E616)=1,AE617*(1+$F$5),AE617))</f>
      </c>
      <c r="AF616" s="334">
        <f>AE616*$B$8/12</f>
      </c>
      <c r="AG616" s="334">
        <f>AE616*$B$12/12</f>
      </c>
      <c r="AH616" s="565">
        <f>(1+$AI$5)^(AC616/12)*(AG616+IF(AD616=$AM$7,$AM$4,0))</f>
      </c>
      <c r="AI616" s="170"/>
      <c r="AJ616" s="7"/>
      <c r="AK616" s="1"/>
      <c r="AL616" s="1"/>
      <c r="AM616" s="1"/>
    </row>
    <row x14ac:dyDescent="0.25" r="617" customHeight="1" ht="18.75">
      <c r="A617" s="1"/>
      <c r="B617" s="169"/>
      <c r="C617" s="170"/>
      <c r="D617" s="331">
        <v>610</v>
      </c>
      <c r="E617" s="544">
        <f>+DATE(YEAR(E616),MONTH(E616)-1,DAY(E616))</f>
        <v>25569.041666666668</v>
      </c>
      <c r="F617" s="333">
        <f>IF($C$6=$E617,1,IF(MONTH($E617)=1,F618*(1+$F$5),F618))</f>
      </c>
      <c r="G617" s="333">
        <f>F617*$B$8/12</f>
      </c>
      <c r="H617" s="333">
        <f>IF(F617=1,F617*$B$10/MIN(12,'Simulador - 3º Pilar'!$E$88),0)</f>
      </c>
      <c r="I617" s="560">
        <f>(1+$G$5)^(D617/12)*(H617+IF(E617=$N$7,$N$4,0))</f>
      </c>
      <c r="J617" s="561">
        <f>(1+$G$5)^(D617/12)*(H617*(12-IF(MONTH(E618)=12,0,MONTH(E618)))+IF(AND(F617=1,F618=0),$Q$4,0))*IF(AND(F617=1,F618=0),1,0)</f>
      </c>
      <c r="K617" s="217">
        <f>(1+$G$5)^(D617/12)*(IF(E617=$N$7,$N$4,0)+IF(E617=$C$6,$B$10,0))</f>
      </c>
      <c r="L617" s="217">
        <f>(1+$G$5)^(D617/12)*(IF((E617)&gt;($B$6),H617,0)+IF(E617=$N$7,$N$4,0)+IF(E617=$C$6,0,0))</f>
      </c>
      <c r="M617" s="1"/>
      <c r="N617" s="7"/>
      <c r="O617" s="1"/>
      <c r="P617" s="331">
        <v>610</v>
      </c>
      <c r="Q617" s="544">
        <f>+DATE(YEAR(Q616),MONTH(Q616)-1,DAY(Q616))</f>
        <v>25569.041666666668</v>
      </c>
      <c r="R617" s="341">
        <f>IF($Z$7=$E617,1,IF(MONTH($E617)=1,R618*(1+$F$5),R618))</f>
      </c>
      <c r="S617" s="334">
        <f>R617*$B$8/12</f>
      </c>
      <c r="T617" s="334">
        <f>R617*$B$11/12</f>
      </c>
      <c r="U617" s="565">
        <f>(1+$V$5)^(P617/12)*(T617+IF(Q617=$Z$7,$Z$4,0))</f>
      </c>
      <c r="V617" s="170"/>
      <c r="W617" s="7"/>
      <c r="X617" s="1"/>
      <c r="Y617" s="1"/>
      <c r="Z617" s="1"/>
      <c r="AA617" s="1"/>
      <c r="AB617" s="1"/>
      <c r="AC617" s="331">
        <v>610</v>
      </c>
      <c r="AD617" s="544">
        <f>+DATE(YEAR(AD616),MONTH(AD616)-1,DAY(AD616))</f>
        <v>25569.041666666668</v>
      </c>
      <c r="AE617" s="341">
        <f>IF($AM$7=$E617,1,IF(MONTH($E617)=1,AE618*(1+$F$5),AE618))</f>
      </c>
      <c r="AF617" s="334">
        <f>AE617*$B$8/12</f>
      </c>
      <c r="AG617" s="334">
        <f>AE617*$B$12/12</f>
      </c>
      <c r="AH617" s="565">
        <f>(1+$AI$5)^(AC617/12)*(AG617+IF(AD617=$AM$7,$AM$4,0))</f>
      </c>
      <c r="AI617" s="170"/>
      <c r="AJ617" s="7"/>
      <c r="AK617" s="1"/>
      <c r="AL617" s="1"/>
      <c r="AM617" s="1"/>
    </row>
    <row x14ac:dyDescent="0.25" r="618" customHeight="1" ht="18.75">
      <c r="A618" s="1"/>
      <c r="B618" s="169"/>
      <c r="C618" s="170"/>
      <c r="D618" s="331">
        <v>611</v>
      </c>
      <c r="E618" s="544">
        <f>+DATE(YEAR(E617),MONTH(E617)-1,DAY(E617))</f>
        <v>25569.041666666668</v>
      </c>
      <c r="F618" s="333">
        <f>IF($C$6=$E618,1,IF(MONTH($E618)=1,F619*(1+$F$5),F619))</f>
      </c>
      <c r="G618" s="333">
        <f>F618*$B$8/12</f>
      </c>
      <c r="H618" s="333">
        <f>IF(F618=1,F618*$B$10/MIN(12,'Simulador - 3º Pilar'!$E$88),0)</f>
      </c>
      <c r="I618" s="560">
        <f>(1+$G$5)^(D618/12)*(H618+IF(E618=$N$7,$N$4,0))</f>
      </c>
      <c r="J618" s="561">
        <f>(1+$G$5)^(D618/12)*(H618*(12-IF(MONTH(E619)=12,0,MONTH(E619)))+IF(AND(F618=1,F619=0),$Q$4,0))*IF(AND(F618=1,F619=0),1,0)</f>
      </c>
      <c r="K618" s="217">
        <f>(1+$G$5)^(D618/12)*(IF(E618=$N$7,$N$4,0)+IF(E618=$C$6,$B$10,0))</f>
      </c>
      <c r="L618" s="217">
        <f>(1+$G$5)^(D618/12)*(IF((E618)&gt;($B$6),H618,0)+IF(E618=$N$7,$N$4,0)+IF(E618=$C$6,0,0))</f>
      </c>
      <c r="M618" s="1"/>
      <c r="N618" s="7"/>
      <c r="O618" s="1"/>
      <c r="P618" s="331">
        <v>611</v>
      </c>
      <c r="Q618" s="544">
        <f>+DATE(YEAR(Q617),MONTH(Q617)-1,DAY(Q617))</f>
        <v>25569.041666666668</v>
      </c>
      <c r="R618" s="341">
        <f>IF($Z$7=$E618,1,IF(MONTH($E618)=1,R619*(1+$F$5),R619))</f>
      </c>
      <c r="S618" s="334">
        <f>R618*$B$8/12</f>
      </c>
      <c r="T618" s="334">
        <f>R618*$B$11/12</f>
      </c>
      <c r="U618" s="565">
        <f>(1+$V$5)^(P618/12)*(T618+IF(Q618=$Z$7,$Z$4,0))</f>
      </c>
      <c r="V618" s="170"/>
      <c r="W618" s="7"/>
      <c r="X618" s="1"/>
      <c r="Y618" s="1"/>
      <c r="Z618" s="1"/>
      <c r="AA618" s="1"/>
      <c r="AB618" s="1"/>
      <c r="AC618" s="331">
        <v>611</v>
      </c>
      <c r="AD618" s="544">
        <f>+DATE(YEAR(AD617),MONTH(AD617)-1,DAY(AD617))</f>
        <v>25569.041666666668</v>
      </c>
      <c r="AE618" s="341">
        <f>IF($AM$7=$E618,1,IF(MONTH($E618)=1,AE619*(1+$F$5),AE619))</f>
      </c>
      <c r="AF618" s="334">
        <f>AE618*$B$8/12</f>
      </c>
      <c r="AG618" s="334">
        <f>AE618*$B$12/12</f>
      </c>
      <c r="AH618" s="565">
        <f>(1+$AI$5)^(AC618/12)*(AG618+IF(AD618=$AM$7,$AM$4,0))</f>
      </c>
      <c r="AI618" s="170"/>
      <c r="AJ618" s="7"/>
      <c r="AK618" s="1"/>
      <c r="AL618" s="1"/>
      <c r="AM618" s="1"/>
    </row>
    <row x14ac:dyDescent="0.25" r="619" customHeight="1" ht="18.75">
      <c r="A619" s="1"/>
      <c r="B619" s="169"/>
      <c r="C619" s="170"/>
      <c r="D619" s="331">
        <v>612</v>
      </c>
      <c r="E619" s="544">
        <f>+DATE(YEAR(E618),MONTH(E618)-1,DAY(E618))</f>
        <v>25569.041666666668</v>
      </c>
      <c r="F619" s="333">
        <f>IF($C$6=$E619,1,IF(MONTH($E619)=1,F620*(1+$F$5),F620))</f>
      </c>
      <c r="G619" s="333">
        <f>F619*$B$8/12</f>
      </c>
      <c r="H619" s="333">
        <f>IF(F619=1,F619*$B$10/MIN(12,'Simulador - 3º Pilar'!$E$88),0)</f>
      </c>
      <c r="I619" s="560">
        <f>(1+$G$5)^(D619/12)*(H619+IF(E619=$N$7,$N$4,0))</f>
      </c>
      <c r="J619" s="561">
        <f>(1+$G$5)^(D619/12)*(H619*(12-IF(MONTH(E620)=12,0,MONTH(E620)))+IF(AND(F619=1,F620=0),$Q$4,0))*IF(AND(F619=1,F620=0),1,0)</f>
      </c>
      <c r="K619" s="217">
        <f>(1+$G$5)^(D619/12)*(IF(E619=$N$7,$N$4,0)+IF(E619=$C$6,$B$10,0))</f>
      </c>
      <c r="L619" s="217">
        <f>(1+$G$5)^(D619/12)*(IF((E619)&gt;($B$6),H619,0)+IF(E619=$N$7,$N$4,0)+IF(E619=$C$6,0,0))</f>
      </c>
      <c r="M619" s="1"/>
      <c r="N619" s="7"/>
      <c r="O619" s="1"/>
      <c r="P619" s="331">
        <v>612</v>
      </c>
      <c r="Q619" s="544">
        <f>+DATE(YEAR(Q618),MONTH(Q618)-1,DAY(Q618))</f>
        <v>25569.041666666668</v>
      </c>
      <c r="R619" s="341">
        <f>IF($Z$7=$E619,1,IF(MONTH($E619)=1,R620*(1+$F$5),R620))</f>
      </c>
      <c r="S619" s="334">
        <f>R619*$B$8/12</f>
      </c>
      <c r="T619" s="334">
        <f>R619*$B$11/12</f>
      </c>
      <c r="U619" s="565">
        <f>(1+$V$5)^(P619/12)*(T619+IF(Q619=$Z$7,$Z$4,0))</f>
      </c>
      <c r="V619" s="170"/>
      <c r="W619" s="7"/>
      <c r="X619" s="1"/>
      <c r="Y619" s="1"/>
      <c r="Z619" s="1"/>
      <c r="AA619" s="1"/>
      <c r="AB619" s="1"/>
      <c r="AC619" s="331">
        <v>612</v>
      </c>
      <c r="AD619" s="544">
        <f>+DATE(YEAR(AD618),MONTH(AD618)-1,DAY(AD618))</f>
        <v>25569.041666666668</v>
      </c>
      <c r="AE619" s="341">
        <f>IF($AM$7=$E619,1,IF(MONTH($E619)=1,AE620*(1+$F$5),AE620))</f>
      </c>
      <c r="AF619" s="334">
        <f>AE619*$B$8/12</f>
      </c>
      <c r="AG619" s="334">
        <f>AE619*$B$12/12</f>
      </c>
      <c r="AH619" s="565">
        <f>(1+$AI$5)^(AC619/12)*(AG619+IF(AD619=$AM$7,$AM$4,0))</f>
      </c>
      <c r="AI619" s="170"/>
      <c r="AJ619" s="7"/>
      <c r="AK619" s="1"/>
      <c r="AL619" s="1"/>
      <c r="AM619" s="1"/>
    </row>
    <row x14ac:dyDescent="0.25" r="620" customHeight="1" ht="18.75">
      <c r="A620" s="1"/>
      <c r="B620" s="169"/>
      <c r="C620" s="170"/>
      <c r="D620" s="331">
        <v>613</v>
      </c>
      <c r="E620" s="544">
        <f>+DATE(YEAR(E619),MONTH(E619)-1,DAY(E619))</f>
        <v>25569.041666666668</v>
      </c>
      <c r="F620" s="333">
        <f>IF($C$6=$E620,1,IF(MONTH($E620)=1,F621*(1+$F$5),F621))</f>
      </c>
      <c r="G620" s="333">
        <f>F620*$B$8/12</f>
      </c>
      <c r="H620" s="333">
        <f>IF(F620=1,F620*$B$10/MIN(12,'Simulador - 3º Pilar'!$E$88),0)</f>
      </c>
      <c r="I620" s="560">
        <f>(1+$G$5)^(D620/12)*(H620+IF(E620=$N$7,$N$4,0))</f>
      </c>
      <c r="J620" s="561">
        <f>(1+$G$5)^(D620/12)*(H620*(12-IF(MONTH(E621)=12,0,MONTH(E621)))+IF(AND(F620=1,F621=0),$Q$4,0))*IF(AND(F620=1,F621=0),1,0)</f>
      </c>
      <c r="K620" s="217">
        <f>(1+$G$5)^(D620/12)*(IF(E620=$N$7,$N$4,0)+IF(E620=$C$6,$B$10,0))</f>
      </c>
      <c r="L620" s="217">
        <f>(1+$G$5)^(D620/12)*(IF((E620)&gt;($B$6),H620,0)+IF(E620=$N$7,$N$4,0)+IF(E620=$C$6,0,0))</f>
      </c>
      <c r="M620" s="1"/>
      <c r="N620" s="7"/>
      <c r="O620" s="1"/>
      <c r="P620" s="331">
        <v>613</v>
      </c>
      <c r="Q620" s="544">
        <f>+DATE(YEAR(Q619),MONTH(Q619)-1,DAY(Q619))</f>
        <v>25569.041666666668</v>
      </c>
      <c r="R620" s="341">
        <f>IF($Z$7=$E620,1,IF(MONTH($E620)=1,R621*(1+$F$5),R621))</f>
      </c>
      <c r="S620" s="334">
        <f>R620*$B$8/12</f>
      </c>
      <c r="T620" s="334">
        <f>R620*$B$11/12</f>
      </c>
      <c r="U620" s="565">
        <f>(1+$V$5)^(P620/12)*(T620+IF(Q620=$Z$7,$Z$4,0))</f>
      </c>
      <c r="V620" s="170"/>
      <c r="W620" s="7"/>
      <c r="X620" s="1"/>
      <c r="Y620" s="1"/>
      <c r="Z620" s="1"/>
      <c r="AA620" s="1"/>
      <c r="AB620" s="1"/>
      <c r="AC620" s="331">
        <v>613</v>
      </c>
      <c r="AD620" s="544">
        <f>+DATE(YEAR(AD619),MONTH(AD619)-1,DAY(AD619))</f>
        <v>25569.041666666668</v>
      </c>
      <c r="AE620" s="341">
        <f>IF($AM$7=$E620,1,IF(MONTH($E620)=1,AE621*(1+$F$5),AE621))</f>
      </c>
      <c r="AF620" s="334">
        <f>AE620*$B$8/12</f>
      </c>
      <c r="AG620" s="334">
        <f>AE620*$B$12/12</f>
      </c>
      <c r="AH620" s="565">
        <f>(1+$AI$5)^(AC620/12)*(AG620+IF(AD620=$AM$7,$AM$4,0))</f>
      </c>
      <c r="AI620" s="170"/>
      <c r="AJ620" s="7"/>
      <c r="AK620" s="1"/>
      <c r="AL620" s="1"/>
      <c r="AM620" s="1"/>
    </row>
    <row x14ac:dyDescent="0.25" r="621" customHeight="1" ht="18.75">
      <c r="A621" s="1"/>
      <c r="B621" s="169"/>
      <c r="C621" s="170"/>
      <c r="D621" s="331">
        <v>614</v>
      </c>
      <c r="E621" s="544">
        <f>+DATE(YEAR(E620),MONTH(E620)-1,DAY(E620))</f>
        <v>25569.041666666668</v>
      </c>
      <c r="F621" s="333">
        <f>IF($C$6=$E621,1,IF(MONTH($E621)=1,F622*(1+$F$5),F622))</f>
      </c>
      <c r="G621" s="333">
        <f>F621*$B$8/12</f>
      </c>
      <c r="H621" s="333">
        <f>IF(F621=1,F621*$B$10/MIN(12,'Simulador - 3º Pilar'!$E$88),0)</f>
      </c>
      <c r="I621" s="560">
        <f>(1+$G$5)^(D621/12)*(H621+IF(E621=$N$7,$N$4,0))</f>
      </c>
      <c r="J621" s="561">
        <f>(1+$G$5)^(D621/12)*(H621*(12-IF(MONTH(E622)=12,0,MONTH(E622)))+IF(AND(F621=1,F622=0),$Q$4,0))*IF(AND(F621=1,F622=0),1,0)</f>
      </c>
      <c r="K621" s="217">
        <f>(1+$G$5)^(D621/12)*(IF(E621=$N$7,$N$4,0)+IF(E621=$C$6,$B$10,0))</f>
      </c>
      <c r="L621" s="217">
        <f>(1+$G$5)^(D621/12)*(IF((E621)&gt;($B$6),H621,0)+IF(E621=$N$7,$N$4,0)+IF(E621=$C$6,0,0))</f>
      </c>
      <c r="M621" s="1"/>
      <c r="N621" s="7"/>
      <c r="O621" s="1"/>
      <c r="P621" s="331">
        <v>614</v>
      </c>
      <c r="Q621" s="544">
        <f>+DATE(YEAR(Q620),MONTH(Q620)-1,DAY(Q620))</f>
        <v>25569.041666666668</v>
      </c>
      <c r="R621" s="341">
        <f>IF($Z$7=$E621,1,IF(MONTH($E621)=1,R622*(1+$F$5),R622))</f>
      </c>
      <c r="S621" s="334">
        <f>R621*$B$8/12</f>
      </c>
      <c r="T621" s="334">
        <f>R621*$B$11/12</f>
      </c>
      <c r="U621" s="565">
        <f>(1+$V$5)^(P621/12)*(T621+IF(Q621=$Z$7,$Z$4,0))</f>
      </c>
      <c r="V621" s="170"/>
      <c r="W621" s="7"/>
      <c r="X621" s="1"/>
      <c r="Y621" s="1"/>
      <c r="Z621" s="1"/>
      <c r="AA621" s="1"/>
      <c r="AB621" s="1"/>
      <c r="AC621" s="331">
        <v>614</v>
      </c>
      <c r="AD621" s="544">
        <f>+DATE(YEAR(AD620),MONTH(AD620)-1,DAY(AD620))</f>
        <v>25569.041666666668</v>
      </c>
      <c r="AE621" s="341">
        <f>IF($AM$7=$E621,1,IF(MONTH($E621)=1,AE622*(1+$F$5),AE622))</f>
      </c>
      <c r="AF621" s="334">
        <f>AE621*$B$8/12</f>
      </c>
      <c r="AG621" s="334">
        <f>AE621*$B$12/12</f>
      </c>
      <c r="AH621" s="565">
        <f>(1+$AI$5)^(AC621/12)*(AG621+IF(AD621=$AM$7,$AM$4,0))</f>
      </c>
      <c r="AI621" s="170"/>
      <c r="AJ621" s="7"/>
      <c r="AK621" s="1"/>
      <c r="AL621" s="1"/>
      <c r="AM621" s="1"/>
    </row>
    <row x14ac:dyDescent="0.25" r="622" customHeight="1" ht="18.75">
      <c r="A622" s="1"/>
      <c r="B622" s="169"/>
      <c r="C622" s="170"/>
      <c r="D622" s="331">
        <v>615</v>
      </c>
      <c r="E622" s="544">
        <f>+DATE(YEAR(E621),MONTH(E621)-1,DAY(E621))</f>
        <v>25569.041666666668</v>
      </c>
      <c r="F622" s="333">
        <f>IF($C$6=$E622,1,IF(MONTH($E622)=1,F623*(1+$F$5),F623))</f>
      </c>
      <c r="G622" s="333">
        <f>F622*$B$8/12</f>
      </c>
      <c r="H622" s="333">
        <f>IF(F622=1,F622*$B$10/MIN(12,'Simulador - 3º Pilar'!$E$88),0)</f>
      </c>
      <c r="I622" s="560">
        <f>(1+$G$5)^(D622/12)*(H622+IF(E622=$N$7,$N$4,0))</f>
      </c>
      <c r="J622" s="561">
        <f>(1+$G$5)^(D622/12)*(H622*(12-IF(MONTH(E623)=12,0,MONTH(E623)))+IF(AND(F622=1,F623=0),$Q$4,0))*IF(AND(F622=1,F623=0),1,0)</f>
      </c>
      <c r="K622" s="217">
        <f>(1+$G$5)^(D622/12)*(IF(E622=$N$7,$N$4,0)+IF(E622=$C$6,$B$10,0))</f>
      </c>
      <c r="L622" s="217">
        <f>(1+$G$5)^(D622/12)*(IF((E622)&gt;($B$6),H622,0)+IF(E622=$N$7,$N$4,0)+IF(E622=$C$6,0,0))</f>
      </c>
      <c r="M622" s="1"/>
      <c r="N622" s="7"/>
      <c r="O622" s="1"/>
      <c r="P622" s="331">
        <v>615</v>
      </c>
      <c r="Q622" s="544">
        <f>+DATE(YEAR(Q621),MONTH(Q621)-1,DAY(Q621))</f>
        <v>25569.041666666668</v>
      </c>
      <c r="R622" s="341">
        <f>IF($Z$7=$E622,1,IF(MONTH($E622)=1,R623*(1+$F$5),R623))</f>
      </c>
      <c r="S622" s="334">
        <f>R622*$B$8/12</f>
      </c>
      <c r="T622" s="334">
        <f>R622*$B$11/12</f>
      </c>
      <c r="U622" s="565">
        <f>(1+$V$5)^(P622/12)*(T622+IF(Q622=$Z$7,$Z$4,0))</f>
      </c>
      <c r="V622" s="170"/>
      <c r="W622" s="7"/>
      <c r="X622" s="1"/>
      <c r="Y622" s="1"/>
      <c r="Z622" s="1"/>
      <c r="AA622" s="1"/>
      <c r="AB622" s="1"/>
      <c r="AC622" s="331">
        <v>615</v>
      </c>
      <c r="AD622" s="544">
        <f>+DATE(YEAR(AD621),MONTH(AD621)-1,DAY(AD621))</f>
        <v>25569.041666666668</v>
      </c>
      <c r="AE622" s="341">
        <f>IF($AM$7=$E622,1,IF(MONTH($E622)=1,AE623*(1+$F$5),AE623))</f>
      </c>
      <c r="AF622" s="334">
        <f>AE622*$B$8/12</f>
      </c>
      <c r="AG622" s="334">
        <f>AE622*$B$12/12</f>
      </c>
      <c r="AH622" s="565">
        <f>(1+$AI$5)^(AC622/12)*(AG622+IF(AD622=$AM$7,$AM$4,0))</f>
      </c>
      <c r="AI622" s="170"/>
      <c r="AJ622" s="7"/>
      <c r="AK622" s="1"/>
      <c r="AL622" s="1"/>
      <c r="AM622" s="1"/>
    </row>
    <row x14ac:dyDescent="0.25" r="623" customHeight="1" ht="18.75">
      <c r="A623" s="1"/>
      <c r="B623" s="169"/>
      <c r="C623" s="170"/>
      <c r="D623" s="331">
        <v>616</v>
      </c>
      <c r="E623" s="544">
        <f>+DATE(YEAR(E622),MONTH(E622)-1,DAY(E622))</f>
        <v>25569.041666666668</v>
      </c>
      <c r="F623" s="333">
        <f>IF($C$6=$E623,1,IF(MONTH($E623)=1,F624*(1+$F$5),F624))</f>
      </c>
      <c r="G623" s="333">
        <f>F623*$B$8/12</f>
      </c>
      <c r="H623" s="333">
        <f>IF(F623=1,F623*$B$10/MIN(12,'Simulador - 3º Pilar'!$E$88),0)</f>
      </c>
      <c r="I623" s="560">
        <f>(1+$G$5)^(D623/12)*(H623+IF(E623=$N$7,$N$4,0))</f>
      </c>
      <c r="J623" s="561">
        <f>(1+$G$5)^(D623/12)*(H623*(12-IF(MONTH(E624)=12,0,MONTH(E624)))+IF(AND(F623=1,F624=0),$Q$4,0))*IF(AND(F623=1,F624=0),1,0)</f>
      </c>
      <c r="K623" s="217">
        <f>(1+$G$5)^(D623/12)*(IF(E623=$N$7,$N$4,0)+IF(E623=$C$6,$B$10,0))</f>
      </c>
      <c r="L623" s="217">
        <f>(1+$G$5)^(D623/12)*(IF((E623)&gt;($B$6),H623,0)+IF(E623=$N$7,$N$4,0)+IF(E623=$C$6,0,0))</f>
      </c>
      <c r="M623" s="1"/>
      <c r="N623" s="7"/>
      <c r="O623" s="1"/>
      <c r="P623" s="331">
        <v>616</v>
      </c>
      <c r="Q623" s="544">
        <f>+DATE(YEAR(Q622),MONTH(Q622)-1,DAY(Q622))</f>
        <v>25569.041666666668</v>
      </c>
      <c r="R623" s="341">
        <f>IF($Z$7=$E623,1,IF(MONTH($E623)=1,R624*(1+$F$5),R624))</f>
      </c>
      <c r="S623" s="334">
        <f>R623*$B$8/12</f>
      </c>
      <c r="T623" s="334">
        <f>R623*$B$11/12</f>
      </c>
      <c r="U623" s="565">
        <f>(1+$V$5)^(P623/12)*(T623+IF(Q623=$Z$7,$Z$4,0))</f>
      </c>
      <c r="V623" s="170"/>
      <c r="W623" s="7"/>
      <c r="X623" s="1"/>
      <c r="Y623" s="1"/>
      <c r="Z623" s="1"/>
      <c r="AA623" s="1"/>
      <c r="AB623" s="1"/>
      <c r="AC623" s="331">
        <v>616</v>
      </c>
      <c r="AD623" s="544">
        <f>+DATE(YEAR(AD622),MONTH(AD622)-1,DAY(AD622))</f>
        <v>25569.041666666668</v>
      </c>
      <c r="AE623" s="341">
        <f>IF($AM$7=$E623,1,IF(MONTH($E623)=1,AE624*(1+$F$5),AE624))</f>
      </c>
      <c r="AF623" s="334">
        <f>AE623*$B$8/12</f>
      </c>
      <c r="AG623" s="334">
        <f>AE623*$B$12/12</f>
      </c>
      <c r="AH623" s="565">
        <f>(1+$AI$5)^(AC623/12)*(AG623+IF(AD623=$AM$7,$AM$4,0))</f>
      </c>
      <c r="AI623" s="170"/>
      <c r="AJ623" s="7"/>
      <c r="AK623" s="1"/>
      <c r="AL623" s="1"/>
      <c r="AM623" s="1"/>
    </row>
    <row x14ac:dyDescent="0.25" r="624" customHeight="1" ht="18.75">
      <c r="A624" s="1"/>
      <c r="B624" s="169"/>
      <c r="C624" s="170"/>
      <c r="D624" s="331">
        <v>617</v>
      </c>
      <c r="E624" s="544">
        <f>+DATE(YEAR(E623),MONTH(E623)-1,DAY(E623))</f>
        <v>25569.041666666668</v>
      </c>
      <c r="F624" s="333">
        <f>IF($C$6=$E624,1,IF(MONTH($E624)=1,F625*(1+$F$5),F625))</f>
      </c>
      <c r="G624" s="333">
        <f>F624*$B$8/12</f>
      </c>
      <c r="H624" s="333">
        <f>IF(F624=1,F624*$B$10/MIN(12,'Simulador - 3º Pilar'!$E$88),0)</f>
      </c>
      <c r="I624" s="560">
        <f>(1+$G$5)^(D624/12)*(H624+IF(E624=$N$7,$N$4,0))</f>
      </c>
      <c r="J624" s="561">
        <f>(1+$G$5)^(D624/12)*(H624*(12-IF(MONTH(E625)=12,0,MONTH(E625)))+IF(AND(F624=1,F625=0),$Q$4,0))*IF(AND(F624=1,F625=0),1,0)</f>
      </c>
      <c r="K624" s="217">
        <f>(1+$G$5)^(D624/12)*(IF(E624=$N$7,$N$4,0)+IF(E624=$C$6,$B$10,0))</f>
      </c>
      <c r="L624" s="217">
        <f>(1+$G$5)^(D624/12)*(IF((E624)&gt;($B$6),H624,0)+IF(E624=$N$7,$N$4,0)+IF(E624=$C$6,0,0))</f>
      </c>
      <c r="M624" s="1"/>
      <c r="N624" s="7"/>
      <c r="O624" s="1"/>
      <c r="P624" s="331">
        <v>617</v>
      </c>
      <c r="Q624" s="544">
        <f>+DATE(YEAR(Q623),MONTH(Q623)-1,DAY(Q623))</f>
        <v>25569.041666666668</v>
      </c>
      <c r="R624" s="341">
        <f>IF($Z$7=$E624,1,IF(MONTH($E624)=1,R625*(1+$F$5),R625))</f>
      </c>
      <c r="S624" s="334">
        <f>R624*$B$8/12</f>
      </c>
      <c r="T624" s="334">
        <f>R624*$B$11/12</f>
      </c>
      <c r="U624" s="565">
        <f>(1+$V$5)^(P624/12)*(T624+IF(Q624=$Z$7,$Z$4,0))</f>
      </c>
      <c r="V624" s="170"/>
      <c r="W624" s="7"/>
      <c r="X624" s="1"/>
      <c r="Y624" s="1"/>
      <c r="Z624" s="1"/>
      <c r="AA624" s="1"/>
      <c r="AB624" s="1"/>
      <c r="AC624" s="331">
        <v>617</v>
      </c>
      <c r="AD624" s="544">
        <f>+DATE(YEAR(AD623),MONTH(AD623)-1,DAY(AD623))</f>
        <v>25569.041666666668</v>
      </c>
      <c r="AE624" s="341">
        <f>IF($AM$7=$E624,1,IF(MONTH($E624)=1,AE625*(1+$F$5),AE625))</f>
      </c>
      <c r="AF624" s="334">
        <f>AE624*$B$8/12</f>
      </c>
      <c r="AG624" s="334">
        <f>AE624*$B$12/12</f>
      </c>
      <c r="AH624" s="565">
        <f>(1+$AI$5)^(AC624/12)*(AG624+IF(AD624=$AM$7,$AM$4,0))</f>
      </c>
      <c r="AI624" s="170"/>
      <c r="AJ624" s="7"/>
      <c r="AK624" s="1"/>
      <c r="AL624" s="1"/>
      <c r="AM624" s="1"/>
    </row>
    <row x14ac:dyDescent="0.25" r="625" customHeight="1" ht="18.75">
      <c r="A625" s="1"/>
      <c r="B625" s="169"/>
      <c r="C625" s="170"/>
      <c r="D625" s="331">
        <v>618</v>
      </c>
      <c r="E625" s="544">
        <f>+DATE(YEAR(E624),MONTH(E624)-1,DAY(E624))</f>
        <v>25569.041666666668</v>
      </c>
      <c r="F625" s="333">
        <f>IF($C$6=$E625,1,IF(MONTH($E625)=1,F626*(1+$F$5),F626))</f>
      </c>
      <c r="G625" s="333">
        <f>F625*$B$8/12</f>
      </c>
      <c r="H625" s="333">
        <f>IF(F625=1,F625*$B$10/MIN(12,'Simulador - 3º Pilar'!$E$88),0)</f>
      </c>
      <c r="I625" s="560">
        <f>(1+$G$5)^(D625/12)*(H625+IF(E625=$N$7,$N$4,0))</f>
      </c>
      <c r="J625" s="561">
        <f>(1+$G$5)^(D625/12)*(H625*(12-IF(MONTH(E626)=12,0,MONTH(E626)))+IF(AND(F625=1,F626=0),$Q$4,0))*IF(AND(F625=1,F626=0),1,0)</f>
      </c>
      <c r="K625" s="217">
        <f>(1+$G$5)^(D625/12)*(IF(E625=$N$7,$N$4,0)+IF(E625=$C$6,$B$10,0))</f>
      </c>
      <c r="L625" s="217">
        <f>(1+$G$5)^(D625/12)*(IF((E625)&gt;($B$6),H625,0)+IF(E625=$N$7,$N$4,0)+IF(E625=$C$6,0,0))</f>
      </c>
      <c r="M625" s="1"/>
      <c r="N625" s="7"/>
      <c r="O625" s="1"/>
      <c r="P625" s="331">
        <v>618</v>
      </c>
      <c r="Q625" s="544">
        <f>+DATE(YEAR(Q624),MONTH(Q624)-1,DAY(Q624))</f>
        <v>25569.041666666668</v>
      </c>
      <c r="R625" s="341">
        <f>IF($Z$7=$E625,1,IF(MONTH($E625)=1,R626*(1+$F$5),R626))</f>
      </c>
      <c r="S625" s="334">
        <f>R625*$B$8/12</f>
      </c>
      <c r="T625" s="334">
        <f>R625*$B$11/12</f>
      </c>
      <c r="U625" s="565">
        <f>(1+$V$5)^(P625/12)*(T625+IF(Q625=$Z$7,$Z$4,0))</f>
      </c>
      <c r="V625" s="170"/>
      <c r="W625" s="7"/>
      <c r="X625" s="1"/>
      <c r="Y625" s="1"/>
      <c r="Z625" s="1"/>
      <c r="AA625" s="1"/>
      <c r="AB625" s="1"/>
      <c r="AC625" s="331">
        <v>618</v>
      </c>
      <c r="AD625" s="544">
        <f>+DATE(YEAR(AD624),MONTH(AD624)-1,DAY(AD624))</f>
        <v>25569.041666666668</v>
      </c>
      <c r="AE625" s="341">
        <f>IF($AM$7=$E625,1,IF(MONTH($E625)=1,AE626*(1+$F$5),AE626))</f>
      </c>
      <c r="AF625" s="334">
        <f>AE625*$B$8/12</f>
      </c>
      <c r="AG625" s="334">
        <f>AE625*$B$12/12</f>
      </c>
      <c r="AH625" s="565">
        <f>(1+$AI$5)^(AC625/12)*(AG625+IF(AD625=$AM$7,$AM$4,0))</f>
      </c>
      <c r="AI625" s="170"/>
      <c r="AJ625" s="7"/>
      <c r="AK625" s="1"/>
      <c r="AL625" s="1"/>
      <c r="AM625" s="1"/>
    </row>
    <row x14ac:dyDescent="0.25" r="626" customHeight="1" ht="18.75">
      <c r="A626" s="1"/>
      <c r="B626" s="169"/>
      <c r="C626" s="170"/>
      <c r="D626" s="331">
        <v>619</v>
      </c>
      <c r="E626" s="544">
        <f>+DATE(YEAR(E625),MONTH(E625)-1,DAY(E625))</f>
        <v>25569.041666666668</v>
      </c>
      <c r="F626" s="333">
        <f>IF($C$6=$E626,1,IF(MONTH($E626)=1,F627*(1+$F$5),F627))</f>
      </c>
      <c r="G626" s="333">
        <f>F626*$B$8/12</f>
      </c>
      <c r="H626" s="333">
        <f>IF(F626=1,F626*$B$10/MIN(12,'Simulador - 3º Pilar'!$E$88),0)</f>
      </c>
      <c r="I626" s="560">
        <f>(1+$G$5)^(D626/12)*(H626+IF(E626=$N$7,$N$4,0))</f>
      </c>
      <c r="J626" s="561">
        <f>(1+$G$5)^(D626/12)*(H626*(12-IF(MONTH(E627)=12,0,MONTH(E627)))+IF(AND(F626=1,F627=0),$Q$4,0))*IF(AND(F626=1,F627=0),1,0)</f>
      </c>
      <c r="K626" s="217">
        <f>(1+$G$5)^(D626/12)*(IF(E626=$N$7,$N$4,0)+IF(E626=$C$6,$B$10,0))</f>
      </c>
      <c r="L626" s="217">
        <f>(1+$G$5)^(D626/12)*(IF((E626)&gt;($B$6),H626,0)+IF(E626=$N$7,$N$4,0)+IF(E626=$C$6,0,0))</f>
      </c>
      <c r="M626" s="1"/>
      <c r="N626" s="7"/>
      <c r="O626" s="1"/>
      <c r="P626" s="331">
        <v>619</v>
      </c>
      <c r="Q626" s="544">
        <f>+DATE(YEAR(Q625),MONTH(Q625)-1,DAY(Q625))</f>
        <v>25569.041666666668</v>
      </c>
      <c r="R626" s="341">
        <f>IF($Z$7=$E626,1,IF(MONTH($E626)=1,R627*(1+$F$5),R627))</f>
      </c>
      <c r="S626" s="334">
        <f>R626*$B$8/12</f>
      </c>
      <c r="T626" s="334">
        <f>R626*$B$11/12</f>
      </c>
      <c r="U626" s="565">
        <f>(1+$V$5)^(P626/12)*(T626+IF(Q626=$Z$7,$Z$4,0))</f>
      </c>
      <c r="V626" s="170"/>
      <c r="W626" s="7"/>
      <c r="X626" s="1"/>
      <c r="Y626" s="1"/>
      <c r="Z626" s="1"/>
      <c r="AA626" s="1"/>
      <c r="AB626" s="1"/>
      <c r="AC626" s="331">
        <v>619</v>
      </c>
      <c r="AD626" s="544">
        <f>+DATE(YEAR(AD625),MONTH(AD625)-1,DAY(AD625))</f>
        <v>25569.041666666668</v>
      </c>
      <c r="AE626" s="341">
        <f>IF($AM$7=$E626,1,IF(MONTH($E626)=1,AE627*(1+$F$5),AE627))</f>
      </c>
      <c r="AF626" s="334">
        <f>AE626*$B$8/12</f>
      </c>
      <c r="AG626" s="334">
        <f>AE626*$B$12/12</f>
      </c>
      <c r="AH626" s="565">
        <f>(1+$AI$5)^(AC626/12)*(AG626+IF(AD626=$AM$7,$AM$4,0))</f>
      </c>
      <c r="AI626" s="170"/>
      <c r="AJ626" s="7"/>
      <c r="AK626" s="1"/>
      <c r="AL626" s="1"/>
      <c r="AM626" s="1"/>
    </row>
    <row x14ac:dyDescent="0.25" r="627" customHeight="1" ht="18.75">
      <c r="A627" s="1"/>
      <c r="B627" s="169"/>
      <c r="C627" s="170"/>
      <c r="D627" s="331">
        <v>620</v>
      </c>
      <c r="E627" s="544">
        <f>+DATE(YEAR(E626),MONTH(E626)-1,DAY(E626))</f>
        <v>25569.041666666668</v>
      </c>
      <c r="F627" s="333">
        <f>IF($C$6=$E627,1,IF(MONTH($E627)=1,F628*(1+$F$5),F628))</f>
      </c>
      <c r="G627" s="333">
        <f>F627*$B$8/12</f>
      </c>
      <c r="H627" s="333">
        <f>IF(F627=1,F627*$B$10/MIN(12,'Simulador - 3º Pilar'!$E$88),0)</f>
      </c>
      <c r="I627" s="560">
        <f>(1+$G$5)^(D627/12)*(H627+IF(E627=$N$7,$N$4,0))</f>
      </c>
      <c r="J627" s="561">
        <f>(1+$G$5)^(D627/12)*(H627*(12-IF(MONTH(E628)=12,0,MONTH(E628)))+IF(AND(F627=1,F628=0),$Q$4,0))*IF(AND(F627=1,F628=0),1,0)</f>
      </c>
      <c r="K627" s="217">
        <f>(1+$G$5)^(D627/12)*(IF(E627=$N$7,$N$4,0)+IF(E627=$C$6,$B$10,0))</f>
      </c>
      <c r="L627" s="217">
        <f>(1+$G$5)^(D627/12)*(IF((E627)&gt;($B$6),H627,0)+IF(E627=$N$7,$N$4,0)+IF(E627=$C$6,0,0))</f>
      </c>
      <c r="M627" s="1"/>
      <c r="N627" s="7"/>
      <c r="O627" s="1"/>
      <c r="P627" s="331">
        <v>620</v>
      </c>
      <c r="Q627" s="544">
        <f>+DATE(YEAR(Q626),MONTH(Q626)-1,DAY(Q626))</f>
        <v>25569.041666666668</v>
      </c>
      <c r="R627" s="341">
        <f>IF($Z$7=$E627,1,IF(MONTH($E627)=1,R628*(1+$F$5),R628))</f>
      </c>
      <c r="S627" s="334">
        <f>R627*$B$8/12</f>
      </c>
      <c r="T627" s="334">
        <f>R627*$B$11/12</f>
      </c>
      <c r="U627" s="565">
        <f>(1+$V$5)^(P627/12)*(T627+IF(Q627=$Z$7,$Z$4,0))</f>
      </c>
      <c r="V627" s="170"/>
      <c r="W627" s="7"/>
      <c r="X627" s="1"/>
      <c r="Y627" s="1"/>
      <c r="Z627" s="1"/>
      <c r="AA627" s="1"/>
      <c r="AB627" s="1"/>
      <c r="AC627" s="331">
        <v>620</v>
      </c>
      <c r="AD627" s="544">
        <f>+DATE(YEAR(AD626),MONTH(AD626)-1,DAY(AD626))</f>
        <v>25569.041666666668</v>
      </c>
      <c r="AE627" s="341">
        <f>IF($AM$7=$E627,1,IF(MONTH($E627)=1,AE628*(1+$F$5),AE628))</f>
      </c>
      <c r="AF627" s="334">
        <f>AE627*$B$8/12</f>
      </c>
      <c r="AG627" s="334">
        <f>AE627*$B$12/12</f>
      </c>
      <c r="AH627" s="565">
        <f>(1+$AI$5)^(AC627/12)*(AG627+IF(AD627=$AM$7,$AM$4,0))</f>
      </c>
      <c r="AI627" s="170"/>
      <c r="AJ627" s="7"/>
      <c r="AK627" s="1"/>
      <c r="AL627" s="1"/>
      <c r="AM627" s="1"/>
    </row>
    <row x14ac:dyDescent="0.25" r="628" customHeight="1" ht="18.75">
      <c r="A628" s="1"/>
      <c r="B628" s="169"/>
      <c r="C628" s="170"/>
      <c r="D628" s="331">
        <v>621</v>
      </c>
      <c r="E628" s="544">
        <f>+DATE(YEAR(E627),MONTH(E627)-1,DAY(E627))</f>
        <v>25569.041666666668</v>
      </c>
      <c r="F628" s="333">
        <f>IF($C$6=$E628,1,IF(MONTH($E628)=1,F629*(1+$F$5),F629))</f>
      </c>
      <c r="G628" s="333">
        <f>F628*$B$8/12</f>
      </c>
      <c r="H628" s="333">
        <f>IF(F628=1,F628*$B$10/MIN(12,'Simulador - 3º Pilar'!$E$88),0)</f>
      </c>
      <c r="I628" s="560">
        <f>(1+$G$5)^(D628/12)*(H628+IF(E628=$N$7,$N$4,0))</f>
      </c>
      <c r="J628" s="561">
        <f>(1+$G$5)^(D628/12)*(H628*(12-IF(MONTH(E629)=12,0,MONTH(E629)))+IF(AND(F628=1,F629=0),$Q$4,0))*IF(AND(F628=1,F629=0),1,0)</f>
      </c>
      <c r="K628" s="217">
        <f>(1+$G$5)^(D628/12)*(IF(E628=$N$7,$N$4,0)+IF(E628=$C$6,$B$10,0))</f>
      </c>
      <c r="L628" s="217">
        <f>(1+$G$5)^(D628/12)*(IF((E628)&gt;($B$6),H628,0)+IF(E628=$N$7,$N$4,0)+IF(E628=$C$6,0,0))</f>
      </c>
      <c r="M628" s="1"/>
      <c r="N628" s="7"/>
      <c r="O628" s="1"/>
      <c r="P628" s="331">
        <v>621</v>
      </c>
      <c r="Q628" s="544">
        <f>+DATE(YEAR(Q627),MONTH(Q627)-1,DAY(Q627))</f>
        <v>25569.041666666668</v>
      </c>
      <c r="R628" s="341">
        <f>IF($Z$7=$E628,1,IF(MONTH($E628)=1,R629*(1+$F$5),R629))</f>
      </c>
      <c r="S628" s="334">
        <f>R628*$B$8/12</f>
      </c>
      <c r="T628" s="334">
        <f>R628*$B$11/12</f>
      </c>
      <c r="U628" s="565">
        <f>(1+$V$5)^(P628/12)*(T628+IF(Q628=$Z$7,$Z$4,0))</f>
      </c>
      <c r="V628" s="170"/>
      <c r="W628" s="7"/>
      <c r="X628" s="1"/>
      <c r="Y628" s="1"/>
      <c r="Z628" s="1"/>
      <c r="AA628" s="1"/>
      <c r="AB628" s="1"/>
      <c r="AC628" s="331">
        <v>621</v>
      </c>
      <c r="AD628" s="544">
        <f>+DATE(YEAR(AD627),MONTH(AD627)-1,DAY(AD627))</f>
        <v>25569.041666666668</v>
      </c>
      <c r="AE628" s="341">
        <f>IF($AM$7=$E628,1,IF(MONTH($E628)=1,AE629*(1+$F$5),AE629))</f>
      </c>
      <c r="AF628" s="334">
        <f>AE628*$B$8/12</f>
      </c>
      <c r="AG628" s="334">
        <f>AE628*$B$12/12</f>
      </c>
      <c r="AH628" s="565">
        <f>(1+$AI$5)^(AC628/12)*(AG628+IF(AD628=$AM$7,$AM$4,0))</f>
      </c>
      <c r="AI628" s="170"/>
      <c r="AJ628" s="7"/>
      <c r="AK628" s="1"/>
      <c r="AL628" s="1"/>
      <c r="AM628" s="1"/>
    </row>
    <row x14ac:dyDescent="0.25" r="629" customHeight="1" ht="18.75">
      <c r="A629" s="1"/>
      <c r="B629" s="169"/>
      <c r="C629" s="170"/>
      <c r="D629" s="331">
        <v>622</v>
      </c>
      <c r="E629" s="544">
        <f>+DATE(YEAR(E628),MONTH(E628)-1,DAY(E628))</f>
        <v>25569.041666666668</v>
      </c>
      <c r="F629" s="333">
        <f>IF($C$6=$E629,1,IF(MONTH($E629)=1,F630*(1+$F$5),F630))</f>
      </c>
      <c r="G629" s="333">
        <f>F629*$B$8/12</f>
      </c>
      <c r="H629" s="333">
        <f>IF(F629=1,F629*$B$10/MIN(12,'Simulador - 3º Pilar'!$E$88),0)</f>
      </c>
      <c r="I629" s="560">
        <f>(1+$G$5)^(D629/12)*(H629+IF(E629=$N$7,$N$4,0))</f>
      </c>
      <c r="J629" s="561">
        <f>(1+$G$5)^(D629/12)*(H629*(12-IF(MONTH(E630)=12,0,MONTH(E630)))+IF(AND(F629=1,F630=0),$Q$4,0))*IF(AND(F629=1,F630=0),1,0)</f>
      </c>
      <c r="K629" s="217">
        <f>(1+$G$5)^(D629/12)*(IF(E629=$N$7,$N$4,0)+IF(E629=$C$6,$B$10,0))</f>
      </c>
      <c r="L629" s="217">
        <f>(1+$G$5)^(D629/12)*(IF((E629)&gt;($B$6),H629,0)+IF(E629=$N$7,$N$4,0)+IF(E629=$C$6,0,0))</f>
      </c>
      <c r="M629" s="1"/>
      <c r="N629" s="7"/>
      <c r="O629" s="1"/>
      <c r="P629" s="331">
        <v>622</v>
      </c>
      <c r="Q629" s="544">
        <f>+DATE(YEAR(Q628),MONTH(Q628)-1,DAY(Q628))</f>
        <v>25569.041666666668</v>
      </c>
      <c r="R629" s="341">
        <f>IF($Z$7=$E629,1,IF(MONTH($E629)=1,R630*(1+$F$5),R630))</f>
      </c>
      <c r="S629" s="334">
        <f>R629*$B$8/12</f>
      </c>
      <c r="T629" s="334">
        <f>R629*$B$11/12</f>
      </c>
      <c r="U629" s="565">
        <f>(1+$V$5)^(P629/12)*(T629+IF(Q629=$Z$7,$Z$4,0))</f>
      </c>
      <c r="V629" s="170"/>
      <c r="W629" s="7"/>
      <c r="X629" s="1"/>
      <c r="Y629" s="1"/>
      <c r="Z629" s="1"/>
      <c r="AA629" s="1"/>
      <c r="AB629" s="1"/>
      <c r="AC629" s="331">
        <v>622</v>
      </c>
      <c r="AD629" s="544">
        <f>+DATE(YEAR(AD628),MONTH(AD628)-1,DAY(AD628))</f>
        <v>25569.041666666668</v>
      </c>
      <c r="AE629" s="341">
        <f>IF($AM$7=$E629,1,IF(MONTH($E629)=1,AE630*(1+$F$5),AE630))</f>
      </c>
      <c r="AF629" s="334">
        <f>AE629*$B$8/12</f>
      </c>
      <c r="AG629" s="334">
        <f>AE629*$B$12/12</f>
      </c>
      <c r="AH629" s="565">
        <f>(1+$AI$5)^(AC629/12)*(AG629+IF(AD629=$AM$7,$AM$4,0))</f>
      </c>
      <c r="AI629" s="170"/>
      <c r="AJ629" s="7"/>
      <c r="AK629" s="1"/>
      <c r="AL629" s="1"/>
      <c r="AM629" s="1"/>
    </row>
    <row x14ac:dyDescent="0.25" r="630" customHeight="1" ht="18.75">
      <c r="A630" s="1"/>
      <c r="B630" s="169"/>
      <c r="C630" s="170"/>
      <c r="D630" s="331">
        <v>623</v>
      </c>
      <c r="E630" s="544">
        <f>+DATE(YEAR(E629),MONTH(E629)-1,DAY(E629))</f>
        <v>25569.041666666668</v>
      </c>
      <c r="F630" s="333">
        <f>IF($C$6=$E630,1,IF(MONTH($E630)=1,F631*(1+$F$5),F631))</f>
      </c>
      <c r="G630" s="333">
        <f>F630*$B$8/12</f>
      </c>
      <c r="H630" s="333">
        <f>IF(F630=1,F630*$B$10/MIN(12,'Simulador - 3º Pilar'!$E$88),0)</f>
      </c>
      <c r="I630" s="560">
        <f>(1+$G$5)^(D630/12)*(H630+IF(E630=$N$7,$N$4,0))</f>
      </c>
      <c r="J630" s="561">
        <f>(1+$G$5)^(D630/12)*(H630*(12-IF(MONTH(E631)=12,0,MONTH(E631)))+IF(AND(F630=1,F631=0),$Q$4,0))*IF(AND(F630=1,F631=0),1,0)</f>
      </c>
      <c r="K630" s="217">
        <f>(1+$G$5)^(D630/12)*(IF(E630=$N$7,$N$4,0)+IF(E630=$C$6,$B$10,0))</f>
      </c>
      <c r="L630" s="217">
        <f>(1+$G$5)^(D630/12)*(IF((E630)&gt;($B$6),H630,0)+IF(E630=$N$7,$N$4,0)+IF(E630=$C$6,0,0))</f>
      </c>
      <c r="M630" s="1"/>
      <c r="N630" s="7"/>
      <c r="O630" s="1"/>
      <c r="P630" s="331">
        <v>623</v>
      </c>
      <c r="Q630" s="544">
        <f>+DATE(YEAR(Q629),MONTH(Q629)-1,DAY(Q629))</f>
        <v>25569.041666666668</v>
      </c>
      <c r="R630" s="341">
        <f>IF($Z$7=$E630,1,IF(MONTH($E630)=1,R631*(1+$F$5),R631))</f>
      </c>
      <c r="S630" s="334">
        <f>R630*$B$8/12</f>
      </c>
      <c r="T630" s="334">
        <f>R630*$B$11/12</f>
      </c>
      <c r="U630" s="565">
        <f>(1+$V$5)^(P630/12)*(T630+IF(Q630=$Z$7,$Z$4,0))</f>
      </c>
      <c r="V630" s="170"/>
      <c r="W630" s="7"/>
      <c r="X630" s="1"/>
      <c r="Y630" s="1"/>
      <c r="Z630" s="1"/>
      <c r="AA630" s="1"/>
      <c r="AB630" s="1"/>
      <c r="AC630" s="331">
        <v>623</v>
      </c>
      <c r="AD630" s="544">
        <f>+DATE(YEAR(AD629),MONTH(AD629)-1,DAY(AD629))</f>
        <v>25569.041666666668</v>
      </c>
      <c r="AE630" s="341">
        <f>IF($AM$7=$E630,1,IF(MONTH($E630)=1,AE631*(1+$F$5),AE631))</f>
      </c>
      <c r="AF630" s="334">
        <f>AE630*$B$8/12</f>
      </c>
      <c r="AG630" s="334">
        <f>AE630*$B$12/12</f>
      </c>
      <c r="AH630" s="565">
        <f>(1+$AI$5)^(AC630/12)*(AG630+IF(AD630=$AM$7,$AM$4,0))</f>
      </c>
      <c r="AI630" s="170"/>
      <c r="AJ630" s="7"/>
      <c r="AK630" s="1"/>
      <c r="AL630" s="1"/>
      <c r="AM630" s="1"/>
    </row>
    <row x14ac:dyDescent="0.25" r="631" customHeight="1" ht="18.75">
      <c r="A631" s="1"/>
      <c r="B631" s="169"/>
      <c r="C631" s="170"/>
      <c r="D631" s="331">
        <v>624</v>
      </c>
      <c r="E631" s="544">
        <f>+DATE(YEAR(E630),MONTH(E630)-1,DAY(E630))</f>
        <v>25569.041666666668</v>
      </c>
      <c r="F631" s="333">
        <f>IF($C$6=$E631,1,IF(MONTH($E631)=1,F632*(1+$F$5),F632))</f>
      </c>
      <c r="G631" s="333">
        <f>F631*$B$8/12</f>
      </c>
      <c r="H631" s="333">
        <f>IF(F631=1,F631*$B$10/MIN(12,'Simulador - 3º Pilar'!$E$88),0)</f>
      </c>
      <c r="I631" s="560">
        <f>(1+$G$5)^(D631/12)*(H631+IF(E631=$N$7,$N$4,0))</f>
      </c>
      <c r="J631" s="561">
        <f>(1+$G$5)^(D631/12)*(H631*(12-IF(MONTH(E632)=12,0,MONTH(E632)))+IF(AND(F631=1,F632=0),$Q$4,0))*IF(AND(F631=1,F632=0),1,0)</f>
      </c>
      <c r="K631" s="217">
        <f>(1+$G$5)^(D631/12)*(IF(E631=$N$7,$N$4,0)+IF(E631=$C$6,$B$10,0))</f>
      </c>
      <c r="L631" s="217">
        <f>(1+$G$5)^(D631/12)*(IF((E631)&gt;($B$6),H631,0)+IF(E631=$N$7,$N$4,0)+IF(E631=$C$6,0,0))</f>
      </c>
      <c r="M631" s="1"/>
      <c r="N631" s="7"/>
      <c r="O631" s="1"/>
      <c r="P631" s="331">
        <v>624</v>
      </c>
      <c r="Q631" s="544">
        <f>+DATE(YEAR(Q630),MONTH(Q630)-1,DAY(Q630))</f>
        <v>25569.041666666668</v>
      </c>
      <c r="R631" s="341">
        <f>IF($Z$7=$E631,1,IF(MONTH($E631)=1,R632*(1+$F$5),R632))</f>
      </c>
      <c r="S631" s="334">
        <f>R631*$B$8/12</f>
      </c>
      <c r="T631" s="334">
        <f>R631*$B$11/12</f>
      </c>
      <c r="U631" s="565">
        <f>(1+$V$5)^(P631/12)*(T631+IF(Q631=$Z$7,$Z$4,0))</f>
      </c>
      <c r="V631" s="170"/>
      <c r="W631" s="7"/>
      <c r="X631" s="1"/>
      <c r="Y631" s="1"/>
      <c r="Z631" s="1"/>
      <c r="AA631" s="1"/>
      <c r="AB631" s="1"/>
      <c r="AC631" s="331">
        <v>624</v>
      </c>
      <c r="AD631" s="544">
        <f>+DATE(YEAR(AD630),MONTH(AD630)-1,DAY(AD630))</f>
        <v>25569.041666666668</v>
      </c>
      <c r="AE631" s="341">
        <f>IF($AM$7=$E631,1,IF(MONTH($E631)=1,AE632*(1+$F$5),AE632))</f>
      </c>
      <c r="AF631" s="334">
        <f>AE631*$B$8/12</f>
      </c>
      <c r="AG631" s="334">
        <f>AE631*$B$12/12</f>
      </c>
      <c r="AH631" s="565">
        <f>(1+$AI$5)^(AC631/12)*(AG631+IF(AD631=$AM$7,$AM$4,0))</f>
      </c>
      <c r="AI631" s="170"/>
      <c r="AJ631" s="7"/>
      <c r="AK631" s="1"/>
      <c r="AL631" s="1"/>
      <c r="AM631" s="1"/>
    </row>
    <row x14ac:dyDescent="0.25" r="632" customHeight="1" ht="18.75">
      <c r="A632" s="1"/>
      <c r="B632" s="169"/>
      <c r="C632" s="170"/>
      <c r="D632" s="331">
        <v>625</v>
      </c>
      <c r="E632" s="544">
        <f>+DATE(YEAR(E631),MONTH(E631)-1,DAY(E631))</f>
        <v>25569.041666666668</v>
      </c>
      <c r="F632" s="333">
        <f>IF($C$6=$E632,1,IF(MONTH($E632)=1,F633*(1+$F$5),F633))</f>
      </c>
      <c r="G632" s="333">
        <f>F632*$B$8/12</f>
      </c>
      <c r="H632" s="333">
        <f>IF(F632=1,F632*$B$10/MIN(12,'Simulador - 3º Pilar'!$E$88),0)</f>
      </c>
      <c r="I632" s="560">
        <f>(1+$G$5)^(D632/12)*(H632+IF(E632=$N$7,$N$4,0))</f>
      </c>
      <c r="J632" s="561">
        <f>(1+$G$5)^(D632/12)*(H632*(12-IF(MONTH(E633)=12,0,MONTH(E633)))+IF(AND(F632=1,F633=0),$Q$4,0))*IF(AND(F632=1,F633=0),1,0)</f>
      </c>
      <c r="K632" s="217">
        <f>(1+$G$5)^(D632/12)*(IF(E632=$N$7,$N$4,0)+IF(E632=$C$6,$B$10,0))</f>
      </c>
      <c r="L632" s="217">
        <f>(1+$G$5)^(D632/12)*(IF((E632)&gt;($B$6),H632,0)+IF(E632=$N$7,$N$4,0)+IF(E632=$C$6,0,0))</f>
      </c>
      <c r="M632" s="1"/>
      <c r="N632" s="7"/>
      <c r="O632" s="1"/>
      <c r="P632" s="331">
        <v>625</v>
      </c>
      <c r="Q632" s="544">
        <f>+DATE(YEAR(Q631),MONTH(Q631)-1,DAY(Q631))</f>
        <v>25569.041666666668</v>
      </c>
      <c r="R632" s="341">
        <f>IF($Z$7=$E632,1,IF(MONTH($E632)=1,R633*(1+$F$5),R633))</f>
      </c>
      <c r="S632" s="334">
        <f>R632*$B$8/12</f>
      </c>
      <c r="T632" s="334">
        <f>R632*$B$11/12</f>
      </c>
      <c r="U632" s="565">
        <f>(1+$V$5)^(P632/12)*(T632+IF(Q632=$Z$7,$Z$4,0))</f>
      </c>
      <c r="V632" s="170"/>
      <c r="W632" s="7"/>
      <c r="X632" s="1"/>
      <c r="Y632" s="1"/>
      <c r="Z632" s="1"/>
      <c r="AA632" s="1"/>
      <c r="AB632" s="1"/>
      <c r="AC632" s="331">
        <v>625</v>
      </c>
      <c r="AD632" s="544">
        <f>+DATE(YEAR(AD631),MONTH(AD631)-1,DAY(AD631))</f>
        <v>25569.041666666668</v>
      </c>
      <c r="AE632" s="341">
        <f>IF($AM$7=$E632,1,IF(MONTH($E632)=1,AE633*(1+$F$5),AE633))</f>
      </c>
      <c r="AF632" s="334">
        <f>AE632*$B$8/12</f>
      </c>
      <c r="AG632" s="334">
        <f>AE632*$B$12/12</f>
      </c>
      <c r="AH632" s="565">
        <f>(1+$AI$5)^(AC632/12)*(AG632+IF(AD632=$AM$7,$AM$4,0))</f>
      </c>
      <c r="AI632" s="170"/>
      <c r="AJ632" s="7"/>
      <c r="AK632" s="1"/>
      <c r="AL632" s="1"/>
      <c r="AM632" s="1"/>
    </row>
    <row x14ac:dyDescent="0.25" r="633" customHeight="1" ht="18.75">
      <c r="A633" s="1"/>
      <c r="B633" s="169"/>
      <c r="C633" s="170"/>
      <c r="D633" s="331">
        <v>626</v>
      </c>
      <c r="E633" s="544">
        <f>+DATE(YEAR(E632),MONTH(E632)-1,DAY(E632))</f>
        <v>25569.041666666668</v>
      </c>
      <c r="F633" s="333">
        <f>IF($C$6=$E633,1,IF(MONTH($E633)=1,F634*(1+$F$5),F634))</f>
      </c>
      <c r="G633" s="333">
        <f>F633*$B$8/12</f>
      </c>
      <c r="H633" s="333">
        <f>IF(F633=1,F633*$B$10/MIN(12,'Simulador - 3º Pilar'!$E$88),0)</f>
      </c>
      <c r="I633" s="560">
        <f>(1+$G$5)^(D633/12)*(H633+IF(E633=$N$7,$N$4,0))</f>
      </c>
      <c r="J633" s="561">
        <f>(1+$G$5)^(D633/12)*(H633*(12-IF(MONTH(E634)=12,0,MONTH(E634)))+IF(AND(F633=1,F634=0),$Q$4,0))*IF(AND(F633=1,F634=0),1,0)</f>
      </c>
      <c r="K633" s="217">
        <f>(1+$G$5)^(D633/12)*(IF(E633=$N$7,$N$4,0)+IF(E633=$C$6,$B$10,0))</f>
      </c>
      <c r="L633" s="217">
        <f>(1+$G$5)^(D633/12)*(IF((E633)&gt;($B$6),H633,0)+IF(E633=$N$7,$N$4,0)+IF(E633=$C$6,0,0))</f>
      </c>
      <c r="M633" s="1"/>
      <c r="N633" s="7"/>
      <c r="O633" s="1"/>
      <c r="P633" s="331">
        <v>626</v>
      </c>
      <c r="Q633" s="544">
        <f>+DATE(YEAR(Q632),MONTH(Q632)-1,DAY(Q632))</f>
        <v>25569.041666666668</v>
      </c>
      <c r="R633" s="341">
        <f>IF($Z$7=$E633,1,IF(MONTH($E633)=1,R634*(1+$F$5),R634))</f>
      </c>
      <c r="S633" s="334">
        <f>R633*$B$8/12</f>
      </c>
      <c r="T633" s="334">
        <f>R633*$B$11/12</f>
      </c>
      <c r="U633" s="565">
        <f>(1+$V$5)^(P633/12)*(T633+IF(Q633=$Z$7,$Z$4,0))</f>
      </c>
      <c r="V633" s="170"/>
      <c r="W633" s="7"/>
      <c r="X633" s="1"/>
      <c r="Y633" s="1"/>
      <c r="Z633" s="1"/>
      <c r="AA633" s="1"/>
      <c r="AB633" s="1"/>
      <c r="AC633" s="331">
        <v>626</v>
      </c>
      <c r="AD633" s="544">
        <f>+DATE(YEAR(AD632),MONTH(AD632)-1,DAY(AD632))</f>
        <v>25569.041666666668</v>
      </c>
      <c r="AE633" s="341">
        <f>IF($AM$7=$E633,1,IF(MONTH($E633)=1,AE634*(1+$F$5),AE634))</f>
      </c>
      <c r="AF633" s="334">
        <f>AE633*$B$8/12</f>
      </c>
      <c r="AG633" s="334">
        <f>AE633*$B$12/12</f>
      </c>
      <c r="AH633" s="565">
        <f>(1+$AI$5)^(AC633/12)*(AG633+IF(AD633=$AM$7,$AM$4,0))</f>
      </c>
      <c r="AI633" s="170"/>
      <c r="AJ633" s="7"/>
      <c r="AK633" s="1"/>
      <c r="AL633" s="1"/>
      <c r="AM633" s="1"/>
    </row>
    <row x14ac:dyDescent="0.25" r="634" customHeight="1" ht="18.75">
      <c r="A634" s="1"/>
      <c r="B634" s="169"/>
      <c r="C634" s="170"/>
      <c r="D634" s="331">
        <v>627</v>
      </c>
      <c r="E634" s="544">
        <f>+DATE(YEAR(E633),MONTH(E633)-1,DAY(E633))</f>
        <v>25569.041666666668</v>
      </c>
      <c r="F634" s="333">
        <f>IF($C$6=$E634,1,IF(MONTH($E634)=1,F635*(1+$F$5),F635))</f>
      </c>
      <c r="G634" s="333">
        <f>F634*$B$8/12</f>
      </c>
      <c r="H634" s="333">
        <f>IF(F634=1,F634*$B$10/MIN(12,'Simulador - 3º Pilar'!$E$88),0)</f>
      </c>
      <c r="I634" s="560">
        <f>(1+$G$5)^(D634/12)*(H634+IF(E634=$N$7,$N$4,0))</f>
      </c>
      <c r="J634" s="561">
        <f>(1+$G$5)^(D634/12)*(H634*(12-IF(MONTH(E635)=12,0,MONTH(E635)))+IF(AND(F634=1,F635=0),$Q$4,0))*IF(AND(F634=1,F635=0),1,0)</f>
      </c>
      <c r="K634" s="217">
        <f>(1+$G$5)^(D634/12)*(IF(E634=$N$7,$N$4,0)+IF(E634=$C$6,$B$10,0))</f>
      </c>
      <c r="L634" s="217">
        <f>(1+$G$5)^(D634/12)*(IF((E634)&gt;($B$6),H634,0)+IF(E634=$N$7,$N$4,0)+IF(E634=$C$6,0,0))</f>
      </c>
      <c r="M634" s="1"/>
      <c r="N634" s="7"/>
      <c r="O634" s="1"/>
      <c r="P634" s="331">
        <v>627</v>
      </c>
      <c r="Q634" s="544">
        <f>+DATE(YEAR(Q633),MONTH(Q633)-1,DAY(Q633))</f>
        <v>25569.041666666668</v>
      </c>
      <c r="R634" s="341">
        <f>IF($Z$7=$E634,1,IF(MONTH($E634)=1,R635*(1+$F$5),R635))</f>
      </c>
      <c r="S634" s="334">
        <f>R634*$B$8/12</f>
      </c>
      <c r="T634" s="334">
        <f>R634*$B$11/12</f>
      </c>
      <c r="U634" s="565">
        <f>(1+$V$5)^(P634/12)*(T634+IF(Q634=$Z$7,$Z$4,0))</f>
      </c>
      <c r="V634" s="170"/>
      <c r="W634" s="7"/>
      <c r="X634" s="1"/>
      <c r="Y634" s="1"/>
      <c r="Z634" s="1"/>
      <c r="AA634" s="1"/>
      <c r="AB634" s="1"/>
      <c r="AC634" s="331">
        <v>627</v>
      </c>
      <c r="AD634" s="544">
        <f>+DATE(YEAR(AD633),MONTH(AD633)-1,DAY(AD633))</f>
        <v>25569.041666666668</v>
      </c>
      <c r="AE634" s="341">
        <f>IF($AM$7=$E634,1,IF(MONTH($E634)=1,AE635*(1+$F$5),AE635))</f>
      </c>
      <c r="AF634" s="334">
        <f>AE634*$B$8/12</f>
      </c>
      <c r="AG634" s="334">
        <f>AE634*$B$12/12</f>
      </c>
      <c r="AH634" s="565">
        <f>(1+$AI$5)^(AC634/12)*(AG634+IF(AD634=$AM$7,$AM$4,0))</f>
      </c>
      <c r="AI634" s="170"/>
      <c r="AJ634" s="7"/>
      <c r="AK634" s="1"/>
      <c r="AL634" s="1"/>
      <c r="AM634" s="1"/>
    </row>
    <row x14ac:dyDescent="0.25" r="635" customHeight="1" ht="18.75">
      <c r="A635" s="1"/>
      <c r="B635" s="169"/>
      <c r="C635" s="170"/>
      <c r="D635" s="331">
        <v>628</v>
      </c>
      <c r="E635" s="544">
        <f>+DATE(YEAR(E634),MONTH(E634)-1,DAY(E634))</f>
        <v>25569.041666666668</v>
      </c>
      <c r="F635" s="333">
        <f>IF($C$6=$E635,1,IF(MONTH($E635)=1,F636*(1+$F$5),F636))</f>
      </c>
      <c r="G635" s="333">
        <f>F635*$B$8/12</f>
      </c>
      <c r="H635" s="333">
        <f>IF(F635=1,F635*$B$10/MIN(12,'Simulador - 3º Pilar'!$E$88),0)</f>
      </c>
      <c r="I635" s="560">
        <f>(1+$G$5)^(D635/12)*(H635+IF(E635=$N$7,$N$4,0))</f>
      </c>
      <c r="J635" s="561">
        <f>(1+$G$5)^(D635/12)*(H635*(12-IF(MONTH(E636)=12,0,MONTH(E636)))+IF(AND(F635=1,F636=0),$Q$4,0))*IF(AND(F635=1,F636=0),1,0)</f>
      </c>
      <c r="K635" s="217">
        <f>(1+$G$5)^(D635/12)*(IF(E635=$N$7,$N$4,0)+IF(E635=$C$6,$B$10,0))</f>
      </c>
      <c r="L635" s="217">
        <f>(1+$G$5)^(D635/12)*(IF((E635)&gt;($B$6),H635,0)+IF(E635=$N$7,$N$4,0)+IF(E635=$C$6,0,0))</f>
      </c>
      <c r="M635" s="1"/>
      <c r="N635" s="7"/>
      <c r="O635" s="1"/>
      <c r="P635" s="331">
        <v>628</v>
      </c>
      <c r="Q635" s="544">
        <f>+DATE(YEAR(Q634),MONTH(Q634)-1,DAY(Q634))</f>
        <v>25569.041666666668</v>
      </c>
      <c r="R635" s="341">
        <f>IF($Z$7=$E635,1,IF(MONTH($E635)=1,R636*(1+$F$5),R636))</f>
      </c>
      <c r="S635" s="334">
        <f>R635*$B$8/12</f>
      </c>
      <c r="T635" s="334">
        <f>R635*$B$11/12</f>
      </c>
      <c r="U635" s="565">
        <f>(1+$V$5)^(P635/12)*(T635+IF(Q635=$Z$7,$Z$4,0))</f>
      </c>
      <c r="V635" s="170"/>
      <c r="W635" s="7"/>
      <c r="X635" s="1"/>
      <c r="Y635" s="1"/>
      <c r="Z635" s="1"/>
      <c r="AA635" s="1"/>
      <c r="AB635" s="1"/>
      <c r="AC635" s="331">
        <v>628</v>
      </c>
      <c r="AD635" s="544">
        <f>+DATE(YEAR(AD634),MONTH(AD634)-1,DAY(AD634))</f>
        <v>25569.041666666668</v>
      </c>
      <c r="AE635" s="341">
        <f>IF($AM$7=$E635,1,IF(MONTH($E635)=1,AE636*(1+$F$5),AE636))</f>
      </c>
      <c r="AF635" s="334">
        <f>AE635*$B$8/12</f>
      </c>
      <c r="AG635" s="334">
        <f>AE635*$B$12/12</f>
      </c>
      <c r="AH635" s="565">
        <f>(1+$AI$5)^(AC635/12)*(AG635+IF(AD635=$AM$7,$AM$4,0))</f>
      </c>
      <c r="AI635" s="170"/>
      <c r="AJ635" s="7"/>
      <c r="AK635" s="1"/>
      <c r="AL635" s="1"/>
      <c r="AM635" s="1"/>
    </row>
    <row x14ac:dyDescent="0.25" r="636" customHeight="1" ht="18.75">
      <c r="A636" s="1"/>
      <c r="B636" s="169"/>
      <c r="C636" s="170"/>
      <c r="D636" s="331">
        <v>629</v>
      </c>
      <c r="E636" s="544">
        <f>+DATE(YEAR(E635),MONTH(E635)-1,DAY(E635))</f>
        <v>25569.041666666668</v>
      </c>
      <c r="F636" s="333">
        <f>IF($C$6=$E636,1,IF(MONTH($E636)=1,F637*(1+$F$5),F637))</f>
      </c>
      <c r="G636" s="333">
        <f>F636*$B$8/12</f>
      </c>
      <c r="H636" s="333">
        <f>IF(F636=1,F636*$B$10/MIN(12,'Simulador - 3º Pilar'!$E$88),0)</f>
      </c>
      <c r="I636" s="560">
        <f>(1+$G$5)^(D636/12)*(H636+IF(E636=$N$7,$N$4,0))</f>
      </c>
      <c r="J636" s="561">
        <f>(1+$G$5)^(D636/12)*(H636*(12-IF(MONTH(E637)=12,0,MONTH(E637)))+IF(AND(F636=1,F637=0),$Q$4,0))*IF(AND(F636=1,F637=0),1,0)</f>
      </c>
      <c r="K636" s="217">
        <f>(1+$G$5)^(D636/12)*(IF(E636=$N$7,$N$4,0)+IF(E636=$C$6,$B$10,0))</f>
      </c>
      <c r="L636" s="217">
        <f>(1+$G$5)^(D636/12)*(IF((E636)&gt;($B$6),H636,0)+IF(E636=$N$7,$N$4,0)+IF(E636=$C$6,0,0))</f>
      </c>
      <c r="M636" s="1"/>
      <c r="N636" s="7"/>
      <c r="O636" s="1"/>
      <c r="P636" s="331">
        <v>629</v>
      </c>
      <c r="Q636" s="544">
        <f>+DATE(YEAR(Q635),MONTH(Q635)-1,DAY(Q635))</f>
        <v>25569.041666666668</v>
      </c>
      <c r="R636" s="341">
        <f>IF($Z$7=$E636,1,IF(MONTH($E636)=1,R637*(1+$F$5),R637))</f>
      </c>
      <c r="S636" s="334">
        <f>R636*$B$8/12</f>
      </c>
      <c r="T636" s="334">
        <f>R636*$B$11/12</f>
      </c>
      <c r="U636" s="565">
        <f>(1+$V$5)^(P636/12)*(T636+IF(Q636=$Z$7,$Z$4,0))</f>
      </c>
      <c r="V636" s="170"/>
      <c r="W636" s="7"/>
      <c r="X636" s="1"/>
      <c r="Y636" s="1"/>
      <c r="Z636" s="1"/>
      <c r="AA636" s="1"/>
      <c r="AB636" s="1"/>
      <c r="AC636" s="331">
        <v>629</v>
      </c>
      <c r="AD636" s="544">
        <f>+DATE(YEAR(AD635),MONTH(AD635)-1,DAY(AD635))</f>
        <v>25569.041666666668</v>
      </c>
      <c r="AE636" s="341">
        <f>IF($AM$7=$E636,1,IF(MONTH($E636)=1,AE637*(1+$F$5),AE637))</f>
      </c>
      <c r="AF636" s="334">
        <f>AE636*$B$8/12</f>
      </c>
      <c r="AG636" s="334">
        <f>AE636*$B$12/12</f>
      </c>
      <c r="AH636" s="565">
        <f>(1+$AI$5)^(AC636/12)*(AG636+IF(AD636=$AM$7,$AM$4,0))</f>
      </c>
      <c r="AI636" s="170"/>
      <c r="AJ636" s="7"/>
      <c r="AK636" s="1"/>
      <c r="AL636" s="1"/>
      <c r="AM636" s="1"/>
    </row>
    <row x14ac:dyDescent="0.25" r="637" customHeight="1" ht="18.75">
      <c r="A637" s="1"/>
      <c r="B637" s="169"/>
      <c r="C637" s="170"/>
      <c r="D637" s="331">
        <v>630</v>
      </c>
      <c r="E637" s="544">
        <f>+DATE(YEAR(E636),MONTH(E636)-1,DAY(E636))</f>
        <v>25569.041666666668</v>
      </c>
      <c r="F637" s="333">
        <f>IF($C$6=$E637,1,IF(MONTH($E637)=1,F638*(1+$F$5),F638))</f>
      </c>
      <c r="G637" s="333">
        <f>F637*$B$8/12</f>
      </c>
      <c r="H637" s="333">
        <f>IF(F637=1,F637*$B$10/MIN(12,'Simulador - 3º Pilar'!$E$88),0)</f>
      </c>
      <c r="I637" s="560">
        <f>(1+$G$5)^(D637/12)*(H637+IF(E637=$N$7,$N$4,0))</f>
      </c>
      <c r="J637" s="561">
        <f>(1+$G$5)^(D637/12)*(H637*(12-IF(MONTH(E638)=12,0,MONTH(E638)))+IF(AND(F637=1,F638=0),$Q$4,0))*IF(AND(F637=1,F638=0),1,0)</f>
      </c>
      <c r="K637" s="217">
        <f>(1+$G$5)^(D637/12)*(IF(E637=$N$7,$N$4,0)+IF(E637=$C$6,$B$10,0))</f>
      </c>
      <c r="L637" s="217">
        <f>(1+$G$5)^(D637/12)*(IF((E637)&gt;($B$6),H637,0)+IF(E637=$N$7,$N$4,0)+IF(E637=$C$6,0,0))</f>
      </c>
      <c r="M637" s="1"/>
      <c r="N637" s="7"/>
      <c r="O637" s="1"/>
      <c r="P637" s="331">
        <v>630</v>
      </c>
      <c r="Q637" s="544">
        <f>+DATE(YEAR(Q636),MONTH(Q636)-1,DAY(Q636))</f>
        <v>25569.041666666668</v>
      </c>
      <c r="R637" s="341">
        <f>IF($Z$7=$E637,1,IF(MONTH($E637)=1,R638*(1+$F$5),R638))</f>
      </c>
      <c r="S637" s="334">
        <f>R637*$B$8/12</f>
      </c>
      <c r="T637" s="334">
        <f>R637*$B$11/12</f>
      </c>
      <c r="U637" s="565">
        <f>(1+$V$5)^(P637/12)*(T637+IF(Q637=$Z$7,$Z$4,0))</f>
      </c>
      <c r="V637" s="170"/>
      <c r="W637" s="7"/>
      <c r="X637" s="1"/>
      <c r="Y637" s="1"/>
      <c r="Z637" s="1"/>
      <c r="AA637" s="1"/>
      <c r="AB637" s="1"/>
      <c r="AC637" s="331">
        <v>630</v>
      </c>
      <c r="AD637" s="544">
        <f>+DATE(YEAR(AD636),MONTH(AD636)-1,DAY(AD636))</f>
        <v>25569.041666666668</v>
      </c>
      <c r="AE637" s="341">
        <f>IF($AM$7=$E637,1,IF(MONTH($E637)=1,AE638*(1+$F$5),AE638))</f>
      </c>
      <c r="AF637" s="334">
        <f>AE637*$B$8/12</f>
      </c>
      <c r="AG637" s="334">
        <f>AE637*$B$12/12</f>
      </c>
      <c r="AH637" s="565">
        <f>(1+$AI$5)^(AC637/12)*(AG637+IF(AD637=$AM$7,$AM$4,0))</f>
      </c>
      <c r="AI637" s="170"/>
      <c r="AJ637" s="7"/>
      <c r="AK637" s="1"/>
      <c r="AL637" s="1"/>
      <c r="AM637" s="1"/>
    </row>
    <row x14ac:dyDescent="0.25" r="638" customHeight="1" ht="18.75">
      <c r="A638" s="1"/>
      <c r="B638" s="169"/>
      <c r="C638" s="170"/>
      <c r="D638" s="331">
        <v>631</v>
      </c>
      <c r="E638" s="544">
        <f>+DATE(YEAR(E637),MONTH(E637)-1,DAY(E637))</f>
        <v>25569.041666666668</v>
      </c>
      <c r="F638" s="333">
        <f>IF($C$6=$E638,1,IF(MONTH($E638)=1,F639*(1+$F$5),F639))</f>
      </c>
      <c r="G638" s="333">
        <f>F638*$B$8/12</f>
      </c>
      <c r="H638" s="333">
        <f>IF(F638=1,F638*$B$10/MIN(12,'Simulador - 3º Pilar'!$E$88),0)</f>
      </c>
      <c r="I638" s="560">
        <f>(1+$G$5)^(D638/12)*(H638+IF(E638=$N$7,$N$4,0))</f>
      </c>
      <c r="J638" s="561">
        <f>(1+$G$5)^(D638/12)*(H638*(12-IF(MONTH(E639)=12,0,MONTH(E639)))+IF(AND(F638=1,F639=0),$Q$4,0))*IF(AND(F638=1,F639=0),1,0)</f>
      </c>
      <c r="K638" s="217">
        <f>(1+$G$5)^(D638/12)*(IF(E638=$N$7,$N$4,0)+IF(E638=$C$6,$B$10,0))</f>
      </c>
      <c r="L638" s="217">
        <f>(1+$G$5)^(D638/12)*(IF((E638)&gt;($B$6),H638,0)+IF(E638=$N$7,$N$4,0)+IF(E638=$C$6,0,0))</f>
      </c>
      <c r="M638" s="1"/>
      <c r="N638" s="7"/>
      <c r="O638" s="1"/>
      <c r="P638" s="331">
        <v>631</v>
      </c>
      <c r="Q638" s="544">
        <f>+DATE(YEAR(Q637),MONTH(Q637)-1,DAY(Q637))</f>
        <v>25569.041666666668</v>
      </c>
      <c r="R638" s="341">
        <f>IF($Z$7=$E638,1,IF(MONTH($E638)=1,R639*(1+$F$5),R639))</f>
      </c>
      <c r="S638" s="334">
        <f>R638*$B$8/12</f>
      </c>
      <c r="T638" s="334">
        <f>R638*$B$11/12</f>
      </c>
      <c r="U638" s="565">
        <f>(1+$V$5)^(P638/12)*(T638+IF(Q638=$Z$7,$Z$4,0))</f>
      </c>
      <c r="V638" s="170"/>
      <c r="W638" s="7"/>
      <c r="X638" s="1"/>
      <c r="Y638" s="1"/>
      <c r="Z638" s="1"/>
      <c r="AA638" s="1"/>
      <c r="AB638" s="1"/>
      <c r="AC638" s="331">
        <v>631</v>
      </c>
      <c r="AD638" s="544">
        <f>+DATE(YEAR(AD637),MONTH(AD637)-1,DAY(AD637))</f>
        <v>25569.041666666668</v>
      </c>
      <c r="AE638" s="341">
        <f>IF($AM$7=$E638,1,IF(MONTH($E638)=1,AE639*(1+$F$5),AE639))</f>
      </c>
      <c r="AF638" s="334">
        <f>AE638*$B$8/12</f>
      </c>
      <c r="AG638" s="334">
        <f>AE638*$B$12/12</f>
      </c>
      <c r="AH638" s="565">
        <f>(1+$AI$5)^(AC638/12)*(AG638+IF(AD638=$AM$7,$AM$4,0))</f>
      </c>
      <c r="AI638" s="170"/>
      <c r="AJ638" s="7"/>
      <c r="AK638" s="1"/>
      <c r="AL638" s="1"/>
      <c r="AM638" s="1"/>
    </row>
    <row x14ac:dyDescent="0.25" r="639" customHeight="1" ht="18.75">
      <c r="A639" s="1"/>
      <c r="B639" s="169"/>
      <c r="C639" s="170"/>
      <c r="D639" s="331">
        <v>632</v>
      </c>
      <c r="E639" s="544">
        <f>+DATE(YEAR(E638),MONTH(E638)-1,DAY(E638))</f>
        <v>25569.041666666668</v>
      </c>
      <c r="F639" s="333">
        <f>IF($C$6=$E639,1,IF(MONTH($E639)=1,F640*(1+$F$5),F640))</f>
      </c>
      <c r="G639" s="333">
        <f>F639*$B$8/12</f>
      </c>
      <c r="H639" s="333">
        <f>IF(F639=1,F639*$B$10/MIN(12,'Simulador - 3º Pilar'!$E$88),0)</f>
      </c>
      <c r="I639" s="560">
        <f>(1+$G$5)^(D639/12)*(H639+IF(E639=$N$7,$N$4,0))</f>
      </c>
      <c r="J639" s="561">
        <f>(1+$G$5)^(D639/12)*(H639*(12-IF(MONTH(E640)=12,0,MONTH(E640)))+IF(AND(F639=1,F640=0),$Q$4,0))*IF(AND(F639=1,F640=0),1,0)</f>
      </c>
      <c r="K639" s="217">
        <f>(1+$G$5)^(D639/12)*(IF(E639=$N$7,$N$4,0)+IF(E639=$C$6,$B$10,0))</f>
      </c>
      <c r="L639" s="217">
        <f>(1+$G$5)^(D639/12)*(IF((E639)&gt;($B$6),H639,0)+IF(E639=$N$7,$N$4,0)+IF(E639=$C$6,0,0))</f>
      </c>
      <c r="M639" s="1"/>
      <c r="N639" s="7"/>
      <c r="O639" s="1"/>
      <c r="P639" s="331">
        <v>632</v>
      </c>
      <c r="Q639" s="544">
        <f>+DATE(YEAR(Q638),MONTH(Q638)-1,DAY(Q638))</f>
        <v>25569.041666666668</v>
      </c>
      <c r="R639" s="341">
        <f>IF($Z$7=$E639,1,IF(MONTH($E639)=1,R640*(1+$F$5),R640))</f>
      </c>
      <c r="S639" s="334">
        <f>R639*$B$8/12</f>
      </c>
      <c r="T639" s="334">
        <f>R639*$B$11/12</f>
      </c>
      <c r="U639" s="565">
        <f>(1+$V$5)^(P639/12)*(T639+IF(Q639=$Z$7,$Z$4,0))</f>
      </c>
      <c r="V639" s="170"/>
      <c r="W639" s="7"/>
      <c r="X639" s="1"/>
      <c r="Y639" s="1"/>
      <c r="Z639" s="1"/>
      <c r="AA639" s="1"/>
      <c r="AB639" s="1"/>
      <c r="AC639" s="331">
        <v>632</v>
      </c>
      <c r="AD639" s="544">
        <f>+DATE(YEAR(AD638),MONTH(AD638)-1,DAY(AD638))</f>
        <v>25569.041666666668</v>
      </c>
      <c r="AE639" s="341">
        <f>IF($AM$7=$E639,1,IF(MONTH($E639)=1,AE640*(1+$F$5),AE640))</f>
      </c>
      <c r="AF639" s="334">
        <f>AE639*$B$8/12</f>
      </c>
      <c r="AG639" s="334">
        <f>AE639*$B$12/12</f>
      </c>
      <c r="AH639" s="565">
        <f>(1+$AI$5)^(AC639/12)*(AG639+IF(AD639=$AM$7,$AM$4,0))</f>
      </c>
      <c r="AI639" s="170"/>
      <c r="AJ639" s="7"/>
      <c r="AK639" s="1"/>
      <c r="AL639" s="1"/>
      <c r="AM639" s="1"/>
    </row>
    <row x14ac:dyDescent="0.25" r="640" customHeight="1" ht="18.75">
      <c r="A640" s="1"/>
      <c r="B640" s="169"/>
      <c r="C640" s="170"/>
      <c r="D640" s="331">
        <v>633</v>
      </c>
      <c r="E640" s="544">
        <f>+DATE(YEAR(E639),MONTH(E639)-1,DAY(E639))</f>
        <v>25569.041666666668</v>
      </c>
      <c r="F640" s="333">
        <f>IF($C$6=$E640,1,IF(MONTH($E640)=1,F641*(1+$F$5),F641))</f>
      </c>
      <c r="G640" s="333">
        <f>F640*$B$8/12</f>
      </c>
      <c r="H640" s="333">
        <f>IF(F640=1,F640*$B$10/MIN(12,'Simulador - 3º Pilar'!$E$88),0)</f>
      </c>
      <c r="I640" s="560">
        <f>(1+$G$5)^(D640/12)*(H640+IF(E640=$N$7,$N$4,0))</f>
      </c>
      <c r="J640" s="561">
        <f>(1+$G$5)^(D640/12)*(H640*(12-IF(MONTH(E641)=12,0,MONTH(E641)))+IF(AND(F640=1,F641=0),$Q$4,0))*IF(AND(F640=1,F641=0),1,0)</f>
      </c>
      <c r="K640" s="217">
        <f>(1+$G$5)^(D640/12)*(IF(E640=$N$7,$N$4,0)+IF(E640=$C$6,$B$10,0))</f>
      </c>
      <c r="L640" s="217">
        <f>(1+$G$5)^(D640/12)*(IF((E640)&gt;($B$6),H640,0)+IF(E640=$N$7,$N$4,0)+IF(E640=$C$6,0,0))</f>
      </c>
      <c r="M640" s="1"/>
      <c r="N640" s="7"/>
      <c r="O640" s="1"/>
      <c r="P640" s="331">
        <v>633</v>
      </c>
      <c r="Q640" s="544">
        <f>+DATE(YEAR(Q639),MONTH(Q639)-1,DAY(Q639))</f>
        <v>25569.041666666668</v>
      </c>
      <c r="R640" s="341">
        <f>IF($Z$7=$E640,1,IF(MONTH($E640)=1,R641*(1+$F$5),R641))</f>
      </c>
      <c r="S640" s="334">
        <f>R640*$B$8/12</f>
      </c>
      <c r="T640" s="334">
        <f>R640*$B$11/12</f>
      </c>
      <c r="U640" s="565">
        <f>(1+$V$5)^(P640/12)*(T640+IF(Q640=$Z$7,$Z$4,0))</f>
      </c>
      <c r="V640" s="170"/>
      <c r="W640" s="7"/>
      <c r="X640" s="1"/>
      <c r="Y640" s="1"/>
      <c r="Z640" s="1"/>
      <c r="AA640" s="1"/>
      <c r="AB640" s="1"/>
      <c r="AC640" s="331">
        <v>633</v>
      </c>
      <c r="AD640" s="544">
        <f>+DATE(YEAR(AD639),MONTH(AD639)-1,DAY(AD639))</f>
        <v>25569.041666666668</v>
      </c>
      <c r="AE640" s="341">
        <f>IF($AM$7=$E640,1,IF(MONTH($E640)=1,AE641*(1+$F$5),AE641))</f>
      </c>
      <c r="AF640" s="334">
        <f>AE640*$B$8/12</f>
      </c>
      <c r="AG640" s="334">
        <f>AE640*$B$12/12</f>
      </c>
      <c r="AH640" s="565">
        <f>(1+$AI$5)^(AC640/12)*(AG640+IF(AD640=$AM$7,$AM$4,0))</f>
      </c>
      <c r="AI640" s="170"/>
      <c r="AJ640" s="7"/>
      <c r="AK640" s="1"/>
      <c r="AL640" s="1"/>
      <c r="AM640" s="1"/>
    </row>
    <row x14ac:dyDescent="0.25" r="641" customHeight="1" ht="18.75">
      <c r="A641" s="1"/>
      <c r="B641" s="169"/>
      <c r="C641" s="170"/>
      <c r="D641" s="331">
        <v>634</v>
      </c>
      <c r="E641" s="544">
        <f>+DATE(YEAR(E640),MONTH(E640)-1,DAY(E640))</f>
        <v>25569.041666666668</v>
      </c>
      <c r="F641" s="333">
        <f>IF($C$6=$E641,1,IF(MONTH($E641)=1,F642*(1+$F$5),F642))</f>
      </c>
      <c r="G641" s="333">
        <f>F641*$B$8/12</f>
      </c>
      <c r="H641" s="333">
        <f>IF(F641=1,F641*$B$10/MIN(12,'Simulador - 3º Pilar'!$E$88),0)</f>
      </c>
      <c r="I641" s="560">
        <f>(1+$G$5)^(D641/12)*(H641+IF(E641=$N$7,$N$4,0))</f>
      </c>
      <c r="J641" s="561">
        <f>(1+$G$5)^(D641/12)*(H641*(12-IF(MONTH(E642)=12,0,MONTH(E642)))+IF(AND(F641=1,F642=0),$Q$4,0))*IF(AND(F641=1,F642=0),1,0)</f>
      </c>
      <c r="K641" s="217">
        <f>(1+$G$5)^(D641/12)*(IF(E641=$N$7,$N$4,0)+IF(E641=$C$6,$B$10,0))</f>
      </c>
      <c r="L641" s="217">
        <f>(1+$G$5)^(D641/12)*(IF((E641)&gt;($B$6),H641,0)+IF(E641=$N$7,$N$4,0)+IF(E641=$C$6,0,0))</f>
      </c>
      <c r="M641" s="1"/>
      <c r="N641" s="7"/>
      <c r="O641" s="1"/>
      <c r="P641" s="331">
        <v>634</v>
      </c>
      <c r="Q641" s="544">
        <f>+DATE(YEAR(Q640),MONTH(Q640)-1,DAY(Q640))</f>
        <v>25569.041666666668</v>
      </c>
      <c r="R641" s="341">
        <f>IF($Z$7=$E641,1,IF(MONTH($E641)=1,R642*(1+$F$5),R642))</f>
      </c>
      <c r="S641" s="334">
        <f>R641*$B$8/12</f>
      </c>
      <c r="T641" s="334">
        <f>R641*$B$11/12</f>
      </c>
      <c r="U641" s="565">
        <f>(1+$V$5)^(P641/12)*(T641+IF(Q641=$Z$7,$Z$4,0))</f>
      </c>
      <c r="V641" s="170"/>
      <c r="W641" s="7"/>
      <c r="X641" s="1"/>
      <c r="Y641" s="1"/>
      <c r="Z641" s="1"/>
      <c r="AA641" s="1"/>
      <c r="AB641" s="1"/>
      <c r="AC641" s="331">
        <v>634</v>
      </c>
      <c r="AD641" s="544">
        <f>+DATE(YEAR(AD640),MONTH(AD640)-1,DAY(AD640))</f>
        <v>25569.041666666668</v>
      </c>
      <c r="AE641" s="341">
        <f>IF($AM$7=$E641,1,IF(MONTH($E641)=1,AE642*(1+$F$5),AE642))</f>
      </c>
      <c r="AF641" s="334">
        <f>AE641*$B$8/12</f>
      </c>
      <c r="AG641" s="334">
        <f>AE641*$B$12/12</f>
      </c>
      <c r="AH641" s="565">
        <f>(1+$AI$5)^(AC641/12)*(AG641+IF(AD641=$AM$7,$AM$4,0))</f>
      </c>
      <c r="AI641" s="170"/>
      <c r="AJ641" s="7"/>
      <c r="AK641" s="1"/>
      <c r="AL641" s="1"/>
      <c r="AM641" s="1"/>
    </row>
    <row x14ac:dyDescent="0.25" r="642" customHeight="1" ht="18.75">
      <c r="A642" s="1"/>
      <c r="B642" s="169"/>
      <c r="C642" s="170"/>
      <c r="D642" s="331">
        <v>635</v>
      </c>
      <c r="E642" s="544">
        <f>+DATE(YEAR(E641),MONTH(E641)-1,DAY(E641))</f>
        <v>25569.041666666668</v>
      </c>
      <c r="F642" s="333">
        <f>IF($C$6=$E642,1,IF(MONTH($E642)=1,F643*(1+$F$5),F643))</f>
      </c>
      <c r="G642" s="333">
        <f>F642*$B$8/12</f>
      </c>
      <c r="H642" s="333">
        <f>IF(F642=1,F642*$B$10/MIN(12,'Simulador - 3º Pilar'!$E$88),0)</f>
      </c>
      <c r="I642" s="560">
        <f>(1+$G$5)^(D642/12)*(H642+IF(E642=$N$7,$N$4,0))</f>
      </c>
      <c r="J642" s="561">
        <f>(1+$G$5)^(D642/12)*(H642*(12-IF(MONTH(E643)=12,0,MONTH(E643)))+IF(AND(F642=1,F643=0),$Q$4,0))*IF(AND(F642=1,F643=0),1,0)</f>
      </c>
      <c r="K642" s="217">
        <f>(1+$G$5)^(D642/12)*(IF(E642=$N$7,$N$4,0)+IF(E642=$C$6,$B$10,0))</f>
      </c>
      <c r="L642" s="217">
        <f>(1+$G$5)^(D642/12)*(IF((E642)&gt;($B$6),H642,0)+IF(E642=$N$7,$N$4,0)+IF(E642=$C$6,0,0))</f>
      </c>
      <c r="M642" s="1"/>
      <c r="N642" s="7"/>
      <c r="O642" s="1"/>
      <c r="P642" s="331">
        <v>635</v>
      </c>
      <c r="Q642" s="544">
        <f>+DATE(YEAR(Q641),MONTH(Q641)-1,DAY(Q641))</f>
        <v>25569.041666666668</v>
      </c>
      <c r="R642" s="341">
        <f>IF($Z$7=$E642,1,IF(MONTH($E642)=1,R643*(1+$F$5),R643))</f>
      </c>
      <c r="S642" s="334">
        <f>R642*$B$8/12</f>
      </c>
      <c r="T642" s="334">
        <f>R642*$B$11/12</f>
      </c>
      <c r="U642" s="565">
        <f>(1+$V$5)^(P642/12)*(T642+IF(Q642=$Z$7,$Z$4,0))</f>
      </c>
      <c r="V642" s="170"/>
      <c r="W642" s="7"/>
      <c r="X642" s="1"/>
      <c r="Y642" s="1"/>
      <c r="Z642" s="1"/>
      <c r="AA642" s="1"/>
      <c r="AB642" s="1"/>
      <c r="AC642" s="331">
        <v>635</v>
      </c>
      <c r="AD642" s="544">
        <f>+DATE(YEAR(AD641),MONTH(AD641)-1,DAY(AD641))</f>
        <v>25569.041666666668</v>
      </c>
      <c r="AE642" s="341">
        <f>IF($AM$7=$E642,1,IF(MONTH($E642)=1,AE643*(1+$F$5),AE643))</f>
      </c>
      <c r="AF642" s="334">
        <f>AE642*$B$8/12</f>
      </c>
      <c r="AG642" s="334">
        <f>AE642*$B$12/12</f>
      </c>
      <c r="AH642" s="565">
        <f>(1+$AI$5)^(AC642/12)*(AG642+IF(AD642=$AM$7,$AM$4,0))</f>
      </c>
      <c r="AI642" s="170"/>
      <c r="AJ642" s="7"/>
      <c r="AK642" s="1"/>
      <c r="AL642" s="1"/>
      <c r="AM642" s="1"/>
    </row>
    <row x14ac:dyDescent="0.25" r="643" customHeight="1" ht="18.75">
      <c r="A643" s="1"/>
      <c r="B643" s="169"/>
      <c r="C643" s="170"/>
      <c r="D643" s="331">
        <v>636</v>
      </c>
      <c r="E643" s="544">
        <f>+DATE(YEAR(E642),MONTH(E642)-1,DAY(E642))</f>
        <v>25569.041666666668</v>
      </c>
      <c r="F643" s="333">
        <f>IF($C$6=$E643,1,IF(MONTH($E643)=1,F644*(1+$F$5),F644))</f>
      </c>
      <c r="G643" s="333">
        <f>F643*$B$8/12</f>
      </c>
      <c r="H643" s="333">
        <f>IF(F643=1,F643*$B$10/MIN(12,'Simulador - 3º Pilar'!$E$88),0)</f>
      </c>
      <c r="I643" s="560">
        <f>(1+$G$5)^(D643/12)*(H643+IF(E643=$N$7,$N$4,0))</f>
      </c>
      <c r="J643" s="561">
        <f>(1+$G$5)^(D643/12)*(H643*(12-IF(MONTH(E644)=12,0,MONTH(E644)))+IF(AND(F643=1,F644=0),$Q$4,0))*IF(AND(F643=1,F644=0),1,0)</f>
      </c>
      <c r="K643" s="217">
        <f>(1+$G$5)^(D643/12)*(IF(E643=$N$7,$N$4,0)+IF(E643=$C$6,$B$10,0))</f>
      </c>
      <c r="L643" s="217">
        <f>(1+$G$5)^(D643/12)*(IF((E643)&gt;($B$6),H643,0)+IF(E643=$N$7,$N$4,0)+IF(E643=$C$6,0,0))</f>
      </c>
      <c r="M643" s="1"/>
      <c r="N643" s="7"/>
      <c r="O643" s="1"/>
      <c r="P643" s="331">
        <v>636</v>
      </c>
      <c r="Q643" s="544">
        <f>+DATE(YEAR(Q642),MONTH(Q642)-1,DAY(Q642))</f>
        <v>25569.041666666668</v>
      </c>
      <c r="R643" s="341">
        <f>IF($Z$7=$E643,1,IF(MONTH($E643)=1,R644*(1+$F$5),R644))</f>
      </c>
      <c r="S643" s="334">
        <f>R643*$B$8/12</f>
      </c>
      <c r="T643" s="334">
        <f>R643*$B$11/12</f>
      </c>
      <c r="U643" s="565">
        <f>(1+$V$5)^(P643/12)*(T643+IF(Q643=$Z$7,$Z$4,0))</f>
      </c>
      <c r="V643" s="170"/>
      <c r="W643" s="7"/>
      <c r="X643" s="1"/>
      <c r="Y643" s="1"/>
      <c r="Z643" s="1"/>
      <c r="AA643" s="1"/>
      <c r="AB643" s="1"/>
      <c r="AC643" s="331">
        <v>636</v>
      </c>
      <c r="AD643" s="544">
        <f>+DATE(YEAR(AD642),MONTH(AD642)-1,DAY(AD642))</f>
        <v>25569.041666666668</v>
      </c>
      <c r="AE643" s="341">
        <f>IF($AM$7=$E643,1,IF(MONTH($E643)=1,AE644*(1+$F$5),AE644))</f>
      </c>
      <c r="AF643" s="334">
        <f>AE643*$B$8/12</f>
      </c>
      <c r="AG643" s="334">
        <f>AE643*$B$12/12</f>
      </c>
      <c r="AH643" s="565">
        <f>(1+$AI$5)^(AC643/12)*(AG643+IF(AD643=$AM$7,$AM$4,0))</f>
      </c>
      <c r="AI643" s="170"/>
      <c r="AJ643" s="7"/>
      <c r="AK643" s="1"/>
      <c r="AL643" s="1"/>
      <c r="AM643" s="1"/>
    </row>
    <row x14ac:dyDescent="0.25" r="644" customHeight="1" ht="18.75">
      <c r="A644" s="1"/>
      <c r="B644" s="169"/>
      <c r="C644" s="170"/>
      <c r="D644" s="331">
        <v>637</v>
      </c>
      <c r="E644" s="544">
        <f>+DATE(YEAR(E643),MONTH(E643)-1,DAY(E643))</f>
        <v>25569.041666666668</v>
      </c>
      <c r="F644" s="333">
        <f>IF($C$6=$E644,1,IF(MONTH($E644)=1,F645*(1+$F$5),F645))</f>
      </c>
      <c r="G644" s="333">
        <f>F644*$B$8/12</f>
      </c>
      <c r="H644" s="333">
        <f>IF(F644=1,F644*$B$10/MIN(12,'Simulador - 3º Pilar'!$E$88),0)</f>
      </c>
      <c r="I644" s="560">
        <f>(1+$G$5)^(D644/12)*(H644+IF(E644=$N$7,$N$4,0))</f>
      </c>
      <c r="J644" s="561">
        <f>(1+$G$5)^(D644/12)*(H644*(12-IF(MONTH(E645)=12,0,MONTH(E645)))+IF(AND(F644=1,F645=0),$Q$4,0))*IF(AND(F644=1,F645=0),1,0)</f>
      </c>
      <c r="K644" s="217">
        <f>(1+$G$5)^(D644/12)*(IF(E644=$N$7,$N$4,0)+IF(E644=$C$6,$B$10,0))</f>
      </c>
      <c r="L644" s="217">
        <f>(1+$G$5)^(D644/12)*(IF((E644)&gt;($B$6),H644,0)+IF(E644=$N$7,$N$4,0)+IF(E644=$C$6,0,0))</f>
      </c>
      <c r="M644" s="1"/>
      <c r="N644" s="7"/>
      <c r="O644" s="1"/>
      <c r="P644" s="331">
        <v>637</v>
      </c>
      <c r="Q644" s="544">
        <f>+DATE(YEAR(Q643),MONTH(Q643)-1,DAY(Q643))</f>
        <v>25569.041666666668</v>
      </c>
      <c r="R644" s="341">
        <f>IF($Z$7=$E644,1,IF(MONTH($E644)=1,R645*(1+$F$5),R645))</f>
      </c>
      <c r="S644" s="334">
        <f>R644*$B$8/12</f>
      </c>
      <c r="T644" s="334">
        <f>R644*$B$11/12</f>
      </c>
      <c r="U644" s="565">
        <f>(1+$V$5)^(P644/12)*(T644+IF(Q644=$Z$7,$Z$4,0))</f>
      </c>
      <c r="V644" s="170"/>
      <c r="W644" s="7"/>
      <c r="X644" s="1"/>
      <c r="Y644" s="1"/>
      <c r="Z644" s="1"/>
      <c r="AA644" s="1"/>
      <c r="AB644" s="1"/>
      <c r="AC644" s="331">
        <v>637</v>
      </c>
      <c r="AD644" s="544">
        <f>+DATE(YEAR(AD643),MONTH(AD643)-1,DAY(AD643))</f>
        <v>25569.041666666668</v>
      </c>
      <c r="AE644" s="341">
        <f>IF($AM$7=$E644,1,IF(MONTH($E644)=1,AE645*(1+$F$5),AE645))</f>
      </c>
      <c r="AF644" s="334">
        <f>AE644*$B$8/12</f>
      </c>
      <c r="AG644" s="334">
        <f>AE644*$B$12/12</f>
      </c>
      <c r="AH644" s="565">
        <f>(1+$AI$5)^(AC644/12)*(AG644+IF(AD644=$AM$7,$AM$4,0))</f>
      </c>
      <c r="AI644" s="170"/>
      <c r="AJ644" s="7"/>
      <c r="AK644" s="1"/>
      <c r="AL644" s="1"/>
      <c r="AM644" s="1"/>
    </row>
    <row x14ac:dyDescent="0.25" r="645" customHeight="1" ht="18.75">
      <c r="A645" s="1"/>
      <c r="B645" s="169"/>
      <c r="C645" s="170"/>
      <c r="D645" s="331">
        <v>638</v>
      </c>
      <c r="E645" s="544">
        <f>+DATE(YEAR(E644),MONTH(E644)-1,DAY(E644))</f>
        <v>25569.041666666668</v>
      </c>
      <c r="F645" s="333">
        <f>IF($C$6=$E645,1,IF(MONTH($E645)=1,F646*(1+$F$5),F646))</f>
      </c>
      <c r="G645" s="333">
        <f>F645*$B$8/12</f>
      </c>
      <c r="H645" s="333">
        <f>IF(F645=1,F645*$B$10/MIN(12,'Simulador - 3º Pilar'!$E$88),0)</f>
      </c>
      <c r="I645" s="560">
        <f>(1+$G$5)^(D645/12)*(H645+IF(E645=$N$7,$N$4,0))</f>
      </c>
      <c r="J645" s="561">
        <f>(1+$G$5)^(D645/12)*(H645*(12-IF(MONTH(E646)=12,0,MONTH(E646)))+IF(AND(F645=1,F646=0),$Q$4,0))*IF(AND(F645=1,F646=0),1,0)</f>
      </c>
      <c r="K645" s="217">
        <f>(1+$G$5)^(D645/12)*(IF(E645=$N$7,$N$4,0)+IF(E645=$C$6,$B$10,0))</f>
      </c>
      <c r="L645" s="217">
        <f>(1+$G$5)^(D645/12)*(IF((E645)&gt;($B$6),H645,0)+IF(E645=$N$7,$N$4,0)+IF(E645=$C$6,0,0))</f>
      </c>
      <c r="M645" s="1"/>
      <c r="N645" s="7"/>
      <c r="O645" s="1"/>
      <c r="P645" s="331">
        <v>638</v>
      </c>
      <c r="Q645" s="544">
        <f>+DATE(YEAR(Q644),MONTH(Q644)-1,DAY(Q644))</f>
        <v>25569.041666666668</v>
      </c>
      <c r="R645" s="341">
        <f>IF($Z$7=$E645,1,IF(MONTH($E645)=1,R646*(1+$F$5),R646))</f>
      </c>
      <c r="S645" s="334">
        <f>R645*$B$8/12</f>
      </c>
      <c r="T645" s="334">
        <f>R645*$B$11/12</f>
      </c>
      <c r="U645" s="565">
        <f>(1+$V$5)^(P645/12)*(T645+IF(Q645=$Z$7,$Z$4,0))</f>
      </c>
      <c r="V645" s="170"/>
      <c r="W645" s="7"/>
      <c r="X645" s="1"/>
      <c r="Y645" s="1"/>
      <c r="Z645" s="1"/>
      <c r="AA645" s="1"/>
      <c r="AB645" s="1"/>
      <c r="AC645" s="331">
        <v>638</v>
      </c>
      <c r="AD645" s="544">
        <f>+DATE(YEAR(AD644),MONTH(AD644)-1,DAY(AD644))</f>
        <v>25569.041666666668</v>
      </c>
      <c r="AE645" s="341">
        <f>IF($AM$7=$E645,1,IF(MONTH($E645)=1,AE646*(1+$F$5),AE646))</f>
      </c>
      <c r="AF645" s="334">
        <f>AE645*$B$8/12</f>
      </c>
      <c r="AG645" s="334">
        <f>AE645*$B$12/12</f>
      </c>
      <c r="AH645" s="565">
        <f>(1+$AI$5)^(AC645/12)*(AG645+IF(AD645=$AM$7,$AM$4,0))</f>
      </c>
      <c r="AI645" s="170"/>
      <c r="AJ645" s="7"/>
      <c r="AK645" s="1"/>
      <c r="AL645" s="1"/>
      <c r="AM645" s="1"/>
    </row>
    <row x14ac:dyDescent="0.25" r="646" customHeight="1" ht="18.75">
      <c r="A646" s="1"/>
      <c r="B646" s="169"/>
      <c r="C646" s="170"/>
      <c r="D646" s="331">
        <v>639</v>
      </c>
      <c r="E646" s="544">
        <f>+DATE(YEAR(E645),MONTH(E645)-1,DAY(E645))</f>
        <v>25569.041666666668</v>
      </c>
      <c r="F646" s="333">
        <f>IF($C$6=$E646,1,IF(MONTH($E646)=1,F647*(1+$F$5),F647))</f>
      </c>
      <c r="G646" s="333">
        <f>F646*$B$8/12</f>
      </c>
      <c r="H646" s="333">
        <f>IF(F646=1,F646*$B$10/MIN(12,'Simulador - 3º Pilar'!$E$88),0)</f>
      </c>
      <c r="I646" s="560">
        <f>(1+$G$5)^(D646/12)*(H646+IF(E646=$N$7,$N$4,0))</f>
      </c>
      <c r="J646" s="561">
        <f>(1+$G$5)^(D646/12)*(H646*(12-IF(MONTH(E647)=12,0,MONTH(E647)))+IF(AND(F646=1,F647=0),$Q$4,0))*IF(AND(F646=1,F647=0),1,0)</f>
      </c>
      <c r="K646" s="217">
        <f>(1+$G$5)^(D646/12)*(IF(E646=$N$7,$N$4,0)+IF(E646=$C$6,$B$10,0))</f>
      </c>
      <c r="L646" s="217">
        <f>(1+$G$5)^(D646/12)*(IF((E646)&gt;($B$6),H646,0)+IF(E646=$N$7,$N$4,0)+IF(E646=$C$6,0,0))</f>
      </c>
      <c r="M646" s="1"/>
      <c r="N646" s="7"/>
      <c r="O646" s="1"/>
      <c r="P646" s="331">
        <v>639</v>
      </c>
      <c r="Q646" s="544">
        <f>+DATE(YEAR(Q645),MONTH(Q645)-1,DAY(Q645))</f>
        <v>25569.041666666668</v>
      </c>
      <c r="R646" s="341">
        <f>IF($Z$7=$E646,1,IF(MONTH($E646)=1,R647*(1+$F$5),R647))</f>
      </c>
      <c r="S646" s="334">
        <f>R646*$B$8/12</f>
      </c>
      <c r="T646" s="334">
        <f>R646*$B$11/12</f>
      </c>
      <c r="U646" s="565">
        <f>(1+$V$5)^(P646/12)*(T646+IF(Q646=$Z$7,$Z$4,0))</f>
      </c>
      <c r="V646" s="170"/>
      <c r="W646" s="7"/>
      <c r="X646" s="1"/>
      <c r="Y646" s="1"/>
      <c r="Z646" s="1"/>
      <c r="AA646" s="1"/>
      <c r="AB646" s="1"/>
      <c r="AC646" s="331">
        <v>639</v>
      </c>
      <c r="AD646" s="544">
        <f>+DATE(YEAR(AD645),MONTH(AD645)-1,DAY(AD645))</f>
        <v>25569.041666666668</v>
      </c>
      <c r="AE646" s="341">
        <f>IF($AM$7=$E646,1,IF(MONTH($E646)=1,AE647*(1+$F$5),AE647))</f>
      </c>
      <c r="AF646" s="334">
        <f>AE646*$B$8/12</f>
      </c>
      <c r="AG646" s="334">
        <f>AE646*$B$12/12</f>
      </c>
      <c r="AH646" s="565">
        <f>(1+$AI$5)^(AC646/12)*(AG646+IF(AD646=$AM$7,$AM$4,0))</f>
      </c>
      <c r="AI646" s="170"/>
      <c r="AJ646" s="7"/>
      <c r="AK646" s="1"/>
      <c r="AL646" s="1"/>
      <c r="AM646" s="1"/>
    </row>
    <row x14ac:dyDescent="0.25" r="647" customHeight="1" ht="18.75">
      <c r="A647" s="1"/>
      <c r="B647" s="169"/>
      <c r="C647" s="170"/>
      <c r="D647" s="331">
        <v>640</v>
      </c>
      <c r="E647" s="544">
        <f>+DATE(YEAR(E646),MONTH(E646)-1,DAY(E646))</f>
        <v>25569.041666666668</v>
      </c>
      <c r="F647" s="333">
        <f>IF($C$6=$E647,1,IF(MONTH($E647)=1,F648*(1+$F$5),F648))</f>
      </c>
      <c r="G647" s="333">
        <f>F647*$B$8/12</f>
      </c>
      <c r="H647" s="333">
        <f>IF(F647=1,F647*$B$10/MIN(12,'Simulador - 3º Pilar'!$E$88),0)</f>
      </c>
      <c r="I647" s="560">
        <f>(1+$G$5)^(D647/12)*(H647+IF(E647=$N$7,$N$4,0))</f>
      </c>
      <c r="J647" s="561">
        <f>(1+$G$5)^(D647/12)*(H647*(12-IF(MONTH(E648)=12,0,MONTH(E648)))+IF(AND(F647=1,F648=0),$Q$4,0))*IF(AND(F647=1,F648=0),1,0)</f>
      </c>
      <c r="K647" s="217">
        <f>(1+$G$5)^(D647/12)*(IF(E647=$N$7,$N$4,0)+IF(E647=$C$6,$B$10,0))</f>
      </c>
      <c r="L647" s="217">
        <f>(1+$G$5)^(D647/12)*(IF((E647)&gt;($B$6),H647,0)+IF(E647=$N$7,$N$4,0)+IF(E647=$C$6,0,0))</f>
      </c>
      <c r="M647" s="1"/>
      <c r="N647" s="7"/>
      <c r="O647" s="1"/>
      <c r="P647" s="331">
        <v>640</v>
      </c>
      <c r="Q647" s="544">
        <f>+DATE(YEAR(Q646),MONTH(Q646)-1,DAY(Q646))</f>
        <v>25569.041666666668</v>
      </c>
      <c r="R647" s="341">
        <f>IF($Z$7=$E647,1,IF(MONTH($E647)=1,R648*(1+$F$5),R648))</f>
      </c>
      <c r="S647" s="334">
        <f>R647*$B$8/12</f>
      </c>
      <c r="T647" s="334">
        <f>R647*$B$11/12</f>
      </c>
      <c r="U647" s="565">
        <f>(1+$V$5)^(P647/12)*(T647+IF(Q647=$Z$7,$Z$4,0))</f>
      </c>
      <c r="V647" s="170"/>
      <c r="W647" s="7"/>
      <c r="X647" s="1"/>
      <c r="Y647" s="1"/>
      <c r="Z647" s="1"/>
      <c r="AA647" s="1"/>
      <c r="AB647" s="1"/>
      <c r="AC647" s="331">
        <v>640</v>
      </c>
      <c r="AD647" s="544">
        <f>+DATE(YEAR(AD646),MONTH(AD646)-1,DAY(AD646))</f>
        <v>25569.041666666668</v>
      </c>
      <c r="AE647" s="341">
        <f>IF($AM$7=$E647,1,IF(MONTH($E647)=1,AE648*(1+$F$5),AE648))</f>
      </c>
      <c r="AF647" s="334">
        <f>AE647*$B$8/12</f>
      </c>
      <c r="AG647" s="334">
        <f>AE647*$B$12/12</f>
      </c>
      <c r="AH647" s="565">
        <f>(1+$AI$5)^(AC647/12)*(AG647+IF(AD647=$AM$7,$AM$4,0))</f>
      </c>
      <c r="AI647" s="170"/>
      <c r="AJ647" s="7"/>
      <c r="AK647" s="1"/>
      <c r="AL647" s="1"/>
      <c r="AM647" s="1"/>
    </row>
    <row x14ac:dyDescent="0.25" r="648" customHeight="1" ht="18.75">
      <c r="A648" s="1"/>
      <c r="B648" s="169"/>
      <c r="C648" s="170"/>
      <c r="D648" s="331">
        <v>641</v>
      </c>
      <c r="E648" s="544">
        <f>+DATE(YEAR(E647),MONTH(E647)-1,DAY(E647))</f>
        <v>25569.041666666668</v>
      </c>
      <c r="F648" s="333">
        <f>IF($C$6=$E648,1,IF(MONTH($E648)=1,F649*(1+$F$5),F649))</f>
      </c>
      <c r="G648" s="333">
        <f>F648*$B$8/12</f>
      </c>
      <c r="H648" s="333">
        <f>IF(F648=1,F648*$B$10/MIN(12,'Simulador - 3º Pilar'!$E$88),0)</f>
      </c>
      <c r="I648" s="560">
        <f>(1+$G$5)^(D648/12)*(H648+IF(E648=$N$7,$N$4,0))</f>
      </c>
      <c r="J648" s="561">
        <f>(1+$G$5)^(D648/12)*(H648*(12-IF(MONTH(E649)=12,0,MONTH(E649)))+IF(AND(F648=1,F649=0),$Q$4,0))*IF(AND(F648=1,F649=0),1,0)</f>
      </c>
      <c r="K648" s="217">
        <f>(1+$G$5)^(D648/12)*(IF(E648=$N$7,$N$4,0)+IF(E648=$C$6,$B$10,0))</f>
      </c>
      <c r="L648" s="217">
        <f>(1+$G$5)^(D648/12)*(IF((E648)&gt;($B$6),H648,0)+IF(E648=$N$7,$N$4,0)+IF(E648=$C$6,0,0))</f>
      </c>
      <c r="M648" s="1"/>
      <c r="N648" s="7"/>
      <c r="O648" s="1"/>
      <c r="P648" s="331">
        <v>641</v>
      </c>
      <c r="Q648" s="544">
        <f>+DATE(YEAR(Q647),MONTH(Q647)-1,DAY(Q647))</f>
        <v>25569.041666666668</v>
      </c>
      <c r="R648" s="341">
        <f>IF($Z$7=$E648,1,IF(MONTH($E648)=1,R649*(1+$F$5),R649))</f>
      </c>
      <c r="S648" s="334">
        <f>R648*$B$8/12</f>
      </c>
      <c r="T648" s="334">
        <f>R648*$B$11/12</f>
      </c>
      <c r="U648" s="565">
        <f>(1+$V$5)^(P648/12)*(T648+IF(Q648=$Z$7,$Z$4,0))</f>
      </c>
      <c r="V648" s="170"/>
      <c r="W648" s="7"/>
      <c r="X648" s="1"/>
      <c r="Y648" s="1"/>
      <c r="Z648" s="1"/>
      <c r="AA648" s="1"/>
      <c r="AB648" s="1"/>
      <c r="AC648" s="331">
        <v>641</v>
      </c>
      <c r="AD648" s="544">
        <f>+DATE(YEAR(AD647),MONTH(AD647)-1,DAY(AD647))</f>
        <v>25569.041666666668</v>
      </c>
      <c r="AE648" s="341">
        <f>IF($AM$7=$E648,1,IF(MONTH($E648)=1,AE649*(1+$F$5),AE649))</f>
      </c>
      <c r="AF648" s="334">
        <f>AE648*$B$8/12</f>
      </c>
      <c r="AG648" s="334">
        <f>AE648*$B$12/12</f>
      </c>
      <c r="AH648" s="565">
        <f>(1+$AI$5)^(AC648/12)*(AG648+IF(AD648=$AM$7,$AM$4,0))</f>
      </c>
      <c r="AI648" s="170"/>
      <c r="AJ648" s="7"/>
      <c r="AK648" s="1"/>
      <c r="AL648" s="1"/>
      <c r="AM648" s="1"/>
    </row>
    <row x14ac:dyDescent="0.25" r="649" customHeight="1" ht="18.75">
      <c r="A649" s="1"/>
      <c r="B649" s="169"/>
      <c r="C649" s="170"/>
      <c r="D649" s="331">
        <v>642</v>
      </c>
      <c r="E649" s="544">
        <f>+DATE(YEAR(E648),MONTH(E648)-1,DAY(E648))</f>
        <v>25569.041666666668</v>
      </c>
      <c r="F649" s="333">
        <f>IF($C$6=$E649,1,IF(MONTH($E649)=1,F650*(1+$F$5),F650))</f>
      </c>
      <c r="G649" s="333">
        <f>F649*$B$8/12</f>
      </c>
      <c r="H649" s="333">
        <f>IF(F649=1,F649*$B$10/MIN(12,'Simulador - 3º Pilar'!$E$88),0)</f>
      </c>
      <c r="I649" s="560">
        <f>(1+$G$5)^(D649/12)*(H649+IF(E649=$N$7,$N$4,0))</f>
      </c>
      <c r="J649" s="561">
        <f>(1+$G$5)^(D649/12)*(H649*(12-IF(MONTH(E650)=12,0,MONTH(E650)))+IF(AND(F649=1,F650=0),$Q$4,0))*IF(AND(F649=1,F650=0),1,0)</f>
      </c>
      <c r="K649" s="217">
        <f>(1+$G$5)^(D649/12)*(IF(E649=$N$7,$N$4,0)+IF(E649=$C$6,$B$10,0))</f>
      </c>
      <c r="L649" s="217">
        <f>(1+$G$5)^(D649/12)*(IF((E649)&gt;($B$6),H649,0)+IF(E649=$N$7,$N$4,0)+IF(E649=$C$6,0,0))</f>
      </c>
      <c r="M649" s="1"/>
      <c r="N649" s="7"/>
      <c r="O649" s="1"/>
      <c r="P649" s="331">
        <v>642</v>
      </c>
      <c r="Q649" s="544">
        <f>+DATE(YEAR(Q648),MONTH(Q648)-1,DAY(Q648))</f>
        <v>25569.041666666668</v>
      </c>
      <c r="R649" s="341">
        <f>IF($Z$7=$E649,1,IF(MONTH($E649)=1,R650*(1+$F$5),R650))</f>
      </c>
      <c r="S649" s="334">
        <f>R649*$B$8/12</f>
      </c>
      <c r="T649" s="334">
        <f>R649*$B$11/12</f>
      </c>
      <c r="U649" s="565">
        <f>(1+$V$5)^(P649/12)*(T649+IF(Q649=$Z$7,$Z$4,0))</f>
      </c>
      <c r="V649" s="170"/>
      <c r="W649" s="7"/>
      <c r="X649" s="1"/>
      <c r="Y649" s="1"/>
      <c r="Z649" s="1"/>
      <c r="AA649" s="1"/>
      <c r="AB649" s="1"/>
      <c r="AC649" s="331">
        <v>642</v>
      </c>
      <c r="AD649" s="544">
        <f>+DATE(YEAR(AD648),MONTH(AD648)-1,DAY(AD648))</f>
        <v>25569.041666666668</v>
      </c>
      <c r="AE649" s="341">
        <f>IF($AM$7=$E649,1,IF(MONTH($E649)=1,AE650*(1+$F$5),AE650))</f>
      </c>
      <c r="AF649" s="334">
        <f>AE649*$B$8/12</f>
      </c>
      <c r="AG649" s="334">
        <f>AE649*$B$12/12</f>
      </c>
      <c r="AH649" s="565">
        <f>(1+$AI$5)^(AC649/12)*(AG649+IF(AD649=$AM$7,$AM$4,0))</f>
      </c>
      <c r="AI649" s="170"/>
      <c r="AJ649" s="7"/>
      <c r="AK649" s="1"/>
      <c r="AL649" s="1"/>
      <c r="AM649" s="1"/>
    </row>
    <row x14ac:dyDescent="0.25" r="650" customHeight="1" ht="18.75">
      <c r="A650" s="1"/>
      <c r="B650" s="169"/>
      <c r="C650" s="170"/>
      <c r="D650" s="331">
        <v>643</v>
      </c>
      <c r="E650" s="544">
        <f>+DATE(YEAR(E649),MONTH(E649)-1,DAY(E649))</f>
        <v>25569.041666666668</v>
      </c>
      <c r="F650" s="333">
        <f>IF($C$6=$E650,1,IF(MONTH($E650)=1,F651*(1+$F$5),F651))</f>
      </c>
      <c r="G650" s="333">
        <f>F650*$B$8/12</f>
      </c>
      <c r="H650" s="333">
        <f>IF(F650=1,F650*$B$10/MIN(12,'Simulador - 3º Pilar'!$E$88),0)</f>
      </c>
      <c r="I650" s="560">
        <f>(1+$G$5)^(D650/12)*(H650+IF(E650=$N$7,$N$4,0))</f>
      </c>
      <c r="J650" s="561">
        <f>(1+$G$5)^(D650/12)*(H650*(12-IF(MONTH(E651)=12,0,MONTH(E651)))+IF(AND(F650=1,F651=0),$Q$4,0))*IF(AND(F650=1,F651=0),1,0)</f>
      </c>
      <c r="K650" s="217">
        <f>(1+$G$5)^(D650/12)*(IF(E650=$N$7,$N$4,0)+IF(E650=$C$6,$B$10,0))</f>
      </c>
      <c r="L650" s="217">
        <f>(1+$G$5)^(D650/12)*(IF((E650)&gt;($B$6),H650,0)+IF(E650=$N$7,$N$4,0)+IF(E650=$C$6,0,0))</f>
      </c>
      <c r="M650" s="1"/>
      <c r="N650" s="7"/>
      <c r="O650" s="1"/>
      <c r="P650" s="331">
        <v>643</v>
      </c>
      <c r="Q650" s="544">
        <f>+DATE(YEAR(Q649),MONTH(Q649)-1,DAY(Q649))</f>
        <v>25569.041666666668</v>
      </c>
      <c r="R650" s="341">
        <f>IF($Z$7=$E650,1,IF(MONTH($E650)=1,R651*(1+$F$5),R651))</f>
      </c>
      <c r="S650" s="334">
        <f>R650*$B$8/12</f>
      </c>
      <c r="T650" s="334">
        <f>R650*$B$11/12</f>
      </c>
      <c r="U650" s="565">
        <f>(1+$V$5)^(P650/12)*(T650+IF(Q650=$Z$7,$Z$4,0))</f>
      </c>
      <c r="V650" s="170"/>
      <c r="W650" s="7"/>
      <c r="X650" s="1"/>
      <c r="Y650" s="1"/>
      <c r="Z650" s="1"/>
      <c r="AA650" s="1"/>
      <c r="AB650" s="1"/>
      <c r="AC650" s="331">
        <v>643</v>
      </c>
      <c r="AD650" s="544">
        <f>+DATE(YEAR(AD649),MONTH(AD649)-1,DAY(AD649))</f>
        <v>25569.041666666668</v>
      </c>
      <c r="AE650" s="341">
        <f>IF($AM$7=$E650,1,IF(MONTH($E650)=1,AE651*(1+$F$5),AE651))</f>
      </c>
      <c r="AF650" s="334">
        <f>AE650*$B$8/12</f>
      </c>
      <c r="AG650" s="334">
        <f>AE650*$B$12/12</f>
      </c>
      <c r="AH650" s="565">
        <f>(1+$AI$5)^(AC650/12)*(AG650+IF(AD650=$AM$7,$AM$4,0))</f>
      </c>
      <c r="AI650" s="170"/>
      <c r="AJ650" s="7"/>
      <c r="AK650" s="1"/>
      <c r="AL650" s="1"/>
      <c r="AM650" s="1"/>
    </row>
    <row x14ac:dyDescent="0.25" r="651" customHeight="1" ht="18.75">
      <c r="A651" s="1"/>
      <c r="B651" s="169"/>
      <c r="C651" s="170"/>
      <c r="D651" s="331">
        <v>644</v>
      </c>
      <c r="E651" s="544">
        <f>+DATE(YEAR(E650),MONTH(E650)-1,DAY(E650))</f>
        <v>25569.041666666668</v>
      </c>
      <c r="F651" s="333">
        <f>IF($C$6=$E651,1,IF(MONTH($E651)=1,F652*(1+$F$5),F652))</f>
      </c>
      <c r="G651" s="333">
        <f>F651*$B$8/12</f>
      </c>
      <c r="H651" s="333">
        <f>IF(F651=1,F651*$B$10/MIN(12,'Simulador - 3º Pilar'!$E$88),0)</f>
      </c>
      <c r="I651" s="560">
        <f>(1+$G$5)^(D651/12)*(H651+IF(E651=$N$7,$N$4,0))</f>
      </c>
      <c r="J651" s="561">
        <f>(1+$G$5)^(D651/12)*(H651*(12-IF(MONTH(E652)=12,0,MONTH(E652)))+IF(AND(F651=1,F652=0),$Q$4,0))*IF(AND(F651=1,F652=0),1,0)</f>
      </c>
      <c r="K651" s="217">
        <f>(1+$G$5)^(D651/12)*(IF(E651=$N$7,$N$4,0)+IF(E651=$C$6,$B$10,0))</f>
      </c>
      <c r="L651" s="217">
        <f>(1+$G$5)^(D651/12)*(IF((E651)&gt;($B$6),H651,0)+IF(E651=$N$7,$N$4,0)+IF(E651=$C$6,0,0))</f>
      </c>
      <c r="M651" s="1"/>
      <c r="N651" s="7"/>
      <c r="O651" s="1"/>
      <c r="P651" s="331">
        <v>644</v>
      </c>
      <c r="Q651" s="544">
        <f>+DATE(YEAR(Q650),MONTH(Q650)-1,DAY(Q650))</f>
        <v>25569.041666666668</v>
      </c>
      <c r="R651" s="341">
        <f>IF($Z$7=$E651,1,IF(MONTH($E651)=1,R652*(1+$F$5),R652))</f>
      </c>
      <c r="S651" s="334">
        <f>R651*$B$8/12</f>
      </c>
      <c r="T651" s="334">
        <f>R651*$B$11/12</f>
      </c>
      <c r="U651" s="565">
        <f>(1+$V$5)^(P651/12)*(T651+IF(Q651=$Z$7,$Z$4,0))</f>
      </c>
      <c r="V651" s="170"/>
      <c r="W651" s="7"/>
      <c r="X651" s="1"/>
      <c r="Y651" s="1"/>
      <c r="Z651" s="1"/>
      <c r="AA651" s="1"/>
      <c r="AB651" s="1"/>
      <c r="AC651" s="331">
        <v>644</v>
      </c>
      <c r="AD651" s="544">
        <f>+DATE(YEAR(AD650),MONTH(AD650)-1,DAY(AD650))</f>
        <v>25569.041666666668</v>
      </c>
      <c r="AE651" s="341">
        <f>IF($AM$7=$E651,1,IF(MONTH($E651)=1,AE652*(1+$F$5),AE652))</f>
      </c>
      <c r="AF651" s="334">
        <f>AE651*$B$8/12</f>
      </c>
      <c r="AG651" s="334">
        <f>AE651*$B$12/12</f>
      </c>
      <c r="AH651" s="565">
        <f>(1+$AI$5)^(AC651/12)*(AG651+IF(AD651=$AM$7,$AM$4,0))</f>
      </c>
      <c r="AI651" s="170"/>
      <c r="AJ651" s="7"/>
      <c r="AK651" s="1"/>
      <c r="AL651" s="1"/>
      <c r="AM651" s="1"/>
    </row>
    <row x14ac:dyDescent="0.25" r="652" customHeight="1" ht="18.75">
      <c r="A652" s="1"/>
      <c r="B652" s="169"/>
      <c r="C652" s="170"/>
      <c r="D652" s="331">
        <v>645</v>
      </c>
      <c r="E652" s="544">
        <f>+DATE(YEAR(E651),MONTH(E651)-1,DAY(E651))</f>
        <v>25569.041666666668</v>
      </c>
      <c r="F652" s="333">
        <f>IF($C$6=$E652,1,IF(MONTH($E652)=1,F653*(1+$F$5),F653))</f>
      </c>
      <c r="G652" s="333">
        <f>F652*$B$8/12</f>
      </c>
      <c r="H652" s="333">
        <f>IF(F652=1,F652*$B$10/MIN(12,'Simulador - 3º Pilar'!$E$88),0)</f>
      </c>
      <c r="I652" s="560">
        <f>(1+$G$5)^(D652/12)*(H652+IF(E652=$N$7,$N$4,0))</f>
      </c>
      <c r="J652" s="561">
        <f>(1+$G$5)^(D652/12)*(H652*(12-IF(MONTH(E653)=12,0,MONTH(E653)))+IF(AND(F652=1,F653=0),$Q$4,0))*IF(AND(F652=1,F653=0),1,0)</f>
      </c>
      <c r="K652" s="217">
        <f>(1+$G$5)^(D652/12)*(IF(E652=$N$7,$N$4,0)+IF(E652=$C$6,$B$10,0))</f>
      </c>
      <c r="L652" s="217">
        <f>(1+$G$5)^(D652/12)*(IF((E652)&gt;($B$6),H652,0)+IF(E652=$N$7,$N$4,0)+IF(E652=$C$6,0,0))</f>
      </c>
      <c r="M652" s="1"/>
      <c r="N652" s="7"/>
      <c r="O652" s="1"/>
      <c r="P652" s="331">
        <v>645</v>
      </c>
      <c r="Q652" s="544">
        <f>+DATE(YEAR(Q651),MONTH(Q651)-1,DAY(Q651))</f>
        <v>25569.041666666668</v>
      </c>
      <c r="R652" s="341">
        <f>IF($Z$7=$E652,1,IF(MONTH($E652)=1,R653*(1+$F$5),R653))</f>
      </c>
      <c r="S652" s="334">
        <f>R652*$B$8/12</f>
      </c>
      <c r="T652" s="334">
        <f>R652*$B$11/12</f>
      </c>
      <c r="U652" s="565">
        <f>(1+$V$5)^(P652/12)*(T652+IF(Q652=$Z$7,$Z$4,0))</f>
      </c>
      <c r="V652" s="170"/>
      <c r="W652" s="7"/>
      <c r="X652" s="1"/>
      <c r="Y652" s="1"/>
      <c r="Z652" s="1"/>
      <c r="AA652" s="1"/>
      <c r="AB652" s="1"/>
      <c r="AC652" s="331">
        <v>645</v>
      </c>
      <c r="AD652" s="544">
        <f>+DATE(YEAR(AD651),MONTH(AD651)-1,DAY(AD651))</f>
        <v>25569.041666666668</v>
      </c>
      <c r="AE652" s="341">
        <f>IF($AM$7=$E652,1,IF(MONTH($E652)=1,AE653*(1+$F$5),AE653))</f>
      </c>
      <c r="AF652" s="334">
        <f>AE652*$B$8/12</f>
      </c>
      <c r="AG652" s="334">
        <f>AE652*$B$12/12</f>
      </c>
      <c r="AH652" s="565">
        <f>(1+$AI$5)^(AC652/12)*(AG652+IF(AD652=$AM$7,$AM$4,0))</f>
      </c>
      <c r="AI652" s="170"/>
      <c r="AJ652" s="7"/>
      <c r="AK652" s="1"/>
      <c r="AL652" s="1"/>
      <c r="AM652" s="1"/>
    </row>
    <row x14ac:dyDescent="0.25" r="653" customHeight="1" ht="18.75">
      <c r="A653" s="1"/>
      <c r="B653" s="169"/>
      <c r="C653" s="170"/>
      <c r="D653" s="331">
        <v>646</v>
      </c>
      <c r="E653" s="544">
        <f>+DATE(YEAR(E652),MONTH(E652)-1,DAY(E652))</f>
        <v>25569.041666666668</v>
      </c>
      <c r="F653" s="333">
        <f>IF($C$6=$E653,1,IF(MONTH($E653)=1,F654*(1+$F$5),F654))</f>
      </c>
      <c r="G653" s="333">
        <f>F653*$B$8/12</f>
      </c>
      <c r="H653" s="333">
        <f>IF(F653=1,F653*$B$10/MIN(12,'Simulador - 3º Pilar'!$E$88),0)</f>
      </c>
      <c r="I653" s="560">
        <f>(1+$G$5)^(D653/12)*(H653+IF(E653=$N$7,$N$4,0))</f>
      </c>
      <c r="J653" s="561">
        <f>(1+$G$5)^(D653/12)*(H653*(12-IF(MONTH(E654)=12,0,MONTH(E654)))+IF(AND(F653=1,F654=0),$Q$4,0))*IF(AND(F653=1,F654=0),1,0)</f>
      </c>
      <c r="K653" s="217">
        <f>(1+$G$5)^(D653/12)*(IF(E653=$N$7,$N$4,0)+IF(E653=$C$6,$B$10,0))</f>
      </c>
      <c r="L653" s="217">
        <f>(1+$G$5)^(D653/12)*(IF((E653)&gt;($B$6),H653,0)+IF(E653=$N$7,$N$4,0)+IF(E653=$C$6,0,0))</f>
      </c>
      <c r="M653" s="1"/>
      <c r="N653" s="7"/>
      <c r="O653" s="1"/>
      <c r="P653" s="331">
        <v>646</v>
      </c>
      <c r="Q653" s="544">
        <f>+DATE(YEAR(Q652),MONTH(Q652)-1,DAY(Q652))</f>
        <v>25569.041666666668</v>
      </c>
      <c r="R653" s="341">
        <f>IF($Z$7=$E653,1,IF(MONTH($E653)=1,R654*(1+$F$5),R654))</f>
      </c>
      <c r="S653" s="334">
        <f>R653*$B$8/12</f>
      </c>
      <c r="T653" s="334">
        <f>R653*$B$11/12</f>
      </c>
      <c r="U653" s="565">
        <f>(1+$V$5)^(P653/12)*(T653+IF(Q653=$Z$7,$Z$4,0))</f>
      </c>
      <c r="V653" s="170"/>
      <c r="W653" s="7"/>
      <c r="X653" s="1"/>
      <c r="Y653" s="1"/>
      <c r="Z653" s="1"/>
      <c r="AA653" s="1"/>
      <c r="AB653" s="1"/>
      <c r="AC653" s="331">
        <v>646</v>
      </c>
      <c r="AD653" s="544">
        <f>+DATE(YEAR(AD652),MONTH(AD652)-1,DAY(AD652))</f>
        <v>25569.041666666668</v>
      </c>
      <c r="AE653" s="341">
        <f>IF($AM$7=$E653,1,IF(MONTH($E653)=1,AE654*(1+$F$5),AE654))</f>
      </c>
      <c r="AF653" s="334">
        <f>AE653*$B$8/12</f>
      </c>
      <c r="AG653" s="334">
        <f>AE653*$B$12/12</f>
      </c>
      <c r="AH653" s="565">
        <f>(1+$AI$5)^(AC653/12)*(AG653+IF(AD653=$AM$7,$AM$4,0))</f>
      </c>
      <c r="AI653" s="170"/>
      <c r="AJ653" s="7"/>
      <c r="AK653" s="1"/>
      <c r="AL653" s="1"/>
      <c r="AM653" s="1"/>
    </row>
    <row x14ac:dyDescent="0.25" r="654" customHeight="1" ht="18.75">
      <c r="A654" s="1"/>
      <c r="B654" s="169"/>
      <c r="C654" s="170"/>
      <c r="D654" s="331">
        <v>647</v>
      </c>
      <c r="E654" s="544">
        <f>+DATE(YEAR(E653),MONTH(E653)-1,DAY(E653))</f>
        <v>25569.041666666668</v>
      </c>
      <c r="F654" s="333">
        <f>IF($C$6=$E654,1,IF(MONTH($E654)=1,F655*(1+$F$5),F655))</f>
      </c>
      <c r="G654" s="333">
        <f>F654*$B$8/12</f>
      </c>
      <c r="H654" s="333">
        <f>IF(F654=1,F654*$B$10/MIN(12,'Simulador - 3º Pilar'!$E$88),0)</f>
      </c>
      <c r="I654" s="560">
        <f>(1+$G$5)^(D654/12)*(H654+IF(E654=$N$7,$N$4,0))</f>
      </c>
      <c r="J654" s="561">
        <f>(1+$G$5)^(D654/12)*(H654*(12-IF(MONTH(E655)=12,0,MONTH(E655)))+IF(AND(F654=1,F655=0),$Q$4,0))*IF(AND(F654=1,F655=0),1,0)</f>
      </c>
      <c r="K654" s="217">
        <f>(1+$G$5)^(D654/12)*(IF(E654=$N$7,$N$4,0)+IF(E654=$C$6,$B$10,0))</f>
      </c>
      <c r="L654" s="217">
        <f>(1+$G$5)^(D654/12)*(IF((E654)&gt;($B$6),H654,0)+IF(E654=$N$7,$N$4,0)+IF(E654=$C$6,0,0))</f>
      </c>
      <c r="M654" s="1"/>
      <c r="N654" s="7"/>
      <c r="O654" s="1"/>
      <c r="P654" s="331">
        <v>647</v>
      </c>
      <c r="Q654" s="544">
        <f>+DATE(YEAR(Q653),MONTH(Q653)-1,DAY(Q653))</f>
        <v>25569.041666666668</v>
      </c>
      <c r="R654" s="341">
        <f>IF($Z$7=$E654,1,IF(MONTH($E654)=1,R655*(1+$F$5),R655))</f>
      </c>
      <c r="S654" s="334">
        <f>R654*$B$8/12</f>
      </c>
      <c r="T654" s="334">
        <f>R654*$B$11/12</f>
      </c>
      <c r="U654" s="565">
        <f>(1+$V$5)^(P654/12)*(T654+IF(Q654=$Z$7,$Z$4,0))</f>
      </c>
      <c r="V654" s="170"/>
      <c r="W654" s="7"/>
      <c r="X654" s="1"/>
      <c r="Y654" s="1"/>
      <c r="Z654" s="1"/>
      <c r="AA654" s="1"/>
      <c r="AB654" s="1"/>
      <c r="AC654" s="331">
        <v>647</v>
      </c>
      <c r="AD654" s="544">
        <f>+DATE(YEAR(AD653),MONTH(AD653)-1,DAY(AD653))</f>
        <v>25569.041666666668</v>
      </c>
      <c r="AE654" s="341">
        <f>IF($AM$7=$E654,1,IF(MONTH($E654)=1,AE655*(1+$F$5),AE655))</f>
      </c>
      <c r="AF654" s="334">
        <f>AE654*$B$8/12</f>
      </c>
      <c r="AG654" s="334">
        <f>AE654*$B$12/12</f>
      </c>
      <c r="AH654" s="565">
        <f>(1+$AI$5)^(AC654/12)*(AG654+IF(AD654=$AM$7,$AM$4,0))</f>
      </c>
      <c r="AI654" s="170"/>
      <c r="AJ654" s="7"/>
      <c r="AK654" s="1"/>
      <c r="AL654" s="1"/>
      <c r="AM654" s="1"/>
    </row>
    <row x14ac:dyDescent="0.25" r="655" customHeight="1" ht="18.75">
      <c r="A655" s="1"/>
      <c r="B655" s="169"/>
      <c r="C655" s="170"/>
      <c r="D655" s="331">
        <v>648</v>
      </c>
      <c r="E655" s="544">
        <f>+DATE(YEAR(E654),MONTH(E654)-1,DAY(E654))</f>
        <v>25569.041666666668</v>
      </c>
      <c r="F655" s="333">
        <f>IF($C$6=$E655,1,IF(MONTH($E655)=1,F656*(1+$F$5),F656))</f>
      </c>
      <c r="G655" s="333">
        <f>F655*$B$8/12</f>
      </c>
      <c r="H655" s="333">
        <f>IF(F655=1,F655*$B$10/MIN(12,'Simulador - 3º Pilar'!$E$88),0)</f>
      </c>
      <c r="I655" s="560">
        <f>(1+$G$5)^(D655/12)*(H655+IF(E655=$N$7,$N$4,0))</f>
      </c>
      <c r="J655" s="561">
        <f>(1+$G$5)^(D655/12)*(H655*(12-IF(MONTH(E656)=12,0,MONTH(E656)))+IF(AND(F655=1,F656=0),$Q$4,0))*IF(AND(F655=1,F656=0),1,0)</f>
      </c>
      <c r="K655" s="217">
        <f>(1+$G$5)^(D655/12)*(IF(E655=$N$7,$N$4,0)+IF(E655=$C$6,$B$10,0))</f>
      </c>
      <c r="L655" s="217">
        <f>(1+$G$5)^(D655/12)*(IF((E655)&gt;($B$6),H655,0)+IF(E655=$N$7,$N$4,0)+IF(E655=$C$6,0,0))</f>
      </c>
      <c r="M655" s="1"/>
      <c r="N655" s="7"/>
      <c r="O655" s="1"/>
      <c r="P655" s="331">
        <v>648</v>
      </c>
      <c r="Q655" s="544">
        <f>+DATE(YEAR(Q654),MONTH(Q654)-1,DAY(Q654))</f>
        <v>25569.041666666668</v>
      </c>
      <c r="R655" s="341">
        <f>IF($Z$7=$E655,1,IF(MONTH($E655)=1,R656*(1+$F$5),R656))</f>
      </c>
      <c r="S655" s="334">
        <f>R655*$B$8/12</f>
      </c>
      <c r="T655" s="334">
        <f>R655*$B$11/12</f>
      </c>
      <c r="U655" s="565">
        <f>(1+$V$5)^(P655/12)*(T655+IF(Q655=$Z$7,$Z$4,0))</f>
      </c>
      <c r="V655" s="170"/>
      <c r="W655" s="7"/>
      <c r="X655" s="1"/>
      <c r="Y655" s="1"/>
      <c r="Z655" s="1"/>
      <c r="AA655" s="1"/>
      <c r="AB655" s="1"/>
      <c r="AC655" s="331">
        <v>648</v>
      </c>
      <c r="AD655" s="544">
        <f>+DATE(YEAR(AD654),MONTH(AD654)-1,DAY(AD654))</f>
        <v>25569.041666666668</v>
      </c>
      <c r="AE655" s="341">
        <f>IF($AM$7=$E655,1,IF(MONTH($E655)=1,AE656*(1+$F$5),AE656))</f>
      </c>
      <c r="AF655" s="334">
        <f>AE655*$B$8/12</f>
      </c>
      <c r="AG655" s="334">
        <f>AE655*$B$12/12</f>
      </c>
      <c r="AH655" s="565">
        <f>(1+$AI$5)^(AC655/12)*(AG655+IF(AD655=$AM$7,$AM$4,0))</f>
      </c>
      <c r="AI655" s="170"/>
      <c r="AJ655" s="7"/>
      <c r="AK655" s="1"/>
      <c r="AL655" s="1"/>
      <c r="AM655" s="1"/>
    </row>
    <row x14ac:dyDescent="0.25" r="656" customHeight="1" ht="18.75">
      <c r="A656" s="1"/>
      <c r="B656" s="169"/>
      <c r="C656" s="170"/>
      <c r="D656" s="331">
        <v>649</v>
      </c>
      <c r="E656" s="544">
        <f>+DATE(YEAR(E655),MONTH(E655)-1,DAY(E655))</f>
        <v>25569.041666666668</v>
      </c>
      <c r="F656" s="333">
        <f>IF($C$6=$E656,1,IF(MONTH($E656)=1,F657*(1+$F$5),F657))</f>
      </c>
      <c r="G656" s="333">
        <f>F656*$B$8/12</f>
      </c>
      <c r="H656" s="333">
        <f>IF(F656=1,F656*$B$10/MIN(12,'Simulador - 3º Pilar'!$E$88),0)</f>
      </c>
      <c r="I656" s="560">
        <f>(1+$G$5)^(D656/12)*(H656+IF(E656=$N$7,$N$4,0))</f>
      </c>
      <c r="J656" s="561">
        <f>(1+$G$5)^(D656/12)*(H656*(12-IF(MONTH(E657)=12,0,MONTH(E657)))+IF(AND(F656=1,F657=0),$Q$4,0))*IF(AND(F656=1,F657=0),1,0)</f>
      </c>
      <c r="K656" s="217">
        <f>(1+$G$5)^(D656/12)*(IF(E656=$N$7,$N$4,0)+IF(E656=$C$6,$B$10,0))</f>
      </c>
      <c r="L656" s="217">
        <f>(1+$G$5)^(D656/12)*(IF((E656)&gt;($B$6),H656,0)+IF(E656=$N$7,$N$4,0)+IF(E656=$C$6,0,0))</f>
      </c>
      <c r="M656" s="1"/>
      <c r="N656" s="7"/>
      <c r="O656" s="1"/>
      <c r="P656" s="331">
        <v>649</v>
      </c>
      <c r="Q656" s="544">
        <f>+DATE(YEAR(Q655),MONTH(Q655)-1,DAY(Q655))</f>
        <v>25569.041666666668</v>
      </c>
      <c r="R656" s="341">
        <f>IF($Z$7=$E656,1,IF(MONTH($E656)=1,R657*(1+$F$5),R657))</f>
      </c>
      <c r="S656" s="334">
        <f>R656*$B$8/12</f>
      </c>
      <c r="T656" s="334">
        <f>R656*$B$11/12</f>
      </c>
      <c r="U656" s="565">
        <f>(1+$V$5)^(P656/12)*(T656+IF(Q656=$Z$7,$Z$4,0))</f>
      </c>
      <c r="V656" s="170"/>
      <c r="W656" s="7"/>
      <c r="X656" s="1"/>
      <c r="Y656" s="1"/>
      <c r="Z656" s="1"/>
      <c r="AA656" s="1"/>
      <c r="AB656" s="1"/>
      <c r="AC656" s="331">
        <v>649</v>
      </c>
      <c r="AD656" s="544">
        <f>+DATE(YEAR(AD655),MONTH(AD655)-1,DAY(AD655))</f>
        <v>25569.041666666668</v>
      </c>
      <c r="AE656" s="341">
        <f>IF($AM$7=$E656,1,IF(MONTH($E656)=1,AE657*(1+$F$5),AE657))</f>
      </c>
      <c r="AF656" s="334">
        <f>AE656*$B$8/12</f>
      </c>
      <c r="AG656" s="334">
        <f>AE656*$B$12/12</f>
      </c>
      <c r="AH656" s="565">
        <f>(1+$AI$5)^(AC656/12)*(AG656+IF(AD656=$AM$7,$AM$4,0))</f>
      </c>
      <c r="AI656" s="170"/>
      <c r="AJ656" s="7"/>
      <c r="AK656" s="1"/>
      <c r="AL656" s="1"/>
      <c r="AM656" s="1"/>
    </row>
    <row x14ac:dyDescent="0.25" r="657" customHeight="1" ht="18.75">
      <c r="A657" s="1"/>
      <c r="B657" s="169"/>
      <c r="C657" s="170"/>
      <c r="D657" s="331">
        <v>650</v>
      </c>
      <c r="E657" s="544">
        <f>+DATE(YEAR(E656),MONTH(E656)-1,DAY(E656))</f>
        <v>25569.041666666668</v>
      </c>
      <c r="F657" s="333">
        <f>IF($C$6=$E657,1,IF(MONTH($E657)=1,F658*(1+$F$5),F658))</f>
      </c>
      <c r="G657" s="333">
        <f>F657*$B$8/12</f>
      </c>
      <c r="H657" s="333">
        <f>IF(F657=1,F657*$B$10/MIN(12,'Simulador - 3º Pilar'!$E$88),0)</f>
      </c>
      <c r="I657" s="560">
        <f>(1+$G$5)^(D657/12)*(H657+IF(E657=$N$7,$N$4,0))</f>
      </c>
      <c r="J657" s="561">
        <f>(1+$G$5)^(D657/12)*(H657*(12-IF(MONTH(E658)=12,0,MONTH(E658)))+IF(AND(F657=1,F658=0),$Q$4,0))*IF(AND(F657=1,F658=0),1,0)</f>
      </c>
      <c r="K657" s="217">
        <f>(1+$G$5)^(D657/12)*(IF(E657=$N$7,$N$4,0)+IF(E657=$C$6,$B$10,0))</f>
      </c>
      <c r="L657" s="217">
        <f>(1+$G$5)^(D657/12)*(IF((E657)&gt;($B$6),H657,0)+IF(E657=$N$7,$N$4,0)+IF(E657=$C$6,0,0))</f>
      </c>
      <c r="M657" s="1"/>
      <c r="N657" s="7"/>
      <c r="O657" s="1"/>
      <c r="P657" s="331">
        <v>650</v>
      </c>
      <c r="Q657" s="544">
        <f>+DATE(YEAR(Q656),MONTH(Q656)-1,DAY(Q656))</f>
        <v>25569.041666666668</v>
      </c>
      <c r="R657" s="341">
        <f>IF($Z$7=$E657,1,IF(MONTH($E657)=1,R658*(1+$F$5),R658))</f>
      </c>
      <c r="S657" s="334">
        <f>R657*$B$8/12</f>
      </c>
      <c r="T657" s="334">
        <f>R657*$B$11/12</f>
      </c>
      <c r="U657" s="565">
        <f>(1+$V$5)^(P657/12)*(T657+IF(Q657=$Z$7,$Z$4,0))</f>
      </c>
      <c r="V657" s="170"/>
      <c r="W657" s="7"/>
      <c r="X657" s="1"/>
      <c r="Y657" s="1"/>
      <c r="Z657" s="1"/>
      <c r="AA657" s="1"/>
      <c r="AB657" s="1"/>
      <c r="AC657" s="331">
        <v>650</v>
      </c>
      <c r="AD657" s="544">
        <f>+DATE(YEAR(AD656),MONTH(AD656)-1,DAY(AD656))</f>
        <v>25569.041666666668</v>
      </c>
      <c r="AE657" s="341">
        <f>IF($AM$7=$E657,1,IF(MONTH($E657)=1,AE658*(1+$F$5),AE658))</f>
      </c>
      <c r="AF657" s="334">
        <f>AE657*$B$8/12</f>
      </c>
      <c r="AG657" s="334">
        <f>AE657*$B$12/12</f>
      </c>
      <c r="AH657" s="565">
        <f>(1+$AI$5)^(AC657/12)*(AG657+IF(AD657=$AM$7,$AM$4,0))</f>
      </c>
      <c r="AI657" s="170"/>
      <c r="AJ657" s="7"/>
      <c r="AK657" s="1"/>
      <c r="AL657" s="1"/>
      <c r="AM657" s="1"/>
    </row>
    <row x14ac:dyDescent="0.25" r="658" customHeight="1" ht="18.75">
      <c r="A658" s="1"/>
      <c r="B658" s="169"/>
      <c r="C658" s="170"/>
      <c r="D658" s="331">
        <v>651</v>
      </c>
      <c r="E658" s="544">
        <f>+DATE(YEAR(E657),MONTH(E657)-1,DAY(E657))</f>
        <v>25569.041666666668</v>
      </c>
      <c r="F658" s="333">
        <f>IF($C$6=$E658,1,IF(MONTH($E658)=1,F659*(1+$F$5),F659))</f>
      </c>
      <c r="G658" s="333">
        <f>F658*$B$8/12</f>
      </c>
      <c r="H658" s="333">
        <f>IF(F658=1,F658*$B$10/MIN(12,'Simulador - 3º Pilar'!$E$88),0)</f>
      </c>
      <c r="I658" s="560">
        <f>(1+$G$5)^(D658/12)*(H658+IF(E658=$N$7,$N$4,0))</f>
      </c>
      <c r="J658" s="561">
        <f>(1+$G$5)^(D658/12)*(H658*(12-IF(MONTH(E659)=12,0,MONTH(E659)))+IF(AND(F658=1,F659=0),$Q$4,0))*IF(AND(F658=1,F659=0),1,0)</f>
      </c>
      <c r="K658" s="217">
        <f>(1+$G$5)^(D658/12)*(IF(E658=$N$7,$N$4,0)+IF(E658=$C$6,$B$10,0))</f>
      </c>
      <c r="L658" s="217">
        <f>(1+$G$5)^(D658/12)*(IF((E658)&gt;($B$6),H658,0)+IF(E658=$N$7,$N$4,0)+IF(E658=$C$6,0,0))</f>
      </c>
      <c r="M658" s="1"/>
      <c r="N658" s="7"/>
      <c r="O658" s="1"/>
      <c r="P658" s="331">
        <v>651</v>
      </c>
      <c r="Q658" s="544">
        <f>+DATE(YEAR(Q657),MONTH(Q657)-1,DAY(Q657))</f>
        <v>25569.041666666668</v>
      </c>
      <c r="R658" s="341">
        <f>IF($Z$7=$E658,1,IF(MONTH($E658)=1,R659*(1+$F$5),R659))</f>
      </c>
      <c r="S658" s="334">
        <f>R658*$B$8/12</f>
      </c>
      <c r="T658" s="334">
        <f>R658*$B$11/12</f>
      </c>
      <c r="U658" s="565">
        <f>(1+$V$5)^(P658/12)*(T658+IF(Q658=$Z$7,$Z$4,0))</f>
      </c>
      <c r="V658" s="170"/>
      <c r="W658" s="7"/>
      <c r="X658" s="1"/>
      <c r="Y658" s="1"/>
      <c r="Z658" s="1"/>
      <c r="AA658" s="1"/>
      <c r="AB658" s="1"/>
      <c r="AC658" s="331">
        <v>651</v>
      </c>
      <c r="AD658" s="544">
        <f>+DATE(YEAR(AD657),MONTH(AD657)-1,DAY(AD657))</f>
        <v>25569.041666666668</v>
      </c>
      <c r="AE658" s="341">
        <f>IF($AM$7=$E658,1,IF(MONTH($E658)=1,AE659*(1+$F$5),AE659))</f>
      </c>
      <c r="AF658" s="334">
        <f>AE658*$B$8/12</f>
      </c>
      <c r="AG658" s="334">
        <f>AE658*$B$12/12</f>
      </c>
      <c r="AH658" s="565">
        <f>(1+$AI$5)^(AC658/12)*(AG658+IF(AD658=$AM$7,$AM$4,0))</f>
      </c>
      <c r="AI658" s="170"/>
      <c r="AJ658" s="7"/>
      <c r="AK658" s="1"/>
      <c r="AL658" s="1"/>
      <c r="AM658" s="1"/>
    </row>
    <row x14ac:dyDescent="0.25" r="659" customHeight="1" ht="18.75">
      <c r="A659" s="1"/>
      <c r="B659" s="169"/>
      <c r="C659" s="170"/>
      <c r="D659" s="331">
        <v>652</v>
      </c>
      <c r="E659" s="544">
        <f>+DATE(YEAR(E658),MONTH(E658)-1,DAY(E658))</f>
        <v>25569.041666666668</v>
      </c>
      <c r="F659" s="333">
        <f>IF($C$6=$E659,1,IF(MONTH($E659)=1,F660*(1+$F$5),F660))</f>
      </c>
      <c r="G659" s="333">
        <f>F659*$B$8/12</f>
      </c>
      <c r="H659" s="333">
        <f>IF(F659=1,F659*$B$10/MIN(12,'Simulador - 3º Pilar'!$E$88),0)</f>
      </c>
      <c r="I659" s="560">
        <f>(1+$G$5)^(D659/12)*(H659+IF(E659=$N$7,$N$4,0))</f>
      </c>
      <c r="J659" s="561">
        <f>(1+$G$5)^(D659/12)*(H659*(12-IF(MONTH(E660)=12,0,MONTH(E660)))+IF(AND(F659=1,F660=0),$Q$4,0))*IF(AND(F659=1,F660=0),1,0)</f>
      </c>
      <c r="K659" s="217">
        <f>(1+$G$5)^(D659/12)*(IF(E659=$N$7,$N$4,0)+IF(E659=$C$6,$B$10,0))</f>
      </c>
      <c r="L659" s="217">
        <f>(1+$G$5)^(D659/12)*(IF((E659)&gt;($B$6),H659,0)+IF(E659=$N$7,$N$4,0)+IF(E659=$C$6,0,0))</f>
      </c>
      <c r="M659" s="1"/>
      <c r="N659" s="7"/>
      <c r="O659" s="1"/>
      <c r="P659" s="331">
        <v>652</v>
      </c>
      <c r="Q659" s="544">
        <f>+DATE(YEAR(Q658),MONTH(Q658)-1,DAY(Q658))</f>
        <v>25569.041666666668</v>
      </c>
      <c r="R659" s="341">
        <f>IF($Z$7=$E659,1,IF(MONTH($E659)=1,R660*(1+$F$5),R660))</f>
      </c>
      <c r="S659" s="334">
        <f>R659*$B$8/12</f>
      </c>
      <c r="T659" s="334">
        <f>R659*$B$11/12</f>
      </c>
      <c r="U659" s="565">
        <f>(1+$V$5)^(P659/12)*(T659+IF(Q659=$Z$7,$Z$4,0))</f>
      </c>
      <c r="V659" s="170"/>
      <c r="W659" s="7"/>
      <c r="X659" s="1"/>
      <c r="Y659" s="1"/>
      <c r="Z659" s="1"/>
      <c r="AA659" s="1"/>
      <c r="AB659" s="1"/>
      <c r="AC659" s="331">
        <v>652</v>
      </c>
      <c r="AD659" s="544">
        <f>+DATE(YEAR(AD658),MONTH(AD658)-1,DAY(AD658))</f>
        <v>25569.041666666668</v>
      </c>
      <c r="AE659" s="341">
        <f>IF($AM$7=$E659,1,IF(MONTH($E659)=1,AE660*(1+$F$5),AE660))</f>
      </c>
      <c r="AF659" s="334">
        <f>AE659*$B$8/12</f>
      </c>
      <c r="AG659" s="334">
        <f>AE659*$B$12/12</f>
      </c>
      <c r="AH659" s="565">
        <f>(1+$AI$5)^(AC659/12)*(AG659+IF(AD659=$AM$7,$AM$4,0))</f>
      </c>
      <c r="AI659" s="170"/>
      <c r="AJ659" s="7"/>
      <c r="AK659" s="1"/>
      <c r="AL659" s="1"/>
      <c r="AM659" s="1"/>
    </row>
    <row x14ac:dyDescent="0.25" r="660" customHeight="1" ht="18.75">
      <c r="A660" s="1"/>
      <c r="B660" s="169"/>
      <c r="C660" s="170"/>
      <c r="D660" s="331">
        <v>653</v>
      </c>
      <c r="E660" s="544">
        <f>+DATE(YEAR(E659),MONTH(E659)-1,DAY(E659))</f>
        <v>25569.041666666668</v>
      </c>
      <c r="F660" s="333">
        <f>IF($C$6=$E660,1,IF(MONTH($E660)=1,F661*(1+$F$5),F661))</f>
      </c>
      <c r="G660" s="333">
        <f>F660*$B$8/12</f>
      </c>
      <c r="H660" s="333">
        <f>IF(F660=1,F660*$B$10/MIN(12,'Simulador - 3º Pilar'!$E$88),0)</f>
      </c>
      <c r="I660" s="560">
        <f>(1+$G$5)^(D660/12)*(H660+IF(E660=$N$7,$N$4,0))</f>
      </c>
      <c r="J660" s="561">
        <f>(1+$G$5)^(D660/12)*(H660*(12-IF(MONTH(E661)=12,0,MONTH(E661)))+IF(AND(F660=1,F661=0),$Q$4,0))*IF(AND(F660=1,F661=0),1,0)</f>
      </c>
      <c r="K660" s="217">
        <f>(1+$G$5)^(D660/12)*(IF(E660=$N$7,$N$4,0)+IF(E660=$C$6,$B$10,0))</f>
      </c>
      <c r="L660" s="217">
        <f>(1+$G$5)^(D660/12)*(IF((E660)&gt;($B$6),H660,0)+IF(E660=$N$7,$N$4,0)+IF(E660=$C$6,0,0))</f>
      </c>
      <c r="M660" s="1"/>
      <c r="N660" s="7"/>
      <c r="O660" s="1"/>
      <c r="P660" s="331">
        <v>653</v>
      </c>
      <c r="Q660" s="544">
        <f>+DATE(YEAR(Q659),MONTH(Q659)-1,DAY(Q659))</f>
        <v>25569.041666666668</v>
      </c>
      <c r="R660" s="341">
        <f>IF($Z$7=$E660,1,IF(MONTH($E660)=1,R661*(1+$F$5),R661))</f>
      </c>
      <c r="S660" s="334">
        <f>R660*$B$8/12</f>
      </c>
      <c r="T660" s="334">
        <f>R660*$B$11/12</f>
      </c>
      <c r="U660" s="565">
        <f>(1+$V$5)^(P660/12)*(T660+IF(Q660=$Z$7,$Z$4,0))</f>
      </c>
      <c r="V660" s="170"/>
      <c r="W660" s="7"/>
      <c r="X660" s="1"/>
      <c r="Y660" s="1"/>
      <c r="Z660" s="1"/>
      <c r="AA660" s="1"/>
      <c r="AB660" s="1"/>
      <c r="AC660" s="331">
        <v>653</v>
      </c>
      <c r="AD660" s="544">
        <f>+DATE(YEAR(AD659),MONTH(AD659)-1,DAY(AD659))</f>
        <v>25569.041666666668</v>
      </c>
      <c r="AE660" s="341">
        <f>IF($AM$7=$E660,1,IF(MONTH($E660)=1,AE661*(1+$F$5),AE661))</f>
      </c>
      <c r="AF660" s="334">
        <f>AE660*$B$8/12</f>
      </c>
      <c r="AG660" s="334">
        <f>AE660*$B$12/12</f>
      </c>
      <c r="AH660" s="565">
        <f>(1+$AI$5)^(AC660/12)*(AG660+IF(AD660=$AM$7,$AM$4,0))</f>
      </c>
      <c r="AI660" s="170"/>
      <c r="AJ660" s="7"/>
      <c r="AK660" s="1"/>
      <c r="AL660" s="1"/>
      <c r="AM660" s="1"/>
    </row>
    <row x14ac:dyDescent="0.25" r="661" customHeight="1" ht="18.75">
      <c r="A661" s="1"/>
      <c r="B661" s="169"/>
      <c r="C661" s="170"/>
      <c r="D661" s="331">
        <v>654</v>
      </c>
      <c r="E661" s="544">
        <f>+DATE(YEAR(E660),MONTH(E660)-1,DAY(E660))</f>
        <v>25569.041666666668</v>
      </c>
      <c r="F661" s="333">
        <f>IF($C$6=$E661,1,IF(MONTH($E661)=1,F662*(1+$F$5),F662))</f>
      </c>
      <c r="G661" s="333">
        <f>F661*$B$8/12</f>
      </c>
      <c r="H661" s="333">
        <f>IF(F661=1,F661*$B$10/MIN(12,'Simulador - 3º Pilar'!$E$88),0)</f>
      </c>
      <c r="I661" s="560">
        <f>(1+$G$5)^(D661/12)*(H661+IF(E661=$N$7,$N$4,0))</f>
      </c>
      <c r="J661" s="561">
        <f>(1+$G$5)^(D661/12)*(H661*(12-IF(MONTH(E662)=12,0,MONTH(E662)))+IF(AND(F661=1,F662=0),$Q$4,0))*IF(AND(F661=1,F662=0),1,0)</f>
      </c>
      <c r="K661" s="217">
        <f>(1+$G$5)^(D661/12)*(IF(E661=$N$7,$N$4,0)+IF(E661=$C$6,$B$10,0))</f>
      </c>
      <c r="L661" s="217">
        <f>(1+$G$5)^(D661/12)*(IF((E661)&gt;($B$6),H661,0)+IF(E661=$N$7,$N$4,0)+IF(E661=$C$6,0,0))</f>
      </c>
      <c r="M661" s="1"/>
      <c r="N661" s="7"/>
      <c r="O661" s="1"/>
      <c r="P661" s="331">
        <v>654</v>
      </c>
      <c r="Q661" s="544">
        <f>+DATE(YEAR(Q660),MONTH(Q660)-1,DAY(Q660))</f>
        <v>25569.041666666668</v>
      </c>
      <c r="R661" s="341">
        <f>IF($Z$7=$E661,1,IF(MONTH($E661)=1,R662*(1+$F$5),R662))</f>
      </c>
      <c r="S661" s="334">
        <f>R661*$B$8/12</f>
      </c>
      <c r="T661" s="334">
        <f>R661*$B$11/12</f>
      </c>
      <c r="U661" s="565">
        <f>(1+$V$5)^(P661/12)*(T661+IF(Q661=$Z$7,$Z$4,0))</f>
      </c>
      <c r="V661" s="170"/>
      <c r="W661" s="7"/>
      <c r="X661" s="1"/>
      <c r="Y661" s="1"/>
      <c r="Z661" s="1"/>
      <c r="AA661" s="1"/>
      <c r="AB661" s="1"/>
      <c r="AC661" s="331">
        <v>654</v>
      </c>
      <c r="AD661" s="544">
        <f>+DATE(YEAR(AD660),MONTH(AD660)-1,DAY(AD660))</f>
        <v>25569.041666666668</v>
      </c>
      <c r="AE661" s="341">
        <f>IF($AM$7=$E661,1,IF(MONTH($E661)=1,AE662*(1+$F$5),AE662))</f>
      </c>
      <c r="AF661" s="334">
        <f>AE661*$B$8/12</f>
      </c>
      <c r="AG661" s="334">
        <f>AE661*$B$12/12</f>
      </c>
      <c r="AH661" s="565">
        <f>(1+$AI$5)^(AC661/12)*(AG661+IF(AD661=$AM$7,$AM$4,0))</f>
      </c>
      <c r="AI661" s="170"/>
      <c r="AJ661" s="7"/>
      <c r="AK661" s="1"/>
      <c r="AL661" s="1"/>
      <c r="AM661" s="1"/>
    </row>
    <row x14ac:dyDescent="0.25" r="662" customHeight="1" ht="18.75">
      <c r="A662" s="1"/>
      <c r="B662" s="169"/>
      <c r="C662" s="170"/>
      <c r="D662" s="331">
        <v>655</v>
      </c>
      <c r="E662" s="544">
        <f>+DATE(YEAR(E661),MONTH(E661)-1,DAY(E661))</f>
        <v>25569.041666666668</v>
      </c>
      <c r="F662" s="333">
        <f>IF($C$6=$E662,1,IF(MONTH($E662)=1,F663*(1+$F$5),F663))</f>
      </c>
      <c r="G662" s="333">
        <f>F662*$B$8/12</f>
      </c>
      <c r="H662" s="333">
        <f>IF(F662=1,F662*$B$10/MIN(12,'Simulador - 3º Pilar'!$E$88),0)</f>
      </c>
      <c r="I662" s="560">
        <f>(1+$G$5)^(D662/12)*(H662+IF(E662=$N$7,$N$4,0))</f>
      </c>
      <c r="J662" s="561">
        <f>(1+$G$5)^(D662/12)*(H662*(12-IF(MONTH(E663)=12,0,MONTH(E663)))+IF(AND(F662=1,F663=0),$Q$4,0))*IF(AND(F662=1,F663=0),1,0)</f>
      </c>
      <c r="K662" s="217">
        <f>(1+$G$5)^(D662/12)*(IF(E662=$N$7,$N$4,0)+IF(E662=$C$6,$B$10,0))</f>
      </c>
      <c r="L662" s="217">
        <f>(1+$G$5)^(D662/12)*(IF((E662)&gt;($B$6),H662,0)+IF(E662=$N$7,$N$4,0)+IF(E662=$C$6,0,0))</f>
      </c>
      <c r="M662" s="1"/>
      <c r="N662" s="7"/>
      <c r="O662" s="1"/>
      <c r="P662" s="331">
        <v>655</v>
      </c>
      <c r="Q662" s="544">
        <f>+DATE(YEAR(Q661),MONTH(Q661)-1,DAY(Q661))</f>
        <v>25569.041666666668</v>
      </c>
      <c r="R662" s="341">
        <f>IF($Z$7=$E662,1,IF(MONTH($E662)=1,R663*(1+$F$5),R663))</f>
      </c>
      <c r="S662" s="334">
        <f>R662*$B$8/12</f>
      </c>
      <c r="T662" s="334">
        <f>R662*$B$11/12</f>
      </c>
      <c r="U662" s="565">
        <f>(1+$V$5)^(P662/12)*(T662+IF(Q662=$Z$7,$Z$4,0))</f>
      </c>
      <c r="V662" s="170"/>
      <c r="W662" s="7"/>
      <c r="X662" s="1"/>
      <c r="Y662" s="1"/>
      <c r="Z662" s="1"/>
      <c r="AA662" s="1"/>
      <c r="AB662" s="1"/>
      <c r="AC662" s="331">
        <v>655</v>
      </c>
      <c r="AD662" s="544">
        <f>+DATE(YEAR(AD661),MONTH(AD661)-1,DAY(AD661))</f>
        <v>25569.041666666668</v>
      </c>
      <c r="AE662" s="341">
        <f>IF($AM$7=$E662,1,IF(MONTH($E662)=1,AE663*(1+$F$5),AE663))</f>
      </c>
      <c r="AF662" s="334">
        <f>AE662*$B$8/12</f>
      </c>
      <c r="AG662" s="334">
        <f>AE662*$B$12/12</f>
      </c>
      <c r="AH662" s="565">
        <f>(1+$AI$5)^(AC662/12)*(AG662+IF(AD662=$AM$7,$AM$4,0))</f>
      </c>
      <c r="AI662" s="170"/>
      <c r="AJ662" s="7"/>
      <c r="AK662" s="1"/>
      <c r="AL662" s="1"/>
      <c r="AM662" s="1"/>
    </row>
    <row x14ac:dyDescent="0.25" r="663" customHeight="1" ht="18.75">
      <c r="A663" s="1"/>
      <c r="B663" s="169"/>
      <c r="C663" s="170"/>
      <c r="D663" s="331">
        <v>656</v>
      </c>
      <c r="E663" s="544">
        <f>+DATE(YEAR(E662),MONTH(E662)-1,DAY(E662))</f>
        <v>25569.041666666668</v>
      </c>
      <c r="F663" s="333">
        <f>IF($C$6=$E663,1,IF(MONTH($E663)=1,F664*(1+$F$5),F664))</f>
      </c>
      <c r="G663" s="333">
        <f>F663*$B$8/12</f>
      </c>
      <c r="H663" s="333">
        <f>IF(F663=1,F663*$B$10/MIN(12,'Simulador - 3º Pilar'!$E$88),0)</f>
      </c>
      <c r="I663" s="560">
        <f>(1+$G$5)^(D663/12)*(H663+IF(E663=$N$7,$N$4,0))</f>
      </c>
      <c r="J663" s="561">
        <f>(1+$G$5)^(D663/12)*(H663*(12-IF(MONTH(E664)=12,0,MONTH(E664)))+IF(AND(F663=1,F664=0),$Q$4,0))*IF(AND(F663=1,F664=0),1,0)</f>
      </c>
      <c r="K663" s="217">
        <f>(1+$G$5)^(D663/12)*(IF(E663=$N$7,$N$4,0)+IF(E663=$C$6,$B$10,0))</f>
      </c>
      <c r="L663" s="217">
        <f>(1+$G$5)^(D663/12)*(IF((E663)&gt;($B$6),H663,0)+IF(E663=$N$7,$N$4,0)+IF(E663=$C$6,0,0))</f>
      </c>
      <c r="M663" s="1"/>
      <c r="N663" s="7"/>
      <c r="O663" s="1"/>
      <c r="P663" s="331">
        <v>656</v>
      </c>
      <c r="Q663" s="544">
        <f>+DATE(YEAR(Q662),MONTH(Q662)-1,DAY(Q662))</f>
        <v>25569.041666666668</v>
      </c>
      <c r="R663" s="341">
        <f>IF($Z$7=$E663,1,IF(MONTH($E663)=1,R664*(1+$F$5),R664))</f>
      </c>
      <c r="S663" s="334">
        <f>R663*$B$8/12</f>
      </c>
      <c r="T663" s="334">
        <f>R663*$B$11/12</f>
      </c>
      <c r="U663" s="565">
        <f>(1+$V$5)^(P663/12)*(T663+IF(Q663=$Z$7,$Z$4,0))</f>
      </c>
      <c r="V663" s="170"/>
      <c r="W663" s="7"/>
      <c r="X663" s="1"/>
      <c r="Y663" s="1"/>
      <c r="Z663" s="1"/>
      <c r="AA663" s="1"/>
      <c r="AB663" s="1"/>
      <c r="AC663" s="331">
        <v>656</v>
      </c>
      <c r="AD663" s="544">
        <f>+DATE(YEAR(AD662),MONTH(AD662)-1,DAY(AD662))</f>
        <v>25569.041666666668</v>
      </c>
      <c r="AE663" s="341">
        <f>IF($AM$7=$E663,1,IF(MONTH($E663)=1,AE664*(1+$F$5),AE664))</f>
      </c>
      <c r="AF663" s="334">
        <f>AE663*$B$8/12</f>
      </c>
      <c r="AG663" s="334">
        <f>AE663*$B$12/12</f>
      </c>
      <c r="AH663" s="565">
        <f>(1+$AI$5)^(AC663/12)*(AG663+IF(AD663=$AM$7,$AM$4,0))</f>
      </c>
      <c r="AI663" s="170"/>
      <c r="AJ663" s="7"/>
      <c r="AK663" s="1"/>
      <c r="AL663" s="1"/>
      <c r="AM663" s="1"/>
    </row>
    <row x14ac:dyDescent="0.25" r="664" customHeight="1" ht="18.75">
      <c r="A664" s="1"/>
      <c r="B664" s="169"/>
      <c r="C664" s="170"/>
      <c r="D664" s="331">
        <v>657</v>
      </c>
      <c r="E664" s="544">
        <f>+DATE(YEAR(E663),MONTH(E663)-1,DAY(E663))</f>
        <v>25569.041666666668</v>
      </c>
      <c r="F664" s="333">
        <f>IF($C$6=$E664,1,IF(MONTH($E664)=1,F665*(1+$F$5),F665))</f>
      </c>
      <c r="G664" s="333">
        <f>F664*$B$8/12</f>
      </c>
      <c r="H664" s="333">
        <f>IF(F664=1,F664*$B$10/MIN(12,'Simulador - 3º Pilar'!$E$88),0)</f>
      </c>
      <c r="I664" s="560">
        <f>(1+$G$5)^(D664/12)*(H664+IF(E664=$N$7,$N$4,0))</f>
      </c>
      <c r="J664" s="561">
        <f>(1+$G$5)^(D664/12)*(H664*(12-IF(MONTH(E665)=12,0,MONTH(E665)))+IF(AND(F664=1,F665=0),$Q$4,0))*IF(AND(F664=1,F665=0),1,0)</f>
      </c>
      <c r="K664" s="217">
        <f>(1+$G$5)^(D664/12)*(IF(E664=$N$7,$N$4,0)+IF(E664=$C$6,$B$10,0))</f>
      </c>
      <c r="L664" s="217">
        <f>(1+$G$5)^(D664/12)*(IF((E664)&gt;($B$6),H664,0)+IF(E664=$N$7,$N$4,0)+IF(E664=$C$6,0,0))</f>
      </c>
      <c r="M664" s="1"/>
      <c r="N664" s="7"/>
      <c r="O664" s="1"/>
      <c r="P664" s="331">
        <v>657</v>
      </c>
      <c r="Q664" s="544">
        <f>+DATE(YEAR(Q663),MONTH(Q663)-1,DAY(Q663))</f>
        <v>25569.041666666668</v>
      </c>
      <c r="R664" s="341">
        <f>IF($Z$7=$E664,1,IF(MONTH($E664)=1,R665*(1+$F$5),R665))</f>
      </c>
      <c r="S664" s="334">
        <f>R664*$B$8/12</f>
      </c>
      <c r="T664" s="334">
        <f>R664*$B$11/12</f>
      </c>
      <c r="U664" s="565">
        <f>(1+$V$5)^(P664/12)*(T664+IF(Q664=$Z$7,$Z$4,0))</f>
      </c>
      <c r="V664" s="170"/>
      <c r="W664" s="7"/>
      <c r="X664" s="1"/>
      <c r="Y664" s="1"/>
      <c r="Z664" s="1"/>
      <c r="AA664" s="1"/>
      <c r="AB664" s="1"/>
      <c r="AC664" s="331">
        <v>657</v>
      </c>
      <c r="AD664" s="544">
        <f>+DATE(YEAR(AD663),MONTH(AD663)-1,DAY(AD663))</f>
        <v>25569.041666666668</v>
      </c>
      <c r="AE664" s="341">
        <f>IF($AM$7=$E664,1,IF(MONTH($E664)=1,AE665*(1+$F$5),AE665))</f>
      </c>
      <c r="AF664" s="334">
        <f>AE664*$B$8/12</f>
      </c>
      <c r="AG664" s="334">
        <f>AE664*$B$12/12</f>
      </c>
      <c r="AH664" s="565">
        <f>(1+$AI$5)^(AC664/12)*(AG664+IF(AD664=$AM$7,$AM$4,0))</f>
      </c>
      <c r="AI664" s="170"/>
      <c r="AJ664" s="7"/>
      <c r="AK664" s="1"/>
      <c r="AL664" s="1"/>
      <c r="AM664" s="1"/>
    </row>
    <row x14ac:dyDescent="0.25" r="665" customHeight="1" ht="18.75">
      <c r="A665" s="1"/>
      <c r="B665" s="169"/>
      <c r="C665" s="170"/>
      <c r="D665" s="331">
        <v>658</v>
      </c>
      <c r="E665" s="544">
        <f>+DATE(YEAR(E664),MONTH(E664)-1,DAY(E664))</f>
        <v>25569.041666666668</v>
      </c>
      <c r="F665" s="333">
        <f>IF($C$6=$E665,1,IF(MONTH($E665)=1,F666*(1+$F$5),F666))</f>
      </c>
      <c r="G665" s="333">
        <f>F665*$B$8/12</f>
      </c>
      <c r="H665" s="333">
        <f>IF(F665=1,F665*$B$10/MIN(12,'Simulador - 3º Pilar'!$E$88),0)</f>
      </c>
      <c r="I665" s="560">
        <f>(1+$G$5)^(D665/12)*(H665+IF(E665=$N$7,$N$4,0))</f>
      </c>
      <c r="J665" s="561">
        <f>(1+$G$5)^(D665/12)*(H665*(12-IF(MONTH(E666)=12,0,MONTH(E666)))+IF(AND(F665=1,F666=0),$Q$4,0))*IF(AND(F665=1,F666=0),1,0)</f>
      </c>
      <c r="K665" s="217">
        <f>(1+$G$5)^(D665/12)*(IF(E665=$N$7,$N$4,0)+IF(E665=$C$6,$B$10,0))</f>
      </c>
      <c r="L665" s="217">
        <f>(1+$G$5)^(D665/12)*(IF((E665)&gt;($B$6),H665,0)+IF(E665=$N$7,$N$4,0)+IF(E665=$C$6,0,0))</f>
      </c>
      <c r="M665" s="1"/>
      <c r="N665" s="7"/>
      <c r="O665" s="1"/>
      <c r="P665" s="331">
        <v>658</v>
      </c>
      <c r="Q665" s="544">
        <f>+DATE(YEAR(Q664),MONTH(Q664)-1,DAY(Q664))</f>
        <v>25569.041666666668</v>
      </c>
      <c r="R665" s="341">
        <f>IF($Z$7=$E665,1,IF(MONTH($E665)=1,R666*(1+$F$5),R666))</f>
      </c>
      <c r="S665" s="334">
        <f>R665*$B$8/12</f>
      </c>
      <c r="T665" s="334">
        <f>R665*$B$11/12</f>
      </c>
      <c r="U665" s="565">
        <f>(1+$V$5)^(P665/12)*(T665+IF(Q665=$Z$7,$Z$4,0))</f>
      </c>
      <c r="V665" s="170"/>
      <c r="W665" s="7"/>
      <c r="X665" s="1"/>
      <c r="Y665" s="1"/>
      <c r="Z665" s="1"/>
      <c r="AA665" s="1"/>
      <c r="AB665" s="1"/>
      <c r="AC665" s="331">
        <v>658</v>
      </c>
      <c r="AD665" s="544">
        <f>+DATE(YEAR(AD664),MONTH(AD664)-1,DAY(AD664))</f>
        <v>25569.041666666668</v>
      </c>
      <c r="AE665" s="341">
        <f>IF($AM$7=$E665,1,IF(MONTH($E665)=1,AE666*(1+$F$5),AE666))</f>
      </c>
      <c r="AF665" s="334">
        <f>AE665*$B$8/12</f>
      </c>
      <c r="AG665" s="334">
        <f>AE665*$B$12/12</f>
      </c>
      <c r="AH665" s="565">
        <f>(1+$AI$5)^(AC665/12)*(AG665+IF(AD665=$AM$7,$AM$4,0))</f>
      </c>
      <c r="AI665" s="170"/>
      <c r="AJ665" s="7"/>
      <c r="AK665" s="1"/>
      <c r="AL665" s="1"/>
      <c r="AM665" s="1"/>
    </row>
    <row x14ac:dyDescent="0.25" r="666" customHeight="1" ht="18.75">
      <c r="A666" s="1"/>
      <c r="B666" s="169"/>
      <c r="C666" s="170"/>
      <c r="D666" s="331">
        <v>659</v>
      </c>
      <c r="E666" s="544">
        <f>+DATE(YEAR(E665),MONTH(E665)-1,DAY(E665))</f>
        <v>25569.041666666668</v>
      </c>
      <c r="F666" s="333">
        <f>IF($C$6=$E666,1,IF(MONTH($E666)=1,F667*(1+$F$5),F667))</f>
      </c>
      <c r="G666" s="333">
        <f>F666*$B$8/12</f>
      </c>
      <c r="H666" s="333">
        <f>IF(F666=1,F666*$B$10/MIN(12,'Simulador - 3º Pilar'!$E$88),0)</f>
      </c>
      <c r="I666" s="560">
        <f>(1+$G$5)^(D666/12)*(H666+IF(E666=$N$7,$N$4,0))</f>
      </c>
      <c r="J666" s="561">
        <f>(1+$G$5)^(D666/12)*(H666*(12-IF(MONTH(E667)=12,0,MONTH(E667)))+IF(AND(F666=1,F667=0),$Q$4,0))*IF(AND(F666=1,F667=0),1,0)</f>
      </c>
      <c r="K666" s="217">
        <f>(1+$G$5)^(D666/12)*(IF(E666=$N$7,$N$4,0)+IF(E666=$C$6,$B$10,0))</f>
      </c>
      <c r="L666" s="217">
        <f>(1+$G$5)^(D666/12)*(IF((E666)&gt;($B$6),H666,0)+IF(E666=$N$7,$N$4,0)+IF(E666=$C$6,0,0))</f>
      </c>
      <c r="M666" s="1"/>
      <c r="N666" s="7"/>
      <c r="O666" s="1"/>
      <c r="P666" s="331">
        <v>659</v>
      </c>
      <c r="Q666" s="544">
        <f>+DATE(YEAR(Q665),MONTH(Q665)-1,DAY(Q665))</f>
        <v>25569.041666666668</v>
      </c>
      <c r="R666" s="341">
        <f>IF($Z$7=$E666,1,IF(MONTH($E666)=1,R667*(1+$F$5),R667))</f>
      </c>
      <c r="S666" s="334">
        <f>R666*$B$8/12</f>
      </c>
      <c r="T666" s="334">
        <f>R666*$B$11/12</f>
      </c>
      <c r="U666" s="565">
        <f>(1+$V$5)^(P666/12)*(T666+IF(Q666=$Z$7,$Z$4,0))</f>
      </c>
      <c r="V666" s="170"/>
      <c r="W666" s="7"/>
      <c r="X666" s="1"/>
      <c r="Y666" s="1"/>
      <c r="Z666" s="1"/>
      <c r="AA666" s="1"/>
      <c r="AB666" s="1"/>
      <c r="AC666" s="331">
        <v>659</v>
      </c>
      <c r="AD666" s="544">
        <f>+DATE(YEAR(AD665),MONTH(AD665)-1,DAY(AD665))</f>
        <v>25569.041666666668</v>
      </c>
      <c r="AE666" s="341">
        <f>IF($AM$7=$E666,1,IF(MONTH($E666)=1,AE667*(1+$F$5),AE667))</f>
      </c>
      <c r="AF666" s="334">
        <f>AE666*$B$8/12</f>
      </c>
      <c r="AG666" s="334">
        <f>AE666*$B$12/12</f>
      </c>
      <c r="AH666" s="565">
        <f>(1+$AI$5)^(AC666/12)*(AG666+IF(AD666=$AM$7,$AM$4,0))</f>
      </c>
      <c r="AI666" s="170"/>
      <c r="AJ666" s="7"/>
      <c r="AK666" s="1"/>
      <c r="AL666" s="1"/>
      <c r="AM666" s="1"/>
    </row>
    <row x14ac:dyDescent="0.25" r="667" customHeight="1" ht="18.75">
      <c r="A667" s="1"/>
      <c r="B667" s="169"/>
      <c r="C667" s="170"/>
      <c r="D667" s="331">
        <v>660</v>
      </c>
      <c r="E667" s="544">
        <f>+DATE(YEAR(E666),MONTH(E666)-1,DAY(E666))</f>
        <v>25569.041666666668</v>
      </c>
      <c r="F667" s="333">
        <f>IF($C$6=$E667,1,IF(MONTH($E667)=1,F668*(1+$F$5),F668))</f>
      </c>
      <c r="G667" s="333">
        <f>F667*$B$8/12</f>
      </c>
      <c r="H667" s="333">
        <f>IF(F667=1,F667*$B$10/MIN(12,'Simulador - 3º Pilar'!$E$88),0)</f>
      </c>
      <c r="I667" s="560">
        <f>(1+$G$5)^(D667/12)*(H667+IF(E667=$N$7,$N$4,0))</f>
      </c>
      <c r="J667" s="561">
        <f>(1+$G$5)^(D667/12)*(H667*(12-IF(MONTH(E668)=12,0,MONTH(E668)))+IF(AND(F667=1,F668=0),$Q$4,0))*IF(AND(F667=1,F668=0),1,0)</f>
      </c>
      <c r="K667" s="217">
        <f>(1+$G$5)^(D667/12)*(IF(E667=$N$7,$N$4,0)+IF(E667=$C$6,$B$10,0))</f>
      </c>
      <c r="L667" s="217">
        <f>(1+$G$5)^(D667/12)*(IF((E667)&gt;($B$6),H667,0)+IF(E667=$N$7,$N$4,0)+IF(E667=$C$6,0,0))</f>
      </c>
      <c r="M667" s="1"/>
      <c r="N667" s="7"/>
      <c r="O667" s="1"/>
      <c r="P667" s="331">
        <v>660</v>
      </c>
      <c r="Q667" s="544">
        <f>+DATE(YEAR(Q666),MONTH(Q666)-1,DAY(Q666))</f>
        <v>25569.041666666668</v>
      </c>
      <c r="R667" s="341">
        <f>IF($Z$7=$E667,1,IF(MONTH($E667)=1,R668*(1+$F$5),R668))</f>
      </c>
      <c r="S667" s="334">
        <f>R667*$B$8/12</f>
      </c>
      <c r="T667" s="334">
        <f>R667*$B$11/12</f>
      </c>
      <c r="U667" s="565">
        <f>(1+$V$5)^(P667/12)*(T667+IF(Q667=$Z$7,$Z$4,0))</f>
      </c>
      <c r="V667" s="170"/>
      <c r="W667" s="7"/>
      <c r="X667" s="1"/>
      <c r="Y667" s="1"/>
      <c r="Z667" s="1"/>
      <c r="AA667" s="1"/>
      <c r="AB667" s="1"/>
      <c r="AC667" s="331">
        <v>660</v>
      </c>
      <c r="AD667" s="544">
        <f>+DATE(YEAR(AD666),MONTH(AD666)-1,DAY(AD666))</f>
        <v>25569.041666666668</v>
      </c>
      <c r="AE667" s="341">
        <f>IF($AM$7=$E667,1,IF(MONTH($E667)=1,AE668*(1+$F$5),AE668))</f>
      </c>
      <c r="AF667" s="334">
        <f>AE667*$B$8/12</f>
      </c>
      <c r="AG667" s="334">
        <f>AE667*$B$12/12</f>
      </c>
      <c r="AH667" s="565">
        <f>(1+$AI$5)^(AC667/12)*(AG667+IF(AD667=$AM$7,$AM$4,0))</f>
      </c>
      <c r="AI667" s="170"/>
      <c r="AJ667" s="7"/>
      <c r="AK667" s="1"/>
      <c r="AL667" s="1"/>
      <c r="AM667" s="1"/>
    </row>
    <row x14ac:dyDescent="0.25" r="668" customHeight="1" ht="18.75">
      <c r="A668" s="1"/>
      <c r="B668" s="169"/>
      <c r="C668" s="170"/>
      <c r="D668" s="331">
        <v>661</v>
      </c>
      <c r="E668" s="544">
        <f>+DATE(YEAR(E667),MONTH(E667)-1,DAY(E667))</f>
        <v>25569.041666666668</v>
      </c>
      <c r="F668" s="333">
        <f>IF($C$6=$E668,1,IF(MONTH($E668)=1,F669*(1+$F$5),F669))</f>
      </c>
      <c r="G668" s="333">
        <f>F668*$B$8/12</f>
      </c>
      <c r="H668" s="333">
        <f>IF(F668=1,F668*$B$10/MIN(12,'Simulador - 3º Pilar'!$E$88),0)</f>
      </c>
      <c r="I668" s="560">
        <f>(1+$G$5)^(D668/12)*(H668+IF(E668=$N$7,$N$4,0))</f>
      </c>
      <c r="J668" s="561">
        <f>(1+$G$5)^(D668/12)*(H668*(12-IF(MONTH(E669)=12,0,MONTH(E669)))+IF(AND(F668=1,F669=0),$Q$4,0))*IF(AND(F668=1,F669=0),1,0)</f>
      </c>
      <c r="K668" s="217">
        <f>(1+$G$5)^(D668/12)*(IF(E668=$N$7,$N$4,0)+IF(E668=$C$6,$B$10,0))</f>
      </c>
      <c r="L668" s="217">
        <f>(1+$G$5)^(D668/12)*(IF((E668)&gt;($B$6),H668,0)+IF(E668=$N$7,$N$4,0)+IF(E668=$C$6,0,0))</f>
      </c>
      <c r="M668" s="1"/>
      <c r="N668" s="7"/>
      <c r="O668" s="1"/>
      <c r="P668" s="331">
        <v>661</v>
      </c>
      <c r="Q668" s="544">
        <f>+DATE(YEAR(Q667),MONTH(Q667)-1,DAY(Q667))</f>
        <v>25569.041666666668</v>
      </c>
      <c r="R668" s="341">
        <f>IF($Z$7=$E668,1,IF(MONTH($E668)=1,R669*(1+$F$5),R669))</f>
      </c>
      <c r="S668" s="334">
        <f>R668*$B$8/12</f>
      </c>
      <c r="T668" s="334">
        <f>R668*$B$11/12</f>
      </c>
      <c r="U668" s="565">
        <f>(1+$V$5)^(P668/12)*(T668+IF(Q668=$Z$7,$Z$4,0))</f>
      </c>
      <c r="V668" s="170"/>
      <c r="W668" s="7"/>
      <c r="X668" s="1"/>
      <c r="Y668" s="1"/>
      <c r="Z668" s="1"/>
      <c r="AA668" s="1"/>
      <c r="AB668" s="1"/>
      <c r="AC668" s="331">
        <v>661</v>
      </c>
      <c r="AD668" s="544">
        <f>+DATE(YEAR(AD667),MONTH(AD667)-1,DAY(AD667))</f>
        <v>25569.041666666668</v>
      </c>
      <c r="AE668" s="341">
        <f>IF($AM$7=$E668,1,IF(MONTH($E668)=1,AE669*(1+$F$5),AE669))</f>
      </c>
      <c r="AF668" s="334">
        <f>AE668*$B$8/12</f>
      </c>
      <c r="AG668" s="334">
        <f>AE668*$B$12/12</f>
      </c>
      <c r="AH668" s="565">
        <f>(1+$AI$5)^(AC668/12)*(AG668+IF(AD668=$AM$7,$AM$4,0))</f>
      </c>
      <c r="AI668" s="170"/>
      <c r="AJ668" s="7"/>
      <c r="AK668" s="1"/>
      <c r="AL668" s="1"/>
      <c r="AM668" s="1"/>
    </row>
    <row x14ac:dyDescent="0.25" r="669" customHeight="1" ht="18.75">
      <c r="A669" s="1"/>
      <c r="B669" s="169"/>
      <c r="C669" s="170"/>
      <c r="D669" s="331">
        <v>662</v>
      </c>
      <c r="E669" s="544">
        <f>+DATE(YEAR(E668),MONTH(E668)-1,DAY(E668))</f>
        <v>25569.041666666668</v>
      </c>
      <c r="F669" s="333">
        <f>IF($C$6=$E669,1,IF(MONTH($E669)=1,F670*(1+$F$5),F670))</f>
      </c>
      <c r="G669" s="333">
        <f>F669*$B$8/12</f>
      </c>
      <c r="H669" s="333">
        <f>IF(F669=1,F669*$B$10/MIN(12,'Simulador - 3º Pilar'!$E$88),0)</f>
      </c>
      <c r="I669" s="560">
        <f>(1+$G$5)^(D669/12)*(H669+IF(E669=$N$7,$N$4,0))</f>
      </c>
      <c r="J669" s="561">
        <f>(1+$G$5)^(D669/12)*(H669*(12-IF(MONTH(E670)=12,0,MONTH(E670)))+IF(AND(F669=1,F670=0),$Q$4,0))*IF(AND(F669=1,F670=0),1,0)</f>
      </c>
      <c r="K669" s="217">
        <f>(1+$G$5)^(D669/12)*(IF(E669=$N$7,$N$4,0)+IF(E669=$C$6,$B$10,0))</f>
      </c>
      <c r="L669" s="217">
        <f>(1+$G$5)^(D669/12)*(IF((E669)&gt;($B$6),H669,0)+IF(E669=$N$7,$N$4,0)+IF(E669=$C$6,0,0))</f>
      </c>
      <c r="M669" s="1"/>
      <c r="N669" s="7"/>
      <c r="O669" s="1"/>
      <c r="P669" s="331">
        <v>662</v>
      </c>
      <c r="Q669" s="544">
        <f>+DATE(YEAR(Q668),MONTH(Q668)-1,DAY(Q668))</f>
        <v>25569.041666666668</v>
      </c>
      <c r="R669" s="341">
        <f>IF($Z$7=$E669,1,IF(MONTH($E669)=1,R670*(1+$F$5),R670))</f>
      </c>
      <c r="S669" s="334">
        <f>R669*$B$8/12</f>
      </c>
      <c r="T669" s="334">
        <f>R669*$B$11/12</f>
      </c>
      <c r="U669" s="565">
        <f>(1+$V$5)^(P669/12)*(T669+IF(Q669=$Z$7,$Z$4,0))</f>
      </c>
      <c r="V669" s="170"/>
      <c r="W669" s="7"/>
      <c r="X669" s="1"/>
      <c r="Y669" s="1"/>
      <c r="Z669" s="1"/>
      <c r="AA669" s="1"/>
      <c r="AB669" s="1"/>
      <c r="AC669" s="331">
        <v>662</v>
      </c>
      <c r="AD669" s="544">
        <f>+DATE(YEAR(AD668),MONTH(AD668)-1,DAY(AD668))</f>
        <v>25569.041666666668</v>
      </c>
      <c r="AE669" s="341">
        <f>IF($AM$7=$E669,1,IF(MONTH($E669)=1,AE670*(1+$F$5),AE670))</f>
      </c>
      <c r="AF669" s="334">
        <f>AE669*$B$8/12</f>
      </c>
      <c r="AG669" s="334">
        <f>AE669*$B$12/12</f>
      </c>
      <c r="AH669" s="565">
        <f>(1+$AI$5)^(AC669/12)*(AG669+IF(AD669=$AM$7,$AM$4,0))</f>
      </c>
      <c r="AI669" s="170"/>
      <c r="AJ669" s="7"/>
      <c r="AK669" s="1"/>
      <c r="AL669" s="1"/>
      <c r="AM669" s="1"/>
    </row>
    <row x14ac:dyDescent="0.25" r="670" customHeight="1" ht="18.75">
      <c r="A670" s="1"/>
      <c r="B670" s="169"/>
      <c r="C670" s="170"/>
      <c r="D670" s="331">
        <v>663</v>
      </c>
      <c r="E670" s="544">
        <f>+DATE(YEAR(E669),MONTH(E669)-1,DAY(E669))</f>
        <v>25569.041666666668</v>
      </c>
      <c r="F670" s="333">
        <f>IF($C$6=$E670,1,IF(MONTH($E670)=1,F671*(1+$F$5),F671))</f>
      </c>
      <c r="G670" s="333">
        <f>F670*$B$8/12</f>
      </c>
      <c r="H670" s="333">
        <f>IF(F670=1,F670*$B$10/MIN(12,'Simulador - 3º Pilar'!$E$88),0)</f>
      </c>
      <c r="I670" s="560">
        <f>(1+$G$5)^(D670/12)*(H670+IF(E670=$N$7,$N$4,0))</f>
      </c>
      <c r="J670" s="561">
        <f>(1+$G$5)^(D670/12)*(H670*(12-IF(MONTH(E671)=12,0,MONTH(E671)))+IF(AND(F670=1,F671=0),$Q$4,0))*IF(AND(F670=1,F671=0),1,0)</f>
      </c>
      <c r="K670" s="217">
        <f>(1+$G$5)^(D670/12)*(IF(E670=$N$7,$N$4,0)+IF(E670=$C$6,$B$10,0))</f>
      </c>
      <c r="L670" s="217">
        <f>(1+$G$5)^(D670/12)*(IF((E670)&gt;($B$6),H670,0)+IF(E670=$N$7,$N$4,0)+IF(E670=$C$6,0,0))</f>
      </c>
      <c r="M670" s="1"/>
      <c r="N670" s="7"/>
      <c r="O670" s="1"/>
      <c r="P670" s="331">
        <v>663</v>
      </c>
      <c r="Q670" s="544">
        <f>+DATE(YEAR(Q669),MONTH(Q669)-1,DAY(Q669))</f>
        <v>25569.041666666668</v>
      </c>
      <c r="R670" s="341">
        <f>IF($Z$7=$E670,1,IF(MONTH($E670)=1,R671*(1+$F$5),R671))</f>
      </c>
      <c r="S670" s="334">
        <f>R670*$B$8/12</f>
      </c>
      <c r="T670" s="334">
        <f>R670*$B$11/12</f>
      </c>
      <c r="U670" s="565">
        <f>(1+$V$5)^(P670/12)*(T670+IF(Q670=$Z$7,$Z$4,0))</f>
      </c>
      <c r="V670" s="170"/>
      <c r="W670" s="7"/>
      <c r="X670" s="1"/>
      <c r="Y670" s="1"/>
      <c r="Z670" s="1"/>
      <c r="AA670" s="1"/>
      <c r="AB670" s="1"/>
      <c r="AC670" s="331">
        <v>663</v>
      </c>
      <c r="AD670" s="544">
        <f>+DATE(YEAR(AD669),MONTH(AD669)-1,DAY(AD669))</f>
        <v>25569.041666666668</v>
      </c>
      <c r="AE670" s="341">
        <f>IF($AM$7=$E670,1,IF(MONTH($E670)=1,AE671*(1+$F$5),AE671))</f>
      </c>
      <c r="AF670" s="334">
        <f>AE670*$B$8/12</f>
      </c>
      <c r="AG670" s="334">
        <f>AE670*$B$12/12</f>
      </c>
      <c r="AH670" s="565">
        <f>(1+$AI$5)^(AC670/12)*(AG670+IF(AD670=$AM$7,$AM$4,0))</f>
      </c>
      <c r="AI670" s="170"/>
      <c r="AJ670" s="7"/>
      <c r="AK670" s="1"/>
      <c r="AL670" s="1"/>
      <c r="AM670" s="1"/>
    </row>
    <row x14ac:dyDescent="0.25" r="671" customHeight="1" ht="18.75">
      <c r="A671" s="1"/>
      <c r="B671" s="169"/>
      <c r="C671" s="170"/>
      <c r="D671" s="331">
        <v>664</v>
      </c>
      <c r="E671" s="544">
        <f>+DATE(YEAR(E670),MONTH(E670)-1,DAY(E670))</f>
        <v>25569.041666666668</v>
      </c>
      <c r="F671" s="333">
        <f>IF($C$6=$E671,1,IF(MONTH($E671)=1,F672*(1+$F$5),F672))</f>
      </c>
      <c r="G671" s="333">
        <f>F671*$B$8/12</f>
      </c>
      <c r="H671" s="333">
        <f>IF(F671=1,F671*$B$10/MIN(12,'Simulador - 3º Pilar'!$E$88),0)</f>
      </c>
      <c r="I671" s="560">
        <f>(1+$G$5)^(D671/12)*(H671+IF(E671=$N$7,$N$4,0))</f>
      </c>
      <c r="J671" s="561">
        <f>(1+$G$5)^(D671/12)*(H671*(12-IF(MONTH(E672)=12,0,MONTH(E672)))+IF(AND(F671=1,F672=0),$Q$4,0))*IF(AND(F671=1,F672=0),1,0)</f>
      </c>
      <c r="K671" s="217">
        <f>(1+$G$5)^(D671/12)*(IF(E671=$N$7,$N$4,0)+IF(E671=$C$6,$B$10,0))</f>
      </c>
      <c r="L671" s="217">
        <f>(1+$G$5)^(D671/12)*(IF((E671)&gt;($B$6),H671,0)+IF(E671=$N$7,$N$4,0)+IF(E671=$C$6,0,0))</f>
      </c>
      <c r="M671" s="1"/>
      <c r="N671" s="7"/>
      <c r="O671" s="1"/>
      <c r="P671" s="331">
        <v>664</v>
      </c>
      <c r="Q671" s="544">
        <f>+DATE(YEAR(Q670),MONTH(Q670)-1,DAY(Q670))</f>
        <v>25569.041666666668</v>
      </c>
      <c r="R671" s="341">
        <f>IF($Z$7=$E671,1,IF(MONTH($E671)=1,R672*(1+$F$5),R672))</f>
      </c>
      <c r="S671" s="334">
        <f>R671*$B$8/12</f>
      </c>
      <c r="T671" s="334">
        <f>R671*$B$11/12</f>
      </c>
      <c r="U671" s="565">
        <f>(1+$V$5)^(P671/12)*(T671+IF(Q671=$Z$7,$Z$4,0))</f>
      </c>
      <c r="V671" s="170"/>
      <c r="W671" s="7"/>
      <c r="X671" s="1"/>
      <c r="Y671" s="1"/>
      <c r="Z671" s="1"/>
      <c r="AA671" s="1"/>
      <c r="AB671" s="1"/>
      <c r="AC671" s="331">
        <v>664</v>
      </c>
      <c r="AD671" s="544">
        <f>+DATE(YEAR(AD670),MONTH(AD670)-1,DAY(AD670))</f>
        <v>25569.041666666668</v>
      </c>
      <c r="AE671" s="341">
        <f>IF($AM$7=$E671,1,IF(MONTH($E671)=1,AE672*(1+$F$5),AE672))</f>
      </c>
      <c r="AF671" s="334">
        <f>AE671*$B$8/12</f>
      </c>
      <c r="AG671" s="334">
        <f>AE671*$B$12/12</f>
      </c>
      <c r="AH671" s="565">
        <f>(1+$AI$5)^(AC671/12)*(AG671+IF(AD671=$AM$7,$AM$4,0))</f>
      </c>
      <c r="AI671" s="170"/>
      <c r="AJ671" s="7"/>
      <c r="AK671" s="1"/>
      <c r="AL671" s="1"/>
      <c r="AM671" s="1"/>
    </row>
    <row x14ac:dyDescent="0.25" r="672" customHeight="1" ht="18.75">
      <c r="A672" s="1"/>
      <c r="B672" s="169"/>
      <c r="C672" s="170"/>
      <c r="D672" s="331">
        <v>665</v>
      </c>
      <c r="E672" s="544">
        <f>+DATE(YEAR(E671),MONTH(E671)-1,DAY(E671))</f>
        <v>25569.041666666668</v>
      </c>
      <c r="F672" s="333">
        <f>IF($C$6=$E672,1,IF(MONTH($E672)=1,F673*(1+$F$5),F673))</f>
      </c>
      <c r="G672" s="333">
        <f>F672*$B$8/12</f>
      </c>
      <c r="H672" s="333">
        <f>IF(F672=1,F672*$B$10/MIN(12,'Simulador - 3º Pilar'!$E$88),0)</f>
      </c>
      <c r="I672" s="560">
        <f>(1+$G$5)^(D672/12)*(H672+IF(E672=$N$7,$N$4,0))</f>
      </c>
      <c r="J672" s="561">
        <f>(1+$G$5)^(D672/12)*(H672*(12-IF(MONTH(E673)=12,0,MONTH(E673)))+IF(AND(F672=1,F673=0),$Q$4,0))*IF(AND(F672=1,F673=0),1,0)</f>
      </c>
      <c r="K672" s="217">
        <f>(1+$G$5)^(D672/12)*(IF(E672=$N$7,$N$4,0)+IF(E672=$C$6,$B$10,0))</f>
      </c>
      <c r="L672" s="217">
        <f>(1+$G$5)^(D672/12)*(IF((E672)&gt;($B$6),H672,0)+IF(E672=$N$7,$N$4,0)+IF(E672=$C$6,0,0))</f>
      </c>
      <c r="M672" s="1"/>
      <c r="N672" s="7"/>
      <c r="O672" s="1"/>
      <c r="P672" s="331">
        <v>665</v>
      </c>
      <c r="Q672" s="544">
        <f>+DATE(YEAR(Q671),MONTH(Q671)-1,DAY(Q671))</f>
        <v>25569.041666666668</v>
      </c>
      <c r="R672" s="341">
        <f>IF($Z$7=$E672,1,IF(MONTH($E672)=1,R673*(1+$F$5),R673))</f>
      </c>
      <c r="S672" s="334">
        <f>R672*$B$8/12</f>
      </c>
      <c r="T672" s="334">
        <f>R672*$B$11/12</f>
      </c>
      <c r="U672" s="565">
        <f>(1+$V$5)^(P672/12)*(T672+IF(Q672=$Z$7,$Z$4,0))</f>
      </c>
      <c r="V672" s="170"/>
      <c r="W672" s="7"/>
      <c r="X672" s="1"/>
      <c r="Y672" s="1"/>
      <c r="Z672" s="1"/>
      <c r="AA672" s="1"/>
      <c r="AB672" s="1"/>
      <c r="AC672" s="331">
        <v>665</v>
      </c>
      <c r="AD672" s="544">
        <f>+DATE(YEAR(AD671),MONTH(AD671)-1,DAY(AD671))</f>
        <v>25569.041666666668</v>
      </c>
      <c r="AE672" s="341">
        <f>IF($AM$7=$E672,1,IF(MONTH($E672)=1,AE673*(1+$F$5),AE673))</f>
      </c>
      <c r="AF672" s="334">
        <f>AE672*$B$8/12</f>
      </c>
      <c r="AG672" s="334">
        <f>AE672*$B$12/12</f>
      </c>
      <c r="AH672" s="565">
        <f>(1+$AI$5)^(AC672/12)*(AG672+IF(AD672=$AM$7,$AM$4,0))</f>
      </c>
      <c r="AI672" s="170"/>
      <c r="AJ672" s="7"/>
      <c r="AK672" s="1"/>
      <c r="AL672" s="1"/>
      <c r="AM672" s="1"/>
    </row>
    <row x14ac:dyDescent="0.25" r="673" customHeight="1" ht="18.75">
      <c r="A673" s="1"/>
      <c r="B673" s="169"/>
      <c r="C673" s="170"/>
      <c r="D673" s="331">
        <v>666</v>
      </c>
      <c r="E673" s="544">
        <f>+DATE(YEAR(E672),MONTH(E672)-1,DAY(E672))</f>
        <v>25569.041666666668</v>
      </c>
      <c r="F673" s="333">
        <f>IF($C$6=$E673,1,IF(MONTH($E673)=1,F674*(1+$F$5),F674))</f>
      </c>
      <c r="G673" s="333">
        <f>F673*$B$8/12</f>
      </c>
      <c r="H673" s="333">
        <f>IF(F673=1,F673*$B$10/MIN(12,'Simulador - 3º Pilar'!$E$88),0)</f>
      </c>
      <c r="I673" s="560">
        <f>(1+$G$5)^(D673/12)*(H673+IF(E673=$N$7,$N$4,0))</f>
      </c>
      <c r="J673" s="561">
        <f>(1+$G$5)^(D673/12)*(H673*(12-IF(MONTH(E674)=12,0,MONTH(E674)))+IF(AND(F673=1,F674=0),$Q$4,0))*IF(AND(F673=1,F674=0),1,0)</f>
      </c>
      <c r="K673" s="217">
        <f>(1+$G$5)^(D673/12)*(IF(E673=$N$7,$N$4,0)+IF(E673=$C$6,$B$10,0))</f>
      </c>
      <c r="L673" s="217">
        <f>(1+$G$5)^(D673/12)*(IF((E673)&gt;($B$6),H673,0)+IF(E673=$N$7,$N$4,0)+IF(E673=$C$6,0,0))</f>
      </c>
      <c r="M673" s="1"/>
      <c r="N673" s="7"/>
      <c r="O673" s="1"/>
      <c r="P673" s="331">
        <v>666</v>
      </c>
      <c r="Q673" s="544">
        <f>+DATE(YEAR(Q672),MONTH(Q672)-1,DAY(Q672))</f>
        <v>25569.041666666668</v>
      </c>
      <c r="R673" s="341">
        <f>IF($Z$7=$E673,1,IF(MONTH($E673)=1,R674*(1+$F$5),R674))</f>
      </c>
      <c r="S673" s="334">
        <f>R673*$B$8/12</f>
      </c>
      <c r="T673" s="334">
        <f>R673*$B$11/12</f>
      </c>
      <c r="U673" s="565">
        <f>(1+$V$5)^(P673/12)*(T673+IF(Q673=$Z$7,$Z$4,0))</f>
      </c>
      <c r="V673" s="170"/>
      <c r="W673" s="7"/>
      <c r="X673" s="1"/>
      <c r="Y673" s="1"/>
      <c r="Z673" s="1"/>
      <c r="AA673" s="1"/>
      <c r="AB673" s="1"/>
      <c r="AC673" s="331">
        <v>666</v>
      </c>
      <c r="AD673" s="544">
        <f>+DATE(YEAR(AD672),MONTH(AD672)-1,DAY(AD672))</f>
        <v>25569.041666666668</v>
      </c>
      <c r="AE673" s="341">
        <f>IF($AM$7=$E673,1,IF(MONTH($E673)=1,AE674*(1+$F$5),AE674))</f>
      </c>
      <c r="AF673" s="334">
        <f>AE673*$B$8/12</f>
      </c>
      <c r="AG673" s="334">
        <f>AE673*$B$12/12</f>
      </c>
      <c r="AH673" s="565">
        <f>(1+$AI$5)^(AC673/12)*(AG673+IF(AD673=$AM$7,$AM$4,0))</f>
      </c>
      <c r="AI673" s="170"/>
      <c r="AJ673" s="7"/>
      <c r="AK673" s="1"/>
      <c r="AL673" s="1"/>
      <c r="AM673" s="1"/>
    </row>
    <row x14ac:dyDescent="0.25" r="674" customHeight="1" ht="18.75">
      <c r="A674" s="1"/>
      <c r="B674" s="169"/>
      <c r="C674" s="170"/>
      <c r="D674" s="331">
        <v>667</v>
      </c>
      <c r="E674" s="544">
        <f>+DATE(YEAR(E673),MONTH(E673)-1,DAY(E673))</f>
        <v>25569.041666666668</v>
      </c>
      <c r="F674" s="333">
        <f>IF($C$6=$E674,1,IF(MONTH($E674)=1,F675*(1+$F$5),F675))</f>
      </c>
      <c r="G674" s="333">
        <f>F674*$B$8/12</f>
      </c>
      <c r="H674" s="333">
        <f>IF(F674=1,F674*$B$10/MIN(12,'Simulador - 3º Pilar'!$E$88),0)</f>
      </c>
      <c r="I674" s="560">
        <f>(1+$G$5)^(D674/12)*(H674+IF(E674=$N$7,$N$4,0))</f>
      </c>
      <c r="J674" s="561">
        <f>(1+$G$5)^(D674/12)*(H674*(12-IF(MONTH(E675)=12,0,MONTH(E675)))+IF(AND(F674=1,F675=0),$Q$4,0))*IF(AND(F674=1,F675=0),1,0)</f>
      </c>
      <c r="K674" s="217">
        <f>(1+$G$5)^(D674/12)*(IF(E674=$N$7,$N$4,0)+IF(E674=$C$6,$B$10,0))</f>
      </c>
      <c r="L674" s="217">
        <f>(1+$G$5)^(D674/12)*(IF((E674)&gt;($B$6),H674,0)+IF(E674=$N$7,$N$4,0)+IF(E674=$C$6,0,0))</f>
      </c>
      <c r="M674" s="1"/>
      <c r="N674" s="7"/>
      <c r="O674" s="1"/>
      <c r="P674" s="331">
        <v>667</v>
      </c>
      <c r="Q674" s="544">
        <f>+DATE(YEAR(Q673),MONTH(Q673)-1,DAY(Q673))</f>
        <v>25569.041666666668</v>
      </c>
      <c r="R674" s="341">
        <f>IF($Z$7=$E674,1,IF(MONTH($E674)=1,R675*(1+$F$5),R675))</f>
      </c>
      <c r="S674" s="334">
        <f>R674*$B$8/12</f>
      </c>
      <c r="T674" s="334">
        <f>R674*$B$11/12</f>
      </c>
      <c r="U674" s="565">
        <f>(1+$V$5)^(P674/12)*(T674+IF(Q674=$Z$7,$Z$4,0))</f>
      </c>
      <c r="V674" s="170"/>
      <c r="W674" s="7"/>
      <c r="X674" s="1"/>
      <c r="Y674" s="1"/>
      <c r="Z674" s="1"/>
      <c r="AA674" s="1"/>
      <c r="AB674" s="1"/>
      <c r="AC674" s="331">
        <v>667</v>
      </c>
      <c r="AD674" s="544">
        <f>+DATE(YEAR(AD673),MONTH(AD673)-1,DAY(AD673))</f>
        <v>25569.041666666668</v>
      </c>
      <c r="AE674" s="341">
        <f>IF($AM$7=$E674,1,IF(MONTH($E674)=1,AE675*(1+$F$5),AE675))</f>
      </c>
      <c r="AF674" s="334">
        <f>AE674*$B$8/12</f>
      </c>
      <c r="AG674" s="334">
        <f>AE674*$B$12/12</f>
      </c>
      <c r="AH674" s="565">
        <f>(1+$AI$5)^(AC674/12)*(AG674+IF(AD674=$AM$7,$AM$4,0))</f>
      </c>
      <c r="AI674" s="170"/>
      <c r="AJ674" s="7"/>
      <c r="AK674" s="1"/>
      <c r="AL674" s="1"/>
      <c r="AM674" s="1"/>
    </row>
    <row x14ac:dyDescent="0.25" r="675" customHeight="1" ht="18.75">
      <c r="A675" s="1"/>
      <c r="B675" s="169"/>
      <c r="C675" s="170"/>
      <c r="D675" s="331">
        <v>668</v>
      </c>
      <c r="E675" s="544">
        <f>+DATE(YEAR(E674),MONTH(E674)-1,DAY(E674))</f>
        <v>25569.041666666668</v>
      </c>
      <c r="F675" s="333">
        <f>IF($C$6=$E675,1,IF(MONTH($E675)=1,F676*(1+$F$5),F676))</f>
      </c>
      <c r="G675" s="333">
        <f>F675*$B$8/12</f>
      </c>
      <c r="H675" s="333">
        <f>IF(F675=1,F675*$B$10/MIN(12,'Simulador - 3º Pilar'!$E$88),0)</f>
      </c>
      <c r="I675" s="560">
        <f>(1+$G$5)^(D675/12)*(H675+IF(E675=$N$7,$N$4,0))</f>
      </c>
      <c r="J675" s="561">
        <f>(1+$G$5)^(D675/12)*(H675*(12-IF(MONTH(E676)=12,0,MONTH(E676)))+IF(AND(F675=1,F676=0),$Q$4,0))*IF(AND(F675=1,F676=0),1,0)</f>
      </c>
      <c r="K675" s="217">
        <f>(1+$G$5)^(D675/12)*(IF(E675=$N$7,$N$4,0)+IF(E675=$C$6,$B$10,0))</f>
      </c>
      <c r="L675" s="217">
        <f>(1+$G$5)^(D675/12)*(IF((E675)&gt;($B$6),H675,0)+IF(E675=$N$7,$N$4,0)+IF(E675=$C$6,0,0))</f>
      </c>
      <c r="M675" s="1"/>
      <c r="N675" s="7"/>
      <c r="O675" s="1"/>
      <c r="P675" s="331">
        <v>668</v>
      </c>
      <c r="Q675" s="544">
        <f>+DATE(YEAR(Q674),MONTH(Q674)-1,DAY(Q674))</f>
        <v>25569.041666666668</v>
      </c>
      <c r="R675" s="341">
        <f>IF($Z$7=$E675,1,IF(MONTH($E675)=1,R676*(1+$F$5),R676))</f>
      </c>
      <c r="S675" s="334">
        <f>R675*$B$8/12</f>
      </c>
      <c r="T675" s="334">
        <f>R675*$B$11/12</f>
      </c>
      <c r="U675" s="565">
        <f>(1+$V$5)^(P675/12)*(T675+IF(Q675=$Z$7,$Z$4,0))</f>
      </c>
      <c r="V675" s="170"/>
      <c r="W675" s="7"/>
      <c r="X675" s="1"/>
      <c r="Y675" s="1"/>
      <c r="Z675" s="1"/>
      <c r="AA675" s="1"/>
      <c r="AB675" s="1"/>
      <c r="AC675" s="331">
        <v>668</v>
      </c>
      <c r="AD675" s="544">
        <f>+DATE(YEAR(AD674),MONTH(AD674)-1,DAY(AD674))</f>
        <v>25569.041666666668</v>
      </c>
      <c r="AE675" s="341">
        <f>IF($AM$7=$E675,1,IF(MONTH($E675)=1,AE676*(1+$F$5),AE676))</f>
      </c>
      <c r="AF675" s="334">
        <f>AE675*$B$8/12</f>
      </c>
      <c r="AG675" s="334">
        <f>AE675*$B$12/12</f>
      </c>
      <c r="AH675" s="565">
        <f>(1+$AI$5)^(AC675/12)*(AG675+IF(AD675=$AM$7,$AM$4,0))</f>
      </c>
      <c r="AI675" s="170"/>
      <c r="AJ675" s="7"/>
      <c r="AK675" s="1"/>
      <c r="AL675" s="1"/>
      <c r="AM675" s="1"/>
    </row>
    <row x14ac:dyDescent="0.25" r="676" customHeight="1" ht="18.75">
      <c r="A676" s="1"/>
      <c r="B676" s="169"/>
      <c r="C676" s="170"/>
      <c r="D676" s="331">
        <v>669</v>
      </c>
      <c r="E676" s="544">
        <f>+DATE(YEAR(E675),MONTH(E675)-1,DAY(E675))</f>
        <v>25569.041666666668</v>
      </c>
      <c r="F676" s="333">
        <f>IF($C$6=$E676,1,IF(MONTH($E676)=1,F677*(1+$F$5),F677))</f>
      </c>
      <c r="G676" s="333">
        <f>F676*$B$8/12</f>
      </c>
      <c r="H676" s="333">
        <f>IF(F676=1,F676*$B$10/MIN(12,'Simulador - 3º Pilar'!$E$88),0)</f>
      </c>
      <c r="I676" s="560">
        <f>(1+$G$5)^(D676/12)*(H676+IF(E676=$N$7,$N$4,0))</f>
      </c>
      <c r="J676" s="561">
        <f>(1+$G$5)^(D676/12)*(H676*(12-IF(MONTH(E677)=12,0,MONTH(E677)))+IF(AND(F676=1,F677=0),$Q$4,0))*IF(AND(F676=1,F677=0),1,0)</f>
      </c>
      <c r="K676" s="217">
        <f>(1+$G$5)^(D676/12)*(IF(E676=$N$7,$N$4,0)+IF(E676=$C$6,$B$10,0))</f>
      </c>
      <c r="L676" s="217">
        <f>(1+$G$5)^(D676/12)*(IF((E676)&gt;($B$6),H676,0)+IF(E676=$N$7,$N$4,0)+IF(E676=$C$6,0,0))</f>
      </c>
      <c r="M676" s="1"/>
      <c r="N676" s="7"/>
      <c r="O676" s="1"/>
      <c r="P676" s="331">
        <v>669</v>
      </c>
      <c r="Q676" s="544">
        <f>+DATE(YEAR(Q675),MONTH(Q675)-1,DAY(Q675))</f>
        <v>25569.041666666668</v>
      </c>
      <c r="R676" s="341">
        <f>IF($Z$7=$E676,1,IF(MONTH($E676)=1,R677*(1+$F$5),R677))</f>
      </c>
      <c r="S676" s="334">
        <f>R676*$B$8/12</f>
      </c>
      <c r="T676" s="334">
        <f>R676*$B$11/12</f>
      </c>
      <c r="U676" s="565">
        <f>(1+$V$5)^(P676/12)*(T676+IF(Q676=$Z$7,$Z$4,0))</f>
      </c>
      <c r="V676" s="170"/>
      <c r="W676" s="7"/>
      <c r="X676" s="1"/>
      <c r="Y676" s="1"/>
      <c r="Z676" s="1"/>
      <c r="AA676" s="1"/>
      <c r="AB676" s="1"/>
      <c r="AC676" s="331">
        <v>669</v>
      </c>
      <c r="AD676" s="544">
        <f>+DATE(YEAR(AD675),MONTH(AD675)-1,DAY(AD675))</f>
        <v>25569.041666666668</v>
      </c>
      <c r="AE676" s="341">
        <f>IF($AM$7=$E676,1,IF(MONTH($E676)=1,AE677*(1+$F$5),AE677))</f>
      </c>
      <c r="AF676" s="334">
        <f>AE676*$B$8/12</f>
      </c>
      <c r="AG676" s="334">
        <f>AE676*$B$12/12</f>
      </c>
      <c r="AH676" s="565">
        <f>(1+$AI$5)^(AC676/12)*(AG676+IF(AD676=$AM$7,$AM$4,0))</f>
      </c>
      <c r="AI676" s="170"/>
      <c r="AJ676" s="7"/>
      <c r="AK676" s="1"/>
      <c r="AL676" s="1"/>
      <c r="AM676" s="1"/>
    </row>
    <row x14ac:dyDescent="0.25" r="677" customHeight="1" ht="18.75">
      <c r="A677" s="1"/>
      <c r="B677" s="169"/>
      <c r="C677" s="170"/>
      <c r="D677" s="331">
        <v>670</v>
      </c>
      <c r="E677" s="544">
        <f>+DATE(YEAR(E676),MONTH(E676)-1,DAY(E676))</f>
        <v>25569.041666666668</v>
      </c>
      <c r="F677" s="333">
        <f>IF($C$6=$E677,1,IF(MONTH($E677)=1,F678*(1+$F$5),F678))</f>
      </c>
      <c r="G677" s="333">
        <f>F677*$B$8/12</f>
      </c>
      <c r="H677" s="333">
        <f>IF(F677=1,F677*$B$10/MIN(12,'Simulador - 3º Pilar'!$E$88),0)</f>
      </c>
      <c r="I677" s="560">
        <f>(1+$G$5)^(D677/12)*(H677+IF(E677=$N$7,$N$4,0))</f>
      </c>
      <c r="J677" s="561">
        <f>(1+$G$5)^(D677/12)*(H677*(12-IF(MONTH(E678)=12,0,MONTH(E678)))+IF(AND(F677=1,F678=0),$Q$4,0))*IF(AND(F677=1,F678=0),1,0)</f>
      </c>
      <c r="K677" s="217">
        <f>(1+$G$5)^(D677/12)*(IF(E677=$N$7,$N$4,0)+IF(E677=$C$6,$B$10,0))</f>
      </c>
      <c r="L677" s="217">
        <f>(1+$G$5)^(D677/12)*(IF((E677)&gt;($B$6),H677,0)+IF(E677=$N$7,$N$4,0)+IF(E677=$C$6,0,0))</f>
      </c>
      <c r="M677" s="1"/>
      <c r="N677" s="7"/>
      <c r="O677" s="1"/>
      <c r="P677" s="331">
        <v>670</v>
      </c>
      <c r="Q677" s="544">
        <f>+DATE(YEAR(Q676),MONTH(Q676)-1,DAY(Q676))</f>
        <v>25569.041666666668</v>
      </c>
      <c r="R677" s="341">
        <f>IF($Z$7=$E677,1,IF(MONTH($E677)=1,R678*(1+$F$5),R678))</f>
      </c>
      <c r="S677" s="334">
        <f>R677*$B$8/12</f>
      </c>
      <c r="T677" s="334">
        <f>R677*$B$11/12</f>
      </c>
      <c r="U677" s="565">
        <f>(1+$V$5)^(P677/12)*(T677+IF(Q677=$Z$7,$Z$4,0))</f>
      </c>
      <c r="V677" s="170"/>
      <c r="W677" s="7"/>
      <c r="X677" s="1"/>
      <c r="Y677" s="1"/>
      <c r="Z677" s="1"/>
      <c r="AA677" s="1"/>
      <c r="AB677" s="1"/>
      <c r="AC677" s="331">
        <v>670</v>
      </c>
      <c r="AD677" s="544">
        <f>+DATE(YEAR(AD676),MONTH(AD676)-1,DAY(AD676))</f>
        <v>25569.041666666668</v>
      </c>
      <c r="AE677" s="341">
        <f>IF($AM$7=$E677,1,IF(MONTH($E677)=1,AE678*(1+$F$5),AE678))</f>
      </c>
      <c r="AF677" s="334">
        <f>AE677*$B$8/12</f>
      </c>
      <c r="AG677" s="334">
        <f>AE677*$B$12/12</f>
      </c>
      <c r="AH677" s="565">
        <f>(1+$AI$5)^(AC677/12)*(AG677+IF(AD677=$AM$7,$AM$4,0))</f>
      </c>
      <c r="AI677" s="170"/>
      <c r="AJ677" s="7"/>
      <c r="AK677" s="1"/>
      <c r="AL677" s="1"/>
      <c r="AM677" s="1"/>
    </row>
    <row x14ac:dyDescent="0.25" r="678" customHeight="1" ht="18.75">
      <c r="A678" s="1"/>
      <c r="B678" s="169"/>
      <c r="C678" s="170"/>
      <c r="D678" s="331">
        <v>671</v>
      </c>
      <c r="E678" s="544">
        <f>+DATE(YEAR(E677),MONTH(E677)-1,DAY(E677))</f>
        <v>25569.041666666668</v>
      </c>
      <c r="F678" s="333">
        <f>IF($C$6=$E678,1,IF(MONTH($E678)=1,F679*(1+$F$5),F679))</f>
      </c>
      <c r="G678" s="333">
        <f>F678*$B$8/12</f>
      </c>
      <c r="H678" s="333">
        <f>IF(F678=1,F678*$B$10/MIN(12,'Simulador - 3º Pilar'!$E$88),0)</f>
      </c>
      <c r="I678" s="560">
        <f>(1+$G$5)^(D678/12)*(H678+IF(E678=$N$7,$N$4,0))</f>
      </c>
      <c r="J678" s="561">
        <f>(1+$G$5)^(D678/12)*(H678*(12-IF(MONTH(E679)=12,0,MONTH(E679)))+IF(AND(F678=1,F679=0),$Q$4,0))*IF(AND(F678=1,F679=0),1,0)</f>
      </c>
      <c r="K678" s="217">
        <f>(1+$G$5)^(D678/12)*(IF(E678=$N$7,$N$4,0)+IF(E678=$C$6,$B$10,0))</f>
      </c>
      <c r="L678" s="217">
        <f>(1+$G$5)^(D678/12)*(IF((E678)&gt;($B$6),H678,0)+IF(E678=$N$7,$N$4,0)+IF(E678=$C$6,0,0))</f>
      </c>
      <c r="M678" s="1"/>
      <c r="N678" s="7"/>
      <c r="O678" s="1"/>
      <c r="P678" s="331">
        <v>671</v>
      </c>
      <c r="Q678" s="544">
        <f>+DATE(YEAR(Q677),MONTH(Q677)-1,DAY(Q677))</f>
        <v>25569.041666666668</v>
      </c>
      <c r="R678" s="341">
        <f>IF($Z$7=$E678,1,IF(MONTH($E678)=1,R679*(1+$F$5),R679))</f>
      </c>
      <c r="S678" s="334">
        <f>R678*$B$8/12</f>
      </c>
      <c r="T678" s="334">
        <f>R678*$B$11/12</f>
      </c>
      <c r="U678" s="565">
        <f>(1+$V$5)^(P678/12)*(T678+IF(Q678=$Z$7,$Z$4,0))</f>
      </c>
      <c r="V678" s="170"/>
      <c r="W678" s="7"/>
      <c r="X678" s="1"/>
      <c r="Y678" s="1"/>
      <c r="Z678" s="1"/>
      <c r="AA678" s="1"/>
      <c r="AB678" s="1"/>
      <c r="AC678" s="331">
        <v>671</v>
      </c>
      <c r="AD678" s="544">
        <f>+DATE(YEAR(AD677),MONTH(AD677)-1,DAY(AD677))</f>
        <v>25569.041666666668</v>
      </c>
      <c r="AE678" s="341">
        <f>IF($AM$7=$E678,1,IF(MONTH($E678)=1,AE679*(1+$F$5),AE679))</f>
      </c>
      <c r="AF678" s="334">
        <f>AE678*$B$8/12</f>
      </c>
      <c r="AG678" s="334">
        <f>AE678*$B$12/12</f>
      </c>
      <c r="AH678" s="565">
        <f>(1+$AI$5)^(AC678/12)*(AG678+IF(AD678=$AM$7,$AM$4,0))</f>
      </c>
      <c r="AI678" s="170"/>
      <c r="AJ678" s="7"/>
      <c r="AK678" s="1"/>
      <c r="AL678" s="1"/>
      <c r="AM678" s="1"/>
    </row>
    <row x14ac:dyDescent="0.25" r="679" customHeight="1" ht="18.75">
      <c r="A679" s="1"/>
      <c r="B679" s="169"/>
      <c r="C679" s="170"/>
      <c r="D679" s="331">
        <v>672</v>
      </c>
      <c r="E679" s="544">
        <f>+DATE(YEAR(E678),MONTH(E678)-1,DAY(E678))</f>
        <v>25569.041666666668</v>
      </c>
      <c r="F679" s="333">
        <f>IF($C$6=$E679,1,IF(MONTH($E679)=1,F680*(1+$F$5),F680))</f>
      </c>
      <c r="G679" s="333">
        <f>F679*$B$8/12</f>
      </c>
      <c r="H679" s="333">
        <f>IF(F679=1,F679*$B$10/MIN(12,'Simulador - 3º Pilar'!$E$88),0)</f>
      </c>
      <c r="I679" s="560">
        <f>(1+$G$5)^(D679/12)*(H679+IF(E679=$N$7,$N$4,0))</f>
      </c>
      <c r="J679" s="561">
        <f>(1+$G$5)^(D679/12)*(H679*(12-IF(MONTH(E680)=12,0,MONTH(E680)))+IF(AND(F679=1,F680=0),$Q$4,0))*IF(AND(F679=1,F680=0),1,0)</f>
      </c>
      <c r="K679" s="217">
        <f>(1+$G$5)^(D679/12)*(IF(E679=$N$7,$N$4,0)+IF(E679=$C$6,$B$10,0))</f>
      </c>
      <c r="L679" s="217">
        <f>(1+$G$5)^(D679/12)*(IF((E679)&gt;($B$6),H679,0)+IF(E679=$N$7,$N$4,0)+IF(E679=$C$6,0,0))</f>
      </c>
      <c r="M679" s="1"/>
      <c r="N679" s="7"/>
      <c r="O679" s="1"/>
      <c r="P679" s="331">
        <v>672</v>
      </c>
      <c r="Q679" s="544">
        <f>+DATE(YEAR(Q678),MONTH(Q678)-1,DAY(Q678))</f>
        <v>25569.041666666668</v>
      </c>
      <c r="R679" s="341">
        <f>IF($Z$7=$E679,1,IF(MONTH($E679)=1,R680*(1+$F$5),R680))</f>
      </c>
      <c r="S679" s="334">
        <f>R679*$B$8/12</f>
      </c>
      <c r="T679" s="334">
        <f>R679*$B$11/12</f>
      </c>
      <c r="U679" s="565">
        <f>(1+$V$5)^(P679/12)*(T679+IF(Q679=$Z$7,$Z$4,0))</f>
      </c>
      <c r="V679" s="170"/>
      <c r="W679" s="7"/>
      <c r="X679" s="1"/>
      <c r="Y679" s="1"/>
      <c r="Z679" s="1"/>
      <c r="AA679" s="1"/>
      <c r="AB679" s="1"/>
      <c r="AC679" s="331">
        <v>672</v>
      </c>
      <c r="AD679" s="544">
        <f>+DATE(YEAR(AD678),MONTH(AD678)-1,DAY(AD678))</f>
        <v>25569.041666666668</v>
      </c>
      <c r="AE679" s="341">
        <f>IF($AM$7=$E679,1,IF(MONTH($E679)=1,AE680*(1+$F$5),AE680))</f>
      </c>
      <c r="AF679" s="334">
        <f>AE679*$B$8/12</f>
      </c>
      <c r="AG679" s="334">
        <f>AE679*$B$12/12</f>
      </c>
      <c r="AH679" s="565">
        <f>(1+$AI$5)^(AC679/12)*(AG679+IF(AD679=$AM$7,$AM$4,0))</f>
      </c>
      <c r="AI679" s="170"/>
      <c r="AJ679" s="7"/>
      <c r="AK679" s="1"/>
      <c r="AL679" s="1"/>
      <c r="AM679" s="1"/>
    </row>
    <row x14ac:dyDescent="0.25" r="680" customHeight="1" ht="18.75">
      <c r="A680" s="1"/>
      <c r="B680" s="169"/>
      <c r="C680" s="170"/>
      <c r="D680" s="331">
        <v>673</v>
      </c>
      <c r="E680" s="544">
        <f>+DATE(YEAR(E679),MONTH(E679)-1,DAY(E679))</f>
        <v>25569.041666666668</v>
      </c>
      <c r="F680" s="333">
        <f>IF($C$6=$E680,1,IF(MONTH($E680)=1,F681*(1+$F$5),F681))</f>
      </c>
      <c r="G680" s="333">
        <f>F680*$B$8/12</f>
      </c>
      <c r="H680" s="333">
        <f>IF(F680=1,F680*$B$10/MIN(12,'Simulador - 3º Pilar'!$E$88),0)</f>
      </c>
      <c r="I680" s="560">
        <f>(1+$G$5)^(D680/12)*(H680+IF(E680=$N$7,$N$4,0))</f>
      </c>
      <c r="J680" s="561">
        <f>(1+$G$5)^(D680/12)*(H680*(12-IF(MONTH(E681)=12,0,MONTH(E681)))+IF(AND(F680=1,F681=0),$Q$4,0))*IF(AND(F680=1,F681=0),1,0)</f>
      </c>
      <c r="K680" s="217">
        <f>(1+$G$5)^(D680/12)*(IF(E680=$N$7,$N$4,0)+IF(E680=$C$6,$B$10,0))</f>
      </c>
      <c r="L680" s="217">
        <f>(1+$G$5)^(D680/12)*(IF((E680)&gt;($B$6),H680,0)+IF(E680=$N$7,$N$4,0)+IF(E680=$C$6,0,0))</f>
      </c>
      <c r="M680" s="1"/>
      <c r="N680" s="7"/>
      <c r="O680" s="1"/>
      <c r="P680" s="331">
        <v>673</v>
      </c>
      <c r="Q680" s="544">
        <f>+DATE(YEAR(Q679),MONTH(Q679)-1,DAY(Q679))</f>
        <v>25569.041666666668</v>
      </c>
      <c r="R680" s="341">
        <f>IF($Z$7=$E680,1,IF(MONTH($E680)=1,R681*(1+$F$5),R681))</f>
      </c>
      <c r="S680" s="334">
        <f>R680*$B$8/12</f>
      </c>
      <c r="T680" s="334">
        <f>R680*$B$11/12</f>
      </c>
      <c r="U680" s="565">
        <f>(1+$V$5)^(P680/12)*(T680+IF(Q680=$Z$7,$Z$4,0))</f>
      </c>
      <c r="V680" s="170"/>
      <c r="W680" s="7"/>
      <c r="X680" s="1"/>
      <c r="Y680" s="1"/>
      <c r="Z680" s="1"/>
      <c r="AA680" s="1"/>
      <c r="AB680" s="1"/>
      <c r="AC680" s="331">
        <v>673</v>
      </c>
      <c r="AD680" s="544">
        <f>+DATE(YEAR(AD679),MONTH(AD679)-1,DAY(AD679))</f>
        <v>25569.041666666668</v>
      </c>
      <c r="AE680" s="341">
        <f>IF($AM$7=$E680,1,IF(MONTH($E680)=1,AE681*(1+$F$5),AE681))</f>
      </c>
      <c r="AF680" s="334">
        <f>AE680*$B$8/12</f>
      </c>
      <c r="AG680" s="334">
        <f>AE680*$B$12/12</f>
      </c>
      <c r="AH680" s="565">
        <f>(1+$AI$5)^(AC680/12)*(AG680+IF(AD680=$AM$7,$AM$4,0))</f>
      </c>
      <c r="AI680" s="170"/>
      <c r="AJ680" s="7"/>
      <c r="AK680" s="1"/>
      <c r="AL680" s="1"/>
      <c r="AM680" s="1"/>
    </row>
    <row x14ac:dyDescent="0.25" r="681" customHeight="1" ht="18.75">
      <c r="A681" s="1"/>
      <c r="B681" s="169"/>
      <c r="C681" s="170"/>
      <c r="D681" s="331">
        <v>674</v>
      </c>
      <c r="E681" s="544">
        <f>+DATE(YEAR(E680),MONTH(E680)-1,DAY(E680))</f>
        <v>25569.041666666668</v>
      </c>
      <c r="F681" s="333">
        <f>IF($C$6=$E681,1,IF(MONTH($E681)=1,F682*(1+$F$5),F682))</f>
      </c>
      <c r="G681" s="333">
        <f>F681*$B$8/12</f>
      </c>
      <c r="H681" s="333">
        <f>IF(F681=1,F681*$B$10/MIN(12,'Simulador - 3º Pilar'!$E$88),0)</f>
      </c>
      <c r="I681" s="560">
        <f>(1+$G$5)^(D681/12)*(H681+IF(E681=$N$7,$N$4,0))</f>
      </c>
      <c r="J681" s="561">
        <f>(1+$G$5)^(D681/12)*(H681*(12-IF(MONTH(E682)=12,0,MONTH(E682)))+IF(AND(F681=1,F682=0),$Q$4,0))*IF(AND(F681=1,F682=0),1,0)</f>
      </c>
      <c r="K681" s="217">
        <f>(1+$G$5)^(D681/12)*(IF(E681=$N$7,$N$4,0)+IF(E681=$C$6,$B$10,0))</f>
      </c>
      <c r="L681" s="217">
        <f>(1+$G$5)^(D681/12)*(IF((E681)&gt;($B$6),H681,0)+IF(E681=$N$7,$N$4,0)+IF(E681=$C$6,0,0))</f>
      </c>
      <c r="M681" s="1"/>
      <c r="N681" s="7"/>
      <c r="O681" s="1"/>
      <c r="P681" s="331">
        <v>674</v>
      </c>
      <c r="Q681" s="544">
        <f>+DATE(YEAR(Q680),MONTH(Q680)-1,DAY(Q680))</f>
        <v>25569.041666666668</v>
      </c>
      <c r="R681" s="341">
        <f>IF($Z$7=$E681,1,IF(MONTH($E681)=1,R682*(1+$F$5),R682))</f>
      </c>
      <c r="S681" s="334">
        <f>R681*$B$8/12</f>
      </c>
      <c r="T681" s="334">
        <f>R681*$B$11/12</f>
      </c>
      <c r="U681" s="565">
        <f>(1+$V$5)^(P681/12)*(T681+IF(Q681=$Z$7,$Z$4,0))</f>
      </c>
      <c r="V681" s="170"/>
      <c r="W681" s="7"/>
      <c r="X681" s="1"/>
      <c r="Y681" s="1"/>
      <c r="Z681" s="1"/>
      <c r="AA681" s="1"/>
      <c r="AB681" s="1"/>
      <c r="AC681" s="331">
        <v>674</v>
      </c>
      <c r="AD681" s="544">
        <f>+DATE(YEAR(AD680),MONTH(AD680)-1,DAY(AD680))</f>
        <v>25569.041666666668</v>
      </c>
      <c r="AE681" s="341">
        <f>IF($AM$7=$E681,1,IF(MONTH($E681)=1,AE682*(1+$F$5),AE682))</f>
      </c>
      <c r="AF681" s="334">
        <f>AE681*$B$8/12</f>
      </c>
      <c r="AG681" s="334">
        <f>AE681*$B$12/12</f>
      </c>
      <c r="AH681" s="565">
        <f>(1+$AI$5)^(AC681/12)*(AG681+IF(AD681=$AM$7,$AM$4,0))</f>
      </c>
      <c r="AI681" s="170"/>
      <c r="AJ681" s="7"/>
      <c r="AK681" s="1"/>
      <c r="AL681" s="1"/>
      <c r="AM681" s="1"/>
    </row>
    <row x14ac:dyDescent="0.25" r="682" customHeight="1" ht="18.75">
      <c r="A682" s="1"/>
      <c r="B682" s="169"/>
      <c r="C682" s="170"/>
      <c r="D682" s="331">
        <v>675</v>
      </c>
      <c r="E682" s="544">
        <f>+DATE(YEAR(E681),MONTH(E681)-1,DAY(E681))</f>
        <v>25569.041666666668</v>
      </c>
      <c r="F682" s="333">
        <f>IF($C$6=$E682,1,IF(MONTH($E682)=1,F683*(1+$F$5),F683))</f>
      </c>
      <c r="G682" s="333">
        <f>F682*$B$8/12</f>
      </c>
      <c r="H682" s="333">
        <f>IF(F682=1,F682*$B$10/MIN(12,'Simulador - 3º Pilar'!$E$88),0)</f>
      </c>
      <c r="I682" s="560">
        <f>(1+$G$5)^(D682/12)*(H682+IF(E682=$N$7,$N$4,0))</f>
      </c>
      <c r="J682" s="561">
        <f>(1+$G$5)^(D682/12)*(H682*(12-IF(MONTH(E683)=12,0,MONTH(E683)))+IF(AND(F682=1,F683=0),$Q$4,0))*IF(AND(F682=1,F683=0),1,0)</f>
      </c>
      <c r="K682" s="217">
        <f>(1+$G$5)^(D682/12)*(IF(E682=$N$7,$N$4,0)+IF(E682=$C$6,$B$10,0))</f>
      </c>
      <c r="L682" s="217">
        <f>(1+$G$5)^(D682/12)*(IF((E682)&gt;($B$6),H682,0)+IF(E682=$N$7,$N$4,0)+IF(E682=$C$6,0,0))</f>
      </c>
      <c r="M682" s="1"/>
      <c r="N682" s="7"/>
      <c r="O682" s="1"/>
      <c r="P682" s="331">
        <v>675</v>
      </c>
      <c r="Q682" s="544">
        <f>+DATE(YEAR(Q681),MONTH(Q681)-1,DAY(Q681))</f>
        <v>25569.041666666668</v>
      </c>
      <c r="R682" s="341">
        <f>IF($Z$7=$E682,1,IF(MONTH($E682)=1,R683*(1+$F$5),R683))</f>
      </c>
      <c r="S682" s="334">
        <f>R682*$B$8/12</f>
      </c>
      <c r="T682" s="334">
        <f>R682*$B$11/12</f>
      </c>
      <c r="U682" s="565">
        <f>(1+$V$5)^(P682/12)*(T682+IF(Q682=$Z$7,$Z$4,0))</f>
      </c>
      <c r="V682" s="170"/>
      <c r="W682" s="7"/>
      <c r="X682" s="1"/>
      <c r="Y682" s="1"/>
      <c r="Z682" s="1"/>
      <c r="AA682" s="1"/>
      <c r="AB682" s="1"/>
      <c r="AC682" s="331">
        <v>675</v>
      </c>
      <c r="AD682" s="544">
        <f>+DATE(YEAR(AD681),MONTH(AD681)-1,DAY(AD681))</f>
        <v>25569.041666666668</v>
      </c>
      <c r="AE682" s="341">
        <f>IF($AM$7=$E682,1,IF(MONTH($E682)=1,AE683*(1+$F$5),AE683))</f>
      </c>
      <c r="AF682" s="334">
        <f>AE682*$B$8/12</f>
      </c>
      <c r="AG682" s="334">
        <f>AE682*$B$12/12</f>
      </c>
      <c r="AH682" s="565">
        <f>(1+$AI$5)^(AC682/12)*(AG682+IF(AD682=$AM$7,$AM$4,0))</f>
      </c>
      <c r="AI682" s="170"/>
      <c r="AJ682" s="7"/>
      <c r="AK682" s="1"/>
      <c r="AL682" s="1"/>
      <c r="AM682" s="1"/>
    </row>
    <row x14ac:dyDescent="0.25" r="683" customHeight="1" ht="18.75">
      <c r="A683" s="1"/>
      <c r="B683" s="169"/>
      <c r="C683" s="170"/>
      <c r="D683" s="331">
        <v>676</v>
      </c>
      <c r="E683" s="544">
        <f>+DATE(YEAR(E682),MONTH(E682)-1,DAY(E682))</f>
        <v>25569.041666666668</v>
      </c>
      <c r="F683" s="333">
        <f>IF($C$6=$E683,1,IF(MONTH($E683)=1,F684*(1+$F$5),F684))</f>
      </c>
      <c r="G683" s="333">
        <f>F683*$B$8/12</f>
      </c>
      <c r="H683" s="333">
        <f>IF(F683=1,F683*$B$10/MIN(12,'Simulador - 3º Pilar'!$E$88),0)</f>
      </c>
      <c r="I683" s="560">
        <f>(1+$G$5)^(D683/12)*(H683+IF(E683=$N$7,$N$4,0))</f>
      </c>
      <c r="J683" s="561">
        <f>(1+$G$5)^(D683/12)*(H683*(12-IF(MONTH(E684)=12,0,MONTH(E684)))+IF(AND(F683=1,F684=0),$Q$4,0))*IF(AND(F683=1,F684=0),1,0)</f>
      </c>
      <c r="K683" s="217">
        <f>(1+$G$5)^(D683/12)*(IF(E683=$N$7,$N$4,0)+IF(E683=$C$6,$B$10,0))</f>
      </c>
      <c r="L683" s="217">
        <f>(1+$G$5)^(D683/12)*(IF((E683)&gt;($B$6),H683,0)+IF(E683=$N$7,$N$4,0)+IF(E683=$C$6,0,0))</f>
      </c>
      <c r="M683" s="1"/>
      <c r="N683" s="7"/>
      <c r="O683" s="1"/>
      <c r="P683" s="331">
        <v>676</v>
      </c>
      <c r="Q683" s="544">
        <f>+DATE(YEAR(Q682),MONTH(Q682)-1,DAY(Q682))</f>
        <v>25569.041666666668</v>
      </c>
      <c r="R683" s="341">
        <f>IF($Z$7=$E683,1,IF(MONTH($E683)=1,R684*(1+$F$5),R684))</f>
      </c>
      <c r="S683" s="334">
        <f>R683*$B$8/12</f>
      </c>
      <c r="T683" s="334">
        <f>R683*$B$11/12</f>
      </c>
      <c r="U683" s="565">
        <f>(1+$V$5)^(P683/12)*(T683+IF(Q683=$Z$7,$Z$4,0))</f>
      </c>
      <c r="V683" s="170"/>
      <c r="W683" s="7"/>
      <c r="X683" s="1"/>
      <c r="Y683" s="1"/>
      <c r="Z683" s="1"/>
      <c r="AA683" s="1"/>
      <c r="AB683" s="1"/>
      <c r="AC683" s="331">
        <v>676</v>
      </c>
      <c r="AD683" s="544">
        <f>+DATE(YEAR(AD682),MONTH(AD682)-1,DAY(AD682))</f>
        <v>25569.041666666668</v>
      </c>
      <c r="AE683" s="341">
        <f>IF($AM$7=$E683,1,IF(MONTH($E683)=1,AE684*(1+$F$5),AE684))</f>
      </c>
      <c r="AF683" s="334">
        <f>AE683*$B$8/12</f>
      </c>
      <c r="AG683" s="334">
        <f>AE683*$B$12/12</f>
      </c>
      <c r="AH683" s="565">
        <f>(1+$AI$5)^(AC683/12)*(AG683+IF(AD683=$AM$7,$AM$4,0))</f>
      </c>
      <c r="AI683" s="170"/>
      <c r="AJ683" s="7"/>
      <c r="AK683" s="1"/>
      <c r="AL683" s="1"/>
      <c r="AM683" s="1"/>
    </row>
    <row x14ac:dyDescent="0.25" r="684" customHeight="1" ht="18.75">
      <c r="A684" s="1"/>
      <c r="B684" s="169"/>
      <c r="C684" s="170"/>
      <c r="D684" s="331">
        <v>677</v>
      </c>
      <c r="E684" s="544">
        <f>+DATE(YEAR(E683),MONTH(E683)-1,DAY(E683))</f>
        <v>25569.041666666668</v>
      </c>
      <c r="F684" s="333">
        <f>IF($C$6=$E684,1,IF(MONTH($E684)=1,F685*(1+$F$5),F685))</f>
      </c>
      <c r="G684" s="333">
        <f>F684*$B$8/12</f>
      </c>
      <c r="H684" s="333">
        <f>IF(F684=1,F684*$B$10/MIN(12,'Simulador - 3º Pilar'!$E$88),0)</f>
      </c>
      <c r="I684" s="560">
        <f>(1+$G$5)^(D684/12)*(H684+IF(E684=$N$7,$N$4,0))</f>
      </c>
      <c r="J684" s="561">
        <f>(1+$G$5)^(D684/12)*(H684*(12-IF(MONTH(E685)=12,0,MONTH(E685)))+IF(AND(F684=1,F685=0),$Q$4,0))*IF(AND(F684=1,F685=0),1,0)</f>
      </c>
      <c r="K684" s="217">
        <f>(1+$G$5)^(D684/12)*(IF(E684=$N$7,$N$4,0)+IF(E684=$C$6,$B$10,0))</f>
      </c>
      <c r="L684" s="217">
        <f>(1+$G$5)^(D684/12)*(IF((E684)&gt;($B$6),H684,0)+IF(E684=$N$7,$N$4,0)+IF(E684=$C$6,0,0))</f>
      </c>
      <c r="M684" s="1"/>
      <c r="N684" s="7"/>
      <c r="O684" s="1"/>
      <c r="P684" s="331">
        <v>677</v>
      </c>
      <c r="Q684" s="544">
        <f>+DATE(YEAR(Q683),MONTH(Q683)-1,DAY(Q683))</f>
        <v>25569.041666666668</v>
      </c>
      <c r="R684" s="341">
        <f>IF($Z$7=$E684,1,IF(MONTH($E684)=1,R685*(1+$F$5),R685))</f>
      </c>
      <c r="S684" s="334">
        <f>R684*$B$8/12</f>
      </c>
      <c r="T684" s="334">
        <f>R684*$B$11/12</f>
      </c>
      <c r="U684" s="565">
        <f>(1+$V$5)^(P684/12)*(T684+IF(Q684=$Z$7,$Z$4,0))</f>
      </c>
      <c r="V684" s="170"/>
      <c r="W684" s="7"/>
      <c r="X684" s="1"/>
      <c r="Y684" s="1"/>
      <c r="Z684" s="1"/>
      <c r="AA684" s="1"/>
      <c r="AB684" s="1"/>
      <c r="AC684" s="331">
        <v>677</v>
      </c>
      <c r="AD684" s="544">
        <f>+DATE(YEAR(AD683),MONTH(AD683)-1,DAY(AD683))</f>
        <v>25569.041666666668</v>
      </c>
      <c r="AE684" s="341">
        <f>IF($AM$7=$E684,1,IF(MONTH($E684)=1,AE685*(1+$F$5),AE685))</f>
      </c>
      <c r="AF684" s="334">
        <f>AE684*$B$8/12</f>
      </c>
      <c r="AG684" s="334">
        <f>AE684*$B$12/12</f>
      </c>
      <c r="AH684" s="565">
        <f>(1+$AI$5)^(AC684/12)*(AG684+IF(AD684=$AM$7,$AM$4,0))</f>
      </c>
      <c r="AI684" s="170"/>
      <c r="AJ684" s="7"/>
      <c r="AK684" s="1"/>
      <c r="AL684" s="1"/>
      <c r="AM684" s="1"/>
    </row>
    <row x14ac:dyDescent="0.25" r="685" customHeight="1" ht="18.75">
      <c r="A685" s="1"/>
      <c r="B685" s="169"/>
      <c r="C685" s="170"/>
      <c r="D685" s="331">
        <v>678</v>
      </c>
      <c r="E685" s="544">
        <f>+DATE(YEAR(E684),MONTH(E684)-1,DAY(E684))</f>
        <v>25569.041666666668</v>
      </c>
      <c r="F685" s="333">
        <f>IF($C$6=$E685,1,IF(MONTH($E685)=1,F686*(1+$F$5),F686))</f>
      </c>
      <c r="G685" s="333">
        <f>F685*$B$8/12</f>
      </c>
      <c r="H685" s="333">
        <f>IF(F685=1,F685*$B$10/MIN(12,'Simulador - 3º Pilar'!$E$88),0)</f>
      </c>
      <c r="I685" s="560">
        <f>(1+$G$5)^(D685/12)*(H685+IF(E685=$N$7,$N$4,0))</f>
      </c>
      <c r="J685" s="561">
        <f>(1+$G$5)^(D685/12)*(H685*(12-IF(MONTH(E686)=12,0,MONTH(E686)))+IF(AND(F685=1,F686=0),$Q$4,0))*IF(AND(F685=1,F686=0),1,0)</f>
      </c>
      <c r="K685" s="217">
        <f>(1+$G$5)^(D685/12)*(IF(E685=$N$7,$N$4,0)+IF(E685=$C$6,$B$10,0))</f>
      </c>
      <c r="L685" s="217">
        <f>(1+$G$5)^(D685/12)*(IF((E685)&gt;($B$6),H685,0)+IF(E685=$N$7,$N$4,0)+IF(E685=$C$6,0,0))</f>
      </c>
      <c r="M685" s="1"/>
      <c r="N685" s="7"/>
      <c r="O685" s="1"/>
      <c r="P685" s="331">
        <v>678</v>
      </c>
      <c r="Q685" s="544">
        <f>+DATE(YEAR(Q684),MONTH(Q684)-1,DAY(Q684))</f>
        <v>25569.041666666668</v>
      </c>
      <c r="R685" s="341">
        <f>IF($Z$7=$E685,1,IF(MONTH($E685)=1,R686*(1+$F$5),R686))</f>
      </c>
      <c r="S685" s="334">
        <f>R685*$B$8/12</f>
      </c>
      <c r="T685" s="334">
        <f>R685*$B$11/12</f>
      </c>
      <c r="U685" s="565">
        <f>(1+$V$5)^(P685/12)*(T685+IF(Q685=$Z$7,$Z$4,0))</f>
      </c>
      <c r="V685" s="170"/>
      <c r="W685" s="7"/>
      <c r="X685" s="1"/>
      <c r="Y685" s="1"/>
      <c r="Z685" s="1"/>
      <c r="AA685" s="1"/>
      <c r="AB685" s="1"/>
      <c r="AC685" s="331">
        <v>678</v>
      </c>
      <c r="AD685" s="544">
        <f>+DATE(YEAR(AD684),MONTH(AD684)-1,DAY(AD684))</f>
        <v>25569.041666666668</v>
      </c>
      <c r="AE685" s="341">
        <f>IF($AM$7=$E685,1,IF(MONTH($E685)=1,AE686*(1+$F$5),AE686))</f>
      </c>
      <c r="AF685" s="334">
        <f>AE685*$B$8/12</f>
      </c>
      <c r="AG685" s="334">
        <f>AE685*$B$12/12</f>
      </c>
      <c r="AH685" s="565">
        <f>(1+$AI$5)^(AC685/12)*(AG685+IF(AD685=$AM$7,$AM$4,0))</f>
      </c>
      <c r="AI685" s="170"/>
      <c r="AJ685" s="7"/>
      <c r="AK685" s="1"/>
      <c r="AL685" s="1"/>
      <c r="AM685" s="1"/>
    </row>
    <row x14ac:dyDescent="0.25" r="686" customHeight="1" ht="18.75">
      <c r="A686" s="1"/>
      <c r="B686" s="169"/>
      <c r="C686" s="170"/>
      <c r="D686" s="331">
        <v>679</v>
      </c>
      <c r="E686" s="544">
        <f>+DATE(YEAR(E685),MONTH(E685)-1,DAY(E685))</f>
        <v>25569.041666666668</v>
      </c>
      <c r="F686" s="333">
        <f>IF($C$6=$E686,1,IF(MONTH($E686)=1,F687*(1+$F$5),F687))</f>
      </c>
      <c r="G686" s="333">
        <f>F686*$B$8/12</f>
      </c>
      <c r="H686" s="333">
        <f>IF(F686=1,F686*$B$10/MIN(12,'Simulador - 3º Pilar'!$E$88),0)</f>
      </c>
      <c r="I686" s="560">
        <f>(1+$G$5)^(D686/12)*(H686+IF(E686=$N$7,$N$4,0))</f>
      </c>
      <c r="J686" s="561">
        <f>(1+$G$5)^(D686/12)*(H686*(12-IF(MONTH(E687)=12,0,MONTH(E687)))+IF(AND(F686=1,F687=0),$Q$4,0))*IF(AND(F686=1,F687=0),1,0)</f>
      </c>
      <c r="K686" s="217">
        <f>(1+$G$5)^(D686/12)*(IF(E686=$N$7,$N$4,0)+IF(E686=$C$6,$B$10,0))</f>
      </c>
      <c r="L686" s="217">
        <f>(1+$G$5)^(D686/12)*(IF((E686)&gt;($B$6),H686,0)+IF(E686=$N$7,$N$4,0)+IF(E686=$C$6,0,0))</f>
      </c>
      <c r="M686" s="1"/>
      <c r="N686" s="7"/>
      <c r="O686" s="1"/>
      <c r="P686" s="331">
        <v>679</v>
      </c>
      <c r="Q686" s="544">
        <f>+DATE(YEAR(Q685),MONTH(Q685)-1,DAY(Q685))</f>
        <v>25569.041666666668</v>
      </c>
      <c r="R686" s="341">
        <f>IF($Z$7=$E686,1,IF(MONTH($E686)=1,R687*(1+$F$5),R687))</f>
      </c>
      <c r="S686" s="334">
        <f>R686*$B$8/12</f>
      </c>
      <c r="T686" s="334">
        <f>R686*$B$11/12</f>
      </c>
      <c r="U686" s="565">
        <f>(1+$V$5)^(P686/12)*(T686+IF(Q686=$Z$7,$Z$4,0))</f>
      </c>
      <c r="V686" s="170"/>
      <c r="W686" s="7"/>
      <c r="X686" s="1"/>
      <c r="Y686" s="1"/>
      <c r="Z686" s="1"/>
      <c r="AA686" s="1"/>
      <c r="AB686" s="1"/>
      <c r="AC686" s="331">
        <v>679</v>
      </c>
      <c r="AD686" s="544">
        <f>+DATE(YEAR(AD685),MONTH(AD685)-1,DAY(AD685))</f>
        <v>25569.041666666668</v>
      </c>
      <c r="AE686" s="341">
        <f>IF($AM$7=$E686,1,IF(MONTH($E686)=1,AE687*(1+$F$5),AE687))</f>
      </c>
      <c r="AF686" s="334">
        <f>AE686*$B$8/12</f>
      </c>
      <c r="AG686" s="334">
        <f>AE686*$B$12/12</f>
      </c>
      <c r="AH686" s="565">
        <f>(1+$AI$5)^(AC686/12)*(AG686+IF(AD686=$AM$7,$AM$4,0))</f>
      </c>
      <c r="AI686" s="170"/>
      <c r="AJ686" s="7"/>
      <c r="AK686" s="1"/>
      <c r="AL686" s="1"/>
      <c r="AM686" s="1"/>
    </row>
    <row x14ac:dyDescent="0.25" r="687" customHeight="1" ht="18.75">
      <c r="A687" s="1"/>
      <c r="B687" s="169"/>
      <c r="C687" s="170"/>
      <c r="D687" s="331">
        <v>680</v>
      </c>
      <c r="E687" s="544">
        <f>+DATE(YEAR(E686),MONTH(E686)-1,DAY(E686))</f>
        <v>25569.041666666668</v>
      </c>
      <c r="F687" s="333">
        <f>IF($C$6=$E687,1,IF(MONTH($E687)=1,F688*(1+$F$5),F688))</f>
      </c>
      <c r="G687" s="333">
        <f>F687*$B$8/12</f>
      </c>
      <c r="H687" s="333">
        <f>IF(F687=1,F687*$B$10/MIN(12,'Simulador - 3º Pilar'!$E$88),0)</f>
      </c>
      <c r="I687" s="560">
        <f>(1+$G$5)^(D687/12)*(H687+IF(E687=$N$7,$N$4,0))</f>
      </c>
      <c r="J687" s="561">
        <f>(1+$G$5)^(D687/12)*(H687*(12-IF(MONTH(E688)=12,0,MONTH(E688)))+IF(AND(F687=1,F688=0),$Q$4,0))*IF(AND(F687=1,F688=0),1,0)</f>
      </c>
      <c r="K687" s="217">
        <f>(1+$G$5)^(D687/12)*(IF(E687=$N$7,$N$4,0)+IF(E687=$C$6,$B$10,0))</f>
      </c>
      <c r="L687" s="217">
        <f>(1+$G$5)^(D687/12)*(IF((E687)&gt;($B$6),H687,0)+IF(E687=$N$7,$N$4,0)+IF(E687=$C$6,0,0))</f>
      </c>
      <c r="M687" s="1"/>
      <c r="N687" s="7"/>
      <c r="O687" s="1"/>
      <c r="P687" s="331">
        <v>680</v>
      </c>
      <c r="Q687" s="544">
        <f>+DATE(YEAR(Q686),MONTH(Q686)-1,DAY(Q686))</f>
        <v>25569.041666666668</v>
      </c>
      <c r="R687" s="341">
        <f>IF($Z$7=$E687,1,IF(MONTH($E687)=1,R688*(1+$F$5),R688))</f>
      </c>
      <c r="S687" s="334">
        <f>R687*$B$8/12</f>
      </c>
      <c r="T687" s="334">
        <f>R687*$B$11/12</f>
      </c>
      <c r="U687" s="565">
        <f>(1+$V$5)^(P687/12)*(T687+IF(Q687=$Z$7,$Z$4,0))</f>
      </c>
      <c r="V687" s="170"/>
      <c r="W687" s="7"/>
      <c r="X687" s="1"/>
      <c r="Y687" s="1"/>
      <c r="Z687" s="1"/>
      <c r="AA687" s="1"/>
      <c r="AB687" s="1"/>
      <c r="AC687" s="331">
        <v>680</v>
      </c>
      <c r="AD687" s="544">
        <f>+DATE(YEAR(AD686),MONTH(AD686)-1,DAY(AD686))</f>
        <v>25569.041666666668</v>
      </c>
      <c r="AE687" s="341">
        <f>IF($AM$7=$E687,1,IF(MONTH($E687)=1,AE688*(1+$F$5),AE688))</f>
      </c>
      <c r="AF687" s="334">
        <f>AE687*$B$8/12</f>
      </c>
      <c r="AG687" s="334">
        <f>AE687*$B$12/12</f>
      </c>
      <c r="AH687" s="565">
        <f>(1+$AI$5)^(AC687/12)*(AG687+IF(AD687=$AM$7,$AM$4,0))</f>
      </c>
      <c r="AI687" s="170"/>
      <c r="AJ687" s="7"/>
      <c r="AK687" s="1"/>
      <c r="AL687" s="1"/>
      <c r="AM687" s="1"/>
    </row>
    <row x14ac:dyDescent="0.25" r="688" customHeight="1" ht="18.75">
      <c r="A688" s="1"/>
      <c r="B688" s="169"/>
      <c r="C688" s="170"/>
      <c r="D688" s="331">
        <v>681</v>
      </c>
      <c r="E688" s="544">
        <f>+DATE(YEAR(E687),MONTH(E687)-1,DAY(E687))</f>
        <v>25569.041666666668</v>
      </c>
      <c r="F688" s="333">
        <f>IF($C$6=$E688,1,IF(MONTH($E688)=1,F689*(1+$F$5),F689))</f>
      </c>
      <c r="G688" s="333">
        <f>F688*$B$8/12</f>
      </c>
      <c r="H688" s="333">
        <f>IF(F688=1,F688*$B$10/MIN(12,'Simulador - 3º Pilar'!$E$88),0)</f>
      </c>
      <c r="I688" s="560">
        <f>(1+$G$5)^(D688/12)*(H688+IF(E688=$N$7,$N$4,0))</f>
      </c>
      <c r="J688" s="561">
        <f>(1+$G$5)^(D688/12)*(H688*(12-IF(MONTH(E689)=12,0,MONTH(E689)))+IF(AND(F688=1,F689=0),$Q$4,0))*IF(AND(F688=1,F689=0),1,0)</f>
      </c>
      <c r="K688" s="217">
        <f>(1+$G$5)^(D688/12)*(IF(E688=$N$7,$N$4,0)+IF(E688=$C$6,$B$10,0))</f>
      </c>
      <c r="L688" s="217">
        <f>(1+$G$5)^(D688/12)*(IF((E688)&gt;($B$6),H688,0)+IF(E688=$N$7,$N$4,0)+IF(E688=$C$6,0,0))</f>
      </c>
      <c r="M688" s="1"/>
      <c r="N688" s="7"/>
      <c r="O688" s="1"/>
      <c r="P688" s="331">
        <v>681</v>
      </c>
      <c r="Q688" s="544">
        <f>+DATE(YEAR(Q687),MONTH(Q687)-1,DAY(Q687))</f>
        <v>25569.041666666668</v>
      </c>
      <c r="R688" s="341">
        <f>IF($Z$7=$E688,1,IF(MONTH($E688)=1,R689*(1+$F$5),R689))</f>
      </c>
      <c r="S688" s="334">
        <f>R688*$B$8/12</f>
      </c>
      <c r="T688" s="334">
        <f>R688*$B$11/12</f>
      </c>
      <c r="U688" s="565">
        <f>(1+$V$5)^(P688/12)*(T688+IF(Q688=$Z$7,$Z$4,0))</f>
      </c>
      <c r="V688" s="170"/>
      <c r="W688" s="7"/>
      <c r="X688" s="1"/>
      <c r="Y688" s="1"/>
      <c r="Z688" s="1"/>
      <c r="AA688" s="1"/>
      <c r="AB688" s="1"/>
      <c r="AC688" s="331">
        <v>681</v>
      </c>
      <c r="AD688" s="544">
        <f>+DATE(YEAR(AD687),MONTH(AD687)-1,DAY(AD687))</f>
        <v>25569.041666666668</v>
      </c>
      <c r="AE688" s="341">
        <f>IF($AM$7=$E688,1,IF(MONTH($E688)=1,AE689*(1+$F$5),AE689))</f>
      </c>
      <c r="AF688" s="334">
        <f>AE688*$B$8/12</f>
      </c>
      <c r="AG688" s="334">
        <f>AE688*$B$12/12</f>
      </c>
      <c r="AH688" s="565">
        <f>(1+$AI$5)^(AC688/12)*(AG688+IF(AD688=$AM$7,$AM$4,0))</f>
      </c>
      <c r="AI688" s="170"/>
      <c r="AJ688" s="7"/>
      <c r="AK688" s="1"/>
      <c r="AL688" s="1"/>
      <c r="AM688" s="1"/>
    </row>
    <row x14ac:dyDescent="0.25" r="689" customHeight="1" ht="18.75">
      <c r="A689" s="1"/>
      <c r="B689" s="169"/>
      <c r="C689" s="170"/>
      <c r="D689" s="331">
        <v>682</v>
      </c>
      <c r="E689" s="544">
        <f>+DATE(YEAR(E688),MONTH(E688)-1,DAY(E688))</f>
        <v>25569.041666666668</v>
      </c>
      <c r="F689" s="333">
        <f>IF($C$6=$E689,1,IF(MONTH($E689)=1,F690*(1+$F$5),F690))</f>
      </c>
      <c r="G689" s="333">
        <f>F689*$B$8/12</f>
      </c>
      <c r="H689" s="333">
        <f>IF(F689=1,F689*$B$10/MIN(12,'Simulador - 3º Pilar'!$E$88),0)</f>
      </c>
      <c r="I689" s="560">
        <f>(1+$G$5)^(D689/12)*(H689+IF(E689=$N$7,$N$4,0))</f>
      </c>
      <c r="J689" s="561">
        <f>(1+$G$5)^(D689/12)*(H689*(12-IF(MONTH(E690)=12,0,MONTH(E690)))+IF(AND(F689=1,F690=0),$Q$4,0))*IF(AND(F689=1,F690=0),1,0)</f>
      </c>
      <c r="K689" s="217">
        <f>(1+$G$5)^(D689/12)*(IF(E689=$N$7,$N$4,0)+IF(E689=$C$6,$B$10,0))</f>
      </c>
      <c r="L689" s="217">
        <f>(1+$G$5)^(D689/12)*(IF((E689)&gt;($B$6),H689,0)+IF(E689=$N$7,$N$4,0)+IF(E689=$C$6,0,0))</f>
      </c>
      <c r="M689" s="1"/>
      <c r="N689" s="7"/>
      <c r="O689" s="1"/>
      <c r="P689" s="331">
        <v>682</v>
      </c>
      <c r="Q689" s="544">
        <f>+DATE(YEAR(Q688),MONTH(Q688)-1,DAY(Q688))</f>
        <v>25569.041666666668</v>
      </c>
      <c r="R689" s="341">
        <f>IF($Z$7=$E689,1,IF(MONTH($E689)=1,R690*(1+$F$5),R690))</f>
      </c>
      <c r="S689" s="334">
        <f>R689*$B$8/12</f>
      </c>
      <c r="T689" s="334">
        <f>R689*$B$11/12</f>
      </c>
      <c r="U689" s="565">
        <f>(1+$V$5)^(P689/12)*(T689+IF(Q689=$Z$7,$Z$4,0))</f>
      </c>
      <c r="V689" s="170"/>
      <c r="W689" s="7"/>
      <c r="X689" s="1"/>
      <c r="Y689" s="1"/>
      <c r="Z689" s="1"/>
      <c r="AA689" s="1"/>
      <c r="AB689" s="1"/>
      <c r="AC689" s="331">
        <v>682</v>
      </c>
      <c r="AD689" s="544">
        <f>+DATE(YEAR(AD688),MONTH(AD688)-1,DAY(AD688))</f>
        <v>25569.041666666668</v>
      </c>
      <c r="AE689" s="341">
        <f>IF($AM$7=$E689,1,IF(MONTH($E689)=1,AE690*(1+$F$5),AE690))</f>
      </c>
      <c r="AF689" s="334">
        <f>AE689*$B$8/12</f>
      </c>
      <c r="AG689" s="334">
        <f>AE689*$B$12/12</f>
      </c>
      <c r="AH689" s="565">
        <f>(1+$AI$5)^(AC689/12)*(AG689+IF(AD689=$AM$7,$AM$4,0))</f>
      </c>
      <c r="AI689" s="170"/>
      <c r="AJ689" s="7"/>
      <c r="AK689" s="1"/>
      <c r="AL689" s="1"/>
      <c r="AM689" s="1"/>
    </row>
    <row x14ac:dyDescent="0.25" r="690" customHeight="1" ht="18.75">
      <c r="A690" s="1"/>
      <c r="B690" s="169"/>
      <c r="C690" s="170"/>
      <c r="D690" s="331">
        <v>683</v>
      </c>
      <c r="E690" s="544">
        <f>+DATE(YEAR(E689),MONTH(E689)-1,DAY(E689))</f>
        <v>25569.041666666668</v>
      </c>
      <c r="F690" s="333">
        <f>IF($C$6=$E690,1,IF(MONTH($E690)=1,F691*(1+$F$5),F691))</f>
      </c>
      <c r="G690" s="333">
        <f>F690*$B$8/12</f>
      </c>
      <c r="H690" s="333">
        <f>IF(F690=1,F690*$B$10/MIN(12,'Simulador - 3º Pilar'!$E$88),0)</f>
      </c>
      <c r="I690" s="560">
        <f>(1+$G$5)^(D690/12)*(H690+IF(E690=$N$7,$N$4,0))</f>
      </c>
      <c r="J690" s="561">
        <f>(1+$G$5)^(D690/12)*(H690*(12-IF(MONTH(E691)=12,0,MONTH(E691)))+IF(AND(F690=1,F691=0),$Q$4,0))*IF(AND(F690=1,F691=0),1,0)</f>
      </c>
      <c r="K690" s="217">
        <f>(1+$G$5)^(D690/12)*(IF(E690=$N$7,$N$4,0)+IF(E690=$C$6,$B$10,0))</f>
      </c>
      <c r="L690" s="217">
        <f>(1+$G$5)^(D690/12)*(IF((E690)&gt;($B$6),H690,0)+IF(E690=$N$7,$N$4,0)+IF(E690=$C$6,0,0))</f>
      </c>
      <c r="M690" s="1"/>
      <c r="N690" s="7"/>
      <c r="O690" s="1"/>
      <c r="P690" s="331">
        <v>683</v>
      </c>
      <c r="Q690" s="544">
        <f>+DATE(YEAR(Q689),MONTH(Q689)-1,DAY(Q689))</f>
        <v>25569.041666666668</v>
      </c>
      <c r="R690" s="341">
        <f>IF($Z$7=$E690,1,IF(MONTH($E690)=1,R691*(1+$F$5),R691))</f>
      </c>
      <c r="S690" s="334">
        <f>R690*$B$8/12</f>
      </c>
      <c r="T690" s="334">
        <f>R690*$B$11/12</f>
      </c>
      <c r="U690" s="565">
        <f>(1+$V$5)^(P690/12)*(T690+IF(Q690=$Z$7,$Z$4,0))</f>
      </c>
      <c r="V690" s="170"/>
      <c r="W690" s="7"/>
      <c r="X690" s="1"/>
      <c r="Y690" s="1"/>
      <c r="Z690" s="1"/>
      <c r="AA690" s="1"/>
      <c r="AB690" s="1"/>
      <c r="AC690" s="331">
        <v>683</v>
      </c>
      <c r="AD690" s="544">
        <f>+DATE(YEAR(AD689),MONTH(AD689)-1,DAY(AD689))</f>
        <v>25569.041666666668</v>
      </c>
      <c r="AE690" s="341">
        <f>IF($AM$7=$E690,1,IF(MONTH($E690)=1,AE691*(1+$F$5),AE691))</f>
      </c>
      <c r="AF690" s="334">
        <f>AE690*$B$8/12</f>
      </c>
      <c r="AG690" s="334">
        <f>AE690*$B$12/12</f>
      </c>
      <c r="AH690" s="565">
        <f>(1+$AI$5)^(AC690/12)*(AG690+IF(AD690=$AM$7,$AM$4,0))</f>
      </c>
      <c r="AI690" s="170"/>
      <c r="AJ690" s="7"/>
      <c r="AK690" s="1"/>
      <c r="AL690" s="1"/>
      <c r="AM690" s="1"/>
    </row>
    <row x14ac:dyDescent="0.25" r="691" customHeight="1" ht="18.75">
      <c r="A691" s="1"/>
      <c r="B691" s="169"/>
      <c r="C691" s="170"/>
      <c r="D691" s="331">
        <v>684</v>
      </c>
      <c r="E691" s="544">
        <f>+DATE(YEAR(E690),MONTH(E690)-1,DAY(E690))</f>
        <v>25569.041666666668</v>
      </c>
      <c r="F691" s="333">
        <f>IF($C$6=$E691,1,IF(MONTH($E691)=1,F692*(1+$F$5),F692))</f>
      </c>
      <c r="G691" s="333">
        <f>F691*$B$8/12</f>
      </c>
      <c r="H691" s="333">
        <f>IF(F691=1,F691*$B$10/MIN(12,'Simulador - 3º Pilar'!$E$88),0)</f>
      </c>
      <c r="I691" s="560">
        <f>(1+$G$5)^(D691/12)*(H691+IF(E691=$N$7,$N$4,0))</f>
      </c>
      <c r="J691" s="561">
        <f>(1+$G$5)^(D691/12)*(H691*(12-IF(MONTH(E692)=12,0,MONTH(E692)))+IF(AND(F691=1,F692=0),$Q$4,0))*IF(AND(F691=1,F692=0),1,0)</f>
      </c>
      <c r="K691" s="217">
        <f>(1+$G$5)^(D691/12)*(IF(E691=$N$7,$N$4,0)+IF(E691=$C$6,$B$10,0))</f>
      </c>
      <c r="L691" s="217">
        <f>(1+$G$5)^(D691/12)*(IF((E691)&gt;($B$6),H691,0)+IF(E691=$N$7,$N$4,0)+IF(E691=$C$6,0,0))</f>
      </c>
      <c r="M691" s="1"/>
      <c r="N691" s="7"/>
      <c r="O691" s="1"/>
      <c r="P691" s="331">
        <v>684</v>
      </c>
      <c r="Q691" s="544">
        <f>+DATE(YEAR(Q690),MONTH(Q690)-1,DAY(Q690))</f>
        <v>25569.041666666668</v>
      </c>
      <c r="R691" s="341">
        <f>IF($Z$7=$E691,1,IF(MONTH($E691)=1,R692*(1+$F$5),R692))</f>
      </c>
      <c r="S691" s="334">
        <f>R691*$B$8/12</f>
      </c>
      <c r="T691" s="334">
        <f>R691*$B$11/12</f>
      </c>
      <c r="U691" s="565">
        <f>(1+$V$5)^(P691/12)*(T691+IF(Q691=$Z$7,$Z$4,0))</f>
      </c>
      <c r="V691" s="170"/>
      <c r="W691" s="7"/>
      <c r="X691" s="1"/>
      <c r="Y691" s="1"/>
      <c r="Z691" s="1"/>
      <c r="AA691" s="1"/>
      <c r="AB691" s="1"/>
      <c r="AC691" s="331">
        <v>684</v>
      </c>
      <c r="AD691" s="544">
        <f>+DATE(YEAR(AD690),MONTH(AD690)-1,DAY(AD690))</f>
        <v>25569.041666666668</v>
      </c>
      <c r="AE691" s="341">
        <f>IF($AM$7=$E691,1,IF(MONTH($E691)=1,AE692*(1+$F$5),AE692))</f>
      </c>
      <c r="AF691" s="334">
        <f>AE691*$B$8/12</f>
      </c>
      <c r="AG691" s="334">
        <f>AE691*$B$12/12</f>
      </c>
      <c r="AH691" s="565">
        <f>(1+$AI$5)^(AC691/12)*(AG691+IF(AD691=$AM$7,$AM$4,0))</f>
      </c>
      <c r="AI691" s="170"/>
      <c r="AJ691" s="7"/>
      <c r="AK691" s="1"/>
      <c r="AL691" s="1"/>
      <c r="AM691" s="1"/>
    </row>
    <row x14ac:dyDescent="0.25" r="692" customHeight="1" ht="18.75">
      <c r="A692" s="1"/>
      <c r="B692" s="169"/>
      <c r="C692" s="170"/>
      <c r="D692" s="331">
        <v>685</v>
      </c>
      <c r="E692" s="544">
        <f>+DATE(YEAR(E691),MONTH(E691)-1,DAY(E691))</f>
        <v>25569.041666666668</v>
      </c>
      <c r="F692" s="333">
        <f>IF($C$6=$E692,1,IF(MONTH($E692)=1,F693*(1+$F$5),F693))</f>
      </c>
      <c r="G692" s="333">
        <f>F692*$B$8/12</f>
      </c>
      <c r="H692" s="333">
        <f>IF(F692=1,F692*$B$10/MIN(12,'Simulador - 3º Pilar'!$E$88),0)</f>
      </c>
      <c r="I692" s="560">
        <f>(1+$G$5)^(D692/12)*(H692+IF(E692=$N$7,$N$4,0))</f>
      </c>
      <c r="J692" s="561">
        <f>(1+$G$5)^(D692/12)*(H692*(12-IF(MONTH(E693)=12,0,MONTH(E693)))+IF(AND(F692=1,F693=0),$Q$4,0))*IF(AND(F692=1,F693=0),1,0)</f>
      </c>
      <c r="K692" s="217">
        <f>(1+$G$5)^(D692/12)*(IF(E692=$N$7,$N$4,0)+IF(E692=$C$6,$B$10,0))</f>
      </c>
      <c r="L692" s="217">
        <f>(1+$G$5)^(D692/12)*(IF((E692)&gt;($B$6),H692,0)+IF(E692=$N$7,$N$4,0)+IF(E692=$C$6,0,0))</f>
      </c>
      <c r="M692" s="1"/>
      <c r="N692" s="7"/>
      <c r="O692" s="1"/>
      <c r="P692" s="331">
        <v>685</v>
      </c>
      <c r="Q692" s="544">
        <f>+DATE(YEAR(Q691),MONTH(Q691)-1,DAY(Q691))</f>
        <v>25569.041666666668</v>
      </c>
      <c r="R692" s="341">
        <f>IF($Z$7=$E692,1,IF(MONTH($E692)=1,R693*(1+$F$5),R693))</f>
      </c>
      <c r="S692" s="334">
        <f>R692*$B$8/12</f>
      </c>
      <c r="T692" s="334">
        <f>R692*$B$11/12</f>
      </c>
      <c r="U692" s="565">
        <f>(1+$V$5)^(P692/12)*(T692+IF(Q692=$Z$7,$Z$4,0))</f>
      </c>
      <c r="V692" s="170"/>
      <c r="W692" s="7"/>
      <c r="X692" s="1"/>
      <c r="Y692" s="1"/>
      <c r="Z692" s="1"/>
      <c r="AA692" s="1"/>
      <c r="AB692" s="1"/>
      <c r="AC692" s="331">
        <v>685</v>
      </c>
      <c r="AD692" s="544">
        <f>+DATE(YEAR(AD691),MONTH(AD691)-1,DAY(AD691))</f>
        <v>25569.041666666668</v>
      </c>
      <c r="AE692" s="341">
        <f>IF($AM$7=$E692,1,IF(MONTH($E692)=1,AE693*(1+$F$5),AE693))</f>
      </c>
      <c r="AF692" s="334">
        <f>AE692*$B$8/12</f>
      </c>
      <c r="AG692" s="334">
        <f>AE692*$B$12/12</f>
      </c>
      <c r="AH692" s="565">
        <f>(1+$AI$5)^(AC692/12)*(AG692+IF(AD692=$AM$7,$AM$4,0))</f>
      </c>
      <c r="AI692" s="170"/>
      <c r="AJ692" s="7"/>
      <c r="AK692" s="1"/>
      <c r="AL692" s="1"/>
      <c r="AM692" s="1"/>
    </row>
    <row x14ac:dyDescent="0.25" r="693" customHeight="1" ht="18.75">
      <c r="A693" s="1"/>
      <c r="B693" s="169"/>
      <c r="C693" s="170"/>
      <c r="D693" s="331">
        <v>686</v>
      </c>
      <c r="E693" s="544">
        <f>+DATE(YEAR(E692),MONTH(E692)-1,DAY(E692))</f>
        <v>25569.041666666668</v>
      </c>
      <c r="F693" s="333">
        <f>IF($C$6=$E693,1,IF(MONTH($E693)=1,F694*(1+$F$5),F694))</f>
      </c>
      <c r="G693" s="333">
        <f>F693*$B$8/12</f>
      </c>
      <c r="H693" s="333">
        <f>IF(F693=1,F693*$B$10/MIN(12,'Simulador - 3º Pilar'!$E$88),0)</f>
      </c>
      <c r="I693" s="560">
        <f>(1+$G$5)^(D693/12)*(H693+IF(E693=$N$7,$N$4,0))</f>
      </c>
      <c r="J693" s="561">
        <f>(1+$G$5)^(D693/12)*(H693*(12-IF(MONTH(E694)=12,0,MONTH(E694)))+IF(AND(F693=1,F694=0),$Q$4,0))*IF(AND(F693=1,F694=0),1,0)</f>
      </c>
      <c r="K693" s="217">
        <f>(1+$G$5)^(D693/12)*(IF(E693=$N$7,$N$4,0)+IF(E693=$C$6,$B$10,0))</f>
      </c>
      <c r="L693" s="217">
        <f>(1+$G$5)^(D693/12)*(IF((E693)&gt;($B$6),H693,0)+IF(E693=$N$7,$N$4,0)+IF(E693=$C$6,0,0))</f>
      </c>
      <c r="M693" s="1"/>
      <c r="N693" s="7"/>
      <c r="O693" s="1"/>
      <c r="P693" s="331">
        <v>686</v>
      </c>
      <c r="Q693" s="544">
        <f>+DATE(YEAR(Q692),MONTH(Q692)-1,DAY(Q692))</f>
        <v>25569.041666666668</v>
      </c>
      <c r="R693" s="341">
        <f>IF($Z$7=$E693,1,IF(MONTH($E693)=1,R694*(1+$F$5),R694))</f>
      </c>
      <c r="S693" s="334">
        <f>R693*$B$8/12</f>
      </c>
      <c r="T693" s="334">
        <f>R693*$B$11/12</f>
      </c>
      <c r="U693" s="565">
        <f>(1+$V$5)^(P693/12)*(T693+IF(Q693=$Z$7,$Z$4,0))</f>
      </c>
      <c r="V693" s="170"/>
      <c r="W693" s="7"/>
      <c r="X693" s="1"/>
      <c r="Y693" s="1"/>
      <c r="Z693" s="1"/>
      <c r="AA693" s="1"/>
      <c r="AB693" s="1"/>
      <c r="AC693" s="331">
        <v>686</v>
      </c>
      <c r="AD693" s="544">
        <f>+DATE(YEAR(AD692),MONTH(AD692)-1,DAY(AD692))</f>
        <v>25569.041666666668</v>
      </c>
      <c r="AE693" s="341">
        <f>IF($AM$7=$E693,1,IF(MONTH($E693)=1,AE694*(1+$F$5),AE694))</f>
      </c>
      <c r="AF693" s="334">
        <f>AE693*$B$8/12</f>
      </c>
      <c r="AG693" s="334">
        <f>AE693*$B$12/12</f>
      </c>
      <c r="AH693" s="565">
        <f>(1+$AI$5)^(AC693/12)*(AG693+IF(AD693=$AM$7,$AM$4,0))</f>
      </c>
      <c r="AI693" s="170"/>
      <c r="AJ693" s="7"/>
      <c r="AK693" s="1"/>
      <c r="AL693" s="1"/>
      <c r="AM693" s="1"/>
    </row>
    <row x14ac:dyDescent="0.25" r="694" customHeight="1" ht="18.75">
      <c r="A694" s="1"/>
      <c r="B694" s="169"/>
      <c r="C694" s="170"/>
      <c r="D694" s="331">
        <v>687</v>
      </c>
      <c r="E694" s="544">
        <f>+DATE(YEAR(E693),MONTH(E693)-1,DAY(E693))</f>
        <v>25569.041666666668</v>
      </c>
      <c r="F694" s="333">
        <f>IF($C$6=$E694,1,IF(MONTH($E694)=1,F695*(1+$F$5),F695))</f>
      </c>
      <c r="G694" s="333">
        <f>F694*$B$8/12</f>
      </c>
      <c r="H694" s="333">
        <f>IF(F694=1,F694*$B$10/MIN(12,'Simulador - 3º Pilar'!$E$88),0)</f>
      </c>
      <c r="I694" s="560">
        <f>(1+$G$5)^(D694/12)*(H694+IF(E694=$N$7,$N$4,0))</f>
      </c>
      <c r="J694" s="561">
        <f>(1+$G$5)^(D694/12)*(H694*(12-IF(MONTH(E695)=12,0,MONTH(E695)))+IF(AND(F694=1,F695=0),$Q$4,0))*IF(AND(F694=1,F695=0),1,0)</f>
      </c>
      <c r="K694" s="217">
        <f>(1+$G$5)^(D694/12)*(IF(E694=$N$7,$N$4,0)+IF(E694=$C$6,$B$10,0))</f>
      </c>
      <c r="L694" s="217">
        <f>(1+$G$5)^(D694/12)*(IF((E694)&gt;($B$6),H694,0)+IF(E694=$N$7,$N$4,0)+IF(E694=$C$6,0,0))</f>
      </c>
      <c r="M694" s="1"/>
      <c r="N694" s="7"/>
      <c r="O694" s="1"/>
      <c r="P694" s="331">
        <v>687</v>
      </c>
      <c r="Q694" s="544">
        <f>+DATE(YEAR(Q693),MONTH(Q693)-1,DAY(Q693))</f>
        <v>25569.041666666668</v>
      </c>
      <c r="R694" s="341">
        <f>IF($Z$7=$E694,1,IF(MONTH($E694)=1,R695*(1+$F$5),R695))</f>
      </c>
      <c r="S694" s="334">
        <f>R694*$B$8/12</f>
      </c>
      <c r="T694" s="334">
        <f>R694*$B$11/12</f>
      </c>
      <c r="U694" s="565">
        <f>(1+$V$5)^(P694/12)*(T694+IF(Q694=$Z$7,$Z$4,0))</f>
      </c>
      <c r="V694" s="170"/>
      <c r="W694" s="7"/>
      <c r="X694" s="1"/>
      <c r="Y694" s="1"/>
      <c r="Z694" s="1"/>
      <c r="AA694" s="1"/>
      <c r="AB694" s="1"/>
      <c r="AC694" s="331">
        <v>687</v>
      </c>
      <c r="AD694" s="544">
        <f>+DATE(YEAR(AD693),MONTH(AD693)-1,DAY(AD693))</f>
        <v>25569.041666666668</v>
      </c>
      <c r="AE694" s="341">
        <f>IF($AM$7=$E694,1,IF(MONTH($E694)=1,AE695*(1+$F$5),AE695))</f>
      </c>
      <c r="AF694" s="334">
        <f>AE694*$B$8/12</f>
      </c>
      <c r="AG694" s="334">
        <f>AE694*$B$12/12</f>
      </c>
      <c r="AH694" s="565">
        <f>(1+$AI$5)^(AC694/12)*(AG694+IF(AD694=$AM$7,$AM$4,0))</f>
      </c>
      <c r="AI694" s="170"/>
      <c r="AJ694" s="7"/>
      <c r="AK694" s="1"/>
      <c r="AL694" s="1"/>
      <c r="AM694" s="1"/>
    </row>
    <row x14ac:dyDescent="0.25" r="695" customHeight="1" ht="18.75">
      <c r="A695" s="1"/>
      <c r="B695" s="169"/>
      <c r="C695" s="170"/>
      <c r="D695" s="331">
        <v>688</v>
      </c>
      <c r="E695" s="544">
        <f>+DATE(YEAR(E694),MONTH(E694)-1,DAY(E694))</f>
        <v>25569.041666666668</v>
      </c>
      <c r="F695" s="333">
        <f>IF($C$6=$E695,1,IF(MONTH($E695)=1,F696*(1+$F$5),F696))</f>
      </c>
      <c r="G695" s="333">
        <f>F695*$B$8/12</f>
      </c>
      <c r="H695" s="333">
        <f>IF(F695=1,F695*$B$10/MIN(12,'Simulador - 3º Pilar'!$E$88),0)</f>
      </c>
      <c r="I695" s="560">
        <f>(1+$G$5)^(D695/12)*(H695+IF(E695=$N$7,$N$4,0))</f>
      </c>
      <c r="J695" s="561">
        <f>(1+$G$5)^(D695/12)*(H695*(12-IF(MONTH(E696)=12,0,MONTH(E696)))+IF(AND(F695=1,F696=0),$Q$4,0))*IF(AND(F695=1,F696=0),1,0)</f>
      </c>
      <c r="K695" s="217">
        <f>(1+$G$5)^(D695/12)*(IF(E695=$N$7,$N$4,0)+IF(E695=$C$6,$B$10,0))</f>
      </c>
      <c r="L695" s="217">
        <f>(1+$G$5)^(D695/12)*(IF((E695)&gt;($B$6),H695,0)+IF(E695=$N$7,$N$4,0)+IF(E695=$C$6,0,0))</f>
      </c>
      <c r="M695" s="1"/>
      <c r="N695" s="7"/>
      <c r="O695" s="1"/>
      <c r="P695" s="331">
        <v>688</v>
      </c>
      <c r="Q695" s="544">
        <f>+DATE(YEAR(Q694),MONTH(Q694)-1,DAY(Q694))</f>
        <v>25569.041666666668</v>
      </c>
      <c r="R695" s="341">
        <f>IF($Z$7=$E695,1,IF(MONTH($E695)=1,R696*(1+$F$5),R696))</f>
      </c>
      <c r="S695" s="334">
        <f>R695*$B$8/12</f>
      </c>
      <c r="T695" s="334">
        <f>R695*$B$11/12</f>
      </c>
      <c r="U695" s="565">
        <f>(1+$V$5)^(P695/12)*(T695+IF(Q695=$Z$7,$Z$4,0))</f>
      </c>
      <c r="V695" s="170"/>
      <c r="W695" s="7"/>
      <c r="X695" s="1"/>
      <c r="Y695" s="1"/>
      <c r="Z695" s="1"/>
      <c r="AA695" s="1"/>
      <c r="AB695" s="1"/>
      <c r="AC695" s="331">
        <v>688</v>
      </c>
      <c r="AD695" s="544">
        <f>+DATE(YEAR(AD694),MONTH(AD694)-1,DAY(AD694))</f>
        <v>25569.041666666668</v>
      </c>
      <c r="AE695" s="341">
        <f>IF($AM$7=$E695,1,IF(MONTH($E695)=1,AE696*(1+$F$5),AE696))</f>
      </c>
      <c r="AF695" s="334">
        <f>AE695*$B$8/12</f>
      </c>
      <c r="AG695" s="334">
        <f>AE695*$B$12/12</f>
      </c>
      <c r="AH695" s="565">
        <f>(1+$AI$5)^(AC695/12)*(AG695+IF(AD695=$AM$7,$AM$4,0))</f>
      </c>
      <c r="AI695" s="170"/>
      <c r="AJ695" s="7"/>
      <c r="AK695" s="1"/>
      <c r="AL695" s="1"/>
      <c r="AM695" s="1"/>
    </row>
    <row x14ac:dyDescent="0.25" r="696" customHeight="1" ht="18.75">
      <c r="A696" s="1"/>
      <c r="B696" s="169"/>
      <c r="C696" s="170"/>
      <c r="D696" s="331">
        <v>689</v>
      </c>
      <c r="E696" s="544">
        <f>+DATE(YEAR(E695),MONTH(E695)-1,DAY(E695))</f>
        <v>25569.041666666668</v>
      </c>
      <c r="F696" s="333">
        <f>IF($C$6=$E696,1,IF(MONTH($E696)=1,F697*(1+$F$5),F697))</f>
      </c>
      <c r="G696" s="333">
        <f>F696*$B$8/12</f>
      </c>
      <c r="H696" s="333">
        <f>IF(F696=1,F696*$B$10/MIN(12,'Simulador - 3º Pilar'!$E$88),0)</f>
      </c>
      <c r="I696" s="560">
        <f>(1+$G$5)^(D696/12)*(H696+IF(E696=$N$7,$N$4,0))</f>
      </c>
      <c r="J696" s="561">
        <f>(1+$G$5)^(D696/12)*(H696*(12-IF(MONTH(E697)=12,0,MONTH(E697)))+IF(AND(F696=1,F697=0),$Q$4,0))*IF(AND(F696=1,F697=0),1,0)</f>
      </c>
      <c r="K696" s="217">
        <f>(1+$G$5)^(D696/12)*(IF(E696=$N$7,$N$4,0)+IF(E696=$C$6,$B$10,0))</f>
      </c>
      <c r="L696" s="217">
        <f>(1+$G$5)^(D696/12)*(IF((E696)&gt;($B$6),H696,0)+IF(E696=$N$7,$N$4,0)+IF(E696=$C$6,0,0))</f>
      </c>
      <c r="M696" s="1"/>
      <c r="N696" s="7"/>
      <c r="O696" s="1"/>
      <c r="P696" s="331">
        <v>689</v>
      </c>
      <c r="Q696" s="544">
        <f>+DATE(YEAR(Q695),MONTH(Q695)-1,DAY(Q695))</f>
        <v>25569.041666666668</v>
      </c>
      <c r="R696" s="341">
        <f>IF($Z$7=$E696,1,IF(MONTH($E696)=1,R697*(1+$F$5),R697))</f>
      </c>
      <c r="S696" s="334">
        <f>R696*$B$8/12</f>
      </c>
      <c r="T696" s="334">
        <f>R696*$B$11/12</f>
      </c>
      <c r="U696" s="565">
        <f>(1+$V$5)^(P696/12)*(T696+IF(Q696=$Z$7,$Z$4,0))</f>
      </c>
      <c r="V696" s="170"/>
      <c r="W696" s="7"/>
      <c r="X696" s="1"/>
      <c r="Y696" s="1"/>
      <c r="Z696" s="1"/>
      <c r="AA696" s="1"/>
      <c r="AB696" s="1"/>
      <c r="AC696" s="331">
        <v>689</v>
      </c>
      <c r="AD696" s="544">
        <f>+DATE(YEAR(AD695),MONTH(AD695)-1,DAY(AD695))</f>
        <v>25569.041666666668</v>
      </c>
      <c r="AE696" s="341">
        <f>IF($AM$7=$E696,1,IF(MONTH($E696)=1,AE697*(1+$F$5),AE697))</f>
      </c>
      <c r="AF696" s="334">
        <f>AE696*$B$8/12</f>
      </c>
      <c r="AG696" s="334">
        <f>AE696*$B$12/12</f>
      </c>
      <c r="AH696" s="565">
        <f>(1+$AI$5)^(AC696/12)*(AG696+IF(AD696=$AM$7,$AM$4,0))</f>
      </c>
      <c r="AI696" s="170"/>
      <c r="AJ696" s="7"/>
      <c r="AK696" s="1"/>
      <c r="AL696" s="1"/>
      <c r="AM696" s="1"/>
    </row>
    <row x14ac:dyDescent="0.25" r="697" customHeight="1" ht="18.75">
      <c r="A697" s="1"/>
      <c r="B697" s="169"/>
      <c r="C697" s="170"/>
      <c r="D697" s="331">
        <v>690</v>
      </c>
      <c r="E697" s="544">
        <f>+DATE(YEAR(E696),MONTH(E696)-1,DAY(E696))</f>
        <v>25569.041666666668</v>
      </c>
      <c r="F697" s="333">
        <f>IF($C$6=$E697,1,IF(MONTH($E697)=1,F698*(1+$F$5),F698))</f>
      </c>
      <c r="G697" s="333">
        <f>F697*$B$8/12</f>
      </c>
      <c r="H697" s="333">
        <f>IF(F697=1,F697*$B$10/MIN(12,'Simulador - 3º Pilar'!$E$88),0)</f>
      </c>
      <c r="I697" s="560">
        <f>(1+$G$5)^(D697/12)*(H697+IF(E697=$N$7,$N$4,0))</f>
      </c>
      <c r="J697" s="561">
        <f>(1+$G$5)^(D697/12)*(H697*(12-IF(MONTH(E698)=12,0,MONTH(E698)))+IF(AND(F697=1,F698=0),$Q$4,0))*IF(AND(F697=1,F698=0),1,0)</f>
      </c>
      <c r="K697" s="217">
        <f>(1+$G$5)^(D697/12)*(IF(E697=$N$7,$N$4,0)+IF(E697=$C$6,$B$10,0))</f>
      </c>
      <c r="L697" s="217">
        <f>(1+$G$5)^(D697/12)*(IF((E697)&gt;($B$6),H697,0)+IF(E697=$N$7,$N$4,0)+IF(E697=$C$6,0,0))</f>
      </c>
      <c r="M697" s="1"/>
      <c r="N697" s="7"/>
      <c r="O697" s="1"/>
      <c r="P697" s="331">
        <v>690</v>
      </c>
      <c r="Q697" s="544">
        <f>+DATE(YEAR(Q696),MONTH(Q696)-1,DAY(Q696))</f>
        <v>25569.041666666668</v>
      </c>
      <c r="R697" s="341">
        <f>IF($Z$7=$E697,1,IF(MONTH($E697)=1,R698*(1+$F$5),R698))</f>
      </c>
      <c r="S697" s="334">
        <f>R697*$B$8/12</f>
      </c>
      <c r="T697" s="334">
        <f>R697*$B$11/12</f>
      </c>
      <c r="U697" s="565">
        <f>(1+$V$5)^(P697/12)*(T697+IF(Q697=$Z$7,$Z$4,0))</f>
      </c>
      <c r="V697" s="170"/>
      <c r="W697" s="7"/>
      <c r="X697" s="1"/>
      <c r="Y697" s="1"/>
      <c r="Z697" s="1"/>
      <c r="AA697" s="1"/>
      <c r="AB697" s="1"/>
      <c r="AC697" s="331">
        <v>690</v>
      </c>
      <c r="AD697" s="544">
        <f>+DATE(YEAR(AD696),MONTH(AD696)-1,DAY(AD696))</f>
        <v>25569.041666666668</v>
      </c>
      <c r="AE697" s="341">
        <f>IF($AM$7=$E697,1,IF(MONTH($E697)=1,AE698*(1+$F$5),AE698))</f>
      </c>
      <c r="AF697" s="334">
        <f>AE697*$B$8/12</f>
      </c>
      <c r="AG697" s="334">
        <f>AE697*$B$12/12</f>
      </c>
      <c r="AH697" s="565">
        <f>(1+$AI$5)^(AC697/12)*(AG697+IF(AD697=$AM$7,$AM$4,0))</f>
      </c>
      <c r="AI697" s="170"/>
      <c r="AJ697" s="7"/>
      <c r="AK697" s="1"/>
      <c r="AL697" s="1"/>
      <c r="AM697" s="1"/>
    </row>
    <row x14ac:dyDescent="0.25" r="698" customHeight="1" ht="18.75">
      <c r="A698" s="1"/>
      <c r="B698" s="169"/>
      <c r="C698" s="170"/>
      <c r="D698" s="331">
        <v>691</v>
      </c>
      <c r="E698" s="544">
        <f>+DATE(YEAR(E697),MONTH(E697)-1,DAY(E697))</f>
        <v>25569.041666666668</v>
      </c>
      <c r="F698" s="333">
        <f>IF($C$6=$E698,1,IF(MONTH($E698)=1,F699*(1+$F$5),F699))</f>
      </c>
      <c r="G698" s="333">
        <f>F698*$B$8/12</f>
      </c>
      <c r="H698" s="333">
        <f>IF(F698=1,F698*$B$10/MIN(12,'Simulador - 3º Pilar'!$E$88),0)</f>
      </c>
      <c r="I698" s="560">
        <f>(1+$G$5)^(D698/12)*(H698+IF(E698=$N$7,$N$4,0))</f>
      </c>
      <c r="J698" s="561">
        <f>(1+$G$5)^(D698/12)*(H698*(12-IF(MONTH(E699)=12,0,MONTH(E699)))+IF(AND(F698=1,F699=0),$Q$4,0))*IF(AND(F698=1,F699=0),1,0)</f>
      </c>
      <c r="K698" s="217">
        <f>(1+$G$5)^(D698/12)*(IF(E698=$N$7,$N$4,0)+IF(E698=$C$6,$B$10,0))</f>
      </c>
      <c r="L698" s="217">
        <f>(1+$G$5)^(D698/12)*(IF((E698)&gt;($B$6),H698,0)+IF(E698=$N$7,$N$4,0)+IF(E698=$C$6,0,0))</f>
      </c>
      <c r="M698" s="1"/>
      <c r="N698" s="7"/>
      <c r="O698" s="1"/>
      <c r="P698" s="331">
        <v>691</v>
      </c>
      <c r="Q698" s="544">
        <f>+DATE(YEAR(Q697),MONTH(Q697)-1,DAY(Q697))</f>
        <v>25569.041666666668</v>
      </c>
      <c r="R698" s="341">
        <f>IF($Z$7=$E698,1,IF(MONTH($E698)=1,R699*(1+$F$5),R699))</f>
      </c>
      <c r="S698" s="334">
        <f>R698*$B$8/12</f>
      </c>
      <c r="T698" s="334">
        <f>R698*$B$11/12</f>
      </c>
      <c r="U698" s="565">
        <f>(1+$V$5)^(P698/12)*(T698+IF(Q698=$Z$7,$Z$4,0))</f>
      </c>
      <c r="V698" s="170"/>
      <c r="W698" s="7"/>
      <c r="X698" s="1"/>
      <c r="Y698" s="1"/>
      <c r="Z698" s="1"/>
      <c r="AA698" s="1"/>
      <c r="AB698" s="1"/>
      <c r="AC698" s="331">
        <v>691</v>
      </c>
      <c r="AD698" s="544">
        <f>+DATE(YEAR(AD697),MONTH(AD697)-1,DAY(AD697))</f>
        <v>25569.041666666668</v>
      </c>
      <c r="AE698" s="341">
        <f>IF($AM$7=$E698,1,IF(MONTH($E698)=1,AE699*(1+$F$5),AE699))</f>
      </c>
      <c r="AF698" s="334">
        <f>AE698*$B$8/12</f>
      </c>
      <c r="AG698" s="334">
        <f>AE698*$B$12/12</f>
      </c>
      <c r="AH698" s="565">
        <f>(1+$AI$5)^(AC698/12)*(AG698+IF(AD698=$AM$7,$AM$4,0))</f>
      </c>
      <c r="AI698" s="170"/>
      <c r="AJ698" s="7"/>
      <c r="AK698" s="1"/>
      <c r="AL698" s="1"/>
      <c r="AM698" s="1"/>
    </row>
    <row x14ac:dyDescent="0.25" r="699" customHeight="1" ht="18.75">
      <c r="A699" s="1"/>
      <c r="B699" s="169"/>
      <c r="C699" s="170"/>
      <c r="D699" s="331">
        <v>692</v>
      </c>
      <c r="E699" s="544">
        <f>+DATE(YEAR(E698),MONTH(E698)-1,DAY(E698))</f>
        <v>25569.041666666668</v>
      </c>
      <c r="F699" s="333">
        <f>IF($C$6=$E699,1,IF(MONTH($E699)=1,F700*(1+$F$5),F700))</f>
      </c>
      <c r="G699" s="333">
        <f>F699*$B$8/12</f>
      </c>
      <c r="H699" s="333">
        <f>IF(F699=1,F699*$B$10/MIN(12,'Simulador - 3º Pilar'!$E$88),0)</f>
      </c>
      <c r="I699" s="560">
        <f>(1+$G$5)^(D699/12)*(H699+IF(E699=$N$7,$N$4,0))</f>
      </c>
      <c r="J699" s="561">
        <f>(1+$G$5)^(D699/12)*(H699*(12-IF(MONTH(E700)=12,0,MONTH(E700)))+IF(AND(F699=1,F700=0),$Q$4,0))*IF(AND(F699=1,F700=0),1,0)</f>
      </c>
      <c r="K699" s="217">
        <f>(1+$G$5)^(D699/12)*(IF(E699=$N$7,$N$4,0)+IF(E699=$C$6,$B$10,0))</f>
      </c>
      <c r="L699" s="217">
        <f>(1+$G$5)^(D699/12)*(IF((E699)&gt;($B$6),H699,0)+IF(E699=$N$7,$N$4,0)+IF(E699=$C$6,0,0))</f>
      </c>
      <c r="M699" s="1"/>
      <c r="N699" s="7"/>
      <c r="O699" s="1"/>
      <c r="P699" s="331">
        <v>692</v>
      </c>
      <c r="Q699" s="544">
        <f>+DATE(YEAR(Q698),MONTH(Q698)-1,DAY(Q698))</f>
        <v>25569.041666666668</v>
      </c>
      <c r="R699" s="341">
        <f>IF($Z$7=$E699,1,IF(MONTH($E699)=1,R700*(1+$F$5),R700))</f>
      </c>
      <c r="S699" s="334">
        <f>R699*$B$8/12</f>
      </c>
      <c r="T699" s="334">
        <f>R699*$B$11/12</f>
      </c>
      <c r="U699" s="565">
        <f>(1+$V$5)^(P699/12)*(T699+IF(Q699=$Z$7,$Z$4,0))</f>
      </c>
      <c r="V699" s="170"/>
      <c r="W699" s="7"/>
      <c r="X699" s="1"/>
      <c r="Y699" s="1"/>
      <c r="Z699" s="1"/>
      <c r="AA699" s="1"/>
      <c r="AB699" s="1"/>
      <c r="AC699" s="331">
        <v>692</v>
      </c>
      <c r="AD699" s="544">
        <f>+DATE(YEAR(AD698),MONTH(AD698)-1,DAY(AD698))</f>
        <v>25569.041666666668</v>
      </c>
      <c r="AE699" s="341">
        <f>IF($AM$7=$E699,1,IF(MONTH($E699)=1,AE700*(1+$F$5),AE700))</f>
      </c>
      <c r="AF699" s="334">
        <f>AE699*$B$8/12</f>
      </c>
      <c r="AG699" s="334">
        <f>AE699*$B$12/12</f>
      </c>
      <c r="AH699" s="565">
        <f>(1+$AI$5)^(AC699/12)*(AG699+IF(AD699=$AM$7,$AM$4,0))</f>
      </c>
      <c r="AI699" s="170"/>
      <c r="AJ699" s="7"/>
      <c r="AK699" s="1"/>
      <c r="AL699" s="1"/>
      <c r="AM699" s="1"/>
    </row>
    <row x14ac:dyDescent="0.25" r="700" customHeight="1" ht="18.75">
      <c r="A700" s="1"/>
      <c r="B700" s="169"/>
      <c r="C700" s="170"/>
      <c r="D700" s="331">
        <v>693</v>
      </c>
      <c r="E700" s="544">
        <f>+DATE(YEAR(E699),MONTH(E699)-1,DAY(E699))</f>
        <v>25569.041666666668</v>
      </c>
      <c r="F700" s="333">
        <f>IF($C$6=$E700,1,IF(MONTH($E700)=1,F701*(1+$F$5),F701))</f>
      </c>
      <c r="G700" s="333">
        <f>F700*$B$8/12</f>
      </c>
      <c r="H700" s="333">
        <f>IF(F700=1,F700*$B$10/MIN(12,'Simulador - 3º Pilar'!$E$88),0)</f>
      </c>
      <c r="I700" s="560">
        <f>(1+$G$5)^(D700/12)*(H700+IF(E700=$N$7,$N$4,0))</f>
      </c>
      <c r="J700" s="561">
        <f>(1+$G$5)^(D700/12)*(H700*(12-IF(MONTH(E701)=12,0,MONTH(E701)))+IF(AND(F700=1,F701=0),$Q$4,0))*IF(AND(F700=1,F701=0),1,0)</f>
      </c>
      <c r="K700" s="217">
        <f>(1+$G$5)^(D700/12)*(IF(E700=$N$7,$N$4,0)+IF(E700=$C$6,$B$10,0))</f>
      </c>
      <c r="L700" s="217">
        <f>(1+$G$5)^(D700/12)*(IF((E700)&gt;($B$6),H700,0)+IF(E700=$N$7,$N$4,0)+IF(E700=$C$6,0,0))</f>
      </c>
      <c r="M700" s="1"/>
      <c r="N700" s="7"/>
      <c r="O700" s="1"/>
      <c r="P700" s="331">
        <v>693</v>
      </c>
      <c r="Q700" s="544">
        <f>+DATE(YEAR(Q699),MONTH(Q699)-1,DAY(Q699))</f>
        <v>25569.041666666668</v>
      </c>
      <c r="R700" s="341">
        <f>IF($Z$7=$E700,1,IF(MONTH($E700)=1,R701*(1+$F$5),R701))</f>
      </c>
      <c r="S700" s="334">
        <f>R700*$B$8/12</f>
      </c>
      <c r="T700" s="334">
        <f>R700*$B$11/12</f>
      </c>
      <c r="U700" s="565">
        <f>(1+$V$5)^(P700/12)*(T700+IF(Q700=$Z$7,$Z$4,0))</f>
      </c>
      <c r="V700" s="170"/>
      <c r="W700" s="7"/>
      <c r="X700" s="1"/>
      <c r="Y700" s="1"/>
      <c r="Z700" s="1"/>
      <c r="AA700" s="1"/>
      <c r="AB700" s="1"/>
      <c r="AC700" s="331">
        <v>693</v>
      </c>
      <c r="AD700" s="544">
        <f>+DATE(YEAR(AD699),MONTH(AD699)-1,DAY(AD699))</f>
        <v>25569.041666666668</v>
      </c>
      <c r="AE700" s="341">
        <f>IF($AM$7=$E700,1,IF(MONTH($E700)=1,AE701*(1+$F$5),AE701))</f>
      </c>
      <c r="AF700" s="334">
        <f>AE700*$B$8/12</f>
      </c>
      <c r="AG700" s="334">
        <f>AE700*$B$12/12</f>
      </c>
      <c r="AH700" s="565">
        <f>(1+$AI$5)^(AC700/12)*(AG700+IF(AD700=$AM$7,$AM$4,0))</f>
      </c>
      <c r="AI700" s="170"/>
      <c r="AJ700" s="7"/>
      <c r="AK700" s="1"/>
      <c r="AL700" s="1"/>
      <c r="AM700" s="1"/>
    </row>
    <row x14ac:dyDescent="0.25" r="701" customHeight="1" ht="18.75">
      <c r="A701" s="1"/>
      <c r="B701" s="169"/>
      <c r="C701" s="170"/>
      <c r="D701" s="331">
        <v>694</v>
      </c>
      <c r="E701" s="544">
        <f>+DATE(YEAR(E700),MONTH(E700)-1,DAY(E700))</f>
        <v>25569.041666666668</v>
      </c>
      <c r="F701" s="333">
        <f>IF($C$6=$E701,1,IF(MONTH($E701)=1,F702*(1+$F$5),F702))</f>
      </c>
      <c r="G701" s="333">
        <f>F701*$B$8/12</f>
      </c>
      <c r="H701" s="333">
        <f>IF(F701=1,F701*$B$10/MIN(12,'Simulador - 3º Pilar'!$E$88),0)</f>
      </c>
      <c r="I701" s="560">
        <f>(1+$G$5)^(D701/12)*(H701+IF(E701=$N$7,$N$4,0))</f>
      </c>
      <c r="J701" s="561">
        <f>(1+$G$5)^(D701/12)*(H701*(12-IF(MONTH(E702)=12,0,MONTH(E702)))+IF(AND(F701=1,F702=0),$Q$4,0))*IF(AND(F701=1,F702=0),1,0)</f>
      </c>
      <c r="K701" s="217">
        <f>(1+$G$5)^(D701/12)*(IF(E701=$N$7,$N$4,0)+IF(E701=$C$6,$B$10,0))</f>
      </c>
      <c r="L701" s="217">
        <f>(1+$G$5)^(D701/12)*(IF((E701)&gt;($B$6),H701,0)+IF(E701=$N$7,$N$4,0)+IF(E701=$C$6,0,0))</f>
      </c>
      <c r="M701" s="1"/>
      <c r="N701" s="7"/>
      <c r="O701" s="1"/>
      <c r="P701" s="331">
        <v>694</v>
      </c>
      <c r="Q701" s="544">
        <f>+DATE(YEAR(Q700),MONTH(Q700)-1,DAY(Q700))</f>
        <v>25569.041666666668</v>
      </c>
      <c r="R701" s="341">
        <f>IF($Z$7=$E701,1,IF(MONTH($E701)=1,R702*(1+$F$5),R702))</f>
      </c>
      <c r="S701" s="334">
        <f>R701*$B$8/12</f>
      </c>
      <c r="T701" s="334">
        <f>R701*$B$11/12</f>
      </c>
      <c r="U701" s="565">
        <f>(1+$V$5)^(P701/12)*(T701+IF(Q701=$Z$7,$Z$4,0))</f>
      </c>
      <c r="V701" s="170"/>
      <c r="W701" s="7"/>
      <c r="X701" s="1"/>
      <c r="Y701" s="1"/>
      <c r="Z701" s="1"/>
      <c r="AA701" s="1"/>
      <c r="AB701" s="1"/>
      <c r="AC701" s="331">
        <v>694</v>
      </c>
      <c r="AD701" s="544">
        <f>+DATE(YEAR(AD700),MONTH(AD700)-1,DAY(AD700))</f>
        <v>25569.041666666668</v>
      </c>
      <c r="AE701" s="341">
        <f>IF($AM$7=$E701,1,IF(MONTH($E701)=1,AE702*(1+$F$5),AE702))</f>
      </c>
      <c r="AF701" s="334">
        <f>AE701*$B$8/12</f>
      </c>
      <c r="AG701" s="334">
        <f>AE701*$B$12/12</f>
      </c>
      <c r="AH701" s="565">
        <f>(1+$AI$5)^(AC701/12)*(AG701+IF(AD701=$AM$7,$AM$4,0))</f>
      </c>
      <c r="AI701" s="170"/>
      <c r="AJ701" s="7"/>
      <c r="AK701" s="1"/>
      <c r="AL701" s="1"/>
      <c r="AM701" s="1"/>
    </row>
    <row x14ac:dyDescent="0.25" r="702" customHeight="1" ht="18.75">
      <c r="A702" s="1"/>
      <c r="B702" s="169"/>
      <c r="C702" s="170"/>
      <c r="D702" s="331">
        <v>695</v>
      </c>
      <c r="E702" s="544">
        <f>+DATE(YEAR(E701),MONTH(E701)-1,DAY(E701))</f>
        <v>25569.041666666668</v>
      </c>
      <c r="F702" s="333">
        <f>IF($C$6=$E702,1,IF(MONTH($E702)=1,F703*(1+$F$5),F703))</f>
      </c>
      <c r="G702" s="333">
        <f>F702*$B$8/12</f>
      </c>
      <c r="H702" s="333">
        <f>IF(F702=1,F702*$B$10/MIN(12,'Simulador - 3º Pilar'!$E$88),0)</f>
      </c>
      <c r="I702" s="560">
        <f>(1+$G$5)^(D702/12)*(H702+IF(E702=$N$7,$N$4,0))</f>
      </c>
      <c r="J702" s="561">
        <f>(1+$G$5)^(D702/12)*(H702*(12-IF(MONTH(E703)=12,0,MONTH(E703)))+IF(AND(F702=1,F703=0),$Q$4,0))*IF(AND(F702=1,F703=0),1,0)</f>
      </c>
      <c r="K702" s="217">
        <f>(1+$G$5)^(D702/12)*(IF(E702=$N$7,$N$4,0)+IF(E702=$C$6,$B$10,0))</f>
      </c>
      <c r="L702" s="217">
        <f>(1+$G$5)^(D702/12)*(IF((E702)&gt;($B$6),H702,0)+IF(E702=$N$7,$N$4,0)+IF(E702=$C$6,0,0))</f>
      </c>
      <c r="M702" s="1"/>
      <c r="N702" s="7"/>
      <c r="O702" s="1"/>
      <c r="P702" s="331">
        <v>695</v>
      </c>
      <c r="Q702" s="544">
        <f>+DATE(YEAR(Q701),MONTH(Q701)-1,DAY(Q701))</f>
        <v>25569.041666666668</v>
      </c>
      <c r="R702" s="341">
        <f>IF($Z$7=$E702,1,IF(MONTH($E702)=1,R703*(1+$F$5),R703))</f>
      </c>
      <c r="S702" s="334">
        <f>R702*$B$8/12</f>
      </c>
      <c r="T702" s="334">
        <f>R702*$B$11/12</f>
      </c>
      <c r="U702" s="565">
        <f>(1+$V$5)^(P702/12)*(T702+IF(Q702=$Z$7,$Z$4,0))</f>
      </c>
      <c r="V702" s="170"/>
      <c r="W702" s="7"/>
      <c r="X702" s="1"/>
      <c r="Y702" s="1"/>
      <c r="Z702" s="1"/>
      <c r="AA702" s="1"/>
      <c r="AB702" s="1"/>
      <c r="AC702" s="331">
        <v>695</v>
      </c>
      <c r="AD702" s="544">
        <f>+DATE(YEAR(AD701),MONTH(AD701)-1,DAY(AD701))</f>
        <v>25569.041666666668</v>
      </c>
      <c r="AE702" s="341">
        <f>IF($AM$7=$E702,1,IF(MONTH($E702)=1,AE703*(1+$F$5),AE703))</f>
      </c>
      <c r="AF702" s="334">
        <f>AE702*$B$8/12</f>
      </c>
      <c r="AG702" s="334">
        <f>AE702*$B$12/12</f>
      </c>
      <c r="AH702" s="565">
        <f>(1+$AI$5)^(AC702/12)*(AG702+IF(AD702=$AM$7,$AM$4,0))</f>
      </c>
      <c r="AI702" s="170"/>
      <c r="AJ702" s="7"/>
      <c r="AK702" s="1"/>
      <c r="AL702" s="1"/>
      <c r="AM702" s="1"/>
    </row>
    <row x14ac:dyDescent="0.25" r="703" customHeight="1" ht="18.75">
      <c r="A703" s="1"/>
      <c r="B703" s="169"/>
      <c r="C703" s="170"/>
      <c r="D703" s="331">
        <v>696</v>
      </c>
      <c r="E703" s="544">
        <f>+DATE(YEAR(E702),MONTH(E702)-1,DAY(E702))</f>
        <v>25569.041666666668</v>
      </c>
      <c r="F703" s="333">
        <f>IF($C$6=$E703,1,IF(MONTH($E703)=1,F704*(1+$F$5),F704))</f>
      </c>
      <c r="G703" s="333">
        <f>F703*$B$8/12</f>
      </c>
      <c r="H703" s="333">
        <f>IF(F703=1,F703*$B$10/MIN(12,'Simulador - 3º Pilar'!$E$88),0)</f>
      </c>
      <c r="I703" s="560">
        <f>(1+$G$5)^(D703/12)*(H703+IF(E703=$N$7,$N$4,0))</f>
      </c>
      <c r="J703" s="561">
        <f>(1+$G$5)^(D703/12)*(H703*(12-IF(MONTH(E704)=12,0,MONTH(E704)))+IF(AND(F703=1,F704=0),$Q$4,0))*IF(AND(F703=1,F704=0),1,0)</f>
      </c>
      <c r="K703" s="217">
        <f>(1+$G$5)^(D703/12)*(IF(E703=$N$7,$N$4,0)+IF(E703=$C$6,$B$10,0))</f>
      </c>
      <c r="L703" s="217">
        <f>(1+$G$5)^(D703/12)*(IF((E703)&gt;($B$6),H703,0)+IF(E703=$N$7,$N$4,0)+IF(E703=$C$6,0,0))</f>
      </c>
      <c r="M703" s="1"/>
      <c r="N703" s="7"/>
      <c r="O703" s="1"/>
      <c r="P703" s="331">
        <v>696</v>
      </c>
      <c r="Q703" s="544">
        <f>+DATE(YEAR(Q702),MONTH(Q702)-1,DAY(Q702))</f>
        <v>25569.041666666668</v>
      </c>
      <c r="R703" s="341">
        <f>IF($Z$7=$E703,1,IF(MONTH($E703)=1,R704*(1+$F$5),R704))</f>
      </c>
      <c r="S703" s="334">
        <f>R703*$B$8/12</f>
      </c>
      <c r="T703" s="334">
        <f>R703*$B$11/12</f>
      </c>
      <c r="U703" s="565">
        <f>(1+$V$5)^(P703/12)*(T703+IF(Q703=$Z$7,$Z$4,0))</f>
      </c>
      <c r="V703" s="170"/>
      <c r="W703" s="7"/>
      <c r="X703" s="1"/>
      <c r="Y703" s="1"/>
      <c r="Z703" s="1"/>
      <c r="AA703" s="1"/>
      <c r="AB703" s="1"/>
      <c r="AC703" s="331">
        <v>696</v>
      </c>
      <c r="AD703" s="544">
        <f>+DATE(YEAR(AD702),MONTH(AD702)-1,DAY(AD702))</f>
        <v>25569.041666666668</v>
      </c>
      <c r="AE703" s="341">
        <f>IF($AM$7=$E703,1,IF(MONTH($E703)=1,AE704*(1+$F$5),AE704))</f>
      </c>
      <c r="AF703" s="334">
        <f>AE703*$B$8/12</f>
      </c>
      <c r="AG703" s="334">
        <f>AE703*$B$12/12</f>
      </c>
      <c r="AH703" s="565">
        <f>(1+$AI$5)^(AC703/12)*(AG703+IF(AD703=$AM$7,$AM$4,0))</f>
      </c>
      <c r="AI703" s="170"/>
      <c r="AJ703" s="7"/>
      <c r="AK703" s="1"/>
      <c r="AL703" s="1"/>
      <c r="AM703" s="1"/>
    </row>
    <row x14ac:dyDescent="0.25" r="704" customHeight="1" ht="18.75">
      <c r="A704" s="1"/>
      <c r="B704" s="169"/>
      <c r="C704" s="170"/>
      <c r="D704" s="331">
        <v>697</v>
      </c>
      <c r="E704" s="544">
        <f>+DATE(YEAR(E703),MONTH(E703)-1,DAY(E703))</f>
        <v>25569.041666666668</v>
      </c>
      <c r="F704" s="333">
        <f>IF($C$6=$E704,1,IF(MONTH($E704)=1,F705*(1+$F$5),F705))</f>
      </c>
      <c r="G704" s="333">
        <f>F704*$B$8/12</f>
      </c>
      <c r="H704" s="333">
        <f>IF(F704=1,F704*$B$10/MIN(12,'Simulador - 3º Pilar'!$E$88),0)</f>
      </c>
      <c r="I704" s="560">
        <f>(1+$G$5)^(D704/12)*(H704+IF(E704=$N$7,$N$4,0))</f>
      </c>
      <c r="J704" s="561">
        <f>(1+$G$5)^(D704/12)*(H704*(12-IF(MONTH(E705)=12,0,MONTH(E705)))+IF(AND(F704=1,F705=0),$Q$4,0))*IF(AND(F704=1,F705=0),1,0)</f>
      </c>
      <c r="K704" s="217">
        <f>(1+$G$5)^(D704/12)*(IF(E704=$N$7,$N$4,0)+IF(E704=$C$6,$B$10,0))</f>
      </c>
      <c r="L704" s="217">
        <f>(1+$G$5)^(D704/12)*(IF((E704)&gt;($B$6),H704,0)+IF(E704=$N$7,$N$4,0)+IF(E704=$C$6,0,0))</f>
      </c>
      <c r="M704" s="1"/>
      <c r="N704" s="7"/>
      <c r="O704" s="1"/>
      <c r="P704" s="331">
        <v>697</v>
      </c>
      <c r="Q704" s="544">
        <f>+DATE(YEAR(Q703),MONTH(Q703)-1,DAY(Q703))</f>
        <v>25569.041666666668</v>
      </c>
      <c r="R704" s="341">
        <f>IF($Z$7=$E704,1,IF(MONTH($E704)=1,R705*(1+$F$5),R705))</f>
      </c>
      <c r="S704" s="334">
        <f>R704*$B$8/12</f>
      </c>
      <c r="T704" s="334">
        <f>R704*$B$11/12</f>
      </c>
      <c r="U704" s="565">
        <f>(1+$V$5)^(P704/12)*(T704+IF(Q704=$Z$7,$Z$4,0))</f>
      </c>
      <c r="V704" s="170"/>
      <c r="W704" s="7"/>
      <c r="X704" s="1"/>
      <c r="Y704" s="1"/>
      <c r="Z704" s="1"/>
      <c r="AA704" s="1"/>
      <c r="AB704" s="1"/>
      <c r="AC704" s="331">
        <v>697</v>
      </c>
      <c r="AD704" s="544">
        <f>+DATE(YEAR(AD703),MONTH(AD703)-1,DAY(AD703))</f>
        <v>25569.041666666668</v>
      </c>
      <c r="AE704" s="341">
        <f>IF($AM$7=$E704,1,IF(MONTH($E704)=1,AE705*(1+$F$5),AE705))</f>
      </c>
      <c r="AF704" s="334">
        <f>AE704*$B$8/12</f>
      </c>
      <c r="AG704" s="334">
        <f>AE704*$B$12/12</f>
      </c>
      <c r="AH704" s="565">
        <f>(1+$AI$5)^(AC704/12)*(AG704+IF(AD704=$AM$7,$AM$4,0))</f>
      </c>
      <c r="AI704" s="170"/>
      <c r="AJ704" s="7"/>
      <c r="AK704" s="1"/>
      <c r="AL704" s="1"/>
      <c r="AM704" s="1"/>
    </row>
    <row x14ac:dyDescent="0.25" r="705" customHeight="1" ht="18.75">
      <c r="A705" s="1"/>
      <c r="B705" s="169"/>
      <c r="C705" s="170"/>
      <c r="D705" s="331">
        <v>698</v>
      </c>
      <c r="E705" s="544">
        <f>+DATE(YEAR(E704),MONTH(E704)-1,DAY(E704))</f>
        <v>25569.041666666668</v>
      </c>
      <c r="F705" s="333">
        <f>IF($C$6=$E705,1,IF(MONTH($E705)=1,F706*(1+$F$5),F706))</f>
      </c>
      <c r="G705" s="333">
        <f>F705*$B$8/12</f>
      </c>
      <c r="H705" s="333">
        <f>IF(F705=1,F705*$B$10/MIN(12,'Simulador - 3º Pilar'!$E$88),0)</f>
      </c>
      <c r="I705" s="560">
        <f>(1+$G$5)^(D705/12)*(H705+IF(E705=$N$7,$N$4,0))</f>
      </c>
      <c r="J705" s="561">
        <f>(1+$G$5)^(D705/12)*(H705*(12-IF(MONTH(E706)=12,0,MONTH(E706)))+IF(AND(F705=1,F706=0),$Q$4,0))*IF(AND(F705=1,F706=0),1,0)</f>
      </c>
      <c r="K705" s="217">
        <f>(1+$G$5)^(D705/12)*(IF(E705=$N$7,$N$4,0)+IF(E705=$C$6,$B$10,0))</f>
      </c>
      <c r="L705" s="217">
        <f>(1+$G$5)^(D705/12)*(IF((E705)&gt;($B$6),H705,0)+IF(E705=$N$7,$N$4,0)+IF(E705=$C$6,0,0))</f>
      </c>
      <c r="M705" s="1"/>
      <c r="N705" s="7"/>
      <c r="O705" s="1"/>
      <c r="P705" s="331">
        <v>698</v>
      </c>
      <c r="Q705" s="544">
        <f>+DATE(YEAR(Q704),MONTH(Q704)-1,DAY(Q704))</f>
        <v>25569.041666666668</v>
      </c>
      <c r="R705" s="341">
        <f>IF($Z$7=$E705,1,IF(MONTH($E705)=1,R706*(1+$F$5),R706))</f>
      </c>
      <c r="S705" s="334">
        <f>R705*$B$8/12</f>
      </c>
      <c r="T705" s="334">
        <f>R705*$B$11/12</f>
      </c>
      <c r="U705" s="565">
        <f>(1+$V$5)^(P705/12)*(T705+IF(Q705=$Z$7,$Z$4,0))</f>
      </c>
      <c r="V705" s="170"/>
      <c r="W705" s="7"/>
      <c r="X705" s="1"/>
      <c r="Y705" s="1"/>
      <c r="Z705" s="1"/>
      <c r="AA705" s="1"/>
      <c r="AB705" s="1"/>
      <c r="AC705" s="331">
        <v>698</v>
      </c>
      <c r="AD705" s="544">
        <f>+DATE(YEAR(AD704),MONTH(AD704)-1,DAY(AD704))</f>
        <v>25569.041666666668</v>
      </c>
      <c r="AE705" s="341">
        <f>IF($AM$7=$E705,1,IF(MONTH($E705)=1,AE706*(1+$F$5),AE706))</f>
      </c>
      <c r="AF705" s="334">
        <f>AE705*$B$8/12</f>
      </c>
      <c r="AG705" s="334">
        <f>AE705*$B$12/12</f>
      </c>
      <c r="AH705" s="565">
        <f>(1+$AI$5)^(AC705/12)*(AG705+IF(AD705=$AM$7,$AM$4,0))</f>
      </c>
      <c r="AI705" s="170"/>
      <c r="AJ705" s="7"/>
      <c r="AK705" s="1"/>
      <c r="AL705" s="1"/>
      <c r="AM705" s="1"/>
    </row>
    <row x14ac:dyDescent="0.25" r="706" customHeight="1" ht="18.75">
      <c r="A706" s="1"/>
      <c r="B706" s="169"/>
      <c r="C706" s="170"/>
      <c r="D706" s="331">
        <v>699</v>
      </c>
      <c r="E706" s="544">
        <f>+DATE(YEAR(E705),MONTH(E705)-1,DAY(E705))</f>
        <v>25569.041666666668</v>
      </c>
      <c r="F706" s="333">
        <f>IF($C$6=$E706,1,IF(MONTH($E706)=1,F707*(1+$F$5),F707))</f>
      </c>
      <c r="G706" s="333">
        <f>F706*$B$8/12</f>
      </c>
      <c r="H706" s="333">
        <f>IF(F706=1,F706*$B$10/MIN(12,'Simulador - 3º Pilar'!$E$88),0)</f>
      </c>
      <c r="I706" s="560">
        <f>(1+$G$5)^(D706/12)*(H706+IF(E706=$N$7,$N$4,0))</f>
      </c>
      <c r="J706" s="561">
        <f>(1+$G$5)^(D706/12)*(H706*(12-IF(MONTH(E707)=12,0,MONTH(E707)))+IF(AND(F706=1,F707=0),$Q$4,0))*IF(AND(F706=1,F707=0),1,0)</f>
      </c>
      <c r="K706" s="217">
        <f>(1+$G$5)^(D706/12)*(IF(E706=$N$7,$N$4,0)+IF(E706=$C$6,$B$10,0))</f>
      </c>
      <c r="L706" s="217">
        <f>(1+$G$5)^(D706/12)*(IF((E706)&gt;($B$6),H706,0)+IF(E706=$N$7,$N$4,0)+IF(E706=$C$6,0,0))</f>
      </c>
      <c r="M706" s="1"/>
      <c r="N706" s="7"/>
      <c r="O706" s="1"/>
      <c r="P706" s="331">
        <v>699</v>
      </c>
      <c r="Q706" s="544">
        <f>+DATE(YEAR(Q705),MONTH(Q705)-1,DAY(Q705))</f>
        <v>25569.041666666668</v>
      </c>
      <c r="R706" s="341">
        <f>IF($Z$7=$E706,1,IF(MONTH($E706)=1,R707*(1+$F$5),R707))</f>
      </c>
      <c r="S706" s="334">
        <f>R706*$B$8/12</f>
      </c>
      <c r="T706" s="334">
        <f>R706*$B$11/12</f>
      </c>
      <c r="U706" s="565">
        <f>(1+$V$5)^(P706/12)*(T706+IF(Q706=$Z$7,$Z$4,0))</f>
      </c>
      <c r="V706" s="170"/>
      <c r="W706" s="7"/>
      <c r="X706" s="1"/>
      <c r="Y706" s="1"/>
      <c r="Z706" s="1"/>
      <c r="AA706" s="1"/>
      <c r="AB706" s="1"/>
      <c r="AC706" s="331">
        <v>699</v>
      </c>
      <c r="AD706" s="544">
        <f>+DATE(YEAR(AD705),MONTH(AD705)-1,DAY(AD705))</f>
        <v>25569.041666666668</v>
      </c>
      <c r="AE706" s="341">
        <f>IF($AM$7=$E706,1,IF(MONTH($E706)=1,AE707*(1+$F$5),AE707))</f>
      </c>
      <c r="AF706" s="334">
        <f>AE706*$B$8/12</f>
      </c>
      <c r="AG706" s="334">
        <f>AE706*$B$12/12</f>
      </c>
      <c r="AH706" s="565">
        <f>(1+$AI$5)^(AC706/12)*(AG706+IF(AD706=$AM$7,$AM$4,0))</f>
      </c>
      <c r="AI706" s="170"/>
      <c r="AJ706" s="7"/>
      <c r="AK706" s="1"/>
      <c r="AL706" s="1"/>
      <c r="AM706" s="1"/>
    </row>
    <row x14ac:dyDescent="0.25" r="707" customHeight="1" ht="18.75">
      <c r="A707" s="1"/>
      <c r="B707" s="169"/>
      <c r="C707" s="170"/>
      <c r="D707" s="331">
        <v>700</v>
      </c>
      <c r="E707" s="544">
        <f>+DATE(YEAR(E706),MONTH(E706)-1,DAY(E706))</f>
        <v>25569.041666666668</v>
      </c>
      <c r="F707" s="333">
        <f>IF($C$6=$E707,1,IF(MONTH($E707)=1,F708*(1+$F$5),F708))</f>
      </c>
      <c r="G707" s="333">
        <f>F707*$B$8/12</f>
      </c>
      <c r="H707" s="333">
        <f>IF(F707=1,F707*$B$10/MIN(12,'Simulador - 3º Pilar'!$E$88),0)</f>
      </c>
      <c r="I707" s="560">
        <f>(1+$G$5)^(D707/12)*(H707+IF(E707=$N$7,$N$4,0))</f>
      </c>
      <c r="J707" s="561">
        <f>(1+$G$5)^(D707/12)*(H707*(12-IF(MONTH(E708)=12,0,MONTH(E708)))+IF(AND(F707=1,F708=0),$Q$4,0))*IF(AND(F707=1,F708=0),1,0)</f>
      </c>
      <c r="K707" s="217">
        <f>(1+$G$5)^(D707/12)*(IF(E707=$N$7,$N$4,0)+IF(E707=$C$6,$B$10,0))</f>
      </c>
      <c r="L707" s="217">
        <f>(1+$G$5)^(D707/12)*(IF((E707)&gt;($B$6),H707,0)+IF(E707=$N$7,$N$4,0)+IF(E707=$C$6,0,0))</f>
      </c>
      <c r="M707" s="1"/>
      <c r="N707" s="7"/>
      <c r="O707" s="1"/>
      <c r="P707" s="331">
        <v>700</v>
      </c>
      <c r="Q707" s="544">
        <f>+DATE(YEAR(Q706),MONTH(Q706)-1,DAY(Q706))</f>
        <v>25569.041666666668</v>
      </c>
      <c r="R707" s="341">
        <f>IF($Z$7=$E707,1,IF(MONTH($E707)=1,R708*(1+$F$5),R708))</f>
      </c>
      <c r="S707" s="334">
        <f>R707*$B$8/12</f>
      </c>
      <c r="T707" s="334">
        <f>R707*$B$11/12</f>
      </c>
      <c r="U707" s="565">
        <f>(1+$V$5)^(P707/12)*(T707+IF(Q707=$Z$7,$Z$4,0))</f>
      </c>
      <c r="V707" s="170"/>
      <c r="W707" s="7"/>
      <c r="X707" s="1"/>
      <c r="Y707" s="1"/>
      <c r="Z707" s="1"/>
      <c r="AA707" s="1"/>
      <c r="AB707" s="1"/>
      <c r="AC707" s="331">
        <v>700</v>
      </c>
      <c r="AD707" s="544">
        <f>+DATE(YEAR(AD706),MONTH(AD706)-1,DAY(AD706))</f>
        <v>25569.041666666668</v>
      </c>
      <c r="AE707" s="341">
        <f>IF($AM$7=$E707,1,IF(MONTH($E707)=1,AE708*(1+$F$5),AE708))</f>
      </c>
      <c r="AF707" s="334">
        <f>AE707*$B$8/12</f>
      </c>
      <c r="AG707" s="334">
        <f>AE707*$B$12/12</f>
      </c>
      <c r="AH707" s="565">
        <f>(1+$AI$5)^(AC707/12)*(AG707+IF(AD707=$AM$7,$AM$4,0))</f>
      </c>
      <c r="AI707" s="170"/>
      <c r="AJ707" s="7"/>
      <c r="AK707" s="1"/>
      <c r="AL707" s="1"/>
      <c r="AM707" s="1"/>
    </row>
    <row x14ac:dyDescent="0.25" r="708" customHeight="1" ht="18.75">
      <c r="A708" s="1"/>
      <c r="B708" s="169"/>
      <c r="C708" s="170"/>
      <c r="D708" s="331">
        <v>701</v>
      </c>
      <c r="E708" s="544">
        <f>+DATE(YEAR(E707),MONTH(E707)-1,DAY(E707))</f>
        <v>25569.041666666668</v>
      </c>
      <c r="F708" s="333">
        <f>IF($C$6=$E708,1,IF(MONTH($E708)=1,F709*(1+$F$5),F709))</f>
      </c>
      <c r="G708" s="333">
        <f>F708*$B$8/12</f>
      </c>
      <c r="H708" s="333">
        <f>IF(F708=1,F708*$B$10/MIN(12,'Simulador - 3º Pilar'!$E$88),0)</f>
      </c>
      <c r="I708" s="560">
        <f>(1+$G$5)^(D708/12)*(H708+IF(E708=$N$7,$N$4,0))</f>
      </c>
      <c r="J708" s="561">
        <f>(1+$G$5)^(D708/12)*(H708*(12-IF(MONTH(E709)=12,0,MONTH(E709)))+IF(AND(F708=1,F709=0),$Q$4,0))*IF(AND(F708=1,F709=0),1,0)</f>
      </c>
      <c r="K708" s="217">
        <f>(1+$G$5)^(D708/12)*(IF(E708=$N$7,$N$4,0)+IF(E708=$C$6,$B$10,0))</f>
      </c>
      <c r="L708" s="217">
        <f>(1+$G$5)^(D708/12)*(IF((E708)&gt;($B$6),H708,0)+IF(E708=$N$7,$N$4,0)+IF(E708=$C$6,0,0))</f>
      </c>
      <c r="M708" s="1"/>
      <c r="N708" s="7"/>
      <c r="O708" s="1"/>
      <c r="P708" s="331">
        <v>701</v>
      </c>
      <c r="Q708" s="544">
        <f>+DATE(YEAR(Q707),MONTH(Q707)-1,DAY(Q707))</f>
        <v>25569.041666666668</v>
      </c>
      <c r="R708" s="341">
        <f>IF($Z$7=$E708,1,IF(MONTH($E708)=1,R709*(1+$F$5),R709))</f>
      </c>
      <c r="S708" s="334">
        <f>R708*$B$8/12</f>
      </c>
      <c r="T708" s="334">
        <f>R708*$B$11/12</f>
      </c>
      <c r="U708" s="565">
        <f>(1+$V$5)^(P708/12)*(T708+IF(Q708=$Z$7,$Z$4,0))</f>
      </c>
      <c r="V708" s="170"/>
      <c r="W708" s="7"/>
      <c r="X708" s="1"/>
      <c r="Y708" s="1"/>
      <c r="Z708" s="1"/>
      <c r="AA708" s="1"/>
      <c r="AB708" s="1"/>
      <c r="AC708" s="331">
        <v>701</v>
      </c>
      <c r="AD708" s="544">
        <f>+DATE(YEAR(AD707),MONTH(AD707)-1,DAY(AD707))</f>
        <v>25569.041666666668</v>
      </c>
      <c r="AE708" s="341">
        <f>IF($AM$7=$E708,1,IF(MONTH($E708)=1,AE709*(1+$F$5),AE709))</f>
      </c>
      <c r="AF708" s="334">
        <f>AE708*$B$8/12</f>
      </c>
      <c r="AG708" s="334">
        <f>AE708*$B$12/12</f>
      </c>
      <c r="AH708" s="565">
        <f>(1+$AI$5)^(AC708/12)*(AG708+IF(AD708=$AM$7,$AM$4,0))</f>
      </c>
      <c r="AI708" s="170"/>
      <c r="AJ708" s="7"/>
      <c r="AK708" s="1"/>
      <c r="AL708" s="1"/>
      <c r="AM708" s="1"/>
    </row>
    <row x14ac:dyDescent="0.25" r="709" customHeight="1" ht="18.75">
      <c r="A709" s="1"/>
      <c r="B709" s="169"/>
      <c r="C709" s="170"/>
      <c r="D709" s="331">
        <v>702</v>
      </c>
      <c r="E709" s="544">
        <f>+DATE(YEAR(E708),MONTH(E708)-1,DAY(E708))</f>
        <v>25569.041666666668</v>
      </c>
      <c r="F709" s="333">
        <f>IF($C$6=$E709,1,IF(MONTH($E709)=1,F710*(1+$F$5),F710))</f>
      </c>
      <c r="G709" s="333">
        <f>F709*$B$8/12</f>
      </c>
      <c r="H709" s="333">
        <f>IF(F709=1,F709*$B$10/MIN(12,'Simulador - 3º Pilar'!$E$88),0)</f>
      </c>
      <c r="I709" s="560">
        <f>(1+$G$5)^(D709/12)*(H709+IF(E709=$N$7,$N$4,0))</f>
      </c>
      <c r="J709" s="561">
        <f>(1+$G$5)^(D709/12)*(H709*(12-IF(MONTH(E710)=12,0,MONTH(E710)))+IF(AND(F709=1,F710=0),$Q$4,0))*IF(AND(F709=1,F710=0),1,0)</f>
      </c>
      <c r="K709" s="217">
        <f>(1+$G$5)^(D709/12)*(IF(E709=$N$7,$N$4,0)+IF(E709=$C$6,$B$10,0))</f>
      </c>
      <c r="L709" s="217">
        <f>(1+$G$5)^(D709/12)*(IF((E709)&gt;($B$6),H709,0)+IF(E709=$N$7,$N$4,0)+IF(E709=$C$6,0,0))</f>
      </c>
      <c r="M709" s="1"/>
      <c r="N709" s="7"/>
      <c r="O709" s="1"/>
      <c r="P709" s="331">
        <v>702</v>
      </c>
      <c r="Q709" s="544">
        <f>+DATE(YEAR(Q708),MONTH(Q708)-1,DAY(Q708))</f>
        <v>25569.041666666668</v>
      </c>
      <c r="R709" s="341">
        <f>IF($Z$7=$E709,1,IF(MONTH($E709)=1,R710*(1+$F$5),R710))</f>
      </c>
      <c r="S709" s="334">
        <f>R709*$B$8/12</f>
      </c>
      <c r="T709" s="334">
        <f>R709*$B$11/12</f>
      </c>
      <c r="U709" s="565">
        <f>(1+$V$5)^(P709/12)*(T709+IF(Q709=$Z$7,$Z$4,0))</f>
      </c>
      <c r="V709" s="170"/>
      <c r="W709" s="7"/>
      <c r="X709" s="1"/>
      <c r="Y709" s="1"/>
      <c r="Z709" s="1"/>
      <c r="AA709" s="1"/>
      <c r="AB709" s="1"/>
      <c r="AC709" s="331">
        <v>702</v>
      </c>
      <c r="AD709" s="544">
        <f>+DATE(YEAR(AD708),MONTH(AD708)-1,DAY(AD708))</f>
        <v>25569.041666666668</v>
      </c>
      <c r="AE709" s="341">
        <f>IF($AM$7=$E709,1,IF(MONTH($E709)=1,AE710*(1+$F$5),AE710))</f>
      </c>
      <c r="AF709" s="334">
        <f>AE709*$B$8/12</f>
      </c>
      <c r="AG709" s="334">
        <f>AE709*$B$12/12</f>
      </c>
      <c r="AH709" s="565">
        <f>(1+$AI$5)^(AC709/12)*(AG709+IF(AD709=$AM$7,$AM$4,0))</f>
      </c>
      <c r="AI709" s="170"/>
      <c r="AJ709" s="7"/>
      <c r="AK709" s="1"/>
      <c r="AL709" s="1"/>
      <c r="AM709" s="1"/>
    </row>
    <row x14ac:dyDescent="0.25" r="710" customHeight="1" ht="18.75">
      <c r="A710" s="1"/>
      <c r="B710" s="169"/>
      <c r="C710" s="170"/>
      <c r="D710" s="331">
        <v>703</v>
      </c>
      <c r="E710" s="544">
        <f>+DATE(YEAR(E709),MONTH(E709)-1,DAY(E709))</f>
        <v>25569.041666666668</v>
      </c>
      <c r="F710" s="333">
        <f>IF($C$6=$E710,1,IF(MONTH($E710)=1,F711*(1+$F$5),F711))</f>
      </c>
      <c r="G710" s="333">
        <f>F710*$B$8/12</f>
      </c>
      <c r="H710" s="333">
        <f>IF(F710=1,F710*$B$10/MIN(12,'Simulador - 3º Pilar'!$E$88),0)</f>
      </c>
      <c r="I710" s="560">
        <f>(1+$G$5)^(D710/12)*(H710+IF(E710=$N$7,$N$4,0))</f>
      </c>
      <c r="J710" s="561">
        <f>(1+$G$5)^(D710/12)*(H710*(12-IF(MONTH(E711)=12,0,MONTH(E711)))+IF(AND(F710=1,F711=0),$Q$4,0))*IF(AND(F710=1,F711=0),1,0)</f>
      </c>
      <c r="K710" s="217">
        <f>(1+$G$5)^(D710/12)*(IF(E710=$N$7,$N$4,0)+IF(E710=$C$6,$B$10,0))</f>
      </c>
      <c r="L710" s="217">
        <f>(1+$G$5)^(D710/12)*(IF((E710)&gt;($B$6),H710,0)+IF(E710=$N$7,$N$4,0)+IF(E710=$C$6,0,0))</f>
      </c>
      <c r="M710" s="1"/>
      <c r="N710" s="7"/>
      <c r="O710" s="1"/>
      <c r="P710" s="331">
        <v>703</v>
      </c>
      <c r="Q710" s="544">
        <f>+DATE(YEAR(Q709),MONTH(Q709)-1,DAY(Q709))</f>
        <v>25569.041666666668</v>
      </c>
      <c r="R710" s="341">
        <f>IF($Z$7=$E710,1,IF(MONTH($E710)=1,R711*(1+$F$5),R711))</f>
      </c>
      <c r="S710" s="334">
        <f>R710*$B$8/12</f>
      </c>
      <c r="T710" s="334">
        <f>R710*$B$11/12</f>
      </c>
      <c r="U710" s="565">
        <f>(1+$V$5)^(P710/12)*(T710+IF(Q710=$Z$7,$Z$4,0))</f>
      </c>
      <c r="V710" s="170"/>
      <c r="W710" s="7"/>
      <c r="X710" s="1"/>
      <c r="Y710" s="1"/>
      <c r="Z710" s="1"/>
      <c r="AA710" s="1"/>
      <c r="AB710" s="1"/>
      <c r="AC710" s="331">
        <v>703</v>
      </c>
      <c r="AD710" s="544">
        <f>+DATE(YEAR(AD709),MONTH(AD709)-1,DAY(AD709))</f>
        <v>25569.041666666668</v>
      </c>
      <c r="AE710" s="341">
        <f>IF($AM$7=$E710,1,IF(MONTH($E710)=1,AE711*(1+$F$5),AE711))</f>
      </c>
      <c r="AF710" s="334">
        <f>AE710*$B$8/12</f>
      </c>
      <c r="AG710" s="334">
        <f>AE710*$B$12/12</f>
      </c>
      <c r="AH710" s="565">
        <f>(1+$AI$5)^(AC710/12)*(AG710+IF(AD710=$AM$7,$AM$4,0))</f>
      </c>
      <c r="AI710" s="170"/>
      <c r="AJ710" s="7"/>
      <c r="AK710" s="1"/>
      <c r="AL710" s="1"/>
      <c r="AM710" s="1"/>
    </row>
    <row x14ac:dyDescent="0.25" r="711" customHeight="1" ht="18.75">
      <c r="A711" s="1"/>
      <c r="B711" s="169"/>
      <c r="C711" s="170"/>
      <c r="D711" s="331">
        <v>704</v>
      </c>
      <c r="E711" s="544">
        <f>+DATE(YEAR(E710),MONTH(E710)-1,DAY(E710))</f>
        <v>25569.041666666668</v>
      </c>
      <c r="F711" s="333">
        <f>IF($C$6=$E711,1,IF(MONTH($E711)=1,F712*(1+$F$5),F712))</f>
      </c>
      <c r="G711" s="333">
        <f>F711*$B$8/12</f>
      </c>
      <c r="H711" s="333">
        <f>IF(F711=1,F711*$B$10/MIN(12,'Simulador - 3º Pilar'!$E$88),0)</f>
      </c>
      <c r="I711" s="560">
        <f>(1+$G$5)^(D711/12)*(H711+IF(E711=$N$7,$N$4,0))</f>
      </c>
      <c r="J711" s="561">
        <f>(1+$G$5)^(D711/12)*(H711*(12-IF(MONTH(E712)=12,0,MONTH(E712)))+IF(AND(F711=1,F712=0),$Q$4,0))*IF(AND(F711=1,F712=0),1,0)</f>
      </c>
      <c r="K711" s="217">
        <f>(1+$G$5)^(D711/12)*(IF(E711=$N$7,$N$4,0)+IF(E711=$C$6,$B$10,0))</f>
      </c>
      <c r="L711" s="217">
        <f>(1+$G$5)^(D711/12)*(IF((E711)&gt;($B$6),H711,0)+IF(E711=$N$7,$N$4,0)+IF(E711=$C$6,0,0))</f>
      </c>
      <c r="M711" s="1"/>
      <c r="N711" s="7"/>
      <c r="O711" s="1"/>
      <c r="P711" s="331">
        <v>704</v>
      </c>
      <c r="Q711" s="544">
        <f>+DATE(YEAR(Q710),MONTH(Q710)-1,DAY(Q710))</f>
        <v>25569.041666666668</v>
      </c>
      <c r="R711" s="341">
        <f>IF($Z$7=$E711,1,IF(MONTH($E711)=1,R712*(1+$F$5),R712))</f>
      </c>
      <c r="S711" s="334">
        <f>R711*$B$8/12</f>
      </c>
      <c r="T711" s="334">
        <f>R711*$B$11/12</f>
      </c>
      <c r="U711" s="565">
        <f>(1+$V$5)^(P711/12)*(T711+IF(Q711=$Z$7,$Z$4,0))</f>
      </c>
      <c r="V711" s="170"/>
      <c r="W711" s="7"/>
      <c r="X711" s="1"/>
      <c r="Y711" s="1"/>
      <c r="Z711" s="1"/>
      <c r="AA711" s="1"/>
      <c r="AB711" s="1"/>
      <c r="AC711" s="331">
        <v>704</v>
      </c>
      <c r="AD711" s="544">
        <f>+DATE(YEAR(AD710),MONTH(AD710)-1,DAY(AD710))</f>
        <v>25569.041666666668</v>
      </c>
      <c r="AE711" s="341">
        <f>IF($AM$7=$E711,1,IF(MONTH($E711)=1,AE712*(1+$F$5),AE712))</f>
      </c>
      <c r="AF711" s="334">
        <f>AE711*$B$8/12</f>
      </c>
      <c r="AG711" s="334">
        <f>AE711*$B$12/12</f>
      </c>
      <c r="AH711" s="565">
        <f>(1+$AI$5)^(AC711/12)*(AG711+IF(AD711=$AM$7,$AM$4,0))</f>
      </c>
      <c r="AI711" s="170"/>
      <c r="AJ711" s="7"/>
      <c r="AK711" s="1"/>
      <c r="AL711" s="1"/>
      <c r="AM711" s="1"/>
    </row>
    <row x14ac:dyDescent="0.25" r="712" customHeight="1" ht="18.75">
      <c r="A712" s="1"/>
      <c r="B712" s="169"/>
      <c r="C712" s="170"/>
      <c r="D712" s="331">
        <v>705</v>
      </c>
      <c r="E712" s="544">
        <f>+DATE(YEAR(E711),MONTH(E711)-1,DAY(E711))</f>
        <v>25569.041666666668</v>
      </c>
      <c r="F712" s="333">
        <f>IF($C$6=$E712,1,IF(MONTH($E712)=1,F713*(1+$F$5),F713))</f>
      </c>
      <c r="G712" s="333">
        <f>F712*$B$8/12</f>
      </c>
      <c r="H712" s="333">
        <f>IF(F712=1,F712*$B$10/MIN(12,'Simulador - 3º Pilar'!$E$88),0)</f>
      </c>
      <c r="I712" s="560">
        <f>(1+$G$5)^(D712/12)*(H712+IF(E712=$N$7,$N$4,0))</f>
      </c>
      <c r="J712" s="561">
        <f>(1+$G$5)^(D712/12)*(H712*(12-IF(MONTH(E713)=12,0,MONTH(E713)))+IF(AND(F712=1,F713=0),$Q$4,0))*IF(AND(F712=1,F713=0),1,0)</f>
      </c>
      <c r="K712" s="217">
        <f>(1+$G$5)^(D712/12)*(IF(E712=$N$7,$N$4,0)+IF(E712=$C$6,$B$10,0))</f>
      </c>
      <c r="L712" s="217">
        <f>(1+$G$5)^(D712/12)*(IF((E712)&gt;($B$6),H712,0)+IF(E712=$N$7,$N$4,0)+IF(E712=$C$6,0,0))</f>
      </c>
      <c r="M712" s="1"/>
      <c r="N712" s="7"/>
      <c r="O712" s="1"/>
      <c r="P712" s="331">
        <v>705</v>
      </c>
      <c r="Q712" s="544">
        <f>+DATE(YEAR(Q711),MONTH(Q711)-1,DAY(Q711))</f>
        <v>25569.041666666668</v>
      </c>
      <c r="R712" s="341">
        <f>IF($Z$7=$E712,1,IF(MONTH($E712)=1,R713*(1+$F$5),R713))</f>
      </c>
      <c r="S712" s="334">
        <f>R712*$B$8/12</f>
      </c>
      <c r="T712" s="334">
        <f>R712*$B$11/12</f>
      </c>
      <c r="U712" s="565">
        <f>(1+$V$5)^(P712/12)*(T712+IF(Q712=$Z$7,$Z$4,0))</f>
      </c>
      <c r="V712" s="170"/>
      <c r="W712" s="7"/>
      <c r="X712" s="1"/>
      <c r="Y712" s="1"/>
      <c r="Z712" s="1"/>
      <c r="AA712" s="1"/>
      <c r="AB712" s="1"/>
      <c r="AC712" s="331">
        <v>705</v>
      </c>
      <c r="AD712" s="544">
        <f>+DATE(YEAR(AD711),MONTH(AD711)-1,DAY(AD711))</f>
        <v>25569.041666666668</v>
      </c>
      <c r="AE712" s="341">
        <f>IF($AM$7=$E712,1,IF(MONTH($E712)=1,AE713*(1+$F$5),AE713))</f>
      </c>
      <c r="AF712" s="334">
        <f>AE712*$B$8/12</f>
      </c>
      <c r="AG712" s="334">
        <f>AE712*$B$12/12</f>
      </c>
      <c r="AH712" s="565">
        <f>(1+$AI$5)^(AC712/12)*(AG712+IF(AD712=$AM$7,$AM$4,0))</f>
      </c>
      <c r="AI712" s="170"/>
      <c r="AJ712" s="7"/>
      <c r="AK712" s="1"/>
      <c r="AL712" s="1"/>
      <c r="AM712" s="1"/>
    </row>
    <row x14ac:dyDescent="0.25" r="713" customHeight="1" ht="18.75">
      <c r="A713" s="1"/>
      <c r="B713" s="169"/>
      <c r="C713" s="170"/>
      <c r="D713" s="331">
        <v>706</v>
      </c>
      <c r="E713" s="544">
        <f>+DATE(YEAR(E712),MONTH(E712)-1,DAY(E712))</f>
        <v>25569.041666666668</v>
      </c>
      <c r="F713" s="333">
        <f>IF($C$6=$E713,1,IF(MONTH($E713)=1,F714*(1+$F$5),F714))</f>
      </c>
      <c r="G713" s="333">
        <f>F713*$B$8/12</f>
      </c>
      <c r="H713" s="333">
        <f>IF(F713=1,F713*$B$10/MIN(12,'Simulador - 3º Pilar'!$E$88),0)</f>
      </c>
      <c r="I713" s="560">
        <f>(1+$G$5)^(D713/12)*(H713+IF(E713=$N$7,$N$4,0))</f>
      </c>
      <c r="J713" s="561">
        <f>(1+$G$5)^(D713/12)*(H713*(12-IF(MONTH(E714)=12,0,MONTH(E714)))+IF(AND(F713=1,F714=0),$Q$4,0))*IF(AND(F713=1,F714=0),1,0)</f>
      </c>
      <c r="K713" s="217">
        <f>(1+$G$5)^(D713/12)*(IF(E713=$N$7,$N$4,0)+IF(E713=$C$6,$B$10,0))</f>
      </c>
      <c r="L713" s="217">
        <f>(1+$G$5)^(D713/12)*(IF((E713)&gt;($B$6),H713,0)+IF(E713=$N$7,$N$4,0)+IF(E713=$C$6,0,0))</f>
      </c>
      <c r="M713" s="1"/>
      <c r="N713" s="7"/>
      <c r="O713" s="1"/>
      <c r="P713" s="331">
        <v>706</v>
      </c>
      <c r="Q713" s="544">
        <f>+DATE(YEAR(Q712),MONTH(Q712)-1,DAY(Q712))</f>
        <v>25569.041666666668</v>
      </c>
      <c r="R713" s="341">
        <f>IF($Z$7=$E713,1,IF(MONTH($E713)=1,R714*(1+$F$5),R714))</f>
      </c>
      <c r="S713" s="334">
        <f>R713*$B$8/12</f>
      </c>
      <c r="T713" s="334">
        <f>R713*$B$11/12</f>
      </c>
      <c r="U713" s="565">
        <f>(1+$V$5)^(P713/12)*(T713+IF(Q713=$Z$7,$Z$4,0))</f>
      </c>
      <c r="V713" s="170"/>
      <c r="W713" s="7"/>
      <c r="X713" s="1"/>
      <c r="Y713" s="1"/>
      <c r="Z713" s="1"/>
      <c r="AA713" s="1"/>
      <c r="AB713" s="1"/>
      <c r="AC713" s="331">
        <v>706</v>
      </c>
      <c r="AD713" s="544">
        <f>+DATE(YEAR(AD712),MONTH(AD712)-1,DAY(AD712))</f>
        <v>25569.041666666668</v>
      </c>
      <c r="AE713" s="341">
        <f>IF($AM$7=$E713,1,IF(MONTH($E713)=1,AE714*(1+$F$5),AE714))</f>
      </c>
      <c r="AF713" s="334">
        <f>AE713*$B$8/12</f>
      </c>
      <c r="AG713" s="334">
        <f>AE713*$B$12/12</f>
      </c>
      <c r="AH713" s="565">
        <f>(1+$AI$5)^(AC713/12)*(AG713+IF(AD713=$AM$7,$AM$4,0))</f>
      </c>
      <c r="AI713" s="170"/>
      <c r="AJ713" s="7"/>
      <c r="AK713" s="1"/>
      <c r="AL713" s="1"/>
      <c r="AM713" s="1"/>
    </row>
    <row x14ac:dyDescent="0.25" r="714" customHeight="1" ht="18.75">
      <c r="A714" s="1"/>
      <c r="B714" s="169"/>
      <c r="C714" s="170"/>
      <c r="D714" s="331">
        <v>707</v>
      </c>
      <c r="E714" s="544">
        <f>+DATE(YEAR(E713),MONTH(E713)-1,DAY(E713))</f>
        <v>25569.041666666668</v>
      </c>
      <c r="F714" s="333">
        <f>IF($C$6=$E714,1,IF(MONTH($E714)=1,F715*(1+$F$5),F715))</f>
      </c>
      <c r="G714" s="333">
        <f>F714*$B$8/12</f>
      </c>
      <c r="H714" s="333">
        <f>IF(F714=1,F714*$B$10/MIN(12,'Simulador - 3º Pilar'!$E$88),0)</f>
      </c>
      <c r="I714" s="560">
        <f>(1+$G$5)^(D714/12)*(H714+IF(E714=$N$7,$N$4,0))</f>
      </c>
      <c r="J714" s="561">
        <f>(1+$G$5)^(D714/12)*(H714*(12-IF(MONTH(E715)=12,0,MONTH(E715)))+IF(AND(F714=1,F715=0),$Q$4,0))*IF(AND(F714=1,F715=0),1,0)</f>
      </c>
      <c r="K714" s="217">
        <f>(1+$G$5)^(D714/12)*(IF(E714=$N$7,$N$4,0)+IF(E714=$C$6,$B$10,0))</f>
      </c>
      <c r="L714" s="217">
        <f>(1+$G$5)^(D714/12)*(IF((E714)&gt;($B$6),H714,0)+IF(E714=$N$7,$N$4,0)+IF(E714=$C$6,0,0))</f>
      </c>
      <c r="M714" s="1"/>
      <c r="N714" s="7"/>
      <c r="O714" s="1"/>
      <c r="P714" s="331">
        <v>707</v>
      </c>
      <c r="Q714" s="544">
        <f>+DATE(YEAR(Q713),MONTH(Q713)-1,DAY(Q713))</f>
        <v>25569.041666666668</v>
      </c>
      <c r="R714" s="341">
        <f>IF($Z$7=$E714,1,IF(MONTH($E714)=1,R715*(1+$F$5),R715))</f>
      </c>
      <c r="S714" s="334">
        <f>R714*$B$8/12</f>
      </c>
      <c r="T714" s="334">
        <f>R714*$B$11/12</f>
      </c>
      <c r="U714" s="565">
        <f>(1+$V$5)^(P714/12)*(T714+IF(Q714=$Z$7,$Z$4,0))</f>
      </c>
      <c r="V714" s="170"/>
      <c r="W714" s="7"/>
      <c r="X714" s="1"/>
      <c r="Y714" s="1"/>
      <c r="Z714" s="1"/>
      <c r="AA714" s="1"/>
      <c r="AB714" s="1"/>
      <c r="AC714" s="331">
        <v>707</v>
      </c>
      <c r="AD714" s="544">
        <f>+DATE(YEAR(AD713),MONTH(AD713)-1,DAY(AD713))</f>
        <v>25569.041666666668</v>
      </c>
      <c r="AE714" s="341">
        <f>IF($AM$7=$E714,1,IF(MONTH($E714)=1,AE715*(1+$F$5),AE715))</f>
      </c>
      <c r="AF714" s="334">
        <f>AE714*$B$8/12</f>
      </c>
      <c r="AG714" s="334">
        <f>AE714*$B$12/12</f>
      </c>
      <c r="AH714" s="565">
        <f>(1+$AI$5)^(AC714/12)*(AG714+IF(AD714=$AM$7,$AM$4,0))</f>
      </c>
      <c r="AI714" s="170"/>
      <c r="AJ714" s="7"/>
      <c r="AK714" s="1"/>
      <c r="AL714" s="1"/>
      <c r="AM714" s="1"/>
    </row>
    <row x14ac:dyDescent="0.25" r="715" customHeight="1" ht="18.75">
      <c r="A715" s="1"/>
      <c r="B715" s="169"/>
      <c r="C715" s="170"/>
      <c r="D715" s="331">
        <v>708</v>
      </c>
      <c r="E715" s="544">
        <f>+DATE(YEAR(E714),MONTH(E714)-1,DAY(E714))</f>
        <v>25569.041666666668</v>
      </c>
      <c r="F715" s="333">
        <f>IF($C$6=$E715,1,IF(MONTH($E715)=1,F716*(1+$F$5),F716))</f>
      </c>
      <c r="G715" s="333">
        <f>F715*$B$8/12</f>
      </c>
      <c r="H715" s="333">
        <f>IF(F715=1,F715*$B$10/MIN(12,'Simulador - 3º Pilar'!$E$88),0)</f>
      </c>
      <c r="I715" s="560">
        <f>(1+$G$5)^(D715/12)*(H715+IF(E715=$N$7,$N$4,0))</f>
      </c>
      <c r="J715" s="561">
        <f>(1+$G$5)^(D715/12)*(H715*(12-IF(MONTH(E716)=12,0,MONTH(E716)))+IF(AND(F715=1,F716=0),$Q$4,0))*IF(AND(F715=1,F716=0),1,0)</f>
      </c>
      <c r="K715" s="217">
        <f>(1+$G$5)^(D715/12)*(IF(E715=$N$7,$N$4,0)+IF(E715=$C$6,$B$10,0))</f>
      </c>
      <c r="L715" s="217">
        <f>(1+$G$5)^(D715/12)*(IF((E715)&gt;($B$6),H715,0)+IF(E715=$N$7,$N$4,0)+IF(E715=$C$6,0,0))</f>
      </c>
      <c r="M715" s="1"/>
      <c r="N715" s="7"/>
      <c r="O715" s="1"/>
      <c r="P715" s="331">
        <v>708</v>
      </c>
      <c r="Q715" s="544">
        <f>+DATE(YEAR(Q714),MONTH(Q714)-1,DAY(Q714))</f>
        <v>25569.041666666668</v>
      </c>
      <c r="R715" s="341">
        <f>IF($Z$7=$E715,1,IF(MONTH($E715)=1,R716*(1+$F$5),R716))</f>
      </c>
      <c r="S715" s="334">
        <f>R715*$B$8/12</f>
      </c>
      <c r="T715" s="334">
        <f>R715*$B$11/12</f>
      </c>
      <c r="U715" s="565">
        <f>(1+$V$5)^(P715/12)*(T715+IF(Q715=$Z$7,$Z$4,0))</f>
      </c>
      <c r="V715" s="170"/>
      <c r="W715" s="7"/>
      <c r="X715" s="1"/>
      <c r="Y715" s="1"/>
      <c r="Z715" s="1"/>
      <c r="AA715" s="1"/>
      <c r="AB715" s="1"/>
      <c r="AC715" s="331">
        <v>708</v>
      </c>
      <c r="AD715" s="544">
        <f>+DATE(YEAR(AD714),MONTH(AD714)-1,DAY(AD714))</f>
        <v>25569.041666666668</v>
      </c>
      <c r="AE715" s="341">
        <f>IF($AM$7=$E715,1,IF(MONTH($E715)=1,AE716*(1+$F$5),AE716))</f>
      </c>
      <c r="AF715" s="334">
        <f>AE715*$B$8/12</f>
      </c>
      <c r="AG715" s="334">
        <f>AE715*$B$12/12</f>
      </c>
      <c r="AH715" s="565">
        <f>(1+$AI$5)^(AC715/12)*(AG715+IF(AD715=$AM$7,$AM$4,0))</f>
      </c>
      <c r="AI715" s="170"/>
      <c r="AJ715" s="7"/>
      <c r="AK715" s="1"/>
      <c r="AL715" s="1"/>
      <c r="AM715" s="1"/>
    </row>
    <row x14ac:dyDescent="0.25" r="716" customHeight="1" ht="18.75">
      <c r="A716" s="1"/>
      <c r="B716" s="169"/>
      <c r="C716" s="170"/>
      <c r="D716" s="331">
        <v>709</v>
      </c>
      <c r="E716" s="544">
        <f>+DATE(YEAR(E715),MONTH(E715)-1,DAY(E715))</f>
        <v>25569.041666666668</v>
      </c>
      <c r="F716" s="333">
        <f>IF($C$6=$E716,1,IF(MONTH($E716)=1,F717*(1+$F$5),F717))</f>
      </c>
      <c r="G716" s="333">
        <f>F716*$B$8/12</f>
      </c>
      <c r="H716" s="333">
        <f>IF(F716=1,F716*$B$10/MIN(12,'Simulador - 3º Pilar'!$E$88),0)</f>
      </c>
      <c r="I716" s="560">
        <f>(1+$G$5)^(D716/12)*(H716+IF(E716=$N$7,$N$4,0))</f>
      </c>
      <c r="J716" s="561">
        <f>(1+$G$5)^(D716/12)*(H716*(12-IF(MONTH(E717)=12,0,MONTH(E717)))+IF(AND(F716=1,F717=0),$Q$4,0))*IF(AND(F716=1,F717=0),1,0)</f>
      </c>
      <c r="K716" s="217">
        <f>(1+$G$5)^(D716/12)*(IF(E716=$N$7,$N$4,0)+IF(E716=$C$6,$B$10,0))</f>
      </c>
      <c r="L716" s="217">
        <f>(1+$G$5)^(D716/12)*(IF((E716)&gt;($B$6),H716,0)+IF(E716=$N$7,$N$4,0)+IF(E716=$C$6,0,0))</f>
      </c>
      <c r="M716" s="1"/>
      <c r="N716" s="7"/>
      <c r="O716" s="1"/>
      <c r="P716" s="331">
        <v>709</v>
      </c>
      <c r="Q716" s="544">
        <f>+DATE(YEAR(Q715),MONTH(Q715)-1,DAY(Q715))</f>
        <v>25569.041666666668</v>
      </c>
      <c r="R716" s="341">
        <f>IF($Z$7=$E716,1,IF(MONTH($E716)=1,R717*(1+$F$5),R717))</f>
      </c>
      <c r="S716" s="334">
        <f>R716*$B$8/12</f>
      </c>
      <c r="T716" s="334">
        <f>R716*$B$11/12</f>
      </c>
      <c r="U716" s="565">
        <f>(1+$V$5)^(P716/12)*(T716+IF(Q716=$Z$7,$Z$4,0))</f>
      </c>
      <c r="V716" s="170"/>
      <c r="W716" s="7"/>
      <c r="X716" s="1"/>
      <c r="Y716" s="1"/>
      <c r="Z716" s="1"/>
      <c r="AA716" s="1"/>
      <c r="AB716" s="1"/>
      <c r="AC716" s="331">
        <v>709</v>
      </c>
      <c r="AD716" s="544">
        <f>+DATE(YEAR(AD715),MONTH(AD715)-1,DAY(AD715))</f>
        <v>25569.041666666668</v>
      </c>
      <c r="AE716" s="341">
        <f>IF($AM$7=$E716,1,IF(MONTH($E716)=1,AE717*(1+$F$5),AE717))</f>
      </c>
      <c r="AF716" s="334">
        <f>AE716*$B$8/12</f>
      </c>
      <c r="AG716" s="334">
        <f>AE716*$B$12/12</f>
      </c>
      <c r="AH716" s="565">
        <f>(1+$AI$5)^(AC716/12)*(AG716+IF(AD716=$AM$7,$AM$4,0))</f>
      </c>
      <c r="AI716" s="170"/>
      <c r="AJ716" s="7"/>
      <c r="AK716" s="1"/>
      <c r="AL716" s="1"/>
      <c r="AM716" s="1"/>
    </row>
    <row x14ac:dyDescent="0.25" r="717" customHeight="1" ht="18.75">
      <c r="A717" s="1"/>
      <c r="B717" s="169"/>
      <c r="C717" s="170"/>
      <c r="D717" s="331">
        <v>710</v>
      </c>
      <c r="E717" s="544">
        <f>+DATE(YEAR(E716),MONTH(E716)-1,DAY(E716))</f>
        <v>25569.041666666668</v>
      </c>
      <c r="F717" s="333">
        <f>IF($C$6=$E717,1,IF(MONTH($E717)=1,F718*(1+$F$5),F718))</f>
      </c>
      <c r="G717" s="333">
        <f>F717*$B$8/12</f>
      </c>
      <c r="H717" s="333">
        <f>IF(F717=1,F717*$B$10/MIN(12,'Simulador - 3º Pilar'!$E$88),0)</f>
      </c>
      <c r="I717" s="560">
        <f>(1+$G$5)^(D717/12)*(H717+IF(E717=$N$7,$N$4,0))</f>
      </c>
      <c r="J717" s="561">
        <f>(1+$G$5)^(D717/12)*(H717*(12-IF(MONTH(E718)=12,0,MONTH(E718)))+IF(AND(F717=1,F718=0),$Q$4,0))*IF(AND(F717=1,F718=0),1,0)</f>
      </c>
      <c r="K717" s="217">
        <f>(1+$G$5)^(D717/12)*(IF(E717=$N$7,$N$4,0)+IF(E717=$C$6,$B$10,0))</f>
      </c>
      <c r="L717" s="217">
        <f>(1+$G$5)^(D717/12)*(IF((E717)&gt;($B$6),H717,0)+IF(E717=$N$7,$N$4,0)+IF(E717=$C$6,0,0))</f>
      </c>
      <c r="M717" s="1"/>
      <c r="N717" s="7"/>
      <c r="O717" s="1"/>
      <c r="P717" s="331">
        <v>710</v>
      </c>
      <c r="Q717" s="544">
        <f>+DATE(YEAR(Q716),MONTH(Q716)-1,DAY(Q716))</f>
        <v>25569.041666666668</v>
      </c>
      <c r="R717" s="341">
        <f>IF($Z$7=$E717,1,IF(MONTH($E717)=1,R718*(1+$F$5),R718))</f>
      </c>
      <c r="S717" s="334">
        <f>R717*$B$8/12</f>
      </c>
      <c r="T717" s="334">
        <f>R717*$B$11/12</f>
      </c>
      <c r="U717" s="565">
        <f>(1+$V$5)^(P717/12)*(T717+IF(Q717=$Z$7,$Z$4,0))</f>
      </c>
      <c r="V717" s="170"/>
      <c r="W717" s="7"/>
      <c r="X717" s="1"/>
      <c r="Y717" s="1"/>
      <c r="Z717" s="1"/>
      <c r="AA717" s="1"/>
      <c r="AB717" s="1"/>
      <c r="AC717" s="331">
        <v>710</v>
      </c>
      <c r="AD717" s="544">
        <f>+DATE(YEAR(AD716),MONTH(AD716)-1,DAY(AD716))</f>
        <v>25569.041666666668</v>
      </c>
      <c r="AE717" s="341">
        <f>IF($AM$7=$E717,1,IF(MONTH($E717)=1,AE718*(1+$F$5),AE718))</f>
      </c>
      <c r="AF717" s="334">
        <f>AE717*$B$8/12</f>
      </c>
      <c r="AG717" s="334">
        <f>AE717*$B$12/12</f>
      </c>
      <c r="AH717" s="565">
        <f>(1+$AI$5)^(AC717/12)*(AG717+IF(AD717=$AM$7,$AM$4,0))</f>
      </c>
      <c r="AI717" s="170"/>
      <c r="AJ717" s="7"/>
      <c r="AK717" s="1"/>
      <c r="AL717" s="1"/>
      <c r="AM717" s="1"/>
    </row>
    <row x14ac:dyDescent="0.25" r="718" customHeight="1" ht="18.75">
      <c r="A718" s="1"/>
      <c r="B718" s="169"/>
      <c r="C718" s="170"/>
      <c r="D718" s="331">
        <v>711</v>
      </c>
      <c r="E718" s="544">
        <f>+DATE(YEAR(E717),MONTH(E717)-1,DAY(E717))</f>
        <v>25569.041666666668</v>
      </c>
      <c r="F718" s="333">
        <f>IF($C$6=$E718,1,IF(MONTH($E718)=1,F719*(1+$F$5),F719))</f>
      </c>
      <c r="G718" s="333">
        <f>F718*$B$8/12</f>
      </c>
      <c r="H718" s="333">
        <f>IF(F718=1,F718*$B$10/MIN(12,'Simulador - 3º Pilar'!$E$88),0)</f>
      </c>
      <c r="I718" s="560">
        <f>(1+$G$5)^(D718/12)*(H718+IF(E718=$N$7,$N$4,0))</f>
      </c>
      <c r="J718" s="561">
        <f>(1+$G$5)^(D718/12)*(H718*(12-IF(MONTH(E719)=12,0,MONTH(E719)))+IF(AND(F718=1,F719=0),$Q$4,0))*IF(AND(F718=1,F719=0),1,0)</f>
      </c>
      <c r="K718" s="217">
        <f>(1+$G$5)^(D718/12)*(IF(E718=$N$7,$N$4,0)+IF(E718=$C$6,$B$10,0))</f>
      </c>
      <c r="L718" s="217">
        <f>(1+$G$5)^(D718/12)*(IF((E718)&gt;($B$6),H718,0)+IF(E718=$N$7,$N$4,0)+IF(E718=$C$6,0,0))</f>
      </c>
      <c r="M718" s="1"/>
      <c r="N718" s="7"/>
      <c r="O718" s="1"/>
      <c r="P718" s="331">
        <v>711</v>
      </c>
      <c r="Q718" s="544">
        <f>+DATE(YEAR(Q717),MONTH(Q717)-1,DAY(Q717))</f>
        <v>25569.041666666668</v>
      </c>
      <c r="R718" s="341">
        <f>IF($Z$7=$E718,1,IF(MONTH($E718)=1,R719*(1+$F$5),R719))</f>
      </c>
      <c r="S718" s="334">
        <f>R718*$B$8/12</f>
      </c>
      <c r="T718" s="334">
        <f>R718*$B$11/12</f>
      </c>
      <c r="U718" s="565">
        <f>(1+$V$5)^(P718/12)*(T718+IF(Q718=$Z$7,$Z$4,0))</f>
      </c>
      <c r="V718" s="170"/>
      <c r="W718" s="7"/>
      <c r="X718" s="1"/>
      <c r="Y718" s="1"/>
      <c r="Z718" s="1"/>
      <c r="AA718" s="1"/>
      <c r="AB718" s="1"/>
      <c r="AC718" s="331">
        <v>711</v>
      </c>
      <c r="AD718" s="544">
        <f>+DATE(YEAR(AD717),MONTH(AD717)-1,DAY(AD717))</f>
        <v>25569.041666666668</v>
      </c>
      <c r="AE718" s="341">
        <f>IF($AM$7=$E718,1,IF(MONTH($E718)=1,AE719*(1+$F$5),AE719))</f>
      </c>
      <c r="AF718" s="334">
        <f>AE718*$B$8/12</f>
      </c>
      <c r="AG718" s="334">
        <f>AE718*$B$12/12</f>
      </c>
      <c r="AH718" s="565">
        <f>(1+$AI$5)^(AC718/12)*(AG718+IF(AD718=$AM$7,$AM$4,0))</f>
      </c>
      <c r="AI718" s="170"/>
      <c r="AJ718" s="7"/>
      <c r="AK718" s="1"/>
      <c r="AL718" s="1"/>
      <c r="AM718" s="1"/>
    </row>
    <row x14ac:dyDescent="0.25" r="719" customHeight="1" ht="18.75">
      <c r="A719" s="1"/>
      <c r="B719" s="169"/>
      <c r="C719" s="170"/>
      <c r="D719" s="331">
        <v>712</v>
      </c>
      <c r="E719" s="544">
        <f>+DATE(YEAR(E718),MONTH(E718)-1,DAY(E718))</f>
        <v>25569.041666666668</v>
      </c>
      <c r="F719" s="333">
        <f>IF($C$6=$E719,1,IF(MONTH($E719)=1,F720*(1+$F$5),F720))</f>
      </c>
      <c r="G719" s="333">
        <f>F719*$B$8/12</f>
      </c>
      <c r="H719" s="333">
        <f>IF(F719=1,F719*$B$10/MIN(12,'Simulador - 3º Pilar'!$E$88),0)</f>
      </c>
      <c r="I719" s="560">
        <f>(1+$G$5)^(D719/12)*(H719+IF(E719=$N$7,$N$4,0))</f>
      </c>
      <c r="J719" s="561">
        <f>(1+$G$5)^(D719/12)*(H719*(12-IF(MONTH(E720)=12,0,MONTH(E720)))+IF(AND(F719=1,F720=0),$Q$4,0))*IF(AND(F719=1,F720=0),1,0)</f>
      </c>
      <c r="K719" s="217">
        <f>(1+$G$5)^(D719/12)*(IF(E719=$N$7,$N$4,0)+IF(E719=$C$6,$B$10,0))</f>
      </c>
      <c r="L719" s="217">
        <f>(1+$G$5)^(D719/12)*(IF((E719)&gt;($B$6),H719,0)+IF(E719=$N$7,$N$4,0)+IF(E719=$C$6,0,0))</f>
      </c>
      <c r="M719" s="1"/>
      <c r="N719" s="7"/>
      <c r="O719" s="1"/>
      <c r="P719" s="331">
        <v>712</v>
      </c>
      <c r="Q719" s="544">
        <f>+DATE(YEAR(Q718),MONTH(Q718)-1,DAY(Q718))</f>
        <v>25569.041666666668</v>
      </c>
      <c r="R719" s="341">
        <f>IF($Z$7=$E719,1,IF(MONTH($E719)=1,R720*(1+$F$5),R720))</f>
      </c>
      <c r="S719" s="334">
        <f>R719*$B$8/12</f>
      </c>
      <c r="T719" s="334">
        <f>R719*$B$11/12</f>
      </c>
      <c r="U719" s="565">
        <f>(1+$V$5)^(P719/12)*(T719+IF(Q719=$Z$7,$Z$4,0))</f>
      </c>
      <c r="V719" s="170"/>
      <c r="W719" s="7"/>
      <c r="X719" s="1"/>
      <c r="Y719" s="1"/>
      <c r="Z719" s="1"/>
      <c r="AA719" s="1"/>
      <c r="AB719" s="1"/>
      <c r="AC719" s="331">
        <v>712</v>
      </c>
      <c r="AD719" s="544">
        <f>+DATE(YEAR(AD718),MONTH(AD718)-1,DAY(AD718))</f>
        <v>25569.041666666668</v>
      </c>
      <c r="AE719" s="341">
        <f>IF($AM$7=$E719,1,IF(MONTH($E719)=1,AE720*(1+$F$5),AE720))</f>
      </c>
      <c r="AF719" s="334">
        <f>AE719*$B$8/12</f>
      </c>
      <c r="AG719" s="334">
        <f>AE719*$B$12/12</f>
      </c>
      <c r="AH719" s="565">
        <f>(1+$AI$5)^(AC719/12)*(AG719+IF(AD719=$AM$7,$AM$4,0))</f>
      </c>
      <c r="AI719" s="170"/>
      <c r="AJ719" s="7"/>
      <c r="AK719" s="1"/>
      <c r="AL719" s="1"/>
      <c r="AM719" s="1"/>
    </row>
    <row x14ac:dyDescent="0.25" r="720" customHeight="1" ht="18.75">
      <c r="A720" s="1"/>
      <c r="B720" s="169"/>
      <c r="C720" s="170"/>
      <c r="D720" s="331">
        <v>713</v>
      </c>
      <c r="E720" s="544">
        <f>+DATE(YEAR(E719),MONTH(E719)-1,DAY(E719))</f>
        <v>25569.041666666668</v>
      </c>
      <c r="F720" s="333">
        <f>IF($C$6=$E720,1,IF(MONTH($E720)=1,F721*(1+$F$5),F721))</f>
      </c>
      <c r="G720" s="333">
        <f>F720*$B$8/12</f>
      </c>
      <c r="H720" s="333">
        <f>IF(F720=1,F720*$B$10/MIN(12,'Simulador - 3º Pilar'!$E$88),0)</f>
      </c>
      <c r="I720" s="560">
        <f>(1+$G$5)^(D720/12)*(H720+IF(E720=$N$7,$N$4,0))</f>
      </c>
      <c r="J720" s="561">
        <f>(1+$G$5)^(D720/12)*(H720*(12-IF(MONTH(E721)=12,0,MONTH(E721)))+IF(AND(F720=1,F721=0),$Q$4,0))*IF(AND(F720=1,F721=0),1,0)</f>
      </c>
      <c r="K720" s="217">
        <f>(1+$G$5)^(D720/12)*(IF(E720=$N$7,$N$4,0)+IF(E720=$C$6,$B$10,0))</f>
      </c>
      <c r="L720" s="217">
        <f>(1+$G$5)^(D720/12)*(IF((E720)&gt;($B$6),H720,0)+IF(E720=$N$7,$N$4,0)+IF(E720=$C$6,0,0))</f>
      </c>
      <c r="M720" s="1"/>
      <c r="N720" s="7"/>
      <c r="O720" s="1"/>
      <c r="P720" s="331">
        <v>713</v>
      </c>
      <c r="Q720" s="544">
        <f>+DATE(YEAR(Q719),MONTH(Q719)-1,DAY(Q719))</f>
        <v>25569.041666666668</v>
      </c>
      <c r="R720" s="341">
        <f>IF($Z$7=$E720,1,IF(MONTH($E720)=1,R721*(1+$F$5),R721))</f>
      </c>
      <c r="S720" s="334">
        <f>R720*$B$8/12</f>
      </c>
      <c r="T720" s="334">
        <f>R720*$B$11/12</f>
      </c>
      <c r="U720" s="565">
        <f>(1+$V$5)^(P720/12)*(T720+IF(Q720=$Z$7,$Z$4,0))</f>
      </c>
      <c r="V720" s="170"/>
      <c r="W720" s="7"/>
      <c r="X720" s="1"/>
      <c r="Y720" s="1"/>
      <c r="Z720" s="1"/>
      <c r="AA720" s="1"/>
      <c r="AB720" s="1"/>
      <c r="AC720" s="331">
        <v>713</v>
      </c>
      <c r="AD720" s="544">
        <f>+DATE(YEAR(AD719),MONTH(AD719)-1,DAY(AD719))</f>
        <v>25569.041666666668</v>
      </c>
      <c r="AE720" s="341">
        <f>IF($AM$7=$E720,1,IF(MONTH($E720)=1,AE721*(1+$F$5),AE721))</f>
      </c>
      <c r="AF720" s="334">
        <f>AE720*$B$8/12</f>
      </c>
      <c r="AG720" s="334">
        <f>AE720*$B$12/12</f>
      </c>
      <c r="AH720" s="565">
        <f>(1+$AI$5)^(AC720/12)*(AG720+IF(AD720=$AM$7,$AM$4,0))</f>
      </c>
      <c r="AI720" s="170"/>
      <c r="AJ720" s="7"/>
      <c r="AK720" s="1"/>
      <c r="AL720" s="1"/>
      <c r="AM720" s="1"/>
    </row>
    <row x14ac:dyDescent="0.25" r="721" customHeight="1" ht="18.75">
      <c r="A721" s="1"/>
      <c r="B721" s="169"/>
      <c r="C721" s="170"/>
      <c r="D721" s="331">
        <v>714</v>
      </c>
      <c r="E721" s="544">
        <f>+DATE(YEAR(E720),MONTH(E720)-1,DAY(E720))</f>
        <v>25569.041666666668</v>
      </c>
      <c r="F721" s="333">
        <f>IF($C$6=$E721,1,IF(MONTH($E721)=1,F722*(1+$F$5),F722))</f>
      </c>
      <c r="G721" s="333">
        <f>F721*$B$8/12</f>
      </c>
      <c r="H721" s="333">
        <f>IF(F721=1,F721*$B$10/MIN(12,'Simulador - 3º Pilar'!$E$88),0)</f>
      </c>
      <c r="I721" s="560">
        <f>(1+$G$5)^(D721/12)*(H721+IF(E721=$N$7,$N$4,0))</f>
      </c>
      <c r="J721" s="561">
        <f>(1+$G$5)^(D721/12)*(H721*(12-IF(MONTH(E722)=12,0,MONTH(E722)))+IF(AND(F721=1,F722=0),$Q$4,0))*IF(AND(F721=1,F722=0),1,0)</f>
      </c>
      <c r="K721" s="217">
        <f>(1+$G$5)^(D721/12)*(IF(E721=$N$7,$N$4,0)+IF(E721=$C$6,$B$10,0))</f>
      </c>
      <c r="L721" s="217">
        <f>(1+$G$5)^(D721/12)*(IF((E721)&gt;($B$6),H721,0)+IF(E721=$N$7,$N$4,0)+IF(E721=$C$6,0,0))</f>
      </c>
      <c r="M721" s="1"/>
      <c r="N721" s="7"/>
      <c r="O721" s="1"/>
      <c r="P721" s="331">
        <v>714</v>
      </c>
      <c r="Q721" s="544">
        <f>+DATE(YEAR(Q720),MONTH(Q720)-1,DAY(Q720))</f>
        <v>25569.041666666668</v>
      </c>
      <c r="R721" s="341">
        <f>IF($Z$7=$E721,1,IF(MONTH($E721)=1,R722*(1+$F$5),R722))</f>
      </c>
      <c r="S721" s="334">
        <f>R721*$B$8/12</f>
      </c>
      <c r="T721" s="334">
        <f>R721*$B$11/12</f>
      </c>
      <c r="U721" s="565">
        <f>(1+$V$5)^(P721/12)*(T721+IF(Q721=$Z$7,$Z$4,0))</f>
      </c>
      <c r="V721" s="170"/>
      <c r="W721" s="7"/>
      <c r="X721" s="1"/>
      <c r="Y721" s="1"/>
      <c r="Z721" s="1"/>
      <c r="AA721" s="1"/>
      <c r="AB721" s="1"/>
      <c r="AC721" s="331">
        <v>714</v>
      </c>
      <c r="AD721" s="544">
        <f>+DATE(YEAR(AD720),MONTH(AD720)-1,DAY(AD720))</f>
        <v>25569.041666666668</v>
      </c>
      <c r="AE721" s="341">
        <f>IF($AM$7=$E721,1,IF(MONTH($E721)=1,AE722*(1+$F$5),AE722))</f>
      </c>
      <c r="AF721" s="334">
        <f>AE721*$B$8/12</f>
      </c>
      <c r="AG721" s="334">
        <f>AE721*$B$12/12</f>
      </c>
      <c r="AH721" s="565">
        <f>(1+$AI$5)^(AC721/12)*(AG721+IF(AD721=$AM$7,$AM$4,0))</f>
      </c>
      <c r="AI721" s="170"/>
      <c r="AJ721" s="7"/>
      <c r="AK721" s="1"/>
      <c r="AL721" s="1"/>
      <c r="AM721" s="1"/>
    </row>
    <row x14ac:dyDescent="0.25" r="722" customHeight="1" ht="18.75">
      <c r="A722" s="1"/>
      <c r="B722" s="169"/>
      <c r="C722" s="170"/>
      <c r="D722" s="331">
        <v>715</v>
      </c>
      <c r="E722" s="544">
        <f>+DATE(YEAR(E721),MONTH(E721)-1,DAY(E721))</f>
        <v>25569.041666666668</v>
      </c>
      <c r="F722" s="333">
        <f>IF($C$6=$E722,1,IF(MONTH($E722)=1,F723*(1+$F$5),F723))</f>
      </c>
      <c r="G722" s="333">
        <f>F722*$B$8/12</f>
      </c>
      <c r="H722" s="333">
        <f>IF(F722=1,F722*$B$10/MIN(12,'Simulador - 3º Pilar'!$E$88),0)</f>
      </c>
      <c r="I722" s="560">
        <f>(1+$G$5)^(D722/12)*(H722+IF(E722=$N$7,$N$4,0))</f>
      </c>
      <c r="J722" s="561">
        <f>(1+$G$5)^(D722/12)*(H722*(12-IF(MONTH(E723)=12,0,MONTH(E723)))+IF(AND(F722=1,F723=0),$Q$4,0))*IF(AND(F722=1,F723=0),1,0)</f>
      </c>
      <c r="K722" s="217">
        <f>(1+$G$5)^(D722/12)*(IF(E722=$N$7,$N$4,0)+IF(E722=$C$6,$B$10,0))</f>
      </c>
      <c r="L722" s="217">
        <f>(1+$G$5)^(D722/12)*(IF((E722)&gt;($B$6),H722,0)+IF(E722=$N$7,$N$4,0)+IF(E722=$C$6,0,0))</f>
      </c>
      <c r="M722" s="1"/>
      <c r="N722" s="7"/>
      <c r="O722" s="1"/>
      <c r="P722" s="331">
        <v>715</v>
      </c>
      <c r="Q722" s="544">
        <f>+DATE(YEAR(Q721),MONTH(Q721)-1,DAY(Q721))</f>
        <v>25569.041666666668</v>
      </c>
      <c r="R722" s="341">
        <f>IF($Z$7=$E722,1,IF(MONTH($E722)=1,R723*(1+$F$5),R723))</f>
      </c>
      <c r="S722" s="334">
        <f>R722*$B$8/12</f>
      </c>
      <c r="T722" s="334">
        <f>R722*$B$11/12</f>
      </c>
      <c r="U722" s="565">
        <f>(1+$V$5)^(P722/12)*(T722+IF(Q722=$Z$7,$Z$4,0))</f>
      </c>
      <c r="V722" s="170"/>
      <c r="W722" s="7"/>
      <c r="X722" s="1"/>
      <c r="Y722" s="1"/>
      <c r="Z722" s="1"/>
      <c r="AA722" s="1"/>
      <c r="AB722" s="1"/>
      <c r="AC722" s="331">
        <v>715</v>
      </c>
      <c r="AD722" s="544">
        <f>+DATE(YEAR(AD721),MONTH(AD721)-1,DAY(AD721))</f>
        <v>25569.041666666668</v>
      </c>
      <c r="AE722" s="341">
        <f>IF($AM$7=$E722,1,IF(MONTH($E722)=1,AE723*(1+$F$5),AE723))</f>
      </c>
      <c r="AF722" s="334">
        <f>AE722*$B$8/12</f>
      </c>
      <c r="AG722" s="334">
        <f>AE722*$B$12/12</f>
      </c>
      <c r="AH722" s="565">
        <f>(1+$AI$5)^(AC722/12)*(AG722+IF(AD722=$AM$7,$AM$4,0))</f>
      </c>
      <c r="AI722" s="170"/>
      <c r="AJ722" s="7"/>
      <c r="AK722" s="1"/>
      <c r="AL722" s="1"/>
      <c r="AM722" s="1"/>
    </row>
    <row x14ac:dyDescent="0.25" r="723" customHeight="1" ht="18.75">
      <c r="A723" s="1"/>
      <c r="B723" s="169"/>
      <c r="C723" s="170"/>
      <c r="D723" s="331">
        <v>716</v>
      </c>
      <c r="E723" s="544">
        <f>+DATE(YEAR(E722),MONTH(E722)-1,DAY(E722))</f>
        <v>25569.041666666668</v>
      </c>
      <c r="F723" s="333">
        <f>IF($C$6=$E723,1,IF(MONTH($E723)=1,F724*(1+$F$5),F724))</f>
      </c>
      <c r="G723" s="333">
        <f>F723*$B$8/12</f>
      </c>
      <c r="H723" s="333">
        <f>IF(F723=1,F723*$B$10/MIN(12,'Simulador - 3º Pilar'!$E$88),0)</f>
      </c>
      <c r="I723" s="560">
        <f>(1+$G$5)^(D723/12)*(H723+IF(E723=$N$7,$N$4,0))</f>
      </c>
      <c r="J723" s="561">
        <f>(1+$G$5)^(D723/12)*(H723*(12-IF(MONTH(E724)=12,0,MONTH(E724)))+IF(AND(F723=1,F724=0),$Q$4,0))*IF(AND(F723=1,F724=0),1,0)</f>
      </c>
      <c r="K723" s="217">
        <f>(1+$G$5)^(D723/12)*(IF(E723=$N$7,$N$4,0)+IF(E723=$C$6,$B$10,0))</f>
      </c>
      <c r="L723" s="217">
        <f>(1+$G$5)^(D723/12)*(IF((E723)&gt;($B$6),H723,0)+IF(E723=$N$7,$N$4,0)+IF(E723=$C$6,0,0))</f>
      </c>
      <c r="M723" s="1"/>
      <c r="N723" s="7"/>
      <c r="O723" s="1"/>
      <c r="P723" s="331">
        <v>716</v>
      </c>
      <c r="Q723" s="544">
        <f>+DATE(YEAR(Q722),MONTH(Q722)-1,DAY(Q722))</f>
        <v>25569.041666666668</v>
      </c>
      <c r="R723" s="341">
        <f>IF($Z$7=$E723,1,IF(MONTH($E723)=1,R724*(1+$F$5),R724))</f>
      </c>
      <c r="S723" s="334">
        <f>R723*$B$8/12</f>
      </c>
      <c r="T723" s="334">
        <f>R723*$B$11/12</f>
      </c>
      <c r="U723" s="565">
        <f>(1+$V$5)^(P723/12)*(T723+IF(Q723=$Z$7,$Z$4,0))</f>
      </c>
      <c r="V723" s="170"/>
      <c r="W723" s="7"/>
      <c r="X723" s="1"/>
      <c r="Y723" s="1"/>
      <c r="Z723" s="1"/>
      <c r="AA723" s="1"/>
      <c r="AB723" s="1"/>
      <c r="AC723" s="331">
        <v>716</v>
      </c>
      <c r="AD723" s="544">
        <f>+DATE(YEAR(AD722),MONTH(AD722)-1,DAY(AD722))</f>
        <v>25569.041666666668</v>
      </c>
      <c r="AE723" s="341">
        <f>IF($AM$7=$E723,1,IF(MONTH($E723)=1,AE724*(1+$F$5),AE724))</f>
      </c>
      <c r="AF723" s="334">
        <f>AE723*$B$8/12</f>
      </c>
      <c r="AG723" s="334">
        <f>AE723*$B$12/12</f>
      </c>
      <c r="AH723" s="565">
        <f>(1+$AI$5)^(AC723/12)*(AG723+IF(AD723=$AM$7,$AM$4,0))</f>
      </c>
      <c r="AI723" s="170"/>
      <c r="AJ723" s="7"/>
      <c r="AK723" s="1"/>
      <c r="AL723" s="1"/>
      <c r="AM723" s="1"/>
    </row>
    <row x14ac:dyDescent="0.25" r="724" customHeight="1" ht="18.75">
      <c r="A724" s="1"/>
      <c r="B724" s="169"/>
      <c r="C724" s="170"/>
      <c r="D724" s="331">
        <v>717</v>
      </c>
      <c r="E724" s="544">
        <f>+DATE(YEAR(E723),MONTH(E723)-1,DAY(E723))</f>
        <v>25569.041666666668</v>
      </c>
      <c r="F724" s="333">
        <f>IF($C$6=$E724,1,IF(MONTH($E724)=1,F725*(1+$F$5),F725))</f>
      </c>
      <c r="G724" s="333">
        <f>F724*$B$8/12</f>
      </c>
      <c r="H724" s="333">
        <f>IF(F724=1,F724*$B$10/MIN(12,'Simulador - 3º Pilar'!$E$88),0)</f>
      </c>
      <c r="I724" s="560">
        <f>(1+$G$5)^(D724/12)*(H724+IF(E724=$N$7,$N$4,0))</f>
      </c>
      <c r="J724" s="561">
        <f>(1+$G$5)^(D724/12)*(H724*(12-IF(MONTH(E725)=12,0,MONTH(E725)))+IF(AND(F724=1,F725=0),$Q$4,0))*IF(AND(F724=1,F725=0),1,0)</f>
      </c>
      <c r="K724" s="217">
        <f>(1+$G$5)^(D724/12)*(IF(E724=$N$7,$N$4,0)+IF(E724=$C$6,$B$10,0))</f>
      </c>
      <c r="L724" s="217">
        <f>(1+$G$5)^(D724/12)*(IF((E724)&gt;($B$6),H724,0)+IF(E724=$N$7,$N$4,0)+IF(E724=$C$6,0,0))</f>
      </c>
      <c r="M724" s="1"/>
      <c r="N724" s="7"/>
      <c r="O724" s="1"/>
      <c r="P724" s="331">
        <v>717</v>
      </c>
      <c r="Q724" s="544">
        <f>+DATE(YEAR(Q723),MONTH(Q723)-1,DAY(Q723))</f>
        <v>25569.041666666668</v>
      </c>
      <c r="R724" s="341">
        <f>IF($Z$7=$E724,1,IF(MONTH($E724)=1,R725*(1+$F$5),R725))</f>
      </c>
      <c r="S724" s="334">
        <f>R724*$B$8/12</f>
      </c>
      <c r="T724" s="334">
        <f>R724*$B$11/12</f>
      </c>
      <c r="U724" s="565">
        <f>(1+$V$5)^(P724/12)*(T724+IF(Q724=$Z$7,$Z$4,0))</f>
      </c>
      <c r="V724" s="170"/>
      <c r="W724" s="7"/>
      <c r="X724" s="1"/>
      <c r="Y724" s="1"/>
      <c r="Z724" s="1"/>
      <c r="AA724" s="1"/>
      <c r="AB724" s="1"/>
      <c r="AC724" s="331">
        <v>717</v>
      </c>
      <c r="AD724" s="544">
        <f>+DATE(YEAR(AD723),MONTH(AD723)-1,DAY(AD723))</f>
        <v>25569.041666666668</v>
      </c>
      <c r="AE724" s="341">
        <f>IF($AM$7=$E724,1,IF(MONTH($E724)=1,AE725*(1+$F$5),AE725))</f>
      </c>
      <c r="AF724" s="334">
        <f>AE724*$B$8/12</f>
      </c>
      <c r="AG724" s="334">
        <f>AE724*$B$12/12</f>
      </c>
      <c r="AH724" s="565">
        <f>(1+$AI$5)^(AC724/12)*(AG724+IF(AD724=$AM$7,$AM$4,0))</f>
      </c>
      <c r="AI724" s="170"/>
      <c r="AJ724" s="7"/>
      <c r="AK724" s="1"/>
      <c r="AL724" s="1"/>
      <c r="AM724" s="1"/>
    </row>
    <row x14ac:dyDescent="0.25" r="725" customHeight="1" ht="18.75">
      <c r="A725" s="1"/>
      <c r="B725" s="169"/>
      <c r="C725" s="170"/>
      <c r="D725" s="331">
        <v>718</v>
      </c>
      <c r="E725" s="544">
        <f>+DATE(YEAR(E724),MONTH(E724)-1,DAY(E724))</f>
        <v>25569.041666666668</v>
      </c>
      <c r="F725" s="333">
        <f>IF($C$6=$E725,1,IF(MONTH($E725)=1,F726*(1+$F$5),F726))</f>
      </c>
      <c r="G725" s="333">
        <f>F725*$B$8/12</f>
      </c>
      <c r="H725" s="333">
        <f>IF(F725=1,F725*$B$10/MIN(12,'Simulador - 3º Pilar'!$E$88),0)</f>
      </c>
      <c r="I725" s="560">
        <f>(1+$G$5)^(D725/12)*(H725+IF(E725=$N$7,$N$4,0))</f>
      </c>
      <c r="J725" s="561">
        <f>(1+$G$5)^(D725/12)*(H725*(12-IF(MONTH(E726)=12,0,MONTH(E726)))+IF(AND(F725=1,F726=0),$Q$4,0))*IF(AND(F725=1,F726=0),1,0)</f>
      </c>
      <c r="K725" s="217">
        <f>(1+$G$5)^(D725/12)*(IF(E725=$N$7,$N$4,0)+IF(E725=$C$6,$B$10,0))</f>
      </c>
      <c r="L725" s="217">
        <f>(1+$G$5)^(D725/12)*(IF((E725)&gt;($B$6),H725,0)+IF(E725=$N$7,$N$4,0)+IF(E725=$C$6,0,0))</f>
      </c>
      <c r="M725" s="1"/>
      <c r="N725" s="7"/>
      <c r="O725" s="1"/>
      <c r="P725" s="331">
        <v>718</v>
      </c>
      <c r="Q725" s="544">
        <f>+DATE(YEAR(Q724),MONTH(Q724)-1,DAY(Q724))</f>
        <v>25569.041666666668</v>
      </c>
      <c r="R725" s="341">
        <f>IF($Z$7=$E725,1,IF(MONTH($E725)=1,R726*(1+$F$5),R726))</f>
      </c>
      <c r="S725" s="334">
        <f>R725*$B$8/12</f>
      </c>
      <c r="T725" s="334">
        <f>R725*$B$11/12</f>
      </c>
      <c r="U725" s="565">
        <f>(1+$V$5)^(P725/12)*(T725+IF(Q725=$Z$7,$Z$4,0))</f>
      </c>
      <c r="V725" s="170"/>
      <c r="W725" s="7"/>
      <c r="X725" s="1"/>
      <c r="Y725" s="1"/>
      <c r="Z725" s="1"/>
      <c r="AA725" s="1"/>
      <c r="AB725" s="1"/>
      <c r="AC725" s="331">
        <v>718</v>
      </c>
      <c r="AD725" s="544">
        <f>+DATE(YEAR(AD724),MONTH(AD724)-1,DAY(AD724))</f>
        <v>25569.041666666668</v>
      </c>
      <c r="AE725" s="341">
        <f>IF($AM$7=$E725,1,IF(MONTH($E725)=1,AE726*(1+$F$5),AE726))</f>
      </c>
      <c r="AF725" s="334">
        <f>AE725*$B$8/12</f>
      </c>
      <c r="AG725" s="334">
        <f>AE725*$B$12/12</f>
      </c>
      <c r="AH725" s="565">
        <f>(1+$AI$5)^(AC725/12)*(AG725+IF(AD725=$AM$7,$AM$4,0))</f>
      </c>
      <c r="AI725" s="170"/>
      <c r="AJ725" s="7"/>
      <c r="AK725" s="1"/>
      <c r="AL725" s="1"/>
      <c r="AM725" s="1"/>
    </row>
    <row x14ac:dyDescent="0.25" r="726" customHeight="1" ht="18.75">
      <c r="A726" s="1"/>
      <c r="B726" s="169"/>
      <c r="C726" s="170"/>
      <c r="D726" s="331">
        <v>719</v>
      </c>
      <c r="E726" s="544">
        <f>+DATE(YEAR(E725),MONTH(E725)-1,DAY(E725))</f>
        <v>25569.041666666668</v>
      </c>
      <c r="F726" s="333">
        <f>IF($C$6=$E726,1,IF(MONTH($E726)=1,F727*(1+$F$5),F727))</f>
      </c>
      <c r="G726" s="333">
        <f>F726*$B$8/12</f>
      </c>
      <c r="H726" s="333">
        <f>IF(F726=1,F726*$B$10/MIN(12,'Simulador - 3º Pilar'!$E$88),0)</f>
      </c>
      <c r="I726" s="560">
        <f>(1+$G$5)^(D726/12)*(H726+IF(E726=$N$7,$N$4,0))</f>
      </c>
      <c r="J726" s="561">
        <f>(1+$G$5)^(D726/12)*(H726*(12-IF(MONTH(E727)=12,0,MONTH(E727)))+IF(AND(F726=1,F727=0),$Q$4,0))*IF(AND(F726=1,F727=0),1,0)</f>
      </c>
      <c r="K726" s="217">
        <f>(1+$G$5)^(D726/12)*(IF(E726=$N$7,$N$4,0)+IF(E726=$C$6,$B$10,0))</f>
      </c>
      <c r="L726" s="217">
        <f>(1+$G$5)^(D726/12)*(IF((E726)&gt;($B$6),H726,0)+IF(E726=$N$7,$N$4,0)+IF(E726=$C$6,0,0))</f>
      </c>
      <c r="M726" s="1"/>
      <c r="N726" s="7"/>
      <c r="O726" s="1"/>
      <c r="P726" s="331">
        <v>719</v>
      </c>
      <c r="Q726" s="544">
        <f>+DATE(YEAR(Q725),MONTH(Q725)-1,DAY(Q725))</f>
        <v>25569.041666666668</v>
      </c>
      <c r="R726" s="341">
        <f>IF($Z$7=$E726,1,IF(MONTH($E726)=1,R727*(1+$F$5),R727))</f>
      </c>
      <c r="S726" s="334">
        <f>R726*$B$8/12</f>
      </c>
      <c r="T726" s="334">
        <f>R726*$B$11/12</f>
      </c>
      <c r="U726" s="565">
        <f>(1+$V$5)^(P726/12)*(T726+IF(Q726=$Z$7,$Z$4,0))</f>
      </c>
      <c r="V726" s="170"/>
      <c r="W726" s="7"/>
      <c r="X726" s="1"/>
      <c r="Y726" s="1"/>
      <c r="Z726" s="1"/>
      <c r="AA726" s="1"/>
      <c r="AB726" s="1"/>
      <c r="AC726" s="331">
        <v>719</v>
      </c>
      <c r="AD726" s="544">
        <f>+DATE(YEAR(AD725),MONTH(AD725)-1,DAY(AD725))</f>
        <v>25569.041666666668</v>
      </c>
      <c r="AE726" s="341">
        <f>IF($AM$7=$E726,1,IF(MONTH($E726)=1,AE727*(1+$F$5),AE727))</f>
      </c>
      <c r="AF726" s="334">
        <f>AE726*$B$8/12</f>
      </c>
      <c r="AG726" s="334">
        <f>AE726*$B$12/12</f>
      </c>
      <c r="AH726" s="565">
        <f>(1+$AI$5)^(AC726/12)*(AG726+IF(AD726=$AM$7,$AM$4,0))</f>
      </c>
      <c r="AI726" s="170"/>
      <c r="AJ726" s="7"/>
      <c r="AK726" s="1"/>
      <c r="AL726" s="1"/>
      <c r="AM726" s="1"/>
    </row>
    <row x14ac:dyDescent="0.25" r="727" customHeight="1" ht="18.75">
      <c r="A727" s="1"/>
      <c r="B727" s="169"/>
      <c r="C727" s="170"/>
      <c r="D727" s="331">
        <v>720</v>
      </c>
      <c r="E727" s="544">
        <f>+DATE(YEAR(E726),MONTH(E726)-1,DAY(E726))</f>
        <v>25569.041666666668</v>
      </c>
      <c r="F727" s="333">
        <f>IF($C$6=$E727,1,IF(MONTH($E727)=1,F728*(1+$F$5),F728))</f>
      </c>
      <c r="G727" s="333">
        <f>F727*$B$8/12</f>
      </c>
      <c r="H727" s="333">
        <f>IF(F727=1,F727*$B$10/MIN(12,'Simulador - 3º Pilar'!$E$88),0)</f>
      </c>
      <c r="I727" s="560">
        <f>(1+$G$5)^(D727/12)*(H727+IF(E727=$N$7,$N$4,0))</f>
      </c>
      <c r="J727" s="561">
        <f>(1+$G$5)^(D727/12)*(H727*(12-IF(MONTH(E728)=12,0,MONTH(E728)))+IF(AND(F727=1,F728=0),$Q$4,0))*IF(AND(F727=1,F728=0),1,0)</f>
      </c>
      <c r="K727" s="217">
        <f>(1+$G$5)^(D727/12)*(IF(E727=$N$7,$N$4,0)+IF(E727=$C$6,$B$10,0))</f>
      </c>
      <c r="L727" s="217">
        <f>(1+$G$5)^(D727/12)*(IF((E727)&gt;($B$6),H727,0)+IF(E727=$N$7,$N$4,0)+IF(E727=$C$6,0,0))</f>
      </c>
      <c r="M727" s="1"/>
      <c r="N727" s="7"/>
      <c r="O727" s="1"/>
      <c r="P727" s="331">
        <v>720</v>
      </c>
      <c r="Q727" s="544">
        <f>+DATE(YEAR(Q726),MONTH(Q726)-1,DAY(Q726))</f>
        <v>25569.041666666668</v>
      </c>
      <c r="R727" s="341">
        <f>IF($Z$7=$E727,1,IF(MONTH($E727)=1,R728*(1+$F$5),R728))</f>
      </c>
      <c r="S727" s="334">
        <f>R727*$B$8/12</f>
      </c>
      <c r="T727" s="334">
        <f>R727*$B$11/12</f>
      </c>
      <c r="U727" s="565">
        <f>(1+$V$5)^(P727/12)*(T727+IF(Q727=$Z$7,$Z$4,0))</f>
      </c>
      <c r="V727" s="170"/>
      <c r="W727" s="7"/>
      <c r="X727" s="1"/>
      <c r="Y727" s="1"/>
      <c r="Z727" s="1"/>
      <c r="AA727" s="1"/>
      <c r="AB727" s="1"/>
      <c r="AC727" s="331">
        <v>720</v>
      </c>
      <c r="AD727" s="544">
        <f>+DATE(YEAR(AD726),MONTH(AD726)-1,DAY(AD726))</f>
        <v>25569.041666666668</v>
      </c>
      <c r="AE727" s="341">
        <f>IF($AM$7=$E727,1,IF(MONTH($E727)=1,AE728*(1+$F$5),AE728))</f>
      </c>
      <c r="AF727" s="334">
        <f>AE727*$B$8/12</f>
      </c>
      <c r="AG727" s="334">
        <f>AE727*$B$12/12</f>
      </c>
      <c r="AH727" s="565">
        <f>(1+$AI$5)^(AC727/12)*(AG727+IF(AD727=$AM$7,$AM$4,0))</f>
      </c>
      <c r="AI727" s="170"/>
      <c r="AJ727" s="7"/>
      <c r="AK727" s="1"/>
      <c r="AL727" s="1"/>
      <c r="AM727" s="1"/>
    </row>
    <row x14ac:dyDescent="0.25" r="728" customHeight="1" ht="18.75">
      <c r="A728" s="1"/>
      <c r="B728" s="169"/>
      <c r="C728" s="170"/>
      <c r="D728" s="331">
        <v>721</v>
      </c>
      <c r="E728" s="544">
        <f>+DATE(YEAR(E727),MONTH(E727)-1,DAY(E727))</f>
        <v>25569.041666666668</v>
      </c>
      <c r="F728" s="333">
        <f>IF($C$6=$E728,1,IF(MONTH($E728)=1,F729*(1+$F$5),F729))</f>
      </c>
      <c r="G728" s="333">
        <f>F728*$B$8/12</f>
      </c>
      <c r="H728" s="333">
        <f>IF(F728=1,F728*$B$10/MIN(12,'Simulador - 3º Pilar'!$E$88),0)</f>
      </c>
      <c r="I728" s="560">
        <f>(1+$G$5)^(D728/12)*(H728+IF(E728=$N$7,$N$4,0))</f>
      </c>
      <c r="J728" s="561">
        <f>(1+$G$5)^(D728/12)*(H728*(12-IF(MONTH(E729)=12,0,MONTH(E729)))+IF(AND(F728=1,F729=0),$Q$4,0))*IF(AND(F728=1,F729=0),1,0)</f>
      </c>
      <c r="K728" s="217">
        <f>(1+$G$5)^(D728/12)*(IF(E728=$N$7,$N$4,0)+IF(E728=$C$6,$B$10,0))</f>
      </c>
      <c r="L728" s="217">
        <f>(1+$G$5)^(D728/12)*(IF((E728)&gt;($B$6),H728,0)+IF(E728=$N$7,$N$4,0)+IF(E728=$C$6,0,0))</f>
      </c>
      <c r="M728" s="1"/>
      <c r="N728" s="7"/>
      <c r="O728" s="1"/>
      <c r="P728" s="331">
        <v>721</v>
      </c>
      <c r="Q728" s="544">
        <f>+DATE(YEAR(Q727),MONTH(Q727)-1,DAY(Q727))</f>
        <v>25569.041666666668</v>
      </c>
      <c r="R728" s="341">
        <f>IF($Z$7=$E728,1,IF(MONTH($E728)=1,R729*(1+$F$5),R729))</f>
      </c>
      <c r="S728" s="334">
        <f>R728*$B$8/12</f>
      </c>
      <c r="T728" s="334">
        <f>R728*$B$11/12</f>
      </c>
      <c r="U728" s="565">
        <f>(1+$V$5)^(P728/12)*(T728+IF(Q728=$Z$7,$Z$4,0))</f>
      </c>
      <c r="V728" s="170"/>
      <c r="W728" s="7"/>
      <c r="X728" s="1"/>
      <c r="Y728" s="1"/>
      <c r="Z728" s="1"/>
      <c r="AA728" s="1"/>
      <c r="AB728" s="1"/>
      <c r="AC728" s="331">
        <v>721</v>
      </c>
      <c r="AD728" s="544">
        <f>+DATE(YEAR(AD727),MONTH(AD727)-1,DAY(AD727))</f>
        <v>25569.041666666668</v>
      </c>
      <c r="AE728" s="341">
        <f>IF($AM$7=$E728,1,IF(MONTH($E728)=1,AE729*(1+$F$5),AE729))</f>
      </c>
      <c r="AF728" s="334">
        <f>AE728*$B$8/12</f>
      </c>
      <c r="AG728" s="334">
        <f>AE728*$B$12/12</f>
      </c>
      <c r="AH728" s="565">
        <f>(1+$AI$5)^(AC728/12)*(AG728+IF(AD728=$AM$7,$AM$4,0))</f>
      </c>
      <c r="AI728" s="170"/>
      <c r="AJ728" s="7"/>
      <c r="AK728" s="1"/>
      <c r="AL728" s="1"/>
      <c r="AM728" s="1"/>
    </row>
    <row x14ac:dyDescent="0.25" r="729" customHeight="1" ht="18.75">
      <c r="A729" s="1"/>
      <c r="B729" s="169"/>
      <c r="C729" s="170"/>
      <c r="D729" s="331">
        <v>722</v>
      </c>
      <c r="E729" s="544">
        <f>+DATE(YEAR(E728),MONTH(E728)-1,DAY(E728))</f>
        <v>25569.041666666668</v>
      </c>
      <c r="F729" s="333">
        <f>IF($C$6=$E729,1,IF(MONTH($E729)=1,F730*(1+$F$5),F730))</f>
      </c>
      <c r="G729" s="333">
        <f>F729*$B$8/12</f>
      </c>
      <c r="H729" s="333">
        <f>IF(F729=1,F729*$B$10/MIN(12,'Simulador - 3º Pilar'!$E$88),0)</f>
      </c>
      <c r="I729" s="560">
        <f>(1+$G$5)^(D729/12)*(H729+IF(E729=$N$7,$N$4,0))</f>
      </c>
      <c r="J729" s="561">
        <f>(1+$G$5)^(D729/12)*(H729*(12-IF(MONTH(E730)=12,0,MONTH(E730)))+IF(AND(F729=1,F730=0),$Q$4,0))*IF(AND(F729=1,F730=0),1,0)</f>
      </c>
      <c r="K729" s="217">
        <f>(1+$G$5)^(D729/12)*(IF(E729=$N$7,$N$4,0)+IF(E729=$C$6,$B$10,0))</f>
      </c>
      <c r="L729" s="217">
        <f>(1+$G$5)^(D729/12)*(IF((E729)&gt;($B$6),H729,0)+IF(E729=$N$7,$N$4,0)+IF(E729=$C$6,0,0))</f>
      </c>
      <c r="M729" s="1"/>
      <c r="N729" s="7"/>
      <c r="O729" s="1"/>
      <c r="P729" s="331">
        <v>722</v>
      </c>
      <c r="Q729" s="544">
        <f>+DATE(YEAR(Q728),MONTH(Q728)-1,DAY(Q728))</f>
        <v>25569.041666666668</v>
      </c>
      <c r="R729" s="341">
        <f>IF($Z$7=$E729,1,IF(MONTH($E729)=1,R730*(1+$F$5),R730))</f>
      </c>
      <c r="S729" s="334">
        <f>R729*$B$8/12</f>
      </c>
      <c r="T729" s="334">
        <f>R729*$B$11/12</f>
      </c>
      <c r="U729" s="565">
        <f>(1+$V$5)^(P729/12)*(T729+IF(Q729=$Z$7,$Z$4,0))</f>
      </c>
      <c r="V729" s="170"/>
      <c r="W729" s="7"/>
      <c r="X729" s="1"/>
      <c r="Y729" s="1"/>
      <c r="Z729" s="1"/>
      <c r="AA729" s="1"/>
      <c r="AB729" s="1"/>
      <c r="AC729" s="331">
        <v>722</v>
      </c>
      <c r="AD729" s="544">
        <f>+DATE(YEAR(AD728),MONTH(AD728)-1,DAY(AD728))</f>
        <v>25569.041666666668</v>
      </c>
      <c r="AE729" s="341">
        <f>IF($AM$7=$E729,1,IF(MONTH($E729)=1,AE730*(1+$F$5),AE730))</f>
      </c>
      <c r="AF729" s="334">
        <f>AE729*$B$8/12</f>
      </c>
      <c r="AG729" s="334">
        <f>AE729*$B$12/12</f>
      </c>
      <c r="AH729" s="565">
        <f>(1+$AI$5)^(AC729/12)*(AG729+IF(AD729=$AM$7,$AM$4,0))</f>
      </c>
      <c r="AI729" s="170"/>
      <c r="AJ729" s="7"/>
      <c r="AK729" s="1"/>
      <c r="AL729" s="1"/>
      <c r="AM729" s="1"/>
    </row>
    <row x14ac:dyDescent="0.25" r="730" customHeight="1" ht="18.75">
      <c r="A730" s="1"/>
      <c r="B730" s="169"/>
      <c r="C730" s="170"/>
      <c r="D730" s="331">
        <v>723</v>
      </c>
      <c r="E730" s="544">
        <f>+DATE(YEAR(E729),MONTH(E729)-1,DAY(E729))</f>
        <v>25569.041666666668</v>
      </c>
      <c r="F730" s="333">
        <f>IF($C$6=$E730,1,IF(MONTH($E730)=1,F731*(1+$F$5),F731))</f>
      </c>
      <c r="G730" s="333">
        <f>F730*$B$8/12</f>
      </c>
      <c r="H730" s="333">
        <f>IF(F730=1,F730*$B$10/MIN(12,'Simulador - 3º Pilar'!$E$88),0)</f>
      </c>
      <c r="I730" s="560">
        <f>(1+$G$5)^(D730/12)*(H730+IF(E730=$N$7,$N$4,0))</f>
      </c>
      <c r="J730" s="561">
        <f>(1+$G$5)^(D730/12)*(H730*(12-IF(MONTH(E731)=12,0,MONTH(E731)))+IF(AND(F730=1,F731=0),$Q$4,0))*IF(AND(F730=1,F731=0),1,0)</f>
      </c>
      <c r="K730" s="217">
        <f>(1+$G$5)^(D730/12)*(IF(E730=$N$7,$N$4,0)+IF(E730=$C$6,$B$10,0))</f>
      </c>
      <c r="L730" s="217">
        <f>(1+$G$5)^(D730/12)*(IF((E730)&gt;($B$6),H730,0)+IF(E730=$N$7,$N$4,0)+IF(E730=$C$6,0,0))</f>
      </c>
      <c r="M730" s="1"/>
      <c r="N730" s="7"/>
      <c r="O730" s="1"/>
      <c r="P730" s="331">
        <v>723</v>
      </c>
      <c r="Q730" s="544">
        <f>+DATE(YEAR(Q729),MONTH(Q729)-1,DAY(Q729))</f>
        <v>25569.041666666668</v>
      </c>
      <c r="R730" s="341">
        <f>IF($Z$7=$E730,1,IF(MONTH($E730)=1,R731*(1+$F$5),R731))</f>
      </c>
      <c r="S730" s="334">
        <f>R730*$B$8/12</f>
      </c>
      <c r="T730" s="334">
        <f>R730*$B$11/12</f>
      </c>
      <c r="U730" s="565">
        <f>(1+$V$5)^(P730/12)*(T730+IF(Q730=$Z$7,$Z$4,0))</f>
      </c>
      <c r="V730" s="170"/>
      <c r="W730" s="7"/>
      <c r="X730" s="1"/>
      <c r="Y730" s="1"/>
      <c r="Z730" s="1"/>
      <c r="AA730" s="1"/>
      <c r="AB730" s="1"/>
      <c r="AC730" s="331">
        <v>723</v>
      </c>
      <c r="AD730" s="544">
        <f>+DATE(YEAR(AD729),MONTH(AD729)-1,DAY(AD729))</f>
        <v>25569.041666666668</v>
      </c>
      <c r="AE730" s="341">
        <f>IF($AM$7=$E730,1,IF(MONTH($E730)=1,AE731*(1+$F$5),AE731))</f>
      </c>
      <c r="AF730" s="334">
        <f>AE730*$B$8/12</f>
      </c>
      <c r="AG730" s="334">
        <f>AE730*$B$12/12</f>
      </c>
      <c r="AH730" s="565">
        <f>(1+$AI$5)^(AC730/12)*(AG730+IF(AD730=$AM$7,$AM$4,0))</f>
      </c>
      <c r="AI730" s="170"/>
      <c r="AJ730" s="7"/>
      <c r="AK730" s="1"/>
      <c r="AL730" s="1"/>
      <c r="AM730" s="1"/>
    </row>
    <row x14ac:dyDescent="0.25" r="731" customHeight="1" ht="18.75">
      <c r="A731" s="1"/>
      <c r="B731" s="169"/>
      <c r="C731" s="170"/>
      <c r="D731" s="331">
        <v>724</v>
      </c>
      <c r="E731" s="544">
        <f>+DATE(YEAR(E730),MONTH(E730)-1,DAY(E730))</f>
        <v>25569.041666666668</v>
      </c>
      <c r="F731" s="333">
        <f>IF($C$6=$E731,1,IF(MONTH($E731)=1,F732*(1+$F$5),F732))</f>
      </c>
      <c r="G731" s="333">
        <f>F731*$B$8/12</f>
      </c>
      <c r="H731" s="333">
        <f>IF(F731=1,F731*$B$10/MIN(12,'Simulador - 3º Pilar'!$E$88),0)</f>
      </c>
      <c r="I731" s="560">
        <f>(1+$G$5)^(D731/12)*(H731+IF(E731=$N$7,$N$4,0))</f>
      </c>
      <c r="J731" s="561">
        <f>(1+$G$5)^(D731/12)*(H731*(12-IF(MONTH(E732)=12,0,MONTH(E732)))+IF(AND(F731=1,F732=0),$Q$4,0))*IF(AND(F731=1,F732=0),1,0)</f>
      </c>
      <c r="K731" s="217">
        <f>(1+$G$5)^(D731/12)*(IF(E731=$N$7,$N$4,0)+IF(E731=$C$6,$B$10,0))</f>
      </c>
      <c r="L731" s="217">
        <f>(1+$G$5)^(D731/12)*(IF((E731)&gt;($B$6),H731,0)+IF(E731=$N$7,$N$4,0)+IF(E731=$C$6,0,0))</f>
      </c>
      <c r="M731" s="1"/>
      <c r="N731" s="7"/>
      <c r="O731" s="1"/>
      <c r="P731" s="331">
        <v>724</v>
      </c>
      <c r="Q731" s="544">
        <f>+DATE(YEAR(Q730),MONTH(Q730)-1,DAY(Q730))</f>
        <v>25569.041666666668</v>
      </c>
      <c r="R731" s="341">
        <f>IF($Z$7=$E731,1,IF(MONTH($E731)=1,R732*(1+$F$5),R732))</f>
      </c>
      <c r="S731" s="334">
        <f>R731*$B$8/12</f>
      </c>
      <c r="T731" s="334">
        <f>R731*$B$11/12</f>
      </c>
      <c r="U731" s="565">
        <f>(1+$V$5)^(P731/12)*(T731+IF(Q731=$Z$7,$Z$4,0))</f>
      </c>
      <c r="V731" s="170"/>
      <c r="W731" s="7"/>
      <c r="X731" s="1"/>
      <c r="Y731" s="1"/>
      <c r="Z731" s="1"/>
      <c r="AA731" s="1"/>
      <c r="AB731" s="1"/>
      <c r="AC731" s="331">
        <v>724</v>
      </c>
      <c r="AD731" s="544">
        <f>+DATE(YEAR(AD730),MONTH(AD730)-1,DAY(AD730))</f>
        <v>25569.041666666668</v>
      </c>
      <c r="AE731" s="341">
        <f>IF($AM$7=$E731,1,IF(MONTH($E731)=1,AE732*(1+$F$5),AE732))</f>
      </c>
      <c r="AF731" s="334">
        <f>AE731*$B$8/12</f>
      </c>
      <c r="AG731" s="334">
        <f>AE731*$B$12/12</f>
      </c>
      <c r="AH731" s="565">
        <f>(1+$AI$5)^(AC731/12)*(AG731+IF(AD731=$AM$7,$AM$4,0))</f>
      </c>
      <c r="AI731" s="170"/>
      <c r="AJ731" s="7"/>
      <c r="AK731" s="1"/>
      <c r="AL731" s="1"/>
      <c r="AM731" s="1"/>
    </row>
    <row x14ac:dyDescent="0.25" r="732" customHeight="1" ht="18.75">
      <c r="A732" s="1"/>
      <c r="B732" s="169"/>
      <c r="C732" s="170"/>
      <c r="D732" s="331">
        <v>725</v>
      </c>
      <c r="E732" s="544">
        <f>+DATE(YEAR(E731),MONTH(E731)-1,DAY(E731))</f>
        <v>25569.041666666668</v>
      </c>
      <c r="F732" s="333">
        <f>IF($C$6=$E732,1,IF(MONTH($E732)=1,F733*(1+$F$5),F733))</f>
      </c>
      <c r="G732" s="333">
        <f>F732*$B$8/12</f>
      </c>
      <c r="H732" s="333">
        <f>IF(F732=1,F732*$B$10/MIN(12,'Simulador - 3º Pilar'!$E$88),0)</f>
      </c>
      <c r="I732" s="560">
        <f>(1+$G$5)^(D732/12)*(H732+IF(E732=$N$7,$N$4,0))</f>
      </c>
      <c r="J732" s="561">
        <f>(1+$G$5)^(D732/12)*(H732*(12-IF(MONTH(E733)=12,0,MONTH(E733)))+IF(AND(F732=1,F733=0),$Q$4,0))*IF(AND(F732=1,F733=0),1,0)</f>
      </c>
      <c r="K732" s="217">
        <f>(1+$G$5)^(D732/12)*(IF(E732=$N$7,$N$4,0)+IF(E732=$C$6,$B$10,0))</f>
      </c>
      <c r="L732" s="217">
        <f>(1+$G$5)^(D732/12)*(IF((E732)&gt;($B$6),H732,0)+IF(E732=$N$7,$N$4,0)+IF(E732=$C$6,0,0))</f>
      </c>
      <c r="M732" s="1"/>
      <c r="N732" s="7"/>
      <c r="O732" s="1"/>
      <c r="P732" s="331">
        <v>725</v>
      </c>
      <c r="Q732" s="544">
        <f>+DATE(YEAR(Q731),MONTH(Q731)-1,DAY(Q731))</f>
        <v>25569.041666666668</v>
      </c>
      <c r="R732" s="341">
        <f>IF($Z$7=$E732,1,IF(MONTH($E732)=1,R733*(1+$F$5),R733))</f>
      </c>
      <c r="S732" s="334">
        <f>R732*$B$8/12</f>
      </c>
      <c r="T732" s="334">
        <f>R732*$B$11/12</f>
      </c>
      <c r="U732" s="565">
        <f>(1+$V$5)^(P732/12)*(T732+IF(Q732=$Z$7,$Z$4,0))</f>
      </c>
      <c r="V732" s="170"/>
      <c r="W732" s="7"/>
      <c r="X732" s="1"/>
      <c r="Y732" s="1"/>
      <c r="Z732" s="1"/>
      <c r="AA732" s="1"/>
      <c r="AB732" s="1"/>
      <c r="AC732" s="331">
        <v>725</v>
      </c>
      <c r="AD732" s="544">
        <f>+DATE(YEAR(AD731),MONTH(AD731)-1,DAY(AD731))</f>
        <v>25569.041666666668</v>
      </c>
      <c r="AE732" s="341">
        <f>IF($AM$7=$E732,1,IF(MONTH($E732)=1,AE733*(1+$F$5),AE733))</f>
      </c>
      <c r="AF732" s="334">
        <f>AE732*$B$8/12</f>
      </c>
      <c r="AG732" s="334">
        <f>AE732*$B$12/12</f>
      </c>
      <c r="AH732" s="565">
        <f>(1+$AI$5)^(AC732/12)*(AG732+IF(AD732=$AM$7,$AM$4,0))</f>
      </c>
      <c r="AI732" s="170"/>
      <c r="AJ732" s="7"/>
      <c r="AK732" s="1"/>
      <c r="AL732" s="1"/>
      <c r="AM732" s="1"/>
    </row>
    <row x14ac:dyDescent="0.25" r="733" customHeight="1" ht="18.75">
      <c r="A733" s="1"/>
      <c r="B733" s="169"/>
      <c r="C733" s="170"/>
      <c r="D733" s="331">
        <v>726</v>
      </c>
      <c r="E733" s="544">
        <f>+DATE(YEAR(E732),MONTH(E732)-1,DAY(E732))</f>
        <v>25569.041666666668</v>
      </c>
      <c r="F733" s="333">
        <f>IF($C$6=$E733,1,IF(MONTH($E733)=1,F734*(1+$F$5),F734))</f>
      </c>
      <c r="G733" s="333">
        <f>F733*$B$8/12</f>
      </c>
      <c r="H733" s="333">
        <f>IF(F733=1,F733*$B$10/MIN(12,'Simulador - 3º Pilar'!$E$88),0)</f>
      </c>
      <c r="I733" s="560">
        <f>(1+$G$5)^(D733/12)*(H733+IF(E733=$N$7,$N$4,0))</f>
      </c>
      <c r="J733" s="561">
        <f>(1+$G$5)^(D733/12)*(H733*(12-IF(MONTH(E734)=12,0,MONTH(E734)))+IF(AND(F733=1,F734=0),$Q$4,0))*IF(AND(F733=1,F734=0),1,0)</f>
      </c>
      <c r="K733" s="217">
        <f>(1+$G$5)^(D733/12)*(IF(E733=$N$7,$N$4,0)+IF(E733=$C$6,$B$10,0))</f>
      </c>
      <c r="L733" s="217">
        <f>(1+$G$5)^(D733/12)*(IF((E733)&gt;($B$6),H733,0)+IF(E733=$N$7,$N$4,0)+IF(E733=$C$6,0,0))</f>
      </c>
      <c r="M733" s="1"/>
      <c r="N733" s="7"/>
      <c r="O733" s="1"/>
      <c r="P733" s="331">
        <v>726</v>
      </c>
      <c r="Q733" s="544">
        <f>+DATE(YEAR(Q732),MONTH(Q732)-1,DAY(Q732))</f>
        <v>25569.041666666668</v>
      </c>
      <c r="R733" s="341">
        <f>IF($Z$7=$E733,1,IF(MONTH($E733)=1,R734*(1+$F$5),R734))</f>
      </c>
      <c r="S733" s="334">
        <f>R733*$B$8/12</f>
      </c>
      <c r="T733" s="334">
        <f>R733*$B$11/12</f>
      </c>
      <c r="U733" s="565">
        <f>(1+$V$5)^(P733/12)*(T733+IF(Q733=$Z$7,$Z$4,0))</f>
      </c>
      <c r="V733" s="170"/>
      <c r="W733" s="7"/>
      <c r="X733" s="1"/>
      <c r="Y733" s="1"/>
      <c r="Z733" s="1"/>
      <c r="AA733" s="1"/>
      <c r="AB733" s="1"/>
      <c r="AC733" s="331">
        <v>726</v>
      </c>
      <c r="AD733" s="544">
        <f>+DATE(YEAR(AD732),MONTH(AD732)-1,DAY(AD732))</f>
        <v>25569.041666666668</v>
      </c>
      <c r="AE733" s="341">
        <f>IF($AM$7=$E733,1,IF(MONTH($E733)=1,AE734*(1+$F$5),AE734))</f>
      </c>
      <c r="AF733" s="334">
        <f>AE733*$B$8/12</f>
      </c>
      <c r="AG733" s="334">
        <f>AE733*$B$12/12</f>
      </c>
      <c r="AH733" s="565">
        <f>(1+$AI$5)^(AC733/12)*(AG733+IF(AD733=$AM$7,$AM$4,0))</f>
      </c>
      <c r="AI733" s="170"/>
      <c r="AJ733" s="7"/>
      <c r="AK733" s="1"/>
      <c r="AL733" s="1"/>
      <c r="AM733" s="1"/>
    </row>
    <row x14ac:dyDescent="0.25" r="734" customHeight="1" ht="18.75">
      <c r="A734" s="1"/>
      <c r="B734" s="169"/>
      <c r="C734" s="170"/>
      <c r="D734" s="331">
        <v>727</v>
      </c>
      <c r="E734" s="544">
        <f>+DATE(YEAR(E733),MONTH(E733)-1,DAY(E733))</f>
        <v>25569.041666666668</v>
      </c>
      <c r="F734" s="333">
        <f>IF($C$6=$E734,1,IF(MONTH($E734)=1,F735*(1+$F$5),F735))</f>
      </c>
      <c r="G734" s="333">
        <f>F734*$B$8/12</f>
      </c>
      <c r="H734" s="333">
        <f>IF(F734=1,F734*$B$10/MIN(12,'Simulador - 3º Pilar'!$E$88),0)</f>
      </c>
      <c r="I734" s="560">
        <f>(1+$G$5)^(D734/12)*(H734+IF(E734=$N$7,$N$4,0))</f>
      </c>
      <c r="J734" s="561">
        <f>(1+$G$5)^(D734/12)*(H734*(12-IF(MONTH(E735)=12,0,MONTH(E735)))+IF(AND(F734=1,F735=0),$Q$4,0))*IF(AND(F734=1,F735=0),1,0)</f>
      </c>
      <c r="K734" s="217">
        <f>(1+$G$5)^(D734/12)*(IF(E734=$N$7,$N$4,0)+IF(E734=$C$6,$B$10,0))</f>
      </c>
      <c r="L734" s="217">
        <f>(1+$G$5)^(D734/12)*(IF((E734)&gt;($B$6),H734,0)+IF(E734=$N$7,$N$4,0)+IF(E734=$C$6,0,0))</f>
      </c>
      <c r="M734" s="1"/>
      <c r="N734" s="7"/>
      <c r="O734" s="1"/>
      <c r="P734" s="331">
        <v>727</v>
      </c>
      <c r="Q734" s="544">
        <f>+DATE(YEAR(Q733),MONTH(Q733)-1,DAY(Q733))</f>
        <v>25569.041666666668</v>
      </c>
      <c r="R734" s="341">
        <f>IF($Z$7=$E734,1,IF(MONTH($E734)=1,R735*(1+$F$5),R735))</f>
      </c>
      <c r="S734" s="334">
        <f>R734*$B$8/12</f>
      </c>
      <c r="T734" s="334">
        <f>R734*$B$11/12</f>
      </c>
      <c r="U734" s="565">
        <f>(1+$V$5)^(P734/12)*(T734+IF(Q734=$Z$7,$Z$4,0))</f>
      </c>
      <c r="V734" s="170"/>
      <c r="W734" s="7"/>
      <c r="X734" s="1"/>
      <c r="Y734" s="1"/>
      <c r="Z734" s="1"/>
      <c r="AA734" s="1"/>
      <c r="AB734" s="1"/>
      <c r="AC734" s="331">
        <v>727</v>
      </c>
      <c r="AD734" s="544">
        <f>+DATE(YEAR(AD733),MONTH(AD733)-1,DAY(AD733))</f>
        <v>25569.041666666668</v>
      </c>
      <c r="AE734" s="341">
        <f>IF($AM$7=$E734,1,IF(MONTH($E734)=1,AE735*(1+$F$5),AE735))</f>
      </c>
      <c r="AF734" s="334">
        <f>AE734*$B$8/12</f>
      </c>
      <c r="AG734" s="334">
        <f>AE734*$B$12/12</f>
      </c>
      <c r="AH734" s="565">
        <f>(1+$AI$5)^(AC734/12)*(AG734+IF(AD734=$AM$7,$AM$4,0))</f>
      </c>
      <c r="AI734" s="170"/>
      <c r="AJ734" s="7"/>
      <c r="AK734" s="1"/>
      <c r="AL734" s="1"/>
      <c r="AM734" s="1"/>
    </row>
    <row x14ac:dyDescent="0.25" r="735" customHeight="1" ht="18.75">
      <c r="A735" s="1"/>
      <c r="B735" s="169"/>
      <c r="C735" s="170"/>
      <c r="D735" s="331">
        <v>728</v>
      </c>
      <c r="E735" s="544">
        <f>+DATE(YEAR(E734),MONTH(E734)-1,DAY(E734))</f>
        <v>25569.041666666668</v>
      </c>
      <c r="F735" s="333">
        <f>IF($C$6=$E735,1,IF(MONTH($E735)=1,F736*(1+$F$5),F736))</f>
      </c>
      <c r="G735" s="333">
        <f>F735*$B$8/12</f>
      </c>
      <c r="H735" s="333">
        <f>IF(F735=1,F735*$B$10/MIN(12,'Simulador - 3º Pilar'!$E$88),0)</f>
      </c>
      <c r="I735" s="560">
        <f>(1+$G$5)^(D735/12)*(H735+IF(E735=$N$7,$N$4,0))</f>
      </c>
      <c r="J735" s="561">
        <f>(1+$G$5)^(D735/12)*(H735*(12-IF(MONTH(E736)=12,0,MONTH(E736)))+IF(AND(F735=1,F736=0),$Q$4,0))*IF(AND(F735=1,F736=0),1,0)</f>
      </c>
      <c r="K735" s="217">
        <f>(1+$G$5)^(D735/12)*(IF(E735=$N$7,$N$4,0)+IF(E735=$C$6,$B$10,0))</f>
      </c>
      <c r="L735" s="217">
        <f>(1+$G$5)^(D735/12)*(IF((E735)&gt;($B$6),H735,0)+IF(E735=$N$7,$N$4,0)+IF(E735=$C$6,0,0))</f>
      </c>
      <c r="M735" s="1"/>
      <c r="N735" s="7"/>
      <c r="O735" s="1"/>
      <c r="P735" s="331">
        <v>728</v>
      </c>
      <c r="Q735" s="544">
        <f>+DATE(YEAR(Q734),MONTH(Q734)-1,DAY(Q734))</f>
        <v>25569.041666666668</v>
      </c>
      <c r="R735" s="341">
        <f>IF($Z$7=$E735,1,IF(MONTH($E735)=1,R736*(1+$F$5),R736))</f>
      </c>
      <c r="S735" s="334">
        <f>R735*$B$8/12</f>
      </c>
      <c r="T735" s="334">
        <f>R735*$B$11/12</f>
      </c>
      <c r="U735" s="565">
        <f>(1+$V$5)^(P735/12)*(T735+IF(Q735=$Z$7,$Z$4,0))</f>
      </c>
      <c r="V735" s="170"/>
      <c r="W735" s="7"/>
      <c r="X735" s="1"/>
      <c r="Y735" s="1"/>
      <c r="Z735" s="1"/>
      <c r="AA735" s="1"/>
      <c r="AB735" s="1"/>
      <c r="AC735" s="331">
        <v>728</v>
      </c>
      <c r="AD735" s="544">
        <f>+DATE(YEAR(AD734),MONTH(AD734)-1,DAY(AD734))</f>
        <v>25569.041666666668</v>
      </c>
      <c r="AE735" s="341">
        <f>IF($AM$7=$E735,1,IF(MONTH($E735)=1,AE736*(1+$F$5),AE736))</f>
      </c>
      <c r="AF735" s="334">
        <f>AE735*$B$8/12</f>
      </c>
      <c r="AG735" s="334">
        <f>AE735*$B$12/12</f>
      </c>
      <c r="AH735" s="565">
        <f>(1+$AI$5)^(AC735/12)*(AG735+IF(AD735=$AM$7,$AM$4,0))</f>
      </c>
      <c r="AI735" s="170"/>
      <c r="AJ735" s="7"/>
      <c r="AK735" s="1"/>
      <c r="AL735" s="1"/>
      <c r="AM735" s="1"/>
    </row>
    <row x14ac:dyDescent="0.25" r="736" customHeight="1" ht="18.75">
      <c r="A736" s="1"/>
      <c r="B736" s="169"/>
      <c r="C736" s="170"/>
      <c r="D736" s="331">
        <v>729</v>
      </c>
      <c r="E736" s="544">
        <f>+DATE(YEAR(E735),MONTH(E735)-1,DAY(E735))</f>
        <v>25569.041666666668</v>
      </c>
      <c r="F736" s="333">
        <f>IF($C$6=$E736,1,IF(MONTH($E736)=1,F737*(1+$F$5),F737))</f>
      </c>
      <c r="G736" s="333">
        <f>F736*$B$8/12</f>
      </c>
      <c r="H736" s="333">
        <f>IF(F736=1,F736*$B$10/MIN(12,'Simulador - 3º Pilar'!$E$88),0)</f>
      </c>
      <c r="I736" s="560">
        <f>(1+$G$5)^(D736/12)*(H736+IF(E736=$N$7,$N$4,0))</f>
      </c>
      <c r="J736" s="561">
        <f>(1+$G$5)^(D736/12)*(H736*(12-IF(MONTH(E737)=12,0,MONTH(E737)))+IF(AND(F736=1,F737=0),$Q$4,0))*IF(AND(F736=1,F737=0),1,0)</f>
      </c>
      <c r="K736" s="217">
        <f>(1+$G$5)^(D736/12)*(IF(E736=$N$7,$N$4,0)+IF(E736=$C$6,$B$10,0))</f>
      </c>
      <c r="L736" s="217">
        <f>(1+$G$5)^(D736/12)*(IF((E736)&gt;($B$6),H736,0)+IF(E736=$N$7,$N$4,0)+IF(E736=$C$6,0,0))</f>
      </c>
      <c r="M736" s="1"/>
      <c r="N736" s="7"/>
      <c r="O736" s="1"/>
      <c r="P736" s="331">
        <v>729</v>
      </c>
      <c r="Q736" s="544">
        <f>+DATE(YEAR(Q735),MONTH(Q735)-1,DAY(Q735))</f>
        <v>25569.041666666668</v>
      </c>
      <c r="R736" s="341">
        <f>IF($Z$7=$E736,1,IF(MONTH($E736)=1,R737*(1+$F$5),R737))</f>
      </c>
      <c r="S736" s="334">
        <f>R736*$B$8/12</f>
      </c>
      <c r="T736" s="334">
        <f>R736*$B$11/12</f>
      </c>
      <c r="U736" s="565">
        <f>(1+$V$5)^(P736/12)*(T736+IF(Q736=$Z$7,$Z$4,0))</f>
      </c>
      <c r="V736" s="170"/>
      <c r="W736" s="7"/>
      <c r="X736" s="1"/>
      <c r="Y736" s="1"/>
      <c r="Z736" s="1"/>
      <c r="AA736" s="1"/>
      <c r="AB736" s="1"/>
      <c r="AC736" s="331">
        <v>729</v>
      </c>
      <c r="AD736" s="544">
        <f>+DATE(YEAR(AD735),MONTH(AD735)-1,DAY(AD735))</f>
        <v>25569.041666666668</v>
      </c>
      <c r="AE736" s="341">
        <f>IF($AM$7=$E736,1,IF(MONTH($E736)=1,AE737*(1+$F$5),AE737))</f>
      </c>
      <c r="AF736" s="334">
        <f>AE736*$B$8/12</f>
      </c>
      <c r="AG736" s="334">
        <f>AE736*$B$12/12</f>
      </c>
      <c r="AH736" s="565">
        <f>(1+$AI$5)^(AC736/12)*(AG736+IF(AD736=$AM$7,$AM$4,0))</f>
      </c>
      <c r="AI736" s="170"/>
      <c r="AJ736" s="7"/>
      <c r="AK736" s="1"/>
      <c r="AL736" s="1"/>
      <c r="AM736" s="1"/>
    </row>
    <row x14ac:dyDescent="0.25" r="737" customHeight="1" ht="18.75">
      <c r="A737" s="1"/>
      <c r="B737" s="169"/>
      <c r="C737" s="170"/>
      <c r="D737" s="331">
        <v>730</v>
      </c>
      <c r="E737" s="544">
        <f>+DATE(YEAR(E736),MONTH(E736)-1,DAY(E736))</f>
        <v>25569.041666666668</v>
      </c>
      <c r="F737" s="333">
        <f>IF($C$6=$E737,1,IF(MONTH($E737)=1,F738*(1+$F$5),F738))</f>
      </c>
      <c r="G737" s="333">
        <f>F737*$B$8/12</f>
      </c>
      <c r="H737" s="333">
        <f>IF(F737=1,F737*$B$10/MIN(12,'Simulador - 3º Pilar'!$E$88),0)</f>
      </c>
      <c r="I737" s="560">
        <f>(1+$G$5)^(D737/12)*(H737+IF(E737=$N$7,$N$4,0))</f>
      </c>
      <c r="J737" s="561">
        <f>(1+$G$5)^(D737/12)*(H737*(12-IF(MONTH(E738)=12,0,MONTH(E738)))+IF(AND(F737=1,F738=0),$Q$4,0))*IF(AND(F737=1,F738=0),1,0)</f>
      </c>
      <c r="K737" s="217">
        <f>(1+$G$5)^(D737/12)*(IF(E737=$N$7,$N$4,0)+IF(E737=$C$6,$B$10,0))</f>
      </c>
      <c r="L737" s="217">
        <f>(1+$G$5)^(D737/12)*(IF((E737)&gt;($B$6),H737,0)+IF(E737=$N$7,$N$4,0)+IF(E737=$C$6,0,0))</f>
      </c>
      <c r="M737" s="1"/>
      <c r="N737" s="7"/>
      <c r="O737" s="1"/>
      <c r="P737" s="331">
        <v>730</v>
      </c>
      <c r="Q737" s="544">
        <f>+DATE(YEAR(Q736),MONTH(Q736)-1,DAY(Q736))</f>
        <v>25569.041666666668</v>
      </c>
      <c r="R737" s="341">
        <f>IF($Z$7=$E737,1,IF(MONTH($E737)=1,R738*(1+$F$5),R738))</f>
      </c>
      <c r="S737" s="334">
        <f>R737*$B$8/12</f>
      </c>
      <c r="T737" s="334">
        <f>R737*$B$11/12</f>
      </c>
      <c r="U737" s="565">
        <f>(1+$V$5)^(P737/12)*(T737+IF(Q737=$Z$7,$Z$4,0))</f>
      </c>
      <c r="V737" s="170"/>
      <c r="W737" s="7"/>
      <c r="X737" s="1"/>
      <c r="Y737" s="1"/>
      <c r="Z737" s="1"/>
      <c r="AA737" s="1"/>
      <c r="AB737" s="1"/>
      <c r="AC737" s="331">
        <v>730</v>
      </c>
      <c r="AD737" s="544">
        <f>+DATE(YEAR(AD736),MONTH(AD736)-1,DAY(AD736))</f>
        <v>25569.041666666668</v>
      </c>
      <c r="AE737" s="341">
        <f>IF($AM$7=$E737,1,IF(MONTH($E737)=1,AE738*(1+$F$5),AE738))</f>
      </c>
      <c r="AF737" s="334">
        <f>AE737*$B$8/12</f>
      </c>
      <c r="AG737" s="334">
        <f>AE737*$B$12/12</f>
      </c>
      <c r="AH737" s="565">
        <f>(1+$AI$5)^(AC737/12)*(AG737+IF(AD737=$AM$7,$AM$4,0))</f>
      </c>
      <c r="AI737" s="170"/>
      <c r="AJ737" s="7"/>
      <c r="AK737" s="1"/>
      <c r="AL737" s="1"/>
      <c r="AM737" s="1"/>
    </row>
    <row x14ac:dyDescent="0.25" r="738" customHeight="1" ht="18.75">
      <c r="A738" s="1"/>
      <c r="B738" s="169"/>
      <c r="C738" s="170"/>
      <c r="D738" s="331">
        <v>731</v>
      </c>
      <c r="E738" s="544">
        <f>+DATE(YEAR(E737),MONTH(E737)-1,DAY(E737))</f>
        <v>25569.041666666668</v>
      </c>
      <c r="F738" s="333">
        <f>IF($C$6=$E738,1,IF(MONTH($E738)=1,F739*(1+$F$5),F739))</f>
      </c>
      <c r="G738" s="333">
        <f>F738*$B$8/12</f>
      </c>
      <c r="H738" s="333">
        <f>IF(F738=1,F738*$B$10/MIN(12,'Simulador - 3º Pilar'!$E$88),0)</f>
      </c>
      <c r="I738" s="560">
        <f>(1+$G$5)^(D738/12)*(H738+IF(E738=$N$7,$N$4,0))</f>
      </c>
      <c r="J738" s="561">
        <f>(1+$G$5)^(D738/12)*(H738*(12-IF(MONTH(E739)=12,0,MONTH(E739)))+IF(AND(F738=1,F739=0),$Q$4,0))*IF(AND(F738=1,F739=0),1,0)</f>
      </c>
      <c r="K738" s="217">
        <f>(1+$G$5)^(D738/12)*(IF(E738=$N$7,$N$4,0)+IF(E738=$C$6,$B$10,0))</f>
      </c>
      <c r="L738" s="217">
        <f>(1+$G$5)^(D738/12)*(IF((E738)&gt;($B$6),H738,0)+IF(E738=$N$7,$N$4,0)+IF(E738=$C$6,0,0))</f>
      </c>
      <c r="M738" s="1"/>
      <c r="N738" s="7"/>
      <c r="O738" s="1"/>
      <c r="P738" s="331">
        <v>731</v>
      </c>
      <c r="Q738" s="544">
        <f>+DATE(YEAR(Q737),MONTH(Q737)-1,DAY(Q737))</f>
        <v>25569.041666666668</v>
      </c>
      <c r="R738" s="341">
        <f>IF($Z$7=$E738,1,IF(MONTH($E738)=1,R739*(1+$F$5),R739))</f>
      </c>
      <c r="S738" s="334">
        <f>R738*$B$8/12</f>
      </c>
      <c r="T738" s="334">
        <f>R738*$B$11/12</f>
      </c>
      <c r="U738" s="565">
        <f>(1+$V$5)^(P738/12)*(T738+IF(Q738=$Z$7,$Z$4,0))</f>
      </c>
      <c r="V738" s="170"/>
      <c r="W738" s="7"/>
      <c r="X738" s="1"/>
      <c r="Y738" s="1"/>
      <c r="Z738" s="1"/>
      <c r="AA738" s="1"/>
      <c r="AB738" s="1"/>
      <c r="AC738" s="331">
        <v>731</v>
      </c>
      <c r="AD738" s="544">
        <f>+DATE(YEAR(AD737),MONTH(AD737)-1,DAY(AD737))</f>
        <v>25569.041666666668</v>
      </c>
      <c r="AE738" s="341">
        <f>IF($AM$7=$E738,1,IF(MONTH($E738)=1,AE739*(1+$F$5),AE739))</f>
      </c>
      <c r="AF738" s="334">
        <f>AE738*$B$8/12</f>
      </c>
      <c r="AG738" s="334">
        <f>AE738*$B$12/12</f>
      </c>
      <c r="AH738" s="565">
        <f>(1+$AI$5)^(AC738/12)*(AG738+IF(AD738=$AM$7,$AM$4,0))</f>
      </c>
      <c r="AI738" s="170"/>
      <c r="AJ738" s="7"/>
      <c r="AK738" s="1"/>
      <c r="AL738" s="1"/>
      <c r="AM738" s="1"/>
    </row>
    <row x14ac:dyDescent="0.25" r="739" customHeight="1" ht="18.75">
      <c r="A739" s="1"/>
      <c r="B739" s="169"/>
      <c r="C739" s="170"/>
      <c r="D739" s="331">
        <v>732</v>
      </c>
      <c r="E739" s="544">
        <f>+DATE(YEAR(E738),MONTH(E738)-1,DAY(E738))</f>
        <v>25569.041666666668</v>
      </c>
      <c r="F739" s="333">
        <f>IF($C$6=$E739,1,IF(MONTH($E739)=1,F740*(1+$F$5),F740))</f>
      </c>
      <c r="G739" s="333">
        <f>F739*$B$8/12</f>
      </c>
      <c r="H739" s="333">
        <f>IF(F739=1,F739*$B$10/MIN(12,'Simulador - 3º Pilar'!$E$88),0)</f>
      </c>
      <c r="I739" s="560">
        <f>(1+$G$5)^(D739/12)*(H739+IF(E739=$N$7,$N$4,0))</f>
      </c>
      <c r="J739" s="561">
        <f>(1+$G$5)^(D739/12)*(H739*(12-IF(MONTH(E740)=12,0,MONTH(E740)))+IF(AND(F739=1,F740=0),$Q$4,0))*IF(AND(F739=1,F740=0),1,0)</f>
      </c>
      <c r="K739" s="217">
        <f>(1+$G$5)^(D739/12)*(IF(E739=$N$7,$N$4,0)+IF(E739=$C$6,$B$10,0))</f>
      </c>
      <c r="L739" s="217">
        <f>(1+$G$5)^(D739/12)*(IF((E739)&gt;($B$6),H739,0)+IF(E739=$N$7,$N$4,0)+IF(E739=$C$6,0,0))</f>
      </c>
      <c r="M739" s="1"/>
      <c r="N739" s="7"/>
      <c r="O739" s="1"/>
      <c r="P739" s="331">
        <v>732</v>
      </c>
      <c r="Q739" s="544">
        <f>+DATE(YEAR(Q738),MONTH(Q738)-1,DAY(Q738))</f>
        <v>25569.041666666668</v>
      </c>
      <c r="R739" s="341">
        <f>IF($Z$7=$E739,1,IF(MONTH($E739)=1,R740*(1+$F$5),R740))</f>
      </c>
      <c r="S739" s="334">
        <f>R739*$B$8/12</f>
      </c>
      <c r="T739" s="334">
        <f>R739*$B$11/12</f>
      </c>
      <c r="U739" s="565">
        <f>(1+$V$5)^(P739/12)*(T739+IF(Q739=$Z$7,$Z$4,0))</f>
      </c>
      <c r="V739" s="170"/>
      <c r="W739" s="7"/>
      <c r="X739" s="1"/>
      <c r="Y739" s="1"/>
      <c r="Z739" s="1"/>
      <c r="AA739" s="1"/>
      <c r="AB739" s="1"/>
      <c r="AC739" s="331">
        <v>732</v>
      </c>
      <c r="AD739" s="544">
        <f>+DATE(YEAR(AD738),MONTH(AD738)-1,DAY(AD738))</f>
        <v>25569.041666666668</v>
      </c>
      <c r="AE739" s="341">
        <f>IF($AM$7=$E739,1,IF(MONTH($E739)=1,AE740*(1+$F$5),AE740))</f>
      </c>
      <c r="AF739" s="334">
        <f>AE739*$B$8/12</f>
      </c>
      <c r="AG739" s="334">
        <f>AE739*$B$12/12</f>
      </c>
      <c r="AH739" s="565">
        <f>(1+$AI$5)^(AC739/12)*(AG739+IF(AD739=$AM$7,$AM$4,0))</f>
      </c>
      <c r="AI739" s="170"/>
      <c r="AJ739" s="7"/>
      <c r="AK739" s="1"/>
      <c r="AL739" s="1"/>
      <c r="AM739" s="1"/>
    </row>
    <row x14ac:dyDescent="0.25" r="740" customHeight="1" ht="18.75">
      <c r="A740" s="1"/>
      <c r="B740" s="169"/>
      <c r="C740" s="170"/>
      <c r="D740" s="331">
        <v>733</v>
      </c>
      <c r="E740" s="544">
        <f>+DATE(YEAR(E739),MONTH(E739)-1,DAY(E739))</f>
        <v>25569.041666666668</v>
      </c>
      <c r="F740" s="333">
        <f>IF($C$6=$E740,1,IF(MONTH($E740)=1,F741*(1+$F$5),F741))</f>
      </c>
      <c r="G740" s="333">
        <f>F740*$B$8/12</f>
      </c>
      <c r="H740" s="333">
        <f>IF(F740=1,F740*$B$10/MIN(12,'Simulador - 3º Pilar'!$E$88),0)</f>
      </c>
      <c r="I740" s="560">
        <f>(1+$G$5)^(D740/12)*(H740+IF(E740=$N$7,$N$4,0))</f>
      </c>
      <c r="J740" s="561">
        <f>(1+$G$5)^(D740/12)*(H740*(12-IF(MONTH(E741)=12,0,MONTH(E741)))+IF(AND(F740=1,F741=0),$Q$4,0))*IF(AND(F740=1,F741=0),1,0)</f>
      </c>
      <c r="K740" s="217">
        <f>(1+$G$5)^(D740/12)*(IF(E740=$N$7,$N$4,0)+IF(E740=$C$6,$B$10,0))</f>
      </c>
      <c r="L740" s="217">
        <f>(1+$G$5)^(D740/12)*(IF((E740)&gt;($B$6),H740,0)+IF(E740=$N$7,$N$4,0)+IF(E740=$C$6,0,0))</f>
      </c>
      <c r="M740" s="1"/>
      <c r="N740" s="7"/>
      <c r="O740" s="1"/>
      <c r="P740" s="331">
        <v>733</v>
      </c>
      <c r="Q740" s="544">
        <f>+DATE(YEAR(Q739),MONTH(Q739)-1,DAY(Q739))</f>
        <v>25569.041666666668</v>
      </c>
      <c r="R740" s="341">
        <f>IF($Z$7=$E740,1,IF(MONTH($E740)=1,R741*(1+$F$5),R741))</f>
      </c>
      <c r="S740" s="334">
        <f>R740*$B$8/12</f>
      </c>
      <c r="T740" s="334">
        <f>R740*$B$11/12</f>
      </c>
      <c r="U740" s="565">
        <f>(1+$V$5)^(P740/12)*(T740+IF(Q740=$Z$7,$Z$4,0))</f>
      </c>
      <c r="V740" s="170"/>
      <c r="W740" s="7"/>
      <c r="X740" s="1"/>
      <c r="Y740" s="1"/>
      <c r="Z740" s="1"/>
      <c r="AA740" s="1"/>
      <c r="AB740" s="1"/>
      <c r="AC740" s="331">
        <v>733</v>
      </c>
      <c r="AD740" s="544">
        <f>+DATE(YEAR(AD739),MONTH(AD739)-1,DAY(AD739))</f>
        <v>25569.041666666668</v>
      </c>
      <c r="AE740" s="341">
        <f>IF($AM$7=$E740,1,IF(MONTH($E740)=1,AE741*(1+$F$5),AE741))</f>
      </c>
      <c r="AF740" s="334">
        <f>AE740*$B$8/12</f>
      </c>
      <c r="AG740" s="334">
        <f>AE740*$B$12/12</f>
      </c>
      <c r="AH740" s="565">
        <f>(1+$AI$5)^(AC740/12)*(AG740+IF(AD740=$AM$7,$AM$4,0))</f>
      </c>
      <c r="AI740" s="170"/>
      <c r="AJ740" s="7"/>
      <c r="AK740" s="1"/>
      <c r="AL740" s="1"/>
      <c r="AM740" s="1"/>
    </row>
    <row x14ac:dyDescent="0.25" r="741" customHeight="1" ht="18.75">
      <c r="A741" s="1"/>
      <c r="B741" s="169"/>
      <c r="C741" s="170"/>
      <c r="D741" s="331">
        <v>734</v>
      </c>
      <c r="E741" s="544">
        <f>+DATE(YEAR(E740),MONTH(E740)-1,DAY(E740))</f>
        <v>25569.041666666668</v>
      </c>
      <c r="F741" s="333">
        <f>IF($C$6=$E741,1,IF(MONTH($E741)=1,F742*(1+$F$5),F742))</f>
      </c>
      <c r="G741" s="333">
        <f>F741*$B$8/12</f>
      </c>
      <c r="H741" s="333">
        <f>IF(F741=1,F741*$B$10/MIN(12,'Simulador - 3º Pilar'!$E$88),0)</f>
      </c>
      <c r="I741" s="560">
        <f>(1+$G$5)^(D741/12)*(H741+IF(E741=$N$7,$N$4,0))</f>
      </c>
      <c r="J741" s="561">
        <f>(1+$G$5)^(D741/12)*(H741*(12-IF(MONTH(E742)=12,0,MONTH(E742)))+IF(AND(F741=1,F742=0),$Q$4,0))*IF(AND(F741=1,F742=0),1,0)</f>
      </c>
      <c r="K741" s="217">
        <f>(1+$G$5)^(D741/12)*(IF(E741=$N$7,$N$4,0)+IF(E741=$C$6,$B$10,0))</f>
      </c>
      <c r="L741" s="217">
        <f>(1+$G$5)^(D741/12)*(IF((E741)&gt;($B$6),H741,0)+IF(E741=$N$7,$N$4,0)+IF(E741=$C$6,0,0))</f>
      </c>
      <c r="M741" s="1"/>
      <c r="N741" s="7"/>
      <c r="O741" s="1"/>
      <c r="P741" s="331">
        <v>734</v>
      </c>
      <c r="Q741" s="544">
        <f>+DATE(YEAR(Q740),MONTH(Q740)-1,DAY(Q740))</f>
        <v>25569.041666666668</v>
      </c>
      <c r="R741" s="341">
        <f>IF($Z$7=$E741,1,IF(MONTH($E741)=1,R742*(1+$F$5),R742))</f>
      </c>
      <c r="S741" s="334">
        <f>R741*$B$8/12</f>
      </c>
      <c r="T741" s="334">
        <f>R741*$B$11/12</f>
      </c>
      <c r="U741" s="565">
        <f>(1+$V$5)^(P741/12)*(T741+IF(Q741=$Z$7,$Z$4,0))</f>
      </c>
      <c r="V741" s="170"/>
      <c r="W741" s="7"/>
      <c r="X741" s="1"/>
      <c r="Y741" s="1"/>
      <c r="Z741" s="1"/>
      <c r="AA741" s="1"/>
      <c r="AB741" s="1"/>
      <c r="AC741" s="331">
        <v>734</v>
      </c>
      <c r="AD741" s="544">
        <f>+DATE(YEAR(AD740),MONTH(AD740)-1,DAY(AD740))</f>
        <v>25569.041666666668</v>
      </c>
      <c r="AE741" s="341">
        <f>IF($AM$7=$E741,1,IF(MONTH($E741)=1,AE742*(1+$F$5),AE742))</f>
      </c>
      <c r="AF741" s="334">
        <f>AE741*$B$8/12</f>
      </c>
      <c r="AG741" s="334">
        <f>AE741*$B$12/12</f>
      </c>
      <c r="AH741" s="565">
        <f>(1+$AI$5)^(AC741/12)*(AG741+IF(AD741=$AM$7,$AM$4,0))</f>
      </c>
      <c r="AI741" s="170"/>
      <c r="AJ741" s="7"/>
      <c r="AK741" s="1"/>
      <c r="AL741" s="1"/>
      <c r="AM741" s="1"/>
    </row>
    <row x14ac:dyDescent="0.25" r="742" customHeight="1" ht="18.75">
      <c r="A742" s="1"/>
      <c r="B742" s="169"/>
      <c r="C742" s="170"/>
      <c r="D742" s="331">
        <v>735</v>
      </c>
      <c r="E742" s="544">
        <f>+DATE(YEAR(E741),MONTH(E741)-1,DAY(E741))</f>
        <v>25569.041666666668</v>
      </c>
      <c r="F742" s="333">
        <f>IF($C$6=$E742,1,IF(MONTH($E742)=1,F743*(1+$F$5),F743))</f>
      </c>
      <c r="G742" s="333">
        <f>F742*$B$8/12</f>
      </c>
      <c r="H742" s="333">
        <f>IF(F742=1,F742*$B$10/MIN(12,'Simulador - 3º Pilar'!$E$88),0)</f>
      </c>
      <c r="I742" s="560">
        <f>(1+$G$5)^(D742/12)*(H742+IF(E742=$N$7,$N$4,0))</f>
      </c>
      <c r="J742" s="561">
        <f>(1+$G$5)^(D742/12)*(H742*(12-IF(MONTH(E743)=12,0,MONTH(E743)))+IF(AND(F742=1,F743=0),$Q$4,0))*IF(AND(F742=1,F743=0),1,0)</f>
      </c>
      <c r="K742" s="217">
        <f>(1+$G$5)^(D742/12)*(IF(E742=$N$7,$N$4,0)+IF(E742=$C$6,$B$10,0))</f>
      </c>
      <c r="L742" s="217">
        <f>(1+$G$5)^(D742/12)*(IF((E742)&gt;($B$6),H742,0)+IF(E742=$N$7,$N$4,0)+IF(E742=$C$6,0,0))</f>
      </c>
      <c r="M742" s="1"/>
      <c r="N742" s="7"/>
      <c r="O742" s="1"/>
      <c r="P742" s="331">
        <v>735</v>
      </c>
      <c r="Q742" s="544">
        <f>+DATE(YEAR(Q741),MONTH(Q741)-1,DAY(Q741))</f>
        <v>25569.041666666668</v>
      </c>
      <c r="R742" s="341">
        <f>IF($Z$7=$E742,1,IF(MONTH($E742)=1,R743*(1+$F$5),R743))</f>
      </c>
      <c r="S742" s="334">
        <f>R742*$B$8/12</f>
      </c>
      <c r="T742" s="334">
        <f>R742*$B$11/12</f>
      </c>
      <c r="U742" s="565">
        <f>(1+$V$5)^(P742/12)*(T742+IF(Q742=$Z$7,$Z$4,0))</f>
      </c>
      <c r="V742" s="170"/>
      <c r="W742" s="7"/>
      <c r="X742" s="1"/>
      <c r="Y742" s="1"/>
      <c r="Z742" s="1"/>
      <c r="AA742" s="1"/>
      <c r="AB742" s="1"/>
      <c r="AC742" s="331">
        <v>735</v>
      </c>
      <c r="AD742" s="544">
        <f>+DATE(YEAR(AD741),MONTH(AD741)-1,DAY(AD741))</f>
        <v>25569.041666666668</v>
      </c>
      <c r="AE742" s="341">
        <f>IF($AM$7=$E742,1,IF(MONTH($E742)=1,AE743*(1+$F$5),AE743))</f>
      </c>
      <c r="AF742" s="334">
        <f>AE742*$B$8/12</f>
      </c>
      <c r="AG742" s="334">
        <f>AE742*$B$12/12</f>
      </c>
      <c r="AH742" s="565">
        <f>(1+$AI$5)^(AC742/12)*(AG742+IF(AD742=$AM$7,$AM$4,0))</f>
      </c>
      <c r="AI742" s="170"/>
      <c r="AJ742" s="7"/>
      <c r="AK742" s="1"/>
      <c r="AL742" s="1"/>
      <c r="AM742" s="1"/>
    </row>
    <row x14ac:dyDescent="0.25" r="743" customHeight="1" ht="18.75">
      <c r="A743" s="1"/>
      <c r="B743" s="169"/>
      <c r="C743" s="170"/>
      <c r="D743" s="331">
        <v>736</v>
      </c>
      <c r="E743" s="544">
        <f>+DATE(YEAR(E742),MONTH(E742)-1,DAY(E742))</f>
        <v>25569.041666666668</v>
      </c>
      <c r="F743" s="333">
        <f>IF($C$6=$E743,1,IF(MONTH($E743)=1,F744*(1+$F$5),F744))</f>
      </c>
      <c r="G743" s="333">
        <f>F743*$B$8/12</f>
      </c>
      <c r="H743" s="333">
        <f>IF(F743=1,F743*$B$10/MIN(12,'Simulador - 3º Pilar'!$E$88),0)</f>
      </c>
      <c r="I743" s="560">
        <f>(1+$G$5)^(D743/12)*(H743+IF(E743=$N$7,$N$4,0))</f>
      </c>
      <c r="J743" s="561">
        <f>(1+$G$5)^(D743/12)*(H743*(12-IF(MONTH(E744)=12,0,MONTH(E744)))+IF(AND(F743=1,F744=0),$Q$4,0))*IF(AND(F743=1,F744=0),1,0)</f>
      </c>
      <c r="K743" s="217">
        <f>(1+$G$5)^(D743/12)*(IF(E743=$N$7,$N$4,0)+IF(E743=$C$6,$B$10,0))</f>
      </c>
      <c r="L743" s="217">
        <f>(1+$G$5)^(D743/12)*(IF((E743)&gt;($B$6),H743,0)+IF(E743=$N$7,$N$4,0)+IF(E743=$C$6,0,0))</f>
      </c>
      <c r="M743" s="1"/>
      <c r="N743" s="7"/>
      <c r="O743" s="1"/>
      <c r="P743" s="331">
        <v>736</v>
      </c>
      <c r="Q743" s="544">
        <f>+DATE(YEAR(Q742),MONTH(Q742)-1,DAY(Q742))</f>
        <v>25569.041666666668</v>
      </c>
      <c r="R743" s="341">
        <f>IF($Z$7=$E743,1,IF(MONTH($E743)=1,R744*(1+$F$5),R744))</f>
      </c>
      <c r="S743" s="334">
        <f>R743*$B$8/12</f>
      </c>
      <c r="T743" s="334">
        <f>R743*$B$11/12</f>
      </c>
      <c r="U743" s="565">
        <f>(1+$V$5)^(P743/12)*(T743+IF(Q743=$Z$7,$Z$4,0))</f>
      </c>
      <c r="V743" s="170"/>
      <c r="W743" s="7"/>
      <c r="X743" s="1"/>
      <c r="Y743" s="1"/>
      <c r="Z743" s="1"/>
      <c r="AA743" s="1"/>
      <c r="AB743" s="1"/>
      <c r="AC743" s="331">
        <v>736</v>
      </c>
      <c r="AD743" s="544">
        <f>+DATE(YEAR(AD742),MONTH(AD742)-1,DAY(AD742))</f>
        <v>25569.041666666668</v>
      </c>
      <c r="AE743" s="341">
        <f>IF($AM$7=$E743,1,IF(MONTH($E743)=1,AE744*(1+$F$5),AE744))</f>
      </c>
      <c r="AF743" s="334">
        <f>AE743*$B$8/12</f>
      </c>
      <c r="AG743" s="334">
        <f>AE743*$B$12/12</f>
      </c>
      <c r="AH743" s="565">
        <f>(1+$AI$5)^(AC743/12)*(AG743+IF(AD743=$AM$7,$AM$4,0))</f>
      </c>
      <c r="AI743" s="170"/>
      <c r="AJ743" s="7"/>
      <c r="AK743" s="1"/>
      <c r="AL743" s="1"/>
      <c r="AM743" s="1"/>
    </row>
    <row x14ac:dyDescent="0.25" r="744" customHeight="1" ht="18.75">
      <c r="A744" s="1"/>
      <c r="B744" s="169"/>
      <c r="C744" s="170"/>
      <c r="D744" s="331">
        <v>737</v>
      </c>
      <c r="E744" s="544">
        <f>+DATE(YEAR(E743),MONTH(E743)-1,DAY(E743))</f>
        <v>25569.041666666668</v>
      </c>
      <c r="F744" s="333">
        <f>IF($C$6=$E744,1,IF(MONTH($E744)=1,F745*(1+$F$5),F745))</f>
      </c>
      <c r="G744" s="333">
        <f>F744*$B$8/12</f>
      </c>
      <c r="H744" s="333">
        <f>IF(F744=1,F744*$B$10/MIN(12,'Simulador - 3º Pilar'!$E$88),0)</f>
      </c>
      <c r="I744" s="560">
        <f>(1+$G$5)^(D744/12)*(H744+IF(E744=$N$7,$N$4,0))</f>
      </c>
      <c r="J744" s="561">
        <f>(1+$G$5)^(D744/12)*(H744*(12-IF(MONTH(E745)=12,0,MONTH(E745)))+IF(AND(F744=1,F745=0),$Q$4,0))*IF(AND(F744=1,F745=0),1,0)</f>
      </c>
      <c r="K744" s="217">
        <f>(1+$G$5)^(D744/12)*(IF(E744=$N$7,$N$4,0)+IF(E744=$C$6,$B$10,0))</f>
      </c>
      <c r="L744" s="217">
        <f>(1+$G$5)^(D744/12)*(IF((E744)&gt;($B$6),H744,0)+IF(E744=$N$7,$N$4,0)+IF(E744=$C$6,0,0))</f>
      </c>
      <c r="M744" s="1"/>
      <c r="N744" s="7"/>
      <c r="O744" s="1"/>
      <c r="P744" s="331">
        <v>737</v>
      </c>
      <c r="Q744" s="544">
        <f>+DATE(YEAR(Q743),MONTH(Q743)-1,DAY(Q743))</f>
        <v>25569.041666666668</v>
      </c>
      <c r="R744" s="341">
        <f>IF($Z$7=$E744,1,IF(MONTH($E744)=1,R745*(1+$F$5),R745))</f>
      </c>
      <c r="S744" s="334">
        <f>R744*$B$8/12</f>
      </c>
      <c r="T744" s="334">
        <f>R744*$B$11/12</f>
      </c>
      <c r="U744" s="565">
        <f>(1+$V$5)^(P744/12)*(T744+IF(Q744=$Z$7,$Z$4,0))</f>
      </c>
      <c r="V744" s="170"/>
      <c r="W744" s="7"/>
      <c r="X744" s="1"/>
      <c r="Y744" s="1"/>
      <c r="Z744" s="1"/>
      <c r="AA744" s="1"/>
      <c r="AB744" s="1"/>
      <c r="AC744" s="331">
        <v>737</v>
      </c>
      <c r="AD744" s="544">
        <f>+DATE(YEAR(AD743),MONTH(AD743)-1,DAY(AD743))</f>
        <v>25569.041666666668</v>
      </c>
      <c r="AE744" s="341">
        <f>IF($AM$7=$E744,1,IF(MONTH($E744)=1,AE745*(1+$F$5),AE745))</f>
      </c>
      <c r="AF744" s="334">
        <f>AE744*$B$8/12</f>
      </c>
      <c r="AG744" s="334">
        <f>AE744*$B$12/12</f>
      </c>
      <c r="AH744" s="565">
        <f>(1+$AI$5)^(AC744/12)*(AG744+IF(AD744=$AM$7,$AM$4,0))</f>
      </c>
      <c r="AI744" s="170"/>
      <c r="AJ744" s="7"/>
      <c r="AK744" s="1"/>
      <c r="AL744" s="1"/>
      <c r="AM744" s="1"/>
    </row>
    <row x14ac:dyDescent="0.25" r="745" customHeight="1" ht="18.75">
      <c r="A745" s="1"/>
      <c r="B745" s="169"/>
      <c r="C745" s="170"/>
      <c r="D745" s="331">
        <v>738</v>
      </c>
      <c r="E745" s="544">
        <f>+DATE(YEAR(E744),MONTH(E744)-1,DAY(E744))</f>
        <v>25569.041666666668</v>
      </c>
      <c r="F745" s="333">
        <f>IF($C$6=$E745,1,IF(MONTH($E745)=1,F746*(1+$F$5),F746))</f>
      </c>
      <c r="G745" s="333">
        <f>F745*$B$8/12</f>
      </c>
      <c r="H745" s="333">
        <f>IF(F745=1,F745*$B$10/MIN(12,'Simulador - 3º Pilar'!$E$88),0)</f>
      </c>
      <c r="I745" s="560">
        <f>(1+$G$5)^(D745/12)*(H745+IF(E745=$N$7,$N$4,0))</f>
      </c>
      <c r="J745" s="561">
        <f>(1+$G$5)^(D745/12)*(H745*(12-IF(MONTH(E746)=12,0,MONTH(E746)))+IF(AND(F745=1,F746=0),$Q$4,0))*IF(AND(F745=1,F746=0),1,0)</f>
      </c>
      <c r="K745" s="217">
        <f>(1+$G$5)^(D745/12)*(IF(E745=$N$7,$N$4,0)+IF(E745=$C$6,$B$10,0))</f>
      </c>
      <c r="L745" s="217">
        <f>(1+$G$5)^(D745/12)*(IF((E745)&gt;($B$6),H745,0)+IF(E745=$N$7,$N$4,0)+IF(E745=$C$6,0,0))</f>
      </c>
      <c r="M745" s="1"/>
      <c r="N745" s="7"/>
      <c r="O745" s="1"/>
      <c r="P745" s="331">
        <v>738</v>
      </c>
      <c r="Q745" s="544">
        <f>+DATE(YEAR(Q744),MONTH(Q744)-1,DAY(Q744))</f>
        <v>25569.041666666668</v>
      </c>
      <c r="R745" s="341">
        <f>IF($Z$7=$E745,1,IF(MONTH($E745)=1,R746*(1+$F$5),R746))</f>
      </c>
      <c r="S745" s="334">
        <f>R745*$B$8/12</f>
      </c>
      <c r="T745" s="334">
        <f>R745*$B$11/12</f>
      </c>
      <c r="U745" s="565">
        <f>(1+$V$5)^(P745/12)*(T745+IF(Q745=$Z$7,$Z$4,0))</f>
      </c>
      <c r="V745" s="170"/>
      <c r="W745" s="7"/>
      <c r="X745" s="1"/>
      <c r="Y745" s="1"/>
      <c r="Z745" s="1"/>
      <c r="AA745" s="1"/>
      <c r="AB745" s="1"/>
      <c r="AC745" s="331">
        <v>738</v>
      </c>
      <c r="AD745" s="544">
        <f>+DATE(YEAR(AD744),MONTH(AD744)-1,DAY(AD744))</f>
        <v>25569.041666666668</v>
      </c>
      <c r="AE745" s="341">
        <f>IF($AM$7=$E745,1,IF(MONTH($E745)=1,AE746*(1+$F$5),AE746))</f>
      </c>
      <c r="AF745" s="334">
        <f>AE745*$B$8/12</f>
      </c>
      <c r="AG745" s="334">
        <f>AE745*$B$12/12</f>
      </c>
      <c r="AH745" s="565">
        <f>(1+$AI$5)^(AC745/12)*(AG745+IF(AD745=$AM$7,$AM$4,0))</f>
      </c>
      <c r="AI745" s="170"/>
      <c r="AJ745" s="7"/>
      <c r="AK745" s="1"/>
      <c r="AL745" s="1"/>
      <c r="AM745" s="1"/>
    </row>
    <row x14ac:dyDescent="0.25" r="746" customHeight="1" ht="18.75">
      <c r="A746" s="1"/>
      <c r="B746" s="169"/>
      <c r="C746" s="170"/>
      <c r="D746" s="331">
        <v>739</v>
      </c>
      <c r="E746" s="544">
        <f>+DATE(YEAR(E745),MONTH(E745)-1,DAY(E745))</f>
        <v>25569.041666666668</v>
      </c>
      <c r="F746" s="333">
        <f>IF($C$6=$E746,1,IF(MONTH($E746)=1,F747*(1+$F$5),F747))</f>
      </c>
      <c r="G746" s="333">
        <f>F746*$B$8/12</f>
      </c>
      <c r="H746" s="333">
        <f>IF(F746=1,F746*$B$10/MIN(12,'Simulador - 3º Pilar'!$E$88),0)</f>
      </c>
      <c r="I746" s="560">
        <f>(1+$G$5)^(D746/12)*(H746+IF(E746=$N$7,$N$4,0))</f>
      </c>
      <c r="J746" s="561">
        <f>(1+$G$5)^(D746/12)*(H746*(12-IF(MONTH(E747)=12,0,MONTH(E747)))+IF(AND(F746=1,F747=0),$Q$4,0))*IF(AND(F746=1,F747=0),1,0)</f>
      </c>
      <c r="K746" s="217">
        <f>(1+$G$5)^(D746/12)*(IF(E746=$N$7,$N$4,0)+IF(E746=$C$6,$B$10,0))</f>
      </c>
      <c r="L746" s="217">
        <f>(1+$G$5)^(D746/12)*(IF((E746)&gt;($B$6),H746,0)+IF(E746=$N$7,$N$4,0)+IF(E746=$C$6,0,0))</f>
      </c>
      <c r="M746" s="1"/>
      <c r="N746" s="7"/>
      <c r="O746" s="1"/>
      <c r="P746" s="331">
        <v>739</v>
      </c>
      <c r="Q746" s="544">
        <f>+DATE(YEAR(Q745),MONTH(Q745)-1,DAY(Q745))</f>
        <v>25569.041666666668</v>
      </c>
      <c r="R746" s="341">
        <f>IF($Z$7=$E746,1,IF(MONTH($E746)=1,R747*(1+$F$5),R747))</f>
      </c>
      <c r="S746" s="334">
        <f>R746*$B$8/12</f>
      </c>
      <c r="T746" s="334">
        <f>R746*$B$11/12</f>
      </c>
      <c r="U746" s="565">
        <f>(1+$V$5)^(P746/12)*(T746+IF(Q746=$Z$7,$Z$4,0))</f>
      </c>
      <c r="V746" s="170"/>
      <c r="W746" s="7"/>
      <c r="X746" s="1"/>
      <c r="Y746" s="1"/>
      <c r="Z746" s="1"/>
      <c r="AA746" s="1"/>
      <c r="AB746" s="1"/>
      <c r="AC746" s="331">
        <v>739</v>
      </c>
      <c r="AD746" s="544">
        <f>+DATE(YEAR(AD745),MONTH(AD745)-1,DAY(AD745))</f>
        <v>25569.041666666668</v>
      </c>
      <c r="AE746" s="341">
        <f>IF($AM$7=$E746,1,IF(MONTH($E746)=1,AE747*(1+$F$5),AE747))</f>
      </c>
      <c r="AF746" s="334">
        <f>AE746*$B$8/12</f>
      </c>
      <c r="AG746" s="334">
        <f>AE746*$B$12/12</f>
      </c>
      <c r="AH746" s="565">
        <f>(1+$AI$5)^(AC746/12)*(AG746+IF(AD746=$AM$7,$AM$4,0))</f>
      </c>
      <c r="AI746" s="170"/>
      <c r="AJ746" s="7"/>
      <c r="AK746" s="1"/>
      <c r="AL746" s="1"/>
      <c r="AM746" s="1"/>
    </row>
    <row x14ac:dyDescent="0.25" r="747" customHeight="1" ht="18.75">
      <c r="A747" s="1"/>
      <c r="B747" s="169"/>
      <c r="C747" s="170"/>
      <c r="D747" s="331">
        <v>740</v>
      </c>
      <c r="E747" s="544">
        <f>+DATE(YEAR(E746),MONTH(E746)-1,DAY(E746))</f>
        <v>25569.041666666668</v>
      </c>
      <c r="F747" s="333">
        <f>IF($C$6=$E747,1,IF(MONTH($E747)=1,F748*(1+$F$5),F748))</f>
      </c>
      <c r="G747" s="333">
        <f>F747*$B$8/12</f>
      </c>
      <c r="H747" s="333">
        <f>IF(F747=1,F747*$B$10/MIN(12,'Simulador - 3º Pilar'!$E$88),0)</f>
      </c>
      <c r="I747" s="560">
        <f>(1+$G$5)^(D747/12)*(H747+IF(E747=$N$7,$N$4,0))</f>
      </c>
      <c r="J747" s="561">
        <f>(1+$G$5)^(D747/12)*(H747*(12-IF(MONTH(E748)=12,0,MONTH(E748)))+IF(AND(F747=1,F748=0),$Q$4,0))*IF(AND(F747=1,F748=0),1,0)</f>
      </c>
      <c r="K747" s="217">
        <f>(1+$G$5)^(D747/12)*(IF(E747=$N$7,$N$4,0)+IF(E747=$C$6,$B$10,0))</f>
      </c>
      <c r="L747" s="217">
        <f>(1+$G$5)^(D747/12)*(IF((E747)&gt;($B$6),H747,0)+IF(E747=$N$7,$N$4,0)+IF(E747=$C$6,0,0))</f>
      </c>
      <c r="M747" s="1"/>
      <c r="N747" s="7"/>
      <c r="O747" s="1"/>
      <c r="P747" s="331">
        <v>740</v>
      </c>
      <c r="Q747" s="544">
        <f>+DATE(YEAR(Q746),MONTH(Q746)-1,DAY(Q746))</f>
        <v>25569.041666666668</v>
      </c>
      <c r="R747" s="341">
        <f>IF($Z$7=$E747,1,IF(MONTH($E747)=1,R748*(1+$F$5),R748))</f>
      </c>
      <c r="S747" s="334">
        <f>R747*$B$8/12</f>
      </c>
      <c r="T747" s="334">
        <f>R747*$B$11/12</f>
      </c>
      <c r="U747" s="565">
        <f>(1+$V$5)^(P747/12)*(T747+IF(Q747=$Z$7,$Z$4,0))</f>
      </c>
      <c r="V747" s="170"/>
      <c r="W747" s="7"/>
      <c r="X747" s="1"/>
      <c r="Y747" s="1"/>
      <c r="Z747" s="1"/>
      <c r="AA747" s="1"/>
      <c r="AB747" s="1"/>
      <c r="AC747" s="331">
        <v>740</v>
      </c>
      <c r="AD747" s="544">
        <f>+DATE(YEAR(AD746),MONTH(AD746)-1,DAY(AD746))</f>
        <v>25569.041666666668</v>
      </c>
      <c r="AE747" s="341">
        <f>IF($AM$7=$E747,1,IF(MONTH($E747)=1,AE748*(1+$F$5),AE748))</f>
      </c>
      <c r="AF747" s="334">
        <f>AE747*$B$8/12</f>
      </c>
      <c r="AG747" s="334">
        <f>AE747*$B$12/12</f>
      </c>
      <c r="AH747" s="565">
        <f>(1+$AI$5)^(AC747/12)*(AG747+IF(AD747=$AM$7,$AM$4,0))</f>
      </c>
      <c r="AI747" s="170"/>
      <c r="AJ747" s="7"/>
      <c r="AK747" s="1"/>
      <c r="AL747" s="1"/>
      <c r="AM747" s="1"/>
    </row>
    <row x14ac:dyDescent="0.25" r="748" customHeight="1" ht="18.75">
      <c r="A748" s="1"/>
      <c r="B748" s="169"/>
      <c r="C748" s="170"/>
      <c r="D748" s="331">
        <v>741</v>
      </c>
      <c r="E748" s="544">
        <f>+DATE(YEAR(E747),MONTH(E747)-1,DAY(E747))</f>
        <v>25569.041666666668</v>
      </c>
      <c r="F748" s="333">
        <f>IF($C$6=$E748,1,IF(MONTH($E748)=1,F749*(1+$F$5),F749))</f>
      </c>
      <c r="G748" s="333">
        <f>F748*$B$8/12</f>
      </c>
      <c r="H748" s="333">
        <f>IF(F748=1,F748*$B$10/MIN(12,'Simulador - 3º Pilar'!$E$88),0)</f>
      </c>
      <c r="I748" s="560">
        <f>(1+$G$5)^(D748/12)*(H748+IF(E748=$N$7,$N$4,0))</f>
      </c>
      <c r="J748" s="561">
        <f>(1+$G$5)^(D748/12)*(H748*(12-IF(MONTH(E749)=12,0,MONTH(E749)))+IF(AND(F748=1,F749=0),$Q$4,0))*IF(AND(F748=1,F749=0),1,0)</f>
      </c>
      <c r="K748" s="217">
        <f>(1+$G$5)^(D748/12)*(IF(E748=$N$7,$N$4,0)+IF(E748=$C$6,$B$10,0))</f>
      </c>
      <c r="L748" s="217">
        <f>(1+$G$5)^(D748/12)*(IF((E748)&gt;($B$6),H748,0)+IF(E748=$N$7,$N$4,0)+IF(E748=$C$6,0,0))</f>
      </c>
      <c r="M748" s="1"/>
      <c r="N748" s="7"/>
      <c r="O748" s="1"/>
      <c r="P748" s="331">
        <v>741</v>
      </c>
      <c r="Q748" s="544">
        <f>+DATE(YEAR(Q747),MONTH(Q747)-1,DAY(Q747))</f>
        <v>25569.041666666668</v>
      </c>
      <c r="R748" s="341">
        <f>IF($Z$7=$E748,1,IF(MONTH($E748)=1,R749*(1+$F$5),R749))</f>
      </c>
      <c r="S748" s="334">
        <f>R748*$B$8/12</f>
      </c>
      <c r="T748" s="334">
        <f>R748*$B$11/12</f>
      </c>
      <c r="U748" s="565">
        <f>(1+$V$5)^(P748/12)*(T748+IF(Q748=$Z$7,$Z$4,0))</f>
      </c>
      <c r="V748" s="170"/>
      <c r="W748" s="7"/>
      <c r="X748" s="1"/>
      <c r="Y748" s="1"/>
      <c r="Z748" s="1"/>
      <c r="AA748" s="1"/>
      <c r="AB748" s="1"/>
      <c r="AC748" s="331">
        <v>741</v>
      </c>
      <c r="AD748" s="544">
        <f>+DATE(YEAR(AD747),MONTH(AD747)-1,DAY(AD747))</f>
        <v>25569.041666666668</v>
      </c>
      <c r="AE748" s="341">
        <f>IF($AM$7=$E748,1,IF(MONTH($E748)=1,AE749*(1+$F$5),AE749))</f>
      </c>
      <c r="AF748" s="334">
        <f>AE748*$B$8/12</f>
      </c>
      <c r="AG748" s="334">
        <f>AE748*$B$12/12</f>
      </c>
      <c r="AH748" s="565">
        <f>(1+$AI$5)^(AC748/12)*(AG748+IF(AD748=$AM$7,$AM$4,0))</f>
      </c>
      <c r="AI748" s="170"/>
      <c r="AJ748" s="7"/>
      <c r="AK748" s="1"/>
      <c r="AL748" s="1"/>
      <c r="AM748" s="1"/>
    </row>
    <row x14ac:dyDescent="0.25" r="749" customHeight="1" ht="18.75">
      <c r="A749" s="1"/>
      <c r="B749" s="169"/>
      <c r="C749" s="170"/>
      <c r="D749" s="331">
        <v>742</v>
      </c>
      <c r="E749" s="544">
        <f>+DATE(YEAR(E748),MONTH(E748)-1,DAY(E748))</f>
        <v>25569.041666666668</v>
      </c>
      <c r="F749" s="333">
        <f>IF($C$6=$E749,1,IF(MONTH($E749)=1,F750*(1+$F$5),F750))</f>
      </c>
      <c r="G749" s="333">
        <f>F749*$B$8/12</f>
      </c>
      <c r="H749" s="333">
        <f>IF(F749=1,F749*$B$10/MIN(12,'Simulador - 3º Pilar'!$E$88),0)</f>
      </c>
      <c r="I749" s="560">
        <f>(1+$G$5)^(D749/12)*(H749+IF(E749=$N$7,$N$4,0))</f>
      </c>
      <c r="J749" s="561">
        <f>(1+$G$5)^(D749/12)*(H749*(12-IF(MONTH(E750)=12,0,MONTH(E750)))+IF(AND(F749=1,F750=0),$Q$4,0))*IF(AND(F749=1,F750=0),1,0)</f>
      </c>
      <c r="K749" s="217">
        <f>(1+$G$5)^(D749/12)*(IF(E749=$N$7,$N$4,0)+IF(E749=$C$6,$B$10,0))</f>
      </c>
      <c r="L749" s="217">
        <f>(1+$G$5)^(D749/12)*(IF((E749)&gt;($B$6),H749,0)+IF(E749=$N$7,$N$4,0)+IF(E749=$C$6,0,0))</f>
      </c>
      <c r="M749" s="1"/>
      <c r="N749" s="7"/>
      <c r="O749" s="1"/>
      <c r="P749" s="331">
        <v>742</v>
      </c>
      <c r="Q749" s="544">
        <f>+DATE(YEAR(Q748),MONTH(Q748)-1,DAY(Q748))</f>
        <v>25569.041666666668</v>
      </c>
      <c r="R749" s="341">
        <f>IF($Z$7=$E749,1,IF(MONTH($E749)=1,R750*(1+$F$5),R750))</f>
      </c>
      <c r="S749" s="334">
        <f>R749*$B$8/12</f>
      </c>
      <c r="T749" s="334">
        <f>R749*$B$11/12</f>
      </c>
      <c r="U749" s="565">
        <f>(1+$V$5)^(P749/12)*(T749+IF(Q749=$Z$7,$Z$4,0))</f>
      </c>
      <c r="V749" s="170"/>
      <c r="W749" s="7"/>
      <c r="X749" s="1"/>
      <c r="Y749" s="1"/>
      <c r="Z749" s="1"/>
      <c r="AA749" s="1"/>
      <c r="AB749" s="1"/>
      <c r="AC749" s="331">
        <v>742</v>
      </c>
      <c r="AD749" s="544">
        <f>+DATE(YEAR(AD748),MONTH(AD748)-1,DAY(AD748))</f>
        <v>25569.041666666668</v>
      </c>
      <c r="AE749" s="341">
        <f>IF($AM$7=$E749,1,IF(MONTH($E749)=1,AE750*(1+$F$5),AE750))</f>
      </c>
      <c r="AF749" s="334">
        <f>AE749*$B$8/12</f>
      </c>
      <c r="AG749" s="334">
        <f>AE749*$B$12/12</f>
      </c>
      <c r="AH749" s="565">
        <f>(1+$AI$5)^(AC749/12)*(AG749+IF(AD749=$AM$7,$AM$4,0))</f>
      </c>
      <c r="AI749" s="170"/>
      <c r="AJ749" s="7"/>
      <c r="AK749" s="1"/>
      <c r="AL749" s="1"/>
      <c r="AM749" s="1"/>
    </row>
    <row x14ac:dyDescent="0.25" r="750" customHeight="1" ht="18.75">
      <c r="A750" s="1"/>
      <c r="B750" s="169"/>
      <c r="C750" s="170"/>
      <c r="D750" s="331">
        <v>743</v>
      </c>
      <c r="E750" s="544">
        <f>+DATE(YEAR(E749),MONTH(E749)-1,DAY(E749))</f>
        <v>25569.041666666668</v>
      </c>
      <c r="F750" s="333">
        <f>IF($C$6=$E750,1,IF(MONTH($E750)=1,F751*(1+$F$5),F751))</f>
      </c>
      <c r="G750" s="333">
        <f>F750*$B$8/12</f>
      </c>
      <c r="H750" s="333">
        <f>IF(F750=1,F750*$B$10/MIN(12,'Simulador - 3º Pilar'!$E$88),0)</f>
      </c>
      <c r="I750" s="560">
        <f>(1+$G$5)^(D750/12)*(H750+IF(E750=$N$7,$N$4,0))</f>
      </c>
      <c r="J750" s="561">
        <f>(1+$G$5)^(D750/12)*(H750*(12-IF(MONTH(E751)=12,0,MONTH(E751)))+IF(AND(F750=1,F751=0),$Q$4,0))*IF(AND(F750=1,F751=0),1,0)</f>
      </c>
      <c r="K750" s="217">
        <f>(1+$G$5)^(D750/12)*(IF(E750=$N$7,$N$4,0)+IF(E750=$C$6,$B$10,0))</f>
      </c>
      <c r="L750" s="217">
        <f>(1+$G$5)^(D750/12)*(IF((E750)&gt;($B$6),H750,0)+IF(E750=$N$7,$N$4,0)+IF(E750=$C$6,0,0))</f>
      </c>
      <c r="M750" s="1"/>
      <c r="N750" s="7"/>
      <c r="O750" s="1"/>
      <c r="P750" s="331">
        <v>743</v>
      </c>
      <c r="Q750" s="544">
        <f>+DATE(YEAR(Q749),MONTH(Q749)-1,DAY(Q749))</f>
        <v>25569.041666666668</v>
      </c>
      <c r="R750" s="341">
        <f>IF($Z$7=$E750,1,IF(MONTH($E750)=1,R751*(1+$F$5),R751))</f>
      </c>
      <c r="S750" s="334">
        <f>R750*$B$8/12</f>
      </c>
      <c r="T750" s="334">
        <f>R750*$B$11/12</f>
      </c>
      <c r="U750" s="565">
        <f>(1+$V$5)^(P750/12)*(T750+IF(Q750=$Z$7,$Z$4,0))</f>
      </c>
      <c r="V750" s="170"/>
      <c r="W750" s="7"/>
      <c r="X750" s="1"/>
      <c r="Y750" s="1"/>
      <c r="Z750" s="1"/>
      <c r="AA750" s="1"/>
      <c r="AB750" s="1"/>
      <c r="AC750" s="331">
        <v>743</v>
      </c>
      <c r="AD750" s="544">
        <f>+DATE(YEAR(AD749),MONTH(AD749)-1,DAY(AD749))</f>
        <v>25569.041666666668</v>
      </c>
      <c r="AE750" s="341">
        <f>IF($AM$7=$E750,1,IF(MONTH($E750)=1,AE751*(1+$F$5),AE751))</f>
      </c>
      <c r="AF750" s="334">
        <f>AE750*$B$8/12</f>
      </c>
      <c r="AG750" s="334">
        <f>AE750*$B$12/12</f>
      </c>
      <c r="AH750" s="565">
        <f>(1+$AI$5)^(AC750/12)*(AG750+IF(AD750=$AM$7,$AM$4,0))</f>
      </c>
      <c r="AI750" s="170"/>
      <c r="AJ750" s="7"/>
      <c r="AK750" s="1"/>
      <c r="AL750" s="1"/>
      <c r="AM750" s="1"/>
    </row>
    <row x14ac:dyDescent="0.25" r="751" customHeight="1" ht="18.75">
      <c r="A751" s="1"/>
      <c r="B751" s="169"/>
      <c r="C751" s="170"/>
      <c r="D751" s="331">
        <v>744</v>
      </c>
      <c r="E751" s="544">
        <f>+DATE(YEAR(E750),MONTH(E750)-1,DAY(E750))</f>
        <v>25569.041666666668</v>
      </c>
      <c r="F751" s="333">
        <f>IF($C$6=$E751,1,IF(MONTH($E751)=1,F752*(1+$F$5),F752))</f>
      </c>
      <c r="G751" s="333">
        <f>F751*$B$8/12</f>
      </c>
      <c r="H751" s="333">
        <f>IF(F751=1,F751*$B$10/MIN(12,'Simulador - 3º Pilar'!$E$88),0)</f>
      </c>
      <c r="I751" s="560">
        <f>(1+$G$5)^(D751/12)*(H751+IF(E751=$N$7,$N$4,0))</f>
      </c>
      <c r="J751" s="561">
        <f>(1+$G$5)^(D751/12)*(H751*(12-IF(MONTH(E752)=12,0,MONTH(E752)))+IF(AND(F751=1,F752=0),$Q$4,0))*IF(AND(F751=1,F752=0),1,0)</f>
      </c>
      <c r="K751" s="217">
        <f>(1+$G$5)^(D751/12)*(IF(E751=$N$7,$N$4,0)+IF(E751=$C$6,$B$10,0))</f>
      </c>
      <c r="L751" s="217">
        <f>(1+$G$5)^(D751/12)*(IF((E751)&gt;($B$6),H751,0)+IF(E751=$N$7,$N$4,0)+IF(E751=$C$6,0,0))</f>
      </c>
      <c r="M751" s="1"/>
      <c r="N751" s="7"/>
      <c r="O751" s="1"/>
      <c r="P751" s="331">
        <v>744</v>
      </c>
      <c r="Q751" s="544">
        <f>+DATE(YEAR(Q750),MONTH(Q750)-1,DAY(Q750))</f>
        <v>25569.041666666668</v>
      </c>
      <c r="R751" s="341">
        <f>IF($Z$7=$E751,1,IF(MONTH($E751)=1,R752*(1+$F$5),R752))</f>
      </c>
      <c r="S751" s="334">
        <f>R751*$B$8/12</f>
      </c>
      <c r="T751" s="334">
        <f>R751*$B$11/12</f>
      </c>
      <c r="U751" s="565">
        <f>(1+$V$5)^(P751/12)*(T751+IF(Q751=$Z$7,$Z$4,0))</f>
      </c>
      <c r="V751" s="170"/>
      <c r="W751" s="7"/>
      <c r="X751" s="1"/>
      <c r="Y751" s="1"/>
      <c r="Z751" s="1"/>
      <c r="AA751" s="1"/>
      <c r="AB751" s="1"/>
      <c r="AC751" s="331">
        <v>744</v>
      </c>
      <c r="AD751" s="544">
        <f>+DATE(YEAR(AD750),MONTH(AD750)-1,DAY(AD750))</f>
        <v>25569.041666666668</v>
      </c>
      <c r="AE751" s="341">
        <f>IF($AM$7=$E751,1,IF(MONTH($E751)=1,AE752*(1+$F$5),AE752))</f>
      </c>
      <c r="AF751" s="334">
        <f>AE751*$B$8/12</f>
      </c>
      <c r="AG751" s="334">
        <f>AE751*$B$12/12</f>
      </c>
      <c r="AH751" s="565">
        <f>(1+$AI$5)^(AC751/12)*(AG751+IF(AD751=$AM$7,$AM$4,0))</f>
      </c>
      <c r="AI751" s="170"/>
      <c r="AJ751" s="7"/>
      <c r="AK751" s="1"/>
      <c r="AL751" s="1"/>
      <c r="AM751" s="1"/>
    </row>
    <row x14ac:dyDescent="0.25" r="752" customHeight="1" ht="18.75">
      <c r="A752" s="1"/>
      <c r="B752" s="169"/>
      <c r="C752" s="170"/>
      <c r="D752" s="331">
        <v>745</v>
      </c>
      <c r="E752" s="544">
        <f>+DATE(YEAR(E751),MONTH(E751)-1,DAY(E751))</f>
        <v>25569.041666666668</v>
      </c>
      <c r="F752" s="333">
        <f>IF($C$6=$E752,1,IF(MONTH($E752)=1,F753*(1+$F$5),F753))</f>
      </c>
      <c r="G752" s="333">
        <f>F752*$B$8/12</f>
      </c>
      <c r="H752" s="333">
        <f>IF(F752=1,F752*$B$10/MIN(12,'Simulador - 3º Pilar'!$E$88),0)</f>
      </c>
      <c r="I752" s="560">
        <f>(1+$G$5)^(D752/12)*(H752+IF(E752=$N$7,$N$4,0))</f>
      </c>
      <c r="J752" s="561">
        <f>(1+$G$5)^(D752/12)*(H752*(12-IF(MONTH(E753)=12,0,MONTH(E753)))+IF(AND(F752=1,F753=0),$Q$4,0))*IF(AND(F752=1,F753=0),1,0)</f>
      </c>
      <c r="K752" s="217">
        <f>(1+$G$5)^(D752/12)*(IF(E752=$N$7,$N$4,0)+IF(E752=$C$6,$B$10,0))</f>
      </c>
      <c r="L752" s="217">
        <f>(1+$G$5)^(D752/12)*(IF((E752)&gt;($B$6),H752,0)+IF(E752=$N$7,$N$4,0)+IF(E752=$C$6,0,0))</f>
      </c>
      <c r="M752" s="1"/>
      <c r="N752" s="7"/>
      <c r="O752" s="1"/>
      <c r="P752" s="331">
        <v>745</v>
      </c>
      <c r="Q752" s="544">
        <f>+DATE(YEAR(Q751),MONTH(Q751)-1,DAY(Q751))</f>
        <v>25569.041666666668</v>
      </c>
      <c r="R752" s="341">
        <f>IF($Z$7=$E752,1,IF(MONTH($E752)=1,R753*(1+$F$5),R753))</f>
      </c>
      <c r="S752" s="334">
        <f>R752*$B$8/12</f>
      </c>
      <c r="T752" s="334">
        <f>R752*$B$11/12</f>
      </c>
      <c r="U752" s="565">
        <f>(1+$V$5)^(P752/12)*(T752+IF(Q752=$Z$7,$Z$4,0))</f>
      </c>
      <c r="V752" s="170"/>
      <c r="W752" s="7"/>
      <c r="X752" s="1"/>
      <c r="Y752" s="1"/>
      <c r="Z752" s="1"/>
      <c r="AA752" s="1"/>
      <c r="AB752" s="1"/>
      <c r="AC752" s="331">
        <v>745</v>
      </c>
      <c r="AD752" s="544">
        <f>+DATE(YEAR(AD751),MONTH(AD751)-1,DAY(AD751))</f>
        <v>25569.041666666668</v>
      </c>
      <c r="AE752" s="341">
        <f>IF($AM$7=$E752,1,IF(MONTH($E752)=1,AE753*(1+$F$5),AE753))</f>
      </c>
      <c r="AF752" s="334">
        <f>AE752*$B$8/12</f>
      </c>
      <c r="AG752" s="334">
        <f>AE752*$B$12/12</f>
      </c>
      <c r="AH752" s="565">
        <f>(1+$AI$5)^(AC752/12)*(AG752+IF(AD752=$AM$7,$AM$4,0))</f>
      </c>
      <c r="AI752" s="170"/>
      <c r="AJ752" s="7"/>
      <c r="AK752" s="1"/>
      <c r="AL752" s="1"/>
      <c r="AM752" s="1"/>
    </row>
    <row x14ac:dyDescent="0.25" r="753" customHeight="1" ht="18.75">
      <c r="A753" s="1"/>
      <c r="B753" s="169"/>
      <c r="C753" s="170"/>
      <c r="D753" s="331">
        <v>746</v>
      </c>
      <c r="E753" s="544">
        <f>+DATE(YEAR(E752),MONTH(E752)-1,DAY(E752))</f>
        <v>25569.041666666668</v>
      </c>
      <c r="F753" s="333">
        <f>IF($C$6=$E753,1,IF(MONTH($E753)=1,F754*(1+$F$5),F754))</f>
      </c>
      <c r="G753" s="333">
        <f>F753*$B$8/12</f>
      </c>
      <c r="H753" s="333">
        <f>IF(F753=1,F753*$B$10/MIN(12,'Simulador - 3º Pilar'!$E$88),0)</f>
      </c>
      <c r="I753" s="560">
        <f>(1+$G$5)^(D753/12)*(H753+IF(E753=$N$7,$N$4,0))</f>
      </c>
      <c r="J753" s="561">
        <f>(1+$G$5)^(D753/12)*(H753*(12-IF(MONTH(E754)=12,0,MONTH(E754)))+IF(AND(F753=1,F754=0),$Q$4,0))*IF(AND(F753=1,F754=0),1,0)</f>
      </c>
      <c r="K753" s="217">
        <f>(1+$G$5)^(D753/12)*(IF(E753=$N$7,$N$4,0)+IF(E753=$C$6,$B$10,0))</f>
      </c>
      <c r="L753" s="217">
        <f>(1+$G$5)^(D753/12)*(IF((E753)&gt;($B$6),H753,0)+IF(E753=$N$7,$N$4,0)+IF(E753=$C$6,0,0))</f>
      </c>
      <c r="M753" s="1"/>
      <c r="N753" s="7"/>
      <c r="O753" s="1"/>
      <c r="P753" s="331">
        <v>746</v>
      </c>
      <c r="Q753" s="544">
        <f>+DATE(YEAR(Q752),MONTH(Q752)-1,DAY(Q752))</f>
        <v>25569.041666666668</v>
      </c>
      <c r="R753" s="341">
        <f>IF($Z$7=$E753,1,IF(MONTH($E753)=1,R754*(1+$F$5),R754))</f>
      </c>
      <c r="S753" s="334">
        <f>R753*$B$8/12</f>
      </c>
      <c r="T753" s="334">
        <f>R753*$B$11/12</f>
      </c>
      <c r="U753" s="565">
        <f>(1+$V$5)^(P753/12)*(T753+IF(Q753=$Z$7,$Z$4,0))</f>
      </c>
      <c r="V753" s="170"/>
      <c r="W753" s="7"/>
      <c r="X753" s="1"/>
      <c r="Y753" s="1"/>
      <c r="Z753" s="1"/>
      <c r="AA753" s="1"/>
      <c r="AB753" s="1"/>
      <c r="AC753" s="331">
        <v>746</v>
      </c>
      <c r="AD753" s="544">
        <f>+DATE(YEAR(AD752),MONTH(AD752)-1,DAY(AD752))</f>
        <v>25569.041666666668</v>
      </c>
      <c r="AE753" s="341">
        <f>IF($AM$7=$E753,1,IF(MONTH($E753)=1,AE754*(1+$F$5),AE754))</f>
      </c>
      <c r="AF753" s="334">
        <f>AE753*$B$8/12</f>
      </c>
      <c r="AG753" s="334">
        <f>AE753*$B$12/12</f>
      </c>
      <c r="AH753" s="565">
        <f>(1+$AI$5)^(AC753/12)*(AG753+IF(AD753=$AM$7,$AM$4,0))</f>
      </c>
      <c r="AI753" s="170"/>
      <c r="AJ753" s="7"/>
      <c r="AK753" s="1"/>
      <c r="AL753" s="1"/>
      <c r="AM753" s="1"/>
    </row>
    <row x14ac:dyDescent="0.25" r="754" customHeight="1" ht="18.75">
      <c r="A754" s="1"/>
      <c r="B754" s="169"/>
      <c r="C754" s="170"/>
      <c r="D754" s="331">
        <v>747</v>
      </c>
      <c r="E754" s="544">
        <f>+DATE(YEAR(E753),MONTH(E753)-1,DAY(E753))</f>
        <v>25569.041666666668</v>
      </c>
      <c r="F754" s="333">
        <f>IF($C$6=$E754,1,IF(MONTH($E754)=1,F755*(1+$F$5),F755))</f>
      </c>
      <c r="G754" s="333">
        <f>F754*$B$8/12</f>
      </c>
      <c r="H754" s="333">
        <f>IF(F754=1,F754*$B$10/MIN(12,'Simulador - 3º Pilar'!$E$88),0)</f>
      </c>
      <c r="I754" s="560">
        <f>(1+$G$5)^(D754/12)*(H754+IF(E754=$N$7,$N$4,0))</f>
      </c>
      <c r="J754" s="561">
        <f>(1+$G$5)^(D754/12)*(H754*(12-IF(MONTH(E755)=12,0,MONTH(E755)))+IF(AND(F754=1,F755=0),$Q$4,0))*IF(AND(F754=1,F755=0),1,0)</f>
      </c>
      <c r="K754" s="217">
        <f>(1+$G$5)^(D754/12)*(IF(E754=$N$7,$N$4,0)+IF(E754=$C$6,$B$10,0))</f>
      </c>
      <c r="L754" s="217">
        <f>(1+$G$5)^(D754/12)*(IF((E754)&gt;($B$6),H754,0)+IF(E754=$N$7,$N$4,0)+IF(E754=$C$6,0,0))</f>
      </c>
      <c r="M754" s="1"/>
      <c r="N754" s="7"/>
      <c r="O754" s="1"/>
      <c r="P754" s="331">
        <v>747</v>
      </c>
      <c r="Q754" s="544">
        <f>+DATE(YEAR(Q753),MONTH(Q753)-1,DAY(Q753))</f>
        <v>25569.041666666668</v>
      </c>
      <c r="R754" s="341">
        <f>IF($Z$7=$E754,1,IF(MONTH($E754)=1,R755*(1+$F$5),R755))</f>
      </c>
      <c r="S754" s="334">
        <f>R754*$B$8/12</f>
      </c>
      <c r="T754" s="334">
        <f>R754*$B$11/12</f>
      </c>
      <c r="U754" s="565">
        <f>(1+$V$5)^(P754/12)*(T754+IF(Q754=$Z$7,$Z$4,0))</f>
      </c>
      <c r="V754" s="170"/>
      <c r="W754" s="7"/>
      <c r="X754" s="1"/>
      <c r="Y754" s="1"/>
      <c r="Z754" s="1"/>
      <c r="AA754" s="1"/>
      <c r="AB754" s="1"/>
      <c r="AC754" s="331">
        <v>747</v>
      </c>
      <c r="AD754" s="544">
        <f>+DATE(YEAR(AD753),MONTH(AD753)-1,DAY(AD753))</f>
        <v>25569.041666666668</v>
      </c>
      <c r="AE754" s="341">
        <f>IF($AM$7=$E754,1,IF(MONTH($E754)=1,AE755*(1+$F$5),AE755))</f>
      </c>
      <c r="AF754" s="334">
        <f>AE754*$B$8/12</f>
      </c>
      <c r="AG754" s="334">
        <f>AE754*$B$12/12</f>
      </c>
      <c r="AH754" s="565">
        <f>(1+$AI$5)^(AC754/12)*(AG754+IF(AD754=$AM$7,$AM$4,0))</f>
      </c>
      <c r="AI754" s="170"/>
      <c r="AJ754" s="7"/>
      <c r="AK754" s="1"/>
      <c r="AL754" s="1"/>
      <c r="AM754" s="1"/>
    </row>
    <row x14ac:dyDescent="0.25" r="755" customHeight="1" ht="18.75">
      <c r="A755" s="1"/>
      <c r="B755" s="169"/>
      <c r="C755" s="170"/>
      <c r="D755" s="331">
        <v>748</v>
      </c>
      <c r="E755" s="544">
        <f>+DATE(YEAR(E754),MONTH(E754)-1,DAY(E754))</f>
        <v>25569.041666666668</v>
      </c>
      <c r="F755" s="333">
        <f>IF($C$6=$E755,1,IF(MONTH($E755)=1,F756*(1+$F$5),F756))</f>
      </c>
      <c r="G755" s="333">
        <f>F755*$B$8/12</f>
      </c>
      <c r="H755" s="333">
        <f>IF(F755=1,F755*$B$10/MIN(12,'Simulador - 3º Pilar'!$E$88),0)</f>
      </c>
      <c r="I755" s="560">
        <f>(1+$G$5)^(D755/12)*(H755+IF(E755=$N$7,$N$4,0))</f>
      </c>
      <c r="J755" s="561">
        <f>(1+$G$5)^(D755/12)*(H755*(12-IF(MONTH(E756)=12,0,MONTH(E756)))+IF(AND(F755=1,F756=0),$Q$4,0))*IF(AND(F755=1,F756=0),1,0)</f>
      </c>
      <c r="K755" s="217">
        <f>(1+$G$5)^(D755/12)*(IF(E755=$N$7,$N$4,0)+IF(E755=$C$6,$B$10,0))</f>
      </c>
      <c r="L755" s="217">
        <f>(1+$G$5)^(D755/12)*(IF((E755)&gt;($B$6),H755,0)+IF(E755=$N$7,$N$4,0)+IF(E755=$C$6,0,0))</f>
      </c>
      <c r="M755" s="1"/>
      <c r="N755" s="7"/>
      <c r="O755" s="1"/>
      <c r="P755" s="331">
        <v>748</v>
      </c>
      <c r="Q755" s="544">
        <f>+DATE(YEAR(Q754),MONTH(Q754)-1,DAY(Q754))</f>
        <v>25569.041666666668</v>
      </c>
      <c r="R755" s="341">
        <f>IF($Z$7=$E755,1,IF(MONTH($E755)=1,R756*(1+$F$5),R756))</f>
      </c>
      <c r="S755" s="334">
        <f>R755*$B$8/12</f>
      </c>
      <c r="T755" s="334">
        <f>R755*$B$11/12</f>
      </c>
      <c r="U755" s="565">
        <f>(1+$V$5)^(P755/12)*(T755+IF(Q755=$Z$7,$Z$4,0))</f>
      </c>
      <c r="V755" s="170"/>
      <c r="W755" s="7"/>
      <c r="X755" s="1"/>
      <c r="Y755" s="1"/>
      <c r="Z755" s="1"/>
      <c r="AA755" s="1"/>
      <c r="AB755" s="1"/>
      <c r="AC755" s="331">
        <v>748</v>
      </c>
      <c r="AD755" s="544">
        <f>+DATE(YEAR(AD754),MONTH(AD754)-1,DAY(AD754))</f>
        <v>25569.041666666668</v>
      </c>
      <c r="AE755" s="341">
        <f>IF($AM$7=$E755,1,IF(MONTH($E755)=1,AE756*(1+$F$5),AE756))</f>
      </c>
      <c r="AF755" s="334">
        <f>AE755*$B$8/12</f>
      </c>
      <c r="AG755" s="334">
        <f>AE755*$B$12/12</f>
      </c>
      <c r="AH755" s="565">
        <f>(1+$AI$5)^(AC755/12)*(AG755+IF(AD755=$AM$7,$AM$4,0))</f>
      </c>
      <c r="AI755" s="170"/>
      <c r="AJ755" s="7"/>
      <c r="AK755" s="1"/>
      <c r="AL755" s="1"/>
      <c r="AM755" s="1"/>
    </row>
    <row x14ac:dyDescent="0.25" r="756" customHeight="1" ht="18.75">
      <c r="A756" s="1"/>
      <c r="B756" s="169"/>
      <c r="C756" s="170"/>
      <c r="D756" s="331">
        <v>749</v>
      </c>
      <c r="E756" s="544">
        <f>+DATE(YEAR(E755),MONTH(E755)-1,DAY(E755))</f>
        <v>25569.041666666668</v>
      </c>
      <c r="F756" s="333">
        <f>IF($C$6=$E756,1,IF(MONTH($E756)=1,F757*(1+$F$5),F757))</f>
      </c>
      <c r="G756" s="333">
        <f>F756*$B$8/12</f>
      </c>
      <c r="H756" s="333">
        <f>IF(F756=1,F756*$B$10/MIN(12,'Simulador - 3º Pilar'!$E$88),0)</f>
      </c>
      <c r="I756" s="560">
        <f>(1+$G$5)^(D756/12)*(H756+IF(E756=$N$7,$N$4,0))</f>
      </c>
      <c r="J756" s="561">
        <f>(1+$G$5)^(D756/12)*(H756*(12-IF(MONTH(E757)=12,0,MONTH(E757)))+IF(AND(F756=1,F757=0),$Q$4,0))*IF(AND(F756=1,F757=0),1,0)</f>
      </c>
      <c r="K756" s="217">
        <f>(1+$G$5)^(D756/12)*(IF(E756=$N$7,$N$4,0)+IF(E756=$C$6,$B$10,0))</f>
      </c>
      <c r="L756" s="217">
        <f>(1+$G$5)^(D756/12)*(IF((E756)&gt;($B$6),H756,0)+IF(E756=$N$7,$N$4,0)+IF(E756=$C$6,0,0))</f>
      </c>
      <c r="M756" s="1"/>
      <c r="N756" s="7"/>
      <c r="O756" s="1"/>
      <c r="P756" s="331">
        <v>749</v>
      </c>
      <c r="Q756" s="544">
        <f>+DATE(YEAR(Q755),MONTH(Q755)-1,DAY(Q755))</f>
        <v>25569.041666666668</v>
      </c>
      <c r="R756" s="341">
        <f>IF($Z$7=$E756,1,IF(MONTH($E756)=1,R757*(1+$F$5),R757))</f>
      </c>
      <c r="S756" s="334">
        <f>R756*$B$8/12</f>
      </c>
      <c r="T756" s="334">
        <f>R756*$B$11/12</f>
      </c>
      <c r="U756" s="565">
        <f>(1+$V$5)^(P756/12)*(T756+IF(Q756=$Z$7,$Z$4,0))</f>
      </c>
      <c r="V756" s="170"/>
      <c r="W756" s="7"/>
      <c r="X756" s="1"/>
      <c r="Y756" s="1"/>
      <c r="Z756" s="1"/>
      <c r="AA756" s="1"/>
      <c r="AB756" s="1"/>
      <c r="AC756" s="331">
        <v>749</v>
      </c>
      <c r="AD756" s="544">
        <f>+DATE(YEAR(AD755),MONTH(AD755)-1,DAY(AD755))</f>
        <v>25569.041666666668</v>
      </c>
      <c r="AE756" s="341">
        <f>IF($AM$7=$E756,1,IF(MONTH($E756)=1,AE757*(1+$F$5),AE757))</f>
      </c>
      <c r="AF756" s="334">
        <f>AE756*$B$8/12</f>
      </c>
      <c r="AG756" s="334">
        <f>AE756*$B$12/12</f>
      </c>
      <c r="AH756" s="565">
        <f>(1+$AI$5)^(AC756/12)*(AG756+IF(AD756=$AM$7,$AM$4,0))</f>
      </c>
      <c r="AI756" s="170"/>
      <c r="AJ756" s="7"/>
      <c r="AK756" s="1"/>
      <c r="AL756" s="1"/>
      <c r="AM756" s="1"/>
    </row>
    <row x14ac:dyDescent="0.25" r="757" customHeight="1" ht="18.75">
      <c r="A757" s="1"/>
      <c r="B757" s="169"/>
      <c r="C757" s="170"/>
      <c r="D757" s="331">
        <v>750</v>
      </c>
      <c r="E757" s="544">
        <f>+DATE(YEAR(E756),MONTH(E756)-1,DAY(E756))</f>
        <v>25569.041666666668</v>
      </c>
      <c r="F757" s="333">
        <f>IF($C$6=$E757,1,IF(MONTH($E757)=1,F758*(1+$F$5),F758))</f>
      </c>
      <c r="G757" s="333">
        <f>F757*$B$8/12</f>
      </c>
      <c r="H757" s="333">
        <f>IF(F757=1,F757*$B$10/MIN(12,'Simulador - 3º Pilar'!$E$88),0)</f>
      </c>
      <c r="I757" s="560">
        <f>(1+$G$5)^(D757/12)*(H757+IF(E757=$N$7,$N$4,0))</f>
      </c>
      <c r="J757" s="561">
        <f>(1+$G$5)^(D757/12)*(H757*(12-IF(MONTH(E758)=12,0,MONTH(E758)))+IF(AND(F757=1,F758=0),$Q$4,0))*IF(AND(F757=1,F758=0),1,0)</f>
      </c>
      <c r="K757" s="217">
        <f>(1+$G$5)^(D757/12)*(IF(E757=$N$7,$N$4,0)+IF(E757=$C$6,$B$10,0))</f>
      </c>
      <c r="L757" s="217">
        <f>(1+$G$5)^(D757/12)*(IF((E757)&gt;($B$6),H757,0)+IF(E757=$N$7,$N$4,0)+IF(E757=$C$6,0,0))</f>
      </c>
      <c r="M757" s="1"/>
      <c r="N757" s="7"/>
      <c r="O757" s="1"/>
      <c r="P757" s="331">
        <v>750</v>
      </c>
      <c r="Q757" s="544">
        <f>+DATE(YEAR(Q756),MONTH(Q756)-1,DAY(Q756))</f>
        <v>25569.041666666668</v>
      </c>
      <c r="R757" s="341">
        <f>IF($Z$7=$E757,1,IF(MONTH($E757)=1,R758*(1+$F$5),R758))</f>
      </c>
      <c r="S757" s="334">
        <f>R757*$B$8/12</f>
      </c>
      <c r="T757" s="334">
        <f>R757*$B$11/12</f>
      </c>
      <c r="U757" s="565">
        <f>(1+$V$5)^(P757/12)*(T757+IF(Q757=$Z$7,$Z$4,0))</f>
      </c>
      <c r="V757" s="170"/>
      <c r="W757" s="7"/>
      <c r="X757" s="1"/>
      <c r="Y757" s="1"/>
      <c r="Z757" s="1"/>
      <c r="AA757" s="1"/>
      <c r="AB757" s="1"/>
      <c r="AC757" s="331">
        <v>750</v>
      </c>
      <c r="AD757" s="544">
        <f>+DATE(YEAR(AD756),MONTH(AD756)-1,DAY(AD756))</f>
        <v>25569.041666666668</v>
      </c>
      <c r="AE757" s="341">
        <f>IF($AM$7=$E757,1,IF(MONTH($E757)=1,AE758*(1+$F$5),AE758))</f>
      </c>
      <c r="AF757" s="334">
        <f>AE757*$B$8/12</f>
      </c>
      <c r="AG757" s="334">
        <f>AE757*$B$12/12</f>
      </c>
      <c r="AH757" s="565">
        <f>(1+$AI$5)^(AC757/12)*(AG757+IF(AD757=$AM$7,$AM$4,0))</f>
      </c>
      <c r="AI757" s="170"/>
      <c r="AJ757" s="7"/>
      <c r="AK757" s="1"/>
      <c r="AL757" s="1"/>
      <c r="AM757" s="1"/>
    </row>
    <row x14ac:dyDescent="0.25" r="758" customHeight="1" ht="18.75">
      <c r="A758" s="1"/>
      <c r="B758" s="169"/>
      <c r="C758" s="170"/>
      <c r="D758" s="331">
        <v>751</v>
      </c>
      <c r="E758" s="544">
        <f>+DATE(YEAR(E757),MONTH(E757)-1,DAY(E757))</f>
        <v>25569.041666666668</v>
      </c>
      <c r="F758" s="333">
        <f>IF($C$6=$E758,1,IF(MONTH($E758)=1,F759*(1+$F$5),F759))</f>
      </c>
      <c r="G758" s="333">
        <f>F758*$B$8/12</f>
      </c>
      <c r="H758" s="333">
        <f>IF(F758=1,F758*$B$10/MIN(12,'Simulador - 3º Pilar'!$E$88),0)</f>
      </c>
      <c r="I758" s="560">
        <f>(1+$G$5)^(D758/12)*(H758+IF(E758=$N$7,$N$4,0))</f>
      </c>
      <c r="J758" s="561">
        <f>(1+$G$5)^(D758/12)*(H758*(12-IF(MONTH(E759)=12,0,MONTH(E759)))+IF(AND(F758=1,F759=0),$Q$4,0))*IF(AND(F758=1,F759=0),1,0)</f>
      </c>
      <c r="K758" s="217">
        <f>(1+$G$5)^(D758/12)*(IF(E758=$N$7,$N$4,0)+IF(E758=$C$6,$B$10,0))</f>
      </c>
      <c r="L758" s="217">
        <f>(1+$G$5)^(D758/12)*(IF((E758)&gt;($B$6),H758,0)+IF(E758=$N$7,$N$4,0)+IF(E758=$C$6,0,0))</f>
      </c>
      <c r="M758" s="1"/>
      <c r="N758" s="7"/>
      <c r="O758" s="1"/>
      <c r="P758" s="331">
        <v>751</v>
      </c>
      <c r="Q758" s="544">
        <f>+DATE(YEAR(Q757),MONTH(Q757)-1,DAY(Q757))</f>
        <v>25569.041666666668</v>
      </c>
      <c r="R758" s="341">
        <f>IF($Z$7=$E758,1,IF(MONTH($E758)=1,R759*(1+$F$5),R759))</f>
      </c>
      <c r="S758" s="334">
        <f>R758*$B$8/12</f>
      </c>
      <c r="T758" s="334">
        <f>R758*$B$11/12</f>
      </c>
      <c r="U758" s="565">
        <f>(1+$V$5)^(P758/12)*(T758+IF(Q758=$Z$7,$Z$4,0))</f>
      </c>
      <c r="V758" s="170"/>
      <c r="W758" s="7"/>
      <c r="X758" s="1"/>
      <c r="Y758" s="1"/>
      <c r="Z758" s="1"/>
      <c r="AA758" s="1"/>
      <c r="AB758" s="1"/>
      <c r="AC758" s="331">
        <v>751</v>
      </c>
      <c r="AD758" s="544">
        <f>+DATE(YEAR(AD757),MONTH(AD757)-1,DAY(AD757))</f>
        <v>25569.041666666668</v>
      </c>
      <c r="AE758" s="341">
        <f>IF($AM$7=$E758,1,IF(MONTH($E758)=1,AE759*(1+$F$5),AE759))</f>
      </c>
      <c r="AF758" s="334">
        <f>AE758*$B$8/12</f>
      </c>
      <c r="AG758" s="334">
        <f>AE758*$B$12/12</f>
      </c>
      <c r="AH758" s="565">
        <f>(1+$AI$5)^(AC758/12)*(AG758+IF(AD758=$AM$7,$AM$4,0))</f>
      </c>
      <c r="AI758" s="170"/>
      <c r="AJ758" s="7"/>
      <c r="AK758" s="1"/>
      <c r="AL758" s="1"/>
      <c r="AM758" s="1"/>
    </row>
    <row x14ac:dyDescent="0.25" r="759" customHeight="1" ht="18.75">
      <c r="A759" s="1"/>
      <c r="B759" s="169"/>
      <c r="C759" s="170"/>
      <c r="D759" s="331">
        <v>752</v>
      </c>
      <c r="E759" s="544">
        <f>+DATE(YEAR(E758),MONTH(E758)-1,DAY(E758))</f>
        <v>25569.041666666668</v>
      </c>
      <c r="F759" s="333">
        <f>IF($C$6=$E759,1,IF(MONTH($E759)=1,F760*(1+$F$5),F760))</f>
      </c>
      <c r="G759" s="333">
        <f>F759*$B$8/12</f>
      </c>
      <c r="H759" s="333">
        <f>IF(F759=1,F759*$B$10/MIN(12,'Simulador - 3º Pilar'!$E$88),0)</f>
      </c>
      <c r="I759" s="560">
        <f>(1+$G$5)^(D759/12)*(H759+IF(E759=$N$7,$N$4,0))</f>
      </c>
      <c r="J759" s="561">
        <f>(1+$G$5)^(D759/12)*(H759*(12-IF(MONTH(E760)=12,0,MONTH(E760)))+IF(AND(F759=1,F760=0),$Q$4,0))*IF(AND(F759=1,F760=0),1,0)</f>
      </c>
      <c r="K759" s="217">
        <f>(1+$G$5)^(D759/12)*(IF(E759=$N$7,$N$4,0)+IF(E759=$C$6,$B$10,0))</f>
      </c>
      <c r="L759" s="217">
        <f>(1+$G$5)^(D759/12)*(IF((E759)&gt;($B$6),H759,0)+IF(E759=$N$7,$N$4,0)+IF(E759=$C$6,0,0))</f>
      </c>
      <c r="M759" s="1"/>
      <c r="N759" s="7"/>
      <c r="O759" s="1"/>
      <c r="P759" s="331">
        <v>752</v>
      </c>
      <c r="Q759" s="544">
        <f>+DATE(YEAR(Q758),MONTH(Q758)-1,DAY(Q758))</f>
        <v>25569.041666666668</v>
      </c>
      <c r="R759" s="341">
        <f>IF($Z$7=$E759,1,IF(MONTH($E759)=1,R760*(1+$F$5),R760))</f>
      </c>
      <c r="S759" s="334">
        <f>R759*$B$8/12</f>
      </c>
      <c r="T759" s="334">
        <f>R759*$B$11/12</f>
      </c>
      <c r="U759" s="565">
        <f>(1+$V$5)^(P759/12)*(T759+IF(Q759=$Z$7,$Z$4,0))</f>
      </c>
      <c r="V759" s="170"/>
      <c r="W759" s="7"/>
      <c r="X759" s="1"/>
      <c r="Y759" s="1"/>
      <c r="Z759" s="1"/>
      <c r="AA759" s="1"/>
      <c r="AB759" s="1"/>
      <c r="AC759" s="331">
        <v>752</v>
      </c>
      <c r="AD759" s="544">
        <f>+DATE(YEAR(AD758),MONTH(AD758)-1,DAY(AD758))</f>
        <v>25569.041666666668</v>
      </c>
      <c r="AE759" s="341">
        <f>IF($AM$7=$E759,1,IF(MONTH($E759)=1,AE760*(1+$F$5),AE760))</f>
      </c>
      <c r="AF759" s="334">
        <f>AE759*$B$8/12</f>
      </c>
      <c r="AG759" s="334">
        <f>AE759*$B$12/12</f>
      </c>
      <c r="AH759" s="565">
        <f>(1+$AI$5)^(AC759/12)*(AG759+IF(AD759=$AM$7,$AM$4,0))</f>
      </c>
      <c r="AI759" s="170"/>
      <c r="AJ759" s="7"/>
      <c r="AK759" s="1"/>
      <c r="AL759" s="1"/>
      <c r="AM759" s="1"/>
    </row>
    <row x14ac:dyDescent="0.25" r="760" customHeight="1" ht="18.75">
      <c r="A760" s="1"/>
      <c r="B760" s="169"/>
      <c r="C760" s="170"/>
      <c r="D760" s="331">
        <v>753</v>
      </c>
      <c r="E760" s="544">
        <f>+DATE(YEAR(E759),MONTH(E759)-1,DAY(E759))</f>
        <v>25569.041666666668</v>
      </c>
      <c r="F760" s="333">
        <f>IF($C$6=$E760,1,IF(MONTH($E760)=1,F761*(1+$F$5),F761))</f>
      </c>
      <c r="G760" s="333">
        <f>F760*$B$8/12</f>
      </c>
      <c r="H760" s="333">
        <f>IF(F760=1,F760*$B$10/MIN(12,'Simulador - 3º Pilar'!$E$88),0)</f>
      </c>
      <c r="I760" s="560">
        <f>(1+$G$5)^(D760/12)*(H760+IF(E760=$N$7,$N$4,0))</f>
      </c>
      <c r="J760" s="561">
        <f>(1+$G$5)^(D760/12)*(H760*(12-IF(MONTH(E761)=12,0,MONTH(E761)))+IF(AND(F760=1,F761=0),$Q$4,0))*IF(AND(F760=1,F761=0),1,0)</f>
      </c>
      <c r="K760" s="217">
        <f>(1+$G$5)^(D760/12)*(IF(E760=$N$7,$N$4,0)+IF(E760=$C$6,$B$10,0))</f>
      </c>
      <c r="L760" s="217">
        <f>(1+$G$5)^(D760/12)*(IF((E760)&gt;($B$6),H760,0)+IF(E760=$N$7,$N$4,0)+IF(E760=$C$6,0,0))</f>
      </c>
      <c r="M760" s="1"/>
      <c r="N760" s="7"/>
      <c r="O760" s="1"/>
      <c r="P760" s="331">
        <v>753</v>
      </c>
      <c r="Q760" s="544">
        <f>+DATE(YEAR(Q759),MONTH(Q759)-1,DAY(Q759))</f>
        <v>25569.041666666668</v>
      </c>
      <c r="R760" s="341">
        <f>IF($Z$7=$E760,1,IF(MONTH($E760)=1,R761*(1+$F$5),R761))</f>
      </c>
      <c r="S760" s="334">
        <f>R760*$B$8/12</f>
      </c>
      <c r="T760" s="334">
        <f>R760*$B$11/12</f>
      </c>
      <c r="U760" s="565">
        <f>(1+$V$5)^(P760/12)*(T760+IF(Q760=$Z$7,$Z$4,0))</f>
      </c>
      <c r="V760" s="170"/>
      <c r="W760" s="7"/>
      <c r="X760" s="1"/>
      <c r="Y760" s="1"/>
      <c r="Z760" s="1"/>
      <c r="AA760" s="1"/>
      <c r="AB760" s="1"/>
      <c r="AC760" s="331">
        <v>753</v>
      </c>
      <c r="AD760" s="544">
        <f>+DATE(YEAR(AD759),MONTH(AD759)-1,DAY(AD759))</f>
        <v>25569.041666666668</v>
      </c>
      <c r="AE760" s="341">
        <f>IF($AM$7=$E760,1,IF(MONTH($E760)=1,AE761*(1+$F$5),AE761))</f>
      </c>
      <c r="AF760" s="334">
        <f>AE760*$B$8/12</f>
      </c>
      <c r="AG760" s="334">
        <f>AE760*$B$12/12</f>
      </c>
      <c r="AH760" s="565">
        <f>(1+$AI$5)^(AC760/12)*(AG760+IF(AD760=$AM$7,$AM$4,0))</f>
      </c>
      <c r="AI760" s="170"/>
      <c r="AJ760" s="7"/>
      <c r="AK760" s="1"/>
      <c r="AL760" s="1"/>
      <c r="AM760" s="1"/>
    </row>
    <row x14ac:dyDescent="0.25" r="761" customHeight="1" ht="18.75">
      <c r="A761" s="1"/>
      <c r="B761" s="169"/>
      <c r="C761" s="170"/>
      <c r="D761" s="331">
        <v>754</v>
      </c>
      <c r="E761" s="544">
        <f>+DATE(YEAR(E760),MONTH(E760)-1,DAY(E760))</f>
        <v>25569.041666666668</v>
      </c>
      <c r="F761" s="333">
        <f>IF($C$6=$E761,1,IF(MONTH($E761)=1,F762*(1+$F$5),F762))</f>
      </c>
      <c r="G761" s="333">
        <f>F761*$B$8/12</f>
      </c>
      <c r="H761" s="333">
        <f>IF(F761=1,F761*$B$10/MIN(12,'Simulador - 3º Pilar'!$E$88),0)</f>
      </c>
      <c r="I761" s="560">
        <f>(1+$G$5)^(D761/12)*(H761+IF(E761=$N$7,$N$4,0))</f>
      </c>
      <c r="J761" s="561">
        <f>(1+$G$5)^(D761/12)*(H761*(12-IF(MONTH(E762)=12,0,MONTH(E762)))+IF(AND(F761=1,F762=0),$Q$4,0))*IF(AND(F761=1,F762=0),1,0)</f>
      </c>
      <c r="K761" s="217">
        <f>(1+$G$5)^(D761/12)*(IF(E761=$N$7,$N$4,0)+IF(E761=$C$6,$B$10,0))</f>
      </c>
      <c r="L761" s="217">
        <f>(1+$G$5)^(D761/12)*(IF((E761)&gt;($B$6),H761,0)+IF(E761=$N$7,$N$4,0)+IF(E761=$C$6,0,0))</f>
      </c>
      <c r="M761" s="1"/>
      <c r="N761" s="7"/>
      <c r="O761" s="1"/>
      <c r="P761" s="331">
        <v>754</v>
      </c>
      <c r="Q761" s="544">
        <f>+DATE(YEAR(Q760),MONTH(Q760)-1,DAY(Q760))</f>
        <v>25569.041666666668</v>
      </c>
      <c r="R761" s="341">
        <f>IF($Z$7=$E761,1,IF(MONTH($E761)=1,R762*(1+$F$5),R762))</f>
      </c>
      <c r="S761" s="334">
        <f>R761*$B$8/12</f>
      </c>
      <c r="T761" s="334">
        <f>R761*$B$11/12</f>
      </c>
      <c r="U761" s="565">
        <f>(1+$V$5)^(P761/12)*(T761+IF(Q761=$Z$7,$Z$4,0))</f>
      </c>
      <c r="V761" s="170"/>
      <c r="W761" s="7"/>
      <c r="X761" s="1"/>
      <c r="Y761" s="1"/>
      <c r="Z761" s="1"/>
      <c r="AA761" s="1"/>
      <c r="AB761" s="1"/>
      <c r="AC761" s="331">
        <v>754</v>
      </c>
      <c r="AD761" s="544">
        <f>+DATE(YEAR(AD760),MONTH(AD760)-1,DAY(AD760))</f>
        <v>25569.041666666668</v>
      </c>
      <c r="AE761" s="341">
        <f>IF($AM$7=$E761,1,IF(MONTH($E761)=1,AE762*(1+$F$5),AE762))</f>
      </c>
      <c r="AF761" s="334">
        <f>AE761*$B$8/12</f>
      </c>
      <c r="AG761" s="334">
        <f>AE761*$B$12/12</f>
      </c>
      <c r="AH761" s="565">
        <f>(1+$AI$5)^(AC761/12)*(AG761+IF(AD761=$AM$7,$AM$4,0))</f>
      </c>
      <c r="AI761" s="170"/>
      <c r="AJ761" s="7"/>
      <c r="AK761" s="1"/>
      <c r="AL761" s="1"/>
      <c r="AM761" s="1"/>
    </row>
    <row x14ac:dyDescent="0.25" r="762" customHeight="1" ht="18.75">
      <c r="A762" s="1"/>
      <c r="B762" s="169"/>
      <c r="C762" s="170"/>
      <c r="D762" s="331">
        <v>755</v>
      </c>
      <c r="E762" s="544">
        <f>+DATE(YEAR(E761),MONTH(E761)-1,DAY(E761))</f>
        <v>25569.041666666668</v>
      </c>
      <c r="F762" s="333">
        <f>IF($C$6=$E762,1,IF(MONTH($E762)=1,F763*(1+$F$5),F763))</f>
      </c>
      <c r="G762" s="333">
        <f>F762*$B$8/12</f>
      </c>
      <c r="H762" s="333">
        <f>IF(F762=1,F762*$B$10/MIN(12,'Simulador - 3º Pilar'!$E$88),0)</f>
      </c>
      <c r="I762" s="560">
        <f>(1+$G$5)^(D762/12)*(H762+IF(E762=$N$7,$N$4,0))</f>
      </c>
      <c r="J762" s="561">
        <f>(1+$G$5)^(D762/12)*(H762*(12-IF(MONTH(E763)=12,0,MONTH(E763)))+IF(AND(F762=1,F763=0),$Q$4,0))*IF(AND(F762=1,F763=0),1,0)</f>
      </c>
      <c r="K762" s="217">
        <f>(1+$G$5)^(D762/12)*(IF(E762=$N$7,$N$4,0)+IF(E762=$C$6,$B$10,0))</f>
      </c>
      <c r="L762" s="217">
        <f>(1+$G$5)^(D762/12)*(IF((E762)&gt;($B$6),H762,0)+IF(E762=$N$7,$N$4,0)+IF(E762=$C$6,0,0))</f>
      </c>
      <c r="M762" s="1"/>
      <c r="N762" s="7"/>
      <c r="O762" s="1"/>
      <c r="P762" s="331">
        <v>755</v>
      </c>
      <c r="Q762" s="544">
        <f>+DATE(YEAR(Q761),MONTH(Q761)-1,DAY(Q761))</f>
        <v>25569.041666666668</v>
      </c>
      <c r="R762" s="341">
        <f>IF($Z$7=$E762,1,IF(MONTH($E762)=1,R763*(1+$F$5),R763))</f>
      </c>
      <c r="S762" s="334">
        <f>R762*$B$8/12</f>
      </c>
      <c r="T762" s="334">
        <f>R762*$B$11/12</f>
      </c>
      <c r="U762" s="565">
        <f>(1+$V$5)^(P762/12)*(T762+IF(Q762=$Z$7,$Z$4,0))</f>
      </c>
      <c r="V762" s="170"/>
      <c r="W762" s="7"/>
      <c r="X762" s="1"/>
      <c r="Y762" s="1"/>
      <c r="Z762" s="1"/>
      <c r="AA762" s="1"/>
      <c r="AB762" s="1"/>
      <c r="AC762" s="331">
        <v>755</v>
      </c>
      <c r="AD762" s="544">
        <f>+DATE(YEAR(AD761),MONTH(AD761)-1,DAY(AD761))</f>
        <v>25569.041666666668</v>
      </c>
      <c r="AE762" s="341">
        <f>IF($AM$7=$E762,1,IF(MONTH($E762)=1,AE763*(1+$F$5),AE763))</f>
      </c>
      <c r="AF762" s="334">
        <f>AE762*$B$8/12</f>
      </c>
      <c r="AG762" s="334">
        <f>AE762*$B$12/12</f>
      </c>
      <c r="AH762" s="565">
        <f>(1+$AI$5)^(AC762/12)*(AG762+IF(AD762=$AM$7,$AM$4,0))</f>
      </c>
      <c r="AI762" s="170"/>
      <c r="AJ762" s="7"/>
      <c r="AK762" s="1"/>
      <c r="AL762" s="1"/>
      <c r="AM762" s="1"/>
    </row>
    <row x14ac:dyDescent="0.25" r="763" customHeight="1" ht="18.75">
      <c r="A763" s="1"/>
      <c r="B763" s="169"/>
      <c r="C763" s="170"/>
      <c r="D763" s="331">
        <v>756</v>
      </c>
      <c r="E763" s="544">
        <f>+DATE(YEAR(E762),MONTH(E762)-1,DAY(E762))</f>
        <v>25569.041666666668</v>
      </c>
      <c r="F763" s="333">
        <f>IF($C$6=$E763,1,IF(MONTH($E763)=1,F764*(1+$F$5),F764))</f>
      </c>
      <c r="G763" s="333">
        <f>F763*$B$8/12</f>
      </c>
      <c r="H763" s="333">
        <f>IF(F763=1,F763*$B$10/MIN(12,'Simulador - 3º Pilar'!$E$88),0)</f>
      </c>
      <c r="I763" s="560">
        <f>(1+$G$5)^(D763/12)*(H763+IF(E763=$N$7,$N$4,0))</f>
      </c>
      <c r="J763" s="561">
        <f>(1+$G$5)^(D763/12)*(H763*(12-IF(MONTH(E764)=12,0,MONTH(E764)))+IF(AND(F763=1,F764=0),$Q$4,0))*IF(AND(F763=1,F764=0),1,0)</f>
      </c>
      <c r="K763" s="217">
        <f>(1+$G$5)^(D763/12)*(IF(E763=$N$7,$N$4,0)+IF(E763=$C$6,$B$10,0))</f>
      </c>
      <c r="L763" s="217">
        <f>(1+$G$5)^(D763/12)*(IF((E763)&gt;($B$6),H763,0)+IF(E763=$N$7,$N$4,0)+IF(E763=$C$6,0,0))</f>
      </c>
      <c r="M763" s="1"/>
      <c r="N763" s="7"/>
      <c r="O763" s="1"/>
      <c r="P763" s="331">
        <v>756</v>
      </c>
      <c r="Q763" s="544">
        <f>+DATE(YEAR(Q762),MONTH(Q762)-1,DAY(Q762))</f>
        <v>25569.041666666668</v>
      </c>
      <c r="R763" s="341">
        <f>IF($Z$7=$E763,1,IF(MONTH($E763)=1,R764*(1+$F$5),R764))</f>
      </c>
      <c r="S763" s="334">
        <f>R763*$B$8/12</f>
      </c>
      <c r="T763" s="334">
        <f>R763*$B$11/12</f>
      </c>
      <c r="U763" s="565">
        <f>(1+$V$5)^(P763/12)*(T763+IF(Q763=$Z$7,$Z$4,0))</f>
      </c>
      <c r="V763" s="170"/>
      <c r="W763" s="7"/>
      <c r="X763" s="1"/>
      <c r="Y763" s="1"/>
      <c r="Z763" s="1"/>
      <c r="AA763" s="1"/>
      <c r="AB763" s="1"/>
      <c r="AC763" s="331">
        <v>756</v>
      </c>
      <c r="AD763" s="544">
        <f>+DATE(YEAR(AD762),MONTH(AD762)-1,DAY(AD762))</f>
        <v>25569.041666666668</v>
      </c>
      <c r="AE763" s="341">
        <f>IF($AM$7=$E763,1,IF(MONTH($E763)=1,AE764*(1+$F$5),AE764))</f>
      </c>
      <c r="AF763" s="334">
        <f>AE763*$B$8/12</f>
      </c>
      <c r="AG763" s="334">
        <f>AE763*$B$12/12</f>
      </c>
      <c r="AH763" s="565">
        <f>(1+$AI$5)^(AC763/12)*(AG763+IF(AD763=$AM$7,$AM$4,0))</f>
      </c>
      <c r="AI763" s="170"/>
      <c r="AJ763" s="7"/>
      <c r="AK763" s="1"/>
      <c r="AL763" s="1"/>
      <c r="AM763" s="1"/>
    </row>
    <row x14ac:dyDescent="0.25" r="764" customHeight="1" ht="18.75">
      <c r="A764" s="1"/>
      <c r="B764" s="169"/>
      <c r="C764" s="170"/>
      <c r="D764" s="331">
        <v>757</v>
      </c>
      <c r="E764" s="544">
        <f>+DATE(YEAR(E763),MONTH(E763)-1,DAY(E763))</f>
        <v>25569.041666666668</v>
      </c>
      <c r="F764" s="333">
        <f>IF($C$6=$E764,1,IF(MONTH($E764)=1,F765*(1+$F$5),F765))</f>
      </c>
      <c r="G764" s="333">
        <f>F764*$B$8/12</f>
      </c>
      <c r="H764" s="333">
        <f>IF(F764=1,F764*$B$10/MIN(12,'Simulador - 3º Pilar'!$E$88),0)</f>
      </c>
      <c r="I764" s="560">
        <f>(1+$G$5)^(D764/12)*(H764+IF(E764=$N$7,$N$4,0))</f>
      </c>
      <c r="J764" s="561">
        <f>(1+$G$5)^(D764/12)*(H764*(12-IF(MONTH(E765)=12,0,MONTH(E765)))+IF(AND(F764=1,F765=0),$Q$4,0))*IF(AND(F764=1,F765=0),1,0)</f>
      </c>
      <c r="K764" s="217">
        <f>(1+$G$5)^(D764/12)*(IF(E764=$N$7,$N$4,0)+IF(E764=$C$6,$B$10,0))</f>
      </c>
      <c r="L764" s="217">
        <f>(1+$G$5)^(D764/12)*(IF((E764)&gt;($B$6),H764,0)+IF(E764=$N$7,$N$4,0)+IF(E764=$C$6,0,0))</f>
      </c>
      <c r="M764" s="1"/>
      <c r="N764" s="7"/>
      <c r="O764" s="1"/>
      <c r="P764" s="331">
        <v>757</v>
      </c>
      <c r="Q764" s="544">
        <f>+DATE(YEAR(Q763),MONTH(Q763)-1,DAY(Q763))</f>
        <v>25569.041666666668</v>
      </c>
      <c r="R764" s="341">
        <f>IF($Z$7=$E764,1,IF(MONTH($E764)=1,R765*(1+$F$5),R765))</f>
      </c>
      <c r="S764" s="334">
        <f>R764*$B$8/12</f>
      </c>
      <c r="T764" s="334">
        <f>R764*$B$11/12</f>
      </c>
      <c r="U764" s="565">
        <f>(1+$V$5)^(P764/12)*(T764+IF(Q764=$Z$7,$Z$4,0))</f>
      </c>
      <c r="V764" s="170"/>
      <c r="W764" s="7"/>
      <c r="X764" s="1"/>
      <c r="Y764" s="1"/>
      <c r="Z764" s="1"/>
      <c r="AA764" s="1"/>
      <c r="AB764" s="1"/>
      <c r="AC764" s="331">
        <v>757</v>
      </c>
      <c r="AD764" s="544">
        <f>+DATE(YEAR(AD763),MONTH(AD763)-1,DAY(AD763))</f>
        <v>25569.041666666668</v>
      </c>
      <c r="AE764" s="341">
        <f>IF($AM$7=$E764,1,IF(MONTH($E764)=1,AE765*(1+$F$5),AE765))</f>
      </c>
      <c r="AF764" s="334">
        <f>AE764*$B$8/12</f>
      </c>
      <c r="AG764" s="334">
        <f>AE764*$B$12/12</f>
      </c>
      <c r="AH764" s="565">
        <f>(1+$AI$5)^(AC764/12)*(AG764+IF(AD764=$AM$7,$AM$4,0))</f>
      </c>
      <c r="AI764" s="170"/>
      <c r="AJ764" s="7"/>
      <c r="AK764" s="1"/>
      <c r="AL764" s="1"/>
      <c r="AM764" s="1"/>
    </row>
    <row x14ac:dyDescent="0.25" r="765" customHeight="1" ht="18.75">
      <c r="A765" s="1"/>
      <c r="B765" s="169"/>
      <c r="C765" s="170"/>
      <c r="D765" s="331">
        <v>758</v>
      </c>
      <c r="E765" s="544">
        <f>+DATE(YEAR(E764),MONTH(E764)-1,DAY(E764))</f>
        <v>25569.041666666668</v>
      </c>
      <c r="F765" s="333">
        <f>IF($C$6=$E765,1,IF(MONTH($E765)=1,F766*(1+$F$5),F766))</f>
      </c>
      <c r="G765" s="333">
        <f>F765*$B$8/12</f>
      </c>
      <c r="H765" s="333">
        <f>IF(F765=1,F765*$B$10/MIN(12,'Simulador - 3º Pilar'!$E$88),0)</f>
      </c>
      <c r="I765" s="560">
        <f>(1+$G$5)^(D765/12)*(H765+IF(E765=$N$7,$N$4,0))</f>
      </c>
      <c r="J765" s="561">
        <f>(1+$G$5)^(D765/12)*(H765*(12-IF(MONTH(E766)=12,0,MONTH(E766)))+IF(AND(F765=1,F766=0),$Q$4,0))*IF(AND(F765=1,F766=0),1,0)</f>
      </c>
      <c r="K765" s="217">
        <f>(1+$G$5)^(D765/12)*(IF(E765=$N$7,$N$4,0)+IF(E765=$C$6,$B$10,0))</f>
      </c>
      <c r="L765" s="217">
        <f>(1+$G$5)^(D765/12)*(IF((E765)&gt;($B$6),H765,0)+IF(E765=$N$7,$N$4,0)+IF(E765=$C$6,0,0))</f>
      </c>
      <c r="M765" s="1"/>
      <c r="N765" s="7"/>
      <c r="O765" s="1"/>
      <c r="P765" s="331">
        <v>758</v>
      </c>
      <c r="Q765" s="544">
        <f>+DATE(YEAR(Q764),MONTH(Q764)-1,DAY(Q764))</f>
        <v>25569.041666666668</v>
      </c>
      <c r="R765" s="341">
        <f>IF($Z$7=$E765,1,IF(MONTH($E765)=1,R766*(1+$F$5),R766))</f>
      </c>
      <c r="S765" s="334">
        <f>R765*$B$8/12</f>
      </c>
      <c r="T765" s="334">
        <f>R765*$B$11/12</f>
      </c>
      <c r="U765" s="565">
        <f>(1+$V$5)^(P765/12)*(T765+IF(Q765=$Z$7,$Z$4,0))</f>
      </c>
      <c r="V765" s="170"/>
      <c r="W765" s="7"/>
      <c r="X765" s="1"/>
      <c r="Y765" s="1"/>
      <c r="Z765" s="1"/>
      <c r="AA765" s="1"/>
      <c r="AB765" s="1"/>
      <c r="AC765" s="331">
        <v>758</v>
      </c>
      <c r="AD765" s="544">
        <f>+DATE(YEAR(AD764),MONTH(AD764)-1,DAY(AD764))</f>
        <v>25569.041666666668</v>
      </c>
      <c r="AE765" s="341">
        <f>IF($AM$7=$E765,1,IF(MONTH($E765)=1,AE766*(1+$F$5),AE766))</f>
      </c>
      <c r="AF765" s="334">
        <f>AE765*$B$8/12</f>
      </c>
      <c r="AG765" s="334">
        <f>AE765*$B$12/12</f>
      </c>
      <c r="AH765" s="565">
        <f>(1+$AI$5)^(AC765/12)*(AG765+IF(AD765=$AM$7,$AM$4,0))</f>
      </c>
      <c r="AI765" s="170"/>
      <c r="AJ765" s="7"/>
      <c r="AK765" s="1"/>
      <c r="AL765" s="1"/>
      <c r="AM765" s="1"/>
    </row>
    <row x14ac:dyDescent="0.25" r="766" customHeight="1" ht="18.75">
      <c r="A766" s="1"/>
      <c r="B766" s="169"/>
      <c r="C766" s="170"/>
      <c r="D766" s="331">
        <v>759</v>
      </c>
      <c r="E766" s="544">
        <f>+DATE(YEAR(E765),MONTH(E765)-1,DAY(E765))</f>
        <v>25569.041666666668</v>
      </c>
      <c r="F766" s="333">
        <f>IF($C$6=$E766,1,IF(MONTH($E766)=1,F767*(1+$F$5),F767))</f>
      </c>
      <c r="G766" s="333">
        <f>F766*$B$8/12</f>
      </c>
      <c r="H766" s="333">
        <f>IF(F766=1,F766*$B$10/MIN(12,'Simulador - 3º Pilar'!$E$88),0)</f>
      </c>
      <c r="I766" s="560">
        <f>(1+$G$5)^(D766/12)*(H766+IF(E766=$N$7,$N$4,0))</f>
      </c>
      <c r="J766" s="561">
        <f>(1+$G$5)^(D766/12)*(H766*(12-IF(MONTH(E767)=12,0,MONTH(E767)))+IF(AND(F766=1,F767=0),$Q$4,0))*IF(AND(F766=1,F767=0),1,0)</f>
      </c>
      <c r="K766" s="217">
        <f>(1+$G$5)^(D766/12)*(IF(E766=$N$7,$N$4,0)+IF(E766=$C$6,$B$10,0))</f>
      </c>
      <c r="L766" s="217">
        <f>(1+$G$5)^(D766/12)*(IF((E766)&gt;($B$6),H766,0)+IF(E766=$N$7,$N$4,0)+IF(E766=$C$6,0,0))</f>
      </c>
      <c r="M766" s="1"/>
      <c r="N766" s="7"/>
      <c r="O766" s="1"/>
      <c r="P766" s="331">
        <v>759</v>
      </c>
      <c r="Q766" s="544">
        <f>+DATE(YEAR(Q765),MONTH(Q765)-1,DAY(Q765))</f>
        <v>25569.041666666668</v>
      </c>
      <c r="R766" s="341">
        <f>IF($Z$7=$E766,1,IF(MONTH($E766)=1,R767*(1+$F$5),R767))</f>
      </c>
      <c r="S766" s="334">
        <f>R766*$B$8/12</f>
      </c>
      <c r="T766" s="334">
        <f>R766*$B$11/12</f>
      </c>
      <c r="U766" s="565">
        <f>(1+$V$5)^(P766/12)*(T766+IF(Q766=$Z$7,$Z$4,0))</f>
      </c>
      <c r="V766" s="170"/>
      <c r="W766" s="7"/>
      <c r="X766" s="1"/>
      <c r="Y766" s="1"/>
      <c r="Z766" s="1"/>
      <c r="AA766" s="1"/>
      <c r="AB766" s="1"/>
      <c r="AC766" s="331">
        <v>759</v>
      </c>
      <c r="AD766" s="544">
        <f>+DATE(YEAR(AD765),MONTH(AD765)-1,DAY(AD765))</f>
        <v>25569.041666666668</v>
      </c>
      <c r="AE766" s="341">
        <f>IF($AM$7=$E766,1,IF(MONTH($E766)=1,AE767*(1+$F$5),AE767))</f>
      </c>
      <c r="AF766" s="334">
        <f>AE766*$B$8/12</f>
      </c>
      <c r="AG766" s="334">
        <f>AE766*$B$12/12</f>
      </c>
      <c r="AH766" s="565">
        <f>(1+$AI$5)^(AC766/12)*(AG766+IF(AD766=$AM$7,$AM$4,0))</f>
      </c>
      <c r="AI766" s="170"/>
      <c r="AJ766" s="7"/>
      <c r="AK766" s="1"/>
      <c r="AL766" s="1"/>
      <c r="AM766" s="1"/>
    </row>
    <row x14ac:dyDescent="0.25" r="767" customHeight="1" ht="18.75">
      <c r="A767" s="1"/>
      <c r="B767" s="169"/>
      <c r="C767" s="170"/>
      <c r="D767" s="331">
        <v>760</v>
      </c>
      <c r="E767" s="544">
        <f>+DATE(YEAR(E766),MONTH(E766)-1,DAY(E766))</f>
        <v>25569.041666666668</v>
      </c>
      <c r="F767" s="333">
        <f>IF($C$6=$E767,1,IF(MONTH($E767)=1,F768*(1+$F$5),F768))</f>
      </c>
      <c r="G767" s="333">
        <f>F767*$B$8/12</f>
      </c>
      <c r="H767" s="333">
        <f>IF(F767=1,F767*$B$10/MIN(12,'Simulador - 3º Pilar'!$E$88),0)</f>
      </c>
      <c r="I767" s="560">
        <f>(1+$G$5)^(D767/12)*(H767+IF(E767=$N$7,$N$4,0))</f>
      </c>
      <c r="J767" s="561">
        <f>(1+$G$5)^(D767/12)*(H767*(12-IF(MONTH(E768)=12,0,MONTH(E768)))+IF(AND(F767=1,F768=0),$Q$4,0))*IF(AND(F767=1,F768=0),1,0)</f>
      </c>
      <c r="K767" s="217">
        <f>(1+$G$5)^(D767/12)*(IF(E767=$N$7,$N$4,0)+IF(E767=$C$6,$B$10,0))</f>
      </c>
      <c r="L767" s="217">
        <f>(1+$G$5)^(D767/12)*(IF((E767)&gt;($B$6),H767,0)+IF(E767=$N$7,$N$4,0)+IF(E767=$C$6,0,0))</f>
      </c>
      <c r="M767" s="1"/>
      <c r="N767" s="7"/>
      <c r="O767" s="1"/>
      <c r="P767" s="331">
        <v>760</v>
      </c>
      <c r="Q767" s="544">
        <f>+DATE(YEAR(Q766),MONTH(Q766)-1,DAY(Q766))</f>
        <v>25569.041666666668</v>
      </c>
      <c r="R767" s="341">
        <f>IF($Z$7=$E767,1,IF(MONTH($E767)=1,R768*(1+$F$5),R768))</f>
      </c>
      <c r="S767" s="334">
        <f>R767*$B$8/12</f>
      </c>
      <c r="T767" s="334">
        <f>R767*$B$11/12</f>
      </c>
      <c r="U767" s="565">
        <f>(1+$V$5)^(P767/12)*(T767+IF(Q767=$Z$7,$Z$4,0))</f>
      </c>
      <c r="V767" s="170"/>
      <c r="W767" s="7"/>
      <c r="X767" s="1"/>
      <c r="Y767" s="1"/>
      <c r="Z767" s="1"/>
      <c r="AA767" s="1"/>
      <c r="AB767" s="1"/>
      <c r="AC767" s="331">
        <v>760</v>
      </c>
      <c r="AD767" s="544">
        <f>+DATE(YEAR(AD766),MONTH(AD766)-1,DAY(AD766))</f>
        <v>25569.041666666668</v>
      </c>
      <c r="AE767" s="341">
        <f>IF($AM$7=$E767,1,IF(MONTH($E767)=1,AE768*(1+$F$5),AE768))</f>
      </c>
      <c r="AF767" s="334">
        <f>AE767*$B$8/12</f>
      </c>
      <c r="AG767" s="334">
        <f>AE767*$B$12/12</f>
      </c>
      <c r="AH767" s="565">
        <f>(1+$AI$5)^(AC767/12)*(AG767+IF(AD767=$AM$7,$AM$4,0))</f>
      </c>
      <c r="AI767" s="170"/>
      <c r="AJ767" s="7"/>
      <c r="AK767" s="1"/>
      <c r="AL767" s="1"/>
      <c r="AM767" s="1"/>
    </row>
    <row x14ac:dyDescent="0.25" r="768" customHeight="1" ht="18.75">
      <c r="A768" s="1"/>
      <c r="B768" s="169"/>
      <c r="C768" s="170"/>
      <c r="D768" s="331">
        <v>761</v>
      </c>
      <c r="E768" s="544">
        <f>+DATE(YEAR(E767),MONTH(E767)-1,DAY(E767))</f>
        <v>25569.041666666668</v>
      </c>
      <c r="F768" s="333">
        <f>IF($C$6=$E768,1,IF(MONTH($E768)=1,F769*(1+$F$5),F769))</f>
      </c>
      <c r="G768" s="333">
        <f>F768*$B$8/12</f>
      </c>
      <c r="H768" s="333">
        <f>IF(F768=1,F768*$B$10/MIN(12,'Simulador - 3º Pilar'!$E$88),0)</f>
      </c>
      <c r="I768" s="560">
        <f>(1+$G$5)^(D768/12)*(H768+IF(E768=$N$7,$N$4,0))</f>
      </c>
      <c r="J768" s="561">
        <f>(1+$G$5)^(D768/12)*(H768*(12-IF(MONTH(E769)=12,0,MONTH(E769)))+IF(AND(F768=1,F769=0),$Q$4,0))*IF(AND(F768=1,F769=0),1,0)</f>
      </c>
      <c r="K768" s="217">
        <f>(1+$G$5)^(D768/12)*(IF(E768=$N$7,$N$4,0)+IF(E768=$C$6,$B$10,0))</f>
      </c>
      <c r="L768" s="217">
        <f>(1+$G$5)^(D768/12)*(IF((E768)&gt;($B$6),H768,0)+IF(E768=$N$7,$N$4,0)+IF(E768=$C$6,0,0))</f>
      </c>
      <c r="M768" s="1"/>
      <c r="N768" s="7"/>
      <c r="O768" s="1"/>
      <c r="P768" s="331">
        <v>761</v>
      </c>
      <c r="Q768" s="544">
        <f>+DATE(YEAR(Q767),MONTH(Q767)-1,DAY(Q767))</f>
        <v>25569.041666666668</v>
      </c>
      <c r="R768" s="341">
        <f>IF($Z$7=$E768,1,IF(MONTH($E768)=1,R769*(1+$F$5),R769))</f>
      </c>
      <c r="S768" s="334">
        <f>R768*$B$8/12</f>
      </c>
      <c r="T768" s="334">
        <f>R768*$B$11/12</f>
      </c>
      <c r="U768" s="565">
        <f>(1+$V$5)^(P768/12)*(T768+IF(Q768=$Z$7,$Z$4,0))</f>
      </c>
      <c r="V768" s="170"/>
      <c r="W768" s="7"/>
      <c r="X768" s="1"/>
      <c r="Y768" s="1"/>
      <c r="Z768" s="1"/>
      <c r="AA768" s="1"/>
      <c r="AB768" s="1"/>
      <c r="AC768" s="331">
        <v>761</v>
      </c>
      <c r="AD768" s="544">
        <f>+DATE(YEAR(AD767),MONTH(AD767)-1,DAY(AD767))</f>
        <v>25569.041666666668</v>
      </c>
      <c r="AE768" s="341">
        <f>IF($AM$7=$E768,1,IF(MONTH($E768)=1,AE769*(1+$F$5),AE769))</f>
      </c>
      <c r="AF768" s="334">
        <f>AE768*$B$8/12</f>
      </c>
      <c r="AG768" s="334">
        <f>AE768*$B$12/12</f>
      </c>
      <c r="AH768" s="565">
        <f>(1+$AI$5)^(AC768/12)*(AG768+IF(AD768=$AM$7,$AM$4,0))</f>
      </c>
      <c r="AI768" s="170"/>
      <c r="AJ768" s="7"/>
      <c r="AK768" s="1"/>
      <c r="AL768" s="1"/>
      <c r="AM768" s="1"/>
    </row>
    <row x14ac:dyDescent="0.25" r="769" customHeight="1" ht="18.75">
      <c r="A769" s="1"/>
      <c r="B769" s="169"/>
      <c r="C769" s="170"/>
      <c r="D769" s="331">
        <v>762</v>
      </c>
      <c r="E769" s="544">
        <f>+DATE(YEAR(E768),MONTH(E768)-1,DAY(E768))</f>
        <v>25569.041666666668</v>
      </c>
      <c r="F769" s="333">
        <f>IF($C$6=$E769,1,IF(MONTH($E769)=1,F770*(1+$F$5),F770))</f>
      </c>
      <c r="G769" s="333">
        <f>F769*$B$8/12</f>
      </c>
      <c r="H769" s="333">
        <f>IF(F769=1,F769*$B$10/MIN(12,'Simulador - 3º Pilar'!$E$88),0)</f>
      </c>
      <c r="I769" s="560">
        <f>(1+$G$5)^(D769/12)*(H769+IF(E769=$N$7,$N$4,0))</f>
      </c>
      <c r="J769" s="561">
        <f>(1+$G$5)^(D769/12)*(H769*(12-IF(MONTH(E770)=12,0,MONTH(E770)))+IF(AND(F769=1,F770=0),$Q$4,0))*IF(AND(F769=1,F770=0),1,0)</f>
      </c>
      <c r="K769" s="217">
        <f>(1+$G$5)^(D769/12)*(IF(E769=$N$7,$N$4,0)+IF(E769=$C$6,$B$10,0))</f>
      </c>
      <c r="L769" s="217">
        <f>(1+$G$5)^(D769/12)*(IF((E769)&gt;($B$6),H769,0)+IF(E769=$N$7,$N$4,0)+IF(E769=$C$6,0,0))</f>
      </c>
      <c r="M769" s="1"/>
      <c r="N769" s="7"/>
      <c r="O769" s="1"/>
      <c r="P769" s="331">
        <v>762</v>
      </c>
      <c r="Q769" s="544">
        <f>+DATE(YEAR(Q768),MONTH(Q768)-1,DAY(Q768))</f>
        <v>25569.041666666668</v>
      </c>
      <c r="R769" s="341">
        <f>IF($Z$7=$E769,1,IF(MONTH($E769)=1,R770*(1+$F$5),R770))</f>
      </c>
      <c r="S769" s="334">
        <f>R769*$B$8/12</f>
      </c>
      <c r="T769" s="334">
        <f>R769*$B$11/12</f>
      </c>
      <c r="U769" s="565">
        <f>(1+$V$5)^(P769/12)*(T769+IF(Q769=$Z$7,$Z$4,0))</f>
      </c>
      <c r="V769" s="170"/>
      <c r="W769" s="7"/>
      <c r="X769" s="1"/>
      <c r="Y769" s="1"/>
      <c r="Z769" s="1"/>
      <c r="AA769" s="1"/>
      <c r="AB769" s="1"/>
      <c r="AC769" s="331">
        <v>762</v>
      </c>
      <c r="AD769" s="544">
        <f>+DATE(YEAR(AD768),MONTH(AD768)-1,DAY(AD768))</f>
        <v>25569.041666666668</v>
      </c>
      <c r="AE769" s="341">
        <f>IF($AM$7=$E769,1,IF(MONTH($E769)=1,AE770*(1+$F$5),AE770))</f>
      </c>
      <c r="AF769" s="334">
        <f>AE769*$B$8/12</f>
      </c>
      <c r="AG769" s="334">
        <f>AE769*$B$12/12</f>
      </c>
      <c r="AH769" s="565">
        <f>(1+$AI$5)^(AC769/12)*(AG769+IF(AD769=$AM$7,$AM$4,0))</f>
      </c>
      <c r="AI769" s="170"/>
      <c r="AJ769" s="7"/>
      <c r="AK769" s="1"/>
      <c r="AL769" s="1"/>
      <c r="AM769" s="1"/>
    </row>
    <row x14ac:dyDescent="0.25" r="770" customHeight="1" ht="18.75">
      <c r="A770" s="1"/>
      <c r="B770" s="169"/>
      <c r="C770" s="170"/>
      <c r="D770" s="331">
        <v>763</v>
      </c>
      <c r="E770" s="544">
        <f>+DATE(YEAR(E769),MONTH(E769)-1,DAY(E769))</f>
        <v>25569.041666666668</v>
      </c>
      <c r="F770" s="333">
        <f>IF($C$6=$E770,1,IF(MONTH($E770)=1,F771*(1+$F$5),F771))</f>
      </c>
      <c r="G770" s="333">
        <f>F770*$B$8/12</f>
      </c>
      <c r="H770" s="333">
        <f>IF(F770=1,F770*$B$10/MIN(12,'Simulador - 3º Pilar'!$E$88),0)</f>
      </c>
      <c r="I770" s="560">
        <f>(1+$G$5)^(D770/12)*(H770+IF(E770=$N$7,$N$4,0))</f>
      </c>
      <c r="J770" s="561">
        <f>(1+$G$5)^(D770/12)*(H770*(12-IF(MONTH(E771)=12,0,MONTH(E771)))+IF(AND(F770=1,F771=0),$Q$4,0))*IF(AND(F770=1,F771=0),1,0)</f>
      </c>
      <c r="K770" s="217">
        <f>(1+$G$5)^(D770/12)*(IF(E770=$N$7,$N$4,0)+IF(E770=$C$6,$B$10,0))</f>
      </c>
      <c r="L770" s="217">
        <f>(1+$G$5)^(D770/12)*(IF((E770)&gt;($B$6),H770,0)+IF(E770=$N$7,$N$4,0)+IF(E770=$C$6,0,0))</f>
      </c>
      <c r="M770" s="1"/>
      <c r="N770" s="7"/>
      <c r="O770" s="1"/>
      <c r="P770" s="331">
        <v>763</v>
      </c>
      <c r="Q770" s="544">
        <f>+DATE(YEAR(Q769),MONTH(Q769)-1,DAY(Q769))</f>
        <v>25569.041666666668</v>
      </c>
      <c r="R770" s="341">
        <f>IF($Z$7=$E770,1,IF(MONTH($E770)=1,R771*(1+$F$5),R771))</f>
      </c>
      <c r="S770" s="334">
        <f>R770*$B$8/12</f>
      </c>
      <c r="T770" s="334">
        <f>R770*$B$11/12</f>
      </c>
      <c r="U770" s="565">
        <f>(1+$V$5)^(P770/12)*(T770+IF(Q770=$Z$7,$Z$4,0))</f>
      </c>
      <c r="V770" s="170"/>
      <c r="W770" s="7"/>
      <c r="X770" s="1"/>
      <c r="Y770" s="1"/>
      <c r="Z770" s="1"/>
      <c r="AA770" s="1"/>
      <c r="AB770" s="1"/>
      <c r="AC770" s="331">
        <v>763</v>
      </c>
      <c r="AD770" s="544">
        <f>+DATE(YEAR(AD769),MONTH(AD769)-1,DAY(AD769))</f>
        <v>25569.041666666668</v>
      </c>
      <c r="AE770" s="341">
        <f>IF($AM$7=$E770,1,IF(MONTH($E770)=1,AE771*(1+$F$5),AE771))</f>
      </c>
      <c r="AF770" s="334">
        <f>AE770*$B$8/12</f>
      </c>
      <c r="AG770" s="334">
        <f>AE770*$B$12/12</f>
      </c>
      <c r="AH770" s="565">
        <f>(1+$AI$5)^(AC770/12)*(AG770+IF(AD770=$AM$7,$AM$4,0))</f>
      </c>
      <c r="AI770" s="170"/>
      <c r="AJ770" s="7"/>
      <c r="AK770" s="1"/>
      <c r="AL770" s="1"/>
      <c r="AM770" s="1"/>
    </row>
    <row x14ac:dyDescent="0.25" r="771" customHeight="1" ht="18.75">
      <c r="A771" s="1"/>
      <c r="B771" s="169"/>
      <c r="C771" s="170"/>
      <c r="D771" s="331">
        <v>764</v>
      </c>
      <c r="E771" s="544">
        <f>+DATE(YEAR(E770),MONTH(E770)-1,DAY(E770))</f>
        <v>25569.041666666668</v>
      </c>
      <c r="F771" s="333">
        <f>IF($C$6=$E771,1,IF(MONTH($E771)=1,F772*(1+$F$5),F772))</f>
      </c>
      <c r="G771" s="333">
        <f>F771*$B$8/12</f>
      </c>
      <c r="H771" s="333">
        <f>IF(F771=1,F771*$B$10/MIN(12,'Simulador - 3º Pilar'!$E$88),0)</f>
      </c>
      <c r="I771" s="560">
        <f>(1+$G$5)^(D771/12)*(H771+IF(E771=$N$7,$N$4,0))</f>
      </c>
      <c r="J771" s="561">
        <f>(1+$G$5)^(D771/12)*(H771*(12-IF(MONTH(E772)=12,0,MONTH(E772)))+IF(AND(F771=1,F772=0),$Q$4,0))*IF(AND(F771=1,F772=0),1,0)</f>
      </c>
      <c r="K771" s="217">
        <f>(1+$G$5)^(D771/12)*(IF(E771=$N$7,$N$4,0)+IF(E771=$C$6,$B$10,0))</f>
      </c>
      <c r="L771" s="217">
        <f>(1+$G$5)^(D771/12)*(IF((E771)&gt;($B$6),H771,0)+IF(E771=$N$7,$N$4,0)+IF(E771=$C$6,0,0))</f>
      </c>
      <c r="M771" s="1"/>
      <c r="N771" s="7"/>
      <c r="O771" s="1"/>
      <c r="P771" s="331">
        <v>764</v>
      </c>
      <c r="Q771" s="544">
        <f>+DATE(YEAR(Q770),MONTH(Q770)-1,DAY(Q770))</f>
        <v>25569.041666666668</v>
      </c>
      <c r="R771" s="341">
        <f>IF($Z$7=$E771,1,IF(MONTH($E771)=1,R772*(1+$F$5),R772))</f>
      </c>
      <c r="S771" s="334">
        <f>R771*$B$8/12</f>
      </c>
      <c r="T771" s="334">
        <f>R771*$B$11/12</f>
      </c>
      <c r="U771" s="565">
        <f>(1+$V$5)^(P771/12)*(T771+IF(Q771=$Z$7,$Z$4,0))</f>
      </c>
      <c r="V771" s="170"/>
      <c r="W771" s="7"/>
      <c r="X771" s="1"/>
      <c r="Y771" s="1"/>
      <c r="Z771" s="1"/>
      <c r="AA771" s="1"/>
      <c r="AB771" s="1"/>
      <c r="AC771" s="331">
        <v>764</v>
      </c>
      <c r="AD771" s="544">
        <f>+DATE(YEAR(AD770),MONTH(AD770)-1,DAY(AD770))</f>
        <v>25569.041666666668</v>
      </c>
      <c r="AE771" s="341">
        <f>IF($AM$7=$E771,1,IF(MONTH($E771)=1,AE772*(1+$F$5),AE772))</f>
      </c>
      <c r="AF771" s="334">
        <f>AE771*$B$8/12</f>
      </c>
      <c r="AG771" s="334">
        <f>AE771*$B$12/12</f>
      </c>
      <c r="AH771" s="565">
        <f>(1+$AI$5)^(AC771/12)*(AG771+IF(AD771=$AM$7,$AM$4,0))</f>
      </c>
      <c r="AI771" s="170"/>
      <c r="AJ771" s="7"/>
      <c r="AK771" s="1"/>
      <c r="AL771" s="1"/>
      <c r="AM771" s="1"/>
    </row>
    <row x14ac:dyDescent="0.25" r="772" customHeight="1" ht="18.75">
      <c r="A772" s="1"/>
      <c r="B772" s="169"/>
      <c r="C772" s="170"/>
      <c r="D772" s="331">
        <v>765</v>
      </c>
      <c r="E772" s="544">
        <f>+DATE(YEAR(E771),MONTH(E771)-1,DAY(E771))</f>
        <v>25569.041666666668</v>
      </c>
      <c r="F772" s="333">
        <f>IF($C$6=$E772,1,IF(MONTH($E772)=1,F773*(1+$F$5),F773))</f>
      </c>
      <c r="G772" s="333">
        <f>F772*$B$8/12</f>
      </c>
      <c r="H772" s="333">
        <f>IF(F772=1,F772*$B$10/MIN(12,'Simulador - 3º Pilar'!$E$88),0)</f>
      </c>
      <c r="I772" s="560">
        <f>(1+$G$5)^(D772/12)*(H772+IF(E772=$N$7,$N$4,0))</f>
      </c>
      <c r="J772" s="561">
        <f>(1+$G$5)^(D772/12)*(H772*(12-IF(MONTH(E773)=12,0,MONTH(E773)))+IF(AND(F772=1,F773=0),$Q$4,0))*IF(AND(F772=1,F773=0),1,0)</f>
      </c>
      <c r="K772" s="217">
        <f>(1+$G$5)^(D772/12)*(IF(E772=$N$7,$N$4,0)+IF(E772=$C$6,$B$10,0))</f>
      </c>
      <c r="L772" s="217">
        <f>(1+$G$5)^(D772/12)*(IF((E772)&gt;($B$6),H772,0)+IF(E772=$N$7,$N$4,0)+IF(E772=$C$6,0,0))</f>
      </c>
      <c r="M772" s="1"/>
      <c r="N772" s="7"/>
      <c r="O772" s="1"/>
      <c r="P772" s="331">
        <v>765</v>
      </c>
      <c r="Q772" s="544">
        <f>+DATE(YEAR(Q771),MONTH(Q771)-1,DAY(Q771))</f>
        <v>25569.041666666668</v>
      </c>
      <c r="R772" s="341">
        <f>IF($Z$7=$E772,1,IF(MONTH($E772)=1,R773*(1+$F$5),R773))</f>
      </c>
      <c r="S772" s="334">
        <f>R772*$B$8/12</f>
      </c>
      <c r="T772" s="334">
        <f>R772*$B$11/12</f>
      </c>
      <c r="U772" s="565">
        <f>(1+$V$5)^(P772/12)*(T772+IF(Q772=$Z$7,$Z$4,0))</f>
      </c>
      <c r="V772" s="170"/>
      <c r="W772" s="7"/>
      <c r="X772" s="1"/>
      <c r="Y772" s="1"/>
      <c r="Z772" s="1"/>
      <c r="AA772" s="1"/>
      <c r="AB772" s="1"/>
      <c r="AC772" s="331">
        <v>765</v>
      </c>
      <c r="AD772" s="544">
        <f>+DATE(YEAR(AD771),MONTH(AD771)-1,DAY(AD771))</f>
        <v>25569.041666666668</v>
      </c>
      <c r="AE772" s="341">
        <f>IF($AM$7=$E772,1,IF(MONTH($E772)=1,AE773*(1+$F$5),AE773))</f>
      </c>
      <c r="AF772" s="334">
        <f>AE772*$B$8/12</f>
      </c>
      <c r="AG772" s="334">
        <f>AE772*$B$12/12</f>
      </c>
      <c r="AH772" s="565">
        <f>(1+$AI$5)^(AC772/12)*(AG772+IF(AD772=$AM$7,$AM$4,0))</f>
      </c>
      <c r="AI772" s="170"/>
      <c r="AJ772" s="7"/>
      <c r="AK772" s="1"/>
      <c r="AL772" s="1"/>
      <c r="AM772" s="1"/>
    </row>
    <row x14ac:dyDescent="0.25" r="773" customHeight="1" ht="18.75">
      <c r="A773" s="1"/>
      <c r="B773" s="169"/>
      <c r="C773" s="170"/>
      <c r="D773" s="331">
        <v>766</v>
      </c>
      <c r="E773" s="544">
        <f>+DATE(YEAR(E772),MONTH(E772)-1,DAY(E772))</f>
        <v>25569.041666666668</v>
      </c>
      <c r="F773" s="333">
        <f>IF($C$6=$E773,1,IF(MONTH($E773)=1,F774*(1+$F$5),F774))</f>
      </c>
      <c r="G773" s="333">
        <f>F773*$B$8/12</f>
      </c>
      <c r="H773" s="333">
        <f>IF(F773=1,F773*$B$10/MIN(12,'Simulador - 3º Pilar'!$E$88),0)</f>
      </c>
      <c r="I773" s="560">
        <f>(1+$G$5)^(D773/12)*(H773+IF(E773=$N$7,$N$4,0))</f>
      </c>
      <c r="J773" s="561">
        <f>(1+$G$5)^(D773/12)*(H773*(12-IF(MONTH(E774)=12,0,MONTH(E774)))+IF(AND(F773=1,F774=0),$Q$4,0))*IF(AND(F773=1,F774=0),1,0)</f>
      </c>
      <c r="K773" s="217">
        <f>(1+$G$5)^(D773/12)*(IF(E773=$N$7,$N$4,0)+IF(E773=$C$6,$B$10,0))</f>
      </c>
      <c r="L773" s="217">
        <f>(1+$G$5)^(D773/12)*(IF((E773)&gt;($B$6),H773,0)+IF(E773=$N$7,$N$4,0)+IF(E773=$C$6,0,0))</f>
      </c>
      <c r="M773" s="1"/>
      <c r="N773" s="7"/>
      <c r="O773" s="1"/>
      <c r="P773" s="331">
        <v>766</v>
      </c>
      <c r="Q773" s="544">
        <f>+DATE(YEAR(Q772),MONTH(Q772)-1,DAY(Q772))</f>
        <v>25569.041666666668</v>
      </c>
      <c r="R773" s="341">
        <f>IF($Z$7=$E773,1,IF(MONTH($E773)=1,R774*(1+$F$5),R774))</f>
      </c>
      <c r="S773" s="334">
        <f>R773*$B$8/12</f>
      </c>
      <c r="T773" s="334">
        <f>R773*$B$11/12</f>
      </c>
      <c r="U773" s="565">
        <f>(1+$V$5)^(P773/12)*(T773+IF(Q773=$Z$7,$Z$4,0))</f>
      </c>
      <c r="V773" s="170"/>
      <c r="W773" s="7"/>
      <c r="X773" s="1"/>
      <c r="Y773" s="1"/>
      <c r="Z773" s="1"/>
      <c r="AA773" s="1"/>
      <c r="AB773" s="1"/>
      <c r="AC773" s="331">
        <v>766</v>
      </c>
      <c r="AD773" s="544">
        <f>+DATE(YEAR(AD772),MONTH(AD772)-1,DAY(AD772))</f>
        <v>25569.041666666668</v>
      </c>
      <c r="AE773" s="341">
        <f>IF($AM$7=$E773,1,IF(MONTH($E773)=1,AE774*(1+$F$5),AE774))</f>
      </c>
      <c r="AF773" s="334">
        <f>AE773*$B$8/12</f>
      </c>
      <c r="AG773" s="334">
        <f>AE773*$B$12/12</f>
      </c>
      <c r="AH773" s="565">
        <f>(1+$AI$5)^(AC773/12)*(AG773+IF(AD773=$AM$7,$AM$4,0))</f>
      </c>
      <c r="AI773" s="170"/>
      <c r="AJ773" s="7"/>
      <c r="AK773" s="1"/>
      <c r="AL773" s="1"/>
      <c r="AM773" s="1"/>
    </row>
    <row x14ac:dyDescent="0.25" r="774" customHeight="1" ht="18.75">
      <c r="A774" s="1"/>
      <c r="B774" s="169"/>
      <c r="C774" s="170"/>
      <c r="D774" s="331">
        <v>767</v>
      </c>
      <c r="E774" s="544">
        <f>+DATE(YEAR(E773),MONTH(E773)-1,DAY(E773))</f>
        <v>25569.041666666668</v>
      </c>
      <c r="F774" s="333">
        <f>IF($C$6=$E774,1,IF(MONTH($E774)=1,F775*(1+$F$5),F775))</f>
      </c>
      <c r="G774" s="333">
        <f>F774*$B$8/12</f>
      </c>
      <c r="H774" s="333">
        <f>IF(F774=1,F774*$B$10/MIN(12,'Simulador - 3º Pilar'!$E$88),0)</f>
      </c>
      <c r="I774" s="560">
        <f>(1+$G$5)^(D774/12)*(H774+IF(E774=$N$7,$N$4,0))</f>
      </c>
      <c r="J774" s="561">
        <f>(1+$G$5)^(D774/12)*(H774*(12-IF(MONTH(E775)=12,0,MONTH(E775)))+IF(AND(F774=1,F775=0),$Q$4,0))*IF(AND(F774=1,F775=0),1,0)</f>
      </c>
      <c r="K774" s="217">
        <f>(1+$G$5)^(D774/12)*(IF(E774=$N$7,$N$4,0)+IF(E774=$C$6,$B$10,0))</f>
      </c>
      <c r="L774" s="217">
        <f>(1+$G$5)^(D774/12)*(IF((E774)&gt;($B$6),H774,0)+IF(E774=$N$7,$N$4,0)+IF(E774=$C$6,0,0))</f>
      </c>
      <c r="M774" s="1"/>
      <c r="N774" s="7"/>
      <c r="O774" s="1"/>
      <c r="P774" s="331">
        <v>767</v>
      </c>
      <c r="Q774" s="544">
        <f>+DATE(YEAR(Q773),MONTH(Q773)-1,DAY(Q773))</f>
        <v>25569.041666666668</v>
      </c>
      <c r="R774" s="341">
        <f>IF($Z$7=$E774,1,IF(MONTH($E774)=1,R775*(1+$F$5),R775))</f>
      </c>
      <c r="S774" s="334">
        <f>R774*$B$8/12</f>
      </c>
      <c r="T774" s="334">
        <f>R774*$B$11/12</f>
      </c>
      <c r="U774" s="565">
        <f>(1+$V$5)^(P774/12)*(T774+IF(Q774=$Z$7,$Z$4,0))</f>
      </c>
      <c r="V774" s="170"/>
      <c r="W774" s="7"/>
      <c r="X774" s="1"/>
      <c r="Y774" s="1"/>
      <c r="Z774" s="1"/>
      <c r="AA774" s="1"/>
      <c r="AB774" s="1"/>
      <c r="AC774" s="331">
        <v>767</v>
      </c>
      <c r="AD774" s="544">
        <f>+DATE(YEAR(AD773),MONTH(AD773)-1,DAY(AD773))</f>
        <v>25569.041666666668</v>
      </c>
      <c r="AE774" s="341">
        <f>IF($AM$7=$E774,1,IF(MONTH($E774)=1,AE775*(1+$F$5),AE775))</f>
      </c>
      <c r="AF774" s="334">
        <f>AE774*$B$8/12</f>
      </c>
      <c r="AG774" s="334">
        <f>AE774*$B$12/12</f>
      </c>
      <c r="AH774" s="565">
        <f>(1+$AI$5)^(AC774/12)*(AG774+IF(AD774=$AM$7,$AM$4,0))</f>
      </c>
      <c r="AI774" s="170"/>
      <c r="AJ774" s="7"/>
      <c r="AK774" s="1"/>
      <c r="AL774" s="1"/>
      <c r="AM774" s="1"/>
    </row>
    <row x14ac:dyDescent="0.25" r="775" customHeight="1" ht="18.75">
      <c r="A775" s="1"/>
      <c r="B775" s="169"/>
      <c r="C775" s="170"/>
      <c r="D775" s="331">
        <v>768</v>
      </c>
      <c r="E775" s="544">
        <f>+DATE(YEAR(E774),MONTH(E774)-1,DAY(E774))</f>
        <v>25569.041666666668</v>
      </c>
      <c r="F775" s="333">
        <f>IF($C$6=$E775,1,IF(MONTH($E775)=1,F776*(1+$F$5),F776))</f>
      </c>
      <c r="G775" s="333">
        <f>F775*$B$8/12</f>
      </c>
      <c r="H775" s="333">
        <f>IF(F775=1,F775*$B$10/MIN(12,'Simulador - 3º Pilar'!$E$88),0)</f>
      </c>
      <c r="I775" s="560">
        <f>(1+$G$5)^(D775/12)*(H775+IF(E775=$N$7,$N$4,0))</f>
      </c>
      <c r="J775" s="561">
        <f>(1+$G$5)^(D775/12)*(H775*(12-IF(MONTH(E776)=12,0,MONTH(E776)))+IF(AND(F775=1,F776=0),$Q$4,0))*IF(AND(F775=1,F776=0),1,0)</f>
      </c>
      <c r="K775" s="217">
        <f>(1+$G$5)^(D775/12)*(IF(E775=$N$7,$N$4,0)+IF(E775=$C$6,$B$10,0))</f>
      </c>
      <c r="L775" s="217">
        <f>(1+$G$5)^(D775/12)*(IF((E775)&gt;($B$6),H775,0)+IF(E775=$N$7,$N$4,0)+IF(E775=$C$6,0,0))</f>
      </c>
      <c r="M775" s="1"/>
      <c r="N775" s="7"/>
      <c r="O775" s="1"/>
      <c r="P775" s="331">
        <v>768</v>
      </c>
      <c r="Q775" s="544">
        <f>+DATE(YEAR(Q774),MONTH(Q774)-1,DAY(Q774))</f>
        <v>25569.041666666668</v>
      </c>
      <c r="R775" s="341">
        <f>IF($Z$7=$E775,1,IF(MONTH($E775)=1,R776*(1+$F$5),R776))</f>
      </c>
      <c r="S775" s="334">
        <f>R775*$B$8/12</f>
      </c>
      <c r="T775" s="334">
        <f>R775*$B$11/12</f>
      </c>
      <c r="U775" s="565">
        <f>(1+$V$5)^(P775/12)*(T775+IF(Q775=$Z$7,$Z$4,0))</f>
      </c>
      <c r="V775" s="170"/>
      <c r="W775" s="7"/>
      <c r="X775" s="1"/>
      <c r="Y775" s="1"/>
      <c r="Z775" s="1"/>
      <c r="AA775" s="1"/>
      <c r="AB775" s="1"/>
      <c r="AC775" s="331">
        <v>768</v>
      </c>
      <c r="AD775" s="544">
        <f>+DATE(YEAR(AD774),MONTH(AD774)-1,DAY(AD774))</f>
        <v>25569.041666666668</v>
      </c>
      <c r="AE775" s="341">
        <f>IF($AM$7=$E775,1,IF(MONTH($E775)=1,AE776*(1+$F$5),AE776))</f>
      </c>
      <c r="AF775" s="334">
        <f>AE775*$B$8/12</f>
      </c>
      <c r="AG775" s="334">
        <f>AE775*$B$12/12</f>
      </c>
      <c r="AH775" s="565">
        <f>(1+$AI$5)^(AC775/12)*(AG775+IF(AD775=$AM$7,$AM$4,0))</f>
      </c>
      <c r="AI775" s="170"/>
      <c r="AJ775" s="7"/>
      <c r="AK775" s="1"/>
      <c r="AL775" s="1"/>
      <c r="AM775" s="1"/>
    </row>
    <row x14ac:dyDescent="0.25" r="776" customHeight="1" ht="18.75">
      <c r="A776" s="1"/>
      <c r="B776" s="169"/>
      <c r="C776" s="170"/>
      <c r="D776" s="331">
        <v>769</v>
      </c>
      <c r="E776" s="544">
        <f>+DATE(YEAR(E775),MONTH(E775)-1,DAY(E775))</f>
        <v>25569.041666666668</v>
      </c>
      <c r="F776" s="333">
        <f>IF($C$6=$E776,1,IF(MONTH($E776)=1,F777*(1+$F$5),F777))</f>
      </c>
      <c r="G776" s="333">
        <f>F776*$B$8/12</f>
      </c>
      <c r="H776" s="333">
        <f>IF(F776=1,F776*$B$10/MIN(12,'Simulador - 3º Pilar'!$E$88),0)</f>
      </c>
      <c r="I776" s="560">
        <f>(1+$G$5)^(D776/12)*(H776+IF(E776=$N$7,$N$4,0))</f>
      </c>
      <c r="J776" s="561">
        <f>(1+$G$5)^(D776/12)*(H776*(12-IF(MONTH(E777)=12,0,MONTH(E777)))+IF(AND(F776=1,F777=0),$Q$4,0))*IF(AND(F776=1,F777=0),1,0)</f>
      </c>
      <c r="K776" s="217">
        <f>(1+$G$5)^(D776/12)*(IF(E776=$N$7,$N$4,0)+IF(E776=$C$6,$B$10,0))</f>
      </c>
      <c r="L776" s="217">
        <f>(1+$G$5)^(D776/12)*(IF((E776)&gt;($B$6),H776,0)+IF(E776=$N$7,$N$4,0)+IF(E776=$C$6,0,0))</f>
      </c>
      <c r="M776" s="1"/>
      <c r="N776" s="7"/>
      <c r="O776" s="1"/>
      <c r="P776" s="331">
        <v>769</v>
      </c>
      <c r="Q776" s="544">
        <f>+DATE(YEAR(Q775),MONTH(Q775)-1,DAY(Q775))</f>
        <v>25569.041666666668</v>
      </c>
      <c r="R776" s="341">
        <f>IF($Z$7=$E776,1,IF(MONTH($E776)=1,R777*(1+$F$5),R777))</f>
      </c>
      <c r="S776" s="334">
        <f>R776*$B$8/12</f>
      </c>
      <c r="T776" s="334">
        <f>R776*$B$11/12</f>
      </c>
      <c r="U776" s="565">
        <f>(1+$V$5)^(P776/12)*(T776+IF(Q776=$Z$7,$Z$4,0))</f>
      </c>
      <c r="V776" s="170"/>
      <c r="W776" s="7"/>
      <c r="X776" s="1"/>
      <c r="Y776" s="1"/>
      <c r="Z776" s="1"/>
      <c r="AA776" s="1"/>
      <c r="AB776" s="1"/>
      <c r="AC776" s="331">
        <v>769</v>
      </c>
      <c r="AD776" s="544">
        <f>+DATE(YEAR(AD775),MONTH(AD775)-1,DAY(AD775))</f>
        <v>25569.041666666668</v>
      </c>
      <c r="AE776" s="341">
        <f>IF($AM$7=$E776,1,IF(MONTH($E776)=1,AE777*(1+$F$5),AE777))</f>
      </c>
      <c r="AF776" s="334">
        <f>AE776*$B$8/12</f>
      </c>
      <c r="AG776" s="334">
        <f>AE776*$B$12/12</f>
      </c>
      <c r="AH776" s="565">
        <f>(1+$AI$5)^(AC776/12)*(AG776+IF(AD776=$AM$7,$AM$4,0))</f>
      </c>
      <c r="AI776" s="170"/>
      <c r="AJ776" s="7"/>
      <c r="AK776" s="1"/>
      <c r="AL776" s="1"/>
      <c r="AM776" s="1"/>
    </row>
    <row x14ac:dyDescent="0.25" r="777" customHeight="1" ht="18.75">
      <c r="A777" s="1"/>
      <c r="B777" s="169"/>
      <c r="C777" s="170"/>
      <c r="D777" s="331">
        <v>770</v>
      </c>
      <c r="E777" s="544">
        <f>+DATE(YEAR(E776),MONTH(E776)-1,DAY(E776))</f>
        <v>25569.041666666668</v>
      </c>
      <c r="F777" s="333">
        <f>IF($C$6=$E777,1,IF(MONTH($E777)=1,F778*(1+$F$5),F778))</f>
      </c>
      <c r="G777" s="333">
        <f>F777*$B$8/12</f>
      </c>
      <c r="H777" s="333">
        <f>IF(F777=1,F777*$B$10/MIN(12,'Simulador - 3º Pilar'!$E$88),0)</f>
      </c>
      <c r="I777" s="560">
        <f>(1+$G$5)^(D777/12)*(H777+IF(E777=$N$7,$N$4,0))</f>
      </c>
      <c r="J777" s="561">
        <f>(1+$G$5)^(D777/12)*(H777*(12-IF(MONTH(E778)=12,0,MONTH(E778)))+IF(AND(F777=1,F778=0),$Q$4,0))*IF(AND(F777=1,F778=0),1,0)</f>
      </c>
      <c r="K777" s="217">
        <f>(1+$G$5)^(D777/12)*(IF(E777=$N$7,$N$4,0)+IF(E777=$C$6,$B$10,0))</f>
      </c>
      <c r="L777" s="217">
        <f>(1+$G$5)^(D777/12)*(IF((E777)&gt;($B$6),H777,0)+IF(E777=$N$7,$N$4,0)+IF(E777=$C$6,0,0))</f>
      </c>
      <c r="M777" s="1"/>
      <c r="N777" s="7"/>
      <c r="O777" s="1"/>
      <c r="P777" s="331">
        <v>770</v>
      </c>
      <c r="Q777" s="544">
        <f>+DATE(YEAR(Q776),MONTH(Q776)-1,DAY(Q776))</f>
        <v>25569.041666666668</v>
      </c>
      <c r="R777" s="341">
        <f>IF($Z$7=$E777,1,IF(MONTH($E777)=1,R778*(1+$F$5),R778))</f>
      </c>
      <c r="S777" s="334">
        <f>R777*$B$8/12</f>
      </c>
      <c r="T777" s="334">
        <f>R777*$B$11/12</f>
      </c>
      <c r="U777" s="565">
        <f>(1+$V$5)^(P777/12)*(T777+IF(Q777=$Z$7,$Z$4,0))</f>
      </c>
      <c r="V777" s="170"/>
      <c r="W777" s="7"/>
      <c r="X777" s="1"/>
      <c r="Y777" s="1"/>
      <c r="Z777" s="1"/>
      <c r="AA777" s="1"/>
      <c r="AB777" s="1"/>
      <c r="AC777" s="331">
        <v>770</v>
      </c>
      <c r="AD777" s="544">
        <f>+DATE(YEAR(AD776),MONTH(AD776)-1,DAY(AD776))</f>
        <v>25569.041666666668</v>
      </c>
      <c r="AE777" s="341">
        <f>IF($AM$7=$E777,1,IF(MONTH($E777)=1,AE778*(1+$F$5),AE778))</f>
      </c>
      <c r="AF777" s="334">
        <f>AE777*$B$8/12</f>
      </c>
      <c r="AG777" s="334">
        <f>AE777*$B$12/12</f>
      </c>
      <c r="AH777" s="565">
        <f>(1+$AI$5)^(AC777/12)*(AG777+IF(AD777=$AM$7,$AM$4,0))</f>
      </c>
      <c r="AI777" s="170"/>
      <c r="AJ777" s="7"/>
      <c r="AK777" s="1"/>
      <c r="AL777" s="1"/>
      <c r="AM777" s="1"/>
    </row>
    <row x14ac:dyDescent="0.25" r="778" customHeight="1" ht="18.75">
      <c r="A778" s="1"/>
      <c r="B778" s="169"/>
      <c r="C778" s="170"/>
      <c r="D778" s="331">
        <v>771</v>
      </c>
      <c r="E778" s="544">
        <f>+DATE(YEAR(E777),MONTH(E777)-1,DAY(E777))</f>
        <v>25569.041666666668</v>
      </c>
      <c r="F778" s="333">
        <f>IF($C$6=$E778,1,IF(MONTH($E778)=1,F779*(1+$F$5),F779))</f>
      </c>
      <c r="G778" s="333">
        <f>F778*$B$8/12</f>
      </c>
      <c r="H778" s="333">
        <f>IF(F778=1,F778*$B$10/MIN(12,'Simulador - 3º Pilar'!$E$88),0)</f>
      </c>
      <c r="I778" s="560">
        <f>(1+$G$5)^(D778/12)*(H778+IF(E778=$N$7,$N$4,0))</f>
      </c>
      <c r="J778" s="561">
        <f>(1+$G$5)^(D778/12)*(H778*(12-IF(MONTH(E779)=12,0,MONTH(E779)))+IF(AND(F778=1,F779=0),$Q$4,0))*IF(AND(F778=1,F779=0),1,0)</f>
      </c>
      <c r="K778" s="217">
        <f>(1+$G$5)^(D778/12)*(IF(E778=$N$7,$N$4,0)+IF(E778=$C$6,$B$10,0))</f>
      </c>
      <c r="L778" s="217">
        <f>(1+$G$5)^(D778/12)*(IF((E778)&gt;($B$6),H778,0)+IF(E778=$N$7,$N$4,0)+IF(E778=$C$6,0,0))</f>
      </c>
      <c r="M778" s="1"/>
      <c r="N778" s="7"/>
      <c r="O778" s="1"/>
      <c r="P778" s="331">
        <v>771</v>
      </c>
      <c r="Q778" s="544">
        <f>+DATE(YEAR(Q777),MONTH(Q777)-1,DAY(Q777))</f>
        <v>25569.041666666668</v>
      </c>
      <c r="R778" s="341">
        <f>IF($Z$7=$E778,1,IF(MONTH($E778)=1,R779*(1+$F$5),R779))</f>
      </c>
      <c r="S778" s="334">
        <f>R778*$B$8/12</f>
      </c>
      <c r="T778" s="334">
        <f>R778*$B$11/12</f>
      </c>
      <c r="U778" s="565">
        <f>(1+$V$5)^(P778/12)*(T778+IF(Q778=$Z$7,$Z$4,0))</f>
      </c>
      <c r="V778" s="170"/>
      <c r="W778" s="7"/>
      <c r="X778" s="1"/>
      <c r="Y778" s="1"/>
      <c r="Z778" s="1"/>
      <c r="AA778" s="1"/>
      <c r="AB778" s="1"/>
      <c r="AC778" s="331">
        <v>771</v>
      </c>
      <c r="AD778" s="544">
        <f>+DATE(YEAR(AD777),MONTH(AD777)-1,DAY(AD777))</f>
        <v>25569.041666666668</v>
      </c>
      <c r="AE778" s="341">
        <f>IF($AM$7=$E778,1,IF(MONTH($E778)=1,AE779*(1+$F$5),AE779))</f>
      </c>
      <c r="AF778" s="334">
        <f>AE778*$B$8/12</f>
      </c>
      <c r="AG778" s="334">
        <f>AE778*$B$12/12</f>
      </c>
      <c r="AH778" s="565">
        <f>(1+$AI$5)^(AC778/12)*(AG778+IF(AD778=$AM$7,$AM$4,0))</f>
      </c>
      <c r="AI778" s="170"/>
      <c r="AJ778" s="7"/>
      <c r="AK778" s="1"/>
      <c r="AL778" s="1"/>
      <c r="AM778" s="1"/>
    </row>
    <row x14ac:dyDescent="0.25" r="779" customHeight="1" ht="18.75">
      <c r="A779" s="1"/>
      <c r="B779" s="169"/>
      <c r="C779" s="170"/>
      <c r="D779" s="331">
        <v>772</v>
      </c>
      <c r="E779" s="544">
        <f>+DATE(YEAR(E778),MONTH(E778)-1,DAY(E778))</f>
        <v>25569.041666666668</v>
      </c>
      <c r="F779" s="333">
        <f>IF($C$6=$E779,1,IF(MONTH($E779)=1,F780*(1+$F$5),F780))</f>
      </c>
      <c r="G779" s="333">
        <f>F779*$B$8/12</f>
      </c>
      <c r="H779" s="333">
        <f>IF(F779=1,F779*$B$10/MIN(12,'Simulador - 3º Pilar'!$E$88),0)</f>
      </c>
      <c r="I779" s="560">
        <f>(1+$G$5)^(D779/12)*(H779+IF(E779=$N$7,$N$4,0))</f>
      </c>
      <c r="J779" s="561">
        <f>(1+$G$5)^(D779/12)*(H779*(12-IF(MONTH(E780)=12,0,MONTH(E780)))+IF(AND(F779=1,F780=0),$Q$4,0))*IF(AND(F779=1,F780=0),1,0)</f>
      </c>
      <c r="K779" s="217">
        <f>(1+$G$5)^(D779/12)*(IF(E779=$N$7,$N$4,0)+IF(E779=$C$6,$B$10,0))</f>
      </c>
      <c r="L779" s="217">
        <f>(1+$G$5)^(D779/12)*(IF((E779)&gt;($B$6),H779,0)+IF(E779=$N$7,$N$4,0)+IF(E779=$C$6,0,0))</f>
      </c>
      <c r="M779" s="1"/>
      <c r="N779" s="7"/>
      <c r="O779" s="1"/>
      <c r="P779" s="331">
        <v>772</v>
      </c>
      <c r="Q779" s="544">
        <f>+DATE(YEAR(Q778),MONTH(Q778)-1,DAY(Q778))</f>
        <v>25569.041666666668</v>
      </c>
      <c r="R779" s="341">
        <f>IF($Z$7=$E779,1,IF(MONTH($E779)=1,R780*(1+$F$5),R780))</f>
      </c>
      <c r="S779" s="334">
        <f>R779*$B$8/12</f>
      </c>
      <c r="T779" s="334">
        <f>R779*$B$11/12</f>
      </c>
      <c r="U779" s="565">
        <f>(1+$V$5)^(P779/12)*(T779+IF(Q779=$Z$7,$Z$4,0))</f>
      </c>
      <c r="V779" s="170"/>
      <c r="W779" s="7"/>
      <c r="X779" s="1"/>
      <c r="Y779" s="1"/>
      <c r="Z779" s="1"/>
      <c r="AA779" s="1"/>
      <c r="AB779" s="1"/>
      <c r="AC779" s="331">
        <v>772</v>
      </c>
      <c r="AD779" s="544">
        <f>+DATE(YEAR(AD778),MONTH(AD778)-1,DAY(AD778))</f>
        <v>25569.041666666668</v>
      </c>
      <c r="AE779" s="341">
        <f>IF($AM$7=$E779,1,IF(MONTH($E779)=1,AE780*(1+$F$5),AE780))</f>
      </c>
      <c r="AF779" s="334">
        <f>AE779*$B$8/12</f>
      </c>
      <c r="AG779" s="334">
        <f>AE779*$B$12/12</f>
      </c>
      <c r="AH779" s="565">
        <f>(1+$AI$5)^(AC779/12)*(AG779+IF(AD779=$AM$7,$AM$4,0))</f>
      </c>
      <c r="AI779" s="170"/>
      <c r="AJ779" s="7"/>
      <c r="AK779" s="1"/>
      <c r="AL779" s="1"/>
      <c r="AM779" s="1"/>
    </row>
    <row x14ac:dyDescent="0.25" r="780" customHeight="1" ht="18.75">
      <c r="A780" s="1"/>
      <c r="B780" s="169"/>
      <c r="C780" s="170"/>
      <c r="D780" s="331">
        <v>773</v>
      </c>
      <c r="E780" s="544">
        <f>+DATE(YEAR(E779),MONTH(E779)-1,DAY(E779))</f>
        <v>25569.041666666668</v>
      </c>
      <c r="F780" s="333">
        <f>IF($C$6=$E780,1,IF(MONTH($E780)=1,F781*(1+$F$5),F781))</f>
      </c>
      <c r="G780" s="333">
        <f>F780*$B$8/12</f>
      </c>
      <c r="H780" s="333">
        <f>IF(F780=1,F780*$B$10/MIN(12,'Simulador - 3º Pilar'!$E$88),0)</f>
      </c>
      <c r="I780" s="560">
        <f>(1+$G$5)^(D780/12)*(H780+IF(E780=$N$7,$N$4,0))</f>
      </c>
      <c r="J780" s="561">
        <f>(1+$G$5)^(D780/12)*(H780*(12-IF(MONTH(E781)=12,0,MONTH(E781)))+IF(AND(F780=1,F781=0),$Q$4,0))*IF(AND(F780=1,F781=0),1,0)</f>
      </c>
      <c r="K780" s="217">
        <f>(1+$G$5)^(D780/12)*(IF(E780=$N$7,$N$4,0)+IF(E780=$C$6,$B$10,0))</f>
      </c>
      <c r="L780" s="217">
        <f>(1+$G$5)^(D780/12)*(IF((E780)&gt;($B$6),H780,0)+IF(E780=$N$7,$N$4,0)+IF(E780=$C$6,0,0))</f>
      </c>
      <c r="M780" s="1"/>
      <c r="N780" s="7"/>
      <c r="O780" s="1"/>
      <c r="P780" s="331">
        <v>773</v>
      </c>
      <c r="Q780" s="544">
        <f>+DATE(YEAR(Q779),MONTH(Q779)-1,DAY(Q779))</f>
        <v>25569.041666666668</v>
      </c>
      <c r="R780" s="341">
        <f>IF($Z$7=$E780,1,IF(MONTH($E780)=1,R781*(1+$F$5),R781))</f>
      </c>
      <c r="S780" s="334">
        <f>R780*$B$8/12</f>
      </c>
      <c r="T780" s="334">
        <f>R780*$B$11/12</f>
      </c>
      <c r="U780" s="565">
        <f>(1+$V$5)^(P780/12)*(T780+IF(Q780=$Z$7,$Z$4,0))</f>
      </c>
      <c r="V780" s="170"/>
      <c r="W780" s="7"/>
      <c r="X780" s="1"/>
      <c r="Y780" s="1"/>
      <c r="Z780" s="1"/>
      <c r="AA780" s="1"/>
      <c r="AB780" s="1"/>
      <c r="AC780" s="331">
        <v>773</v>
      </c>
      <c r="AD780" s="544">
        <f>+DATE(YEAR(AD779),MONTH(AD779)-1,DAY(AD779))</f>
        <v>25569.041666666668</v>
      </c>
      <c r="AE780" s="341">
        <f>IF($AM$7=$E780,1,IF(MONTH($E780)=1,AE781*(1+$F$5),AE781))</f>
      </c>
      <c r="AF780" s="334">
        <f>AE780*$B$8/12</f>
      </c>
      <c r="AG780" s="334">
        <f>AE780*$B$12/12</f>
      </c>
      <c r="AH780" s="565">
        <f>(1+$AI$5)^(AC780/12)*(AG780+IF(AD780=$AM$7,$AM$4,0))</f>
      </c>
      <c r="AI780" s="170"/>
      <c r="AJ780" s="7"/>
      <c r="AK780" s="1"/>
      <c r="AL780" s="1"/>
      <c r="AM780" s="1"/>
    </row>
    <row x14ac:dyDescent="0.25" r="781" customHeight="1" ht="18.75">
      <c r="A781" s="1"/>
      <c r="B781" s="169"/>
      <c r="C781" s="170"/>
      <c r="D781" s="331">
        <v>774</v>
      </c>
      <c r="E781" s="544">
        <f>+DATE(YEAR(E780),MONTH(E780)-1,DAY(E780))</f>
        <v>25569.041666666668</v>
      </c>
      <c r="F781" s="333">
        <f>IF($C$6=$E781,1,IF(MONTH($E781)=1,F782*(1+$F$5),F782))</f>
      </c>
      <c r="G781" s="333">
        <f>F781*$B$8/12</f>
      </c>
      <c r="H781" s="333">
        <f>IF(F781=1,F781*$B$10/MIN(12,'Simulador - 3º Pilar'!$E$88),0)</f>
      </c>
      <c r="I781" s="560">
        <f>(1+$G$5)^(D781/12)*(H781+IF(E781=$N$7,$N$4,0))</f>
      </c>
      <c r="J781" s="561">
        <f>(1+$G$5)^(D781/12)*(H781*(12-IF(MONTH(E782)=12,0,MONTH(E782)))+IF(AND(F781=1,F782=0),$Q$4,0))*IF(AND(F781=1,F782=0),1,0)</f>
      </c>
      <c r="K781" s="217">
        <f>(1+$G$5)^(D781/12)*(IF(E781=$N$7,$N$4,0)+IF(E781=$C$6,$B$10,0))</f>
      </c>
      <c r="L781" s="217">
        <f>(1+$G$5)^(D781/12)*(IF((E781)&gt;($B$6),H781,0)+IF(E781=$N$7,$N$4,0)+IF(E781=$C$6,0,0))</f>
      </c>
      <c r="M781" s="1"/>
      <c r="N781" s="7"/>
      <c r="O781" s="1"/>
      <c r="P781" s="331">
        <v>774</v>
      </c>
      <c r="Q781" s="544">
        <f>+DATE(YEAR(Q780),MONTH(Q780)-1,DAY(Q780))</f>
        <v>25569.041666666668</v>
      </c>
      <c r="R781" s="341">
        <f>IF($Z$7=$E781,1,IF(MONTH($E781)=1,R782*(1+$F$5),R782))</f>
      </c>
      <c r="S781" s="334">
        <f>R781*$B$8/12</f>
      </c>
      <c r="T781" s="334">
        <f>R781*$B$11/12</f>
      </c>
      <c r="U781" s="565">
        <f>(1+$V$5)^(P781/12)*(T781+IF(Q781=$Z$7,$Z$4,0))</f>
      </c>
      <c r="V781" s="170"/>
      <c r="W781" s="7"/>
      <c r="X781" s="1"/>
      <c r="Y781" s="1"/>
      <c r="Z781" s="1"/>
      <c r="AA781" s="1"/>
      <c r="AB781" s="1"/>
      <c r="AC781" s="331">
        <v>774</v>
      </c>
      <c r="AD781" s="544">
        <f>+DATE(YEAR(AD780),MONTH(AD780)-1,DAY(AD780))</f>
        <v>25569.041666666668</v>
      </c>
      <c r="AE781" s="341">
        <f>IF($AM$7=$E781,1,IF(MONTH($E781)=1,AE782*(1+$F$5),AE782))</f>
      </c>
      <c r="AF781" s="334">
        <f>AE781*$B$8/12</f>
      </c>
      <c r="AG781" s="334">
        <f>AE781*$B$12/12</f>
      </c>
      <c r="AH781" s="565">
        <f>(1+$AI$5)^(AC781/12)*(AG781+IF(AD781=$AM$7,$AM$4,0))</f>
      </c>
      <c r="AI781" s="170"/>
      <c r="AJ781" s="7"/>
      <c r="AK781" s="1"/>
      <c r="AL781" s="1"/>
      <c r="AM781" s="1"/>
    </row>
    <row x14ac:dyDescent="0.25" r="782" customHeight="1" ht="18.75">
      <c r="A782" s="1"/>
      <c r="B782" s="169"/>
      <c r="C782" s="170"/>
      <c r="D782" s="331">
        <v>775</v>
      </c>
      <c r="E782" s="544">
        <f>+DATE(YEAR(E781),MONTH(E781)-1,DAY(E781))</f>
        <v>25569.041666666668</v>
      </c>
      <c r="F782" s="333">
        <f>IF($C$6=$E782,1,IF(MONTH($E782)=1,F783*(1+$F$5),F783))</f>
      </c>
      <c r="G782" s="333">
        <f>F782*$B$8/12</f>
      </c>
      <c r="H782" s="333">
        <f>IF(F782=1,F782*$B$10/MIN(12,'Simulador - 3º Pilar'!$E$88),0)</f>
      </c>
      <c r="I782" s="560">
        <f>(1+$G$5)^(D782/12)*(H782+IF(E782=$N$7,$N$4,0))</f>
      </c>
      <c r="J782" s="561">
        <f>(1+$G$5)^(D782/12)*(H782*(12-IF(MONTH(E783)=12,0,MONTH(E783)))+IF(AND(F782=1,F783=0),$Q$4,0))*IF(AND(F782=1,F783=0),1,0)</f>
      </c>
      <c r="K782" s="217">
        <f>(1+$G$5)^(D782/12)*(IF(E782=$N$7,$N$4,0)+IF(E782=$C$6,$B$10,0))</f>
      </c>
      <c r="L782" s="217">
        <f>(1+$G$5)^(D782/12)*(IF((E782)&gt;($B$6),H782,0)+IF(E782=$N$7,$N$4,0)+IF(E782=$C$6,0,0))</f>
      </c>
      <c r="M782" s="1"/>
      <c r="N782" s="7"/>
      <c r="O782" s="1"/>
      <c r="P782" s="331">
        <v>775</v>
      </c>
      <c r="Q782" s="544">
        <f>+DATE(YEAR(Q781),MONTH(Q781)-1,DAY(Q781))</f>
        <v>25569.041666666668</v>
      </c>
      <c r="R782" s="341">
        <f>IF($Z$7=$E782,1,IF(MONTH($E782)=1,R783*(1+$F$5),R783))</f>
      </c>
      <c r="S782" s="334">
        <f>R782*$B$8/12</f>
      </c>
      <c r="T782" s="334">
        <f>R782*$B$11/12</f>
      </c>
      <c r="U782" s="565">
        <f>(1+$V$5)^(P782/12)*(T782+IF(Q782=$Z$7,$Z$4,0))</f>
      </c>
      <c r="V782" s="170"/>
      <c r="W782" s="7"/>
      <c r="X782" s="1"/>
      <c r="Y782" s="1"/>
      <c r="Z782" s="1"/>
      <c r="AA782" s="1"/>
      <c r="AB782" s="1"/>
      <c r="AC782" s="331">
        <v>775</v>
      </c>
      <c r="AD782" s="544">
        <f>+DATE(YEAR(AD781),MONTH(AD781)-1,DAY(AD781))</f>
        <v>25569.041666666668</v>
      </c>
      <c r="AE782" s="341">
        <f>IF($AM$7=$E782,1,IF(MONTH($E782)=1,AE783*(1+$F$5),AE783))</f>
      </c>
      <c r="AF782" s="334">
        <f>AE782*$B$8/12</f>
      </c>
      <c r="AG782" s="334">
        <f>AE782*$B$12/12</f>
      </c>
      <c r="AH782" s="565">
        <f>(1+$AI$5)^(AC782/12)*(AG782+IF(AD782=$AM$7,$AM$4,0))</f>
      </c>
      <c r="AI782" s="170"/>
      <c r="AJ782" s="7"/>
      <c r="AK782" s="1"/>
      <c r="AL782" s="1"/>
      <c r="AM782" s="1"/>
    </row>
    <row x14ac:dyDescent="0.25" r="783" customHeight="1" ht="18.75">
      <c r="A783" s="1"/>
      <c r="B783" s="169"/>
      <c r="C783" s="170"/>
      <c r="D783" s="331">
        <v>776</v>
      </c>
      <c r="E783" s="544">
        <f>+DATE(YEAR(E782),MONTH(E782)-1,DAY(E782))</f>
        <v>25569.041666666668</v>
      </c>
      <c r="F783" s="333">
        <f>IF($C$6=$E783,1,IF(MONTH($E783)=1,F784*(1+$F$5),F784))</f>
      </c>
      <c r="G783" s="333">
        <f>F783*$B$8/12</f>
      </c>
      <c r="H783" s="333">
        <f>IF(F783=1,F783*$B$10/MIN(12,'Simulador - 3º Pilar'!$E$88),0)</f>
      </c>
      <c r="I783" s="560">
        <f>(1+$G$5)^(D783/12)*(H783+IF(E783=$N$7,$N$4,0))</f>
      </c>
      <c r="J783" s="561">
        <f>(1+$G$5)^(D783/12)*(H783*(12-IF(MONTH(E784)=12,0,MONTH(E784)))+IF(AND(F783=1,F784=0),$Q$4,0))*IF(AND(F783=1,F784=0),1,0)</f>
      </c>
      <c r="K783" s="217">
        <f>(1+$G$5)^(D783/12)*(IF(E783=$N$7,$N$4,0)+IF(E783=$C$6,$B$10,0))</f>
      </c>
      <c r="L783" s="217">
        <f>(1+$G$5)^(D783/12)*(IF((E783)&gt;($B$6),H783,0)+IF(E783=$N$7,$N$4,0)+IF(E783=$C$6,0,0))</f>
      </c>
      <c r="M783" s="1"/>
      <c r="N783" s="7"/>
      <c r="O783" s="1"/>
      <c r="P783" s="331">
        <v>776</v>
      </c>
      <c r="Q783" s="544">
        <f>+DATE(YEAR(Q782),MONTH(Q782)-1,DAY(Q782))</f>
        <v>25569.041666666668</v>
      </c>
      <c r="R783" s="341">
        <f>IF($Z$7=$E783,1,IF(MONTH($E783)=1,R784*(1+$F$5),R784))</f>
      </c>
      <c r="S783" s="334">
        <f>R783*$B$8/12</f>
      </c>
      <c r="T783" s="334">
        <f>R783*$B$11/12</f>
      </c>
      <c r="U783" s="565">
        <f>(1+$V$5)^(P783/12)*(T783+IF(Q783=$Z$7,$Z$4,0))</f>
      </c>
      <c r="V783" s="170"/>
      <c r="W783" s="7"/>
      <c r="X783" s="1"/>
      <c r="Y783" s="1"/>
      <c r="Z783" s="1"/>
      <c r="AA783" s="1"/>
      <c r="AB783" s="1"/>
      <c r="AC783" s="331">
        <v>776</v>
      </c>
      <c r="AD783" s="544">
        <f>+DATE(YEAR(AD782),MONTH(AD782)-1,DAY(AD782))</f>
        <v>25569.041666666668</v>
      </c>
      <c r="AE783" s="341">
        <f>IF($AM$7=$E783,1,IF(MONTH($E783)=1,AE784*(1+$F$5),AE784))</f>
      </c>
      <c r="AF783" s="334">
        <f>AE783*$B$8/12</f>
      </c>
      <c r="AG783" s="334">
        <f>AE783*$B$12/12</f>
      </c>
      <c r="AH783" s="565">
        <f>(1+$AI$5)^(AC783/12)*(AG783+IF(AD783=$AM$7,$AM$4,0))</f>
      </c>
      <c r="AI783" s="170"/>
      <c r="AJ783" s="7"/>
      <c r="AK783" s="1"/>
      <c r="AL783" s="1"/>
      <c r="AM783" s="1"/>
    </row>
    <row x14ac:dyDescent="0.25" r="784" customHeight="1" ht="18.75">
      <c r="A784" s="1"/>
      <c r="B784" s="169"/>
      <c r="C784" s="170"/>
      <c r="D784" s="331">
        <v>777</v>
      </c>
      <c r="E784" s="544">
        <f>+DATE(YEAR(E783),MONTH(E783)-1,DAY(E783))</f>
        <v>25569.041666666668</v>
      </c>
      <c r="F784" s="333">
        <f>IF($C$6=$E784,1,IF(MONTH($E784)=1,F785*(1+$F$5),F785))</f>
      </c>
      <c r="G784" s="333">
        <f>F784*$B$8/12</f>
      </c>
      <c r="H784" s="333">
        <f>IF(F784=1,F784*$B$10/MIN(12,'Simulador - 3º Pilar'!$E$88),0)</f>
      </c>
      <c r="I784" s="560">
        <f>(1+$G$5)^(D784/12)*(H784+IF(E784=$N$7,$N$4,0))</f>
      </c>
      <c r="J784" s="561">
        <f>(1+$G$5)^(D784/12)*(H784*(12-IF(MONTH(E785)=12,0,MONTH(E785)))+IF(AND(F784=1,F785=0),$Q$4,0))*IF(AND(F784=1,F785=0),1,0)</f>
      </c>
      <c r="K784" s="217">
        <f>(1+$G$5)^(D784/12)*(IF(E784=$N$7,$N$4,0)+IF(E784=$C$6,$B$10,0))</f>
      </c>
      <c r="L784" s="217">
        <f>(1+$G$5)^(D784/12)*(IF((E784)&gt;($B$6),H784,0)+IF(E784=$N$7,$N$4,0)+IF(E784=$C$6,0,0))</f>
      </c>
      <c r="M784" s="1"/>
      <c r="N784" s="7"/>
      <c r="O784" s="1"/>
      <c r="P784" s="331">
        <v>777</v>
      </c>
      <c r="Q784" s="544">
        <f>+DATE(YEAR(Q783),MONTH(Q783)-1,DAY(Q783))</f>
        <v>25569.041666666668</v>
      </c>
      <c r="R784" s="341">
        <f>IF($Z$7=$E784,1,IF(MONTH($E784)=1,R785*(1+$F$5),R785))</f>
      </c>
      <c r="S784" s="334">
        <f>R784*$B$8/12</f>
      </c>
      <c r="T784" s="334">
        <f>R784*$B$11/12</f>
      </c>
      <c r="U784" s="565">
        <f>(1+$V$5)^(P784/12)*(T784+IF(Q784=$Z$7,$Z$4,0))</f>
      </c>
      <c r="V784" s="170"/>
      <c r="W784" s="7"/>
      <c r="X784" s="1"/>
      <c r="Y784" s="1"/>
      <c r="Z784" s="1"/>
      <c r="AA784" s="1"/>
      <c r="AB784" s="1"/>
      <c r="AC784" s="331">
        <v>777</v>
      </c>
      <c r="AD784" s="544">
        <f>+DATE(YEAR(AD783),MONTH(AD783)-1,DAY(AD783))</f>
        <v>25569.041666666668</v>
      </c>
      <c r="AE784" s="341">
        <f>IF($AM$7=$E784,1,IF(MONTH($E784)=1,AE785*(1+$F$5),AE785))</f>
      </c>
      <c r="AF784" s="334">
        <f>AE784*$B$8/12</f>
      </c>
      <c r="AG784" s="334">
        <f>AE784*$B$12/12</f>
      </c>
      <c r="AH784" s="565">
        <f>(1+$AI$5)^(AC784/12)*(AG784+IF(AD784=$AM$7,$AM$4,0))</f>
      </c>
      <c r="AI784" s="170"/>
      <c r="AJ784" s="7"/>
      <c r="AK784" s="1"/>
      <c r="AL784" s="1"/>
      <c r="AM784" s="1"/>
    </row>
    <row x14ac:dyDescent="0.25" r="785" customHeight="1" ht="18.75">
      <c r="A785" s="1"/>
      <c r="B785" s="169"/>
      <c r="C785" s="170"/>
      <c r="D785" s="331">
        <v>778</v>
      </c>
      <c r="E785" s="544">
        <f>+DATE(YEAR(E784),MONTH(E784)-1,DAY(E784))</f>
        <v>25569.041666666668</v>
      </c>
      <c r="F785" s="333">
        <f>IF($C$6=$E785,1,IF(MONTH($E785)=1,F786*(1+$F$5),F786))</f>
      </c>
      <c r="G785" s="333">
        <f>F785*$B$8/12</f>
      </c>
      <c r="H785" s="333">
        <f>IF(F785=1,F785*$B$10/MIN(12,'Simulador - 3º Pilar'!$E$88),0)</f>
      </c>
      <c r="I785" s="560">
        <f>(1+$G$5)^(D785/12)*(H785+IF(E785=$N$7,$N$4,0))</f>
      </c>
      <c r="J785" s="561">
        <f>(1+$G$5)^(D785/12)*(H785*(12-IF(MONTH(E786)=12,0,MONTH(E786)))+IF(AND(F785=1,F786=0),$Q$4,0))*IF(AND(F785=1,F786=0),1,0)</f>
      </c>
      <c r="K785" s="217">
        <f>(1+$G$5)^(D785/12)*(IF(E785=$N$7,$N$4,0)+IF(E785=$C$6,$B$10,0))</f>
      </c>
      <c r="L785" s="217">
        <f>(1+$G$5)^(D785/12)*(IF((E785)&gt;($B$6),H785,0)+IF(E785=$N$7,$N$4,0)+IF(E785=$C$6,0,0))</f>
      </c>
      <c r="M785" s="1"/>
      <c r="N785" s="7"/>
      <c r="O785" s="1"/>
      <c r="P785" s="331">
        <v>778</v>
      </c>
      <c r="Q785" s="544">
        <f>+DATE(YEAR(Q784),MONTH(Q784)-1,DAY(Q784))</f>
        <v>25569.041666666668</v>
      </c>
      <c r="R785" s="341">
        <f>IF($Z$7=$E785,1,IF(MONTH($E785)=1,R786*(1+$F$5),R786))</f>
      </c>
      <c r="S785" s="334">
        <f>R785*$B$8/12</f>
      </c>
      <c r="T785" s="334">
        <f>R785*$B$11/12</f>
      </c>
      <c r="U785" s="565">
        <f>(1+$V$5)^(P785/12)*(T785+IF(Q785=$Z$7,$Z$4,0))</f>
      </c>
      <c r="V785" s="170"/>
      <c r="W785" s="7"/>
      <c r="X785" s="1"/>
      <c r="Y785" s="1"/>
      <c r="Z785" s="1"/>
      <c r="AA785" s="1"/>
      <c r="AB785" s="1"/>
      <c r="AC785" s="331">
        <v>778</v>
      </c>
      <c r="AD785" s="544">
        <f>+DATE(YEAR(AD784),MONTH(AD784)-1,DAY(AD784))</f>
        <v>25569.041666666668</v>
      </c>
      <c r="AE785" s="341">
        <f>IF($AM$7=$E785,1,IF(MONTH($E785)=1,AE786*(1+$F$5),AE786))</f>
      </c>
      <c r="AF785" s="334">
        <f>AE785*$B$8/12</f>
      </c>
      <c r="AG785" s="334">
        <f>AE785*$B$12/12</f>
      </c>
      <c r="AH785" s="565">
        <f>(1+$AI$5)^(AC785/12)*(AG785+IF(AD785=$AM$7,$AM$4,0))</f>
      </c>
      <c r="AI785" s="170"/>
      <c r="AJ785" s="7"/>
      <c r="AK785" s="1"/>
      <c r="AL785" s="1"/>
      <c r="AM785" s="1"/>
    </row>
    <row x14ac:dyDescent="0.25" r="786" customHeight="1" ht="18.75">
      <c r="A786" s="1"/>
      <c r="B786" s="169"/>
      <c r="C786" s="170"/>
      <c r="D786" s="331">
        <v>779</v>
      </c>
      <c r="E786" s="544">
        <f>+DATE(YEAR(E785),MONTH(E785)-1,DAY(E785))</f>
        <v>25569.041666666668</v>
      </c>
      <c r="F786" s="333">
        <f>IF($C$6=$E786,1,IF(MONTH($E786)=1,F787*(1+$F$5),F787))</f>
      </c>
      <c r="G786" s="333">
        <f>F786*$B$8/12</f>
      </c>
      <c r="H786" s="333">
        <f>IF(F786=1,F786*$B$10/MIN(12,'Simulador - 3º Pilar'!$E$88),0)</f>
      </c>
      <c r="I786" s="560">
        <f>(1+$G$5)^(D786/12)*(H786+IF(E786=$N$7,$N$4,0))</f>
      </c>
      <c r="J786" s="561">
        <f>(1+$G$5)^(D786/12)*(H786*(12-IF(MONTH(E787)=12,0,MONTH(E787)))+IF(AND(F786=1,F787=0),$Q$4,0))*IF(AND(F786=1,F787=0),1,0)</f>
      </c>
      <c r="K786" s="217">
        <f>(1+$G$5)^(D786/12)*(IF(E786=$N$7,$N$4,0)+IF(E786=$C$6,$B$10,0))</f>
      </c>
      <c r="L786" s="217">
        <f>(1+$G$5)^(D786/12)*(IF((E786)&gt;($B$6),H786,0)+IF(E786=$N$7,$N$4,0)+IF(E786=$C$6,0,0))</f>
      </c>
      <c r="M786" s="1"/>
      <c r="N786" s="7"/>
      <c r="O786" s="1"/>
      <c r="P786" s="331">
        <v>779</v>
      </c>
      <c r="Q786" s="544">
        <f>+DATE(YEAR(Q785),MONTH(Q785)-1,DAY(Q785))</f>
        <v>25569.041666666668</v>
      </c>
      <c r="R786" s="341">
        <f>IF($Z$7=$E786,1,IF(MONTH($E786)=1,R787*(1+$F$5),R787))</f>
      </c>
      <c r="S786" s="334">
        <f>R786*$B$8/12</f>
      </c>
      <c r="T786" s="334">
        <f>R786*$B$11/12</f>
      </c>
      <c r="U786" s="565">
        <f>(1+$V$5)^(P786/12)*(T786+IF(Q786=$Z$7,$Z$4,0))</f>
      </c>
      <c r="V786" s="170"/>
      <c r="W786" s="7"/>
      <c r="X786" s="1"/>
      <c r="Y786" s="1"/>
      <c r="Z786" s="1"/>
      <c r="AA786" s="1"/>
      <c r="AB786" s="1"/>
      <c r="AC786" s="331">
        <v>779</v>
      </c>
      <c r="AD786" s="544">
        <f>+DATE(YEAR(AD785),MONTH(AD785)-1,DAY(AD785))</f>
        <v>25569.041666666668</v>
      </c>
      <c r="AE786" s="341">
        <f>IF($AM$7=$E786,1,IF(MONTH($E786)=1,AE787*(1+$F$5),AE787))</f>
      </c>
      <c r="AF786" s="334">
        <f>AE786*$B$8/12</f>
      </c>
      <c r="AG786" s="334">
        <f>AE786*$B$12/12</f>
      </c>
      <c r="AH786" s="565">
        <f>(1+$AI$5)^(AC786/12)*(AG786+IF(AD786=$AM$7,$AM$4,0))</f>
      </c>
      <c r="AI786" s="170"/>
      <c r="AJ786" s="7"/>
      <c r="AK786" s="1"/>
      <c r="AL786" s="1"/>
      <c r="AM786" s="1"/>
    </row>
    <row x14ac:dyDescent="0.25" r="787" customHeight="1" ht="18.75">
      <c r="A787" s="1"/>
      <c r="B787" s="169"/>
      <c r="C787" s="170"/>
      <c r="D787" s="331">
        <v>780</v>
      </c>
      <c r="E787" s="544">
        <f>+DATE(YEAR(E786),MONTH(E786)-1,DAY(E786))</f>
        <v>25569.041666666668</v>
      </c>
      <c r="F787" s="333">
        <f>IF($C$6=$E787,1,IF(MONTH($E787)=1,F788*(1+$F$5),F788))</f>
      </c>
      <c r="G787" s="333">
        <f>F787*$B$8/12</f>
      </c>
      <c r="H787" s="333">
        <f>IF(F787=1,F787*$B$10/MIN(12,'Simulador - 3º Pilar'!$E$88),0)</f>
      </c>
      <c r="I787" s="560">
        <f>(1+$G$5)^(D787/12)*(H787+IF(E787=$N$7,$N$4,0))</f>
      </c>
      <c r="J787" s="561">
        <f>(1+$G$5)^(D787/12)*(H787*(12-IF(MONTH(E788)=12,0,MONTH(E788)))+IF(AND(F787=1,F788=0),$Q$4,0))*IF(AND(F787=1,F788=0),1,0)</f>
      </c>
      <c r="K787" s="217">
        <f>(1+$G$5)^(D787/12)*(IF(E787=$N$7,$N$4,0)+IF(E787=$C$6,$B$10,0))</f>
      </c>
      <c r="L787" s="217">
        <f>(1+$G$5)^(D787/12)*(IF((E787)&gt;($B$6),H787,0)+IF(E787=$N$7,$N$4,0)+IF(E787=$C$6,0,0))</f>
      </c>
      <c r="M787" s="1"/>
      <c r="N787" s="7"/>
      <c r="O787" s="1"/>
      <c r="P787" s="331">
        <v>780</v>
      </c>
      <c r="Q787" s="544">
        <f>+DATE(YEAR(Q786),MONTH(Q786)-1,DAY(Q786))</f>
        <v>25569.041666666668</v>
      </c>
      <c r="R787" s="341">
        <f>IF($Z$7=$E787,1,IF(MONTH($E787)=1,R788*(1+$F$5),R788))</f>
      </c>
      <c r="S787" s="334">
        <f>R787*$B$8/12</f>
      </c>
      <c r="T787" s="334">
        <f>R787*$B$11/12</f>
      </c>
      <c r="U787" s="565">
        <f>(1+$V$5)^(P787/12)*(T787+IF(Q787=$Z$7,$Z$4,0))</f>
      </c>
      <c r="V787" s="170"/>
      <c r="W787" s="7"/>
      <c r="X787" s="1"/>
      <c r="Y787" s="1"/>
      <c r="Z787" s="1"/>
      <c r="AA787" s="1"/>
      <c r="AB787" s="1"/>
      <c r="AC787" s="331">
        <v>780</v>
      </c>
      <c r="AD787" s="544">
        <f>+DATE(YEAR(AD786),MONTH(AD786)-1,DAY(AD786))</f>
        <v>25569.041666666668</v>
      </c>
      <c r="AE787" s="341">
        <f>IF($AM$7=$E787,1,IF(MONTH($E787)=1,AE788*(1+$F$5),AE788))</f>
      </c>
      <c r="AF787" s="334">
        <f>AE787*$B$8/12</f>
      </c>
      <c r="AG787" s="334">
        <f>AE787*$B$12/12</f>
      </c>
      <c r="AH787" s="565">
        <f>(1+$AI$5)^(AC787/12)*(AG787+IF(AD787=$AM$7,$AM$4,0))</f>
      </c>
      <c r="AI787" s="170"/>
      <c r="AJ787" s="7"/>
      <c r="AK787" s="1"/>
      <c r="AL787" s="1"/>
      <c r="AM787" s="1"/>
    </row>
    <row x14ac:dyDescent="0.25" r="788" customHeight="1" ht="18.75">
      <c r="A788" s="1"/>
      <c r="B788" s="169"/>
      <c r="C788" s="170"/>
      <c r="D788" s="331">
        <v>781</v>
      </c>
      <c r="E788" s="544">
        <f>+DATE(YEAR(E787),MONTH(E787)-1,DAY(E787))</f>
        <v>25569.041666666668</v>
      </c>
      <c r="F788" s="333">
        <f>IF($C$6=$E788,1,IF(MONTH($E788)=1,F789*(1+$F$5),F789))</f>
      </c>
      <c r="G788" s="333">
        <f>F788*$B$8/12</f>
      </c>
      <c r="H788" s="333">
        <f>IF(F788=1,F788*$B$10/MIN(12,'Simulador - 3º Pilar'!$E$88),0)</f>
      </c>
      <c r="I788" s="560">
        <f>(1+$G$5)^(D788/12)*(H788+IF(E788=$N$7,$N$4,0))</f>
      </c>
      <c r="J788" s="561">
        <f>(1+$G$5)^(D788/12)*(H788*(12-IF(MONTH(E789)=12,0,MONTH(E789)))+IF(AND(F788=1,F789=0),$Q$4,0))*IF(AND(F788=1,F789=0),1,0)</f>
      </c>
      <c r="K788" s="217">
        <f>(1+$G$5)^(D788/12)*(IF(E788=$N$7,$N$4,0)+IF(E788=$C$6,$B$10,0))</f>
      </c>
      <c r="L788" s="217">
        <f>(1+$G$5)^(D788/12)*(IF((E788)&gt;($B$6),H788,0)+IF(E788=$N$7,$N$4,0)+IF(E788=$C$6,0,0))</f>
      </c>
      <c r="M788" s="1"/>
      <c r="N788" s="7"/>
      <c r="O788" s="1"/>
      <c r="P788" s="331">
        <v>781</v>
      </c>
      <c r="Q788" s="544">
        <f>+DATE(YEAR(Q787),MONTH(Q787)-1,DAY(Q787))</f>
        <v>25569.041666666668</v>
      </c>
      <c r="R788" s="341">
        <f>IF($Z$7=$E788,1,IF(MONTH($E788)=1,R789*(1+$F$5),R789))</f>
      </c>
      <c r="S788" s="334">
        <f>R788*$B$8/12</f>
      </c>
      <c r="T788" s="334">
        <f>R788*$B$11/12</f>
      </c>
      <c r="U788" s="565">
        <f>(1+$V$5)^(P788/12)*(T788+IF(Q788=$Z$7,$Z$4,0))</f>
      </c>
      <c r="V788" s="170"/>
      <c r="W788" s="7"/>
      <c r="X788" s="1"/>
      <c r="Y788" s="1"/>
      <c r="Z788" s="1"/>
      <c r="AA788" s="1"/>
      <c r="AB788" s="1"/>
      <c r="AC788" s="331">
        <v>781</v>
      </c>
      <c r="AD788" s="544">
        <f>+DATE(YEAR(AD787),MONTH(AD787)-1,DAY(AD787))</f>
        <v>25569.041666666668</v>
      </c>
      <c r="AE788" s="341">
        <f>IF($AM$7=$E788,1,IF(MONTH($E788)=1,AE789*(1+$F$5),AE789))</f>
      </c>
      <c r="AF788" s="334">
        <f>AE788*$B$8/12</f>
      </c>
      <c r="AG788" s="334">
        <f>AE788*$B$12/12</f>
      </c>
      <c r="AH788" s="565">
        <f>(1+$AI$5)^(AC788/12)*(AG788+IF(AD788=$AM$7,$AM$4,0))</f>
      </c>
      <c r="AI788" s="170"/>
      <c r="AJ788" s="7"/>
      <c r="AK788" s="1"/>
      <c r="AL788" s="1"/>
      <c r="AM788" s="1"/>
    </row>
    <row x14ac:dyDescent="0.25" r="789" customHeight="1" ht="18.75">
      <c r="A789" s="1"/>
      <c r="B789" s="169"/>
      <c r="C789" s="170"/>
      <c r="D789" s="331">
        <v>782</v>
      </c>
      <c r="E789" s="544">
        <f>+DATE(YEAR(E788),MONTH(E788)-1,DAY(E788))</f>
        <v>25569.041666666668</v>
      </c>
      <c r="F789" s="333">
        <f>IF($C$6=$E789,1,IF(MONTH($E789)=1,F790*(1+$F$5),F790))</f>
      </c>
      <c r="G789" s="333">
        <f>F789*$B$8/12</f>
      </c>
      <c r="H789" s="333">
        <f>IF(F789=1,F789*$B$10/MIN(12,'Simulador - 3º Pilar'!$E$88),0)</f>
      </c>
      <c r="I789" s="560">
        <f>(1+$G$5)^(D789/12)*(H789+IF(E789=$N$7,$N$4,0))</f>
      </c>
      <c r="J789" s="561">
        <f>(1+$G$5)^(D789/12)*(H789*(12-IF(MONTH(E790)=12,0,MONTH(E790)))+IF(AND(F789=1,F790=0),$Q$4,0))*IF(AND(F789=1,F790=0),1,0)</f>
      </c>
      <c r="K789" s="217">
        <f>(1+$G$5)^(D789/12)*(IF(E789=$N$7,$N$4,0)+IF(E789=$C$6,$B$10,0))</f>
      </c>
      <c r="L789" s="217">
        <f>(1+$G$5)^(D789/12)*(IF((E789)&gt;($B$6),H789,0)+IF(E789=$N$7,$N$4,0)+IF(E789=$C$6,0,0))</f>
      </c>
      <c r="M789" s="1"/>
      <c r="N789" s="7"/>
      <c r="O789" s="1"/>
      <c r="P789" s="331">
        <v>782</v>
      </c>
      <c r="Q789" s="544">
        <f>+DATE(YEAR(Q788),MONTH(Q788)-1,DAY(Q788))</f>
        <v>25569.041666666668</v>
      </c>
      <c r="R789" s="341">
        <f>IF($Z$7=$E789,1,IF(MONTH($E789)=1,R790*(1+$F$5),R790))</f>
      </c>
      <c r="S789" s="334">
        <f>R789*$B$8/12</f>
      </c>
      <c r="T789" s="334">
        <f>R789*$B$11/12</f>
      </c>
      <c r="U789" s="565">
        <f>(1+$V$5)^(P789/12)*(T789+IF(Q789=$Z$7,$Z$4,0))</f>
      </c>
      <c r="V789" s="170"/>
      <c r="W789" s="7"/>
      <c r="X789" s="1"/>
      <c r="Y789" s="1"/>
      <c r="Z789" s="1"/>
      <c r="AA789" s="1"/>
      <c r="AB789" s="1"/>
      <c r="AC789" s="331">
        <v>782</v>
      </c>
      <c r="AD789" s="544">
        <f>+DATE(YEAR(AD788),MONTH(AD788)-1,DAY(AD788))</f>
        <v>25569.041666666668</v>
      </c>
      <c r="AE789" s="341">
        <f>IF($AM$7=$E789,1,IF(MONTH($E789)=1,AE790*(1+$F$5),AE790))</f>
      </c>
      <c r="AF789" s="334">
        <f>AE789*$B$8/12</f>
      </c>
      <c r="AG789" s="334">
        <f>AE789*$B$12/12</f>
      </c>
      <c r="AH789" s="565">
        <f>(1+$AI$5)^(AC789/12)*(AG789+IF(AD789=$AM$7,$AM$4,0))</f>
      </c>
      <c r="AI789" s="170"/>
      <c r="AJ789" s="7"/>
      <c r="AK789" s="1"/>
      <c r="AL789" s="1"/>
      <c r="AM789" s="1"/>
    </row>
    <row x14ac:dyDescent="0.25" r="790" customHeight="1" ht="18.75">
      <c r="A790" s="1"/>
      <c r="B790" s="169"/>
      <c r="C790" s="170"/>
      <c r="D790" s="331">
        <v>783</v>
      </c>
      <c r="E790" s="544">
        <f>+DATE(YEAR(E789),MONTH(E789)-1,DAY(E789))</f>
        <v>25569.041666666668</v>
      </c>
      <c r="F790" s="333">
        <f>IF($C$6=$E790,1,IF(MONTH($E790)=1,F791*(1+$F$5),F791))</f>
      </c>
      <c r="G790" s="333">
        <f>F790*$B$8/12</f>
      </c>
      <c r="H790" s="333">
        <f>IF(F790=1,F790*$B$10/MIN(12,'Simulador - 3º Pilar'!$E$88),0)</f>
      </c>
      <c r="I790" s="560">
        <f>(1+$G$5)^(D790/12)*(H790+IF(E790=$N$7,$N$4,0))</f>
      </c>
      <c r="J790" s="561">
        <f>(1+$G$5)^(D790/12)*(H790*(12-IF(MONTH(E791)=12,0,MONTH(E791)))+IF(AND(F790=1,F791=0),$Q$4,0))*IF(AND(F790=1,F791=0),1,0)</f>
      </c>
      <c r="K790" s="217">
        <f>(1+$G$5)^(D790/12)*(IF(E790=$N$7,$N$4,0)+IF(E790=$C$6,$B$10,0))</f>
      </c>
      <c r="L790" s="217">
        <f>(1+$G$5)^(D790/12)*(IF((E790)&gt;($B$6),H790,0)+IF(E790=$N$7,$N$4,0)+IF(E790=$C$6,0,0))</f>
      </c>
      <c r="M790" s="1"/>
      <c r="N790" s="7"/>
      <c r="O790" s="1"/>
      <c r="P790" s="331">
        <v>783</v>
      </c>
      <c r="Q790" s="544">
        <f>+DATE(YEAR(Q789),MONTH(Q789)-1,DAY(Q789))</f>
        <v>25569.041666666668</v>
      </c>
      <c r="R790" s="341">
        <f>IF($Z$7=$E790,1,IF(MONTH($E790)=1,R791*(1+$F$5),R791))</f>
      </c>
      <c r="S790" s="334">
        <f>R790*$B$8/12</f>
      </c>
      <c r="T790" s="334">
        <f>R790*$B$11/12</f>
      </c>
      <c r="U790" s="565">
        <f>(1+$V$5)^(P790/12)*(T790+IF(Q790=$Z$7,$Z$4,0))</f>
      </c>
      <c r="V790" s="170"/>
      <c r="W790" s="7"/>
      <c r="X790" s="1"/>
      <c r="Y790" s="1"/>
      <c r="Z790" s="1"/>
      <c r="AA790" s="1"/>
      <c r="AB790" s="1"/>
      <c r="AC790" s="331">
        <v>783</v>
      </c>
      <c r="AD790" s="544">
        <f>+DATE(YEAR(AD789),MONTH(AD789)-1,DAY(AD789))</f>
        <v>25569.041666666668</v>
      </c>
      <c r="AE790" s="341">
        <f>IF($AM$7=$E790,1,IF(MONTH($E790)=1,AE791*(1+$F$5),AE791))</f>
      </c>
      <c r="AF790" s="334">
        <f>AE790*$B$8/12</f>
      </c>
      <c r="AG790" s="334">
        <f>AE790*$B$12/12</f>
      </c>
      <c r="AH790" s="565">
        <f>(1+$AI$5)^(AC790/12)*(AG790+IF(AD790=$AM$7,$AM$4,0))</f>
      </c>
      <c r="AI790" s="170"/>
      <c r="AJ790" s="7"/>
      <c r="AK790" s="1"/>
      <c r="AL790" s="1"/>
      <c r="AM790" s="1"/>
    </row>
    <row x14ac:dyDescent="0.25" r="791" customHeight="1" ht="18.75">
      <c r="A791" s="1"/>
      <c r="B791" s="169"/>
      <c r="C791" s="170"/>
      <c r="D791" s="331">
        <v>784</v>
      </c>
      <c r="E791" s="544">
        <f>+DATE(YEAR(E790),MONTH(E790)-1,DAY(E790))</f>
        <v>25569.041666666668</v>
      </c>
      <c r="F791" s="333">
        <f>IF($C$6=$E791,1,IF(MONTH($E791)=1,F792*(1+$F$5),F792))</f>
      </c>
      <c r="G791" s="333">
        <f>F791*$B$8/12</f>
      </c>
      <c r="H791" s="333">
        <f>IF(F791=1,F791*$B$10/MIN(12,'Simulador - 3º Pilar'!$E$88),0)</f>
      </c>
      <c r="I791" s="560">
        <f>(1+$G$5)^(D791/12)*(H791+IF(E791=$N$7,$N$4,0))</f>
      </c>
      <c r="J791" s="561">
        <f>(1+$G$5)^(D791/12)*(H791*(12-IF(MONTH(E792)=12,0,MONTH(E792)))+IF(AND(F791=1,F792=0),$Q$4,0))*IF(AND(F791=1,F792=0),1,0)</f>
      </c>
      <c r="K791" s="217">
        <f>(1+$G$5)^(D791/12)*(IF(E791=$N$7,$N$4,0)+IF(E791=$C$6,$B$10,0))</f>
      </c>
      <c r="L791" s="217">
        <f>(1+$G$5)^(D791/12)*(IF((E791)&gt;($B$6),H791,0)+IF(E791=$N$7,$N$4,0)+IF(E791=$C$6,0,0))</f>
      </c>
      <c r="M791" s="1"/>
      <c r="N791" s="7"/>
      <c r="O791" s="1"/>
      <c r="P791" s="331">
        <v>784</v>
      </c>
      <c r="Q791" s="544">
        <f>+DATE(YEAR(Q790),MONTH(Q790)-1,DAY(Q790))</f>
        <v>25569.041666666668</v>
      </c>
      <c r="R791" s="341">
        <f>IF($Z$7=$E791,1,IF(MONTH($E791)=1,R792*(1+$F$5),R792))</f>
      </c>
      <c r="S791" s="334">
        <f>R791*$B$8/12</f>
      </c>
      <c r="T791" s="334">
        <f>R791*$B$11/12</f>
      </c>
      <c r="U791" s="565">
        <f>(1+$V$5)^(P791/12)*(T791+IF(Q791=$Z$7,$Z$4,0))</f>
      </c>
      <c r="V791" s="170"/>
      <c r="W791" s="7"/>
      <c r="X791" s="1"/>
      <c r="Y791" s="1"/>
      <c r="Z791" s="1"/>
      <c r="AA791" s="1"/>
      <c r="AB791" s="1"/>
      <c r="AC791" s="331">
        <v>784</v>
      </c>
      <c r="AD791" s="544">
        <f>+DATE(YEAR(AD790),MONTH(AD790)-1,DAY(AD790))</f>
        <v>25569.041666666668</v>
      </c>
      <c r="AE791" s="341">
        <f>IF($AM$7=$E791,1,IF(MONTH($E791)=1,AE792*(1+$F$5),AE792))</f>
      </c>
      <c r="AF791" s="334">
        <f>AE791*$B$8/12</f>
      </c>
      <c r="AG791" s="334">
        <f>AE791*$B$12/12</f>
      </c>
      <c r="AH791" s="565">
        <f>(1+$AI$5)^(AC791/12)*(AG791+IF(AD791=$AM$7,$AM$4,0))</f>
      </c>
      <c r="AI791" s="170"/>
      <c r="AJ791" s="7"/>
      <c r="AK791" s="1"/>
      <c r="AL791" s="1"/>
      <c r="AM791" s="1"/>
    </row>
    <row x14ac:dyDescent="0.25" r="792" customHeight="1" ht="18.75">
      <c r="A792" s="1"/>
      <c r="B792" s="169"/>
      <c r="C792" s="170"/>
      <c r="D792" s="331">
        <v>785</v>
      </c>
      <c r="E792" s="544">
        <f>+DATE(YEAR(E791),MONTH(E791)-1,DAY(E791))</f>
        <v>25569.041666666668</v>
      </c>
      <c r="F792" s="333">
        <f>IF($C$6=$E792,1,IF(MONTH($E792)=1,F793*(1+$F$5),F793))</f>
      </c>
      <c r="G792" s="333">
        <f>F792*$B$8/12</f>
      </c>
      <c r="H792" s="333">
        <f>IF(F792=1,F792*$B$10/MIN(12,'Simulador - 3º Pilar'!$E$88),0)</f>
      </c>
      <c r="I792" s="560">
        <f>(1+$G$5)^(D792/12)*(H792+IF(E792=$N$7,$N$4,0))</f>
      </c>
      <c r="J792" s="561">
        <f>(1+$G$5)^(D792/12)*(H792*(12-IF(MONTH(E793)=12,0,MONTH(E793)))+IF(AND(F792=1,F793=0),$Q$4,0))*IF(AND(F792=1,F793=0),1,0)</f>
      </c>
      <c r="K792" s="217">
        <f>(1+$G$5)^(D792/12)*(IF(E792=$N$7,$N$4,0)+IF(E792=$C$6,$B$10,0))</f>
      </c>
      <c r="L792" s="217">
        <f>(1+$G$5)^(D792/12)*(IF((E792)&gt;($B$6),H792,0)+IF(E792=$N$7,$N$4,0)+IF(E792=$C$6,0,0))</f>
      </c>
      <c r="M792" s="1"/>
      <c r="N792" s="7"/>
      <c r="O792" s="1"/>
      <c r="P792" s="331">
        <v>785</v>
      </c>
      <c r="Q792" s="544">
        <f>+DATE(YEAR(Q791),MONTH(Q791)-1,DAY(Q791))</f>
        <v>25569.041666666668</v>
      </c>
      <c r="R792" s="341">
        <f>IF($Z$7=$E792,1,IF(MONTH($E792)=1,R793*(1+$F$5),R793))</f>
      </c>
      <c r="S792" s="334">
        <f>R792*$B$8/12</f>
      </c>
      <c r="T792" s="334">
        <f>R792*$B$11/12</f>
      </c>
      <c r="U792" s="565">
        <f>(1+$V$5)^(P792/12)*(T792+IF(Q792=$Z$7,$Z$4,0))</f>
      </c>
      <c r="V792" s="170"/>
      <c r="W792" s="7"/>
      <c r="X792" s="1"/>
      <c r="Y792" s="1"/>
      <c r="Z792" s="1"/>
      <c r="AA792" s="1"/>
      <c r="AB792" s="1"/>
      <c r="AC792" s="331">
        <v>785</v>
      </c>
      <c r="AD792" s="544">
        <f>+DATE(YEAR(AD791),MONTH(AD791)-1,DAY(AD791))</f>
        <v>25569.041666666668</v>
      </c>
      <c r="AE792" s="341">
        <f>IF($AM$7=$E792,1,IF(MONTH($E792)=1,AE793*(1+$F$5),AE793))</f>
      </c>
      <c r="AF792" s="334">
        <f>AE792*$B$8/12</f>
      </c>
      <c r="AG792" s="334">
        <f>AE792*$B$12/12</f>
      </c>
      <c r="AH792" s="565">
        <f>(1+$AI$5)^(AC792/12)*(AG792+IF(AD792=$AM$7,$AM$4,0))</f>
      </c>
      <c r="AI792" s="170"/>
      <c r="AJ792" s="7"/>
      <c r="AK792" s="1"/>
      <c r="AL792" s="1"/>
      <c r="AM792" s="1"/>
    </row>
    <row x14ac:dyDescent="0.25" r="793" customHeight="1" ht="18.75">
      <c r="A793" s="1"/>
      <c r="B793" s="169"/>
      <c r="C793" s="170"/>
      <c r="D793" s="331">
        <v>786</v>
      </c>
      <c r="E793" s="544">
        <f>+DATE(YEAR(E792),MONTH(E792)-1,DAY(E792))</f>
        <v>25569.041666666668</v>
      </c>
      <c r="F793" s="333">
        <f>IF($C$6=$E793,1,IF(MONTH($E793)=1,F794*(1+$F$5),F794))</f>
      </c>
      <c r="G793" s="333">
        <f>F793*$B$8/12</f>
      </c>
      <c r="H793" s="333">
        <f>IF(F793=1,F793*$B$10/MIN(12,'Simulador - 3º Pilar'!$E$88),0)</f>
      </c>
      <c r="I793" s="560">
        <f>(1+$G$5)^(D793/12)*(H793+IF(E793=$N$7,$N$4,0))</f>
      </c>
      <c r="J793" s="561">
        <f>(1+$G$5)^(D793/12)*(H793*(12-IF(MONTH(E794)=12,0,MONTH(E794)))+IF(AND(F793=1,F794=0),$Q$4,0))*IF(AND(F793=1,F794=0),1,0)</f>
      </c>
      <c r="K793" s="217">
        <f>(1+$G$5)^(D793/12)*(IF(E793=$N$7,$N$4,0)+IF(E793=$C$6,$B$10,0))</f>
      </c>
      <c r="L793" s="217">
        <f>(1+$G$5)^(D793/12)*(IF((E793)&gt;($B$6),H793,0)+IF(E793=$N$7,$N$4,0)+IF(E793=$C$6,0,0))</f>
      </c>
      <c r="M793" s="1"/>
      <c r="N793" s="7"/>
      <c r="O793" s="1"/>
      <c r="P793" s="331">
        <v>786</v>
      </c>
      <c r="Q793" s="544">
        <f>+DATE(YEAR(Q792),MONTH(Q792)-1,DAY(Q792))</f>
        <v>25569.041666666668</v>
      </c>
      <c r="R793" s="341">
        <f>IF($Z$7=$E793,1,IF(MONTH($E793)=1,R794*(1+$F$5),R794))</f>
      </c>
      <c r="S793" s="334">
        <f>R793*$B$8/12</f>
      </c>
      <c r="T793" s="334">
        <f>R793*$B$11/12</f>
      </c>
      <c r="U793" s="565">
        <f>(1+$V$5)^(P793/12)*(T793+IF(Q793=$Z$7,$Z$4,0))</f>
      </c>
      <c r="V793" s="170"/>
      <c r="W793" s="7"/>
      <c r="X793" s="1"/>
      <c r="Y793" s="1"/>
      <c r="Z793" s="1"/>
      <c r="AA793" s="1"/>
      <c r="AB793" s="1"/>
      <c r="AC793" s="331">
        <v>786</v>
      </c>
      <c r="AD793" s="544">
        <f>+DATE(YEAR(AD792),MONTH(AD792)-1,DAY(AD792))</f>
        <v>25569.041666666668</v>
      </c>
      <c r="AE793" s="341">
        <f>IF($AM$7=$E793,1,IF(MONTH($E793)=1,AE794*(1+$F$5),AE794))</f>
      </c>
      <c r="AF793" s="334">
        <f>AE793*$B$8/12</f>
      </c>
      <c r="AG793" s="334">
        <f>AE793*$B$12/12</f>
      </c>
      <c r="AH793" s="565">
        <f>(1+$AI$5)^(AC793/12)*(AG793+IF(AD793=$AM$7,$AM$4,0))</f>
      </c>
      <c r="AI793" s="170"/>
      <c r="AJ793" s="7"/>
      <c r="AK793" s="1"/>
      <c r="AL793" s="1"/>
      <c r="AM793" s="1"/>
    </row>
    <row x14ac:dyDescent="0.25" r="794" customHeight="1" ht="18.75">
      <c r="A794" s="1"/>
      <c r="B794" s="169"/>
      <c r="C794" s="170"/>
      <c r="D794" s="331">
        <v>787</v>
      </c>
      <c r="E794" s="544">
        <f>+DATE(YEAR(E793),MONTH(E793)-1,DAY(E793))</f>
        <v>25569.041666666668</v>
      </c>
      <c r="F794" s="333">
        <f>IF($C$6=$E794,1,IF(MONTH($E794)=1,F795*(1+$F$5),F795))</f>
      </c>
      <c r="G794" s="333">
        <f>F794*$B$8/12</f>
      </c>
      <c r="H794" s="333">
        <f>IF(F794=1,F794*$B$10/MIN(12,'Simulador - 3º Pilar'!$E$88),0)</f>
      </c>
      <c r="I794" s="560">
        <f>(1+$G$5)^(D794/12)*(H794+IF(E794=$N$7,$N$4,0))</f>
      </c>
      <c r="J794" s="561">
        <f>(1+$G$5)^(D794/12)*(H794*(12-IF(MONTH(E795)=12,0,MONTH(E795)))+IF(AND(F794=1,F795=0),$Q$4,0))*IF(AND(F794=1,F795=0),1,0)</f>
      </c>
      <c r="K794" s="217">
        <f>(1+$G$5)^(D794/12)*(IF(E794=$N$7,$N$4,0)+IF(E794=$C$6,$B$10,0))</f>
      </c>
      <c r="L794" s="217">
        <f>(1+$G$5)^(D794/12)*(IF((E794)&gt;($B$6),H794,0)+IF(E794=$N$7,$N$4,0)+IF(E794=$C$6,0,0))</f>
      </c>
      <c r="M794" s="1"/>
      <c r="N794" s="7"/>
      <c r="O794" s="1"/>
      <c r="P794" s="331">
        <v>787</v>
      </c>
      <c r="Q794" s="544">
        <f>+DATE(YEAR(Q793),MONTH(Q793)-1,DAY(Q793))</f>
        <v>25569.041666666668</v>
      </c>
      <c r="R794" s="341">
        <f>IF($Z$7=$E794,1,IF(MONTH($E794)=1,R795*(1+$F$5),R795))</f>
      </c>
      <c r="S794" s="334">
        <f>R794*$B$8/12</f>
      </c>
      <c r="T794" s="334">
        <f>R794*$B$11/12</f>
      </c>
      <c r="U794" s="565">
        <f>(1+$V$5)^(P794/12)*(T794+IF(Q794=$Z$7,$Z$4,0))</f>
      </c>
      <c r="V794" s="170"/>
      <c r="W794" s="7"/>
      <c r="X794" s="1"/>
      <c r="Y794" s="1"/>
      <c r="Z794" s="1"/>
      <c r="AA794" s="1"/>
      <c r="AB794" s="1"/>
      <c r="AC794" s="331">
        <v>787</v>
      </c>
      <c r="AD794" s="544">
        <f>+DATE(YEAR(AD793),MONTH(AD793)-1,DAY(AD793))</f>
        <v>25569.041666666668</v>
      </c>
      <c r="AE794" s="341">
        <f>IF($AM$7=$E794,1,IF(MONTH($E794)=1,AE795*(1+$F$5),AE795))</f>
      </c>
      <c r="AF794" s="334">
        <f>AE794*$B$8/12</f>
      </c>
      <c r="AG794" s="334">
        <f>AE794*$B$12/12</f>
      </c>
      <c r="AH794" s="565">
        <f>(1+$AI$5)^(AC794/12)*(AG794+IF(AD794=$AM$7,$AM$4,0))</f>
      </c>
      <c r="AI794" s="170"/>
      <c r="AJ794" s="7"/>
      <c r="AK794" s="1"/>
      <c r="AL794" s="1"/>
      <c r="AM794" s="1"/>
    </row>
    <row x14ac:dyDescent="0.25" r="795" customHeight="1" ht="18.75">
      <c r="A795" s="1"/>
      <c r="B795" s="169"/>
      <c r="C795" s="170"/>
      <c r="D795" s="331">
        <v>788</v>
      </c>
      <c r="E795" s="544">
        <f>+DATE(YEAR(E794),MONTH(E794)-1,DAY(E794))</f>
        <v>25569.041666666668</v>
      </c>
      <c r="F795" s="333">
        <f>IF($C$6=$E795,1,IF(MONTH($E795)=1,F796*(1+$F$5),F796))</f>
      </c>
      <c r="G795" s="333">
        <f>F795*$B$8/12</f>
      </c>
      <c r="H795" s="333">
        <f>IF(F795=1,F795*$B$10/MIN(12,'Simulador - 3º Pilar'!$E$88),0)</f>
      </c>
      <c r="I795" s="560">
        <f>(1+$G$5)^(D795/12)*(H795+IF(E795=$N$7,$N$4,0))</f>
      </c>
      <c r="J795" s="561">
        <f>(1+$G$5)^(D795/12)*(H795*(12-IF(MONTH(E796)=12,0,MONTH(E796)))+IF(AND(F795=1,F796=0),$Q$4,0))*IF(AND(F795=1,F796=0),1,0)</f>
      </c>
      <c r="K795" s="217">
        <f>(1+$G$5)^(D795/12)*(IF(E795=$N$7,$N$4,0)+IF(E795=$C$6,$B$10,0))</f>
      </c>
      <c r="L795" s="217">
        <f>(1+$G$5)^(D795/12)*(IF((E795)&gt;($B$6),H795,0)+IF(E795=$N$7,$N$4,0)+IF(E795=$C$6,0,0))</f>
      </c>
      <c r="M795" s="1"/>
      <c r="N795" s="7"/>
      <c r="O795" s="1"/>
      <c r="P795" s="331">
        <v>788</v>
      </c>
      <c r="Q795" s="544">
        <f>+DATE(YEAR(Q794),MONTH(Q794)-1,DAY(Q794))</f>
        <v>25569.041666666668</v>
      </c>
      <c r="R795" s="341">
        <f>IF($Z$7=$E795,1,IF(MONTH($E795)=1,R796*(1+$F$5),R796))</f>
      </c>
      <c r="S795" s="334">
        <f>R795*$B$8/12</f>
      </c>
      <c r="T795" s="334">
        <f>R795*$B$11/12</f>
      </c>
      <c r="U795" s="565">
        <f>(1+$V$5)^(P795/12)*(T795+IF(Q795=$Z$7,$Z$4,0))</f>
      </c>
      <c r="V795" s="170"/>
      <c r="W795" s="7"/>
      <c r="X795" s="1"/>
      <c r="Y795" s="1"/>
      <c r="Z795" s="1"/>
      <c r="AA795" s="1"/>
      <c r="AB795" s="1"/>
      <c r="AC795" s="331">
        <v>788</v>
      </c>
      <c r="AD795" s="544">
        <f>+DATE(YEAR(AD794),MONTH(AD794)-1,DAY(AD794))</f>
        <v>25569.041666666668</v>
      </c>
      <c r="AE795" s="341">
        <f>IF($AM$7=$E795,1,IF(MONTH($E795)=1,AE796*(1+$F$5),AE796))</f>
      </c>
      <c r="AF795" s="334">
        <f>AE795*$B$8/12</f>
      </c>
      <c r="AG795" s="334">
        <f>AE795*$B$12/12</f>
      </c>
      <c r="AH795" s="565">
        <f>(1+$AI$5)^(AC795/12)*(AG795+IF(AD795=$AM$7,$AM$4,0))</f>
      </c>
      <c r="AI795" s="170"/>
      <c r="AJ795" s="7"/>
      <c r="AK795" s="1"/>
      <c r="AL795" s="1"/>
      <c r="AM795" s="1"/>
    </row>
    <row x14ac:dyDescent="0.25" r="796" customHeight="1" ht="18.75">
      <c r="A796" s="1"/>
      <c r="B796" s="169"/>
      <c r="C796" s="170"/>
      <c r="D796" s="331">
        <v>789</v>
      </c>
      <c r="E796" s="544">
        <f>+DATE(YEAR(E795),MONTH(E795)-1,DAY(E795))</f>
        <v>25569.041666666668</v>
      </c>
      <c r="F796" s="333">
        <f>IF($C$6=$E796,1,IF(MONTH($E796)=1,F797*(1+$F$5),F797))</f>
      </c>
      <c r="G796" s="333">
        <f>F796*$B$8/12</f>
      </c>
      <c r="H796" s="333">
        <f>IF(F796=1,F796*$B$10/MIN(12,'Simulador - 3º Pilar'!$E$88),0)</f>
      </c>
      <c r="I796" s="560">
        <f>(1+$G$5)^(D796/12)*(H796+IF(E796=$N$7,$N$4,0))</f>
      </c>
      <c r="J796" s="561">
        <f>(1+$G$5)^(D796/12)*(H796*(12-IF(MONTH(E797)=12,0,MONTH(E797)))+IF(AND(F796=1,F797=0),$Q$4,0))*IF(AND(F796=1,F797=0),1,0)</f>
      </c>
      <c r="K796" s="217">
        <f>(1+$G$5)^(D796/12)*(IF(E796=$N$7,$N$4,0)+IF(E796=$C$6,$B$10,0))</f>
      </c>
      <c r="L796" s="217">
        <f>(1+$G$5)^(D796/12)*(IF((E796)&gt;($B$6),H796,0)+IF(E796=$N$7,$N$4,0)+IF(E796=$C$6,0,0))</f>
      </c>
      <c r="M796" s="1"/>
      <c r="N796" s="7"/>
      <c r="O796" s="1"/>
      <c r="P796" s="331">
        <v>789</v>
      </c>
      <c r="Q796" s="544">
        <f>+DATE(YEAR(Q795),MONTH(Q795)-1,DAY(Q795))</f>
        <v>25569.041666666668</v>
      </c>
      <c r="R796" s="341">
        <f>IF($Z$7=$E796,1,IF(MONTH($E796)=1,R797*(1+$F$5),R797))</f>
      </c>
      <c r="S796" s="334">
        <f>R796*$B$8/12</f>
      </c>
      <c r="T796" s="334">
        <f>R796*$B$11/12</f>
      </c>
      <c r="U796" s="565">
        <f>(1+$V$5)^(P796/12)*(T796+IF(Q796=$Z$7,$Z$4,0))</f>
      </c>
      <c r="V796" s="170"/>
      <c r="W796" s="7"/>
      <c r="X796" s="1"/>
      <c r="Y796" s="1"/>
      <c r="Z796" s="1"/>
      <c r="AA796" s="1"/>
      <c r="AB796" s="1"/>
      <c r="AC796" s="331">
        <v>789</v>
      </c>
      <c r="AD796" s="544">
        <f>+DATE(YEAR(AD795),MONTH(AD795)-1,DAY(AD795))</f>
        <v>25569.041666666668</v>
      </c>
      <c r="AE796" s="341">
        <f>IF($AM$7=$E796,1,IF(MONTH($E796)=1,AE797*(1+$F$5),AE797))</f>
      </c>
      <c r="AF796" s="334">
        <f>AE796*$B$8/12</f>
      </c>
      <c r="AG796" s="334">
        <f>AE796*$B$12/12</f>
      </c>
      <c r="AH796" s="565">
        <f>(1+$AI$5)^(AC796/12)*(AG796+IF(AD796=$AM$7,$AM$4,0))</f>
      </c>
      <c r="AI796" s="170"/>
      <c r="AJ796" s="7"/>
      <c r="AK796" s="1"/>
      <c r="AL796" s="1"/>
      <c r="AM796" s="1"/>
    </row>
    <row x14ac:dyDescent="0.25" r="797" customHeight="1" ht="18.75">
      <c r="A797" s="1"/>
      <c r="B797" s="169"/>
      <c r="C797" s="170"/>
      <c r="D797" s="331">
        <v>790</v>
      </c>
      <c r="E797" s="544">
        <f>+DATE(YEAR(E796),MONTH(E796)-1,DAY(E796))</f>
        <v>25569.041666666668</v>
      </c>
      <c r="F797" s="333">
        <f>IF($C$6=$E797,1,IF(MONTH($E797)=1,F798*(1+$F$5),F798))</f>
      </c>
      <c r="G797" s="333">
        <f>F797*$B$8/12</f>
      </c>
      <c r="H797" s="333">
        <f>IF(F797=1,F797*$B$10/MIN(12,'Simulador - 3º Pilar'!$E$88),0)</f>
      </c>
      <c r="I797" s="560">
        <f>(1+$G$5)^(D797/12)*(H797+IF(E797=$N$7,$N$4,0))</f>
      </c>
      <c r="J797" s="561">
        <f>(1+$G$5)^(D797/12)*(H797*(12-IF(MONTH(E798)=12,0,MONTH(E798)))+IF(AND(F797=1,F798=0),$Q$4,0))*IF(AND(F797=1,F798=0),1,0)</f>
      </c>
      <c r="K797" s="217">
        <f>(1+$G$5)^(D797/12)*(IF(E797=$N$7,$N$4,0)+IF(E797=$C$6,$B$10,0))</f>
      </c>
      <c r="L797" s="217">
        <f>(1+$G$5)^(D797/12)*(IF((E797)&gt;($B$6),H797,0)+IF(E797=$N$7,$N$4,0)+IF(E797=$C$6,0,0))</f>
      </c>
      <c r="M797" s="1"/>
      <c r="N797" s="7"/>
      <c r="O797" s="1"/>
      <c r="P797" s="331">
        <v>790</v>
      </c>
      <c r="Q797" s="544">
        <f>+DATE(YEAR(Q796),MONTH(Q796)-1,DAY(Q796))</f>
        <v>25569.041666666668</v>
      </c>
      <c r="R797" s="341">
        <f>IF($Z$7=$E797,1,IF(MONTH($E797)=1,R798*(1+$F$5),R798))</f>
      </c>
      <c r="S797" s="334">
        <f>R797*$B$8/12</f>
      </c>
      <c r="T797" s="334">
        <f>R797*$B$11/12</f>
      </c>
      <c r="U797" s="565">
        <f>(1+$V$5)^(P797/12)*(T797+IF(Q797=$Z$7,$Z$4,0))</f>
      </c>
      <c r="V797" s="170"/>
      <c r="W797" s="7"/>
      <c r="X797" s="1"/>
      <c r="Y797" s="1"/>
      <c r="Z797" s="1"/>
      <c r="AA797" s="1"/>
      <c r="AB797" s="1"/>
      <c r="AC797" s="331">
        <v>790</v>
      </c>
      <c r="AD797" s="544">
        <f>+DATE(YEAR(AD796),MONTH(AD796)-1,DAY(AD796))</f>
        <v>25569.041666666668</v>
      </c>
      <c r="AE797" s="341">
        <f>IF($AM$7=$E797,1,IF(MONTH($E797)=1,AE798*(1+$F$5),AE798))</f>
      </c>
      <c r="AF797" s="334">
        <f>AE797*$B$8/12</f>
      </c>
      <c r="AG797" s="334">
        <f>AE797*$B$12/12</f>
      </c>
      <c r="AH797" s="565">
        <f>(1+$AI$5)^(AC797/12)*(AG797+IF(AD797=$AM$7,$AM$4,0))</f>
      </c>
      <c r="AI797" s="170"/>
      <c r="AJ797" s="7"/>
      <c r="AK797" s="1"/>
      <c r="AL797" s="1"/>
      <c r="AM797" s="1"/>
    </row>
    <row x14ac:dyDescent="0.25" r="798" customHeight="1" ht="18.75">
      <c r="A798" s="1"/>
      <c r="B798" s="169"/>
      <c r="C798" s="170"/>
      <c r="D798" s="331">
        <v>791</v>
      </c>
      <c r="E798" s="544">
        <f>+DATE(YEAR(E797),MONTH(E797)-1,DAY(E797))</f>
        <v>25569.041666666668</v>
      </c>
      <c r="F798" s="333">
        <f>IF($C$6=$E798,1,IF(MONTH($E798)=1,F799*(1+$F$5),F799))</f>
      </c>
      <c r="G798" s="333">
        <f>F798*$B$8/12</f>
      </c>
      <c r="H798" s="333">
        <f>IF(F798=1,F798*$B$10/MIN(12,'Simulador - 3º Pilar'!$E$88),0)</f>
      </c>
      <c r="I798" s="560">
        <f>(1+$G$5)^(D798/12)*(H798+IF(E798=$N$7,$N$4,0))</f>
      </c>
      <c r="J798" s="561">
        <f>(1+$G$5)^(D798/12)*(H798*(12-IF(MONTH(E799)=12,0,MONTH(E799)))+IF(AND(F798=1,F799=0),$Q$4,0))*IF(AND(F798=1,F799=0),1,0)</f>
      </c>
      <c r="K798" s="217">
        <f>(1+$G$5)^(D798/12)*(IF(E798=$N$7,$N$4,0)+IF(E798=$C$6,$B$10,0))</f>
      </c>
      <c r="L798" s="217">
        <f>(1+$G$5)^(D798/12)*(IF((E798)&gt;($B$6),H798,0)+IF(E798=$N$7,$N$4,0)+IF(E798=$C$6,0,0))</f>
      </c>
      <c r="M798" s="1"/>
      <c r="N798" s="7"/>
      <c r="O798" s="1"/>
      <c r="P798" s="331">
        <v>791</v>
      </c>
      <c r="Q798" s="544">
        <f>+DATE(YEAR(Q797),MONTH(Q797)-1,DAY(Q797))</f>
        <v>25569.041666666668</v>
      </c>
      <c r="R798" s="341">
        <f>IF($Z$7=$E798,1,IF(MONTH($E798)=1,R799*(1+$F$5),R799))</f>
      </c>
      <c r="S798" s="334">
        <f>R798*$B$8/12</f>
      </c>
      <c r="T798" s="334">
        <f>R798*$B$11/12</f>
      </c>
      <c r="U798" s="565">
        <f>(1+$V$5)^(P798/12)*(T798+IF(Q798=$Z$7,$Z$4,0))</f>
      </c>
      <c r="V798" s="170"/>
      <c r="W798" s="7"/>
      <c r="X798" s="1"/>
      <c r="Y798" s="1"/>
      <c r="Z798" s="1"/>
      <c r="AA798" s="1"/>
      <c r="AB798" s="1"/>
      <c r="AC798" s="331">
        <v>791</v>
      </c>
      <c r="AD798" s="544">
        <f>+DATE(YEAR(AD797),MONTH(AD797)-1,DAY(AD797))</f>
        <v>25569.041666666668</v>
      </c>
      <c r="AE798" s="341">
        <f>IF($AM$7=$E798,1,IF(MONTH($E798)=1,AE799*(1+$F$5),AE799))</f>
      </c>
      <c r="AF798" s="334">
        <f>AE798*$B$8/12</f>
      </c>
      <c r="AG798" s="334">
        <f>AE798*$B$12/12</f>
      </c>
      <c r="AH798" s="565">
        <f>(1+$AI$5)^(AC798/12)*(AG798+IF(AD798=$AM$7,$AM$4,0))</f>
      </c>
      <c r="AI798" s="170"/>
      <c r="AJ798" s="7"/>
      <c r="AK798" s="1"/>
      <c r="AL798" s="1"/>
      <c r="AM798" s="1"/>
    </row>
    <row x14ac:dyDescent="0.25" r="799" customHeight="1" ht="18.75">
      <c r="A799" s="1"/>
      <c r="B799" s="169"/>
      <c r="C799" s="170"/>
      <c r="D799" s="331">
        <v>792</v>
      </c>
      <c r="E799" s="544">
        <f>+DATE(YEAR(E798),MONTH(E798)-1,DAY(E798))</f>
        <v>25569.041666666668</v>
      </c>
      <c r="F799" s="333">
        <f>IF($C$6=$E799,1,IF(MONTH($E799)=1,F800*(1+$F$5),F800))</f>
      </c>
      <c r="G799" s="333">
        <f>F799*$B$8/12</f>
      </c>
      <c r="H799" s="333">
        <f>IF(F799=1,F799*$B$10/MIN(12,'Simulador - 3º Pilar'!$E$88),0)</f>
      </c>
      <c r="I799" s="560">
        <f>(1+$G$5)^(D799/12)*(H799+IF(E799=$N$7,$N$4,0))</f>
      </c>
      <c r="J799" s="561">
        <f>(1+$G$5)^(D799/12)*(H799*(12-IF(MONTH(E800)=12,0,MONTH(E800)))+IF(AND(F799=1,F800=0),$Q$4,0))*IF(AND(F799=1,F800=0),1,0)</f>
      </c>
      <c r="K799" s="217">
        <f>(1+$G$5)^(D799/12)*(IF(E799=$N$7,$N$4,0)+IF(E799=$C$6,$B$10,0))</f>
      </c>
      <c r="L799" s="217">
        <f>(1+$G$5)^(D799/12)*(IF((E799)&gt;($B$6),H799,0)+IF(E799=$N$7,$N$4,0)+IF(E799=$C$6,0,0))</f>
      </c>
      <c r="M799" s="1"/>
      <c r="N799" s="7"/>
      <c r="O799" s="1"/>
      <c r="P799" s="331">
        <v>792</v>
      </c>
      <c r="Q799" s="544">
        <f>+DATE(YEAR(Q798),MONTH(Q798)-1,DAY(Q798))</f>
        <v>25569.041666666668</v>
      </c>
      <c r="R799" s="341">
        <f>IF($Z$7=$E799,1,IF(MONTH($E799)=1,R800*(1+$F$5),R800))</f>
      </c>
      <c r="S799" s="334">
        <f>R799*$B$8/12</f>
      </c>
      <c r="T799" s="334">
        <f>R799*$B$11/12</f>
      </c>
      <c r="U799" s="565">
        <f>(1+$V$5)^(P799/12)*(T799+IF(Q799=$Z$7,$Z$4,0))</f>
      </c>
      <c r="V799" s="170"/>
      <c r="W799" s="7"/>
      <c r="X799" s="1"/>
      <c r="Y799" s="1"/>
      <c r="Z799" s="1"/>
      <c r="AA799" s="1"/>
      <c r="AB799" s="1"/>
      <c r="AC799" s="331">
        <v>792</v>
      </c>
      <c r="AD799" s="544">
        <f>+DATE(YEAR(AD798),MONTH(AD798)-1,DAY(AD798))</f>
        <v>25569.041666666668</v>
      </c>
      <c r="AE799" s="341">
        <f>IF($AM$7=$E799,1,IF(MONTH($E799)=1,AE800*(1+$F$5),AE800))</f>
      </c>
      <c r="AF799" s="334">
        <f>AE799*$B$8/12</f>
      </c>
      <c r="AG799" s="334">
        <f>AE799*$B$12/12</f>
      </c>
      <c r="AH799" s="565">
        <f>(1+$AI$5)^(AC799/12)*(AG799+IF(AD799=$AM$7,$AM$4,0))</f>
      </c>
      <c r="AI799" s="170"/>
      <c r="AJ799" s="7"/>
      <c r="AK799" s="1"/>
      <c r="AL799" s="1"/>
      <c r="AM799" s="1"/>
    </row>
    <row x14ac:dyDescent="0.25" r="800" customHeight="1" ht="18.75">
      <c r="A800" s="1"/>
      <c r="B800" s="169"/>
      <c r="C800" s="170"/>
      <c r="D800" s="331">
        <v>793</v>
      </c>
      <c r="E800" s="544">
        <f>+DATE(YEAR(E799),MONTH(E799)-1,DAY(E799))</f>
        <v>25569.041666666668</v>
      </c>
      <c r="F800" s="333">
        <f>IF($C$6=$E800,1,IF(MONTH($E800)=1,F801*(1+$F$5),F801))</f>
      </c>
      <c r="G800" s="333">
        <f>F800*$B$8/12</f>
      </c>
      <c r="H800" s="333">
        <f>IF(F800=1,F800*$B$10/MIN(12,'Simulador - 3º Pilar'!$E$88),0)</f>
      </c>
      <c r="I800" s="560">
        <f>(1+$G$5)^(D800/12)*(H800+IF(E800=$N$7,$N$4,0))</f>
      </c>
      <c r="J800" s="561">
        <f>(1+$G$5)^(D800/12)*(H800*(12-IF(MONTH(E801)=12,0,MONTH(E801)))+IF(AND(F800=1,F801=0),$Q$4,0))*IF(AND(F800=1,F801=0),1,0)</f>
      </c>
      <c r="K800" s="217">
        <f>(1+$G$5)^(D800/12)*(IF(E800=$N$7,$N$4,0)+IF(E800=$C$6,$B$10,0))</f>
      </c>
      <c r="L800" s="217">
        <f>(1+$G$5)^(D800/12)*(IF((E800)&gt;($B$6),H800,0)+IF(E800=$N$7,$N$4,0)+IF(E800=$C$6,0,0))</f>
      </c>
      <c r="M800" s="1"/>
      <c r="N800" s="7"/>
      <c r="O800" s="1"/>
      <c r="P800" s="331">
        <v>793</v>
      </c>
      <c r="Q800" s="544">
        <f>+DATE(YEAR(Q799),MONTH(Q799)-1,DAY(Q799))</f>
        <v>25569.041666666668</v>
      </c>
      <c r="R800" s="341">
        <f>IF($Z$7=$E800,1,IF(MONTH($E800)=1,R801*(1+$F$5),R801))</f>
      </c>
      <c r="S800" s="334">
        <f>R800*$B$8/12</f>
      </c>
      <c r="T800" s="334">
        <f>R800*$B$11/12</f>
      </c>
      <c r="U800" s="565">
        <f>(1+$V$5)^(P800/12)*(T800+IF(Q800=$Z$7,$Z$4,0))</f>
      </c>
      <c r="V800" s="170"/>
      <c r="W800" s="7"/>
      <c r="X800" s="1"/>
      <c r="Y800" s="1"/>
      <c r="Z800" s="1"/>
      <c r="AA800" s="1"/>
      <c r="AB800" s="1"/>
      <c r="AC800" s="331">
        <v>793</v>
      </c>
      <c r="AD800" s="544">
        <f>+DATE(YEAR(AD799),MONTH(AD799)-1,DAY(AD799))</f>
        <v>25569.041666666668</v>
      </c>
      <c r="AE800" s="341">
        <f>IF($AM$7=$E800,1,IF(MONTH($E800)=1,AE801*(1+$F$5),AE801))</f>
      </c>
      <c r="AF800" s="334">
        <f>AE800*$B$8/12</f>
      </c>
      <c r="AG800" s="334">
        <f>AE800*$B$12/12</f>
      </c>
      <c r="AH800" s="565">
        <f>(1+$AI$5)^(AC800/12)*(AG800+IF(AD800=$AM$7,$AM$4,0))</f>
      </c>
      <c r="AI800" s="170"/>
      <c r="AJ800" s="7"/>
      <c r="AK800" s="1"/>
      <c r="AL800" s="1"/>
      <c r="AM800" s="1"/>
    </row>
    <row x14ac:dyDescent="0.25" r="801" customHeight="1" ht="18.75">
      <c r="A801" s="1"/>
      <c r="B801" s="169"/>
      <c r="C801" s="170"/>
      <c r="D801" s="331">
        <v>794</v>
      </c>
      <c r="E801" s="544">
        <f>+DATE(YEAR(E800),MONTH(E800)-1,DAY(E800))</f>
        <v>25569.041666666668</v>
      </c>
      <c r="F801" s="333">
        <f>IF($C$6=$E801,1,IF(MONTH($E801)=1,F802*(1+$F$5),F802))</f>
      </c>
      <c r="G801" s="333">
        <f>F801*$B$8/12</f>
      </c>
      <c r="H801" s="333">
        <f>IF(F801=1,F801*$B$10/MIN(12,'Simulador - 3º Pilar'!$E$88),0)</f>
      </c>
      <c r="I801" s="560">
        <f>(1+$G$5)^(D801/12)*(H801+IF(E801=$N$7,$N$4,0))</f>
      </c>
      <c r="J801" s="561">
        <f>(1+$G$5)^(D801/12)*(H801*(12-IF(MONTH(E802)=12,0,MONTH(E802)))+IF(AND(F801=1,F802=0),$Q$4,0))*IF(AND(F801=1,F802=0),1,0)</f>
      </c>
      <c r="K801" s="217">
        <f>(1+$G$5)^(D801/12)*(IF(E801=$N$7,$N$4,0)+IF(E801=$C$6,$B$10,0))</f>
      </c>
      <c r="L801" s="217">
        <f>(1+$G$5)^(D801/12)*(IF((E801)&gt;($B$6),H801,0)+IF(E801=$N$7,$N$4,0)+IF(E801=$C$6,0,0))</f>
      </c>
      <c r="M801" s="1"/>
      <c r="N801" s="7"/>
      <c r="O801" s="1"/>
      <c r="P801" s="331">
        <v>794</v>
      </c>
      <c r="Q801" s="544">
        <f>+DATE(YEAR(Q800),MONTH(Q800)-1,DAY(Q800))</f>
        <v>25569.041666666668</v>
      </c>
      <c r="R801" s="341">
        <f>IF($Z$7=$E801,1,IF(MONTH($E801)=1,R802*(1+$F$5),R802))</f>
      </c>
      <c r="S801" s="334">
        <f>R801*$B$8/12</f>
      </c>
      <c r="T801" s="334">
        <f>R801*$B$11/12</f>
      </c>
      <c r="U801" s="565">
        <f>(1+$V$5)^(P801/12)*(T801+IF(Q801=$Z$7,$Z$4,0))</f>
      </c>
      <c r="V801" s="170"/>
      <c r="W801" s="7"/>
      <c r="X801" s="1"/>
      <c r="Y801" s="1"/>
      <c r="Z801" s="1"/>
      <c r="AA801" s="1"/>
      <c r="AB801" s="1"/>
      <c r="AC801" s="331">
        <v>794</v>
      </c>
      <c r="AD801" s="544">
        <f>+DATE(YEAR(AD800),MONTH(AD800)-1,DAY(AD800))</f>
        <v>25569.041666666668</v>
      </c>
      <c r="AE801" s="341">
        <f>IF($AM$7=$E801,1,IF(MONTH($E801)=1,AE802*(1+$F$5),AE802))</f>
      </c>
      <c r="AF801" s="334">
        <f>AE801*$B$8/12</f>
      </c>
      <c r="AG801" s="334">
        <f>AE801*$B$12/12</f>
      </c>
      <c r="AH801" s="565">
        <f>(1+$AI$5)^(AC801/12)*(AG801+IF(AD801=$AM$7,$AM$4,0))</f>
      </c>
      <c r="AI801" s="170"/>
      <c r="AJ801" s="7"/>
      <c r="AK801" s="1"/>
      <c r="AL801" s="1"/>
      <c r="AM801" s="1"/>
    </row>
    <row x14ac:dyDescent="0.25" r="802" customHeight="1" ht="18.75">
      <c r="A802" s="1"/>
      <c r="B802" s="169"/>
      <c r="C802" s="170"/>
      <c r="D802" s="331">
        <v>795</v>
      </c>
      <c r="E802" s="544">
        <f>+DATE(YEAR(E801),MONTH(E801)-1,DAY(E801))</f>
        <v>25569.041666666668</v>
      </c>
      <c r="F802" s="333">
        <f>IF($C$6=$E802,1,IF(MONTH($E802)=1,F803*(1+$F$5),F803))</f>
      </c>
      <c r="G802" s="333">
        <f>F802*$B$8/12</f>
      </c>
      <c r="H802" s="333">
        <f>IF(F802=1,F802*$B$10/MIN(12,'Simulador - 3º Pilar'!$E$88),0)</f>
      </c>
      <c r="I802" s="560">
        <f>(1+$G$5)^(D802/12)*(H802+IF(E802=$N$7,$N$4,0))</f>
      </c>
      <c r="J802" s="561">
        <f>(1+$G$5)^(D802/12)*(H802*(12-IF(MONTH(E803)=12,0,MONTH(E803)))+IF(AND(F802=1,F803=0),$Q$4,0))*IF(AND(F802=1,F803=0),1,0)</f>
      </c>
      <c r="K802" s="217">
        <f>(1+$G$5)^(D802/12)*(IF(E802=$N$7,$N$4,0)+IF(E802=$C$6,$B$10,0))</f>
      </c>
      <c r="L802" s="217">
        <f>(1+$G$5)^(D802/12)*(IF((E802)&gt;($B$6),H802,0)+IF(E802=$N$7,$N$4,0)+IF(E802=$C$6,0,0))</f>
      </c>
      <c r="M802" s="1"/>
      <c r="N802" s="7"/>
      <c r="O802" s="1"/>
      <c r="P802" s="331">
        <v>795</v>
      </c>
      <c r="Q802" s="544">
        <f>+DATE(YEAR(Q801),MONTH(Q801)-1,DAY(Q801))</f>
        <v>25569.041666666668</v>
      </c>
      <c r="R802" s="341">
        <f>IF($Z$7=$E802,1,IF(MONTH($E802)=1,R803*(1+$F$5),R803))</f>
      </c>
      <c r="S802" s="334">
        <f>R802*$B$8/12</f>
      </c>
      <c r="T802" s="334">
        <f>R802*$B$11/12</f>
      </c>
      <c r="U802" s="565">
        <f>(1+$V$5)^(P802/12)*(T802+IF(Q802=$Z$7,$Z$4,0))</f>
      </c>
      <c r="V802" s="170"/>
      <c r="W802" s="7"/>
      <c r="X802" s="1"/>
      <c r="Y802" s="1"/>
      <c r="Z802" s="1"/>
      <c r="AA802" s="1"/>
      <c r="AB802" s="1"/>
      <c r="AC802" s="331">
        <v>795</v>
      </c>
      <c r="AD802" s="544">
        <f>+DATE(YEAR(AD801),MONTH(AD801)-1,DAY(AD801))</f>
        <v>25569.041666666668</v>
      </c>
      <c r="AE802" s="341">
        <f>IF($AM$7=$E802,1,IF(MONTH($E802)=1,AE803*(1+$F$5),AE803))</f>
      </c>
      <c r="AF802" s="334">
        <f>AE802*$B$8/12</f>
      </c>
      <c r="AG802" s="334">
        <f>AE802*$B$12/12</f>
      </c>
      <c r="AH802" s="565">
        <f>(1+$AI$5)^(AC802/12)*(AG802+IF(AD802=$AM$7,$AM$4,0))</f>
      </c>
      <c r="AI802" s="170"/>
      <c r="AJ802" s="7"/>
      <c r="AK802" s="1"/>
      <c r="AL802" s="1"/>
      <c r="AM802" s="1"/>
    </row>
    <row x14ac:dyDescent="0.25" r="803" customHeight="1" ht="18.75">
      <c r="A803" s="1"/>
      <c r="B803" s="169"/>
      <c r="C803" s="170"/>
      <c r="D803" s="331">
        <v>796</v>
      </c>
      <c r="E803" s="544">
        <f>+DATE(YEAR(E802),MONTH(E802)-1,DAY(E802))</f>
        <v>25569.041666666668</v>
      </c>
      <c r="F803" s="333">
        <f>IF($C$6=$E803,1,IF(MONTH($E803)=1,F804*(1+$F$5),F804))</f>
      </c>
      <c r="G803" s="333">
        <f>F803*$B$8/12</f>
      </c>
      <c r="H803" s="333">
        <f>IF(F803=1,F803*$B$10/MIN(12,'Simulador - 3º Pilar'!$E$88),0)</f>
      </c>
      <c r="I803" s="560">
        <f>(1+$G$5)^(D803/12)*(H803+IF(E803=$N$7,$N$4,0))</f>
      </c>
      <c r="J803" s="561">
        <f>(1+$G$5)^(D803/12)*(H803*(12-IF(MONTH(E804)=12,0,MONTH(E804)))+IF(AND(F803=1,F804=0),$Q$4,0))*IF(AND(F803=1,F804=0),1,0)</f>
      </c>
      <c r="K803" s="217">
        <f>(1+$G$5)^(D803/12)*(IF(E803=$N$7,$N$4,0)+IF(E803=$C$6,$B$10,0))</f>
      </c>
      <c r="L803" s="217">
        <f>(1+$G$5)^(D803/12)*(IF((E803)&gt;($B$6),H803,0)+IF(E803=$N$7,$N$4,0)+IF(E803=$C$6,0,0))</f>
      </c>
      <c r="M803" s="1"/>
      <c r="N803" s="7"/>
      <c r="O803" s="1"/>
      <c r="P803" s="331">
        <v>796</v>
      </c>
      <c r="Q803" s="544">
        <f>+DATE(YEAR(Q802),MONTH(Q802)-1,DAY(Q802))</f>
        <v>25569.041666666668</v>
      </c>
      <c r="R803" s="341">
        <f>IF($Z$7=$E803,1,IF(MONTH($E803)=1,R804*(1+$F$5),R804))</f>
      </c>
      <c r="S803" s="334">
        <f>R803*$B$8/12</f>
      </c>
      <c r="T803" s="334">
        <f>R803*$B$11/12</f>
      </c>
      <c r="U803" s="565">
        <f>(1+$V$5)^(P803/12)*(T803+IF(Q803=$Z$7,$Z$4,0))</f>
      </c>
      <c r="V803" s="170"/>
      <c r="W803" s="7"/>
      <c r="X803" s="1"/>
      <c r="Y803" s="1"/>
      <c r="Z803" s="1"/>
      <c r="AA803" s="1"/>
      <c r="AB803" s="1"/>
      <c r="AC803" s="331">
        <v>796</v>
      </c>
      <c r="AD803" s="544">
        <f>+DATE(YEAR(AD802),MONTH(AD802)-1,DAY(AD802))</f>
        <v>25569.041666666668</v>
      </c>
      <c r="AE803" s="341">
        <f>IF($AM$7=$E803,1,IF(MONTH($E803)=1,AE804*(1+$F$5),AE804))</f>
      </c>
      <c r="AF803" s="334">
        <f>AE803*$B$8/12</f>
      </c>
      <c r="AG803" s="334">
        <f>AE803*$B$12/12</f>
      </c>
      <c r="AH803" s="565">
        <f>(1+$AI$5)^(AC803/12)*(AG803+IF(AD803=$AM$7,$AM$4,0))</f>
      </c>
      <c r="AI803" s="170"/>
      <c r="AJ803" s="7"/>
      <c r="AK803" s="1"/>
      <c r="AL803" s="1"/>
      <c r="AM803" s="1"/>
    </row>
    <row x14ac:dyDescent="0.25" r="804" customHeight="1" ht="18.75">
      <c r="A804" s="1"/>
      <c r="B804" s="169"/>
      <c r="C804" s="170"/>
      <c r="D804" s="331">
        <v>797</v>
      </c>
      <c r="E804" s="544">
        <f>+DATE(YEAR(E803),MONTH(E803)-1,DAY(E803))</f>
        <v>25569.041666666668</v>
      </c>
      <c r="F804" s="333">
        <f>IF($C$6=$E804,1,IF(MONTH($E804)=1,F805*(1+$F$5),F805))</f>
      </c>
      <c r="G804" s="333">
        <f>F804*$B$8/12</f>
      </c>
      <c r="H804" s="333">
        <f>IF(F804=1,F804*$B$10/MIN(12,'Simulador - 3º Pilar'!$E$88),0)</f>
      </c>
      <c r="I804" s="560">
        <f>(1+$G$5)^(D804/12)*(H804+IF(E804=$N$7,$N$4,0))</f>
      </c>
      <c r="J804" s="561">
        <f>(1+$G$5)^(D804/12)*(H804*(12-IF(MONTH(E805)=12,0,MONTH(E805)))+IF(AND(F804=1,F805=0),$Q$4,0))*IF(AND(F804=1,F805=0),1,0)</f>
      </c>
      <c r="K804" s="217">
        <f>(1+$G$5)^(D804/12)*(IF(E804=$N$7,$N$4,0)+IF(E804=$C$6,$B$10,0))</f>
      </c>
      <c r="L804" s="217">
        <f>(1+$G$5)^(D804/12)*(IF((E804)&gt;($B$6),H804,0)+IF(E804=$N$7,$N$4,0)+IF(E804=$C$6,0,0))</f>
      </c>
      <c r="M804" s="1"/>
      <c r="N804" s="7"/>
      <c r="O804" s="1"/>
      <c r="P804" s="331">
        <v>797</v>
      </c>
      <c r="Q804" s="544">
        <f>+DATE(YEAR(Q803),MONTH(Q803)-1,DAY(Q803))</f>
        <v>25569.041666666668</v>
      </c>
      <c r="R804" s="341">
        <f>IF($Z$7=$E804,1,IF(MONTH($E804)=1,R805*(1+$F$5),R805))</f>
      </c>
      <c r="S804" s="334">
        <f>R804*$B$8/12</f>
      </c>
      <c r="T804" s="334">
        <f>R804*$B$11/12</f>
      </c>
      <c r="U804" s="565">
        <f>(1+$V$5)^(P804/12)*(T804+IF(Q804=$Z$7,$Z$4,0))</f>
      </c>
      <c r="V804" s="170"/>
      <c r="W804" s="7"/>
      <c r="X804" s="1"/>
      <c r="Y804" s="1"/>
      <c r="Z804" s="1"/>
      <c r="AA804" s="1"/>
      <c r="AB804" s="1"/>
      <c r="AC804" s="331">
        <v>797</v>
      </c>
      <c r="AD804" s="544">
        <f>+DATE(YEAR(AD803),MONTH(AD803)-1,DAY(AD803))</f>
        <v>25569.041666666668</v>
      </c>
      <c r="AE804" s="341">
        <f>IF($AM$7=$E804,1,IF(MONTH($E804)=1,AE805*(1+$F$5),AE805))</f>
      </c>
      <c r="AF804" s="334">
        <f>AE804*$B$8/12</f>
      </c>
      <c r="AG804" s="334">
        <f>AE804*$B$12/12</f>
      </c>
      <c r="AH804" s="565">
        <f>(1+$AI$5)^(AC804/12)*(AG804+IF(AD804=$AM$7,$AM$4,0))</f>
      </c>
      <c r="AI804" s="170"/>
      <c r="AJ804" s="7"/>
      <c r="AK804" s="1"/>
      <c r="AL804" s="1"/>
      <c r="AM804" s="1"/>
    </row>
    <row x14ac:dyDescent="0.25" r="805" customHeight="1" ht="18.75">
      <c r="A805" s="1"/>
      <c r="B805" s="169"/>
      <c r="C805" s="170"/>
      <c r="D805" s="331">
        <v>798</v>
      </c>
      <c r="E805" s="544">
        <f>+DATE(YEAR(E804),MONTH(E804)-1,DAY(E804))</f>
        <v>25569.041666666668</v>
      </c>
      <c r="F805" s="333">
        <f>IF($C$6=$E805,1,IF(MONTH($E805)=1,F806*(1+$F$5),F806))</f>
      </c>
      <c r="G805" s="333">
        <f>F805*$B$8/12</f>
      </c>
      <c r="H805" s="333">
        <f>IF(F805=1,F805*$B$10/MIN(12,'Simulador - 3º Pilar'!$E$88),0)</f>
      </c>
      <c r="I805" s="560">
        <f>(1+$G$5)^(D805/12)*(H805+IF(E805=$N$7,$N$4,0))</f>
      </c>
      <c r="J805" s="561">
        <f>(1+$G$5)^(D805/12)*(H805*(12-IF(MONTH(E806)=12,0,MONTH(E806)))+IF(AND(F805=1,F806=0),$Q$4,0))*IF(AND(F805=1,F806=0),1,0)</f>
      </c>
      <c r="K805" s="217">
        <f>(1+$G$5)^(D805/12)*(IF(E805=$N$7,$N$4,0)+IF(E805=$C$6,$B$10,0))</f>
      </c>
      <c r="L805" s="217">
        <f>(1+$G$5)^(D805/12)*(IF((E805)&gt;($B$6),H805,0)+IF(E805=$N$7,$N$4,0)+IF(E805=$C$6,0,0))</f>
      </c>
      <c r="M805" s="1"/>
      <c r="N805" s="7"/>
      <c r="O805" s="1"/>
      <c r="P805" s="331">
        <v>798</v>
      </c>
      <c r="Q805" s="544">
        <f>+DATE(YEAR(Q804),MONTH(Q804)-1,DAY(Q804))</f>
        <v>25569.041666666668</v>
      </c>
      <c r="R805" s="341">
        <f>IF($Z$7=$E805,1,IF(MONTH($E805)=1,R806*(1+$F$5),R806))</f>
      </c>
      <c r="S805" s="334">
        <f>R805*$B$8/12</f>
      </c>
      <c r="T805" s="334">
        <f>R805*$B$11/12</f>
      </c>
      <c r="U805" s="565">
        <f>(1+$V$5)^(P805/12)*(T805+IF(Q805=$Z$7,$Z$4,0))</f>
      </c>
      <c r="V805" s="170"/>
      <c r="W805" s="7"/>
      <c r="X805" s="1"/>
      <c r="Y805" s="1"/>
      <c r="Z805" s="1"/>
      <c r="AA805" s="1"/>
      <c r="AB805" s="1"/>
      <c r="AC805" s="331">
        <v>798</v>
      </c>
      <c r="AD805" s="544">
        <f>+DATE(YEAR(AD804),MONTH(AD804)-1,DAY(AD804))</f>
        <v>25569.041666666668</v>
      </c>
      <c r="AE805" s="341">
        <f>IF($AM$7=$E805,1,IF(MONTH($E805)=1,AE806*(1+$F$5),AE806))</f>
      </c>
      <c r="AF805" s="334">
        <f>AE805*$B$8/12</f>
      </c>
      <c r="AG805" s="334">
        <f>AE805*$B$12/12</f>
      </c>
      <c r="AH805" s="565">
        <f>(1+$AI$5)^(AC805/12)*(AG805+IF(AD805=$AM$7,$AM$4,0))</f>
      </c>
      <c r="AI805" s="170"/>
      <c r="AJ805" s="7"/>
      <c r="AK805" s="1"/>
      <c r="AL805" s="1"/>
      <c r="AM805" s="1"/>
    </row>
    <row x14ac:dyDescent="0.25" r="806" customHeight="1" ht="18.75">
      <c r="A806" s="1"/>
      <c r="B806" s="169"/>
      <c r="C806" s="170"/>
      <c r="D806" s="331">
        <v>799</v>
      </c>
      <c r="E806" s="544">
        <f>+DATE(YEAR(E805),MONTH(E805)-1,DAY(E805))</f>
        <v>25569.041666666668</v>
      </c>
      <c r="F806" s="333">
        <f>IF($C$6=$E806,1,IF(MONTH($E806)=1,F807*(1+$F$5),F807))</f>
      </c>
      <c r="G806" s="333">
        <f>F806*$B$8/12</f>
      </c>
      <c r="H806" s="333">
        <f>IF(F806=1,F806*$B$10/MIN(12,'Simulador - 3º Pilar'!$E$88),0)</f>
      </c>
      <c r="I806" s="560">
        <f>(1+$G$5)^(D806/12)*(H806+IF(E806=$N$7,$N$4,0))</f>
      </c>
      <c r="J806" s="561">
        <f>(1+$G$5)^(D806/12)*(H806*(12-IF(MONTH(E807)=12,0,MONTH(E807)))+IF(AND(F806=1,F807=0),$Q$4,0))*IF(AND(F806=1,F807=0),1,0)</f>
      </c>
      <c r="K806" s="217">
        <f>(1+$G$5)^(D806/12)*(IF(E806=$N$7,$N$4,0)+IF(E806=$C$6,$B$10,0))</f>
      </c>
      <c r="L806" s="217">
        <f>(1+$G$5)^(D806/12)*(IF((E806)&gt;($B$6),H806,0)+IF(E806=$N$7,$N$4,0)+IF(E806=$C$6,0,0))</f>
      </c>
      <c r="M806" s="1"/>
      <c r="N806" s="7"/>
      <c r="O806" s="1"/>
      <c r="P806" s="331">
        <v>799</v>
      </c>
      <c r="Q806" s="544">
        <f>+DATE(YEAR(Q805),MONTH(Q805)-1,DAY(Q805))</f>
        <v>25569.041666666668</v>
      </c>
      <c r="R806" s="341">
        <f>IF($Z$7=$E806,1,IF(MONTH($E806)=1,R807*(1+$F$5),R807))</f>
      </c>
      <c r="S806" s="334">
        <f>R806*$B$8/12</f>
      </c>
      <c r="T806" s="334">
        <f>R806*$B$11/12</f>
      </c>
      <c r="U806" s="565">
        <f>(1+$V$5)^(P806/12)*(T806+IF(Q806=$Z$7,$Z$4,0))</f>
      </c>
      <c r="V806" s="170"/>
      <c r="W806" s="7"/>
      <c r="X806" s="1"/>
      <c r="Y806" s="1"/>
      <c r="Z806" s="1"/>
      <c r="AA806" s="1"/>
      <c r="AB806" s="1"/>
      <c r="AC806" s="331">
        <v>799</v>
      </c>
      <c r="AD806" s="544">
        <f>+DATE(YEAR(AD805),MONTH(AD805)-1,DAY(AD805))</f>
        <v>25569.041666666668</v>
      </c>
      <c r="AE806" s="341">
        <f>IF($AM$7=$E806,1,IF(MONTH($E806)=1,AE807*(1+$F$5),AE807))</f>
      </c>
      <c r="AF806" s="334">
        <f>AE806*$B$8/12</f>
      </c>
      <c r="AG806" s="334">
        <f>AE806*$B$12/12</f>
      </c>
      <c r="AH806" s="565">
        <f>(1+$AI$5)^(AC806/12)*(AG806+IF(AD806=$AM$7,$AM$4,0))</f>
      </c>
      <c r="AI806" s="170"/>
      <c r="AJ806" s="7"/>
      <c r="AK806" s="1"/>
      <c r="AL806" s="1"/>
      <c r="AM806" s="1"/>
    </row>
    <row x14ac:dyDescent="0.25" r="807" customHeight="1" ht="18.75">
      <c r="A807" s="1"/>
      <c r="B807" s="169"/>
      <c r="C807" s="170"/>
      <c r="D807" s="331">
        <v>800</v>
      </c>
      <c r="E807" s="544">
        <f>+DATE(YEAR(E806),MONTH(E806)-1,DAY(E806))</f>
        <v>25569.041666666668</v>
      </c>
      <c r="F807" s="333">
        <f>IF($C$6=$E807,1,IF(MONTH($E807)=1,F808*(1+$F$5),F808))</f>
      </c>
      <c r="G807" s="333">
        <f>F807*$B$8/12</f>
      </c>
      <c r="H807" s="333">
        <f>IF(F807=1,F807*$B$10/MIN(12,'Simulador - 3º Pilar'!$E$88),0)</f>
      </c>
      <c r="I807" s="560">
        <f>(1+$G$5)^(D807/12)*(H807+IF(E807=$N$7,$N$4,0))</f>
      </c>
      <c r="J807" s="561">
        <f>(1+$G$5)^(D807/12)*(H807*(12-IF(MONTH(E808)=12,0,MONTH(E808)))+IF(AND(F807=1,F808=0),$Q$4,0))*IF(AND(F807=1,F808=0),1,0)</f>
      </c>
      <c r="K807" s="217">
        <f>(1+$G$5)^(D807/12)*(IF(E807=$N$7,$N$4,0)+IF(E807=$C$6,$B$10,0))</f>
      </c>
      <c r="L807" s="217">
        <f>(1+$G$5)^(D807/12)*(IF((E807)&gt;($B$6),H807,0)+IF(E807=$N$7,$N$4,0)+IF(E807=$C$6,0,0))</f>
      </c>
      <c r="M807" s="1"/>
      <c r="N807" s="7"/>
      <c r="O807" s="1"/>
      <c r="P807" s="331">
        <v>800</v>
      </c>
      <c r="Q807" s="544">
        <f>+DATE(YEAR(Q806),MONTH(Q806)-1,DAY(Q806))</f>
        <v>25569.041666666668</v>
      </c>
      <c r="R807" s="341">
        <f>IF($Z$7=$E807,1,IF(MONTH($E807)=1,R808*(1+$F$5),R808))</f>
      </c>
      <c r="S807" s="334">
        <f>R807*$B$8/12</f>
      </c>
      <c r="T807" s="334">
        <f>R807*$B$11/12</f>
      </c>
      <c r="U807" s="565">
        <f>(1+$V$5)^(P807/12)*(T807+IF(Q807=$Z$7,$Z$4,0))</f>
      </c>
      <c r="V807" s="170"/>
      <c r="W807" s="7"/>
      <c r="X807" s="1"/>
      <c r="Y807" s="1"/>
      <c r="Z807" s="1"/>
      <c r="AA807" s="1"/>
      <c r="AB807" s="1"/>
      <c r="AC807" s="331">
        <v>800</v>
      </c>
      <c r="AD807" s="544">
        <f>+DATE(YEAR(AD806),MONTH(AD806)-1,DAY(AD806))</f>
        <v>25569.041666666668</v>
      </c>
      <c r="AE807" s="341">
        <f>IF($AM$7=$E807,1,IF(MONTH($E807)=1,AE808*(1+$F$5),AE808))</f>
      </c>
      <c r="AF807" s="334">
        <f>AE807*$B$8/12</f>
      </c>
      <c r="AG807" s="334">
        <f>AE807*$B$12/12</f>
      </c>
      <c r="AH807" s="565">
        <f>(1+$AI$5)^(AC807/12)*(AG807+IF(AD807=$AM$7,$AM$4,0))</f>
      </c>
      <c r="AI807" s="170"/>
      <c r="AJ807" s="7"/>
      <c r="AK807" s="1"/>
      <c r="AL807" s="1"/>
      <c r="AM807" s="1"/>
    </row>
    <row x14ac:dyDescent="0.25" r="808" customHeight="1" ht="18.75">
      <c r="A808" s="1"/>
      <c r="B808" s="169"/>
      <c r="C808" s="170"/>
      <c r="D808" s="331">
        <v>801</v>
      </c>
      <c r="E808" s="544">
        <f>+DATE(YEAR(E807),MONTH(E807)-1,DAY(E807))</f>
        <v>25569.041666666668</v>
      </c>
      <c r="F808" s="333">
        <f>IF($C$6=$E808,1,IF(MONTH($E808)=1,F809*(1+$F$5),F809))</f>
      </c>
      <c r="G808" s="333">
        <f>F808*$B$8/12</f>
      </c>
      <c r="H808" s="333">
        <f>IF(F808=1,F808*$B$10/MIN(12,'Simulador - 3º Pilar'!$E$88),0)</f>
      </c>
      <c r="I808" s="560">
        <f>(1+$G$5)^(D808/12)*(H808+IF(E808=$N$7,$N$4,0))</f>
      </c>
      <c r="J808" s="561">
        <f>(1+$G$5)^(D808/12)*(H808*(12-IF(MONTH(E809)=12,0,MONTH(E809)))+IF(AND(F808=1,F809=0),$Q$4,0))*IF(AND(F808=1,F809=0),1,0)</f>
      </c>
      <c r="K808" s="217">
        <f>(1+$G$5)^(D808/12)*(IF(E808=$N$7,$N$4,0)+IF(E808=$C$6,$B$10,0))</f>
      </c>
      <c r="L808" s="217">
        <f>(1+$G$5)^(D808/12)*(IF((E808)&gt;($B$6),H808,0)+IF(E808=$N$7,$N$4,0)+IF(E808=$C$6,0,0))</f>
      </c>
      <c r="M808" s="1"/>
      <c r="N808" s="7"/>
      <c r="O808" s="1"/>
      <c r="P808" s="331">
        <v>801</v>
      </c>
      <c r="Q808" s="544">
        <f>+DATE(YEAR(Q807),MONTH(Q807)-1,DAY(Q807))</f>
        <v>25569.041666666668</v>
      </c>
      <c r="R808" s="341">
        <f>IF($Z$7=$E808,1,IF(MONTH($E808)=1,R809*(1+$F$5),R809))</f>
      </c>
      <c r="S808" s="334">
        <f>R808*$B$8/12</f>
      </c>
      <c r="T808" s="334">
        <f>R808*$B$11/12</f>
      </c>
      <c r="U808" s="565">
        <f>(1+$V$5)^(P808/12)*(T808+IF(Q808=$Z$7,$Z$4,0))</f>
      </c>
      <c r="V808" s="170"/>
      <c r="W808" s="7"/>
      <c r="X808" s="1"/>
      <c r="Y808" s="1"/>
      <c r="Z808" s="1"/>
      <c r="AA808" s="1"/>
      <c r="AB808" s="1"/>
      <c r="AC808" s="331">
        <v>801</v>
      </c>
      <c r="AD808" s="544">
        <f>+DATE(YEAR(AD807),MONTH(AD807)-1,DAY(AD807))</f>
        <v>25569.041666666668</v>
      </c>
      <c r="AE808" s="341">
        <f>IF($AM$7=$E808,1,IF(MONTH($E808)=1,AE809*(1+$F$5),AE809))</f>
      </c>
      <c r="AF808" s="334">
        <f>AE808*$B$8/12</f>
      </c>
      <c r="AG808" s="334">
        <f>AE808*$B$12/12</f>
      </c>
      <c r="AH808" s="565">
        <f>(1+$AI$5)^(AC808/12)*(AG808+IF(AD808=$AM$7,$AM$4,0))</f>
      </c>
      <c r="AI808" s="170"/>
      <c r="AJ808" s="7"/>
      <c r="AK808" s="1"/>
      <c r="AL808" s="1"/>
      <c r="AM808" s="1"/>
    </row>
    <row x14ac:dyDescent="0.25" r="809" customHeight="1" ht="18.75">
      <c r="A809" s="1"/>
      <c r="B809" s="169"/>
      <c r="C809" s="170"/>
      <c r="D809" s="331">
        <v>802</v>
      </c>
      <c r="E809" s="544">
        <f>+DATE(YEAR(E808),MONTH(E808)-1,DAY(E808))</f>
        <v>25569.041666666668</v>
      </c>
      <c r="F809" s="333">
        <f>IF($C$6=$E809,1,IF(MONTH($E809)=1,F810*(1+$F$5),F810))</f>
      </c>
      <c r="G809" s="333">
        <f>F809*$B$8/12</f>
      </c>
      <c r="H809" s="333">
        <f>IF(F809=1,F809*$B$10/MIN(12,'Simulador - 3º Pilar'!$E$88),0)</f>
      </c>
      <c r="I809" s="560">
        <f>(1+$G$5)^(D809/12)*(H809+IF(E809=$N$7,$N$4,0))</f>
      </c>
      <c r="J809" s="561">
        <f>(1+$G$5)^(D809/12)*(H809*(12-IF(MONTH(E810)=12,0,MONTH(E810)))+IF(AND(F809=1,F810=0),$Q$4,0))*IF(AND(F809=1,F810=0),1,0)</f>
      </c>
      <c r="K809" s="217">
        <f>(1+$G$5)^(D809/12)*(IF(E809=$N$7,$N$4,0)+IF(E809=$C$6,$B$10,0))</f>
      </c>
      <c r="L809" s="217">
        <f>(1+$G$5)^(D809/12)*(IF((E809)&gt;($B$6),H809,0)+IF(E809=$N$7,$N$4,0)+IF(E809=$C$6,0,0))</f>
      </c>
      <c r="M809" s="1"/>
      <c r="N809" s="7"/>
      <c r="O809" s="1"/>
      <c r="P809" s="331">
        <v>802</v>
      </c>
      <c r="Q809" s="544">
        <f>+DATE(YEAR(Q808),MONTH(Q808)-1,DAY(Q808))</f>
        <v>25569.041666666668</v>
      </c>
      <c r="R809" s="341">
        <f>IF($Z$7=$E809,1,IF(MONTH($E809)=1,R810*(1+$F$5),R810))</f>
      </c>
      <c r="S809" s="334">
        <f>R809*$B$8/12</f>
      </c>
      <c r="T809" s="334">
        <f>R809*$B$11/12</f>
      </c>
      <c r="U809" s="565">
        <f>(1+$V$5)^(P809/12)*(T809+IF(Q809=$Z$7,$Z$4,0))</f>
      </c>
      <c r="V809" s="170"/>
      <c r="W809" s="7"/>
      <c r="X809" s="1"/>
      <c r="Y809" s="1"/>
      <c r="Z809" s="1"/>
      <c r="AA809" s="1"/>
      <c r="AB809" s="1"/>
      <c r="AC809" s="331">
        <v>802</v>
      </c>
      <c r="AD809" s="544">
        <f>+DATE(YEAR(AD808),MONTH(AD808)-1,DAY(AD808))</f>
        <v>25569.041666666668</v>
      </c>
      <c r="AE809" s="341">
        <f>IF($AM$7=$E809,1,IF(MONTH($E809)=1,AE810*(1+$F$5),AE810))</f>
      </c>
      <c r="AF809" s="334">
        <f>AE809*$B$8/12</f>
      </c>
      <c r="AG809" s="334">
        <f>AE809*$B$12/12</f>
      </c>
      <c r="AH809" s="565">
        <f>(1+$AI$5)^(AC809/12)*(AG809+IF(AD809=$AM$7,$AM$4,0))</f>
      </c>
      <c r="AI809" s="170"/>
      <c r="AJ809" s="7"/>
      <c r="AK809" s="1"/>
      <c r="AL809" s="1"/>
      <c r="AM809" s="1"/>
    </row>
    <row x14ac:dyDescent="0.25" r="810" customHeight="1" ht="18.75">
      <c r="A810" s="1"/>
      <c r="B810" s="169"/>
      <c r="C810" s="170"/>
      <c r="D810" s="331">
        <v>803</v>
      </c>
      <c r="E810" s="544">
        <f>+DATE(YEAR(E809),MONTH(E809)-1,DAY(E809))</f>
        <v>25569.041666666668</v>
      </c>
      <c r="F810" s="333">
        <f>IF($C$6=$E810,1,IF(MONTH($E810)=1,F811*(1+$F$5),F811))</f>
      </c>
      <c r="G810" s="333">
        <f>F810*$B$8/12</f>
      </c>
      <c r="H810" s="333">
        <f>IF(F810=1,F810*$B$10/MIN(12,'Simulador - 3º Pilar'!$E$88),0)</f>
      </c>
      <c r="I810" s="560">
        <f>(1+$G$5)^(D810/12)*(H810+IF(E810=$N$7,$N$4,0))</f>
      </c>
      <c r="J810" s="561">
        <f>(1+$G$5)^(D810/12)*(H810*(12-IF(MONTH(E811)=12,0,MONTH(E811)))+IF(AND(F810=1,F811=0),$Q$4,0))*IF(AND(F810=1,F811=0),1,0)</f>
      </c>
      <c r="K810" s="217">
        <f>(1+$G$5)^(D810/12)*(IF(E810=$N$7,$N$4,0)+IF(E810=$C$6,$B$10,0))</f>
      </c>
      <c r="L810" s="217">
        <f>(1+$G$5)^(D810/12)*(IF((E810)&gt;($B$6),H810,0)+IF(E810=$N$7,$N$4,0)+IF(E810=$C$6,0,0))</f>
      </c>
      <c r="M810" s="1"/>
      <c r="N810" s="7"/>
      <c r="O810" s="1"/>
      <c r="P810" s="331">
        <v>803</v>
      </c>
      <c r="Q810" s="544">
        <f>+DATE(YEAR(Q809),MONTH(Q809)-1,DAY(Q809))</f>
        <v>25569.041666666668</v>
      </c>
      <c r="R810" s="341">
        <f>IF($Z$7=$E810,1,IF(MONTH($E810)=1,R811*(1+$F$5),R811))</f>
      </c>
      <c r="S810" s="334">
        <f>R810*$B$8/12</f>
      </c>
      <c r="T810" s="334">
        <f>R810*$B$11/12</f>
      </c>
      <c r="U810" s="565">
        <f>(1+$V$5)^(P810/12)*(T810+IF(Q810=$Z$7,$Z$4,0))</f>
      </c>
      <c r="V810" s="170"/>
      <c r="W810" s="7"/>
      <c r="X810" s="1"/>
      <c r="Y810" s="1"/>
      <c r="Z810" s="1"/>
      <c r="AA810" s="1"/>
      <c r="AB810" s="1"/>
      <c r="AC810" s="331">
        <v>803</v>
      </c>
      <c r="AD810" s="544">
        <f>+DATE(YEAR(AD809),MONTH(AD809)-1,DAY(AD809))</f>
        <v>25569.041666666668</v>
      </c>
      <c r="AE810" s="341">
        <f>IF($AM$7=$E810,1,IF(MONTH($E810)=1,AE811*(1+$F$5),AE811))</f>
      </c>
      <c r="AF810" s="334">
        <f>AE810*$B$8/12</f>
      </c>
      <c r="AG810" s="334">
        <f>AE810*$B$12/12</f>
      </c>
      <c r="AH810" s="565">
        <f>(1+$AI$5)^(AC810/12)*(AG810+IF(AD810=$AM$7,$AM$4,0))</f>
      </c>
      <c r="AI810" s="170"/>
      <c r="AJ810" s="7"/>
      <c r="AK810" s="1"/>
      <c r="AL810" s="1"/>
      <c r="AM810" s="1"/>
    </row>
    <row x14ac:dyDescent="0.25" r="811" customHeight="1" ht="18.75">
      <c r="A811" s="1"/>
      <c r="B811" s="169"/>
      <c r="C811" s="170"/>
      <c r="D811" s="331">
        <v>804</v>
      </c>
      <c r="E811" s="544">
        <f>+DATE(YEAR(E810),MONTH(E810)-1,DAY(E810))</f>
        <v>25569.041666666668</v>
      </c>
      <c r="F811" s="333">
        <f>IF($C$6=$E811,1,IF(MONTH($E811)=1,F812*(1+$F$5),F812))</f>
      </c>
      <c r="G811" s="333">
        <f>F811*$B$8/12</f>
      </c>
      <c r="H811" s="333">
        <f>IF(F811=1,F811*$B$10/MIN(12,'Simulador - 3º Pilar'!$E$88),0)</f>
      </c>
      <c r="I811" s="560">
        <f>(1+$G$5)^(D811/12)*(H811+IF(E811=$N$7,$N$4,0))</f>
      </c>
      <c r="J811" s="561">
        <f>(1+$G$5)^(D811/12)*(H811*(12-IF(MONTH(E812)=12,0,MONTH(E812)))+IF(AND(F811=1,F812=0),$Q$4,0))*IF(AND(F811=1,F812=0),1,0)</f>
      </c>
      <c r="K811" s="217">
        <f>(1+$G$5)^(D811/12)*(IF(E811=$N$7,$N$4,0)+IF(E811=$C$6,$B$10,0))</f>
      </c>
      <c r="L811" s="217">
        <f>(1+$G$5)^(D811/12)*(IF((E811)&gt;($B$6),H811,0)+IF(E811=$N$7,$N$4,0)+IF(E811=$C$6,0,0))</f>
      </c>
      <c r="M811" s="1"/>
      <c r="N811" s="7"/>
      <c r="O811" s="1"/>
      <c r="P811" s="331">
        <v>804</v>
      </c>
      <c r="Q811" s="544">
        <f>+DATE(YEAR(Q810),MONTH(Q810)-1,DAY(Q810))</f>
        <v>25569.041666666668</v>
      </c>
      <c r="R811" s="341">
        <f>IF($Z$7=$E811,1,IF(MONTH($E811)=1,R812*(1+$F$5),R812))</f>
      </c>
      <c r="S811" s="334">
        <f>R811*$B$8/12</f>
      </c>
      <c r="T811" s="334">
        <f>R811*$B$11/12</f>
      </c>
      <c r="U811" s="565">
        <f>(1+$V$5)^(P811/12)*(T811+IF(Q811=$Z$7,$Z$4,0))</f>
      </c>
      <c r="V811" s="170"/>
      <c r="W811" s="7"/>
      <c r="X811" s="1"/>
      <c r="Y811" s="1"/>
      <c r="Z811" s="1"/>
      <c r="AA811" s="1"/>
      <c r="AB811" s="1"/>
      <c r="AC811" s="331">
        <v>804</v>
      </c>
      <c r="AD811" s="544">
        <f>+DATE(YEAR(AD810),MONTH(AD810)-1,DAY(AD810))</f>
        <v>25569.041666666668</v>
      </c>
      <c r="AE811" s="341">
        <f>IF($AM$7=$E811,1,IF(MONTH($E811)=1,AE812*(1+$F$5),AE812))</f>
      </c>
      <c r="AF811" s="334">
        <f>AE811*$B$8/12</f>
      </c>
      <c r="AG811" s="334">
        <f>AE811*$B$12/12</f>
      </c>
      <c r="AH811" s="565">
        <f>(1+$AI$5)^(AC811/12)*(AG811+IF(AD811=$AM$7,$AM$4,0))</f>
      </c>
      <c r="AI811" s="170"/>
      <c r="AJ811" s="7"/>
      <c r="AK811" s="1"/>
      <c r="AL811" s="1"/>
      <c r="AM811" s="1"/>
    </row>
    <row x14ac:dyDescent="0.25" r="812" customHeight="1" ht="18.75">
      <c r="A812" s="1"/>
      <c r="B812" s="169"/>
      <c r="C812" s="170"/>
      <c r="D812" s="331">
        <v>805</v>
      </c>
      <c r="E812" s="544">
        <f>+DATE(YEAR(E811),MONTH(E811)-1,DAY(E811))</f>
        <v>25569.041666666668</v>
      </c>
      <c r="F812" s="333">
        <f>IF($C$6=$E812,1,IF(MONTH($E812)=1,F813*(1+$F$5),F813))</f>
      </c>
      <c r="G812" s="333">
        <f>F812*$B$8/12</f>
      </c>
      <c r="H812" s="333">
        <f>IF(F812=1,F812*$B$10/MIN(12,'Simulador - 3º Pilar'!$E$88),0)</f>
      </c>
      <c r="I812" s="560">
        <f>(1+$G$5)^(D812/12)*(H812+IF(E812=$N$7,$N$4,0))</f>
      </c>
      <c r="J812" s="561">
        <f>(1+$G$5)^(D812/12)*(H812*(12-IF(MONTH(E813)=12,0,MONTH(E813)))+IF(AND(F812=1,F813=0),$Q$4,0))*IF(AND(F812=1,F813=0),1,0)</f>
      </c>
      <c r="K812" s="217">
        <f>(1+$G$5)^(D812/12)*(IF(E812=$N$7,$N$4,0)+IF(E812=$C$6,$B$10,0))</f>
      </c>
      <c r="L812" s="217">
        <f>(1+$G$5)^(D812/12)*(IF((E812)&gt;($B$6),H812,0)+IF(E812=$N$7,$N$4,0)+IF(E812=$C$6,0,0))</f>
      </c>
      <c r="M812" s="1"/>
      <c r="N812" s="7"/>
      <c r="O812" s="1"/>
      <c r="P812" s="331">
        <v>805</v>
      </c>
      <c r="Q812" s="544">
        <f>+DATE(YEAR(Q811),MONTH(Q811)-1,DAY(Q811))</f>
        <v>25569.041666666668</v>
      </c>
      <c r="R812" s="341">
        <f>IF($Z$7=$E812,1,IF(MONTH($E812)=1,R813*(1+$F$5),R813))</f>
      </c>
      <c r="S812" s="334">
        <f>R812*$B$8/12</f>
      </c>
      <c r="T812" s="334">
        <f>R812*$B$11/12</f>
      </c>
      <c r="U812" s="565">
        <f>(1+$V$5)^(P812/12)*(T812+IF(Q812=$Z$7,$Z$4,0))</f>
      </c>
      <c r="V812" s="170"/>
      <c r="W812" s="7"/>
      <c r="X812" s="1"/>
      <c r="Y812" s="1"/>
      <c r="Z812" s="1"/>
      <c r="AA812" s="1"/>
      <c r="AB812" s="1"/>
      <c r="AC812" s="331">
        <v>805</v>
      </c>
      <c r="AD812" s="544">
        <f>+DATE(YEAR(AD811),MONTH(AD811)-1,DAY(AD811))</f>
        <v>25569.041666666668</v>
      </c>
      <c r="AE812" s="341">
        <f>IF($AM$7=$E812,1,IF(MONTH($E812)=1,AE813*(1+$F$5),AE813))</f>
      </c>
      <c r="AF812" s="334">
        <f>AE812*$B$8/12</f>
      </c>
      <c r="AG812" s="334">
        <f>AE812*$B$12/12</f>
      </c>
      <c r="AH812" s="565">
        <f>(1+$AI$5)^(AC812/12)*(AG812+IF(AD812=$AM$7,$AM$4,0))</f>
      </c>
      <c r="AI812" s="170"/>
      <c r="AJ812" s="7"/>
      <c r="AK812" s="1"/>
      <c r="AL812" s="1"/>
      <c r="AM812" s="1"/>
    </row>
    <row x14ac:dyDescent="0.25" r="813" customHeight="1" ht="18.75">
      <c r="A813" s="1"/>
      <c r="B813" s="169"/>
      <c r="C813" s="170"/>
      <c r="D813" s="331">
        <v>806</v>
      </c>
      <c r="E813" s="544">
        <f>+DATE(YEAR(E812),MONTH(E812)-1,DAY(E812))</f>
        <v>25569.041666666668</v>
      </c>
      <c r="F813" s="333">
        <f>IF($C$6=$E813,1,IF(MONTH($E813)=1,F814*(1+$F$5),F814))</f>
      </c>
      <c r="G813" s="333">
        <f>F813*$B$8/12</f>
      </c>
      <c r="H813" s="333">
        <f>IF(F813=1,F813*$B$10/MIN(12,'Simulador - 3º Pilar'!$E$88),0)</f>
      </c>
      <c r="I813" s="560">
        <f>(1+$G$5)^(D813/12)*(H813+IF(E813=$N$7,$N$4,0))</f>
      </c>
      <c r="J813" s="561">
        <f>(1+$G$5)^(D813/12)*(H813*(12-IF(MONTH(E814)=12,0,MONTH(E814)))+IF(AND(F813=1,F814=0),$Q$4,0))*IF(AND(F813=1,F814=0),1,0)</f>
      </c>
      <c r="K813" s="217">
        <f>(1+$G$5)^(D813/12)*(IF(E813=$N$7,$N$4,0)+IF(E813=$C$6,$B$10,0))</f>
      </c>
      <c r="L813" s="217">
        <f>(1+$G$5)^(D813/12)*(IF((E813)&gt;($B$6),H813,0)+IF(E813=$N$7,$N$4,0)+IF(E813=$C$6,0,0))</f>
      </c>
      <c r="M813" s="1"/>
      <c r="N813" s="7"/>
      <c r="O813" s="1"/>
      <c r="P813" s="331">
        <v>806</v>
      </c>
      <c r="Q813" s="544">
        <f>+DATE(YEAR(Q812),MONTH(Q812)-1,DAY(Q812))</f>
        <v>25569.041666666668</v>
      </c>
      <c r="R813" s="341">
        <f>IF($Z$7=$E813,1,IF(MONTH($E813)=1,R814*(1+$F$5),R814))</f>
      </c>
      <c r="S813" s="334">
        <f>R813*$B$8/12</f>
      </c>
      <c r="T813" s="334">
        <f>R813*$B$11/12</f>
      </c>
      <c r="U813" s="565">
        <f>(1+$V$5)^(P813/12)*(T813+IF(Q813=$Z$7,$Z$4,0))</f>
      </c>
      <c r="V813" s="170"/>
      <c r="W813" s="7"/>
      <c r="X813" s="1"/>
      <c r="Y813" s="1"/>
      <c r="Z813" s="1"/>
      <c r="AA813" s="1"/>
      <c r="AB813" s="1"/>
      <c r="AC813" s="331">
        <v>806</v>
      </c>
      <c r="AD813" s="544">
        <f>+DATE(YEAR(AD812),MONTH(AD812)-1,DAY(AD812))</f>
        <v>25569.041666666668</v>
      </c>
      <c r="AE813" s="341">
        <f>IF($AM$7=$E813,1,IF(MONTH($E813)=1,AE814*(1+$F$5),AE814))</f>
      </c>
      <c r="AF813" s="334">
        <f>AE813*$B$8/12</f>
      </c>
      <c r="AG813" s="334">
        <f>AE813*$B$12/12</f>
      </c>
      <c r="AH813" s="565">
        <f>(1+$AI$5)^(AC813/12)*(AG813+IF(AD813=$AM$7,$AM$4,0))</f>
      </c>
      <c r="AI813" s="170"/>
      <c r="AJ813" s="7"/>
      <c r="AK813" s="1"/>
      <c r="AL813" s="1"/>
      <c r="AM813" s="1"/>
    </row>
    <row x14ac:dyDescent="0.25" r="814" customHeight="1" ht="18.75">
      <c r="A814" s="1"/>
      <c r="B814" s="169"/>
      <c r="C814" s="170"/>
      <c r="D814" s="331">
        <v>807</v>
      </c>
      <c r="E814" s="544">
        <f>+DATE(YEAR(E813),MONTH(E813)-1,DAY(E813))</f>
        <v>25569.041666666668</v>
      </c>
      <c r="F814" s="333">
        <f>IF($C$6=$E814,1,IF(MONTH($E814)=1,F815*(1+$F$5),F815))</f>
      </c>
      <c r="G814" s="333">
        <f>F814*$B$8/12</f>
      </c>
      <c r="H814" s="333">
        <f>IF(F814=1,F814*$B$10/MIN(12,'Simulador - 3º Pilar'!$E$88),0)</f>
      </c>
      <c r="I814" s="560">
        <f>(1+$G$5)^(D814/12)*(H814+IF(E814=$N$7,$N$4,0))</f>
      </c>
      <c r="J814" s="561">
        <f>(1+$G$5)^(D814/12)*(H814*(12-IF(MONTH(E815)=12,0,MONTH(E815)))+IF(AND(F814=1,F815=0),$Q$4,0))*IF(AND(F814=1,F815=0),1,0)</f>
      </c>
      <c r="K814" s="217">
        <f>(1+$G$5)^(D814/12)*(IF(E814=$N$7,$N$4,0)+IF(E814=$C$6,$B$10,0))</f>
      </c>
      <c r="L814" s="217">
        <f>(1+$G$5)^(D814/12)*(IF((E814)&gt;($B$6),H814,0)+IF(E814=$N$7,$N$4,0)+IF(E814=$C$6,0,0))</f>
      </c>
      <c r="M814" s="1"/>
      <c r="N814" s="7"/>
      <c r="O814" s="1"/>
      <c r="P814" s="331">
        <v>807</v>
      </c>
      <c r="Q814" s="544">
        <f>+DATE(YEAR(Q813),MONTH(Q813)-1,DAY(Q813))</f>
        <v>25569.041666666668</v>
      </c>
      <c r="R814" s="341">
        <f>IF($Z$7=$E814,1,IF(MONTH($E814)=1,R815*(1+$F$5),R815))</f>
      </c>
      <c r="S814" s="334">
        <f>R814*$B$8/12</f>
      </c>
      <c r="T814" s="334">
        <f>R814*$B$11/12</f>
      </c>
      <c r="U814" s="565">
        <f>(1+$V$5)^(P814/12)*(T814+IF(Q814=$Z$7,$Z$4,0))</f>
      </c>
      <c r="V814" s="170"/>
      <c r="W814" s="7"/>
      <c r="X814" s="1"/>
      <c r="Y814" s="1"/>
      <c r="Z814" s="1"/>
      <c r="AA814" s="1"/>
      <c r="AB814" s="1"/>
      <c r="AC814" s="331">
        <v>807</v>
      </c>
      <c r="AD814" s="544">
        <f>+DATE(YEAR(AD813),MONTH(AD813)-1,DAY(AD813))</f>
        <v>25569.041666666668</v>
      </c>
      <c r="AE814" s="341">
        <f>IF($AM$7=$E814,1,IF(MONTH($E814)=1,AE815*(1+$F$5),AE815))</f>
      </c>
      <c r="AF814" s="334">
        <f>AE814*$B$8/12</f>
      </c>
      <c r="AG814" s="334">
        <f>AE814*$B$12/12</f>
      </c>
      <c r="AH814" s="565">
        <f>(1+$AI$5)^(AC814/12)*(AG814+IF(AD814=$AM$7,$AM$4,0))</f>
      </c>
      <c r="AI814" s="170"/>
      <c r="AJ814" s="7"/>
      <c r="AK814" s="1"/>
      <c r="AL814" s="1"/>
      <c r="AM814" s="1"/>
    </row>
    <row x14ac:dyDescent="0.25" r="815" customHeight="1" ht="18.75">
      <c r="A815" s="1"/>
      <c r="B815" s="169"/>
      <c r="C815" s="170"/>
      <c r="D815" s="331">
        <v>808</v>
      </c>
      <c r="E815" s="544">
        <f>+DATE(YEAR(E814),MONTH(E814)-1,DAY(E814))</f>
        <v>25569.041666666668</v>
      </c>
      <c r="F815" s="333">
        <f>IF($C$6=$E815,1,IF(MONTH($E815)=1,F816*(1+$F$5),F816))</f>
      </c>
      <c r="G815" s="333">
        <f>F815*$B$8/12</f>
      </c>
      <c r="H815" s="333">
        <f>IF(F815=1,F815*$B$10/MIN(12,'Simulador - 3º Pilar'!$E$88),0)</f>
      </c>
      <c r="I815" s="560">
        <f>(1+$G$5)^(D815/12)*(H815+IF(E815=$N$7,$N$4,0))</f>
      </c>
      <c r="J815" s="561">
        <f>(1+$G$5)^(D815/12)*(H815*(12-IF(MONTH(E816)=12,0,MONTH(E816)))+IF(AND(F815=1,F816=0),$Q$4,0))*IF(AND(F815=1,F816=0),1,0)</f>
      </c>
      <c r="K815" s="217">
        <f>(1+$G$5)^(D815/12)*(IF(E815=$N$7,$N$4,0)+IF(E815=$C$6,$B$10,0))</f>
      </c>
      <c r="L815" s="217">
        <f>(1+$G$5)^(D815/12)*(IF((E815)&gt;($B$6),H815,0)+IF(E815=$N$7,$N$4,0)+IF(E815=$C$6,0,0))</f>
      </c>
      <c r="M815" s="1"/>
      <c r="N815" s="7"/>
      <c r="O815" s="1"/>
      <c r="P815" s="331">
        <v>808</v>
      </c>
      <c r="Q815" s="544">
        <f>+DATE(YEAR(Q814),MONTH(Q814)-1,DAY(Q814))</f>
        <v>25569.041666666668</v>
      </c>
      <c r="R815" s="341">
        <f>IF($Z$7=$E815,1,IF(MONTH($E815)=1,R816*(1+$F$5),R816))</f>
      </c>
      <c r="S815" s="334">
        <f>R815*$B$8/12</f>
      </c>
      <c r="T815" s="334">
        <f>R815*$B$11/12</f>
      </c>
      <c r="U815" s="565">
        <f>(1+$V$5)^(P815/12)*(T815+IF(Q815=$Z$7,$Z$4,0))</f>
      </c>
      <c r="V815" s="170"/>
      <c r="W815" s="7"/>
      <c r="X815" s="1"/>
      <c r="Y815" s="1"/>
      <c r="Z815" s="1"/>
      <c r="AA815" s="1"/>
      <c r="AB815" s="1"/>
      <c r="AC815" s="331">
        <v>808</v>
      </c>
      <c r="AD815" s="544">
        <f>+DATE(YEAR(AD814),MONTH(AD814)-1,DAY(AD814))</f>
        <v>25569.041666666668</v>
      </c>
      <c r="AE815" s="341">
        <f>IF($AM$7=$E815,1,IF(MONTH($E815)=1,AE816*(1+$F$5),AE816))</f>
      </c>
      <c r="AF815" s="334">
        <f>AE815*$B$8/12</f>
      </c>
      <c r="AG815" s="334">
        <f>AE815*$B$12/12</f>
      </c>
      <c r="AH815" s="565">
        <f>(1+$AI$5)^(AC815/12)*(AG815+IF(AD815=$AM$7,$AM$4,0))</f>
      </c>
      <c r="AI815" s="170"/>
      <c r="AJ815" s="7"/>
      <c r="AK815" s="1"/>
      <c r="AL815" s="1"/>
      <c r="AM815" s="1"/>
    </row>
    <row x14ac:dyDescent="0.25" r="816" customHeight="1" ht="18.75">
      <c r="A816" s="1"/>
      <c r="B816" s="169"/>
      <c r="C816" s="170"/>
      <c r="D816" s="331">
        <v>809</v>
      </c>
      <c r="E816" s="544">
        <f>+DATE(YEAR(E815),MONTH(E815)-1,DAY(E815))</f>
        <v>25569.041666666668</v>
      </c>
      <c r="F816" s="333">
        <f>IF($C$6=$E816,1,IF(MONTH($E816)=1,F817*(1+$F$5),F817))</f>
      </c>
      <c r="G816" s="333">
        <f>F816*$B$8/12</f>
      </c>
      <c r="H816" s="333">
        <f>IF(F816=1,F816*$B$10/MIN(12,'Simulador - 3º Pilar'!$E$88),0)</f>
      </c>
      <c r="I816" s="560">
        <f>(1+$G$5)^(D816/12)*(H816+IF(E816=$N$7,$N$4,0))</f>
      </c>
      <c r="J816" s="561">
        <f>(1+$G$5)^(D816/12)*(H816*(12-IF(MONTH(E817)=12,0,MONTH(E817)))+IF(AND(F816=1,F817=0),$Q$4,0))*IF(AND(F816=1,F817=0),1,0)</f>
      </c>
      <c r="K816" s="217">
        <f>(1+$G$5)^(D816/12)*(IF(E816=$N$7,$N$4,0)+IF(E816=$C$6,$B$10,0))</f>
      </c>
      <c r="L816" s="217">
        <f>(1+$G$5)^(D816/12)*(IF((E816)&gt;($B$6),H816,0)+IF(E816=$N$7,$N$4,0)+IF(E816=$C$6,0,0))</f>
      </c>
      <c r="M816" s="1"/>
      <c r="N816" s="7"/>
      <c r="O816" s="1"/>
      <c r="P816" s="331">
        <v>809</v>
      </c>
      <c r="Q816" s="544">
        <f>+DATE(YEAR(Q815),MONTH(Q815)-1,DAY(Q815))</f>
        <v>25569.041666666668</v>
      </c>
      <c r="R816" s="341">
        <f>IF($Z$7=$E816,1,IF(MONTH($E816)=1,R817*(1+$F$5),R817))</f>
      </c>
      <c r="S816" s="334">
        <f>R816*$B$8/12</f>
      </c>
      <c r="T816" s="334">
        <f>R816*$B$11/12</f>
      </c>
      <c r="U816" s="565">
        <f>(1+$V$5)^(P816/12)*(T816+IF(Q816=$Z$7,$Z$4,0))</f>
      </c>
      <c r="V816" s="170"/>
      <c r="W816" s="7"/>
      <c r="X816" s="1"/>
      <c r="Y816" s="1"/>
      <c r="Z816" s="1"/>
      <c r="AA816" s="1"/>
      <c r="AB816" s="1"/>
      <c r="AC816" s="331">
        <v>809</v>
      </c>
      <c r="AD816" s="544">
        <f>+DATE(YEAR(AD815),MONTH(AD815)-1,DAY(AD815))</f>
        <v>25569.041666666668</v>
      </c>
      <c r="AE816" s="341">
        <f>IF($AM$7=$E816,1,IF(MONTH($E816)=1,AE817*(1+$F$5),AE817))</f>
      </c>
      <c r="AF816" s="334">
        <f>AE816*$B$8/12</f>
      </c>
      <c r="AG816" s="334">
        <f>AE816*$B$12/12</f>
      </c>
      <c r="AH816" s="565">
        <f>(1+$AI$5)^(AC816/12)*(AG816+IF(AD816=$AM$7,$AM$4,0))</f>
      </c>
      <c r="AI816" s="170"/>
      <c r="AJ816" s="7"/>
      <c r="AK816" s="1"/>
      <c r="AL816" s="1"/>
      <c r="AM816" s="1"/>
    </row>
    <row x14ac:dyDescent="0.25" r="817" customHeight="1" ht="18.75">
      <c r="A817" s="1"/>
      <c r="B817" s="169"/>
      <c r="C817" s="170"/>
      <c r="D817" s="331">
        <v>810</v>
      </c>
      <c r="E817" s="544">
        <f>+DATE(YEAR(E816),MONTH(E816)-1,DAY(E816))</f>
        <v>25569.041666666668</v>
      </c>
      <c r="F817" s="333">
        <f>IF($C$6=$E817,1,IF(MONTH($E817)=1,F818*(1+$F$5),F818))</f>
      </c>
      <c r="G817" s="333">
        <f>F817*$B$8/12</f>
      </c>
      <c r="H817" s="333">
        <f>IF(F817=1,F817*$B$10/MIN(12,'Simulador - 3º Pilar'!$E$88),0)</f>
      </c>
      <c r="I817" s="560">
        <f>(1+$G$5)^(D817/12)*(H817+IF(E817=$N$7,$N$4,0))</f>
      </c>
      <c r="J817" s="561">
        <f>(1+$G$5)^(D817/12)*(H817*(12-IF(MONTH(E818)=12,0,MONTH(E818)))+IF(AND(F817=1,F818=0),$Q$4,0))*IF(AND(F817=1,F818=0),1,0)</f>
      </c>
      <c r="K817" s="217">
        <f>(1+$G$5)^(D817/12)*(IF(E817=$N$7,$N$4,0)+IF(E817=$C$6,$B$10,0))</f>
      </c>
      <c r="L817" s="217">
        <f>(1+$G$5)^(D817/12)*(IF((E817)&gt;($B$6),H817,0)+IF(E817=$N$7,$N$4,0)+IF(E817=$C$6,0,0))</f>
      </c>
      <c r="M817" s="1"/>
      <c r="N817" s="7"/>
      <c r="O817" s="1"/>
      <c r="P817" s="331">
        <v>810</v>
      </c>
      <c r="Q817" s="544">
        <f>+DATE(YEAR(Q816),MONTH(Q816)-1,DAY(Q816))</f>
        <v>25569.041666666668</v>
      </c>
      <c r="R817" s="341">
        <f>IF($Z$7=$E817,1,IF(MONTH($E817)=1,R818*(1+$F$5),R818))</f>
      </c>
      <c r="S817" s="334">
        <f>R817*$B$8/12</f>
      </c>
      <c r="T817" s="334">
        <f>R817*$B$11/12</f>
      </c>
      <c r="U817" s="565">
        <f>(1+$V$5)^(P817/12)*(T817+IF(Q817=$Z$7,$Z$4,0))</f>
      </c>
      <c r="V817" s="170"/>
      <c r="W817" s="7"/>
      <c r="X817" s="1"/>
      <c r="Y817" s="1"/>
      <c r="Z817" s="1"/>
      <c r="AA817" s="1"/>
      <c r="AB817" s="1"/>
      <c r="AC817" s="331">
        <v>810</v>
      </c>
      <c r="AD817" s="544">
        <f>+DATE(YEAR(AD816),MONTH(AD816)-1,DAY(AD816))</f>
        <v>25569.041666666668</v>
      </c>
      <c r="AE817" s="341">
        <f>IF($AM$7=$E817,1,IF(MONTH($E817)=1,AE818*(1+$F$5),AE818))</f>
      </c>
      <c r="AF817" s="334">
        <f>AE817*$B$8/12</f>
      </c>
      <c r="AG817" s="334">
        <f>AE817*$B$12/12</f>
      </c>
      <c r="AH817" s="565">
        <f>(1+$AI$5)^(AC817/12)*(AG817+IF(AD817=$AM$7,$AM$4,0))</f>
      </c>
      <c r="AI817" s="170"/>
      <c r="AJ817" s="7"/>
      <c r="AK817" s="1"/>
      <c r="AL817" s="1"/>
      <c r="AM817" s="1"/>
    </row>
    <row x14ac:dyDescent="0.25" r="818" customHeight="1" ht="18.75">
      <c r="A818" s="1"/>
      <c r="B818" s="169"/>
      <c r="C818" s="170"/>
      <c r="D818" s="331">
        <v>811</v>
      </c>
      <c r="E818" s="544">
        <f>+DATE(YEAR(E817),MONTH(E817)-1,DAY(E817))</f>
        <v>25569.041666666668</v>
      </c>
      <c r="F818" s="333">
        <f>IF($C$6=$E818,1,IF(MONTH($E818)=1,F819*(1+$F$5),F819))</f>
      </c>
      <c r="G818" s="333">
        <f>F818*$B$8/12</f>
      </c>
      <c r="H818" s="333">
        <f>IF(F818=1,F818*$B$10/MIN(12,'Simulador - 3º Pilar'!$E$88),0)</f>
      </c>
      <c r="I818" s="560">
        <f>(1+$G$5)^(D818/12)*(H818+IF(E818=$N$7,$N$4,0))</f>
      </c>
      <c r="J818" s="561">
        <f>(1+$G$5)^(D818/12)*(H818*(12-IF(MONTH(E819)=12,0,MONTH(E819)))+IF(AND(F818=1,F819=0),$Q$4,0))*IF(AND(F818=1,F819=0),1,0)</f>
      </c>
      <c r="K818" s="217">
        <f>(1+$G$5)^(D818/12)*(IF(E818=$N$7,$N$4,0)+IF(E818=$C$6,$B$10,0))</f>
      </c>
      <c r="L818" s="217">
        <f>(1+$G$5)^(D818/12)*(IF((E818)&gt;($B$6),H818,0)+IF(E818=$N$7,$N$4,0)+IF(E818=$C$6,0,0))</f>
      </c>
      <c r="M818" s="1"/>
      <c r="N818" s="7"/>
      <c r="O818" s="1"/>
      <c r="P818" s="331">
        <v>811</v>
      </c>
      <c r="Q818" s="544">
        <f>+DATE(YEAR(Q817),MONTH(Q817)-1,DAY(Q817))</f>
        <v>25569.041666666668</v>
      </c>
      <c r="R818" s="341">
        <f>IF($Z$7=$E818,1,IF(MONTH($E818)=1,R819*(1+$F$5),R819))</f>
      </c>
      <c r="S818" s="334">
        <f>R818*$B$8/12</f>
      </c>
      <c r="T818" s="334">
        <f>R818*$B$11/12</f>
      </c>
      <c r="U818" s="565">
        <f>(1+$V$5)^(P818/12)*(T818+IF(Q818=$Z$7,$Z$4,0))</f>
      </c>
      <c r="V818" s="170"/>
      <c r="W818" s="7"/>
      <c r="X818" s="1"/>
      <c r="Y818" s="1"/>
      <c r="Z818" s="1"/>
      <c r="AA818" s="1"/>
      <c r="AB818" s="1"/>
      <c r="AC818" s="331">
        <v>811</v>
      </c>
      <c r="AD818" s="544">
        <f>+DATE(YEAR(AD817),MONTH(AD817)-1,DAY(AD817))</f>
        <v>25569.041666666668</v>
      </c>
      <c r="AE818" s="341">
        <f>IF($AM$7=$E818,1,IF(MONTH($E818)=1,AE819*(1+$F$5),AE819))</f>
      </c>
      <c r="AF818" s="334">
        <f>AE818*$B$8/12</f>
      </c>
      <c r="AG818" s="334">
        <f>AE818*$B$12/12</f>
      </c>
      <c r="AH818" s="565">
        <f>(1+$AI$5)^(AC818/12)*(AG818+IF(AD818=$AM$7,$AM$4,0))</f>
      </c>
      <c r="AI818" s="170"/>
      <c r="AJ818" s="7"/>
      <c r="AK818" s="1"/>
      <c r="AL818" s="1"/>
      <c r="AM818" s="1"/>
    </row>
    <row x14ac:dyDescent="0.25" r="819" customHeight="1" ht="18.75">
      <c r="A819" s="1"/>
      <c r="B819" s="169"/>
      <c r="C819" s="170"/>
      <c r="D819" s="331">
        <v>812</v>
      </c>
      <c r="E819" s="544">
        <f>+DATE(YEAR(E818),MONTH(E818)-1,DAY(E818))</f>
        <v>25569.041666666668</v>
      </c>
      <c r="F819" s="333">
        <f>IF($C$6=$E819,1,IF(MONTH($E819)=1,F820*(1+$F$5),F820))</f>
      </c>
      <c r="G819" s="333">
        <f>F819*$B$8/12</f>
      </c>
      <c r="H819" s="333">
        <f>IF(F819=1,F819*$B$10/MIN(12,'Simulador - 3º Pilar'!$E$88),0)</f>
      </c>
      <c r="I819" s="560">
        <f>(1+$G$5)^(D819/12)*(H819+IF(E819=$N$7,$N$4,0))</f>
      </c>
      <c r="J819" s="561">
        <f>(1+$G$5)^(D819/12)*(H819*(12-IF(MONTH(E820)=12,0,MONTH(E820)))+IF(AND(F819=1,F820=0),$Q$4,0))*IF(AND(F819=1,F820=0),1,0)</f>
      </c>
      <c r="K819" s="217">
        <f>(1+$G$5)^(D819/12)*(IF(E819=$N$7,$N$4,0)+IF(E819=$C$6,$B$10,0))</f>
      </c>
      <c r="L819" s="217">
        <f>(1+$G$5)^(D819/12)*(IF((E819)&gt;($B$6),H819,0)+IF(E819=$N$7,$N$4,0)+IF(E819=$C$6,0,0))</f>
      </c>
      <c r="M819" s="1"/>
      <c r="N819" s="7"/>
      <c r="O819" s="1"/>
      <c r="P819" s="331">
        <v>812</v>
      </c>
      <c r="Q819" s="544">
        <f>+DATE(YEAR(Q818),MONTH(Q818)-1,DAY(Q818))</f>
        <v>25569.041666666668</v>
      </c>
      <c r="R819" s="341">
        <f>IF($Z$7=$E819,1,IF(MONTH($E819)=1,R820*(1+$F$5),R820))</f>
      </c>
      <c r="S819" s="334">
        <f>R819*$B$8/12</f>
      </c>
      <c r="T819" s="334">
        <f>R819*$B$11/12</f>
      </c>
      <c r="U819" s="565">
        <f>(1+$V$5)^(P819/12)*(T819+IF(Q819=$Z$7,$Z$4,0))</f>
      </c>
      <c r="V819" s="170"/>
      <c r="W819" s="7"/>
      <c r="X819" s="1"/>
      <c r="Y819" s="1"/>
      <c r="Z819" s="1"/>
      <c r="AA819" s="1"/>
      <c r="AB819" s="1"/>
      <c r="AC819" s="331">
        <v>812</v>
      </c>
      <c r="AD819" s="544">
        <f>+DATE(YEAR(AD818),MONTH(AD818)-1,DAY(AD818))</f>
        <v>25569.041666666668</v>
      </c>
      <c r="AE819" s="341">
        <f>IF($AM$7=$E819,1,IF(MONTH($E819)=1,AE820*(1+$F$5),AE820))</f>
      </c>
      <c r="AF819" s="334">
        <f>AE819*$B$8/12</f>
      </c>
      <c r="AG819" s="334">
        <f>AE819*$B$12/12</f>
      </c>
      <c r="AH819" s="565">
        <f>(1+$AI$5)^(AC819/12)*(AG819+IF(AD819=$AM$7,$AM$4,0))</f>
      </c>
      <c r="AI819" s="170"/>
      <c r="AJ819" s="7"/>
      <c r="AK819" s="1"/>
      <c r="AL819" s="1"/>
      <c r="AM819" s="1"/>
    </row>
    <row x14ac:dyDescent="0.25" r="820" customHeight="1" ht="18.75">
      <c r="A820" s="1"/>
      <c r="B820" s="169"/>
      <c r="C820" s="170"/>
      <c r="D820" s="331">
        <v>813</v>
      </c>
      <c r="E820" s="544">
        <f>+DATE(YEAR(E819),MONTH(E819)-1,DAY(E819))</f>
        <v>25569.041666666668</v>
      </c>
      <c r="F820" s="333">
        <f>IF($C$6=$E820,1,IF(MONTH($E820)=1,F821*(1+$F$5),F821))</f>
      </c>
      <c r="G820" s="333">
        <f>F820*$B$8/12</f>
      </c>
      <c r="H820" s="333">
        <f>IF(F820=1,F820*$B$10/MIN(12,'Simulador - 3º Pilar'!$E$88),0)</f>
      </c>
      <c r="I820" s="560">
        <f>(1+$G$5)^(D820/12)*(H820+IF(E820=$N$7,$N$4,0))</f>
      </c>
      <c r="J820" s="561">
        <f>(1+$G$5)^(D820/12)*(H820*(12-IF(MONTH(E821)=12,0,MONTH(E821)))+IF(AND(F820=1,F821=0),$Q$4,0))*IF(AND(F820=1,F821=0),1,0)</f>
      </c>
      <c r="K820" s="217">
        <f>(1+$G$5)^(D820/12)*(IF(E820=$N$7,$N$4,0)+IF(E820=$C$6,$B$10,0))</f>
      </c>
      <c r="L820" s="217">
        <f>(1+$G$5)^(D820/12)*(IF((E820)&gt;($B$6),H820,0)+IF(E820=$N$7,$N$4,0)+IF(E820=$C$6,0,0))</f>
      </c>
      <c r="M820" s="1"/>
      <c r="N820" s="7"/>
      <c r="O820" s="1"/>
      <c r="P820" s="331">
        <v>813</v>
      </c>
      <c r="Q820" s="544">
        <f>+DATE(YEAR(Q819),MONTH(Q819)-1,DAY(Q819))</f>
        <v>25569.041666666668</v>
      </c>
      <c r="R820" s="341">
        <f>IF($Z$7=$E820,1,IF(MONTH($E820)=1,R821*(1+$F$5),R821))</f>
      </c>
      <c r="S820" s="334">
        <f>R820*$B$8/12</f>
      </c>
      <c r="T820" s="334">
        <f>R820*$B$11/12</f>
      </c>
      <c r="U820" s="565">
        <f>(1+$V$5)^(P820/12)*(T820+IF(Q820=$Z$7,$Z$4,0))</f>
      </c>
      <c r="V820" s="170"/>
      <c r="W820" s="7"/>
      <c r="X820" s="1"/>
      <c r="Y820" s="1"/>
      <c r="Z820" s="1"/>
      <c r="AA820" s="1"/>
      <c r="AB820" s="1"/>
      <c r="AC820" s="331">
        <v>813</v>
      </c>
      <c r="AD820" s="544">
        <f>+DATE(YEAR(AD819),MONTH(AD819)-1,DAY(AD819))</f>
        <v>25569.041666666668</v>
      </c>
      <c r="AE820" s="341">
        <f>IF($AM$7=$E820,1,IF(MONTH($E820)=1,AE821*(1+$F$5),AE821))</f>
      </c>
      <c r="AF820" s="334">
        <f>AE820*$B$8/12</f>
      </c>
      <c r="AG820" s="334">
        <f>AE820*$B$12/12</f>
      </c>
      <c r="AH820" s="565">
        <f>(1+$AI$5)^(AC820/12)*(AG820+IF(AD820=$AM$7,$AM$4,0))</f>
      </c>
      <c r="AI820" s="170"/>
      <c r="AJ820" s="7"/>
      <c r="AK820" s="1"/>
      <c r="AL820" s="1"/>
      <c r="AM820" s="1"/>
    </row>
    <row x14ac:dyDescent="0.25" r="821" customHeight="1" ht="18.75">
      <c r="A821" s="1"/>
      <c r="B821" s="169"/>
      <c r="C821" s="170"/>
      <c r="D821" s="331">
        <v>814</v>
      </c>
      <c r="E821" s="544">
        <f>+DATE(YEAR(E820),MONTH(E820)-1,DAY(E820))</f>
        <v>25569.041666666668</v>
      </c>
      <c r="F821" s="333">
        <f>IF($C$6=$E821,1,IF(MONTH($E821)=1,F822*(1+$F$5),F822))</f>
      </c>
      <c r="G821" s="333">
        <f>F821*$B$8/12</f>
      </c>
      <c r="H821" s="333">
        <f>IF(F821=1,F821*$B$10/MIN(12,'Simulador - 3º Pilar'!$E$88),0)</f>
      </c>
      <c r="I821" s="560">
        <f>(1+$G$5)^(D821/12)*(H821+IF(E821=$N$7,$N$4,0))</f>
      </c>
      <c r="J821" s="561">
        <f>(1+$G$5)^(D821/12)*(H821*(12-IF(MONTH(E822)=12,0,MONTH(E822)))+IF(AND(F821=1,F822=0),$Q$4,0))*IF(AND(F821=1,F822=0),1,0)</f>
      </c>
      <c r="K821" s="217">
        <f>(1+$G$5)^(D821/12)*(IF(E821=$N$7,$N$4,0)+IF(E821=$C$6,$B$10,0))</f>
      </c>
      <c r="L821" s="217">
        <f>(1+$G$5)^(D821/12)*(IF((E821)&gt;($B$6),H821,0)+IF(E821=$N$7,$N$4,0)+IF(E821=$C$6,0,0))</f>
      </c>
      <c r="M821" s="1"/>
      <c r="N821" s="7"/>
      <c r="O821" s="1"/>
      <c r="P821" s="331">
        <v>814</v>
      </c>
      <c r="Q821" s="544">
        <f>+DATE(YEAR(Q820),MONTH(Q820)-1,DAY(Q820))</f>
        <v>25569.041666666668</v>
      </c>
      <c r="R821" s="341">
        <f>IF($Z$7=$E821,1,IF(MONTH($E821)=1,R822*(1+$F$5),R822))</f>
      </c>
      <c r="S821" s="334">
        <f>R821*$B$8/12</f>
      </c>
      <c r="T821" s="334">
        <f>R821*$B$11/12</f>
      </c>
      <c r="U821" s="565">
        <f>(1+$V$5)^(P821/12)*(T821+IF(Q821=$Z$7,$Z$4,0))</f>
      </c>
      <c r="V821" s="170"/>
      <c r="W821" s="7"/>
      <c r="X821" s="1"/>
      <c r="Y821" s="1"/>
      <c r="Z821" s="1"/>
      <c r="AA821" s="1"/>
      <c r="AB821" s="1"/>
      <c r="AC821" s="331">
        <v>814</v>
      </c>
      <c r="AD821" s="544">
        <f>+DATE(YEAR(AD820),MONTH(AD820)-1,DAY(AD820))</f>
        <v>25569.041666666668</v>
      </c>
      <c r="AE821" s="341">
        <f>IF($AM$7=$E821,1,IF(MONTH($E821)=1,AE822*(1+$F$5),AE822))</f>
      </c>
      <c r="AF821" s="334">
        <f>AE821*$B$8/12</f>
      </c>
      <c r="AG821" s="334">
        <f>AE821*$B$12/12</f>
      </c>
      <c r="AH821" s="565">
        <f>(1+$AI$5)^(AC821/12)*(AG821+IF(AD821=$AM$7,$AM$4,0))</f>
      </c>
      <c r="AI821" s="170"/>
      <c r="AJ821" s="7"/>
      <c r="AK821" s="1"/>
      <c r="AL821" s="1"/>
      <c r="AM821" s="1"/>
    </row>
    <row x14ac:dyDescent="0.25" r="822" customHeight="1" ht="18.75">
      <c r="A822" s="1"/>
      <c r="B822" s="169"/>
      <c r="C822" s="170"/>
      <c r="D822" s="331">
        <v>815</v>
      </c>
      <c r="E822" s="544">
        <f>+DATE(YEAR(E821),MONTH(E821)-1,DAY(E821))</f>
        <v>25569.041666666668</v>
      </c>
      <c r="F822" s="333">
        <f>IF($C$6=$E822,1,IF(MONTH($E822)=1,F823*(1+$F$5),F823))</f>
      </c>
      <c r="G822" s="333">
        <f>F822*$B$8/12</f>
      </c>
      <c r="H822" s="333">
        <f>IF(F822=1,F822*$B$10/MIN(12,'Simulador - 3º Pilar'!$E$88),0)</f>
      </c>
      <c r="I822" s="560">
        <f>(1+$G$5)^(D822/12)*(H822+IF(E822=$N$7,$N$4,0))</f>
      </c>
      <c r="J822" s="561">
        <f>(1+$G$5)^(D822/12)*(H822*(12-IF(MONTH(E823)=12,0,MONTH(E823)))+IF(AND(F822=1,F823=0),$Q$4,0))*IF(AND(F822=1,F823=0),1,0)</f>
      </c>
      <c r="K822" s="217">
        <f>(1+$G$5)^(D822/12)*(IF(E822=$N$7,$N$4,0)+IF(E822=$C$6,$B$10,0))</f>
      </c>
      <c r="L822" s="217">
        <f>(1+$G$5)^(D822/12)*(IF((E822)&gt;($B$6),H822,0)+IF(E822=$N$7,$N$4,0)+IF(E822=$C$6,0,0))</f>
      </c>
      <c r="M822" s="1"/>
      <c r="N822" s="7"/>
      <c r="O822" s="1"/>
      <c r="P822" s="331">
        <v>815</v>
      </c>
      <c r="Q822" s="544">
        <f>+DATE(YEAR(Q821),MONTH(Q821)-1,DAY(Q821))</f>
        <v>25569.041666666668</v>
      </c>
      <c r="R822" s="341">
        <f>IF($Z$7=$E822,1,IF(MONTH($E822)=1,R823*(1+$F$5),R823))</f>
      </c>
      <c r="S822" s="334">
        <f>R822*$B$8/12</f>
      </c>
      <c r="T822" s="334">
        <f>R822*$B$11/12</f>
      </c>
      <c r="U822" s="565">
        <f>(1+$V$5)^(P822/12)*(T822+IF(Q822=$Z$7,$Z$4,0))</f>
      </c>
      <c r="V822" s="170"/>
      <c r="W822" s="7"/>
      <c r="X822" s="1"/>
      <c r="Y822" s="1"/>
      <c r="Z822" s="1"/>
      <c r="AA822" s="1"/>
      <c r="AB822" s="1"/>
      <c r="AC822" s="331">
        <v>815</v>
      </c>
      <c r="AD822" s="544">
        <f>+DATE(YEAR(AD821),MONTH(AD821)-1,DAY(AD821))</f>
        <v>25569.041666666668</v>
      </c>
      <c r="AE822" s="341">
        <f>IF($AM$7=$E822,1,IF(MONTH($E822)=1,AE823*(1+$F$5),AE823))</f>
      </c>
      <c r="AF822" s="334">
        <f>AE822*$B$8/12</f>
      </c>
      <c r="AG822" s="334">
        <f>AE822*$B$12/12</f>
      </c>
      <c r="AH822" s="565">
        <f>(1+$AI$5)^(AC822/12)*(AG822+IF(AD822=$AM$7,$AM$4,0))</f>
      </c>
      <c r="AI822" s="170"/>
      <c r="AJ822" s="7"/>
      <c r="AK822" s="1"/>
      <c r="AL822" s="1"/>
      <c r="AM822" s="1"/>
    </row>
    <row x14ac:dyDescent="0.25" r="823" customHeight="1" ht="18.75">
      <c r="A823" s="1"/>
      <c r="B823" s="169"/>
      <c r="C823" s="170"/>
      <c r="D823" s="331">
        <v>816</v>
      </c>
      <c r="E823" s="544">
        <f>+DATE(YEAR(E822),MONTH(E822)-1,DAY(E822))</f>
        <v>25569.041666666668</v>
      </c>
      <c r="F823" s="333">
        <f>IF($C$6=$E823,1,IF(MONTH($E823)=1,F824*(1+$F$5),F824))</f>
      </c>
      <c r="G823" s="333">
        <f>F823*$B$8/12</f>
      </c>
      <c r="H823" s="333">
        <f>IF(F823=1,F823*$B$10/MIN(12,'Simulador - 3º Pilar'!$E$88),0)</f>
      </c>
      <c r="I823" s="560">
        <f>(1+$G$5)^(D823/12)*(H823+IF(E823=$N$7,$N$4,0))</f>
      </c>
      <c r="J823" s="561">
        <f>(1+$G$5)^(D823/12)*(H823*(12-IF(MONTH(E824)=12,0,MONTH(E824)))+IF(AND(F823=1,F824=0),$Q$4,0))*IF(AND(F823=1,F824=0),1,0)</f>
      </c>
      <c r="K823" s="217">
        <f>(1+$G$5)^(D823/12)*(IF(E823=$N$7,$N$4,0)+IF(E823=$C$6,$B$10,0))</f>
      </c>
      <c r="L823" s="217">
        <f>(1+$G$5)^(D823/12)*(IF((E823)&gt;($B$6),H823,0)+IF(E823=$N$7,$N$4,0)+IF(E823=$C$6,0,0))</f>
      </c>
      <c r="M823" s="1"/>
      <c r="N823" s="7"/>
      <c r="O823" s="1"/>
      <c r="P823" s="331">
        <v>816</v>
      </c>
      <c r="Q823" s="544">
        <f>+DATE(YEAR(Q822),MONTH(Q822)-1,DAY(Q822))</f>
        <v>25569.041666666668</v>
      </c>
      <c r="R823" s="341">
        <f>IF($Z$7=$E823,1,IF(MONTH($E823)=1,R824*(1+$F$5),R824))</f>
      </c>
      <c r="S823" s="334">
        <f>R823*$B$8/12</f>
      </c>
      <c r="T823" s="334">
        <f>R823*$B$11/12</f>
      </c>
      <c r="U823" s="565">
        <f>(1+$V$5)^(P823/12)*(T823+IF(Q823=$Z$7,$Z$4,0))</f>
      </c>
      <c r="V823" s="170"/>
      <c r="W823" s="7"/>
      <c r="X823" s="1"/>
      <c r="Y823" s="1"/>
      <c r="Z823" s="1"/>
      <c r="AA823" s="1"/>
      <c r="AB823" s="1"/>
      <c r="AC823" s="331">
        <v>816</v>
      </c>
      <c r="AD823" s="544">
        <f>+DATE(YEAR(AD822),MONTH(AD822)-1,DAY(AD822))</f>
        <v>25569.041666666668</v>
      </c>
      <c r="AE823" s="341">
        <f>IF($AM$7=$E823,1,IF(MONTH($E823)=1,AE824*(1+$F$5),AE824))</f>
      </c>
      <c r="AF823" s="334">
        <f>AE823*$B$8/12</f>
      </c>
      <c r="AG823" s="334">
        <f>AE823*$B$12/12</f>
      </c>
      <c r="AH823" s="565">
        <f>(1+$AI$5)^(AC823/12)*(AG823+IF(AD823=$AM$7,$AM$4,0))</f>
      </c>
      <c r="AI823" s="170"/>
      <c r="AJ823" s="7"/>
      <c r="AK823" s="1"/>
      <c r="AL823" s="1"/>
      <c r="AM823" s="1"/>
    </row>
    <row x14ac:dyDescent="0.25" r="824" customHeight="1" ht="18.75">
      <c r="A824" s="1"/>
      <c r="B824" s="169"/>
      <c r="C824" s="170"/>
      <c r="D824" s="331">
        <v>817</v>
      </c>
      <c r="E824" s="544">
        <f>+DATE(YEAR(E823),MONTH(E823)-1,DAY(E823))</f>
        <v>25569.041666666668</v>
      </c>
      <c r="F824" s="333">
        <f>IF($C$6=$E824,1,IF(MONTH($E824)=1,F825*(1+$F$5),F825))</f>
      </c>
      <c r="G824" s="333">
        <f>F824*$B$8/12</f>
      </c>
      <c r="H824" s="333">
        <f>IF(F824=1,F824*$B$10/MIN(12,'Simulador - 3º Pilar'!$E$88),0)</f>
      </c>
      <c r="I824" s="560">
        <f>(1+$G$5)^(D824/12)*(H824+IF(E824=$N$7,$N$4,0))</f>
      </c>
      <c r="J824" s="561">
        <f>(1+$G$5)^(D824/12)*(H824*(12-IF(MONTH(E825)=12,0,MONTH(E825)))+IF(AND(F824=1,F825=0),$Q$4,0))*IF(AND(F824=1,F825=0),1,0)</f>
      </c>
      <c r="K824" s="217">
        <f>(1+$G$5)^(D824/12)*(IF(E824=$N$7,$N$4,0)+IF(E824=$C$6,$B$10,0))</f>
      </c>
      <c r="L824" s="217">
        <f>(1+$G$5)^(D824/12)*(IF((E824)&gt;($B$6),H824,0)+IF(E824=$N$7,$N$4,0)+IF(E824=$C$6,0,0))</f>
      </c>
      <c r="M824" s="1"/>
      <c r="N824" s="7"/>
      <c r="O824" s="1"/>
      <c r="P824" s="331">
        <v>817</v>
      </c>
      <c r="Q824" s="544">
        <f>+DATE(YEAR(Q823),MONTH(Q823)-1,DAY(Q823))</f>
        <v>25569.041666666668</v>
      </c>
      <c r="R824" s="341">
        <f>IF($Z$7=$E824,1,IF(MONTH($E824)=1,R825*(1+$F$5),R825))</f>
      </c>
      <c r="S824" s="334">
        <f>R824*$B$8/12</f>
      </c>
      <c r="T824" s="334">
        <f>R824*$B$11/12</f>
      </c>
      <c r="U824" s="565">
        <f>(1+$V$5)^(P824/12)*(T824+IF(Q824=$Z$7,$Z$4,0))</f>
      </c>
      <c r="V824" s="170"/>
      <c r="W824" s="7"/>
      <c r="X824" s="1"/>
      <c r="Y824" s="1"/>
      <c r="Z824" s="1"/>
      <c r="AA824" s="1"/>
      <c r="AB824" s="1"/>
      <c r="AC824" s="331">
        <v>817</v>
      </c>
      <c r="AD824" s="544">
        <f>+DATE(YEAR(AD823),MONTH(AD823)-1,DAY(AD823))</f>
        <v>25569.041666666668</v>
      </c>
      <c r="AE824" s="341">
        <f>IF($AM$7=$E824,1,IF(MONTH($E824)=1,AE825*(1+$F$5),AE825))</f>
      </c>
      <c r="AF824" s="334">
        <f>AE824*$B$8/12</f>
      </c>
      <c r="AG824" s="334">
        <f>AE824*$B$12/12</f>
      </c>
      <c r="AH824" s="565">
        <f>(1+$AI$5)^(AC824/12)*(AG824+IF(AD824=$AM$7,$AM$4,0))</f>
      </c>
      <c r="AI824" s="170"/>
      <c r="AJ824" s="7"/>
      <c r="AK824" s="1"/>
      <c r="AL824" s="1"/>
      <c r="AM824" s="1"/>
    </row>
    <row x14ac:dyDescent="0.25" r="825" customHeight="1" ht="18.75">
      <c r="A825" s="1"/>
      <c r="B825" s="169"/>
      <c r="C825" s="170"/>
      <c r="D825" s="331">
        <v>818</v>
      </c>
      <c r="E825" s="544">
        <f>+DATE(YEAR(E824),MONTH(E824)-1,DAY(E824))</f>
        <v>25569.041666666668</v>
      </c>
      <c r="F825" s="333">
        <f>IF($C$6=$E825,1,IF(MONTH($E825)=1,F826*(1+$F$5),F826))</f>
      </c>
      <c r="G825" s="333">
        <f>F825*$B$8/12</f>
      </c>
      <c r="H825" s="333">
        <f>IF(F825=1,F825*$B$10/MIN(12,'Simulador - 3º Pilar'!$E$88),0)</f>
      </c>
      <c r="I825" s="560">
        <f>(1+$G$5)^(D825/12)*(H825+IF(E825=$N$7,$N$4,0))</f>
      </c>
      <c r="J825" s="561">
        <f>(1+$G$5)^(D825/12)*(H825*(12-IF(MONTH(E826)=12,0,MONTH(E826)))+IF(AND(F825=1,F826=0),$Q$4,0))*IF(AND(F825=1,F826=0),1,0)</f>
      </c>
      <c r="K825" s="217">
        <f>(1+$G$5)^(D825/12)*(IF(E825=$N$7,$N$4,0)+IF(E825=$C$6,$B$10,0))</f>
      </c>
      <c r="L825" s="217">
        <f>(1+$G$5)^(D825/12)*(IF((E825)&gt;($B$6),H825,0)+IF(E825=$N$7,$N$4,0)+IF(E825=$C$6,0,0))</f>
      </c>
      <c r="M825" s="1"/>
      <c r="N825" s="7"/>
      <c r="O825" s="1"/>
      <c r="P825" s="331">
        <v>818</v>
      </c>
      <c r="Q825" s="544">
        <f>+DATE(YEAR(Q824),MONTH(Q824)-1,DAY(Q824))</f>
        <v>25569.041666666668</v>
      </c>
      <c r="R825" s="341">
        <f>IF($Z$7=$E825,1,IF(MONTH($E825)=1,R826*(1+$F$5),R826))</f>
      </c>
      <c r="S825" s="334">
        <f>R825*$B$8/12</f>
      </c>
      <c r="T825" s="334">
        <f>R825*$B$11/12</f>
      </c>
      <c r="U825" s="565">
        <f>(1+$V$5)^(P825/12)*(T825+IF(Q825=$Z$7,$Z$4,0))</f>
      </c>
      <c r="V825" s="170"/>
      <c r="W825" s="7"/>
      <c r="X825" s="1"/>
      <c r="Y825" s="1"/>
      <c r="Z825" s="1"/>
      <c r="AA825" s="1"/>
      <c r="AB825" s="1"/>
      <c r="AC825" s="331">
        <v>818</v>
      </c>
      <c r="AD825" s="544">
        <f>+DATE(YEAR(AD824),MONTH(AD824)-1,DAY(AD824))</f>
        <v>25569.041666666668</v>
      </c>
      <c r="AE825" s="341">
        <f>IF($AM$7=$E825,1,IF(MONTH($E825)=1,AE826*(1+$F$5),AE826))</f>
      </c>
      <c r="AF825" s="334">
        <f>AE825*$B$8/12</f>
      </c>
      <c r="AG825" s="334">
        <f>AE825*$B$12/12</f>
      </c>
      <c r="AH825" s="565">
        <f>(1+$AI$5)^(AC825/12)*(AG825+IF(AD825=$AM$7,$AM$4,0))</f>
      </c>
      <c r="AI825" s="170"/>
      <c r="AJ825" s="7"/>
      <c r="AK825" s="1"/>
      <c r="AL825" s="1"/>
      <c r="AM825" s="1"/>
    </row>
    <row x14ac:dyDescent="0.25" r="826" customHeight="1" ht="18.75">
      <c r="A826" s="1"/>
      <c r="B826" s="169"/>
      <c r="C826" s="170"/>
      <c r="D826" s="331">
        <v>819</v>
      </c>
      <c r="E826" s="544">
        <f>+DATE(YEAR(E825),MONTH(E825)-1,DAY(E825))</f>
        <v>25569.041666666668</v>
      </c>
      <c r="F826" s="333">
        <f>IF($C$6=$E826,1,IF(MONTH($E826)=1,F827*(1+$F$5),F827))</f>
      </c>
      <c r="G826" s="333">
        <f>F826*$B$8/12</f>
      </c>
      <c r="H826" s="333">
        <f>IF(F826=1,F826*$B$10/MIN(12,'Simulador - 3º Pilar'!$E$88),0)</f>
      </c>
      <c r="I826" s="560">
        <f>(1+$G$5)^(D826/12)*(H826+IF(E826=$N$7,$N$4,0))</f>
      </c>
      <c r="J826" s="561">
        <f>(1+$G$5)^(D826/12)*(H826*(12-IF(MONTH(E827)=12,0,MONTH(E827)))+IF(AND(F826=1,F827=0),$Q$4,0))*IF(AND(F826=1,F827=0),1,0)</f>
      </c>
      <c r="K826" s="217">
        <f>(1+$G$5)^(D826/12)*(IF(E826=$N$7,$N$4,0)+IF(E826=$C$6,$B$10,0))</f>
      </c>
      <c r="L826" s="217">
        <f>(1+$G$5)^(D826/12)*(IF((E826)&gt;($B$6),H826,0)+IF(E826=$N$7,$N$4,0)+IF(E826=$C$6,0,0))</f>
      </c>
      <c r="M826" s="1"/>
      <c r="N826" s="7"/>
      <c r="O826" s="1"/>
      <c r="P826" s="331">
        <v>819</v>
      </c>
      <c r="Q826" s="544">
        <f>+DATE(YEAR(Q825),MONTH(Q825)-1,DAY(Q825))</f>
        <v>25569.041666666668</v>
      </c>
      <c r="R826" s="341">
        <f>IF($Z$7=$E826,1,IF(MONTH($E826)=1,R827*(1+$F$5),R827))</f>
      </c>
      <c r="S826" s="334">
        <f>R826*$B$8/12</f>
      </c>
      <c r="T826" s="334">
        <f>R826*$B$11/12</f>
      </c>
      <c r="U826" s="565">
        <f>(1+$V$5)^(P826/12)*(T826+IF(Q826=$Z$7,$Z$4,0))</f>
      </c>
      <c r="V826" s="170"/>
      <c r="W826" s="7"/>
      <c r="X826" s="1"/>
      <c r="Y826" s="1"/>
      <c r="Z826" s="1"/>
      <c r="AA826" s="1"/>
      <c r="AB826" s="1"/>
      <c r="AC826" s="331">
        <v>819</v>
      </c>
      <c r="AD826" s="544">
        <f>+DATE(YEAR(AD825),MONTH(AD825)-1,DAY(AD825))</f>
        <v>25569.041666666668</v>
      </c>
      <c r="AE826" s="341">
        <f>IF($AM$7=$E826,1,IF(MONTH($E826)=1,AE827*(1+$F$5),AE827))</f>
      </c>
      <c r="AF826" s="334">
        <f>AE826*$B$8/12</f>
      </c>
      <c r="AG826" s="334">
        <f>AE826*$B$12/12</f>
      </c>
      <c r="AH826" s="565">
        <f>(1+$AI$5)^(AC826/12)*(AG826+IF(AD826=$AM$7,$AM$4,0))</f>
      </c>
      <c r="AI826" s="170"/>
      <c r="AJ826" s="7"/>
      <c r="AK826" s="1"/>
      <c r="AL826" s="1"/>
      <c r="AM826" s="1"/>
    </row>
    <row x14ac:dyDescent="0.25" r="827" customHeight="1" ht="18.75">
      <c r="A827" s="1"/>
      <c r="B827" s="169"/>
      <c r="C827" s="170"/>
      <c r="D827" s="331">
        <v>820</v>
      </c>
      <c r="E827" s="544">
        <f>+DATE(YEAR(E826),MONTH(E826)-1,DAY(E826))</f>
        <v>25569.041666666668</v>
      </c>
      <c r="F827" s="333">
        <f>IF($C$6=$E827,1,IF(MONTH($E827)=1,F828*(1+$F$5),F828))</f>
      </c>
      <c r="G827" s="333">
        <f>F827*$B$8/12</f>
      </c>
      <c r="H827" s="333">
        <f>IF(F827=1,F827*$B$10/MIN(12,'Simulador - 3º Pilar'!$E$88),0)</f>
      </c>
      <c r="I827" s="560">
        <f>(1+$G$5)^(D827/12)*(H827+IF(E827=$N$7,$N$4,0))</f>
      </c>
      <c r="J827" s="561">
        <f>(1+$G$5)^(D827/12)*(H827*(12-IF(MONTH(E828)=12,0,MONTH(E828)))+IF(AND(F827=1,F828=0),$Q$4,0))*IF(AND(F827=1,F828=0),1,0)</f>
      </c>
      <c r="K827" s="217">
        <f>(1+$G$5)^(D827/12)*(IF(E827=$N$7,$N$4,0)+IF(E827=$C$6,$B$10,0))</f>
      </c>
      <c r="L827" s="217">
        <f>(1+$G$5)^(D827/12)*(IF((E827)&gt;($B$6),H827,0)+IF(E827=$N$7,$N$4,0)+IF(E827=$C$6,0,0))</f>
      </c>
      <c r="M827" s="1"/>
      <c r="N827" s="7"/>
      <c r="O827" s="1"/>
      <c r="P827" s="331">
        <v>820</v>
      </c>
      <c r="Q827" s="544">
        <f>+DATE(YEAR(Q826),MONTH(Q826)-1,DAY(Q826))</f>
        <v>25569.041666666668</v>
      </c>
      <c r="R827" s="341">
        <f>IF($Z$7=$E827,1,IF(MONTH($E827)=1,R828*(1+$F$5),R828))</f>
      </c>
      <c r="S827" s="334">
        <f>R827*$B$8/12</f>
      </c>
      <c r="T827" s="334">
        <f>R827*$B$11/12</f>
      </c>
      <c r="U827" s="565">
        <f>(1+$V$5)^(P827/12)*(T827+IF(Q827=$Z$7,$Z$4,0))</f>
      </c>
      <c r="V827" s="170"/>
      <c r="W827" s="7"/>
      <c r="X827" s="1"/>
      <c r="Y827" s="1"/>
      <c r="Z827" s="1"/>
      <c r="AA827" s="1"/>
      <c r="AB827" s="1"/>
      <c r="AC827" s="331">
        <v>820</v>
      </c>
      <c r="AD827" s="544">
        <f>+DATE(YEAR(AD826),MONTH(AD826)-1,DAY(AD826))</f>
        <v>25569.041666666668</v>
      </c>
      <c r="AE827" s="341">
        <f>IF($AM$7=$E827,1,IF(MONTH($E827)=1,AE828*(1+$F$5),AE828))</f>
      </c>
      <c r="AF827" s="334">
        <f>AE827*$B$8/12</f>
      </c>
      <c r="AG827" s="334">
        <f>AE827*$B$12/12</f>
      </c>
      <c r="AH827" s="565">
        <f>(1+$AI$5)^(AC827/12)*(AG827+IF(AD827=$AM$7,$AM$4,0))</f>
      </c>
      <c r="AI827" s="170"/>
      <c r="AJ827" s="7"/>
      <c r="AK827" s="1"/>
      <c r="AL827" s="1"/>
      <c r="AM827" s="1"/>
    </row>
    <row x14ac:dyDescent="0.25" r="828" customHeight="1" ht="18.75">
      <c r="A828" s="1"/>
      <c r="B828" s="169"/>
      <c r="C828" s="170"/>
      <c r="D828" s="331">
        <v>821</v>
      </c>
      <c r="E828" s="544">
        <f>+DATE(YEAR(E827),MONTH(E827)-1,DAY(E827))</f>
        <v>25569.041666666668</v>
      </c>
      <c r="F828" s="333">
        <f>IF($C$6=$E828,1,IF(MONTH($E828)=1,F829*(1+$F$5),F829))</f>
      </c>
      <c r="G828" s="333">
        <f>F828*$B$8/12</f>
      </c>
      <c r="H828" s="333">
        <f>IF(F828=1,F828*$B$10/MIN(12,'Simulador - 3º Pilar'!$E$88),0)</f>
      </c>
      <c r="I828" s="560">
        <f>(1+$G$5)^(D828/12)*(H828+IF(E828=$N$7,$N$4,0))</f>
      </c>
      <c r="J828" s="561">
        <f>(1+$G$5)^(D828/12)*(H828*(12-IF(MONTH(E829)=12,0,MONTH(E829)))+IF(AND(F828=1,F829=0),$Q$4,0))*IF(AND(F828=1,F829=0),1,0)</f>
      </c>
      <c r="K828" s="217">
        <f>(1+$G$5)^(D828/12)*(IF(E828=$N$7,$N$4,0)+IF(E828=$C$6,$B$10,0))</f>
      </c>
      <c r="L828" s="217">
        <f>(1+$G$5)^(D828/12)*(IF((E828)&gt;($B$6),H828,0)+IF(E828=$N$7,$N$4,0)+IF(E828=$C$6,0,0))</f>
      </c>
      <c r="M828" s="1"/>
      <c r="N828" s="7"/>
      <c r="O828" s="1"/>
      <c r="P828" s="331">
        <v>821</v>
      </c>
      <c r="Q828" s="544">
        <f>+DATE(YEAR(Q827),MONTH(Q827)-1,DAY(Q827))</f>
        <v>25569.041666666668</v>
      </c>
      <c r="R828" s="341">
        <f>IF($Z$7=$E828,1,IF(MONTH($E828)=1,R829*(1+$F$5),R829))</f>
      </c>
      <c r="S828" s="334">
        <f>R828*$B$8/12</f>
      </c>
      <c r="T828" s="334">
        <f>R828*$B$11/12</f>
      </c>
      <c r="U828" s="565">
        <f>(1+$V$5)^(P828/12)*(T828+IF(Q828=$Z$7,$Z$4,0))</f>
      </c>
      <c r="V828" s="170"/>
      <c r="W828" s="7"/>
      <c r="X828" s="1"/>
      <c r="Y828" s="1"/>
      <c r="Z828" s="1"/>
      <c r="AA828" s="1"/>
      <c r="AB828" s="1"/>
      <c r="AC828" s="331">
        <v>821</v>
      </c>
      <c r="AD828" s="544">
        <f>+DATE(YEAR(AD827),MONTH(AD827)-1,DAY(AD827))</f>
        <v>25569.041666666668</v>
      </c>
      <c r="AE828" s="341">
        <f>IF($AM$7=$E828,1,IF(MONTH($E828)=1,AE829*(1+$F$5),AE829))</f>
      </c>
      <c r="AF828" s="334">
        <f>AE828*$B$8/12</f>
      </c>
      <c r="AG828" s="334">
        <f>AE828*$B$12/12</f>
      </c>
      <c r="AH828" s="565">
        <f>(1+$AI$5)^(AC828/12)*(AG828+IF(AD828=$AM$7,$AM$4,0))</f>
      </c>
      <c r="AI828" s="170"/>
      <c r="AJ828" s="7"/>
      <c r="AK828" s="1"/>
      <c r="AL828" s="1"/>
      <c r="AM828" s="1"/>
    </row>
    <row x14ac:dyDescent="0.25" r="829" customHeight="1" ht="18.75">
      <c r="A829" s="1"/>
      <c r="B829" s="169"/>
      <c r="C829" s="170"/>
      <c r="D829" s="331">
        <v>822</v>
      </c>
      <c r="E829" s="544">
        <f>+DATE(YEAR(E828),MONTH(E828)-1,DAY(E828))</f>
        <v>25569.041666666668</v>
      </c>
      <c r="F829" s="333">
        <f>IF($C$6=$E829,1,IF(MONTH($E829)=1,F830*(1+$F$5),F830))</f>
      </c>
      <c r="G829" s="333">
        <f>F829*$B$8/12</f>
      </c>
      <c r="H829" s="333">
        <f>IF(F829=1,F829*$B$10/MIN(12,'Simulador - 3º Pilar'!$E$88),0)</f>
      </c>
      <c r="I829" s="560">
        <f>(1+$G$5)^(D829/12)*(H829+IF(E829=$N$7,$N$4,0))</f>
      </c>
      <c r="J829" s="561">
        <f>(1+$G$5)^(D829/12)*(H829*(12-IF(MONTH(E830)=12,0,MONTH(E830)))+IF(AND(F829=1,F830=0),$Q$4,0))*IF(AND(F829=1,F830=0),1,0)</f>
      </c>
      <c r="K829" s="217">
        <f>(1+$G$5)^(D829/12)*(IF(E829=$N$7,$N$4,0)+IF(E829=$C$6,$B$10,0))</f>
      </c>
      <c r="L829" s="217">
        <f>(1+$G$5)^(D829/12)*(IF((E829)&gt;($B$6),H829,0)+IF(E829=$N$7,$N$4,0)+IF(E829=$C$6,0,0))</f>
      </c>
      <c r="M829" s="1"/>
      <c r="N829" s="7"/>
      <c r="O829" s="1"/>
      <c r="P829" s="331">
        <v>822</v>
      </c>
      <c r="Q829" s="544">
        <f>+DATE(YEAR(Q828),MONTH(Q828)-1,DAY(Q828))</f>
        <v>25569.041666666668</v>
      </c>
      <c r="R829" s="341">
        <f>IF($Z$7=$E829,1,IF(MONTH($E829)=1,R830*(1+$F$5),R830))</f>
      </c>
      <c r="S829" s="334">
        <f>R829*$B$8/12</f>
      </c>
      <c r="T829" s="334">
        <f>R829*$B$11/12</f>
      </c>
      <c r="U829" s="565">
        <f>(1+$V$5)^(P829/12)*(T829+IF(Q829=$Z$7,$Z$4,0))</f>
      </c>
      <c r="V829" s="170"/>
      <c r="W829" s="7"/>
      <c r="X829" s="1"/>
      <c r="Y829" s="1"/>
      <c r="Z829" s="1"/>
      <c r="AA829" s="1"/>
      <c r="AB829" s="1"/>
      <c r="AC829" s="331">
        <v>822</v>
      </c>
      <c r="AD829" s="544">
        <f>+DATE(YEAR(AD828),MONTH(AD828)-1,DAY(AD828))</f>
        <v>25569.041666666668</v>
      </c>
      <c r="AE829" s="341">
        <f>IF($AM$7=$E829,1,IF(MONTH($E829)=1,AE830*(1+$F$5),AE830))</f>
      </c>
      <c r="AF829" s="334">
        <f>AE829*$B$8/12</f>
      </c>
      <c r="AG829" s="334">
        <f>AE829*$B$12/12</f>
      </c>
      <c r="AH829" s="565">
        <f>(1+$AI$5)^(AC829/12)*(AG829+IF(AD829=$AM$7,$AM$4,0))</f>
      </c>
      <c r="AI829" s="170"/>
      <c r="AJ829" s="7"/>
      <c r="AK829" s="1"/>
      <c r="AL829" s="1"/>
      <c r="AM829" s="1"/>
    </row>
    <row x14ac:dyDescent="0.25" r="830" customHeight="1" ht="18.75">
      <c r="A830" s="1"/>
      <c r="B830" s="169"/>
      <c r="C830" s="170"/>
      <c r="D830" s="331">
        <v>823</v>
      </c>
      <c r="E830" s="544">
        <f>+DATE(YEAR(E829),MONTH(E829)-1,DAY(E829))</f>
        <v>25569.041666666668</v>
      </c>
      <c r="F830" s="333">
        <f>IF($C$6=$E830,1,IF(MONTH($E830)=1,F831*(1+$F$5),F831))</f>
      </c>
      <c r="G830" s="333">
        <f>F830*$B$8/12</f>
      </c>
      <c r="H830" s="333">
        <f>IF(F830=1,F830*$B$10/MIN(12,'Simulador - 3º Pilar'!$E$88),0)</f>
      </c>
      <c r="I830" s="560">
        <f>(1+$G$5)^(D830/12)*(H830+IF(E830=$N$7,$N$4,0))</f>
      </c>
      <c r="J830" s="561">
        <f>(1+$G$5)^(D830/12)*(H830*(12-IF(MONTH(E831)=12,0,MONTH(E831)))+IF(AND(F830=1,F831=0),$Q$4,0))*IF(AND(F830=1,F831=0),1,0)</f>
      </c>
      <c r="K830" s="217">
        <f>(1+$G$5)^(D830/12)*(IF(E830=$N$7,$N$4,0)+IF(E830=$C$6,$B$10,0))</f>
      </c>
      <c r="L830" s="217">
        <f>(1+$G$5)^(D830/12)*(IF((E830)&gt;($B$6),H830,0)+IF(E830=$N$7,$N$4,0)+IF(E830=$C$6,0,0))</f>
      </c>
      <c r="M830" s="1"/>
      <c r="N830" s="7"/>
      <c r="O830" s="1"/>
      <c r="P830" s="331">
        <v>823</v>
      </c>
      <c r="Q830" s="544">
        <f>+DATE(YEAR(Q829),MONTH(Q829)-1,DAY(Q829))</f>
        <v>25569.041666666668</v>
      </c>
      <c r="R830" s="341">
        <f>IF($Z$7=$E830,1,IF(MONTH($E830)=1,R831*(1+$F$5),R831))</f>
      </c>
      <c r="S830" s="334">
        <f>R830*$B$8/12</f>
      </c>
      <c r="T830" s="334">
        <f>R830*$B$11/12</f>
      </c>
      <c r="U830" s="565">
        <f>(1+$V$5)^(P830/12)*(T830+IF(Q830=$Z$7,$Z$4,0))</f>
      </c>
      <c r="V830" s="170"/>
      <c r="W830" s="7"/>
      <c r="X830" s="1"/>
      <c r="Y830" s="1"/>
      <c r="Z830" s="1"/>
      <c r="AA830" s="1"/>
      <c r="AB830" s="1"/>
      <c r="AC830" s="331">
        <v>823</v>
      </c>
      <c r="AD830" s="544">
        <f>+DATE(YEAR(AD829),MONTH(AD829)-1,DAY(AD829))</f>
        <v>25569.041666666668</v>
      </c>
      <c r="AE830" s="341">
        <f>IF($AM$7=$E830,1,IF(MONTH($E830)=1,AE831*(1+$F$5),AE831))</f>
      </c>
      <c r="AF830" s="334">
        <f>AE830*$B$8/12</f>
      </c>
      <c r="AG830" s="334">
        <f>AE830*$B$12/12</f>
      </c>
      <c r="AH830" s="565">
        <f>(1+$AI$5)^(AC830/12)*(AG830+IF(AD830=$AM$7,$AM$4,0))</f>
      </c>
      <c r="AI830" s="170"/>
      <c r="AJ830" s="7"/>
      <c r="AK830" s="1"/>
      <c r="AL830" s="1"/>
      <c r="AM830" s="1"/>
    </row>
    <row x14ac:dyDescent="0.25" r="831" customHeight="1" ht="18.75">
      <c r="A831" s="1"/>
      <c r="B831" s="169"/>
      <c r="C831" s="170"/>
      <c r="D831" s="331">
        <v>824</v>
      </c>
      <c r="E831" s="544">
        <f>+DATE(YEAR(E830),MONTH(E830)-1,DAY(E830))</f>
        <v>25569.041666666668</v>
      </c>
      <c r="F831" s="333">
        <f>IF($C$6=$E831,1,IF(MONTH($E831)=1,F832*(1+$F$5),F832))</f>
      </c>
      <c r="G831" s="333">
        <f>F831*$B$8/12</f>
      </c>
      <c r="H831" s="333">
        <f>IF(F831=1,F831*$B$10/MIN(12,'Simulador - 3º Pilar'!$E$88),0)</f>
      </c>
      <c r="I831" s="560">
        <f>(1+$G$5)^(D831/12)*(H831+IF(E831=$N$7,$N$4,0))</f>
      </c>
      <c r="J831" s="561">
        <f>(1+$G$5)^(D831/12)*(H831*(12-IF(MONTH(E832)=12,0,MONTH(E832)))+IF(AND(F831=1,F832=0),$Q$4,0))*IF(AND(F831=1,F832=0),1,0)</f>
      </c>
      <c r="K831" s="217">
        <f>(1+$G$5)^(D831/12)*(IF(E831=$N$7,$N$4,0)+IF(E831=$C$6,$B$10,0))</f>
      </c>
      <c r="L831" s="217">
        <f>(1+$G$5)^(D831/12)*(IF((E831)&gt;($B$6),H831,0)+IF(E831=$N$7,$N$4,0)+IF(E831=$C$6,0,0))</f>
      </c>
      <c r="M831" s="1"/>
      <c r="N831" s="7"/>
      <c r="O831" s="1"/>
      <c r="P831" s="331">
        <v>824</v>
      </c>
      <c r="Q831" s="544">
        <f>+DATE(YEAR(Q830),MONTH(Q830)-1,DAY(Q830))</f>
        <v>25569.041666666668</v>
      </c>
      <c r="R831" s="341">
        <f>IF($Z$7=$E831,1,IF(MONTH($E831)=1,R832*(1+$F$5),R832))</f>
      </c>
      <c r="S831" s="334">
        <f>R831*$B$8/12</f>
      </c>
      <c r="T831" s="334">
        <f>R831*$B$11/12</f>
      </c>
      <c r="U831" s="565">
        <f>(1+$V$5)^(P831/12)*(T831+IF(Q831=$Z$7,$Z$4,0))</f>
      </c>
      <c r="V831" s="170"/>
      <c r="W831" s="7"/>
      <c r="X831" s="1"/>
      <c r="Y831" s="1"/>
      <c r="Z831" s="1"/>
      <c r="AA831" s="1"/>
      <c r="AB831" s="1"/>
      <c r="AC831" s="331">
        <v>824</v>
      </c>
      <c r="AD831" s="544">
        <f>+DATE(YEAR(AD830),MONTH(AD830)-1,DAY(AD830))</f>
        <v>25569.041666666668</v>
      </c>
      <c r="AE831" s="341">
        <f>IF($AM$7=$E831,1,IF(MONTH($E831)=1,AE832*(1+$F$5),AE832))</f>
      </c>
      <c r="AF831" s="334">
        <f>AE831*$B$8/12</f>
      </c>
      <c r="AG831" s="334">
        <f>AE831*$B$12/12</f>
      </c>
      <c r="AH831" s="565">
        <f>(1+$AI$5)^(AC831/12)*(AG831+IF(AD831=$AM$7,$AM$4,0))</f>
      </c>
      <c r="AI831" s="170"/>
      <c r="AJ831" s="7"/>
      <c r="AK831" s="1"/>
      <c r="AL831" s="1"/>
      <c r="AM831" s="1"/>
    </row>
    <row x14ac:dyDescent="0.25" r="832" customHeight="1" ht="18.75">
      <c r="A832" s="1"/>
      <c r="B832" s="169"/>
      <c r="C832" s="170"/>
      <c r="D832" s="331">
        <v>825</v>
      </c>
      <c r="E832" s="544">
        <f>+DATE(YEAR(E831),MONTH(E831)-1,DAY(E831))</f>
        <v>25569.041666666668</v>
      </c>
      <c r="F832" s="333">
        <f>IF($C$6=$E832,1,IF(MONTH($E832)=1,F833*(1+$F$5),F833))</f>
      </c>
      <c r="G832" s="333">
        <f>F832*$B$8/12</f>
      </c>
      <c r="H832" s="333">
        <f>IF(F832=1,F832*$B$10/MIN(12,'Simulador - 3º Pilar'!$E$88),0)</f>
      </c>
      <c r="I832" s="560">
        <f>(1+$G$5)^(D832/12)*(H832+IF(E832=$N$7,$N$4,0))</f>
      </c>
      <c r="J832" s="561">
        <f>(1+$G$5)^(D832/12)*(H832*(12-IF(MONTH(E833)=12,0,MONTH(E833)))+IF(AND(F832=1,F833=0),$Q$4,0))*IF(AND(F832=1,F833=0),1,0)</f>
      </c>
      <c r="K832" s="217">
        <f>(1+$G$5)^(D832/12)*(IF(E832=$N$7,$N$4,0)+IF(E832=$C$6,$B$10,0))</f>
      </c>
      <c r="L832" s="217">
        <f>(1+$G$5)^(D832/12)*(IF((E832)&gt;($B$6),H832,0)+IF(E832=$N$7,$N$4,0)+IF(E832=$C$6,0,0))</f>
      </c>
      <c r="M832" s="1"/>
      <c r="N832" s="7"/>
      <c r="O832" s="1"/>
      <c r="P832" s="331">
        <v>825</v>
      </c>
      <c r="Q832" s="544">
        <f>+DATE(YEAR(Q831),MONTH(Q831)-1,DAY(Q831))</f>
        <v>25569.041666666668</v>
      </c>
      <c r="R832" s="341">
        <f>IF($Z$7=$E832,1,IF(MONTH($E832)=1,R833*(1+$F$5),R833))</f>
      </c>
      <c r="S832" s="334">
        <f>R832*$B$8/12</f>
      </c>
      <c r="T832" s="334">
        <f>R832*$B$11/12</f>
      </c>
      <c r="U832" s="565">
        <f>(1+$V$5)^(P832/12)*(T832+IF(Q832=$Z$7,$Z$4,0))</f>
      </c>
      <c r="V832" s="170"/>
      <c r="W832" s="7"/>
      <c r="X832" s="1"/>
      <c r="Y832" s="1"/>
      <c r="Z832" s="1"/>
      <c r="AA832" s="1"/>
      <c r="AB832" s="1"/>
      <c r="AC832" s="331">
        <v>825</v>
      </c>
      <c r="AD832" s="544">
        <f>+DATE(YEAR(AD831),MONTH(AD831)-1,DAY(AD831))</f>
        <v>25569.041666666668</v>
      </c>
      <c r="AE832" s="341">
        <f>IF($AM$7=$E832,1,IF(MONTH($E832)=1,AE833*(1+$F$5),AE833))</f>
      </c>
      <c r="AF832" s="334">
        <f>AE832*$B$8/12</f>
      </c>
      <c r="AG832" s="334">
        <f>AE832*$B$12/12</f>
      </c>
      <c r="AH832" s="565">
        <f>(1+$AI$5)^(AC832/12)*(AG832+IF(AD832=$AM$7,$AM$4,0))</f>
      </c>
      <c r="AI832" s="170"/>
      <c r="AJ832" s="7"/>
      <c r="AK832" s="1"/>
      <c r="AL832" s="1"/>
      <c r="AM832" s="1"/>
    </row>
    <row x14ac:dyDescent="0.25" r="833" customHeight="1" ht="18.75">
      <c r="A833" s="1"/>
      <c r="B833" s="169"/>
      <c r="C833" s="170"/>
      <c r="D833" s="331">
        <v>826</v>
      </c>
      <c r="E833" s="544">
        <f>+DATE(YEAR(E832),MONTH(E832)-1,DAY(E832))</f>
        <v>25569.041666666668</v>
      </c>
      <c r="F833" s="333">
        <f>IF($C$6=$E833,1,IF(MONTH($E833)=1,F834*(1+$F$5),F834))</f>
      </c>
      <c r="G833" s="333">
        <f>F833*$B$8/12</f>
      </c>
      <c r="H833" s="333">
        <f>IF(F833=1,F833*$B$10/MIN(12,'Simulador - 3º Pilar'!$E$88),0)</f>
      </c>
      <c r="I833" s="560">
        <f>(1+$G$5)^(D833/12)*(H833+IF(E833=$N$7,$N$4,0))</f>
      </c>
      <c r="J833" s="561">
        <f>(1+$G$5)^(D833/12)*(H833*(12-IF(MONTH(E834)=12,0,MONTH(E834)))+IF(AND(F833=1,F834=0),$Q$4,0))*IF(AND(F833=1,F834=0),1,0)</f>
      </c>
      <c r="K833" s="217">
        <f>(1+$G$5)^(D833/12)*(IF(E833=$N$7,$N$4,0)+IF(E833=$C$6,$B$10,0))</f>
      </c>
      <c r="L833" s="217">
        <f>(1+$G$5)^(D833/12)*(IF((E833)&gt;($B$6),H833,0)+IF(E833=$N$7,$N$4,0)+IF(E833=$C$6,0,0))</f>
      </c>
      <c r="M833" s="1"/>
      <c r="N833" s="7"/>
      <c r="O833" s="1"/>
      <c r="P833" s="331">
        <v>826</v>
      </c>
      <c r="Q833" s="544">
        <f>+DATE(YEAR(Q832),MONTH(Q832)-1,DAY(Q832))</f>
        <v>25569.041666666668</v>
      </c>
      <c r="R833" s="341">
        <f>IF($Z$7=$E833,1,IF(MONTH($E833)=1,R834*(1+$F$5),R834))</f>
      </c>
      <c r="S833" s="334">
        <f>R833*$B$8/12</f>
      </c>
      <c r="T833" s="334">
        <f>R833*$B$11/12</f>
      </c>
      <c r="U833" s="565">
        <f>(1+$V$5)^(P833/12)*(T833+IF(Q833=$Z$7,$Z$4,0))</f>
      </c>
      <c r="V833" s="170"/>
      <c r="W833" s="7"/>
      <c r="X833" s="1"/>
      <c r="Y833" s="1"/>
      <c r="Z833" s="1"/>
      <c r="AA833" s="1"/>
      <c r="AB833" s="1"/>
      <c r="AC833" s="331">
        <v>826</v>
      </c>
      <c r="AD833" s="544">
        <f>+DATE(YEAR(AD832),MONTH(AD832)-1,DAY(AD832))</f>
        <v>25569.041666666668</v>
      </c>
      <c r="AE833" s="341">
        <f>IF($AM$7=$E833,1,IF(MONTH($E833)=1,AE834*(1+$F$5),AE834))</f>
      </c>
      <c r="AF833" s="334">
        <f>AE833*$B$8/12</f>
      </c>
      <c r="AG833" s="334">
        <f>AE833*$B$12/12</f>
      </c>
      <c r="AH833" s="565">
        <f>(1+$AI$5)^(AC833/12)*(AG833+IF(AD833=$AM$7,$AM$4,0))</f>
      </c>
      <c r="AI833" s="170"/>
      <c r="AJ833" s="7"/>
      <c r="AK833" s="1"/>
      <c r="AL833" s="1"/>
      <c r="AM833" s="1"/>
    </row>
    <row x14ac:dyDescent="0.25" r="834" customHeight="1" ht="18.75">
      <c r="A834" s="1"/>
      <c r="B834" s="169"/>
      <c r="C834" s="170"/>
      <c r="D834" s="331">
        <v>827</v>
      </c>
      <c r="E834" s="544">
        <f>+DATE(YEAR(E833),MONTH(E833)-1,DAY(E833))</f>
        <v>25569.041666666668</v>
      </c>
      <c r="F834" s="333">
        <f>IF($C$6=$E834,1,IF(MONTH($E834)=1,F835*(1+$F$5),F835))</f>
      </c>
      <c r="G834" s="333">
        <f>F834*$B$8/12</f>
      </c>
      <c r="H834" s="333">
        <f>IF(F834=1,F834*$B$10/MIN(12,'Simulador - 3º Pilar'!$E$88),0)</f>
      </c>
      <c r="I834" s="560">
        <f>(1+$G$5)^(D834/12)*(H834+IF(E834=$N$7,$N$4,0))</f>
      </c>
      <c r="J834" s="561">
        <f>(1+$G$5)^(D834/12)*(H834*(12-IF(MONTH(E835)=12,0,MONTH(E835)))+IF(AND(F834=1,F835=0),$Q$4,0))*IF(AND(F834=1,F835=0),1,0)</f>
      </c>
      <c r="K834" s="217">
        <f>(1+$G$5)^(D834/12)*(IF(E834=$N$7,$N$4,0)+IF(E834=$C$6,$B$10,0))</f>
      </c>
      <c r="L834" s="217">
        <f>(1+$G$5)^(D834/12)*(IF((E834)&gt;($B$6),H834,0)+IF(E834=$N$7,$N$4,0)+IF(E834=$C$6,0,0))</f>
      </c>
      <c r="M834" s="1"/>
      <c r="N834" s="7"/>
      <c r="O834" s="1"/>
      <c r="P834" s="331">
        <v>827</v>
      </c>
      <c r="Q834" s="544">
        <f>+DATE(YEAR(Q833),MONTH(Q833)-1,DAY(Q833))</f>
        <v>25569.041666666668</v>
      </c>
      <c r="R834" s="341">
        <f>IF($Z$7=$E834,1,IF(MONTH($E834)=1,R835*(1+$F$5),R835))</f>
      </c>
      <c r="S834" s="334">
        <f>R834*$B$8/12</f>
      </c>
      <c r="T834" s="334">
        <f>R834*$B$11/12</f>
      </c>
      <c r="U834" s="565">
        <f>(1+$V$5)^(P834/12)*(T834+IF(Q834=$Z$7,$Z$4,0))</f>
      </c>
      <c r="V834" s="170"/>
      <c r="W834" s="7"/>
      <c r="X834" s="1"/>
      <c r="Y834" s="1"/>
      <c r="Z834" s="1"/>
      <c r="AA834" s="1"/>
      <c r="AB834" s="1"/>
      <c r="AC834" s="331">
        <v>827</v>
      </c>
      <c r="AD834" s="544">
        <f>+DATE(YEAR(AD833),MONTH(AD833)-1,DAY(AD833))</f>
        <v>25569.041666666668</v>
      </c>
      <c r="AE834" s="341">
        <f>IF($AM$7=$E834,1,IF(MONTH($E834)=1,AE835*(1+$F$5),AE835))</f>
      </c>
      <c r="AF834" s="334">
        <f>AE834*$B$8/12</f>
      </c>
      <c r="AG834" s="334">
        <f>AE834*$B$12/12</f>
      </c>
      <c r="AH834" s="565">
        <f>(1+$AI$5)^(AC834/12)*(AG834+IF(AD834=$AM$7,$AM$4,0))</f>
      </c>
      <c r="AI834" s="170"/>
      <c r="AJ834" s="7"/>
      <c r="AK834" s="1"/>
      <c r="AL834" s="1"/>
      <c r="AM834" s="1"/>
    </row>
    <row x14ac:dyDescent="0.25" r="835" customHeight="1" ht="18.75">
      <c r="A835" s="1"/>
      <c r="B835" s="169"/>
      <c r="C835" s="170"/>
      <c r="D835" s="331">
        <v>828</v>
      </c>
      <c r="E835" s="544">
        <f>+DATE(YEAR(E834),MONTH(E834)-1,DAY(E834))</f>
        <v>25569.041666666668</v>
      </c>
      <c r="F835" s="333">
        <f>IF($C$6=$E835,1,IF(MONTH($E835)=1,F836*(1+$F$5),F836))</f>
      </c>
      <c r="G835" s="333">
        <f>F835*$B$8/12</f>
      </c>
      <c r="H835" s="333">
        <f>IF(F835=1,F835*$B$10/MIN(12,'Simulador - 3º Pilar'!$E$88),0)</f>
      </c>
      <c r="I835" s="560">
        <f>(1+$G$5)^(D835/12)*(H835+IF(E835=$N$7,$N$4,0))</f>
      </c>
      <c r="J835" s="561">
        <f>(1+$G$5)^(D835/12)*(H835*(12-IF(MONTH(E836)=12,0,MONTH(E836)))+IF(AND(F835=1,F836=0),$Q$4,0))*IF(AND(F835=1,F836=0),1,0)</f>
      </c>
      <c r="K835" s="217">
        <f>(1+$G$5)^(D835/12)*(IF(E835=$N$7,$N$4,0)+IF(E835=$C$6,$B$10,0))</f>
      </c>
      <c r="L835" s="217">
        <f>(1+$G$5)^(D835/12)*(IF((E835)&gt;($B$6),H835,0)+IF(E835=$N$7,$N$4,0)+IF(E835=$C$6,0,0))</f>
      </c>
      <c r="M835" s="1"/>
      <c r="N835" s="7"/>
      <c r="O835" s="1"/>
      <c r="P835" s="331">
        <v>828</v>
      </c>
      <c r="Q835" s="544">
        <f>+DATE(YEAR(Q834),MONTH(Q834)-1,DAY(Q834))</f>
        <v>25569.041666666668</v>
      </c>
      <c r="R835" s="341">
        <f>IF($Z$7=$E835,1,IF(MONTH($E835)=1,R836*(1+$F$5),R836))</f>
      </c>
      <c r="S835" s="334">
        <f>R835*$B$8/12</f>
      </c>
      <c r="T835" s="334">
        <f>R835*$B$11/12</f>
      </c>
      <c r="U835" s="565">
        <f>(1+$V$5)^(P835/12)*(T835+IF(Q835=$Z$7,$Z$4,0))</f>
      </c>
      <c r="V835" s="170"/>
      <c r="W835" s="7"/>
      <c r="X835" s="1"/>
      <c r="Y835" s="1"/>
      <c r="Z835" s="1"/>
      <c r="AA835" s="1"/>
      <c r="AB835" s="1"/>
      <c r="AC835" s="331">
        <v>828</v>
      </c>
      <c r="AD835" s="544">
        <f>+DATE(YEAR(AD834),MONTH(AD834)-1,DAY(AD834))</f>
        <v>25569.041666666668</v>
      </c>
      <c r="AE835" s="341">
        <f>IF($AM$7=$E835,1,IF(MONTH($E835)=1,AE836*(1+$F$5),AE836))</f>
      </c>
      <c r="AF835" s="334">
        <f>AE835*$B$8/12</f>
      </c>
      <c r="AG835" s="334">
        <f>AE835*$B$12/12</f>
      </c>
      <c r="AH835" s="565">
        <f>(1+$AI$5)^(AC835/12)*(AG835+IF(AD835=$AM$7,$AM$4,0))</f>
      </c>
      <c r="AI835" s="170"/>
      <c r="AJ835" s="7"/>
      <c r="AK835" s="1"/>
      <c r="AL835" s="1"/>
      <c r="AM835" s="1"/>
    </row>
    <row x14ac:dyDescent="0.25" r="836" customHeight="1" ht="18.75">
      <c r="A836" s="1"/>
      <c r="B836" s="169"/>
      <c r="C836" s="170"/>
      <c r="D836" s="331">
        <v>829</v>
      </c>
      <c r="E836" s="544">
        <f>+DATE(YEAR(E835),MONTH(E835)-1,DAY(E835))</f>
        <v>25569.041666666668</v>
      </c>
      <c r="F836" s="333">
        <f>IF($C$6=$E836,1,IF(MONTH($E836)=1,F837*(1+$F$5),F837))</f>
      </c>
      <c r="G836" s="333">
        <f>F836*$B$8/12</f>
      </c>
      <c r="H836" s="333">
        <f>IF(F836=1,F836*$B$10/MIN(12,'Simulador - 3º Pilar'!$E$88),0)</f>
      </c>
      <c r="I836" s="560">
        <f>(1+$G$5)^(D836/12)*(H836+IF(E836=$N$7,$N$4,0))</f>
      </c>
      <c r="J836" s="561">
        <f>(1+$G$5)^(D836/12)*(H836*(12-IF(MONTH(E837)=12,0,MONTH(E837)))+IF(AND(F836=1,F837=0),$Q$4,0))*IF(AND(F836=1,F837=0),1,0)</f>
      </c>
      <c r="K836" s="217">
        <f>(1+$G$5)^(D836/12)*(IF(E836=$N$7,$N$4,0)+IF(E836=$C$6,$B$10,0))</f>
      </c>
      <c r="L836" s="217">
        <f>(1+$G$5)^(D836/12)*(IF((E836)&gt;($B$6),H836,0)+IF(E836=$N$7,$N$4,0)+IF(E836=$C$6,0,0))</f>
      </c>
      <c r="M836" s="1"/>
      <c r="N836" s="7"/>
      <c r="O836" s="1"/>
      <c r="P836" s="331">
        <v>829</v>
      </c>
      <c r="Q836" s="544">
        <f>+DATE(YEAR(Q835),MONTH(Q835)-1,DAY(Q835))</f>
        <v>25569.041666666668</v>
      </c>
      <c r="R836" s="341">
        <f>IF($Z$7=$E836,1,IF(MONTH($E836)=1,R837*(1+$F$5),R837))</f>
      </c>
      <c r="S836" s="334">
        <f>R836*$B$8/12</f>
      </c>
      <c r="T836" s="334">
        <f>R836*$B$11/12</f>
      </c>
      <c r="U836" s="565">
        <f>(1+$V$5)^(P836/12)*(T836+IF(Q836=$Z$7,$Z$4,0))</f>
      </c>
      <c r="V836" s="170"/>
      <c r="W836" s="7"/>
      <c r="X836" s="1"/>
      <c r="Y836" s="1"/>
      <c r="Z836" s="1"/>
      <c r="AA836" s="1"/>
      <c r="AB836" s="1"/>
      <c r="AC836" s="331">
        <v>829</v>
      </c>
      <c r="AD836" s="544">
        <f>+DATE(YEAR(AD835),MONTH(AD835)-1,DAY(AD835))</f>
        <v>25569.041666666668</v>
      </c>
      <c r="AE836" s="341">
        <f>IF($AM$7=$E836,1,IF(MONTH($E836)=1,AE837*(1+$F$5),AE837))</f>
      </c>
      <c r="AF836" s="334">
        <f>AE836*$B$8/12</f>
      </c>
      <c r="AG836" s="334">
        <f>AE836*$B$12/12</f>
      </c>
      <c r="AH836" s="565">
        <f>(1+$AI$5)^(AC836/12)*(AG836+IF(AD836=$AM$7,$AM$4,0))</f>
      </c>
      <c r="AI836" s="170"/>
      <c r="AJ836" s="7"/>
      <c r="AK836" s="1"/>
      <c r="AL836" s="1"/>
      <c r="AM836" s="1"/>
    </row>
    <row x14ac:dyDescent="0.25" r="837" customHeight="1" ht="18.75">
      <c r="A837" s="1"/>
      <c r="B837" s="169"/>
      <c r="C837" s="170"/>
      <c r="D837" s="331">
        <v>830</v>
      </c>
      <c r="E837" s="544">
        <f>+DATE(YEAR(E836),MONTH(E836)-1,DAY(E836))</f>
        <v>25569.041666666668</v>
      </c>
      <c r="F837" s="333">
        <f>IF($C$6=$E837,1,IF(MONTH($E837)=1,F838*(1+$F$5),F838))</f>
      </c>
      <c r="G837" s="333">
        <f>F837*$B$8/12</f>
      </c>
      <c r="H837" s="333">
        <f>IF(F837=1,F837*$B$10/MIN(12,'Simulador - 3º Pilar'!$E$88),0)</f>
      </c>
      <c r="I837" s="560">
        <f>(1+$G$5)^(D837/12)*(H837+IF(E837=$N$7,$N$4,0))</f>
      </c>
      <c r="J837" s="561">
        <f>(1+$G$5)^(D837/12)*(H837*(12-IF(MONTH(E838)=12,0,MONTH(E838)))+IF(AND(F837=1,F838=0),$Q$4,0))*IF(AND(F837=1,F838=0),1,0)</f>
      </c>
      <c r="K837" s="217">
        <f>(1+$G$5)^(D837/12)*(IF(E837=$N$7,$N$4,0)+IF(E837=$C$6,$B$10,0))</f>
      </c>
      <c r="L837" s="217">
        <f>(1+$G$5)^(D837/12)*(IF((E837)&gt;($B$6),H837,0)+IF(E837=$N$7,$N$4,0)+IF(E837=$C$6,0,0))</f>
      </c>
      <c r="M837" s="1"/>
      <c r="N837" s="7"/>
      <c r="O837" s="1"/>
      <c r="P837" s="331">
        <v>830</v>
      </c>
      <c r="Q837" s="544">
        <f>+DATE(YEAR(Q836),MONTH(Q836)-1,DAY(Q836))</f>
        <v>25569.041666666668</v>
      </c>
      <c r="R837" s="341">
        <f>IF($Z$7=$E837,1,IF(MONTH($E837)=1,R838*(1+$F$5),R838))</f>
      </c>
      <c r="S837" s="334">
        <f>R837*$B$8/12</f>
      </c>
      <c r="T837" s="334">
        <f>R837*$B$11/12</f>
      </c>
      <c r="U837" s="565">
        <f>(1+$V$5)^(P837/12)*(T837+IF(Q837=$Z$7,$Z$4,0))</f>
      </c>
      <c r="V837" s="170"/>
      <c r="W837" s="7"/>
      <c r="X837" s="1"/>
      <c r="Y837" s="1"/>
      <c r="Z837" s="1"/>
      <c r="AA837" s="1"/>
      <c r="AB837" s="1"/>
      <c r="AC837" s="331">
        <v>830</v>
      </c>
      <c r="AD837" s="544">
        <f>+DATE(YEAR(AD836),MONTH(AD836)-1,DAY(AD836))</f>
        <v>25569.041666666668</v>
      </c>
      <c r="AE837" s="341">
        <f>IF($AM$7=$E837,1,IF(MONTH($E837)=1,AE838*(1+$F$5),AE838))</f>
      </c>
      <c r="AF837" s="334">
        <f>AE837*$B$8/12</f>
      </c>
      <c r="AG837" s="334">
        <f>AE837*$B$12/12</f>
      </c>
      <c r="AH837" s="565">
        <f>(1+$AI$5)^(AC837/12)*(AG837+IF(AD837=$AM$7,$AM$4,0))</f>
      </c>
      <c r="AI837" s="170"/>
      <c r="AJ837" s="7"/>
      <c r="AK837" s="1"/>
      <c r="AL837" s="1"/>
      <c r="AM837" s="1"/>
    </row>
    <row x14ac:dyDescent="0.25" r="838" customHeight="1" ht="18.75">
      <c r="A838" s="1"/>
      <c r="B838" s="169"/>
      <c r="C838" s="170"/>
      <c r="D838" s="331">
        <v>831</v>
      </c>
      <c r="E838" s="544">
        <f>+DATE(YEAR(E837),MONTH(E837)-1,DAY(E837))</f>
        <v>25569.041666666668</v>
      </c>
      <c r="F838" s="333">
        <f>IF($C$6=$E838,1,IF(MONTH($E838)=1,F839*(1+$F$5),F839))</f>
      </c>
      <c r="G838" s="333">
        <f>F838*$B$8/12</f>
      </c>
      <c r="H838" s="333">
        <f>IF(F838=1,F838*$B$10/MIN(12,'Simulador - 3º Pilar'!$E$88),0)</f>
      </c>
      <c r="I838" s="560">
        <f>(1+$G$5)^(D838/12)*(H838+IF(E838=$N$7,$N$4,0))</f>
      </c>
      <c r="J838" s="561">
        <f>(1+$G$5)^(D838/12)*(H838*(12-IF(MONTH(E839)=12,0,MONTH(E839)))+IF(AND(F838=1,F839=0),$Q$4,0))*IF(AND(F838=1,F839=0),1,0)</f>
      </c>
      <c r="K838" s="217">
        <f>(1+$G$5)^(D838/12)*(IF(E838=$N$7,$N$4,0)+IF(E838=$C$6,$B$10,0))</f>
      </c>
      <c r="L838" s="217">
        <f>(1+$G$5)^(D838/12)*(IF((E838)&gt;($B$6),H838,0)+IF(E838=$N$7,$N$4,0)+IF(E838=$C$6,0,0))</f>
      </c>
      <c r="M838" s="1"/>
      <c r="N838" s="7"/>
      <c r="O838" s="1"/>
      <c r="P838" s="331">
        <v>831</v>
      </c>
      <c r="Q838" s="544">
        <f>+DATE(YEAR(Q837),MONTH(Q837)-1,DAY(Q837))</f>
        <v>25569.041666666668</v>
      </c>
      <c r="R838" s="341">
        <f>IF($Z$7=$E838,1,IF(MONTH($E838)=1,R839*(1+$F$5),R839))</f>
      </c>
      <c r="S838" s="334">
        <f>R838*$B$8/12</f>
      </c>
      <c r="T838" s="334">
        <f>R838*$B$11/12</f>
      </c>
      <c r="U838" s="565">
        <f>(1+$V$5)^(P838/12)*(T838+IF(Q838=$Z$7,$Z$4,0))</f>
      </c>
      <c r="V838" s="170"/>
      <c r="W838" s="7"/>
      <c r="X838" s="1"/>
      <c r="Y838" s="1"/>
      <c r="Z838" s="1"/>
      <c r="AA838" s="1"/>
      <c r="AB838" s="1"/>
      <c r="AC838" s="331">
        <v>831</v>
      </c>
      <c r="AD838" s="544">
        <f>+DATE(YEAR(AD837),MONTH(AD837)-1,DAY(AD837))</f>
        <v>25569.041666666668</v>
      </c>
      <c r="AE838" s="341">
        <f>IF($AM$7=$E838,1,IF(MONTH($E838)=1,AE839*(1+$F$5),AE839))</f>
      </c>
      <c r="AF838" s="334">
        <f>AE838*$B$8/12</f>
      </c>
      <c r="AG838" s="334">
        <f>AE838*$B$12/12</f>
      </c>
      <c r="AH838" s="565">
        <f>(1+$AI$5)^(AC838/12)*(AG838+IF(AD838=$AM$7,$AM$4,0))</f>
      </c>
      <c r="AI838" s="170"/>
      <c r="AJ838" s="7"/>
      <c r="AK838" s="1"/>
      <c r="AL838" s="1"/>
      <c r="AM838" s="1"/>
    </row>
    <row x14ac:dyDescent="0.25" r="839" customHeight="1" ht="18.75">
      <c r="A839" s="1"/>
      <c r="B839" s="169"/>
      <c r="C839" s="170"/>
      <c r="D839" s="331">
        <v>832</v>
      </c>
      <c r="E839" s="544">
        <f>+DATE(YEAR(E838),MONTH(E838)-1,DAY(E838))</f>
        <v>25569.041666666668</v>
      </c>
      <c r="F839" s="333">
        <f>IF($C$6=$E839,1,IF(MONTH($E839)=1,F840*(1+$F$5),F840))</f>
      </c>
      <c r="G839" s="333">
        <f>F839*$B$8/12</f>
      </c>
      <c r="H839" s="333">
        <f>IF(F839=1,F839*$B$10/MIN(12,'Simulador - 3º Pilar'!$E$88),0)</f>
      </c>
      <c r="I839" s="560">
        <f>(1+$G$5)^(D839/12)*(H839+IF(E839=$N$7,$N$4,0))</f>
      </c>
      <c r="J839" s="561">
        <f>(1+$G$5)^(D839/12)*(H839*(12-IF(MONTH(E840)=12,0,MONTH(E840)))+IF(AND(F839=1,F840=0),$Q$4,0))*IF(AND(F839=1,F840=0),1,0)</f>
      </c>
      <c r="K839" s="217">
        <f>(1+$G$5)^(D839/12)*(IF(E839=$N$7,$N$4,0)+IF(E839=$C$6,$B$10,0))</f>
      </c>
      <c r="L839" s="217">
        <f>(1+$G$5)^(D839/12)*(IF((E839)&gt;($B$6),H839,0)+IF(E839=$N$7,$N$4,0)+IF(E839=$C$6,0,0))</f>
      </c>
      <c r="M839" s="1"/>
      <c r="N839" s="7"/>
      <c r="O839" s="1"/>
      <c r="P839" s="331">
        <v>832</v>
      </c>
      <c r="Q839" s="544">
        <f>+DATE(YEAR(Q838),MONTH(Q838)-1,DAY(Q838))</f>
        <v>25569.041666666668</v>
      </c>
      <c r="R839" s="341">
        <f>IF($Z$7=$E839,1,IF(MONTH($E839)=1,R840*(1+$F$5),R840))</f>
      </c>
      <c r="S839" s="334">
        <f>R839*$B$8/12</f>
      </c>
      <c r="T839" s="334">
        <f>R839*$B$11/12</f>
      </c>
      <c r="U839" s="565">
        <f>(1+$V$5)^(P839/12)*(T839+IF(Q839=$Z$7,$Z$4,0))</f>
      </c>
      <c r="V839" s="170"/>
      <c r="W839" s="7"/>
      <c r="X839" s="1"/>
      <c r="Y839" s="1"/>
      <c r="Z839" s="1"/>
      <c r="AA839" s="1"/>
      <c r="AB839" s="1"/>
      <c r="AC839" s="331">
        <v>832</v>
      </c>
      <c r="AD839" s="544">
        <f>+DATE(YEAR(AD838),MONTH(AD838)-1,DAY(AD838))</f>
        <v>25569.041666666668</v>
      </c>
      <c r="AE839" s="341">
        <f>IF($AM$7=$E839,1,IF(MONTH($E839)=1,AE840*(1+$F$5),AE840))</f>
      </c>
      <c r="AF839" s="334">
        <f>AE839*$B$8/12</f>
      </c>
      <c r="AG839" s="334">
        <f>AE839*$B$12/12</f>
      </c>
      <c r="AH839" s="565">
        <f>(1+$AI$5)^(AC839/12)*(AG839+IF(AD839=$AM$7,$AM$4,0))</f>
      </c>
      <c r="AI839" s="170"/>
      <c r="AJ839" s="7"/>
      <c r="AK839" s="1"/>
      <c r="AL839" s="1"/>
      <c r="AM839" s="1"/>
    </row>
    <row x14ac:dyDescent="0.25" r="840" customHeight="1" ht="18.75">
      <c r="A840" s="1"/>
      <c r="B840" s="169"/>
      <c r="C840" s="170"/>
      <c r="D840" s="331">
        <v>833</v>
      </c>
      <c r="E840" s="544">
        <f>+DATE(YEAR(E839),MONTH(E839)-1,DAY(E839))</f>
        <v>25569.041666666668</v>
      </c>
      <c r="F840" s="333">
        <f>IF($C$6=$E840,1,IF(MONTH($E840)=1,F841*(1+$F$5),F841))</f>
      </c>
      <c r="G840" s="333">
        <f>F840*$B$8/12</f>
      </c>
      <c r="H840" s="333">
        <f>IF(F840=1,F840*$B$10/MIN(12,'Simulador - 3º Pilar'!$E$88),0)</f>
      </c>
      <c r="I840" s="560">
        <f>(1+$G$5)^(D840/12)*(H840+IF(E840=$N$7,$N$4,0))</f>
      </c>
      <c r="J840" s="561">
        <f>(1+$G$5)^(D840/12)*(H840*(12-IF(MONTH(E841)=12,0,MONTH(E841)))+IF(AND(F840=1,F841=0),$Q$4,0))*IF(AND(F840=1,F841=0),1,0)</f>
      </c>
      <c r="K840" s="217">
        <f>(1+$G$5)^(D840/12)*(IF(E840=$N$7,$N$4,0)+IF(E840=$C$6,$B$10,0))</f>
      </c>
      <c r="L840" s="217">
        <f>(1+$G$5)^(D840/12)*(IF((E840)&gt;($B$6),H840,0)+IF(E840=$N$7,$N$4,0)+IF(E840=$C$6,0,0))</f>
      </c>
      <c r="M840" s="1"/>
      <c r="N840" s="7"/>
      <c r="O840" s="1"/>
      <c r="P840" s="331">
        <v>833</v>
      </c>
      <c r="Q840" s="544">
        <f>+DATE(YEAR(Q839),MONTH(Q839)-1,DAY(Q839))</f>
        <v>25569.041666666668</v>
      </c>
      <c r="R840" s="341">
        <f>IF($Z$7=$E840,1,IF(MONTH($E840)=1,R841*(1+$F$5),R841))</f>
      </c>
      <c r="S840" s="334">
        <f>R840*$B$8/12</f>
      </c>
      <c r="T840" s="334">
        <f>R840*$B$11/12</f>
      </c>
      <c r="U840" s="565">
        <f>(1+$V$5)^(P840/12)*(T840+IF(Q840=$Z$7,$Z$4,0))</f>
      </c>
      <c r="V840" s="170"/>
      <c r="W840" s="7"/>
      <c r="X840" s="1"/>
      <c r="Y840" s="1"/>
      <c r="Z840" s="1"/>
      <c r="AA840" s="1"/>
      <c r="AB840" s="1"/>
      <c r="AC840" s="331">
        <v>833</v>
      </c>
      <c r="AD840" s="544">
        <f>+DATE(YEAR(AD839),MONTH(AD839)-1,DAY(AD839))</f>
        <v>25569.041666666668</v>
      </c>
      <c r="AE840" s="341">
        <f>IF($AM$7=$E840,1,IF(MONTH($E840)=1,AE841*(1+$F$5),AE841))</f>
      </c>
      <c r="AF840" s="334">
        <f>AE840*$B$8/12</f>
      </c>
      <c r="AG840" s="334">
        <f>AE840*$B$12/12</f>
      </c>
      <c r="AH840" s="565">
        <f>(1+$AI$5)^(AC840/12)*(AG840+IF(AD840=$AM$7,$AM$4,0))</f>
      </c>
      <c r="AI840" s="170"/>
      <c r="AJ840" s="7"/>
      <c r="AK840" s="1"/>
      <c r="AL840" s="1"/>
      <c r="AM840" s="1"/>
    </row>
    <row x14ac:dyDescent="0.25" r="841" customHeight="1" ht="18.75">
      <c r="A841" s="1"/>
      <c r="B841" s="169"/>
      <c r="C841" s="170"/>
      <c r="D841" s="331">
        <v>834</v>
      </c>
      <c r="E841" s="544">
        <f>+DATE(YEAR(E840),MONTH(E840)-1,DAY(E840))</f>
        <v>25569.041666666668</v>
      </c>
      <c r="F841" s="333">
        <f>IF($C$6=$E841,1,IF(MONTH($E841)=1,F842*(1+$F$5),F842))</f>
      </c>
      <c r="G841" s="333">
        <f>F841*$B$8/12</f>
      </c>
      <c r="H841" s="333">
        <f>IF(F841=1,F841*$B$10/MIN(12,'Simulador - 3º Pilar'!$E$88),0)</f>
      </c>
      <c r="I841" s="560">
        <f>(1+$G$5)^(D841/12)*(H841+IF(E841=$N$7,$N$4,0))</f>
      </c>
      <c r="J841" s="561">
        <f>(1+$G$5)^(D841/12)*(H841*(12-IF(MONTH(E842)=12,0,MONTH(E842)))+IF(AND(F841=1,F842=0),$Q$4,0))*IF(AND(F841=1,F842=0),1,0)</f>
      </c>
      <c r="K841" s="217">
        <f>(1+$G$5)^(D841/12)*(IF(E841=$N$7,$N$4,0)+IF(E841=$C$6,$B$10,0))</f>
      </c>
      <c r="L841" s="217">
        <f>(1+$G$5)^(D841/12)*(IF((E841)&gt;($B$6),H841,0)+IF(E841=$N$7,$N$4,0)+IF(E841=$C$6,0,0))</f>
      </c>
      <c r="M841" s="1"/>
      <c r="N841" s="7"/>
      <c r="O841" s="1"/>
      <c r="P841" s="331">
        <v>834</v>
      </c>
      <c r="Q841" s="544">
        <f>+DATE(YEAR(Q840),MONTH(Q840)-1,DAY(Q840))</f>
        <v>25569.041666666668</v>
      </c>
      <c r="R841" s="341">
        <f>IF($Z$7=$E841,1,IF(MONTH($E841)=1,R842*(1+$F$5),R842))</f>
      </c>
      <c r="S841" s="334">
        <f>R841*$B$8/12</f>
      </c>
      <c r="T841" s="334">
        <f>R841*$B$11/12</f>
      </c>
      <c r="U841" s="565">
        <f>(1+$V$5)^(P841/12)*(T841+IF(Q841=$Z$7,$Z$4,0))</f>
      </c>
      <c r="V841" s="170"/>
      <c r="W841" s="7"/>
      <c r="X841" s="1"/>
      <c r="Y841" s="1"/>
      <c r="Z841" s="1"/>
      <c r="AA841" s="1"/>
      <c r="AB841" s="1"/>
      <c r="AC841" s="331">
        <v>834</v>
      </c>
      <c r="AD841" s="544">
        <f>+DATE(YEAR(AD840),MONTH(AD840)-1,DAY(AD840))</f>
        <v>25569.041666666668</v>
      </c>
      <c r="AE841" s="341">
        <f>IF($AM$7=$E841,1,IF(MONTH($E841)=1,AE842*(1+$F$5),AE842))</f>
      </c>
      <c r="AF841" s="334">
        <f>AE841*$B$8/12</f>
      </c>
      <c r="AG841" s="334">
        <f>AE841*$B$12/12</f>
      </c>
      <c r="AH841" s="565">
        <f>(1+$AI$5)^(AC841/12)*(AG841+IF(AD841=$AM$7,$AM$4,0))</f>
      </c>
      <c r="AI841" s="170"/>
      <c r="AJ841" s="7"/>
      <c r="AK841" s="1"/>
      <c r="AL841" s="1"/>
      <c r="AM841" s="1"/>
    </row>
    <row x14ac:dyDescent="0.25" r="842" customHeight="1" ht="18.75">
      <c r="A842" s="1"/>
      <c r="B842" s="169"/>
      <c r="C842" s="170"/>
      <c r="D842" s="331">
        <v>835</v>
      </c>
      <c r="E842" s="544">
        <f>+DATE(YEAR(E841),MONTH(E841)-1,DAY(E841))</f>
        <v>25569.041666666668</v>
      </c>
      <c r="F842" s="333">
        <f>IF($C$6=$E842,1,IF(MONTH($E842)=1,F843*(1+$F$5),F843))</f>
      </c>
      <c r="G842" s="333">
        <f>F842*$B$8/12</f>
      </c>
      <c r="H842" s="333">
        <f>IF(F842=1,F842*$B$10/MIN(12,'Simulador - 3º Pilar'!$E$88),0)</f>
      </c>
      <c r="I842" s="560">
        <f>(1+$G$5)^(D842/12)*(H842+IF(E842=$N$7,$N$4,0))</f>
      </c>
      <c r="J842" s="561">
        <f>(1+$G$5)^(D842/12)*(H842*(12-IF(MONTH(E843)=12,0,MONTH(E843)))+IF(AND(F842=1,F843=0),$Q$4,0))*IF(AND(F842=1,F843=0),1,0)</f>
      </c>
      <c r="K842" s="217">
        <f>(1+$G$5)^(D842/12)*(IF(E842=$N$7,$N$4,0)+IF(E842=$C$6,$B$10,0))</f>
      </c>
      <c r="L842" s="217">
        <f>(1+$G$5)^(D842/12)*(IF((E842)&gt;($B$6),H842,0)+IF(E842=$N$7,$N$4,0)+IF(E842=$C$6,0,0))</f>
      </c>
      <c r="M842" s="1"/>
      <c r="N842" s="7"/>
      <c r="O842" s="1"/>
      <c r="P842" s="331">
        <v>835</v>
      </c>
      <c r="Q842" s="544">
        <f>+DATE(YEAR(Q841),MONTH(Q841)-1,DAY(Q841))</f>
        <v>25569.041666666668</v>
      </c>
      <c r="R842" s="341">
        <f>IF($Z$7=$E842,1,IF(MONTH($E842)=1,R843*(1+$F$5),R843))</f>
      </c>
      <c r="S842" s="334">
        <f>R842*$B$8/12</f>
      </c>
      <c r="T842" s="334">
        <f>R842*$B$11/12</f>
      </c>
      <c r="U842" s="565">
        <f>(1+$V$5)^(P842/12)*(T842+IF(Q842=$Z$7,$Z$4,0))</f>
      </c>
      <c r="V842" s="170"/>
      <c r="W842" s="7"/>
      <c r="X842" s="1"/>
      <c r="Y842" s="1"/>
      <c r="Z842" s="1"/>
      <c r="AA842" s="1"/>
      <c r="AB842" s="1"/>
      <c r="AC842" s="331">
        <v>835</v>
      </c>
      <c r="AD842" s="544">
        <f>+DATE(YEAR(AD841),MONTH(AD841)-1,DAY(AD841))</f>
        <v>25569.041666666668</v>
      </c>
      <c r="AE842" s="341">
        <f>IF($AM$7=$E842,1,IF(MONTH($E842)=1,AE843*(1+$F$5),AE843))</f>
      </c>
      <c r="AF842" s="334">
        <f>AE842*$B$8/12</f>
      </c>
      <c r="AG842" s="334">
        <f>AE842*$B$12/12</f>
      </c>
      <c r="AH842" s="565">
        <f>(1+$AI$5)^(AC842/12)*(AG842+IF(AD842=$AM$7,$AM$4,0))</f>
      </c>
      <c r="AI842" s="170"/>
      <c r="AJ842" s="7"/>
      <c r="AK842" s="1"/>
      <c r="AL842" s="1"/>
      <c r="AM842" s="1"/>
    </row>
    <row x14ac:dyDescent="0.25" r="843" customHeight="1" ht="18.75">
      <c r="A843" s="1"/>
      <c r="B843" s="169"/>
      <c r="C843" s="170"/>
      <c r="D843" s="331">
        <v>836</v>
      </c>
      <c r="E843" s="544">
        <f>+DATE(YEAR(E842),MONTH(E842)-1,DAY(E842))</f>
        <v>25569.041666666668</v>
      </c>
      <c r="F843" s="333">
        <f>IF($C$6=$E843,1,IF(MONTH($E843)=1,F844*(1+$F$5),F844))</f>
      </c>
      <c r="G843" s="333">
        <f>F843*$B$8/12</f>
      </c>
      <c r="H843" s="333">
        <f>IF(F843=1,F843*$B$10/MIN(12,'Simulador - 3º Pilar'!$E$88),0)</f>
      </c>
      <c r="I843" s="560">
        <f>(1+$G$5)^(D843/12)*(H843+IF(E843=$N$7,$N$4,0))</f>
      </c>
      <c r="J843" s="561">
        <f>(1+$G$5)^(D843/12)*(H843*(12-IF(MONTH(E844)=12,0,MONTH(E844)))+IF(AND(F843=1,F844=0),$Q$4,0))*IF(AND(F843=1,F844=0),1,0)</f>
      </c>
      <c r="K843" s="217">
        <f>(1+$G$5)^(D843/12)*(IF(E843=$N$7,$N$4,0)+IF(E843=$C$6,$B$10,0))</f>
      </c>
      <c r="L843" s="217">
        <f>(1+$G$5)^(D843/12)*(IF((E843)&gt;($B$6),H843,0)+IF(E843=$N$7,$N$4,0)+IF(E843=$C$6,0,0))</f>
      </c>
      <c r="M843" s="1"/>
      <c r="N843" s="7"/>
      <c r="O843" s="1"/>
      <c r="P843" s="331">
        <v>836</v>
      </c>
      <c r="Q843" s="544">
        <f>+DATE(YEAR(Q842),MONTH(Q842)-1,DAY(Q842))</f>
        <v>25569.041666666668</v>
      </c>
      <c r="R843" s="341">
        <f>IF($Z$7=$E843,1,IF(MONTH($E843)=1,R844*(1+$F$5),R844))</f>
      </c>
      <c r="S843" s="334">
        <f>R843*$B$8/12</f>
      </c>
      <c r="T843" s="334">
        <f>R843*$B$11/12</f>
      </c>
      <c r="U843" s="565">
        <f>(1+$V$5)^(P843/12)*(T843+IF(Q843=$Z$7,$Z$4,0))</f>
      </c>
      <c r="V843" s="170"/>
      <c r="W843" s="7"/>
      <c r="X843" s="1"/>
      <c r="Y843" s="1"/>
      <c r="Z843" s="1"/>
      <c r="AA843" s="1"/>
      <c r="AB843" s="1"/>
      <c r="AC843" s="331">
        <v>836</v>
      </c>
      <c r="AD843" s="544">
        <f>+DATE(YEAR(AD842),MONTH(AD842)-1,DAY(AD842))</f>
        <v>25569.041666666668</v>
      </c>
      <c r="AE843" s="341">
        <f>IF($AM$7=$E843,1,IF(MONTH($E843)=1,AE844*(1+$F$5),AE844))</f>
      </c>
      <c r="AF843" s="334">
        <f>AE843*$B$8/12</f>
      </c>
      <c r="AG843" s="334">
        <f>AE843*$B$12/12</f>
      </c>
      <c r="AH843" s="565">
        <f>(1+$AI$5)^(AC843/12)*(AG843+IF(AD843=$AM$7,$AM$4,0))</f>
      </c>
      <c r="AI843" s="170"/>
      <c r="AJ843" s="7"/>
      <c r="AK843" s="1"/>
      <c r="AL843" s="1"/>
      <c r="AM843" s="1"/>
    </row>
    <row x14ac:dyDescent="0.25" r="844" customHeight="1" ht="18.75">
      <c r="A844" s="1"/>
      <c r="B844" s="169"/>
      <c r="C844" s="170"/>
      <c r="D844" s="331">
        <v>837</v>
      </c>
      <c r="E844" s="544">
        <f>+DATE(YEAR(E843),MONTH(E843)-1,DAY(E843))</f>
        <v>25569.041666666668</v>
      </c>
      <c r="F844" s="333">
        <f>IF($C$6=$E844,1,IF(MONTH($E844)=1,F845*(1+$F$5),F845))</f>
      </c>
      <c r="G844" s="333">
        <f>F844*$B$8/12</f>
      </c>
      <c r="H844" s="333">
        <f>IF(F844=1,F844*$B$10/MIN(12,'Simulador - 3º Pilar'!$E$88),0)</f>
      </c>
      <c r="I844" s="560">
        <f>(1+$G$5)^(D844/12)*(H844+IF(E844=$N$7,$N$4,0))</f>
      </c>
      <c r="J844" s="561">
        <f>(1+$G$5)^(D844/12)*(H844*(12-IF(MONTH(E845)=12,0,MONTH(E845)))+IF(AND(F844=1,F845=0),$Q$4,0))*IF(AND(F844=1,F845=0),1,0)</f>
      </c>
      <c r="K844" s="217">
        <f>(1+$G$5)^(D844/12)*(IF(E844=$N$7,$N$4,0)+IF(E844=$C$6,$B$10,0))</f>
      </c>
      <c r="L844" s="217">
        <f>(1+$G$5)^(D844/12)*(IF((E844)&gt;($B$6),H844,0)+IF(E844=$N$7,$N$4,0)+IF(E844=$C$6,0,0))</f>
      </c>
      <c r="M844" s="1"/>
      <c r="N844" s="7"/>
      <c r="O844" s="1"/>
      <c r="P844" s="331">
        <v>837</v>
      </c>
      <c r="Q844" s="544">
        <f>+DATE(YEAR(Q843),MONTH(Q843)-1,DAY(Q843))</f>
        <v>25569.041666666668</v>
      </c>
      <c r="R844" s="341">
        <f>IF($Z$7=$E844,1,IF(MONTH($E844)=1,R845*(1+$F$5),R845))</f>
      </c>
      <c r="S844" s="334">
        <f>R844*$B$8/12</f>
      </c>
      <c r="T844" s="334">
        <f>R844*$B$11/12</f>
      </c>
      <c r="U844" s="565">
        <f>(1+$V$5)^(P844/12)*(T844+IF(Q844=$Z$7,$Z$4,0))</f>
      </c>
      <c r="V844" s="170"/>
      <c r="W844" s="7"/>
      <c r="X844" s="1"/>
      <c r="Y844" s="1"/>
      <c r="Z844" s="1"/>
      <c r="AA844" s="1"/>
      <c r="AB844" s="1"/>
      <c r="AC844" s="331">
        <v>837</v>
      </c>
      <c r="AD844" s="544">
        <f>+DATE(YEAR(AD843),MONTH(AD843)-1,DAY(AD843))</f>
        <v>25569.041666666668</v>
      </c>
      <c r="AE844" s="341">
        <f>IF($AM$7=$E844,1,IF(MONTH($E844)=1,AE845*(1+$F$5),AE845))</f>
      </c>
      <c r="AF844" s="334">
        <f>AE844*$B$8/12</f>
      </c>
      <c r="AG844" s="334">
        <f>AE844*$B$12/12</f>
      </c>
      <c r="AH844" s="565">
        <f>(1+$AI$5)^(AC844/12)*(AG844+IF(AD844=$AM$7,$AM$4,0))</f>
      </c>
      <c r="AI844" s="170"/>
      <c r="AJ844" s="7"/>
      <c r="AK844" s="1"/>
      <c r="AL844" s="1"/>
      <c r="AM844" s="1"/>
    </row>
    <row x14ac:dyDescent="0.25" r="845" customHeight="1" ht="18.75">
      <c r="A845" s="1"/>
      <c r="B845" s="169"/>
      <c r="C845" s="170"/>
      <c r="D845" s="331">
        <v>838</v>
      </c>
      <c r="E845" s="544">
        <f>+DATE(YEAR(E844),MONTH(E844)-1,DAY(E844))</f>
        <v>25569.041666666668</v>
      </c>
      <c r="F845" s="333">
        <f>IF($C$6=$E845,1,IF(MONTH($E845)=1,F846*(1+$F$5),F846))</f>
      </c>
      <c r="G845" s="333">
        <f>F845*$B$8/12</f>
      </c>
      <c r="H845" s="333">
        <f>IF(F845=1,F845*$B$10/MIN(12,'Simulador - 3º Pilar'!$E$88),0)</f>
      </c>
      <c r="I845" s="560">
        <f>(1+$G$5)^(D845/12)*(H845+IF(E845=$N$7,$N$4,0))</f>
      </c>
      <c r="J845" s="561">
        <f>(1+$G$5)^(D845/12)*(H845*(12-IF(MONTH(E846)=12,0,MONTH(E846)))+IF(AND(F845=1,F846=0),$Q$4,0))*IF(AND(F845=1,F846=0),1,0)</f>
      </c>
      <c r="K845" s="217">
        <f>(1+$G$5)^(D845/12)*(IF(E845=$N$7,$N$4,0)+IF(E845=$C$6,$B$10,0))</f>
      </c>
      <c r="L845" s="217">
        <f>(1+$G$5)^(D845/12)*(IF((E845)&gt;($B$6),H845,0)+IF(E845=$N$7,$N$4,0)+IF(E845=$C$6,0,0))</f>
      </c>
      <c r="M845" s="1"/>
      <c r="N845" s="7"/>
      <c r="O845" s="1"/>
      <c r="P845" s="331">
        <v>838</v>
      </c>
      <c r="Q845" s="544">
        <f>+DATE(YEAR(Q844),MONTH(Q844)-1,DAY(Q844))</f>
        <v>25569.041666666668</v>
      </c>
      <c r="R845" s="341">
        <f>IF($Z$7=$E845,1,IF(MONTH($E845)=1,R846*(1+$F$5),R846))</f>
      </c>
      <c r="S845" s="334">
        <f>R845*$B$8/12</f>
      </c>
      <c r="T845" s="334">
        <f>R845*$B$11/12</f>
      </c>
      <c r="U845" s="565">
        <f>(1+$V$5)^(P845/12)*(T845+IF(Q845=$Z$7,$Z$4,0))</f>
      </c>
      <c r="V845" s="170"/>
      <c r="W845" s="7"/>
      <c r="X845" s="1"/>
      <c r="Y845" s="1"/>
      <c r="Z845" s="1"/>
      <c r="AA845" s="1"/>
      <c r="AB845" s="1"/>
      <c r="AC845" s="331">
        <v>838</v>
      </c>
      <c r="AD845" s="544">
        <f>+DATE(YEAR(AD844),MONTH(AD844)-1,DAY(AD844))</f>
        <v>25569.041666666668</v>
      </c>
      <c r="AE845" s="341">
        <f>IF($AM$7=$E845,1,IF(MONTH($E845)=1,AE846*(1+$F$5),AE846))</f>
      </c>
      <c r="AF845" s="334">
        <f>AE845*$B$8/12</f>
      </c>
      <c r="AG845" s="334">
        <f>AE845*$B$12/12</f>
      </c>
      <c r="AH845" s="565">
        <f>(1+$AI$5)^(AC845/12)*(AG845+IF(AD845=$AM$7,$AM$4,0))</f>
      </c>
      <c r="AI845" s="170"/>
      <c r="AJ845" s="7"/>
      <c r="AK845" s="1"/>
      <c r="AL845" s="1"/>
      <c r="AM845" s="1"/>
    </row>
    <row x14ac:dyDescent="0.25" r="846" customHeight="1" ht="18.75">
      <c r="A846" s="1"/>
      <c r="B846" s="169"/>
      <c r="C846" s="170"/>
      <c r="D846" s="331">
        <v>839</v>
      </c>
      <c r="E846" s="544">
        <f>+DATE(YEAR(E845),MONTH(E845)-1,DAY(E845))</f>
        <v>25569.041666666668</v>
      </c>
      <c r="F846" s="333">
        <f>IF($C$6=$E846,1,IF(MONTH($E846)=1,F847*(1+$F$5),F847))</f>
      </c>
      <c r="G846" s="333">
        <f>F846*$B$8/12</f>
      </c>
      <c r="H846" s="333">
        <f>IF(F846=1,F846*$B$10/MIN(12,'Simulador - 3º Pilar'!$E$88),0)</f>
      </c>
      <c r="I846" s="560">
        <f>(1+$G$5)^(D846/12)*(H846+IF(E846=$N$7,$N$4,0))</f>
      </c>
      <c r="J846" s="561">
        <f>(1+$G$5)^(D846/12)*(H846*(12-IF(MONTH(E847)=12,0,MONTH(E847)))+IF(AND(F846=1,F847=0),$Q$4,0))*IF(AND(F846=1,F847=0),1,0)</f>
      </c>
      <c r="K846" s="217">
        <f>(1+$G$5)^(D846/12)*(IF(E846=$N$7,$N$4,0)+IF(E846=$C$6,$B$10,0))</f>
      </c>
      <c r="L846" s="217">
        <f>(1+$G$5)^(D846/12)*(IF((E846)&gt;($B$6),H846,0)+IF(E846=$N$7,$N$4,0)+IF(E846=$C$6,0,0))</f>
      </c>
      <c r="M846" s="1"/>
      <c r="N846" s="7"/>
      <c r="O846" s="1"/>
      <c r="P846" s="331">
        <v>839</v>
      </c>
      <c r="Q846" s="544">
        <f>+DATE(YEAR(Q845),MONTH(Q845)-1,DAY(Q845))</f>
        <v>25569.041666666668</v>
      </c>
      <c r="R846" s="341">
        <f>IF($Z$7=$E846,1,IF(MONTH($E846)=1,R847*(1+$F$5),R847))</f>
      </c>
      <c r="S846" s="334">
        <f>R846*$B$8/12</f>
      </c>
      <c r="T846" s="334">
        <f>R846*$B$11/12</f>
      </c>
      <c r="U846" s="565">
        <f>(1+$V$5)^(P846/12)*(T846+IF(Q846=$Z$7,$Z$4,0))</f>
      </c>
      <c r="V846" s="170"/>
      <c r="W846" s="7"/>
      <c r="X846" s="1"/>
      <c r="Y846" s="1"/>
      <c r="Z846" s="1"/>
      <c r="AA846" s="1"/>
      <c r="AB846" s="1"/>
      <c r="AC846" s="331">
        <v>839</v>
      </c>
      <c r="AD846" s="544">
        <f>+DATE(YEAR(AD845),MONTH(AD845)-1,DAY(AD845))</f>
        <v>25569.041666666668</v>
      </c>
      <c r="AE846" s="341">
        <f>IF($AM$7=$E846,1,IF(MONTH($E846)=1,AE847*(1+$F$5),AE847))</f>
      </c>
      <c r="AF846" s="334">
        <f>AE846*$B$8/12</f>
      </c>
      <c r="AG846" s="334">
        <f>AE846*$B$12/12</f>
      </c>
      <c r="AH846" s="565">
        <f>(1+$AI$5)^(AC846/12)*(AG846+IF(AD846=$AM$7,$AM$4,0))</f>
      </c>
      <c r="AI846" s="170"/>
      <c r="AJ846" s="7"/>
      <c r="AK846" s="1"/>
      <c r="AL846" s="1"/>
      <c r="AM846" s="1"/>
    </row>
    <row x14ac:dyDescent="0.25" r="847" customHeight="1" ht="18.75">
      <c r="A847" s="1"/>
      <c r="B847" s="169"/>
      <c r="C847" s="170"/>
      <c r="D847" s="331">
        <v>840</v>
      </c>
      <c r="E847" s="544">
        <f>+DATE(YEAR(E846),MONTH(E846)-1,DAY(E846))</f>
        <v>25569.041666666668</v>
      </c>
      <c r="F847" s="333">
        <f>IF($C$6=$E847,1,IF(MONTH($E847)=1,F848*(1+$F$5),F848))</f>
      </c>
      <c r="G847" s="333">
        <f>F847*$B$8/12</f>
      </c>
      <c r="H847" s="333">
        <f>IF(F847=1,F847*$B$10/MIN(12,'Simulador - 3º Pilar'!$E$88),0)</f>
      </c>
      <c r="I847" s="560">
        <f>(1+$G$5)^(D847/12)*(H847+IF(E847=$N$7,$N$4,0))</f>
      </c>
      <c r="J847" s="561">
        <f>(1+$G$5)^(D847/12)*(H847*(12-IF(MONTH(E848)=12,0,MONTH(E848)))+IF(AND(F847=1,F848=0),$Q$4,0))*IF(AND(F847=1,F848=0),1,0)</f>
      </c>
      <c r="K847" s="217">
        <f>(1+$G$5)^(D847/12)*(IF(E847=$N$7,$N$4,0)+IF(E847=$C$6,$B$10,0))</f>
      </c>
      <c r="L847" s="217">
        <f>(1+$G$5)^(D847/12)*(IF((E847)&gt;($B$6),H847,0)+IF(E847=$N$7,$N$4,0)+IF(E847=$C$6,0,0))</f>
      </c>
      <c r="M847" s="1"/>
      <c r="N847" s="7"/>
      <c r="O847" s="1"/>
      <c r="P847" s="331">
        <v>840</v>
      </c>
      <c r="Q847" s="544">
        <f>+DATE(YEAR(Q846),MONTH(Q846)-1,DAY(Q846))</f>
        <v>25569.041666666668</v>
      </c>
      <c r="R847" s="341">
        <f>IF($Z$7=$E847,1,IF(MONTH($E847)=1,R848*(1+$F$5),R848))</f>
      </c>
      <c r="S847" s="334">
        <f>R847*$B$8/12</f>
      </c>
      <c r="T847" s="334">
        <f>R847*$B$11/12</f>
      </c>
      <c r="U847" s="565">
        <f>(1+$V$5)^(P847/12)*(T847+IF(Q847=$Z$7,$Z$4,0))</f>
      </c>
      <c r="V847" s="170"/>
      <c r="W847" s="7"/>
      <c r="X847" s="1"/>
      <c r="Y847" s="1"/>
      <c r="Z847" s="1"/>
      <c r="AA847" s="1"/>
      <c r="AB847" s="1"/>
      <c r="AC847" s="331">
        <v>840</v>
      </c>
      <c r="AD847" s="544">
        <f>+DATE(YEAR(AD846),MONTH(AD846)-1,DAY(AD846))</f>
        <v>25569.041666666668</v>
      </c>
      <c r="AE847" s="341">
        <f>IF($AM$7=$E847,1,IF(MONTH($E847)=1,AE848*(1+$F$5),AE848))</f>
      </c>
      <c r="AF847" s="334">
        <f>AE847*$B$8/12</f>
      </c>
      <c r="AG847" s="334">
        <f>AE847*$B$12/12</f>
      </c>
      <c r="AH847" s="565">
        <f>(1+$AI$5)^(AC847/12)*(AG847+IF(AD847=$AM$7,$AM$4,0))</f>
      </c>
      <c r="AI847" s="170"/>
      <c r="AJ847" s="7"/>
      <c r="AK847" s="1"/>
      <c r="AL847" s="1"/>
      <c r="AM847" s="1"/>
    </row>
    <row x14ac:dyDescent="0.25" r="848" customHeight="1" ht="18.75">
      <c r="A848" s="1"/>
      <c r="B848" s="169"/>
      <c r="C848" s="170"/>
      <c r="D848" s="331">
        <v>841</v>
      </c>
      <c r="E848" s="544">
        <f>+DATE(YEAR(E847),MONTH(E847)-1,DAY(E847))</f>
        <v>25569.041666666668</v>
      </c>
      <c r="F848" s="333">
        <f>IF($C$6=$E848,1,IF(MONTH($E848)=1,F849*(1+$F$5),F849))</f>
      </c>
      <c r="G848" s="333">
        <f>F848*$B$8/12</f>
      </c>
      <c r="H848" s="333">
        <f>IF(F848=1,F848*$B$10/MIN(12,'Simulador - 3º Pilar'!$E$88),0)</f>
      </c>
      <c r="I848" s="560">
        <f>(1+$G$5)^(D848/12)*(H848+IF(E848=$N$7,$N$4,0))</f>
      </c>
      <c r="J848" s="561">
        <f>(1+$G$5)^(D848/12)*(H848*(12-IF(MONTH(E849)=12,0,MONTH(E849)))+IF(AND(F848=1,F849=0),$Q$4,0))*IF(AND(F848=1,F849=0),1,0)</f>
      </c>
      <c r="K848" s="217">
        <f>(1+$G$5)^(D848/12)*(IF(E848=$N$7,$N$4,0)+IF(E848=$C$6,$B$10,0))</f>
      </c>
      <c r="L848" s="217">
        <f>(1+$G$5)^(D848/12)*(IF((E848)&gt;($B$6),H848,0)+IF(E848=$N$7,$N$4,0)+IF(E848=$C$6,0,0))</f>
      </c>
      <c r="M848" s="1"/>
      <c r="N848" s="7"/>
      <c r="O848" s="1"/>
      <c r="P848" s="331">
        <v>841</v>
      </c>
      <c r="Q848" s="544">
        <f>+DATE(YEAR(Q847),MONTH(Q847)-1,DAY(Q847))</f>
        <v>25569.041666666668</v>
      </c>
      <c r="R848" s="341">
        <f>IF($Z$7=$E848,1,IF(MONTH($E848)=1,R849*(1+$F$5),R849))</f>
      </c>
      <c r="S848" s="334">
        <f>R848*$B$8/12</f>
      </c>
      <c r="T848" s="334">
        <f>R848*$B$11/12</f>
      </c>
      <c r="U848" s="565">
        <f>(1+$V$5)^(P848/12)*(T848+IF(Q848=$Z$7,$Z$4,0))</f>
      </c>
      <c r="V848" s="170"/>
      <c r="W848" s="7"/>
      <c r="X848" s="1"/>
      <c r="Y848" s="1"/>
      <c r="Z848" s="1"/>
      <c r="AA848" s="1"/>
      <c r="AB848" s="1"/>
      <c r="AC848" s="331">
        <v>841</v>
      </c>
      <c r="AD848" s="544">
        <f>+DATE(YEAR(AD847),MONTH(AD847)-1,DAY(AD847))</f>
        <v>25569.041666666668</v>
      </c>
      <c r="AE848" s="341">
        <f>IF($AM$7=$E848,1,IF(MONTH($E848)=1,AE849*(1+$F$5),AE849))</f>
      </c>
      <c r="AF848" s="334">
        <f>AE848*$B$8/12</f>
      </c>
      <c r="AG848" s="334">
        <f>AE848*$B$12/12</f>
      </c>
      <c r="AH848" s="565">
        <f>(1+$AI$5)^(AC848/12)*(AG848+IF(AD848=$AM$7,$AM$4,0))</f>
      </c>
      <c r="AI848" s="170"/>
      <c r="AJ848" s="7"/>
      <c r="AK848" s="1"/>
      <c r="AL848" s="1"/>
      <c r="AM848" s="1"/>
    </row>
    <row x14ac:dyDescent="0.25" r="849" customHeight="1" ht="18.75">
      <c r="A849" s="1"/>
      <c r="B849" s="169"/>
      <c r="C849" s="170"/>
      <c r="D849" s="331">
        <v>842</v>
      </c>
      <c r="E849" s="544">
        <f>+DATE(YEAR(E848),MONTH(E848)-1,DAY(E848))</f>
        <v>25569.041666666668</v>
      </c>
      <c r="F849" s="333">
        <f>IF($C$6=$E849,1,IF(MONTH($E849)=1,F850*(1+$F$5),F850))</f>
      </c>
      <c r="G849" s="333">
        <f>F849*$B$8/12</f>
      </c>
      <c r="H849" s="333">
        <f>IF(F849=1,F849*$B$10/MIN(12,'Simulador - 3º Pilar'!$E$88),0)</f>
      </c>
      <c r="I849" s="560">
        <f>(1+$G$5)^(D849/12)*(H849+IF(E849=$N$7,$N$4,0))</f>
      </c>
      <c r="J849" s="561">
        <f>(1+$G$5)^(D849/12)*(H849*(12-IF(MONTH(E850)=12,0,MONTH(E850)))+IF(AND(F849=1,F850=0),$Q$4,0))*IF(AND(F849=1,F850=0),1,0)</f>
      </c>
      <c r="K849" s="217">
        <f>(1+$G$5)^(D849/12)*(IF(E849=$N$7,$N$4,0)+IF(E849=$C$6,$B$10,0))</f>
      </c>
      <c r="L849" s="217">
        <f>(1+$G$5)^(D849/12)*(IF((E849)&gt;($B$6),H849,0)+IF(E849=$N$7,$N$4,0)+IF(E849=$C$6,0,0))</f>
      </c>
      <c r="M849" s="1"/>
      <c r="N849" s="7"/>
      <c r="O849" s="1"/>
      <c r="P849" s="331">
        <v>842</v>
      </c>
      <c r="Q849" s="544">
        <f>+DATE(YEAR(Q848),MONTH(Q848)-1,DAY(Q848))</f>
        <v>25569.041666666668</v>
      </c>
      <c r="R849" s="341">
        <f>IF($Z$7=$E849,1,IF(MONTH($E849)=1,R850*(1+$F$5),R850))</f>
      </c>
      <c r="S849" s="334">
        <f>R849*$B$8/12</f>
      </c>
      <c r="T849" s="334">
        <f>R849*$B$11/12</f>
      </c>
      <c r="U849" s="565">
        <f>(1+$V$5)^(P849/12)*(T849+IF(Q849=$Z$7,$Z$4,0))</f>
      </c>
      <c r="V849" s="170"/>
      <c r="W849" s="7"/>
      <c r="X849" s="1"/>
      <c r="Y849" s="1"/>
      <c r="Z849" s="1"/>
      <c r="AA849" s="1"/>
      <c r="AB849" s="1"/>
      <c r="AC849" s="331">
        <v>842</v>
      </c>
      <c r="AD849" s="544">
        <f>+DATE(YEAR(AD848),MONTH(AD848)-1,DAY(AD848))</f>
        <v>25569.041666666668</v>
      </c>
      <c r="AE849" s="341">
        <f>IF($AM$7=$E849,1,IF(MONTH($E849)=1,AE850*(1+$F$5),AE850))</f>
      </c>
      <c r="AF849" s="334">
        <f>AE849*$B$8/12</f>
      </c>
      <c r="AG849" s="334">
        <f>AE849*$B$12/12</f>
      </c>
      <c r="AH849" s="565">
        <f>(1+$AI$5)^(AC849/12)*(AG849+IF(AD849=$AM$7,$AM$4,0))</f>
      </c>
      <c r="AI849" s="170"/>
      <c r="AJ849" s="7"/>
      <c r="AK849" s="1"/>
      <c r="AL849" s="1"/>
      <c r="AM849" s="1"/>
    </row>
    <row x14ac:dyDescent="0.25" r="850" customHeight="1" ht="18.75">
      <c r="A850" s="1"/>
      <c r="B850" s="169"/>
      <c r="C850" s="170"/>
      <c r="D850" s="331">
        <v>843</v>
      </c>
      <c r="E850" s="544">
        <f>+DATE(YEAR(E849),MONTH(E849)-1,DAY(E849))</f>
        <v>25569.041666666668</v>
      </c>
      <c r="F850" s="333">
        <f>IF($C$6=$E850,1,IF(MONTH($E850)=1,F851*(1+$F$5),F851))</f>
      </c>
      <c r="G850" s="333">
        <f>F850*$B$8/12</f>
      </c>
      <c r="H850" s="333">
        <f>IF(F850=1,F850*$B$10/MIN(12,'Simulador - 3º Pilar'!$E$88),0)</f>
      </c>
      <c r="I850" s="560">
        <f>(1+$G$5)^(D850/12)*(H850+IF(E850=$N$7,$N$4,0))</f>
      </c>
      <c r="J850" s="561">
        <f>(1+$G$5)^(D850/12)*(H850*(12-IF(MONTH(E851)=12,0,MONTH(E851)))+IF(AND(F850=1,F851=0),$Q$4,0))*IF(AND(F850=1,F851=0),1,0)</f>
      </c>
      <c r="K850" s="217">
        <f>(1+$G$5)^(D850/12)*(IF(E850=$N$7,$N$4,0)+IF(E850=$C$6,$B$10,0))</f>
      </c>
      <c r="L850" s="217">
        <f>(1+$G$5)^(D850/12)*(IF((E850)&gt;($B$6),H850,0)+IF(E850=$N$7,$N$4,0)+IF(E850=$C$6,0,0))</f>
      </c>
      <c r="M850" s="1"/>
      <c r="N850" s="7"/>
      <c r="O850" s="1"/>
      <c r="P850" s="331">
        <v>843</v>
      </c>
      <c r="Q850" s="544">
        <f>+DATE(YEAR(Q849),MONTH(Q849)-1,DAY(Q849))</f>
        <v>25569.041666666668</v>
      </c>
      <c r="R850" s="341">
        <f>IF($Z$7=$E850,1,IF(MONTH($E850)=1,R851*(1+$F$5),R851))</f>
      </c>
      <c r="S850" s="334">
        <f>R850*$B$8/12</f>
      </c>
      <c r="T850" s="334">
        <f>R850*$B$11/12</f>
      </c>
      <c r="U850" s="565">
        <f>(1+$V$5)^(P850/12)*(T850+IF(Q850=$Z$7,$Z$4,0))</f>
      </c>
      <c r="V850" s="170"/>
      <c r="W850" s="7"/>
      <c r="X850" s="1"/>
      <c r="Y850" s="1"/>
      <c r="Z850" s="1"/>
      <c r="AA850" s="1"/>
      <c r="AB850" s="1"/>
      <c r="AC850" s="331">
        <v>843</v>
      </c>
      <c r="AD850" s="544">
        <f>+DATE(YEAR(AD849),MONTH(AD849)-1,DAY(AD849))</f>
        <v>25569.041666666668</v>
      </c>
      <c r="AE850" s="341">
        <f>IF($AM$7=$E850,1,IF(MONTH($E850)=1,AE851*(1+$F$5),AE851))</f>
      </c>
      <c r="AF850" s="334">
        <f>AE850*$B$8/12</f>
      </c>
      <c r="AG850" s="334">
        <f>AE850*$B$12/12</f>
      </c>
      <c r="AH850" s="565">
        <f>(1+$AI$5)^(AC850/12)*(AG850+IF(AD850=$AM$7,$AM$4,0))</f>
      </c>
      <c r="AI850" s="170"/>
      <c r="AJ850" s="7"/>
      <c r="AK850" s="1"/>
      <c r="AL850" s="1"/>
      <c r="AM850" s="1"/>
    </row>
    <row x14ac:dyDescent="0.25" r="851" customHeight="1" ht="18.75">
      <c r="A851" s="1"/>
      <c r="B851" s="169"/>
      <c r="C851" s="170"/>
      <c r="D851" s="331">
        <v>844</v>
      </c>
      <c r="E851" s="544">
        <f>+DATE(YEAR(E850),MONTH(E850)-1,DAY(E850))</f>
        <v>25569.041666666668</v>
      </c>
      <c r="F851" s="333">
        <f>IF($C$6=$E851,1,IF(MONTH($E851)=1,F852*(1+$F$5),F852))</f>
      </c>
      <c r="G851" s="333">
        <f>F851*$B$8/12</f>
      </c>
      <c r="H851" s="333">
        <f>IF(F851=1,F851*$B$10/MIN(12,'Simulador - 3º Pilar'!$E$88),0)</f>
      </c>
      <c r="I851" s="560">
        <f>(1+$G$5)^(D851/12)*(H851+IF(E851=$N$7,$N$4,0))</f>
      </c>
      <c r="J851" s="561">
        <f>(1+$G$5)^(D851/12)*(H851*(12-IF(MONTH(E852)=12,0,MONTH(E852)))+IF(AND(F851=1,F852=0),$Q$4,0))*IF(AND(F851=1,F852=0),1,0)</f>
      </c>
      <c r="K851" s="217">
        <f>(1+$G$5)^(D851/12)*(IF(E851=$N$7,$N$4,0)+IF(E851=$C$6,$B$10,0))</f>
      </c>
      <c r="L851" s="217">
        <f>(1+$G$5)^(D851/12)*(IF((E851)&gt;($B$6),H851,0)+IF(E851=$N$7,$N$4,0)+IF(E851=$C$6,0,0))</f>
      </c>
      <c r="M851" s="1"/>
      <c r="N851" s="7"/>
      <c r="O851" s="1"/>
      <c r="P851" s="331">
        <v>844</v>
      </c>
      <c r="Q851" s="544">
        <f>+DATE(YEAR(Q850),MONTH(Q850)-1,DAY(Q850))</f>
        <v>25569.041666666668</v>
      </c>
      <c r="R851" s="341">
        <f>IF($Z$7=$E851,1,IF(MONTH($E851)=1,R852*(1+$F$5),R852))</f>
      </c>
      <c r="S851" s="334">
        <f>R851*$B$8/12</f>
      </c>
      <c r="T851" s="334">
        <f>R851*$B$11/12</f>
      </c>
      <c r="U851" s="565">
        <f>(1+$V$5)^(P851/12)*(T851+IF(Q851=$Z$7,$Z$4,0))</f>
      </c>
      <c r="V851" s="170"/>
      <c r="W851" s="7"/>
      <c r="X851" s="1"/>
      <c r="Y851" s="1"/>
      <c r="Z851" s="1"/>
      <c r="AA851" s="1"/>
      <c r="AB851" s="1"/>
      <c r="AC851" s="331">
        <v>844</v>
      </c>
      <c r="AD851" s="544">
        <f>+DATE(YEAR(AD850),MONTH(AD850)-1,DAY(AD850))</f>
        <v>25569.041666666668</v>
      </c>
      <c r="AE851" s="341">
        <f>IF($AM$7=$E851,1,IF(MONTH($E851)=1,AE852*(1+$F$5),AE852))</f>
      </c>
      <c r="AF851" s="334">
        <f>AE851*$B$8/12</f>
      </c>
      <c r="AG851" s="334">
        <f>AE851*$B$12/12</f>
      </c>
      <c r="AH851" s="565">
        <f>(1+$AI$5)^(AC851/12)*(AG851+IF(AD851=$AM$7,$AM$4,0))</f>
      </c>
      <c r="AI851" s="170"/>
      <c r="AJ851" s="7"/>
      <c r="AK851" s="1"/>
      <c r="AL851" s="1"/>
      <c r="AM851" s="1"/>
    </row>
    <row x14ac:dyDescent="0.25" r="852" customHeight="1" ht="18.75">
      <c r="A852" s="1"/>
      <c r="B852" s="169"/>
      <c r="C852" s="170"/>
      <c r="D852" s="331">
        <v>845</v>
      </c>
      <c r="E852" s="544">
        <f>+DATE(YEAR(E851),MONTH(E851)-1,DAY(E851))</f>
        <v>25569.041666666668</v>
      </c>
      <c r="F852" s="333">
        <f>IF($C$6=$E852,1,IF(MONTH($E852)=1,F853*(1+$F$5),F853))</f>
      </c>
      <c r="G852" s="333">
        <f>F852*$B$8/12</f>
      </c>
      <c r="H852" s="333">
        <f>IF(F852=1,F852*$B$10/MIN(12,'Simulador - 3º Pilar'!$E$88),0)</f>
      </c>
      <c r="I852" s="560">
        <f>(1+$G$5)^(D852/12)*(H852+IF(E852=$N$7,$N$4,0))</f>
      </c>
      <c r="J852" s="561">
        <f>(1+$G$5)^(D852/12)*(H852*(12-IF(MONTH(E853)=12,0,MONTH(E853)))+IF(AND(F852=1,F853=0),$Q$4,0))*IF(AND(F852=1,F853=0),1,0)</f>
      </c>
      <c r="K852" s="217">
        <f>(1+$G$5)^(D852/12)*(IF(E852=$N$7,$N$4,0)+IF(E852=$C$6,$B$10,0))</f>
      </c>
      <c r="L852" s="217">
        <f>(1+$G$5)^(D852/12)*(IF((E852)&gt;($B$6),H852,0)+IF(E852=$N$7,$N$4,0)+IF(E852=$C$6,0,0))</f>
      </c>
      <c r="M852" s="1"/>
      <c r="N852" s="7"/>
      <c r="O852" s="1"/>
      <c r="P852" s="331">
        <v>845</v>
      </c>
      <c r="Q852" s="544">
        <f>+DATE(YEAR(Q851),MONTH(Q851)-1,DAY(Q851))</f>
        <v>25569.041666666668</v>
      </c>
      <c r="R852" s="341">
        <f>IF($Z$7=$E852,1,IF(MONTH($E852)=1,R853*(1+$F$5),R853))</f>
      </c>
      <c r="S852" s="334">
        <f>R852*$B$8/12</f>
      </c>
      <c r="T852" s="334">
        <f>R852*$B$11/12</f>
      </c>
      <c r="U852" s="565">
        <f>(1+$V$5)^(P852/12)*(T852+IF(Q852=$Z$7,$Z$4,0))</f>
      </c>
      <c r="V852" s="170"/>
      <c r="W852" s="7"/>
      <c r="X852" s="1"/>
      <c r="Y852" s="1"/>
      <c r="Z852" s="1"/>
      <c r="AA852" s="1"/>
      <c r="AB852" s="1"/>
      <c r="AC852" s="331">
        <v>845</v>
      </c>
      <c r="AD852" s="544">
        <f>+DATE(YEAR(AD851),MONTH(AD851)-1,DAY(AD851))</f>
        <v>25569.041666666668</v>
      </c>
      <c r="AE852" s="341">
        <f>IF($AM$7=$E852,1,IF(MONTH($E852)=1,AE853*(1+$F$5),AE853))</f>
      </c>
      <c r="AF852" s="334">
        <f>AE852*$B$8/12</f>
      </c>
      <c r="AG852" s="334">
        <f>AE852*$B$12/12</f>
      </c>
      <c r="AH852" s="565">
        <f>(1+$AI$5)^(AC852/12)*(AG852+IF(AD852=$AM$7,$AM$4,0))</f>
      </c>
      <c r="AI852" s="170"/>
      <c r="AJ852" s="7"/>
      <c r="AK852" s="1"/>
      <c r="AL852" s="1"/>
      <c r="AM852" s="1"/>
    </row>
    <row x14ac:dyDescent="0.25" r="853" customHeight="1" ht="18.75">
      <c r="A853" s="1"/>
      <c r="B853" s="169"/>
      <c r="C853" s="170"/>
      <c r="D853" s="331">
        <v>846</v>
      </c>
      <c r="E853" s="544">
        <f>+DATE(YEAR(E852),MONTH(E852)-1,DAY(E852))</f>
        <v>25569.041666666668</v>
      </c>
      <c r="F853" s="333">
        <f>IF($C$6=$E853,1,IF(MONTH($E853)=1,F854*(1+$F$5),F854))</f>
      </c>
      <c r="G853" s="333">
        <f>F853*$B$8/12</f>
      </c>
      <c r="H853" s="333">
        <f>IF(F853=1,F853*$B$10/MIN(12,'Simulador - 3º Pilar'!$E$88),0)</f>
      </c>
      <c r="I853" s="560">
        <f>(1+$G$5)^(D853/12)*(H853+IF(E853=$N$7,$N$4,0))</f>
      </c>
      <c r="J853" s="561">
        <f>(1+$G$5)^(D853/12)*(H853*(12-IF(MONTH(E854)=12,0,MONTH(E854)))+IF(AND(F853=1,F854=0),$Q$4,0))*IF(AND(F853=1,F854=0),1,0)</f>
      </c>
      <c r="K853" s="217">
        <f>(1+$G$5)^(D853/12)*(IF(E853=$N$7,$N$4,0)+IF(E853=$C$6,$B$10,0))</f>
      </c>
      <c r="L853" s="217">
        <f>(1+$G$5)^(D853/12)*(IF((E853)&gt;($B$6),H853,0)+IF(E853=$N$7,$N$4,0)+IF(E853=$C$6,0,0))</f>
      </c>
      <c r="M853" s="1"/>
      <c r="N853" s="7"/>
      <c r="O853" s="1"/>
      <c r="P853" s="331">
        <v>846</v>
      </c>
      <c r="Q853" s="544">
        <f>+DATE(YEAR(Q852),MONTH(Q852)-1,DAY(Q852))</f>
        <v>25569.041666666668</v>
      </c>
      <c r="R853" s="341">
        <f>IF($Z$7=$E853,1,IF(MONTH($E853)=1,R854*(1+$F$5),R854))</f>
      </c>
      <c r="S853" s="334">
        <f>R853*$B$8/12</f>
      </c>
      <c r="T853" s="334">
        <f>R853*$B$11/12</f>
      </c>
      <c r="U853" s="565">
        <f>(1+$V$5)^(P853/12)*(T853+IF(Q853=$Z$7,$Z$4,0))</f>
      </c>
      <c r="V853" s="170"/>
      <c r="W853" s="7"/>
      <c r="X853" s="1"/>
      <c r="Y853" s="1"/>
      <c r="Z853" s="1"/>
      <c r="AA853" s="1"/>
      <c r="AB853" s="1"/>
      <c r="AC853" s="331">
        <v>846</v>
      </c>
      <c r="AD853" s="544">
        <f>+DATE(YEAR(AD852),MONTH(AD852)-1,DAY(AD852))</f>
        <v>25569.041666666668</v>
      </c>
      <c r="AE853" s="341">
        <f>IF($AM$7=$E853,1,IF(MONTH($E853)=1,AE854*(1+$F$5),AE854))</f>
      </c>
      <c r="AF853" s="334">
        <f>AE853*$B$8/12</f>
      </c>
      <c r="AG853" s="334">
        <f>AE853*$B$12/12</f>
      </c>
      <c r="AH853" s="565">
        <f>(1+$AI$5)^(AC853/12)*(AG853+IF(AD853=$AM$7,$AM$4,0))</f>
      </c>
      <c r="AI853" s="170"/>
      <c r="AJ853" s="7"/>
      <c r="AK853" s="1"/>
      <c r="AL853" s="1"/>
      <c r="AM853" s="1"/>
    </row>
    <row x14ac:dyDescent="0.25" r="854" customHeight="1" ht="18.75">
      <c r="A854" s="1"/>
      <c r="B854" s="169"/>
      <c r="C854" s="170"/>
      <c r="D854" s="331">
        <v>847</v>
      </c>
      <c r="E854" s="544">
        <f>+DATE(YEAR(E853),MONTH(E853)-1,DAY(E853))</f>
        <v>25569.041666666668</v>
      </c>
      <c r="F854" s="333">
        <f>IF($C$6=$E854,1,IF(MONTH($E854)=1,F855*(1+$F$5),F855))</f>
      </c>
      <c r="G854" s="333">
        <f>F854*$B$8/12</f>
      </c>
      <c r="H854" s="333">
        <f>IF(F854=1,F854*$B$10/MIN(12,'Simulador - 3º Pilar'!$E$88),0)</f>
      </c>
      <c r="I854" s="560">
        <f>(1+$G$5)^(D854/12)*(H854+IF(E854=$N$7,$N$4,0))</f>
      </c>
      <c r="J854" s="561">
        <f>(1+$G$5)^(D854/12)*(H854*(12-IF(MONTH(E855)=12,0,MONTH(E855)))+IF(AND(F854=1,F855=0),$Q$4,0))*IF(AND(F854=1,F855=0),1,0)</f>
      </c>
      <c r="K854" s="217">
        <f>(1+$G$5)^(D854/12)*(IF(E854=$N$7,$N$4,0)+IF(E854=$C$6,$B$10,0))</f>
      </c>
      <c r="L854" s="217">
        <f>(1+$G$5)^(D854/12)*(IF((E854)&gt;($B$6),H854,0)+IF(E854=$N$7,$N$4,0)+IF(E854=$C$6,0,0))</f>
      </c>
      <c r="M854" s="1"/>
      <c r="N854" s="7"/>
      <c r="O854" s="1"/>
      <c r="P854" s="331">
        <v>847</v>
      </c>
      <c r="Q854" s="544">
        <f>+DATE(YEAR(Q853),MONTH(Q853)-1,DAY(Q853))</f>
        <v>25569.041666666668</v>
      </c>
      <c r="R854" s="341">
        <f>IF($Z$7=$E854,1,IF(MONTH($E854)=1,R855*(1+$F$5),R855))</f>
      </c>
      <c r="S854" s="334">
        <f>R854*$B$8/12</f>
      </c>
      <c r="T854" s="334">
        <f>R854*$B$11/12</f>
      </c>
      <c r="U854" s="565">
        <f>(1+$V$5)^(P854/12)*(T854+IF(Q854=$Z$7,$Z$4,0))</f>
      </c>
      <c r="V854" s="170"/>
      <c r="W854" s="7"/>
      <c r="X854" s="1"/>
      <c r="Y854" s="1"/>
      <c r="Z854" s="1"/>
      <c r="AA854" s="1"/>
      <c r="AB854" s="1"/>
      <c r="AC854" s="331">
        <v>847</v>
      </c>
      <c r="AD854" s="544">
        <f>+DATE(YEAR(AD853),MONTH(AD853)-1,DAY(AD853))</f>
        <v>25569.041666666668</v>
      </c>
      <c r="AE854" s="341">
        <f>IF($AM$7=$E854,1,IF(MONTH($E854)=1,AE855*(1+$F$5),AE855))</f>
      </c>
      <c r="AF854" s="334">
        <f>AE854*$B$8/12</f>
      </c>
      <c r="AG854" s="334">
        <f>AE854*$B$12/12</f>
      </c>
      <c r="AH854" s="565">
        <f>(1+$AI$5)^(AC854/12)*(AG854+IF(AD854=$AM$7,$AM$4,0))</f>
      </c>
      <c r="AI854" s="170"/>
      <c r="AJ854" s="7"/>
      <c r="AK854" s="1"/>
      <c r="AL854" s="1"/>
      <c r="AM854" s="1"/>
    </row>
    <row x14ac:dyDescent="0.25" r="855" customHeight="1" ht="18.75">
      <c r="A855" s="1"/>
      <c r="B855" s="169"/>
      <c r="C855" s="170"/>
      <c r="D855" s="331">
        <v>848</v>
      </c>
      <c r="E855" s="544">
        <f>+DATE(YEAR(E854),MONTH(E854)-1,DAY(E854))</f>
        <v>25569.041666666668</v>
      </c>
      <c r="F855" s="333">
        <f>IF($C$6=$E855,1,IF(MONTH($E855)=1,F856*(1+$F$5),F856))</f>
      </c>
      <c r="G855" s="333">
        <f>F855*$B$8/12</f>
      </c>
      <c r="H855" s="333">
        <f>IF(F855=1,F855*$B$10/MIN(12,'Simulador - 3º Pilar'!$E$88),0)</f>
      </c>
      <c r="I855" s="560">
        <f>(1+$G$5)^(D855/12)*(H855+IF(E855=$N$7,$N$4,0))</f>
      </c>
      <c r="J855" s="561">
        <f>(1+$G$5)^(D855/12)*(H855*(12-IF(MONTH(E856)=12,0,MONTH(E856)))+IF(AND(F855=1,F856=0),$Q$4,0))*IF(AND(F855=1,F856=0),1,0)</f>
      </c>
      <c r="K855" s="217">
        <f>(1+$G$5)^(D855/12)*(IF(E855=$N$7,$N$4,0)+IF(E855=$C$6,$B$10,0))</f>
      </c>
      <c r="L855" s="217">
        <f>(1+$G$5)^(D855/12)*(IF((E855)&gt;($B$6),H855,0)+IF(E855=$N$7,$N$4,0)+IF(E855=$C$6,0,0))</f>
      </c>
      <c r="M855" s="1"/>
      <c r="N855" s="7"/>
      <c r="O855" s="1"/>
      <c r="P855" s="331">
        <v>848</v>
      </c>
      <c r="Q855" s="544">
        <f>+DATE(YEAR(Q854),MONTH(Q854)-1,DAY(Q854))</f>
        <v>25569.041666666668</v>
      </c>
      <c r="R855" s="341">
        <f>IF($Z$7=$E855,1,IF(MONTH($E855)=1,R856*(1+$F$5),R856))</f>
      </c>
      <c r="S855" s="334">
        <f>R855*$B$8/12</f>
      </c>
      <c r="T855" s="334">
        <f>R855*$B$11/12</f>
      </c>
      <c r="U855" s="565">
        <f>(1+$V$5)^(P855/12)*(T855+IF(Q855=$Z$7,$Z$4,0))</f>
      </c>
      <c r="V855" s="170"/>
      <c r="W855" s="7"/>
      <c r="X855" s="1"/>
      <c r="Y855" s="1"/>
      <c r="Z855" s="1"/>
      <c r="AA855" s="1"/>
      <c r="AB855" s="1"/>
      <c r="AC855" s="331">
        <v>848</v>
      </c>
      <c r="AD855" s="544">
        <f>+DATE(YEAR(AD854),MONTH(AD854)-1,DAY(AD854))</f>
        <v>25569.041666666668</v>
      </c>
      <c r="AE855" s="341">
        <f>IF($AM$7=$E855,1,IF(MONTH($E855)=1,AE856*(1+$F$5),AE856))</f>
      </c>
      <c r="AF855" s="334">
        <f>AE855*$B$8/12</f>
      </c>
      <c r="AG855" s="334">
        <f>AE855*$B$12/12</f>
      </c>
      <c r="AH855" s="565">
        <f>(1+$AI$5)^(AC855/12)*(AG855+IF(AD855=$AM$7,$AM$4,0))</f>
      </c>
      <c r="AI855" s="170"/>
      <c r="AJ855" s="7"/>
      <c r="AK855" s="1"/>
      <c r="AL855" s="1"/>
      <c r="AM855" s="1"/>
    </row>
    <row x14ac:dyDescent="0.25" r="856" customHeight="1" ht="18.75">
      <c r="A856" s="1"/>
      <c r="B856" s="169"/>
      <c r="C856" s="170"/>
      <c r="D856" s="331">
        <v>849</v>
      </c>
      <c r="E856" s="544">
        <f>+DATE(YEAR(E855),MONTH(E855)-1,DAY(E855))</f>
        <v>25569.041666666668</v>
      </c>
      <c r="F856" s="333">
        <f>IF($C$6=$E856,1,IF(MONTH($E856)=1,F857*(1+$F$5),F857))</f>
      </c>
      <c r="G856" s="333">
        <f>F856*$B$8/12</f>
      </c>
      <c r="H856" s="333">
        <f>IF(F856=1,F856*$B$10/MIN(12,'Simulador - 3º Pilar'!$E$88),0)</f>
      </c>
      <c r="I856" s="560">
        <f>(1+$G$5)^(D856/12)*(H856+IF(E856=$N$7,$N$4,0))</f>
      </c>
      <c r="J856" s="561">
        <f>(1+$G$5)^(D856/12)*(H856*(12-IF(MONTH(E857)=12,0,MONTH(E857)))+IF(AND(F856=1,F857=0),$Q$4,0))*IF(AND(F856=1,F857=0),1,0)</f>
      </c>
      <c r="K856" s="217">
        <f>(1+$G$5)^(D856/12)*(IF(E856=$N$7,$N$4,0)+IF(E856=$C$6,$B$10,0))</f>
      </c>
      <c r="L856" s="217">
        <f>(1+$G$5)^(D856/12)*(IF((E856)&gt;($B$6),H856,0)+IF(E856=$N$7,$N$4,0)+IF(E856=$C$6,0,0))</f>
      </c>
      <c r="M856" s="1"/>
      <c r="N856" s="7"/>
      <c r="O856" s="1"/>
      <c r="P856" s="331">
        <v>849</v>
      </c>
      <c r="Q856" s="544">
        <f>+DATE(YEAR(Q855),MONTH(Q855)-1,DAY(Q855))</f>
        <v>25569.041666666668</v>
      </c>
      <c r="R856" s="341">
        <f>IF($Z$7=$E856,1,IF(MONTH($E856)=1,R857*(1+$F$5),R857))</f>
      </c>
      <c r="S856" s="334">
        <f>R856*$B$8/12</f>
      </c>
      <c r="T856" s="334">
        <f>R856*$B$11/12</f>
      </c>
      <c r="U856" s="565">
        <f>(1+$V$5)^(P856/12)*(T856+IF(Q856=$Z$7,$Z$4,0))</f>
      </c>
      <c r="V856" s="170"/>
      <c r="W856" s="7"/>
      <c r="X856" s="1"/>
      <c r="Y856" s="1"/>
      <c r="Z856" s="1"/>
      <c r="AA856" s="1"/>
      <c r="AB856" s="1"/>
      <c r="AC856" s="331">
        <v>849</v>
      </c>
      <c r="AD856" s="544">
        <f>+DATE(YEAR(AD855),MONTH(AD855)-1,DAY(AD855))</f>
        <v>25569.041666666668</v>
      </c>
      <c r="AE856" s="341">
        <f>IF($AM$7=$E856,1,IF(MONTH($E856)=1,AE857*(1+$F$5),AE857))</f>
      </c>
      <c r="AF856" s="334">
        <f>AE856*$B$8/12</f>
      </c>
      <c r="AG856" s="334">
        <f>AE856*$B$12/12</f>
      </c>
      <c r="AH856" s="565">
        <f>(1+$AI$5)^(AC856/12)*(AG856+IF(AD856=$AM$7,$AM$4,0))</f>
      </c>
      <c r="AI856" s="170"/>
      <c r="AJ856" s="7"/>
      <c r="AK856" s="1"/>
      <c r="AL856" s="1"/>
      <c r="AM856" s="1"/>
    </row>
    <row x14ac:dyDescent="0.25" r="857" customHeight="1" ht="18.75">
      <c r="A857" s="1"/>
      <c r="B857" s="169"/>
      <c r="C857" s="170"/>
      <c r="D857" s="331">
        <v>850</v>
      </c>
      <c r="E857" s="544">
        <f>+DATE(YEAR(E856),MONTH(E856)-1,DAY(E856))</f>
        <v>25569.041666666668</v>
      </c>
      <c r="F857" s="333">
        <f>IF($C$6=$E857,1,IF(MONTH($E857)=1,F858*(1+$F$5),F858))</f>
      </c>
      <c r="G857" s="333">
        <f>F857*$B$8/12</f>
      </c>
      <c r="H857" s="333">
        <f>IF(F857=1,F857*$B$10/MIN(12,'Simulador - 3º Pilar'!$E$88),0)</f>
      </c>
      <c r="I857" s="560">
        <f>(1+$G$5)^(D857/12)*(H857+IF(E857=$N$7,$N$4,0))</f>
      </c>
      <c r="J857" s="561">
        <f>(1+$G$5)^(D857/12)*(H857*(12-IF(MONTH(E858)=12,0,MONTH(E858)))+IF(AND(F857=1,F858=0),$Q$4,0))*IF(AND(F857=1,F858=0),1,0)</f>
      </c>
      <c r="K857" s="217">
        <f>(1+$G$5)^(D857/12)*(IF(E857=$N$7,$N$4,0)+IF(E857=$C$6,$B$10,0))</f>
      </c>
      <c r="L857" s="217">
        <f>(1+$G$5)^(D857/12)*(IF((E857)&gt;($B$6),H857,0)+IF(E857=$N$7,$N$4,0)+IF(E857=$C$6,0,0))</f>
      </c>
      <c r="M857" s="1"/>
      <c r="N857" s="7"/>
      <c r="O857" s="1"/>
      <c r="P857" s="331">
        <v>850</v>
      </c>
      <c r="Q857" s="544">
        <f>+DATE(YEAR(Q856),MONTH(Q856)-1,DAY(Q856))</f>
        <v>25569.041666666668</v>
      </c>
      <c r="R857" s="341">
        <f>IF($Z$7=$E857,1,IF(MONTH($E857)=1,R858*(1+$F$5),R858))</f>
      </c>
      <c r="S857" s="334">
        <f>R857*$B$8/12</f>
      </c>
      <c r="T857" s="334">
        <f>R857*$B$11/12</f>
      </c>
      <c r="U857" s="565">
        <f>(1+$V$5)^(P857/12)*(T857+IF(Q857=$Z$7,$Z$4,0))</f>
      </c>
      <c r="V857" s="170"/>
      <c r="W857" s="7"/>
      <c r="X857" s="1"/>
      <c r="Y857" s="1"/>
      <c r="Z857" s="1"/>
      <c r="AA857" s="1"/>
      <c r="AB857" s="1"/>
      <c r="AC857" s="331">
        <v>850</v>
      </c>
      <c r="AD857" s="544">
        <f>+DATE(YEAR(AD856),MONTH(AD856)-1,DAY(AD856))</f>
        <v>25569.041666666668</v>
      </c>
      <c r="AE857" s="341">
        <f>IF($AM$7=$E857,1,IF(MONTH($E857)=1,AE858*(1+$F$5),AE858))</f>
      </c>
      <c r="AF857" s="334">
        <f>AE857*$B$8/12</f>
      </c>
      <c r="AG857" s="334">
        <f>AE857*$B$12/12</f>
      </c>
      <c r="AH857" s="565">
        <f>(1+$AI$5)^(AC857/12)*(AG857+IF(AD857=$AM$7,$AM$4,0))</f>
      </c>
      <c r="AI857" s="170"/>
      <c r="AJ857" s="7"/>
      <c r="AK857" s="1"/>
      <c r="AL857" s="1"/>
      <c r="AM857" s="1"/>
    </row>
    <row x14ac:dyDescent="0.25" r="858" customHeight="1" ht="18.75">
      <c r="A858" s="1"/>
      <c r="B858" s="169"/>
      <c r="C858" s="170"/>
      <c r="D858" s="331">
        <v>851</v>
      </c>
      <c r="E858" s="544">
        <f>+DATE(YEAR(E857),MONTH(E857)-1,DAY(E857))</f>
        <v>25569.041666666668</v>
      </c>
      <c r="F858" s="333">
        <f>IF($C$6=$E858,1,IF(MONTH($E858)=1,F859*(1+$F$5),F859))</f>
      </c>
      <c r="G858" s="333">
        <f>F858*$B$8/12</f>
      </c>
      <c r="H858" s="333">
        <f>IF(F858=1,F858*$B$10/MIN(12,'Simulador - 3º Pilar'!$E$88),0)</f>
      </c>
      <c r="I858" s="560">
        <f>(1+$G$5)^(D858/12)*(H858+IF(E858=$N$7,$N$4,0))</f>
      </c>
      <c r="J858" s="561">
        <f>(1+$G$5)^(D858/12)*(H858*(12-IF(MONTH(E859)=12,0,MONTH(E859)))+IF(AND(F858=1,F859=0),$Q$4,0))*IF(AND(F858=1,F859=0),1,0)</f>
      </c>
      <c r="K858" s="217">
        <f>(1+$G$5)^(D858/12)*(IF(E858=$N$7,$N$4,0)+IF(E858=$C$6,$B$10,0))</f>
      </c>
      <c r="L858" s="217">
        <f>(1+$G$5)^(D858/12)*(IF((E858)&gt;($B$6),H858,0)+IF(E858=$N$7,$N$4,0)+IF(E858=$C$6,0,0))</f>
      </c>
      <c r="M858" s="1"/>
      <c r="N858" s="7"/>
      <c r="O858" s="1"/>
      <c r="P858" s="331">
        <v>851</v>
      </c>
      <c r="Q858" s="544">
        <f>+DATE(YEAR(Q857),MONTH(Q857)-1,DAY(Q857))</f>
        <v>25569.041666666668</v>
      </c>
      <c r="R858" s="341">
        <f>IF($Z$7=$E858,1,IF(MONTH($E858)=1,R859*(1+$F$5),R859))</f>
      </c>
      <c r="S858" s="334">
        <f>R858*$B$8/12</f>
      </c>
      <c r="T858" s="334">
        <f>R858*$B$11/12</f>
      </c>
      <c r="U858" s="565">
        <f>(1+$V$5)^(P858/12)*(T858+IF(Q858=$Z$7,$Z$4,0))</f>
      </c>
      <c r="V858" s="170"/>
      <c r="W858" s="7"/>
      <c r="X858" s="1"/>
      <c r="Y858" s="1"/>
      <c r="Z858" s="1"/>
      <c r="AA858" s="1"/>
      <c r="AB858" s="1"/>
      <c r="AC858" s="331">
        <v>851</v>
      </c>
      <c r="AD858" s="544">
        <f>+DATE(YEAR(AD857),MONTH(AD857)-1,DAY(AD857))</f>
        <v>25569.041666666668</v>
      </c>
      <c r="AE858" s="341">
        <f>IF($AM$7=$E858,1,IF(MONTH($E858)=1,AE859*(1+$F$5),AE859))</f>
      </c>
      <c r="AF858" s="334">
        <f>AE858*$B$8/12</f>
      </c>
      <c r="AG858" s="334">
        <f>AE858*$B$12/12</f>
      </c>
      <c r="AH858" s="565">
        <f>(1+$AI$5)^(AC858/12)*(AG858+IF(AD858=$AM$7,$AM$4,0))</f>
      </c>
      <c r="AI858" s="170"/>
      <c r="AJ858" s="7"/>
      <c r="AK858" s="1"/>
      <c r="AL858" s="1"/>
      <c r="AM858" s="1"/>
    </row>
    <row x14ac:dyDescent="0.25" r="859" customHeight="1" ht="18.75">
      <c r="A859" s="1"/>
      <c r="B859" s="169"/>
      <c r="C859" s="170"/>
      <c r="D859" s="331">
        <v>852</v>
      </c>
      <c r="E859" s="544">
        <f>+DATE(YEAR(E858),MONTH(E858)-1,DAY(E858))</f>
        <v>25569.041666666668</v>
      </c>
      <c r="F859" s="333">
        <f>IF($C$6=$E859,1,IF(MONTH($E859)=1,F860*(1+$F$5),F860))</f>
      </c>
      <c r="G859" s="333">
        <f>F859*$B$8/12</f>
      </c>
      <c r="H859" s="333">
        <f>IF(F859=1,F859*$B$10/MIN(12,'Simulador - 3º Pilar'!$E$88),0)</f>
      </c>
      <c r="I859" s="560">
        <f>(1+$G$5)^(D859/12)*(H859+IF(E859=$N$7,$N$4,0))</f>
      </c>
      <c r="J859" s="561">
        <f>(1+$G$5)^(D859/12)*(H859*(12-IF(MONTH(E860)=12,0,MONTH(E860)))+IF(AND(F859=1,F860=0),$Q$4,0))*IF(AND(F859=1,F860=0),1,0)</f>
      </c>
      <c r="K859" s="217">
        <f>(1+$G$5)^(D859/12)*(IF(E859=$N$7,$N$4,0)+IF(E859=$C$6,$B$10,0))</f>
      </c>
      <c r="L859" s="217">
        <f>(1+$G$5)^(D859/12)*(IF((E859)&gt;($B$6),H859,0)+IF(E859=$N$7,$N$4,0)+IF(E859=$C$6,0,0))</f>
      </c>
      <c r="M859" s="1"/>
      <c r="N859" s="7"/>
      <c r="O859" s="1"/>
      <c r="P859" s="331">
        <v>852</v>
      </c>
      <c r="Q859" s="544">
        <f>+DATE(YEAR(Q858),MONTH(Q858)-1,DAY(Q858))</f>
        <v>25569.041666666668</v>
      </c>
      <c r="R859" s="341">
        <f>IF($Z$7=$E859,1,IF(MONTH($E859)=1,R860*(1+$F$5),R860))</f>
      </c>
      <c r="S859" s="334">
        <f>R859*$B$8/12</f>
      </c>
      <c r="T859" s="334">
        <f>R859*$B$11/12</f>
      </c>
      <c r="U859" s="565">
        <f>(1+$V$5)^(P859/12)*(T859+IF(Q859=$Z$7,$Z$4,0))</f>
      </c>
      <c r="V859" s="170"/>
      <c r="W859" s="7"/>
      <c r="X859" s="1"/>
      <c r="Y859" s="1"/>
      <c r="Z859" s="1"/>
      <c r="AA859" s="1"/>
      <c r="AB859" s="1"/>
      <c r="AC859" s="331">
        <v>852</v>
      </c>
      <c r="AD859" s="544">
        <f>+DATE(YEAR(AD858),MONTH(AD858)-1,DAY(AD858))</f>
        <v>25569.041666666668</v>
      </c>
      <c r="AE859" s="341">
        <f>IF($AM$7=$E859,1,IF(MONTH($E859)=1,AE860*(1+$F$5),AE860))</f>
      </c>
      <c r="AF859" s="334">
        <f>AE859*$B$8/12</f>
      </c>
      <c r="AG859" s="334">
        <f>AE859*$B$12/12</f>
      </c>
      <c r="AH859" s="565">
        <f>(1+$AI$5)^(AC859/12)*(AG859+IF(AD859=$AM$7,$AM$4,0))</f>
      </c>
      <c r="AI859" s="170"/>
      <c r="AJ859" s="7"/>
      <c r="AK859" s="1"/>
      <c r="AL859" s="1"/>
      <c r="AM859" s="1"/>
    </row>
    <row x14ac:dyDescent="0.25" r="860" customHeight="1" ht="18.75">
      <c r="A860" s="1"/>
      <c r="B860" s="169"/>
      <c r="C860" s="170"/>
      <c r="D860" s="331">
        <v>853</v>
      </c>
      <c r="E860" s="544">
        <f>+DATE(YEAR(E859),MONTH(E859)-1,DAY(E859))</f>
        <v>25569.041666666668</v>
      </c>
      <c r="F860" s="333">
        <f>IF($C$6=$E860,1,IF(MONTH($E860)=1,F861*(1+$F$5),F861))</f>
      </c>
      <c r="G860" s="333">
        <f>F860*$B$8/12</f>
      </c>
      <c r="H860" s="333">
        <f>IF(F860=1,F860*$B$10/MIN(12,'Simulador - 3º Pilar'!$E$88),0)</f>
      </c>
      <c r="I860" s="560">
        <f>(1+$G$5)^(D860/12)*(H860+IF(E860=$N$7,$N$4,0))</f>
      </c>
      <c r="J860" s="561">
        <f>(1+$G$5)^(D860/12)*(H860*(12-IF(MONTH(E861)=12,0,MONTH(E861)))+IF(AND(F860=1,F861=0),$Q$4,0))*IF(AND(F860=1,F861=0),1,0)</f>
      </c>
      <c r="K860" s="217">
        <f>(1+$G$5)^(D860/12)*(IF(E860=$N$7,$N$4,0)+IF(E860=$C$6,$B$10,0))</f>
      </c>
      <c r="L860" s="217">
        <f>(1+$G$5)^(D860/12)*(IF((E860)&gt;($B$6),H860,0)+IF(E860=$N$7,$N$4,0)+IF(E860=$C$6,0,0))</f>
      </c>
      <c r="M860" s="1"/>
      <c r="N860" s="7"/>
      <c r="O860" s="1"/>
      <c r="P860" s="331">
        <v>853</v>
      </c>
      <c r="Q860" s="544">
        <f>+DATE(YEAR(Q859),MONTH(Q859)-1,DAY(Q859))</f>
        <v>25569.041666666668</v>
      </c>
      <c r="R860" s="341">
        <f>IF($Z$7=$E860,1,IF(MONTH($E860)=1,R861*(1+$F$5),R861))</f>
      </c>
      <c r="S860" s="334">
        <f>R860*$B$8/12</f>
      </c>
      <c r="T860" s="334">
        <f>R860*$B$11/12</f>
      </c>
      <c r="U860" s="565">
        <f>(1+$V$5)^(P860/12)*(T860+IF(Q860=$Z$7,$Z$4,0))</f>
      </c>
      <c r="V860" s="170"/>
      <c r="W860" s="7"/>
      <c r="X860" s="1"/>
      <c r="Y860" s="1"/>
      <c r="Z860" s="1"/>
      <c r="AA860" s="1"/>
      <c r="AB860" s="1"/>
      <c r="AC860" s="331">
        <v>853</v>
      </c>
      <c r="AD860" s="544">
        <f>+DATE(YEAR(AD859),MONTH(AD859)-1,DAY(AD859))</f>
        <v>25569.041666666668</v>
      </c>
      <c r="AE860" s="341">
        <f>IF($AM$7=$E860,1,IF(MONTH($E860)=1,AE861*(1+$F$5),AE861))</f>
      </c>
      <c r="AF860" s="334">
        <f>AE860*$B$8/12</f>
      </c>
      <c r="AG860" s="334">
        <f>AE860*$B$12/12</f>
      </c>
      <c r="AH860" s="565">
        <f>(1+$AI$5)^(AC860/12)*(AG860+IF(AD860=$AM$7,$AM$4,0))</f>
      </c>
      <c r="AI860" s="170"/>
      <c r="AJ860" s="7"/>
      <c r="AK860" s="1"/>
      <c r="AL860" s="1"/>
      <c r="AM860" s="1"/>
    </row>
    <row x14ac:dyDescent="0.25" r="861" customHeight="1" ht="18.75">
      <c r="A861" s="1"/>
      <c r="B861" s="169"/>
      <c r="C861" s="170"/>
      <c r="D861" s="331">
        <v>854</v>
      </c>
      <c r="E861" s="544">
        <f>+DATE(YEAR(E860),MONTH(E860)-1,DAY(E860))</f>
        <v>25569.041666666668</v>
      </c>
      <c r="F861" s="333">
        <f>IF($C$6=$E861,1,IF(MONTH($E861)=1,F862*(1+$F$5),F862))</f>
      </c>
      <c r="G861" s="333">
        <f>F861*$B$8/12</f>
      </c>
      <c r="H861" s="333">
        <f>IF(F861=1,F861*$B$10/MIN(12,'Simulador - 3º Pilar'!$E$88),0)</f>
      </c>
      <c r="I861" s="560">
        <f>(1+$G$5)^(D861/12)*(H861+IF(E861=$N$7,$N$4,0))</f>
      </c>
      <c r="J861" s="561">
        <f>(1+$G$5)^(D861/12)*(H861*(12-IF(MONTH(E862)=12,0,MONTH(E862)))+IF(AND(F861=1,F862=0),$Q$4,0))*IF(AND(F861=1,F862=0),1,0)</f>
      </c>
      <c r="K861" s="217">
        <f>(1+$G$5)^(D861/12)*(IF(E861=$N$7,$N$4,0)+IF(E861=$C$6,$B$10,0))</f>
      </c>
      <c r="L861" s="217">
        <f>(1+$G$5)^(D861/12)*(IF((E861)&gt;($B$6),H861,0)+IF(E861=$N$7,$N$4,0)+IF(E861=$C$6,0,0))</f>
      </c>
      <c r="M861" s="1"/>
      <c r="N861" s="7"/>
      <c r="O861" s="1"/>
      <c r="P861" s="331">
        <v>854</v>
      </c>
      <c r="Q861" s="544">
        <f>+DATE(YEAR(Q860),MONTH(Q860)-1,DAY(Q860))</f>
        <v>25569.041666666668</v>
      </c>
      <c r="R861" s="341">
        <f>IF($Z$7=$E861,1,IF(MONTH($E861)=1,R862*(1+$F$5),R862))</f>
      </c>
      <c r="S861" s="334">
        <f>R861*$B$8/12</f>
      </c>
      <c r="T861" s="334">
        <f>R861*$B$11/12</f>
      </c>
      <c r="U861" s="565">
        <f>(1+$V$5)^(P861/12)*(T861+IF(Q861=$Z$7,$Z$4,0))</f>
      </c>
      <c r="V861" s="170"/>
      <c r="W861" s="7"/>
      <c r="X861" s="1"/>
      <c r="Y861" s="1"/>
      <c r="Z861" s="1"/>
      <c r="AA861" s="1"/>
      <c r="AB861" s="1"/>
      <c r="AC861" s="331">
        <v>854</v>
      </c>
      <c r="AD861" s="544">
        <f>+DATE(YEAR(AD860),MONTH(AD860)-1,DAY(AD860))</f>
        <v>25569.041666666668</v>
      </c>
      <c r="AE861" s="341">
        <f>IF($AM$7=$E861,1,IF(MONTH($E861)=1,AE862*(1+$F$5),AE862))</f>
      </c>
      <c r="AF861" s="334">
        <f>AE861*$B$8/12</f>
      </c>
      <c r="AG861" s="334">
        <f>AE861*$B$12/12</f>
      </c>
      <c r="AH861" s="565">
        <f>(1+$AI$5)^(AC861/12)*(AG861+IF(AD861=$AM$7,$AM$4,0))</f>
      </c>
      <c r="AI861" s="170"/>
      <c r="AJ861" s="7"/>
      <c r="AK861" s="1"/>
      <c r="AL861" s="1"/>
      <c r="AM861" s="1"/>
    </row>
    <row x14ac:dyDescent="0.25" r="862" customHeight="1" ht="18.75">
      <c r="A862" s="1"/>
      <c r="B862" s="169"/>
      <c r="C862" s="170"/>
      <c r="D862" s="331">
        <v>855</v>
      </c>
      <c r="E862" s="544">
        <f>+DATE(YEAR(E861),MONTH(E861)-1,DAY(E861))</f>
        <v>25569.041666666668</v>
      </c>
      <c r="F862" s="333">
        <f>IF($C$6=$E862,1,IF(MONTH($E862)=1,F863*(1+$F$5),F863))</f>
      </c>
      <c r="G862" s="333">
        <f>F862*$B$8/12</f>
      </c>
      <c r="H862" s="333">
        <f>IF(F862=1,F862*$B$10/MIN(12,'Simulador - 3º Pilar'!$E$88),0)</f>
      </c>
      <c r="I862" s="560">
        <f>(1+$G$5)^(D862/12)*(H862+IF(E862=$N$7,$N$4,0))</f>
      </c>
      <c r="J862" s="561">
        <f>(1+$G$5)^(D862/12)*(H862*(12-IF(MONTH(E863)=12,0,MONTH(E863)))+IF(AND(F862=1,F863=0),$Q$4,0))*IF(AND(F862=1,F863=0),1,0)</f>
      </c>
      <c r="K862" s="217">
        <f>(1+$G$5)^(D862/12)*(IF(E862=$N$7,$N$4,0)+IF(E862=$C$6,$B$10,0))</f>
      </c>
      <c r="L862" s="217">
        <f>(1+$G$5)^(D862/12)*(IF((E862)&gt;($B$6),H862,0)+IF(E862=$N$7,$N$4,0)+IF(E862=$C$6,0,0))</f>
      </c>
      <c r="M862" s="1"/>
      <c r="N862" s="7"/>
      <c r="O862" s="1"/>
      <c r="P862" s="331">
        <v>855</v>
      </c>
      <c r="Q862" s="544">
        <f>+DATE(YEAR(Q861),MONTH(Q861)-1,DAY(Q861))</f>
        <v>25569.041666666668</v>
      </c>
      <c r="R862" s="341">
        <f>IF($Z$7=$E862,1,IF(MONTH($E862)=1,R863*(1+$F$5),R863))</f>
      </c>
      <c r="S862" s="334">
        <f>R862*$B$8/12</f>
      </c>
      <c r="T862" s="334">
        <f>R862*$B$11/12</f>
      </c>
      <c r="U862" s="565">
        <f>(1+$V$5)^(P862/12)*(T862+IF(Q862=$Z$7,$Z$4,0))</f>
      </c>
      <c r="V862" s="170"/>
      <c r="W862" s="7"/>
      <c r="X862" s="1"/>
      <c r="Y862" s="1"/>
      <c r="Z862" s="1"/>
      <c r="AA862" s="1"/>
      <c r="AB862" s="1"/>
      <c r="AC862" s="331">
        <v>855</v>
      </c>
      <c r="AD862" s="544">
        <f>+DATE(YEAR(AD861),MONTH(AD861)-1,DAY(AD861))</f>
        <v>25569.041666666668</v>
      </c>
      <c r="AE862" s="341">
        <f>IF($AM$7=$E862,1,IF(MONTH($E862)=1,AE863*(1+$F$5),AE863))</f>
      </c>
      <c r="AF862" s="334">
        <f>AE862*$B$8/12</f>
      </c>
      <c r="AG862" s="334">
        <f>AE862*$B$12/12</f>
      </c>
      <c r="AH862" s="565">
        <f>(1+$AI$5)^(AC862/12)*(AG862+IF(AD862=$AM$7,$AM$4,0))</f>
      </c>
      <c r="AI862" s="170"/>
      <c r="AJ862" s="7"/>
      <c r="AK862" s="1"/>
      <c r="AL862" s="1"/>
      <c r="AM862" s="1"/>
    </row>
    <row x14ac:dyDescent="0.25" r="863" customHeight="1" ht="18.75">
      <c r="A863" s="1"/>
      <c r="B863" s="169"/>
      <c r="C863" s="170"/>
      <c r="D863" s="331">
        <v>856</v>
      </c>
      <c r="E863" s="544">
        <f>+DATE(YEAR(E862),MONTH(E862)-1,DAY(E862))</f>
        <v>25569.041666666668</v>
      </c>
      <c r="F863" s="333">
        <f>IF($C$6=$E863,1,IF(MONTH($E863)=1,F864*(1+$F$5),F864))</f>
      </c>
      <c r="G863" s="333">
        <f>F863*$B$8/12</f>
      </c>
      <c r="H863" s="333">
        <f>IF(F863=1,F863*$B$10/MIN(12,'Simulador - 3º Pilar'!$E$88),0)</f>
      </c>
      <c r="I863" s="560">
        <f>(1+$G$5)^(D863/12)*(H863+IF(E863=$N$7,$N$4,0))</f>
      </c>
      <c r="J863" s="561">
        <f>(1+$G$5)^(D863/12)*(H863*(12-IF(MONTH(E864)=12,0,MONTH(E864)))+IF(AND(F863=1,F864=0),$Q$4,0))*IF(AND(F863=1,F864=0),1,0)</f>
      </c>
      <c r="K863" s="217">
        <f>(1+$G$5)^(D863/12)*(IF(E863=$N$7,$N$4,0)+IF(E863=$C$6,$B$10,0))</f>
      </c>
      <c r="L863" s="217">
        <f>(1+$G$5)^(D863/12)*(IF((E863)&gt;($B$6),H863,0)+IF(E863=$N$7,$N$4,0)+IF(E863=$C$6,0,0))</f>
      </c>
      <c r="M863" s="1"/>
      <c r="N863" s="7"/>
      <c r="O863" s="1"/>
      <c r="P863" s="331">
        <v>856</v>
      </c>
      <c r="Q863" s="544">
        <f>+DATE(YEAR(Q862),MONTH(Q862)-1,DAY(Q862))</f>
        <v>25569.041666666668</v>
      </c>
      <c r="R863" s="341">
        <f>IF($Z$7=$E863,1,IF(MONTH($E863)=1,R864*(1+$F$5),R864))</f>
      </c>
      <c r="S863" s="334">
        <f>R863*$B$8/12</f>
      </c>
      <c r="T863" s="334">
        <f>R863*$B$11/12</f>
      </c>
      <c r="U863" s="565">
        <f>(1+$V$5)^(P863/12)*(T863+IF(Q863=$Z$7,$Z$4,0))</f>
      </c>
      <c r="V863" s="170"/>
      <c r="W863" s="7"/>
      <c r="X863" s="1"/>
      <c r="Y863" s="1"/>
      <c r="Z863" s="1"/>
      <c r="AA863" s="1"/>
      <c r="AB863" s="1"/>
      <c r="AC863" s="331">
        <v>856</v>
      </c>
      <c r="AD863" s="544">
        <f>+DATE(YEAR(AD862),MONTH(AD862)-1,DAY(AD862))</f>
        <v>25569.041666666668</v>
      </c>
      <c r="AE863" s="341">
        <f>IF($AM$7=$E863,1,IF(MONTH($E863)=1,AE864*(1+$F$5),AE864))</f>
      </c>
      <c r="AF863" s="334">
        <f>AE863*$B$8/12</f>
      </c>
      <c r="AG863" s="334">
        <f>AE863*$B$12/12</f>
      </c>
      <c r="AH863" s="565">
        <f>(1+$AI$5)^(AC863/12)*(AG863+IF(AD863=$AM$7,$AM$4,0))</f>
      </c>
      <c r="AI863" s="170"/>
      <c r="AJ863" s="7"/>
      <c r="AK863" s="1"/>
      <c r="AL863" s="1"/>
      <c r="AM863" s="1"/>
    </row>
    <row x14ac:dyDescent="0.25" r="864" customHeight="1" ht="18.75">
      <c r="A864" s="1"/>
      <c r="B864" s="169"/>
      <c r="C864" s="170"/>
      <c r="D864" s="331">
        <v>857</v>
      </c>
      <c r="E864" s="544">
        <f>+DATE(YEAR(E863),MONTH(E863)-1,DAY(E863))</f>
        <v>25569.041666666668</v>
      </c>
      <c r="F864" s="333">
        <f>IF($C$6=$E864,1,IF(MONTH($E864)=1,F865*(1+$F$5),F865))</f>
      </c>
      <c r="G864" s="333">
        <f>F864*$B$8/12</f>
      </c>
      <c r="H864" s="333">
        <f>IF(F864=1,F864*$B$10/MIN(12,'Simulador - 3º Pilar'!$E$88),0)</f>
      </c>
      <c r="I864" s="560">
        <f>(1+$G$5)^(D864/12)*(H864+IF(E864=$N$7,$N$4,0))</f>
      </c>
      <c r="J864" s="561">
        <f>(1+$G$5)^(D864/12)*(H864*(12-IF(MONTH(E865)=12,0,MONTH(E865)))+IF(AND(F864=1,F865=0),$Q$4,0))*IF(AND(F864=1,F865=0),1,0)</f>
      </c>
      <c r="K864" s="217">
        <f>(1+$G$5)^(D864/12)*(IF(E864=$N$7,$N$4,0)+IF(E864=$C$6,$B$10,0))</f>
      </c>
      <c r="L864" s="217">
        <f>(1+$G$5)^(D864/12)*(IF((E864)&gt;($B$6),H864,0)+IF(E864=$N$7,$N$4,0)+IF(E864=$C$6,0,0))</f>
      </c>
      <c r="M864" s="1"/>
      <c r="N864" s="7"/>
      <c r="O864" s="1"/>
      <c r="P864" s="331">
        <v>857</v>
      </c>
      <c r="Q864" s="544">
        <f>+DATE(YEAR(Q863),MONTH(Q863)-1,DAY(Q863))</f>
        <v>25569.041666666668</v>
      </c>
      <c r="R864" s="341">
        <f>IF($Z$7=$E864,1,IF(MONTH($E864)=1,R865*(1+$F$5),R865))</f>
      </c>
      <c r="S864" s="334">
        <f>R864*$B$8/12</f>
      </c>
      <c r="T864" s="334">
        <f>R864*$B$11/12</f>
      </c>
      <c r="U864" s="565">
        <f>(1+$V$5)^(P864/12)*(T864+IF(Q864=$Z$7,$Z$4,0))</f>
      </c>
      <c r="V864" s="170"/>
      <c r="W864" s="7"/>
      <c r="X864" s="1"/>
      <c r="Y864" s="1"/>
      <c r="Z864" s="1"/>
      <c r="AA864" s="1"/>
      <c r="AB864" s="1"/>
      <c r="AC864" s="331">
        <v>857</v>
      </c>
      <c r="AD864" s="544">
        <f>+DATE(YEAR(AD863),MONTH(AD863)-1,DAY(AD863))</f>
        <v>25569.041666666668</v>
      </c>
      <c r="AE864" s="341">
        <f>IF($AM$7=$E864,1,IF(MONTH($E864)=1,AE865*(1+$F$5),AE865))</f>
      </c>
      <c r="AF864" s="334">
        <f>AE864*$B$8/12</f>
      </c>
      <c r="AG864" s="334">
        <f>AE864*$B$12/12</f>
      </c>
      <c r="AH864" s="565">
        <f>(1+$AI$5)^(AC864/12)*(AG864+IF(AD864=$AM$7,$AM$4,0))</f>
      </c>
      <c r="AI864" s="170"/>
      <c r="AJ864" s="7"/>
      <c r="AK864" s="1"/>
      <c r="AL864" s="1"/>
      <c r="AM864" s="1"/>
    </row>
    <row x14ac:dyDescent="0.25" r="865" customHeight="1" ht="18.75">
      <c r="A865" s="1"/>
      <c r="B865" s="169"/>
      <c r="C865" s="170"/>
      <c r="D865" s="331">
        <v>858</v>
      </c>
      <c r="E865" s="544">
        <f>+DATE(YEAR(E864),MONTH(E864)-1,DAY(E864))</f>
        <v>25569.041666666668</v>
      </c>
      <c r="F865" s="333">
        <f>IF($C$6=$E865,1,IF(MONTH($E865)=1,F866*(1+$F$5),F866))</f>
      </c>
      <c r="G865" s="333">
        <f>F865*$B$8/12</f>
      </c>
      <c r="H865" s="333">
        <f>IF(F865=1,F865*$B$10/MIN(12,'Simulador - 3º Pilar'!$E$88),0)</f>
      </c>
      <c r="I865" s="560">
        <f>(1+$G$5)^(D865/12)*(H865+IF(E865=$N$7,$N$4,0))</f>
      </c>
      <c r="J865" s="561">
        <f>(1+$G$5)^(D865/12)*(H865*(12-IF(MONTH(E866)=12,0,MONTH(E866)))+IF(AND(F865=1,F866=0),$Q$4,0))*IF(AND(F865=1,F866=0),1,0)</f>
      </c>
      <c r="K865" s="217">
        <f>(1+$G$5)^(D865/12)*(IF(E865=$N$7,$N$4,0)+IF(E865=$C$6,$B$10,0))</f>
      </c>
      <c r="L865" s="217">
        <f>(1+$G$5)^(D865/12)*(IF((E865)&gt;($B$6),H865,0)+IF(E865=$N$7,$N$4,0)+IF(E865=$C$6,0,0))</f>
      </c>
      <c r="M865" s="1"/>
      <c r="N865" s="7"/>
      <c r="O865" s="1"/>
      <c r="P865" s="331">
        <v>858</v>
      </c>
      <c r="Q865" s="544">
        <f>+DATE(YEAR(Q864),MONTH(Q864)-1,DAY(Q864))</f>
        <v>25569.041666666668</v>
      </c>
      <c r="R865" s="341">
        <f>IF($Z$7=$E865,1,IF(MONTH($E865)=1,R866*(1+$F$5),R866))</f>
      </c>
      <c r="S865" s="334">
        <f>R865*$B$8/12</f>
      </c>
      <c r="T865" s="334">
        <f>R865*$B$11/12</f>
      </c>
      <c r="U865" s="565">
        <f>(1+$V$5)^(P865/12)*(T865+IF(Q865=$Z$7,$Z$4,0))</f>
      </c>
      <c r="V865" s="170"/>
      <c r="W865" s="7"/>
      <c r="X865" s="1"/>
      <c r="Y865" s="1"/>
      <c r="Z865" s="1"/>
      <c r="AA865" s="1"/>
      <c r="AB865" s="1"/>
      <c r="AC865" s="331">
        <v>858</v>
      </c>
      <c r="AD865" s="544">
        <f>+DATE(YEAR(AD864),MONTH(AD864)-1,DAY(AD864))</f>
        <v>25569.041666666668</v>
      </c>
      <c r="AE865" s="341">
        <f>IF($AM$7=$E865,1,IF(MONTH($E865)=1,AE866*(1+$F$5),AE866))</f>
      </c>
      <c r="AF865" s="334">
        <f>AE865*$B$8/12</f>
      </c>
      <c r="AG865" s="334">
        <f>AE865*$B$12/12</f>
      </c>
      <c r="AH865" s="565">
        <f>(1+$AI$5)^(AC865/12)*(AG865+IF(AD865=$AM$7,$AM$4,0))</f>
      </c>
      <c r="AI865" s="170"/>
      <c r="AJ865" s="7"/>
      <c r="AK865" s="1"/>
      <c r="AL865" s="1"/>
      <c r="AM865" s="1"/>
    </row>
    <row x14ac:dyDescent="0.25" r="866" customHeight="1" ht="18.75">
      <c r="A866" s="1"/>
      <c r="B866" s="169"/>
      <c r="C866" s="170"/>
      <c r="D866" s="331">
        <v>859</v>
      </c>
      <c r="E866" s="544">
        <f>+DATE(YEAR(E865),MONTH(E865)-1,DAY(E865))</f>
        <v>25569.041666666668</v>
      </c>
      <c r="F866" s="333">
        <f>IF($C$6=$E866,1,IF(MONTH($E866)=1,F867*(1+$F$5),F867))</f>
      </c>
      <c r="G866" s="333">
        <f>F866*$B$8/12</f>
      </c>
      <c r="H866" s="333">
        <f>IF(F866=1,F866*$B$10/MIN(12,'Simulador - 3º Pilar'!$E$88),0)</f>
      </c>
      <c r="I866" s="560">
        <f>(1+$G$5)^(D866/12)*(H866+IF(E866=$N$7,$N$4,0))</f>
      </c>
      <c r="J866" s="561">
        <f>(1+$G$5)^(D866/12)*(H866*(12-IF(MONTH(E867)=12,0,MONTH(E867)))+IF(AND(F866=1,F867=0),$Q$4,0))*IF(AND(F866=1,F867=0),1,0)</f>
      </c>
      <c r="K866" s="217">
        <f>(1+$G$5)^(D866/12)*(IF(E866=$N$7,$N$4,0)+IF(E866=$C$6,$B$10,0))</f>
      </c>
      <c r="L866" s="217">
        <f>(1+$G$5)^(D866/12)*(IF((E866)&gt;($B$6),H866,0)+IF(E866=$N$7,$N$4,0)+IF(E866=$C$6,0,0))</f>
      </c>
      <c r="M866" s="1"/>
      <c r="N866" s="7"/>
      <c r="O866" s="1"/>
      <c r="P866" s="331">
        <v>859</v>
      </c>
      <c r="Q866" s="544">
        <f>+DATE(YEAR(Q865),MONTH(Q865)-1,DAY(Q865))</f>
        <v>25569.041666666668</v>
      </c>
      <c r="R866" s="341">
        <f>IF($Z$7=$E866,1,IF(MONTH($E866)=1,R867*(1+$F$5),R867))</f>
      </c>
      <c r="S866" s="334">
        <f>R866*$B$8/12</f>
      </c>
      <c r="T866" s="334">
        <f>R866*$B$11/12</f>
      </c>
      <c r="U866" s="565">
        <f>(1+$V$5)^(P866/12)*(T866+IF(Q866=$Z$7,$Z$4,0))</f>
      </c>
      <c r="V866" s="170"/>
      <c r="W866" s="7"/>
      <c r="X866" s="1"/>
      <c r="Y866" s="1"/>
      <c r="Z866" s="1"/>
      <c r="AA866" s="1"/>
      <c r="AB866" s="1"/>
      <c r="AC866" s="331">
        <v>859</v>
      </c>
      <c r="AD866" s="544">
        <f>+DATE(YEAR(AD865),MONTH(AD865)-1,DAY(AD865))</f>
        <v>25569.041666666668</v>
      </c>
      <c r="AE866" s="341">
        <f>IF($AM$7=$E866,1,IF(MONTH($E866)=1,AE867*(1+$F$5),AE867))</f>
      </c>
      <c r="AF866" s="334">
        <f>AE866*$B$8/12</f>
      </c>
      <c r="AG866" s="334">
        <f>AE866*$B$12/12</f>
      </c>
      <c r="AH866" s="565">
        <f>(1+$AI$5)^(AC866/12)*(AG866+IF(AD866=$AM$7,$AM$4,0))</f>
      </c>
      <c r="AI866" s="170"/>
      <c r="AJ866" s="7"/>
      <c r="AK866" s="1"/>
      <c r="AL866" s="1"/>
      <c r="AM866" s="1"/>
    </row>
    <row x14ac:dyDescent="0.25" r="867" customHeight="1" ht="18.75">
      <c r="A867" s="1"/>
      <c r="B867" s="169"/>
      <c r="C867" s="170"/>
      <c r="D867" s="331">
        <v>860</v>
      </c>
      <c r="E867" s="544">
        <f>+DATE(YEAR(E866),MONTH(E866)-1,DAY(E866))</f>
        <v>25569.041666666668</v>
      </c>
      <c r="F867" s="333">
        <f>IF($C$6=$E867,1,IF(MONTH($E867)=1,F868*(1+$F$5),F868))</f>
      </c>
      <c r="G867" s="333">
        <f>F867*$B$8/12</f>
      </c>
      <c r="H867" s="333">
        <f>IF(F867=1,F867*$B$10/MIN(12,'Simulador - 3º Pilar'!$E$88),0)</f>
      </c>
      <c r="I867" s="560">
        <f>(1+$G$5)^(D867/12)*(H867+IF(E867=$N$7,$N$4,0))</f>
      </c>
      <c r="J867" s="561">
        <f>(1+$G$5)^(D867/12)*(H867*(12-IF(MONTH(E868)=12,0,MONTH(E868)))+IF(AND(F867=1,F868=0),$Q$4,0))*IF(AND(F867=1,F868=0),1,0)</f>
      </c>
      <c r="K867" s="217">
        <f>(1+$G$5)^(D867/12)*(IF(E867=$N$7,$N$4,0)+IF(E867=$C$6,$B$10,0))</f>
      </c>
      <c r="L867" s="217">
        <f>(1+$G$5)^(D867/12)*(IF((E867)&gt;($B$6),H867,0)+IF(E867=$N$7,$N$4,0)+IF(E867=$C$6,0,0))</f>
      </c>
      <c r="M867" s="1"/>
      <c r="N867" s="7"/>
      <c r="O867" s="1"/>
      <c r="P867" s="331">
        <v>860</v>
      </c>
      <c r="Q867" s="544">
        <f>+DATE(YEAR(Q866),MONTH(Q866)-1,DAY(Q866))</f>
        <v>25569.041666666668</v>
      </c>
      <c r="R867" s="341">
        <f>IF($Z$7=$E867,1,IF(MONTH($E867)=1,R868*(1+$F$5),R868))</f>
      </c>
      <c r="S867" s="334">
        <f>R867*$B$8/12</f>
      </c>
      <c r="T867" s="334">
        <f>R867*$B$11/12</f>
      </c>
      <c r="U867" s="565">
        <f>(1+$V$5)^(P867/12)*(T867+IF(Q867=$Z$7,$Z$4,0))</f>
      </c>
      <c r="V867" s="170"/>
      <c r="W867" s="7"/>
      <c r="X867" s="1"/>
      <c r="Y867" s="1"/>
      <c r="Z867" s="1"/>
      <c r="AA867" s="1"/>
      <c r="AB867" s="1"/>
      <c r="AC867" s="331">
        <v>860</v>
      </c>
      <c r="AD867" s="544">
        <f>+DATE(YEAR(AD866),MONTH(AD866)-1,DAY(AD866))</f>
        <v>25569.041666666668</v>
      </c>
      <c r="AE867" s="341">
        <f>IF($AM$7=$E867,1,IF(MONTH($E867)=1,AE868*(1+$F$5),AE868))</f>
      </c>
      <c r="AF867" s="334">
        <f>AE867*$B$8/12</f>
      </c>
      <c r="AG867" s="334">
        <f>AE867*$B$12/12</f>
      </c>
      <c r="AH867" s="565">
        <f>(1+$AI$5)^(AC867/12)*(AG867+IF(AD867=$AM$7,$AM$4,0))</f>
      </c>
      <c r="AI867" s="170"/>
      <c r="AJ867" s="7"/>
      <c r="AK867" s="1"/>
      <c r="AL867" s="1"/>
      <c r="AM867" s="1"/>
    </row>
    <row x14ac:dyDescent="0.25" r="868" customHeight="1" ht="18.75">
      <c r="A868" s="1"/>
      <c r="B868" s="169"/>
      <c r="C868" s="170"/>
      <c r="D868" s="331">
        <v>861</v>
      </c>
      <c r="E868" s="544">
        <f>+DATE(YEAR(E867),MONTH(E867)-1,DAY(E867))</f>
        <v>25569.041666666668</v>
      </c>
      <c r="F868" s="333">
        <f>IF($C$6=$E868,1,IF(MONTH($E868)=1,F869*(1+$F$5),F869))</f>
      </c>
      <c r="G868" s="333">
        <f>F868*$B$8/12</f>
      </c>
      <c r="H868" s="333">
        <f>IF(F868=1,F868*$B$10/MIN(12,'Simulador - 3º Pilar'!$E$88),0)</f>
      </c>
      <c r="I868" s="560">
        <f>(1+$G$5)^(D868/12)*(H868+IF(E868=$N$7,$N$4,0))</f>
      </c>
      <c r="J868" s="561">
        <f>(1+$G$5)^(D868/12)*(H868*(12-IF(MONTH(E869)=12,0,MONTH(E869)))+IF(AND(F868=1,F869=0),$Q$4,0))*IF(AND(F868=1,F869=0),1,0)</f>
      </c>
      <c r="K868" s="217">
        <f>(1+$G$5)^(D868/12)*(IF(E868=$N$7,$N$4,0)+IF(E868=$C$6,$B$10,0))</f>
      </c>
      <c r="L868" s="217">
        <f>(1+$G$5)^(D868/12)*(IF((E868)&gt;($B$6),H868,0)+IF(E868=$N$7,$N$4,0)+IF(E868=$C$6,0,0))</f>
      </c>
      <c r="M868" s="1"/>
      <c r="N868" s="7"/>
      <c r="O868" s="1"/>
      <c r="P868" s="331">
        <v>861</v>
      </c>
      <c r="Q868" s="544">
        <f>+DATE(YEAR(Q867),MONTH(Q867)-1,DAY(Q867))</f>
        <v>25569.041666666668</v>
      </c>
      <c r="R868" s="341">
        <f>IF($Z$7=$E868,1,IF(MONTH($E868)=1,R869*(1+$F$5),R869))</f>
      </c>
      <c r="S868" s="334">
        <f>R868*$B$8/12</f>
      </c>
      <c r="T868" s="334">
        <f>R868*$B$11/12</f>
      </c>
      <c r="U868" s="565">
        <f>(1+$V$5)^(P868/12)*(T868+IF(Q868=$Z$7,$Z$4,0))</f>
      </c>
      <c r="V868" s="170"/>
      <c r="W868" s="7"/>
      <c r="X868" s="1"/>
      <c r="Y868" s="1"/>
      <c r="Z868" s="1"/>
      <c r="AA868" s="1"/>
      <c r="AB868" s="1"/>
      <c r="AC868" s="331">
        <v>861</v>
      </c>
      <c r="AD868" s="544">
        <f>+DATE(YEAR(AD867),MONTH(AD867)-1,DAY(AD867))</f>
        <v>25569.041666666668</v>
      </c>
      <c r="AE868" s="341">
        <f>IF($AM$7=$E868,1,IF(MONTH($E868)=1,AE869*(1+$F$5),AE869))</f>
      </c>
      <c r="AF868" s="334">
        <f>AE868*$B$8/12</f>
      </c>
      <c r="AG868" s="334">
        <f>AE868*$B$12/12</f>
      </c>
      <c r="AH868" s="565">
        <f>(1+$AI$5)^(AC868/12)*(AG868+IF(AD868=$AM$7,$AM$4,0))</f>
      </c>
      <c r="AI868" s="170"/>
      <c r="AJ868" s="7"/>
      <c r="AK868" s="1"/>
      <c r="AL868" s="1"/>
      <c r="AM868" s="1"/>
    </row>
    <row x14ac:dyDescent="0.25" r="869" customHeight="1" ht="18.75">
      <c r="A869" s="1"/>
      <c r="B869" s="169"/>
      <c r="C869" s="170"/>
      <c r="D869" s="331">
        <v>862</v>
      </c>
      <c r="E869" s="544">
        <f>+DATE(YEAR(E868),MONTH(E868)-1,DAY(E868))</f>
        <v>25569.041666666668</v>
      </c>
      <c r="F869" s="333">
        <f>IF($C$6=$E869,1,IF(MONTH($E869)=1,F870*(1+$F$5),F870))</f>
      </c>
      <c r="G869" s="333">
        <f>F869*$B$8/12</f>
      </c>
      <c r="H869" s="333">
        <f>IF(F869=1,F869*$B$10/MIN(12,'Simulador - 3º Pilar'!$E$88),0)</f>
      </c>
      <c r="I869" s="560">
        <f>(1+$G$5)^(D869/12)*(H869+IF(E869=$N$7,$N$4,0))</f>
      </c>
      <c r="J869" s="561">
        <f>(1+$G$5)^(D869/12)*(H869*(12-IF(MONTH(E870)=12,0,MONTH(E870)))+IF(AND(F869=1,F870=0),$Q$4,0))*IF(AND(F869=1,F870=0),1,0)</f>
      </c>
      <c r="K869" s="217">
        <f>(1+$G$5)^(D869/12)*(IF(E869=$N$7,$N$4,0)+IF(E869=$C$6,$B$10,0))</f>
      </c>
      <c r="L869" s="217">
        <f>(1+$G$5)^(D869/12)*(IF((E869)&gt;($B$6),H869,0)+IF(E869=$N$7,$N$4,0)+IF(E869=$C$6,0,0))</f>
      </c>
      <c r="M869" s="1"/>
      <c r="N869" s="7"/>
      <c r="O869" s="1"/>
      <c r="P869" s="331">
        <v>862</v>
      </c>
      <c r="Q869" s="544">
        <f>+DATE(YEAR(Q868),MONTH(Q868)-1,DAY(Q868))</f>
        <v>25569.041666666668</v>
      </c>
      <c r="R869" s="341">
        <f>IF($Z$7=$E869,1,IF(MONTH($E869)=1,R870*(1+$F$5),R870))</f>
      </c>
      <c r="S869" s="334">
        <f>R869*$B$8/12</f>
      </c>
      <c r="T869" s="334">
        <f>R869*$B$11/12</f>
      </c>
      <c r="U869" s="565">
        <f>(1+$V$5)^(P869/12)*(T869+IF(Q869=$Z$7,$Z$4,0))</f>
      </c>
      <c r="V869" s="170"/>
      <c r="W869" s="7"/>
      <c r="X869" s="1"/>
      <c r="Y869" s="1"/>
      <c r="Z869" s="1"/>
      <c r="AA869" s="1"/>
      <c r="AB869" s="1"/>
      <c r="AC869" s="331">
        <v>862</v>
      </c>
      <c r="AD869" s="544">
        <f>+DATE(YEAR(AD868),MONTH(AD868)-1,DAY(AD868))</f>
        <v>25569.041666666668</v>
      </c>
      <c r="AE869" s="341">
        <f>IF($AM$7=$E869,1,IF(MONTH($E869)=1,AE870*(1+$F$5),AE870))</f>
      </c>
      <c r="AF869" s="334">
        <f>AE869*$B$8/12</f>
      </c>
      <c r="AG869" s="334">
        <f>AE869*$B$12/12</f>
      </c>
      <c r="AH869" s="565">
        <f>(1+$AI$5)^(AC869/12)*(AG869+IF(AD869=$AM$7,$AM$4,0))</f>
      </c>
      <c r="AI869" s="170"/>
      <c r="AJ869" s="7"/>
      <c r="AK869" s="1"/>
      <c r="AL869" s="1"/>
      <c r="AM869" s="1"/>
    </row>
    <row x14ac:dyDescent="0.25" r="870" customHeight="1" ht="18.75">
      <c r="A870" s="1"/>
      <c r="B870" s="169"/>
      <c r="C870" s="170"/>
      <c r="D870" s="331">
        <v>863</v>
      </c>
      <c r="E870" s="544">
        <f>+DATE(YEAR(E869),MONTH(E869)-1,DAY(E869))</f>
        <v>25569.041666666668</v>
      </c>
      <c r="F870" s="333">
        <f>IF($C$6=$E870,1,IF(MONTH($E870)=1,F871*(1+$F$5),F871))</f>
      </c>
      <c r="G870" s="333">
        <f>F870*$B$8/12</f>
      </c>
      <c r="H870" s="333">
        <f>IF(F870=1,F870*$B$10/MIN(12,'Simulador - 3º Pilar'!$E$88),0)</f>
      </c>
      <c r="I870" s="560">
        <f>(1+$G$5)^(D870/12)*(H870+IF(E870=$N$7,$N$4,0))</f>
      </c>
      <c r="J870" s="561">
        <f>(1+$G$5)^(D870/12)*(H870*(12-IF(MONTH(E871)=12,0,MONTH(E871)))+IF(AND(F870=1,F871=0),$Q$4,0))*IF(AND(F870=1,F871=0),1,0)</f>
      </c>
      <c r="K870" s="217">
        <f>(1+$G$5)^(D870/12)*(IF(E870=$N$7,$N$4,0)+IF(E870=$C$6,$B$10,0))</f>
      </c>
      <c r="L870" s="217">
        <f>(1+$G$5)^(D870/12)*(IF((E870)&gt;($B$6),H870,0)+IF(E870=$N$7,$N$4,0)+IF(E870=$C$6,0,0))</f>
      </c>
      <c r="M870" s="1"/>
      <c r="N870" s="7"/>
      <c r="O870" s="1"/>
      <c r="P870" s="331">
        <v>863</v>
      </c>
      <c r="Q870" s="544">
        <f>+DATE(YEAR(Q869),MONTH(Q869)-1,DAY(Q869))</f>
        <v>25569.041666666668</v>
      </c>
      <c r="R870" s="341">
        <f>IF($Z$7=$E870,1,IF(MONTH($E870)=1,R871*(1+$F$5),R871))</f>
      </c>
      <c r="S870" s="334">
        <f>R870*$B$8/12</f>
      </c>
      <c r="T870" s="334">
        <f>R870*$B$11/12</f>
      </c>
      <c r="U870" s="565">
        <f>(1+$V$5)^(P870/12)*(T870+IF(Q870=$Z$7,$Z$4,0))</f>
      </c>
      <c r="V870" s="170"/>
      <c r="W870" s="7"/>
      <c r="X870" s="1"/>
      <c r="Y870" s="1"/>
      <c r="Z870" s="1"/>
      <c r="AA870" s="1"/>
      <c r="AB870" s="1"/>
      <c r="AC870" s="331">
        <v>863</v>
      </c>
      <c r="AD870" s="544">
        <f>+DATE(YEAR(AD869),MONTH(AD869)-1,DAY(AD869))</f>
        <v>25569.041666666668</v>
      </c>
      <c r="AE870" s="341">
        <f>IF($AM$7=$E870,1,IF(MONTH($E870)=1,AE871*(1+$F$5),AE871))</f>
      </c>
      <c r="AF870" s="334">
        <f>AE870*$B$8/12</f>
      </c>
      <c r="AG870" s="334">
        <f>AE870*$B$12/12</f>
      </c>
      <c r="AH870" s="565">
        <f>(1+$AI$5)^(AC870/12)*(AG870+IF(AD870=$AM$7,$AM$4,0))</f>
      </c>
      <c r="AI870" s="170"/>
      <c r="AJ870" s="7"/>
      <c r="AK870" s="1"/>
      <c r="AL870" s="1"/>
      <c r="AM870" s="1"/>
    </row>
    <row x14ac:dyDescent="0.25" r="871" customHeight="1" ht="18.75">
      <c r="A871" s="1"/>
      <c r="B871" s="169"/>
      <c r="C871" s="170"/>
      <c r="D871" s="331">
        <v>864</v>
      </c>
      <c r="E871" s="544">
        <f>+DATE(YEAR(E870),MONTH(E870)-1,DAY(E870))</f>
        <v>25569.041666666668</v>
      </c>
      <c r="F871" s="333">
        <f>IF($C$6=$E871,1,IF(MONTH($E871)=1,F872*(1+$F$5),F872))</f>
      </c>
      <c r="G871" s="333">
        <f>F871*$B$8/12</f>
      </c>
      <c r="H871" s="333">
        <f>IF(F871=1,F871*$B$10/MIN(12,'Simulador - 3º Pilar'!$E$88),0)</f>
      </c>
      <c r="I871" s="560">
        <f>(1+$G$5)^(D871/12)*(H871+IF(E871=$N$7,$N$4,0))</f>
      </c>
      <c r="J871" s="561">
        <f>(1+$G$5)^(D871/12)*(H871*(12-IF(MONTH(E872)=12,0,MONTH(E872)))+IF(AND(F871=1,F872=0),$Q$4,0))*IF(AND(F871=1,F872=0),1,0)</f>
      </c>
      <c r="K871" s="217">
        <f>(1+$G$5)^(D871/12)*(IF(E871=$N$7,$N$4,0)+IF(E871=$C$6,$B$10,0))</f>
      </c>
      <c r="L871" s="217">
        <f>(1+$G$5)^(D871/12)*(IF((E871)&gt;($B$6),H871,0)+IF(E871=$N$7,$N$4,0)+IF(E871=$C$6,0,0))</f>
      </c>
      <c r="M871" s="1"/>
      <c r="N871" s="7"/>
      <c r="O871" s="1"/>
      <c r="P871" s="331">
        <v>864</v>
      </c>
      <c r="Q871" s="544">
        <f>+DATE(YEAR(Q870),MONTH(Q870)-1,DAY(Q870))</f>
        <v>25569.041666666668</v>
      </c>
      <c r="R871" s="341">
        <f>IF($Z$7=$E871,1,IF(MONTH($E871)=1,R872*(1+$F$5),R872))</f>
      </c>
      <c r="S871" s="334">
        <f>R871*$B$8/12</f>
      </c>
      <c r="T871" s="334">
        <f>R871*$B$11/12</f>
      </c>
      <c r="U871" s="565">
        <f>(1+$V$5)^(P871/12)*(T871+IF(Q871=$Z$7,$Z$4,0))</f>
      </c>
      <c r="V871" s="170"/>
      <c r="W871" s="7"/>
      <c r="X871" s="1"/>
      <c r="Y871" s="1"/>
      <c r="Z871" s="1"/>
      <c r="AA871" s="1"/>
      <c r="AB871" s="1"/>
      <c r="AC871" s="331">
        <v>864</v>
      </c>
      <c r="AD871" s="544">
        <f>+DATE(YEAR(AD870),MONTH(AD870)-1,DAY(AD870))</f>
        <v>25569.041666666668</v>
      </c>
      <c r="AE871" s="341">
        <f>IF($AM$7=$E871,1,IF(MONTH($E871)=1,AE872*(1+$F$5),AE872))</f>
      </c>
      <c r="AF871" s="334">
        <f>AE871*$B$8/12</f>
      </c>
      <c r="AG871" s="334">
        <f>AE871*$B$12/12</f>
      </c>
      <c r="AH871" s="565">
        <f>(1+$AI$5)^(AC871/12)*(AG871+IF(AD871=$AM$7,$AM$4,0))</f>
      </c>
      <c r="AI871" s="170"/>
      <c r="AJ871" s="7"/>
      <c r="AK871" s="1"/>
      <c r="AL871" s="1"/>
      <c r="AM871" s="1"/>
    </row>
    <row x14ac:dyDescent="0.25" r="872" customHeight="1" ht="18.75">
      <c r="A872" s="1"/>
      <c r="B872" s="169"/>
      <c r="C872" s="170"/>
      <c r="D872" s="331">
        <v>865</v>
      </c>
      <c r="E872" s="544">
        <f>+DATE(YEAR(E871),MONTH(E871)-1,DAY(E871))</f>
        <v>25569.041666666668</v>
      </c>
      <c r="F872" s="333">
        <f>IF($C$6=$E872,1,IF(MONTH($E872)=1,F873*(1+$F$5),F873))</f>
      </c>
      <c r="G872" s="333">
        <f>F872*$B$8/12</f>
      </c>
      <c r="H872" s="333">
        <f>IF(F872=1,F872*$B$10/MIN(12,'Simulador - 3º Pilar'!$E$88),0)</f>
      </c>
      <c r="I872" s="560">
        <f>(1+$G$5)^(D872/12)*(H872+IF(E872=$N$7,$N$4,0))</f>
      </c>
      <c r="J872" s="561">
        <f>(1+$G$5)^(D872/12)*(H872*(12-IF(MONTH(E873)=12,0,MONTH(E873)))+IF(AND(F872=1,F873=0),$Q$4,0))*IF(AND(F872=1,F873=0),1,0)</f>
      </c>
      <c r="K872" s="217">
        <f>(1+$G$5)^(D872/12)*(IF(E872=$N$7,$N$4,0)+IF(E872=$C$6,$B$10,0))</f>
      </c>
      <c r="L872" s="217">
        <f>(1+$G$5)^(D872/12)*(IF((E872)&gt;($B$6),H872,0)+IF(E872=$N$7,$N$4,0)+IF(E872=$C$6,0,0))</f>
      </c>
      <c r="M872" s="1"/>
      <c r="N872" s="7"/>
      <c r="O872" s="1"/>
      <c r="P872" s="331">
        <v>865</v>
      </c>
      <c r="Q872" s="544">
        <f>+DATE(YEAR(Q871),MONTH(Q871)-1,DAY(Q871))</f>
        <v>25569.041666666668</v>
      </c>
      <c r="R872" s="341">
        <f>IF($Z$7=$E872,1,IF(MONTH($E872)=1,R873*(1+$F$5),R873))</f>
      </c>
      <c r="S872" s="334">
        <f>R872*$B$8/12</f>
      </c>
      <c r="T872" s="334">
        <f>R872*$B$11/12</f>
      </c>
      <c r="U872" s="565">
        <f>(1+$V$5)^(P872/12)*(T872+IF(Q872=$Z$7,$Z$4,0))</f>
      </c>
      <c r="V872" s="170"/>
      <c r="W872" s="7"/>
      <c r="X872" s="1"/>
      <c r="Y872" s="1"/>
      <c r="Z872" s="1"/>
      <c r="AA872" s="1"/>
      <c r="AB872" s="1"/>
      <c r="AC872" s="331">
        <v>865</v>
      </c>
      <c r="AD872" s="544">
        <f>+DATE(YEAR(AD871),MONTH(AD871)-1,DAY(AD871))</f>
        <v>25569.041666666668</v>
      </c>
      <c r="AE872" s="341">
        <f>IF($AM$7=$E872,1,IF(MONTH($E872)=1,AE873*(1+$F$5),AE873))</f>
      </c>
      <c r="AF872" s="334">
        <f>AE872*$B$8/12</f>
      </c>
      <c r="AG872" s="334">
        <f>AE872*$B$12/12</f>
      </c>
      <c r="AH872" s="565">
        <f>(1+$AI$5)^(AC872/12)*(AG872+IF(AD872=$AM$7,$AM$4,0))</f>
      </c>
      <c r="AI872" s="170"/>
      <c r="AJ872" s="7"/>
      <c r="AK872" s="1"/>
      <c r="AL872" s="1"/>
      <c r="AM872" s="1"/>
    </row>
    <row x14ac:dyDescent="0.25" r="873" customHeight="1" ht="18.75">
      <c r="A873" s="1"/>
      <c r="B873" s="169"/>
      <c r="C873" s="170"/>
      <c r="D873" s="331">
        <v>866</v>
      </c>
      <c r="E873" s="544">
        <f>+DATE(YEAR(E872),MONTH(E872)-1,DAY(E872))</f>
        <v>25569.041666666668</v>
      </c>
      <c r="F873" s="333">
        <f>IF($C$6=$E873,1,IF(MONTH($E873)=1,F874*(1+$F$5),F874))</f>
      </c>
      <c r="G873" s="333">
        <f>F873*$B$8/12</f>
      </c>
      <c r="H873" s="333">
        <f>IF(F873=1,F873*$B$10/MIN(12,'Simulador - 3º Pilar'!$E$88),0)</f>
      </c>
      <c r="I873" s="560">
        <f>(1+$G$5)^(D873/12)*(H873+IF(E873=$N$7,$N$4,0))</f>
      </c>
      <c r="J873" s="561">
        <f>(1+$G$5)^(D873/12)*(H873*(12-IF(MONTH(E874)=12,0,MONTH(E874)))+IF(AND(F873=1,F874=0),$Q$4,0))*IF(AND(F873=1,F874=0),1,0)</f>
      </c>
      <c r="K873" s="217">
        <f>(1+$G$5)^(D873/12)*(IF(E873=$N$7,$N$4,0)+IF(E873=$C$6,$B$10,0))</f>
      </c>
      <c r="L873" s="217">
        <f>(1+$G$5)^(D873/12)*(IF((E873)&gt;($B$6),H873,0)+IF(E873=$N$7,$N$4,0)+IF(E873=$C$6,0,0))</f>
      </c>
      <c r="M873" s="1"/>
      <c r="N873" s="7"/>
      <c r="O873" s="1"/>
      <c r="P873" s="331">
        <v>866</v>
      </c>
      <c r="Q873" s="544">
        <f>+DATE(YEAR(Q872),MONTH(Q872)-1,DAY(Q872))</f>
        <v>25569.041666666668</v>
      </c>
      <c r="R873" s="341">
        <f>IF($Z$7=$E873,1,IF(MONTH($E873)=1,R874*(1+$F$5),R874))</f>
      </c>
      <c r="S873" s="334">
        <f>R873*$B$8/12</f>
      </c>
      <c r="T873" s="334">
        <f>R873*$B$11/12</f>
      </c>
      <c r="U873" s="565">
        <f>(1+$V$5)^(P873/12)*(T873+IF(Q873=$Z$7,$Z$4,0))</f>
      </c>
      <c r="V873" s="170"/>
      <c r="W873" s="7"/>
      <c r="X873" s="1"/>
      <c r="Y873" s="1"/>
      <c r="Z873" s="1"/>
      <c r="AA873" s="1"/>
      <c r="AB873" s="1"/>
      <c r="AC873" s="331">
        <v>866</v>
      </c>
      <c r="AD873" s="544">
        <f>+DATE(YEAR(AD872),MONTH(AD872)-1,DAY(AD872))</f>
        <v>25569.041666666668</v>
      </c>
      <c r="AE873" s="341">
        <f>IF($AM$7=$E873,1,IF(MONTH($E873)=1,AE874*(1+$F$5),AE874))</f>
      </c>
      <c r="AF873" s="334">
        <f>AE873*$B$8/12</f>
      </c>
      <c r="AG873" s="334">
        <f>AE873*$B$12/12</f>
      </c>
      <c r="AH873" s="565">
        <f>(1+$AI$5)^(AC873/12)*(AG873+IF(AD873=$AM$7,$AM$4,0))</f>
      </c>
      <c r="AI873" s="170"/>
      <c r="AJ873" s="7"/>
      <c r="AK873" s="1"/>
      <c r="AL873" s="1"/>
      <c r="AM873" s="1"/>
    </row>
    <row x14ac:dyDescent="0.25" r="874" customHeight="1" ht="18.75">
      <c r="A874" s="1"/>
      <c r="B874" s="169"/>
      <c r="C874" s="170"/>
      <c r="D874" s="331">
        <v>867</v>
      </c>
      <c r="E874" s="544">
        <f>+DATE(YEAR(E873),MONTH(E873)-1,DAY(E873))</f>
        <v>25569.041666666668</v>
      </c>
      <c r="F874" s="333">
        <f>IF($C$6=$E874,1,IF(MONTH($E874)=1,F875*(1+$F$5),F875))</f>
      </c>
      <c r="G874" s="333">
        <f>F874*$B$8/12</f>
      </c>
      <c r="H874" s="333">
        <f>IF(F874=1,F874*$B$10/MIN(12,'Simulador - 3º Pilar'!$E$88),0)</f>
      </c>
      <c r="I874" s="560">
        <f>(1+$G$5)^(D874/12)*(H874+IF(E874=$N$7,$N$4,0))</f>
      </c>
      <c r="J874" s="561">
        <f>(1+$G$5)^(D874/12)*(H874*(12-IF(MONTH(E875)=12,0,MONTH(E875)))+IF(AND(F874=1,F875=0),$Q$4,0))*IF(AND(F874=1,F875=0),1,0)</f>
      </c>
      <c r="K874" s="217">
        <f>(1+$G$5)^(D874/12)*(IF(E874=$N$7,$N$4,0)+IF(E874=$C$6,$B$10,0))</f>
      </c>
      <c r="L874" s="217">
        <f>(1+$G$5)^(D874/12)*(IF((E874)&gt;($B$6),H874,0)+IF(E874=$N$7,$N$4,0)+IF(E874=$C$6,0,0))</f>
      </c>
      <c r="M874" s="1"/>
      <c r="N874" s="7"/>
      <c r="O874" s="1"/>
      <c r="P874" s="331">
        <v>867</v>
      </c>
      <c r="Q874" s="544">
        <f>+DATE(YEAR(Q873),MONTH(Q873)-1,DAY(Q873))</f>
        <v>25569.041666666668</v>
      </c>
      <c r="R874" s="341">
        <f>IF($Z$7=$E874,1,IF(MONTH($E874)=1,R875*(1+$F$5),R875))</f>
      </c>
      <c r="S874" s="334">
        <f>R874*$B$8/12</f>
      </c>
      <c r="T874" s="334">
        <f>R874*$B$11/12</f>
      </c>
      <c r="U874" s="565">
        <f>(1+$V$5)^(P874/12)*(T874+IF(Q874=$Z$7,$Z$4,0))</f>
      </c>
      <c r="V874" s="170"/>
      <c r="W874" s="7"/>
      <c r="X874" s="1"/>
      <c r="Y874" s="1"/>
      <c r="Z874" s="1"/>
      <c r="AA874" s="1"/>
      <c r="AB874" s="1"/>
      <c r="AC874" s="331">
        <v>867</v>
      </c>
      <c r="AD874" s="544">
        <f>+DATE(YEAR(AD873),MONTH(AD873)-1,DAY(AD873))</f>
        <v>25569.041666666668</v>
      </c>
      <c r="AE874" s="341">
        <f>IF($AM$7=$E874,1,IF(MONTH($E874)=1,AE875*(1+$F$5),AE875))</f>
      </c>
      <c r="AF874" s="334">
        <f>AE874*$B$8/12</f>
      </c>
      <c r="AG874" s="334">
        <f>AE874*$B$12/12</f>
      </c>
      <c r="AH874" s="565">
        <f>(1+$AI$5)^(AC874/12)*(AG874+IF(AD874=$AM$7,$AM$4,0))</f>
      </c>
      <c r="AI874" s="170"/>
      <c r="AJ874" s="7"/>
      <c r="AK874" s="1"/>
      <c r="AL874" s="1"/>
      <c r="AM874" s="1"/>
    </row>
    <row x14ac:dyDescent="0.25" r="875" customHeight="1" ht="18.75">
      <c r="A875" s="1"/>
      <c r="B875" s="169"/>
      <c r="C875" s="170"/>
      <c r="D875" s="331">
        <v>868</v>
      </c>
      <c r="E875" s="544">
        <f>+DATE(YEAR(E874),MONTH(E874)-1,DAY(E874))</f>
        <v>25569.041666666668</v>
      </c>
      <c r="F875" s="333">
        <f>IF($C$6=$E875,1,IF(MONTH($E875)=1,F876*(1+$F$5),F876))</f>
      </c>
      <c r="G875" s="333">
        <f>F875*$B$8/12</f>
      </c>
      <c r="H875" s="333">
        <f>IF(F875=1,F875*$B$10/MIN(12,'Simulador - 3º Pilar'!$E$88),0)</f>
      </c>
      <c r="I875" s="560">
        <f>(1+$G$5)^(D875/12)*(H875+IF(E875=$N$7,$N$4,0))</f>
      </c>
      <c r="J875" s="561">
        <f>(1+$G$5)^(D875/12)*(H875*(12-IF(MONTH(E876)=12,0,MONTH(E876)))+IF(AND(F875=1,F876=0),$Q$4,0))*IF(AND(F875=1,F876=0),1,0)</f>
      </c>
      <c r="K875" s="217">
        <f>(1+$G$5)^(D875/12)*(IF(E875=$N$7,$N$4,0)+IF(E875=$C$6,$B$10,0))</f>
      </c>
      <c r="L875" s="217">
        <f>(1+$G$5)^(D875/12)*(IF((E875)&gt;($B$6),H875,0)+IF(E875=$N$7,$N$4,0)+IF(E875=$C$6,0,0))</f>
      </c>
      <c r="M875" s="1"/>
      <c r="N875" s="7"/>
      <c r="O875" s="1"/>
      <c r="P875" s="331">
        <v>868</v>
      </c>
      <c r="Q875" s="544">
        <f>+DATE(YEAR(Q874),MONTH(Q874)-1,DAY(Q874))</f>
        <v>25569.041666666668</v>
      </c>
      <c r="R875" s="341">
        <f>IF($Z$7=$E875,1,IF(MONTH($E875)=1,R876*(1+$F$5),R876))</f>
      </c>
      <c r="S875" s="334">
        <f>R875*$B$8/12</f>
      </c>
      <c r="T875" s="334">
        <f>R875*$B$11/12</f>
      </c>
      <c r="U875" s="565">
        <f>(1+$V$5)^(P875/12)*(T875+IF(Q875=$Z$7,$Z$4,0))</f>
      </c>
      <c r="V875" s="170"/>
      <c r="W875" s="7"/>
      <c r="X875" s="1"/>
      <c r="Y875" s="1"/>
      <c r="Z875" s="1"/>
      <c r="AA875" s="1"/>
      <c r="AB875" s="1"/>
      <c r="AC875" s="331">
        <v>868</v>
      </c>
      <c r="AD875" s="544">
        <f>+DATE(YEAR(AD874),MONTH(AD874)-1,DAY(AD874))</f>
        <v>25569.041666666668</v>
      </c>
      <c r="AE875" s="341">
        <f>IF($AM$7=$E875,1,IF(MONTH($E875)=1,AE876*(1+$F$5),AE876))</f>
      </c>
      <c r="AF875" s="334">
        <f>AE875*$B$8/12</f>
      </c>
      <c r="AG875" s="334">
        <f>AE875*$B$12/12</f>
      </c>
      <c r="AH875" s="565">
        <f>(1+$AI$5)^(AC875/12)*(AG875+IF(AD875=$AM$7,$AM$4,0))</f>
      </c>
      <c r="AI875" s="170"/>
      <c r="AJ875" s="7"/>
      <c r="AK875" s="1"/>
      <c r="AL875" s="1"/>
      <c r="AM875" s="1"/>
    </row>
    <row x14ac:dyDescent="0.25" r="876" customHeight="1" ht="18.75">
      <c r="A876" s="1"/>
      <c r="B876" s="169"/>
      <c r="C876" s="170"/>
      <c r="D876" s="331">
        <v>869</v>
      </c>
      <c r="E876" s="544">
        <f>+DATE(YEAR(E875),MONTH(E875)-1,DAY(E875))</f>
        <v>25569.041666666668</v>
      </c>
      <c r="F876" s="333">
        <f>IF($C$6=$E876,1,IF(MONTH($E876)=1,F877*(1+$F$5),F877))</f>
      </c>
      <c r="G876" s="333">
        <f>F876*$B$8/12</f>
      </c>
      <c r="H876" s="333">
        <f>IF(F876=1,F876*$B$10/MIN(12,'Simulador - 3º Pilar'!$E$88),0)</f>
      </c>
      <c r="I876" s="560">
        <f>(1+$G$5)^(D876/12)*(H876+IF(E876=$N$7,$N$4,0))</f>
      </c>
      <c r="J876" s="561">
        <f>(1+$G$5)^(D876/12)*(H876*(12-IF(MONTH(E877)=12,0,MONTH(E877)))+IF(AND(F876=1,F877=0),$Q$4,0))*IF(AND(F876=1,F877=0),1,0)</f>
      </c>
      <c r="K876" s="217">
        <f>(1+$G$5)^(D876/12)*(IF(E876=$N$7,$N$4,0)+IF(E876=$C$6,$B$10,0))</f>
      </c>
      <c r="L876" s="217">
        <f>(1+$G$5)^(D876/12)*(IF((E876)&gt;($B$6),H876,0)+IF(E876=$N$7,$N$4,0)+IF(E876=$C$6,0,0))</f>
      </c>
      <c r="M876" s="1"/>
      <c r="N876" s="7"/>
      <c r="O876" s="1"/>
      <c r="P876" s="331">
        <v>869</v>
      </c>
      <c r="Q876" s="544">
        <f>+DATE(YEAR(Q875),MONTH(Q875)-1,DAY(Q875))</f>
        <v>25569.041666666668</v>
      </c>
      <c r="R876" s="341">
        <f>IF($Z$7=$E876,1,IF(MONTH($E876)=1,R877*(1+$F$5),R877))</f>
      </c>
      <c r="S876" s="334">
        <f>R876*$B$8/12</f>
      </c>
      <c r="T876" s="334">
        <f>R876*$B$11/12</f>
      </c>
      <c r="U876" s="565">
        <f>(1+$V$5)^(P876/12)*(T876+IF(Q876=$Z$7,$Z$4,0))</f>
      </c>
      <c r="V876" s="170"/>
      <c r="W876" s="7"/>
      <c r="X876" s="1"/>
      <c r="Y876" s="1"/>
      <c r="Z876" s="1"/>
      <c r="AA876" s="1"/>
      <c r="AB876" s="1"/>
      <c r="AC876" s="331">
        <v>869</v>
      </c>
      <c r="AD876" s="544">
        <f>+DATE(YEAR(AD875),MONTH(AD875)-1,DAY(AD875))</f>
        <v>25569.041666666668</v>
      </c>
      <c r="AE876" s="341">
        <f>IF($AM$7=$E876,1,IF(MONTH($E876)=1,AE877*(1+$F$5),AE877))</f>
      </c>
      <c r="AF876" s="334">
        <f>AE876*$B$8/12</f>
      </c>
      <c r="AG876" s="334">
        <f>AE876*$B$12/12</f>
      </c>
      <c r="AH876" s="565">
        <f>(1+$AI$5)^(AC876/12)*(AG876+IF(AD876=$AM$7,$AM$4,0))</f>
      </c>
      <c r="AI876" s="170"/>
      <c r="AJ876" s="7"/>
      <c r="AK876" s="1"/>
      <c r="AL876" s="1"/>
      <c r="AM876" s="1"/>
    </row>
    <row x14ac:dyDescent="0.25" r="877" customHeight="1" ht="18.75">
      <c r="A877" s="1"/>
      <c r="B877" s="169"/>
      <c r="C877" s="170"/>
      <c r="D877" s="331">
        <v>870</v>
      </c>
      <c r="E877" s="544">
        <f>+DATE(YEAR(E876),MONTH(E876)-1,DAY(E876))</f>
        <v>25569.041666666668</v>
      </c>
      <c r="F877" s="333">
        <f>IF($C$6=$E877,1,IF(MONTH($E877)=1,F878*(1+$F$5),F878))</f>
      </c>
      <c r="G877" s="333">
        <f>F877*$B$8/12</f>
      </c>
      <c r="H877" s="333">
        <f>IF(F877=1,F877*$B$10/MIN(12,'Simulador - 3º Pilar'!$E$88),0)</f>
      </c>
      <c r="I877" s="560">
        <f>(1+$G$5)^(D877/12)*(H877+IF(E877=$N$7,$N$4,0))</f>
      </c>
      <c r="J877" s="561">
        <f>(1+$G$5)^(D877/12)*(H877*(12-IF(MONTH(E878)=12,0,MONTH(E878)))+IF(AND(F877=1,F878=0),$Q$4,0))*IF(AND(F877=1,F878=0),1,0)</f>
      </c>
      <c r="K877" s="217">
        <f>(1+$G$5)^(D877/12)*(IF(E877=$N$7,$N$4,0)+IF(E877=$C$6,$B$10,0))</f>
      </c>
      <c r="L877" s="217">
        <f>(1+$G$5)^(D877/12)*(IF((E877)&gt;($B$6),H877,0)+IF(E877=$N$7,$N$4,0)+IF(E877=$C$6,0,0))</f>
      </c>
      <c r="M877" s="1"/>
      <c r="N877" s="7"/>
      <c r="O877" s="1"/>
      <c r="P877" s="331">
        <v>870</v>
      </c>
      <c r="Q877" s="544">
        <f>+DATE(YEAR(Q876),MONTH(Q876)-1,DAY(Q876))</f>
        <v>25569.041666666668</v>
      </c>
      <c r="R877" s="341">
        <f>IF($Z$7=$E877,1,IF(MONTH($E877)=1,R878*(1+$F$5),R878))</f>
      </c>
      <c r="S877" s="334">
        <f>R877*$B$8/12</f>
      </c>
      <c r="T877" s="334">
        <f>R877*$B$11/12</f>
      </c>
      <c r="U877" s="565">
        <f>(1+$V$5)^(P877/12)*(T877+IF(Q877=$Z$7,$Z$4,0))</f>
      </c>
      <c r="V877" s="170"/>
      <c r="W877" s="7"/>
      <c r="X877" s="1"/>
      <c r="Y877" s="1"/>
      <c r="Z877" s="1"/>
      <c r="AA877" s="1"/>
      <c r="AB877" s="1"/>
      <c r="AC877" s="331">
        <v>870</v>
      </c>
      <c r="AD877" s="544">
        <f>+DATE(YEAR(AD876),MONTH(AD876)-1,DAY(AD876))</f>
        <v>25569.041666666668</v>
      </c>
      <c r="AE877" s="341">
        <f>IF($AM$7=$E877,1,IF(MONTH($E877)=1,AE878*(1+$F$5),AE878))</f>
      </c>
      <c r="AF877" s="334">
        <f>AE877*$B$8/12</f>
      </c>
      <c r="AG877" s="334">
        <f>AE877*$B$12/12</f>
      </c>
      <c r="AH877" s="565">
        <f>(1+$AI$5)^(AC877/12)*(AG877+IF(AD877=$AM$7,$AM$4,0))</f>
      </c>
      <c r="AI877" s="170"/>
      <c r="AJ877" s="7"/>
      <c r="AK877" s="1"/>
      <c r="AL877" s="1"/>
      <c r="AM877" s="1"/>
    </row>
    <row x14ac:dyDescent="0.25" r="878" customHeight="1" ht="18.75">
      <c r="A878" s="1"/>
      <c r="B878" s="169"/>
      <c r="C878" s="170"/>
      <c r="D878" s="331">
        <v>871</v>
      </c>
      <c r="E878" s="544">
        <f>+DATE(YEAR(E877),MONTH(E877)-1,DAY(E877))</f>
        <v>25569.041666666668</v>
      </c>
      <c r="F878" s="333">
        <f>IF($C$6=$E878,1,IF(MONTH($E878)=1,F879*(1+$F$5),F879))</f>
      </c>
      <c r="G878" s="333">
        <f>F878*$B$8/12</f>
      </c>
      <c r="H878" s="333">
        <f>IF(F878=1,F878*$B$10/MIN(12,'Simulador - 3º Pilar'!$E$88),0)</f>
      </c>
      <c r="I878" s="560">
        <f>(1+$G$5)^(D878/12)*(H878+IF(E878=$N$7,$N$4,0))</f>
      </c>
      <c r="J878" s="561">
        <f>(1+$G$5)^(D878/12)*(H878*(12-IF(MONTH(E879)=12,0,MONTH(E879)))+IF(AND(F878=1,F879=0),$Q$4,0))*IF(AND(F878=1,F879=0),1,0)</f>
      </c>
      <c r="K878" s="217">
        <f>(1+$G$5)^(D878/12)*(IF(E878=$N$7,$N$4,0)+IF(E878=$C$6,$B$10,0))</f>
      </c>
      <c r="L878" s="217">
        <f>(1+$G$5)^(D878/12)*(IF((E878)&gt;($B$6),H878,0)+IF(E878=$N$7,$N$4,0)+IF(E878=$C$6,0,0))</f>
      </c>
      <c r="M878" s="1"/>
      <c r="N878" s="7"/>
      <c r="O878" s="1"/>
      <c r="P878" s="331">
        <v>871</v>
      </c>
      <c r="Q878" s="544">
        <f>+DATE(YEAR(Q877),MONTH(Q877)-1,DAY(Q877))</f>
        <v>25569.041666666668</v>
      </c>
      <c r="R878" s="341">
        <f>IF($Z$7=$E878,1,IF(MONTH($E878)=1,R879*(1+$F$5),R879))</f>
      </c>
      <c r="S878" s="334">
        <f>R878*$B$8/12</f>
      </c>
      <c r="T878" s="334">
        <f>R878*$B$11/12</f>
      </c>
      <c r="U878" s="565">
        <f>(1+$V$5)^(P878/12)*(T878+IF(Q878=$Z$7,$Z$4,0))</f>
      </c>
      <c r="V878" s="170"/>
      <c r="W878" s="7"/>
      <c r="X878" s="1"/>
      <c r="Y878" s="1"/>
      <c r="Z878" s="1"/>
      <c r="AA878" s="1"/>
      <c r="AB878" s="1"/>
      <c r="AC878" s="331">
        <v>871</v>
      </c>
      <c r="AD878" s="544">
        <f>+DATE(YEAR(AD877),MONTH(AD877)-1,DAY(AD877))</f>
        <v>25569.041666666668</v>
      </c>
      <c r="AE878" s="341">
        <f>IF($AM$7=$E878,1,IF(MONTH($E878)=1,AE879*(1+$F$5),AE879))</f>
      </c>
      <c r="AF878" s="334">
        <f>AE878*$B$8/12</f>
      </c>
      <c r="AG878" s="334">
        <f>AE878*$B$12/12</f>
      </c>
      <c r="AH878" s="565">
        <f>(1+$AI$5)^(AC878/12)*(AG878+IF(AD878=$AM$7,$AM$4,0))</f>
      </c>
      <c r="AI878" s="170"/>
      <c r="AJ878" s="7"/>
      <c r="AK878" s="1"/>
      <c r="AL878" s="1"/>
      <c r="AM878" s="1"/>
    </row>
    <row x14ac:dyDescent="0.25" r="879" customHeight="1" ht="18.75">
      <c r="A879" s="1"/>
      <c r="B879" s="169"/>
      <c r="C879" s="170"/>
      <c r="D879" s="331">
        <v>872</v>
      </c>
      <c r="E879" s="544">
        <f>+DATE(YEAR(E878),MONTH(E878)-1,DAY(E878))</f>
        <v>25569.041666666668</v>
      </c>
      <c r="F879" s="333">
        <f>IF($C$6=$E879,1,IF(MONTH($E879)=1,F880*(1+$F$5),F880))</f>
      </c>
      <c r="G879" s="333">
        <f>F879*$B$8/12</f>
      </c>
      <c r="H879" s="333">
        <f>IF(F879=1,F879*$B$10/MIN(12,'Simulador - 3º Pilar'!$E$88),0)</f>
      </c>
      <c r="I879" s="560">
        <f>(1+$G$5)^(D879/12)*(H879+IF(E879=$N$7,$N$4,0))</f>
      </c>
      <c r="J879" s="561">
        <f>(1+$G$5)^(D879/12)*(H879*(12-IF(MONTH(E880)=12,0,MONTH(E880)))+IF(AND(F879=1,F880=0),$Q$4,0))*IF(AND(F879=1,F880=0),1,0)</f>
      </c>
      <c r="K879" s="217">
        <f>(1+$G$5)^(D879/12)*(IF(E879=$N$7,$N$4,0)+IF(E879=$C$6,$B$10,0))</f>
      </c>
      <c r="L879" s="217">
        <f>(1+$G$5)^(D879/12)*(IF((E879)&gt;($B$6),H879,0)+IF(E879=$N$7,$N$4,0)+IF(E879=$C$6,0,0))</f>
      </c>
      <c r="M879" s="1"/>
      <c r="N879" s="7"/>
      <c r="O879" s="1"/>
      <c r="P879" s="331">
        <v>872</v>
      </c>
      <c r="Q879" s="544">
        <f>+DATE(YEAR(Q878),MONTH(Q878)-1,DAY(Q878))</f>
        <v>25569.041666666668</v>
      </c>
      <c r="R879" s="341">
        <f>IF($Z$7=$E879,1,IF(MONTH($E879)=1,R880*(1+$F$5),R880))</f>
      </c>
      <c r="S879" s="334">
        <f>R879*$B$8/12</f>
      </c>
      <c r="T879" s="334">
        <f>R879*$B$11/12</f>
      </c>
      <c r="U879" s="565">
        <f>(1+$V$5)^(P879/12)*(T879+IF(Q879=$Z$7,$Z$4,0))</f>
      </c>
      <c r="V879" s="170"/>
      <c r="W879" s="7"/>
      <c r="X879" s="1"/>
      <c r="Y879" s="1"/>
      <c r="Z879" s="1"/>
      <c r="AA879" s="1"/>
      <c r="AB879" s="1"/>
      <c r="AC879" s="331">
        <v>872</v>
      </c>
      <c r="AD879" s="544">
        <f>+DATE(YEAR(AD878),MONTH(AD878)-1,DAY(AD878))</f>
        <v>25569.041666666668</v>
      </c>
      <c r="AE879" s="341">
        <f>IF($AM$7=$E879,1,IF(MONTH($E879)=1,AE880*(1+$F$5),AE880))</f>
      </c>
      <c r="AF879" s="334">
        <f>AE879*$B$8/12</f>
      </c>
      <c r="AG879" s="334">
        <f>AE879*$B$12/12</f>
      </c>
      <c r="AH879" s="565">
        <f>(1+$AI$5)^(AC879/12)*(AG879+IF(AD879=$AM$7,$AM$4,0))</f>
      </c>
      <c r="AI879" s="170"/>
      <c r="AJ879" s="7"/>
      <c r="AK879" s="1"/>
      <c r="AL879" s="1"/>
      <c r="AM879" s="1"/>
    </row>
    <row x14ac:dyDescent="0.25" r="880" customHeight="1" ht="18.75">
      <c r="A880" s="1"/>
      <c r="B880" s="169"/>
      <c r="C880" s="170"/>
      <c r="D880" s="331">
        <v>873</v>
      </c>
      <c r="E880" s="544">
        <f>+DATE(YEAR(E879),MONTH(E879)-1,DAY(E879))</f>
        <v>25569.041666666668</v>
      </c>
      <c r="F880" s="333">
        <f>IF($C$6=$E880,1,IF(MONTH($E880)=1,F881*(1+$F$5),F881))</f>
      </c>
      <c r="G880" s="333">
        <f>F880*$B$8/12</f>
      </c>
      <c r="H880" s="333">
        <f>IF(F880=1,F880*$B$10/MIN(12,'Simulador - 3º Pilar'!$E$88),0)</f>
      </c>
      <c r="I880" s="560">
        <f>(1+$G$5)^(D880/12)*(H880+IF(E880=$N$7,$N$4,0))</f>
      </c>
      <c r="J880" s="561">
        <f>(1+$G$5)^(D880/12)*(H880*(12-IF(MONTH(E881)=12,0,MONTH(E881)))+IF(AND(F880=1,F881=0),$Q$4,0))*IF(AND(F880=1,F881=0),1,0)</f>
      </c>
      <c r="K880" s="217">
        <f>(1+$G$5)^(D880/12)*(IF(E880=$N$7,$N$4,0)+IF(E880=$C$6,$B$10,0))</f>
      </c>
      <c r="L880" s="217">
        <f>(1+$G$5)^(D880/12)*(IF((E880)&gt;($B$6),H880,0)+IF(E880=$N$7,$N$4,0)+IF(E880=$C$6,0,0))</f>
      </c>
      <c r="M880" s="1"/>
      <c r="N880" s="7"/>
      <c r="O880" s="1"/>
      <c r="P880" s="331">
        <v>873</v>
      </c>
      <c r="Q880" s="544">
        <f>+DATE(YEAR(Q879),MONTH(Q879)-1,DAY(Q879))</f>
        <v>25569.041666666668</v>
      </c>
      <c r="R880" s="341">
        <f>IF($Z$7=$E880,1,IF(MONTH($E880)=1,R881*(1+$F$5),R881))</f>
      </c>
      <c r="S880" s="334">
        <f>R880*$B$8/12</f>
      </c>
      <c r="T880" s="334">
        <f>R880*$B$11/12</f>
      </c>
      <c r="U880" s="565">
        <f>(1+$V$5)^(P880/12)*(T880+IF(Q880=$Z$7,$Z$4,0))</f>
      </c>
      <c r="V880" s="170"/>
      <c r="W880" s="7"/>
      <c r="X880" s="1"/>
      <c r="Y880" s="1"/>
      <c r="Z880" s="1"/>
      <c r="AA880" s="1"/>
      <c r="AB880" s="1"/>
      <c r="AC880" s="331">
        <v>873</v>
      </c>
      <c r="AD880" s="544">
        <f>+DATE(YEAR(AD879),MONTH(AD879)-1,DAY(AD879))</f>
        <v>25569.041666666668</v>
      </c>
      <c r="AE880" s="341">
        <f>IF($AM$7=$E880,1,IF(MONTH($E880)=1,AE881*(1+$F$5),AE881))</f>
      </c>
      <c r="AF880" s="334">
        <f>AE880*$B$8/12</f>
      </c>
      <c r="AG880" s="334">
        <f>AE880*$B$12/12</f>
      </c>
      <c r="AH880" s="565">
        <f>(1+$AI$5)^(AC880/12)*(AG880+IF(AD880=$AM$7,$AM$4,0))</f>
      </c>
      <c r="AI880" s="170"/>
      <c r="AJ880" s="7"/>
      <c r="AK880" s="1"/>
      <c r="AL880" s="1"/>
      <c r="AM880" s="1"/>
    </row>
    <row x14ac:dyDescent="0.25" r="881" customHeight="1" ht="18.75">
      <c r="A881" s="1"/>
      <c r="B881" s="169"/>
      <c r="C881" s="170"/>
      <c r="D881" s="331">
        <v>874</v>
      </c>
      <c r="E881" s="544">
        <f>+DATE(YEAR(E880),MONTH(E880)-1,DAY(E880))</f>
        <v>25569.041666666668</v>
      </c>
      <c r="F881" s="333">
        <f>IF($C$6=$E881,1,IF(MONTH($E881)=1,F882*(1+$F$5),F882))</f>
      </c>
      <c r="G881" s="333">
        <f>F881*$B$8/12</f>
      </c>
      <c r="H881" s="333">
        <f>IF(F881=1,F881*$B$10/MIN(12,'Simulador - 3º Pilar'!$E$88),0)</f>
      </c>
      <c r="I881" s="560">
        <f>(1+$G$5)^(D881/12)*(H881+IF(E881=$N$7,$N$4,0))</f>
      </c>
      <c r="J881" s="561">
        <f>(1+$G$5)^(D881/12)*(H881*(12-IF(MONTH(E882)=12,0,MONTH(E882)))+IF(AND(F881=1,F882=0),$Q$4,0))*IF(AND(F881=1,F882=0),1,0)</f>
      </c>
      <c r="K881" s="217">
        <f>(1+$G$5)^(D881/12)*(IF(E881=$N$7,$N$4,0)+IF(E881=$C$6,$B$10,0))</f>
      </c>
      <c r="L881" s="217">
        <f>(1+$G$5)^(D881/12)*(IF((E881)&gt;($B$6),H881,0)+IF(E881=$N$7,$N$4,0)+IF(E881=$C$6,0,0))</f>
      </c>
      <c r="M881" s="1"/>
      <c r="N881" s="7"/>
      <c r="O881" s="1"/>
      <c r="P881" s="331">
        <v>874</v>
      </c>
      <c r="Q881" s="544">
        <f>+DATE(YEAR(Q880),MONTH(Q880)-1,DAY(Q880))</f>
        <v>25569.041666666668</v>
      </c>
      <c r="R881" s="341">
        <f>IF($Z$7=$E881,1,IF(MONTH($E881)=1,R882*(1+$F$5),R882))</f>
      </c>
      <c r="S881" s="334">
        <f>R881*$B$8/12</f>
      </c>
      <c r="T881" s="334">
        <f>R881*$B$11/12</f>
      </c>
      <c r="U881" s="565">
        <f>(1+$V$5)^(P881/12)*(T881+IF(Q881=$Z$7,$Z$4,0))</f>
      </c>
      <c r="V881" s="170"/>
      <c r="W881" s="7"/>
      <c r="X881" s="1"/>
      <c r="Y881" s="1"/>
      <c r="Z881" s="1"/>
      <c r="AA881" s="1"/>
      <c r="AB881" s="1"/>
      <c r="AC881" s="331">
        <v>874</v>
      </c>
      <c r="AD881" s="544">
        <f>+DATE(YEAR(AD880),MONTH(AD880)-1,DAY(AD880))</f>
        <v>25569.041666666668</v>
      </c>
      <c r="AE881" s="341">
        <f>IF($AM$7=$E881,1,IF(MONTH($E881)=1,AE882*(1+$F$5),AE882))</f>
      </c>
      <c r="AF881" s="334">
        <f>AE881*$B$8/12</f>
      </c>
      <c r="AG881" s="334">
        <f>AE881*$B$12/12</f>
      </c>
      <c r="AH881" s="565">
        <f>(1+$AI$5)^(AC881/12)*(AG881+IF(AD881=$AM$7,$AM$4,0))</f>
      </c>
      <c r="AI881" s="170"/>
      <c r="AJ881" s="7"/>
      <c r="AK881" s="1"/>
      <c r="AL881" s="1"/>
      <c r="AM881" s="1"/>
    </row>
    <row x14ac:dyDescent="0.25" r="882" customHeight="1" ht="18.75">
      <c r="A882" s="1"/>
      <c r="B882" s="169"/>
      <c r="C882" s="170"/>
      <c r="D882" s="331">
        <v>875</v>
      </c>
      <c r="E882" s="544">
        <f>+DATE(YEAR(E881),MONTH(E881)-1,DAY(E881))</f>
        <v>25569.041666666668</v>
      </c>
      <c r="F882" s="333">
        <f>IF($C$6=$E882,1,IF(MONTH($E882)=1,F883*(1+$F$5),F883))</f>
      </c>
      <c r="G882" s="333">
        <f>F882*$B$8/12</f>
      </c>
      <c r="H882" s="333">
        <f>IF(F882=1,F882*$B$10/MIN(12,'Simulador - 3º Pilar'!$E$88),0)</f>
      </c>
      <c r="I882" s="560">
        <f>(1+$G$5)^(D882/12)*(H882+IF(E882=$N$7,$N$4,0))</f>
      </c>
      <c r="J882" s="561">
        <f>(1+$G$5)^(D882/12)*(H882*(12-IF(MONTH(E883)=12,0,MONTH(E883)))+IF(AND(F882=1,F883=0),$Q$4,0))*IF(AND(F882=1,F883=0),1,0)</f>
      </c>
      <c r="K882" s="217">
        <f>(1+$G$5)^(D882/12)*(IF(E882=$N$7,$N$4,0)+IF(E882=$C$6,$B$10,0))</f>
      </c>
      <c r="L882" s="217">
        <f>(1+$G$5)^(D882/12)*(IF((E882)&gt;($B$6),H882,0)+IF(E882=$N$7,$N$4,0)+IF(E882=$C$6,0,0))</f>
      </c>
      <c r="M882" s="1"/>
      <c r="N882" s="7"/>
      <c r="O882" s="1"/>
      <c r="P882" s="331">
        <v>875</v>
      </c>
      <c r="Q882" s="544">
        <f>+DATE(YEAR(Q881),MONTH(Q881)-1,DAY(Q881))</f>
        <v>25569.041666666668</v>
      </c>
      <c r="R882" s="341">
        <f>IF($Z$7=$E882,1,IF(MONTH($E882)=1,R883*(1+$F$5),R883))</f>
      </c>
      <c r="S882" s="334">
        <f>R882*$B$8/12</f>
      </c>
      <c r="T882" s="334">
        <f>R882*$B$11/12</f>
      </c>
      <c r="U882" s="565">
        <f>(1+$V$5)^(P882/12)*(T882+IF(Q882=$Z$7,$Z$4,0))</f>
      </c>
      <c r="V882" s="170"/>
      <c r="W882" s="7"/>
      <c r="X882" s="1"/>
      <c r="Y882" s="1"/>
      <c r="Z882" s="1"/>
      <c r="AA882" s="1"/>
      <c r="AB882" s="1"/>
      <c r="AC882" s="331">
        <v>875</v>
      </c>
      <c r="AD882" s="544">
        <f>+DATE(YEAR(AD881),MONTH(AD881)-1,DAY(AD881))</f>
        <v>25569.041666666668</v>
      </c>
      <c r="AE882" s="341">
        <f>IF($AM$7=$E882,1,IF(MONTH($E882)=1,AE883*(1+$F$5),AE883))</f>
      </c>
      <c r="AF882" s="334">
        <f>AE882*$B$8/12</f>
      </c>
      <c r="AG882" s="334">
        <f>AE882*$B$12/12</f>
      </c>
      <c r="AH882" s="565">
        <f>(1+$AI$5)^(AC882/12)*(AG882+IF(AD882=$AM$7,$AM$4,0))</f>
      </c>
      <c r="AI882" s="170"/>
      <c r="AJ882" s="7"/>
      <c r="AK882" s="1"/>
      <c r="AL882" s="1"/>
      <c r="AM882" s="1"/>
    </row>
    <row x14ac:dyDescent="0.25" r="883" customHeight="1" ht="18.75">
      <c r="A883" s="1"/>
      <c r="B883" s="169"/>
      <c r="C883" s="170"/>
      <c r="D883" s="331">
        <v>876</v>
      </c>
      <c r="E883" s="544">
        <f>+DATE(YEAR(E882),MONTH(E882)-1,DAY(E882))</f>
        <v>25569.041666666668</v>
      </c>
      <c r="F883" s="333">
        <f>IF($C$6=$E883,1,IF(MONTH($E883)=1,F884*(1+$F$5),F884))</f>
      </c>
      <c r="G883" s="333">
        <f>F883*$B$8/12</f>
      </c>
      <c r="H883" s="333">
        <f>IF(F883=1,F883*$B$10/MIN(12,'Simulador - 3º Pilar'!$E$88),0)</f>
      </c>
      <c r="I883" s="560">
        <f>(1+$G$5)^(D883/12)*(H883+IF(E883=$N$7,$N$4,0))</f>
      </c>
      <c r="J883" s="561">
        <f>(1+$G$5)^(D883/12)*(H883*(12-IF(MONTH(E884)=12,0,MONTH(E884)))+IF(AND(F883=1,F884=0),$Q$4,0))*IF(AND(F883=1,F884=0),1,0)</f>
      </c>
      <c r="K883" s="217">
        <f>(1+$G$5)^(D883/12)*(IF(E883=$N$7,$N$4,0)+IF(E883=$C$6,$B$10,0))</f>
      </c>
      <c r="L883" s="217">
        <f>(1+$G$5)^(D883/12)*(IF((E883)&gt;($B$6),H883,0)+IF(E883=$N$7,$N$4,0)+IF(E883=$C$6,0,0))</f>
      </c>
      <c r="M883" s="1"/>
      <c r="N883" s="7"/>
      <c r="O883" s="1"/>
      <c r="P883" s="331">
        <v>876</v>
      </c>
      <c r="Q883" s="544">
        <f>+DATE(YEAR(Q882),MONTH(Q882)-1,DAY(Q882))</f>
        <v>25569.041666666668</v>
      </c>
      <c r="R883" s="341">
        <f>IF($Z$7=$E883,1,IF(MONTH($E883)=1,R884*(1+$F$5),R884))</f>
      </c>
      <c r="S883" s="334">
        <f>R883*$B$8/12</f>
      </c>
      <c r="T883" s="334">
        <f>R883*$B$11/12</f>
      </c>
      <c r="U883" s="565">
        <f>(1+$V$5)^(P883/12)*(T883+IF(Q883=$Z$7,$Z$4,0))</f>
      </c>
      <c r="V883" s="170"/>
      <c r="W883" s="7"/>
      <c r="X883" s="1"/>
      <c r="Y883" s="1"/>
      <c r="Z883" s="1"/>
      <c r="AA883" s="1"/>
      <c r="AB883" s="1"/>
      <c r="AC883" s="331">
        <v>876</v>
      </c>
      <c r="AD883" s="544">
        <f>+DATE(YEAR(AD882),MONTH(AD882)-1,DAY(AD882))</f>
        <v>25569.041666666668</v>
      </c>
      <c r="AE883" s="341">
        <f>IF($AM$7=$E883,1,IF(MONTH($E883)=1,AE884*(1+$F$5),AE884))</f>
      </c>
      <c r="AF883" s="334">
        <f>AE883*$B$8/12</f>
      </c>
      <c r="AG883" s="334">
        <f>AE883*$B$12/12</f>
      </c>
      <c r="AH883" s="565">
        <f>(1+$AI$5)^(AC883/12)*(AG883+IF(AD883=$AM$7,$AM$4,0))</f>
      </c>
      <c r="AI883" s="170"/>
      <c r="AJ883" s="7"/>
      <c r="AK883" s="1"/>
      <c r="AL883" s="1"/>
      <c r="AM883" s="1"/>
    </row>
    <row x14ac:dyDescent="0.25" r="884" customHeight="1" ht="18.75">
      <c r="A884" s="1"/>
      <c r="B884" s="169"/>
      <c r="C884" s="170"/>
      <c r="D884" s="331">
        <v>877</v>
      </c>
      <c r="E884" s="544">
        <f>+DATE(YEAR(E883),MONTH(E883)-1,DAY(E883))</f>
        <v>25569.041666666668</v>
      </c>
      <c r="F884" s="333">
        <f>IF($C$6=$E884,1,IF(MONTH($E884)=1,F885*(1+$F$5),F885))</f>
      </c>
      <c r="G884" s="333">
        <f>F884*$B$8/12</f>
      </c>
      <c r="H884" s="333">
        <f>IF(F884=1,F884*$B$10/MIN(12,'Simulador - 3º Pilar'!$E$88),0)</f>
      </c>
      <c r="I884" s="560">
        <f>(1+$G$5)^(D884/12)*(H884+IF(E884=$N$7,$N$4,0))</f>
      </c>
      <c r="J884" s="561">
        <f>(1+$G$5)^(D884/12)*(H884*(12-IF(MONTH(E885)=12,0,MONTH(E885)))+IF(AND(F884=1,F885=0),$Q$4,0))*IF(AND(F884=1,F885=0),1,0)</f>
      </c>
      <c r="K884" s="217">
        <f>(1+$G$5)^(D884/12)*(IF(E884=$N$7,$N$4,0)+IF(E884=$C$6,$B$10,0))</f>
      </c>
      <c r="L884" s="217">
        <f>(1+$G$5)^(D884/12)*(IF((E884)&gt;($B$6),H884,0)+IF(E884=$N$7,$N$4,0)+IF(E884=$C$6,0,0))</f>
      </c>
      <c r="M884" s="1"/>
      <c r="N884" s="7"/>
      <c r="O884" s="1"/>
      <c r="P884" s="331">
        <v>877</v>
      </c>
      <c r="Q884" s="544">
        <f>+DATE(YEAR(Q883),MONTH(Q883)-1,DAY(Q883))</f>
        <v>25569.041666666668</v>
      </c>
      <c r="R884" s="341">
        <f>IF($Z$7=$E884,1,IF(MONTH($E884)=1,R885*(1+$F$5),R885))</f>
      </c>
      <c r="S884" s="334">
        <f>R884*$B$8/12</f>
      </c>
      <c r="T884" s="334">
        <f>R884*$B$11/12</f>
      </c>
      <c r="U884" s="565">
        <f>(1+$V$5)^(P884/12)*(T884+IF(Q884=$Z$7,$Z$4,0))</f>
      </c>
      <c r="V884" s="170"/>
      <c r="W884" s="7"/>
      <c r="X884" s="1"/>
      <c r="Y884" s="1"/>
      <c r="Z884" s="1"/>
      <c r="AA884" s="1"/>
      <c r="AB884" s="1"/>
      <c r="AC884" s="331">
        <v>877</v>
      </c>
      <c r="AD884" s="544">
        <f>+DATE(YEAR(AD883),MONTH(AD883)-1,DAY(AD883))</f>
        <v>25569.041666666668</v>
      </c>
      <c r="AE884" s="341">
        <f>IF($AM$7=$E884,1,IF(MONTH($E884)=1,AE885*(1+$F$5),AE885))</f>
      </c>
      <c r="AF884" s="334">
        <f>AE884*$B$8/12</f>
      </c>
      <c r="AG884" s="334">
        <f>AE884*$B$12/12</f>
      </c>
      <c r="AH884" s="565">
        <f>(1+$AI$5)^(AC884/12)*(AG884+IF(AD884=$AM$7,$AM$4,0))</f>
      </c>
      <c r="AI884" s="170"/>
      <c r="AJ884" s="7"/>
      <c r="AK884" s="1"/>
      <c r="AL884" s="1"/>
      <c r="AM884" s="1"/>
    </row>
    <row x14ac:dyDescent="0.25" r="885" customHeight="1" ht="18.75">
      <c r="A885" s="1"/>
      <c r="B885" s="169"/>
      <c r="C885" s="170"/>
      <c r="D885" s="331">
        <v>878</v>
      </c>
      <c r="E885" s="544">
        <f>+DATE(YEAR(E884),MONTH(E884)-1,DAY(E884))</f>
        <v>25569.041666666668</v>
      </c>
      <c r="F885" s="333">
        <f>IF($C$6=$E885,1,IF(MONTH($E885)=1,F886*(1+$F$5),F886))</f>
      </c>
      <c r="G885" s="333">
        <f>F885*$B$8/12</f>
      </c>
      <c r="H885" s="333">
        <f>IF(F885=1,F885*$B$10/MIN(12,'Simulador - 3º Pilar'!$E$88),0)</f>
      </c>
      <c r="I885" s="560">
        <f>(1+$G$5)^(D885/12)*(H885+IF(E885=$N$7,$N$4,0))</f>
      </c>
      <c r="J885" s="561">
        <f>(1+$G$5)^(D885/12)*(H885*(12-IF(MONTH(E886)=12,0,MONTH(E886)))+IF(AND(F885=1,F886=0),$Q$4,0))*IF(AND(F885=1,F886=0),1,0)</f>
      </c>
      <c r="K885" s="217">
        <f>(1+$G$5)^(D885/12)*(IF(E885=$N$7,$N$4,0)+IF(E885=$C$6,$B$10,0))</f>
      </c>
      <c r="L885" s="217">
        <f>(1+$G$5)^(D885/12)*(IF((E885)&gt;($B$6),H885,0)+IF(E885=$N$7,$N$4,0)+IF(E885=$C$6,0,0))</f>
      </c>
      <c r="M885" s="1"/>
      <c r="N885" s="7"/>
      <c r="O885" s="1"/>
      <c r="P885" s="331">
        <v>878</v>
      </c>
      <c r="Q885" s="544">
        <f>+DATE(YEAR(Q884),MONTH(Q884)-1,DAY(Q884))</f>
        <v>25569.041666666668</v>
      </c>
      <c r="R885" s="341">
        <f>IF($Z$7=$E885,1,IF(MONTH($E885)=1,R886*(1+$F$5),R886))</f>
      </c>
      <c r="S885" s="334">
        <f>R885*$B$8/12</f>
      </c>
      <c r="T885" s="334">
        <f>R885*$B$11/12</f>
      </c>
      <c r="U885" s="565">
        <f>(1+$V$5)^(P885/12)*(T885+IF(Q885=$Z$7,$Z$4,0))</f>
      </c>
      <c r="V885" s="170"/>
      <c r="W885" s="7"/>
      <c r="X885" s="1"/>
      <c r="Y885" s="1"/>
      <c r="Z885" s="1"/>
      <c r="AA885" s="1"/>
      <c r="AB885" s="1"/>
      <c r="AC885" s="331">
        <v>878</v>
      </c>
      <c r="AD885" s="544">
        <f>+DATE(YEAR(AD884),MONTH(AD884)-1,DAY(AD884))</f>
        <v>25569.041666666668</v>
      </c>
      <c r="AE885" s="341">
        <f>IF($AM$7=$E885,1,IF(MONTH($E885)=1,AE886*(1+$F$5),AE886))</f>
      </c>
      <c r="AF885" s="334">
        <f>AE885*$B$8/12</f>
      </c>
      <c r="AG885" s="334">
        <f>AE885*$B$12/12</f>
      </c>
      <c r="AH885" s="565">
        <f>(1+$AI$5)^(AC885/12)*(AG885+IF(AD885=$AM$7,$AM$4,0))</f>
      </c>
      <c r="AI885" s="170"/>
      <c r="AJ885" s="7"/>
      <c r="AK885" s="1"/>
      <c r="AL885" s="1"/>
      <c r="AM885" s="1"/>
    </row>
    <row x14ac:dyDescent="0.25" r="886" customHeight="1" ht="18.75">
      <c r="A886" s="1"/>
      <c r="B886" s="169"/>
      <c r="C886" s="170"/>
      <c r="D886" s="331">
        <v>879</v>
      </c>
      <c r="E886" s="544">
        <f>+DATE(YEAR(E885),MONTH(E885)-1,DAY(E885))</f>
        <v>25569.041666666668</v>
      </c>
      <c r="F886" s="333">
        <f>IF($C$6=$E886,1,IF(MONTH($E886)=1,F887*(1+$F$5),F887))</f>
      </c>
      <c r="G886" s="333">
        <f>F886*$B$8/12</f>
      </c>
      <c r="H886" s="333">
        <f>IF(F886=1,F886*$B$10/MIN(12,'Simulador - 3º Pilar'!$E$88),0)</f>
      </c>
      <c r="I886" s="560">
        <f>(1+$G$5)^(D886/12)*(H886+IF(E886=$N$7,$N$4,0))</f>
      </c>
      <c r="J886" s="561">
        <f>(1+$G$5)^(D886/12)*(H886*(12-IF(MONTH(E887)=12,0,MONTH(E887)))+IF(AND(F886=1,F887=0),$Q$4,0))*IF(AND(F886=1,F887=0),1,0)</f>
      </c>
      <c r="K886" s="217">
        <f>(1+$G$5)^(D886/12)*(IF(E886=$N$7,$N$4,0)+IF(E886=$C$6,$B$10,0))</f>
      </c>
      <c r="L886" s="217">
        <f>(1+$G$5)^(D886/12)*(IF((E886)&gt;($B$6),H886,0)+IF(E886=$N$7,$N$4,0)+IF(E886=$C$6,0,0))</f>
      </c>
      <c r="M886" s="1"/>
      <c r="N886" s="7"/>
      <c r="O886" s="1"/>
      <c r="P886" s="331">
        <v>879</v>
      </c>
      <c r="Q886" s="544">
        <f>+DATE(YEAR(Q885),MONTH(Q885)-1,DAY(Q885))</f>
        <v>25569.041666666668</v>
      </c>
      <c r="R886" s="341">
        <f>IF($Z$7=$E886,1,IF(MONTH($E886)=1,R887*(1+$F$5),R887))</f>
      </c>
      <c r="S886" s="334">
        <f>R886*$B$8/12</f>
      </c>
      <c r="T886" s="334">
        <f>R886*$B$11/12</f>
      </c>
      <c r="U886" s="565">
        <f>(1+$V$5)^(P886/12)*(T886+IF(Q886=$Z$7,$Z$4,0))</f>
      </c>
      <c r="V886" s="170"/>
      <c r="W886" s="7"/>
      <c r="X886" s="1"/>
      <c r="Y886" s="1"/>
      <c r="Z886" s="1"/>
      <c r="AA886" s="1"/>
      <c r="AB886" s="1"/>
      <c r="AC886" s="331">
        <v>879</v>
      </c>
      <c r="AD886" s="544">
        <f>+DATE(YEAR(AD885),MONTH(AD885)-1,DAY(AD885))</f>
        <v>25569.041666666668</v>
      </c>
      <c r="AE886" s="341">
        <f>IF($AM$7=$E886,1,IF(MONTH($E886)=1,AE887*(1+$F$5),AE887))</f>
      </c>
      <c r="AF886" s="334">
        <f>AE886*$B$8/12</f>
      </c>
      <c r="AG886" s="334">
        <f>AE886*$B$12/12</f>
      </c>
      <c r="AH886" s="565">
        <f>(1+$AI$5)^(AC886/12)*(AG886+IF(AD886=$AM$7,$AM$4,0))</f>
      </c>
      <c r="AI886" s="170"/>
      <c r="AJ886" s="7"/>
      <c r="AK886" s="1"/>
      <c r="AL886" s="1"/>
      <c r="AM886" s="1"/>
    </row>
    <row x14ac:dyDescent="0.25" r="887" customHeight="1" ht="18.75">
      <c r="A887" s="1"/>
      <c r="B887" s="169"/>
      <c r="C887" s="170"/>
      <c r="D887" s="331">
        <v>880</v>
      </c>
      <c r="E887" s="544">
        <f>+DATE(YEAR(E886),MONTH(E886)-1,DAY(E886))</f>
        <v>25569.041666666668</v>
      </c>
      <c r="F887" s="333">
        <f>IF($C$6=$E887,1,IF(MONTH($E887)=1,F888*(1+$F$5),F888))</f>
      </c>
      <c r="G887" s="333">
        <f>F887*$B$8/12</f>
      </c>
      <c r="H887" s="333">
        <f>IF(F887=1,F887*$B$10/MIN(12,'Simulador - 3º Pilar'!$E$88),0)</f>
      </c>
      <c r="I887" s="560">
        <f>(1+$G$5)^(D887/12)*(H887+IF(E887=$N$7,$N$4,0))</f>
      </c>
      <c r="J887" s="561">
        <f>(1+$G$5)^(D887/12)*(H887*(12-IF(MONTH(E888)=12,0,MONTH(E888)))+IF(AND(F887=1,F888=0),$Q$4,0))*IF(AND(F887=1,F888=0),1,0)</f>
      </c>
      <c r="K887" s="217">
        <f>(1+$G$5)^(D887/12)*(IF(E887=$N$7,$N$4,0)+IF(E887=$C$6,$B$10,0))</f>
      </c>
      <c r="L887" s="217">
        <f>(1+$G$5)^(D887/12)*(IF((E887)&gt;($B$6),H887,0)+IF(E887=$N$7,$N$4,0)+IF(E887=$C$6,0,0))</f>
      </c>
      <c r="M887" s="1"/>
      <c r="N887" s="7"/>
      <c r="O887" s="1"/>
      <c r="P887" s="331">
        <v>880</v>
      </c>
      <c r="Q887" s="544">
        <f>+DATE(YEAR(Q886),MONTH(Q886)-1,DAY(Q886))</f>
        <v>25569.041666666668</v>
      </c>
      <c r="R887" s="341">
        <f>IF($Z$7=$E887,1,IF(MONTH($E887)=1,R888*(1+$F$5),R888))</f>
      </c>
      <c r="S887" s="334">
        <f>R887*$B$8/12</f>
      </c>
      <c r="T887" s="334">
        <f>R887*$B$11/12</f>
      </c>
      <c r="U887" s="565">
        <f>(1+$V$5)^(P887/12)*(T887+IF(Q887=$Z$7,$Z$4,0))</f>
      </c>
      <c r="V887" s="170"/>
      <c r="W887" s="7"/>
      <c r="X887" s="1"/>
      <c r="Y887" s="1"/>
      <c r="Z887" s="1"/>
      <c r="AA887" s="1"/>
      <c r="AB887" s="1"/>
      <c r="AC887" s="331">
        <v>880</v>
      </c>
      <c r="AD887" s="544">
        <f>+DATE(YEAR(AD886),MONTH(AD886)-1,DAY(AD886))</f>
        <v>25569.041666666668</v>
      </c>
      <c r="AE887" s="341">
        <f>IF($AM$7=$E887,1,IF(MONTH($E887)=1,AE888*(1+$F$5),AE888))</f>
      </c>
      <c r="AF887" s="334">
        <f>AE887*$B$8/12</f>
      </c>
      <c r="AG887" s="334">
        <f>AE887*$B$12/12</f>
      </c>
      <c r="AH887" s="565">
        <f>(1+$AI$5)^(AC887/12)*(AG887+IF(AD887=$AM$7,$AM$4,0))</f>
      </c>
      <c r="AI887" s="170"/>
      <c r="AJ887" s="7"/>
      <c r="AK887" s="1"/>
      <c r="AL887" s="1"/>
      <c r="AM887" s="1"/>
    </row>
    <row x14ac:dyDescent="0.25" r="888" customHeight="1" ht="18.75">
      <c r="A888" s="1"/>
      <c r="B888" s="169"/>
      <c r="C888" s="170"/>
      <c r="D888" s="331">
        <v>881</v>
      </c>
      <c r="E888" s="544">
        <f>+DATE(YEAR(E887),MONTH(E887)-1,DAY(E887))</f>
        <v>25569.041666666668</v>
      </c>
      <c r="F888" s="333">
        <f>IF($C$6=$E888,1,IF(MONTH($E888)=1,F889*(1+$F$5),F889))</f>
      </c>
      <c r="G888" s="333">
        <f>F888*$B$8/12</f>
      </c>
      <c r="H888" s="333">
        <f>IF(F888=1,F888*$B$10/MIN(12,'Simulador - 3º Pilar'!$E$88),0)</f>
      </c>
      <c r="I888" s="560">
        <f>(1+$G$5)^(D888/12)*(H888+IF(E888=$N$7,$N$4,0))</f>
      </c>
      <c r="J888" s="561">
        <f>(1+$G$5)^(D888/12)*(H888*(12-IF(MONTH(E889)=12,0,MONTH(E889)))+IF(AND(F888=1,F889=0),$Q$4,0))*IF(AND(F888=1,F889=0),1,0)</f>
      </c>
      <c r="K888" s="217">
        <f>(1+$G$5)^(D888/12)*(IF(E888=$N$7,$N$4,0)+IF(E888=$C$6,$B$10,0))</f>
      </c>
      <c r="L888" s="217">
        <f>(1+$G$5)^(D888/12)*(IF((E888)&gt;($B$6),H888,0)+IF(E888=$N$7,$N$4,0)+IF(E888=$C$6,0,0))</f>
      </c>
      <c r="M888" s="1"/>
      <c r="N888" s="7"/>
      <c r="O888" s="1"/>
      <c r="P888" s="331">
        <v>881</v>
      </c>
      <c r="Q888" s="544">
        <f>+DATE(YEAR(Q887),MONTH(Q887)-1,DAY(Q887))</f>
        <v>25569.041666666668</v>
      </c>
      <c r="R888" s="341">
        <f>IF($Z$7=$E888,1,IF(MONTH($E888)=1,R889*(1+$F$5),R889))</f>
      </c>
      <c r="S888" s="334">
        <f>R888*$B$8/12</f>
      </c>
      <c r="T888" s="334">
        <f>R888*$B$11/12</f>
      </c>
      <c r="U888" s="565">
        <f>(1+$V$5)^(P888/12)*(T888+IF(Q888=$Z$7,$Z$4,0))</f>
      </c>
      <c r="V888" s="170"/>
      <c r="W888" s="7"/>
      <c r="X888" s="1"/>
      <c r="Y888" s="1"/>
      <c r="Z888" s="1"/>
      <c r="AA888" s="1"/>
      <c r="AB888" s="1"/>
      <c r="AC888" s="331">
        <v>881</v>
      </c>
      <c r="AD888" s="544">
        <f>+DATE(YEAR(AD887),MONTH(AD887)-1,DAY(AD887))</f>
        <v>25569.041666666668</v>
      </c>
      <c r="AE888" s="341">
        <f>IF($AM$7=$E888,1,IF(MONTH($E888)=1,AE889*(1+$F$5),AE889))</f>
      </c>
      <c r="AF888" s="334">
        <f>AE888*$B$8/12</f>
      </c>
      <c r="AG888" s="334">
        <f>AE888*$B$12/12</f>
      </c>
      <c r="AH888" s="565">
        <f>(1+$AI$5)^(AC888/12)*(AG888+IF(AD888=$AM$7,$AM$4,0))</f>
      </c>
      <c r="AI888" s="170"/>
      <c r="AJ888" s="7"/>
      <c r="AK888" s="1"/>
      <c r="AL888" s="1"/>
      <c r="AM888" s="1"/>
    </row>
    <row x14ac:dyDescent="0.25" r="889" customHeight="1" ht="18.75">
      <c r="A889" s="1"/>
      <c r="B889" s="169"/>
      <c r="C889" s="170"/>
      <c r="D889" s="331">
        <v>882</v>
      </c>
      <c r="E889" s="544">
        <f>+DATE(YEAR(E888),MONTH(E888)-1,DAY(E888))</f>
        <v>25569.041666666668</v>
      </c>
      <c r="F889" s="333">
        <f>IF($C$6=$E889,1,IF(MONTH($E889)=1,F890*(1+$F$5),F890))</f>
      </c>
      <c r="G889" s="333">
        <f>F889*$B$8/12</f>
      </c>
      <c r="H889" s="333">
        <f>IF(F889=1,F889*$B$10/MIN(12,'Simulador - 3º Pilar'!$E$88),0)</f>
      </c>
      <c r="I889" s="560">
        <f>(1+$G$5)^(D889/12)*(H889+IF(E889=$N$7,$N$4,0))</f>
      </c>
      <c r="J889" s="561">
        <f>(1+$G$5)^(D889/12)*(H889*(12-IF(MONTH(E890)=12,0,MONTH(E890)))+IF(AND(F889=1,F890=0),$Q$4,0))*IF(AND(F889=1,F890=0),1,0)</f>
      </c>
      <c r="K889" s="217">
        <f>(1+$G$5)^(D889/12)*(IF(E889=$N$7,$N$4,0)+IF(E889=$C$6,$B$10,0))</f>
      </c>
      <c r="L889" s="217">
        <f>(1+$G$5)^(D889/12)*(IF((E889)&gt;($B$6),H889,0)+IF(E889=$N$7,$N$4,0)+IF(E889=$C$6,0,0))</f>
      </c>
      <c r="M889" s="1"/>
      <c r="N889" s="7"/>
      <c r="O889" s="1"/>
      <c r="P889" s="331">
        <v>882</v>
      </c>
      <c r="Q889" s="544">
        <f>+DATE(YEAR(Q888),MONTH(Q888)-1,DAY(Q888))</f>
        <v>25569.041666666668</v>
      </c>
      <c r="R889" s="341">
        <f>IF($Z$7=$E889,1,IF(MONTH($E889)=1,R890*(1+$F$5),R890))</f>
      </c>
      <c r="S889" s="334">
        <f>R889*$B$8/12</f>
      </c>
      <c r="T889" s="334">
        <f>R889*$B$11/12</f>
      </c>
      <c r="U889" s="565">
        <f>(1+$V$5)^(P889/12)*(T889+IF(Q889=$Z$7,$Z$4,0))</f>
      </c>
      <c r="V889" s="170"/>
      <c r="W889" s="7"/>
      <c r="X889" s="1"/>
      <c r="Y889" s="1"/>
      <c r="Z889" s="1"/>
      <c r="AA889" s="1"/>
      <c r="AB889" s="1"/>
      <c r="AC889" s="331">
        <v>882</v>
      </c>
      <c r="AD889" s="544">
        <f>+DATE(YEAR(AD888),MONTH(AD888)-1,DAY(AD888))</f>
        <v>25569.041666666668</v>
      </c>
      <c r="AE889" s="341">
        <f>IF($AM$7=$E889,1,IF(MONTH($E889)=1,AE890*(1+$F$5),AE890))</f>
      </c>
      <c r="AF889" s="334">
        <f>AE889*$B$8/12</f>
      </c>
      <c r="AG889" s="334">
        <f>AE889*$B$12/12</f>
      </c>
      <c r="AH889" s="565">
        <f>(1+$AI$5)^(AC889/12)*(AG889+IF(AD889=$AM$7,$AM$4,0))</f>
      </c>
      <c r="AI889" s="170"/>
      <c r="AJ889" s="7"/>
      <c r="AK889" s="1"/>
      <c r="AL889" s="1"/>
      <c r="AM889" s="1"/>
    </row>
    <row x14ac:dyDescent="0.25" r="890" customHeight="1" ht="18.75">
      <c r="A890" s="1"/>
      <c r="B890" s="169"/>
      <c r="C890" s="170"/>
      <c r="D890" s="331">
        <v>883</v>
      </c>
      <c r="E890" s="544">
        <f>+DATE(YEAR(E889),MONTH(E889)-1,DAY(E889))</f>
        <v>25569.041666666668</v>
      </c>
      <c r="F890" s="333">
        <f>IF($C$6=$E890,1,IF(MONTH($E890)=1,F891*(1+$F$5),F891))</f>
      </c>
      <c r="G890" s="333">
        <f>F890*$B$8/12</f>
      </c>
      <c r="H890" s="333">
        <f>IF(F890=1,F890*$B$10/MIN(12,'Simulador - 3º Pilar'!$E$88),0)</f>
      </c>
      <c r="I890" s="560">
        <f>(1+$G$5)^(D890/12)*(H890+IF(E890=$N$7,$N$4,0))</f>
      </c>
      <c r="J890" s="561">
        <f>(1+$G$5)^(D890/12)*(H890*(12-IF(MONTH(E891)=12,0,MONTH(E891)))+IF(AND(F890=1,F891=0),$Q$4,0))*IF(AND(F890=1,F891=0),1,0)</f>
      </c>
      <c r="K890" s="217">
        <f>(1+$G$5)^(D890/12)*(IF(E890=$N$7,$N$4,0)+IF(E890=$C$6,$B$10,0))</f>
      </c>
      <c r="L890" s="217">
        <f>(1+$G$5)^(D890/12)*(IF((E890)&gt;($B$6),H890,0)+IF(E890=$N$7,$N$4,0)+IF(E890=$C$6,0,0))</f>
      </c>
      <c r="M890" s="1"/>
      <c r="N890" s="7"/>
      <c r="O890" s="1"/>
      <c r="P890" s="331">
        <v>883</v>
      </c>
      <c r="Q890" s="544">
        <f>+DATE(YEAR(Q889),MONTH(Q889)-1,DAY(Q889))</f>
        <v>25569.041666666668</v>
      </c>
      <c r="R890" s="341">
        <f>IF($Z$7=$E890,1,IF(MONTH($E890)=1,R891*(1+$F$5),R891))</f>
      </c>
      <c r="S890" s="334">
        <f>R890*$B$8/12</f>
      </c>
      <c r="T890" s="334">
        <f>R890*$B$11/12</f>
      </c>
      <c r="U890" s="565">
        <f>(1+$V$5)^(P890/12)*(T890+IF(Q890=$Z$7,$Z$4,0))</f>
      </c>
      <c r="V890" s="170"/>
      <c r="W890" s="7"/>
      <c r="X890" s="1"/>
      <c r="Y890" s="1"/>
      <c r="Z890" s="1"/>
      <c r="AA890" s="1"/>
      <c r="AB890" s="1"/>
      <c r="AC890" s="331">
        <v>883</v>
      </c>
      <c r="AD890" s="544">
        <f>+DATE(YEAR(AD889),MONTH(AD889)-1,DAY(AD889))</f>
        <v>25569.041666666668</v>
      </c>
      <c r="AE890" s="341">
        <f>IF($AM$7=$E890,1,IF(MONTH($E890)=1,AE891*(1+$F$5),AE891))</f>
      </c>
      <c r="AF890" s="334">
        <f>AE890*$B$8/12</f>
      </c>
      <c r="AG890" s="334">
        <f>AE890*$B$12/12</f>
      </c>
      <c r="AH890" s="565">
        <f>(1+$AI$5)^(AC890/12)*(AG890+IF(AD890=$AM$7,$AM$4,0))</f>
      </c>
      <c r="AI890" s="170"/>
      <c r="AJ890" s="7"/>
      <c r="AK890" s="1"/>
      <c r="AL890" s="1"/>
      <c r="AM890" s="1"/>
    </row>
    <row x14ac:dyDescent="0.25" r="891" customHeight="1" ht="18.75">
      <c r="A891" s="1"/>
      <c r="B891" s="169"/>
      <c r="C891" s="170"/>
      <c r="D891" s="331">
        <v>884</v>
      </c>
      <c r="E891" s="544">
        <f>+DATE(YEAR(E890),MONTH(E890)-1,DAY(E890))</f>
        <v>25569.041666666668</v>
      </c>
      <c r="F891" s="333">
        <f>IF($C$6=$E891,1,IF(MONTH($E891)=1,F892*(1+$F$5),F892))</f>
      </c>
      <c r="G891" s="333">
        <f>F891*$B$8/12</f>
      </c>
      <c r="H891" s="333">
        <f>IF(F891=1,F891*$B$10/MIN(12,'Simulador - 3º Pilar'!$E$88),0)</f>
      </c>
      <c r="I891" s="560">
        <f>(1+$G$5)^(D891/12)*(H891+IF(E891=$N$7,$N$4,0))</f>
      </c>
      <c r="J891" s="561">
        <f>(1+$G$5)^(D891/12)*(H891*(12-IF(MONTH(E892)=12,0,MONTH(E892)))+IF(AND(F891=1,F892=0),$Q$4,0))*IF(AND(F891=1,F892=0),1,0)</f>
      </c>
      <c r="K891" s="217">
        <f>(1+$G$5)^(D891/12)*(IF(E891=$N$7,$N$4,0)+IF(E891=$C$6,$B$10,0))</f>
      </c>
      <c r="L891" s="217">
        <f>(1+$G$5)^(D891/12)*(IF((E891)&gt;($B$6),H891,0)+IF(E891=$N$7,$N$4,0)+IF(E891=$C$6,0,0))</f>
      </c>
      <c r="M891" s="1"/>
      <c r="N891" s="7"/>
      <c r="O891" s="1"/>
      <c r="P891" s="331">
        <v>884</v>
      </c>
      <c r="Q891" s="544">
        <f>+DATE(YEAR(Q890),MONTH(Q890)-1,DAY(Q890))</f>
        <v>25569.041666666668</v>
      </c>
      <c r="R891" s="341">
        <f>IF($Z$7=$E891,1,IF(MONTH($E891)=1,R892*(1+$F$5),R892))</f>
      </c>
      <c r="S891" s="334">
        <f>R891*$B$8/12</f>
      </c>
      <c r="T891" s="334">
        <f>R891*$B$11/12</f>
      </c>
      <c r="U891" s="565">
        <f>(1+$V$5)^(P891/12)*(T891+IF(Q891=$Z$7,$Z$4,0))</f>
      </c>
      <c r="V891" s="170"/>
      <c r="W891" s="7"/>
      <c r="X891" s="1"/>
      <c r="Y891" s="1"/>
      <c r="Z891" s="1"/>
      <c r="AA891" s="1"/>
      <c r="AB891" s="1"/>
      <c r="AC891" s="331">
        <v>884</v>
      </c>
      <c r="AD891" s="544">
        <f>+DATE(YEAR(AD890),MONTH(AD890)-1,DAY(AD890))</f>
        <v>25569.041666666668</v>
      </c>
      <c r="AE891" s="341">
        <f>IF($AM$7=$E891,1,IF(MONTH($E891)=1,AE892*(1+$F$5),AE892))</f>
      </c>
      <c r="AF891" s="334">
        <f>AE891*$B$8/12</f>
      </c>
      <c r="AG891" s="334">
        <f>AE891*$B$12/12</f>
      </c>
      <c r="AH891" s="565">
        <f>(1+$AI$5)^(AC891/12)*(AG891+IF(AD891=$AM$7,$AM$4,0))</f>
      </c>
      <c r="AI891" s="170"/>
      <c r="AJ891" s="7"/>
      <c r="AK891" s="1"/>
      <c r="AL891" s="1"/>
      <c r="AM891" s="1"/>
    </row>
    <row x14ac:dyDescent="0.25" r="892" customHeight="1" ht="18.75">
      <c r="A892" s="1"/>
      <c r="B892" s="169"/>
      <c r="C892" s="170"/>
      <c r="D892" s="331">
        <v>885</v>
      </c>
      <c r="E892" s="544">
        <f>+DATE(YEAR(E891),MONTH(E891)-1,DAY(E891))</f>
        <v>25569.041666666668</v>
      </c>
      <c r="F892" s="333">
        <f>IF($C$6=$E892,1,IF(MONTH($E892)=1,F893*(1+$F$5),F893))</f>
      </c>
      <c r="G892" s="333">
        <f>F892*$B$8/12</f>
      </c>
      <c r="H892" s="333">
        <f>IF(F892=1,F892*$B$10/MIN(12,'Simulador - 3º Pilar'!$E$88),0)</f>
      </c>
      <c r="I892" s="560">
        <f>(1+$G$5)^(D892/12)*(H892+IF(E892=$N$7,$N$4,0))</f>
      </c>
      <c r="J892" s="561">
        <f>(1+$G$5)^(D892/12)*(H892*(12-IF(MONTH(E893)=12,0,MONTH(E893)))+IF(AND(F892=1,F893=0),$Q$4,0))*IF(AND(F892=1,F893=0),1,0)</f>
      </c>
      <c r="K892" s="217">
        <f>(1+$G$5)^(D892/12)*(IF(E892=$N$7,$N$4,0)+IF(E892=$C$6,$B$10,0))</f>
      </c>
      <c r="L892" s="217">
        <f>(1+$G$5)^(D892/12)*(IF((E892)&gt;($B$6),H892,0)+IF(E892=$N$7,$N$4,0)+IF(E892=$C$6,0,0))</f>
      </c>
      <c r="M892" s="1"/>
      <c r="N892" s="7"/>
      <c r="O892" s="1"/>
      <c r="P892" s="331">
        <v>885</v>
      </c>
      <c r="Q892" s="544">
        <f>+DATE(YEAR(Q891),MONTH(Q891)-1,DAY(Q891))</f>
        <v>25569.041666666668</v>
      </c>
      <c r="R892" s="341">
        <f>IF($Z$7=$E892,1,IF(MONTH($E892)=1,R893*(1+$F$5),R893))</f>
      </c>
      <c r="S892" s="334">
        <f>R892*$B$8/12</f>
      </c>
      <c r="T892" s="334">
        <f>R892*$B$11/12</f>
      </c>
      <c r="U892" s="565">
        <f>(1+$V$5)^(P892/12)*(T892+IF(Q892=$Z$7,$Z$4,0))</f>
      </c>
      <c r="V892" s="170"/>
      <c r="W892" s="7"/>
      <c r="X892" s="1"/>
      <c r="Y892" s="1"/>
      <c r="Z892" s="1"/>
      <c r="AA892" s="1"/>
      <c r="AB892" s="1"/>
      <c r="AC892" s="331">
        <v>885</v>
      </c>
      <c r="AD892" s="544">
        <f>+DATE(YEAR(AD891),MONTH(AD891)-1,DAY(AD891))</f>
        <v>25569.041666666668</v>
      </c>
      <c r="AE892" s="341">
        <f>IF($AM$7=$E892,1,IF(MONTH($E892)=1,AE893*(1+$F$5),AE893))</f>
      </c>
      <c r="AF892" s="334">
        <f>AE892*$B$8/12</f>
      </c>
      <c r="AG892" s="334">
        <f>AE892*$B$12/12</f>
      </c>
      <c r="AH892" s="565">
        <f>(1+$AI$5)^(AC892/12)*(AG892+IF(AD892=$AM$7,$AM$4,0))</f>
      </c>
      <c r="AI892" s="170"/>
      <c r="AJ892" s="7"/>
      <c r="AK892" s="1"/>
      <c r="AL892" s="1"/>
      <c r="AM892" s="1"/>
    </row>
    <row x14ac:dyDescent="0.25" r="893" customHeight="1" ht="18.75">
      <c r="A893" s="1"/>
      <c r="B893" s="169"/>
      <c r="C893" s="170"/>
      <c r="D893" s="331">
        <v>886</v>
      </c>
      <c r="E893" s="544">
        <f>+DATE(YEAR(E892),MONTH(E892)-1,DAY(E892))</f>
        <v>25569.041666666668</v>
      </c>
      <c r="F893" s="333">
        <f>IF($C$6=$E893,1,IF(MONTH($E893)=1,F894*(1+$F$5),F894))</f>
      </c>
      <c r="G893" s="333">
        <f>F893*$B$8/12</f>
      </c>
      <c r="H893" s="333">
        <f>IF(F893=1,F893*$B$10/MIN(12,'Simulador - 3º Pilar'!$E$88),0)</f>
      </c>
      <c r="I893" s="560">
        <f>(1+$G$5)^(D893/12)*(H893+IF(E893=$N$7,$N$4,0))</f>
      </c>
      <c r="J893" s="561">
        <f>(1+$G$5)^(D893/12)*(H893*(12-IF(MONTH(E894)=12,0,MONTH(E894)))+IF(AND(F893=1,F894=0),$Q$4,0))*IF(AND(F893=1,F894=0),1,0)</f>
      </c>
      <c r="K893" s="217">
        <f>(1+$G$5)^(D893/12)*(IF(E893=$N$7,$N$4,0)+IF(E893=$C$6,$B$10,0))</f>
      </c>
      <c r="L893" s="217">
        <f>(1+$G$5)^(D893/12)*(IF((E893)&gt;($B$6),H893,0)+IF(E893=$N$7,$N$4,0)+IF(E893=$C$6,0,0))</f>
      </c>
      <c r="M893" s="1"/>
      <c r="N893" s="7"/>
      <c r="O893" s="1"/>
      <c r="P893" s="331">
        <v>886</v>
      </c>
      <c r="Q893" s="544">
        <f>+DATE(YEAR(Q892),MONTH(Q892)-1,DAY(Q892))</f>
        <v>25569.041666666668</v>
      </c>
      <c r="R893" s="341">
        <f>IF($Z$7=$E893,1,IF(MONTH($E893)=1,R894*(1+$F$5),R894))</f>
      </c>
      <c r="S893" s="334">
        <f>R893*$B$8/12</f>
      </c>
      <c r="T893" s="334">
        <f>R893*$B$11/12</f>
      </c>
      <c r="U893" s="565">
        <f>(1+$V$5)^(P893/12)*(T893+IF(Q893=$Z$7,$Z$4,0))</f>
      </c>
      <c r="V893" s="170"/>
      <c r="W893" s="7"/>
      <c r="X893" s="1"/>
      <c r="Y893" s="1"/>
      <c r="Z893" s="1"/>
      <c r="AA893" s="1"/>
      <c r="AB893" s="1"/>
      <c r="AC893" s="331">
        <v>886</v>
      </c>
      <c r="AD893" s="544">
        <f>+DATE(YEAR(AD892),MONTH(AD892)-1,DAY(AD892))</f>
        <v>25569.041666666668</v>
      </c>
      <c r="AE893" s="341">
        <f>IF($AM$7=$E893,1,IF(MONTH($E893)=1,AE894*(1+$F$5),AE894))</f>
      </c>
      <c r="AF893" s="334">
        <f>AE893*$B$8/12</f>
      </c>
      <c r="AG893" s="334">
        <f>AE893*$B$12/12</f>
      </c>
      <c r="AH893" s="565">
        <f>(1+$AI$5)^(AC893/12)*(AG893+IF(AD893=$AM$7,$AM$4,0))</f>
      </c>
      <c r="AI893" s="170"/>
      <c r="AJ893" s="7"/>
      <c r="AK893" s="1"/>
      <c r="AL893" s="1"/>
      <c r="AM893" s="1"/>
    </row>
    <row x14ac:dyDescent="0.25" r="894" customHeight="1" ht="18.75">
      <c r="A894" s="1"/>
      <c r="B894" s="169"/>
      <c r="C894" s="170"/>
      <c r="D894" s="331">
        <v>887</v>
      </c>
      <c r="E894" s="544">
        <f>+DATE(YEAR(E893),MONTH(E893)-1,DAY(E893))</f>
        <v>25569.041666666668</v>
      </c>
      <c r="F894" s="333">
        <f>IF($C$6=$E894,1,IF(MONTH($E894)=1,F895*(1+$F$5),F895))</f>
      </c>
      <c r="G894" s="333">
        <f>F894*$B$8/12</f>
      </c>
      <c r="H894" s="333">
        <f>IF(F894=1,F894*$B$10/MIN(12,'Simulador - 3º Pilar'!$E$88),0)</f>
      </c>
      <c r="I894" s="560">
        <f>(1+$G$5)^(D894/12)*(H894+IF(E894=$N$7,$N$4,0))</f>
      </c>
      <c r="J894" s="561">
        <f>(1+$G$5)^(D894/12)*(H894*(12-IF(MONTH(E895)=12,0,MONTH(E895)))+IF(AND(F894=1,F895=0),$Q$4,0))*IF(AND(F894=1,F895=0),1,0)</f>
      </c>
      <c r="K894" s="217">
        <f>(1+$G$5)^(D894/12)*(IF(E894=$N$7,$N$4,0)+IF(E894=$C$6,$B$10,0))</f>
      </c>
      <c r="L894" s="217">
        <f>(1+$G$5)^(D894/12)*(IF((E894)&gt;($B$6),H894,0)+IF(E894=$N$7,$N$4,0)+IF(E894=$C$6,0,0))</f>
      </c>
      <c r="M894" s="1"/>
      <c r="N894" s="7"/>
      <c r="O894" s="1"/>
      <c r="P894" s="331">
        <v>887</v>
      </c>
      <c r="Q894" s="544">
        <f>+DATE(YEAR(Q893),MONTH(Q893)-1,DAY(Q893))</f>
        <v>25569.041666666668</v>
      </c>
      <c r="R894" s="341">
        <f>IF($Z$7=$E894,1,IF(MONTH($E894)=1,R895*(1+$F$5),R895))</f>
      </c>
      <c r="S894" s="334">
        <f>R894*$B$8/12</f>
      </c>
      <c r="T894" s="334">
        <f>R894*$B$11/12</f>
      </c>
      <c r="U894" s="565">
        <f>(1+$V$5)^(P894/12)*(T894+IF(Q894=$Z$7,$Z$4,0))</f>
      </c>
      <c r="V894" s="170"/>
      <c r="W894" s="7"/>
      <c r="X894" s="1"/>
      <c r="Y894" s="1"/>
      <c r="Z894" s="1"/>
      <c r="AA894" s="1"/>
      <c r="AB894" s="1"/>
      <c r="AC894" s="331">
        <v>887</v>
      </c>
      <c r="AD894" s="544">
        <f>+DATE(YEAR(AD893),MONTH(AD893)-1,DAY(AD893))</f>
        <v>25569.041666666668</v>
      </c>
      <c r="AE894" s="341">
        <f>IF($AM$7=$E894,1,IF(MONTH($E894)=1,AE895*(1+$F$5),AE895))</f>
      </c>
      <c r="AF894" s="334">
        <f>AE894*$B$8/12</f>
      </c>
      <c r="AG894" s="334">
        <f>AE894*$B$12/12</f>
      </c>
      <c r="AH894" s="565">
        <f>(1+$AI$5)^(AC894/12)*(AG894+IF(AD894=$AM$7,$AM$4,0))</f>
      </c>
      <c r="AI894" s="170"/>
      <c r="AJ894" s="7"/>
      <c r="AK894" s="1"/>
      <c r="AL894" s="1"/>
      <c r="AM894" s="1"/>
    </row>
    <row x14ac:dyDescent="0.25" r="895" customHeight="1" ht="18.75">
      <c r="A895" s="1"/>
      <c r="B895" s="169"/>
      <c r="C895" s="170"/>
      <c r="D895" s="331">
        <v>888</v>
      </c>
      <c r="E895" s="544">
        <f>+DATE(YEAR(E894),MONTH(E894)-1,DAY(E894))</f>
        <v>25569.041666666668</v>
      </c>
      <c r="F895" s="333">
        <f>IF($C$6=$E895,1,IF(MONTH($E895)=1,F896*(1+$F$5),F896))</f>
      </c>
      <c r="G895" s="333">
        <f>F895*$B$8/12</f>
      </c>
      <c r="H895" s="333">
        <f>IF(F895=1,F895*$B$10/MIN(12,'Simulador - 3º Pilar'!$E$88),0)</f>
      </c>
      <c r="I895" s="560">
        <f>(1+$G$5)^(D895/12)*(H895+IF(E895=$N$7,$N$4,0))</f>
      </c>
      <c r="J895" s="561">
        <f>(1+$G$5)^(D895/12)*(H895*(12-IF(MONTH(E896)=12,0,MONTH(E896)))+IF(AND(F895=1,F896=0),$Q$4,0))*IF(AND(F895=1,F896=0),1,0)</f>
      </c>
      <c r="K895" s="217">
        <f>(1+$G$5)^(D895/12)*(IF(E895=$N$7,$N$4,0)+IF(E895=$C$6,$B$10,0))</f>
      </c>
      <c r="L895" s="217">
        <f>(1+$G$5)^(D895/12)*(IF((E895)&gt;($B$6),H895,0)+IF(E895=$N$7,$N$4,0)+IF(E895=$C$6,0,0))</f>
      </c>
      <c r="M895" s="1"/>
      <c r="N895" s="7"/>
      <c r="O895" s="1"/>
      <c r="P895" s="331">
        <v>888</v>
      </c>
      <c r="Q895" s="544">
        <f>+DATE(YEAR(Q894),MONTH(Q894)-1,DAY(Q894))</f>
        <v>25569.041666666668</v>
      </c>
      <c r="R895" s="341">
        <f>IF($Z$7=$E895,1,IF(MONTH($E895)=1,R896*(1+$F$5),R896))</f>
      </c>
      <c r="S895" s="334">
        <f>R895*$B$8/12</f>
      </c>
      <c r="T895" s="334">
        <f>R895*$B$11/12</f>
      </c>
      <c r="U895" s="565">
        <f>(1+$V$5)^(P895/12)*(T895+IF(Q895=$Z$7,$Z$4,0))</f>
      </c>
      <c r="V895" s="170"/>
      <c r="W895" s="7"/>
      <c r="X895" s="1"/>
      <c r="Y895" s="1"/>
      <c r="Z895" s="1"/>
      <c r="AA895" s="1"/>
      <c r="AB895" s="1"/>
      <c r="AC895" s="331">
        <v>888</v>
      </c>
      <c r="AD895" s="544">
        <f>+DATE(YEAR(AD894),MONTH(AD894)-1,DAY(AD894))</f>
        <v>25569.041666666668</v>
      </c>
      <c r="AE895" s="341">
        <f>IF($AM$7=$E895,1,IF(MONTH($E895)=1,AE896*(1+$F$5),AE896))</f>
      </c>
      <c r="AF895" s="334">
        <f>AE895*$B$8/12</f>
      </c>
      <c r="AG895" s="334">
        <f>AE895*$B$12/12</f>
      </c>
      <c r="AH895" s="565">
        <f>(1+$AI$5)^(AC895/12)*(AG895+IF(AD895=$AM$7,$AM$4,0))</f>
      </c>
      <c r="AI895" s="170"/>
      <c r="AJ895" s="7"/>
      <c r="AK895" s="1"/>
      <c r="AL895" s="1"/>
      <c r="AM895" s="1"/>
    </row>
    <row x14ac:dyDescent="0.25" r="896" customHeight="1" ht="18.75">
      <c r="A896" s="1"/>
      <c r="B896" s="169"/>
      <c r="C896" s="170"/>
      <c r="D896" s="331">
        <v>889</v>
      </c>
      <c r="E896" s="544">
        <f>+DATE(YEAR(E895),MONTH(E895)-1,DAY(E895))</f>
        <v>25569.041666666668</v>
      </c>
      <c r="F896" s="333">
        <f>IF($C$6=$E896,1,IF(MONTH($E896)=1,F897*(1+$F$5),F897))</f>
      </c>
      <c r="G896" s="333">
        <f>F896*$B$8/12</f>
      </c>
      <c r="H896" s="333">
        <f>IF(F896=1,F896*$B$10/MIN(12,'Simulador - 3º Pilar'!$E$88),0)</f>
      </c>
      <c r="I896" s="560">
        <f>(1+$G$5)^(D896/12)*(H896+IF(E896=$N$7,$N$4,0))</f>
      </c>
      <c r="J896" s="561">
        <f>(1+$G$5)^(D896/12)*(H896*(12-IF(MONTH(E897)=12,0,MONTH(E897)))+IF(AND(F896=1,F897=0),$Q$4,0))*IF(AND(F896=1,F897=0),1,0)</f>
      </c>
      <c r="K896" s="217">
        <f>(1+$G$5)^(D896/12)*(IF(E896=$N$7,$N$4,0)+IF(E896=$C$6,$B$10,0))</f>
      </c>
      <c r="L896" s="217">
        <f>(1+$G$5)^(D896/12)*(IF((E896)&gt;($B$6),H896,0)+IF(E896=$N$7,$N$4,0)+IF(E896=$C$6,0,0))</f>
      </c>
      <c r="M896" s="1"/>
      <c r="N896" s="7"/>
      <c r="O896" s="1"/>
      <c r="P896" s="331">
        <v>889</v>
      </c>
      <c r="Q896" s="544">
        <f>+DATE(YEAR(Q895),MONTH(Q895)-1,DAY(Q895))</f>
        <v>25569.041666666668</v>
      </c>
      <c r="R896" s="341">
        <f>IF($Z$7=$E896,1,IF(MONTH($E896)=1,R897*(1+$F$5),R897))</f>
      </c>
      <c r="S896" s="334">
        <f>R896*$B$8/12</f>
      </c>
      <c r="T896" s="334">
        <f>R896*$B$11/12</f>
      </c>
      <c r="U896" s="565">
        <f>(1+$V$5)^(P896/12)*(T896+IF(Q896=$Z$7,$Z$4,0))</f>
      </c>
      <c r="V896" s="170"/>
      <c r="W896" s="7"/>
      <c r="X896" s="1"/>
      <c r="Y896" s="1"/>
      <c r="Z896" s="1"/>
      <c r="AA896" s="1"/>
      <c r="AB896" s="1"/>
      <c r="AC896" s="331">
        <v>889</v>
      </c>
      <c r="AD896" s="544">
        <f>+DATE(YEAR(AD895),MONTH(AD895)-1,DAY(AD895))</f>
        <v>25569.041666666668</v>
      </c>
      <c r="AE896" s="341">
        <f>IF($AM$7=$E896,1,IF(MONTH($E896)=1,AE897*(1+$F$5),AE897))</f>
      </c>
      <c r="AF896" s="334">
        <f>AE896*$B$8/12</f>
      </c>
      <c r="AG896" s="334">
        <f>AE896*$B$12/12</f>
      </c>
      <c r="AH896" s="565">
        <f>(1+$AI$5)^(AC896/12)*(AG896+IF(AD896=$AM$7,$AM$4,0))</f>
      </c>
      <c r="AI896" s="170"/>
      <c r="AJ896" s="7"/>
      <c r="AK896" s="1"/>
      <c r="AL896" s="1"/>
      <c r="AM896" s="1"/>
    </row>
    <row x14ac:dyDescent="0.25" r="897" customHeight="1" ht="18.75">
      <c r="A897" s="1"/>
      <c r="B897" s="169"/>
      <c r="C897" s="170"/>
      <c r="D897" s="331">
        <v>890</v>
      </c>
      <c r="E897" s="544">
        <f>+DATE(YEAR(E896),MONTH(E896)-1,DAY(E896))</f>
        <v>25569.041666666668</v>
      </c>
      <c r="F897" s="333">
        <f>IF($C$6=$E897,1,IF(MONTH($E897)=1,F898*(1+$F$5),F898))</f>
      </c>
      <c r="G897" s="333">
        <f>F897*$B$8/12</f>
      </c>
      <c r="H897" s="333">
        <f>IF(F897=1,F897*$B$10/MIN(12,'Simulador - 3º Pilar'!$E$88),0)</f>
      </c>
      <c r="I897" s="560">
        <f>(1+$G$5)^(D897/12)*(H897+IF(E897=$N$7,$N$4,0))</f>
      </c>
      <c r="J897" s="561">
        <f>(1+$G$5)^(D897/12)*(H897*(12-IF(MONTH(E898)=12,0,MONTH(E898)))+IF(AND(F897=1,F898=0),$Q$4,0))*IF(AND(F897=1,F898=0),1,0)</f>
      </c>
      <c r="K897" s="217">
        <f>(1+$G$5)^(D897/12)*(IF(E897=$N$7,$N$4,0)+IF(E897=$C$6,$B$10,0))</f>
      </c>
      <c r="L897" s="217">
        <f>(1+$G$5)^(D897/12)*(IF((E897)&gt;($B$6),H897,0)+IF(E897=$N$7,$N$4,0)+IF(E897=$C$6,0,0))</f>
      </c>
      <c r="M897" s="1"/>
      <c r="N897" s="7"/>
      <c r="O897" s="1"/>
      <c r="P897" s="331">
        <v>890</v>
      </c>
      <c r="Q897" s="544">
        <f>+DATE(YEAR(Q896),MONTH(Q896)-1,DAY(Q896))</f>
        <v>25569.041666666668</v>
      </c>
      <c r="R897" s="341">
        <f>IF($Z$7=$E897,1,IF(MONTH($E897)=1,R898*(1+$F$5),R898))</f>
      </c>
      <c r="S897" s="334">
        <f>R897*$B$8/12</f>
      </c>
      <c r="T897" s="334">
        <f>R897*$B$11/12</f>
      </c>
      <c r="U897" s="565">
        <f>(1+$V$5)^(P897/12)*(T897+IF(Q897=$Z$7,$Z$4,0))</f>
      </c>
      <c r="V897" s="170"/>
      <c r="W897" s="7"/>
      <c r="X897" s="1"/>
      <c r="Y897" s="1"/>
      <c r="Z897" s="1"/>
      <c r="AA897" s="1"/>
      <c r="AB897" s="1"/>
      <c r="AC897" s="331">
        <v>890</v>
      </c>
      <c r="AD897" s="544">
        <f>+DATE(YEAR(AD896),MONTH(AD896)-1,DAY(AD896))</f>
        <v>25569.041666666668</v>
      </c>
      <c r="AE897" s="341">
        <f>IF($AM$7=$E897,1,IF(MONTH($E897)=1,AE898*(1+$F$5),AE898))</f>
      </c>
      <c r="AF897" s="334">
        <f>AE897*$B$8/12</f>
      </c>
      <c r="AG897" s="334">
        <f>AE897*$B$12/12</f>
      </c>
      <c r="AH897" s="565">
        <f>(1+$AI$5)^(AC897/12)*(AG897+IF(AD897=$AM$7,$AM$4,0))</f>
      </c>
      <c r="AI897" s="170"/>
      <c r="AJ897" s="7"/>
      <c r="AK897" s="1"/>
      <c r="AL897" s="1"/>
      <c r="AM897" s="1"/>
    </row>
    <row x14ac:dyDescent="0.25" r="898" customHeight="1" ht="18.75">
      <c r="A898" s="1"/>
      <c r="B898" s="169"/>
      <c r="C898" s="170"/>
      <c r="D898" s="331">
        <v>891</v>
      </c>
      <c r="E898" s="544">
        <f>+DATE(YEAR(E897),MONTH(E897)-1,DAY(E897))</f>
        <v>25569.041666666668</v>
      </c>
      <c r="F898" s="333">
        <f>IF($C$6=$E898,1,IF(MONTH($E898)=1,F899*(1+$F$5),F899))</f>
      </c>
      <c r="G898" s="333">
        <f>F898*$B$8/12</f>
      </c>
      <c r="H898" s="333">
        <f>IF(F898=1,F898*$B$10/MIN(12,'Simulador - 3º Pilar'!$E$88),0)</f>
      </c>
      <c r="I898" s="560">
        <f>(1+$G$5)^(D898/12)*(H898+IF(E898=$N$7,$N$4,0))</f>
      </c>
      <c r="J898" s="561">
        <f>(1+$G$5)^(D898/12)*(H898*(12-IF(MONTH(E899)=12,0,MONTH(E899)))+IF(AND(F898=1,F899=0),$Q$4,0))*IF(AND(F898=1,F899=0),1,0)</f>
      </c>
      <c r="K898" s="217">
        <f>(1+$G$5)^(D898/12)*(IF(E898=$N$7,$N$4,0)+IF(E898=$C$6,$B$10,0))</f>
      </c>
      <c r="L898" s="217">
        <f>(1+$G$5)^(D898/12)*(IF((E898)&gt;($B$6),H898,0)+IF(E898=$N$7,$N$4,0)+IF(E898=$C$6,0,0))</f>
      </c>
      <c r="M898" s="1"/>
      <c r="N898" s="7"/>
      <c r="O898" s="1"/>
      <c r="P898" s="331">
        <v>891</v>
      </c>
      <c r="Q898" s="544">
        <f>+DATE(YEAR(Q897),MONTH(Q897)-1,DAY(Q897))</f>
        <v>25569.041666666668</v>
      </c>
      <c r="R898" s="341">
        <f>IF($Z$7=$E898,1,IF(MONTH($E898)=1,R899*(1+$F$5),R899))</f>
      </c>
      <c r="S898" s="334">
        <f>R898*$B$8/12</f>
      </c>
      <c r="T898" s="334">
        <f>R898*$B$11/12</f>
      </c>
      <c r="U898" s="565">
        <f>(1+$V$5)^(P898/12)*(T898+IF(Q898=$Z$7,$Z$4,0))</f>
      </c>
      <c r="V898" s="170"/>
      <c r="W898" s="7"/>
      <c r="X898" s="1"/>
      <c r="Y898" s="1"/>
      <c r="Z898" s="1"/>
      <c r="AA898" s="1"/>
      <c r="AB898" s="1"/>
      <c r="AC898" s="331">
        <v>891</v>
      </c>
      <c r="AD898" s="544">
        <f>+DATE(YEAR(AD897),MONTH(AD897)-1,DAY(AD897))</f>
        <v>25569.041666666668</v>
      </c>
      <c r="AE898" s="341">
        <f>IF($AM$7=$E898,1,IF(MONTH($E898)=1,AE899*(1+$F$5),AE899))</f>
      </c>
      <c r="AF898" s="334">
        <f>AE898*$B$8/12</f>
      </c>
      <c r="AG898" s="334">
        <f>AE898*$B$12/12</f>
      </c>
      <c r="AH898" s="565">
        <f>(1+$AI$5)^(AC898/12)*(AG898+IF(AD898=$AM$7,$AM$4,0))</f>
      </c>
      <c r="AI898" s="170"/>
      <c r="AJ898" s="7"/>
      <c r="AK898" s="1"/>
      <c r="AL898" s="1"/>
      <c r="AM898" s="1"/>
    </row>
    <row x14ac:dyDescent="0.25" r="899" customHeight="1" ht="18.75">
      <c r="A899" s="1"/>
      <c r="B899" s="169"/>
      <c r="C899" s="170"/>
      <c r="D899" s="331">
        <v>892</v>
      </c>
      <c r="E899" s="544">
        <f>+DATE(YEAR(E898),MONTH(E898)-1,DAY(E898))</f>
        <v>25569.041666666668</v>
      </c>
      <c r="F899" s="333">
        <f>IF($C$6=$E899,1,IF(MONTH($E899)=1,F900*(1+$F$5),F900))</f>
      </c>
      <c r="G899" s="333">
        <f>F899*$B$8/12</f>
      </c>
      <c r="H899" s="333">
        <f>IF(F899=1,F899*$B$10/MIN(12,'Simulador - 3º Pilar'!$E$88),0)</f>
      </c>
      <c r="I899" s="560">
        <f>(1+$G$5)^(D899/12)*(H899+IF(E899=$N$7,$N$4,0))</f>
      </c>
      <c r="J899" s="561">
        <f>(1+$G$5)^(D899/12)*(H899*(12-IF(MONTH(E900)=12,0,MONTH(E900)))+IF(AND(F899=1,F900=0),$Q$4,0))*IF(AND(F899=1,F900=0),1,0)</f>
      </c>
      <c r="K899" s="217">
        <f>(1+$G$5)^(D899/12)*(IF(E899=$N$7,$N$4,0)+IF(E899=$C$6,$B$10,0))</f>
      </c>
      <c r="L899" s="217">
        <f>(1+$G$5)^(D899/12)*(IF((E899)&gt;($B$6),H899,0)+IF(E899=$N$7,$N$4,0)+IF(E899=$C$6,0,0))</f>
      </c>
      <c r="M899" s="1"/>
      <c r="N899" s="7"/>
      <c r="O899" s="1"/>
      <c r="P899" s="331">
        <v>892</v>
      </c>
      <c r="Q899" s="544">
        <f>+DATE(YEAR(Q898),MONTH(Q898)-1,DAY(Q898))</f>
        <v>25569.041666666668</v>
      </c>
      <c r="R899" s="341">
        <f>IF($Z$7=$E899,1,IF(MONTH($E899)=1,R900*(1+$F$5),R900))</f>
      </c>
      <c r="S899" s="334">
        <f>R899*$B$8/12</f>
      </c>
      <c r="T899" s="334">
        <f>R899*$B$11/12</f>
      </c>
      <c r="U899" s="565">
        <f>(1+$V$5)^(P899/12)*(T899+IF(Q899=$Z$7,$Z$4,0))</f>
      </c>
      <c r="V899" s="170"/>
      <c r="W899" s="7"/>
      <c r="X899" s="1"/>
      <c r="Y899" s="1"/>
      <c r="Z899" s="1"/>
      <c r="AA899" s="1"/>
      <c r="AB899" s="1"/>
      <c r="AC899" s="331">
        <v>892</v>
      </c>
      <c r="AD899" s="544">
        <f>+DATE(YEAR(AD898),MONTH(AD898)-1,DAY(AD898))</f>
        <v>25569.041666666668</v>
      </c>
      <c r="AE899" s="341">
        <f>IF($AM$7=$E899,1,IF(MONTH($E899)=1,AE900*(1+$F$5),AE900))</f>
      </c>
      <c r="AF899" s="334">
        <f>AE899*$B$8/12</f>
      </c>
      <c r="AG899" s="334">
        <f>AE899*$B$12/12</f>
      </c>
      <c r="AH899" s="565">
        <f>(1+$AI$5)^(AC899/12)*(AG899+IF(AD899=$AM$7,$AM$4,0))</f>
      </c>
      <c r="AI899" s="170"/>
      <c r="AJ899" s="7"/>
      <c r="AK899" s="1"/>
      <c r="AL899" s="1"/>
      <c r="AM899" s="1"/>
    </row>
    <row x14ac:dyDescent="0.25" r="900" customHeight="1" ht="18.75">
      <c r="A900" s="1"/>
      <c r="B900" s="169"/>
      <c r="C900" s="170"/>
      <c r="D900" s="331">
        <v>893</v>
      </c>
      <c r="E900" s="544">
        <f>+DATE(YEAR(E899),MONTH(E899)-1,DAY(E899))</f>
        <v>25569.041666666668</v>
      </c>
      <c r="F900" s="333">
        <f>IF($C$6=$E900,1,IF(MONTH($E900)=1,F901*(1+$F$5),F901))</f>
      </c>
      <c r="G900" s="333">
        <f>F900*$B$8/12</f>
      </c>
      <c r="H900" s="333">
        <f>IF(F900=1,F900*$B$10/MIN(12,'Simulador - 3º Pilar'!$E$88),0)</f>
      </c>
      <c r="I900" s="560">
        <f>(1+$G$5)^(D900/12)*(H900+IF(E900=$N$7,$N$4,0))</f>
      </c>
      <c r="J900" s="561">
        <f>(1+$G$5)^(D900/12)*(H900*(12-IF(MONTH(E901)=12,0,MONTH(E901)))+IF(AND(F900=1,F901=0),$Q$4,0))*IF(AND(F900=1,F901=0),1,0)</f>
      </c>
      <c r="K900" s="217">
        <f>(1+$G$5)^(D900/12)*(IF(E900=$N$7,$N$4,0)+IF(E900=$C$6,$B$10,0))</f>
      </c>
      <c r="L900" s="217">
        <f>(1+$G$5)^(D900/12)*(IF((E900)&gt;($B$6),H900,0)+IF(E900=$N$7,$N$4,0)+IF(E900=$C$6,0,0))</f>
      </c>
      <c r="M900" s="1"/>
      <c r="N900" s="7"/>
      <c r="O900" s="1"/>
      <c r="P900" s="331">
        <v>893</v>
      </c>
      <c r="Q900" s="544">
        <f>+DATE(YEAR(Q899),MONTH(Q899)-1,DAY(Q899))</f>
        <v>25569.041666666668</v>
      </c>
      <c r="R900" s="341">
        <f>IF($Z$7=$E900,1,IF(MONTH($E900)=1,R901*(1+$F$5),R901))</f>
      </c>
      <c r="S900" s="334">
        <f>R900*$B$8/12</f>
      </c>
      <c r="T900" s="334">
        <f>R900*$B$11/12</f>
      </c>
      <c r="U900" s="565">
        <f>(1+$V$5)^(P900/12)*(T900+IF(Q900=$Z$7,$Z$4,0))</f>
      </c>
      <c r="V900" s="170"/>
      <c r="W900" s="7"/>
      <c r="X900" s="1"/>
      <c r="Y900" s="1"/>
      <c r="Z900" s="1"/>
      <c r="AA900" s="1"/>
      <c r="AB900" s="1"/>
      <c r="AC900" s="331">
        <v>893</v>
      </c>
      <c r="AD900" s="544">
        <f>+DATE(YEAR(AD899),MONTH(AD899)-1,DAY(AD899))</f>
        <v>25569.041666666668</v>
      </c>
      <c r="AE900" s="341">
        <f>IF($AM$7=$E900,1,IF(MONTH($E900)=1,AE901*(1+$F$5),AE901))</f>
      </c>
      <c r="AF900" s="334">
        <f>AE900*$B$8/12</f>
      </c>
      <c r="AG900" s="334">
        <f>AE900*$B$12/12</f>
      </c>
      <c r="AH900" s="565">
        <f>(1+$AI$5)^(AC900/12)*(AG900+IF(AD900=$AM$7,$AM$4,0))</f>
      </c>
      <c r="AI900" s="170"/>
      <c r="AJ900" s="7"/>
      <c r="AK900" s="1"/>
      <c r="AL900" s="1"/>
      <c r="AM900" s="1"/>
    </row>
    <row x14ac:dyDescent="0.25" r="901" customHeight="1" ht="18.75">
      <c r="A901" s="1"/>
      <c r="B901" s="169"/>
      <c r="C901" s="170"/>
      <c r="D901" s="331">
        <v>894</v>
      </c>
      <c r="E901" s="544">
        <f>+DATE(YEAR(E900),MONTH(E900)-1,DAY(E900))</f>
        <v>25569.041666666668</v>
      </c>
      <c r="F901" s="333">
        <f>IF($C$6=$E901,1,IF(MONTH($E901)=1,F902*(1+$F$5),F902))</f>
      </c>
      <c r="G901" s="333">
        <f>F901*$B$8/12</f>
      </c>
      <c r="H901" s="333">
        <f>IF(F901=1,F901*$B$10/MIN(12,'Simulador - 3º Pilar'!$E$88),0)</f>
      </c>
      <c r="I901" s="560">
        <f>(1+$G$5)^(D901/12)*(H901+IF(E901=$N$7,$N$4,0))</f>
      </c>
      <c r="J901" s="561">
        <f>(1+$G$5)^(D901/12)*(H901*(12-IF(MONTH(E902)=12,0,MONTH(E902)))+IF(AND(F901=1,F902=0),$Q$4,0))*IF(AND(F901=1,F902=0),1,0)</f>
      </c>
      <c r="K901" s="217">
        <f>(1+$G$5)^(D901/12)*(IF(E901=$N$7,$N$4,0)+IF(E901=$C$6,$B$10,0))</f>
      </c>
      <c r="L901" s="217">
        <f>(1+$G$5)^(D901/12)*(IF((E901)&gt;($B$6),H901,0)+IF(E901=$N$7,$N$4,0)+IF(E901=$C$6,0,0))</f>
      </c>
      <c r="M901" s="1"/>
      <c r="N901" s="7"/>
      <c r="O901" s="1"/>
      <c r="P901" s="331">
        <v>894</v>
      </c>
      <c r="Q901" s="544">
        <f>+DATE(YEAR(Q900),MONTH(Q900)-1,DAY(Q900))</f>
        <v>25569.041666666668</v>
      </c>
      <c r="R901" s="341">
        <f>IF($Z$7=$E901,1,IF(MONTH($E901)=1,R902*(1+$F$5),R902))</f>
      </c>
      <c r="S901" s="334">
        <f>R901*$B$8/12</f>
      </c>
      <c r="T901" s="334">
        <f>R901*$B$11/12</f>
      </c>
      <c r="U901" s="565">
        <f>(1+$V$5)^(P901/12)*(T901+IF(Q901=$Z$7,$Z$4,0))</f>
      </c>
      <c r="V901" s="170"/>
      <c r="W901" s="7"/>
      <c r="X901" s="1"/>
      <c r="Y901" s="1"/>
      <c r="Z901" s="1"/>
      <c r="AA901" s="1"/>
      <c r="AB901" s="1"/>
      <c r="AC901" s="331">
        <v>894</v>
      </c>
      <c r="AD901" s="544">
        <f>+DATE(YEAR(AD900),MONTH(AD900)-1,DAY(AD900))</f>
        <v>25569.041666666668</v>
      </c>
      <c r="AE901" s="341">
        <f>IF($AM$7=$E901,1,IF(MONTH($E901)=1,AE902*(1+$F$5),AE902))</f>
      </c>
      <c r="AF901" s="334">
        <f>AE901*$B$8/12</f>
      </c>
      <c r="AG901" s="334">
        <f>AE901*$B$12/12</f>
      </c>
      <c r="AH901" s="565">
        <f>(1+$AI$5)^(AC901/12)*(AG901+IF(AD901=$AM$7,$AM$4,0))</f>
      </c>
      <c r="AI901" s="170"/>
      <c r="AJ901" s="7"/>
      <c r="AK901" s="1"/>
      <c r="AL901" s="1"/>
      <c r="AM901" s="1"/>
    </row>
    <row x14ac:dyDescent="0.25" r="902" customHeight="1" ht="18.75">
      <c r="A902" s="1"/>
      <c r="B902" s="169"/>
      <c r="C902" s="170"/>
      <c r="D902" s="331">
        <v>895</v>
      </c>
      <c r="E902" s="544">
        <f>+DATE(YEAR(E901),MONTH(E901)-1,DAY(E901))</f>
        <v>25569.041666666668</v>
      </c>
      <c r="F902" s="333">
        <f>IF($C$6=$E902,1,IF(MONTH($E902)=1,F903*(1+$F$5),F903))</f>
      </c>
      <c r="G902" s="333">
        <f>F902*$B$8/12</f>
      </c>
      <c r="H902" s="333">
        <f>IF(F902=1,F902*$B$10/MIN(12,'Simulador - 3º Pilar'!$E$88),0)</f>
      </c>
      <c r="I902" s="560">
        <f>(1+$G$5)^(D902/12)*(H902+IF(E902=$N$7,$N$4,0))</f>
      </c>
      <c r="J902" s="561">
        <f>(1+$G$5)^(D902/12)*(H902*(12-IF(MONTH(E903)=12,0,MONTH(E903)))+IF(AND(F902=1,F903=0),$Q$4,0))*IF(AND(F902=1,F903=0),1,0)</f>
      </c>
      <c r="K902" s="217">
        <f>(1+$G$5)^(D902/12)*(IF(E902=$N$7,$N$4,0)+IF(E902=$C$6,$B$10,0))</f>
      </c>
      <c r="L902" s="217">
        <f>(1+$G$5)^(D902/12)*(IF((E902)&gt;($B$6),H902,0)+IF(E902=$N$7,$N$4,0)+IF(E902=$C$6,0,0))</f>
      </c>
      <c r="M902" s="1"/>
      <c r="N902" s="7"/>
      <c r="O902" s="1"/>
      <c r="P902" s="331">
        <v>895</v>
      </c>
      <c r="Q902" s="544">
        <f>+DATE(YEAR(Q901),MONTH(Q901)-1,DAY(Q901))</f>
        <v>25569.041666666668</v>
      </c>
      <c r="R902" s="341">
        <f>IF($Z$7=$E902,1,IF(MONTH($E902)=1,R903*(1+$F$5),R903))</f>
      </c>
      <c r="S902" s="334">
        <f>R902*$B$8/12</f>
      </c>
      <c r="T902" s="334">
        <f>R902*$B$11/12</f>
      </c>
      <c r="U902" s="565">
        <f>(1+$V$5)^(P902/12)*(T902+IF(Q902=$Z$7,$Z$4,0))</f>
      </c>
      <c r="V902" s="170"/>
      <c r="W902" s="7"/>
      <c r="X902" s="1"/>
      <c r="Y902" s="1"/>
      <c r="Z902" s="1"/>
      <c r="AA902" s="1"/>
      <c r="AB902" s="1"/>
      <c r="AC902" s="331">
        <v>895</v>
      </c>
      <c r="AD902" s="544">
        <f>+DATE(YEAR(AD901),MONTH(AD901)-1,DAY(AD901))</f>
        <v>25569.041666666668</v>
      </c>
      <c r="AE902" s="341">
        <f>IF($AM$7=$E902,1,IF(MONTH($E902)=1,AE903*(1+$F$5),AE903))</f>
      </c>
      <c r="AF902" s="334">
        <f>AE902*$B$8/12</f>
      </c>
      <c r="AG902" s="334">
        <f>AE902*$B$12/12</f>
      </c>
      <c r="AH902" s="565">
        <f>(1+$AI$5)^(AC902/12)*(AG902+IF(AD902=$AM$7,$AM$4,0))</f>
      </c>
      <c r="AI902" s="170"/>
      <c r="AJ902" s="7"/>
      <c r="AK902" s="1"/>
      <c r="AL902" s="1"/>
      <c r="AM902" s="1"/>
    </row>
    <row x14ac:dyDescent="0.25" r="903" customHeight="1" ht="18.75">
      <c r="A903" s="1"/>
      <c r="B903" s="169"/>
      <c r="C903" s="170"/>
      <c r="D903" s="331">
        <v>896</v>
      </c>
      <c r="E903" s="544">
        <f>+DATE(YEAR(E902),MONTH(E902)-1,DAY(E902))</f>
        <v>25569.041666666668</v>
      </c>
      <c r="F903" s="333">
        <f>IF($C$6=$E903,1,IF(MONTH($E903)=1,F904*(1+$F$5),F904))</f>
      </c>
      <c r="G903" s="333">
        <f>F903*$B$8/12</f>
      </c>
      <c r="H903" s="333">
        <f>IF(F903=1,F903*$B$10/MIN(12,'Simulador - 3º Pilar'!$E$88),0)</f>
      </c>
      <c r="I903" s="560">
        <f>(1+$G$5)^(D903/12)*(H903+IF(E903=$N$7,$N$4,0))</f>
      </c>
      <c r="J903" s="561">
        <f>(1+$G$5)^(D903/12)*(H903*(12-IF(MONTH(E904)=12,0,MONTH(E904)))+IF(AND(F903=1,F904=0),$Q$4,0))*IF(AND(F903=1,F904=0),1,0)</f>
      </c>
      <c r="K903" s="217">
        <f>(1+$G$5)^(D903/12)*(IF(E903=$N$7,$N$4,0)+IF(E903=$C$6,$B$10,0))</f>
      </c>
      <c r="L903" s="217">
        <f>(1+$G$5)^(D903/12)*(IF((E903)&gt;($B$6),H903,0)+IF(E903=$N$7,$N$4,0)+IF(E903=$C$6,0,0))</f>
      </c>
      <c r="M903" s="1"/>
      <c r="N903" s="7"/>
      <c r="O903" s="1"/>
      <c r="P903" s="331">
        <v>896</v>
      </c>
      <c r="Q903" s="544">
        <f>+DATE(YEAR(Q902),MONTH(Q902)-1,DAY(Q902))</f>
        <v>25569.041666666668</v>
      </c>
      <c r="R903" s="341">
        <f>IF($Z$7=$E903,1,IF(MONTH($E903)=1,R904*(1+$F$5),R904))</f>
      </c>
      <c r="S903" s="334">
        <f>R903*$B$8/12</f>
      </c>
      <c r="T903" s="334">
        <f>R903*$B$11/12</f>
      </c>
      <c r="U903" s="565">
        <f>(1+$V$5)^(P903/12)*(T903+IF(Q903=$Z$7,$Z$4,0))</f>
      </c>
      <c r="V903" s="170"/>
      <c r="W903" s="7"/>
      <c r="X903" s="1"/>
      <c r="Y903" s="1"/>
      <c r="Z903" s="1"/>
      <c r="AA903" s="1"/>
      <c r="AB903" s="1"/>
      <c r="AC903" s="331">
        <v>896</v>
      </c>
      <c r="AD903" s="544">
        <f>+DATE(YEAR(AD902),MONTH(AD902)-1,DAY(AD902))</f>
        <v>25569.041666666668</v>
      </c>
      <c r="AE903" s="341">
        <f>IF($AM$7=$E903,1,IF(MONTH($E903)=1,AE904*(1+$F$5),AE904))</f>
      </c>
      <c r="AF903" s="334">
        <f>AE903*$B$8/12</f>
      </c>
      <c r="AG903" s="334">
        <f>AE903*$B$12/12</f>
      </c>
      <c r="AH903" s="565">
        <f>(1+$AI$5)^(AC903/12)*(AG903+IF(AD903=$AM$7,$AM$4,0))</f>
      </c>
      <c r="AI903" s="170"/>
      <c r="AJ903" s="7"/>
      <c r="AK903" s="1"/>
      <c r="AL903" s="1"/>
      <c r="AM903" s="1"/>
    </row>
    <row x14ac:dyDescent="0.25" r="904" customHeight="1" ht="18.75">
      <c r="A904" s="1"/>
      <c r="B904" s="169"/>
      <c r="C904" s="170"/>
      <c r="D904" s="331">
        <v>897</v>
      </c>
      <c r="E904" s="544">
        <f>+DATE(YEAR(E903),MONTH(E903)-1,DAY(E903))</f>
        <v>25569.041666666668</v>
      </c>
      <c r="F904" s="333">
        <f>IF($C$6=$E904,1,IF(MONTH($E904)=1,F905*(1+$F$5),F905))</f>
      </c>
      <c r="G904" s="333">
        <f>F904*$B$8/12</f>
      </c>
      <c r="H904" s="333">
        <f>IF(F904=1,F904*$B$10/MIN(12,'Simulador - 3º Pilar'!$E$88),0)</f>
      </c>
      <c r="I904" s="560">
        <f>(1+$G$5)^(D904/12)*(H904+IF(E904=$N$7,$N$4,0))</f>
      </c>
      <c r="J904" s="561">
        <f>(1+$G$5)^(D904/12)*(H904*(12-IF(MONTH(E905)=12,0,MONTH(E905)))+IF(AND(F904=1,F905=0),$Q$4,0))*IF(AND(F904=1,F905=0),1,0)</f>
      </c>
      <c r="K904" s="217">
        <f>(1+$G$5)^(D904/12)*(IF(E904=$N$7,$N$4,0)+IF(E904=$C$6,$B$10,0))</f>
      </c>
      <c r="L904" s="217">
        <f>(1+$G$5)^(D904/12)*(IF((E904)&gt;($B$6),H904,0)+IF(E904=$N$7,$N$4,0)+IF(E904=$C$6,0,0))</f>
      </c>
      <c r="M904" s="1"/>
      <c r="N904" s="7"/>
      <c r="O904" s="1"/>
      <c r="P904" s="331">
        <v>897</v>
      </c>
      <c r="Q904" s="544">
        <f>+DATE(YEAR(Q903),MONTH(Q903)-1,DAY(Q903))</f>
        <v>25569.041666666668</v>
      </c>
      <c r="R904" s="341">
        <f>IF($Z$7=$E904,1,IF(MONTH($E904)=1,R905*(1+$F$5),R905))</f>
      </c>
      <c r="S904" s="334">
        <f>R904*$B$8/12</f>
      </c>
      <c r="T904" s="334">
        <f>R904*$B$11/12</f>
      </c>
      <c r="U904" s="565">
        <f>(1+$V$5)^(P904/12)*(T904+IF(Q904=$Z$7,$Z$4,0))</f>
      </c>
      <c r="V904" s="170"/>
      <c r="W904" s="7"/>
      <c r="X904" s="1"/>
      <c r="Y904" s="1"/>
      <c r="Z904" s="1"/>
      <c r="AA904" s="1"/>
      <c r="AB904" s="1"/>
      <c r="AC904" s="331">
        <v>897</v>
      </c>
      <c r="AD904" s="544">
        <f>+DATE(YEAR(AD903),MONTH(AD903)-1,DAY(AD903))</f>
        <v>25569.041666666668</v>
      </c>
      <c r="AE904" s="341">
        <f>IF($AM$7=$E904,1,IF(MONTH($E904)=1,AE905*(1+$F$5),AE905))</f>
      </c>
      <c r="AF904" s="334">
        <f>AE904*$B$8/12</f>
      </c>
      <c r="AG904" s="334">
        <f>AE904*$B$12/12</f>
      </c>
      <c r="AH904" s="565">
        <f>(1+$AI$5)^(AC904/12)*(AG904+IF(AD904=$AM$7,$AM$4,0))</f>
      </c>
      <c r="AI904" s="170"/>
      <c r="AJ904" s="7"/>
      <c r="AK904" s="1"/>
      <c r="AL904" s="1"/>
      <c r="AM904" s="1"/>
    </row>
    <row x14ac:dyDescent="0.25" r="905" customHeight="1" ht="18.75">
      <c r="A905" s="1"/>
      <c r="B905" s="169"/>
      <c r="C905" s="170"/>
      <c r="D905" s="331">
        <v>898</v>
      </c>
      <c r="E905" s="544">
        <f>+DATE(YEAR(E904),MONTH(E904)-1,DAY(E904))</f>
        <v>25569.041666666668</v>
      </c>
      <c r="F905" s="333">
        <f>IF($C$6=$E905,1,IF(MONTH($E905)=1,F906*(1+$F$5),F906))</f>
      </c>
      <c r="G905" s="333">
        <f>F905*$B$8/12</f>
      </c>
      <c r="H905" s="333">
        <f>IF(F905=1,F905*$B$10/MIN(12,'Simulador - 3º Pilar'!$E$88),0)</f>
      </c>
      <c r="I905" s="560">
        <f>(1+$G$5)^(D905/12)*(H905+IF(E905=$N$7,$N$4,0))</f>
      </c>
      <c r="J905" s="561">
        <f>(1+$G$5)^(D905/12)*(H905*(12-IF(MONTH(E906)=12,0,MONTH(E906)))+IF(AND(F905=1,F906=0),$Q$4,0))*IF(AND(F905=1,F906=0),1,0)</f>
      </c>
      <c r="K905" s="217">
        <f>(1+$G$5)^(D905/12)*(IF(E905=$N$7,$N$4,0)+IF(E905=$C$6,$B$10,0))</f>
      </c>
      <c r="L905" s="217">
        <f>(1+$G$5)^(D905/12)*(IF((E905)&gt;($B$6),H905,0)+IF(E905=$N$7,$N$4,0)+IF(E905=$C$6,0,0))</f>
      </c>
      <c r="M905" s="1"/>
      <c r="N905" s="7"/>
      <c r="O905" s="1"/>
      <c r="P905" s="331">
        <v>898</v>
      </c>
      <c r="Q905" s="544">
        <f>+DATE(YEAR(Q904),MONTH(Q904)-1,DAY(Q904))</f>
        <v>25569.041666666668</v>
      </c>
      <c r="R905" s="341">
        <f>IF($Z$7=$E905,1,IF(MONTH($E905)=1,R906*(1+$F$5),R906))</f>
      </c>
      <c r="S905" s="334">
        <f>R905*$B$8/12</f>
      </c>
      <c r="T905" s="334">
        <f>R905*$B$11/12</f>
      </c>
      <c r="U905" s="565">
        <f>(1+$V$5)^(P905/12)*(T905+IF(Q905=$Z$7,$Z$4,0))</f>
      </c>
      <c r="V905" s="170"/>
      <c r="W905" s="7"/>
      <c r="X905" s="1"/>
      <c r="Y905" s="1"/>
      <c r="Z905" s="1"/>
      <c r="AA905" s="1"/>
      <c r="AB905" s="1"/>
      <c r="AC905" s="331">
        <v>898</v>
      </c>
      <c r="AD905" s="544">
        <f>+DATE(YEAR(AD904),MONTH(AD904)-1,DAY(AD904))</f>
        <v>25569.041666666668</v>
      </c>
      <c r="AE905" s="341">
        <f>IF($AM$7=$E905,1,IF(MONTH($E905)=1,AE906*(1+$F$5),AE906))</f>
      </c>
      <c r="AF905" s="334">
        <f>AE905*$B$8/12</f>
      </c>
      <c r="AG905" s="334">
        <f>AE905*$B$12/12</f>
      </c>
      <c r="AH905" s="565">
        <f>(1+$AI$5)^(AC905/12)*(AG905+IF(AD905=$AM$7,$AM$4,0))</f>
      </c>
      <c r="AI905" s="170"/>
      <c r="AJ905" s="7"/>
      <c r="AK905" s="1"/>
      <c r="AL905" s="1"/>
      <c r="AM905" s="1"/>
    </row>
    <row x14ac:dyDescent="0.25" r="906" customHeight="1" ht="18.75">
      <c r="A906" s="1"/>
      <c r="B906" s="169"/>
      <c r="C906" s="170"/>
      <c r="D906" s="331">
        <v>899</v>
      </c>
      <c r="E906" s="544">
        <f>+DATE(YEAR(E905),MONTH(E905)-1,DAY(E905))</f>
        <v>25569.041666666668</v>
      </c>
      <c r="F906" s="333">
        <f>IF($C$6=$E906,1,IF(MONTH($E906)=1,F907*(1+$F$5),F907))</f>
      </c>
      <c r="G906" s="333">
        <f>F906*$B$8/12</f>
      </c>
      <c r="H906" s="333">
        <f>IF(F906=1,F906*$B$10/MIN(12,'Simulador - 3º Pilar'!$E$88),0)</f>
      </c>
      <c r="I906" s="560">
        <f>(1+$G$5)^(D906/12)*(H906+IF(E906=$N$7,$N$4,0))</f>
      </c>
      <c r="J906" s="561">
        <f>(1+$G$5)^(D906/12)*(H906*(12-IF(MONTH(E907)=12,0,MONTH(E907)))+IF(AND(F906=1,F907=0),$Q$4,0))*IF(AND(F906=1,F907=0),1,0)</f>
      </c>
      <c r="K906" s="217">
        <f>(1+$G$5)^(D906/12)*(IF(E906=$N$7,$N$4,0)+IF(E906=$C$6,$B$10,0))</f>
      </c>
      <c r="L906" s="217">
        <f>(1+$G$5)^(D906/12)*(IF((E906)&gt;($B$6),H906,0)+IF(E906=$N$7,$N$4,0)+IF(E906=$C$6,0,0))</f>
      </c>
      <c r="M906" s="1"/>
      <c r="N906" s="7"/>
      <c r="O906" s="1"/>
      <c r="P906" s="331">
        <v>899</v>
      </c>
      <c r="Q906" s="544">
        <f>+DATE(YEAR(Q905),MONTH(Q905)-1,DAY(Q905))</f>
        <v>25569.041666666668</v>
      </c>
      <c r="R906" s="341">
        <f>IF($Z$7=$E906,1,IF(MONTH($E906)=1,R907*(1+$F$5),R907))</f>
      </c>
      <c r="S906" s="334">
        <f>R906*$B$8/12</f>
      </c>
      <c r="T906" s="334">
        <f>R906*$B$11/12</f>
      </c>
      <c r="U906" s="565">
        <f>(1+$V$5)^(P906/12)*(T906+IF(Q906=$Z$7,$Z$4,0))</f>
      </c>
      <c r="V906" s="170"/>
      <c r="W906" s="7"/>
      <c r="X906" s="1"/>
      <c r="Y906" s="1"/>
      <c r="Z906" s="1"/>
      <c r="AA906" s="1"/>
      <c r="AB906" s="1"/>
      <c r="AC906" s="331">
        <v>899</v>
      </c>
      <c r="AD906" s="544">
        <f>+DATE(YEAR(AD905),MONTH(AD905)-1,DAY(AD905))</f>
        <v>25569.041666666668</v>
      </c>
      <c r="AE906" s="341">
        <f>IF($AM$7=$E906,1,IF(MONTH($E906)=1,AE907*(1+$F$5),AE907))</f>
      </c>
      <c r="AF906" s="334">
        <f>AE906*$B$8/12</f>
      </c>
      <c r="AG906" s="334">
        <f>AE906*$B$12/12</f>
      </c>
      <c r="AH906" s="565">
        <f>(1+$AI$5)^(AC906/12)*(AG906+IF(AD906=$AM$7,$AM$4,0))</f>
      </c>
      <c r="AI906" s="170"/>
      <c r="AJ906" s="7"/>
      <c r="AK906" s="1"/>
      <c r="AL906" s="1"/>
      <c r="AM906" s="1"/>
    </row>
    <row x14ac:dyDescent="0.25" r="907" customHeight="1" ht="18.75">
      <c r="A907" s="1"/>
      <c r="B907" s="169"/>
      <c r="C907" s="170"/>
      <c r="D907" s="331">
        <v>900</v>
      </c>
      <c r="E907" s="544">
        <f>+DATE(YEAR(E906),MONTH(E906)-1,DAY(E906))</f>
        <v>25569.041666666668</v>
      </c>
      <c r="F907" s="333">
        <f>IF($C$6=$E907,1,IF(MONTH($E907)=1,F908*(1+$F$5),F908))</f>
      </c>
      <c r="G907" s="333">
        <f>F907*$B$8/12</f>
      </c>
      <c r="H907" s="333">
        <f>IF(F907=1,F907*$B$10/MIN(12,'Simulador - 3º Pilar'!$E$88),0)</f>
      </c>
      <c r="I907" s="560">
        <f>(1+$G$5)^(D907/12)*(H907+IF(E907=$N$7,$N$4,0))</f>
      </c>
      <c r="J907" s="561">
        <f>(1+$G$5)^(D907/12)*(H907*(12-IF(MONTH(E908)=12,0,MONTH(E908)))+IF(AND(F907=1,F908=0),$Q$4,0))*IF(AND(F907=1,F908=0),1,0)</f>
      </c>
      <c r="K907" s="217">
        <f>(1+$G$5)^(D907/12)*(IF(E907=$N$7,$N$4,0)+IF(E907=$C$6,$B$10,0))</f>
      </c>
      <c r="L907" s="217">
        <f>(1+$G$5)^(D907/12)*(IF((E907)&gt;($B$6),H907,0)+IF(E907=$N$7,$N$4,0)+IF(E907=$C$6,0,0))</f>
      </c>
      <c r="M907" s="1"/>
      <c r="N907" s="7"/>
      <c r="O907" s="1"/>
      <c r="P907" s="331">
        <v>900</v>
      </c>
      <c r="Q907" s="544">
        <f>+DATE(YEAR(Q906),MONTH(Q906)-1,DAY(Q906))</f>
        <v>25569.041666666668</v>
      </c>
      <c r="R907" s="341">
        <f>IF($Z$7=$E907,1,IF(MONTH($E907)=1,R908*(1+$F$5),R908))</f>
      </c>
      <c r="S907" s="334">
        <f>R907*$B$8/12</f>
      </c>
      <c r="T907" s="334">
        <f>R907*$B$11/12</f>
      </c>
      <c r="U907" s="565">
        <f>(1+$V$5)^(P907/12)*(T907+IF(Q907=$Z$7,$Z$4,0))</f>
      </c>
      <c r="V907" s="170"/>
      <c r="W907" s="7"/>
      <c r="X907" s="1"/>
      <c r="Y907" s="1"/>
      <c r="Z907" s="1"/>
      <c r="AA907" s="1"/>
      <c r="AB907" s="1"/>
      <c r="AC907" s="331">
        <v>900</v>
      </c>
      <c r="AD907" s="544">
        <f>+DATE(YEAR(AD906),MONTH(AD906)-1,DAY(AD906))</f>
        <v>25569.041666666668</v>
      </c>
      <c r="AE907" s="341">
        <f>IF($AM$7=$E907,1,IF(MONTH($E907)=1,AE908*(1+$F$5),AE908))</f>
      </c>
      <c r="AF907" s="334">
        <f>AE907*$B$8/12</f>
      </c>
      <c r="AG907" s="334">
        <f>AE907*$B$12/12</f>
      </c>
      <c r="AH907" s="565">
        <f>(1+$AI$5)^(AC907/12)*(AG907+IF(AD907=$AM$7,$AM$4,0))</f>
      </c>
      <c r="AI907" s="170"/>
      <c r="AJ907" s="7"/>
      <c r="AK907" s="1"/>
      <c r="AL907" s="1"/>
      <c r="AM907" s="1"/>
    </row>
    <row x14ac:dyDescent="0.25" r="908" customHeight="1" ht="18.75">
      <c r="A908" s="1"/>
      <c r="B908" s="169"/>
      <c r="C908" s="170"/>
      <c r="D908" s="331">
        <v>901</v>
      </c>
      <c r="E908" s="544">
        <f>+DATE(YEAR(E907),MONTH(E907)-1,DAY(E907))</f>
        <v>25569.041666666668</v>
      </c>
      <c r="F908" s="333">
        <f>IF($C$6=$E908,1,IF(MONTH($E908)=1,F909*(1+$F$5),F909))</f>
      </c>
      <c r="G908" s="333">
        <f>F908*$B$8/12</f>
      </c>
      <c r="H908" s="333">
        <f>IF(F908=1,F908*$B$10/MIN(12,'Simulador - 3º Pilar'!$E$88),0)</f>
      </c>
      <c r="I908" s="560">
        <f>(1+$G$5)^(D908/12)*(H908+IF(E908=$N$7,$N$4,0))</f>
      </c>
      <c r="J908" s="561">
        <f>(1+$G$5)^(D908/12)*(H908*(12-IF(MONTH(E909)=12,0,MONTH(E909)))+IF(AND(F908=1,F909=0),$Q$4,0))*IF(AND(F908=1,F909=0),1,0)</f>
      </c>
      <c r="K908" s="217">
        <f>(1+$G$5)^(D908/12)*(IF(E908=$N$7,$N$4,0)+IF(E908=$C$6,$B$10,0))</f>
      </c>
      <c r="L908" s="217">
        <f>(1+$G$5)^(D908/12)*(IF((E908)&gt;($B$6),H908,0)+IF(E908=$N$7,$N$4,0)+IF(E908=$C$6,0,0))</f>
      </c>
      <c r="M908" s="1"/>
      <c r="N908" s="7"/>
      <c r="O908" s="1"/>
      <c r="P908" s="331">
        <v>901</v>
      </c>
      <c r="Q908" s="544">
        <f>+DATE(YEAR(Q907),MONTH(Q907)-1,DAY(Q907))</f>
        <v>25569.041666666668</v>
      </c>
      <c r="R908" s="341">
        <f>IF($Z$7=$E908,1,IF(MONTH($E908)=1,R909*(1+$F$5),R909))</f>
      </c>
      <c r="S908" s="334">
        <f>R908*$B$8/12</f>
      </c>
      <c r="T908" s="334">
        <f>R908*$B$11/12</f>
      </c>
      <c r="U908" s="565">
        <f>(1+$V$5)^(P908/12)*(T908+IF(Q908=$Z$7,$Z$4,0))</f>
      </c>
      <c r="V908" s="170"/>
      <c r="W908" s="7"/>
      <c r="X908" s="1"/>
      <c r="Y908" s="1"/>
      <c r="Z908" s="1"/>
      <c r="AA908" s="1"/>
      <c r="AB908" s="1"/>
      <c r="AC908" s="331">
        <v>901</v>
      </c>
      <c r="AD908" s="544">
        <f>+DATE(YEAR(AD907),MONTH(AD907)-1,DAY(AD907))</f>
        <v>25569.041666666668</v>
      </c>
      <c r="AE908" s="341">
        <f>IF($AM$7=$E908,1,IF(MONTH($E908)=1,AE909*(1+$F$5),AE909))</f>
      </c>
      <c r="AF908" s="334">
        <f>AE908*$B$8/12</f>
      </c>
      <c r="AG908" s="334">
        <f>AE908*$B$12/12</f>
      </c>
      <c r="AH908" s="565">
        <f>(1+$AI$5)^(AC908/12)*(AG908+IF(AD908=$AM$7,$AM$4,0))</f>
      </c>
      <c r="AI908" s="170"/>
      <c r="AJ908" s="7"/>
      <c r="AK908" s="1"/>
      <c r="AL908" s="1"/>
      <c r="AM908" s="1"/>
    </row>
    <row x14ac:dyDescent="0.25" r="909" customHeight="1" ht="18.75">
      <c r="A909" s="1"/>
      <c r="B909" s="169"/>
      <c r="C909" s="170"/>
      <c r="D909" s="331">
        <v>902</v>
      </c>
      <c r="E909" s="544">
        <f>+DATE(YEAR(E908),MONTH(E908)-1,DAY(E908))</f>
        <v>25569.041666666668</v>
      </c>
      <c r="F909" s="333">
        <f>IF($C$6=$E909,1,IF(MONTH($E909)=1,F910*(1+$F$5),F910))</f>
      </c>
      <c r="G909" s="333">
        <f>F909*$B$8/12</f>
      </c>
      <c r="H909" s="333">
        <f>IF(F909=1,F909*$B$10/MIN(12,'Simulador - 3º Pilar'!$E$88),0)</f>
      </c>
      <c r="I909" s="560">
        <f>(1+$G$5)^(D909/12)*(H909+IF(E909=$N$7,$N$4,0))</f>
      </c>
      <c r="J909" s="561">
        <f>(1+$G$5)^(D909/12)*(H909*(12-IF(MONTH(E910)=12,0,MONTH(E910)))+IF(AND(F909=1,F910=0),$Q$4,0))*IF(AND(F909=1,F910=0),1,0)</f>
      </c>
      <c r="K909" s="217">
        <f>(1+$G$5)^(D909/12)*(IF(E909=$N$7,$N$4,0)+IF(E909=$C$6,$B$10,0))</f>
      </c>
      <c r="L909" s="217">
        <f>(1+$G$5)^(D909/12)*(IF((E909)&gt;($B$6),H909,0)+IF(E909=$N$7,$N$4,0)+IF(E909=$C$6,0,0))</f>
      </c>
      <c r="M909" s="1"/>
      <c r="N909" s="7"/>
      <c r="O909" s="1"/>
      <c r="P909" s="331">
        <v>902</v>
      </c>
      <c r="Q909" s="544">
        <f>+DATE(YEAR(Q908),MONTH(Q908)-1,DAY(Q908))</f>
        <v>25569.041666666668</v>
      </c>
      <c r="R909" s="341">
        <f>IF($Z$7=$E909,1,IF(MONTH($E909)=1,R910*(1+$F$5),R910))</f>
      </c>
      <c r="S909" s="334">
        <f>R909*$B$8/12</f>
      </c>
      <c r="T909" s="334">
        <f>R909*$B$11/12</f>
      </c>
      <c r="U909" s="565">
        <f>(1+$V$5)^(P909/12)*(T909+IF(Q909=$Z$7,$Z$4,0))</f>
      </c>
      <c r="V909" s="170"/>
      <c r="W909" s="7"/>
      <c r="X909" s="1"/>
      <c r="Y909" s="1"/>
      <c r="Z909" s="1"/>
      <c r="AA909" s="1"/>
      <c r="AB909" s="1"/>
      <c r="AC909" s="331">
        <v>902</v>
      </c>
      <c r="AD909" s="544">
        <f>+DATE(YEAR(AD908),MONTH(AD908)-1,DAY(AD908))</f>
        <v>25569.041666666668</v>
      </c>
      <c r="AE909" s="341">
        <f>IF($AM$7=$E909,1,IF(MONTH($E909)=1,AE910*(1+$F$5),AE910))</f>
      </c>
      <c r="AF909" s="334">
        <f>AE909*$B$8/12</f>
      </c>
      <c r="AG909" s="334">
        <f>AE909*$B$12/12</f>
      </c>
      <c r="AH909" s="565">
        <f>(1+$AI$5)^(AC909/12)*(AG909+IF(AD909=$AM$7,$AM$4,0))</f>
      </c>
      <c r="AI909" s="170"/>
      <c r="AJ909" s="7"/>
      <c r="AK909" s="1"/>
      <c r="AL909" s="1"/>
      <c r="AM909" s="1"/>
    </row>
    <row x14ac:dyDescent="0.25" r="910" customHeight="1" ht="18.75">
      <c r="A910" s="1"/>
      <c r="B910" s="169"/>
      <c r="C910" s="170"/>
      <c r="D910" s="331">
        <v>903</v>
      </c>
      <c r="E910" s="544">
        <f>+DATE(YEAR(E909),MONTH(E909)-1,DAY(E909))</f>
        <v>25569.041666666668</v>
      </c>
      <c r="F910" s="333">
        <f>IF($C$6=$E910,1,IF(MONTH($E910)=1,F911*(1+$F$5),F911))</f>
      </c>
      <c r="G910" s="333">
        <f>F910*$B$8/12</f>
      </c>
      <c r="H910" s="333">
        <f>IF(F910=1,F910*$B$10/MIN(12,'Simulador - 3º Pilar'!$E$88),0)</f>
      </c>
      <c r="I910" s="560">
        <f>(1+$G$5)^(D910/12)*(H910+IF(E910=$N$7,$N$4,0))</f>
      </c>
      <c r="J910" s="561">
        <f>(1+$G$5)^(D910/12)*(H910*(12-IF(MONTH(E911)=12,0,MONTH(E911)))+IF(AND(F910=1,F911=0),$Q$4,0))*IF(AND(F910=1,F911=0),1,0)</f>
      </c>
      <c r="K910" s="217">
        <f>(1+$G$5)^(D910/12)*(IF(E910=$N$7,$N$4,0)+IF(E910=$C$6,$B$10,0))</f>
      </c>
      <c r="L910" s="217">
        <f>(1+$G$5)^(D910/12)*(IF((E910)&gt;($B$6),H910,0)+IF(E910=$N$7,$N$4,0)+IF(E910=$C$6,0,0))</f>
      </c>
      <c r="M910" s="1"/>
      <c r="N910" s="7"/>
      <c r="O910" s="1"/>
      <c r="P910" s="331">
        <v>903</v>
      </c>
      <c r="Q910" s="544">
        <f>+DATE(YEAR(Q909),MONTH(Q909)-1,DAY(Q909))</f>
        <v>25569.041666666668</v>
      </c>
      <c r="R910" s="341">
        <f>IF($Z$7=$E910,1,IF(MONTH($E910)=1,R911*(1+$F$5),R911))</f>
      </c>
      <c r="S910" s="334">
        <f>R910*$B$8/12</f>
      </c>
      <c r="T910" s="334">
        <f>R910*$B$11/12</f>
      </c>
      <c r="U910" s="565">
        <f>(1+$V$5)^(P910/12)*(T910+IF(Q910=$Z$7,$Z$4,0))</f>
      </c>
      <c r="V910" s="170"/>
      <c r="W910" s="7"/>
      <c r="X910" s="1"/>
      <c r="Y910" s="1"/>
      <c r="Z910" s="1"/>
      <c r="AA910" s="1"/>
      <c r="AB910" s="1"/>
      <c r="AC910" s="331">
        <v>903</v>
      </c>
      <c r="AD910" s="544">
        <f>+DATE(YEAR(AD909),MONTH(AD909)-1,DAY(AD909))</f>
        <v>25569.041666666668</v>
      </c>
      <c r="AE910" s="341">
        <f>IF($AM$7=$E910,1,IF(MONTH($E910)=1,AE911*(1+$F$5),AE911))</f>
      </c>
      <c r="AF910" s="334">
        <f>AE910*$B$8/12</f>
      </c>
      <c r="AG910" s="334">
        <f>AE910*$B$12/12</f>
      </c>
      <c r="AH910" s="565">
        <f>(1+$AI$5)^(AC910/12)*(AG910+IF(AD910=$AM$7,$AM$4,0))</f>
      </c>
      <c r="AI910" s="170"/>
      <c r="AJ910" s="7"/>
      <c r="AK910" s="1"/>
      <c r="AL910" s="1"/>
      <c r="AM910" s="1"/>
    </row>
    <row x14ac:dyDescent="0.25" r="911" customHeight="1" ht="18.75">
      <c r="A911" s="1"/>
      <c r="B911" s="169"/>
      <c r="C911" s="170"/>
      <c r="D911" s="331">
        <v>904</v>
      </c>
      <c r="E911" s="544">
        <f>+DATE(YEAR(E910),MONTH(E910)-1,DAY(E910))</f>
        <v>25569.041666666668</v>
      </c>
      <c r="F911" s="333">
        <f>IF($C$6=$E911,1,IF(MONTH($E911)=1,F912*(1+$F$5),F912))</f>
      </c>
      <c r="G911" s="333">
        <f>F911*$B$8/12</f>
      </c>
      <c r="H911" s="333">
        <f>IF(F911=1,F911*$B$10/MIN(12,'Simulador - 3º Pilar'!$E$88),0)</f>
      </c>
      <c r="I911" s="560">
        <f>(1+$G$5)^(D911/12)*(H911+IF(E911=$N$7,$N$4,0))</f>
      </c>
      <c r="J911" s="561">
        <f>(1+$G$5)^(D911/12)*(H911*(12-IF(MONTH(E912)=12,0,MONTH(E912)))+IF(AND(F911=1,F912=0),$Q$4,0))*IF(AND(F911=1,F912=0),1,0)</f>
      </c>
      <c r="K911" s="217">
        <f>(1+$G$5)^(D911/12)*(IF(E911=$N$7,$N$4,0)+IF(E911=$C$6,$B$10,0))</f>
      </c>
      <c r="L911" s="217">
        <f>(1+$G$5)^(D911/12)*(IF((E911)&gt;($B$6),H911,0)+IF(E911=$N$7,$N$4,0)+IF(E911=$C$6,0,0))</f>
      </c>
      <c r="M911" s="1"/>
      <c r="N911" s="7"/>
      <c r="O911" s="1"/>
      <c r="P911" s="331">
        <v>904</v>
      </c>
      <c r="Q911" s="544">
        <f>+DATE(YEAR(Q910),MONTH(Q910)-1,DAY(Q910))</f>
        <v>25569.041666666668</v>
      </c>
      <c r="R911" s="341">
        <f>IF($Z$7=$E911,1,IF(MONTH($E911)=1,R912*(1+$F$5),R912))</f>
      </c>
      <c r="S911" s="334">
        <f>R911*$B$8/12</f>
      </c>
      <c r="T911" s="334">
        <f>R911*$B$11/12</f>
      </c>
      <c r="U911" s="565">
        <f>(1+$V$5)^(P911/12)*(T911+IF(Q911=$Z$7,$Z$4,0))</f>
      </c>
      <c r="V911" s="170"/>
      <c r="W911" s="7"/>
      <c r="X911" s="1"/>
      <c r="Y911" s="1"/>
      <c r="Z911" s="1"/>
      <c r="AA911" s="1"/>
      <c r="AB911" s="1"/>
      <c r="AC911" s="331">
        <v>904</v>
      </c>
      <c r="AD911" s="544">
        <f>+DATE(YEAR(AD910),MONTH(AD910)-1,DAY(AD910))</f>
        <v>25569.041666666668</v>
      </c>
      <c r="AE911" s="341">
        <f>IF($AM$7=$E911,1,IF(MONTH($E911)=1,AE912*(1+$F$5),AE912))</f>
      </c>
      <c r="AF911" s="334">
        <f>AE911*$B$8/12</f>
      </c>
      <c r="AG911" s="334">
        <f>AE911*$B$12/12</f>
      </c>
      <c r="AH911" s="565">
        <f>(1+$AI$5)^(AC911/12)*(AG911+IF(AD911=$AM$7,$AM$4,0))</f>
      </c>
      <c r="AI911" s="170"/>
      <c r="AJ911" s="7"/>
      <c r="AK911" s="1"/>
      <c r="AL911" s="1"/>
      <c r="AM911" s="1"/>
    </row>
    <row x14ac:dyDescent="0.25" r="912" customHeight="1" ht="18.75">
      <c r="A912" s="1"/>
      <c r="B912" s="169"/>
      <c r="C912" s="170"/>
      <c r="D912" s="331">
        <v>905</v>
      </c>
      <c r="E912" s="544">
        <f>+DATE(YEAR(E911),MONTH(E911)-1,DAY(E911))</f>
        <v>25569.041666666668</v>
      </c>
      <c r="F912" s="333">
        <f>IF($C$6=$E912,1,IF(MONTH($E912)=1,F913*(1+$F$5),F913))</f>
      </c>
      <c r="G912" s="333">
        <f>F912*$B$8/12</f>
      </c>
      <c r="H912" s="333">
        <f>IF(F912=1,F912*$B$10/MIN(12,'Simulador - 3º Pilar'!$E$88),0)</f>
      </c>
      <c r="I912" s="560">
        <f>(1+$G$5)^(D912/12)*(H912+IF(E912=$N$7,$N$4,0))</f>
      </c>
      <c r="J912" s="561">
        <f>(1+$G$5)^(D912/12)*(H912*(12-IF(MONTH(E913)=12,0,MONTH(E913)))+IF(AND(F912=1,F913=0),$Q$4,0))*IF(AND(F912=1,F913=0),1,0)</f>
      </c>
      <c r="K912" s="217">
        <f>(1+$G$5)^(D912/12)*(IF(E912=$N$7,$N$4,0)+IF(E912=$C$6,$B$10,0))</f>
      </c>
      <c r="L912" s="217">
        <f>(1+$G$5)^(D912/12)*(IF((E912)&gt;($B$6),H912,0)+IF(E912=$N$7,$N$4,0)+IF(E912=$C$6,0,0))</f>
      </c>
      <c r="M912" s="1"/>
      <c r="N912" s="7"/>
      <c r="O912" s="1"/>
      <c r="P912" s="331">
        <v>905</v>
      </c>
      <c r="Q912" s="544">
        <f>+DATE(YEAR(Q911),MONTH(Q911)-1,DAY(Q911))</f>
        <v>25569.041666666668</v>
      </c>
      <c r="R912" s="341">
        <f>IF($Z$7=$E912,1,IF(MONTH($E912)=1,R913*(1+$F$5),R913))</f>
      </c>
      <c r="S912" s="334">
        <f>R912*$B$8/12</f>
      </c>
      <c r="T912" s="334">
        <f>R912*$B$11/12</f>
      </c>
      <c r="U912" s="565">
        <f>(1+$V$5)^(P912/12)*(T912+IF(Q912=$Z$7,$Z$4,0))</f>
      </c>
      <c r="V912" s="170"/>
      <c r="W912" s="7"/>
      <c r="X912" s="1"/>
      <c r="Y912" s="1"/>
      <c r="Z912" s="1"/>
      <c r="AA912" s="1"/>
      <c r="AB912" s="1"/>
      <c r="AC912" s="331">
        <v>905</v>
      </c>
      <c r="AD912" s="544">
        <f>+DATE(YEAR(AD911),MONTH(AD911)-1,DAY(AD911))</f>
        <v>25569.041666666668</v>
      </c>
      <c r="AE912" s="341">
        <f>IF($AM$7=$E912,1,IF(MONTH($E912)=1,AE913*(1+$F$5),AE913))</f>
      </c>
      <c r="AF912" s="334">
        <f>AE912*$B$8/12</f>
      </c>
      <c r="AG912" s="334">
        <f>AE912*$B$12/12</f>
      </c>
      <c r="AH912" s="565">
        <f>(1+$AI$5)^(AC912/12)*(AG912+IF(AD912=$AM$7,$AM$4,0))</f>
      </c>
      <c r="AI912" s="170"/>
      <c r="AJ912" s="7"/>
      <c r="AK912" s="1"/>
      <c r="AL912" s="1"/>
      <c r="AM912" s="1"/>
    </row>
    <row x14ac:dyDescent="0.25" r="913" customHeight="1" ht="18.75">
      <c r="A913" s="1"/>
      <c r="B913" s="169"/>
      <c r="C913" s="170"/>
      <c r="D913" s="331">
        <v>906</v>
      </c>
      <c r="E913" s="544">
        <f>+DATE(YEAR(E912),MONTH(E912)-1,DAY(E912))</f>
        <v>25569.041666666668</v>
      </c>
      <c r="F913" s="333">
        <f>IF($C$6=$E913,1,IF(MONTH($E913)=1,F914*(1+$F$5),F914))</f>
      </c>
      <c r="G913" s="333">
        <f>F913*$B$8/12</f>
      </c>
      <c r="H913" s="333">
        <f>IF(F913=1,F913*$B$10/MIN(12,'Simulador - 3º Pilar'!$E$88),0)</f>
      </c>
      <c r="I913" s="560">
        <f>(1+$G$5)^(D913/12)*(H913+IF(E913=$N$7,$N$4,0))</f>
      </c>
      <c r="J913" s="561">
        <f>(1+$G$5)^(D913/12)*(H913*(12-IF(MONTH(E914)=12,0,MONTH(E914)))+IF(AND(F913=1,F914=0),$Q$4,0))*IF(AND(F913=1,F914=0),1,0)</f>
      </c>
      <c r="K913" s="217">
        <f>(1+$G$5)^(D913/12)*(IF(E913=$N$7,$N$4,0)+IF(E913=$C$6,$B$10,0))</f>
      </c>
      <c r="L913" s="217">
        <f>(1+$G$5)^(D913/12)*(IF((E913)&gt;($B$6),H913,0)+IF(E913=$N$7,$N$4,0)+IF(E913=$C$6,0,0))</f>
      </c>
      <c r="M913" s="1"/>
      <c r="N913" s="7"/>
      <c r="O913" s="1"/>
      <c r="P913" s="331">
        <v>906</v>
      </c>
      <c r="Q913" s="544">
        <f>+DATE(YEAR(Q912),MONTH(Q912)-1,DAY(Q912))</f>
        <v>25569.041666666668</v>
      </c>
      <c r="R913" s="341">
        <f>IF($Z$7=$E913,1,IF(MONTH($E913)=1,R914*(1+$F$5),R914))</f>
      </c>
      <c r="S913" s="334">
        <f>R913*$B$8/12</f>
      </c>
      <c r="T913" s="334">
        <f>R913*$B$11/12</f>
      </c>
      <c r="U913" s="565">
        <f>(1+$V$5)^(P913/12)*(T913+IF(Q913=$Z$7,$Z$4,0))</f>
      </c>
      <c r="V913" s="170"/>
      <c r="W913" s="7"/>
      <c r="X913" s="1"/>
      <c r="Y913" s="1"/>
      <c r="Z913" s="1"/>
      <c r="AA913" s="1"/>
      <c r="AB913" s="1"/>
      <c r="AC913" s="331">
        <v>906</v>
      </c>
      <c r="AD913" s="544">
        <f>+DATE(YEAR(AD912),MONTH(AD912)-1,DAY(AD912))</f>
        <v>25569.041666666668</v>
      </c>
      <c r="AE913" s="341">
        <f>IF($AM$7=$E913,1,IF(MONTH($E913)=1,AE914*(1+$F$5),AE914))</f>
      </c>
      <c r="AF913" s="334">
        <f>AE913*$B$8/12</f>
      </c>
      <c r="AG913" s="334">
        <f>AE913*$B$12/12</f>
      </c>
      <c r="AH913" s="565">
        <f>(1+$AI$5)^(AC913/12)*(AG913+IF(AD913=$AM$7,$AM$4,0))</f>
      </c>
      <c r="AI913" s="170"/>
      <c r="AJ913" s="7"/>
      <c r="AK913" s="1"/>
      <c r="AL913" s="1"/>
      <c r="AM913" s="1"/>
    </row>
    <row x14ac:dyDescent="0.25" r="914" customHeight="1" ht="18.75">
      <c r="A914" s="1"/>
      <c r="B914" s="169"/>
      <c r="C914" s="170"/>
      <c r="D914" s="331">
        <v>907</v>
      </c>
      <c r="E914" s="544">
        <f>+DATE(YEAR(E913),MONTH(E913)-1,DAY(E913))</f>
        <v>25569.041666666668</v>
      </c>
      <c r="F914" s="333">
        <f>IF($C$6=$E914,1,IF(MONTH($E914)=1,F915*(1+$F$5),F915))</f>
      </c>
      <c r="G914" s="333">
        <f>F914*$B$8/12</f>
      </c>
      <c r="H914" s="333">
        <f>IF(F914=1,F914*$B$10/MIN(12,'Simulador - 3º Pilar'!$E$88),0)</f>
      </c>
      <c r="I914" s="560">
        <f>(1+$G$5)^(D914/12)*(H914+IF(E914=$N$7,$N$4,0))</f>
      </c>
      <c r="J914" s="561">
        <f>(1+$G$5)^(D914/12)*(H914*(12-IF(MONTH(E915)=12,0,MONTH(E915)))+IF(AND(F914=1,F915=0),$Q$4,0))*IF(AND(F914=1,F915=0),1,0)</f>
      </c>
      <c r="K914" s="217">
        <f>(1+$G$5)^(D914/12)*(IF(E914=$N$7,$N$4,0)+IF(E914=$C$6,$B$10,0))</f>
      </c>
      <c r="L914" s="217">
        <f>(1+$G$5)^(D914/12)*(IF((E914)&gt;($B$6),H914,0)+IF(E914=$N$7,$N$4,0)+IF(E914=$C$6,0,0))</f>
      </c>
      <c r="M914" s="1"/>
      <c r="N914" s="7"/>
      <c r="O914" s="1"/>
      <c r="P914" s="331">
        <v>907</v>
      </c>
      <c r="Q914" s="544">
        <f>+DATE(YEAR(Q913),MONTH(Q913)-1,DAY(Q913))</f>
        <v>25569.041666666668</v>
      </c>
      <c r="R914" s="341">
        <f>IF($Z$7=$E914,1,IF(MONTH($E914)=1,R915*(1+$F$5),R915))</f>
      </c>
      <c r="S914" s="334">
        <f>R914*$B$8/12</f>
      </c>
      <c r="T914" s="334">
        <f>R914*$B$11/12</f>
      </c>
      <c r="U914" s="565">
        <f>(1+$V$5)^(P914/12)*(T914+IF(Q914=$Z$7,$Z$4,0))</f>
      </c>
      <c r="V914" s="170"/>
      <c r="W914" s="7"/>
      <c r="X914" s="1"/>
      <c r="Y914" s="1"/>
      <c r="Z914" s="1"/>
      <c r="AA914" s="1"/>
      <c r="AB914" s="1"/>
      <c r="AC914" s="331">
        <v>907</v>
      </c>
      <c r="AD914" s="544">
        <f>+DATE(YEAR(AD913),MONTH(AD913)-1,DAY(AD913))</f>
        <v>25569.041666666668</v>
      </c>
      <c r="AE914" s="341">
        <f>IF($AM$7=$E914,1,IF(MONTH($E914)=1,AE915*(1+$F$5),AE915))</f>
      </c>
      <c r="AF914" s="334">
        <f>AE914*$B$8/12</f>
      </c>
      <c r="AG914" s="334">
        <f>AE914*$B$12/12</f>
      </c>
      <c r="AH914" s="565">
        <f>(1+$AI$5)^(AC914/12)*(AG914+IF(AD914=$AM$7,$AM$4,0))</f>
      </c>
      <c r="AI914" s="170"/>
      <c r="AJ914" s="7"/>
      <c r="AK914" s="1"/>
      <c r="AL914" s="1"/>
      <c r="AM914" s="1"/>
    </row>
    <row x14ac:dyDescent="0.25" r="915" customHeight="1" ht="18.75">
      <c r="A915" s="1"/>
      <c r="B915" s="169"/>
      <c r="C915" s="170"/>
      <c r="D915" s="331">
        <v>908</v>
      </c>
      <c r="E915" s="544">
        <f>+DATE(YEAR(E914),MONTH(E914)-1,DAY(E914))</f>
        <v>25569.041666666668</v>
      </c>
      <c r="F915" s="333">
        <f>IF($C$6=$E915,1,IF(MONTH($E915)=1,F916*(1+$F$5),F916))</f>
      </c>
      <c r="G915" s="333">
        <f>F915*$B$8/12</f>
      </c>
      <c r="H915" s="333">
        <f>IF(F915=1,F915*$B$10/MIN(12,'Simulador - 3º Pilar'!$E$88),0)</f>
      </c>
      <c r="I915" s="560">
        <f>(1+$G$5)^(D915/12)*(H915+IF(E915=$N$7,$N$4,0))</f>
      </c>
      <c r="J915" s="561">
        <f>(1+$G$5)^(D915/12)*(H915*(12-IF(MONTH(E916)=12,0,MONTH(E916)))+IF(AND(F915=1,F916=0),$Q$4,0))*IF(AND(F915=1,F916=0),1,0)</f>
      </c>
      <c r="K915" s="217">
        <f>(1+$G$5)^(D915/12)*(IF(E915=$N$7,$N$4,0)+IF(E915=$C$6,$B$10,0))</f>
      </c>
      <c r="L915" s="217">
        <f>(1+$G$5)^(D915/12)*(IF((E915)&gt;($B$6),H915,0)+IF(E915=$N$7,$N$4,0)+IF(E915=$C$6,0,0))</f>
      </c>
      <c r="M915" s="1"/>
      <c r="N915" s="7"/>
      <c r="O915" s="1"/>
      <c r="P915" s="331">
        <v>908</v>
      </c>
      <c r="Q915" s="544">
        <f>+DATE(YEAR(Q914),MONTH(Q914)-1,DAY(Q914))</f>
        <v>25569.041666666668</v>
      </c>
      <c r="R915" s="341">
        <f>IF($Z$7=$E915,1,IF(MONTH($E915)=1,R916*(1+$F$5),R916))</f>
      </c>
      <c r="S915" s="334">
        <f>R915*$B$8/12</f>
      </c>
      <c r="T915" s="334">
        <f>R915*$B$11/12</f>
      </c>
      <c r="U915" s="565">
        <f>(1+$V$5)^(P915/12)*(T915+IF(Q915=$Z$7,$Z$4,0))</f>
      </c>
      <c r="V915" s="170"/>
      <c r="W915" s="7"/>
      <c r="X915" s="1"/>
      <c r="Y915" s="1"/>
      <c r="Z915" s="1"/>
      <c r="AA915" s="1"/>
      <c r="AB915" s="1"/>
      <c r="AC915" s="331">
        <v>908</v>
      </c>
      <c r="AD915" s="544">
        <f>+DATE(YEAR(AD914),MONTH(AD914)-1,DAY(AD914))</f>
        <v>25569.041666666668</v>
      </c>
      <c r="AE915" s="341">
        <f>IF($AM$7=$E915,1,IF(MONTH($E915)=1,AE916*(1+$F$5),AE916))</f>
      </c>
      <c r="AF915" s="334">
        <f>AE915*$B$8/12</f>
      </c>
      <c r="AG915" s="334">
        <f>AE915*$B$12/12</f>
      </c>
      <c r="AH915" s="565">
        <f>(1+$AI$5)^(AC915/12)*(AG915+IF(AD915=$AM$7,$AM$4,0))</f>
      </c>
      <c r="AI915" s="170"/>
      <c r="AJ915" s="7"/>
      <c r="AK915" s="1"/>
      <c r="AL915" s="1"/>
      <c r="AM915" s="1"/>
    </row>
    <row x14ac:dyDescent="0.25" r="916" customHeight="1" ht="18.75">
      <c r="A916" s="1"/>
      <c r="B916" s="169"/>
      <c r="C916" s="170"/>
      <c r="D916" s="331">
        <v>909</v>
      </c>
      <c r="E916" s="544">
        <f>+DATE(YEAR(E915),MONTH(E915)-1,DAY(E915))</f>
        <v>25569.041666666668</v>
      </c>
      <c r="F916" s="333">
        <f>IF($C$6=$E916,1,IF(MONTH($E916)=1,F917*(1+$F$5),F917))</f>
      </c>
      <c r="G916" s="333">
        <f>F916*$B$8/12</f>
      </c>
      <c r="H916" s="333">
        <f>IF(F916=1,F916*$B$10/MIN(12,'Simulador - 3º Pilar'!$E$88),0)</f>
      </c>
      <c r="I916" s="560">
        <f>(1+$G$5)^(D916/12)*(H916+IF(E916=$N$7,$N$4,0))</f>
      </c>
      <c r="J916" s="561">
        <f>(1+$G$5)^(D916/12)*(H916*(12-IF(MONTH(E917)=12,0,MONTH(E917)))+IF(AND(F916=1,F917=0),$Q$4,0))*IF(AND(F916=1,F917=0),1,0)</f>
      </c>
      <c r="K916" s="217">
        <f>(1+$G$5)^(D916/12)*(IF(E916=$N$7,$N$4,0)+IF(E916=$C$6,$B$10,0))</f>
      </c>
      <c r="L916" s="217">
        <f>(1+$G$5)^(D916/12)*(IF((E916)&gt;($B$6),H916,0)+IF(E916=$N$7,$N$4,0)+IF(E916=$C$6,0,0))</f>
      </c>
      <c r="M916" s="1"/>
      <c r="N916" s="7"/>
      <c r="O916" s="1"/>
      <c r="P916" s="331">
        <v>909</v>
      </c>
      <c r="Q916" s="544">
        <f>+DATE(YEAR(Q915),MONTH(Q915)-1,DAY(Q915))</f>
        <v>25569.041666666668</v>
      </c>
      <c r="R916" s="341">
        <f>IF($Z$7=$E916,1,IF(MONTH($E916)=1,R917*(1+$F$5),R917))</f>
      </c>
      <c r="S916" s="334">
        <f>R916*$B$8/12</f>
      </c>
      <c r="T916" s="334">
        <f>R916*$B$11/12</f>
      </c>
      <c r="U916" s="565">
        <f>(1+$V$5)^(P916/12)*(T916+IF(Q916=$Z$7,$Z$4,0))</f>
      </c>
      <c r="V916" s="170"/>
      <c r="W916" s="7"/>
      <c r="X916" s="1"/>
      <c r="Y916" s="1"/>
      <c r="Z916" s="1"/>
      <c r="AA916" s="1"/>
      <c r="AB916" s="1"/>
      <c r="AC916" s="331">
        <v>909</v>
      </c>
      <c r="AD916" s="544">
        <f>+DATE(YEAR(AD915),MONTH(AD915)-1,DAY(AD915))</f>
        <v>25569.041666666668</v>
      </c>
      <c r="AE916" s="341">
        <f>IF($AM$7=$E916,1,IF(MONTH($E916)=1,AE917*(1+$F$5),AE917))</f>
      </c>
      <c r="AF916" s="334">
        <f>AE916*$B$8/12</f>
      </c>
      <c r="AG916" s="334">
        <f>AE916*$B$12/12</f>
      </c>
      <c r="AH916" s="565">
        <f>(1+$AI$5)^(AC916/12)*(AG916+IF(AD916=$AM$7,$AM$4,0))</f>
      </c>
      <c r="AI916" s="170"/>
      <c r="AJ916" s="7"/>
      <c r="AK916" s="1"/>
      <c r="AL916" s="1"/>
      <c r="AM916" s="1"/>
    </row>
    <row x14ac:dyDescent="0.25" r="917" customHeight="1" ht="18.75">
      <c r="A917" s="1"/>
      <c r="B917" s="169"/>
      <c r="C917" s="170"/>
      <c r="D917" s="331">
        <v>910</v>
      </c>
      <c r="E917" s="544">
        <f>+DATE(YEAR(E916),MONTH(E916)-1,DAY(E916))</f>
        <v>25569.041666666668</v>
      </c>
      <c r="F917" s="333">
        <f>IF($C$6=$E917,1,IF(MONTH($E917)=1,F918*(1+$F$5),F918))</f>
      </c>
      <c r="G917" s="333">
        <f>F917*$B$8/12</f>
      </c>
      <c r="H917" s="333">
        <f>IF(F917=1,F917*$B$10/MIN(12,'Simulador - 3º Pilar'!$E$88),0)</f>
      </c>
      <c r="I917" s="560">
        <f>(1+$G$5)^(D917/12)*(H917+IF(E917=$N$7,$N$4,0))</f>
      </c>
      <c r="J917" s="561">
        <f>(1+$G$5)^(D917/12)*(H917*(12-IF(MONTH(E918)=12,0,MONTH(E918)))+IF(AND(F917=1,F918=0),$Q$4,0))*IF(AND(F917=1,F918=0),1,0)</f>
      </c>
      <c r="K917" s="217">
        <f>(1+$G$5)^(D917/12)*(IF(E917=$N$7,$N$4,0)+IF(E917=$C$6,$B$10,0))</f>
      </c>
      <c r="L917" s="217">
        <f>(1+$G$5)^(D917/12)*(IF((E917)&gt;($B$6),H917,0)+IF(E917=$N$7,$N$4,0)+IF(E917=$C$6,0,0))</f>
      </c>
      <c r="M917" s="1"/>
      <c r="N917" s="7"/>
      <c r="O917" s="1"/>
      <c r="P917" s="331">
        <v>910</v>
      </c>
      <c r="Q917" s="544">
        <f>+DATE(YEAR(Q916),MONTH(Q916)-1,DAY(Q916))</f>
        <v>25569.041666666668</v>
      </c>
      <c r="R917" s="341">
        <f>IF($Z$7=$E917,1,IF(MONTH($E917)=1,R918*(1+$F$5),R918))</f>
      </c>
      <c r="S917" s="334">
        <f>R917*$B$8/12</f>
      </c>
      <c r="T917" s="334">
        <f>R917*$B$11/12</f>
      </c>
      <c r="U917" s="565">
        <f>(1+$V$5)^(P917/12)*(T917+IF(Q917=$Z$7,$Z$4,0))</f>
      </c>
      <c r="V917" s="170"/>
      <c r="W917" s="7"/>
      <c r="X917" s="1"/>
      <c r="Y917" s="1"/>
      <c r="Z917" s="1"/>
      <c r="AA917" s="1"/>
      <c r="AB917" s="1"/>
      <c r="AC917" s="331">
        <v>910</v>
      </c>
      <c r="AD917" s="544">
        <f>+DATE(YEAR(AD916),MONTH(AD916)-1,DAY(AD916))</f>
        <v>25569.041666666668</v>
      </c>
      <c r="AE917" s="341">
        <f>IF($AM$7=$E917,1,IF(MONTH($E917)=1,AE918*(1+$F$5),AE918))</f>
      </c>
      <c r="AF917" s="334">
        <f>AE917*$B$8/12</f>
      </c>
      <c r="AG917" s="334">
        <f>AE917*$B$12/12</f>
      </c>
      <c r="AH917" s="565">
        <f>(1+$AI$5)^(AC917/12)*(AG917+IF(AD917=$AM$7,$AM$4,0))</f>
      </c>
      <c r="AI917" s="170"/>
      <c r="AJ917" s="7"/>
      <c r="AK917" s="1"/>
      <c r="AL917" s="1"/>
      <c r="AM917" s="1"/>
    </row>
    <row x14ac:dyDescent="0.25" r="918" customHeight="1" ht="18.75">
      <c r="A918" s="1"/>
      <c r="B918" s="169"/>
      <c r="C918" s="170"/>
      <c r="D918" s="331">
        <v>911</v>
      </c>
      <c r="E918" s="544">
        <f>+DATE(YEAR(E917),MONTH(E917)-1,DAY(E917))</f>
        <v>25569.041666666668</v>
      </c>
      <c r="F918" s="333">
        <f>IF($C$6=$E918,1,IF(MONTH($E918)=1,F919*(1+$F$5),F919))</f>
      </c>
      <c r="G918" s="333">
        <f>F918*$B$8/12</f>
      </c>
      <c r="H918" s="333">
        <f>IF(F918=1,F918*$B$10/MIN(12,'Simulador - 3º Pilar'!$E$88),0)</f>
      </c>
      <c r="I918" s="560">
        <f>(1+$G$5)^(D918/12)*(H918+IF(E918=$N$7,$N$4,0))</f>
      </c>
      <c r="J918" s="561">
        <f>(1+$G$5)^(D918/12)*(H918*(12-IF(MONTH(E919)=12,0,MONTH(E919)))+IF(AND(F918=1,F919=0),$Q$4,0))*IF(AND(F918=1,F919=0),1,0)</f>
      </c>
      <c r="K918" s="217">
        <f>(1+$G$5)^(D918/12)*(IF(E918=$N$7,$N$4,0)+IF(E918=$C$6,$B$10,0))</f>
      </c>
      <c r="L918" s="217">
        <f>(1+$G$5)^(D918/12)*(IF((E918)&gt;($B$6),H918,0)+IF(E918=$N$7,$N$4,0)+IF(E918=$C$6,0,0))</f>
      </c>
      <c r="M918" s="1"/>
      <c r="N918" s="7"/>
      <c r="O918" s="1"/>
      <c r="P918" s="331">
        <v>911</v>
      </c>
      <c r="Q918" s="544">
        <f>+DATE(YEAR(Q917),MONTH(Q917)-1,DAY(Q917))</f>
        <v>25569.041666666668</v>
      </c>
      <c r="R918" s="341">
        <f>IF($Z$7=$E918,1,IF(MONTH($E918)=1,R919*(1+$F$5),R919))</f>
      </c>
      <c r="S918" s="334">
        <f>R918*$B$8/12</f>
      </c>
      <c r="T918" s="334">
        <f>R918*$B$11/12</f>
      </c>
      <c r="U918" s="565">
        <f>(1+$V$5)^(P918/12)*(T918+IF(Q918=$Z$7,$Z$4,0))</f>
      </c>
      <c r="V918" s="170"/>
      <c r="W918" s="7"/>
      <c r="X918" s="1"/>
      <c r="Y918" s="1"/>
      <c r="Z918" s="1"/>
      <c r="AA918" s="1"/>
      <c r="AB918" s="1"/>
      <c r="AC918" s="331">
        <v>911</v>
      </c>
      <c r="AD918" s="544">
        <f>+DATE(YEAR(AD917),MONTH(AD917)-1,DAY(AD917))</f>
        <v>25569.041666666668</v>
      </c>
      <c r="AE918" s="341">
        <f>IF($AM$7=$E918,1,IF(MONTH($E918)=1,AE919*(1+$F$5),AE919))</f>
      </c>
      <c r="AF918" s="334">
        <f>AE918*$B$8/12</f>
      </c>
      <c r="AG918" s="334">
        <f>AE918*$B$12/12</f>
      </c>
      <c r="AH918" s="565">
        <f>(1+$AI$5)^(AC918/12)*(AG918+IF(AD918=$AM$7,$AM$4,0))</f>
      </c>
      <c r="AI918" s="170"/>
      <c r="AJ918" s="7"/>
      <c r="AK918" s="1"/>
      <c r="AL918" s="1"/>
      <c r="AM918" s="1"/>
    </row>
    <row x14ac:dyDescent="0.25" r="919" customHeight="1" ht="18.75">
      <c r="A919" s="1"/>
      <c r="B919" s="169"/>
      <c r="C919" s="170"/>
      <c r="D919" s="331">
        <v>912</v>
      </c>
      <c r="E919" s="544">
        <f>+DATE(YEAR(E918),MONTH(E918)-1,DAY(E918))</f>
        <v>25569.041666666668</v>
      </c>
      <c r="F919" s="333">
        <f>IF($C$6=$E919,1,IF(MONTH($E919)=1,F920*(1+$F$5),F920))</f>
      </c>
      <c r="G919" s="333">
        <f>F919*$B$8/12</f>
      </c>
      <c r="H919" s="333">
        <f>IF(F919=1,F919*$B$10/MIN(12,'Simulador - 3º Pilar'!$E$88),0)</f>
      </c>
      <c r="I919" s="560">
        <f>(1+$G$5)^(D919/12)*(H919+IF(E919=$N$7,$N$4,0))</f>
      </c>
      <c r="J919" s="561">
        <f>(1+$G$5)^(D919/12)*(H919*(12-IF(MONTH(E920)=12,0,MONTH(E920)))+IF(AND(F919=1,F920=0),$Q$4,0))*IF(AND(F919=1,F920=0),1,0)</f>
      </c>
      <c r="K919" s="217">
        <f>(1+$G$5)^(D919/12)*(IF(E919=$N$7,$N$4,0)+IF(E919=$C$6,$B$10,0))</f>
      </c>
      <c r="L919" s="217">
        <f>(1+$G$5)^(D919/12)*(IF((E919)&gt;($B$6),H919,0)+IF(E919=$N$7,$N$4,0)+IF(E919=$C$6,0,0))</f>
      </c>
      <c r="M919" s="1"/>
      <c r="N919" s="7"/>
      <c r="O919" s="1"/>
      <c r="P919" s="331">
        <v>912</v>
      </c>
      <c r="Q919" s="544">
        <f>+DATE(YEAR(Q918),MONTH(Q918)-1,DAY(Q918))</f>
        <v>25569.041666666668</v>
      </c>
      <c r="R919" s="341">
        <f>IF($Z$7=$E919,1,IF(MONTH($E919)=1,R920*(1+$F$5),R920))</f>
      </c>
      <c r="S919" s="334">
        <f>R919*$B$8/12</f>
      </c>
      <c r="T919" s="334">
        <f>R919*$B$11/12</f>
      </c>
      <c r="U919" s="565">
        <f>(1+$V$5)^(P919/12)*(T919+IF(Q919=$Z$7,$Z$4,0))</f>
      </c>
      <c r="V919" s="170"/>
      <c r="W919" s="7"/>
      <c r="X919" s="1"/>
      <c r="Y919" s="1"/>
      <c r="Z919" s="1"/>
      <c r="AA919" s="1"/>
      <c r="AB919" s="1"/>
      <c r="AC919" s="331">
        <v>912</v>
      </c>
      <c r="AD919" s="544">
        <f>+DATE(YEAR(AD918),MONTH(AD918)-1,DAY(AD918))</f>
        <v>25569.041666666668</v>
      </c>
      <c r="AE919" s="341">
        <f>IF($AM$7=$E919,1,IF(MONTH($E919)=1,AE920*(1+$F$5),AE920))</f>
      </c>
      <c r="AF919" s="334">
        <f>AE919*$B$8/12</f>
      </c>
      <c r="AG919" s="334">
        <f>AE919*$B$12/12</f>
      </c>
      <c r="AH919" s="565">
        <f>(1+$AI$5)^(AC919/12)*(AG919+IF(AD919=$AM$7,$AM$4,0))</f>
      </c>
      <c r="AI919" s="170"/>
      <c r="AJ919" s="7"/>
      <c r="AK919" s="1"/>
      <c r="AL919" s="1"/>
      <c r="AM919" s="1"/>
    </row>
    <row x14ac:dyDescent="0.25" r="920" customHeight="1" ht="18.75">
      <c r="A920" s="1"/>
      <c r="B920" s="169"/>
      <c r="C920" s="170"/>
      <c r="D920" s="331">
        <v>913</v>
      </c>
      <c r="E920" s="544">
        <f>+DATE(YEAR(E919),MONTH(E919)-1,DAY(E919))</f>
        <v>25569.041666666668</v>
      </c>
      <c r="F920" s="333">
        <f>IF($C$6=$E920,1,IF(MONTH($E920)=1,F921*(1+$F$5),F921))</f>
      </c>
      <c r="G920" s="333">
        <f>F920*$B$8/12</f>
      </c>
      <c r="H920" s="333">
        <f>IF(F920=1,F920*$B$10/MIN(12,'Simulador - 3º Pilar'!$E$88),0)</f>
      </c>
      <c r="I920" s="560">
        <f>(1+$G$5)^(D920/12)*(H920+IF(E920=$N$7,$N$4,0))</f>
      </c>
      <c r="J920" s="561">
        <f>(1+$G$5)^(D920/12)*(H920*(12-IF(MONTH(E921)=12,0,MONTH(E921)))+IF(AND(F920=1,F921=0),$Q$4,0))*IF(AND(F920=1,F921=0),1,0)</f>
      </c>
      <c r="K920" s="217">
        <f>(1+$G$5)^(D920/12)*(IF(E920=$N$7,$N$4,0)+IF(E920=$C$6,$B$10,0))</f>
      </c>
      <c r="L920" s="217">
        <f>(1+$G$5)^(D920/12)*(IF((E920)&gt;($B$6),H920,0)+IF(E920=$N$7,$N$4,0)+IF(E920=$C$6,0,0))</f>
      </c>
      <c r="M920" s="1"/>
      <c r="N920" s="7"/>
      <c r="O920" s="1"/>
      <c r="P920" s="331">
        <v>913</v>
      </c>
      <c r="Q920" s="544">
        <f>+DATE(YEAR(Q919),MONTH(Q919)-1,DAY(Q919))</f>
        <v>25569.041666666668</v>
      </c>
      <c r="R920" s="341">
        <f>IF($Z$7=$E920,1,IF(MONTH($E920)=1,R921*(1+$F$5),R921))</f>
      </c>
      <c r="S920" s="334">
        <f>R920*$B$8/12</f>
      </c>
      <c r="T920" s="334">
        <f>R920*$B$11/12</f>
      </c>
      <c r="U920" s="565">
        <f>(1+$V$5)^(P920/12)*(T920+IF(Q920=$Z$7,$Z$4,0))</f>
      </c>
      <c r="V920" s="170"/>
      <c r="W920" s="7"/>
      <c r="X920" s="1"/>
      <c r="Y920" s="1"/>
      <c r="Z920" s="1"/>
      <c r="AA920" s="1"/>
      <c r="AB920" s="1"/>
      <c r="AC920" s="331">
        <v>913</v>
      </c>
      <c r="AD920" s="544">
        <f>+DATE(YEAR(AD919),MONTH(AD919)-1,DAY(AD919))</f>
        <v>25569.041666666668</v>
      </c>
      <c r="AE920" s="341">
        <f>IF($AM$7=$E920,1,IF(MONTH($E920)=1,AE921*(1+$F$5),AE921))</f>
      </c>
      <c r="AF920" s="334">
        <f>AE920*$B$8/12</f>
      </c>
      <c r="AG920" s="334">
        <f>AE920*$B$12/12</f>
      </c>
      <c r="AH920" s="565">
        <f>(1+$AI$5)^(AC920/12)*(AG920+IF(AD920=$AM$7,$AM$4,0))</f>
      </c>
      <c r="AI920" s="170"/>
      <c r="AJ920" s="7"/>
      <c r="AK920" s="1"/>
      <c r="AL920" s="1"/>
      <c r="AM920" s="1"/>
    </row>
    <row x14ac:dyDescent="0.25" r="921" customHeight="1" ht="18.75">
      <c r="A921" s="1"/>
      <c r="B921" s="169"/>
      <c r="C921" s="170"/>
      <c r="D921" s="331">
        <v>914</v>
      </c>
      <c r="E921" s="544">
        <f>+DATE(YEAR(E920),MONTH(E920)-1,DAY(E920))</f>
        <v>25569.041666666668</v>
      </c>
      <c r="F921" s="333">
        <f>IF($C$6=$E921,1,IF(MONTH($E921)=1,F922*(1+$F$5),F922))</f>
      </c>
      <c r="G921" s="333">
        <f>F921*$B$8/12</f>
      </c>
      <c r="H921" s="333">
        <f>IF(F921=1,F921*$B$10/MIN(12,'Simulador - 3º Pilar'!$E$88),0)</f>
      </c>
      <c r="I921" s="560">
        <f>(1+$G$5)^(D921/12)*(H921+IF(E921=$N$7,$N$4,0))</f>
      </c>
      <c r="J921" s="561">
        <f>(1+$G$5)^(D921/12)*(H921*(12-IF(MONTH(E922)=12,0,MONTH(E922)))+IF(AND(F921=1,F922=0),$Q$4,0))*IF(AND(F921=1,F922=0),1,0)</f>
      </c>
      <c r="K921" s="217">
        <f>(1+$G$5)^(D921/12)*(IF(E921=$N$7,$N$4,0)+IF(E921=$C$6,$B$10,0))</f>
      </c>
      <c r="L921" s="217">
        <f>(1+$G$5)^(D921/12)*(IF((E921)&gt;($B$6),H921,0)+IF(E921=$N$7,$N$4,0)+IF(E921=$C$6,0,0))</f>
      </c>
      <c r="M921" s="1"/>
      <c r="N921" s="7"/>
      <c r="O921" s="1"/>
      <c r="P921" s="331">
        <v>914</v>
      </c>
      <c r="Q921" s="544">
        <f>+DATE(YEAR(Q920),MONTH(Q920)-1,DAY(Q920))</f>
        <v>25569.041666666668</v>
      </c>
      <c r="R921" s="341">
        <f>IF($Z$7=$E921,1,IF(MONTH($E921)=1,R922*(1+$F$5),R922))</f>
      </c>
      <c r="S921" s="334">
        <f>R921*$B$8/12</f>
      </c>
      <c r="T921" s="334">
        <f>R921*$B$11/12</f>
      </c>
      <c r="U921" s="565">
        <f>(1+$V$5)^(P921/12)*(T921+IF(Q921=$Z$7,$Z$4,0))</f>
      </c>
      <c r="V921" s="170"/>
      <c r="W921" s="7"/>
      <c r="X921" s="1"/>
      <c r="Y921" s="1"/>
      <c r="Z921" s="1"/>
      <c r="AA921" s="1"/>
      <c r="AB921" s="1"/>
      <c r="AC921" s="331">
        <v>914</v>
      </c>
      <c r="AD921" s="544">
        <f>+DATE(YEAR(AD920),MONTH(AD920)-1,DAY(AD920))</f>
        <v>25569.041666666668</v>
      </c>
      <c r="AE921" s="341">
        <f>IF($AM$7=$E921,1,IF(MONTH($E921)=1,AE922*(1+$F$5),AE922))</f>
      </c>
      <c r="AF921" s="334">
        <f>AE921*$B$8/12</f>
      </c>
      <c r="AG921" s="334">
        <f>AE921*$B$12/12</f>
      </c>
      <c r="AH921" s="565">
        <f>(1+$AI$5)^(AC921/12)*(AG921+IF(AD921=$AM$7,$AM$4,0))</f>
      </c>
      <c r="AI921" s="170"/>
      <c r="AJ921" s="7"/>
      <c r="AK921" s="1"/>
      <c r="AL921" s="1"/>
      <c r="AM921" s="1"/>
    </row>
    <row x14ac:dyDescent="0.25" r="922" customHeight="1" ht="18.75">
      <c r="A922" s="1"/>
      <c r="B922" s="169"/>
      <c r="C922" s="170"/>
      <c r="D922" s="331">
        <v>915</v>
      </c>
      <c r="E922" s="544">
        <f>+DATE(YEAR(E921),MONTH(E921)-1,DAY(E921))</f>
        <v>25569.041666666668</v>
      </c>
      <c r="F922" s="333">
        <f>IF($C$6=$E922,1,IF(MONTH($E922)=1,F923*(1+$F$5),F923))</f>
      </c>
      <c r="G922" s="333">
        <f>F922*$B$8/12</f>
      </c>
      <c r="H922" s="333">
        <f>IF(F922=1,F922*$B$10/MIN(12,'Simulador - 3º Pilar'!$E$88),0)</f>
      </c>
      <c r="I922" s="560">
        <f>(1+$G$5)^(D922/12)*(H922+IF(E922=$N$7,$N$4,0))</f>
      </c>
      <c r="J922" s="561">
        <f>(1+$G$5)^(D922/12)*(H922*(12-IF(MONTH(E923)=12,0,MONTH(E923)))+IF(AND(F922=1,F923=0),$Q$4,0))*IF(AND(F922=1,F923=0),1,0)</f>
      </c>
      <c r="K922" s="217">
        <f>(1+$G$5)^(D922/12)*(IF(E922=$N$7,$N$4,0)+IF(E922=$C$6,$B$10,0))</f>
      </c>
      <c r="L922" s="217">
        <f>(1+$G$5)^(D922/12)*(IF((E922)&gt;($B$6),H922,0)+IF(E922=$N$7,$N$4,0)+IF(E922=$C$6,0,0))</f>
      </c>
      <c r="M922" s="1"/>
      <c r="N922" s="7"/>
      <c r="O922" s="1"/>
      <c r="P922" s="331">
        <v>915</v>
      </c>
      <c r="Q922" s="544">
        <f>+DATE(YEAR(Q921),MONTH(Q921)-1,DAY(Q921))</f>
        <v>25569.041666666668</v>
      </c>
      <c r="R922" s="341">
        <f>IF($Z$7=$E922,1,IF(MONTH($E922)=1,R923*(1+$F$5),R923))</f>
      </c>
      <c r="S922" s="334">
        <f>R922*$B$8/12</f>
      </c>
      <c r="T922" s="334">
        <f>R922*$B$11/12</f>
      </c>
      <c r="U922" s="565">
        <f>(1+$V$5)^(P922/12)*(T922+IF(Q922=$Z$7,$Z$4,0))</f>
      </c>
      <c r="V922" s="170"/>
      <c r="W922" s="7"/>
      <c r="X922" s="1"/>
      <c r="Y922" s="1"/>
      <c r="Z922" s="1"/>
      <c r="AA922" s="1"/>
      <c r="AB922" s="1"/>
      <c r="AC922" s="331">
        <v>915</v>
      </c>
      <c r="AD922" s="544">
        <f>+DATE(YEAR(AD921),MONTH(AD921)-1,DAY(AD921))</f>
        <v>25569.041666666668</v>
      </c>
      <c r="AE922" s="341">
        <f>IF($AM$7=$E922,1,IF(MONTH($E922)=1,AE923*(1+$F$5),AE923))</f>
      </c>
      <c r="AF922" s="334">
        <f>AE922*$B$8/12</f>
      </c>
      <c r="AG922" s="334">
        <f>AE922*$B$12/12</f>
      </c>
      <c r="AH922" s="565">
        <f>(1+$AI$5)^(AC922/12)*(AG922+IF(AD922=$AM$7,$AM$4,0))</f>
      </c>
      <c r="AI922" s="170"/>
      <c r="AJ922" s="7"/>
      <c r="AK922" s="1"/>
      <c r="AL922" s="1"/>
      <c r="AM922" s="1"/>
    </row>
    <row x14ac:dyDescent="0.25" r="923" customHeight="1" ht="18.75">
      <c r="A923" s="1"/>
      <c r="B923" s="169"/>
      <c r="C923" s="170"/>
      <c r="D923" s="331">
        <v>916</v>
      </c>
      <c r="E923" s="544">
        <f>+DATE(YEAR(E922),MONTH(E922)-1,DAY(E922))</f>
        <v>25569.041666666668</v>
      </c>
      <c r="F923" s="333">
        <f>IF($C$6=$E923,1,IF(MONTH($E923)=1,F924*(1+$F$5),F924))</f>
      </c>
      <c r="G923" s="333">
        <f>F923*$B$8/12</f>
      </c>
      <c r="H923" s="333">
        <f>IF(F923=1,F923*$B$10/MIN(12,'Simulador - 3º Pilar'!$E$88),0)</f>
      </c>
      <c r="I923" s="560">
        <f>(1+$G$5)^(D923/12)*(H923+IF(E923=$N$7,$N$4,0))</f>
      </c>
      <c r="J923" s="561">
        <f>(1+$G$5)^(D923/12)*(H923*(12-IF(MONTH(E924)=12,0,MONTH(E924)))+IF(AND(F923=1,F924=0),$Q$4,0))*IF(AND(F923=1,F924=0),1,0)</f>
      </c>
      <c r="K923" s="217">
        <f>(1+$G$5)^(D923/12)*(IF(E923=$N$7,$N$4,0)+IF(E923=$C$6,$B$10,0))</f>
      </c>
      <c r="L923" s="217">
        <f>(1+$G$5)^(D923/12)*(IF((E923)&gt;($B$6),H923,0)+IF(E923=$N$7,$N$4,0)+IF(E923=$C$6,0,0))</f>
      </c>
      <c r="M923" s="1"/>
      <c r="N923" s="7"/>
      <c r="O923" s="1"/>
      <c r="P923" s="331">
        <v>916</v>
      </c>
      <c r="Q923" s="544">
        <f>+DATE(YEAR(Q922),MONTH(Q922)-1,DAY(Q922))</f>
        <v>25569.041666666668</v>
      </c>
      <c r="R923" s="341">
        <f>IF($Z$7=$E923,1,IF(MONTH($E923)=1,R924*(1+$F$5),R924))</f>
      </c>
      <c r="S923" s="334">
        <f>R923*$B$8/12</f>
      </c>
      <c r="T923" s="334">
        <f>R923*$B$11/12</f>
      </c>
      <c r="U923" s="565">
        <f>(1+$V$5)^(P923/12)*(T923+IF(Q923=$Z$7,$Z$4,0))</f>
      </c>
      <c r="V923" s="170"/>
      <c r="W923" s="7"/>
      <c r="X923" s="1"/>
      <c r="Y923" s="1"/>
      <c r="Z923" s="1"/>
      <c r="AA923" s="1"/>
      <c r="AB923" s="1"/>
      <c r="AC923" s="331">
        <v>916</v>
      </c>
      <c r="AD923" s="544">
        <f>+DATE(YEAR(AD922),MONTH(AD922)-1,DAY(AD922))</f>
        <v>25569.041666666668</v>
      </c>
      <c r="AE923" s="341">
        <f>IF($AM$7=$E923,1,IF(MONTH($E923)=1,AE924*(1+$F$5),AE924))</f>
      </c>
      <c r="AF923" s="334">
        <f>AE923*$B$8/12</f>
      </c>
      <c r="AG923" s="334">
        <f>AE923*$B$12/12</f>
      </c>
      <c r="AH923" s="565">
        <f>(1+$AI$5)^(AC923/12)*(AG923+IF(AD923=$AM$7,$AM$4,0))</f>
      </c>
      <c r="AI923" s="170"/>
      <c r="AJ923" s="7"/>
      <c r="AK923" s="1"/>
      <c r="AL923" s="1"/>
      <c r="AM923" s="1"/>
    </row>
    <row x14ac:dyDescent="0.25" r="924" customHeight="1" ht="18.75">
      <c r="A924" s="1"/>
      <c r="B924" s="169"/>
      <c r="C924" s="170"/>
      <c r="D924" s="331">
        <v>917</v>
      </c>
      <c r="E924" s="544">
        <f>+DATE(YEAR(E923),MONTH(E923)-1,DAY(E923))</f>
        <v>25569.041666666668</v>
      </c>
      <c r="F924" s="333">
        <f>IF($C$6=$E924,1,IF(MONTH($E924)=1,F925*(1+$F$5),F925))</f>
      </c>
      <c r="G924" s="333">
        <f>F924*$B$8/12</f>
      </c>
      <c r="H924" s="333">
        <f>IF(F924=1,F924*$B$10/MIN(12,'Simulador - 3º Pilar'!$E$88),0)</f>
      </c>
      <c r="I924" s="560">
        <f>(1+$G$5)^(D924/12)*(H924+IF(E924=$N$7,$N$4,0))</f>
      </c>
      <c r="J924" s="561">
        <f>(1+$G$5)^(D924/12)*(H924*(12-IF(MONTH(E925)=12,0,MONTH(E925)))+IF(AND(F924=1,F925=0),$Q$4,0))*IF(AND(F924=1,F925=0),1,0)</f>
      </c>
      <c r="K924" s="217">
        <f>(1+$G$5)^(D924/12)*(IF(E924=$N$7,$N$4,0)+IF(E924=$C$6,$B$10,0))</f>
      </c>
      <c r="L924" s="217">
        <f>(1+$G$5)^(D924/12)*(IF((E924)&gt;($B$6),H924,0)+IF(E924=$N$7,$N$4,0)+IF(E924=$C$6,0,0))</f>
      </c>
      <c r="M924" s="1"/>
      <c r="N924" s="7"/>
      <c r="O924" s="1"/>
      <c r="P924" s="331">
        <v>917</v>
      </c>
      <c r="Q924" s="544">
        <f>+DATE(YEAR(Q923),MONTH(Q923)-1,DAY(Q923))</f>
        <v>25569.041666666668</v>
      </c>
      <c r="R924" s="341">
        <f>IF($Z$7=$E924,1,IF(MONTH($E924)=1,R925*(1+$F$5),R925))</f>
      </c>
      <c r="S924" s="334">
        <f>R924*$B$8/12</f>
      </c>
      <c r="T924" s="334">
        <f>R924*$B$11/12</f>
      </c>
      <c r="U924" s="565">
        <f>(1+$V$5)^(P924/12)*(T924+IF(Q924=$Z$7,$Z$4,0))</f>
      </c>
      <c r="V924" s="170"/>
      <c r="W924" s="7"/>
      <c r="X924" s="1"/>
      <c r="Y924" s="1"/>
      <c r="Z924" s="1"/>
      <c r="AA924" s="1"/>
      <c r="AB924" s="1"/>
      <c r="AC924" s="331">
        <v>917</v>
      </c>
      <c r="AD924" s="544">
        <f>+DATE(YEAR(AD923),MONTH(AD923)-1,DAY(AD923))</f>
        <v>25569.041666666668</v>
      </c>
      <c r="AE924" s="341">
        <f>IF($AM$7=$E924,1,IF(MONTH($E924)=1,AE925*(1+$F$5),AE925))</f>
      </c>
      <c r="AF924" s="334">
        <f>AE924*$B$8/12</f>
      </c>
      <c r="AG924" s="334">
        <f>AE924*$B$12/12</f>
      </c>
      <c r="AH924" s="565">
        <f>(1+$AI$5)^(AC924/12)*(AG924+IF(AD924=$AM$7,$AM$4,0))</f>
      </c>
      <c r="AI924" s="170"/>
      <c r="AJ924" s="7"/>
      <c r="AK924" s="1"/>
      <c r="AL924" s="1"/>
      <c r="AM924" s="1"/>
    </row>
    <row x14ac:dyDescent="0.25" r="925" customHeight="1" ht="18.75">
      <c r="A925" s="1"/>
      <c r="B925" s="169"/>
      <c r="C925" s="170"/>
      <c r="D925" s="331">
        <v>918</v>
      </c>
      <c r="E925" s="544">
        <f>+DATE(YEAR(E924),MONTH(E924)-1,DAY(E924))</f>
        <v>25569.041666666668</v>
      </c>
      <c r="F925" s="333">
        <f>IF($C$6=$E925,1,IF(MONTH($E925)=1,F926*(1+$F$5),F926))</f>
      </c>
      <c r="G925" s="333">
        <f>F925*$B$8/12</f>
      </c>
      <c r="H925" s="333">
        <f>IF(F925=1,F925*$B$10/MIN(12,'Simulador - 3º Pilar'!$E$88),0)</f>
      </c>
      <c r="I925" s="560">
        <f>(1+$G$5)^(D925/12)*(H925+IF(E925=$N$7,$N$4,0))</f>
      </c>
      <c r="J925" s="561">
        <f>(1+$G$5)^(D925/12)*(H925*(12-IF(MONTH(E926)=12,0,MONTH(E926)))+IF(AND(F925=1,F926=0),$Q$4,0))*IF(AND(F925=1,F926=0),1,0)</f>
      </c>
      <c r="K925" s="217">
        <f>(1+$G$5)^(D925/12)*(IF(E925=$N$7,$N$4,0)+IF(E925=$C$6,$B$10,0))</f>
      </c>
      <c r="L925" s="217">
        <f>(1+$G$5)^(D925/12)*(IF((E925)&gt;($B$6),H925,0)+IF(E925=$N$7,$N$4,0)+IF(E925=$C$6,0,0))</f>
      </c>
      <c r="M925" s="1"/>
      <c r="N925" s="7"/>
      <c r="O925" s="1"/>
      <c r="P925" s="331">
        <v>918</v>
      </c>
      <c r="Q925" s="544">
        <f>+DATE(YEAR(Q924),MONTH(Q924)-1,DAY(Q924))</f>
        <v>25569.041666666668</v>
      </c>
      <c r="R925" s="341">
        <f>IF($Z$7=$E925,1,IF(MONTH($E925)=1,R926*(1+$F$5),R926))</f>
      </c>
      <c r="S925" s="334">
        <f>R925*$B$8/12</f>
      </c>
      <c r="T925" s="334">
        <f>R925*$B$11/12</f>
      </c>
      <c r="U925" s="565">
        <f>(1+$V$5)^(P925/12)*(T925+IF(Q925=$Z$7,$Z$4,0))</f>
      </c>
      <c r="V925" s="170"/>
      <c r="W925" s="7"/>
      <c r="X925" s="1"/>
      <c r="Y925" s="1"/>
      <c r="Z925" s="1"/>
      <c r="AA925" s="1"/>
      <c r="AB925" s="1"/>
      <c r="AC925" s="331">
        <v>918</v>
      </c>
      <c r="AD925" s="544">
        <f>+DATE(YEAR(AD924),MONTH(AD924)-1,DAY(AD924))</f>
        <v>25569.041666666668</v>
      </c>
      <c r="AE925" s="341">
        <f>IF($AM$7=$E925,1,IF(MONTH($E925)=1,AE926*(1+$F$5),AE926))</f>
      </c>
      <c r="AF925" s="334">
        <f>AE925*$B$8/12</f>
      </c>
      <c r="AG925" s="334">
        <f>AE925*$B$12/12</f>
      </c>
      <c r="AH925" s="565">
        <f>(1+$AI$5)^(AC925/12)*(AG925+IF(AD925=$AM$7,$AM$4,0))</f>
      </c>
      <c r="AI925" s="170"/>
      <c r="AJ925" s="7"/>
      <c r="AK925" s="1"/>
      <c r="AL925" s="1"/>
      <c r="AM925" s="1"/>
    </row>
    <row x14ac:dyDescent="0.25" r="926" customHeight="1" ht="18.75">
      <c r="A926" s="1"/>
      <c r="B926" s="169"/>
      <c r="C926" s="170"/>
      <c r="D926" s="331">
        <v>919</v>
      </c>
      <c r="E926" s="544">
        <f>+DATE(YEAR(E925),MONTH(E925)-1,DAY(E925))</f>
        <v>25569.041666666668</v>
      </c>
      <c r="F926" s="333">
        <f>IF($C$6=$E926,1,IF(MONTH($E926)=1,F927*(1+$F$5),F927))</f>
      </c>
      <c r="G926" s="333">
        <f>F926*$B$8/12</f>
      </c>
      <c r="H926" s="333">
        <f>IF(F926=1,F926*$B$10/MIN(12,'Simulador - 3º Pilar'!$E$88),0)</f>
      </c>
      <c r="I926" s="560">
        <f>(1+$G$5)^(D926/12)*(H926+IF(E926=$N$7,$N$4,0))</f>
      </c>
      <c r="J926" s="561">
        <f>(1+$G$5)^(D926/12)*(H926*(12-IF(MONTH(E927)=12,0,MONTH(E927)))+IF(AND(F926=1,F927=0),$Q$4,0))*IF(AND(F926=1,F927=0),1,0)</f>
      </c>
      <c r="K926" s="217">
        <f>(1+$G$5)^(D926/12)*(IF(E926=$N$7,$N$4,0)+IF(E926=$C$6,$B$10,0))</f>
      </c>
      <c r="L926" s="217">
        <f>(1+$G$5)^(D926/12)*(IF((E926)&gt;($B$6),H926,0)+IF(E926=$N$7,$N$4,0)+IF(E926=$C$6,0,0))</f>
      </c>
      <c r="M926" s="1"/>
      <c r="N926" s="7"/>
      <c r="O926" s="1"/>
      <c r="P926" s="331">
        <v>919</v>
      </c>
      <c r="Q926" s="544">
        <f>+DATE(YEAR(Q925),MONTH(Q925)-1,DAY(Q925))</f>
        <v>25569.041666666668</v>
      </c>
      <c r="R926" s="341">
        <f>IF($Z$7=$E926,1,IF(MONTH($E926)=1,R927*(1+$F$5),R927))</f>
      </c>
      <c r="S926" s="334">
        <f>R926*$B$8/12</f>
      </c>
      <c r="T926" s="334">
        <f>R926*$B$11/12</f>
      </c>
      <c r="U926" s="565">
        <f>(1+$V$5)^(P926/12)*(T926+IF(Q926=$Z$7,$Z$4,0))</f>
      </c>
      <c r="V926" s="170"/>
      <c r="W926" s="7"/>
      <c r="X926" s="1"/>
      <c r="Y926" s="1"/>
      <c r="Z926" s="1"/>
      <c r="AA926" s="1"/>
      <c r="AB926" s="1"/>
      <c r="AC926" s="331">
        <v>919</v>
      </c>
      <c r="AD926" s="544">
        <f>+DATE(YEAR(AD925),MONTH(AD925)-1,DAY(AD925))</f>
        <v>25569.041666666668</v>
      </c>
      <c r="AE926" s="341">
        <f>IF($AM$7=$E926,1,IF(MONTH($E926)=1,AE927*(1+$F$5),AE927))</f>
      </c>
      <c r="AF926" s="334">
        <f>AE926*$B$8/12</f>
      </c>
      <c r="AG926" s="334">
        <f>AE926*$B$12/12</f>
      </c>
      <c r="AH926" s="565">
        <f>(1+$AI$5)^(AC926/12)*(AG926+IF(AD926=$AM$7,$AM$4,0))</f>
      </c>
      <c r="AI926" s="170"/>
      <c r="AJ926" s="7"/>
      <c r="AK926" s="1"/>
      <c r="AL926" s="1"/>
      <c r="AM926" s="1"/>
    </row>
    <row x14ac:dyDescent="0.25" r="927" customHeight="1" ht="18.75">
      <c r="A927" s="1"/>
      <c r="B927" s="169"/>
      <c r="C927" s="170"/>
      <c r="D927" s="331">
        <v>920</v>
      </c>
      <c r="E927" s="544">
        <f>+DATE(YEAR(E926),MONTH(E926)-1,DAY(E926))</f>
        <v>25569.041666666668</v>
      </c>
      <c r="F927" s="333">
        <f>IF($C$6=$E927,1,IF(MONTH($E927)=1,F928*(1+$F$5),F928))</f>
      </c>
      <c r="G927" s="333">
        <f>F927*$B$8/12</f>
      </c>
      <c r="H927" s="333">
        <f>IF(F927=1,F927*$B$10/MIN(12,'Simulador - 3º Pilar'!$E$88),0)</f>
      </c>
      <c r="I927" s="560">
        <f>(1+$G$5)^(D927/12)*(H927+IF(E927=$N$7,$N$4,0))</f>
      </c>
      <c r="J927" s="561">
        <f>(1+$G$5)^(D927/12)*(H927*(12-IF(MONTH(E928)=12,0,MONTH(E928)))+IF(AND(F927=1,F928=0),$Q$4,0))*IF(AND(F927=1,F928=0),1,0)</f>
      </c>
      <c r="K927" s="217">
        <f>(1+$G$5)^(D927/12)*(IF(E927=$N$7,$N$4,0)+IF(E927=$C$6,$B$10,0))</f>
      </c>
      <c r="L927" s="217">
        <f>(1+$G$5)^(D927/12)*(IF((E927)&gt;($B$6),H927,0)+IF(E927=$N$7,$N$4,0)+IF(E927=$C$6,0,0))</f>
      </c>
      <c r="M927" s="1"/>
      <c r="N927" s="7"/>
      <c r="O927" s="1"/>
      <c r="P927" s="331">
        <v>920</v>
      </c>
      <c r="Q927" s="544">
        <f>+DATE(YEAR(Q926),MONTH(Q926)-1,DAY(Q926))</f>
        <v>25569.041666666668</v>
      </c>
      <c r="R927" s="341">
        <f>IF($Z$7=$E927,1,IF(MONTH($E927)=1,R928*(1+$F$5),R928))</f>
      </c>
      <c r="S927" s="334">
        <f>R927*$B$8/12</f>
      </c>
      <c r="T927" s="334">
        <f>R927*$B$11/12</f>
      </c>
      <c r="U927" s="565">
        <f>(1+$V$5)^(P927/12)*(T927+IF(Q927=$Z$7,$Z$4,0))</f>
      </c>
      <c r="V927" s="170"/>
      <c r="W927" s="7"/>
      <c r="X927" s="1"/>
      <c r="Y927" s="1"/>
      <c r="Z927" s="1"/>
      <c r="AA927" s="1"/>
      <c r="AB927" s="1"/>
      <c r="AC927" s="331">
        <v>920</v>
      </c>
      <c r="AD927" s="544">
        <f>+DATE(YEAR(AD926),MONTH(AD926)-1,DAY(AD926))</f>
        <v>25569.041666666668</v>
      </c>
      <c r="AE927" s="341">
        <f>IF($AM$7=$E927,1,IF(MONTH($E927)=1,AE928*(1+$F$5),AE928))</f>
      </c>
      <c r="AF927" s="334">
        <f>AE927*$B$8/12</f>
      </c>
      <c r="AG927" s="334">
        <f>AE927*$B$12/12</f>
      </c>
      <c r="AH927" s="565">
        <f>(1+$AI$5)^(AC927/12)*(AG927+IF(AD927=$AM$7,$AM$4,0))</f>
      </c>
      <c r="AI927" s="170"/>
      <c r="AJ927" s="7"/>
      <c r="AK927" s="1"/>
      <c r="AL927" s="1"/>
      <c r="AM927" s="1"/>
    </row>
    <row x14ac:dyDescent="0.25" r="928" customHeight="1" ht="18.75">
      <c r="A928" s="1"/>
      <c r="B928" s="169"/>
      <c r="C928" s="170"/>
      <c r="D928" s="331">
        <v>921</v>
      </c>
      <c r="E928" s="544">
        <f>+DATE(YEAR(E927),MONTH(E927)-1,DAY(E927))</f>
        <v>25569.041666666668</v>
      </c>
      <c r="F928" s="333">
        <f>IF($C$6=$E928,1,IF(MONTH($E928)=1,F929*(1+$F$5),F929))</f>
      </c>
      <c r="G928" s="333">
        <f>F928*$B$8/12</f>
      </c>
      <c r="H928" s="333">
        <f>IF(F928=1,F928*$B$10/MIN(12,'Simulador - 3º Pilar'!$E$88),0)</f>
      </c>
      <c r="I928" s="560">
        <f>(1+$G$5)^(D928/12)*(H928+IF(E928=$N$7,$N$4,0))</f>
      </c>
      <c r="J928" s="561">
        <f>(1+$G$5)^(D928/12)*(H928*(12-IF(MONTH(E929)=12,0,MONTH(E929)))+IF(AND(F928=1,F929=0),$Q$4,0))*IF(AND(F928=1,F929=0),1,0)</f>
      </c>
      <c r="K928" s="217">
        <f>(1+$G$5)^(D928/12)*(IF(E928=$N$7,$N$4,0)+IF(E928=$C$6,$B$10,0))</f>
      </c>
      <c r="L928" s="217">
        <f>(1+$G$5)^(D928/12)*(IF((E928)&gt;($B$6),H928,0)+IF(E928=$N$7,$N$4,0)+IF(E928=$C$6,0,0))</f>
      </c>
      <c r="M928" s="1"/>
      <c r="N928" s="7"/>
      <c r="O928" s="1"/>
      <c r="P928" s="331">
        <v>921</v>
      </c>
      <c r="Q928" s="544">
        <f>+DATE(YEAR(Q927),MONTH(Q927)-1,DAY(Q927))</f>
        <v>25569.041666666668</v>
      </c>
      <c r="R928" s="341">
        <f>IF($Z$7=$E928,1,IF(MONTH($E928)=1,R929*(1+$F$5),R929))</f>
      </c>
      <c r="S928" s="334">
        <f>R928*$B$8/12</f>
      </c>
      <c r="T928" s="334">
        <f>R928*$B$11/12</f>
      </c>
      <c r="U928" s="565">
        <f>(1+$V$5)^(P928/12)*(T928+IF(Q928=$Z$7,$Z$4,0))</f>
      </c>
      <c r="V928" s="170"/>
      <c r="W928" s="7"/>
      <c r="X928" s="1"/>
      <c r="Y928" s="1"/>
      <c r="Z928" s="1"/>
      <c r="AA928" s="1"/>
      <c r="AB928" s="1"/>
      <c r="AC928" s="331">
        <v>921</v>
      </c>
      <c r="AD928" s="544">
        <f>+DATE(YEAR(AD927),MONTH(AD927)-1,DAY(AD927))</f>
        <v>25569.041666666668</v>
      </c>
      <c r="AE928" s="341">
        <f>IF($AM$7=$E928,1,IF(MONTH($E928)=1,AE929*(1+$F$5),AE929))</f>
      </c>
      <c r="AF928" s="334">
        <f>AE928*$B$8/12</f>
      </c>
      <c r="AG928" s="334">
        <f>AE928*$B$12/12</f>
      </c>
      <c r="AH928" s="565">
        <f>(1+$AI$5)^(AC928/12)*(AG928+IF(AD928=$AM$7,$AM$4,0))</f>
      </c>
      <c r="AI928" s="170"/>
      <c r="AJ928" s="7"/>
      <c r="AK928" s="1"/>
      <c r="AL928" s="1"/>
      <c r="AM928" s="1"/>
    </row>
    <row x14ac:dyDescent="0.25" r="929" customHeight="1" ht="18.75">
      <c r="A929" s="1"/>
      <c r="B929" s="169"/>
      <c r="C929" s="170"/>
      <c r="D929" s="331">
        <v>922</v>
      </c>
      <c r="E929" s="544">
        <f>+DATE(YEAR(E928),MONTH(E928)-1,DAY(E928))</f>
        <v>25569.041666666668</v>
      </c>
      <c r="F929" s="333">
        <f>IF($C$6=$E929,1,IF(MONTH($E929)=1,F930*(1+$F$5),F930))</f>
      </c>
      <c r="G929" s="333">
        <f>F929*$B$8/12</f>
      </c>
      <c r="H929" s="333">
        <f>IF(F929=1,F929*$B$10/MIN(12,'Simulador - 3º Pilar'!$E$88),0)</f>
      </c>
      <c r="I929" s="560">
        <f>(1+$G$5)^(D929/12)*(H929+IF(E929=$N$7,$N$4,0))</f>
      </c>
      <c r="J929" s="561">
        <f>(1+$G$5)^(D929/12)*(H929*(12-IF(MONTH(E930)=12,0,MONTH(E930)))+IF(AND(F929=1,F930=0),$Q$4,0))*IF(AND(F929=1,F930=0),1,0)</f>
      </c>
      <c r="K929" s="217">
        <f>(1+$G$5)^(D929/12)*(IF(E929=$N$7,$N$4,0)+IF(E929=$C$6,$B$10,0))</f>
      </c>
      <c r="L929" s="217">
        <f>(1+$G$5)^(D929/12)*(IF((E929)&gt;($B$6),H929,0)+IF(E929=$N$7,$N$4,0)+IF(E929=$C$6,0,0))</f>
      </c>
      <c r="M929" s="1"/>
      <c r="N929" s="7"/>
      <c r="O929" s="1"/>
      <c r="P929" s="331">
        <v>922</v>
      </c>
      <c r="Q929" s="544">
        <f>+DATE(YEAR(Q928),MONTH(Q928)-1,DAY(Q928))</f>
        <v>25569.041666666668</v>
      </c>
      <c r="R929" s="341">
        <f>IF($Z$7=$E929,1,IF(MONTH($E929)=1,R930*(1+$F$5),R930))</f>
      </c>
      <c r="S929" s="334">
        <f>R929*$B$8/12</f>
      </c>
      <c r="T929" s="334">
        <f>R929*$B$11/12</f>
      </c>
      <c r="U929" s="565">
        <f>(1+$V$5)^(P929/12)*(T929+IF(Q929=$Z$7,$Z$4,0))</f>
      </c>
      <c r="V929" s="170"/>
      <c r="W929" s="7"/>
      <c r="X929" s="1"/>
      <c r="Y929" s="1"/>
      <c r="Z929" s="1"/>
      <c r="AA929" s="1"/>
      <c r="AB929" s="1"/>
      <c r="AC929" s="331">
        <v>922</v>
      </c>
      <c r="AD929" s="544">
        <f>+DATE(YEAR(AD928),MONTH(AD928)-1,DAY(AD928))</f>
        <v>25569.041666666668</v>
      </c>
      <c r="AE929" s="341">
        <f>IF($AM$7=$E929,1,IF(MONTH($E929)=1,AE930*(1+$F$5),AE930))</f>
      </c>
      <c r="AF929" s="334">
        <f>AE929*$B$8/12</f>
      </c>
      <c r="AG929" s="334">
        <f>AE929*$B$12/12</f>
      </c>
      <c r="AH929" s="565">
        <f>(1+$AI$5)^(AC929/12)*(AG929+IF(AD929=$AM$7,$AM$4,0))</f>
      </c>
      <c r="AI929" s="170"/>
      <c r="AJ929" s="7"/>
      <c r="AK929" s="1"/>
      <c r="AL929" s="1"/>
      <c r="AM929" s="1"/>
    </row>
    <row x14ac:dyDescent="0.25" r="930" customHeight="1" ht="18.75">
      <c r="A930" s="1"/>
      <c r="B930" s="169"/>
      <c r="C930" s="170"/>
      <c r="D930" s="331">
        <v>923</v>
      </c>
      <c r="E930" s="544">
        <f>+DATE(YEAR(E929),MONTH(E929)-1,DAY(E929))</f>
        <v>25569.041666666668</v>
      </c>
      <c r="F930" s="333">
        <f>IF($C$6=$E930,1,IF(MONTH($E930)=1,F931*(1+$F$5),F931))</f>
      </c>
      <c r="G930" s="333">
        <f>F930*$B$8/12</f>
      </c>
      <c r="H930" s="333">
        <f>IF(F930=1,F930*$B$10/MIN(12,'Simulador - 3º Pilar'!$E$88),0)</f>
      </c>
      <c r="I930" s="560">
        <f>(1+$G$5)^(D930/12)*(H930+IF(E930=$N$7,$N$4,0))</f>
      </c>
      <c r="J930" s="561">
        <f>(1+$G$5)^(D930/12)*(H930*(12-IF(MONTH(E931)=12,0,MONTH(E931)))+IF(AND(F930=1,F931=0),$Q$4,0))*IF(AND(F930=1,F931=0),1,0)</f>
      </c>
      <c r="K930" s="217">
        <f>(1+$G$5)^(D930/12)*(IF(E930=$N$7,$N$4,0)+IF(E930=$C$6,$B$10,0))</f>
      </c>
      <c r="L930" s="217">
        <f>(1+$G$5)^(D930/12)*(IF((E930)&gt;($B$6),H930,0)+IF(E930=$N$7,$N$4,0)+IF(E930=$C$6,0,0))</f>
      </c>
      <c r="M930" s="1"/>
      <c r="N930" s="7"/>
      <c r="O930" s="1"/>
      <c r="P930" s="331">
        <v>923</v>
      </c>
      <c r="Q930" s="544">
        <f>+DATE(YEAR(Q929),MONTH(Q929)-1,DAY(Q929))</f>
        <v>25569.041666666668</v>
      </c>
      <c r="R930" s="341">
        <f>IF($Z$7=$E930,1,IF(MONTH($E930)=1,R931*(1+$F$5),R931))</f>
      </c>
      <c r="S930" s="334">
        <f>R930*$B$8/12</f>
      </c>
      <c r="T930" s="334">
        <f>R930*$B$11/12</f>
      </c>
      <c r="U930" s="565">
        <f>(1+$V$5)^(P930/12)*(T930+IF(Q930=$Z$7,$Z$4,0))</f>
      </c>
      <c r="V930" s="170"/>
      <c r="W930" s="7"/>
      <c r="X930" s="1"/>
      <c r="Y930" s="1"/>
      <c r="Z930" s="1"/>
      <c r="AA930" s="1"/>
      <c r="AB930" s="1"/>
      <c r="AC930" s="331">
        <v>923</v>
      </c>
      <c r="AD930" s="544">
        <f>+DATE(YEAR(AD929),MONTH(AD929)-1,DAY(AD929))</f>
        <v>25569.041666666668</v>
      </c>
      <c r="AE930" s="341">
        <f>IF($AM$7=$E930,1,IF(MONTH($E930)=1,AE931*(1+$F$5),AE931))</f>
      </c>
      <c r="AF930" s="334">
        <f>AE930*$B$8/12</f>
      </c>
      <c r="AG930" s="334">
        <f>AE930*$B$12/12</f>
      </c>
      <c r="AH930" s="565">
        <f>(1+$AI$5)^(AC930/12)*(AG930+IF(AD930=$AM$7,$AM$4,0))</f>
      </c>
      <c r="AI930" s="170"/>
      <c r="AJ930" s="7"/>
      <c r="AK930" s="1"/>
      <c r="AL930" s="1"/>
      <c r="AM930" s="1"/>
    </row>
    <row x14ac:dyDescent="0.25" r="931" customHeight="1" ht="18.75">
      <c r="A931" s="1"/>
      <c r="B931" s="169"/>
      <c r="C931" s="170"/>
      <c r="D931" s="331">
        <v>924</v>
      </c>
      <c r="E931" s="544">
        <f>+DATE(YEAR(E930),MONTH(E930)-1,DAY(E930))</f>
        <v>25569.041666666668</v>
      </c>
      <c r="F931" s="333">
        <f>IF($C$6=$E931,1,IF(MONTH($E931)=1,F932*(1+$F$5),F932))</f>
      </c>
      <c r="G931" s="333">
        <f>F931*$B$8/12</f>
      </c>
      <c r="H931" s="333">
        <f>IF(F931=1,F931*$B$10/MIN(12,'Simulador - 3º Pilar'!$E$88),0)</f>
      </c>
      <c r="I931" s="560">
        <f>(1+$G$5)^(D931/12)*(H931+IF(E931=$N$7,$N$4,0))</f>
      </c>
      <c r="J931" s="561">
        <f>(1+$G$5)^(D931/12)*(H931*(12-IF(MONTH(E932)=12,0,MONTH(E932)))+IF(AND(F931=1,F932=0),$Q$4,0))*IF(AND(F931=1,F932=0),1,0)</f>
      </c>
      <c r="K931" s="217">
        <f>(1+$G$5)^(D931/12)*(IF(E931=$N$7,$N$4,0)+IF(E931=$C$6,$B$10,0))</f>
      </c>
      <c r="L931" s="217">
        <f>(1+$G$5)^(D931/12)*(IF((E931)&gt;($B$6),H931,0)+IF(E931=$N$7,$N$4,0)+IF(E931=$C$6,0,0))</f>
      </c>
      <c r="M931" s="1"/>
      <c r="N931" s="7"/>
      <c r="O931" s="1"/>
      <c r="P931" s="331">
        <v>924</v>
      </c>
      <c r="Q931" s="544">
        <f>+DATE(YEAR(Q930),MONTH(Q930)-1,DAY(Q930))</f>
        <v>25569.041666666668</v>
      </c>
      <c r="R931" s="341">
        <f>IF($Z$7=$E931,1,IF(MONTH($E931)=1,R932*(1+$F$5),R932))</f>
      </c>
      <c r="S931" s="334">
        <f>R931*$B$8/12</f>
      </c>
      <c r="T931" s="334">
        <f>R931*$B$11/12</f>
      </c>
      <c r="U931" s="565">
        <f>(1+$V$5)^(P931/12)*(T931+IF(Q931=$Z$7,$Z$4,0))</f>
      </c>
      <c r="V931" s="170"/>
      <c r="W931" s="7"/>
      <c r="X931" s="1"/>
      <c r="Y931" s="1"/>
      <c r="Z931" s="1"/>
      <c r="AA931" s="1"/>
      <c r="AB931" s="1"/>
      <c r="AC931" s="331">
        <v>924</v>
      </c>
      <c r="AD931" s="544">
        <f>+DATE(YEAR(AD930),MONTH(AD930)-1,DAY(AD930))</f>
        <v>25569.041666666668</v>
      </c>
      <c r="AE931" s="341">
        <f>IF($AM$7=$E931,1,IF(MONTH($E931)=1,AE932*(1+$F$5),AE932))</f>
      </c>
      <c r="AF931" s="334">
        <f>AE931*$B$8/12</f>
      </c>
      <c r="AG931" s="334">
        <f>AE931*$B$12/12</f>
      </c>
      <c r="AH931" s="565">
        <f>(1+$AI$5)^(AC931/12)*(AG931+IF(AD931=$AM$7,$AM$4,0))</f>
      </c>
      <c r="AI931" s="170"/>
      <c r="AJ931" s="7"/>
      <c r="AK931" s="1"/>
      <c r="AL931" s="1"/>
      <c r="AM931" s="1"/>
    </row>
    <row x14ac:dyDescent="0.25" r="932" customHeight="1" ht="18.75">
      <c r="A932" s="1"/>
      <c r="B932" s="169"/>
      <c r="C932" s="170"/>
      <c r="D932" s="331">
        <v>925</v>
      </c>
      <c r="E932" s="544">
        <f>+DATE(YEAR(E931),MONTH(E931)-1,DAY(E931))</f>
        <v>25569.041666666668</v>
      </c>
      <c r="F932" s="333">
        <f>IF($C$6=$E932,1,IF(MONTH($E932)=1,F933*(1+$F$5),F933))</f>
      </c>
      <c r="G932" s="333">
        <f>F932*$B$8/12</f>
      </c>
      <c r="H932" s="333">
        <f>IF(F932=1,F932*$B$10/MIN(12,'Simulador - 3º Pilar'!$E$88),0)</f>
      </c>
      <c r="I932" s="560">
        <f>(1+$G$5)^(D932/12)*(H932+IF(E932=$N$7,$N$4,0))</f>
      </c>
      <c r="J932" s="561">
        <f>(1+$G$5)^(D932/12)*(H932*(12-IF(MONTH(E933)=12,0,MONTH(E933)))+IF(AND(F932=1,F933=0),$Q$4,0))*IF(AND(F932=1,F933=0),1,0)</f>
      </c>
      <c r="K932" s="217">
        <f>(1+$G$5)^(D932/12)*(IF(E932=$N$7,$N$4,0)+IF(E932=$C$6,$B$10,0))</f>
      </c>
      <c r="L932" s="217">
        <f>(1+$G$5)^(D932/12)*(IF((E932)&gt;($B$6),H932,0)+IF(E932=$N$7,$N$4,0)+IF(E932=$C$6,0,0))</f>
      </c>
      <c r="M932" s="1"/>
      <c r="N932" s="7"/>
      <c r="O932" s="1"/>
      <c r="P932" s="331">
        <v>925</v>
      </c>
      <c r="Q932" s="544">
        <f>+DATE(YEAR(Q931),MONTH(Q931)-1,DAY(Q931))</f>
        <v>25569.041666666668</v>
      </c>
      <c r="R932" s="341">
        <f>IF($Z$7=$E932,1,IF(MONTH($E932)=1,R933*(1+$F$5),R933))</f>
      </c>
      <c r="S932" s="334">
        <f>R932*$B$8/12</f>
      </c>
      <c r="T932" s="334">
        <f>R932*$B$11/12</f>
      </c>
      <c r="U932" s="565">
        <f>(1+$V$5)^(P932/12)*(T932+IF(Q932=$Z$7,$Z$4,0))</f>
      </c>
      <c r="V932" s="170"/>
      <c r="W932" s="7"/>
      <c r="X932" s="1"/>
      <c r="Y932" s="1"/>
      <c r="Z932" s="1"/>
      <c r="AA932" s="1"/>
      <c r="AB932" s="1"/>
      <c r="AC932" s="331">
        <v>925</v>
      </c>
      <c r="AD932" s="544">
        <f>+DATE(YEAR(AD931),MONTH(AD931)-1,DAY(AD931))</f>
        <v>25569.041666666668</v>
      </c>
      <c r="AE932" s="341">
        <f>IF($AM$7=$E932,1,IF(MONTH($E932)=1,AE933*(1+$F$5),AE933))</f>
      </c>
      <c r="AF932" s="334">
        <f>AE932*$B$8/12</f>
      </c>
      <c r="AG932" s="334">
        <f>AE932*$B$12/12</f>
      </c>
      <c r="AH932" s="565">
        <f>(1+$AI$5)^(AC932/12)*(AG932+IF(AD932=$AM$7,$AM$4,0))</f>
      </c>
      <c r="AI932" s="170"/>
      <c r="AJ932" s="7"/>
      <c r="AK932" s="1"/>
      <c r="AL932" s="1"/>
      <c r="AM932" s="1"/>
    </row>
    <row x14ac:dyDescent="0.25" r="933" customHeight="1" ht="18.75">
      <c r="A933" s="1"/>
      <c r="B933" s="169"/>
      <c r="C933" s="170"/>
      <c r="D933" s="331">
        <v>926</v>
      </c>
      <c r="E933" s="544">
        <f>+DATE(YEAR(E932),MONTH(E932)-1,DAY(E932))</f>
        <v>25569.041666666668</v>
      </c>
      <c r="F933" s="333">
        <f>IF($C$6=$E933,1,IF(MONTH($E933)=1,F934*(1+$F$5),F934))</f>
      </c>
      <c r="G933" s="333">
        <f>F933*$B$8/12</f>
      </c>
      <c r="H933" s="333">
        <f>IF(F933=1,F933*$B$10/MIN(12,'Simulador - 3º Pilar'!$E$88),0)</f>
      </c>
      <c r="I933" s="560">
        <f>(1+$G$5)^(D933/12)*(H933+IF(E933=$N$7,$N$4,0))</f>
      </c>
      <c r="J933" s="561">
        <f>(1+$G$5)^(D933/12)*(H933*(12-IF(MONTH(E934)=12,0,MONTH(E934)))+IF(AND(F933=1,F934=0),$Q$4,0))*IF(AND(F933=1,F934=0),1,0)</f>
      </c>
      <c r="K933" s="217">
        <f>(1+$G$5)^(D933/12)*(IF(E933=$N$7,$N$4,0)+IF(E933=$C$6,$B$10,0))</f>
      </c>
      <c r="L933" s="217">
        <f>(1+$G$5)^(D933/12)*(IF((E933)&gt;($B$6),H933,0)+IF(E933=$N$7,$N$4,0)+IF(E933=$C$6,0,0))</f>
      </c>
      <c r="M933" s="1"/>
      <c r="N933" s="7"/>
      <c r="O933" s="1"/>
      <c r="P933" s="331">
        <v>926</v>
      </c>
      <c r="Q933" s="544">
        <f>+DATE(YEAR(Q932),MONTH(Q932)-1,DAY(Q932))</f>
        <v>25569.041666666668</v>
      </c>
      <c r="R933" s="341">
        <f>IF($Z$7=$E933,1,IF(MONTH($E933)=1,R934*(1+$F$5),R934))</f>
      </c>
      <c r="S933" s="334">
        <f>R933*$B$8/12</f>
      </c>
      <c r="T933" s="334">
        <f>R933*$B$11/12</f>
      </c>
      <c r="U933" s="565">
        <f>(1+$V$5)^(P933/12)*(T933+IF(Q933=$Z$7,$Z$4,0))</f>
      </c>
      <c r="V933" s="170"/>
      <c r="W933" s="7"/>
      <c r="X933" s="1"/>
      <c r="Y933" s="1"/>
      <c r="Z933" s="1"/>
      <c r="AA933" s="1"/>
      <c r="AB933" s="1"/>
      <c r="AC933" s="331">
        <v>926</v>
      </c>
      <c r="AD933" s="544">
        <f>+DATE(YEAR(AD932),MONTH(AD932)-1,DAY(AD932))</f>
        <v>25569.041666666668</v>
      </c>
      <c r="AE933" s="341">
        <f>IF($AM$7=$E933,1,IF(MONTH($E933)=1,AE934*(1+$F$5),AE934))</f>
      </c>
      <c r="AF933" s="334">
        <f>AE933*$B$8/12</f>
      </c>
      <c r="AG933" s="334">
        <f>AE933*$B$12/12</f>
      </c>
      <c r="AH933" s="565">
        <f>(1+$AI$5)^(AC933/12)*(AG933+IF(AD933=$AM$7,$AM$4,0))</f>
      </c>
      <c r="AI933" s="170"/>
      <c r="AJ933" s="7"/>
      <c r="AK933" s="1"/>
      <c r="AL933" s="1"/>
      <c r="AM933" s="1"/>
    </row>
    <row x14ac:dyDescent="0.25" r="934" customHeight="1" ht="18.75">
      <c r="A934" s="1"/>
      <c r="B934" s="169"/>
      <c r="C934" s="170"/>
      <c r="D934" s="331">
        <v>927</v>
      </c>
      <c r="E934" s="544">
        <f>+DATE(YEAR(E933),MONTH(E933)-1,DAY(E933))</f>
        <v>25569.041666666668</v>
      </c>
      <c r="F934" s="333">
        <f>IF($C$6=$E934,1,IF(MONTH($E934)=1,F935*(1+$F$5),F935))</f>
      </c>
      <c r="G934" s="333">
        <f>F934*$B$8/12</f>
      </c>
      <c r="H934" s="333">
        <f>IF(F934=1,F934*$B$10/MIN(12,'Simulador - 3º Pilar'!$E$88),0)</f>
      </c>
      <c r="I934" s="560">
        <f>(1+$G$5)^(D934/12)*(H934+IF(E934=$N$7,$N$4,0))</f>
      </c>
      <c r="J934" s="561">
        <f>(1+$G$5)^(D934/12)*(H934*(12-IF(MONTH(E935)=12,0,MONTH(E935)))+IF(AND(F934=1,F935=0),$Q$4,0))*IF(AND(F934=1,F935=0),1,0)</f>
      </c>
      <c r="K934" s="217">
        <f>(1+$G$5)^(D934/12)*(IF(E934=$N$7,$N$4,0)+IF(E934=$C$6,$B$10,0))</f>
      </c>
      <c r="L934" s="217">
        <f>(1+$G$5)^(D934/12)*(IF((E934)&gt;($B$6),H934,0)+IF(E934=$N$7,$N$4,0)+IF(E934=$C$6,0,0))</f>
      </c>
      <c r="M934" s="1"/>
      <c r="N934" s="7"/>
      <c r="O934" s="1"/>
      <c r="P934" s="331">
        <v>927</v>
      </c>
      <c r="Q934" s="544">
        <f>+DATE(YEAR(Q933),MONTH(Q933)-1,DAY(Q933))</f>
        <v>25569.041666666668</v>
      </c>
      <c r="R934" s="341">
        <f>IF($Z$7=$E934,1,IF(MONTH($E934)=1,R935*(1+$F$5),R935))</f>
      </c>
      <c r="S934" s="334">
        <f>R934*$B$8/12</f>
      </c>
      <c r="T934" s="334">
        <f>R934*$B$11/12</f>
      </c>
      <c r="U934" s="565">
        <f>(1+$V$5)^(P934/12)*(T934+IF(Q934=$Z$7,$Z$4,0))</f>
      </c>
      <c r="V934" s="170"/>
      <c r="W934" s="7"/>
      <c r="X934" s="1"/>
      <c r="Y934" s="1"/>
      <c r="Z934" s="1"/>
      <c r="AA934" s="1"/>
      <c r="AB934" s="1"/>
      <c r="AC934" s="331">
        <v>927</v>
      </c>
      <c r="AD934" s="544">
        <f>+DATE(YEAR(AD933),MONTH(AD933)-1,DAY(AD933))</f>
        <v>25569.041666666668</v>
      </c>
      <c r="AE934" s="341">
        <f>IF($AM$7=$E934,1,IF(MONTH($E934)=1,AE935*(1+$F$5),AE935))</f>
      </c>
      <c r="AF934" s="334">
        <f>AE934*$B$8/12</f>
      </c>
      <c r="AG934" s="334">
        <f>AE934*$B$12/12</f>
      </c>
      <c r="AH934" s="565">
        <f>(1+$AI$5)^(AC934/12)*(AG934+IF(AD934=$AM$7,$AM$4,0))</f>
      </c>
      <c r="AI934" s="170"/>
      <c r="AJ934" s="7"/>
      <c r="AK934" s="1"/>
      <c r="AL934" s="1"/>
      <c r="AM934" s="1"/>
    </row>
    <row x14ac:dyDescent="0.25" r="935" customHeight="1" ht="18.75">
      <c r="A935" s="1"/>
      <c r="B935" s="169"/>
      <c r="C935" s="170"/>
      <c r="D935" s="331">
        <v>928</v>
      </c>
      <c r="E935" s="544">
        <f>+DATE(YEAR(E934),MONTH(E934)-1,DAY(E934))</f>
        <v>25569.041666666668</v>
      </c>
      <c r="F935" s="333">
        <f>IF($C$6=$E935,1,IF(MONTH($E935)=1,F936*(1+$F$5),F936))</f>
      </c>
      <c r="G935" s="333">
        <f>F935*$B$8/12</f>
      </c>
      <c r="H935" s="333">
        <f>IF(F935=1,F935*$B$10/MIN(12,'Simulador - 3º Pilar'!$E$88),0)</f>
      </c>
      <c r="I935" s="560">
        <f>(1+$G$5)^(D935/12)*(H935+IF(E935=$N$7,$N$4,0))</f>
      </c>
      <c r="J935" s="561">
        <f>(1+$G$5)^(D935/12)*(H935*(12-IF(MONTH(E936)=12,0,MONTH(E936)))+IF(AND(F935=1,F936=0),$Q$4,0))*IF(AND(F935=1,F936=0),1,0)</f>
      </c>
      <c r="K935" s="217">
        <f>(1+$G$5)^(D935/12)*(IF(E935=$N$7,$N$4,0)+IF(E935=$C$6,$B$10,0))</f>
      </c>
      <c r="L935" s="217">
        <f>(1+$G$5)^(D935/12)*(IF((E935)&gt;($B$6),H935,0)+IF(E935=$N$7,$N$4,0)+IF(E935=$C$6,0,0))</f>
      </c>
      <c r="M935" s="1"/>
      <c r="N935" s="7"/>
      <c r="O935" s="1"/>
      <c r="P935" s="331">
        <v>928</v>
      </c>
      <c r="Q935" s="544">
        <f>+DATE(YEAR(Q934),MONTH(Q934)-1,DAY(Q934))</f>
        <v>25569.041666666668</v>
      </c>
      <c r="R935" s="341">
        <f>IF($Z$7=$E935,1,IF(MONTH($E935)=1,R936*(1+$F$5),R936))</f>
      </c>
      <c r="S935" s="334">
        <f>R935*$B$8/12</f>
      </c>
      <c r="T935" s="334">
        <f>R935*$B$11/12</f>
      </c>
      <c r="U935" s="565">
        <f>(1+$V$5)^(P935/12)*(T935+IF(Q935=$Z$7,$Z$4,0))</f>
      </c>
      <c r="V935" s="170"/>
      <c r="W935" s="7"/>
      <c r="X935" s="1"/>
      <c r="Y935" s="1"/>
      <c r="Z935" s="1"/>
      <c r="AA935" s="1"/>
      <c r="AB935" s="1"/>
      <c r="AC935" s="331">
        <v>928</v>
      </c>
      <c r="AD935" s="544">
        <f>+DATE(YEAR(AD934),MONTH(AD934)-1,DAY(AD934))</f>
        <v>25569.041666666668</v>
      </c>
      <c r="AE935" s="341">
        <f>IF($AM$7=$E935,1,IF(MONTH($E935)=1,AE936*(1+$F$5),AE936))</f>
      </c>
      <c r="AF935" s="334">
        <f>AE935*$B$8/12</f>
      </c>
      <c r="AG935" s="334">
        <f>AE935*$B$12/12</f>
      </c>
      <c r="AH935" s="565">
        <f>(1+$AI$5)^(AC935/12)*(AG935+IF(AD935=$AM$7,$AM$4,0))</f>
      </c>
      <c r="AI935" s="170"/>
      <c r="AJ935" s="7"/>
      <c r="AK935" s="1"/>
      <c r="AL935" s="1"/>
      <c r="AM935" s="1"/>
    </row>
    <row x14ac:dyDescent="0.25" r="936" customHeight="1" ht="18.75">
      <c r="A936" s="1"/>
      <c r="B936" s="169"/>
      <c r="C936" s="170"/>
      <c r="D936" s="331">
        <v>929</v>
      </c>
      <c r="E936" s="544">
        <f>+DATE(YEAR(E935),MONTH(E935)-1,DAY(E935))</f>
        <v>25569.041666666668</v>
      </c>
      <c r="F936" s="333">
        <f>IF($C$6=$E936,1,IF(MONTH($E936)=1,F937*(1+$F$5),F937))</f>
      </c>
      <c r="G936" s="333">
        <f>F936*$B$8/12</f>
      </c>
      <c r="H936" s="333">
        <f>IF(F936=1,F936*$B$10/MIN(12,'Simulador - 3º Pilar'!$E$88),0)</f>
      </c>
      <c r="I936" s="560">
        <f>(1+$G$5)^(D936/12)*(H936+IF(E936=$N$7,$N$4,0))</f>
      </c>
      <c r="J936" s="561">
        <f>(1+$G$5)^(D936/12)*(H936*(12-IF(MONTH(E937)=12,0,MONTH(E937)))+IF(AND(F936=1,F937=0),$Q$4,0))*IF(AND(F936=1,F937=0),1,0)</f>
      </c>
      <c r="K936" s="217">
        <f>(1+$G$5)^(D936/12)*(IF(E936=$N$7,$N$4,0)+IF(E936=$C$6,$B$10,0))</f>
      </c>
      <c r="L936" s="217">
        <f>(1+$G$5)^(D936/12)*(IF((E936)&gt;($B$6),H936,0)+IF(E936=$N$7,$N$4,0)+IF(E936=$C$6,0,0))</f>
      </c>
      <c r="M936" s="1"/>
      <c r="N936" s="7"/>
      <c r="O936" s="1"/>
      <c r="P936" s="331">
        <v>929</v>
      </c>
      <c r="Q936" s="544">
        <f>+DATE(YEAR(Q935),MONTH(Q935)-1,DAY(Q935))</f>
        <v>25569.041666666668</v>
      </c>
      <c r="R936" s="341">
        <f>IF($Z$7=$E936,1,IF(MONTH($E936)=1,R937*(1+$F$5),R937))</f>
      </c>
      <c r="S936" s="334">
        <f>R936*$B$8/12</f>
      </c>
      <c r="T936" s="334">
        <f>R936*$B$11/12</f>
      </c>
      <c r="U936" s="565">
        <f>(1+$V$5)^(P936/12)*(T936+IF(Q936=$Z$7,$Z$4,0))</f>
      </c>
      <c r="V936" s="170"/>
      <c r="W936" s="7"/>
      <c r="X936" s="1"/>
      <c r="Y936" s="1"/>
      <c r="Z936" s="1"/>
      <c r="AA936" s="1"/>
      <c r="AB936" s="1"/>
      <c r="AC936" s="331">
        <v>929</v>
      </c>
      <c r="AD936" s="544">
        <f>+DATE(YEAR(AD935),MONTH(AD935)-1,DAY(AD935))</f>
        <v>25569.041666666668</v>
      </c>
      <c r="AE936" s="341">
        <f>IF($AM$7=$E936,1,IF(MONTH($E936)=1,AE937*(1+$F$5),AE937))</f>
      </c>
      <c r="AF936" s="334">
        <f>AE936*$B$8/12</f>
      </c>
      <c r="AG936" s="334">
        <f>AE936*$B$12/12</f>
      </c>
      <c r="AH936" s="565">
        <f>(1+$AI$5)^(AC936/12)*(AG936+IF(AD936=$AM$7,$AM$4,0))</f>
      </c>
      <c r="AI936" s="170"/>
      <c r="AJ936" s="7"/>
      <c r="AK936" s="1"/>
      <c r="AL936" s="1"/>
      <c r="AM936" s="1"/>
    </row>
    <row x14ac:dyDescent="0.25" r="937" customHeight="1" ht="18.75">
      <c r="A937" s="1"/>
      <c r="B937" s="169"/>
      <c r="C937" s="170"/>
      <c r="D937" s="331">
        <v>930</v>
      </c>
      <c r="E937" s="544">
        <f>+DATE(YEAR(E936),MONTH(E936)-1,DAY(E936))</f>
        <v>25569.041666666668</v>
      </c>
      <c r="F937" s="333">
        <f>IF($C$6=$E937,1,IF(MONTH($E937)=1,F938*(1+$F$5),F938))</f>
      </c>
      <c r="G937" s="333">
        <f>F937*$B$8/12</f>
      </c>
      <c r="H937" s="333">
        <f>IF(F937=1,F937*$B$10/MIN(12,'Simulador - 3º Pilar'!$E$88),0)</f>
      </c>
      <c r="I937" s="560">
        <f>(1+$G$5)^(D937/12)*(H937+IF(E937=$N$7,$N$4,0))</f>
      </c>
      <c r="J937" s="561">
        <f>(1+$G$5)^(D937/12)*(H937*(12-IF(MONTH(E938)=12,0,MONTH(E938)))+IF(AND(F937=1,F938=0),$Q$4,0))*IF(AND(F937=1,F938=0),1,0)</f>
      </c>
      <c r="K937" s="217">
        <f>(1+$G$5)^(D937/12)*(IF(E937=$N$7,$N$4,0)+IF(E937=$C$6,$B$10,0))</f>
      </c>
      <c r="L937" s="217">
        <f>(1+$G$5)^(D937/12)*(IF((E937)&gt;($B$6),H937,0)+IF(E937=$N$7,$N$4,0)+IF(E937=$C$6,0,0))</f>
      </c>
      <c r="M937" s="1"/>
      <c r="N937" s="7"/>
      <c r="O937" s="1"/>
      <c r="P937" s="331">
        <v>930</v>
      </c>
      <c r="Q937" s="544">
        <f>+DATE(YEAR(Q936),MONTH(Q936)-1,DAY(Q936))</f>
        <v>25569.041666666668</v>
      </c>
      <c r="R937" s="341">
        <f>IF($Z$7=$E937,1,IF(MONTH($E937)=1,R938*(1+$F$5),R938))</f>
      </c>
      <c r="S937" s="334">
        <f>R937*$B$8/12</f>
      </c>
      <c r="T937" s="334">
        <f>R937*$B$11/12</f>
      </c>
      <c r="U937" s="565">
        <f>(1+$V$5)^(P937/12)*(T937+IF(Q937=$Z$7,$Z$4,0))</f>
      </c>
      <c r="V937" s="170"/>
      <c r="W937" s="7"/>
      <c r="X937" s="1"/>
      <c r="Y937" s="1"/>
      <c r="Z937" s="1"/>
      <c r="AA937" s="1"/>
      <c r="AB937" s="1"/>
      <c r="AC937" s="331">
        <v>930</v>
      </c>
      <c r="AD937" s="544">
        <f>+DATE(YEAR(AD936),MONTH(AD936)-1,DAY(AD936))</f>
        <v>25569.041666666668</v>
      </c>
      <c r="AE937" s="341">
        <f>IF($AM$7=$E937,1,IF(MONTH($E937)=1,AE938*(1+$F$5),AE938))</f>
      </c>
      <c r="AF937" s="334">
        <f>AE937*$B$8/12</f>
      </c>
      <c r="AG937" s="334">
        <f>AE937*$B$12/12</f>
      </c>
      <c r="AH937" s="565">
        <f>(1+$AI$5)^(AC937/12)*(AG937+IF(AD937=$AM$7,$AM$4,0))</f>
      </c>
      <c r="AI937" s="170"/>
      <c r="AJ937" s="7"/>
      <c r="AK937" s="1"/>
      <c r="AL937" s="1"/>
      <c r="AM937" s="1"/>
    </row>
    <row x14ac:dyDescent="0.25" r="938" customHeight="1" ht="18.75">
      <c r="A938" s="1"/>
      <c r="B938" s="169"/>
      <c r="C938" s="170"/>
      <c r="D938" s="331">
        <v>931</v>
      </c>
      <c r="E938" s="544">
        <f>+DATE(YEAR(E937),MONTH(E937)-1,DAY(E937))</f>
        <v>25569.041666666668</v>
      </c>
      <c r="F938" s="333">
        <f>IF($C$6=$E938,1,IF(MONTH($E938)=1,F939*(1+$F$5),F939))</f>
      </c>
      <c r="G938" s="333">
        <f>F938*$B$8/12</f>
      </c>
      <c r="H938" s="333">
        <f>IF(F938=1,F938*$B$10/MIN(12,'Simulador - 3º Pilar'!$E$88),0)</f>
      </c>
      <c r="I938" s="560">
        <f>(1+$G$5)^(D938/12)*(H938+IF(E938=$N$7,$N$4,0))</f>
      </c>
      <c r="J938" s="561">
        <f>(1+$G$5)^(D938/12)*(H938*(12-IF(MONTH(E939)=12,0,MONTH(E939)))+IF(AND(F938=1,F939=0),$Q$4,0))*IF(AND(F938=1,F939=0),1,0)</f>
      </c>
      <c r="K938" s="217">
        <f>(1+$G$5)^(D938/12)*(IF(E938=$N$7,$N$4,0)+IF(E938=$C$6,$B$10,0))</f>
      </c>
      <c r="L938" s="217">
        <f>(1+$G$5)^(D938/12)*(IF((E938)&gt;($B$6),H938,0)+IF(E938=$N$7,$N$4,0)+IF(E938=$C$6,0,0))</f>
      </c>
      <c r="M938" s="1"/>
      <c r="N938" s="7"/>
      <c r="O938" s="1"/>
      <c r="P938" s="331">
        <v>931</v>
      </c>
      <c r="Q938" s="544">
        <f>+DATE(YEAR(Q937),MONTH(Q937)-1,DAY(Q937))</f>
        <v>25569.041666666668</v>
      </c>
      <c r="R938" s="341">
        <f>IF($Z$7=$E938,1,IF(MONTH($E938)=1,R939*(1+$F$5),R939))</f>
      </c>
      <c r="S938" s="334">
        <f>R938*$B$8/12</f>
      </c>
      <c r="T938" s="334">
        <f>R938*$B$11/12</f>
      </c>
      <c r="U938" s="565">
        <f>(1+$V$5)^(P938/12)*(T938+IF(Q938=$Z$7,$Z$4,0))</f>
      </c>
      <c r="V938" s="170"/>
      <c r="W938" s="7"/>
      <c r="X938" s="1"/>
      <c r="Y938" s="1"/>
      <c r="Z938" s="1"/>
      <c r="AA938" s="1"/>
      <c r="AB938" s="1"/>
      <c r="AC938" s="331">
        <v>931</v>
      </c>
      <c r="AD938" s="544">
        <f>+DATE(YEAR(AD937),MONTH(AD937)-1,DAY(AD937))</f>
        <v>25569.041666666668</v>
      </c>
      <c r="AE938" s="341">
        <f>IF($AM$7=$E938,1,IF(MONTH($E938)=1,AE939*(1+$F$5),AE939))</f>
      </c>
      <c r="AF938" s="334">
        <f>AE938*$B$8/12</f>
      </c>
      <c r="AG938" s="334">
        <f>AE938*$B$12/12</f>
      </c>
      <c r="AH938" s="565">
        <f>(1+$AI$5)^(AC938/12)*(AG938+IF(AD938=$AM$7,$AM$4,0))</f>
      </c>
      <c r="AI938" s="170"/>
      <c r="AJ938" s="7"/>
      <c r="AK938" s="1"/>
      <c r="AL938" s="1"/>
      <c r="AM938" s="1"/>
    </row>
    <row x14ac:dyDescent="0.25" r="939" customHeight="1" ht="18.75">
      <c r="A939" s="1"/>
      <c r="B939" s="169"/>
      <c r="C939" s="170"/>
      <c r="D939" s="331">
        <v>932</v>
      </c>
      <c r="E939" s="544">
        <f>+DATE(YEAR(E938),MONTH(E938)-1,DAY(E938))</f>
        <v>25569.041666666668</v>
      </c>
      <c r="F939" s="333">
        <f>IF($C$6=$E939,1,IF(MONTH($E939)=1,F940*(1+$F$5),F940))</f>
      </c>
      <c r="G939" s="333">
        <f>F939*$B$8/12</f>
      </c>
      <c r="H939" s="333">
        <f>IF(F939=1,F939*$B$10/MIN(12,'Simulador - 3º Pilar'!$E$88),0)</f>
      </c>
      <c r="I939" s="560">
        <f>(1+$G$5)^(D939/12)*(H939+IF(E939=$N$7,$N$4,0))</f>
      </c>
      <c r="J939" s="561">
        <f>(1+$G$5)^(D939/12)*(H939*(12-IF(MONTH(E940)=12,0,MONTH(E940)))+IF(AND(F939=1,F940=0),$Q$4,0))*IF(AND(F939=1,F940=0),1,0)</f>
      </c>
      <c r="K939" s="217">
        <f>(1+$G$5)^(D939/12)*(IF(E939=$N$7,$N$4,0)+IF(E939=$C$6,$B$10,0))</f>
      </c>
      <c r="L939" s="217">
        <f>(1+$G$5)^(D939/12)*(IF((E939)&gt;($B$6),H939,0)+IF(E939=$N$7,$N$4,0)+IF(E939=$C$6,0,0))</f>
      </c>
      <c r="M939" s="1"/>
      <c r="N939" s="7"/>
      <c r="O939" s="1"/>
      <c r="P939" s="331">
        <v>932</v>
      </c>
      <c r="Q939" s="544">
        <f>+DATE(YEAR(Q938),MONTH(Q938)-1,DAY(Q938))</f>
        <v>25569.041666666668</v>
      </c>
      <c r="R939" s="341">
        <f>IF($Z$7=$E939,1,IF(MONTH($E939)=1,R940*(1+$F$5),R940))</f>
      </c>
      <c r="S939" s="334">
        <f>R939*$B$8/12</f>
      </c>
      <c r="T939" s="334">
        <f>R939*$B$11/12</f>
      </c>
      <c r="U939" s="565">
        <f>(1+$V$5)^(P939/12)*(T939+IF(Q939=$Z$7,$Z$4,0))</f>
      </c>
      <c r="V939" s="170"/>
      <c r="W939" s="7"/>
      <c r="X939" s="1"/>
      <c r="Y939" s="1"/>
      <c r="Z939" s="1"/>
      <c r="AA939" s="1"/>
      <c r="AB939" s="1"/>
      <c r="AC939" s="331">
        <v>932</v>
      </c>
      <c r="AD939" s="544">
        <f>+DATE(YEAR(AD938),MONTH(AD938)-1,DAY(AD938))</f>
        <v>25569.041666666668</v>
      </c>
      <c r="AE939" s="341">
        <f>IF($AM$7=$E939,1,IF(MONTH($E939)=1,AE940*(1+$F$5),AE940))</f>
      </c>
      <c r="AF939" s="334">
        <f>AE939*$B$8/12</f>
      </c>
      <c r="AG939" s="334">
        <f>AE939*$B$12/12</f>
      </c>
      <c r="AH939" s="565">
        <f>(1+$AI$5)^(AC939/12)*(AG939+IF(AD939=$AM$7,$AM$4,0))</f>
      </c>
      <c r="AI939" s="170"/>
      <c r="AJ939" s="7"/>
      <c r="AK939" s="1"/>
      <c r="AL939" s="1"/>
      <c r="AM939" s="1"/>
    </row>
    <row x14ac:dyDescent="0.25" r="940" customHeight="1" ht="18.75">
      <c r="A940" s="1"/>
      <c r="B940" s="169"/>
      <c r="C940" s="170"/>
      <c r="D940" s="331">
        <v>933</v>
      </c>
      <c r="E940" s="544">
        <f>+DATE(YEAR(E939),MONTH(E939)-1,DAY(E939))</f>
        <v>25569.041666666668</v>
      </c>
      <c r="F940" s="333">
        <f>IF($C$6=$E940,1,IF(MONTH($E940)=1,F941*(1+$F$5),F941))</f>
      </c>
      <c r="G940" s="333">
        <f>F940*$B$8/12</f>
      </c>
      <c r="H940" s="333">
        <f>IF(F940=1,F940*$B$10/MIN(12,'Simulador - 3º Pilar'!$E$88),0)</f>
      </c>
      <c r="I940" s="560">
        <f>(1+$G$5)^(D940/12)*(H940+IF(E940=$N$7,$N$4,0))</f>
      </c>
      <c r="J940" s="561">
        <f>(1+$G$5)^(D940/12)*(H940*(12-IF(MONTH(E941)=12,0,MONTH(E941)))+IF(AND(F940=1,F941=0),$Q$4,0))*IF(AND(F940=1,F941=0),1,0)</f>
      </c>
      <c r="K940" s="217">
        <f>(1+$G$5)^(D940/12)*(IF(E940=$N$7,$N$4,0)+IF(E940=$C$6,$B$10,0))</f>
      </c>
      <c r="L940" s="217">
        <f>(1+$G$5)^(D940/12)*(IF((E940)&gt;($B$6),H940,0)+IF(E940=$N$7,$N$4,0)+IF(E940=$C$6,0,0))</f>
      </c>
      <c r="M940" s="1"/>
      <c r="N940" s="7"/>
      <c r="O940" s="1"/>
      <c r="P940" s="331">
        <v>933</v>
      </c>
      <c r="Q940" s="544">
        <f>+DATE(YEAR(Q939),MONTH(Q939)-1,DAY(Q939))</f>
        <v>25569.041666666668</v>
      </c>
      <c r="R940" s="341">
        <f>IF($Z$7=$E940,1,IF(MONTH($E940)=1,R941*(1+$F$5),R941))</f>
      </c>
      <c r="S940" s="334">
        <f>R940*$B$8/12</f>
      </c>
      <c r="T940" s="334">
        <f>R940*$B$11/12</f>
      </c>
      <c r="U940" s="565">
        <f>(1+$V$5)^(P940/12)*(T940+IF(Q940=$Z$7,$Z$4,0))</f>
      </c>
      <c r="V940" s="170"/>
      <c r="W940" s="7"/>
      <c r="X940" s="1"/>
      <c r="Y940" s="1"/>
      <c r="Z940" s="1"/>
      <c r="AA940" s="1"/>
      <c r="AB940" s="1"/>
      <c r="AC940" s="331">
        <v>933</v>
      </c>
      <c r="AD940" s="544">
        <f>+DATE(YEAR(AD939),MONTH(AD939)-1,DAY(AD939))</f>
        <v>25569.041666666668</v>
      </c>
      <c r="AE940" s="341">
        <f>IF($AM$7=$E940,1,IF(MONTH($E940)=1,AE941*(1+$F$5),AE941))</f>
      </c>
      <c r="AF940" s="334">
        <f>AE940*$B$8/12</f>
      </c>
      <c r="AG940" s="334">
        <f>AE940*$B$12/12</f>
      </c>
      <c r="AH940" s="565">
        <f>(1+$AI$5)^(AC940/12)*(AG940+IF(AD940=$AM$7,$AM$4,0))</f>
      </c>
      <c r="AI940" s="170"/>
      <c r="AJ940" s="7"/>
      <c r="AK940" s="1"/>
      <c r="AL940" s="1"/>
      <c r="AM940" s="1"/>
    </row>
    <row x14ac:dyDescent="0.25" r="941" customHeight="1" ht="18.75">
      <c r="A941" s="1"/>
      <c r="B941" s="169"/>
      <c r="C941" s="170"/>
      <c r="D941" s="331">
        <v>934</v>
      </c>
      <c r="E941" s="544">
        <f>+DATE(YEAR(E940),MONTH(E940)-1,DAY(E940))</f>
        <v>25569.041666666668</v>
      </c>
      <c r="F941" s="333">
        <f>IF($C$6=$E941,1,IF(MONTH($E941)=1,F942*(1+$F$5),F942))</f>
      </c>
      <c r="G941" s="333">
        <f>F941*$B$8/12</f>
      </c>
      <c r="H941" s="333">
        <f>IF(F941=1,F941*$B$10/MIN(12,'Simulador - 3º Pilar'!$E$88),0)</f>
      </c>
      <c r="I941" s="560">
        <f>(1+$G$5)^(D941/12)*(H941+IF(E941=$N$7,$N$4,0))</f>
      </c>
      <c r="J941" s="561">
        <f>(1+$G$5)^(D941/12)*(H941*(12-IF(MONTH(E942)=12,0,MONTH(E942)))+IF(AND(F941=1,F942=0),$Q$4,0))*IF(AND(F941=1,F942=0),1,0)</f>
      </c>
      <c r="K941" s="217">
        <f>(1+$G$5)^(D941/12)*(IF(E941=$N$7,$N$4,0)+IF(E941=$C$6,$B$10,0))</f>
      </c>
      <c r="L941" s="217">
        <f>(1+$G$5)^(D941/12)*(IF((E941)&gt;($B$6),H941,0)+IF(E941=$N$7,$N$4,0)+IF(E941=$C$6,0,0))</f>
      </c>
      <c r="M941" s="1"/>
      <c r="N941" s="7"/>
      <c r="O941" s="1"/>
      <c r="P941" s="331">
        <v>934</v>
      </c>
      <c r="Q941" s="544">
        <f>+DATE(YEAR(Q940),MONTH(Q940)-1,DAY(Q940))</f>
        <v>25569.041666666668</v>
      </c>
      <c r="R941" s="341">
        <f>IF($Z$7=$E941,1,IF(MONTH($E941)=1,R942*(1+$F$5),R942))</f>
      </c>
      <c r="S941" s="334">
        <f>R941*$B$8/12</f>
      </c>
      <c r="T941" s="334">
        <f>R941*$B$11/12</f>
      </c>
      <c r="U941" s="565">
        <f>(1+$V$5)^(P941/12)*(T941+IF(Q941=$Z$7,$Z$4,0))</f>
      </c>
      <c r="V941" s="170"/>
      <c r="W941" s="7"/>
      <c r="X941" s="1"/>
      <c r="Y941" s="1"/>
      <c r="Z941" s="1"/>
      <c r="AA941" s="1"/>
      <c r="AB941" s="1"/>
      <c r="AC941" s="331">
        <v>934</v>
      </c>
      <c r="AD941" s="544">
        <f>+DATE(YEAR(AD940),MONTH(AD940)-1,DAY(AD940))</f>
        <v>25569.041666666668</v>
      </c>
      <c r="AE941" s="341">
        <f>IF($AM$7=$E941,1,IF(MONTH($E941)=1,AE942*(1+$F$5),AE942))</f>
      </c>
      <c r="AF941" s="334">
        <f>AE941*$B$8/12</f>
      </c>
      <c r="AG941" s="334">
        <f>AE941*$B$12/12</f>
      </c>
      <c r="AH941" s="565">
        <f>(1+$AI$5)^(AC941/12)*(AG941+IF(AD941=$AM$7,$AM$4,0))</f>
      </c>
      <c r="AI941" s="170"/>
      <c r="AJ941" s="7"/>
      <c r="AK941" s="1"/>
      <c r="AL941" s="1"/>
      <c r="AM941" s="1"/>
    </row>
    <row x14ac:dyDescent="0.25" r="942" customHeight="1" ht="18.75">
      <c r="A942" s="1"/>
      <c r="B942" s="169"/>
      <c r="C942" s="170"/>
      <c r="D942" s="331">
        <v>935</v>
      </c>
      <c r="E942" s="544">
        <f>+DATE(YEAR(E941),MONTH(E941)-1,DAY(E941))</f>
        <v>25569.041666666668</v>
      </c>
      <c r="F942" s="333">
        <f>IF($C$6=$E942,1,IF(MONTH($E942)=1,F943*(1+$F$5),F943))</f>
      </c>
      <c r="G942" s="333">
        <f>F942*$B$8/12</f>
      </c>
      <c r="H942" s="333">
        <f>IF(F942=1,F942*$B$10/MIN(12,'Simulador - 3º Pilar'!$E$88),0)</f>
      </c>
      <c r="I942" s="560">
        <f>(1+$G$5)^(D942/12)*(H942+IF(E942=$N$7,$N$4,0))</f>
      </c>
      <c r="J942" s="561">
        <f>(1+$G$5)^(D942/12)*(H942*(12-IF(MONTH(E943)=12,0,MONTH(E943)))+IF(AND(F942=1,F943=0),$Q$4,0))*IF(AND(F942=1,F943=0),1,0)</f>
      </c>
      <c r="K942" s="217">
        <f>(1+$G$5)^(D942/12)*(IF(E942=$N$7,$N$4,0)+IF(E942=$C$6,$B$10,0))</f>
      </c>
      <c r="L942" s="217">
        <f>(1+$G$5)^(D942/12)*(IF((E942)&gt;($B$6),H942,0)+IF(E942=$N$7,$N$4,0)+IF(E942=$C$6,0,0))</f>
      </c>
      <c r="M942" s="1"/>
      <c r="N942" s="7"/>
      <c r="O942" s="1"/>
      <c r="P942" s="331">
        <v>935</v>
      </c>
      <c r="Q942" s="544">
        <f>+DATE(YEAR(Q941),MONTH(Q941)-1,DAY(Q941))</f>
        <v>25569.041666666668</v>
      </c>
      <c r="R942" s="341">
        <f>IF($Z$7=$E942,1,IF(MONTH($E942)=1,R943*(1+$F$5),R943))</f>
      </c>
      <c r="S942" s="334">
        <f>R942*$B$8/12</f>
      </c>
      <c r="T942" s="334">
        <f>R942*$B$11/12</f>
      </c>
      <c r="U942" s="565">
        <f>(1+$V$5)^(P942/12)*(T942+IF(Q942=$Z$7,$Z$4,0))</f>
      </c>
      <c r="V942" s="170"/>
      <c r="W942" s="7"/>
      <c r="X942" s="1"/>
      <c r="Y942" s="1"/>
      <c r="Z942" s="1"/>
      <c r="AA942" s="1"/>
      <c r="AB942" s="1"/>
      <c r="AC942" s="331">
        <v>935</v>
      </c>
      <c r="AD942" s="544">
        <f>+DATE(YEAR(AD941),MONTH(AD941)-1,DAY(AD941))</f>
        <v>25569.041666666668</v>
      </c>
      <c r="AE942" s="341">
        <f>IF($AM$7=$E942,1,IF(MONTH($E942)=1,AE943*(1+$F$5),AE943))</f>
      </c>
      <c r="AF942" s="334">
        <f>AE942*$B$8/12</f>
      </c>
      <c r="AG942" s="334">
        <f>AE942*$B$12/12</f>
      </c>
      <c r="AH942" s="565">
        <f>(1+$AI$5)^(AC942/12)*(AG942+IF(AD942=$AM$7,$AM$4,0))</f>
      </c>
      <c r="AI942" s="170"/>
      <c r="AJ942" s="7"/>
      <c r="AK942" s="1"/>
      <c r="AL942" s="1"/>
      <c r="AM942" s="1"/>
    </row>
    <row x14ac:dyDescent="0.25" r="943" customHeight="1" ht="18.75">
      <c r="A943" s="1"/>
      <c r="B943" s="169"/>
      <c r="C943" s="170"/>
      <c r="D943" s="331">
        <v>936</v>
      </c>
      <c r="E943" s="544">
        <f>+DATE(YEAR(E942),MONTH(E942)-1,DAY(E942))</f>
        <v>25569.041666666668</v>
      </c>
      <c r="F943" s="333">
        <f>IF($C$6=$E943,1,IF(MONTH($E943)=1,F944*(1+$F$5),F944))</f>
      </c>
      <c r="G943" s="333">
        <f>F943*$B$8/12</f>
      </c>
      <c r="H943" s="333">
        <f>IF(F943=1,F943*$B$10/MIN(12,'Simulador - 3º Pilar'!$E$88),0)</f>
      </c>
      <c r="I943" s="560">
        <f>(1+$G$5)^(D943/12)*(H943+IF(E943=$N$7,$N$4,0))</f>
      </c>
      <c r="J943" s="561">
        <f>(1+$G$5)^(D943/12)*(H943*(12-IF(MONTH(E944)=12,0,MONTH(E944)))+IF(AND(F943=1,F944=0),$Q$4,0))*IF(AND(F943=1,F944=0),1,0)</f>
      </c>
      <c r="K943" s="217">
        <f>(1+$G$5)^(D943/12)*(IF(E943=$N$7,$N$4,0)+IF(E943=$C$6,$B$10,0))</f>
      </c>
      <c r="L943" s="217">
        <f>(1+$G$5)^(D943/12)*(IF((E943)&gt;($B$6),H943,0)+IF(E943=$N$7,$N$4,0)+IF(E943=$C$6,0,0))</f>
      </c>
      <c r="M943" s="1"/>
      <c r="N943" s="7"/>
      <c r="O943" s="1"/>
      <c r="P943" s="331">
        <v>936</v>
      </c>
      <c r="Q943" s="544">
        <f>+DATE(YEAR(Q942),MONTH(Q942)-1,DAY(Q942))</f>
        <v>25569.041666666668</v>
      </c>
      <c r="R943" s="341">
        <f>IF($Z$7=$E943,1,IF(MONTH($E943)=1,R944*(1+$F$5),R944))</f>
      </c>
      <c r="S943" s="334">
        <f>R943*$B$8/12</f>
      </c>
      <c r="T943" s="334">
        <f>R943*$B$11/12</f>
      </c>
      <c r="U943" s="565">
        <f>(1+$V$5)^(P943/12)*(T943+IF(Q943=$Z$7,$Z$4,0))</f>
      </c>
      <c r="V943" s="170"/>
      <c r="W943" s="7"/>
      <c r="X943" s="1"/>
      <c r="Y943" s="1"/>
      <c r="Z943" s="1"/>
      <c r="AA943" s="1"/>
      <c r="AB943" s="1"/>
      <c r="AC943" s="331">
        <v>936</v>
      </c>
      <c r="AD943" s="544">
        <f>+DATE(YEAR(AD942),MONTH(AD942)-1,DAY(AD942))</f>
        <v>25569.041666666668</v>
      </c>
      <c r="AE943" s="341">
        <f>IF($AM$7=$E943,1,IF(MONTH($E943)=1,AE944*(1+$F$5),AE944))</f>
      </c>
      <c r="AF943" s="334">
        <f>AE943*$B$8/12</f>
      </c>
      <c r="AG943" s="334">
        <f>AE943*$B$12/12</f>
      </c>
      <c r="AH943" s="565">
        <f>(1+$AI$5)^(AC943/12)*(AG943+IF(AD943=$AM$7,$AM$4,0))</f>
      </c>
      <c r="AI943" s="170"/>
      <c r="AJ943" s="7"/>
      <c r="AK943" s="1"/>
      <c r="AL943" s="1"/>
      <c r="AM943" s="1"/>
    </row>
    <row x14ac:dyDescent="0.25" r="944" customHeight="1" ht="18.75">
      <c r="A944" s="1"/>
      <c r="B944" s="169"/>
      <c r="C944" s="170"/>
      <c r="D944" s="331">
        <v>937</v>
      </c>
      <c r="E944" s="544">
        <f>+DATE(YEAR(E943),MONTH(E943)-1,DAY(E943))</f>
        <v>25569.041666666668</v>
      </c>
      <c r="F944" s="333">
        <f>IF($C$6=$E944,1,IF(MONTH($E944)=1,F945*(1+$F$5),F945))</f>
      </c>
      <c r="G944" s="333">
        <f>F944*$B$8/12</f>
      </c>
      <c r="H944" s="333">
        <f>IF(F944=1,F944*$B$10/MIN(12,'Simulador - 3º Pilar'!$E$88),0)</f>
      </c>
      <c r="I944" s="560">
        <f>(1+$G$5)^(D944/12)*(H944+IF(E944=$N$7,$N$4,0))</f>
      </c>
      <c r="J944" s="561">
        <f>(1+$G$5)^(D944/12)*(H944*(12-IF(MONTH(E945)=12,0,MONTH(E945)))+IF(AND(F944=1,F945=0),$Q$4,0))*IF(AND(F944=1,F945=0),1,0)</f>
      </c>
      <c r="K944" s="217">
        <f>(1+$G$5)^(D944/12)*(IF(E944=$N$7,$N$4,0)+IF(E944=$C$6,$B$10,0))</f>
      </c>
      <c r="L944" s="217">
        <f>(1+$G$5)^(D944/12)*(IF((E944)&gt;($B$6),H944,0)+IF(E944=$N$7,$N$4,0)+IF(E944=$C$6,0,0))</f>
      </c>
      <c r="M944" s="1"/>
      <c r="N944" s="7"/>
      <c r="O944" s="1"/>
      <c r="P944" s="331">
        <v>937</v>
      </c>
      <c r="Q944" s="544">
        <f>+DATE(YEAR(Q943),MONTH(Q943)-1,DAY(Q943))</f>
        <v>25569.041666666668</v>
      </c>
      <c r="R944" s="341">
        <f>IF($Z$7=$E944,1,IF(MONTH($E944)=1,R945*(1+$F$5),R945))</f>
      </c>
      <c r="S944" s="334">
        <f>R944*$B$8/12</f>
      </c>
      <c r="T944" s="334">
        <f>R944*$B$11/12</f>
      </c>
      <c r="U944" s="565">
        <f>(1+$V$5)^(P944/12)*(T944+IF(Q944=$Z$7,$Z$4,0))</f>
      </c>
      <c r="V944" s="170"/>
      <c r="W944" s="7"/>
      <c r="X944" s="1"/>
      <c r="Y944" s="1"/>
      <c r="Z944" s="1"/>
      <c r="AA944" s="1"/>
      <c r="AB944" s="1"/>
      <c r="AC944" s="331">
        <v>937</v>
      </c>
      <c r="AD944" s="544">
        <f>+DATE(YEAR(AD943),MONTH(AD943)-1,DAY(AD943))</f>
        <v>25569.041666666668</v>
      </c>
      <c r="AE944" s="341">
        <f>IF($AM$7=$E944,1,IF(MONTH($E944)=1,AE945*(1+$F$5),AE945))</f>
      </c>
      <c r="AF944" s="334">
        <f>AE944*$B$8/12</f>
      </c>
      <c r="AG944" s="334">
        <f>AE944*$B$12/12</f>
      </c>
      <c r="AH944" s="565">
        <f>(1+$AI$5)^(AC944/12)*(AG944+IF(AD944=$AM$7,$AM$4,0))</f>
      </c>
      <c r="AI944" s="170"/>
      <c r="AJ944" s="7"/>
      <c r="AK944" s="1"/>
      <c r="AL944" s="1"/>
      <c r="AM944" s="1"/>
    </row>
    <row x14ac:dyDescent="0.25" r="945" customHeight="1" ht="18.75">
      <c r="A945" s="1"/>
      <c r="B945" s="169"/>
      <c r="C945" s="170"/>
      <c r="D945" s="331">
        <v>938</v>
      </c>
      <c r="E945" s="544">
        <f>+DATE(YEAR(E944),MONTH(E944)-1,DAY(E944))</f>
        <v>25569.041666666668</v>
      </c>
      <c r="F945" s="333">
        <f>IF($C$6=$E945,1,IF(MONTH($E945)=1,F946*(1+$F$5),F946))</f>
      </c>
      <c r="G945" s="333">
        <f>F945*$B$8/12</f>
      </c>
      <c r="H945" s="333">
        <f>IF(F945=1,F945*$B$10/MIN(12,'Simulador - 3º Pilar'!$E$88),0)</f>
      </c>
      <c r="I945" s="560">
        <f>(1+$G$5)^(D945/12)*(H945+IF(E945=$N$7,$N$4,0))</f>
      </c>
      <c r="J945" s="561">
        <f>(1+$G$5)^(D945/12)*(H945*(12-IF(MONTH(E946)=12,0,MONTH(E946)))+IF(AND(F945=1,F946=0),$Q$4,0))*IF(AND(F945=1,F946=0),1,0)</f>
      </c>
      <c r="K945" s="217">
        <f>(1+$G$5)^(D945/12)*(IF(E945=$N$7,$N$4,0)+IF(E945=$C$6,$B$10,0))</f>
      </c>
      <c r="L945" s="217">
        <f>(1+$G$5)^(D945/12)*(IF((E945)&gt;($B$6),H945,0)+IF(E945=$N$7,$N$4,0)+IF(E945=$C$6,0,0))</f>
      </c>
      <c r="M945" s="1"/>
      <c r="N945" s="7"/>
      <c r="O945" s="1"/>
      <c r="P945" s="331">
        <v>938</v>
      </c>
      <c r="Q945" s="544">
        <f>+DATE(YEAR(Q944),MONTH(Q944)-1,DAY(Q944))</f>
        <v>25569.041666666668</v>
      </c>
      <c r="R945" s="341">
        <f>IF($Z$7=$E945,1,IF(MONTH($E945)=1,R946*(1+$F$5),R946))</f>
      </c>
      <c r="S945" s="334">
        <f>R945*$B$8/12</f>
      </c>
      <c r="T945" s="334">
        <f>R945*$B$11/12</f>
      </c>
      <c r="U945" s="565">
        <f>(1+$V$5)^(P945/12)*(T945+IF(Q945=$Z$7,$Z$4,0))</f>
      </c>
      <c r="V945" s="170"/>
      <c r="W945" s="7"/>
      <c r="X945" s="1"/>
      <c r="Y945" s="1"/>
      <c r="Z945" s="1"/>
      <c r="AA945" s="1"/>
      <c r="AB945" s="1"/>
      <c r="AC945" s="331">
        <v>938</v>
      </c>
      <c r="AD945" s="544">
        <f>+DATE(YEAR(AD944),MONTH(AD944)-1,DAY(AD944))</f>
        <v>25569.041666666668</v>
      </c>
      <c r="AE945" s="341">
        <f>IF($AM$7=$E945,1,IF(MONTH($E945)=1,AE946*(1+$F$5),AE946))</f>
      </c>
      <c r="AF945" s="334">
        <f>AE945*$B$8/12</f>
      </c>
      <c r="AG945" s="334">
        <f>AE945*$B$12/12</f>
      </c>
      <c r="AH945" s="565">
        <f>(1+$AI$5)^(AC945/12)*(AG945+IF(AD945=$AM$7,$AM$4,0))</f>
      </c>
      <c r="AI945" s="170"/>
      <c r="AJ945" s="7"/>
      <c r="AK945" s="1"/>
      <c r="AL945" s="1"/>
      <c r="AM945" s="1"/>
    </row>
    <row x14ac:dyDescent="0.25" r="946" customHeight="1" ht="18.75">
      <c r="A946" s="1"/>
      <c r="B946" s="169"/>
      <c r="C946" s="170"/>
      <c r="D946" s="331">
        <v>939</v>
      </c>
      <c r="E946" s="544">
        <f>+DATE(YEAR(E945),MONTH(E945)-1,DAY(E945))</f>
        <v>25569.041666666668</v>
      </c>
      <c r="F946" s="333">
        <f>IF($C$6=$E946,1,IF(MONTH($E946)=1,F947*(1+$F$5),F947))</f>
      </c>
      <c r="G946" s="333">
        <f>F946*$B$8/12</f>
      </c>
      <c r="H946" s="333">
        <f>IF(F946=1,F946*$B$10/MIN(12,'Simulador - 3º Pilar'!$E$88),0)</f>
      </c>
      <c r="I946" s="560">
        <f>(1+$G$5)^(D946/12)*(H946+IF(E946=$N$7,$N$4,0))</f>
      </c>
      <c r="J946" s="561">
        <f>(1+$G$5)^(D946/12)*(H946*(12-IF(MONTH(E947)=12,0,MONTH(E947)))+IF(AND(F946=1,F947=0),$Q$4,0))*IF(AND(F946=1,F947=0),1,0)</f>
      </c>
      <c r="K946" s="217">
        <f>(1+$G$5)^(D946/12)*(IF(E946=$N$7,$N$4,0)+IF(E946=$C$6,$B$10,0))</f>
      </c>
      <c r="L946" s="217">
        <f>(1+$G$5)^(D946/12)*(IF((E946)&gt;($B$6),H946,0)+IF(E946=$N$7,$N$4,0)+IF(E946=$C$6,0,0))</f>
      </c>
      <c r="M946" s="1"/>
      <c r="N946" s="7"/>
      <c r="O946" s="1"/>
      <c r="P946" s="331">
        <v>939</v>
      </c>
      <c r="Q946" s="544">
        <f>+DATE(YEAR(Q945),MONTH(Q945)-1,DAY(Q945))</f>
        <v>25569.041666666668</v>
      </c>
      <c r="R946" s="341">
        <f>IF($Z$7=$E946,1,IF(MONTH($E946)=1,R947*(1+$F$5),R947))</f>
      </c>
      <c r="S946" s="334">
        <f>R946*$B$8/12</f>
      </c>
      <c r="T946" s="334">
        <f>R946*$B$11/12</f>
      </c>
      <c r="U946" s="565">
        <f>(1+$V$5)^(P946/12)*(T946+IF(Q946=$Z$7,$Z$4,0))</f>
      </c>
      <c r="V946" s="170"/>
      <c r="W946" s="7"/>
      <c r="X946" s="1"/>
      <c r="Y946" s="1"/>
      <c r="Z946" s="1"/>
      <c r="AA946" s="1"/>
      <c r="AB946" s="1"/>
      <c r="AC946" s="331">
        <v>939</v>
      </c>
      <c r="AD946" s="544">
        <f>+DATE(YEAR(AD945),MONTH(AD945)-1,DAY(AD945))</f>
        <v>25569.041666666668</v>
      </c>
      <c r="AE946" s="341">
        <f>IF($AM$7=$E946,1,IF(MONTH($E946)=1,AE947*(1+$F$5),AE947))</f>
      </c>
      <c r="AF946" s="334">
        <f>AE946*$B$8/12</f>
      </c>
      <c r="AG946" s="334">
        <f>AE946*$B$12/12</f>
      </c>
      <c r="AH946" s="565">
        <f>(1+$AI$5)^(AC946/12)*(AG946+IF(AD946=$AM$7,$AM$4,0))</f>
      </c>
      <c r="AI946" s="170"/>
      <c r="AJ946" s="7"/>
      <c r="AK946" s="1"/>
      <c r="AL946" s="1"/>
      <c r="AM946" s="1"/>
    </row>
    <row x14ac:dyDescent="0.25" r="947" customHeight="1" ht="18.75">
      <c r="A947" s="1"/>
      <c r="B947" s="169"/>
      <c r="C947" s="170"/>
      <c r="D947" s="331">
        <v>940</v>
      </c>
      <c r="E947" s="544">
        <f>+DATE(YEAR(E946),MONTH(E946)-1,DAY(E946))</f>
        <v>25569.041666666668</v>
      </c>
      <c r="F947" s="333">
        <f>IF($C$6=$E947,1,IF(MONTH($E947)=1,F948*(1+$F$5),F948))</f>
      </c>
      <c r="G947" s="333">
        <f>F947*$B$8/12</f>
      </c>
      <c r="H947" s="333">
        <f>IF(F947=1,F947*$B$10/MIN(12,'Simulador - 3º Pilar'!$E$88),0)</f>
      </c>
      <c r="I947" s="560">
        <f>(1+$G$5)^(D947/12)*(H947+IF(E947=$N$7,$N$4,0))</f>
      </c>
      <c r="J947" s="561">
        <f>(1+$G$5)^(D947/12)*(H947*(12-IF(MONTH(E948)=12,0,MONTH(E948)))+IF(AND(F947=1,F948=0),$Q$4,0))*IF(AND(F947=1,F948=0),1,0)</f>
      </c>
      <c r="K947" s="217">
        <f>(1+$G$5)^(D947/12)*(IF(E947=$N$7,$N$4,0)+IF(E947=$C$6,$B$10,0))</f>
      </c>
      <c r="L947" s="217">
        <f>(1+$G$5)^(D947/12)*(IF((E947)&gt;($B$6),H947,0)+IF(E947=$N$7,$N$4,0)+IF(E947=$C$6,0,0))</f>
      </c>
      <c r="M947" s="1"/>
      <c r="N947" s="7"/>
      <c r="O947" s="1"/>
      <c r="P947" s="331">
        <v>940</v>
      </c>
      <c r="Q947" s="544">
        <f>+DATE(YEAR(Q946),MONTH(Q946)-1,DAY(Q946))</f>
        <v>25569.041666666668</v>
      </c>
      <c r="R947" s="341">
        <f>IF($Z$7=$E947,1,IF(MONTH($E947)=1,R948*(1+$F$5),R948))</f>
      </c>
      <c r="S947" s="334">
        <f>R947*$B$8/12</f>
      </c>
      <c r="T947" s="334">
        <f>R947*$B$11/12</f>
      </c>
      <c r="U947" s="565">
        <f>(1+$V$5)^(P947/12)*(T947+IF(Q947=$Z$7,$Z$4,0))</f>
      </c>
      <c r="V947" s="170"/>
      <c r="W947" s="7"/>
      <c r="X947" s="1"/>
      <c r="Y947" s="1"/>
      <c r="Z947" s="1"/>
      <c r="AA947" s="1"/>
      <c r="AB947" s="1"/>
      <c r="AC947" s="331">
        <v>940</v>
      </c>
      <c r="AD947" s="544">
        <f>+DATE(YEAR(AD946),MONTH(AD946)-1,DAY(AD946))</f>
        <v>25569.041666666668</v>
      </c>
      <c r="AE947" s="341">
        <f>IF($AM$7=$E947,1,IF(MONTH($E947)=1,AE948*(1+$F$5),AE948))</f>
      </c>
      <c r="AF947" s="334">
        <f>AE947*$B$8/12</f>
      </c>
      <c r="AG947" s="334">
        <f>AE947*$B$12/12</f>
      </c>
      <c r="AH947" s="565">
        <f>(1+$AI$5)^(AC947/12)*(AG947+IF(AD947=$AM$7,$AM$4,0))</f>
      </c>
      <c r="AI947" s="170"/>
      <c r="AJ947" s="7"/>
      <c r="AK947" s="1"/>
      <c r="AL947" s="1"/>
      <c r="AM947" s="1"/>
    </row>
    <row x14ac:dyDescent="0.25" r="948" customHeight="1" ht="18.75">
      <c r="A948" s="1"/>
      <c r="B948" s="169"/>
      <c r="C948" s="170"/>
      <c r="D948" s="331">
        <v>941</v>
      </c>
      <c r="E948" s="544">
        <f>+DATE(YEAR(E947),MONTH(E947)-1,DAY(E947))</f>
        <v>25569.041666666668</v>
      </c>
      <c r="F948" s="333">
        <f>IF($C$6=$E948,1,IF(MONTH($E948)=1,F949*(1+$F$5),F949))</f>
      </c>
      <c r="G948" s="333">
        <f>F948*$B$8/12</f>
      </c>
      <c r="H948" s="333">
        <f>IF(F948=1,F948*$B$10/MIN(12,'Simulador - 3º Pilar'!$E$88),0)</f>
      </c>
      <c r="I948" s="560">
        <f>(1+$G$5)^(D948/12)*(H948+IF(E948=$N$7,$N$4,0))</f>
      </c>
      <c r="J948" s="561">
        <f>(1+$G$5)^(D948/12)*(H948*(12-IF(MONTH(E949)=12,0,MONTH(E949)))+IF(AND(F948=1,F949=0),$Q$4,0))*IF(AND(F948=1,F949=0),1,0)</f>
      </c>
      <c r="K948" s="217">
        <f>(1+$G$5)^(D948/12)*(IF(E948=$N$7,$N$4,0)+IF(E948=$C$6,$B$10,0))</f>
      </c>
      <c r="L948" s="217">
        <f>(1+$G$5)^(D948/12)*(IF((E948)&gt;($B$6),H948,0)+IF(E948=$N$7,$N$4,0)+IF(E948=$C$6,0,0))</f>
      </c>
      <c r="M948" s="1"/>
      <c r="N948" s="7"/>
      <c r="O948" s="1"/>
      <c r="P948" s="331">
        <v>941</v>
      </c>
      <c r="Q948" s="544">
        <f>+DATE(YEAR(Q947),MONTH(Q947)-1,DAY(Q947))</f>
        <v>25569.041666666668</v>
      </c>
      <c r="R948" s="341">
        <f>IF($Z$7=$E948,1,IF(MONTH($E948)=1,R949*(1+$F$5),R949))</f>
      </c>
      <c r="S948" s="334">
        <f>R948*$B$8/12</f>
      </c>
      <c r="T948" s="334">
        <f>R948*$B$11/12</f>
      </c>
      <c r="U948" s="565">
        <f>(1+$V$5)^(P948/12)*(T948+IF(Q948=$Z$7,$Z$4,0))</f>
      </c>
      <c r="V948" s="170"/>
      <c r="W948" s="7"/>
      <c r="X948" s="1"/>
      <c r="Y948" s="1"/>
      <c r="Z948" s="1"/>
      <c r="AA948" s="1"/>
      <c r="AB948" s="1"/>
      <c r="AC948" s="331">
        <v>941</v>
      </c>
      <c r="AD948" s="544">
        <f>+DATE(YEAR(AD947),MONTH(AD947)-1,DAY(AD947))</f>
        <v>25569.041666666668</v>
      </c>
      <c r="AE948" s="341">
        <f>IF($AM$7=$E948,1,IF(MONTH($E948)=1,AE949*(1+$F$5),AE949))</f>
      </c>
      <c r="AF948" s="334">
        <f>AE948*$B$8/12</f>
      </c>
      <c r="AG948" s="334">
        <f>AE948*$B$12/12</f>
      </c>
      <c r="AH948" s="565">
        <f>(1+$AI$5)^(AC948/12)*(AG948+IF(AD948=$AM$7,$AM$4,0))</f>
      </c>
      <c r="AI948" s="170"/>
      <c r="AJ948" s="7"/>
      <c r="AK948" s="1"/>
      <c r="AL948" s="1"/>
      <c r="AM948" s="1"/>
    </row>
    <row x14ac:dyDescent="0.25" r="949" customHeight="1" ht="18.75">
      <c r="A949" s="1"/>
      <c r="B949" s="169"/>
      <c r="C949" s="170"/>
      <c r="D949" s="331">
        <v>942</v>
      </c>
      <c r="E949" s="544">
        <f>+DATE(YEAR(E948),MONTH(E948)-1,DAY(E948))</f>
        <v>25569.041666666668</v>
      </c>
      <c r="F949" s="333">
        <f>IF($C$6=$E949,1,IF(MONTH($E949)=1,F950*(1+$F$5),F950))</f>
      </c>
      <c r="G949" s="333">
        <f>F949*$B$8/12</f>
      </c>
      <c r="H949" s="333">
        <f>IF(F949=1,F949*$B$10/MIN(12,'Simulador - 3º Pilar'!$E$88),0)</f>
      </c>
      <c r="I949" s="560">
        <f>(1+$G$5)^(D949/12)*(H949+IF(E949=$N$7,$N$4,0))</f>
      </c>
      <c r="J949" s="561">
        <f>(1+$G$5)^(D949/12)*(H949*(12-IF(MONTH(E950)=12,0,MONTH(E950)))+IF(AND(F949=1,F950=0),$Q$4,0))*IF(AND(F949=1,F950=0),1,0)</f>
      </c>
      <c r="K949" s="217">
        <f>(1+$G$5)^(D949/12)*(IF(E949=$N$7,$N$4,0)+IF(E949=$C$6,$B$10,0))</f>
      </c>
      <c r="L949" s="217">
        <f>(1+$G$5)^(D949/12)*(IF((E949)&gt;($B$6),H949,0)+IF(E949=$N$7,$N$4,0)+IF(E949=$C$6,0,0))</f>
      </c>
      <c r="M949" s="1"/>
      <c r="N949" s="7"/>
      <c r="O949" s="1"/>
      <c r="P949" s="331">
        <v>942</v>
      </c>
      <c r="Q949" s="544">
        <f>+DATE(YEAR(Q948),MONTH(Q948)-1,DAY(Q948))</f>
        <v>25569.041666666668</v>
      </c>
      <c r="R949" s="341">
        <f>IF($Z$7=$E949,1,IF(MONTH($E949)=1,R950*(1+$F$5),R950))</f>
      </c>
      <c r="S949" s="334">
        <f>R949*$B$8/12</f>
      </c>
      <c r="T949" s="334">
        <f>R949*$B$11/12</f>
      </c>
      <c r="U949" s="565">
        <f>(1+$V$5)^(P949/12)*(T949+IF(Q949=$Z$7,$Z$4,0))</f>
      </c>
      <c r="V949" s="170"/>
      <c r="W949" s="7"/>
      <c r="X949" s="1"/>
      <c r="Y949" s="1"/>
      <c r="Z949" s="1"/>
      <c r="AA949" s="1"/>
      <c r="AB949" s="1"/>
      <c r="AC949" s="331">
        <v>942</v>
      </c>
      <c r="AD949" s="544">
        <f>+DATE(YEAR(AD948),MONTH(AD948)-1,DAY(AD948))</f>
        <v>25569.041666666668</v>
      </c>
      <c r="AE949" s="341">
        <f>IF($AM$7=$E949,1,IF(MONTH($E949)=1,AE950*(1+$F$5),AE950))</f>
      </c>
      <c r="AF949" s="334">
        <f>AE949*$B$8/12</f>
      </c>
      <c r="AG949" s="334">
        <f>AE949*$B$12/12</f>
      </c>
      <c r="AH949" s="565">
        <f>(1+$AI$5)^(AC949/12)*(AG949+IF(AD949=$AM$7,$AM$4,0))</f>
      </c>
      <c r="AI949" s="170"/>
      <c r="AJ949" s="7"/>
      <c r="AK949" s="1"/>
      <c r="AL949" s="1"/>
      <c r="AM949" s="1"/>
    </row>
    <row x14ac:dyDescent="0.25" r="950" customHeight="1" ht="18.75">
      <c r="A950" s="1"/>
      <c r="B950" s="169"/>
      <c r="C950" s="170"/>
      <c r="D950" s="331">
        <v>943</v>
      </c>
      <c r="E950" s="544">
        <f>+DATE(YEAR(E949),MONTH(E949)-1,DAY(E949))</f>
        <v>25569.041666666668</v>
      </c>
      <c r="F950" s="333">
        <f>IF($C$6=$E950,1,IF(MONTH($E950)=1,F951*(1+$F$5),F951))</f>
      </c>
      <c r="G950" s="333">
        <f>F950*$B$8/12</f>
      </c>
      <c r="H950" s="333">
        <f>IF(F950=1,F950*$B$10/MIN(12,'Simulador - 3º Pilar'!$E$88),0)</f>
      </c>
      <c r="I950" s="560">
        <f>(1+$G$5)^(D950/12)*(H950+IF(E950=$N$7,$N$4,0))</f>
      </c>
      <c r="J950" s="561">
        <f>(1+$G$5)^(D950/12)*(H950*(12-IF(MONTH(E951)=12,0,MONTH(E951)))+IF(AND(F950=1,F951=0),$Q$4,0))*IF(AND(F950=1,F951=0),1,0)</f>
      </c>
      <c r="K950" s="217">
        <f>(1+$G$5)^(D950/12)*(IF(E950=$N$7,$N$4,0)+IF(E950=$C$6,$B$10,0))</f>
      </c>
      <c r="L950" s="217">
        <f>(1+$G$5)^(D950/12)*(IF((E950)&gt;($B$6),H950,0)+IF(E950=$N$7,$N$4,0)+IF(E950=$C$6,0,0))</f>
      </c>
      <c r="M950" s="1"/>
      <c r="N950" s="7"/>
      <c r="O950" s="1"/>
      <c r="P950" s="331">
        <v>943</v>
      </c>
      <c r="Q950" s="544">
        <f>+DATE(YEAR(Q949),MONTH(Q949)-1,DAY(Q949))</f>
        <v>25569.041666666668</v>
      </c>
      <c r="R950" s="341">
        <f>IF($Z$7=$E950,1,IF(MONTH($E950)=1,R951*(1+$F$5),R951))</f>
      </c>
      <c r="S950" s="334">
        <f>R950*$B$8/12</f>
      </c>
      <c r="T950" s="334">
        <f>R950*$B$11/12</f>
      </c>
      <c r="U950" s="565">
        <f>(1+$V$5)^(P950/12)*(T950+IF(Q950=$Z$7,$Z$4,0))</f>
      </c>
      <c r="V950" s="170"/>
      <c r="W950" s="7"/>
      <c r="X950" s="1"/>
      <c r="Y950" s="1"/>
      <c r="Z950" s="1"/>
      <c r="AA950" s="1"/>
      <c r="AB950" s="1"/>
      <c r="AC950" s="331">
        <v>943</v>
      </c>
      <c r="AD950" s="544">
        <f>+DATE(YEAR(AD949),MONTH(AD949)-1,DAY(AD949))</f>
        <v>25569.041666666668</v>
      </c>
      <c r="AE950" s="341">
        <f>IF($AM$7=$E950,1,IF(MONTH($E950)=1,AE951*(1+$F$5),AE951))</f>
      </c>
      <c r="AF950" s="334">
        <f>AE950*$B$8/12</f>
      </c>
      <c r="AG950" s="334">
        <f>AE950*$B$12/12</f>
      </c>
      <c r="AH950" s="565">
        <f>(1+$AI$5)^(AC950/12)*(AG950+IF(AD950=$AM$7,$AM$4,0))</f>
      </c>
      <c r="AI950" s="170"/>
      <c r="AJ950" s="7"/>
      <c r="AK950" s="1"/>
      <c r="AL950" s="1"/>
      <c r="AM950" s="1"/>
    </row>
    <row x14ac:dyDescent="0.25" r="951" customHeight="1" ht="18.75">
      <c r="A951" s="1"/>
      <c r="B951" s="169"/>
      <c r="C951" s="170"/>
      <c r="D951" s="331">
        <v>944</v>
      </c>
      <c r="E951" s="544">
        <f>+DATE(YEAR(E950),MONTH(E950)-1,DAY(E950))</f>
        <v>25569.041666666668</v>
      </c>
      <c r="F951" s="333">
        <f>IF($C$6=$E951,1,IF(MONTH($E951)=1,F952*(1+$F$5),F952))</f>
      </c>
      <c r="G951" s="333">
        <f>F951*$B$8/12</f>
      </c>
      <c r="H951" s="333">
        <f>IF(F951=1,F951*$B$10/MIN(12,'Simulador - 3º Pilar'!$E$88),0)</f>
      </c>
      <c r="I951" s="560">
        <f>(1+$G$5)^(D951/12)*(H951+IF(E951=$N$7,$N$4,0))</f>
      </c>
      <c r="J951" s="561">
        <f>(1+$G$5)^(D951/12)*(H951*(12-IF(MONTH(E952)=12,0,MONTH(E952)))+IF(AND(F951=1,F952=0),$Q$4,0))*IF(AND(F951=1,F952=0),1,0)</f>
      </c>
      <c r="K951" s="217">
        <f>(1+$G$5)^(D951/12)*(IF(E951=$N$7,$N$4,0)+IF(E951=$C$6,$B$10,0))</f>
      </c>
      <c r="L951" s="217">
        <f>(1+$G$5)^(D951/12)*(IF((E951)&gt;($B$6),H951,0)+IF(E951=$N$7,$N$4,0)+IF(E951=$C$6,0,0))</f>
      </c>
      <c r="M951" s="1"/>
      <c r="N951" s="7"/>
      <c r="O951" s="1"/>
      <c r="P951" s="331">
        <v>944</v>
      </c>
      <c r="Q951" s="544">
        <f>+DATE(YEAR(Q950),MONTH(Q950)-1,DAY(Q950))</f>
        <v>25569.041666666668</v>
      </c>
      <c r="R951" s="341">
        <f>IF($Z$7=$E951,1,IF(MONTH($E951)=1,R952*(1+$F$5),R952))</f>
      </c>
      <c r="S951" s="334">
        <f>R951*$B$8/12</f>
      </c>
      <c r="T951" s="334">
        <f>R951*$B$11/12</f>
      </c>
      <c r="U951" s="565">
        <f>(1+$V$5)^(P951/12)*(T951+IF(Q951=$Z$7,$Z$4,0))</f>
      </c>
      <c r="V951" s="170"/>
      <c r="W951" s="7"/>
      <c r="X951" s="1"/>
      <c r="Y951" s="1"/>
      <c r="Z951" s="1"/>
      <c r="AA951" s="1"/>
      <c r="AB951" s="1"/>
      <c r="AC951" s="331">
        <v>944</v>
      </c>
      <c r="AD951" s="544">
        <f>+DATE(YEAR(AD950),MONTH(AD950)-1,DAY(AD950))</f>
        <v>25569.041666666668</v>
      </c>
      <c r="AE951" s="341">
        <f>IF($AM$7=$E951,1,IF(MONTH($E951)=1,AE952*(1+$F$5),AE952))</f>
      </c>
      <c r="AF951" s="334">
        <f>AE951*$B$8/12</f>
      </c>
      <c r="AG951" s="334">
        <f>AE951*$B$12/12</f>
      </c>
      <c r="AH951" s="565">
        <f>(1+$AI$5)^(AC951/12)*(AG951+IF(AD951=$AM$7,$AM$4,0))</f>
      </c>
      <c r="AI951" s="170"/>
      <c r="AJ951" s="7"/>
      <c r="AK951" s="1"/>
      <c r="AL951" s="1"/>
      <c r="AM951" s="1"/>
    </row>
    <row x14ac:dyDescent="0.25" r="952" customHeight="1" ht="18.75">
      <c r="A952" s="1"/>
      <c r="B952" s="169"/>
      <c r="C952" s="170"/>
      <c r="D952" s="331">
        <v>945</v>
      </c>
      <c r="E952" s="544">
        <f>+DATE(YEAR(E951),MONTH(E951)-1,DAY(E951))</f>
        <v>25569.041666666668</v>
      </c>
      <c r="F952" s="333">
        <f>IF($C$6=$E952,1,IF(MONTH($E952)=1,F953*(1+$F$5),F953))</f>
      </c>
      <c r="G952" s="333">
        <f>F952*$B$8/12</f>
      </c>
      <c r="H952" s="333">
        <f>IF(F952=1,F952*$B$10/MIN(12,'Simulador - 3º Pilar'!$E$88),0)</f>
      </c>
      <c r="I952" s="560">
        <f>(1+$G$5)^(D952/12)*(H952+IF(E952=$N$7,$N$4,0))</f>
      </c>
      <c r="J952" s="561">
        <f>(1+$G$5)^(D952/12)*(H952*(12-IF(MONTH(E953)=12,0,MONTH(E953)))+IF(AND(F952=1,F953=0),$Q$4,0))*IF(AND(F952=1,F953=0),1,0)</f>
      </c>
      <c r="K952" s="217">
        <f>(1+$G$5)^(D952/12)*(IF(E952=$N$7,$N$4,0)+IF(E952=$C$6,$B$10,0))</f>
      </c>
      <c r="L952" s="217">
        <f>(1+$G$5)^(D952/12)*(IF((E952)&gt;($B$6),H952,0)+IF(E952=$N$7,$N$4,0)+IF(E952=$C$6,0,0))</f>
      </c>
      <c r="M952" s="1"/>
      <c r="N952" s="7"/>
      <c r="O952" s="1"/>
      <c r="P952" s="331">
        <v>945</v>
      </c>
      <c r="Q952" s="544">
        <f>+DATE(YEAR(Q951),MONTH(Q951)-1,DAY(Q951))</f>
        <v>25569.041666666668</v>
      </c>
      <c r="R952" s="341">
        <f>IF($Z$7=$E952,1,IF(MONTH($E952)=1,R953*(1+$F$5),R953))</f>
      </c>
      <c r="S952" s="334">
        <f>R952*$B$8/12</f>
      </c>
      <c r="T952" s="334">
        <f>R952*$B$11/12</f>
      </c>
      <c r="U952" s="565">
        <f>(1+$V$5)^(P952/12)*(T952+IF(Q952=$Z$7,$Z$4,0))</f>
      </c>
      <c r="V952" s="170"/>
      <c r="W952" s="7"/>
      <c r="X952" s="1"/>
      <c r="Y952" s="1"/>
      <c r="Z952" s="1"/>
      <c r="AA952" s="1"/>
      <c r="AB952" s="1"/>
      <c r="AC952" s="331">
        <v>945</v>
      </c>
      <c r="AD952" s="544">
        <f>+DATE(YEAR(AD951),MONTH(AD951)-1,DAY(AD951))</f>
        <v>25569.041666666668</v>
      </c>
      <c r="AE952" s="341">
        <f>IF($AM$7=$E952,1,IF(MONTH($E952)=1,AE953*(1+$F$5),AE953))</f>
      </c>
      <c r="AF952" s="334">
        <f>AE952*$B$8/12</f>
      </c>
      <c r="AG952" s="334">
        <f>AE952*$B$12/12</f>
      </c>
      <c r="AH952" s="565">
        <f>(1+$AI$5)^(AC952/12)*(AG952+IF(AD952=$AM$7,$AM$4,0))</f>
      </c>
      <c r="AI952" s="170"/>
      <c r="AJ952" s="7"/>
      <c r="AK952" s="1"/>
      <c r="AL952" s="1"/>
      <c r="AM952" s="1"/>
    </row>
    <row x14ac:dyDescent="0.25" r="953" customHeight="1" ht="18.75">
      <c r="A953" s="1"/>
      <c r="B953" s="169"/>
      <c r="C953" s="170"/>
      <c r="D953" s="331">
        <v>946</v>
      </c>
      <c r="E953" s="544">
        <f>+DATE(YEAR(E952),MONTH(E952)-1,DAY(E952))</f>
        <v>25569.041666666668</v>
      </c>
      <c r="F953" s="333">
        <f>IF($C$6=$E953,1,IF(MONTH($E953)=1,F954*(1+$F$5),F954))</f>
      </c>
      <c r="G953" s="333">
        <f>F953*$B$8/12</f>
      </c>
      <c r="H953" s="333">
        <f>IF(F953=1,F953*$B$10/MIN(12,'Simulador - 3º Pilar'!$E$88),0)</f>
      </c>
      <c r="I953" s="560">
        <f>(1+$G$5)^(D953/12)*(H953+IF(E953=$N$7,$N$4,0))</f>
      </c>
      <c r="J953" s="561">
        <f>(1+$G$5)^(D953/12)*(H953*(12-IF(MONTH(E954)=12,0,MONTH(E954)))+IF(AND(F953=1,F954=0),$Q$4,0))*IF(AND(F953=1,F954=0),1,0)</f>
      </c>
      <c r="K953" s="217">
        <f>(1+$G$5)^(D953/12)*(IF(E953=$N$7,$N$4,0)+IF(E953=$C$6,$B$10,0))</f>
      </c>
      <c r="L953" s="217">
        <f>(1+$G$5)^(D953/12)*(IF((E953)&gt;($B$6),H953,0)+IF(E953=$N$7,$N$4,0)+IF(E953=$C$6,0,0))</f>
      </c>
      <c r="M953" s="1"/>
      <c r="N953" s="7"/>
      <c r="O953" s="1"/>
      <c r="P953" s="331">
        <v>946</v>
      </c>
      <c r="Q953" s="544">
        <f>+DATE(YEAR(Q952),MONTH(Q952)-1,DAY(Q952))</f>
        <v>25569.041666666668</v>
      </c>
      <c r="R953" s="341">
        <f>IF($Z$7=$E953,1,IF(MONTH($E953)=1,R954*(1+$F$5),R954))</f>
      </c>
      <c r="S953" s="334">
        <f>R953*$B$8/12</f>
      </c>
      <c r="T953" s="334">
        <f>R953*$B$11/12</f>
      </c>
      <c r="U953" s="565">
        <f>(1+$V$5)^(P953/12)*(T953+IF(Q953=$Z$7,$Z$4,0))</f>
      </c>
      <c r="V953" s="170"/>
      <c r="W953" s="7"/>
      <c r="X953" s="1"/>
      <c r="Y953" s="1"/>
      <c r="Z953" s="1"/>
      <c r="AA953" s="1"/>
      <c r="AB953" s="1"/>
      <c r="AC953" s="331">
        <v>946</v>
      </c>
      <c r="AD953" s="544">
        <f>+DATE(YEAR(AD952),MONTH(AD952)-1,DAY(AD952))</f>
        <v>25569.041666666668</v>
      </c>
      <c r="AE953" s="341">
        <f>IF($AM$7=$E953,1,IF(MONTH($E953)=1,AE954*(1+$F$5),AE954))</f>
      </c>
      <c r="AF953" s="334">
        <f>AE953*$B$8/12</f>
      </c>
      <c r="AG953" s="334">
        <f>AE953*$B$12/12</f>
      </c>
      <c r="AH953" s="565">
        <f>(1+$AI$5)^(AC953/12)*(AG953+IF(AD953=$AM$7,$AM$4,0))</f>
      </c>
      <c r="AI953" s="170"/>
      <c r="AJ953" s="7"/>
      <c r="AK953" s="1"/>
      <c r="AL953" s="1"/>
      <c r="AM953" s="1"/>
    </row>
    <row x14ac:dyDescent="0.25" r="954" customHeight="1" ht="18.75">
      <c r="A954" s="1"/>
      <c r="B954" s="169"/>
      <c r="C954" s="170"/>
      <c r="D954" s="331">
        <v>947</v>
      </c>
      <c r="E954" s="544">
        <f>+DATE(YEAR(E953),MONTH(E953)-1,DAY(E953))</f>
        <v>25569.041666666668</v>
      </c>
      <c r="F954" s="333">
        <f>IF($C$6=$E954,1,IF(MONTH($E954)=1,F955*(1+$F$5),F955))</f>
      </c>
      <c r="G954" s="333">
        <f>F954*$B$8/12</f>
      </c>
      <c r="H954" s="333">
        <f>IF(F954=1,F954*$B$10/MIN(12,'Simulador - 3º Pilar'!$E$88),0)</f>
      </c>
      <c r="I954" s="560">
        <f>(1+$G$5)^(D954/12)*(H954+IF(E954=$N$7,$N$4,0))</f>
      </c>
      <c r="J954" s="561">
        <f>(1+$G$5)^(D954/12)*(H954*(12-IF(MONTH(E955)=12,0,MONTH(E955)))+IF(AND(F954=1,F955=0),$Q$4,0))*IF(AND(F954=1,F955=0),1,0)</f>
      </c>
      <c r="K954" s="217">
        <f>(1+$G$5)^(D954/12)*(IF(E954=$N$7,$N$4,0)+IF(E954=$C$6,$B$10,0))</f>
      </c>
      <c r="L954" s="217">
        <f>(1+$G$5)^(D954/12)*(IF((E954)&gt;($B$6),H954,0)+IF(E954=$N$7,$N$4,0)+IF(E954=$C$6,0,0))</f>
      </c>
      <c r="M954" s="1"/>
      <c r="N954" s="7"/>
      <c r="O954" s="1"/>
      <c r="P954" s="331">
        <v>947</v>
      </c>
      <c r="Q954" s="544">
        <f>+DATE(YEAR(Q953),MONTH(Q953)-1,DAY(Q953))</f>
        <v>25569.041666666668</v>
      </c>
      <c r="R954" s="341">
        <f>IF($Z$7=$E954,1,IF(MONTH($E954)=1,R955*(1+$F$5),R955))</f>
      </c>
      <c r="S954" s="334">
        <f>R954*$B$8/12</f>
      </c>
      <c r="T954" s="334">
        <f>R954*$B$11/12</f>
      </c>
      <c r="U954" s="565">
        <f>(1+$V$5)^(P954/12)*(T954+IF(Q954=$Z$7,$Z$4,0))</f>
      </c>
      <c r="V954" s="170"/>
      <c r="W954" s="7"/>
      <c r="X954" s="1"/>
      <c r="Y954" s="1"/>
      <c r="Z954" s="1"/>
      <c r="AA954" s="1"/>
      <c r="AB954" s="1"/>
      <c r="AC954" s="331">
        <v>947</v>
      </c>
      <c r="AD954" s="544">
        <f>+DATE(YEAR(AD953),MONTH(AD953)-1,DAY(AD953))</f>
        <v>25569.041666666668</v>
      </c>
      <c r="AE954" s="341">
        <f>IF($AM$7=$E954,1,IF(MONTH($E954)=1,AE955*(1+$F$5),AE955))</f>
      </c>
      <c r="AF954" s="334">
        <f>AE954*$B$8/12</f>
      </c>
      <c r="AG954" s="334">
        <f>AE954*$B$12/12</f>
      </c>
      <c r="AH954" s="565">
        <f>(1+$AI$5)^(AC954/12)*(AG954+IF(AD954=$AM$7,$AM$4,0))</f>
      </c>
      <c r="AI954" s="170"/>
      <c r="AJ954" s="7"/>
      <c r="AK954" s="1"/>
      <c r="AL954" s="1"/>
      <c r="AM954" s="1"/>
    </row>
    <row x14ac:dyDescent="0.25" r="955" customHeight="1" ht="18.75">
      <c r="A955" s="1"/>
      <c r="B955" s="169"/>
      <c r="C955" s="170"/>
      <c r="D955" s="331">
        <v>948</v>
      </c>
      <c r="E955" s="544">
        <f>+DATE(YEAR(E954),MONTH(E954)-1,DAY(E954))</f>
        <v>25569.041666666668</v>
      </c>
      <c r="F955" s="333">
        <f>IF($C$6=$E955,1,IF(MONTH($E955)=1,F956*(1+$F$5),F956))</f>
      </c>
      <c r="G955" s="333">
        <f>F955*$B$8/12</f>
      </c>
      <c r="H955" s="333">
        <f>IF(F955=1,F955*$B$10/MIN(12,'Simulador - 3º Pilar'!$E$88),0)</f>
      </c>
      <c r="I955" s="560">
        <f>(1+$G$5)^(D955/12)*(H955+IF(E955=$N$7,$N$4,0))</f>
      </c>
      <c r="J955" s="561">
        <f>(1+$G$5)^(D955/12)*(H955*(12-IF(MONTH(E956)=12,0,MONTH(E956)))+IF(AND(F955=1,F956=0),$Q$4,0))*IF(AND(F955=1,F956=0),1,0)</f>
      </c>
      <c r="K955" s="217">
        <f>(1+$G$5)^(D955/12)*(IF(E955=$N$7,$N$4,0)+IF(E955=$C$6,$B$10,0))</f>
      </c>
      <c r="L955" s="217">
        <f>(1+$G$5)^(D955/12)*(IF((E955)&gt;($B$6),H955,0)+IF(E955=$N$7,$N$4,0)+IF(E955=$C$6,0,0))</f>
      </c>
      <c r="M955" s="1"/>
      <c r="N955" s="7"/>
      <c r="O955" s="1"/>
      <c r="P955" s="331">
        <v>948</v>
      </c>
      <c r="Q955" s="544">
        <f>+DATE(YEAR(Q954),MONTH(Q954)-1,DAY(Q954))</f>
        <v>25569.041666666668</v>
      </c>
      <c r="R955" s="341">
        <f>IF($Z$7=$E955,1,IF(MONTH($E955)=1,R956*(1+$F$5),R956))</f>
      </c>
      <c r="S955" s="334">
        <f>R955*$B$8/12</f>
      </c>
      <c r="T955" s="334">
        <f>R955*$B$11/12</f>
      </c>
      <c r="U955" s="565">
        <f>(1+$V$5)^(P955/12)*(T955+IF(Q955=$Z$7,$Z$4,0))</f>
      </c>
      <c r="V955" s="170"/>
      <c r="W955" s="7"/>
      <c r="X955" s="1"/>
      <c r="Y955" s="1"/>
      <c r="Z955" s="1"/>
      <c r="AA955" s="1"/>
      <c r="AB955" s="1"/>
      <c r="AC955" s="331">
        <v>948</v>
      </c>
      <c r="AD955" s="544">
        <f>+DATE(YEAR(AD954),MONTH(AD954)-1,DAY(AD954))</f>
        <v>25569.041666666668</v>
      </c>
      <c r="AE955" s="341">
        <f>IF($AM$7=$E955,1,IF(MONTH($E955)=1,AE956*(1+$F$5),AE956))</f>
      </c>
      <c r="AF955" s="334">
        <f>AE955*$B$8/12</f>
      </c>
      <c r="AG955" s="334">
        <f>AE955*$B$12/12</f>
      </c>
      <c r="AH955" s="565">
        <f>(1+$AI$5)^(AC955/12)*(AG955+IF(AD955=$AM$7,$AM$4,0))</f>
      </c>
      <c r="AI955" s="170"/>
      <c r="AJ955" s="7"/>
      <c r="AK955" s="1"/>
      <c r="AL955" s="1"/>
      <c r="AM955" s="1"/>
    </row>
    <row x14ac:dyDescent="0.25" r="956" customHeight="1" ht="18.75">
      <c r="A956" s="1"/>
      <c r="B956" s="169"/>
      <c r="C956" s="170"/>
      <c r="D956" s="331">
        <v>949</v>
      </c>
      <c r="E956" s="544">
        <f>+DATE(YEAR(E955),MONTH(E955)-1,DAY(E955))</f>
        <v>25569.041666666668</v>
      </c>
      <c r="F956" s="333">
        <f>IF($C$6=$E956,1,IF(MONTH($E956)=1,F957*(1+$F$5),F957))</f>
      </c>
      <c r="G956" s="333">
        <f>F956*$B$8/12</f>
      </c>
      <c r="H956" s="333">
        <f>IF(F956=1,F956*$B$10/MIN(12,'Simulador - 3º Pilar'!$E$88),0)</f>
      </c>
      <c r="I956" s="560">
        <f>(1+$G$5)^(D956/12)*(H956+IF(E956=$N$7,$N$4,0))</f>
      </c>
      <c r="J956" s="561">
        <f>(1+$G$5)^(D956/12)*(H956*(12-IF(MONTH(E957)=12,0,MONTH(E957)))+IF(AND(F956=1,F957=0),$Q$4,0))*IF(AND(F956=1,F957=0),1,0)</f>
      </c>
      <c r="K956" s="217">
        <f>(1+$G$5)^(D956/12)*(IF(E956=$N$7,$N$4,0)+IF(E956=$C$6,$B$10,0))</f>
      </c>
      <c r="L956" s="217">
        <f>(1+$G$5)^(D956/12)*(IF((E956)&gt;($B$6),H956,0)+IF(E956=$N$7,$N$4,0)+IF(E956=$C$6,0,0))</f>
      </c>
      <c r="M956" s="1"/>
      <c r="N956" s="7"/>
      <c r="O956" s="1"/>
      <c r="P956" s="331">
        <v>949</v>
      </c>
      <c r="Q956" s="544">
        <f>+DATE(YEAR(Q955),MONTH(Q955)-1,DAY(Q955))</f>
        <v>25569.041666666668</v>
      </c>
      <c r="R956" s="341">
        <f>IF($Z$7=$E956,1,IF(MONTH($E956)=1,R957*(1+$F$5),R957))</f>
      </c>
      <c r="S956" s="334">
        <f>R956*$B$8/12</f>
      </c>
      <c r="T956" s="334">
        <f>R956*$B$11/12</f>
      </c>
      <c r="U956" s="565">
        <f>(1+$V$5)^(P956/12)*(T956+IF(Q956=$Z$7,$Z$4,0))</f>
      </c>
      <c r="V956" s="170"/>
      <c r="W956" s="7"/>
      <c r="X956" s="1"/>
      <c r="Y956" s="1"/>
      <c r="Z956" s="1"/>
      <c r="AA956" s="1"/>
      <c r="AB956" s="1"/>
      <c r="AC956" s="331">
        <v>949</v>
      </c>
      <c r="AD956" s="544">
        <f>+DATE(YEAR(AD955),MONTH(AD955)-1,DAY(AD955))</f>
        <v>25569.041666666668</v>
      </c>
      <c r="AE956" s="341">
        <f>IF($AM$7=$E956,1,IF(MONTH($E956)=1,AE957*(1+$F$5),AE957))</f>
      </c>
      <c r="AF956" s="334">
        <f>AE956*$B$8/12</f>
      </c>
      <c r="AG956" s="334">
        <f>AE956*$B$12/12</f>
      </c>
      <c r="AH956" s="565">
        <f>(1+$AI$5)^(AC956/12)*(AG956+IF(AD956=$AM$7,$AM$4,0))</f>
      </c>
      <c r="AI956" s="170"/>
      <c r="AJ956" s="7"/>
      <c r="AK956" s="1"/>
      <c r="AL956" s="1"/>
      <c r="AM956" s="1"/>
    </row>
    <row x14ac:dyDescent="0.25" r="957" customHeight="1" ht="18.75">
      <c r="A957" s="1"/>
      <c r="B957" s="169"/>
      <c r="C957" s="170"/>
      <c r="D957" s="331">
        <v>950</v>
      </c>
      <c r="E957" s="544">
        <f>+DATE(YEAR(E956),MONTH(E956)-1,DAY(E956))</f>
        <v>25569.041666666668</v>
      </c>
      <c r="F957" s="333">
        <f>IF($C$6=$E957,1,IF(MONTH($E957)=1,F958*(1+$F$5),F958))</f>
      </c>
      <c r="G957" s="333">
        <f>F957*$B$8/12</f>
      </c>
      <c r="H957" s="333">
        <f>IF(F957=1,F957*$B$10/MIN(12,'Simulador - 3º Pilar'!$E$88),0)</f>
      </c>
      <c r="I957" s="560">
        <f>(1+$G$5)^(D957/12)*(H957+IF(E957=$N$7,$N$4,0))</f>
      </c>
      <c r="J957" s="561">
        <f>(1+$G$5)^(D957/12)*(H957*(12-IF(MONTH(E958)=12,0,MONTH(E958)))+IF(AND(F957=1,F958=0),$Q$4,0))*IF(AND(F957=1,F958=0),1,0)</f>
      </c>
      <c r="K957" s="217">
        <f>(1+$G$5)^(D957/12)*(IF(E957=$N$7,$N$4,0)+IF(E957=$C$6,$B$10,0))</f>
      </c>
      <c r="L957" s="217">
        <f>(1+$G$5)^(D957/12)*(IF((E957)&gt;($B$6),H957,0)+IF(E957=$N$7,$N$4,0)+IF(E957=$C$6,0,0))</f>
      </c>
      <c r="M957" s="1"/>
      <c r="N957" s="7"/>
      <c r="O957" s="1"/>
      <c r="P957" s="331">
        <v>950</v>
      </c>
      <c r="Q957" s="544">
        <f>+DATE(YEAR(Q956),MONTH(Q956)-1,DAY(Q956))</f>
        <v>25569.041666666668</v>
      </c>
      <c r="R957" s="341">
        <f>IF($Z$7=$E957,1,IF(MONTH($E957)=1,R958*(1+$F$5),R958))</f>
      </c>
      <c r="S957" s="334">
        <f>R957*$B$8/12</f>
      </c>
      <c r="T957" s="334">
        <f>R957*$B$11/12</f>
      </c>
      <c r="U957" s="565">
        <f>(1+$V$5)^(P957/12)*(T957+IF(Q957=$Z$7,$Z$4,0))</f>
      </c>
      <c r="V957" s="170"/>
      <c r="W957" s="7"/>
      <c r="X957" s="1"/>
      <c r="Y957" s="1"/>
      <c r="Z957" s="1"/>
      <c r="AA957" s="1"/>
      <c r="AB957" s="1"/>
      <c r="AC957" s="331">
        <v>950</v>
      </c>
      <c r="AD957" s="544">
        <f>+DATE(YEAR(AD956),MONTH(AD956)-1,DAY(AD956))</f>
        <v>25569.041666666668</v>
      </c>
      <c r="AE957" s="341">
        <f>IF($AM$7=$E957,1,IF(MONTH($E957)=1,AE958*(1+$F$5),AE958))</f>
      </c>
      <c r="AF957" s="334">
        <f>AE957*$B$8/12</f>
      </c>
      <c r="AG957" s="334">
        <f>AE957*$B$12/12</f>
      </c>
      <c r="AH957" s="565">
        <f>(1+$AI$5)^(AC957/12)*(AG957+IF(AD957=$AM$7,$AM$4,0))</f>
      </c>
      <c r="AI957" s="170"/>
      <c r="AJ957" s="7"/>
      <c r="AK957" s="1"/>
      <c r="AL957" s="1"/>
      <c r="AM957" s="1"/>
    </row>
    <row x14ac:dyDescent="0.25" r="958" customHeight="1" ht="18.75">
      <c r="A958" s="1"/>
      <c r="B958" s="169"/>
      <c r="C958" s="170"/>
      <c r="D958" s="331">
        <v>951</v>
      </c>
      <c r="E958" s="544">
        <f>+DATE(YEAR(E957),MONTH(E957)-1,DAY(E957))</f>
        <v>25569.041666666668</v>
      </c>
      <c r="F958" s="333">
        <f>IF($C$6=$E958,1,IF(MONTH($E958)=1,F959*(1+$F$5),F959))</f>
      </c>
      <c r="G958" s="333">
        <f>F958*$B$8/12</f>
      </c>
      <c r="H958" s="333">
        <f>IF(F958=1,F958*$B$10/MIN(12,'Simulador - 3º Pilar'!$E$88),0)</f>
      </c>
      <c r="I958" s="560">
        <f>(1+$G$5)^(D958/12)*(H958+IF(E958=$N$7,$N$4,0))</f>
      </c>
      <c r="J958" s="561">
        <f>(1+$G$5)^(D958/12)*(H958*(12-IF(MONTH(E959)=12,0,MONTH(E959)))+IF(AND(F958=1,F959=0),$Q$4,0))*IF(AND(F958=1,F959=0),1,0)</f>
      </c>
      <c r="K958" s="217">
        <f>(1+$G$5)^(D958/12)*(IF(E958=$N$7,$N$4,0)+IF(E958=$C$6,$B$10,0))</f>
      </c>
      <c r="L958" s="217">
        <f>(1+$G$5)^(D958/12)*(IF((E958)&gt;($B$6),H958,0)+IF(E958=$N$7,$N$4,0)+IF(E958=$C$6,0,0))</f>
      </c>
      <c r="M958" s="1"/>
      <c r="N958" s="7"/>
      <c r="O958" s="1"/>
      <c r="P958" s="331">
        <v>951</v>
      </c>
      <c r="Q958" s="544">
        <f>+DATE(YEAR(Q957),MONTH(Q957)-1,DAY(Q957))</f>
        <v>25569.041666666668</v>
      </c>
      <c r="R958" s="341">
        <f>IF($Z$7=$E958,1,IF(MONTH($E958)=1,R959*(1+$F$5),R959))</f>
      </c>
      <c r="S958" s="334">
        <f>R958*$B$8/12</f>
      </c>
      <c r="T958" s="334">
        <f>R958*$B$11/12</f>
      </c>
      <c r="U958" s="565">
        <f>(1+$V$5)^(P958/12)*(T958+IF(Q958=$Z$7,$Z$4,0))</f>
      </c>
      <c r="V958" s="170"/>
      <c r="W958" s="7"/>
      <c r="X958" s="1"/>
      <c r="Y958" s="1"/>
      <c r="Z958" s="1"/>
      <c r="AA958" s="1"/>
      <c r="AB958" s="1"/>
      <c r="AC958" s="331">
        <v>951</v>
      </c>
      <c r="AD958" s="544">
        <f>+DATE(YEAR(AD957),MONTH(AD957)-1,DAY(AD957))</f>
        <v>25569.041666666668</v>
      </c>
      <c r="AE958" s="341">
        <f>IF($AM$7=$E958,1,IF(MONTH($E958)=1,AE959*(1+$F$5),AE959))</f>
      </c>
      <c r="AF958" s="334">
        <f>AE958*$B$8/12</f>
      </c>
      <c r="AG958" s="334">
        <f>AE958*$B$12/12</f>
      </c>
      <c r="AH958" s="565">
        <f>(1+$AI$5)^(AC958/12)*(AG958+IF(AD958=$AM$7,$AM$4,0))</f>
      </c>
      <c r="AI958" s="170"/>
      <c r="AJ958" s="7"/>
      <c r="AK958" s="1"/>
      <c r="AL958" s="1"/>
      <c r="AM958" s="1"/>
    </row>
    <row x14ac:dyDescent="0.25" r="959" customHeight="1" ht="18.75">
      <c r="A959" s="1"/>
      <c r="B959" s="169"/>
      <c r="C959" s="170"/>
      <c r="D959" s="331">
        <v>952</v>
      </c>
      <c r="E959" s="544">
        <f>+DATE(YEAR(E958),MONTH(E958)-1,DAY(E958))</f>
        <v>25569.041666666668</v>
      </c>
      <c r="F959" s="333">
        <f>IF($C$6=$E959,1,IF(MONTH($E959)=1,F960*(1+$F$5),F960))</f>
      </c>
      <c r="G959" s="333">
        <f>F959*$B$8/12</f>
      </c>
      <c r="H959" s="333">
        <f>IF(F959=1,F959*$B$10/MIN(12,'Simulador - 3º Pilar'!$E$88),0)</f>
      </c>
      <c r="I959" s="560">
        <f>(1+$G$5)^(D959/12)*(H959+IF(E959=$N$7,$N$4,0))</f>
      </c>
      <c r="J959" s="561">
        <f>(1+$G$5)^(D959/12)*(H959*(12-IF(MONTH(E960)=12,0,MONTH(E960)))+IF(AND(F959=1,F960=0),$Q$4,0))*IF(AND(F959=1,F960=0),1,0)</f>
      </c>
      <c r="K959" s="217">
        <f>(1+$G$5)^(D959/12)*(IF(E959=$N$7,$N$4,0)+IF(E959=$C$6,$B$10,0))</f>
      </c>
      <c r="L959" s="217">
        <f>(1+$G$5)^(D959/12)*(IF((E959)&gt;($B$6),H959,0)+IF(E959=$N$7,$N$4,0)+IF(E959=$C$6,0,0))</f>
      </c>
      <c r="M959" s="1"/>
      <c r="N959" s="7"/>
      <c r="O959" s="1"/>
      <c r="P959" s="331">
        <v>952</v>
      </c>
      <c r="Q959" s="544">
        <f>+DATE(YEAR(Q958),MONTH(Q958)-1,DAY(Q958))</f>
        <v>25569.041666666668</v>
      </c>
      <c r="R959" s="341">
        <f>IF($Z$7=$E959,1,IF(MONTH($E959)=1,R960*(1+$F$5),R960))</f>
      </c>
      <c r="S959" s="334">
        <f>R959*$B$8/12</f>
      </c>
      <c r="T959" s="334">
        <f>R959*$B$11/12</f>
      </c>
      <c r="U959" s="565">
        <f>(1+$V$5)^(P959/12)*(T959+IF(Q959=$Z$7,$Z$4,0))</f>
      </c>
      <c r="V959" s="170"/>
      <c r="W959" s="7"/>
      <c r="X959" s="1"/>
      <c r="Y959" s="1"/>
      <c r="Z959" s="1"/>
      <c r="AA959" s="1"/>
      <c r="AB959" s="1"/>
      <c r="AC959" s="331">
        <v>952</v>
      </c>
      <c r="AD959" s="544">
        <f>+DATE(YEAR(AD958),MONTH(AD958)-1,DAY(AD958))</f>
        <v>25569.041666666668</v>
      </c>
      <c r="AE959" s="341">
        <f>IF($AM$7=$E959,1,IF(MONTH($E959)=1,AE960*(1+$F$5),AE960))</f>
      </c>
      <c r="AF959" s="334">
        <f>AE959*$B$8/12</f>
      </c>
      <c r="AG959" s="334">
        <f>AE959*$B$12/12</f>
      </c>
      <c r="AH959" s="565">
        <f>(1+$AI$5)^(AC959/12)*(AG959+IF(AD959=$AM$7,$AM$4,0))</f>
      </c>
      <c r="AI959" s="170"/>
      <c r="AJ959" s="7"/>
      <c r="AK959" s="1"/>
      <c r="AL959" s="1"/>
      <c r="AM959" s="1"/>
    </row>
    <row x14ac:dyDescent="0.25" r="960" customHeight="1" ht="18.75">
      <c r="A960" s="1"/>
      <c r="B960" s="169"/>
      <c r="C960" s="170"/>
      <c r="D960" s="331">
        <v>953</v>
      </c>
      <c r="E960" s="544">
        <f>+DATE(YEAR(E959),MONTH(E959)-1,DAY(E959))</f>
        <v>25569.041666666668</v>
      </c>
      <c r="F960" s="333">
        <f>IF($C$6=$E960,1,IF(MONTH($E960)=1,F961*(1+$F$5),F961))</f>
      </c>
      <c r="G960" s="333">
        <f>F960*$B$8/12</f>
      </c>
      <c r="H960" s="333">
        <f>IF(F960=1,F960*$B$10/MIN(12,'Simulador - 3º Pilar'!$E$88),0)</f>
      </c>
      <c r="I960" s="560">
        <f>(1+$G$5)^(D960/12)*(H960+IF(E960=$N$7,$N$4,0))</f>
      </c>
      <c r="J960" s="561">
        <f>(1+$G$5)^(D960/12)*(H960*(12-IF(MONTH(E961)=12,0,MONTH(E961)))+IF(AND(F960=1,F961=0),$Q$4,0))*IF(AND(F960=1,F961=0),1,0)</f>
      </c>
      <c r="K960" s="217">
        <f>(1+$G$5)^(D960/12)*(IF(E960=$N$7,$N$4,0)+IF(E960=$C$6,$B$10,0))</f>
      </c>
      <c r="L960" s="217">
        <f>(1+$G$5)^(D960/12)*(IF((E960)&gt;($B$6),H960,0)+IF(E960=$N$7,$N$4,0)+IF(E960=$C$6,0,0))</f>
      </c>
      <c r="M960" s="1"/>
      <c r="N960" s="7"/>
      <c r="O960" s="1"/>
      <c r="P960" s="331">
        <v>953</v>
      </c>
      <c r="Q960" s="544">
        <f>+DATE(YEAR(Q959),MONTH(Q959)-1,DAY(Q959))</f>
        <v>25569.041666666668</v>
      </c>
      <c r="R960" s="341">
        <f>IF($Z$7=$E960,1,IF(MONTH($E960)=1,R961*(1+$F$5),R961))</f>
      </c>
      <c r="S960" s="334">
        <f>R960*$B$8/12</f>
      </c>
      <c r="T960" s="334">
        <f>R960*$B$11/12</f>
      </c>
      <c r="U960" s="565">
        <f>(1+$V$5)^(P960/12)*(T960+IF(Q960=$Z$7,$Z$4,0))</f>
      </c>
      <c r="V960" s="170"/>
      <c r="W960" s="7"/>
      <c r="X960" s="1"/>
      <c r="Y960" s="1"/>
      <c r="Z960" s="1"/>
      <c r="AA960" s="1"/>
      <c r="AB960" s="1"/>
      <c r="AC960" s="331">
        <v>953</v>
      </c>
      <c r="AD960" s="544">
        <f>+DATE(YEAR(AD959),MONTH(AD959)-1,DAY(AD959))</f>
        <v>25569.041666666668</v>
      </c>
      <c r="AE960" s="341">
        <f>IF($AM$7=$E960,1,IF(MONTH($E960)=1,AE961*(1+$F$5),AE961))</f>
      </c>
      <c r="AF960" s="334">
        <f>AE960*$B$8/12</f>
      </c>
      <c r="AG960" s="334">
        <f>AE960*$B$12/12</f>
      </c>
      <c r="AH960" s="565">
        <f>(1+$AI$5)^(AC960/12)*(AG960+IF(AD960=$AM$7,$AM$4,0))</f>
      </c>
      <c r="AI960" s="170"/>
      <c r="AJ960" s="7"/>
      <c r="AK960" s="1"/>
      <c r="AL960" s="1"/>
      <c r="AM960" s="1"/>
    </row>
    <row x14ac:dyDescent="0.25" r="961" customHeight="1" ht="18.75">
      <c r="A961" s="1"/>
      <c r="B961" s="169"/>
      <c r="C961" s="170"/>
      <c r="D961" s="331">
        <v>954</v>
      </c>
      <c r="E961" s="544">
        <f>+DATE(YEAR(E960),MONTH(E960)-1,DAY(E960))</f>
        <v>25569.041666666668</v>
      </c>
      <c r="F961" s="333">
        <f>IF($C$6=$E961,1,IF(MONTH($E961)=1,F962*(1+$F$5),F962))</f>
      </c>
      <c r="G961" s="333">
        <f>F961*$B$8/12</f>
      </c>
      <c r="H961" s="333">
        <f>IF(F961=1,F961*$B$10/MIN(12,'Simulador - 3º Pilar'!$E$88),0)</f>
      </c>
      <c r="I961" s="560">
        <f>(1+$G$5)^(D961/12)*(H961+IF(E961=$N$7,$N$4,0))</f>
      </c>
      <c r="J961" s="561">
        <f>(1+$G$5)^(D961/12)*(H961*(12-IF(MONTH(E962)=12,0,MONTH(E962)))+IF(AND(F961=1,F962=0),$Q$4,0))*IF(AND(F961=1,F962=0),1,0)</f>
      </c>
      <c r="K961" s="217">
        <f>(1+$G$5)^(D961/12)*(IF(E961=$N$7,$N$4,0)+IF(E961=$C$6,$B$10,0))</f>
      </c>
      <c r="L961" s="217">
        <f>(1+$G$5)^(D961/12)*(IF((E961)&gt;($B$6),H961,0)+IF(E961=$N$7,$N$4,0)+IF(E961=$C$6,0,0))</f>
      </c>
      <c r="M961" s="1"/>
      <c r="N961" s="7"/>
      <c r="O961" s="1"/>
      <c r="P961" s="331">
        <v>954</v>
      </c>
      <c r="Q961" s="544">
        <f>+DATE(YEAR(Q960),MONTH(Q960)-1,DAY(Q960))</f>
        <v>25569.041666666668</v>
      </c>
      <c r="R961" s="341">
        <f>IF($Z$7=$E961,1,IF(MONTH($E961)=1,R962*(1+$F$5),R962))</f>
      </c>
      <c r="S961" s="334">
        <f>R961*$B$8/12</f>
      </c>
      <c r="T961" s="334">
        <f>R961*$B$11/12</f>
      </c>
      <c r="U961" s="565">
        <f>(1+$V$5)^(P961/12)*(T961+IF(Q961=$Z$7,$Z$4,0))</f>
      </c>
      <c r="V961" s="170"/>
      <c r="W961" s="7"/>
      <c r="X961" s="1"/>
      <c r="Y961" s="1"/>
      <c r="Z961" s="1"/>
      <c r="AA961" s="1"/>
      <c r="AB961" s="1"/>
      <c r="AC961" s="331">
        <v>954</v>
      </c>
      <c r="AD961" s="544">
        <f>+DATE(YEAR(AD960),MONTH(AD960)-1,DAY(AD960))</f>
        <v>25569.041666666668</v>
      </c>
      <c r="AE961" s="341">
        <f>IF($AM$7=$E961,1,IF(MONTH($E961)=1,AE962*(1+$F$5),AE962))</f>
      </c>
      <c r="AF961" s="334">
        <f>AE961*$B$8/12</f>
      </c>
      <c r="AG961" s="334">
        <f>AE961*$B$12/12</f>
      </c>
      <c r="AH961" s="565">
        <f>(1+$AI$5)^(AC961/12)*(AG961+IF(AD961=$AM$7,$AM$4,0))</f>
      </c>
      <c r="AI961" s="170"/>
      <c r="AJ961" s="7"/>
      <c r="AK961" s="1"/>
      <c r="AL961" s="1"/>
      <c r="AM961" s="1"/>
    </row>
    <row x14ac:dyDescent="0.25" r="962" customHeight="1" ht="18.75">
      <c r="A962" s="1"/>
      <c r="B962" s="169"/>
      <c r="C962" s="170"/>
      <c r="D962" s="331">
        <v>955</v>
      </c>
      <c r="E962" s="544">
        <f>+DATE(YEAR(E961),MONTH(E961)-1,DAY(E961))</f>
        <v>25569.041666666668</v>
      </c>
      <c r="F962" s="333">
        <f>IF($C$6=$E962,1,IF(MONTH($E962)=1,F963*(1+$F$5),F963))</f>
      </c>
      <c r="G962" s="333">
        <f>F962*$B$8/12</f>
      </c>
      <c r="H962" s="333">
        <f>IF(F962=1,F962*$B$10/MIN(12,'Simulador - 3º Pilar'!$E$88),0)</f>
      </c>
      <c r="I962" s="560">
        <f>(1+$G$5)^(D962/12)*(H962+IF(E962=$N$7,$N$4,0))</f>
      </c>
      <c r="J962" s="561">
        <f>(1+$G$5)^(D962/12)*(H962*(12-IF(MONTH(E963)=12,0,MONTH(E963)))+IF(AND(F962=1,F963=0),$Q$4,0))*IF(AND(F962=1,F963=0),1,0)</f>
      </c>
      <c r="K962" s="217">
        <f>(1+$G$5)^(D962/12)*(IF(E962=$N$7,$N$4,0)+IF(E962=$C$6,$B$10,0))</f>
      </c>
      <c r="L962" s="217">
        <f>(1+$G$5)^(D962/12)*(IF((E962)&gt;($B$6),H962,0)+IF(E962=$N$7,$N$4,0)+IF(E962=$C$6,0,0))</f>
      </c>
      <c r="M962" s="1"/>
      <c r="N962" s="7"/>
      <c r="O962" s="1"/>
      <c r="P962" s="331">
        <v>955</v>
      </c>
      <c r="Q962" s="544">
        <f>+DATE(YEAR(Q961),MONTH(Q961)-1,DAY(Q961))</f>
        <v>25569.041666666668</v>
      </c>
      <c r="R962" s="341">
        <f>IF($Z$7=$E962,1,IF(MONTH($E962)=1,R963*(1+$F$5),R963))</f>
      </c>
      <c r="S962" s="334">
        <f>R962*$B$8/12</f>
      </c>
      <c r="T962" s="334">
        <f>R962*$B$11/12</f>
      </c>
      <c r="U962" s="565">
        <f>(1+$V$5)^(P962/12)*(T962+IF(Q962=$Z$7,$Z$4,0))</f>
      </c>
      <c r="V962" s="170"/>
      <c r="W962" s="7"/>
      <c r="X962" s="1"/>
      <c r="Y962" s="1"/>
      <c r="Z962" s="1"/>
      <c r="AA962" s="1"/>
      <c r="AB962" s="1"/>
      <c r="AC962" s="331">
        <v>955</v>
      </c>
      <c r="AD962" s="544">
        <f>+DATE(YEAR(AD961),MONTH(AD961)-1,DAY(AD961))</f>
        <v>25569.041666666668</v>
      </c>
      <c r="AE962" s="341">
        <f>IF($AM$7=$E962,1,IF(MONTH($E962)=1,AE963*(1+$F$5),AE963))</f>
      </c>
      <c r="AF962" s="334">
        <f>AE962*$B$8/12</f>
      </c>
      <c r="AG962" s="334">
        <f>AE962*$B$12/12</f>
      </c>
      <c r="AH962" s="565">
        <f>(1+$AI$5)^(AC962/12)*(AG962+IF(AD962=$AM$7,$AM$4,0))</f>
      </c>
      <c r="AI962" s="170"/>
      <c r="AJ962" s="7"/>
      <c r="AK962" s="1"/>
      <c r="AL962" s="1"/>
      <c r="AM962" s="1"/>
    </row>
    <row x14ac:dyDescent="0.25" r="963" customHeight="1" ht="18.75">
      <c r="A963" s="1"/>
      <c r="B963" s="169"/>
      <c r="C963" s="170"/>
      <c r="D963" s="331">
        <v>956</v>
      </c>
      <c r="E963" s="544">
        <f>+DATE(YEAR(E962),MONTH(E962)-1,DAY(E962))</f>
        <v>25569.041666666668</v>
      </c>
      <c r="F963" s="333">
        <f>IF($C$6=$E963,1,IF(MONTH($E963)=1,F964*(1+$F$5),F964))</f>
      </c>
      <c r="G963" s="333">
        <f>F963*$B$8/12</f>
      </c>
      <c r="H963" s="333">
        <f>IF(F963=1,F963*$B$10/MIN(12,'Simulador - 3º Pilar'!$E$88),0)</f>
      </c>
      <c r="I963" s="560">
        <f>(1+$G$5)^(D963/12)*(H963+IF(E963=$N$7,$N$4,0))</f>
      </c>
      <c r="J963" s="561">
        <f>(1+$G$5)^(D963/12)*(H963*(12-IF(MONTH(E964)=12,0,MONTH(E964)))+IF(AND(F963=1,F964=0),$Q$4,0))*IF(AND(F963=1,F964=0),1,0)</f>
      </c>
      <c r="K963" s="217">
        <f>(1+$G$5)^(D963/12)*(IF(E963=$N$7,$N$4,0)+IF(E963=$C$6,$B$10,0))</f>
      </c>
      <c r="L963" s="217">
        <f>(1+$G$5)^(D963/12)*(IF((E963)&gt;($B$6),H963,0)+IF(E963=$N$7,$N$4,0)+IF(E963=$C$6,0,0))</f>
      </c>
      <c r="M963" s="1"/>
      <c r="N963" s="7"/>
      <c r="O963" s="1"/>
      <c r="P963" s="331">
        <v>956</v>
      </c>
      <c r="Q963" s="544">
        <f>+DATE(YEAR(Q962),MONTH(Q962)-1,DAY(Q962))</f>
        <v>25569.041666666668</v>
      </c>
      <c r="R963" s="341">
        <f>IF($Z$7=$E963,1,IF(MONTH($E963)=1,R964*(1+$F$5),R964))</f>
      </c>
      <c r="S963" s="334">
        <f>R963*$B$8/12</f>
      </c>
      <c r="T963" s="334">
        <f>R963*$B$11/12</f>
      </c>
      <c r="U963" s="565">
        <f>(1+$V$5)^(P963/12)*(T963+IF(Q963=$Z$7,$Z$4,0))</f>
      </c>
      <c r="V963" s="170"/>
      <c r="W963" s="7"/>
      <c r="X963" s="1"/>
      <c r="Y963" s="1"/>
      <c r="Z963" s="1"/>
      <c r="AA963" s="1"/>
      <c r="AB963" s="1"/>
      <c r="AC963" s="331">
        <v>956</v>
      </c>
      <c r="AD963" s="544">
        <f>+DATE(YEAR(AD962),MONTH(AD962)-1,DAY(AD962))</f>
        <v>25569.041666666668</v>
      </c>
      <c r="AE963" s="341">
        <f>IF($AM$7=$E963,1,IF(MONTH($E963)=1,AE964*(1+$F$5),AE964))</f>
      </c>
      <c r="AF963" s="334">
        <f>AE963*$B$8/12</f>
      </c>
      <c r="AG963" s="334">
        <f>AE963*$B$12/12</f>
      </c>
      <c r="AH963" s="565">
        <f>(1+$AI$5)^(AC963/12)*(AG963+IF(AD963=$AM$7,$AM$4,0))</f>
      </c>
      <c r="AI963" s="170"/>
      <c r="AJ963" s="7"/>
      <c r="AK963" s="1"/>
      <c r="AL963" s="1"/>
      <c r="AM963" s="1"/>
    </row>
    <row x14ac:dyDescent="0.25" r="964" customHeight="1" ht="18.75">
      <c r="A964" s="1"/>
      <c r="B964" s="169"/>
      <c r="C964" s="170"/>
      <c r="D964" s="331">
        <v>957</v>
      </c>
      <c r="E964" s="544">
        <f>+DATE(YEAR(E963),MONTH(E963)-1,DAY(E963))</f>
        <v>25569.041666666668</v>
      </c>
      <c r="F964" s="333">
        <f>IF($C$6=$E964,1,IF(MONTH($E964)=1,F965*(1+$F$5),F965))</f>
      </c>
      <c r="G964" s="333">
        <f>F964*$B$8/12</f>
      </c>
      <c r="H964" s="333">
        <f>IF(F964=1,F964*$B$10/MIN(12,'Simulador - 3º Pilar'!$E$88),0)</f>
      </c>
      <c r="I964" s="560">
        <f>(1+$G$5)^(D964/12)*(H964+IF(E964=$N$7,$N$4,0))</f>
      </c>
      <c r="J964" s="561">
        <f>(1+$G$5)^(D964/12)*(H964*(12-IF(MONTH(E965)=12,0,MONTH(E965)))+IF(AND(F964=1,F965=0),$Q$4,0))*IF(AND(F964=1,F965=0),1,0)</f>
      </c>
      <c r="K964" s="217">
        <f>(1+$G$5)^(D964/12)*(IF(E964=$N$7,$N$4,0)+IF(E964=$C$6,$B$10,0))</f>
      </c>
      <c r="L964" s="217">
        <f>(1+$G$5)^(D964/12)*(IF((E964)&gt;($B$6),H964,0)+IF(E964=$N$7,$N$4,0)+IF(E964=$C$6,0,0))</f>
      </c>
      <c r="M964" s="1"/>
      <c r="N964" s="7"/>
      <c r="O964" s="1"/>
      <c r="P964" s="331">
        <v>957</v>
      </c>
      <c r="Q964" s="544">
        <f>+DATE(YEAR(Q963),MONTH(Q963)-1,DAY(Q963))</f>
        <v>25569.041666666668</v>
      </c>
      <c r="R964" s="341">
        <f>IF($Z$7=$E964,1,IF(MONTH($E964)=1,R965*(1+$F$5),R965))</f>
      </c>
      <c r="S964" s="334">
        <f>R964*$B$8/12</f>
      </c>
      <c r="T964" s="334">
        <f>R964*$B$11/12</f>
      </c>
      <c r="U964" s="565">
        <f>(1+$V$5)^(P964/12)*(T964+IF(Q964=$Z$7,$Z$4,0))</f>
      </c>
      <c r="V964" s="170"/>
      <c r="W964" s="7"/>
      <c r="X964" s="1"/>
      <c r="Y964" s="1"/>
      <c r="Z964" s="1"/>
      <c r="AA964" s="1"/>
      <c r="AB964" s="1"/>
      <c r="AC964" s="331">
        <v>957</v>
      </c>
      <c r="AD964" s="544">
        <f>+DATE(YEAR(AD963),MONTH(AD963)-1,DAY(AD963))</f>
        <v>25569.041666666668</v>
      </c>
      <c r="AE964" s="341">
        <f>IF($AM$7=$E964,1,IF(MONTH($E964)=1,AE965*(1+$F$5),AE965))</f>
      </c>
      <c r="AF964" s="334">
        <f>AE964*$B$8/12</f>
      </c>
      <c r="AG964" s="334">
        <f>AE964*$B$12/12</f>
      </c>
      <c r="AH964" s="565">
        <f>(1+$AI$5)^(AC964/12)*(AG964+IF(AD964=$AM$7,$AM$4,0))</f>
      </c>
      <c r="AI964" s="170"/>
      <c r="AJ964" s="7"/>
      <c r="AK964" s="1"/>
      <c r="AL964" s="1"/>
      <c r="AM964" s="1"/>
    </row>
    <row x14ac:dyDescent="0.25" r="965" customHeight="1" ht="18.75">
      <c r="A965" s="1"/>
      <c r="B965" s="169"/>
      <c r="C965" s="170"/>
      <c r="D965" s="331">
        <v>958</v>
      </c>
      <c r="E965" s="544">
        <f>+DATE(YEAR(E964),MONTH(E964)-1,DAY(E964))</f>
        <v>25569.041666666668</v>
      </c>
      <c r="F965" s="333">
        <f>IF($C$6=$E965,1,IF(MONTH($E965)=1,F966*(1+$F$5),F966))</f>
      </c>
      <c r="G965" s="333">
        <f>F965*$B$8/12</f>
      </c>
      <c r="H965" s="333">
        <f>IF(F965=1,F965*$B$10/MIN(12,'Simulador - 3º Pilar'!$E$88),0)</f>
      </c>
      <c r="I965" s="560">
        <f>(1+$G$5)^(D965/12)*(H965+IF(E965=$N$7,$N$4,0))</f>
      </c>
      <c r="J965" s="561">
        <f>(1+$G$5)^(D965/12)*(H965*(12-IF(MONTH(E966)=12,0,MONTH(E966)))+IF(AND(F965=1,F966=0),$Q$4,0))*IF(AND(F965=1,F966=0),1,0)</f>
      </c>
      <c r="K965" s="217">
        <f>(1+$G$5)^(D965/12)*(IF(E965=$N$7,$N$4,0)+IF(E965=$C$6,$B$10,0))</f>
      </c>
      <c r="L965" s="217">
        <f>(1+$G$5)^(D965/12)*(IF((E965)&gt;($B$6),H965,0)+IF(E965=$N$7,$N$4,0)+IF(E965=$C$6,0,0))</f>
      </c>
      <c r="M965" s="1"/>
      <c r="N965" s="7"/>
      <c r="O965" s="1"/>
      <c r="P965" s="331">
        <v>958</v>
      </c>
      <c r="Q965" s="544">
        <f>+DATE(YEAR(Q964),MONTH(Q964)-1,DAY(Q964))</f>
        <v>25569.041666666668</v>
      </c>
      <c r="R965" s="341">
        <f>IF($Z$7=$E965,1,IF(MONTH($E965)=1,R966*(1+$F$5),R966))</f>
      </c>
      <c r="S965" s="334">
        <f>R965*$B$8/12</f>
      </c>
      <c r="T965" s="334">
        <f>R965*$B$11/12</f>
      </c>
      <c r="U965" s="565">
        <f>(1+$V$5)^(P965/12)*(T965+IF(Q965=$Z$7,$Z$4,0))</f>
      </c>
      <c r="V965" s="170"/>
      <c r="W965" s="7"/>
      <c r="X965" s="1"/>
      <c r="Y965" s="1"/>
      <c r="Z965" s="1"/>
      <c r="AA965" s="1"/>
      <c r="AB965" s="1"/>
      <c r="AC965" s="331">
        <v>958</v>
      </c>
      <c r="AD965" s="544">
        <f>+DATE(YEAR(AD964),MONTH(AD964)-1,DAY(AD964))</f>
        <v>25569.041666666668</v>
      </c>
      <c r="AE965" s="341">
        <f>IF($AM$7=$E965,1,IF(MONTH($E965)=1,AE966*(1+$F$5),AE966))</f>
      </c>
      <c r="AF965" s="334">
        <f>AE965*$B$8/12</f>
      </c>
      <c r="AG965" s="334">
        <f>AE965*$B$12/12</f>
      </c>
      <c r="AH965" s="565">
        <f>(1+$AI$5)^(AC965/12)*(AG965+IF(AD965=$AM$7,$AM$4,0))</f>
      </c>
      <c r="AI965" s="170"/>
      <c r="AJ965" s="7"/>
      <c r="AK965" s="1"/>
      <c r="AL965" s="1"/>
      <c r="AM965" s="1"/>
    </row>
    <row x14ac:dyDescent="0.25" r="966" customHeight="1" ht="18.75">
      <c r="A966" s="1"/>
      <c r="B966" s="169"/>
      <c r="C966" s="170"/>
      <c r="D966" s="331">
        <v>959</v>
      </c>
      <c r="E966" s="544">
        <f>+DATE(YEAR(E965),MONTH(E965)-1,DAY(E965))</f>
        <v>25569.041666666668</v>
      </c>
      <c r="F966" s="333">
        <f>IF($C$6=$E966,1,IF(MONTH($E966)=1,F967*(1+$F$5),F967))</f>
      </c>
      <c r="G966" s="333">
        <f>F966*$B$8/12</f>
      </c>
      <c r="H966" s="333">
        <f>IF(F966=1,F966*$B$10/MIN(12,'Simulador - 3º Pilar'!$E$88),0)</f>
      </c>
      <c r="I966" s="560">
        <f>(1+$G$5)^(D966/12)*(H966+IF(E966=$N$7,$N$4,0))</f>
      </c>
      <c r="J966" s="561">
        <f>(1+$G$5)^(D966/12)*(H966*(12-IF(MONTH(E967)=12,0,MONTH(E967)))+IF(AND(F966=1,F967=0),$Q$4,0))*IF(AND(F966=1,F967=0),1,0)</f>
      </c>
      <c r="K966" s="217">
        <f>(1+$G$5)^(D966/12)*(IF(E966=$N$7,$N$4,0)+IF(E966=$C$6,$B$10,0))</f>
      </c>
      <c r="L966" s="217">
        <f>(1+$G$5)^(D966/12)*(IF((E966)&gt;($B$6),H966,0)+IF(E966=$N$7,$N$4,0)+IF(E966=$C$6,0,0))</f>
      </c>
      <c r="M966" s="1"/>
      <c r="N966" s="7"/>
      <c r="O966" s="1"/>
      <c r="P966" s="331">
        <v>959</v>
      </c>
      <c r="Q966" s="544">
        <f>+DATE(YEAR(Q965),MONTH(Q965)-1,DAY(Q965))</f>
        <v>25569.041666666668</v>
      </c>
      <c r="R966" s="341">
        <f>IF($Z$7=$E966,1,IF(MONTH($E966)=1,R967*(1+$F$5),R967))</f>
      </c>
      <c r="S966" s="334">
        <f>R966*$B$8/12</f>
      </c>
      <c r="T966" s="334">
        <f>R966*$B$11/12</f>
      </c>
      <c r="U966" s="565">
        <f>(1+$V$5)^(P966/12)*(T966+IF(Q966=$Z$7,$Z$4,0))</f>
      </c>
      <c r="V966" s="170"/>
      <c r="W966" s="7"/>
      <c r="X966" s="1"/>
      <c r="Y966" s="1"/>
      <c r="Z966" s="1"/>
      <c r="AA966" s="1"/>
      <c r="AB966" s="1"/>
      <c r="AC966" s="331">
        <v>959</v>
      </c>
      <c r="AD966" s="544">
        <f>+DATE(YEAR(AD965),MONTH(AD965)-1,DAY(AD965))</f>
        <v>25569.041666666668</v>
      </c>
      <c r="AE966" s="341">
        <f>IF($AM$7=$E966,1,IF(MONTH($E966)=1,AE967*(1+$F$5),AE967))</f>
      </c>
      <c r="AF966" s="334">
        <f>AE966*$B$8/12</f>
      </c>
      <c r="AG966" s="334">
        <f>AE966*$B$12/12</f>
      </c>
      <c r="AH966" s="565">
        <f>(1+$AI$5)^(AC966/12)*(AG966+IF(AD966=$AM$7,$AM$4,0))</f>
      </c>
      <c r="AI966" s="170"/>
      <c r="AJ966" s="7"/>
      <c r="AK966" s="1"/>
      <c r="AL966" s="1"/>
      <c r="AM966" s="1"/>
    </row>
    <row x14ac:dyDescent="0.25" r="967" customHeight="1" ht="18.75">
      <c r="A967" s="1"/>
      <c r="B967" s="169"/>
      <c r="C967" s="170"/>
      <c r="D967" s="331">
        <v>960</v>
      </c>
      <c r="E967" s="544">
        <f>+DATE(YEAR(E966),MONTH(E966)-1,DAY(E966))</f>
        <v>25569.041666666668</v>
      </c>
      <c r="F967" s="333">
        <f>IF($C$6=$E967,1,IF(MONTH($E967)=1,F968*(1+$F$5),F968))</f>
      </c>
      <c r="G967" s="333">
        <f>F967*$B$8/12</f>
      </c>
      <c r="H967" s="333">
        <f>IF(F967=1,F967*$B$10/MIN(12,'Simulador - 3º Pilar'!$E$88),0)</f>
      </c>
      <c r="I967" s="560">
        <f>(1+$G$5)^(D967/12)*(H967+IF(E967=$N$7,$N$4,0))</f>
      </c>
      <c r="J967" s="561">
        <f>(1+$G$5)^(D967/12)*(H967*(12-IF(MONTH(E968)=12,0,MONTH(E968)))+IF(AND(F967=1,F968=0),$Q$4,0))*IF(AND(F967=1,F968=0),1,0)</f>
      </c>
      <c r="K967" s="217">
        <f>(1+$G$5)^(D967/12)*(IF(E967=$N$7,$N$4,0)+IF(E967=$C$6,$B$10,0))</f>
      </c>
      <c r="L967" s="217">
        <f>(1+$G$5)^(D967/12)*(IF((E967)&gt;($B$6),H967,0)+IF(E967=$N$7,$N$4,0)+IF(E967=$C$6,0,0))</f>
      </c>
      <c r="M967" s="1"/>
      <c r="N967" s="7"/>
      <c r="O967" s="1"/>
      <c r="P967" s="331">
        <v>960</v>
      </c>
      <c r="Q967" s="544">
        <f>+DATE(YEAR(Q966),MONTH(Q966)-1,DAY(Q966))</f>
        <v>25569.041666666668</v>
      </c>
      <c r="R967" s="341">
        <f>IF($Z$7=$E967,1,IF(MONTH($E967)=1,R968*(1+$F$5),R968))</f>
      </c>
      <c r="S967" s="334">
        <f>R967*$B$8/12</f>
      </c>
      <c r="T967" s="334">
        <f>R967*$B$11/12</f>
      </c>
      <c r="U967" s="565">
        <f>(1+$V$5)^(P967/12)*(T967+IF(Q967=$Z$7,$Z$4,0))</f>
      </c>
      <c r="V967" s="170"/>
      <c r="W967" s="7"/>
      <c r="X967" s="1"/>
      <c r="Y967" s="1"/>
      <c r="Z967" s="1"/>
      <c r="AA967" s="1"/>
      <c r="AB967" s="1"/>
      <c r="AC967" s="331">
        <v>960</v>
      </c>
      <c r="AD967" s="544">
        <f>+DATE(YEAR(AD966),MONTH(AD966)-1,DAY(AD966))</f>
        <v>25569.041666666668</v>
      </c>
      <c r="AE967" s="341">
        <f>IF($AM$7=$E967,1,IF(MONTH($E967)=1,AE968*(1+$F$5),AE968))</f>
      </c>
      <c r="AF967" s="334">
        <f>AE967*$B$8/12</f>
      </c>
      <c r="AG967" s="334">
        <f>AE967*$B$12/12</f>
      </c>
      <c r="AH967" s="565">
        <f>(1+$AI$5)^(AC967/12)*(AG967+IF(AD967=$AM$7,$AM$4,0))</f>
      </c>
      <c r="AI967" s="170"/>
      <c r="AJ967" s="7"/>
      <c r="AK967" s="1"/>
      <c r="AL967" s="1"/>
      <c r="AM967" s="1"/>
    </row>
    <row x14ac:dyDescent="0.25" r="968" customHeight="1" ht="18.75">
      <c r="A968" s="1"/>
      <c r="B968" s="169"/>
      <c r="C968" s="170"/>
      <c r="D968" s="331">
        <v>961</v>
      </c>
      <c r="E968" s="544">
        <f>+DATE(YEAR(E967),MONTH(E967)-1,DAY(E967))</f>
        <v>25569.041666666668</v>
      </c>
      <c r="F968" s="333">
        <f>IF($C$6=$E968,1,IF(MONTH($E968)=1,F969*(1+$F$5),F969))</f>
      </c>
      <c r="G968" s="333">
        <f>F968*$B$8/12</f>
      </c>
      <c r="H968" s="333">
        <f>IF(F968=1,F968*$B$10/MIN(12,'Simulador - 3º Pilar'!$E$88),0)</f>
      </c>
      <c r="I968" s="560">
        <f>(1+$G$5)^(D968/12)*(H968+IF(E968=$N$7,$N$4,0))</f>
      </c>
      <c r="J968" s="561">
        <f>(1+$G$5)^(D968/12)*(H968*(12-IF(MONTH(E969)=12,0,MONTH(E969)))+IF(AND(F968=1,F969=0),$Q$4,0))*IF(AND(F968=1,F969=0),1,0)</f>
      </c>
      <c r="K968" s="217">
        <f>(1+$G$5)^(D968/12)*(IF(E968=$N$7,$N$4,0)+IF(E968=$C$6,$B$10,0))</f>
      </c>
      <c r="L968" s="217">
        <f>(1+$G$5)^(D968/12)*(IF((E968)&gt;($B$6),H968,0)+IF(E968=$N$7,$N$4,0)+IF(E968=$C$6,0,0))</f>
      </c>
      <c r="M968" s="1"/>
      <c r="N968" s="7"/>
      <c r="O968" s="1"/>
      <c r="P968" s="331">
        <v>961</v>
      </c>
      <c r="Q968" s="544">
        <f>+DATE(YEAR(Q967),MONTH(Q967)-1,DAY(Q967))</f>
        <v>25569.041666666668</v>
      </c>
      <c r="R968" s="341">
        <f>IF($Z$7=$E968,1,IF(MONTH($E968)=1,R969*(1+$F$5),R969))</f>
      </c>
      <c r="S968" s="334">
        <f>R968*$B$8/12</f>
      </c>
      <c r="T968" s="334">
        <f>R968*$B$11/12</f>
      </c>
      <c r="U968" s="565">
        <f>(1+$V$5)^(P968/12)*(T968+IF(Q968=$Z$7,$Z$4,0))</f>
      </c>
      <c r="V968" s="170"/>
      <c r="W968" s="7"/>
      <c r="X968" s="1"/>
      <c r="Y968" s="1"/>
      <c r="Z968" s="1"/>
      <c r="AA968" s="1"/>
      <c r="AB968" s="1"/>
      <c r="AC968" s="331">
        <v>961</v>
      </c>
      <c r="AD968" s="544">
        <f>+DATE(YEAR(AD967),MONTH(AD967)-1,DAY(AD967))</f>
        <v>25569.041666666668</v>
      </c>
      <c r="AE968" s="341">
        <f>IF($AM$7=$E968,1,IF(MONTH($E968)=1,AE969*(1+$F$5),AE969))</f>
      </c>
      <c r="AF968" s="334">
        <f>AE968*$B$8/12</f>
      </c>
      <c r="AG968" s="334">
        <f>AE968*$B$12/12</f>
      </c>
      <c r="AH968" s="565">
        <f>(1+$AI$5)^(AC968/12)*(AG968+IF(AD968=$AM$7,$AM$4,0))</f>
      </c>
      <c r="AI968" s="170"/>
      <c r="AJ968" s="7"/>
      <c r="AK968" s="1"/>
      <c r="AL968" s="1"/>
      <c r="AM968" s="1"/>
    </row>
    <row x14ac:dyDescent="0.25" r="969" customHeight="1" ht="18.75">
      <c r="A969" s="1"/>
      <c r="B969" s="169"/>
      <c r="C969" s="170"/>
      <c r="D969" s="331">
        <v>962</v>
      </c>
      <c r="E969" s="544">
        <f>+DATE(YEAR(E968),MONTH(E968)-1,DAY(E968))</f>
        <v>25569.041666666668</v>
      </c>
      <c r="F969" s="333">
        <f>IF($C$6=$E969,1,IF(MONTH($E969)=1,F970*(1+$F$5),F970))</f>
      </c>
      <c r="G969" s="333">
        <f>F969*$B$8/12</f>
      </c>
      <c r="H969" s="333">
        <f>IF(F969=1,F969*$B$10/MIN(12,'Simulador - 3º Pilar'!$E$88),0)</f>
      </c>
      <c r="I969" s="560">
        <f>(1+$G$5)^(D969/12)*(H969+IF(E969=$N$7,$N$4,0))</f>
      </c>
      <c r="J969" s="561">
        <f>(1+$G$5)^(D969/12)*(H969*(12-IF(MONTH(E970)=12,0,MONTH(E970)))+IF(AND(F969=1,F970=0),$Q$4,0))*IF(AND(F969=1,F970=0),1,0)</f>
      </c>
      <c r="K969" s="217">
        <f>(1+$G$5)^(D969/12)*(IF(E969=$N$7,$N$4,0)+IF(E969=$C$6,$B$10,0))</f>
      </c>
      <c r="L969" s="217">
        <f>(1+$G$5)^(D969/12)*(IF((E969)&gt;($B$6),H969,0)+IF(E969=$N$7,$N$4,0)+IF(E969=$C$6,0,0))</f>
      </c>
      <c r="M969" s="1"/>
      <c r="N969" s="7"/>
      <c r="O969" s="1"/>
      <c r="P969" s="331">
        <v>962</v>
      </c>
      <c r="Q969" s="544">
        <f>+DATE(YEAR(Q968),MONTH(Q968)-1,DAY(Q968))</f>
        <v>25569.041666666668</v>
      </c>
      <c r="R969" s="341">
        <f>IF($Z$7=$E969,1,IF(MONTH($E969)=1,R970*(1+$F$5),R970))</f>
      </c>
      <c r="S969" s="334">
        <f>R969*$B$8/12</f>
      </c>
      <c r="T969" s="334">
        <f>R969*$B$11/12</f>
      </c>
      <c r="U969" s="565">
        <f>(1+$V$5)^(P969/12)*(T969+IF(Q969=$Z$7,$Z$4,0))</f>
      </c>
      <c r="V969" s="170"/>
      <c r="W969" s="7"/>
      <c r="X969" s="1"/>
      <c r="Y969" s="1"/>
      <c r="Z969" s="1"/>
      <c r="AA969" s="1"/>
      <c r="AB969" s="1"/>
      <c r="AC969" s="331">
        <v>962</v>
      </c>
      <c r="AD969" s="544">
        <f>+DATE(YEAR(AD968),MONTH(AD968)-1,DAY(AD968))</f>
        <v>25569.041666666668</v>
      </c>
      <c r="AE969" s="341">
        <f>IF($AM$7=$E969,1,IF(MONTH($E969)=1,AE970*(1+$F$5),AE970))</f>
      </c>
      <c r="AF969" s="334">
        <f>AE969*$B$8/12</f>
      </c>
      <c r="AG969" s="334">
        <f>AE969*$B$12/12</f>
      </c>
      <c r="AH969" s="565">
        <f>(1+$AI$5)^(AC969/12)*(AG969+IF(AD969=$AM$7,$AM$4,0))</f>
      </c>
      <c r="AI969" s="170"/>
      <c r="AJ969" s="7"/>
      <c r="AK969" s="1"/>
      <c r="AL969" s="1"/>
      <c r="AM969" s="1"/>
    </row>
    <row x14ac:dyDescent="0.25" r="970" customHeight="1" ht="18.75">
      <c r="A970" s="1"/>
      <c r="B970" s="169"/>
      <c r="C970" s="170"/>
      <c r="D970" s="331">
        <v>963</v>
      </c>
      <c r="E970" s="544">
        <f>+DATE(YEAR(E969),MONTH(E969)-1,DAY(E969))</f>
        <v>25569.041666666668</v>
      </c>
      <c r="F970" s="333">
        <f>IF($C$6=$E970,1,IF(MONTH($E970)=1,F971*(1+$F$5),F971))</f>
      </c>
      <c r="G970" s="333">
        <f>F970*$B$8/12</f>
      </c>
      <c r="H970" s="333">
        <f>IF(F970=1,F970*$B$10/MIN(12,'Simulador - 3º Pilar'!$E$88),0)</f>
      </c>
      <c r="I970" s="560">
        <f>(1+$G$5)^(D970/12)*(H970+IF(E970=$N$7,$N$4,0))</f>
      </c>
      <c r="J970" s="561">
        <f>(1+$G$5)^(D970/12)*(H970*(12-IF(MONTH(E971)=12,0,MONTH(E971)))+IF(AND(F970=1,F971=0),$Q$4,0))*IF(AND(F970=1,F971=0),1,0)</f>
      </c>
      <c r="K970" s="217">
        <f>(1+$G$5)^(D970/12)*(IF(E970=$N$7,$N$4,0)+IF(E970=$C$6,$B$10,0))</f>
      </c>
      <c r="L970" s="217">
        <f>(1+$G$5)^(D970/12)*(IF((E970)&gt;($B$6),H970,0)+IF(E970=$N$7,$N$4,0)+IF(E970=$C$6,0,0))</f>
      </c>
      <c r="M970" s="1"/>
      <c r="N970" s="7"/>
      <c r="O970" s="1"/>
      <c r="P970" s="331">
        <v>963</v>
      </c>
      <c r="Q970" s="544">
        <f>+DATE(YEAR(Q969),MONTH(Q969)-1,DAY(Q969))</f>
        <v>25569.041666666668</v>
      </c>
      <c r="R970" s="341">
        <f>IF($Z$7=$E970,1,IF(MONTH($E970)=1,R971*(1+$F$5),R971))</f>
      </c>
      <c r="S970" s="334">
        <f>R970*$B$8/12</f>
      </c>
      <c r="T970" s="334">
        <f>R970*$B$11/12</f>
      </c>
      <c r="U970" s="565">
        <f>(1+$V$5)^(P970/12)*(T970+IF(Q970=$Z$7,$Z$4,0))</f>
      </c>
      <c r="V970" s="170"/>
      <c r="W970" s="7"/>
      <c r="X970" s="1"/>
      <c r="Y970" s="1"/>
      <c r="Z970" s="1"/>
      <c r="AA970" s="1"/>
      <c r="AB970" s="1"/>
      <c r="AC970" s="331">
        <v>963</v>
      </c>
      <c r="AD970" s="544">
        <f>+DATE(YEAR(AD969),MONTH(AD969)-1,DAY(AD969))</f>
        <v>25569.041666666668</v>
      </c>
      <c r="AE970" s="341">
        <f>IF($AM$7=$E970,1,IF(MONTH($E970)=1,AE971*(1+$F$5),AE971))</f>
      </c>
      <c r="AF970" s="334">
        <f>AE970*$B$8/12</f>
      </c>
      <c r="AG970" s="334">
        <f>AE970*$B$12/12</f>
      </c>
      <c r="AH970" s="565">
        <f>(1+$AI$5)^(AC970/12)*(AG970+IF(AD970=$AM$7,$AM$4,0))</f>
      </c>
      <c r="AI970" s="170"/>
      <c r="AJ970" s="7"/>
      <c r="AK970" s="1"/>
      <c r="AL970" s="1"/>
      <c r="AM970" s="1"/>
    </row>
    <row x14ac:dyDescent="0.25" r="971" customHeight="1" ht="18.75">
      <c r="A971" s="1"/>
      <c r="B971" s="169"/>
      <c r="C971" s="170"/>
      <c r="D971" s="331">
        <v>964</v>
      </c>
      <c r="E971" s="544">
        <f>+DATE(YEAR(E970),MONTH(E970)-1,DAY(E970))</f>
        <v>25569.041666666668</v>
      </c>
      <c r="F971" s="333">
        <f>IF($C$6=$E971,1,IF(MONTH($E971)=1,F972*(1+$F$5),F972))</f>
      </c>
      <c r="G971" s="333">
        <f>F971*$B$8/12</f>
      </c>
      <c r="H971" s="333">
        <f>IF(F971=1,F971*$B$10/MIN(12,'Simulador - 3º Pilar'!$E$88),0)</f>
      </c>
      <c r="I971" s="560">
        <f>(1+$G$5)^(D971/12)*(H971+IF(E971=$N$7,$N$4,0))</f>
      </c>
      <c r="J971" s="561">
        <f>(1+$G$5)^(D971/12)*(H971*(12-IF(MONTH(E972)=12,0,MONTH(E972)))+IF(AND(F971=1,F972=0),$Q$4,0))*IF(AND(F971=1,F972=0),1,0)</f>
      </c>
      <c r="K971" s="217">
        <f>(1+$G$5)^(D971/12)*(IF(E971=$N$7,$N$4,0)+IF(E971=$C$6,$B$10,0))</f>
      </c>
      <c r="L971" s="217">
        <f>(1+$G$5)^(D971/12)*(IF((E971)&gt;($B$6),H971,0)+IF(E971=$N$7,$N$4,0)+IF(E971=$C$6,0,0))</f>
      </c>
      <c r="M971" s="1"/>
      <c r="N971" s="7"/>
      <c r="O971" s="1"/>
      <c r="P971" s="331">
        <v>964</v>
      </c>
      <c r="Q971" s="544">
        <f>+DATE(YEAR(Q970),MONTH(Q970)-1,DAY(Q970))</f>
        <v>25569.041666666668</v>
      </c>
      <c r="R971" s="341">
        <f>IF($Z$7=$E971,1,IF(MONTH($E971)=1,R972*(1+$F$5),R972))</f>
      </c>
      <c r="S971" s="334">
        <f>R971*$B$8/12</f>
      </c>
      <c r="T971" s="334">
        <f>R971*$B$11/12</f>
      </c>
      <c r="U971" s="565">
        <f>(1+$V$5)^(P971/12)*(T971+IF(Q971=$Z$7,$Z$4,0))</f>
      </c>
      <c r="V971" s="170"/>
      <c r="W971" s="7"/>
      <c r="X971" s="1"/>
      <c r="Y971" s="1"/>
      <c r="Z971" s="1"/>
      <c r="AA971" s="1"/>
      <c r="AB971" s="1"/>
      <c r="AC971" s="331">
        <v>964</v>
      </c>
      <c r="AD971" s="544">
        <f>+DATE(YEAR(AD970),MONTH(AD970)-1,DAY(AD970))</f>
        <v>25569.041666666668</v>
      </c>
      <c r="AE971" s="341">
        <f>IF($AM$7=$E971,1,IF(MONTH($E971)=1,AE972*(1+$F$5),AE972))</f>
      </c>
      <c r="AF971" s="334">
        <f>AE971*$B$8/12</f>
      </c>
      <c r="AG971" s="334">
        <f>AE971*$B$12/12</f>
      </c>
      <c r="AH971" s="565">
        <f>(1+$AI$5)^(AC971/12)*(AG971+IF(AD971=$AM$7,$AM$4,0))</f>
      </c>
      <c r="AI971" s="170"/>
      <c r="AJ971" s="7"/>
      <c r="AK971" s="1"/>
      <c r="AL971" s="1"/>
      <c r="AM971" s="1"/>
    </row>
    <row x14ac:dyDescent="0.25" r="972" customHeight="1" ht="18.75">
      <c r="A972" s="1"/>
      <c r="B972" s="169"/>
      <c r="C972" s="170"/>
      <c r="D972" s="331">
        <v>965</v>
      </c>
      <c r="E972" s="544">
        <f>+DATE(YEAR(E971),MONTH(E971)-1,DAY(E971))</f>
        <v>25569.041666666668</v>
      </c>
      <c r="F972" s="333">
        <f>IF($C$6=$E972,1,IF(MONTH($E972)=1,F973*(1+$F$5),F973))</f>
      </c>
      <c r="G972" s="333">
        <f>F972*$B$8/12</f>
      </c>
      <c r="H972" s="333">
        <f>IF(F972=1,F972*$B$10/MIN(12,'Simulador - 3º Pilar'!$E$88),0)</f>
      </c>
      <c r="I972" s="560">
        <f>(1+$G$5)^(D972/12)*(H972+IF(E972=$N$7,$N$4,0))</f>
      </c>
      <c r="J972" s="561">
        <f>(1+$G$5)^(D972/12)*(H972*(12-IF(MONTH(E973)=12,0,MONTH(E973)))+IF(AND(F972=1,F973=0),$Q$4,0))*IF(AND(F972=1,F973=0),1,0)</f>
      </c>
      <c r="K972" s="217">
        <f>(1+$G$5)^(D972/12)*(IF(E972=$N$7,$N$4,0)+IF(E972=$C$6,$B$10,0))</f>
      </c>
      <c r="L972" s="217">
        <f>(1+$G$5)^(D972/12)*(IF((E972)&gt;($B$6),H972,0)+IF(E972=$N$7,$N$4,0)+IF(E972=$C$6,0,0))</f>
      </c>
      <c r="M972" s="1"/>
      <c r="N972" s="7"/>
      <c r="O972" s="1"/>
      <c r="P972" s="331">
        <v>965</v>
      </c>
      <c r="Q972" s="544">
        <f>+DATE(YEAR(Q971),MONTH(Q971)-1,DAY(Q971))</f>
        <v>25569.041666666668</v>
      </c>
      <c r="R972" s="341">
        <f>IF($Z$7=$E972,1,IF(MONTH($E972)=1,R973*(1+$F$5),R973))</f>
      </c>
      <c r="S972" s="334">
        <f>R972*$B$8/12</f>
      </c>
      <c r="T972" s="334">
        <f>R972*$B$11/12</f>
      </c>
      <c r="U972" s="565">
        <f>(1+$V$5)^(P972/12)*(T972+IF(Q972=$Z$7,$Z$4,0))</f>
      </c>
      <c r="V972" s="170"/>
      <c r="W972" s="7"/>
      <c r="X972" s="1"/>
      <c r="Y972" s="1"/>
      <c r="Z972" s="1"/>
      <c r="AA972" s="1"/>
      <c r="AB972" s="1"/>
      <c r="AC972" s="331">
        <v>965</v>
      </c>
      <c r="AD972" s="544">
        <f>+DATE(YEAR(AD971),MONTH(AD971)-1,DAY(AD971))</f>
        <v>25569.041666666668</v>
      </c>
      <c r="AE972" s="341">
        <f>IF($AM$7=$E972,1,IF(MONTH($E972)=1,AE973*(1+$F$5),AE973))</f>
      </c>
      <c r="AF972" s="334">
        <f>AE972*$B$8/12</f>
      </c>
      <c r="AG972" s="334">
        <f>AE972*$B$12/12</f>
      </c>
      <c r="AH972" s="565">
        <f>(1+$AI$5)^(AC972/12)*(AG972+IF(AD972=$AM$7,$AM$4,0))</f>
      </c>
      <c r="AI972" s="170"/>
      <c r="AJ972" s="7"/>
      <c r="AK972" s="1"/>
      <c r="AL972" s="1"/>
      <c r="AM972" s="1"/>
    </row>
    <row x14ac:dyDescent="0.25" r="973" customHeight="1" ht="18.75">
      <c r="A973" s="1"/>
      <c r="B973" s="169"/>
      <c r="C973" s="170"/>
      <c r="D973" s="331">
        <v>966</v>
      </c>
      <c r="E973" s="544">
        <f>+DATE(YEAR(E972),MONTH(E972)-1,DAY(E972))</f>
        <v>25569.041666666668</v>
      </c>
      <c r="F973" s="333">
        <f>IF($C$6=$E973,1,IF(MONTH($E973)=1,F974*(1+$F$5),F974))</f>
      </c>
      <c r="G973" s="333">
        <f>F973*$B$8/12</f>
      </c>
      <c r="H973" s="333">
        <f>IF(F973=1,F973*$B$10/MIN(12,'Simulador - 3º Pilar'!$E$88),0)</f>
      </c>
      <c r="I973" s="560">
        <f>(1+$G$5)^(D973/12)*(H973+IF(E973=$N$7,$N$4,0))</f>
      </c>
      <c r="J973" s="561">
        <f>(1+$G$5)^(D973/12)*(H973*(12-IF(MONTH(E974)=12,0,MONTH(E974)))+IF(AND(F973=1,F974=0),$Q$4,0))*IF(AND(F973=1,F974=0),1,0)</f>
      </c>
      <c r="K973" s="217">
        <f>(1+$G$5)^(D973/12)*(IF(E973=$N$7,$N$4,0)+IF(E973=$C$6,$B$10,0))</f>
      </c>
      <c r="L973" s="217">
        <f>(1+$G$5)^(D973/12)*(IF((E973)&gt;($B$6),H973,0)+IF(E973=$N$7,$N$4,0)+IF(E973=$C$6,0,0))</f>
      </c>
      <c r="M973" s="1"/>
      <c r="N973" s="7"/>
      <c r="O973" s="1"/>
      <c r="P973" s="331">
        <v>966</v>
      </c>
      <c r="Q973" s="544">
        <f>+DATE(YEAR(Q972),MONTH(Q972)-1,DAY(Q972))</f>
        <v>25569.041666666668</v>
      </c>
      <c r="R973" s="341">
        <f>IF($Z$7=$E973,1,IF(MONTH($E973)=1,R974*(1+$F$5),R974))</f>
      </c>
      <c r="S973" s="334">
        <f>R973*$B$8/12</f>
      </c>
      <c r="T973" s="334">
        <f>R973*$B$11/12</f>
      </c>
      <c r="U973" s="565">
        <f>(1+$V$5)^(P973/12)*(T973+IF(Q973=$Z$7,$Z$4,0))</f>
      </c>
      <c r="V973" s="170"/>
      <c r="W973" s="7"/>
      <c r="X973" s="1"/>
      <c r="Y973" s="1"/>
      <c r="Z973" s="1"/>
      <c r="AA973" s="1"/>
      <c r="AB973" s="1"/>
      <c r="AC973" s="331">
        <v>966</v>
      </c>
      <c r="AD973" s="544">
        <f>+DATE(YEAR(AD972),MONTH(AD972)-1,DAY(AD972))</f>
        <v>25569.041666666668</v>
      </c>
      <c r="AE973" s="341">
        <f>IF($AM$7=$E973,1,IF(MONTH($E973)=1,AE974*(1+$F$5),AE974))</f>
      </c>
      <c r="AF973" s="334">
        <f>AE973*$B$8/12</f>
      </c>
      <c r="AG973" s="334">
        <f>AE973*$B$12/12</f>
      </c>
      <c r="AH973" s="565">
        <f>(1+$AI$5)^(AC973/12)*(AG973+IF(AD973=$AM$7,$AM$4,0))</f>
      </c>
      <c r="AI973" s="170"/>
      <c r="AJ973" s="7"/>
      <c r="AK973" s="1"/>
      <c r="AL973" s="1"/>
      <c r="AM973" s="1"/>
    </row>
    <row x14ac:dyDescent="0.25" r="974" customHeight="1" ht="18.75">
      <c r="A974" s="1"/>
      <c r="B974" s="169"/>
      <c r="C974" s="170"/>
      <c r="D974" s="331">
        <v>967</v>
      </c>
      <c r="E974" s="544">
        <f>+DATE(YEAR(E973),MONTH(E973)-1,DAY(E973))</f>
        <v>25569.041666666668</v>
      </c>
      <c r="F974" s="333">
        <f>IF($C$6=$E974,1,IF(MONTH($E974)=1,F975*(1+$F$5),F975))</f>
      </c>
      <c r="G974" s="333">
        <f>F974*$B$8/12</f>
      </c>
      <c r="H974" s="333">
        <f>IF(F974=1,F974*$B$10/MIN(12,'Simulador - 3º Pilar'!$E$88),0)</f>
      </c>
      <c r="I974" s="560">
        <f>(1+$G$5)^(D974/12)*(H974+IF(E974=$N$7,$N$4,0))</f>
      </c>
      <c r="J974" s="561">
        <f>(1+$G$5)^(D974/12)*(H974*(12-IF(MONTH(E975)=12,0,MONTH(E975)))+IF(AND(F974=1,F975=0),$Q$4,0))*IF(AND(F974=1,F975=0),1,0)</f>
      </c>
      <c r="K974" s="217">
        <f>(1+$G$5)^(D974/12)*(IF(E974=$N$7,$N$4,0)+IF(E974=$C$6,$B$10,0))</f>
      </c>
      <c r="L974" s="217">
        <f>(1+$G$5)^(D974/12)*(IF((E974)&gt;($B$6),H974,0)+IF(E974=$N$7,$N$4,0)+IF(E974=$C$6,0,0))</f>
      </c>
      <c r="M974" s="1"/>
      <c r="N974" s="7"/>
      <c r="O974" s="1"/>
      <c r="P974" s="331">
        <v>967</v>
      </c>
      <c r="Q974" s="544">
        <f>+DATE(YEAR(Q973),MONTH(Q973)-1,DAY(Q973))</f>
        <v>25569.041666666668</v>
      </c>
      <c r="R974" s="341">
        <f>IF($Z$7=$E974,1,IF(MONTH($E974)=1,R975*(1+$F$5),R975))</f>
      </c>
      <c r="S974" s="334">
        <f>R974*$B$8/12</f>
      </c>
      <c r="T974" s="334">
        <f>R974*$B$11/12</f>
      </c>
      <c r="U974" s="565">
        <f>(1+$V$5)^(P974/12)*(T974+IF(Q974=$Z$7,$Z$4,0))</f>
      </c>
      <c r="V974" s="170"/>
      <c r="W974" s="7"/>
      <c r="X974" s="1"/>
      <c r="Y974" s="1"/>
      <c r="Z974" s="1"/>
      <c r="AA974" s="1"/>
      <c r="AB974" s="1"/>
      <c r="AC974" s="331">
        <v>967</v>
      </c>
      <c r="AD974" s="544">
        <f>+DATE(YEAR(AD973),MONTH(AD973)-1,DAY(AD973))</f>
        <v>25569.041666666668</v>
      </c>
      <c r="AE974" s="341">
        <f>IF($AM$7=$E974,1,IF(MONTH($E974)=1,AE975*(1+$F$5),AE975))</f>
      </c>
      <c r="AF974" s="334">
        <f>AE974*$B$8/12</f>
      </c>
      <c r="AG974" s="334">
        <f>AE974*$B$12/12</f>
      </c>
      <c r="AH974" s="565">
        <f>(1+$AI$5)^(AC974/12)*(AG974+IF(AD974=$AM$7,$AM$4,0))</f>
      </c>
      <c r="AI974" s="170"/>
      <c r="AJ974" s="7"/>
      <c r="AK974" s="1"/>
      <c r="AL974" s="1"/>
      <c r="AM974" s="1"/>
    </row>
    <row x14ac:dyDescent="0.25" r="975" customHeight="1" ht="18.75">
      <c r="A975" s="1"/>
      <c r="B975" s="169"/>
      <c r="C975" s="170"/>
      <c r="D975" s="331">
        <v>968</v>
      </c>
      <c r="E975" s="544">
        <f>+DATE(YEAR(E974),MONTH(E974)-1,DAY(E974))</f>
        <v>25569.041666666668</v>
      </c>
      <c r="F975" s="333">
        <f>IF($C$6=$E975,1,IF(MONTH($E975)=1,F976*(1+$F$5),F976))</f>
      </c>
      <c r="G975" s="333">
        <f>F975*$B$8/12</f>
      </c>
      <c r="H975" s="333">
        <f>IF(F975=1,F975*$B$10/MIN(12,'Simulador - 3º Pilar'!$E$88),0)</f>
      </c>
      <c r="I975" s="560">
        <f>(1+$G$5)^(D975/12)*(H975+IF(E975=$N$7,$N$4,0))</f>
      </c>
      <c r="J975" s="561">
        <f>(1+$G$5)^(D975/12)*(H975*(12-IF(MONTH(E976)=12,0,MONTH(E976)))+IF(AND(F975=1,F976=0),$Q$4,0))*IF(AND(F975=1,F976=0),1,0)</f>
      </c>
      <c r="K975" s="217">
        <f>(1+$G$5)^(D975/12)*(IF(E975=$N$7,$N$4,0)+IF(E975=$C$6,$B$10,0))</f>
      </c>
      <c r="L975" s="217">
        <f>(1+$G$5)^(D975/12)*(IF((E975)&gt;($B$6),H975,0)+IF(E975=$N$7,$N$4,0)+IF(E975=$C$6,0,0))</f>
      </c>
      <c r="M975" s="1"/>
      <c r="N975" s="7"/>
      <c r="O975" s="1"/>
      <c r="P975" s="331">
        <v>968</v>
      </c>
      <c r="Q975" s="544">
        <f>+DATE(YEAR(Q974),MONTH(Q974)-1,DAY(Q974))</f>
        <v>25569.041666666668</v>
      </c>
      <c r="R975" s="341">
        <f>IF($Z$7=$E975,1,IF(MONTH($E975)=1,R976*(1+$F$5),R976))</f>
      </c>
      <c r="S975" s="334">
        <f>R975*$B$8/12</f>
      </c>
      <c r="T975" s="334">
        <f>R975*$B$11/12</f>
      </c>
      <c r="U975" s="565">
        <f>(1+$V$5)^(P975/12)*(T975+IF(Q975=$Z$7,$Z$4,0))</f>
      </c>
      <c r="V975" s="170"/>
      <c r="W975" s="7"/>
      <c r="X975" s="1"/>
      <c r="Y975" s="1"/>
      <c r="Z975" s="1"/>
      <c r="AA975" s="1"/>
      <c r="AB975" s="1"/>
      <c r="AC975" s="331">
        <v>968</v>
      </c>
      <c r="AD975" s="544">
        <f>+DATE(YEAR(AD974),MONTH(AD974)-1,DAY(AD974))</f>
        <v>25569.041666666668</v>
      </c>
      <c r="AE975" s="341">
        <f>IF($AM$7=$E975,1,IF(MONTH($E975)=1,AE976*(1+$F$5),AE976))</f>
      </c>
      <c r="AF975" s="334">
        <f>AE975*$B$8/12</f>
      </c>
      <c r="AG975" s="334">
        <f>AE975*$B$12/12</f>
      </c>
      <c r="AH975" s="565">
        <f>(1+$AI$5)^(AC975/12)*(AG975+IF(AD975=$AM$7,$AM$4,0))</f>
      </c>
      <c r="AI975" s="170"/>
      <c r="AJ975" s="7"/>
      <c r="AK975" s="1"/>
      <c r="AL975" s="1"/>
      <c r="AM975" s="1"/>
    </row>
    <row x14ac:dyDescent="0.25" r="976" customHeight="1" ht="18.75">
      <c r="A976" s="1"/>
      <c r="B976" s="169"/>
      <c r="C976" s="170"/>
      <c r="D976" s="331">
        <v>969</v>
      </c>
      <c r="E976" s="544">
        <f>+DATE(YEAR(E975),MONTH(E975)-1,DAY(E975))</f>
        <v>25569.041666666668</v>
      </c>
      <c r="F976" s="333">
        <f>IF($C$6=$E976,1,IF(MONTH($E976)=1,F977*(1+$F$5),F977))</f>
      </c>
      <c r="G976" s="333">
        <f>F976*$B$8/12</f>
      </c>
      <c r="H976" s="333">
        <f>IF(F976=1,F976*$B$10/MIN(12,'Simulador - 3º Pilar'!$E$88),0)</f>
      </c>
      <c r="I976" s="560">
        <f>(1+$G$5)^(D976/12)*(H976+IF(E976=$N$7,$N$4,0))</f>
      </c>
      <c r="J976" s="561">
        <f>(1+$G$5)^(D976/12)*(H976*(12-IF(MONTH(E977)=12,0,MONTH(E977)))+IF(AND(F976=1,F977=0),$Q$4,0))*IF(AND(F976=1,F977=0),1,0)</f>
      </c>
      <c r="K976" s="217">
        <f>(1+$G$5)^(D976/12)*(IF(E976=$N$7,$N$4,0)+IF(E976=$C$6,$B$10,0))</f>
      </c>
      <c r="L976" s="217">
        <f>(1+$G$5)^(D976/12)*(IF((E976)&gt;($B$6),H976,0)+IF(E976=$N$7,$N$4,0)+IF(E976=$C$6,0,0))</f>
      </c>
      <c r="M976" s="1"/>
      <c r="N976" s="7"/>
      <c r="O976" s="1"/>
      <c r="P976" s="331">
        <v>969</v>
      </c>
      <c r="Q976" s="544">
        <f>+DATE(YEAR(Q975),MONTH(Q975)-1,DAY(Q975))</f>
        <v>25569.041666666668</v>
      </c>
      <c r="R976" s="341">
        <f>IF($Z$7=$E976,1,IF(MONTH($E976)=1,R977*(1+$F$5),R977))</f>
      </c>
      <c r="S976" s="334">
        <f>R976*$B$8/12</f>
      </c>
      <c r="T976" s="334">
        <f>R976*$B$11/12</f>
      </c>
      <c r="U976" s="565">
        <f>(1+$V$5)^(P976/12)*(T976+IF(Q976=$Z$7,$Z$4,0))</f>
      </c>
      <c r="V976" s="170"/>
      <c r="W976" s="7"/>
      <c r="X976" s="1"/>
      <c r="Y976" s="1"/>
      <c r="Z976" s="1"/>
      <c r="AA976" s="1"/>
      <c r="AB976" s="1"/>
      <c r="AC976" s="331">
        <v>969</v>
      </c>
      <c r="AD976" s="544">
        <f>+DATE(YEAR(AD975),MONTH(AD975)-1,DAY(AD975))</f>
        <v>25569.041666666668</v>
      </c>
      <c r="AE976" s="341">
        <f>IF($AM$7=$E976,1,IF(MONTH($E976)=1,AE977*(1+$F$5),AE977))</f>
      </c>
      <c r="AF976" s="334">
        <f>AE976*$B$8/12</f>
      </c>
      <c r="AG976" s="334">
        <f>AE976*$B$12/12</f>
      </c>
      <c r="AH976" s="565">
        <f>(1+$AI$5)^(AC976/12)*(AG976+IF(AD976=$AM$7,$AM$4,0))</f>
      </c>
      <c r="AI976" s="170"/>
      <c r="AJ976" s="7"/>
      <c r="AK976" s="1"/>
      <c r="AL976" s="1"/>
      <c r="AM976" s="1"/>
    </row>
    <row x14ac:dyDescent="0.25" r="977" customHeight="1" ht="18.75">
      <c r="A977" s="1"/>
      <c r="B977" s="169"/>
      <c r="C977" s="170"/>
      <c r="D977" s="331">
        <v>970</v>
      </c>
      <c r="E977" s="544">
        <f>+DATE(YEAR(E976),MONTH(E976)-1,DAY(E976))</f>
        <v>25569.041666666668</v>
      </c>
      <c r="F977" s="333">
        <f>IF($C$6=$E977,1,IF(MONTH($E977)=1,F978*(1+$F$5),F978))</f>
      </c>
      <c r="G977" s="333">
        <f>F977*$B$8/12</f>
      </c>
      <c r="H977" s="333">
        <f>IF(F977=1,F977*$B$10/MIN(12,'Simulador - 3º Pilar'!$E$88),0)</f>
      </c>
      <c r="I977" s="560">
        <f>(1+$G$5)^(D977/12)*(H977+IF(E977=$N$7,$N$4,0))</f>
      </c>
      <c r="J977" s="561">
        <f>(1+$G$5)^(D977/12)*(H977*(12-IF(MONTH(E978)=12,0,MONTH(E978)))+IF(AND(F977=1,F978=0),$Q$4,0))*IF(AND(F977=1,F978=0),1,0)</f>
      </c>
      <c r="K977" s="217">
        <f>(1+$G$5)^(D977/12)*(IF(E977=$N$7,$N$4,0)+IF(E977=$C$6,$B$10,0))</f>
      </c>
      <c r="L977" s="217">
        <f>(1+$G$5)^(D977/12)*(IF((E977)&gt;($B$6),H977,0)+IF(E977=$N$7,$N$4,0)+IF(E977=$C$6,0,0))</f>
      </c>
      <c r="M977" s="1"/>
      <c r="N977" s="7"/>
      <c r="O977" s="1"/>
      <c r="P977" s="331">
        <v>970</v>
      </c>
      <c r="Q977" s="544">
        <f>+DATE(YEAR(Q976),MONTH(Q976)-1,DAY(Q976))</f>
        <v>25569.041666666668</v>
      </c>
      <c r="R977" s="341">
        <f>IF($Z$7=$E977,1,IF(MONTH($E977)=1,R978*(1+$F$5),R978))</f>
      </c>
      <c r="S977" s="334">
        <f>R977*$B$8/12</f>
      </c>
      <c r="T977" s="334">
        <f>R977*$B$11/12</f>
      </c>
      <c r="U977" s="565">
        <f>(1+$V$5)^(P977/12)*(T977+IF(Q977=$Z$7,$Z$4,0))</f>
      </c>
      <c r="V977" s="170"/>
      <c r="W977" s="7"/>
      <c r="X977" s="1"/>
      <c r="Y977" s="1"/>
      <c r="Z977" s="1"/>
      <c r="AA977" s="1"/>
      <c r="AB977" s="1"/>
      <c r="AC977" s="331">
        <v>970</v>
      </c>
      <c r="AD977" s="544">
        <f>+DATE(YEAR(AD976),MONTH(AD976)-1,DAY(AD976))</f>
        <v>25569.041666666668</v>
      </c>
      <c r="AE977" s="341">
        <f>IF($AM$7=$E977,1,IF(MONTH($E977)=1,AE978*(1+$F$5),AE978))</f>
      </c>
      <c r="AF977" s="334">
        <f>AE977*$B$8/12</f>
      </c>
      <c r="AG977" s="334">
        <f>AE977*$B$12/12</f>
      </c>
      <c r="AH977" s="565">
        <f>(1+$AI$5)^(AC977/12)*(AG977+IF(AD977=$AM$7,$AM$4,0))</f>
      </c>
      <c r="AI977" s="170"/>
      <c r="AJ977" s="7"/>
      <c r="AK977" s="1"/>
      <c r="AL977" s="1"/>
      <c r="AM977" s="1"/>
    </row>
    <row x14ac:dyDescent="0.25" r="978" customHeight="1" ht="18.75">
      <c r="A978" s="1"/>
      <c r="B978" s="169"/>
      <c r="C978" s="170"/>
      <c r="D978" s="331">
        <v>971</v>
      </c>
      <c r="E978" s="544">
        <f>+DATE(YEAR(E977),MONTH(E977)-1,DAY(E977))</f>
        <v>25569.041666666668</v>
      </c>
      <c r="F978" s="333">
        <f>IF($C$6=$E978,1,IF(MONTH($E978)=1,F979*(1+$F$5),F979))</f>
      </c>
      <c r="G978" s="333">
        <f>F978*$B$8/12</f>
      </c>
      <c r="H978" s="333">
        <f>IF(F978=1,F978*$B$10/MIN(12,'Simulador - 3º Pilar'!$E$88),0)</f>
      </c>
      <c r="I978" s="560">
        <f>(1+$G$5)^(D978/12)*(H978+IF(E978=$N$7,$N$4,0))</f>
      </c>
      <c r="J978" s="561">
        <f>(1+$G$5)^(D978/12)*(H978*(12-IF(MONTH(E979)=12,0,MONTH(E979)))+IF(AND(F978=1,F979=0),$Q$4,0))*IF(AND(F978=1,F979=0),1,0)</f>
      </c>
      <c r="K978" s="217">
        <f>(1+$G$5)^(D978/12)*(IF(E978=$N$7,$N$4,0)+IF(E978=$C$6,$B$10,0))</f>
      </c>
      <c r="L978" s="217">
        <f>(1+$G$5)^(D978/12)*(IF((E978)&gt;($B$6),H978,0)+IF(E978=$N$7,$N$4,0)+IF(E978=$C$6,0,0))</f>
      </c>
      <c r="M978" s="1"/>
      <c r="N978" s="7"/>
      <c r="O978" s="1"/>
      <c r="P978" s="331">
        <v>971</v>
      </c>
      <c r="Q978" s="544">
        <f>+DATE(YEAR(Q977),MONTH(Q977)-1,DAY(Q977))</f>
        <v>25569.041666666668</v>
      </c>
      <c r="R978" s="341">
        <f>IF($Z$7=$E978,1,IF(MONTH($E978)=1,R979*(1+$F$5),R979))</f>
      </c>
      <c r="S978" s="334">
        <f>R978*$B$8/12</f>
      </c>
      <c r="T978" s="334">
        <f>R978*$B$11/12</f>
      </c>
      <c r="U978" s="565">
        <f>(1+$V$5)^(P978/12)*(T978+IF(Q978=$Z$7,$Z$4,0))</f>
      </c>
      <c r="V978" s="170"/>
      <c r="W978" s="7"/>
      <c r="X978" s="1"/>
      <c r="Y978" s="1"/>
      <c r="Z978" s="1"/>
      <c r="AA978" s="1"/>
      <c r="AB978" s="1"/>
      <c r="AC978" s="331">
        <v>971</v>
      </c>
      <c r="AD978" s="544">
        <f>+DATE(YEAR(AD977),MONTH(AD977)-1,DAY(AD977))</f>
        <v>25569.041666666668</v>
      </c>
      <c r="AE978" s="341">
        <f>IF($AM$7=$E978,1,IF(MONTH($E978)=1,AE979*(1+$F$5),AE979))</f>
      </c>
      <c r="AF978" s="334">
        <f>AE978*$B$8/12</f>
      </c>
      <c r="AG978" s="334">
        <f>AE978*$B$12/12</f>
      </c>
      <c r="AH978" s="565">
        <f>(1+$AI$5)^(AC978/12)*(AG978+IF(AD978=$AM$7,$AM$4,0))</f>
      </c>
      <c r="AI978" s="170"/>
      <c r="AJ978" s="7"/>
      <c r="AK978" s="1"/>
      <c r="AL978" s="1"/>
      <c r="AM978" s="1"/>
    </row>
    <row x14ac:dyDescent="0.25" r="979" customHeight="1" ht="18.75">
      <c r="A979" s="1"/>
      <c r="B979" s="169"/>
      <c r="C979" s="170"/>
      <c r="D979" s="331">
        <v>972</v>
      </c>
      <c r="E979" s="544">
        <f>+DATE(YEAR(E978),MONTH(E978)-1,DAY(E978))</f>
        <v>25569.041666666668</v>
      </c>
      <c r="F979" s="333">
        <f>IF($C$6=$E979,1,IF(MONTH($E979)=1,F980*(1+$F$5),F980))</f>
      </c>
      <c r="G979" s="333">
        <f>F979*$B$8/12</f>
      </c>
      <c r="H979" s="333">
        <f>IF(F979=1,F979*$B$10/MIN(12,'Simulador - 3º Pilar'!$E$88),0)</f>
      </c>
      <c r="I979" s="560">
        <f>(1+$G$5)^(D979/12)*(H979+IF(E979=$N$7,$N$4,0))</f>
      </c>
      <c r="J979" s="561">
        <f>(1+$G$5)^(D979/12)*(H979*(12-IF(MONTH(E980)=12,0,MONTH(E980)))+IF(AND(F979=1,F980=0),$Q$4,0))*IF(AND(F979=1,F980=0),1,0)</f>
      </c>
      <c r="K979" s="217">
        <f>(1+$G$5)^(D979/12)*(IF(E979=$N$7,$N$4,0)+IF(E979=$C$6,$B$10,0))</f>
      </c>
      <c r="L979" s="217">
        <f>(1+$G$5)^(D979/12)*(IF((E979)&gt;($B$6),H979,0)+IF(E979=$N$7,$N$4,0)+IF(E979=$C$6,0,0))</f>
      </c>
      <c r="M979" s="1"/>
      <c r="N979" s="7"/>
      <c r="O979" s="1"/>
      <c r="P979" s="331">
        <v>972</v>
      </c>
      <c r="Q979" s="544">
        <f>+DATE(YEAR(Q978),MONTH(Q978)-1,DAY(Q978))</f>
        <v>25569.041666666668</v>
      </c>
      <c r="R979" s="341">
        <f>IF($Z$7=$E979,1,IF(MONTH($E979)=1,R980*(1+$F$5),R980))</f>
      </c>
      <c r="S979" s="334">
        <f>R979*$B$8/12</f>
      </c>
      <c r="T979" s="334">
        <f>R979*$B$11/12</f>
      </c>
      <c r="U979" s="565">
        <f>(1+$V$5)^(P979/12)*(T979+IF(Q979=$Z$7,$Z$4,0))</f>
      </c>
      <c r="V979" s="170"/>
      <c r="W979" s="7"/>
      <c r="X979" s="1"/>
      <c r="Y979" s="1"/>
      <c r="Z979" s="1"/>
      <c r="AA979" s="1"/>
      <c r="AB979" s="1"/>
      <c r="AC979" s="331">
        <v>972</v>
      </c>
      <c r="AD979" s="544">
        <f>+DATE(YEAR(AD978),MONTH(AD978)-1,DAY(AD978))</f>
        <v>25569.041666666668</v>
      </c>
      <c r="AE979" s="341">
        <f>IF($AM$7=$E979,1,IF(MONTH($E979)=1,AE980*(1+$F$5),AE980))</f>
      </c>
      <c r="AF979" s="334">
        <f>AE979*$B$8/12</f>
      </c>
      <c r="AG979" s="334">
        <f>AE979*$B$12/12</f>
      </c>
      <c r="AH979" s="565">
        <f>(1+$AI$5)^(AC979/12)*(AG979+IF(AD979=$AM$7,$AM$4,0))</f>
      </c>
      <c r="AI979" s="170"/>
      <c r="AJ979" s="7"/>
      <c r="AK979" s="1"/>
      <c r="AL979" s="1"/>
      <c r="AM979" s="1"/>
    </row>
    <row x14ac:dyDescent="0.25" r="980" customHeight="1" ht="18.75">
      <c r="A980" s="1"/>
      <c r="B980" s="169"/>
      <c r="C980" s="170"/>
      <c r="D980" s="331">
        <v>973</v>
      </c>
      <c r="E980" s="544">
        <f>+DATE(YEAR(E979),MONTH(E979)-1,DAY(E979))</f>
        <v>25569.041666666668</v>
      </c>
      <c r="F980" s="333">
        <f>IF($C$6=$E980,1,IF(MONTH($E980)=1,F981*(1+$F$5),F981))</f>
      </c>
      <c r="G980" s="333">
        <f>F980*$B$8/12</f>
      </c>
      <c r="H980" s="333">
        <f>IF(F980=1,F980*$B$10/MIN(12,'Simulador - 3º Pilar'!$E$88),0)</f>
      </c>
      <c r="I980" s="560">
        <f>(1+$G$5)^(D980/12)*(H980+IF(E980=$N$7,$N$4,0))</f>
      </c>
      <c r="J980" s="561">
        <f>(1+$G$5)^(D980/12)*(H980*(12-IF(MONTH(E981)=12,0,MONTH(E981)))+IF(AND(F980=1,F981=0),$Q$4,0))*IF(AND(F980=1,F981=0),1,0)</f>
      </c>
      <c r="K980" s="217">
        <f>(1+$G$5)^(D980/12)*(IF(E980=$N$7,$N$4,0)+IF(E980=$C$6,$B$10,0))</f>
      </c>
      <c r="L980" s="217">
        <f>(1+$G$5)^(D980/12)*(IF((E980)&gt;($B$6),H980,0)+IF(E980=$N$7,$N$4,0)+IF(E980=$C$6,0,0))</f>
      </c>
      <c r="M980" s="1"/>
      <c r="N980" s="7"/>
      <c r="O980" s="1"/>
      <c r="P980" s="331">
        <v>973</v>
      </c>
      <c r="Q980" s="544">
        <f>+DATE(YEAR(Q979),MONTH(Q979)-1,DAY(Q979))</f>
        <v>25569.041666666668</v>
      </c>
      <c r="R980" s="341">
        <f>IF($Z$7=$E980,1,IF(MONTH($E980)=1,R981*(1+$F$5),R981))</f>
      </c>
      <c r="S980" s="334">
        <f>R980*$B$8/12</f>
      </c>
      <c r="T980" s="334">
        <f>R980*$B$11/12</f>
      </c>
      <c r="U980" s="565">
        <f>(1+$V$5)^(P980/12)*(T980+IF(Q980=$Z$7,$Z$4,0))</f>
      </c>
      <c r="V980" s="170"/>
      <c r="W980" s="7"/>
      <c r="X980" s="1"/>
      <c r="Y980" s="1"/>
      <c r="Z980" s="1"/>
      <c r="AA980" s="1"/>
      <c r="AB980" s="1"/>
      <c r="AC980" s="331">
        <v>973</v>
      </c>
      <c r="AD980" s="544">
        <f>+DATE(YEAR(AD979),MONTH(AD979)-1,DAY(AD979))</f>
        <v>25569.041666666668</v>
      </c>
      <c r="AE980" s="341">
        <f>IF($AM$7=$E980,1,IF(MONTH($E980)=1,AE981*(1+$F$5),AE981))</f>
      </c>
      <c r="AF980" s="334">
        <f>AE980*$B$8/12</f>
      </c>
      <c r="AG980" s="334">
        <f>AE980*$B$12/12</f>
      </c>
      <c r="AH980" s="565">
        <f>(1+$AI$5)^(AC980/12)*(AG980+IF(AD980=$AM$7,$AM$4,0))</f>
      </c>
      <c r="AI980" s="170"/>
      <c r="AJ980" s="7"/>
      <c r="AK980" s="1"/>
      <c r="AL980" s="1"/>
      <c r="AM980" s="1"/>
    </row>
    <row x14ac:dyDescent="0.25" r="981" customHeight="1" ht="18.75">
      <c r="A981" s="1"/>
      <c r="B981" s="169"/>
      <c r="C981" s="170"/>
      <c r="D981" s="331">
        <v>974</v>
      </c>
      <c r="E981" s="544">
        <f>+DATE(YEAR(E980),MONTH(E980)-1,DAY(E980))</f>
        <v>25569.041666666668</v>
      </c>
      <c r="F981" s="333">
        <f>IF($C$6=$E981,1,IF(MONTH($E981)=1,F982*(1+$F$5),F982))</f>
      </c>
      <c r="G981" s="333">
        <f>F981*$B$8/12</f>
      </c>
      <c r="H981" s="333">
        <f>IF(F981=1,F981*$B$10/MIN(12,'Simulador - 3º Pilar'!$E$88),0)</f>
      </c>
      <c r="I981" s="560">
        <f>(1+$G$5)^(D981/12)*(H981+IF(E981=$N$7,$N$4,0))</f>
      </c>
      <c r="J981" s="561">
        <f>(1+$G$5)^(D981/12)*(H981*(12-IF(MONTH(E982)=12,0,MONTH(E982)))+IF(AND(F981=1,F982=0),$Q$4,0))*IF(AND(F981=1,F982=0),1,0)</f>
      </c>
      <c r="K981" s="217">
        <f>(1+$G$5)^(D981/12)*(IF(E981=$N$7,$N$4,0)+IF(E981=$C$6,$B$10,0))</f>
      </c>
      <c r="L981" s="217">
        <f>(1+$G$5)^(D981/12)*(IF((E981)&gt;($B$6),H981,0)+IF(E981=$N$7,$N$4,0)+IF(E981=$C$6,0,0))</f>
      </c>
      <c r="M981" s="1"/>
      <c r="N981" s="7"/>
      <c r="O981" s="1"/>
      <c r="P981" s="331">
        <v>974</v>
      </c>
      <c r="Q981" s="544">
        <f>+DATE(YEAR(Q980),MONTH(Q980)-1,DAY(Q980))</f>
        <v>25569.041666666668</v>
      </c>
      <c r="R981" s="341">
        <f>IF($Z$7=$E981,1,IF(MONTH($E981)=1,R982*(1+$F$5),R982))</f>
      </c>
      <c r="S981" s="334">
        <f>R981*$B$8/12</f>
      </c>
      <c r="T981" s="334">
        <f>R981*$B$11/12</f>
      </c>
      <c r="U981" s="565">
        <f>(1+$V$5)^(P981/12)*(T981+IF(Q981=$Z$7,$Z$4,0))</f>
      </c>
      <c r="V981" s="170"/>
      <c r="W981" s="7"/>
      <c r="X981" s="1"/>
      <c r="Y981" s="1"/>
      <c r="Z981" s="1"/>
      <c r="AA981" s="1"/>
      <c r="AB981" s="1"/>
      <c r="AC981" s="331">
        <v>974</v>
      </c>
      <c r="AD981" s="544">
        <f>+DATE(YEAR(AD980),MONTH(AD980)-1,DAY(AD980))</f>
        <v>25569.041666666668</v>
      </c>
      <c r="AE981" s="341">
        <f>IF($AM$7=$E981,1,IF(MONTH($E981)=1,AE982*(1+$F$5),AE982))</f>
      </c>
      <c r="AF981" s="334">
        <f>AE981*$B$8/12</f>
      </c>
      <c r="AG981" s="334">
        <f>AE981*$B$12/12</f>
      </c>
      <c r="AH981" s="565">
        <f>(1+$AI$5)^(AC981/12)*(AG981+IF(AD981=$AM$7,$AM$4,0))</f>
      </c>
      <c r="AI981" s="170"/>
      <c r="AJ981" s="7"/>
      <c r="AK981" s="1"/>
      <c r="AL981" s="1"/>
      <c r="AM981" s="1"/>
    </row>
    <row x14ac:dyDescent="0.25" r="982" customHeight="1" ht="18.75">
      <c r="A982" s="1"/>
      <c r="B982" s="169"/>
      <c r="C982" s="170"/>
      <c r="D982" s="331">
        <v>975</v>
      </c>
      <c r="E982" s="544">
        <f>+DATE(YEAR(E981),MONTH(E981)-1,DAY(E981))</f>
        <v>25569.041666666668</v>
      </c>
      <c r="F982" s="333">
        <f>IF($C$6=$E982,1,IF(MONTH($E982)=1,F983*(1+$F$5),F983))</f>
      </c>
      <c r="G982" s="333">
        <f>F982*$B$8/12</f>
      </c>
      <c r="H982" s="333">
        <f>IF(F982=1,F982*$B$10/MIN(12,'Simulador - 3º Pilar'!$E$88),0)</f>
      </c>
      <c r="I982" s="560">
        <f>(1+$G$5)^(D982/12)*(H982+IF(E982=$N$7,$N$4,0))</f>
      </c>
      <c r="J982" s="561">
        <f>(1+$G$5)^(D982/12)*(H982*(12-IF(MONTH(E983)=12,0,MONTH(E983)))+IF(AND(F982=1,F983=0),$Q$4,0))*IF(AND(F982=1,F983=0),1,0)</f>
      </c>
      <c r="K982" s="217">
        <f>(1+$G$5)^(D982/12)*(IF(E982=$N$7,$N$4,0)+IF(E982=$C$6,$B$10,0))</f>
      </c>
      <c r="L982" s="217">
        <f>(1+$G$5)^(D982/12)*(IF((E982)&gt;($B$6),H982,0)+IF(E982=$N$7,$N$4,0)+IF(E982=$C$6,0,0))</f>
      </c>
      <c r="M982" s="1"/>
      <c r="N982" s="7"/>
      <c r="O982" s="1"/>
      <c r="P982" s="331">
        <v>975</v>
      </c>
      <c r="Q982" s="544">
        <f>+DATE(YEAR(Q981),MONTH(Q981)-1,DAY(Q981))</f>
        <v>25569.041666666668</v>
      </c>
      <c r="R982" s="341">
        <f>IF($Z$7=$E982,1,IF(MONTH($E982)=1,R983*(1+$F$5),R983))</f>
      </c>
      <c r="S982" s="334">
        <f>R982*$B$8/12</f>
      </c>
      <c r="T982" s="334">
        <f>R982*$B$11/12</f>
      </c>
      <c r="U982" s="565">
        <f>(1+$V$5)^(P982/12)*(T982+IF(Q982=$Z$7,$Z$4,0))</f>
      </c>
      <c r="V982" s="170"/>
      <c r="W982" s="7"/>
      <c r="X982" s="1"/>
      <c r="Y982" s="1"/>
      <c r="Z982" s="1"/>
      <c r="AA982" s="1"/>
      <c r="AB982" s="1"/>
      <c r="AC982" s="331">
        <v>975</v>
      </c>
      <c r="AD982" s="544">
        <f>+DATE(YEAR(AD981),MONTH(AD981)-1,DAY(AD981))</f>
        <v>25569.041666666668</v>
      </c>
      <c r="AE982" s="341">
        <f>IF($AM$7=$E982,1,IF(MONTH($E982)=1,AE983*(1+$F$5),AE983))</f>
      </c>
      <c r="AF982" s="334">
        <f>AE982*$B$8/12</f>
      </c>
      <c r="AG982" s="334">
        <f>AE982*$B$12/12</f>
      </c>
      <c r="AH982" s="565">
        <f>(1+$AI$5)^(AC982/12)*(AG982+IF(AD982=$AM$7,$AM$4,0))</f>
      </c>
      <c r="AI982" s="170"/>
      <c r="AJ982" s="7"/>
      <c r="AK982" s="1"/>
      <c r="AL982" s="1"/>
      <c r="AM982" s="1"/>
    </row>
    <row x14ac:dyDescent="0.25" r="983" customHeight="1" ht="18.75">
      <c r="A983" s="1"/>
      <c r="B983" s="169"/>
      <c r="C983" s="170"/>
      <c r="D983" s="331">
        <v>976</v>
      </c>
      <c r="E983" s="544">
        <f>+DATE(YEAR(E982),MONTH(E982)-1,DAY(E982))</f>
        <v>25569.041666666668</v>
      </c>
      <c r="F983" s="333">
        <f>IF($C$6=$E983,1,IF(MONTH($E983)=1,F984*(1+$F$5),F984))</f>
      </c>
      <c r="G983" s="333">
        <f>F983*$B$8/12</f>
      </c>
      <c r="H983" s="333">
        <f>IF(F983=1,F983*$B$10/MIN(12,'Simulador - 3º Pilar'!$E$88),0)</f>
      </c>
      <c r="I983" s="560">
        <f>(1+$G$5)^(D983/12)*(H983+IF(E983=$N$7,$N$4,0))</f>
      </c>
      <c r="J983" s="561">
        <f>(1+$G$5)^(D983/12)*(H983*(12-IF(MONTH(E984)=12,0,MONTH(E984)))+IF(AND(F983=1,F984=0),$Q$4,0))*IF(AND(F983=1,F984=0),1,0)</f>
      </c>
      <c r="K983" s="217">
        <f>(1+$G$5)^(D983/12)*(IF(E983=$N$7,$N$4,0)+IF(E983=$C$6,$B$10,0))</f>
      </c>
      <c r="L983" s="217">
        <f>(1+$G$5)^(D983/12)*(IF((E983)&gt;($B$6),H983,0)+IF(E983=$N$7,$N$4,0)+IF(E983=$C$6,0,0))</f>
      </c>
      <c r="M983" s="1"/>
      <c r="N983" s="7"/>
      <c r="O983" s="1"/>
      <c r="P983" s="331">
        <v>976</v>
      </c>
      <c r="Q983" s="544">
        <f>+DATE(YEAR(Q982),MONTH(Q982)-1,DAY(Q982))</f>
        <v>25569.041666666668</v>
      </c>
      <c r="R983" s="341">
        <f>IF($Z$7=$E983,1,IF(MONTH($E983)=1,R984*(1+$F$5),R984))</f>
      </c>
      <c r="S983" s="334">
        <f>R983*$B$8/12</f>
      </c>
      <c r="T983" s="334">
        <f>R983*$B$11/12</f>
      </c>
      <c r="U983" s="565">
        <f>(1+$V$5)^(P983/12)*(T983+IF(Q983=$Z$7,$Z$4,0))</f>
      </c>
      <c r="V983" s="170"/>
      <c r="W983" s="7"/>
      <c r="X983" s="1"/>
      <c r="Y983" s="1"/>
      <c r="Z983" s="1"/>
      <c r="AA983" s="1"/>
      <c r="AB983" s="1"/>
      <c r="AC983" s="331">
        <v>976</v>
      </c>
      <c r="AD983" s="544">
        <f>+DATE(YEAR(AD982),MONTH(AD982)-1,DAY(AD982))</f>
        <v>25569.041666666668</v>
      </c>
      <c r="AE983" s="341">
        <f>IF($AM$7=$E983,1,IF(MONTH($E983)=1,AE984*(1+$F$5),AE984))</f>
      </c>
      <c r="AF983" s="334">
        <f>AE983*$B$8/12</f>
      </c>
      <c r="AG983" s="334">
        <f>AE983*$B$12/12</f>
      </c>
      <c r="AH983" s="565">
        <f>(1+$AI$5)^(AC983/12)*(AG983+IF(AD983=$AM$7,$AM$4,0))</f>
      </c>
      <c r="AI983" s="170"/>
      <c r="AJ983" s="7"/>
      <c r="AK983" s="1"/>
      <c r="AL983" s="1"/>
      <c r="AM983" s="1"/>
    </row>
    <row x14ac:dyDescent="0.25" r="984" customHeight="1" ht="18.75">
      <c r="A984" s="1"/>
      <c r="B984" s="169"/>
      <c r="C984" s="170"/>
      <c r="D984" s="331">
        <v>977</v>
      </c>
      <c r="E984" s="544">
        <f>+DATE(YEAR(E983),MONTH(E983)-1,DAY(E983))</f>
        <v>25569.041666666668</v>
      </c>
      <c r="F984" s="333">
        <f>IF($C$6=$E984,1,IF(MONTH($E984)=1,F985*(1+$F$5),F985))</f>
      </c>
      <c r="G984" s="333">
        <f>F984*$B$8/12</f>
      </c>
      <c r="H984" s="333">
        <f>IF(F984=1,F984*$B$10/MIN(12,'Simulador - 3º Pilar'!$E$88),0)</f>
      </c>
      <c r="I984" s="560">
        <f>(1+$G$5)^(D984/12)*(H984+IF(E984=$N$7,$N$4,0))</f>
      </c>
      <c r="J984" s="561">
        <f>(1+$G$5)^(D984/12)*(H984*(12-IF(MONTH(E985)=12,0,MONTH(E985)))+IF(AND(F984=1,F985=0),$Q$4,0))*IF(AND(F984=1,F985=0),1,0)</f>
      </c>
      <c r="K984" s="217">
        <f>(1+$G$5)^(D984/12)*(IF(E984=$N$7,$N$4,0)+IF(E984=$C$6,$B$10,0))</f>
      </c>
      <c r="L984" s="217">
        <f>(1+$G$5)^(D984/12)*(IF((E984)&gt;($B$6),H984,0)+IF(E984=$N$7,$N$4,0)+IF(E984=$C$6,0,0))</f>
      </c>
      <c r="M984" s="1"/>
      <c r="N984" s="7"/>
      <c r="O984" s="1"/>
      <c r="P984" s="331">
        <v>977</v>
      </c>
      <c r="Q984" s="544">
        <f>+DATE(YEAR(Q983),MONTH(Q983)-1,DAY(Q983))</f>
        <v>25569.041666666668</v>
      </c>
      <c r="R984" s="341">
        <f>IF($Z$7=$E984,1,IF(MONTH($E984)=1,R985*(1+$F$5),R985))</f>
      </c>
      <c r="S984" s="334">
        <f>R984*$B$8/12</f>
      </c>
      <c r="T984" s="334">
        <f>R984*$B$11/12</f>
      </c>
      <c r="U984" s="565">
        <f>(1+$V$5)^(P984/12)*(T984+IF(Q984=$Z$7,$Z$4,0))</f>
      </c>
      <c r="V984" s="170"/>
      <c r="W984" s="7"/>
      <c r="X984" s="1"/>
      <c r="Y984" s="1"/>
      <c r="Z984" s="1"/>
      <c r="AA984" s="1"/>
      <c r="AB984" s="1"/>
      <c r="AC984" s="331">
        <v>977</v>
      </c>
      <c r="AD984" s="544">
        <f>+DATE(YEAR(AD983),MONTH(AD983)-1,DAY(AD983))</f>
        <v>25569.041666666668</v>
      </c>
      <c r="AE984" s="341">
        <f>IF($AM$7=$E984,1,IF(MONTH($E984)=1,AE985*(1+$F$5),AE985))</f>
      </c>
      <c r="AF984" s="334">
        <f>AE984*$B$8/12</f>
      </c>
      <c r="AG984" s="334">
        <f>AE984*$B$12/12</f>
      </c>
      <c r="AH984" s="565">
        <f>(1+$AI$5)^(AC984/12)*(AG984+IF(AD984=$AM$7,$AM$4,0))</f>
      </c>
      <c r="AI984" s="170"/>
      <c r="AJ984" s="7"/>
      <c r="AK984" s="1"/>
      <c r="AL984" s="1"/>
      <c r="AM984" s="1"/>
    </row>
    <row x14ac:dyDescent="0.25" r="985" customHeight="1" ht="18.75">
      <c r="A985" s="1"/>
      <c r="B985" s="169"/>
      <c r="C985" s="170"/>
      <c r="D985" s="331">
        <v>978</v>
      </c>
      <c r="E985" s="544">
        <f>+DATE(YEAR(E984),MONTH(E984)-1,DAY(E984))</f>
        <v>25569.041666666668</v>
      </c>
      <c r="F985" s="333">
        <f>IF($C$6=$E985,1,IF(MONTH($E985)=1,F986*(1+$F$5),F986))</f>
      </c>
      <c r="G985" s="333">
        <f>F985*$B$8/12</f>
      </c>
      <c r="H985" s="333">
        <f>IF(F985=1,F985*$B$10/MIN(12,'Simulador - 3º Pilar'!$E$88),0)</f>
      </c>
      <c r="I985" s="560">
        <f>(1+$G$5)^(D985/12)*(H985+IF(E985=$N$7,$N$4,0))</f>
      </c>
      <c r="J985" s="561">
        <f>(1+$G$5)^(D985/12)*(H985*(12-IF(MONTH(E986)=12,0,MONTH(E986)))+IF(AND(F985=1,F986=0),$Q$4,0))*IF(AND(F985=1,F986=0),1,0)</f>
      </c>
      <c r="K985" s="217">
        <f>(1+$G$5)^(D985/12)*(IF(E985=$N$7,$N$4,0)+IF(E985=$C$6,$B$10,0))</f>
      </c>
      <c r="L985" s="217">
        <f>(1+$G$5)^(D985/12)*(IF((E985)&gt;($B$6),H985,0)+IF(E985=$N$7,$N$4,0)+IF(E985=$C$6,0,0))</f>
      </c>
      <c r="M985" s="1"/>
      <c r="N985" s="7"/>
      <c r="O985" s="1"/>
      <c r="P985" s="331">
        <v>978</v>
      </c>
      <c r="Q985" s="544">
        <f>+DATE(YEAR(Q984),MONTH(Q984)-1,DAY(Q984))</f>
        <v>25569.041666666668</v>
      </c>
      <c r="R985" s="341">
        <f>IF($Z$7=$E985,1,IF(MONTH($E985)=1,R986*(1+$F$5),R986))</f>
      </c>
      <c r="S985" s="334">
        <f>R985*$B$8/12</f>
      </c>
      <c r="T985" s="334">
        <f>R985*$B$11/12</f>
      </c>
      <c r="U985" s="565">
        <f>(1+$V$5)^(P985/12)*(T985+IF(Q985=$Z$7,$Z$4,0))</f>
      </c>
      <c r="V985" s="170"/>
      <c r="W985" s="7"/>
      <c r="X985" s="1"/>
      <c r="Y985" s="1"/>
      <c r="Z985" s="1"/>
      <c r="AA985" s="1"/>
      <c r="AB985" s="1"/>
      <c r="AC985" s="331">
        <v>978</v>
      </c>
      <c r="AD985" s="544">
        <f>+DATE(YEAR(AD984),MONTH(AD984)-1,DAY(AD984))</f>
        <v>25569.041666666668</v>
      </c>
      <c r="AE985" s="341">
        <f>IF($AM$7=$E985,1,IF(MONTH($E985)=1,AE986*(1+$F$5),AE986))</f>
      </c>
      <c r="AF985" s="334">
        <f>AE985*$B$8/12</f>
      </c>
      <c r="AG985" s="334">
        <f>AE985*$B$12/12</f>
      </c>
      <c r="AH985" s="565">
        <f>(1+$AI$5)^(AC985/12)*(AG985+IF(AD985=$AM$7,$AM$4,0))</f>
      </c>
      <c r="AI985" s="170"/>
      <c r="AJ985" s="7"/>
      <c r="AK985" s="1"/>
      <c r="AL985" s="1"/>
      <c r="AM985" s="1"/>
    </row>
    <row x14ac:dyDescent="0.25" r="986" customHeight="1" ht="18.75">
      <c r="A986" s="1"/>
      <c r="B986" s="169"/>
      <c r="C986" s="170"/>
      <c r="D986" s="331">
        <v>979</v>
      </c>
      <c r="E986" s="544">
        <f>+DATE(YEAR(E985),MONTH(E985)-1,DAY(E985))</f>
        <v>25569.041666666668</v>
      </c>
      <c r="F986" s="333">
        <f>IF($C$6=$E986,1,IF(MONTH($E986)=1,F987*(1+$F$5),F987))</f>
      </c>
      <c r="G986" s="333">
        <f>F986*$B$8/12</f>
      </c>
      <c r="H986" s="333">
        <f>IF(F986=1,F986*$B$10/MIN(12,'Simulador - 3º Pilar'!$E$88),0)</f>
      </c>
      <c r="I986" s="560">
        <f>(1+$G$5)^(D986/12)*(H986+IF(E986=$N$7,$N$4,0))</f>
      </c>
      <c r="J986" s="561">
        <f>(1+$G$5)^(D986/12)*(H986*(12-IF(MONTH(E987)=12,0,MONTH(E987)))+IF(AND(F986=1,F987=0),$Q$4,0))*IF(AND(F986=1,F987=0),1,0)</f>
      </c>
      <c r="K986" s="217">
        <f>(1+$G$5)^(D986/12)*(IF(E986=$N$7,$N$4,0)+IF(E986=$C$6,$B$10,0))</f>
      </c>
      <c r="L986" s="217">
        <f>(1+$G$5)^(D986/12)*(IF((E986)&gt;($B$6),H986,0)+IF(E986=$N$7,$N$4,0)+IF(E986=$C$6,0,0))</f>
      </c>
      <c r="M986" s="1"/>
      <c r="N986" s="7"/>
      <c r="O986" s="1"/>
      <c r="P986" s="331">
        <v>979</v>
      </c>
      <c r="Q986" s="544">
        <f>+DATE(YEAR(Q985),MONTH(Q985)-1,DAY(Q985))</f>
        <v>25569.041666666668</v>
      </c>
      <c r="R986" s="341">
        <f>IF($Z$7=$E986,1,IF(MONTH($E986)=1,R987*(1+$F$5),R987))</f>
      </c>
      <c r="S986" s="334">
        <f>R986*$B$8/12</f>
      </c>
      <c r="T986" s="334">
        <f>R986*$B$11/12</f>
      </c>
      <c r="U986" s="565">
        <f>(1+$V$5)^(P986/12)*(T986+IF(Q986=$Z$7,$Z$4,0))</f>
      </c>
      <c r="V986" s="170"/>
      <c r="W986" s="7"/>
      <c r="X986" s="1"/>
      <c r="Y986" s="1"/>
      <c r="Z986" s="1"/>
      <c r="AA986" s="1"/>
      <c r="AB986" s="1"/>
      <c r="AC986" s="331">
        <v>979</v>
      </c>
      <c r="AD986" s="544">
        <f>+DATE(YEAR(AD985),MONTH(AD985)-1,DAY(AD985))</f>
        <v>25569.041666666668</v>
      </c>
      <c r="AE986" s="341">
        <f>IF($AM$7=$E986,1,IF(MONTH($E986)=1,AE987*(1+$F$5),AE987))</f>
      </c>
      <c r="AF986" s="334">
        <f>AE986*$B$8/12</f>
      </c>
      <c r="AG986" s="334">
        <f>AE986*$B$12/12</f>
      </c>
      <c r="AH986" s="565">
        <f>(1+$AI$5)^(AC986/12)*(AG986+IF(AD986=$AM$7,$AM$4,0))</f>
      </c>
      <c r="AI986" s="170"/>
      <c r="AJ986" s="7"/>
      <c r="AK986" s="1"/>
      <c r="AL986" s="1"/>
      <c r="AM986" s="1"/>
    </row>
    <row x14ac:dyDescent="0.25" r="987" customHeight="1" ht="18.75">
      <c r="A987" s="1"/>
      <c r="B987" s="169"/>
      <c r="C987" s="170"/>
      <c r="D987" s="331">
        <v>980</v>
      </c>
      <c r="E987" s="544">
        <f>+DATE(YEAR(E986),MONTH(E986)-1,DAY(E986))</f>
        <v>25569.041666666668</v>
      </c>
      <c r="F987" s="333">
        <f>IF($C$6=$E987,1,IF(MONTH($E987)=1,F988*(1+$F$5),F988))</f>
      </c>
      <c r="G987" s="333">
        <f>F987*$B$8/12</f>
      </c>
      <c r="H987" s="333">
        <f>IF(F987=1,F987*$B$10/MIN(12,'Simulador - 3º Pilar'!$E$88),0)</f>
      </c>
      <c r="I987" s="560">
        <f>(1+$G$5)^(D987/12)*(H987+IF(E987=$N$7,$N$4,0))</f>
      </c>
      <c r="J987" s="561">
        <f>(1+$G$5)^(D987/12)*(H987*(12-IF(MONTH(E988)=12,0,MONTH(E988)))+IF(AND(F987=1,F988=0),$Q$4,0))*IF(AND(F987=1,F988=0),1,0)</f>
      </c>
      <c r="K987" s="217">
        <f>(1+$G$5)^(D987/12)*(IF(E987=$N$7,$N$4,0)+IF(E987=$C$6,$B$10,0))</f>
      </c>
      <c r="L987" s="217">
        <f>(1+$G$5)^(D987/12)*(IF((E987)&gt;($B$6),H987,0)+IF(E987=$N$7,$N$4,0)+IF(E987=$C$6,0,0))</f>
      </c>
      <c r="M987" s="1"/>
      <c r="N987" s="7"/>
      <c r="O987" s="1"/>
      <c r="P987" s="331">
        <v>980</v>
      </c>
      <c r="Q987" s="544">
        <f>+DATE(YEAR(Q986),MONTH(Q986)-1,DAY(Q986))</f>
        <v>25569.041666666668</v>
      </c>
      <c r="R987" s="341">
        <f>IF($Z$7=$E987,1,IF(MONTH($E987)=1,R988*(1+$F$5),R988))</f>
      </c>
      <c r="S987" s="334">
        <f>R987*$B$8/12</f>
      </c>
      <c r="T987" s="334">
        <f>R987*$B$11/12</f>
      </c>
      <c r="U987" s="565">
        <f>(1+$V$5)^(P987/12)*(T987+IF(Q987=$Z$7,$Z$4,0))</f>
      </c>
      <c r="V987" s="170"/>
      <c r="W987" s="7"/>
      <c r="X987" s="1"/>
      <c r="Y987" s="1"/>
      <c r="Z987" s="1"/>
      <c r="AA987" s="1"/>
      <c r="AB987" s="1"/>
      <c r="AC987" s="331">
        <v>980</v>
      </c>
      <c r="AD987" s="544">
        <f>+DATE(YEAR(AD986),MONTH(AD986)-1,DAY(AD986))</f>
        <v>25569.041666666668</v>
      </c>
      <c r="AE987" s="341">
        <f>IF($AM$7=$E987,1,IF(MONTH($E987)=1,AE988*(1+$F$5),AE988))</f>
      </c>
      <c r="AF987" s="334">
        <f>AE987*$B$8/12</f>
      </c>
      <c r="AG987" s="334">
        <f>AE987*$B$12/12</f>
      </c>
      <c r="AH987" s="565">
        <f>(1+$AI$5)^(AC987/12)*(AG987+IF(AD987=$AM$7,$AM$4,0))</f>
      </c>
      <c r="AI987" s="170"/>
      <c r="AJ987" s="7"/>
      <c r="AK987" s="1"/>
      <c r="AL987" s="1"/>
      <c r="AM987" s="1"/>
    </row>
    <row x14ac:dyDescent="0.25" r="988" customHeight="1" ht="18.75">
      <c r="A988" s="1"/>
      <c r="B988" s="169"/>
      <c r="C988" s="170"/>
      <c r="D988" s="331">
        <v>981</v>
      </c>
      <c r="E988" s="544">
        <f>+DATE(YEAR(E987),MONTH(E987)-1,DAY(E987))</f>
        <v>25569.041666666668</v>
      </c>
      <c r="F988" s="333">
        <f>IF($C$6=$E988,1,IF(MONTH($E988)=1,F989*(1+$F$5),F989))</f>
      </c>
      <c r="G988" s="333">
        <f>F988*$B$8/12</f>
      </c>
      <c r="H988" s="333">
        <f>IF(F988=1,F988*$B$10/MIN(12,'Simulador - 3º Pilar'!$E$88),0)</f>
      </c>
      <c r="I988" s="560">
        <f>(1+$G$5)^(D988/12)*(H988+IF(E988=$N$7,$N$4,0))</f>
      </c>
      <c r="J988" s="561">
        <f>(1+$G$5)^(D988/12)*(H988*(12-IF(MONTH(E989)=12,0,MONTH(E989)))+IF(AND(F988=1,F989=0),$Q$4,0))*IF(AND(F988=1,F989=0),1,0)</f>
      </c>
      <c r="K988" s="217">
        <f>(1+$G$5)^(D988/12)*(IF(E988=$N$7,$N$4,0)+IF(E988=$C$6,$B$10,0))</f>
      </c>
      <c r="L988" s="217">
        <f>(1+$G$5)^(D988/12)*(IF((E988)&gt;($B$6),H988,0)+IF(E988=$N$7,$N$4,0)+IF(E988=$C$6,0,0))</f>
      </c>
      <c r="M988" s="1"/>
      <c r="N988" s="7"/>
      <c r="O988" s="1"/>
      <c r="P988" s="331">
        <v>981</v>
      </c>
      <c r="Q988" s="544">
        <f>+DATE(YEAR(Q987),MONTH(Q987)-1,DAY(Q987))</f>
        <v>25569.041666666668</v>
      </c>
      <c r="R988" s="341">
        <f>IF($Z$7=$E988,1,IF(MONTH($E988)=1,R989*(1+$F$5),R989))</f>
      </c>
      <c r="S988" s="334">
        <f>R988*$B$8/12</f>
      </c>
      <c r="T988" s="334">
        <f>R988*$B$11/12</f>
      </c>
      <c r="U988" s="565">
        <f>(1+$V$5)^(P988/12)*(T988+IF(Q988=$Z$7,$Z$4,0))</f>
      </c>
      <c r="V988" s="170"/>
      <c r="W988" s="7"/>
      <c r="X988" s="1"/>
      <c r="Y988" s="1"/>
      <c r="Z988" s="1"/>
      <c r="AA988" s="1"/>
      <c r="AB988" s="1"/>
      <c r="AC988" s="331">
        <v>981</v>
      </c>
      <c r="AD988" s="544">
        <f>+DATE(YEAR(AD987),MONTH(AD987)-1,DAY(AD987))</f>
        <v>25569.041666666668</v>
      </c>
      <c r="AE988" s="341">
        <f>IF($AM$7=$E988,1,IF(MONTH($E988)=1,AE989*(1+$F$5),AE989))</f>
      </c>
      <c r="AF988" s="334">
        <f>AE988*$B$8/12</f>
      </c>
      <c r="AG988" s="334">
        <f>AE988*$B$12/12</f>
      </c>
      <c r="AH988" s="565">
        <f>(1+$AI$5)^(AC988/12)*(AG988+IF(AD988=$AM$7,$AM$4,0))</f>
      </c>
      <c r="AI988" s="170"/>
      <c r="AJ988" s="7"/>
      <c r="AK988" s="1"/>
      <c r="AL988" s="1"/>
      <c r="AM988" s="1"/>
    </row>
    <row x14ac:dyDescent="0.25" r="989" customHeight="1" ht="18.75">
      <c r="A989" s="1"/>
      <c r="B989" s="169"/>
      <c r="C989" s="170"/>
      <c r="D989" s="331">
        <v>982</v>
      </c>
      <c r="E989" s="544">
        <f>+DATE(YEAR(E988),MONTH(E988)-1,DAY(E988))</f>
        <v>25569.041666666668</v>
      </c>
      <c r="F989" s="333">
        <f>IF($C$6=$E989,1,IF(MONTH($E989)=1,F990*(1+$F$5),F990))</f>
      </c>
      <c r="G989" s="333">
        <f>F989*$B$8/12</f>
      </c>
      <c r="H989" s="333">
        <f>IF(F989=1,F989*$B$10/MIN(12,'Simulador - 3º Pilar'!$E$88),0)</f>
      </c>
      <c r="I989" s="560">
        <f>(1+$G$5)^(D989/12)*(H989+IF(E989=$N$7,$N$4,0))</f>
      </c>
      <c r="J989" s="561">
        <f>(1+$G$5)^(D989/12)*(H989*(12-IF(MONTH(E990)=12,0,MONTH(E990)))+IF(AND(F989=1,F990=0),$Q$4,0))*IF(AND(F989=1,F990=0),1,0)</f>
      </c>
      <c r="K989" s="217">
        <f>(1+$G$5)^(D989/12)*(IF(E989=$N$7,$N$4,0)+IF(E989=$C$6,$B$10,0))</f>
      </c>
      <c r="L989" s="217">
        <f>(1+$G$5)^(D989/12)*(IF((E989)&gt;($B$6),H989,0)+IF(E989=$N$7,$N$4,0)+IF(E989=$C$6,0,0))</f>
      </c>
      <c r="M989" s="1"/>
      <c r="N989" s="7"/>
      <c r="O989" s="1"/>
      <c r="P989" s="331">
        <v>982</v>
      </c>
      <c r="Q989" s="544">
        <f>+DATE(YEAR(Q988),MONTH(Q988)-1,DAY(Q988))</f>
        <v>25569.041666666668</v>
      </c>
      <c r="R989" s="341">
        <f>IF($Z$7=$E989,1,IF(MONTH($E989)=1,R990*(1+$F$5),R990))</f>
      </c>
      <c r="S989" s="334">
        <f>R989*$B$8/12</f>
      </c>
      <c r="T989" s="334">
        <f>R989*$B$11/12</f>
      </c>
      <c r="U989" s="565">
        <f>(1+$V$5)^(P989/12)*(T989+IF(Q989=$Z$7,$Z$4,0))</f>
      </c>
      <c r="V989" s="170"/>
      <c r="W989" s="7"/>
      <c r="X989" s="1"/>
      <c r="Y989" s="1"/>
      <c r="Z989" s="1"/>
      <c r="AA989" s="1"/>
      <c r="AB989" s="1"/>
      <c r="AC989" s="331">
        <v>982</v>
      </c>
      <c r="AD989" s="544">
        <f>+DATE(YEAR(AD988),MONTH(AD988)-1,DAY(AD988))</f>
        <v>25569.041666666668</v>
      </c>
      <c r="AE989" s="341">
        <f>IF($AM$7=$E989,1,IF(MONTH($E989)=1,AE990*(1+$F$5),AE990))</f>
      </c>
      <c r="AF989" s="334">
        <f>AE989*$B$8/12</f>
      </c>
      <c r="AG989" s="334">
        <f>AE989*$B$12/12</f>
      </c>
      <c r="AH989" s="565">
        <f>(1+$AI$5)^(AC989/12)*(AG989+IF(AD989=$AM$7,$AM$4,0))</f>
      </c>
      <c r="AI989" s="170"/>
      <c r="AJ989" s="7"/>
      <c r="AK989" s="1"/>
      <c r="AL989" s="1"/>
      <c r="AM989" s="1"/>
    </row>
    <row x14ac:dyDescent="0.25" r="990" customHeight="1" ht="18.75">
      <c r="A990" s="1"/>
      <c r="B990" s="169"/>
      <c r="C990" s="170"/>
      <c r="D990" s="331">
        <v>983</v>
      </c>
      <c r="E990" s="544">
        <f>+DATE(YEAR(E989),MONTH(E989)-1,DAY(E989))</f>
        <v>25569.041666666668</v>
      </c>
      <c r="F990" s="333">
        <f>IF($C$6=$E990,1,IF(MONTH($E990)=1,F991*(1+$F$5),F991))</f>
      </c>
      <c r="G990" s="333">
        <f>F990*$B$8/12</f>
      </c>
      <c r="H990" s="333">
        <f>IF(F990=1,F990*$B$10/MIN(12,'Simulador - 3º Pilar'!$E$88),0)</f>
      </c>
      <c r="I990" s="560">
        <f>(1+$G$5)^(D990/12)*(H990+IF(E990=$N$7,$N$4,0))</f>
      </c>
      <c r="J990" s="561">
        <f>(1+$G$5)^(D990/12)*(H990*(12-IF(MONTH(E991)=12,0,MONTH(E991)))+IF(AND(F990=1,F991=0),$Q$4,0))*IF(AND(F990=1,F991=0),1,0)</f>
      </c>
      <c r="K990" s="217">
        <f>(1+$G$5)^(D990/12)*(IF(E990=$N$7,$N$4,0)+IF(E990=$C$6,$B$10,0))</f>
      </c>
      <c r="L990" s="217">
        <f>(1+$G$5)^(D990/12)*(IF((E990)&gt;($B$6),H990,0)+IF(E990=$N$7,$N$4,0)+IF(E990=$C$6,0,0))</f>
      </c>
      <c r="M990" s="1"/>
      <c r="N990" s="7"/>
      <c r="O990" s="1"/>
      <c r="P990" s="331">
        <v>983</v>
      </c>
      <c r="Q990" s="544">
        <f>+DATE(YEAR(Q989),MONTH(Q989)-1,DAY(Q989))</f>
        <v>25569.041666666668</v>
      </c>
      <c r="R990" s="341">
        <f>IF($Z$7=$E990,1,IF(MONTH($E990)=1,R991*(1+$F$5),R991))</f>
      </c>
      <c r="S990" s="334">
        <f>R990*$B$8/12</f>
      </c>
      <c r="T990" s="334">
        <f>R990*$B$11/12</f>
      </c>
      <c r="U990" s="565">
        <f>(1+$V$5)^(P990/12)*(T990+IF(Q990=$Z$7,$Z$4,0))</f>
      </c>
      <c r="V990" s="170"/>
      <c r="W990" s="7"/>
      <c r="X990" s="1"/>
      <c r="Y990" s="1"/>
      <c r="Z990" s="1"/>
      <c r="AA990" s="1"/>
      <c r="AB990" s="1"/>
      <c r="AC990" s="331">
        <v>983</v>
      </c>
      <c r="AD990" s="544">
        <f>+DATE(YEAR(AD989),MONTH(AD989)-1,DAY(AD989))</f>
        <v>25569.041666666668</v>
      </c>
      <c r="AE990" s="341">
        <f>IF($AM$7=$E990,1,IF(MONTH($E990)=1,AE991*(1+$F$5),AE991))</f>
      </c>
      <c r="AF990" s="334">
        <f>AE990*$B$8/12</f>
      </c>
      <c r="AG990" s="334">
        <f>AE990*$B$12/12</f>
      </c>
      <c r="AH990" s="565">
        <f>(1+$AI$5)^(AC990/12)*(AG990+IF(AD990=$AM$7,$AM$4,0))</f>
      </c>
      <c r="AI990" s="170"/>
      <c r="AJ990" s="7"/>
      <c r="AK990" s="1"/>
      <c r="AL990" s="1"/>
      <c r="AM990" s="1"/>
    </row>
    <row x14ac:dyDescent="0.25" r="991" customHeight="1" ht="18.75">
      <c r="A991" s="1"/>
      <c r="B991" s="169"/>
      <c r="C991" s="170"/>
      <c r="D991" s="331">
        <v>984</v>
      </c>
      <c r="E991" s="544">
        <f>+DATE(YEAR(E990),MONTH(E990)-1,DAY(E990))</f>
        <v>25569.041666666668</v>
      </c>
      <c r="F991" s="333">
        <f>IF($C$6=$E991,1,IF(MONTH($E991)=1,F992*(1+$F$5),F992))</f>
      </c>
      <c r="G991" s="333">
        <f>F991*$B$8/12</f>
      </c>
      <c r="H991" s="333">
        <f>IF(F991=1,F991*$B$10/MIN(12,'Simulador - 3º Pilar'!$E$88),0)</f>
      </c>
      <c r="I991" s="560">
        <f>(1+$G$5)^(D991/12)*(H991+IF(E991=$N$7,$N$4,0))</f>
      </c>
      <c r="J991" s="561">
        <f>(1+$G$5)^(D991/12)*(H991*(12-IF(MONTH(E992)=12,0,MONTH(E992)))+IF(AND(F991=1,F992=0),$Q$4,0))*IF(AND(F991=1,F992=0),1,0)</f>
      </c>
      <c r="K991" s="217">
        <f>(1+$G$5)^(D991/12)*(IF(E991=$N$7,$N$4,0)+IF(E991=$C$6,$B$10,0))</f>
      </c>
      <c r="L991" s="217">
        <f>(1+$G$5)^(D991/12)*(IF((E991)&gt;($B$6),H991,0)+IF(E991=$N$7,$N$4,0)+IF(E991=$C$6,0,0))</f>
      </c>
      <c r="M991" s="1"/>
      <c r="N991" s="7"/>
      <c r="O991" s="1"/>
      <c r="P991" s="331">
        <v>984</v>
      </c>
      <c r="Q991" s="544">
        <f>+DATE(YEAR(Q990),MONTH(Q990)-1,DAY(Q990))</f>
        <v>25569.041666666668</v>
      </c>
      <c r="R991" s="341">
        <f>IF($Z$7=$E991,1,IF(MONTH($E991)=1,R992*(1+$F$5),R992))</f>
      </c>
      <c r="S991" s="334">
        <f>R991*$B$8/12</f>
      </c>
      <c r="T991" s="334">
        <f>R991*$B$11/12</f>
      </c>
      <c r="U991" s="565">
        <f>(1+$V$5)^(P991/12)*(T991+IF(Q991=$Z$7,$Z$4,0))</f>
      </c>
      <c r="V991" s="170"/>
      <c r="W991" s="7"/>
      <c r="X991" s="1"/>
      <c r="Y991" s="1"/>
      <c r="Z991" s="1"/>
      <c r="AA991" s="1"/>
      <c r="AB991" s="1"/>
      <c r="AC991" s="331">
        <v>984</v>
      </c>
      <c r="AD991" s="544">
        <f>+DATE(YEAR(AD990),MONTH(AD990)-1,DAY(AD990))</f>
        <v>25569.041666666668</v>
      </c>
      <c r="AE991" s="341">
        <f>IF($AM$7=$E991,1,IF(MONTH($E991)=1,AE992*(1+$F$5),AE992))</f>
      </c>
      <c r="AF991" s="334">
        <f>AE991*$B$8/12</f>
      </c>
      <c r="AG991" s="334">
        <f>AE991*$B$12/12</f>
      </c>
      <c r="AH991" s="565">
        <f>(1+$AI$5)^(AC991/12)*(AG991+IF(AD991=$AM$7,$AM$4,0))</f>
      </c>
      <c r="AI991" s="170"/>
      <c r="AJ991" s="7"/>
      <c r="AK991" s="1"/>
      <c r="AL991" s="1"/>
      <c r="AM991" s="1"/>
    </row>
    <row x14ac:dyDescent="0.25" r="992" customHeight="1" ht="18.75">
      <c r="A992" s="1"/>
      <c r="B992" s="169"/>
      <c r="C992" s="170"/>
      <c r="D992" s="331">
        <v>985</v>
      </c>
      <c r="E992" s="544">
        <f>+DATE(YEAR(E991),MONTH(E991)-1,DAY(E991))</f>
        <v>25569.041666666668</v>
      </c>
      <c r="F992" s="333">
        <f>IF($C$6=$E992,1,IF(MONTH($E992)=1,F993*(1+$F$5),F993))</f>
      </c>
      <c r="G992" s="333">
        <f>F992*$B$8/12</f>
      </c>
      <c r="H992" s="333">
        <f>IF(F992=1,F992*$B$10/MIN(12,'Simulador - 3º Pilar'!$E$88),0)</f>
      </c>
      <c r="I992" s="560">
        <f>(1+$G$5)^(D992/12)*(H992+IF(E992=$N$7,$N$4,0))</f>
      </c>
      <c r="J992" s="561">
        <f>(1+$G$5)^(D992/12)*(H992*(12-IF(MONTH(E993)=12,0,MONTH(E993)))+IF(AND(F992=1,F993=0),$Q$4,0))*IF(AND(F992=1,F993=0),1,0)</f>
      </c>
      <c r="K992" s="217">
        <f>(1+$G$5)^(D992/12)*(IF(E992=$N$7,$N$4,0)+IF(E992=$C$6,$B$10,0))</f>
      </c>
      <c r="L992" s="217">
        <f>(1+$G$5)^(D992/12)*(IF((E992)&gt;($B$6),H992,0)+IF(E992=$N$7,$N$4,0)+IF(E992=$C$6,0,0))</f>
      </c>
      <c r="M992" s="1"/>
      <c r="N992" s="7"/>
      <c r="O992" s="1"/>
      <c r="P992" s="331">
        <v>985</v>
      </c>
      <c r="Q992" s="544">
        <f>+DATE(YEAR(Q991),MONTH(Q991)-1,DAY(Q991))</f>
        <v>25569.041666666668</v>
      </c>
      <c r="R992" s="341">
        <f>IF($Z$7=$E992,1,IF(MONTH($E992)=1,R993*(1+$F$5),R993))</f>
      </c>
      <c r="S992" s="334">
        <f>R992*$B$8/12</f>
      </c>
      <c r="T992" s="334">
        <f>R992*$B$11/12</f>
      </c>
      <c r="U992" s="565">
        <f>(1+$V$5)^(P992/12)*(T992+IF(Q992=$Z$7,$Z$4,0))</f>
      </c>
      <c r="V992" s="170"/>
      <c r="W992" s="7"/>
      <c r="X992" s="1"/>
      <c r="Y992" s="1"/>
      <c r="Z992" s="1"/>
      <c r="AA992" s="1"/>
      <c r="AB992" s="1"/>
      <c r="AC992" s="331">
        <v>985</v>
      </c>
      <c r="AD992" s="544">
        <f>+DATE(YEAR(AD991),MONTH(AD991)-1,DAY(AD991))</f>
        <v>25569.041666666668</v>
      </c>
      <c r="AE992" s="341">
        <f>IF($AM$7=$E992,1,IF(MONTH($E992)=1,AE993*(1+$F$5),AE993))</f>
      </c>
      <c r="AF992" s="334">
        <f>AE992*$B$8/12</f>
      </c>
      <c r="AG992" s="334">
        <f>AE992*$B$12/12</f>
      </c>
      <c r="AH992" s="565">
        <f>(1+$AI$5)^(AC992/12)*(AG992+IF(AD992=$AM$7,$AM$4,0))</f>
      </c>
      <c r="AI992" s="170"/>
      <c r="AJ992" s="7"/>
      <c r="AK992" s="1"/>
      <c r="AL992" s="1"/>
      <c r="AM992" s="1"/>
    </row>
    <row x14ac:dyDescent="0.25" r="993" customHeight="1" ht="18.75">
      <c r="A993" s="1"/>
      <c r="B993" s="169"/>
      <c r="C993" s="170"/>
      <c r="D993" s="331">
        <v>986</v>
      </c>
      <c r="E993" s="544">
        <f>+DATE(YEAR(E992),MONTH(E992)-1,DAY(E992))</f>
        <v>25569.041666666668</v>
      </c>
      <c r="F993" s="333">
        <f>IF($C$6=$E993,1,IF(MONTH($E993)=1,F994*(1+$F$5),F994))</f>
      </c>
      <c r="G993" s="333">
        <f>F993*$B$8/12</f>
      </c>
      <c r="H993" s="333">
        <f>IF(F993=1,F993*$B$10/MIN(12,'Simulador - 3º Pilar'!$E$88),0)</f>
      </c>
      <c r="I993" s="560">
        <f>(1+$G$5)^(D993/12)*(H993+IF(E993=$N$7,$N$4,0))</f>
      </c>
      <c r="J993" s="561">
        <f>(1+$G$5)^(D993/12)*(H993*(12-IF(MONTH(E994)=12,0,MONTH(E994)))+IF(AND(F993=1,F994=0),$Q$4,0))*IF(AND(F993=1,F994=0),1,0)</f>
      </c>
      <c r="K993" s="217">
        <f>(1+$G$5)^(D993/12)*(IF(E993=$N$7,$N$4,0)+IF(E993=$C$6,$B$10,0))</f>
      </c>
      <c r="L993" s="217">
        <f>(1+$G$5)^(D993/12)*(IF((E993)&gt;($B$6),H993,0)+IF(E993=$N$7,$N$4,0)+IF(E993=$C$6,0,0))</f>
      </c>
      <c r="M993" s="1"/>
      <c r="N993" s="7"/>
      <c r="O993" s="1"/>
      <c r="P993" s="331">
        <v>986</v>
      </c>
      <c r="Q993" s="544">
        <f>+DATE(YEAR(Q992),MONTH(Q992)-1,DAY(Q992))</f>
        <v>25569.041666666668</v>
      </c>
      <c r="R993" s="341">
        <f>IF($Z$7=$E993,1,IF(MONTH($E993)=1,R994*(1+$F$5),R994))</f>
      </c>
      <c r="S993" s="334">
        <f>R993*$B$8/12</f>
      </c>
      <c r="T993" s="334">
        <f>R993*$B$11/12</f>
      </c>
      <c r="U993" s="565">
        <f>(1+$V$5)^(P993/12)*(T993+IF(Q993=$Z$7,$Z$4,0))</f>
      </c>
      <c r="V993" s="170"/>
      <c r="W993" s="7"/>
      <c r="X993" s="1"/>
      <c r="Y993" s="1"/>
      <c r="Z993" s="1"/>
      <c r="AA993" s="1"/>
      <c r="AB993" s="1"/>
      <c r="AC993" s="331">
        <v>986</v>
      </c>
      <c r="AD993" s="544">
        <f>+DATE(YEAR(AD992),MONTH(AD992)-1,DAY(AD992))</f>
        <v>25569.041666666668</v>
      </c>
      <c r="AE993" s="341">
        <f>IF($AM$7=$E993,1,IF(MONTH($E993)=1,AE994*(1+$F$5),AE994))</f>
      </c>
      <c r="AF993" s="334">
        <f>AE993*$B$8/12</f>
      </c>
      <c r="AG993" s="334">
        <f>AE993*$B$12/12</f>
      </c>
      <c r="AH993" s="565">
        <f>(1+$AI$5)^(AC993/12)*(AG993+IF(AD993=$AM$7,$AM$4,0))</f>
      </c>
      <c r="AI993" s="170"/>
      <c r="AJ993" s="7"/>
      <c r="AK993" s="1"/>
      <c r="AL993" s="1"/>
      <c r="AM993" s="1"/>
    </row>
    <row x14ac:dyDescent="0.25" r="994" customHeight="1" ht="18.75">
      <c r="A994" s="1"/>
      <c r="B994" s="169"/>
      <c r="C994" s="170"/>
      <c r="D994" s="331">
        <v>987</v>
      </c>
      <c r="E994" s="544">
        <f>+DATE(YEAR(E993),MONTH(E993)-1,DAY(E993))</f>
        <v>25569.041666666668</v>
      </c>
      <c r="F994" s="333">
        <f>IF($C$6=$E994,1,IF(MONTH($E994)=1,F995*(1+$F$5),F995))</f>
      </c>
      <c r="G994" s="333">
        <f>F994*$B$8/12</f>
      </c>
      <c r="H994" s="333">
        <f>IF(F994=1,F994*$B$10/MIN(12,'Simulador - 3º Pilar'!$E$88),0)</f>
      </c>
      <c r="I994" s="560">
        <f>(1+$G$5)^(D994/12)*(H994+IF(E994=$N$7,$N$4,0))</f>
      </c>
      <c r="J994" s="561">
        <f>(1+$G$5)^(D994/12)*(H994*(12-IF(MONTH(E995)=12,0,MONTH(E995)))+IF(AND(F994=1,F995=0),$Q$4,0))*IF(AND(F994=1,F995=0),1,0)</f>
      </c>
      <c r="K994" s="217">
        <f>(1+$G$5)^(D994/12)*(IF(E994=$N$7,$N$4,0)+IF(E994=$C$6,$B$10,0))</f>
      </c>
      <c r="L994" s="217">
        <f>(1+$G$5)^(D994/12)*(IF((E994)&gt;($B$6),H994,0)+IF(E994=$N$7,$N$4,0)+IF(E994=$C$6,0,0))</f>
      </c>
      <c r="M994" s="1"/>
      <c r="N994" s="7"/>
      <c r="O994" s="1"/>
      <c r="P994" s="331">
        <v>987</v>
      </c>
      <c r="Q994" s="544">
        <f>+DATE(YEAR(Q993),MONTH(Q993)-1,DAY(Q993))</f>
        <v>25569.041666666668</v>
      </c>
      <c r="R994" s="341">
        <f>IF($Z$7=$E994,1,IF(MONTH($E994)=1,R995*(1+$F$5),R995))</f>
      </c>
      <c r="S994" s="334">
        <f>R994*$B$8/12</f>
      </c>
      <c r="T994" s="334">
        <f>R994*$B$11/12</f>
      </c>
      <c r="U994" s="565">
        <f>(1+$V$5)^(P994/12)*(T994+IF(Q994=$Z$7,$Z$4,0))</f>
      </c>
      <c r="V994" s="170"/>
      <c r="W994" s="7"/>
      <c r="X994" s="1"/>
      <c r="Y994" s="1"/>
      <c r="Z994" s="1"/>
      <c r="AA994" s="1"/>
      <c r="AB994" s="1"/>
      <c r="AC994" s="331">
        <v>987</v>
      </c>
      <c r="AD994" s="544">
        <f>+DATE(YEAR(AD993),MONTH(AD993)-1,DAY(AD993))</f>
        <v>25569.041666666668</v>
      </c>
      <c r="AE994" s="341">
        <f>IF($AM$7=$E994,1,IF(MONTH($E994)=1,AE995*(1+$F$5),AE995))</f>
      </c>
      <c r="AF994" s="334">
        <f>AE994*$B$8/12</f>
      </c>
      <c r="AG994" s="334">
        <f>AE994*$B$12/12</f>
      </c>
      <c r="AH994" s="565">
        <f>(1+$AI$5)^(AC994/12)*(AG994+IF(AD994=$AM$7,$AM$4,0))</f>
      </c>
      <c r="AI994" s="170"/>
      <c r="AJ994" s="7"/>
      <c r="AK994" s="1"/>
      <c r="AL994" s="1"/>
      <c r="AM994" s="1"/>
    </row>
    <row x14ac:dyDescent="0.25" r="995" customHeight="1" ht="18.75">
      <c r="A995" s="1"/>
      <c r="B995" s="169"/>
      <c r="C995" s="170"/>
      <c r="D995" s="331">
        <v>988</v>
      </c>
      <c r="E995" s="544">
        <f>+DATE(YEAR(E994),MONTH(E994)-1,DAY(E994))</f>
        <v>25569.041666666668</v>
      </c>
      <c r="F995" s="333">
        <f>IF($C$6=$E995,1,IF(MONTH($E995)=1,F996*(1+$F$5),F996))</f>
      </c>
      <c r="G995" s="333">
        <f>F995*$B$8/12</f>
      </c>
      <c r="H995" s="333">
        <f>IF(F995=1,F995*$B$10/MIN(12,'Simulador - 3º Pilar'!$E$88),0)</f>
      </c>
      <c r="I995" s="560">
        <f>(1+$G$5)^(D995/12)*(H995+IF(E995=$N$7,$N$4,0))</f>
      </c>
      <c r="J995" s="561">
        <f>(1+$G$5)^(D995/12)*(H995*(12-IF(MONTH(E996)=12,0,MONTH(E996)))+IF(AND(F995=1,F996=0),$Q$4,0))*IF(AND(F995=1,F996=0),1,0)</f>
      </c>
      <c r="K995" s="217">
        <f>(1+$G$5)^(D995/12)*(IF(E995=$N$7,$N$4,0)+IF(E995=$C$6,$B$10,0))</f>
      </c>
      <c r="L995" s="217">
        <f>(1+$G$5)^(D995/12)*(IF((E995)&gt;($B$6),H995,0)+IF(E995=$N$7,$N$4,0)+IF(E995=$C$6,0,0))</f>
      </c>
      <c r="M995" s="1"/>
      <c r="N995" s="7"/>
      <c r="O995" s="1"/>
      <c r="P995" s="331">
        <v>988</v>
      </c>
      <c r="Q995" s="544">
        <f>+DATE(YEAR(Q994),MONTH(Q994)-1,DAY(Q994))</f>
        <v>25569.041666666668</v>
      </c>
      <c r="R995" s="341">
        <f>IF($Z$7=$E995,1,IF(MONTH($E995)=1,R996*(1+$F$5),R996))</f>
      </c>
      <c r="S995" s="334">
        <f>R995*$B$8/12</f>
      </c>
      <c r="T995" s="334">
        <f>R995*$B$11/12</f>
      </c>
      <c r="U995" s="565">
        <f>(1+$V$5)^(P995/12)*(T995+IF(Q995=$Z$7,$Z$4,0))</f>
      </c>
      <c r="V995" s="170"/>
      <c r="W995" s="7"/>
      <c r="X995" s="1"/>
      <c r="Y995" s="1"/>
      <c r="Z995" s="1"/>
      <c r="AA995" s="1"/>
      <c r="AB995" s="1"/>
      <c r="AC995" s="331">
        <v>988</v>
      </c>
      <c r="AD995" s="544">
        <f>+DATE(YEAR(AD994),MONTH(AD994)-1,DAY(AD994))</f>
        <v>25569.041666666668</v>
      </c>
      <c r="AE995" s="341">
        <f>IF($AM$7=$E995,1,IF(MONTH($E995)=1,AE996*(1+$F$5),AE996))</f>
      </c>
      <c r="AF995" s="334">
        <f>AE995*$B$8/12</f>
      </c>
      <c r="AG995" s="334">
        <f>AE995*$B$12/12</f>
      </c>
      <c r="AH995" s="565">
        <f>(1+$AI$5)^(AC995/12)*(AG995+IF(AD995=$AM$7,$AM$4,0))</f>
      </c>
      <c r="AI995" s="170"/>
      <c r="AJ995" s="7"/>
      <c r="AK995" s="1"/>
      <c r="AL995" s="1"/>
      <c r="AM995" s="1"/>
    </row>
    <row x14ac:dyDescent="0.25" r="996" customHeight="1" ht="18.75">
      <c r="A996" s="1"/>
      <c r="B996" s="169"/>
      <c r="C996" s="170"/>
      <c r="D996" s="331">
        <v>989</v>
      </c>
      <c r="E996" s="544">
        <f>+DATE(YEAR(E995),MONTH(E995)-1,DAY(E995))</f>
        <v>25569.041666666668</v>
      </c>
      <c r="F996" s="333">
        <f>IF($C$6=$E996,1,IF(MONTH($E996)=1,F997*(1+$F$5),F997))</f>
      </c>
      <c r="G996" s="333">
        <f>F996*$B$8/12</f>
      </c>
      <c r="H996" s="333">
        <f>IF(F996=1,F996*$B$10/MIN(12,'Simulador - 3º Pilar'!$E$88),0)</f>
      </c>
      <c r="I996" s="560">
        <f>(1+$G$5)^(D996/12)*(H996+IF(E996=$N$7,$N$4,0))</f>
      </c>
      <c r="J996" s="561">
        <f>(1+$G$5)^(D996/12)*(H996*(12-IF(MONTH(E997)=12,0,MONTH(E997)))+IF(AND(F996=1,F997=0),$Q$4,0))*IF(AND(F996=1,F997=0),1,0)</f>
      </c>
      <c r="K996" s="217">
        <f>(1+$G$5)^(D996/12)*(IF(E996=$N$7,$N$4,0)+IF(E996=$C$6,$B$10,0))</f>
      </c>
      <c r="L996" s="217">
        <f>(1+$G$5)^(D996/12)*(IF((E996)&gt;($B$6),H996,0)+IF(E996=$N$7,$N$4,0)+IF(E996=$C$6,0,0))</f>
      </c>
      <c r="M996" s="1"/>
      <c r="N996" s="7"/>
      <c r="O996" s="1"/>
      <c r="P996" s="331">
        <v>989</v>
      </c>
      <c r="Q996" s="544">
        <f>+DATE(YEAR(Q995),MONTH(Q995)-1,DAY(Q995))</f>
        <v>25569.041666666668</v>
      </c>
      <c r="R996" s="341">
        <f>IF($Z$7=$E996,1,IF(MONTH($E996)=1,R997*(1+$F$5),R997))</f>
      </c>
      <c r="S996" s="334">
        <f>R996*$B$8/12</f>
      </c>
      <c r="T996" s="334">
        <f>R996*$B$11/12</f>
      </c>
      <c r="U996" s="565">
        <f>(1+$V$5)^(P996/12)*(T996+IF(Q996=$Z$7,$Z$4,0))</f>
      </c>
      <c r="V996" s="170"/>
      <c r="W996" s="7"/>
      <c r="X996" s="1"/>
      <c r="Y996" s="1"/>
      <c r="Z996" s="1"/>
      <c r="AA996" s="1"/>
      <c r="AB996" s="1"/>
      <c r="AC996" s="331">
        <v>989</v>
      </c>
      <c r="AD996" s="544">
        <f>+DATE(YEAR(AD995),MONTH(AD995)-1,DAY(AD995))</f>
        <v>25569.041666666668</v>
      </c>
      <c r="AE996" s="341">
        <f>IF($AM$7=$E996,1,IF(MONTH($E996)=1,AE997*(1+$F$5),AE997))</f>
      </c>
      <c r="AF996" s="334">
        <f>AE996*$B$8/12</f>
      </c>
      <c r="AG996" s="334">
        <f>AE996*$B$12/12</f>
      </c>
      <c r="AH996" s="565">
        <f>(1+$AI$5)^(AC996/12)*(AG996+IF(AD996=$AM$7,$AM$4,0))</f>
      </c>
      <c r="AI996" s="170"/>
      <c r="AJ996" s="7"/>
      <c r="AK996" s="1"/>
      <c r="AL996" s="1"/>
      <c r="AM996" s="1"/>
    </row>
    <row x14ac:dyDescent="0.25" r="997" customHeight="1" ht="18.75">
      <c r="A997" s="1"/>
      <c r="B997" s="169"/>
      <c r="C997" s="170"/>
      <c r="D997" s="331">
        <v>990</v>
      </c>
      <c r="E997" s="544">
        <f>+DATE(YEAR(E996),MONTH(E996)-1,DAY(E996))</f>
        <v>25569.041666666668</v>
      </c>
      <c r="F997" s="333">
        <f>IF($C$6=$E997,1,IF(MONTH($E997)=1,F998*(1+$F$5),F998))</f>
      </c>
      <c r="G997" s="333">
        <f>F997*$B$8/12</f>
      </c>
      <c r="H997" s="333">
        <f>IF(F997=1,F997*$B$10/MIN(12,'Simulador - 3º Pilar'!$E$88),0)</f>
      </c>
      <c r="I997" s="560">
        <f>(1+$G$5)^(D997/12)*(H997+IF(E997=$N$7,$N$4,0))</f>
      </c>
      <c r="J997" s="561">
        <f>(1+$G$5)^(D997/12)*(H997*(12-IF(MONTH(E998)=12,0,MONTH(E998)))+IF(AND(F997=1,F998=0),$Q$4,0))*IF(AND(F997=1,F998=0),1,0)</f>
      </c>
      <c r="K997" s="217">
        <f>(1+$G$5)^(D997/12)*(IF(E997=$N$7,$N$4,0)+IF(E997=$C$6,$B$10,0))</f>
      </c>
      <c r="L997" s="217">
        <f>(1+$G$5)^(D997/12)*(IF((E997)&gt;($B$6),H997,0)+IF(E997=$N$7,$N$4,0)+IF(E997=$C$6,0,0))</f>
      </c>
      <c r="M997" s="1"/>
      <c r="N997" s="7"/>
      <c r="O997" s="1"/>
      <c r="P997" s="331">
        <v>990</v>
      </c>
      <c r="Q997" s="544">
        <f>+DATE(YEAR(Q996),MONTH(Q996)-1,DAY(Q996))</f>
        <v>25569.041666666668</v>
      </c>
      <c r="R997" s="341">
        <f>IF($Z$7=$E997,1,IF(MONTH($E997)=1,R998*(1+$F$5),R998))</f>
      </c>
      <c r="S997" s="334">
        <f>R997*$B$8/12</f>
      </c>
      <c r="T997" s="334">
        <f>R997*$B$11/12</f>
      </c>
      <c r="U997" s="565">
        <f>(1+$V$5)^(P997/12)*(T997+IF(Q997=$Z$7,$Z$4,0))</f>
      </c>
      <c r="V997" s="170"/>
      <c r="W997" s="7"/>
      <c r="X997" s="1"/>
      <c r="Y997" s="1"/>
      <c r="Z997" s="1"/>
      <c r="AA997" s="1"/>
      <c r="AB997" s="1"/>
      <c r="AC997" s="331">
        <v>990</v>
      </c>
      <c r="AD997" s="544">
        <f>+DATE(YEAR(AD996),MONTH(AD996)-1,DAY(AD996))</f>
        <v>25569.041666666668</v>
      </c>
      <c r="AE997" s="341">
        <f>IF($AM$7=$E997,1,IF(MONTH($E997)=1,AE998*(1+$F$5),AE998))</f>
      </c>
      <c r="AF997" s="334">
        <f>AE997*$B$8/12</f>
      </c>
      <c r="AG997" s="334">
        <f>AE997*$B$12/12</f>
      </c>
      <c r="AH997" s="565">
        <f>(1+$AI$5)^(AC997/12)*(AG997+IF(AD997=$AM$7,$AM$4,0))</f>
      </c>
      <c r="AI997" s="170"/>
      <c r="AJ997" s="7"/>
      <c r="AK997" s="1"/>
      <c r="AL997" s="1"/>
      <c r="AM997" s="1"/>
    </row>
    <row x14ac:dyDescent="0.25" r="998" customHeight="1" ht="18.75">
      <c r="A998" s="1"/>
      <c r="B998" s="169"/>
      <c r="C998" s="170"/>
      <c r="D998" s="331">
        <v>991</v>
      </c>
      <c r="E998" s="544">
        <f>+DATE(YEAR(E997),MONTH(E997)-1,DAY(E997))</f>
        <v>25569.041666666668</v>
      </c>
      <c r="F998" s="333">
        <f>IF($C$6=$E998,1,IF(MONTH($E998)=1,F999*(1+$F$5),F999))</f>
      </c>
      <c r="G998" s="333">
        <f>F998*$B$8/12</f>
      </c>
      <c r="H998" s="333">
        <f>IF(F998=1,F998*$B$10/MIN(12,'Simulador - 3º Pilar'!$E$88),0)</f>
      </c>
      <c r="I998" s="560">
        <f>(1+$G$5)^(D998/12)*(H998+IF(E998=$N$7,$N$4,0))</f>
      </c>
      <c r="J998" s="561">
        <f>(1+$G$5)^(D998/12)*(H998*(12-IF(MONTH(E999)=12,0,MONTH(E999)))+IF(AND(F998=1,F999=0),$Q$4,0))*IF(AND(F998=1,F999=0),1,0)</f>
      </c>
      <c r="K998" s="217">
        <f>(1+$G$5)^(D998/12)*(IF(E998=$N$7,$N$4,0)+IF(E998=$C$6,$B$10,0))</f>
      </c>
      <c r="L998" s="217">
        <f>(1+$G$5)^(D998/12)*(IF((E998)&gt;($B$6),H998,0)+IF(E998=$N$7,$N$4,0)+IF(E998=$C$6,0,0))</f>
      </c>
      <c r="M998" s="1"/>
      <c r="N998" s="7"/>
      <c r="O998" s="1"/>
      <c r="P998" s="331">
        <v>991</v>
      </c>
      <c r="Q998" s="544">
        <f>+DATE(YEAR(Q997),MONTH(Q997)-1,DAY(Q997))</f>
        <v>25569.041666666668</v>
      </c>
      <c r="R998" s="341">
        <f>IF($Z$7=$E998,1,IF(MONTH($E998)=1,R999*(1+$F$5),R999))</f>
      </c>
      <c r="S998" s="334">
        <f>R998*$B$8/12</f>
      </c>
      <c r="T998" s="334">
        <f>R998*$B$11/12</f>
      </c>
      <c r="U998" s="565">
        <f>(1+$V$5)^(P998/12)*(T998+IF(Q998=$Z$7,$Z$4,0))</f>
      </c>
      <c r="V998" s="170"/>
      <c r="W998" s="7"/>
      <c r="X998" s="1"/>
      <c r="Y998" s="1"/>
      <c r="Z998" s="1"/>
      <c r="AA998" s="1"/>
      <c r="AB998" s="1"/>
      <c r="AC998" s="331">
        <v>991</v>
      </c>
      <c r="AD998" s="544">
        <f>+DATE(YEAR(AD997),MONTH(AD997)-1,DAY(AD997))</f>
        <v>25569.041666666668</v>
      </c>
      <c r="AE998" s="341">
        <f>IF($AM$7=$E998,1,IF(MONTH($E998)=1,AE999*(1+$F$5),AE999))</f>
      </c>
      <c r="AF998" s="334">
        <f>AE998*$B$8/12</f>
      </c>
      <c r="AG998" s="334">
        <f>AE998*$B$12/12</f>
      </c>
      <c r="AH998" s="565">
        <f>(1+$AI$5)^(AC998/12)*(AG998+IF(AD998=$AM$7,$AM$4,0))</f>
      </c>
      <c r="AI998" s="170"/>
      <c r="AJ998" s="7"/>
      <c r="AK998" s="1"/>
      <c r="AL998" s="1"/>
      <c r="AM998" s="1"/>
    </row>
    <row x14ac:dyDescent="0.25" r="999" customHeight="1" ht="18.75">
      <c r="A999" s="1"/>
      <c r="B999" s="169"/>
      <c r="C999" s="170"/>
      <c r="D999" s="331">
        <v>992</v>
      </c>
      <c r="E999" s="544">
        <f>+DATE(YEAR(E998),MONTH(E998)-1,DAY(E998))</f>
        <v>25569.041666666668</v>
      </c>
      <c r="F999" s="333">
        <f>IF($C$6=$E999,1,IF(MONTH($E999)=1,F1000*(1+$F$5),F1000))</f>
      </c>
      <c r="G999" s="333">
        <f>F999*$B$8/12</f>
      </c>
      <c r="H999" s="333">
        <f>IF(F999=1,F999*$B$10/MIN(12,'Simulador - 3º Pilar'!$E$88),0)</f>
      </c>
      <c r="I999" s="560">
        <f>(1+$G$5)^(D999/12)*(H999+IF(E999=$N$7,$N$4,0))</f>
      </c>
      <c r="J999" s="561">
        <f>(1+$G$5)^(D999/12)*(H999*(12-IF(MONTH(E1000)=12,0,MONTH(E1000)))+IF(AND(F999=1,F1000=0),$Q$4,0))*IF(AND(F999=1,F1000=0),1,0)</f>
      </c>
      <c r="K999" s="217">
        <f>(1+$G$5)^(D999/12)*(IF(E999=$N$7,$N$4,0)+IF(E999=$C$6,$B$10,0))</f>
      </c>
      <c r="L999" s="217">
        <f>(1+$G$5)^(D999/12)*(IF((E999)&gt;($B$6),H999,0)+IF(E999=$N$7,$N$4,0)+IF(E999=$C$6,0,0))</f>
      </c>
      <c r="M999" s="1"/>
      <c r="N999" s="7"/>
      <c r="O999" s="1"/>
      <c r="P999" s="331">
        <v>992</v>
      </c>
      <c r="Q999" s="544">
        <f>+DATE(YEAR(Q998),MONTH(Q998)-1,DAY(Q998))</f>
        <v>25569.041666666668</v>
      </c>
      <c r="R999" s="341">
        <f>IF($Z$7=$E999,1,IF(MONTH($E999)=1,R1000*(1+$F$5),R1000))</f>
      </c>
      <c r="S999" s="334">
        <f>R999*$B$8/12</f>
      </c>
      <c r="T999" s="334">
        <f>R999*$B$11/12</f>
      </c>
      <c r="U999" s="565">
        <f>(1+$V$5)^(P999/12)*(T999+IF(Q999=$Z$7,$Z$4,0))</f>
      </c>
      <c r="V999" s="170"/>
      <c r="W999" s="7"/>
      <c r="X999" s="1"/>
      <c r="Y999" s="1"/>
      <c r="Z999" s="1"/>
      <c r="AA999" s="1"/>
      <c r="AB999" s="1"/>
      <c r="AC999" s="331">
        <v>992</v>
      </c>
      <c r="AD999" s="544">
        <f>+DATE(YEAR(AD998),MONTH(AD998)-1,DAY(AD998))</f>
        <v>25569.041666666668</v>
      </c>
      <c r="AE999" s="341">
        <f>IF($AM$7=$E999,1,IF(MONTH($E999)=1,AE1000*(1+$F$5),AE1000))</f>
      </c>
      <c r="AF999" s="334">
        <f>AE999*$B$8/12</f>
      </c>
      <c r="AG999" s="334">
        <f>AE999*$B$12/12</f>
      </c>
      <c r="AH999" s="565">
        <f>(1+$AI$5)^(AC999/12)*(AG999+IF(AD999=$AM$7,$AM$4,0))</f>
      </c>
      <c r="AI999" s="170"/>
      <c r="AJ999" s="7"/>
      <c r="AK999" s="1"/>
      <c r="AL999" s="1"/>
      <c r="AM999" s="1"/>
    </row>
    <row x14ac:dyDescent="0.25" r="1000" customHeight="1" ht="18.75">
      <c r="A1000" s="1"/>
      <c r="B1000" s="169"/>
      <c r="C1000" s="170"/>
      <c r="D1000" s="331">
        <v>993</v>
      </c>
      <c r="E1000" s="544">
        <f>+DATE(YEAR(E999),MONTH(E999)-1,DAY(E999))</f>
        <v>25569.041666666668</v>
      </c>
      <c r="F1000" s="333">
        <f>IF($C$6=$E1000,1,IF(MONTH($E1000)=1,F1001*(1+$F$5),F1001))</f>
      </c>
      <c r="G1000" s="333">
        <f>F1000*$B$8/12</f>
      </c>
      <c r="H1000" s="333">
        <f>IF(F1000=1,F1000*$B$10/MIN(12,'Simulador - 3º Pilar'!$E$88),0)</f>
      </c>
      <c r="I1000" s="560">
        <f>(1+$G$5)^(D1000/12)*(H1000+IF(E1000=$N$7,$N$4,0))</f>
      </c>
      <c r="J1000" s="561">
        <f>(1+$G$5)^(D1000/12)*(H1000*(12-IF(MONTH(E1001)=12,0,MONTH(E1001)))+IF(AND(F1000=1,F1001=0),$Q$4,0))*IF(AND(F1000=1,F1001=0),1,0)</f>
      </c>
      <c r="K1000" s="217">
        <f>(1+$G$5)^(D1000/12)*(IF(E1000=$N$7,$N$4,0)+IF(E1000=$C$6,$B$10,0))</f>
      </c>
      <c r="L1000" s="217">
        <f>(1+$G$5)^(D1000/12)*(IF((E1000)&gt;($B$6),H1000,0)+IF(E1000=$N$7,$N$4,0)+IF(E1000=$C$6,0,0))</f>
      </c>
      <c r="M1000" s="1"/>
      <c r="N1000" s="7"/>
      <c r="O1000" s="1"/>
      <c r="P1000" s="331">
        <v>993</v>
      </c>
      <c r="Q1000" s="544">
        <f>+DATE(YEAR(Q999),MONTH(Q999)-1,DAY(Q999))</f>
        <v>25569.041666666668</v>
      </c>
      <c r="R1000" s="341">
        <f>IF($Z$7=$E1000,1,IF(MONTH($E1000)=1,R1001*(1+$F$5),R1001))</f>
      </c>
      <c r="S1000" s="334">
        <f>R1000*$B$8/12</f>
      </c>
      <c r="T1000" s="334">
        <f>R1000*$B$11/12</f>
      </c>
      <c r="U1000" s="565">
        <f>(1+$V$5)^(P1000/12)*(T1000+IF(Q1000=$Z$7,$Z$4,0))</f>
      </c>
      <c r="V1000" s="170"/>
      <c r="W1000" s="7"/>
      <c r="X1000" s="1"/>
      <c r="Y1000" s="1"/>
      <c r="Z1000" s="1"/>
      <c r="AA1000" s="1"/>
      <c r="AB1000" s="1"/>
      <c r="AC1000" s="331">
        <v>993</v>
      </c>
      <c r="AD1000" s="544">
        <f>+DATE(YEAR(AD999),MONTH(AD999)-1,DAY(AD999))</f>
        <v>25569.041666666668</v>
      </c>
      <c r="AE1000" s="341">
        <f>IF($AM$7=$E1000,1,IF(MONTH($E1000)=1,AE1001*(1+$F$5),AE1001))</f>
      </c>
      <c r="AF1000" s="334">
        <f>AE1000*$B$8/12</f>
      </c>
      <c r="AG1000" s="334">
        <f>AE1000*$B$12/12</f>
      </c>
      <c r="AH1000" s="565">
        <f>(1+$AI$5)^(AC1000/12)*(AG1000+IF(AD1000=$AM$7,$AM$4,0))</f>
      </c>
      <c r="AI1000" s="170"/>
      <c r="AJ1000" s="7"/>
      <c r="AK1000" s="1"/>
      <c r="AL1000" s="1"/>
      <c r="AM1000" s="1"/>
    </row>
    <row x14ac:dyDescent="0.25" r="1001" customHeight="1" ht="18.75">
      <c r="A1001" s="1"/>
      <c r="B1001" s="169"/>
      <c r="C1001" s="170"/>
      <c r="D1001" s="331">
        <v>994</v>
      </c>
      <c r="E1001" s="544">
        <f>+DATE(YEAR(E1000),MONTH(E1000)-1,DAY(E1000))</f>
        <v>25569.041666666668</v>
      </c>
      <c r="F1001" s="333">
        <f>IF($C$6=$E1001,1,IF(MONTH($E1001)=1,F1002*(1+$F$5),F1002))</f>
      </c>
      <c r="G1001" s="333">
        <f>F1001*$B$8/12</f>
      </c>
      <c r="H1001" s="333">
        <f>IF(F1001=1,F1001*$B$10/MIN(12,'Simulador - 3º Pilar'!$E$88),0)</f>
      </c>
      <c r="I1001" s="560">
        <f>(1+$G$5)^(D1001/12)*(H1001+IF(E1001=$N$7,$N$4,0))</f>
      </c>
      <c r="J1001" s="561">
        <f>(1+$G$5)^(D1001/12)*(H1001*(12-IF(MONTH(E1002)=12,0,MONTH(E1002)))+IF(AND(F1001=1,F1002=0),$Q$4,0))*IF(AND(F1001=1,F1002=0),1,0)</f>
      </c>
      <c r="K1001" s="217">
        <f>(1+$G$5)^(D1001/12)*(IF(E1001=$N$7,$N$4,0)+IF(E1001=$C$6,$B$10,0))</f>
      </c>
      <c r="L1001" s="217">
        <f>(1+$G$5)^(D1001/12)*(IF((E1001)&gt;($B$6),H1001,0)+IF(E1001=$N$7,$N$4,0)+IF(E1001=$C$6,0,0))</f>
      </c>
      <c r="M1001" s="1"/>
      <c r="N1001" s="7"/>
      <c r="O1001" s="1"/>
      <c r="P1001" s="331">
        <v>994</v>
      </c>
      <c r="Q1001" s="544">
        <f>+DATE(YEAR(Q1000),MONTH(Q1000)-1,DAY(Q1000))</f>
        <v>25569.041666666668</v>
      </c>
      <c r="R1001" s="341">
        <f>IF($Z$7=$E1001,1,IF(MONTH($E1001)=1,R1002*(1+$F$5),R1002))</f>
      </c>
      <c r="S1001" s="334">
        <f>R1001*$B$8/12</f>
      </c>
      <c r="T1001" s="334">
        <f>R1001*$B$11/12</f>
      </c>
      <c r="U1001" s="565">
        <f>(1+$V$5)^(P1001/12)*(T1001+IF(Q1001=$Z$7,$Z$4,0))</f>
      </c>
      <c r="V1001" s="170"/>
      <c r="W1001" s="7"/>
      <c r="X1001" s="1"/>
      <c r="Y1001" s="1"/>
      <c r="Z1001" s="1"/>
      <c r="AA1001" s="1"/>
      <c r="AB1001" s="1"/>
      <c r="AC1001" s="331">
        <v>994</v>
      </c>
      <c r="AD1001" s="544">
        <f>+DATE(YEAR(AD1000),MONTH(AD1000)-1,DAY(AD1000))</f>
        <v>25569.041666666668</v>
      </c>
      <c r="AE1001" s="341">
        <f>IF($AM$7=$E1001,1,IF(MONTH($E1001)=1,AE1002*(1+$F$5),AE1002))</f>
      </c>
      <c r="AF1001" s="334">
        <f>AE1001*$B$8/12</f>
      </c>
      <c r="AG1001" s="334">
        <f>AE1001*$B$12/12</f>
      </c>
      <c r="AH1001" s="565">
        <f>(1+$AI$5)^(AC1001/12)*(AG1001+IF(AD1001=$AM$7,$AM$4,0))</f>
      </c>
      <c r="AI1001" s="170"/>
      <c r="AJ1001" s="7"/>
      <c r="AK1001" s="1"/>
      <c r="AL1001" s="1"/>
      <c r="AM1001" s="1"/>
    </row>
    <row x14ac:dyDescent="0.25" r="1002" customHeight="1" ht="18.75">
      <c r="A1002" s="1"/>
      <c r="B1002" s="169"/>
      <c r="C1002" s="170"/>
      <c r="D1002" s="331">
        <v>995</v>
      </c>
      <c r="E1002" s="544">
        <f>+DATE(YEAR(E1001),MONTH(E1001)-1,DAY(E1001))</f>
        <v>25569.041666666668</v>
      </c>
      <c r="F1002" s="333">
        <f>IF($C$6=$E1002,1,IF(MONTH($E1002)=1,F1003*(1+$F$5),F1003))</f>
      </c>
      <c r="G1002" s="333">
        <f>F1002*$B$8/12</f>
      </c>
      <c r="H1002" s="333">
        <f>IF(F1002=1,F1002*$B$10/MIN(12,'Simulador - 3º Pilar'!$E$88),0)</f>
      </c>
      <c r="I1002" s="560">
        <f>(1+$G$5)^(D1002/12)*(H1002+IF(E1002=$N$7,$N$4,0))</f>
      </c>
      <c r="J1002" s="561">
        <f>(1+$G$5)^(D1002/12)*(H1002*(12-IF(MONTH(E1003)=12,0,MONTH(E1003)))+IF(AND(F1002=1,F1003=0),$Q$4,0))*IF(AND(F1002=1,F1003=0),1,0)</f>
      </c>
      <c r="K1002" s="217">
        <f>(1+$G$5)^(D1002/12)*(IF(E1002=$N$7,$N$4,0)+IF(E1002=$C$6,$B$10,0))</f>
      </c>
      <c r="L1002" s="217">
        <f>(1+$G$5)^(D1002/12)*(IF((E1002)&gt;($B$6),H1002,0)+IF(E1002=$N$7,$N$4,0)+IF(E1002=$C$6,0,0))</f>
      </c>
      <c r="M1002" s="1"/>
      <c r="N1002" s="7"/>
      <c r="O1002" s="1"/>
      <c r="P1002" s="331">
        <v>995</v>
      </c>
      <c r="Q1002" s="544">
        <f>+DATE(YEAR(Q1001),MONTH(Q1001)-1,DAY(Q1001))</f>
        <v>25569.041666666668</v>
      </c>
      <c r="R1002" s="341">
        <f>IF($Z$7=$E1002,1,IF(MONTH($E1002)=1,R1003*(1+$F$5),R1003))</f>
      </c>
      <c r="S1002" s="334">
        <f>R1002*$B$8/12</f>
      </c>
      <c r="T1002" s="334">
        <f>R1002*$B$11/12</f>
      </c>
      <c r="U1002" s="565">
        <f>(1+$V$5)^(P1002/12)*(T1002+IF(Q1002=$Z$7,$Z$4,0))</f>
      </c>
      <c r="V1002" s="170"/>
      <c r="W1002" s="7"/>
      <c r="X1002" s="1"/>
      <c r="Y1002" s="1"/>
      <c r="Z1002" s="1"/>
      <c r="AA1002" s="1"/>
      <c r="AB1002" s="1"/>
      <c r="AC1002" s="331">
        <v>995</v>
      </c>
      <c r="AD1002" s="544">
        <f>+DATE(YEAR(AD1001),MONTH(AD1001)-1,DAY(AD1001))</f>
        <v>25569.041666666668</v>
      </c>
      <c r="AE1002" s="341">
        <f>IF($AM$7=$E1002,1,IF(MONTH($E1002)=1,AE1003*(1+$F$5),AE1003))</f>
      </c>
      <c r="AF1002" s="334">
        <f>AE1002*$B$8/12</f>
      </c>
      <c r="AG1002" s="334">
        <f>AE1002*$B$12/12</f>
      </c>
      <c r="AH1002" s="565">
        <f>(1+$AI$5)^(AC1002/12)*(AG1002+IF(AD1002=$AM$7,$AM$4,0))</f>
      </c>
      <c r="AI1002" s="170"/>
      <c r="AJ1002" s="7"/>
      <c r="AK1002" s="1"/>
      <c r="AL1002" s="1"/>
      <c r="AM1002" s="1"/>
    </row>
    <row x14ac:dyDescent="0.25" r="1003" customHeight="1" ht="18.75">
      <c r="A1003" s="1"/>
      <c r="B1003" s="169"/>
      <c r="C1003" s="170"/>
      <c r="D1003" s="331">
        <v>996</v>
      </c>
      <c r="E1003" s="544">
        <f>+DATE(YEAR(E1002),MONTH(E1002)-1,DAY(E1002))</f>
        <v>25569.041666666668</v>
      </c>
      <c r="F1003" s="333">
        <f>IF($C$6=$E1003,1,IF(MONTH($E1003)=1,F1004*(1+$F$5),F1004))</f>
      </c>
      <c r="G1003" s="333">
        <f>F1003*$B$8/12</f>
      </c>
      <c r="H1003" s="333">
        <f>IF(F1003=1,F1003*$B$10/MIN(12,'Simulador - 3º Pilar'!$E$88),0)</f>
      </c>
      <c r="I1003" s="560">
        <f>(1+$G$5)^(D1003/12)*(H1003+IF(E1003=$N$7,$N$4,0))</f>
      </c>
      <c r="J1003" s="561">
        <f>(1+$G$5)^(D1003/12)*(H1003*(12-IF(MONTH(E1004)=12,0,MONTH(E1004)))+IF(AND(F1003=1,F1004=0),$Q$4,0))*IF(AND(F1003=1,F1004=0),1,0)</f>
      </c>
      <c r="K1003" s="217">
        <f>(1+$G$5)^(D1003/12)*(IF(E1003=$N$7,$N$4,0)+IF(E1003=$C$6,$B$10,0))</f>
      </c>
      <c r="L1003" s="217">
        <f>(1+$G$5)^(D1003/12)*(IF((E1003)&gt;($B$6),H1003,0)+IF(E1003=$N$7,$N$4,0)+IF(E1003=$C$6,0,0))</f>
      </c>
      <c r="M1003" s="1"/>
      <c r="N1003" s="7"/>
      <c r="O1003" s="1"/>
      <c r="P1003" s="331">
        <v>996</v>
      </c>
      <c r="Q1003" s="544">
        <f>+DATE(YEAR(Q1002),MONTH(Q1002)-1,DAY(Q1002))</f>
        <v>25569.041666666668</v>
      </c>
      <c r="R1003" s="341">
        <f>IF($Z$7=$E1003,1,IF(MONTH($E1003)=1,R1004*(1+$F$5),R1004))</f>
      </c>
      <c r="S1003" s="334">
        <f>R1003*$B$8/12</f>
      </c>
      <c r="T1003" s="334">
        <f>R1003*$B$11/12</f>
      </c>
      <c r="U1003" s="565">
        <f>(1+$V$5)^(P1003/12)*(T1003+IF(Q1003=$Z$7,$Z$4,0))</f>
      </c>
      <c r="V1003" s="170"/>
      <c r="W1003" s="7"/>
      <c r="X1003" s="1"/>
      <c r="Y1003" s="1"/>
      <c r="Z1003" s="1"/>
      <c r="AA1003" s="1"/>
      <c r="AB1003" s="1"/>
      <c r="AC1003" s="331">
        <v>996</v>
      </c>
      <c r="AD1003" s="544">
        <f>+DATE(YEAR(AD1002),MONTH(AD1002)-1,DAY(AD1002))</f>
        <v>25569.041666666668</v>
      </c>
      <c r="AE1003" s="341">
        <f>IF($AM$7=$E1003,1,IF(MONTH($E1003)=1,AE1004*(1+$F$5),AE1004))</f>
      </c>
      <c r="AF1003" s="334">
        <f>AE1003*$B$8/12</f>
      </c>
      <c r="AG1003" s="334">
        <f>AE1003*$B$12/12</f>
      </c>
      <c r="AH1003" s="565">
        <f>(1+$AI$5)^(AC1003/12)*(AG1003+IF(AD1003=$AM$7,$AM$4,0))</f>
      </c>
      <c r="AI1003" s="170"/>
      <c r="AJ1003" s="7"/>
      <c r="AK1003" s="1"/>
      <c r="AL1003" s="1"/>
      <c r="AM1003" s="1"/>
    </row>
    <row x14ac:dyDescent="0.25" r="1004" customHeight="1" ht="18.75">
      <c r="A1004" s="1"/>
      <c r="B1004" s="169"/>
      <c r="C1004" s="170"/>
      <c r="D1004" s="331">
        <v>997</v>
      </c>
      <c r="E1004" s="544">
        <f>+DATE(YEAR(E1003),MONTH(E1003)-1,DAY(E1003))</f>
        <v>25569.041666666668</v>
      </c>
      <c r="F1004" s="333">
        <f>IF($C$6=$E1004,1,IF(MONTH($E1004)=1,F1005*(1+$F$5),F1005))</f>
      </c>
      <c r="G1004" s="333">
        <f>F1004*$B$8/12</f>
      </c>
      <c r="H1004" s="333">
        <f>IF(F1004=1,F1004*$B$10/MIN(12,'Simulador - 3º Pilar'!$E$88),0)</f>
      </c>
      <c r="I1004" s="560">
        <f>(1+$G$5)^(D1004/12)*(H1004+IF(E1004=$N$7,$N$4,0))</f>
      </c>
      <c r="J1004" s="561">
        <f>(1+$G$5)^(D1004/12)*(H1004*(12-IF(MONTH(E1005)=12,0,MONTH(E1005)))+IF(AND(F1004=1,F1005=0),$Q$4,0))*IF(AND(F1004=1,F1005=0),1,0)</f>
      </c>
      <c r="K1004" s="217">
        <f>(1+$G$5)^(D1004/12)*(IF(E1004=$N$7,$N$4,0)+IF(E1004=$C$6,$B$10,0))</f>
      </c>
      <c r="L1004" s="217">
        <f>(1+$G$5)^(D1004/12)*(IF((E1004)&gt;($B$6),H1004,0)+IF(E1004=$N$7,$N$4,0)+IF(E1004=$C$6,0,0))</f>
      </c>
      <c r="M1004" s="1"/>
      <c r="N1004" s="7"/>
      <c r="O1004" s="1"/>
      <c r="P1004" s="331">
        <v>997</v>
      </c>
      <c r="Q1004" s="544">
        <f>+DATE(YEAR(Q1003),MONTH(Q1003)-1,DAY(Q1003))</f>
        <v>25569.041666666668</v>
      </c>
      <c r="R1004" s="341">
        <f>IF($Z$7=$E1004,1,IF(MONTH($E1004)=1,R1005*(1+$F$5),R1005))</f>
      </c>
      <c r="S1004" s="334">
        <f>R1004*$B$8/12</f>
      </c>
      <c r="T1004" s="334">
        <f>R1004*$B$11/12</f>
      </c>
      <c r="U1004" s="565">
        <f>(1+$V$5)^(P1004/12)*(T1004+IF(Q1004=$Z$7,$Z$4,0))</f>
      </c>
      <c r="V1004" s="170"/>
      <c r="W1004" s="7"/>
      <c r="X1004" s="1"/>
      <c r="Y1004" s="1"/>
      <c r="Z1004" s="1"/>
      <c r="AA1004" s="1"/>
      <c r="AB1004" s="1"/>
      <c r="AC1004" s="331">
        <v>997</v>
      </c>
      <c r="AD1004" s="544">
        <f>+DATE(YEAR(AD1003),MONTH(AD1003)-1,DAY(AD1003))</f>
        <v>25569.041666666668</v>
      </c>
      <c r="AE1004" s="341">
        <f>IF($AM$7=$E1004,1,IF(MONTH($E1004)=1,AE1005*(1+$F$5),AE1005))</f>
      </c>
      <c r="AF1004" s="334">
        <f>AE1004*$B$8/12</f>
      </c>
      <c r="AG1004" s="334">
        <f>AE1004*$B$12/12</f>
      </c>
      <c r="AH1004" s="565">
        <f>(1+$AI$5)^(AC1004/12)*(AG1004+IF(AD1004=$AM$7,$AM$4,0))</f>
      </c>
      <c r="AI1004" s="170"/>
      <c r="AJ1004" s="7"/>
      <c r="AK1004" s="1"/>
      <c r="AL1004" s="1"/>
      <c r="AM1004" s="1"/>
    </row>
    <row x14ac:dyDescent="0.25" r="1005" customHeight="1" ht="18.75">
      <c r="A1005" s="1"/>
      <c r="B1005" s="169"/>
      <c r="C1005" s="170"/>
      <c r="D1005" s="331">
        <v>998</v>
      </c>
      <c r="E1005" s="544">
        <f>+DATE(YEAR(E1004),MONTH(E1004)-1,DAY(E1004))</f>
        <v>25569.041666666668</v>
      </c>
      <c r="F1005" s="333">
        <f>IF($C$6=$E1005,1,IF(MONTH($E1005)=1,F1006*(1+$F$5),F1006))</f>
      </c>
      <c r="G1005" s="333">
        <f>F1005*$B$8/12</f>
      </c>
      <c r="H1005" s="333">
        <f>IF(F1005=1,F1005*$B$10/MIN(12,'Simulador - 3º Pilar'!$E$88),0)</f>
      </c>
      <c r="I1005" s="560">
        <f>(1+$G$5)^(D1005/12)*(H1005+IF(E1005=$N$7,$N$4,0))</f>
      </c>
      <c r="J1005" s="561">
        <f>(1+$G$5)^(D1005/12)*(H1005*(12-IF(MONTH(E1006)=12,0,MONTH(E1006)))+IF(AND(F1005=1,F1006=0),$Q$4,0))*IF(AND(F1005=1,F1006=0),1,0)</f>
      </c>
      <c r="K1005" s="217">
        <f>(1+$G$5)^(D1005/12)*(IF(E1005=$N$7,$N$4,0)+IF(E1005=$C$6,$B$10,0))</f>
      </c>
      <c r="L1005" s="217">
        <f>(1+$G$5)^(D1005/12)*(IF((E1005)&gt;($B$6),H1005,0)+IF(E1005=$N$7,$N$4,0)+IF(E1005=$C$6,0,0))</f>
      </c>
      <c r="M1005" s="1"/>
      <c r="N1005" s="7"/>
      <c r="O1005" s="1"/>
      <c r="P1005" s="331">
        <v>998</v>
      </c>
      <c r="Q1005" s="544">
        <f>+DATE(YEAR(Q1004),MONTH(Q1004)-1,DAY(Q1004))</f>
        <v>25569.041666666668</v>
      </c>
      <c r="R1005" s="341">
        <f>IF($Z$7=$E1005,1,IF(MONTH($E1005)=1,R1006*(1+$F$5),R1006))</f>
      </c>
      <c r="S1005" s="334">
        <f>R1005*$B$8/12</f>
      </c>
      <c r="T1005" s="334">
        <f>R1005*$B$11/12</f>
      </c>
      <c r="U1005" s="565">
        <f>(1+$V$5)^(P1005/12)*(T1005+IF(Q1005=$Z$7,$Z$4,0))</f>
      </c>
      <c r="V1005" s="170"/>
      <c r="W1005" s="7"/>
      <c r="X1005" s="1"/>
      <c r="Y1005" s="1"/>
      <c r="Z1005" s="1"/>
      <c r="AA1005" s="1"/>
      <c r="AB1005" s="1"/>
      <c r="AC1005" s="331">
        <v>998</v>
      </c>
      <c r="AD1005" s="544">
        <f>+DATE(YEAR(AD1004),MONTH(AD1004)-1,DAY(AD1004))</f>
        <v>25569.041666666668</v>
      </c>
      <c r="AE1005" s="341">
        <f>IF($AM$7=$E1005,1,IF(MONTH($E1005)=1,AE1006*(1+$F$5),AE1006))</f>
      </c>
      <c r="AF1005" s="334">
        <f>AE1005*$B$8/12</f>
      </c>
      <c r="AG1005" s="334">
        <f>AE1005*$B$12/12</f>
      </c>
      <c r="AH1005" s="565">
        <f>(1+$AI$5)^(AC1005/12)*(AG1005+IF(AD1005=$AM$7,$AM$4,0))</f>
      </c>
      <c r="AI1005" s="170"/>
      <c r="AJ1005" s="7"/>
      <c r="AK1005" s="1"/>
      <c r="AL1005" s="1"/>
      <c r="AM1005" s="1"/>
    </row>
    <row x14ac:dyDescent="0.25" r="1006" customHeight="1" ht="18.75">
      <c r="A1006" s="1"/>
      <c r="B1006" s="169"/>
      <c r="C1006" s="170"/>
      <c r="D1006" s="331">
        <v>999</v>
      </c>
      <c r="E1006" s="544">
        <f>+DATE(YEAR(E1005),MONTH(E1005)-1,DAY(E1005))</f>
        <v>25569.041666666668</v>
      </c>
      <c r="F1006" s="333">
        <f>IF($C$6=$E1006,1,IF(MONTH($E1006)=1,F1007*(1+$F$5),F1007))</f>
      </c>
      <c r="G1006" s="333">
        <f>F1006*$B$8/12</f>
      </c>
      <c r="H1006" s="333">
        <f>IF(F1006=1,F1006*$B$10/MIN(12,'Simulador - 3º Pilar'!$E$88),0)</f>
      </c>
      <c r="I1006" s="560">
        <f>(1+$G$5)^(D1006/12)*(H1006+IF(E1006=$N$7,$N$4,0))</f>
      </c>
      <c r="J1006" s="561">
        <f>(1+$G$5)^(D1006/12)*(H1006*(12-IF(MONTH(E1007)=12,0,MONTH(E1007)))+IF(AND(F1006=1,F1007=0),$Q$4,0))*IF(AND(F1006=1,F1007=0),1,0)</f>
      </c>
      <c r="K1006" s="217">
        <f>(1+$G$5)^(D1006/12)*(IF(E1006=$N$7,$N$4,0)+IF(E1006=$C$6,$B$10,0))</f>
      </c>
      <c r="L1006" s="217">
        <f>(1+$G$5)^(D1006/12)*(IF((E1006)&gt;($B$6),H1006,0)+IF(E1006=$N$7,$N$4,0)+IF(E1006=$C$6,0,0))</f>
      </c>
      <c r="M1006" s="1"/>
      <c r="N1006" s="7"/>
      <c r="O1006" s="1"/>
      <c r="P1006" s="331">
        <v>999</v>
      </c>
      <c r="Q1006" s="544">
        <f>+DATE(YEAR(Q1005),MONTH(Q1005)-1,DAY(Q1005))</f>
        <v>25569.041666666668</v>
      </c>
      <c r="R1006" s="341">
        <f>IF($Z$7=$E1006,1,IF(MONTH($E1006)=1,R1007*(1+$F$5),R1007))</f>
      </c>
      <c r="S1006" s="334">
        <f>R1006*$B$8/12</f>
      </c>
      <c r="T1006" s="334">
        <f>R1006*$B$11/12</f>
      </c>
      <c r="U1006" s="565">
        <f>(1+$V$5)^(P1006/12)*(T1006+IF(Q1006=$Z$7,$Z$4,0))</f>
      </c>
      <c r="V1006" s="170"/>
      <c r="W1006" s="7"/>
      <c r="X1006" s="1"/>
      <c r="Y1006" s="1"/>
      <c r="Z1006" s="1"/>
      <c r="AA1006" s="1"/>
      <c r="AB1006" s="1"/>
      <c r="AC1006" s="331">
        <v>999</v>
      </c>
      <c r="AD1006" s="544">
        <f>+DATE(YEAR(AD1005),MONTH(AD1005)-1,DAY(AD1005))</f>
        <v>25569.041666666668</v>
      </c>
      <c r="AE1006" s="341">
        <f>IF($AM$7=$E1006,1,IF(MONTH($E1006)=1,AE1007*(1+$F$5),AE1007))</f>
      </c>
      <c r="AF1006" s="334">
        <f>AE1006*$B$8/12</f>
      </c>
      <c r="AG1006" s="334">
        <f>AE1006*$B$12/12</f>
      </c>
      <c r="AH1006" s="565">
        <f>(1+$AI$5)^(AC1006/12)*(AG1006+IF(AD1006=$AM$7,$AM$4,0))</f>
      </c>
      <c r="AI1006" s="170"/>
      <c r="AJ1006" s="7"/>
      <c r="AK1006" s="1"/>
      <c r="AL1006" s="1"/>
      <c r="AM1006" s="1"/>
    </row>
    <row x14ac:dyDescent="0.25" r="1007" customHeight="1" ht="18.75">
      <c r="A1007" s="1"/>
      <c r="B1007" s="169"/>
      <c r="C1007" s="170"/>
      <c r="D1007" s="331">
        <v>1000</v>
      </c>
      <c r="E1007" s="544">
        <f>+DATE(YEAR(E1006),MONTH(E1006)-1,DAY(E1006))</f>
        <v>25569.041666666668</v>
      </c>
      <c r="F1007" s="333">
        <f>IF($C$6=$E1007,1,IF(MONTH($E1007)=1,F1008*(1+$F$5),F1008))</f>
      </c>
      <c r="G1007" s="333">
        <f>F1007*$B$8/12</f>
      </c>
      <c r="H1007" s="333">
        <f>IF(F1007=1,F1007*$B$10/MIN(12,'Simulador - 3º Pilar'!$E$88),0)</f>
      </c>
      <c r="I1007" s="560">
        <f>(1+$G$5)^(D1007/12)*(H1007+IF(E1007=$N$7,$N$4,0))</f>
      </c>
      <c r="J1007" s="561">
        <f>(1+$G$5)^(D1007/12)*(H1007*(12-IF(MONTH(E1008)=12,0,MONTH(E1008)))+IF(AND(F1007=1,F1008=0),$Q$4,0))*IF(AND(F1007=1,F1008=0),1,0)</f>
      </c>
      <c r="K1007" s="217">
        <f>(1+$G$5)^(D1007/12)*(IF(E1007=$N$7,$N$4,0)+IF(E1007=$C$6,$B$10,0))</f>
      </c>
      <c r="L1007" s="217">
        <f>(1+$G$5)^(D1007/12)*(IF((E1007)&gt;($B$6),H1007,0)+IF(E1007=$N$7,$N$4,0)+IF(E1007=$C$6,0,0))</f>
      </c>
      <c r="M1007" s="1"/>
      <c r="N1007" s="7"/>
      <c r="O1007" s="1"/>
      <c r="P1007" s="331">
        <v>1000</v>
      </c>
      <c r="Q1007" s="544">
        <f>+DATE(YEAR(Q1006),MONTH(Q1006)-1,DAY(Q1006))</f>
        <v>25569.041666666668</v>
      </c>
      <c r="R1007" s="341">
        <f>IF($Z$7=$E1007,1,IF(MONTH($E1007)=1,R1008*(1+$F$5),R1008))</f>
      </c>
      <c r="S1007" s="334">
        <f>R1007*$B$8/12</f>
      </c>
      <c r="T1007" s="334">
        <f>R1007*$B$11/12</f>
      </c>
      <c r="U1007" s="565">
        <f>(1+$V$5)^(P1007/12)*(T1007+IF(Q1007=$Z$7,$Z$4,0))</f>
      </c>
      <c r="V1007" s="170"/>
      <c r="W1007" s="7"/>
      <c r="X1007" s="1"/>
      <c r="Y1007" s="1"/>
      <c r="Z1007" s="1"/>
      <c r="AA1007" s="1"/>
      <c r="AB1007" s="1"/>
      <c r="AC1007" s="331">
        <v>1000</v>
      </c>
      <c r="AD1007" s="544">
        <f>+DATE(YEAR(AD1006),MONTH(AD1006)-1,DAY(AD1006))</f>
        <v>25569.041666666668</v>
      </c>
      <c r="AE1007" s="341">
        <f>IF($AM$7=$E1007,1,IF(MONTH($E1007)=1,AE1008*(1+$F$5),AE1008))</f>
      </c>
      <c r="AF1007" s="334">
        <f>AE1007*$B$8/12</f>
      </c>
      <c r="AG1007" s="334">
        <f>AE1007*$B$12/12</f>
      </c>
      <c r="AH1007" s="565">
        <f>(1+$AI$5)^(AC1007/12)*(AG1007+IF(AD1007=$AM$7,$AM$4,0))</f>
      </c>
      <c r="AI1007" s="170"/>
      <c r="AJ1007" s="7"/>
      <c r="AK1007" s="1"/>
      <c r="AL1007" s="1"/>
      <c r="AM1007" s="1"/>
    </row>
    <row x14ac:dyDescent="0.25" r="1008" customHeight="1" ht="18.75">
      <c r="A1008" s="1"/>
      <c r="B1008" s="169"/>
      <c r="C1008" s="170"/>
      <c r="D1008" s="331">
        <v>1001</v>
      </c>
      <c r="E1008" s="544">
        <f>+DATE(YEAR(E1007),MONTH(E1007)-1,DAY(E1007))</f>
        <v>25569.041666666668</v>
      </c>
      <c r="F1008" s="333">
        <f>IF($C$6=$E1008,1,IF(MONTH($E1008)=1,F1009*(1+$F$5),F1009))</f>
      </c>
      <c r="G1008" s="333">
        <f>F1008*$B$8/12</f>
      </c>
      <c r="H1008" s="333">
        <f>IF(F1008=1,F1008*$B$10/MIN(12,'Simulador - 3º Pilar'!$E$88),0)</f>
      </c>
      <c r="I1008" s="560">
        <f>(1+$G$5)^(D1008/12)*(H1008+IF(E1008=$N$7,$N$4,0))</f>
      </c>
      <c r="J1008" s="561">
        <f>(1+$G$5)^(D1008/12)*(H1008*(12-IF(MONTH(E1009)=12,0,MONTH(E1009)))+IF(AND(F1008=1,F1009=0),$Q$4,0))*IF(AND(F1008=1,F1009=0),1,0)</f>
      </c>
      <c r="K1008" s="217">
        <f>(1+$G$5)^(D1008/12)*(IF(E1008=$N$7,$N$4,0)+IF(E1008=$C$6,$B$10,0))</f>
      </c>
      <c r="L1008" s="217">
        <f>(1+$G$5)^(D1008/12)*(IF((E1008)&gt;($B$6),H1008,0)+IF(E1008=$N$7,$N$4,0)+IF(E1008=$C$6,0,0))</f>
      </c>
      <c r="M1008" s="1"/>
      <c r="N1008" s="7"/>
      <c r="O1008" s="1"/>
      <c r="P1008" s="331">
        <v>1001</v>
      </c>
      <c r="Q1008" s="544">
        <f>+DATE(YEAR(Q1007),MONTH(Q1007)-1,DAY(Q1007))</f>
        <v>25569.041666666668</v>
      </c>
      <c r="R1008" s="341">
        <f>IF($Z$7=$E1008,1,IF(MONTH($E1008)=1,R1009*(1+$F$5),R1009))</f>
      </c>
      <c r="S1008" s="334">
        <f>R1008*$B$8/12</f>
      </c>
      <c r="T1008" s="334">
        <f>R1008*$B$11/12</f>
      </c>
      <c r="U1008" s="565">
        <f>(1+$V$5)^(P1008/12)*(T1008+IF(Q1008=$Z$7,$Z$4,0))</f>
      </c>
      <c r="V1008" s="170"/>
      <c r="W1008" s="7"/>
      <c r="X1008" s="1"/>
      <c r="Y1008" s="1"/>
      <c r="Z1008" s="1"/>
      <c r="AA1008" s="1"/>
      <c r="AB1008" s="1"/>
      <c r="AC1008" s="331">
        <v>1001</v>
      </c>
      <c r="AD1008" s="544">
        <f>+DATE(YEAR(AD1007),MONTH(AD1007)-1,DAY(AD1007))</f>
        <v>25569.041666666668</v>
      </c>
      <c r="AE1008" s="341">
        <f>IF($AM$7=$E1008,1,IF(MONTH($E1008)=1,AE1009*(1+$F$5),AE1009))</f>
      </c>
      <c r="AF1008" s="334">
        <f>AE1008*$B$8/12</f>
      </c>
      <c r="AG1008" s="334">
        <f>AE1008*$B$12/12</f>
      </c>
      <c r="AH1008" s="565">
        <f>(1+$AI$5)^(AC1008/12)*(AG1008+IF(AD1008=$AM$7,$AM$4,0))</f>
      </c>
      <c r="AI1008" s="170"/>
      <c r="AJ1008" s="7"/>
      <c r="AK1008" s="1"/>
      <c r="AL1008" s="1"/>
      <c r="AM1008" s="1"/>
    </row>
    <row x14ac:dyDescent="0.25" r="1009" customHeight="1" ht="18.75">
      <c r="A1009" s="1"/>
      <c r="B1009" s="169"/>
      <c r="C1009" s="170"/>
      <c r="D1009" s="331">
        <v>1002</v>
      </c>
      <c r="E1009" s="544">
        <f>+DATE(YEAR(E1008),MONTH(E1008)-1,DAY(E1008))</f>
        <v>25569.041666666668</v>
      </c>
      <c r="F1009" s="333">
        <f>IF($C$6=$E1009,1,IF(MONTH($E1009)=1,F1010*(1+$F$5),F1010))</f>
      </c>
      <c r="G1009" s="333">
        <f>F1009*$B$8/12</f>
      </c>
      <c r="H1009" s="333">
        <f>IF(F1009=1,F1009*$B$10/MIN(12,'Simulador - 3º Pilar'!$E$88),0)</f>
      </c>
      <c r="I1009" s="560">
        <f>(1+$G$5)^(D1009/12)*(H1009+IF(E1009=$N$7,$N$4,0))</f>
      </c>
      <c r="J1009" s="561">
        <f>(1+$G$5)^(D1009/12)*(H1009*(12-IF(MONTH(E1010)=12,0,MONTH(E1010)))+IF(AND(F1009=1,F1010=0),$Q$4,0))*IF(AND(F1009=1,F1010=0),1,0)</f>
      </c>
      <c r="K1009" s="217">
        <f>(1+$G$5)^(D1009/12)*(IF(E1009=$N$7,$N$4,0)+IF(E1009=$C$6,$B$10,0))</f>
      </c>
      <c r="L1009" s="217">
        <f>(1+$G$5)^(D1009/12)*(IF((E1009)&gt;($B$6),H1009,0)+IF(E1009=$N$7,$N$4,0)+IF(E1009=$C$6,0,0))</f>
      </c>
      <c r="M1009" s="1"/>
      <c r="N1009" s="7"/>
      <c r="O1009" s="1"/>
      <c r="P1009" s="331">
        <v>1002</v>
      </c>
      <c r="Q1009" s="544">
        <f>+DATE(YEAR(Q1008),MONTH(Q1008)-1,DAY(Q1008))</f>
        <v>25569.041666666668</v>
      </c>
      <c r="R1009" s="341">
        <f>IF($Z$7=$E1009,1,IF(MONTH($E1009)=1,R1010*(1+$F$5),R1010))</f>
      </c>
      <c r="S1009" s="334">
        <f>R1009*$B$8/12</f>
      </c>
      <c r="T1009" s="334">
        <f>R1009*$B$11/12</f>
      </c>
      <c r="U1009" s="565">
        <f>(1+$V$5)^(P1009/12)*(T1009+IF(Q1009=$Z$7,$Z$4,0))</f>
      </c>
      <c r="V1009" s="170"/>
      <c r="W1009" s="7"/>
      <c r="X1009" s="1"/>
      <c r="Y1009" s="1"/>
      <c r="Z1009" s="1"/>
      <c r="AA1009" s="1"/>
      <c r="AB1009" s="1"/>
      <c r="AC1009" s="331">
        <v>1002</v>
      </c>
      <c r="AD1009" s="544">
        <f>+DATE(YEAR(AD1008),MONTH(AD1008)-1,DAY(AD1008))</f>
        <v>25569.041666666668</v>
      </c>
      <c r="AE1009" s="341">
        <f>IF($AM$7=$E1009,1,IF(MONTH($E1009)=1,AE1010*(1+$F$5),AE1010))</f>
      </c>
      <c r="AF1009" s="334">
        <f>AE1009*$B$8/12</f>
      </c>
      <c r="AG1009" s="334">
        <f>AE1009*$B$12/12</f>
      </c>
      <c r="AH1009" s="565">
        <f>(1+$AI$5)^(AC1009/12)*(AG1009+IF(AD1009=$AM$7,$AM$4,0))</f>
      </c>
      <c r="AI1009" s="170"/>
      <c r="AJ1009" s="7"/>
      <c r="AK1009" s="1"/>
      <c r="AL1009" s="1"/>
      <c r="AM1009" s="1"/>
    </row>
    <row x14ac:dyDescent="0.25" r="1010" customHeight="1" ht="18.75">
      <c r="A1010" s="1"/>
      <c r="B1010" s="169"/>
      <c r="C1010" s="170"/>
      <c r="D1010" s="331">
        <v>1003</v>
      </c>
      <c r="E1010" s="544">
        <f>+DATE(YEAR(E1009),MONTH(E1009)-1,DAY(E1009))</f>
        <v>25569.041666666668</v>
      </c>
      <c r="F1010" s="333">
        <f>IF($C$6=$E1010,1,IF(MONTH($E1010)=1,F1011*(1+$F$5),F1011))</f>
      </c>
      <c r="G1010" s="333">
        <f>F1010*$B$8/12</f>
      </c>
      <c r="H1010" s="333">
        <f>IF(F1010=1,F1010*$B$10/MIN(12,'Simulador - 3º Pilar'!$E$88),0)</f>
      </c>
      <c r="I1010" s="560">
        <f>(1+$G$5)^(D1010/12)*(H1010+IF(E1010=$N$7,$N$4,0))</f>
      </c>
      <c r="J1010" s="561">
        <f>(1+$G$5)^(D1010/12)*(H1010*(12-IF(MONTH(E1011)=12,0,MONTH(E1011)))+IF(AND(F1010=1,F1011=0),$Q$4,0))*IF(AND(F1010=1,F1011=0),1,0)</f>
      </c>
      <c r="K1010" s="217">
        <f>(1+$G$5)^(D1010/12)*(IF(E1010=$N$7,$N$4,0)+IF(E1010=$C$6,$B$10,0))</f>
      </c>
      <c r="L1010" s="217">
        <f>(1+$G$5)^(D1010/12)*(IF((E1010)&gt;($B$6),H1010,0)+IF(E1010=$N$7,$N$4,0)+IF(E1010=$C$6,0,0))</f>
      </c>
      <c r="M1010" s="1"/>
      <c r="N1010" s="7"/>
      <c r="O1010" s="1"/>
      <c r="P1010" s="331">
        <v>1003</v>
      </c>
      <c r="Q1010" s="544">
        <f>+DATE(YEAR(Q1009),MONTH(Q1009)-1,DAY(Q1009))</f>
        <v>25569.041666666668</v>
      </c>
      <c r="R1010" s="341">
        <f>IF($Z$7=$E1010,1,IF(MONTH($E1010)=1,R1011*(1+$F$5),R1011))</f>
      </c>
      <c r="S1010" s="334">
        <f>R1010*$B$8/12</f>
      </c>
      <c r="T1010" s="334">
        <f>R1010*$B$11/12</f>
      </c>
      <c r="U1010" s="565">
        <f>(1+$V$5)^(P1010/12)*(T1010+IF(Q1010=$Z$7,$Z$4,0))</f>
      </c>
      <c r="V1010" s="170"/>
      <c r="W1010" s="7"/>
      <c r="X1010" s="1"/>
      <c r="Y1010" s="1"/>
      <c r="Z1010" s="1"/>
      <c r="AA1010" s="1"/>
      <c r="AB1010" s="1"/>
      <c r="AC1010" s="331">
        <v>1003</v>
      </c>
      <c r="AD1010" s="544">
        <f>+DATE(YEAR(AD1009),MONTH(AD1009)-1,DAY(AD1009))</f>
        <v>25569.041666666668</v>
      </c>
      <c r="AE1010" s="341">
        <f>IF($AM$7=$E1010,1,IF(MONTH($E1010)=1,AE1011*(1+$F$5),AE1011))</f>
      </c>
      <c r="AF1010" s="334">
        <f>AE1010*$B$8/12</f>
      </c>
      <c r="AG1010" s="334">
        <f>AE1010*$B$12/12</f>
      </c>
      <c r="AH1010" s="565">
        <f>(1+$AI$5)^(AC1010/12)*(AG1010+IF(AD1010=$AM$7,$AM$4,0))</f>
      </c>
      <c r="AI1010" s="170"/>
      <c r="AJ1010" s="7"/>
      <c r="AK1010" s="1"/>
      <c r="AL1010" s="1"/>
      <c r="AM1010" s="1"/>
    </row>
    <row x14ac:dyDescent="0.25" r="1011" customHeight="1" ht="18.75">
      <c r="A1011" s="1"/>
      <c r="B1011" s="169"/>
      <c r="C1011" s="170"/>
      <c r="D1011" s="331">
        <v>1004</v>
      </c>
      <c r="E1011" s="544">
        <f>+DATE(YEAR(E1010),MONTH(E1010)-1,DAY(E1010))</f>
        <v>25569.041666666668</v>
      </c>
      <c r="F1011" s="333">
        <f>IF($C$6=$E1011,1,IF(MONTH($E1011)=1,F1012*(1+$F$5),F1012))</f>
      </c>
      <c r="G1011" s="333">
        <f>F1011*$B$8/12</f>
      </c>
      <c r="H1011" s="333">
        <f>IF(F1011=1,F1011*$B$10/MIN(12,'Simulador - 3º Pilar'!$E$88),0)</f>
      </c>
      <c r="I1011" s="560">
        <f>(1+$G$5)^(D1011/12)*(H1011+IF(E1011=$N$7,$N$4,0))</f>
      </c>
      <c r="J1011" s="561">
        <f>(1+$G$5)^(D1011/12)*(H1011*(12-IF(MONTH(E1012)=12,0,MONTH(E1012)))+IF(AND(F1011=1,F1012=0),$Q$4,0))*IF(AND(F1011=1,F1012=0),1,0)</f>
      </c>
      <c r="K1011" s="217">
        <f>(1+$G$5)^(D1011/12)*(IF(E1011=$N$7,$N$4,0)+IF(E1011=$C$6,$B$10,0))</f>
      </c>
      <c r="L1011" s="217">
        <f>(1+$G$5)^(D1011/12)*(IF((E1011)&gt;($B$6),H1011,0)+IF(E1011=$N$7,$N$4,0)+IF(E1011=$C$6,0,0))</f>
      </c>
      <c r="M1011" s="1"/>
      <c r="N1011" s="7"/>
      <c r="O1011" s="1"/>
      <c r="P1011" s="331">
        <v>1004</v>
      </c>
      <c r="Q1011" s="544">
        <f>+DATE(YEAR(Q1010),MONTH(Q1010)-1,DAY(Q1010))</f>
        <v>25569.041666666668</v>
      </c>
      <c r="R1011" s="341">
        <f>IF($Z$7=$E1011,1,IF(MONTH($E1011)=1,R1012*(1+$F$5),R1012))</f>
      </c>
      <c r="S1011" s="334">
        <f>R1011*$B$8/12</f>
      </c>
      <c r="T1011" s="334">
        <f>R1011*$B$11/12</f>
      </c>
      <c r="U1011" s="565">
        <f>(1+$V$5)^(P1011/12)*(T1011+IF(Q1011=$Z$7,$Z$4,0))</f>
      </c>
      <c r="V1011" s="170"/>
      <c r="W1011" s="7"/>
      <c r="X1011" s="1"/>
      <c r="Y1011" s="1"/>
      <c r="Z1011" s="1"/>
      <c r="AA1011" s="1"/>
      <c r="AB1011" s="1"/>
      <c r="AC1011" s="331">
        <v>1004</v>
      </c>
      <c r="AD1011" s="544">
        <f>+DATE(YEAR(AD1010),MONTH(AD1010)-1,DAY(AD1010))</f>
        <v>25569.041666666668</v>
      </c>
      <c r="AE1011" s="341">
        <f>IF($AM$7=$E1011,1,IF(MONTH($E1011)=1,AE1012*(1+$F$5),AE1012))</f>
      </c>
      <c r="AF1011" s="334">
        <f>AE1011*$B$8/12</f>
      </c>
      <c r="AG1011" s="334">
        <f>AE1011*$B$12/12</f>
      </c>
      <c r="AH1011" s="565">
        <f>(1+$AI$5)^(AC1011/12)*(AG1011+IF(AD1011=$AM$7,$AM$4,0))</f>
      </c>
      <c r="AI1011" s="170"/>
      <c r="AJ1011" s="7"/>
      <c r="AK1011" s="1"/>
      <c r="AL1011" s="1"/>
      <c r="AM1011" s="1"/>
    </row>
    <row x14ac:dyDescent="0.25" r="1012" customHeight="1" ht="18.75">
      <c r="A1012" s="1"/>
      <c r="B1012" s="169"/>
      <c r="C1012" s="170"/>
      <c r="D1012" s="331">
        <v>1005</v>
      </c>
      <c r="E1012" s="544">
        <f>+DATE(YEAR(E1011),MONTH(E1011)-1,DAY(E1011))</f>
        <v>25569.041666666668</v>
      </c>
      <c r="F1012" s="333">
        <f>IF($C$6=$E1012,1,IF(MONTH($E1012)=1,F1013*(1+$F$5),F1013))</f>
      </c>
      <c r="G1012" s="333">
        <f>F1012*$B$8/12</f>
      </c>
      <c r="H1012" s="333">
        <f>IF(F1012=1,F1012*$B$10/MIN(12,'Simulador - 3º Pilar'!$E$88),0)</f>
      </c>
      <c r="I1012" s="560">
        <f>(1+$G$5)^(D1012/12)*(H1012+IF(E1012=$N$7,$N$4,0))</f>
      </c>
      <c r="J1012" s="561">
        <f>(1+$G$5)^(D1012/12)*(H1012*(12-IF(MONTH(E1013)=12,0,MONTH(E1013)))+IF(AND(F1012=1,F1013=0),$Q$4,0))*IF(AND(F1012=1,F1013=0),1,0)</f>
      </c>
      <c r="K1012" s="217">
        <f>(1+$G$5)^(D1012/12)*(IF(E1012=$N$7,$N$4,0)+IF(E1012=$C$6,$B$10,0))</f>
      </c>
      <c r="L1012" s="217">
        <f>(1+$G$5)^(D1012/12)*(IF((E1012)&gt;($B$6),H1012,0)+IF(E1012=$N$7,$N$4,0)+IF(E1012=$C$6,0,0))</f>
      </c>
      <c r="M1012" s="1"/>
      <c r="N1012" s="7"/>
      <c r="O1012" s="1"/>
      <c r="P1012" s="331">
        <v>1005</v>
      </c>
      <c r="Q1012" s="544">
        <f>+DATE(YEAR(Q1011),MONTH(Q1011)-1,DAY(Q1011))</f>
        <v>25569.041666666668</v>
      </c>
      <c r="R1012" s="341">
        <f>IF($Z$7=$E1012,1,IF(MONTH($E1012)=1,R1013*(1+$F$5),R1013))</f>
      </c>
      <c r="S1012" s="334">
        <f>R1012*$B$8/12</f>
      </c>
      <c r="T1012" s="334">
        <f>R1012*$B$11/12</f>
      </c>
      <c r="U1012" s="565">
        <f>(1+$V$5)^(P1012/12)*(T1012+IF(Q1012=$Z$7,$Z$4,0))</f>
      </c>
      <c r="V1012" s="170"/>
      <c r="W1012" s="7"/>
      <c r="X1012" s="1"/>
      <c r="Y1012" s="1"/>
      <c r="Z1012" s="1"/>
      <c r="AA1012" s="1"/>
      <c r="AB1012" s="1"/>
      <c r="AC1012" s="331">
        <v>1005</v>
      </c>
      <c r="AD1012" s="544">
        <f>+DATE(YEAR(AD1011),MONTH(AD1011)-1,DAY(AD1011))</f>
        <v>25569.041666666668</v>
      </c>
      <c r="AE1012" s="341">
        <f>IF($AM$7=$E1012,1,IF(MONTH($E1012)=1,AE1013*(1+$F$5),AE1013))</f>
      </c>
      <c r="AF1012" s="334">
        <f>AE1012*$B$8/12</f>
      </c>
      <c r="AG1012" s="334">
        <f>AE1012*$B$12/12</f>
      </c>
      <c r="AH1012" s="565">
        <f>(1+$AI$5)^(AC1012/12)*(AG1012+IF(AD1012=$AM$7,$AM$4,0))</f>
      </c>
      <c r="AI1012" s="170"/>
      <c r="AJ1012" s="7"/>
      <c r="AK1012" s="1"/>
      <c r="AL1012" s="1"/>
      <c r="AM1012" s="1"/>
    </row>
    <row x14ac:dyDescent="0.25" r="1013" customHeight="1" ht="18.75">
      <c r="A1013" s="1"/>
      <c r="B1013" s="169"/>
      <c r="C1013" s="170"/>
      <c r="D1013" s="331">
        <v>1006</v>
      </c>
      <c r="E1013" s="544">
        <f>+DATE(YEAR(E1012),MONTH(E1012)-1,DAY(E1012))</f>
        <v>25569.041666666668</v>
      </c>
      <c r="F1013" s="333">
        <f>IF($C$6=$E1013,1,IF(MONTH($E1013)=1,F1014*(1+$F$5),F1014))</f>
      </c>
      <c r="G1013" s="333">
        <f>F1013*$B$8/12</f>
      </c>
      <c r="H1013" s="333">
        <f>IF(F1013=1,F1013*$B$10/MIN(12,'Simulador - 3º Pilar'!$E$88),0)</f>
      </c>
      <c r="I1013" s="560">
        <f>(1+$G$5)^(D1013/12)*(H1013+IF(E1013=$N$7,$N$4,0))</f>
      </c>
      <c r="J1013" s="561">
        <f>(1+$G$5)^(D1013/12)*(H1013*(12-IF(MONTH(E1014)=12,0,MONTH(E1014)))+IF(AND(F1013=1,F1014=0),$Q$4,0))*IF(AND(F1013=1,F1014=0),1,0)</f>
      </c>
      <c r="K1013" s="217">
        <f>(1+$G$5)^(D1013/12)*(IF(E1013=$N$7,$N$4,0)+IF(E1013=$C$6,$B$10,0))</f>
      </c>
      <c r="L1013" s="217">
        <f>(1+$G$5)^(D1013/12)*(IF((E1013)&gt;($B$6),H1013,0)+IF(E1013=$N$7,$N$4,0)+IF(E1013=$C$6,0,0))</f>
      </c>
      <c r="M1013" s="1"/>
      <c r="N1013" s="7"/>
      <c r="O1013" s="1"/>
      <c r="P1013" s="331">
        <v>1006</v>
      </c>
      <c r="Q1013" s="544">
        <f>+DATE(YEAR(Q1012),MONTH(Q1012)-1,DAY(Q1012))</f>
        <v>25569.041666666668</v>
      </c>
      <c r="R1013" s="341">
        <f>IF($Z$7=$E1013,1,IF(MONTH($E1013)=1,R1014*(1+$F$5),R1014))</f>
      </c>
      <c r="S1013" s="334">
        <f>R1013*$B$8/12</f>
      </c>
      <c r="T1013" s="334">
        <f>R1013*$B$11/12</f>
      </c>
      <c r="U1013" s="565">
        <f>(1+$V$5)^(P1013/12)*(T1013+IF(Q1013=$Z$7,$Z$4,0))</f>
      </c>
      <c r="V1013" s="170"/>
      <c r="W1013" s="7"/>
      <c r="X1013" s="1"/>
      <c r="Y1013" s="1"/>
      <c r="Z1013" s="1"/>
      <c r="AA1013" s="1"/>
      <c r="AB1013" s="1"/>
      <c r="AC1013" s="331">
        <v>1006</v>
      </c>
      <c r="AD1013" s="544">
        <f>+DATE(YEAR(AD1012),MONTH(AD1012)-1,DAY(AD1012))</f>
        <v>25569.041666666668</v>
      </c>
      <c r="AE1013" s="341">
        <f>IF($AM$7=$E1013,1,IF(MONTH($E1013)=1,AE1014*(1+$F$5),AE1014))</f>
      </c>
      <c r="AF1013" s="334">
        <f>AE1013*$B$8/12</f>
      </c>
      <c r="AG1013" s="334">
        <f>AE1013*$B$12/12</f>
      </c>
      <c r="AH1013" s="565">
        <f>(1+$AI$5)^(AC1013/12)*(AG1013+IF(AD1013=$AM$7,$AM$4,0))</f>
      </c>
      <c r="AI1013" s="170"/>
      <c r="AJ1013" s="7"/>
      <c r="AK1013" s="1"/>
      <c r="AL1013" s="1"/>
      <c r="AM1013" s="1"/>
    </row>
    <row x14ac:dyDescent="0.25" r="1014" customHeight="1" ht="18.75">
      <c r="A1014" s="1"/>
      <c r="B1014" s="169"/>
      <c r="C1014" s="170"/>
      <c r="D1014" s="331">
        <v>1007</v>
      </c>
      <c r="E1014" s="544">
        <f>+DATE(YEAR(E1013),MONTH(E1013)-1,DAY(E1013))</f>
        <v>25569.041666666668</v>
      </c>
      <c r="F1014" s="333">
        <f>IF($C$6=$E1014,1,IF(MONTH($E1014)=1,F1015*(1+$F$5),F1015))</f>
      </c>
      <c r="G1014" s="333">
        <f>F1014*$B$8/12</f>
      </c>
      <c r="H1014" s="333">
        <f>IF(F1014=1,F1014*$B$10/MIN(12,'Simulador - 3º Pilar'!$E$88),0)</f>
      </c>
      <c r="I1014" s="560">
        <f>(1+$G$5)^(D1014/12)*(H1014+IF(E1014=$N$7,$N$4,0))</f>
      </c>
      <c r="J1014" s="561">
        <f>(1+$G$5)^(D1014/12)*(H1014*(12-IF(MONTH(E1015)=12,0,MONTH(E1015)))+IF(AND(F1014=1,F1015=0),$Q$4,0))*IF(AND(F1014=1,F1015=0),1,0)</f>
      </c>
      <c r="K1014" s="217">
        <f>(1+$G$5)^(D1014/12)*(IF(E1014=$N$7,$N$4,0)+IF(E1014=$C$6,$B$10,0))</f>
      </c>
      <c r="L1014" s="217">
        <f>(1+$G$5)^(D1014/12)*(IF((E1014)&gt;($B$6),H1014,0)+IF(E1014=$N$7,$N$4,0)+IF(E1014=$C$6,0,0))</f>
      </c>
      <c r="M1014" s="1"/>
      <c r="N1014" s="7"/>
      <c r="O1014" s="1"/>
      <c r="P1014" s="331">
        <v>1007</v>
      </c>
      <c r="Q1014" s="544">
        <f>+DATE(YEAR(Q1013),MONTH(Q1013)-1,DAY(Q1013))</f>
        <v>25569.041666666668</v>
      </c>
      <c r="R1014" s="341">
        <f>IF($Z$7=$E1014,1,IF(MONTH($E1014)=1,R1015*(1+$F$5),R1015))</f>
      </c>
      <c r="S1014" s="334">
        <f>R1014*$B$8/12</f>
      </c>
      <c r="T1014" s="334">
        <f>R1014*$B$11/12</f>
      </c>
      <c r="U1014" s="565">
        <f>(1+$V$5)^(P1014/12)*(T1014+IF(Q1014=$Z$7,$Z$4,0))</f>
      </c>
      <c r="V1014" s="170"/>
      <c r="W1014" s="7"/>
      <c r="X1014" s="1"/>
      <c r="Y1014" s="1"/>
      <c r="Z1014" s="1"/>
      <c r="AA1014" s="1"/>
      <c r="AB1014" s="1"/>
      <c r="AC1014" s="331">
        <v>1007</v>
      </c>
      <c r="AD1014" s="544">
        <f>+DATE(YEAR(AD1013),MONTH(AD1013)-1,DAY(AD1013))</f>
        <v>25569.041666666668</v>
      </c>
      <c r="AE1014" s="341">
        <f>IF($AM$7=$E1014,1,IF(MONTH($E1014)=1,AE1015*(1+$F$5),AE1015))</f>
      </c>
      <c r="AF1014" s="334">
        <f>AE1014*$B$8/12</f>
      </c>
      <c r="AG1014" s="334">
        <f>AE1014*$B$12/12</f>
      </c>
      <c r="AH1014" s="565">
        <f>(1+$AI$5)^(AC1014/12)*(AG1014+IF(AD1014=$AM$7,$AM$4,0))</f>
      </c>
      <c r="AI1014" s="170"/>
      <c r="AJ1014" s="7"/>
      <c r="AK1014" s="1"/>
      <c r="AL1014" s="1"/>
      <c r="AM1014" s="1"/>
    </row>
    <row x14ac:dyDescent="0.25" r="1015" customHeight="1" ht="18.75">
      <c r="A1015" s="1"/>
      <c r="B1015" s="169"/>
      <c r="C1015" s="170"/>
      <c r="D1015" s="331">
        <v>1008</v>
      </c>
      <c r="E1015" s="544">
        <f>+DATE(YEAR(E1014),MONTH(E1014)-1,DAY(E1014))</f>
        <v>25569.041666666668</v>
      </c>
      <c r="F1015" s="333">
        <f>IF($C$6=$E1015,1,IF(MONTH($E1015)=1,F1016*(1+$F$5),F1016))</f>
      </c>
      <c r="G1015" s="333">
        <f>F1015*$B$8/12</f>
      </c>
      <c r="H1015" s="333">
        <f>IF(F1015=1,F1015*$B$10/MIN(12,'Simulador - 3º Pilar'!$E$88),0)</f>
      </c>
      <c r="I1015" s="560">
        <f>(1+$G$5)^(D1015/12)*(H1015+IF(E1015=$N$7,$N$4,0))</f>
      </c>
      <c r="J1015" s="561">
        <f>(1+$G$5)^(D1015/12)*(H1015*(12-IF(MONTH(E1016)=12,0,MONTH(E1016)))+IF(AND(F1015=1,F1016=0),$Q$4,0))*IF(AND(F1015=1,F1016=0),1,0)</f>
      </c>
      <c r="K1015" s="217">
        <f>(1+$G$5)^(D1015/12)*(IF(E1015=$N$7,$N$4,0)+IF(E1015=$C$6,$B$10,0))</f>
      </c>
      <c r="L1015" s="217">
        <f>(1+$G$5)^(D1015/12)*(IF((E1015)&gt;($B$6),H1015,0)+IF(E1015=$N$7,$N$4,0)+IF(E1015=$C$6,0,0))</f>
      </c>
      <c r="M1015" s="1"/>
      <c r="N1015" s="7"/>
      <c r="O1015" s="1"/>
      <c r="P1015" s="331">
        <v>1008</v>
      </c>
      <c r="Q1015" s="544">
        <f>+DATE(YEAR(Q1014),MONTH(Q1014)-1,DAY(Q1014))</f>
        <v>25569.041666666668</v>
      </c>
      <c r="R1015" s="341">
        <f>IF($Z$7=$E1015,1,IF(MONTH($E1015)=1,R1016*(1+$F$5),R1016))</f>
      </c>
      <c r="S1015" s="334">
        <f>R1015*$B$8/12</f>
      </c>
      <c r="T1015" s="334">
        <f>R1015*$B$11/12</f>
      </c>
      <c r="U1015" s="565">
        <f>(1+$V$5)^(P1015/12)*(T1015+IF(Q1015=$Z$7,$Z$4,0))</f>
      </c>
      <c r="V1015" s="170"/>
      <c r="W1015" s="7"/>
      <c r="X1015" s="1"/>
      <c r="Y1015" s="1"/>
      <c r="Z1015" s="1"/>
      <c r="AA1015" s="1"/>
      <c r="AB1015" s="1"/>
      <c r="AC1015" s="331">
        <v>1008</v>
      </c>
      <c r="AD1015" s="544">
        <f>+DATE(YEAR(AD1014),MONTH(AD1014)-1,DAY(AD1014))</f>
        <v>25569.041666666668</v>
      </c>
      <c r="AE1015" s="341">
        <f>IF($AM$7=$E1015,1,IF(MONTH($E1015)=1,AE1016*(1+$F$5),AE1016))</f>
      </c>
      <c r="AF1015" s="334">
        <f>AE1015*$B$8/12</f>
      </c>
      <c r="AG1015" s="334">
        <f>AE1015*$B$12/12</f>
      </c>
      <c r="AH1015" s="565">
        <f>(1+$AI$5)^(AC1015/12)*(AG1015+IF(AD1015=$AM$7,$AM$4,0))</f>
      </c>
      <c r="AI1015" s="170"/>
      <c r="AJ1015" s="7"/>
      <c r="AK1015" s="1"/>
      <c r="AL1015" s="1"/>
      <c r="AM1015" s="1"/>
    </row>
    <row x14ac:dyDescent="0.25" r="1016" customHeight="1" ht="18.75">
      <c r="A1016" s="1"/>
      <c r="B1016" s="169"/>
      <c r="C1016" s="170"/>
      <c r="D1016" s="331">
        <v>1009</v>
      </c>
      <c r="E1016" s="544">
        <f>+DATE(YEAR(E1015),MONTH(E1015)-1,DAY(E1015))</f>
        <v>25569.041666666668</v>
      </c>
      <c r="F1016" s="333">
        <f>IF($C$6=$E1016,1,IF(MONTH($E1016)=1,F1017*(1+$F$5),F1017))</f>
      </c>
      <c r="G1016" s="333">
        <f>F1016*$B$8/12</f>
      </c>
      <c r="H1016" s="333">
        <f>IF(F1016=1,F1016*$B$10/MIN(12,'Simulador - 3º Pilar'!$E$88),0)</f>
      </c>
      <c r="I1016" s="560">
        <f>(1+$G$5)^(D1016/12)*(H1016+IF(E1016=$N$7,$N$4,0))</f>
      </c>
      <c r="J1016" s="561">
        <f>(1+$G$5)^(D1016/12)*(H1016*(12-IF(MONTH(E1017)=12,0,MONTH(E1017)))+IF(AND(F1016=1,F1017=0),$Q$4,0))*IF(AND(F1016=1,F1017=0),1,0)</f>
      </c>
      <c r="K1016" s="217">
        <f>(1+$G$5)^(D1016/12)*(IF(E1016=$N$7,$N$4,0)+IF(E1016=$C$6,$B$10,0))</f>
      </c>
      <c r="L1016" s="217">
        <f>(1+$G$5)^(D1016/12)*(IF((E1016)&gt;($B$6),H1016,0)+IF(E1016=$N$7,$N$4,0)+IF(E1016=$C$6,0,0))</f>
      </c>
      <c r="M1016" s="1"/>
      <c r="N1016" s="7"/>
      <c r="O1016" s="1"/>
      <c r="P1016" s="331">
        <v>1009</v>
      </c>
      <c r="Q1016" s="544">
        <f>+DATE(YEAR(Q1015),MONTH(Q1015)-1,DAY(Q1015))</f>
        <v>25569.041666666668</v>
      </c>
      <c r="R1016" s="341">
        <f>IF($Z$7=$E1016,1,IF(MONTH($E1016)=1,R1017*(1+$F$5),R1017))</f>
      </c>
      <c r="S1016" s="334">
        <f>R1016*$B$8/12</f>
      </c>
      <c r="T1016" s="334">
        <f>R1016*$B$11/12</f>
      </c>
      <c r="U1016" s="565">
        <f>(1+$V$5)^(P1016/12)*(T1016+IF(Q1016=$Z$7,$Z$4,0))</f>
      </c>
      <c r="V1016" s="170"/>
      <c r="W1016" s="7"/>
      <c r="X1016" s="1"/>
      <c r="Y1016" s="1"/>
      <c r="Z1016" s="1"/>
      <c r="AA1016" s="1"/>
      <c r="AB1016" s="1"/>
      <c r="AC1016" s="331">
        <v>1009</v>
      </c>
      <c r="AD1016" s="544">
        <f>+DATE(YEAR(AD1015),MONTH(AD1015)-1,DAY(AD1015))</f>
        <v>25569.041666666668</v>
      </c>
      <c r="AE1016" s="341">
        <f>IF($AM$7=$E1016,1,IF(MONTH($E1016)=1,AE1017*(1+$F$5),AE1017))</f>
      </c>
      <c r="AF1016" s="334">
        <f>AE1016*$B$8/12</f>
      </c>
      <c r="AG1016" s="334">
        <f>AE1016*$B$12/12</f>
      </c>
      <c r="AH1016" s="565">
        <f>(1+$AI$5)^(AC1016/12)*(AG1016+IF(AD1016=$AM$7,$AM$4,0))</f>
      </c>
      <c r="AI1016" s="170"/>
      <c r="AJ1016" s="7"/>
      <c r="AK1016" s="1"/>
      <c r="AL1016" s="1"/>
      <c r="AM1016" s="1"/>
    </row>
    <row x14ac:dyDescent="0.25" r="1017" customHeight="1" ht="18.75">
      <c r="A1017" s="1"/>
      <c r="B1017" s="169"/>
      <c r="C1017" s="170"/>
      <c r="D1017" s="331">
        <v>1010</v>
      </c>
      <c r="E1017" s="544">
        <f>+DATE(YEAR(E1016),MONTH(E1016)-1,DAY(E1016))</f>
        <v>25569.041666666668</v>
      </c>
      <c r="F1017" s="333">
        <f>IF($C$6=$E1017,1,IF(MONTH($E1017)=1,F1018*(1+$F$5),F1018))</f>
      </c>
      <c r="G1017" s="333">
        <f>F1017*$B$8/12</f>
      </c>
      <c r="H1017" s="333">
        <f>IF(F1017=1,F1017*$B$10/MIN(12,'Simulador - 3º Pilar'!$E$88),0)</f>
      </c>
      <c r="I1017" s="560">
        <f>(1+$G$5)^(D1017/12)*(H1017+IF(E1017=$N$7,$N$4,0))</f>
      </c>
      <c r="J1017" s="561">
        <f>(1+$G$5)^(D1017/12)*(H1017*(12-IF(MONTH(E1018)=12,0,MONTH(E1018)))+IF(AND(F1017=1,F1018=0),$Q$4,0))*IF(AND(F1017=1,F1018=0),1,0)</f>
      </c>
      <c r="K1017" s="217">
        <f>(1+$G$5)^(D1017/12)*(IF(E1017=$N$7,$N$4,0)+IF(E1017=$C$6,$B$10,0))</f>
      </c>
      <c r="L1017" s="217">
        <f>(1+$G$5)^(D1017/12)*(IF((E1017)&gt;($B$6),H1017,0)+IF(E1017=$N$7,$N$4,0)+IF(E1017=$C$6,0,0))</f>
      </c>
      <c r="M1017" s="1"/>
      <c r="N1017" s="7"/>
      <c r="O1017" s="1"/>
      <c r="P1017" s="331">
        <v>1010</v>
      </c>
      <c r="Q1017" s="544">
        <f>+DATE(YEAR(Q1016),MONTH(Q1016)-1,DAY(Q1016))</f>
        <v>25569.041666666668</v>
      </c>
      <c r="R1017" s="341">
        <f>IF($Z$7=$E1017,1,IF(MONTH($E1017)=1,R1018*(1+$F$5),R1018))</f>
      </c>
      <c r="S1017" s="334">
        <f>R1017*$B$8/12</f>
      </c>
      <c r="T1017" s="334">
        <f>R1017*$B$11/12</f>
      </c>
      <c r="U1017" s="565">
        <f>(1+$V$5)^(P1017/12)*(T1017+IF(Q1017=$Z$7,$Z$4,0))</f>
      </c>
      <c r="V1017" s="170"/>
      <c r="W1017" s="7"/>
      <c r="X1017" s="1"/>
      <c r="Y1017" s="1"/>
      <c r="Z1017" s="1"/>
      <c r="AA1017" s="1"/>
      <c r="AB1017" s="1"/>
      <c r="AC1017" s="331">
        <v>1010</v>
      </c>
      <c r="AD1017" s="544">
        <f>+DATE(YEAR(AD1016),MONTH(AD1016)-1,DAY(AD1016))</f>
        <v>25569.041666666668</v>
      </c>
      <c r="AE1017" s="341">
        <f>IF($AM$7=$E1017,1,IF(MONTH($E1017)=1,AE1018*(1+$F$5),AE1018))</f>
      </c>
      <c r="AF1017" s="334">
        <f>AE1017*$B$8/12</f>
      </c>
      <c r="AG1017" s="334">
        <f>AE1017*$B$12/12</f>
      </c>
      <c r="AH1017" s="565">
        <f>(1+$AI$5)^(AC1017/12)*(AG1017+IF(AD1017=$AM$7,$AM$4,0))</f>
      </c>
      <c r="AI1017" s="170"/>
      <c r="AJ1017" s="7"/>
      <c r="AK1017" s="1"/>
      <c r="AL1017" s="1"/>
      <c r="AM1017" s="1"/>
    </row>
    <row x14ac:dyDescent="0.25" r="1018" customHeight="1" ht="18.75">
      <c r="A1018" s="1"/>
      <c r="B1018" s="169"/>
      <c r="C1018" s="170"/>
      <c r="D1018" s="331">
        <v>1011</v>
      </c>
      <c r="E1018" s="544">
        <f>+DATE(YEAR(E1017),MONTH(E1017)-1,DAY(E1017))</f>
        <v>25569.041666666668</v>
      </c>
      <c r="F1018" s="333">
        <f>IF($C$6=$E1018,1,IF(MONTH($E1018)=1,F1019*(1+$F$5),F1019))</f>
      </c>
      <c r="G1018" s="333">
        <f>F1018*$B$8/12</f>
      </c>
      <c r="H1018" s="333">
        <f>IF(F1018=1,F1018*$B$10/MIN(12,'Simulador - 3º Pilar'!$E$88),0)</f>
      </c>
      <c r="I1018" s="560">
        <f>(1+$G$5)^(D1018/12)*(H1018+IF(E1018=$N$7,$N$4,0))</f>
      </c>
      <c r="J1018" s="561">
        <f>(1+$G$5)^(D1018/12)*(H1018*(12-IF(MONTH(E1019)=12,0,MONTH(E1019)))+IF(AND(F1018=1,F1019=0),$Q$4,0))*IF(AND(F1018=1,F1019=0),1,0)</f>
      </c>
      <c r="K1018" s="217">
        <f>(1+$G$5)^(D1018/12)*(IF(E1018=$N$7,$N$4,0)+IF(E1018=$C$6,$B$10,0))</f>
      </c>
      <c r="L1018" s="217">
        <f>(1+$G$5)^(D1018/12)*(IF((E1018)&gt;($B$6),H1018,0)+IF(E1018=$N$7,$N$4,0)+IF(E1018=$C$6,0,0))</f>
      </c>
      <c r="M1018" s="1"/>
      <c r="N1018" s="7"/>
      <c r="O1018" s="1"/>
      <c r="P1018" s="331">
        <v>1011</v>
      </c>
      <c r="Q1018" s="544">
        <f>+DATE(YEAR(Q1017),MONTH(Q1017)-1,DAY(Q1017))</f>
        <v>25569.041666666668</v>
      </c>
      <c r="R1018" s="341">
        <f>IF($Z$7=$E1018,1,IF(MONTH($E1018)=1,R1019*(1+$F$5),R1019))</f>
      </c>
      <c r="S1018" s="334">
        <f>R1018*$B$8/12</f>
      </c>
      <c r="T1018" s="334">
        <f>R1018*$B$11/12</f>
      </c>
      <c r="U1018" s="565">
        <f>(1+$V$5)^(P1018/12)*(T1018+IF(Q1018=$Z$7,$Z$4,0))</f>
      </c>
      <c r="V1018" s="170"/>
      <c r="W1018" s="7"/>
      <c r="X1018" s="1"/>
      <c r="Y1018" s="1"/>
      <c r="Z1018" s="1"/>
      <c r="AA1018" s="1"/>
      <c r="AB1018" s="1"/>
      <c r="AC1018" s="331">
        <v>1011</v>
      </c>
      <c r="AD1018" s="544">
        <f>+DATE(YEAR(AD1017),MONTH(AD1017)-1,DAY(AD1017))</f>
        <v>25569.041666666668</v>
      </c>
      <c r="AE1018" s="341">
        <f>IF($AM$7=$E1018,1,IF(MONTH($E1018)=1,AE1019*(1+$F$5),AE1019))</f>
      </c>
      <c r="AF1018" s="334">
        <f>AE1018*$B$8/12</f>
      </c>
      <c r="AG1018" s="334">
        <f>AE1018*$B$12/12</f>
      </c>
      <c r="AH1018" s="565">
        <f>(1+$AI$5)^(AC1018/12)*(AG1018+IF(AD1018=$AM$7,$AM$4,0))</f>
      </c>
      <c r="AI1018" s="170"/>
      <c r="AJ1018" s="7"/>
      <c r="AK1018" s="1"/>
      <c r="AL1018" s="1"/>
      <c r="AM1018" s="1"/>
    </row>
    <row x14ac:dyDescent="0.25" r="1019" customHeight="1" ht="18.75">
      <c r="A1019" s="1"/>
      <c r="B1019" s="169"/>
      <c r="C1019" s="170"/>
      <c r="D1019" s="331">
        <v>1012</v>
      </c>
      <c r="E1019" s="544">
        <f>+DATE(YEAR(E1018),MONTH(E1018)-1,DAY(E1018))</f>
        <v>25569.041666666668</v>
      </c>
      <c r="F1019" s="333">
        <f>IF($C$6=$E1019,1,IF(MONTH($E1019)=1,F1020*(1+$F$5),F1020))</f>
      </c>
      <c r="G1019" s="333">
        <f>F1019*$B$8/12</f>
      </c>
      <c r="H1019" s="333">
        <f>IF(F1019=1,F1019*$B$10/MIN(12,'Simulador - 3º Pilar'!$E$88),0)</f>
      </c>
      <c r="I1019" s="560">
        <f>(1+$G$5)^(D1019/12)*(H1019+IF(E1019=$N$7,$N$4,0))</f>
      </c>
      <c r="J1019" s="561">
        <f>(1+$G$5)^(D1019/12)*(H1019*(12-IF(MONTH(E1020)=12,0,MONTH(E1020)))+IF(AND(F1019=1,F1020=0),$Q$4,0))*IF(AND(F1019=1,F1020=0),1,0)</f>
      </c>
      <c r="K1019" s="217">
        <f>(1+$G$5)^(D1019/12)*(IF(E1019=$N$7,$N$4,0)+IF(E1019=$C$6,$B$10,0))</f>
      </c>
      <c r="L1019" s="217">
        <f>(1+$G$5)^(D1019/12)*(IF((E1019)&gt;($B$6),H1019,0)+IF(E1019=$N$7,$N$4,0)+IF(E1019=$C$6,0,0))</f>
      </c>
      <c r="M1019" s="1"/>
      <c r="N1019" s="7"/>
      <c r="O1019" s="1"/>
      <c r="P1019" s="331">
        <v>1012</v>
      </c>
      <c r="Q1019" s="544">
        <f>+DATE(YEAR(Q1018),MONTH(Q1018)-1,DAY(Q1018))</f>
        <v>25569.041666666668</v>
      </c>
      <c r="R1019" s="341">
        <f>IF($Z$7=$E1019,1,IF(MONTH($E1019)=1,R1020*(1+$F$5),R1020))</f>
      </c>
      <c r="S1019" s="334">
        <f>R1019*$B$8/12</f>
      </c>
      <c r="T1019" s="334">
        <f>R1019*$B$11/12</f>
      </c>
      <c r="U1019" s="565">
        <f>(1+$V$5)^(P1019/12)*(T1019+IF(Q1019=$Z$7,$Z$4,0))</f>
      </c>
      <c r="V1019" s="170"/>
      <c r="W1019" s="7"/>
      <c r="X1019" s="1"/>
      <c r="Y1019" s="1"/>
      <c r="Z1019" s="1"/>
      <c r="AA1019" s="1"/>
      <c r="AB1019" s="1"/>
      <c r="AC1019" s="331">
        <v>1012</v>
      </c>
      <c r="AD1019" s="544">
        <f>+DATE(YEAR(AD1018),MONTH(AD1018)-1,DAY(AD1018))</f>
        <v>25569.041666666668</v>
      </c>
      <c r="AE1019" s="341">
        <f>IF($AM$7=$E1019,1,IF(MONTH($E1019)=1,AE1020*(1+$F$5),AE1020))</f>
      </c>
      <c r="AF1019" s="334">
        <f>AE1019*$B$8/12</f>
      </c>
      <c r="AG1019" s="334">
        <f>AE1019*$B$12/12</f>
      </c>
      <c r="AH1019" s="565">
        <f>(1+$AI$5)^(AC1019/12)*(AG1019+IF(AD1019=$AM$7,$AM$4,0))</f>
      </c>
      <c r="AI1019" s="170"/>
      <c r="AJ1019" s="7"/>
      <c r="AK1019" s="1"/>
      <c r="AL1019" s="1"/>
      <c r="AM1019" s="1"/>
    </row>
    <row x14ac:dyDescent="0.25" r="1020" customHeight="1" ht="18.75">
      <c r="A1020" s="1"/>
      <c r="B1020" s="169"/>
      <c r="C1020" s="170"/>
      <c r="D1020" s="331">
        <v>1013</v>
      </c>
      <c r="E1020" s="544">
        <f>+DATE(YEAR(E1019),MONTH(E1019)-1,DAY(E1019))</f>
        <v>25569.041666666668</v>
      </c>
      <c r="F1020" s="333">
        <f>IF($C$6=$E1020,1,IF(MONTH($E1020)=1,F1021*(1+$F$5),F1021))</f>
      </c>
      <c r="G1020" s="333">
        <f>F1020*$B$8/12</f>
      </c>
      <c r="H1020" s="333">
        <f>IF(F1020=1,F1020*$B$10/MIN(12,'Simulador - 3º Pilar'!$E$88),0)</f>
      </c>
      <c r="I1020" s="560">
        <f>(1+$G$5)^(D1020/12)*(H1020+IF(E1020=$N$7,$N$4,0))</f>
      </c>
      <c r="J1020" s="561">
        <f>(1+$G$5)^(D1020/12)*(H1020*(12-IF(MONTH(E1021)=12,0,MONTH(E1021)))+IF(AND(F1020=1,F1021=0),$Q$4,0))*IF(AND(F1020=1,F1021=0),1,0)</f>
      </c>
      <c r="K1020" s="217">
        <f>(1+$G$5)^(D1020/12)*(IF(E1020=$N$7,$N$4,0)+IF(E1020=$C$6,$B$10,0))</f>
      </c>
      <c r="L1020" s="217">
        <f>(1+$G$5)^(D1020/12)*(IF((E1020)&gt;($B$6),H1020,0)+IF(E1020=$N$7,$N$4,0)+IF(E1020=$C$6,0,0))</f>
      </c>
      <c r="M1020" s="1"/>
      <c r="N1020" s="7"/>
      <c r="O1020" s="1"/>
      <c r="P1020" s="331">
        <v>1013</v>
      </c>
      <c r="Q1020" s="544">
        <f>+DATE(YEAR(Q1019),MONTH(Q1019)-1,DAY(Q1019))</f>
        <v>25569.041666666668</v>
      </c>
      <c r="R1020" s="341">
        <f>IF($Z$7=$E1020,1,IF(MONTH($E1020)=1,R1021*(1+$F$5),R1021))</f>
      </c>
      <c r="S1020" s="334">
        <f>R1020*$B$8/12</f>
      </c>
      <c r="T1020" s="334">
        <f>R1020*$B$11/12</f>
      </c>
      <c r="U1020" s="565">
        <f>(1+$V$5)^(P1020/12)*(T1020+IF(Q1020=$Z$7,$Z$4,0))</f>
      </c>
      <c r="V1020" s="170"/>
      <c r="W1020" s="7"/>
      <c r="X1020" s="1"/>
      <c r="Y1020" s="1"/>
      <c r="Z1020" s="1"/>
      <c r="AA1020" s="1"/>
      <c r="AB1020" s="1"/>
      <c r="AC1020" s="331">
        <v>1013</v>
      </c>
      <c r="AD1020" s="544">
        <f>+DATE(YEAR(AD1019),MONTH(AD1019)-1,DAY(AD1019))</f>
        <v>25569.041666666668</v>
      </c>
      <c r="AE1020" s="341">
        <f>IF($AM$7=$E1020,1,IF(MONTH($E1020)=1,AE1021*(1+$F$5),AE1021))</f>
      </c>
      <c r="AF1020" s="334">
        <f>AE1020*$B$8/12</f>
      </c>
      <c r="AG1020" s="334">
        <f>AE1020*$B$12/12</f>
      </c>
      <c r="AH1020" s="565">
        <f>(1+$AI$5)^(AC1020/12)*(AG1020+IF(AD1020=$AM$7,$AM$4,0))</f>
      </c>
      <c r="AI1020" s="170"/>
      <c r="AJ1020" s="7"/>
      <c r="AK1020" s="1"/>
      <c r="AL1020" s="1"/>
      <c r="AM1020" s="1"/>
    </row>
    <row x14ac:dyDescent="0.25" r="1021" customHeight="1" ht="18.75">
      <c r="A1021" s="1"/>
      <c r="B1021" s="169"/>
      <c r="C1021" s="170"/>
      <c r="D1021" s="331">
        <v>1014</v>
      </c>
      <c r="E1021" s="544">
        <f>+DATE(YEAR(E1020),MONTH(E1020)-1,DAY(E1020))</f>
        <v>25569.041666666668</v>
      </c>
      <c r="F1021" s="333">
        <f>IF($C$6=$E1021,1,IF(MONTH($E1021)=1,F1022*(1+$F$5),F1022))</f>
      </c>
      <c r="G1021" s="333">
        <f>F1021*$B$8/12</f>
      </c>
      <c r="H1021" s="333">
        <f>IF(F1021=1,F1021*$B$10/MIN(12,'Simulador - 3º Pilar'!$E$88),0)</f>
      </c>
      <c r="I1021" s="560">
        <f>(1+$G$5)^(D1021/12)*(H1021+IF(E1021=$N$7,$N$4,0))</f>
      </c>
      <c r="J1021" s="561">
        <f>(1+$G$5)^(D1021/12)*(H1021*(12-IF(MONTH(E1022)=12,0,MONTH(E1022)))+IF(AND(F1021=1,F1022=0),$Q$4,0))*IF(AND(F1021=1,F1022=0),1,0)</f>
      </c>
      <c r="K1021" s="217">
        <f>(1+$G$5)^(D1021/12)*(IF(E1021=$N$7,$N$4,0)+IF(E1021=$C$6,$B$10,0))</f>
      </c>
      <c r="L1021" s="217">
        <f>(1+$G$5)^(D1021/12)*(IF((E1021)&gt;($B$6),H1021,0)+IF(E1021=$N$7,$N$4,0)+IF(E1021=$C$6,0,0))</f>
      </c>
      <c r="M1021" s="1"/>
      <c r="N1021" s="7"/>
      <c r="O1021" s="1"/>
      <c r="P1021" s="331">
        <v>1014</v>
      </c>
      <c r="Q1021" s="544">
        <f>+DATE(YEAR(Q1020),MONTH(Q1020)-1,DAY(Q1020))</f>
        <v>25569.041666666668</v>
      </c>
      <c r="R1021" s="341">
        <f>IF($Z$7=$E1021,1,IF(MONTH($E1021)=1,R1022*(1+$F$5),R1022))</f>
      </c>
      <c r="S1021" s="334">
        <f>R1021*$B$8/12</f>
      </c>
      <c r="T1021" s="334">
        <f>R1021*$B$11/12</f>
      </c>
      <c r="U1021" s="565">
        <f>(1+$V$5)^(P1021/12)*(T1021+IF(Q1021=$Z$7,$Z$4,0))</f>
      </c>
      <c r="V1021" s="170"/>
      <c r="W1021" s="7"/>
      <c r="X1021" s="1"/>
      <c r="Y1021" s="1"/>
      <c r="Z1021" s="1"/>
      <c r="AA1021" s="1"/>
      <c r="AB1021" s="1"/>
      <c r="AC1021" s="331">
        <v>1014</v>
      </c>
      <c r="AD1021" s="544">
        <f>+DATE(YEAR(AD1020),MONTH(AD1020)-1,DAY(AD1020))</f>
        <v>25569.041666666668</v>
      </c>
      <c r="AE1021" s="341">
        <f>IF($AM$7=$E1021,1,IF(MONTH($E1021)=1,AE1022*(1+$F$5),AE1022))</f>
      </c>
      <c r="AF1021" s="334">
        <f>AE1021*$B$8/12</f>
      </c>
      <c r="AG1021" s="334">
        <f>AE1021*$B$12/12</f>
      </c>
      <c r="AH1021" s="565">
        <f>(1+$AI$5)^(AC1021/12)*(AG1021+IF(AD1021=$AM$7,$AM$4,0))</f>
      </c>
      <c r="AI1021" s="170"/>
      <c r="AJ1021" s="7"/>
      <c r="AK1021" s="1"/>
      <c r="AL1021" s="1"/>
      <c r="AM1021" s="1"/>
    </row>
    <row x14ac:dyDescent="0.25" r="1022" customHeight="1" ht="18.75">
      <c r="A1022" s="1"/>
      <c r="B1022" s="169"/>
      <c r="C1022" s="170"/>
      <c r="D1022" s="331">
        <v>1015</v>
      </c>
      <c r="E1022" s="544">
        <f>+DATE(YEAR(E1021),MONTH(E1021)-1,DAY(E1021))</f>
        <v>25569.041666666668</v>
      </c>
      <c r="F1022" s="333">
        <f>IF($C$6=$E1022,1,IF(MONTH($E1022)=1,F1023*(1+$F$5),F1023))</f>
      </c>
      <c r="G1022" s="333">
        <f>F1022*$B$8/12</f>
      </c>
      <c r="H1022" s="333">
        <f>IF(F1022=1,F1022*$B$10/MIN(12,'Simulador - 3º Pilar'!$E$88),0)</f>
      </c>
      <c r="I1022" s="560">
        <f>(1+$G$5)^(D1022/12)*(H1022+IF(E1022=$N$7,$N$4,0))</f>
      </c>
      <c r="J1022" s="561">
        <f>(1+$G$5)^(D1022/12)*(H1022*(12-IF(MONTH(E1023)=12,0,MONTH(E1023)))+IF(AND(F1022=1,F1023=0),$Q$4,0))*IF(AND(F1022=1,F1023=0),1,0)</f>
      </c>
      <c r="K1022" s="217">
        <f>(1+$G$5)^(D1022/12)*(IF(E1022=$N$7,$N$4,0)+IF(E1022=$C$6,$B$10,0))</f>
      </c>
      <c r="L1022" s="217">
        <f>(1+$G$5)^(D1022/12)*(IF((E1022)&gt;($B$6),H1022,0)+IF(E1022=$N$7,$N$4,0)+IF(E1022=$C$6,0,0))</f>
      </c>
      <c r="M1022" s="1"/>
      <c r="N1022" s="7"/>
      <c r="O1022" s="1"/>
      <c r="P1022" s="331">
        <v>1015</v>
      </c>
      <c r="Q1022" s="544">
        <f>+DATE(YEAR(Q1021),MONTH(Q1021)-1,DAY(Q1021))</f>
        <v>25569.041666666668</v>
      </c>
      <c r="R1022" s="341">
        <f>IF($Z$7=$E1022,1,IF(MONTH($E1022)=1,R1023*(1+$F$5),R1023))</f>
      </c>
      <c r="S1022" s="334">
        <f>R1022*$B$8/12</f>
      </c>
      <c r="T1022" s="334">
        <f>R1022*$B$11/12</f>
      </c>
      <c r="U1022" s="565">
        <f>(1+$V$5)^(P1022/12)*(T1022+IF(Q1022=$Z$7,$Z$4,0))</f>
      </c>
      <c r="V1022" s="170"/>
      <c r="W1022" s="7"/>
      <c r="X1022" s="1"/>
      <c r="Y1022" s="1"/>
      <c r="Z1022" s="1"/>
      <c r="AA1022" s="1"/>
      <c r="AB1022" s="1"/>
      <c r="AC1022" s="331">
        <v>1015</v>
      </c>
      <c r="AD1022" s="544">
        <f>+DATE(YEAR(AD1021),MONTH(AD1021)-1,DAY(AD1021))</f>
        <v>25569.041666666668</v>
      </c>
      <c r="AE1022" s="341">
        <f>IF($AM$7=$E1022,1,IF(MONTH($E1022)=1,AE1023*(1+$F$5),AE1023))</f>
      </c>
      <c r="AF1022" s="334">
        <f>AE1022*$B$8/12</f>
      </c>
      <c r="AG1022" s="334">
        <f>AE1022*$B$12/12</f>
      </c>
      <c r="AH1022" s="565">
        <f>(1+$AI$5)^(AC1022/12)*(AG1022+IF(AD1022=$AM$7,$AM$4,0))</f>
      </c>
      <c r="AI1022" s="170"/>
      <c r="AJ1022" s="7"/>
      <c r="AK1022" s="1"/>
      <c r="AL1022" s="1"/>
      <c r="AM1022" s="1"/>
    </row>
    <row x14ac:dyDescent="0.25" r="1023" customHeight="1" ht="18.75">
      <c r="A1023" s="1"/>
      <c r="B1023" s="169"/>
      <c r="C1023" s="170"/>
      <c r="D1023" s="331">
        <v>1016</v>
      </c>
      <c r="E1023" s="544">
        <f>+DATE(YEAR(E1022),MONTH(E1022)-1,DAY(E1022))</f>
        <v>25569.041666666668</v>
      </c>
      <c r="F1023" s="333">
        <f>IF($C$6=$E1023,1,IF(MONTH($E1023)=1,F1024*(1+$F$5),F1024))</f>
      </c>
      <c r="G1023" s="333">
        <f>F1023*$B$8/12</f>
      </c>
      <c r="H1023" s="333">
        <f>IF(F1023=1,F1023*$B$10/MIN(12,'Simulador - 3º Pilar'!$E$88),0)</f>
      </c>
      <c r="I1023" s="560">
        <f>(1+$G$5)^(D1023/12)*(H1023+IF(E1023=$N$7,$N$4,0))</f>
      </c>
      <c r="J1023" s="561">
        <f>(1+$G$5)^(D1023/12)*(H1023*(12-IF(MONTH(E1024)=12,0,MONTH(E1024)))+IF(AND(F1023=1,F1024=0),$Q$4,0))*IF(AND(F1023=1,F1024=0),1,0)</f>
      </c>
      <c r="K1023" s="217">
        <f>(1+$G$5)^(D1023/12)*(IF(E1023=$N$7,$N$4,0)+IF(E1023=$C$6,$B$10,0))</f>
      </c>
      <c r="L1023" s="217">
        <f>(1+$G$5)^(D1023/12)*(IF((E1023)&gt;($B$6),H1023,0)+IF(E1023=$N$7,$N$4,0)+IF(E1023=$C$6,0,0))</f>
      </c>
      <c r="M1023" s="1"/>
      <c r="N1023" s="7"/>
      <c r="O1023" s="1"/>
      <c r="P1023" s="331">
        <v>1016</v>
      </c>
      <c r="Q1023" s="544">
        <f>+DATE(YEAR(Q1022),MONTH(Q1022)-1,DAY(Q1022))</f>
        <v>25569.041666666668</v>
      </c>
      <c r="R1023" s="341">
        <f>IF($Z$7=$E1023,1,IF(MONTH($E1023)=1,R1024*(1+$F$5),R1024))</f>
      </c>
      <c r="S1023" s="334">
        <f>R1023*$B$8/12</f>
      </c>
      <c r="T1023" s="334">
        <f>R1023*$B$11/12</f>
      </c>
      <c r="U1023" s="565">
        <f>(1+$V$5)^(P1023/12)*(T1023+IF(Q1023=$Z$7,$Z$4,0))</f>
      </c>
      <c r="V1023" s="170"/>
      <c r="W1023" s="7"/>
      <c r="X1023" s="1"/>
      <c r="Y1023" s="1"/>
      <c r="Z1023" s="1"/>
      <c r="AA1023" s="1"/>
      <c r="AB1023" s="1"/>
      <c r="AC1023" s="331">
        <v>1016</v>
      </c>
      <c r="AD1023" s="544">
        <f>+DATE(YEAR(AD1022),MONTH(AD1022)-1,DAY(AD1022))</f>
        <v>25569.041666666668</v>
      </c>
      <c r="AE1023" s="341">
        <f>IF($AM$7=$E1023,1,IF(MONTH($E1023)=1,AE1024*(1+$F$5),AE1024))</f>
      </c>
      <c r="AF1023" s="334">
        <f>AE1023*$B$8/12</f>
      </c>
      <c r="AG1023" s="334">
        <f>AE1023*$B$12/12</f>
      </c>
      <c r="AH1023" s="565">
        <f>(1+$AI$5)^(AC1023/12)*(AG1023+IF(AD1023=$AM$7,$AM$4,0))</f>
      </c>
      <c r="AI1023" s="170"/>
      <c r="AJ1023" s="7"/>
      <c r="AK1023" s="1"/>
      <c r="AL1023" s="1"/>
      <c r="AM1023" s="1"/>
    </row>
    <row x14ac:dyDescent="0.25" r="1024" customHeight="1" ht="18.75">
      <c r="A1024" s="1"/>
      <c r="B1024" s="169"/>
      <c r="C1024" s="170"/>
      <c r="D1024" s="331">
        <v>1017</v>
      </c>
      <c r="E1024" s="544">
        <f>+DATE(YEAR(E1023),MONTH(E1023)-1,DAY(E1023))</f>
        <v>25569.041666666668</v>
      </c>
      <c r="F1024" s="333">
        <f>IF($C$6=$E1024,1,IF(MONTH($E1024)=1,F1025*(1+$F$5),F1025))</f>
      </c>
      <c r="G1024" s="333">
        <f>F1024*$B$8/12</f>
      </c>
      <c r="H1024" s="333">
        <f>IF(F1024=1,F1024*$B$10/MIN(12,'Simulador - 3º Pilar'!$E$88),0)</f>
      </c>
      <c r="I1024" s="560">
        <f>(1+$G$5)^(D1024/12)*(H1024+IF(E1024=$N$7,$N$4,0))</f>
      </c>
      <c r="J1024" s="561">
        <f>(1+$G$5)^(D1024/12)*(H1024*(12-IF(MONTH(E1025)=12,0,MONTH(E1025)))+IF(AND(F1024=1,F1025=0),$Q$4,0))*IF(AND(F1024=1,F1025=0),1,0)</f>
      </c>
      <c r="K1024" s="217">
        <f>(1+$G$5)^(D1024/12)*(IF(E1024=$N$7,$N$4,0)+IF(E1024=$C$6,$B$10,0))</f>
      </c>
      <c r="L1024" s="217">
        <f>(1+$G$5)^(D1024/12)*(IF((E1024)&gt;($B$6),H1024,0)+IF(E1024=$N$7,$N$4,0)+IF(E1024=$C$6,0,0))</f>
      </c>
      <c r="M1024" s="1"/>
      <c r="N1024" s="7"/>
      <c r="O1024" s="1"/>
      <c r="P1024" s="331">
        <v>1017</v>
      </c>
      <c r="Q1024" s="544">
        <f>+DATE(YEAR(Q1023),MONTH(Q1023)-1,DAY(Q1023))</f>
        <v>25569.041666666668</v>
      </c>
      <c r="R1024" s="341">
        <f>IF($Z$7=$E1024,1,IF(MONTH($E1024)=1,R1025*(1+$F$5),R1025))</f>
      </c>
      <c r="S1024" s="334">
        <f>R1024*$B$8/12</f>
      </c>
      <c r="T1024" s="334">
        <f>R1024*$B$11/12</f>
      </c>
      <c r="U1024" s="565">
        <f>(1+$V$5)^(P1024/12)*(T1024+IF(Q1024=$Z$7,$Z$4,0))</f>
      </c>
      <c r="V1024" s="170"/>
      <c r="W1024" s="7"/>
      <c r="X1024" s="1"/>
      <c r="Y1024" s="1"/>
      <c r="Z1024" s="1"/>
      <c r="AA1024" s="1"/>
      <c r="AB1024" s="1"/>
      <c r="AC1024" s="331">
        <v>1017</v>
      </c>
      <c r="AD1024" s="544">
        <f>+DATE(YEAR(AD1023),MONTH(AD1023)-1,DAY(AD1023))</f>
        <v>25569.041666666668</v>
      </c>
      <c r="AE1024" s="341">
        <f>IF($AM$7=$E1024,1,IF(MONTH($E1024)=1,AE1025*(1+$F$5),AE1025))</f>
      </c>
      <c r="AF1024" s="334">
        <f>AE1024*$B$8/12</f>
      </c>
      <c r="AG1024" s="334">
        <f>AE1024*$B$12/12</f>
      </c>
      <c r="AH1024" s="565">
        <f>(1+$AI$5)^(AC1024/12)*(AG1024+IF(AD1024=$AM$7,$AM$4,0))</f>
      </c>
      <c r="AI1024" s="170"/>
      <c r="AJ1024" s="7"/>
      <c r="AK1024" s="1"/>
      <c r="AL1024" s="1"/>
      <c r="AM1024" s="1"/>
    </row>
    <row x14ac:dyDescent="0.25" r="1025" customHeight="1" ht="18.75">
      <c r="A1025" s="1"/>
      <c r="B1025" s="169"/>
      <c r="C1025" s="170"/>
      <c r="D1025" s="331">
        <v>1018</v>
      </c>
      <c r="E1025" s="544">
        <f>+DATE(YEAR(E1024),MONTH(E1024)-1,DAY(E1024))</f>
        <v>25569.041666666668</v>
      </c>
      <c r="F1025" s="333">
        <f>IF($C$6=$E1025,1,IF(MONTH($E1025)=1,F1026*(1+$F$5),F1026))</f>
      </c>
      <c r="G1025" s="333">
        <f>F1025*$B$8/12</f>
      </c>
      <c r="H1025" s="333">
        <f>IF(F1025=1,F1025*$B$10/MIN(12,'Simulador - 3º Pilar'!$E$88),0)</f>
      </c>
      <c r="I1025" s="560">
        <f>(1+$G$5)^(D1025/12)*(H1025+IF(E1025=$N$7,$N$4,0))</f>
      </c>
      <c r="J1025" s="561">
        <f>(1+$G$5)^(D1025/12)*(H1025*(12-IF(MONTH(E1026)=12,0,MONTH(E1026)))+IF(AND(F1025=1,F1026=0),$Q$4,0))*IF(AND(F1025=1,F1026=0),1,0)</f>
      </c>
      <c r="K1025" s="217">
        <f>(1+$G$5)^(D1025/12)*(IF(E1025=$N$7,$N$4,0)+IF(E1025=$C$6,$B$10,0))</f>
      </c>
      <c r="L1025" s="217">
        <f>(1+$G$5)^(D1025/12)*(IF((E1025)&gt;($B$6),H1025,0)+IF(E1025=$N$7,$N$4,0)+IF(E1025=$C$6,0,0))</f>
      </c>
      <c r="M1025" s="1"/>
      <c r="N1025" s="7"/>
      <c r="O1025" s="1"/>
      <c r="P1025" s="331">
        <v>1018</v>
      </c>
      <c r="Q1025" s="544">
        <f>+DATE(YEAR(Q1024),MONTH(Q1024)-1,DAY(Q1024))</f>
        <v>25569.041666666668</v>
      </c>
      <c r="R1025" s="341">
        <f>IF($Z$7=$E1025,1,IF(MONTH($E1025)=1,R1026*(1+$F$5),R1026))</f>
      </c>
      <c r="S1025" s="334">
        <f>R1025*$B$8/12</f>
      </c>
      <c r="T1025" s="334">
        <f>R1025*$B$11/12</f>
      </c>
      <c r="U1025" s="565">
        <f>(1+$V$5)^(P1025/12)*(T1025+IF(Q1025=$Z$7,$Z$4,0))</f>
      </c>
      <c r="V1025" s="170"/>
      <c r="W1025" s="7"/>
      <c r="X1025" s="1"/>
      <c r="Y1025" s="1"/>
      <c r="Z1025" s="1"/>
      <c r="AA1025" s="1"/>
      <c r="AB1025" s="1"/>
      <c r="AC1025" s="331">
        <v>1018</v>
      </c>
      <c r="AD1025" s="544">
        <f>+DATE(YEAR(AD1024),MONTH(AD1024)-1,DAY(AD1024))</f>
        <v>25569.041666666668</v>
      </c>
      <c r="AE1025" s="341">
        <f>IF($AM$7=$E1025,1,IF(MONTH($E1025)=1,AE1026*(1+$F$5),AE1026))</f>
      </c>
      <c r="AF1025" s="334">
        <f>AE1025*$B$8/12</f>
      </c>
      <c r="AG1025" s="334">
        <f>AE1025*$B$12/12</f>
      </c>
      <c r="AH1025" s="565">
        <f>(1+$AI$5)^(AC1025/12)*(AG1025+IF(AD1025=$AM$7,$AM$4,0))</f>
      </c>
      <c r="AI1025" s="170"/>
      <c r="AJ1025" s="7"/>
      <c r="AK1025" s="1"/>
      <c r="AL1025" s="1"/>
      <c r="AM1025" s="1"/>
    </row>
    <row x14ac:dyDescent="0.25" r="1026" customHeight="1" ht="18.75">
      <c r="A1026" s="1"/>
      <c r="B1026" s="169"/>
      <c r="C1026" s="170"/>
      <c r="D1026" s="331">
        <v>1019</v>
      </c>
      <c r="E1026" s="544">
        <f>+DATE(YEAR(E1025),MONTH(E1025)-1,DAY(E1025))</f>
        <v>25569.041666666668</v>
      </c>
      <c r="F1026" s="333">
        <f>IF($C$6=$E1026,1,IF(MONTH($E1026)=1,F1027*(1+$F$5),F1027))</f>
      </c>
      <c r="G1026" s="333">
        <f>F1026*$B$8/12</f>
      </c>
      <c r="H1026" s="333">
        <f>IF(F1026=1,F1026*$B$10/MIN(12,'Simulador - 3º Pilar'!$E$88),0)</f>
      </c>
      <c r="I1026" s="560">
        <f>(1+$G$5)^(D1026/12)*(H1026+IF(E1026=$N$7,$N$4,0))</f>
      </c>
      <c r="J1026" s="561">
        <f>(1+$G$5)^(D1026/12)*(H1026*(12-IF(MONTH(E1027)=12,0,MONTH(E1027)))+IF(AND(F1026=1,F1027=0),$Q$4,0))*IF(AND(F1026=1,F1027=0),1,0)</f>
      </c>
      <c r="K1026" s="217">
        <f>(1+$G$5)^(D1026/12)*(IF(E1026=$N$7,$N$4,0)+IF(E1026=$C$6,$B$10,0))</f>
      </c>
      <c r="L1026" s="217">
        <f>(1+$G$5)^(D1026/12)*(IF((E1026)&gt;($B$6),H1026,0)+IF(E1026=$N$7,$N$4,0)+IF(E1026=$C$6,0,0))</f>
      </c>
      <c r="M1026" s="1"/>
      <c r="N1026" s="7"/>
      <c r="O1026" s="1"/>
      <c r="P1026" s="331">
        <v>1019</v>
      </c>
      <c r="Q1026" s="544">
        <f>+DATE(YEAR(Q1025),MONTH(Q1025)-1,DAY(Q1025))</f>
        <v>25569.041666666668</v>
      </c>
      <c r="R1026" s="341">
        <f>IF($Z$7=$E1026,1,IF(MONTH($E1026)=1,R1027*(1+$F$5),R1027))</f>
      </c>
      <c r="S1026" s="334">
        <f>R1026*$B$8/12</f>
      </c>
      <c r="T1026" s="334">
        <f>R1026*$B$11/12</f>
      </c>
      <c r="U1026" s="565">
        <f>(1+$V$5)^(P1026/12)*(T1026+IF(Q1026=$Z$7,$Z$4,0))</f>
      </c>
      <c r="V1026" s="170"/>
      <c r="W1026" s="7"/>
      <c r="X1026" s="1"/>
      <c r="Y1026" s="1"/>
      <c r="Z1026" s="1"/>
      <c r="AA1026" s="1"/>
      <c r="AB1026" s="1"/>
      <c r="AC1026" s="331">
        <v>1019</v>
      </c>
      <c r="AD1026" s="544">
        <f>+DATE(YEAR(AD1025),MONTH(AD1025)-1,DAY(AD1025))</f>
        <v>25569.041666666668</v>
      </c>
      <c r="AE1026" s="341">
        <f>IF($AM$7=$E1026,1,IF(MONTH($E1026)=1,AE1027*(1+$F$5),AE1027))</f>
      </c>
      <c r="AF1026" s="334">
        <f>AE1026*$B$8/12</f>
      </c>
      <c r="AG1026" s="334">
        <f>AE1026*$B$12/12</f>
      </c>
      <c r="AH1026" s="565">
        <f>(1+$AI$5)^(AC1026/12)*(AG1026+IF(AD1026=$AM$7,$AM$4,0))</f>
      </c>
      <c r="AI1026" s="170"/>
      <c r="AJ1026" s="7"/>
      <c r="AK1026" s="1"/>
      <c r="AL1026" s="1"/>
      <c r="AM1026" s="1"/>
    </row>
    <row x14ac:dyDescent="0.25" r="1027" customHeight="1" ht="18.75">
      <c r="A1027" s="1"/>
      <c r="B1027" s="169"/>
      <c r="C1027" s="170"/>
      <c r="D1027" s="331">
        <v>1020</v>
      </c>
      <c r="E1027" s="544">
        <f>+DATE(YEAR(E1026),MONTH(E1026)-1,DAY(E1026))</f>
        <v>25569.041666666668</v>
      </c>
      <c r="F1027" s="333">
        <f>IF($C$6=$E1027,1,IF(MONTH($E1027)=1,F1028*(1+$F$5),F1028))</f>
      </c>
      <c r="G1027" s="333">
        <f>F1027*$B$8/12</f>
      </c>
      <c r="H1027" s="333">
        <f>IF(F1027=1,F1027*$B$10/MIN(12,'Simulador - 3º Pilar'!$E$88),0)</f>
      </c>
      <c r="I1027" s="560">
        <f>(1+$G$5)^(D1027/12)*(H1027+IF(E1027=$N$7,$N$4,0))</f>
      </c>
      <c r="J1027" s="561">
        <f>(1+$G$5)^(D1027/12)*(H1027*(12-IF(MONTH(E1028)=12,0,MONTH(E1028)))+IF(AND(F1027=1,F1028=0),$Q$4,0))*IF(AND(F1027=1,F1028=0),1,0)</f>
      </c>
      <c r="K1027" s="217">
        <f>(1+$G$5)^(D1027/12)*(IF(E1027=$N$7,$N$4,0)+IF(E1027=$C$6,$B$10,0))</f>
      </c>
      <c r="L1027" s="217">
        <f>(1+$G$5)^(D1027/12)*(IF((E1027)&gt;($B$6),H1027,0)+IF(E1027=$N$7,$N$4,0)+IF(E1027=$C$6,0,0))</f>
      </c>
      <c r="M1027" s="1"/>
      <c r="N1027" s="7"/>
      <c r="O1027" s="1"/>
      <c r="P1027" s="331">
        <v>1020</v>
      </c>
      <c r="Q1027" s="544">
        <f>+DATE(YEAR(Q1026),MONTH(Q1026)-1,DAY(Q1026))</f>
        <v>25569.041666666668</v>
      </c>
      <c r="R1027" s="341">
        <f>IF($Z$7=$E1027,1,IF(MONTH($E1027)=1,R1028*(1+$F$5),R1028))</f>
      </c>
      <c r="S1027" s="334">
        <f>R1027*$B$8/12</f>
      </c>
      <c r="T1027" s="334">
        <f>R1027*$B$11/12</f>
      </c>
      <c r="U1027" s="565">
        <f>(1+$V$5)^(P1027/12)*(T1027+IF(Q1027=$Z$7,$Z$4,0))</f>
      </c>
      <c r="V1027" s="170"/>
      <c r="W1027" s="7"/>
      <c r="X1027" s="1"/>
      <c r="Y1027" s="1"/>
      <c r="Z1027" s="1"/>
      <c r="AA1027" s="1"/>
      <c r="AB1027" s="1"/>
      <c r="AC1027" s="331">
        <v>1020</v>
      </c>
      <c r="AD1027" s="544">
        <f>+DATE(YEAR(AD1026),MONTH(AD1026)-1,DAY(AD1026))</f>
        <v>25569.041666666668</v>
      </c>
      <c r="AE1027" s="341">
        <f>IF($AM$7=$E1027,1,IF(MONTH($E1027)=1,AE1028*(1+$F$5),AE1028))</f>
      </c>
      <c r="AF1027" s="334">
        <f>AE1027*$B$8/12</f>
      </c>
      <c r="AG1027" s="334">
        <f>AE1027*$B$12/12</f>
      </c>
      <c r="AH1027" s="565">
        <f>(1+$AI$5)^(AC1027/12)*(AG1027+IF(AD1027=$AM$7,$AM$4,0))</f>
      </c>
      <c r="AI1027" s="170"/>
      <c r="AJ1027" s="7"/>
      <c r="AK1027" s="1"/>
      <c r="AL1027" s="1"/>
      <c r="AM1027" s="1"/>
    </row>
    <row x14ac:dyDescent="0.25" r="1028" customHeight="1" ht="18.75">
      <c r="A1028" s="1"/>
      <c r="B1028" s="169"/>
      <c r="C1028" s="170"/>
      <c r="D1028" s="331">
        <v>1021</v>
      </c>
      <c r="E1028" s="544">
        <f>+DATE(YEAR(E1027),MONTH(E1027)-1,DAY(E1027))</f>
        <v>25569.041666666668</v>
      </c>
      <c r="F1028" s="333">
        <f>IF($C$6=$E1028,1,IF(MONTH($E1028)=1,F1029*(1+$F$5),F1029))</f>
      </c>
      <c r="G1028" s="333">
        <f>F1028*$B$8/12</f>
      </c>
      <c r="H1028" s="333">
        <f>IF(F1028=1,F1028*$B$10/MIN(12,'Simulador - 3º Pilar'!$E$88),0)</f>
      </c>
      <c r="I1028" s="560">
        <f>(1+$G$5)^(D1028/12)*(H1028+IF(E1028=$N$7,$N$4,0))</f>
      </c>
      <c r="J1028" s="561">
        <f>(1+$G$5)^(D1028/12)*(H1028*(12-IF(MONTH(E1029)=12,0,MONTH(E1029)))+IF(AND(F1028=1,F1029=0),$Q$4,0))*IF(AND(F1028=1,F1029=0),1,0)</f>
      </c>
      <c r="K1028" s="217">
        <f>(1+$G$5)^(D1028/12)*(IF(E1028=$N$7,$N$4,0)+IF(E1028=$C$6,$B$10,0))</f>
      </c>
      <c r="L1028" s="217">
        <f>(1+$G$5)^(D1028/12)*(IF((E1028)&gt;($B$6),H1028,0)+IF(E1028=$N$7,$N$4,0)+IF(E1028=$C$6,0,0))</f>
      </c>
      <c r="M1028" s="1"/>
      <c r="N1028" s="7"/>
      <c r="O1028" s="1"/>
      <c r="P1028" s="331">
        <v>1021</v>
      </c>
      <c r="Q1028" s="544">
        <f>+DATE(YEAR(Q1027),MONTH(Q1027)-1,DAY(Q1027))</f>
        <v>25569.041666666668</v>
      </c>
      <c r="R1028" s="341">
        <f>IF($Z$7=$E1028,1,IF(MONTH($E1028)=1,R1029*(1+$F$5),R1029))</f>
      </c>
      <c r="S1028" s="334">
        <f>R1028*$B$8/12</f>
      </c>
      <c r="T1028" s="334">
        <f>R1028*$B$11/12</f>
      </c>
      <c r="U1028" s="565">
        <f>(1+$V$5)^(P1028/12)*(T1028+IF(Q1028=$Z$7,$Z$4,0))</f>
      </c>
      <c r="V1028" s="170"/>
      <c r="W1028" s="7"/>
      <c r="X1028" s="1"/>
      <c r="Y1028" s="1"/>
      <c r="Z1028" s="1"/>
      <c r="AA1028" s="1"/>
      <c r="AB1028" s="1"/>
      <c r="AC1028" s="331">
        <v>1021</v>
      </c>
      <c r="AD1028" s="544">
        <f>+DATE(YEAR(AD1027),MONTH(AD1027)-1,DAY(AD1027))</f>
        <v>25569.041666666668</v>
      </c>
      <c r="AE1028" s="341">
        <f>IF($AM$7=$E1028,1,IF(MONTH($E1028)=1,AE1029*(1+$F$5),AE1029))</f>
      </c>
      <c r="AF1028" s="334">
        <f>AE1028*$B$8/12</f>
      </c>
      <c r="AG1028" s="334">
        <f>AE1028*$B$12/12</f>
      </c>
      <c r="AH1028" s="565">
        <f>(1+$AI$5)^(AC1028/12)*(AG1028+IF(AD1028=$AM$7,$AM$4,0))</f>
      </c>
      <c r="AI1028" s="170"/>
      <c r="AJ1028" s="7"/>
      <c r="AK1028" s="1"/>
      <c r="AL1028" s="1"/>
      <c r="AM1028" s="1"/>
    </row>
    <row x14ac:dyDescent="0.25" r="1029" customHeight="1" ht="18.75">
      <c r="A1029" s="1"/>
      <c r="B1029" s="169"/>
      <c r="C1029" s="170"/>
      <c r="D1029" s="331">
        <v>1022</v>
      </c>
      <c r="E1029" s="544">
        <f>+DATE(YEAR(E1028),MONTH(E1028)-1,DAY(E1028))</f>
        <v>25569.041666666668</v>
      </c>
      <c r="F1029" s="333">
        <f>IF($C$6=$E1029,1,IF(MONTH($E1029)=1,F1030*(1+$F$5),F1030))</f>
      </c>
      <c r="G1029" s="333">
        <f>F1029*$B$8/12</f>
      </c>
      <c r="H1029" s="333">
        <f>IF(F1029=1,F1029*$B$10/MIN(12,'Simulador - 3º Pilar'!$E$88),0)</f>
      </c>
      <c r="I1029" s="560">
        <f>(1+$G$5)^(D1029/12)*(H1029+IF(E1029=$N$7,$N$4,0))</f>
      </c>
      <c r="J1029" s="561">
        <f>(1+$G$5)^(D1029/12)*(H1029*(12-IF(MONTH(E1030)=12,0,MONTH(E1030)))+IF(AND(F1029=1,F1030=0),$Q$4,0))*IF(AND(F1029=1,F1030=0),1,0)</f>
      </c>
      <c r="K1029" s="217">
        <f>(1+$G$5)^(D1029/12)*(IF(E1029=$N$7,$N$4,0)+IF(E1029=$C$6,$B$10,0))</f>
      </c>
      <c r="L1029" s="217">
        <f>(1+$G$5)^(D1029/12)*(IF((E1029)&gt;($B$6),H1029,0)+IF(E1029=$N$7,$N$4,0)+IF(E1029=$C$6,0,0))</f>
      </c>
      <c r="M1029" s="1"/>
      <c r="N1029" s="7"/>
      <c r="O1029" s="1"/>
      <c r="P1029" s="331">
        <v>1022</v>
      </c>
      <c r="Q1029" s="544">
        <f>+DATE(YEAR(Q1028),MONTH(Q1028)-1,DAY(Q1028))</f>
        <v>25569.041666666668</v>
      </c>
      <c r="R1029" s="341">
        <f>IF($Z$7=$E1029,1,IF(MONTH($E1029)=1,R1030*(1+$F$5),R1030))</f>
      </c>
      <c r="S1029" s="334">
        <f>R1029*$B$8/12</f>
      </c>
      <c r="T1029" s="334">
        <f>R1029*$B$11/12</f>
      </c>
      <c r="U1029" s="565">
        <f>(1+$V$5)^(P1029/12)*(T1029+IF(Q1029=$Z$7,$Z$4,0))</f>
      </c>
      <c r="V1029" s="170"/>
      <c r="W1029" s="7"/>
      <c r="X1029" s="1"/>
      <c r="Y1029" s="1"/>
      <c r="Z1029" s="1"/>
      <c r="AA1029" s="1"/>
      <c r="AB1029" s="1"/>
      <c r="AC1029" s="331">
        <v>1022</v>
      </c>
      <c r="AD1029" s="544">
        <f>+DATE(YEAR(AD1028),MONTH(AD1028)-1,DAY(AD1028))</f>
        <v>25569.041666666668</v>
      </c>
      <c r="AE1029" s="341">
        <f>IF($AM$7=$E1029,1,IF(MONTH($E1029)=1,AE1030*(1+$F$5),AE1030))</f>
      </c>
      <c r="AF1029" s="334">
        <f>AE1029*$B$8/12</f>
      </c>
      <c r="AG1029" s="334">
        <f>AE1029*$B$12/12</f>
      </c>
      <c r="AH1029" s="565">
        <f>(1+$AI$5)^(AC1029/12)*(AG1029+IF(AD1029=$AM$7,$AM$4,0))</f>
      </c>
      <c r="AI1029" s="170"/>
      <c r="AJ1029" s="7"/>
      <c r="AK1029" s="1"/>
      <c r="AL1029" s="1"/>
      <c r="AM1029" s="1"/>
    </row>
    <row x14ac:dyDescent="0.25" r="1030" customHeight="1" ht="18.75">
      <c r="A1030" s="1"/>
      <c r="B1030" s="169"/>
      <c r="C1030" s="170"/>
      <c r="D1030" s="331">
        <v>1023</v>
      </c>
      <c r="E1030" s="544">
        <f>+DATE(YEAR(E1029),MONTH(E1029)-1,DAY(E1029))</f>
        <v>25569.041666666668</v>
      </c>
      <c r="F1030" s="333">
        <f>IF($C$6=$E1030,1,IF(MONTH($E1030)=1,F1031*(1+$F$5),F1031))</f>
      </c>
      <c r="G1030" s="333">
        <f>F1030*$B$8/12</f>
      </c>
      <c r="H1030" s="333">
        <f>IF(F1030=1,F1030*$B$10/MIN(12,'Simulador - 3º Pilar'!$E$88),0)</f>
      </c>
      <c r="I1030" s="560">
        <f>(1+$G$5)^(D1030/12)*(H1030+IF(E1030=$N$7,$N$4,0))</f>
      </c>
      <c r="J1030" s="561">
        <f>(1+$G$5)^(D1030/12)*(H1030*(12-IF(MONTH(E1031)=12,0,MONTH(E1031)))+IF(AND(F1030=1,F1031=0),$Q$4,0))*IF(AND(F1030=1,F1031=0),1,0)</f>
      </c>
      <c r="K1030" s="217">
        <f>(1+$G$5)^(D1030/12)*(IF(E1030=$N$7,$N$4,0)+IF(E1030=$C$6,$B$10,0))</f>
      </c>
      <c r="L1030" s="217">
        <f>(1+$G$5)^(D1030/12)*(IF((E1030)&gt;($B$6),H1030,0)+IF(E1030=$N$7,$N$4,0)+IF(E1030=$C$6,0,0))</f>
      </c>
      <c r="M1030" s="1"/>
      <c r="N1030" s="7"/>
      <c r="O1030" s="1"/>
      <c r="P1030" s="331">
        <v>1023</v>
      </c>
      <c r="Q1030" s="544">
        <f>+DATE(YEAR(Q1029),MONTH(Q1029)-1,DAY(Q1029))</f>
        <v>25569.041666666668</v>
      </c>
      <c r="R1030" s="341">
        <f>IF($Z$7=$E1030,1,IF(MONTH($E1030)=1,R1031*(1+$F$5),R1031))</f>
      </c>
      <c r="S1030" s="334">
        <f>R1030*$B$8/12</f>
      </c>
      <c r="T1030" s="334">
        <f>R1030*$B$11/12</f>
      </c>
      <c r="U1030" s="565">
        <f>(1+$V$5)^(P1030/12)*(T1030+IF(Q1030=$Z$7,$Z$4,0))</f>
      </c>
      <c r="V1030" s="170"/>
      <c r="W1030" s="7"/>
      <c r="X1030" s="1"/>
      <c r="Y1030" s="1"/>
      <c r="Z1030" s="1"/>
      <c r="AA1030" s="1"/>
      <c r="AB1030" s="1"/>
      <c r="AC1030" s="331">
        <v>1023</v>
      </c>
      <c r="AD1030" s="544">
        <f>+DATE(YEAR(AD1029),MONTH(AD1029)-1,DAY(AD1029))</f>
        <v>25569.041666666668</v>
      </c>
      <c r="AE1030" s="341">
        <f>IF($AM$7=$E1030,1,IF(MONTH($E1030)=1,AE1031*(1+$F$5),AE1031))</f>
      </c>
      <c r="AF1030" s="334">
        <f>AE1030*$B$8/12</f>
      </c>
      <c r="AG1030" s="334">
        <f>AE1030*$B$12/12</f>
      </c>
      <c r="AH1030" s="565">
        <f>(1+$AI$5)^(AC1030/12)*(AG1030+IF(AD1030=$AM$7,$AM$4,0))</f>
      </c>
      <c r="AI1030" s="170"/>
      <c r="AJ1030" s="7"/>
      <c r="AK1030" s="1"/>
      <c r="AL1030" s="1"/>
      <c r="AM1030" s="1"/>
    </row>
    <row x14ac:dyDescent="0.25" r="1031" customHeight="1" ht="18.75">
      <c r="A1031" s="1"/>
      <c r="B1031" s="169"/>
      <c r="C1031" s="170"/>
      <c r="D1031" s="331">
        <v>1024</v>
      </c>
      <c r="E1031" s="544">
        <f>+DATE(YEAR(E1030),MONTH(E1030)-1,DAY(E1030))</f>
        <v>25569.041666666668</v>
      </c>
      <c r="F1031" s="333">
        <f>IF($C$6=$E1031,1,IF(MONTH($E1031)=1,F1032*(1+$F$5),F1032))</f>
      </c>
      <c r="G1031" s="333">
        <f>F1031*$B$8/12</f>
      </c>
      <c r="H1031" s="333">
        <f>IF(F1031=1,F1031*$B$10/MIN(12,'Simulador - 3º Pilar'!$E$88),0)</f>
      </c>
      <c r="I1031" s="560">
        <f>(1+$G$5)^(D1031/12)*(H1031+IF(E1031=$N$7,$N$4,0))</f>
      </c>
      <c r="J1031" s="561">
        <f>(1+$G$5)^(D1031/12)*(H1031*(12-IF(MONTH(E1032)=12,0,MONTH(E1032)))+IF(AND(F1031=1,F1032=0),$Q$4,0))*IF(AND(F1031=1,F1032=0),1,0)</f>
      </c>
      <c r="K1031" s="217">
        <f>(1+$G$5)^(D1031/12)*(IF(E1031=$N$7,$N$4,0)+IF(E1031=$C$6,$B$10,0))</f>
      </c>
      <c r="L1031" s="217">
        <f>(1+$G$5)^(D1031/12)*(IF((E1031)&gt;($B$6),H1031,0)+IF(E1031=$N$7,$N$4,0)+IF(E1031=$C$6,0,0))</f>
      </c>
      <c r="M1031" s="1"/>
      <c r="N1031" s="7"/>
      <c r="O1031" s="1"/>
      <c r="P1031" s="331">
        <v>1024</v>
      </c>
      <c r="Q1031" s="544">
        <f>+DATE(YEAR(Q1030),MONTH(Q1030)-1,DAY(Q1030))</f>
        <v>25569.041666666668</v>
      </c>
      <c r="R1031" s="341">
        <f>IF($Z$7=$E1031,1,IF(MONTH($E1031)=1,R1032*(1+$F$5),R1032))</f>
      </c>
      <c r="S1031" s="334">
        <f>R1031*$B$8/12</f>
      </c>
      <c r="T1031" s="334">
        <f>R1031*$B$11/12</f>
      </c>
      <c r="U1031" s="565">
        <f>(1+$V$5)^(P1031/12)*(T1031+IF(Q1031=$Z$7,$Z$4,0))</f>
      </c>
      <c r="V1031" s="170"/>
      <c r="W1031" s="7"/>
      <c r="X1031" s="1"/>
      <c r="Y1031" s="1"/>
      <c r="Z1031" s="1"/>
      <c r="AA1031" s="1"/>
      <c r="AB1031" s="1"/>
      <c r="AC1031" s="331">
        <v>1024</v>
      </c>
      <c r="AD1031" s="544">
        <f>+DATE(YEAR(AD1030),MONTH(AD1030)-1,DAY(AD1030))</f>
        <v>25569.041666666668</v>
      </c>
      <c r="AE1031" s="341">
        <f>IF($AM$7=$E1031,1,IF(MONTH($E1031)=1,AE1032*(1+$F$5),AE1032))</f>
      </c>
      <c r="AF1031" s="334">
        <f>AE1031*$B$8/12</f>
      </c>
      <c r="AG1031" s="334">
        <f>AE1031*$B$12/12</f>
      </c>
      <c r="AH1031" s="565">
        <f>(1+$AI$5)^(AC1031/12)*(AG1031+IF(AD1031=$AM$7,$AM$4,0))</f>
      </c>
      <c r="AI1031" s="170"/>
      <c r="AJ1031" s="7"/>
      <c r="AK1031" s="1"/>
      <c r="AL1031" s="1"/>
      <c r="AM1031" s="1"/>
    </row>
    <row x14ac:dyDescent="0.25" r="1032" customHeight="1" ht="18.75">
      <c r="A1032" s="1"/>
      <c r="B1032" s="169"/>
      <c r="C1032" s="170"/>
      <c r="D1032" s="331">
        <v>1025</v>
      </c>
      <c r="E1032" s="544">
        <f>+DATE(YEAR(E1031),MONTH(E1031)-1,DAY(E1031))</f>
        <v>25569.041666666668</v>
      </c>
      <c r="F1032" s="333">
        <f>IF($C$6=$E1032,1,IF(MONTH($E1032)=1,F1033*(1+$F$5),F1033))</f>
      </c>
      <c r="G1032" s="333">
        <f>F1032*$B$8/12</f>
      </c>
      <c r="H1032" s="333">
        <f>IF(F1032=1,F1032*$B$10/MIN(12,'Simulador - 3º Pilar'!$E$88),0)</f>
      </c>
      <c r="I1032" s="560">
        <f>(1+$G$5)^(D1032/12)*(H1032+IF(E1032=$N$7,$N$4,0))</f>
      </c>
      <c r="J1032" s="561">
        <f>(1+$G$5)^(D1032/12)*(H1032*(12-IF(MONTH(E1033)=12,0,MONTH(E1033)))+IF(AND(F1032=1,F1033=0),$Q$4,0))*IF(AND(F1032=1,F1033=0),1,0)</f>
      </c>
      <c r="K1032" s="217">
        <f>(1+$G$5)^(D1032/12)*(IF(E1032=$N$7,$N$4,0)+IF(E1032=$C$6,$B$10,0))</f>
      </c>
      <c r="L1032" s="217">
        <f>(1+$G$5)^(D1032/12)*(IF((E1032)&gt;($B$6),H1032,0)+IF(E1032=$N$7,$N$4,0)+IF(E1032=$C$6,0,0))</f>
      </c>
      <c r="M1032" s="1"/>
      <c r="N1032" s="7"/>
      <c r="O1032" s="1"/>
      <c r="P1032" s="331">
        <v>1025</v>
      </c>
      <c r="Q1032" s="544">
        <f>+DATE(YEAR(Q1031),MONTH(Q1031)-1,DAY(Q1031))</f>
        <v>25569.041666666668</v>
      </c>
      <c r="R1032" s="341">
        <f>IF($Z$7=$E1032,1,IF(MONTH($E1032)=1,R1033*(1+$F$5),R1033))</f>
      </c>
      <c r="S1032" s="334">
        <f>R1032*$B$8/12</f>
      </c>
      <c r="T1032" s="334">
        <f>R1032*$B$11/12</f>
      </c>
      <c r="U1032" s="565">
        <f>(1+$V$5)^(P1032/12)*(T1032+IF(Q1032=$Z$7,$Z$4,0))</f>
      </c>
      <c r="V1032" s="170"/>
      <c r="W1032" s="7"/>
      <c r="X1032" s="1"/>
      <c r="Y1032" s="1"/>
      <c r="Z1032" s="1"/>
      <c r="AA1032" s="1"/>
      <c r="AB1032" s="1"/>
      <c r="AC1032" s="331">
        <v>1025</v>
      </c>
      <c r="AD1032" s="544">
        <f>+DATE(YEAR(AD1031),MONTH(AD1031)-1,DAY(AD1031))</f>
        <v>25569.041666666668</v>
      </c>
      <c r="AE1032" s="341">
        <f>IF($AM$7=$E1032,1,IF(MONTH($E1032)=1,AE1033*(1+$F$5),AE1033))</f>
      </c>
      <c r="AF1032" s="334">
        <f>AE1032*$B$8/12</f>
      </c>
      <c r="AG1032" s="334">
        <f>AE1032*$B$12/12</f>
      </c>
      <c r="AH1032" s="565">
        <f>(1+$AI$5)^(AC1032/12)*(AG1032+IF(AD1032=$AM$7,$AM$4,0))</f>
      </c>
      <c r="AI1032" s="170"/>
      <c r="AJ1032" s="7"/>
      <c r="AK1032" s="1"/>
      <c r="AL1032" s="1"/>
      <c r="AM1032" s="1"/>
    </row>
    <row x14ac:dyDescent="0.25" r="1033" customHeight="1" ht="18.75">
      <c r="A1033" s="1"/>
      <c r="B1033" s="169"/>
      <c r="C1033" s="170"/>
      <c r="D1033" s="331">
        <v>1026</v>
      </c>
      <c r="E1033" s="544">
        <f>+DATE(YEAR(E1032),MONTH(E1032)-1,DAY(E1032))</f>
        <v>25569.041666666668</v>
      </c>
      <c r="F1033" s="333">
        <f>IF($C$6=$E1033,1,IF(MONTH($E1033)=1,F1034*(1+$F$5),F1034))</f>
      </c>
      <c r="G1033" s="333">
        <f>F1033*$B$8/12</f>
      </c>
      <c r="H1033" s="333">
        <f>IF(F1033=1,F1033*$B$10/MIN(12,'Simulador - 3º Pilar'!$E$88),0)</f>
      </c>
      <c r="I1033" s="560">
        <f>(1+$G$5)^(D1033/12)*(H1033+IF(E1033=$N$7,$N$4,0))</f>
      </c>
      <c r="J1033" s="561">
        <f>(1+$G$5)^(D1033/12)*(H1033*(12-IF(MONTH(E1034)=12,0,MONTH(E1034)))+IF(AND(F1033=1,F1034=0),$Q$4,0))*IF(AND(F1033=1,F1034=0),1,0)</f>
      </c>
      <c r="K1033" s="217">
        <f>(1+$G$5)^(D1033/12)*(IF(E1033=$N$7,$N$4,0)+IF(E1033=$C$6,$B$10,0))</f>
      </c>
      <c r="L1033" s="217">
        <f>(1+$G$5)^(D1033/12)*(IF((E1033)&gt;($B$6),H1033,0)+IF(E1033=$N$7,$N$4,0)+IF(E1033=$C$6,0,0))</f>
      </c>
      <c r="M1033" s="1"/>
      <c r="N1033" s="7"/>
      <c r="O1033" s="1"/>
      <c r="P1033" s="331">
        <v>1026</v>
      </c>
      <c r="Q1033" s="544">
        <f>+DATE(YEAR(Q1032),MONTH(Q1032)-1,DAY(Q1032))</f>
        <v>25569.041666666668</v>
      </c>
      <c r="R1033" s="341">
        <f>IF($Z$7=$E1033,1,IF(MONTH($E1033)=1,R1034*(1+$F$5),R1034))</f>
      </c>
      <c r="S1033" s="334">
        <f>R1033*$B$8/12</f>
      </c>
      <c r="T1033" s="334">
        <f>R1033*$B$11/12</f>
      </c>
      <c r="U1033" s="565">
        <f>(1+$V$5)^(P1033/12)*(T1033+IF(Q1033=$Z$7,$Z$4,0))</f>
      </c>
      <c r="V1033" s="170"/>
      <c r="W1033" s="7"/>
      <c r="X1033" s="1"/>
      <c r="Y1033" s="1"/>
      <c r="Z1033" s="1"/>
      <c r="AA1033" s="1"/>
      <c r="AB1033" s="1"/>
      <c r="AC1033" s="331">
        <v>1026</v>
      </c>
      <c r="AD1033" s="544">
        <f>+DATE(YEAR(AD1032),MONTH(AD1032)-1,DAY(AD1032))</f>
        <v>25569.041666666668</v>
      </c>
      <c r="AE1033" s="341">
        <f>IF($AM$7=$E1033,1,IF(MONTH($E1033)=1,AE1034*(1+$F$5),AE1034))</f>
      </c>
      <c r="AF1033" s="334">
        <f>AE1033*$B$8/12</f>
      </c>
      <c r="AG1033" s="334">
        <f>AE1033*$B$12/12</f>
      </c>
      <c r="AH1033" s="565">
        <f>(1+$AI$5)^(AC1033/12)*(AG1033+IF(AD1033=$AM$7,$AM$4,0))</f>
      </c>
      <c r="AI1033" s="170"/>
      <c r="AJ1033" s="7"/>
      <c r="AK1033" s="1"/>
      <c r="AL1033" s="1"/>
      <c r="AM1033" s="1"/>
    </row>
    <row x14ac:dyDescent="0.25" r="1034" customHeight="1" ht="18.75">
      <c r="A1034" s="1"/>
      <c r="B1034" s="169"/>
      <c r="C1034" s="170"/>
      <c r="D1034" s="331">
        <v>1027</v>
      </c>
      <c r="E1034" s="544">
        <f>+DATE(YEAR(E1033),MONTH(E1033)-1,DAY(E1033))</f>
        <v>25569.041666666668</v>
      </c>
      <c r="F1034" s="333">
        <f>IF($C$6=$E1034,1,IF(MONTH($E1034)=1,F1035*(1+$F$5),F1035))</f>
      </c>
      <c r="G1034" s="333">
        <f>F1034*$B$8/12</f>
      </c>
      <c r="H1034" s="333">
        <f>IF(F1034=1,F1034*$B$10/MIN(12,'Simulador - 3º Pilar'!$E$88),0)</f>
      </c>
      <c r="I1034" s="560">
        <f>(1+$G$5)^(D1034/12)*(H1034+IF(E1034=$N$7,$N$4,0))</f>
      </c>
      <c r="J1034" s="561">
        <f>(1+$G$5)^(D1034/12)*(H1034*(12-IF(MONTH(E1035)=12,0,MONTH(E1035)))+IF(AND(F1034=1,F1035=0),$Q$4,0))*IF(AND(F1034=1,F1035=0),1,0)</f>
      </c>
      <c r="K1034" s="217">
        <f>(1+$G$5)^(D1034/12)*(IF(E1034=$N$7,$N$4,0)+IF(E1034=$C$6,$B$10,0))</f>
      </c>
      <c r="L1034" s="217">
        <f>(1+$G$5)^(D1034/12)*(IF((E1034)&gt;($B$6),H1034,0)+IF(E1034=$N$7,$N$4,0)+IF(E1034=$C$6,0,0))</f>
      </c>
      <c r="M1034" s="1"/>
      <c r="N1034" s="7"/>
      <c r="O1034" s="1"/>
      <c r="P1034" s="331">
        <v>1027</v>
      </c>
      <c r="Q1034" s="544">
        <f>+DATE(YEAR(Q1033),MONTH(Q1033)-1,DAY(Q1033))</f>
        <v>25569.041666666668</v>
      </c>
      <c r="R1034" s="341">
        <f>IF($Z$7=$E1034,1,IF(MONTH($E1034)=1,R1035*(1+$F$5),R1035))</f>
      </c>
      <c r="S1034" s="334">
        <f>R1034*$B$8/12</f>
      </c>
      <c r="T1034" s="334">
        <f>R1034*$B$11/12</f>
      </c>
      <c r="U1034" s="565">
        <f>(1+$V$5)^(P1034/12)*(T1034+IF(Q1034=$Z$7,$Z$4,0))</f>
      </c>
      <c r="V1034" s="170"/>
      <c r="W1034" s="7"/>
      <c r="X1034" s="1"/>
      <c r="Y1034" s="1"/>
      <c r="Z1034" s="1"/>
      <c r="AA1034" s="1"/>
      <c r="AB1034" s="1"/>
      <c r="AC1034" s="331">
        <v>1027</v>
      </c>
      <c r="AD1034" s="544">
        <f>+DATE(YEAR(AD1033),MONTH(AD1033)-1,DAY(AD1033))</f>
        <v>25569.041666666668</v>
      </c>
      <c r="AE1034" s="341">
        <f>IF($AM$7=$E1034,1,IF(MONTH($E1034)=1,AE1035*(1+$F$5),AE1035))</f>
      </c>
      <c r="AF1034" s="334">
        <f>AE1034*$B$8/12</f>
      </c>
      <c r="AG1034" s="334">
        <f>AE1034*$B$12/12</f>
      </c>
      <c r="AH1034" s="565">
        <f>(1+$AI$5)^(AC1034/12)*(AG1034+IF(AD1034=$AM$7,$AM$4,0))</f>
      </c>
      <c r="AI1034" s="170"/>
      <c r="AJ1034" s="7"/>
      <c r="AK1034" s="1"/>
      <c r="AL1034" s="1"/>
      <c r="AM1034" s="1"/>
    </row>
    <row x14ac:dyDescent="0.25" r="1035" customHeight="1" ht="18.75">
      <c r="A1035" s="1"/>
      <c r="B1035" s="169"/>
      <c r="C1035" s="170"/>
      <c r="D1035" s="331">
        <v>1028</v>
      </c>
      <c r="E1035" s="544">
        <f>+DATE(YEAR(E1034),MONTH(E1034)-1,DAY(E1034))</f>
        <v>25569.041666666668</v>
      </c>
      <c r="F1035" s="333">
        <f>IF($C$6=$E1035,1,IF(MONTH($E1035)=1,F1036*(1+$F$5),F1036))</f>
      </c>
      <c r="G1035" s="333">
        <f>F1035*$B$8/12</f>
      </c>
      <c r="H1035" s="333">
        <f>IF(F1035=1,F1035*$B$10/MIN(12,'Simulador - 3º Pilar'!$E$88),0)</f>
      </c>
      <c r="I1035" s="560">
        <f>(1+$G$5)^(D1035/12)*(H1035+IF(E1035=$N$7,$N$4,0))</f>
      </c>
      <c r="J1035" s="561">
        <f>(1+$G$5)^(D1035/12)*(H1035*(12-IF(MONTH(E1036)=12,0,MONTH(E1036)))+IF(AND(F1035=1,F1036=0),$Q$4,0))*IF(AND(F1035=1,F1036=0),1,0)</f>
      </c>
      <c r="K1035" s="217">
        <f>(1+$G$5)^(D1035/12)*(IF(E1035=$N$7,$N$4,0)+IF(E1035=$C$6,$B$10,0))</f>
      </c>
      <c r="L1035" s="217">
        <f>(1+$G$5)^(D1035/12)*(IF((E1035)&gt;($B$6),H1035,0)+IF(E1035=$N$7,$N$4,0)+IF(E1035=$C$6,0,0))</f>
      </c>
      <c r="M1035" s="1"/>
      <c r="N1035" s="7"/>
      <c r="O1035" s="1"/>
      <c r="P1035" s="331">
        <v>1028</v>
      </c>
      <c r="Q1035" s="544">
        <f>+DATE(YEAR(Q1034),MONTH(Q1034)-1,DAY(Q1034))</f>
        <v>25569.041666666668</v>
      </c>
      <c r="R1035" s="341">
        <f>IF($Z$7=$E1035,1,IF(MONTH($E1035)=1,R1036*(1+$F$5),R1036))</f>
      </c>
      <c r="S1035" s="334">
        <f>R1035*$B$8/12</f>
      </c>
      <c r="T1035" s="334">
        <f>R1035*$B$11/12</f>
      </c>
      <c r="U1035" s="565">
        <f>(1+$V$5)^(P1035/12)*(T1035+IF(Q1035=$Z$7,$Z$4,0))</f>
      </c>
      <c r="V1035" s="170"/>
      <c r="W1035" s="7"/>
      <c r="X1035" s="1"/>
      <c r="Y1035" s="1"/>
      <c r="Z1035" s="1"/>
      <c r="AA1035" s="1"/>
      <c r="AB1035" s="1"/>
      <c r="AC1035" s="331">
        <v>1028</v>
      </c>
      <c r="AD1035" s="544">
        <f>+DATE(YEAR(AD1034),MONTH(AD1034)-1,DAY(AD1034))</f>
        <v>25569.041666666668</v>
      </c>
      <c r="AE1035" s="341">
        <f>IF($AM$7=$E1035,1,IF(MONTH($E1035)=1,AE1036*(1+$F$5),AE1036))</f>
      </c>
      <c r="AF1035" s="334">
        <f>AE1035*$B$8/12</f>
      </c>
      <c r="AG1035" s="334">
        <f>AE1035*$B$12/12</f>
      </c>
      <c r="AH1035" s="565">
        <f>(1+$AI$5)^(AC1035/12)*(AG1035+IF(AD1035=$AM$7,$AM$4,0))</f>
      </c>
      <c r="AI1035" s="170"/>
      <c r="AJ1035" s="7"/>
      <c r="AK1035" s="1"/>
      <c r="AL1035" s="1"/>
      <c r="AM1035" s="1"/>
    </row>
    <row x14ac:dyDescent="0.25" r="1036" customHeight="1" ht="18.75">
      <c r="A1036" s="1"/>
      <c r="B1036" s="169"/>
      <c r="C1036" s="170"/>
      <c r="D1036" s="331">
        <v>1029</v>
      </c>
      <c r="E1036" s="544">
        <f>+DATE(YEAR(E1035),MONTH(E1035)-1,DAY(E1035))</f>
        <v>25569.041666666668</v>
      </c>
      <c r="F1036" s="333">
        <f>IF($C$6=$E1036,1,IF(MONTH($E1036)=1,F1037*(1+$F$5),F1037))</f>
      </c>
      <c r="G1036" s="333">
        <f>F1036*$B$8/12</f>
      </c>
      <c r="H1036" s="333">
        <f>IF(F1036=1,F1036*$B$10/MIN(12,'Simulador - 3º Pilar'!$E$88),0)</f>
      </c>
      <c r="I1036" s="560">
        <f>(1+$G$5)^(D1036/12)*(H1036+IF(E1036=$N$7,$N$4,0))</f>
      </c>
      <c r="J1036" s="561">
        <f>(1+$G$5)^(D1036/12)*(H1036*(12-IF(MONTH(E1037)=12,0,MONTH(E1037)))+IF(AND(F1036=1,F1037=0),$Q$4,0))*IF(AND(F1036=1,F1037=0),1,0)</f>
      </c>
      <c r="K1036" s="217">
        <f>(1+$G$5)^(D1036/12)*(IF(E1036=$N$7,$N$4,0)+IF(E1036=$C$6,$B$10,0))</f>
      </c>
      <c r="L1036" s="217">
        <f>(1+$G$5)^(D1036/12)*(IF((E1036)&gt;($B$6),H1036,0)+IF(E1036=$N$7,$N$4,0)+IF(E1036=$C$6,0,0))</f>
      </c>
      <c r="M1036" s="1"/>
      <c r="N1036" s="7"/>
      <c r="O1036" s="1"/>
      <c r="P1036" s="331">
        <v>1029</v>
      </c>
      <c r="Q1036" s="544">
        <f>+DATE(YEAR(Q1035),MONTH(Q1035)-1,DAY(Q1035))</f>
        <v>25569.041666666668</v>
      </c>
      <c r="R1036" s="341">
        <f>IF($Z$7=$E1036,1,IF(MONTH($E1036)=1,R1037*(1+$F$5),R1037))</f>
      </c>
      <c r="S1036" s="334">
        <f>R1036*$B$8/12</f>
      </c>
      <c r="T1036" s="334">
        <f>R1036*$B$11/12</f>
      </c>
      <c r="U1036" s="565">
        <f>(1+$V$5)^(P1036/12)*(T1036+IF(Q1036=$Z$7,$Z$4,0))</f>
      </c>
      <c r="V1036" s="170"/>
      <c r="W1036" s="7"/>
      <c r="X1036" s="1"/>
      <c r="Y1036" s="1"/>
      <c r="Z1036" s="1"/>
      <c r="AA1036" s="1"/>
      <c r="AB1036" s="1"/>
      <c r="AC1036" s="331">
        <v>1029</v>
      </c>
      <c r="AD1036" s="544">
        <f>+DATE(YEAR(AD1035),MONTH(AD1035)-1,DAY(AD1035))</f>
        <v>25569.041666666668</v>
      </c>
      <c r="AE1036" s="341">
        <f>IF($AM$7=$E1036,1,IF(MONTH($E1036)=1,AE1037*(1+$F$5),AE1037))</f>
      </c>
      <c r="AF1036" s="334">
        <f>AE1036*$B$8/12</f>
      </c>
      <c r="AG1036" s="334">
        <f>AE1036*$B$12/12</f>
      </c>
      <c r="AH1036" s="565">
        <f>(1+$AI$5)^(AC1036/12)*(AG1036+IF(AD1036=$AM$7,$AM$4,0))</f>
      </c>
      <c r="AI1036" s="170"/>
      <c r="AJ1036" s="7"/>
      <c r="AK1036" s="1"/>
      <c r="AL1036" s="1"/>
      <c r="AM1036" s="1"/>
    </row>
    <row x14ac:dyDescent="0.25" r="1037" customHeight="1" ht="18.75">
      <c r="A1037" s="1"/>
      <c r="B1037" s="169"/>
      <c r="C1037" s="170"/>
      <c r="D1037" s="331">
        <v>1030</v>
      </c>
      <c r="E1037" s="544">
        <f>+DATE(YEAR(E1036),MONTH(E1036)-1,DAY(E1036))</f>
        <v>25569.041666666668</v>
      </c>
      <c r="F1037" s="333">
        <f>IF($C$6=$E1037,1,IF(MONTH($E1037)=1,F1038*(1+$F$5),F1038))</f>
      </c>
      <c r="G1037" s="333">
        <f>F1037*$B$8/12</f>
      </c>
      <c r="H1037" s="333">
        <f>IF(F1037=1,F1037*$B$10/MIN(12,'Simulador - 3º Pilar'!$E$88),0)</f>
      </c>
      <c r="I1037" s="560">
        <f>(1+$G$5)^(D1037/12)*(H1037+IF(E1037=$N$7,$N$4,0))</f>
      </c>
      <c r="J1037" s="561">
        <f>(1+$G$5)^(D1037/12)*(H1037*(12-IF(MONTH(E1038)=12,0,MONTH(E1038)))+IF(AND(F1037=1,F1038=0),$Q$4,0))*IF(AND(F1037=1,F1038=0),1,0)</f>
      </c>
      <c r="K1037" s="217">
        <f>(1+$G$5)^(D1037/12)*(IF(E1037=$N$7,$N$4,0)+IF(E1037=$C$6,$B$10,0))</f>
      </c>
      <c r="L1037" s="217">
        <f>(1+$G$5)^(D1037/12)*(IF((E1037)&gt;($B$6),H1037,0)+IF(E1037=$N$7,$N$4,0)+IF(E1037=$C$6,0,0))</f>
      </c>
      <c r="M1037" s="1"/>
      <c r="N1037" s="7"/>
      <c r="O1037" s="1"/>
      <c r="P1037" s="331">
        <v>1030</v>
      </c>
      <c r="Q1037" s="544">
        <f>+DATE(YEAR(Q1036),MONTH(Q1036)-1,DAY(Q1036))</f>
        <v>25569.041666666668</v>
      </c>
      <c r="R1037" s="341">
        <f>IF($Z$7=$E1037,1,IF(MONTH($E1037)=1,R1038*(1+$F$5),R1038))</f>
      </c>
      <c r="S1037" s="334">
        <f>R1037*$B$8/12</f>
      </c>
      <c r="T1037" s="334">
        <f>R1037*$B$11/12</f>
      </c>
      <c r="U1037" s="565">
        <f>(1+$V$5)^(P1037/12)*(T1037+IF(Q1037=$Z$7,$Z$4,0))</f>
      </c>
      <c r="V1037" s="170"/>
      <c r="W1037" s="7"/>
      <c r="X1037" s="1"/>
      <c r="Y1037" s="1"/>
      <c r="Z1037" s="1"/>
      <c r="AA1037" s="1"/>
      <c r="AB1037" s="1"/>
      <c r="AC1037" s="331">
        <v>1030</v>
      </c>
      <c r="AD1037" s="544">
        <f>+DATE(YEAR(AD1036),MONTH(AD1036)-1,DAY(AD1036))</f>
        <v>25569.041666666668</v>
      </c>
      <c r="AE1037" s="341">
        <f>IF($AM$7=$E1037,1,IF(MONTH($E1037)=1,AE1038*(1+$F$5),AE1038))</f>
      </c>
      <c r="AF1037" s="334">
        <f>AE1037*$B$8/12</f>
      </c>
      <c r="AG1037" s="334">
        <f>AE1037*$B$12/12</f>
      </c>
      <c r="AH1037" s="565">
        <f>(1+$AI$5)^(AC1037/12)*(AG1037+IF(AD1037=$AM$7,$AM$4,0))</f>
      </c>
      <c r="AI1037" s="170"/>
      <c r="AJ1037" s="7"/>
      <c r="AK1037" s="1"/>
      <c r="AL1037" s="1"/>
      <c r="AM1037" s="1"/>
    </row>
    <row x14ac:dyDescent="0.25" r="1038" customHeight="1" ht="18.75">
      <c r="A1038" s="1"/>
      <c r="B1038" s="169"/>
      <c r="C1038" s="170"/>
      <c r="D1038" s="331">
        <v>1031</v>
      </c>
      <c r="E1038" s="544">
        <f>+DATE(YEAR(E1037),MONTH(E1037)-1,DAY(E1037))</f>
        <v>25569.041666666668</v>
      </c>
      <c r="F1038" s="333">
        <f>IF($C$6=$E1038,1,IF(MONTH($E1038)=1,F1039*(1+$F$5),F1039))</f>
      </c>
      <c r="G1038" s="333">
        <f>F1038*$B$8/12</f>
      </c>
      <c r="H1038" s="333">
        <f>IF(F1038=1,F1038*$B$10/MIN(12,'Simulador - 3º Pilar'!$E$88),0)</f>
      </c>
      <c r="I1038" s="560">
        <f>(1+$G$5)^(D1038/12)*(H1038+IF(E1038=$N$7,$N$4,0))</f>
      </c>
      <c r="J1038" s="561">
        <f>(1+$G$5)^(D1038/12)*(H1038*(12-IF(MONTH(E1039)=12,0,MONTH(E1039)))+IF(AND(F1038=1,F1039=0),$Q$4,0))*IF(AND(F1038=1,F1039=0),1,0)</f>
      </c>
      <c r="K1038" s="217">
        <f>(1+$G$5)^(D1038/12)*(IF(E1038=$N$7,$N$4,0)+IF(E1038=$C$6,$B$10,0))</f>
      </c>
      <c r="L1038" s="217">
        <f>(1+$G$5)^(D1038/12)*(IF((E1038)&gt;($B$6),H1038,0)+IF(E1038=$N$7,$N$4,0)+IF(E1038=$C$6,0,0))</f>
      </c>
      <c r="M1038" s="1"/>
      <c r="N1038" s="7"/>
      <c r="O1038" s="1"/>
      <c r="P1038" s="331">
        <v>1031</v>
      </c>
      <c r="Q1038" s="544">
        <f>+DATE(YEAR(Q1037),MONTH(Q1037)-1,DAY(Q1037))</f>
        <v>25569.041666666668</v>
      </c>
      <c r="R1038" s="341">
        <f>IF($Z$7=$E1038,1,IF(MONTH($E1038)=1,R1039*(1+$F$5),R1039))</f>
      </c>
      <c r="S1038" s="334">
        <f>R1038*$B$8/12</f>
      </c>
      <c r="T1038" s="334">
        <f>R1038*$B$11/12</f>
      </c>
      <c r="U1038" s="565">
        <f>(1+$V$5)^(P1038/12)*(T1038+IF(Q1038=$Z$7,$Z$4,0))</f>
      </c>
      <c r="V1038" s="170"/>
      <c r="W1038" s="7"/>
      <c r="X1038" s="1"/>
      <c r="Y1038" s="1"/>
      <c r="Z1038" s="1"/>
      <c r="AA1038" s="1"/>
      <c r="AB1038" s="1"/>
      <c r="AC1038" s="331">
        <v>1031</v>
      </c>
      <c r="AD1038" s="544">
        <f>+DATE(YEAR(AD1037),MONTH(AD1037)-1,DAY(AD1037))</f>
        <v>25569.041666666668</v>
      </c>
      <c r="AE1038" s="341">
        <f>IF($AM$7=$E1038,1,IF(MONTH($E1038)=1,AE1039*(1+$F$5),AE1039))</f>
      </c>
      <c r="AF1038" s="334">
        <f>AE1038*$B$8/12</f>
      </c>
      <c r="AG1038" s="334">
        <f>AE1038*$B$12/12</f>
      </c>
      <c r="AH1038" s="565">
        <f>(1+$AI$5)^(AC1038/12)*(AG1038+IF(AD1038=$AM$7,$AM$4,0))</f>
      </c>
      <c r="AI1038" s="170"/>
      <c r="AJ1038" s="7"/>
      <c r="AK1038" s="1"/>
      <c r="AL1038" s="1"/>
      <c r="AM1038" s="1"/>
    </row>
    <row x14ac:dyDescent="0.25" r="1039" customHeight="1" ht="18.75">
      <c r="A1039" s="1"/>
      <c r="B1039" s="169"/>
      <c r="C1039" s="170"/>
      <c r="D1039" s="331">
        <v>1032</v>
      </c>
      <c r="E1039" s="544">
        <f>+DATE(YEAR(E1038),MONTH(E1038)-1,DAY(E1038))</f>
        <v>25569.041666666668</v>
      </c>
      <c r="F1039" s="333">
        <f>IF($C$6=$E1039,1,IF(MONTH($E1039)=1,F1040*(1+$F$5),F1040))</f>
      </c>
      <c r="G1039" s="333">
        <f>F1039*$B$8/12</f>
      </c>
      <c r="H1039" s="333">
        <f>IF(F1039=1,F1039*$B$10/MIN(12,'Simulador - 3º Pilar'!$E$88),0)</f>
      </c>
      <c r="I1039" s="560">
        <f>(1+$G$5)^(D1039/12)*(H1039+IF(E1039=$N$7,$N$4,0))</f>
      </c>
      <c r="J1039" s="561">
        <f>(1+$G$5)^(D1039/12)*(H1039*(12-IF(MONTH(E1040)=12,0,MONTH(E1040)))+IF(AND(F1039=1,F1040=0),$Q$4,0))*IF(AND(F1039=1,F1040=0),1,0)</f>
      </c>
      <c r="K1039" s="217">
        <f>(1+$G$5)^(D1039/12)*(IF(E1039=$N$7,$N$4,0)+IF(E1039=$C$6,$B$10,0))</f>
      </c>
      <c r="L1039" s="217">
        <f>(1+$G$5)^(D1039/12)*(IF((E1039)&gt;($B$6),H1039,0)+IF(E1039=$N$7,$N$4,0)+IF(E1039=$C$6,0,0))</f>
      </c>
      <c r="M1039" s="1"/>
      <c r="N1039" s="7"/>
      <c r="O1039" s="1"/>
      <c r="P1039" s="331">
        <v>1032</v>
      </c>
      <c r="Q1039" s="544">
        <f>+DATE(YEAR(Q1038),MONTH(Q1038)-1,DAY(Q1038))</f>
        <v>25569.041666666668</v>
      </c>
      <c r="R1039" s="341">
        <f>IF($Z$7=$E1039,1,IF(MONTH($E1039)=1,R1040*(1+$F$5),R1040))</f>
      </c>
      <c r="S1039" s="334">
        <f>R1039*$B$8/12</f>
      </c>
      <c r="T1039" s="334">
        <f>R1039*$B$11/12</f>
      </c>
      <c r="U1039" s="565">
        <f>(1+$V$5)^(P1039/12)*(T1039+IF(Q1039=$Z$7,$Z$4,0))</f>
      </c>
      <c r="V1039" s="170"/>
      <c r="W1039" s="7"/>
      <c r="X1039" s="1"/>
      <c r="Y1039" s="1"/>
      <c r="Z1039" s="1"/>
      <c r="AA1039" s="1"/>
      <c r="AB1039" s="1"/>
      <c r="AC1039" s="331">
        <v>1032</v>
      </c>
      <c r="AD1039" s="544">
        <f>+DATE(YEAR(AD1038),MONTH(AD1038)-1,DAY(AD1038))</f>
        <v>25569.041666666668</v>
      </c>
      <c r="AE1039" s="341">
        <f>IF($AM$7=$E1039,1,IF(MONTH($E1039)=1,AE1040*(1+$F$5),AE1040))</f>
      </c>
      <c r="AF1039" s="334">
        <f>AE1039*$B$8/12</f>
      </c>
      <c r="AG1039" s="334">
        <f>AE1039*$B$12/12</f>
      </c>
      <c r="AH1039" s="565">
        <f>(1+$AI$5)^(AC1039/12)*(AG1039+IF(AD1039=$AM$7,$AM$4,0))</f>
      </c>
      <c r="AI1039" s="170"/>
      <c r="AJ1039" s="7"/>
      <c r="AK1039" s="1"/>
      <c r="AL1039" s="1"/>
      <c r="AM1039" s="1"/>
    </row>
    <row x14ac:dyDescent="0.25" r="1040" customHeight="1" ht="18.75">
      <c r="A1040" s="1"/>
      <c r="B1040" s="169"/>
      <c r="C1040" s="170"/>
      <c r="D1040" s="331">
        <v>1033</v>
      </c>
      <c r="E1040" s="544">
        <f>+DATE(YEAR(E1039),MONTH(E1039)-1,DAY(E1039))</f>
        <v>25569.041666666668</v>
      </c>
      <c r="F1040" s="333">
        <f>IF($C$6=$E1040,1,IF(MONTH($E1040)=1,F1041*(1+$F$5),F1041))</f>
      </c>
      <c r="G1040" s="333">
        <f>F1040*$B$8/12</f>
      </c>
      <c r="H1040" s="333">
        <f>IF(F1040=1,F1040*$B$10/MIN(12,'Simulador - 3º Pilar'!$E$88),0)</f>
      </c>
      <c r="I1040" s="560">
        <f>(1+$G$5)^(D1040/12)*(H1040+IF(E1040=$N$7,$N$4,0))</f>
      </c>
      <c r="J1040" s="561">
        <f>(1+$G$5)^(D1040/12)*(H1040*(12-IF(MONTH(E1041)=12,0,MONTH(E1041)))+IF(AND(F1040=1,F1041=0),$Q$4,0))*IF(AND(F1040=1,F1041=0),1,0)</f>
      </c>
      <c r="K1040" s="217">
        <f>(1+$G$5)^(D1040/12)*(IF(E1040=$N$7,$N$4,0)+IF(E1040=$C$6,$B$10,0))</f>
      </c>
      <c r="L1040" s="217">
        <f>(1+$G$5)^(D1040/12)*(IF((E1040)&gt;($B$6),H1040,0)+IF(E1040=$N$7,$N$4,0)+IF(E1040=$C$6,0,0))</f>
      </c>
      <c r="M1040" s="1"/>
      <c r="N1040" s="7"/>
      <c r="O1040" s="1"/>
      <c r="P1040" s="331">
        <v>1033</v>
      </c>
      <c r="Q1040" s="544">
        <f>+DATE(YEAR(Q1039),MONTH(Q1039)-1,DAY(Q1039))</f>
        <v>25569.041666666668</v>
      </c>
      <c r="R1040" s="341">
        <f>IF($Z$7=$E1040,1,IF(MONTH($E1040)=1,R1041*(1+$F$5),R1041))</f>
      </c>
      <c r="S1040" s="334">
        <f>R1040*$B$8/12</f>
      </c>
      <c r="T1040" s="334">
        <f>R1040*$B$11/12</f>
      </c>
      <c r="U1040" s="565">
        <f>(1+$V$5)^(P1040/12)*(T1040+IF(Q1040=$Z$7,$Z$4,0))</f>
      </c>
      <c r="V1040" s="170"/>
      <c r="W1040" s="7"/>
      <c r="X1040" s="1"/>
      <c r="Y1040" s="1"/>
      <c r="Z1040" s="1"/>
      <c r="AA1040" s="1"/>
      <c r="AB1040" s="1"/>
      <c r="AC1040" s="331">
        <v>1033</v>
      </c>
      <c r="AD1040" s="544">
        <f>+DATE(YEAR(AD1039),MONTH(AD1039)-1,DAY(AD1039))</f>
        <v>25569.041666666668</v>
      </c>
      <c r="AE1040" s="341">
        <f>IF($AM$7=$E1040,1,IF(MONTH($E1040)=1,AE1041*(1+$F$5),AE1041))</f>
      </c>
      <c r="AF1040" s="334">
        <f>AE1040*$B$8/12</f>
      </c>
      <c r="AG1040" s="334">
        <f>AE1040*$B$12/12</f>
      </c>
      <c r="AH1040" s="565">
        <f>(1+$AI$5)^(AC1040/12)*(AG1040+IF(AD1040=$AM$7,$AM$4,0))</f>
      </c>
      <c r="AI1040" s="170"/>
      <c r="AJ1040" s="7"/>
      <c r="AK1040" s="1"/>
      <c r="AL1040" s="1"/>
      <c r="AM1040" s="1"/>
    </row>
    <row x14ac:dyDescent="0.25" r="1041" customHeight="1" ht="18.75">
      <c r="A1041" s="1"/>
      <c r="B1041" s="169"/>
      <c r="C1041" s="170"/>
      <c r="D1041" s="331">
        <v>1034</v>
      </c>
      <c r="E1041" s="544">
        <f>+DATE(YEAR(E1040),MONTH(E1040)-1,DAY(E1040))</f>
        <v>25569.041666666668</v>
      </c>
      <c r="F1041" s="333">
        <f>IF($C$6=$E1041,1,IF(MONTH($E1041)=1,F1042*(1+$F$5),F1042))</f>
      </c>
      <c r="G1041" s="333">
        <f>F1041*$B$8/12</f>
      </c>
      <c r="H1041" s="333">
        <f>IF(F1041=1,F1041*$B$10/MIN(12,'Simulador - 3º Pilar'!$E$88),0)</f>
      </c>
      <c r="I1041" s="560">
        <f>(1+$G$5)^(D1041/12)*(H1041+IF(E1041=$N$7,$N$4,0))</f>
      </c>
      <c r="J1041" s="561">
        <f>(1+$G$5)^(D1041/12)*(H1041*(12-IF(MONTH(E1042)=12,0,MONTH(E1042)))+IF(AND(F1041=1,F1042=0),$Q$4,0))*IF(AND(F1041=1,F1042=0),1,0)</f>
      </c>
      <c r="K1041" s="217">
        <f>(1+$G$5)^(D1041/12)*(IF(E1041=$N$7,$N$4,0)+IF(E1041=$C$6,$B$10,0))</f>
      </c>
      <c r="L1041" s="217">
        <f>(1+$G$5)^(D1041/12)*(IF((E1041)&gt;($B$6),H1041,0)+IF(E1041=$N$7,$N$4,0)+IF(E1041=$C$6,0,0))</f>
      </c>
      <c r="M1041" s="1"/>
      <c r="N1041" s="7"/>
      <c r="O1041" s="1"/>
      <c r="P1041" s="331">
        <v>1034</v>
      </c>
      <c r="Q1041" s="544">
        <f>+DATE(YEAR(Q1040),MONTH(Q1040)-1,DAY(Q1040))</f>
        <v>25569.041666666668</v>
      </c>
      <c r="R1041" s="341">
        <f>IF($Z$7=$E1041,1,IF(MONTH($E1041)=1,R1042*(1+$F$5),R1042))</f>
      </c>
      <c r="S1041" s="334">
        <f>R1041*$B$8/12</f>
      </c>
      <c r="T1041" s="334">
        <f>R1041*$B$11/12</f>
      </c>
      <c r="U1041" s="565">
        <f>(1+$V$5)^(P1041/12)*(T1041+IF(Q1041=$Z$7,$Z$4,0))</f>
      </c>
      <c r="V1041" s="170"/>
      <c r="W1041" s="7"/>
      <c r="X1041" s="1"/>
      <c r="Y1041" s="1"/>
      <c r="Z1041" s="1"/>
      <c r="AA1041" s="1"/>
      <c r="AB1041" s="1"/>
      <c r="AC1041" s="331">
        <v>1034</v>
      </c>
      <c r="AD1041" s="544">
        <f>+DATE(YEAR(AD1040),MONTH(AD1040)-1,DAY(AD1040))</f>
        <v>25569.041666666668</v>
      </c>
      <c r="AE1041" s="341">
        <f>IF($AM$7=$E1041,1,IF(MONTH($E1041)=1,AE1042*(1+$F$5),AE1042))</f>
      </c>
      <c r="AF1041" s="334">
        <f>AE1041*$B$8/12</f>
      </c>
      <c r="AG1041" s="334">
        <f>AE1041*$B$12/12</f>
      </c>
      <c r="AH1041" s="565">
        <f>(1+$AI$5)^(AC1041/12)*(AG1041+IF(AD1041=$AM$7,$AM$4,0))</f>
      </c>
      <c r="AI1041" s="170"/>
      <c r="AJ1041" s="7"/>
      <c r="AK1041" s="1"/>
      <c r="AL1041" s="1"/>
      <c r="AM1041" s="1"/>
    </row>
    <row x14ac:dyDescent="0.25" r="1042" customHeight="1" ht="18.75">
      <c r="A1042" s="1"/>
      <c r="B1042" s="169"/>
      <c r="C1042" s="170"/>
      <c r="D1042" s="331">
        <v>1035</v>
      </c>
      <c r="E1042" s="544">
        <f>+DATE(YEAR(E1041),MONTH(E1041)-1,DAY(E1041))</f>
        <v>25569.041666666668</v>
      </c>
      <c r="F1042" s="333">
        <f>IF($C$6=$E1042,1,IF(MONTH($E1042)=1,F1043*(1+$F$5),F1043))</f>
      </c>
      <c r="G1042" s="333">
        <f>F1042*$B$8/12</f>
      </c>
      <c r="H1042" s="333">
        <f>IF(F1042=1,F1042*$B$10/MIN(12,'Simulador - 3º Pilar'!$E$88),0)</f>
      </c>
      <c r="I1042" s="560">
        <f>(1+$G$5)^(D1042/12)*(H1042+IF(E1042=$N$7,$N$4,0))</f>
      </c>
      <c r="J1042" s="561">
        <f>(1+$G$5)^(D1042/12)*(H1042*(12-IF(MONTH(E1043)=12,0,MONTH(E1043)))+IF(AND(F1042=1,F1043=0),$Q$4,0))*IF(AND(F1042=1,F1043=0),1,0)</f>
      </c>
      <c r="K1042" s="217">
        <f>(1+$G$5)^(D1042/12)*(IF(E1042=$N$7,$N$4,0)+IF(E1042=$C$6,$B$10,0))</f>
      </c>
      <c r="L1042" s="217">
        <f>(1+$G$5)^(D1042/12)*(IF((E1042)&gt;($B$6),H1042,0)+IF(E1042=$N$7,$N$4,0)+IF(E1042=$C$6,0,0))</f>
      </c>
      <c r="M1042" s="1"/>
      <c r="N1042" s="7"/>
      <c r="O1042" s="1"/>
      <c r="P1042" s="331">
        <v>1035</v>
      </c>
      <c r="Q1042" s="544">
        <f>+DATE(YEAR(Q1041),MONTH(Q1041)-1,DAY(Q1041))</f>
        <v>25569.041666666668</v>
      </c>
      <c r="R1042" s="341">
        <f>IF($Z$7=$E1042,1,IF(MONTH($E1042)=1,R1043*(1+$F$5),R1043))</f>
      </c>
      <c r="S1042" s="334">
        <f>R1042*$B$8/12</f>
      </c>
      <c r="T1042" s="334">
        <f>R1042*$B$11/12</f>
      </c>
      <c r="U1042" s="565">
        <f>(1+$V$5)^(P1042/12)*(T1042+IF(Q1042=$Z$7,$Z$4,0))</f>
      </c>
      <c r="V1042" s="170"/>
      <c r="W1042" s="7"/>
      <c r="X1042" s="1"/>
      <c r="Y1042" s="1"/>
      <c r="Z1042" s="1"/>
      <c r="AA1042" s="1"/>
      <c r="AB1042" s="1"/>
      <c r="AC1042" s="331">
        <v>1035</v>
      </c>
      <c r="AD1042" s="544">
        <f>+DATE(YEAR(AD1041),MONTH(AD1041)-1,DAY(AD1041))</f>
        <v>25569.041666666668</v>
      </c>
      <c r="AE1042" s="341">
        <f>IF($AM$7=$E1042,1,IF(MONTH($E1042)=1,AE1043*(1+$F$5),AE1043))</f>
      </c>
      <c r="AF1042" s="334">
        <f>AE1042*$B$8/12</f>
      </c>
      <c r="AG1042" s="334">
        <f>AE1042*$B$12/12</f>
      </c>
      <c r="AH1042" s="565">
        <f>(1+$AI$5)^(AC1042/12)*(AG1042+IF(AD1042=$AM$7,$AM$4,0))</f>
      </c>
      <c r="AI1042" s="170"/>
      <c r="AJ1042" s="7"/>
      <c r="AK1042" s="1"/>
      <c r="AL1042" s="1"/>
      <c r="AM1042" s="1"/>
    </row>
    <row x14ac:dyDescent="0.25" r="1043" customHeight="1" ht="18.75">
      <c r="A1043" s="1"/>
      <c r="B1043" s="169"/>
      <c r="C1043" s="170"/>
      <c r="D1043" s="331">
        <v>1036</v>
      </c>
      <c r="E1043" s="544">
        <f>+DATE(YEAR(E1042),MONTH(E1042)-1,DAY(E1042))</f>
        <v>25569.041666666668</v>
      </c>
      <c r="F1043" s="333">
        <f>IF($C$6=$E1043,1,IF(MONTH($E1043)=1,F1044*(1+$F$5),F1044))</f>
      </c>
      <c r="G1043" s="333">
        <f>F1043*$B$8/12</f>
      </c>
      <c r="H1043" s="333">
        <f>IF(F1043=1,F1043*$B$10/MIN(12,'Simulador - 3º Pilar'!$E$88),0)</f>
      </c>
      <c r="I1043" s="560">
        <f>(1+$G$5)^(D1043/12)*(H1043+IF(E1043=$N$7,$N$4,0))</f>
      </c>
      <c r="J1043" s="561">
        <f>(1+$G$5)^(D1043/12)*(H1043*(12-IF(MONTH(E1044)=12,0,MONTH(E1044)))+IF(AND(F1043=1,F1044=0),$Q$4,0))*IF(AND(F1043=1,F1044=0),1,0)</f>
      </c>
      <c r="K1043" s="217">
        <f>(1+$G$5)^(D1043/12)*(IF(E1043=$N$7,$N$4,0)+IF(E1043=$C$6,$B$10,0))</f>
      </c>
      <c r="L1043" s="217">
        <f>(1+$G$5)^(D1043/12)*(IF((E1043)&gt;($B$6),H1043,0)+IF(E1043=$N$7,$N$4,0)+IF(E1043=$C$6,0,0))</f>
      </c>
      <c r="M1043" s="1"/>
      <c r="N1043" s="7"/>
      <c r="O1043" s="1"/>
      <c r="P1043" s="331">
        <v>1036</v>
      </c>
      <c r="Q1043" s="544">
        <f>+DATE(YEAR(Q1042),MONTH(Q1042)-1,DAY(Q1042))</f>
        <v>25569.041666666668</v>
      </c>
      <c r="R1043" s="341">
        <f>IF($Z$7=$E1043,1,IF(MONTH($E1043)=1,R1044*(1+$F$5),R1044))</f>
      </c>
      <c r="S1043" s="334">
        <f>R1043*$B$8/12</f>
      </c>
      <c r="T1043" s="334">
        <f>R1043*$B$11/12</f>
      </c>
      <c r="U1043" s="565">
        <f>(1+$V$5)^(P1043/12)*(T1043+IF(Q1043=$Z$7,$Z$4,0))</f>
      </c>
      <c r="V1043" s="170"/>
      <c r="W1043" s="7"/>
      <c r="X1043" s="1"/>
      <c r="Y1043" s="1"/>
      <c r="Z1043" s="1"/>
      <c r="AA1043" s="1"/>
      <c r="AB1043" s="1"/>
      <c r="AC1043" s="331">
        <v>1036</v>
      </c>
      <c r="AD1043" s="544">
        <f>+DATE(YEAR(AD1042),MONTH(AD1042)-1,DAY(AD1042))</f>
        <v>25569.041666666668</v>
      </c>
      <c r="AE1043" s="341">
        <f>IF($AM$7=$E1043,1,IF(MONTH($E1043)=1,AE1044*(1+$F$5),AE1044))</f>
      </c>
      <c r="AF1043" s="334">
        <f>AE1043*$B$8/12</f>
      </c>
      <c r="AG1043" s="334">
        <f>AE1043*$B$12/12</f>
      </c>
      <c r="AH1043" s="565">
        <f>(1+$AI$5)^(AC1043/12)*(AG1043+IF(AD1043=$AM$7,$AM$4,0))</f>
      </c>
      <c r="AI1043" s="170"/>
      <c r="AJ1043" s="7"/>
      <c r="AK1043" s="1"/>
      <c r="AL1043" s="1"/>
      <c r="AM1043" s="1"/>
    </row>
    <row x14ac:dyDescent="0.25" r="1044" customHeight="1" ht="18.75">
      <c r="A1044" s="1"/>
      <c r="B1044" s="169"/>
      <c r="C1044" s="170"/>
      <c r="D1044" s="331">
        <v>1037</v>
      </c>
      <c r="E1044" s="544">
        <f>+DATE(YEAR(E1043),MONTH(E1043)-1,DAY(E1043))</f>
        <v>25569.041666666668</v>
      </c>
      <c r="F1044" s="333">
        <f>IF($C$6=$E1044,1,IF(MONTH($E1044)=1,F1045*(1+$F$5),F1045))</f>
      </c>
      <c r="G1044" s="333">
        <f>F1044*$B$8/12</f>
      </c>
      <c r="H1044" s="333">
        <f>IF(F1044=1,F1044*$B$10/MIN(12,'Simulador - 3º Pilar'!$E$88),0)</f>
      </c>
      <c r="I1044" s="560">
        <f>(1+$G$5)^(D1044/12)*(H1044+IF(E1044=$N$7,$N$4,0))</f>
      </c>
      <c r="J1044" s="561">
        <f>(1+$G$5)^(D1044/12)*(H1044*(12-IF(MONTH(E1045)=12,0,MONTH(E1045)))+IF(AND(F1044=1,F1045=0),$Q$4,0))*IF(AND(F1044=1,F1045=0),1,0)</f>
      </c>
      <c r="K1044" s="217">
        <f>(1+$G$5)^(D1044/12)*(IF(E1044=$N$7,$N$4,0)+IF(E1044=$C$6,$B$10,0))</f>
      </c>
      <c r="L1044" s="217">
        <f>(1+$G$5)^(D1044/12)*(IF((E1044)&gt;($B$6),H1044,0)+IF(E1044=$N$7,$N$4,0)+IF(E1044=$C$6,0,0))</f>
      </c>
      <c r="M1044" s="1"/>
      <c r="N1044" s="7"/>
      <c r="O1044" s="1"/>
      <c r="P1044" s="331">
        <v>1037</v>
      </c>
      <c r="Q1044" s="544">
        <f>+DATE(YEAR(Q1043),MONTH(Q1043)-1,DAY(Q1043))</f>
        <v>25569.041666666668</v>
      </c>
      <c r="R1044" s="341">
        <f>IF($Z$7=$E1044,1,IF(MONTH($E1044)=1,R1045*(1+$F$5),R1045))</f>
      </c>
      <c r="S1044" s="334">
        <f>R1044*$B$8/12</f>
      </c>
      <c r="T1044" s="334">
        <f>R1044*$B$11/12</f>
      </c>
      <c r="U1044" s="565">
        <f>(1+$V$5)^(P1044/12)*(T1044+IF(Q1044=$Z$7,$Z$4,0))</f>
      </c>
      <c r="V1044" s="170"/>
      <c r="W1044" s="7"/>
      <c r="X1044" s="1"/>
      <c r="Y1044" s="1"/>
      <c r="Z1044" s="1"/>
      <c r="AA1044" s="1"/>
      <c r="AB1044" s="1"/>
      <c r="AC1044" s="331">
        <v>1037</v>
      </c>
      <c r="AD1044" s="544">
        <f>+DATE(YEAR(AD1043),MONTH(AD1043)-1,DAY(AD1043))</f>
        <v>25569.041666666668</v>
      </c>
      <c r="AE1044" s="341">
        <f>IF($AM$7=$E1044,1,IF(MONTH($E1044)=1,AE1045*(1+$F$5),AE1045))</f>
      </c>
      <c r="AF1044" s="334">
        <f>AE1044*$B$8/12</f>
      </c>
      <c r="AG1044" s="334">
        <f>AE1044*$B$12/12</f>
      </c>
      <c r="AH1044" s="565">
        <f>(1+$AI$5)^(AC1044/12)*(AG1044+IF(AD1044=$AM$7,$AM$4,0))</f>
      </c>
      <c r="AI1044" s="170"/>
      <c r="AJ1044" s="7"/>
      <c r="AK1044" s="1"/>
      <c r="AL1044" s="1"/>
      <c r="AM1044" s="1"/>
    </row>
    <row x14ac:dyDescent="0.25" r="1045" customHeight="1" ht="18.75">
      <c r="A1045" s="1"/>
      <c r="B1045" s="169"/>
      <c r="C1045" s="170"/>
      <c r="D1045" s="331">
        <v>1038</v>
      </c>
      <c r="E1045" s="544">
        <f>+DATE(YEAR(E1044),MONTH(E1044)-1,DAY(E1044))</f>
        <v>25569.041666666668</v>
      </c>
      <c r="F1045" s="333">
        <f>IF($C$6=$E1045,1,IF(MONTH($E1045)=1,F1046*(1+$F$5),F1046))</f>
      </c>
      <c r="G1045" s="333">
        <f>F1045*$B$8/12</f>
      </c>
      <c r="H1045" s="333">
        <f>IF(F1045=1,F1045*$B$10/MIN(12,'Simulador - 3º Pilar'!$E$88),0)</f>
      </c>
      <c r="I1045" s="560">
        <f>(1+$G$5)^(D1045/12)*(H1045+IF(E1045=$N$7,$N$4,0))</f>
      </c>
      <c r="J1045" s="561">
        <f>(1+$G$5)^(D1045/12)*(H1045*(12-IF(MONTH(E1046)=12,0,MONTH(E1046)))+IF(AND(F1045=1,F1046=0),$Q$4,0))*IF(AND(F1045=1,F1046=0),1,0)</f>
      </c>
      <c r="K1045" s="217">
        <f>(1+$G$5)^(D1045/12)*(IF(E1045=$N$7,$N$4,0)+IF(E1045=$C$6,$B$10,0))</f>
      </c>
      <c r="L1045" s="217">
        <f>(1+$G$5)^(D1045/12)*(IF((E1045)&gt;($B$6),H1045,0)+IF(E1045=$N$7,$N$4,0)+IF(E1045=$C$6,0,0))</f>
      </c>
      <c r="M1045" s="1"/>
      <c r="N1045" s="7"/>
      <c r="O1045" s="1"/>
      <c r="P1045" s="331">
        <v>1038</v>
      </c>
      <c r="Q1045" s="544">
        <f>+DATE(YEAR(Q1044),MONTH(Q1044)-1,DAY(Q1044))</f>
        <v>25569.041666666668</v>
      </c>
      <c r="R1045" s="341">
        <f>IF($Z$7=$E1045,1,IF(MONTH($E1045)=1,R1046*(1+$F$5),R1046))</f>
      </c>
      <c r="S1045" s="334">
        <f>R1045*$B$8/12</f>
      </c>
      <c r="T1045" s="334">
        <f>R1045*$B$11/12</f>
      </c>
      <c r="U1045" s="565">
        <f>(1+$V$5)^(P1045/12)*(T1045+IF(Q1045=$Z$7,$Z$4,0))</f>
      </c>
      <c r="V1045" s="170"/>
      <c r="W1045" s="7"/>
      <c r="X1045" s="1"/>
      <c r="Y1045" s="1"/>
      <c r="Z1045" s="1"/>
      <c r="AA1045" s="1"/>
      <c r="AB1045" s="1"/>
      <c r="AC1045" s="331">
        <v>1038</v>
      </c>
      <c r="AD1045" s="544">
        <f>+DATE(YEAR(AD1044),MONTH(AD1044)-1,DAY(AD1044))</f>
        <v>25569.041666666668</v>
      </c>
      <c r="AE1045" s="341">
        <f>IF($AM$7=$E1045,1,IF(MONTH($E1045)=1,AE1046*(1+$F$5),AE1046))</f>
      </c>
      <c r="AF1045" s="334">
        <f>AE1045*$B$8/12</f>
      </c>
      <c r="AG1045" s="334">
        <f>AE1045*$B$12/12</f>
      </c>
      <c r="AH1045" s="565">
        <f>(1+$AI$5)^(AC1045/12)*(AG1045+IF(AD1045=$AM$7,$AM$4,0))</f>
      </c>
      <c r="AI1045" s="170"/>
      <c r="AJ1045" s="7"/>
      <c r="AK1045" s="1"/>
      <c r="AL1045" s="1"/>
      <c r="AM1045" s="1"/>
    </row>
    <row x14ac:dyDescent="0.25" r="1046" customHeight="1" ht="18.75">
      <c r="A1046" s="1"/>
      <c r="B1046" s="169"/>
      <c r="C1046" s="170"/>
      <c r="D1046" s="331">
        <v>1039</v>
      </c>
      <c r="E1046" s="544">
        <f>+DATE(YEAR(E1045),MONTH(E1045)-1,DAY(E1045))</f>
        <v>25569.041666666668</v>
      </c>
      <c r="F1046" s="333">
        <f>IF($C$6=$E1046,1,IF(MONTH($E1046)=1,F1047*(1+$F$5),F1047))</f>
      </c>
      <c r="G1046" s="333">
        <f>F1046*$B$8/12</f>
      </c>
      <c r="H1046" s="333">
        <f>IF(F1046=1,F1046*$B$10/MIN(12,'Simulador - 3º Pilar'!$E$88),0)</f>
      </c>
      <c r="I1046" s="560">
        <f>(1+$G$5)^(D1046/12)*(H1046+IF(E1046=$N$7,$N$4,0))</f>
      </c>
      <c r="J1046" s="561">
        <f>(1+$G$5)^(D1046/12)*(H1046*(12-IF(MONTH(E1047)=12,0,MONTH(E1047)))+IF(AND(F1046=1,F1047=0),$Q$4,0))*IF(AND(F1046=1,F1047=0),1,0)</f>
      </c>
      <c r="K1046" s="217">
        <f>(1+$G$5)^(D1046/12)*(IF(E1046=$N$7,$N$4,0)+IF(E1046=$C$6,$B$10,0))</f>
      </c>
      <c r="L1046" s="217">
        <f>(1+$G$5)^(D1046/12)*(IF((E1046)&gt;($B$6),H1046,0)+IF(E1046=$N$7,$N$4,0)+IF(E1046=$C$6,0,0))</f>
      </c>
      <c r="M1046" s="1"/>
      <c r="N1046" s="7"/>
      <c r="O1046" s="1"/>
      <c r="P1046" s="331">
        <v>1039</v>
      </c>
      <c r="Q1046" s="544">
        <f>+DATE(YEAR(Q1045),MONTH(Q1045)-1,DAY(Q1045))</f>
        <v>25569.041666666668</v>
      </c>
      <c r="R1046" s="341">
        <f>IF($Z$7=$E1046,1,IF(MONTH($E1046)=1,R1047*(1+$F$5),R1047))</f>
      </c>
      <c r="S1046" s="334">
        <f>R1046*$B$8/12</f>
      </c>
      <c r="T1046" s="334">
        <f>R1046*$B$11/12</f>
      </c>
      <c r="U1046" s="565">
        <f>(1+$V$5)^(P1046/12)*(T1046+IF(Q1046=$Z$7,$Z$4,0))</f>
      </c>
      <c r="V1046" s="170"/>
      <c r="W1046" s="7"/>
      <c r="X1046" s="1"/>
      <c r="Y1046" s="1"/>
      <c r="Z1046" s="1"/>
      <c r="AA1046" s="1"/>
      <c r="AB1046" s="1"/>
      <c r="AC1046" s="331">
        <v>1039</v>
      </c>
      <c r="AD1046" s="544">
        <f>+DATE(YEAR(AD1045),MONTH(AD1045)-1,DAY(AD1045))</f>
        <v>25569.041666666668</v>
      </c>
      <c r="AE1046" s="341">
        <f>IF($AM$7=$E1046,1,IF(MONTH($E1046)=1,AE1047*(1+$F$5),AE1047))</f>
      </c>
      <c r="AF1046" s="334">
        <f>AE1046*$B$8/12</f>
      </c>
      <c r="AG1046" s="334">
        <f>AE1046*$B$12/12</f>
      </c>
      <c r="AH1046" s="565">
        <f>(1+$AI$5)^(AC1046/12)*(AG1046+IF(AD1046=$AM$7,$AM$4,0))</f>
      </c>
      <c r="AI1046" s="170"/>
      <c r="AJ1046" s="7"/>
      <c r="AK1046" s="1"/>
      <c r="AL1046" s="1"/>
      <c r="AM1046" s="1"/>
    </row>
    <row x14ac:dyDescent="0.25" r="1047" customHeight="1" ht="18.75">
      <c r="A1047" s="1"/>
      <c r="B1047" s="169"/>
      <c r="C1047" s="170"/>
      <c r="D1047" s="331">
        <v>1040</v>
      </c>
      <c r="E1047" s="544">
        <f>+DATE(YEAR(E1046),MONTH(E1046)-1,DAY(E1046))</f>
        <v>25569.041666666668</v>
      </c>
      <c r="F1047" s="333">
        <f>IF($C$6=$E1047,1,IF(MONTH($E1047)=1,F1048*(1+$F$5),F1048))</f>
      </c>
      <c r="G1047" s="333">
        <f>F1047*$B$8/12</f>
      </c>
      <c r="H1047" s="333">
        <f>IF(F1047=1,F1047*$B$10/MIN(12,'Simulador - 3º Pilar'!$E$88),0)</f>
      </c>
      <c r="I1047" s="560">
        <f>(1+$G$5)^(D1047/12)*(H1047+IF(E1047=$N$7,$N$4,0))</f>
      </c>
      <c r="J1047" s="561">
        <f>(1+$G$5)^(D1047/12)*(H1047*(12-IF(MONTH(E1048)=12,0,MONTH(E1048)))+IF(AND(F1047=1,F1048=0),$Q$4,0))*IF(AND(F1047=1,F1048=0),1,0)</f>
      </c>
      <c r="K1047" s="217">
        <f>(1+$G$5)^(D1047/12)*(IF(E1047=$N$7,$N$4,0)+IF(E1047=$C$6,$B$10,0))</f>
      </c>
      <c r="L1047" s="217">
        <f>(1+$G$5)^(D1047/12)*(IF((E1047)&gt;($B$6),H1047,0)+IF(E1047=$N$7,$N$4,0)+IF(E1047=$C$6,0,0))</f>
      </c>
      <c r="M1047" s="1"/>
      <c r="N1047" s="7"/>
      <c r="O1047" s="1"/>
      <c r="P1047" s="331">
        <v>1040</v>
      </c>
      <c r="Q1047" s="544">
        <f>+DATE(YEAR(Q1046),MONTH(Q1046)-1,DAY(Q1046))</f>
        <v>25569.041666666668</v>
      </c>
      <c r="R1047" s="341">
        <f>IF($Z$7=$E1047,1,IF(MONTH($E1047)=1,R1048*(1+$F$5),R1048))</f>
      </c>
      <c r="S1047" s="334">
        <f>R1047*$B$8/12</f>
      </c>
      <c r="T1047" s="334">
        <f>R1047*$B$11/12</f>
      </c>
      <c r="U1047" s="565">
        <f>(1+$V$5)^(P1047/12)*(T1047+IF(Q1047=$Z$7,$Z$4,0))</f>
      </c>
      <c r="V1047" s="170"/>
      <c r="W1047" s="7"/>
      <c r="X1047" s="1"/>
      <c r="Y1047" s="1"/>
      <c r="Z1047" s="1"/>
      <c r="AA1047" s="1"/>
      <c r="AB1047" s="1"/>
      <c r="AC1047" s="331">
        <v>1040</v>
      </c>
      <c r="AD1047" s="544">
        <f>+DATE(YEAR(AD1046),MONTH(AD1046)-1,DAY(AD1046))</f>
        <v>25569.041666666668</v>
      </c>
      <c r="AE1047" s="341">
        <f>IF($AM$7=$E1047,1,IF(MONTH($E1047)=1,AE1048*(1+$F$5),AE1048))</f>
      </c>
      <c r="AF1047" s="334">
        <f>AE1047*$B$8/12</f>
      </c>
      <c r="AG1047" s="334">
        <f>AE1047*$B$12/12</f>
      </c>
      <c r="AH1047" s="565">
        <f>(1+$AI$5)^(AC1047/12)*(AG1047+IF(AD1047=$AM$7,$AM$4,0))</f>
      </c>
      <c r="AI1047" s="170"/>
      <c r="AJ1047" s="7"/>
      <c r="AK1047" s="1"/>
      <c r="AL1047" s="1"/>
      <c r="AM1047" s="1"/>
    </row>
    <row x14ac:dyDescent="0.25" r="1048" customHeight="1" ht="18.75">
      <c r="A1048" s="1"/>
      <c r="B1048" s="169"/>
      <c r="C1048" s="170"/>
      <c r="D1048" s="331">
        <v>1041</v>
      </c>
      <c r="E1048" s="544">
        <f>+DATE(YEAR(E1047),MONTH(E1047)-1,DAY(E1047))</f>
        <v>25569.041666666668</v>
      </c>
      <c r="F1048" s="333">
        <f>IF($C$6=$E1048,1,IF(MONTH($E1048)=1,F1049*(1+$F$5),F1049))</f>
      </c>
      <c r="G1048" s="333">
        <f>F1048*$B$8/12</f>
      </c>
      <c r="H1048" s="333">
        <f>IF(F1048=1,F1048*$B$10/MIN(12,'Simulador - 3º Pilar'!$E$88),0)</f>
      </c>
      <c r="I1048" s="560">
        <f>(1+$G$5)^(D1048/12)*(H1048+IF(E1048=$N$7,$N$4,0))</f>
      </c>
      <c r="J1048" s="561">
        <f>(1+$G$5)^(D1048/12)*(H1048*(12-IF(MONTH(E1049)=12,0,MONTH(E1049)))+IF(AND(F1048=1,F1049=0),$Q$4,0))*IF(AND(F1048=1,F1049=0),1,0)</f>
      </c>
      <c r="K1048" s="217">
        <f>(1+$G$5)^(D1048/12)*(IF(E1048=$N$7,$N$4,0)+IF(E1048=$C$6,$B$10,0))</f>
      </c>
      <c r="L1048" s="217">
        <f>(1+$G$5)^(D1048/12)*(IF((E1048)&gt;($B$6),H1048,0)+IF(E1048=$N$7,$N$4,0)+IF(E1048=$C$6,0,0))</f>
      </c>
      <c r="M1048" s="1"/>
      <c r="N1048" s="7"/>
      <c r="O1048" s="1"/>
      <c r="P1048" s="331">
        <v>1041</v>
      </c>
      <c r="Q1048" s="544">
        <f>+DATE(YEAR(Q1047),MONTH(Q1047)-1,DAY(Q1047))</f>
        <v>25569.041666666668</v>
      </c>
      <c r="R1048" s="341">
        <f>IF($Z$7=$E1048,1,IF(MONTH($E1048)=1,R1049*(1+$F$5),R1049))</f>
      </c>
      <c r="S1048" s="334">
        <f>R1048*$B$8/12</f>
      </c>
      <c r="T1048" s="334">
        <f>R1048*$B$11/12</f>
      </c>
      <c r="U1048" s="565">
        <f>(1+$V$5)^(P1048/12)*(T1048+IF(Q1048=$Z$7,$Z$4,0))</f>
      </c>
      <c r="V1048" s="170"/>
      <c r="W1048" s="7"/>
      <c r="X1048" s="1"/>
      <c r="Y1048" s="1"/>
      <c r="Z1048" s="1"/>
      <c r="AA1048" s="1"/>
      <c r="AB1048" s="1"/>
      <c r="AC1048" s="331">
        <v>1041</v>
      </c>
      <c r="AD1048" s="544">
        <f>+DATE(YEAR(AD1047),MONTH(AD1047)-1,DAY(AD1047))</f>
        <v>25569.041666666668</v>
      </c>
      <c r="AE1048" s="341">
        <f>IF($AM$7=$E1048,1,IF(MONTH($E1048)=1,AE1049*(1+$F$5),AE1049))</f>
      </c>
      <c r="AF1048" s="334">
        <f>AE1048*$B$8/12</f>
      </c>
      <c r="AG1048" s="334">
        <f>AE1048*$B$12/12</f>
      </c>
      <c r="AH1048" s="565">
        <f>(1+$AI$5)^(AC1048/12)*(AG1048+IF(AD1048=$AM$7,$AM$4,0))</f>
      </c>
      <c r="AI1048" s="170"/>
      <c r="AJ1048" s="7"/>
      <c r="AK1048" s="1"/>
      <c r="AL1048" s="1"/>
      <c r="AM1048" s="1"/>
    </row>
    <row x14ac:dyDescent="0.25" r="1049" customHeight="1" ht="18.75">
      <c r="A1049" s="1"/>
      <c r="B1049" s="169"/>
      <c r="C1049" s="170"/>
      <c r="D1049" s="331">
        <v>1042</v>
      </c>
      <c r="E1049" s="544">
        <f>+DATE(YEAR(E1048),MONTH(E1048)-1,DAY(E1048))</f>
        <v>25569.041666666668</v>
      </c>
      <c r="F1049" s="333">
        <f>IF($C$6=$E1049,1,IF(MONTH($E1049)=1,F1050*(1+$F$5),F1050))</f>
      </c>
      <c r="G1049" s="333">
        <f>F1049*$B$8/12</f>
      </c>
      <c r="H1049" s="333">
        <f>IF(F1049=1,F1049*$B$10/MIN(12,'Simulador - 3º Pilar'!$E$88),0)</f>
      </c>
      <c r="I1049" s="560">
        <f>(1+$G$5)^(D1049/12)*(H1049+IF(E1049=$N$7,$N$4,0))</f>
      </c>
      <c r="J1049" s="561">
        <f>(1+$G$5)^(D1049/12)*(H1049*(12-IF(MONTH(E1050)=12,0,MONTH(E1050)))+IF(AND(F1049=1,F1050=0),$Q$4,0))*IF(AND(F1049=1,F1050=0),1,0)</f>
      </c>
      <c r="K1049" s="217">
        <f>(1+$G$5)^(D1049/12)*(IF(E1049=$N$7,$N$4,0)+IF(E1049=$C$6,$B$10,0))</f>
      </c>
      <c r="L1049" s="217">
        <f>(1+$G$5)^(D1049/12)*(IF((E1049)&gt;($B$6),H1049,0)+IF(E1049=$N$7,$N$4,0)+IF(E1049=$C$6,0,0))</f>
      </c>
      <c r="M1049" s="1"/>
      <c r="N1049" s="7"/>
      <c r="O1049" s="1"/>
      <c r="P1049" s="331">
        <v>1042</v>
      </c>
      <c r="Q1049" s="544">
        <f>+DATE(YEAR(Q1048),MONTH(Q1048)-1,DAY(Q1048))</f>
        <v>25569.041666666668</v>
      </c>
      <c r="R1049" s="341">
        <f>IF($Z$7=$E1049,1,IF(MONTH($E1049)=1,R1050*(1+$F$5),R1050))</f>
      </c>
      <c r="S1049" s="334">
        <f>R1049*$B$8/12</f>
      </c>
      <c r="T1049" s="334">
        <f>R1049*$B$11/12</f>
      </c>
      <c r="U1049" s="565">
        <f>(1+$V$5)^(P1049/12)*(T1049+IF(Q1049=$Z$7,$Z$4,0))</f>
      </c>
      <c r="V1049" s="170"/>
      <c r="W1049" s="7"/>
      <c r="X1049" s="1"/>
      <c r="Y1049" s="1"/>
      <c r="Z1049" s="1"/>
      <c r="AA1049" s="1"/>
      <c r="AB1049" s="1"/>
      <c r="AC1049" s="331">
        <v>1042</v>
      </c>
      <c r="AD1049" s="544">
        <f>+DATE(YEAR(AD1048),MONTH(AD1048)-1,DAY(AD1048))</f>
        <v>25569.041666666668</v>
      </c>
      <c r="AE1049" s="341">
        <f>IF($AM$7=$E1049,1,IF(MONTH($E1049)=1,AE1050*(1+$F$5),AE1050))</f>
      </c>
      <c r="AF1049" s="334">
        <f>AE1049*$B$8/12</f>
      </c>
      <c r="AG1049" s="334">
        <f>AE1049*$B$12/12</f>
      </c>
      <c r="AH1049" s="565">
        <f>(1+$AI$5)^(AC1049/12)*(AG1049+IF(AD1049=$AM$7,$AM$4,0))</f>
      </c>
      <c r="AI1049" s="170"/>
      <c r="AJ1049" s="7"/>
      <c r="AK1049" s="1"/>
      <c r="AL1049" s="1"/>
      <c r="AM1049" s="1"/>
    </row>
    <row x14ac:dyDescent="0.25" r="1050" customHeight="1" ht="18.75">
      <c r="A1050" s="1"/>
      <c r="B1050" s="169"/>
      <c r="C1050" s="170"/>
      <c r="D1050" s="331">
        <v>1043</v>
      </c>
      <c r="E1050" s="544">
        <f>+DATE(YEAR(E1049),MONTH(E1049)-1,DAY(E1049))</f>
        <v>25569.041666666668</v>
      </c>
      <c r="F1050" s="333">
        <f>IF($C$6=$E1050,1,IF(MONTH($E1050)=1,F1051*(1+$F$5),F1051))</f>
      </c>
      <c r="G1050" s="333">
        <f>F1050*$B$8/12</f>
      </c>
      <c r="H1050" s="333">
        <f>IF(F1050=1,F1050*$B$10/MIN(12,'Simulador - 3º Pilar'!$E$88),0)</f>
      </c>
      <c r="I1050" s="560">
        <f>(1+$G$5)^(D1050/12)*(H1050+IF(E1050=$N$7,$N$4,0))</f>
      </c>
      <c r="J1050" s="561">
        <f>(1+$G$5)^(D1050/12)*(H1050*(12-IF(MONTH(E1051)=12,0,MONTH(E1051)))+IF(AND(F1050=1,F1051=0),$Q$4,0))*IF(AND(F1050=1,F1051=0),1,0)</f>
      </c>
      <c r="K1050" s="217">
        <f>(1+$G$5)^(D1050/12)*(IF(E1050=$N$7,$N$4,0)+IF(E1050=$C$6,$B$10,0))</f>
      </c>
      <c r="L1050" s="217">
        <f>(1+$G$5)^(D1050/12)*(IF((E1050)&gt;($B$6),H1050,0)+IF(E1050=$N$7,$N$4,0)+IF(E1050=$C$6,0,0))</f>
      </c>
      <c r="M1050" s="1"/>
      <c r="N1050" s="7"/>
      <c r="O1050" s="1"/>
      <c r="P1050" s="331">
        <v>1043</v>
      </c>
      <c r="Q1050" s="544">
        <f>+DATE(YEAR(Q1049),MONTH(Q1049)-1,DAY(Q1049))</f>
        <v>25569.041666666668</v>
      </c>
      <c r="R1050" s="341">
        <f>IF($Z$7=$E1050,1,IF(MONTH($E1050)=1,R1051*(1+$F$5),R1051))</f>
      </c>
      <c r="S1050" s="334">
        <f>R1050*$B$8/12</f>
      </c>
      <c r="T1050" s="334">
        <f>R1050*$B$11/12</f>
      </c>
      <c r="U1050" s="565">
        <f>(1+$V$5)^(P1050/12)*(T1050+IF(Q1050=$Z$7,$Z$4,0))</f>
      </c>
      <c r="V1050" s="170"/>
      <c r="W1050" s="7"/>
      <c r="X1050" s="1"/>
      <c r="Y1050" s="1"/>
      <c r="Z1050" s="1"/>
      <c r="AA1050" s="1"/>
      <c r="AB1050" s="1"/>
      <c r="AC1050" s="331">
        <v>1043</v>
      </c>
      <c r="AD1050" s="544">
        <f>+DATE(YEAR(AD1049),MONTH(AD1049)-1,DAY(AD1049))</f>
        <v>25569.041666666668</v>
      </c>
      <c r="AE1050" s="341">
        <f>IF($AM$7=$E1050,1,IF(MONTH($E1050)=1,AE1051*(1+$F$5),AE1051))</f>
      </c>
      <c r="AF1050" s="334">
        <f>AE1050*$B$8/12</f>
      </c>
      <c r="AG1050" s="334">
        <f>AE1050*$B$12/12</f>
      </c>
      <c r="AH1050" s="565">
        <f>(1+$AI$5)^(AC1050/12)*(AG1050+IF(AD1050=$AM$7,$AM$4,0))</f>
      </c>
      <c r="AI1050" s="170"/>
      <c r="AJ1050" s="7"/>
      <c r="AK1050" s="1"/>
      <c r="AL1050" s="1"/>
      <c r="AM1050" s="1"/>
    </row>
    <row x14ac:dyDescent="0.25" r="1051" customHeight="1" ht="18.75">
      <c r="A1051" s="1"/>
      <c r="B1051" s="169"/>
      <c r="C1051" s="170"/>
      <c r="D1051" s="331">
        <v>1044</v>
      </c>
      <c r="E1051" s="544">
        <f>+DATE(YEAR(E1050),MONTH(E1050)-1,DAY(E1050))</f>
        <v>25569.041666666668</v>
      </c>
      <c r="F1051" s="333">
        <f>IF($C$6=$E1051,1,IF(MONTH($E1051)=1,F1052*(1+$F$5),F1052))</f>
      </c>
      <c r="G1051" s="333">
        <f>F1051*$B$8/12</f>
      </c>
      <c r="H1051" s="333">
        <f>IF(F1051=1,F1051*$B$10/MIN(12,'Simulador - 3º Pilar'!$E$88),0)</f>
      </c>
      <c r="I1051" s="560">
        <f>(1+$G$5)^(D1051/12)*(H1051+IF(E1051=$N$7,$N$4,0))</f>
      </c>
      <c r="J1051" s="561">
        <f>(1+$G$5)^(D1051/12)*(H1051*(12-IF(MONTH(E1052)=12,0,MONTH(E1052)))+IF(AND(F1051=1,F1052=0),$Q$4,0))*IF(AND(F1051=1,F1052=0),1,0)</f>
      </c>
      <c r="K1051" s="217">
        <f>(1+$G$5)^(D1051/12)*(IF(E1051=$N$7,$N$4,0)+IF(E1051=$C$6,$B$10,0))</f>
      </c>
      <c r="L1051" s="217">
        <f>(1+$G$5)^(D1051/12)*(IF((E1051)&gt;($B$6),H1051,0)+IF(E1051=$N$7,$N$4,0)+IF(E1051=$C$6,0,0))</f>
      </c>
      <c r="M1051" s="1"/>
      <c r="N1051" s="7"/>
      <c r="O1051" s="1"/>
      <c r="P1051" s="331">
        <v>1044</v>
      </c>
      <c r="Q1051" s="544">
        <f>+DATE(YEAR(Q1050),MONTH(Q1050)-1,DAY(Q1050))</f>
        <v>25569.041666666668</v>
      </c>
      <c r="R1051" s="341">
        <f>IF($Z$7=$E1051,1,IF(MONTH($E1051)=1,R1052*(1+$F$5),R1052))</f>
      </c>
      <c r="S1051" s="334">
        <f>R1051*$B$8/12</f>
      </c>
      <c r="T1051" s="334">
        <f>R1051*$B$11/12</f>
      </c>
      <c r="U1051" s="565">
        <f>(1+$V$5)^(P1051/12)*(T1051+IF(Q1051=$Z$7,$Z$4,0))</f>
      </c>
      <c r="V1051" s="170"/>
      <c r="W1051" s="7"/>
      <c r="X1051" s="1"/>
      <c r="Y1051" s="1"/>
      <c r="Z1051" s="1"/>
      <c r="AA1051" s="1"/>
      <c r="AB1051" s="1"/>
      <c r="AC1051" s="331">
        <v>1044</v>
      </c>
      <c r="AD1051" s="544">
        <f>+DATE(YEAR(AD1050),MONTH(AD1050)-1,DAY(AD1050))</f>
        <v>25569.041666666668</v>
      </c>
      <c r="AE1051" s="341">
        <f>IF($AM$7=$E1051,1,IF(MONTH($E1051)=1,AE1052*(1+$F$5),AE1052))</f>
      </c>
      <c r="AF1051" s="334">
        <f>AE1051*$B$8/12</f>
      </c>
      <c r="AG1051" s="334">
        <f>AE1051*$B$12/12</f>
      </c>
      <c r="AH1051" s="565">
        <f>(1+$AI$5)^(AC1051/12)*(AG1051+IF(AD1051=$AM$7,$AM$4,0))</f>
      </c>
      <c r="AI1051" s="170"/>
      <c r="AJ1051" s="7"/>
      <c r="AK1051" s="1"/>
      <c r="AL1051" s="1"/>
      <c r="AM1051" s="1"/>
    </row>
    <row x14ac:dyDescent="0.25" r="1052" customHeight="1" ht="18.75">
      <c r="A1052" s="1"/>
      <c r="B1052" s="169"/>
      <c r="C1052" s="170"/>
      <c r="D1052" s="331">
        <v>1045</v>
      </c>
      <c r="E1052" s="544">
        <f>+DATE(YEAR(E1051),MONTH(E1051)-1,DAY(E1051))</f>
        <v>25569.041666666668</v>
      </c>
      <c r="F1052" s="333">
        <f>IF($C$6=$E1052,1,IF(MONTH($E1052)=1,F1053*(1+$F$5),F1053))</f>
      </c>
      <c r="G1052" s="333">
        <f>F1052*$B$8/12</f>
      </c>
      <c r="H1052" s="333">
        <f>IF(F1052=1,F1052*$B$10/MIN(12,'Simulador - 3º Pilar'!$E$88),0)</f>
      </c>
      <c r="I1052" s="560">
        <f>(1+$G$5)^(D1052/12)*(H1052+IF(E1052=$N$7,$N$4,0))</f>
      </c>
      <c r="J1052" s="561">
        <f>(1+$G$5)^(D1052/12)*(H1052*(12-IF(MONTH(E1053)=12,0,MONTH(E1053)))+IF(AND(F1052=1,F1053=0),$Q$4,0))*IF(AND(F1052=1,F1053=0),1,0)</f>
      </c>
      <c r="K1052" s="217">
        <f>(1+$G$5)^(D1052/12)*(IF(E1052=$N$7,$N$4,0)+IF(E1052=$C$6,$B$10,0))</f>
      </c>
      <c r="L1052" s="217">
        <f>(1+$G$5)^(D1052/12)*(IF((E1052)&gt;($B$6),H1052,0)+IF(E1052=$N$7,$N$4,0)+IF(E1052=$C$6,0,0))</f>
      </c>
      <c r="M1052" s="1"/>
      <c r="N1052" s="7"/>
      <c r="O1052" s="1"/>
      <c r="P1052" s="331">
        <v>1045</v>
      </c>
      <c r="Q1052" s="544">
        <f>+DATE(YEAR(Q1051),MONTH(Q1051)-1,DAY(Q1051))</f>
        <v>25569.041666666668</v>
      </c>
      <c r="R1052" s="341">
        <f>IF($Z$7=$E1052,1,IF(MONTH($E1052)=1,R1053*(1+$F$5),R1053))</f>
      </c>
      <c r="S1052" s="334">
        <f>R1052*$B$8/12</f>
      </c>
      <c r="T1052" s="334">
        <f>R1052*$B$11/12</f>
      </c>
      <c r="U1052" s="565">
        <f>(1+$V$5)^(P1052/12)*(T1052+IF(Q1052=$Z$7,$Z$4,0))</f>
      </c>
      <c r="V1052" s="170"/>
      <c r="W1052" s="7"/>
      <c r="X1052" s="1"/>
      <c r="Y1052" s="1"/>
      <c r="Z1052" s="1"/>
      <c r="AA1052" s="1"/>
      <c r="AB1052" s="1"/>
      <c r="AC1052" s="331">
        <v>1045</v>
      </c>
      <c r="AD1052" s="544">
        <f>+DATE(YEAR(AD1051),MONTH(AD1051)-1,DAY(AD1051))</f>
        <v>25569.041666666668</v>
      </c>
      <c r="AE1052" s="341">
        <f>IF($AM$7=$E1052,1,IF(MONTH($E1052)=1,AE1053*(1+$F$5),AE1053))</f>
      </c>
      <c r="AF1052" s="334">
        <f>AE1052*$B$8/12</f>
      </c>
      <c r="AG1052" s="334">
        <f>AE1052*$B$12/12</f>
      </c>
      <c r="AH1052" s="565">
        <f>(1+$AI$5)^(AC1052/12)*(AG1052+IF(AD1052=$AM$7,$AM$4,0))</f>
      </c>
      <c r="AI1052" s="170"/>
      <c r="AJ1052" s="7"/>
      <c r="AK1052" s="1"/>
      <c r="AL1052" s="1"/>
      <c r="AM1052" s="1"/>
    </row>
    <row x14ac:dyDescent="0.25" r="1053" customHeight="1" ht="18.75">
      <c r="A1053" s="1"/>
      <c r="B1053" s="169"/>
      <c r="C1053" s="170"/>
      <c r="D1053" s="331">
        <v>1046</v>
      </c>
      <c r="E1053" s="544">
        <f>+DATE(YEAR(E1052),MONTH(E1052)-1,DAY(E1052))</f>
        <v>25569.041666666668</v>
      </c>
      <c r="F1053" s="333">
        <f>IF($C$6=$E1053,1,IF(MONTH($E1053)=1,F1054*(1+$F$5),F1054))</f>
      </c>
      <c r="G1053" s="333">
        <f>F1053*$B$8/12</f>
      </c>
      <c r="H1053" s="333">
        <f>IF(F1053=1,F1053*$B$10/MIN(12,'Simulador - 3º Pilar'!$E$88),0)</f>
      </c>
      <c r="I1053" s="560">
        <f>(1+$G$5)^(D1053/12)*(H1053+IF(E1053=$N$7,$N$4,0))</f>
      </c>
      <c r="J1053" s="561">
        <f>(1+$G$5)^(D1053/12)*(H1053*(12-IF(MONTH(E1054)=12,0,MONTH(E1054)))+IF(AND(F1053=1,F1054=0),$Q$4,0))*IF(AND(F1053=1,F1054=0),1,0)</f>
      </c>
      <c r="K1053" s="217">
        <f>(1+$G$5)^(D1053/12)*(IF(E1053=$N$7,$N$4,0)+IF(E1053=$C$6,$B$10,0))</f>
      </c>
      <c r="L1053" s="217">
        <f>(1+$G$5)^(D1053/12)*(IF((E1053)&gt;($B$6),H1053,0)+IF(E1053=$N$7,$N$4,0)+IF(E1053=$C$6,0,0))</f>
      </c>
      <c r="M1053" s="1"/>
      <c r="N1053" s="7"/>
      <c r="O1053" s="1"/>
      <c r="P1053" s="331">
        <v>1046</v>
      </c>
      <c r="Q1053" s="544">
        <f>+DATE(YEAR(Q1052),MONTH(Q1052)-1,DAY(Q1052))</f>
        <v>25569.041666666668</v>
      </c>
      <c r="R1053" s="341">
        <f>IF($Z$7=$E1053,1,IF(MONTH($E1053)=1,R1054*(1+$F$5),R1054))</f>
      </c>
      <c r="S1053" s="334">
        <f>R1053*$B$8/12</f>
      </c>
      <c r="T1053" s="334">
        <f>R1053*$B$11/12</f>
      </c>
      <c r="U1053" s="565">
        <f>(1+$V$5)^(P1053/12)*(T1053+IF(Q1053=$Z$7,$Z$4,0))</f>
      </c>
      <c r="V1053" s="170"/>
      <c r="W1053" s="7"/>
      <c r="X1053" s="1"/>
      <c r="Y1053" s="1"/>
      <c r="Z1053" s="1"/>
      <c r="AA1053" s="1"/>
      <c r="AB1053" s="1"/>
      <c r="AC1053" s="331">
        <v>1046</v>
      </c>
      <c r="AD1053" s="544">
        <f>+DATE(YEAR(AD1052),MONTH(AD1052)-1,DAY(AD1052))</f>
        <v>25569.041666666668</v>
      </c>
      <c r="AE1053" s="341">
        <f>IF($AM$7=$E1053,1,IF(MONTH($E1053)=1,AE1054*(1+$F$5),AE1054))</f>
      </c>
      <c r="AF1053" s="334">
        <f>AE1053*$B$8/12</f>
      </c>
      <c r="AG1053" s="334">
        <f>AE1053*$B$12/12</f>
      </c>
      <c r="AH1053" s="565">
        <f>(1+$AI$5)^(AC1053/12)*(AG1053+IF(AD1053=$AM$7,$AM$4,0))</f>
      </c>
      <c r="AI1053" s="170"/>
      <c r="AJ1053" s="7"/>
      <c r="AK1053" s="1"/>
      <c r="AL1053" s="1"/>
      <c r="AM1053" s="1"/>
    </row>
    <row x14ac:dyDescent="0.25" r="1054" customHeight="1" ht="18.75">
      <c r="A1054" s="1"/>
      <c r="B1054" s="169"/>
      <c r="C1054" s="170"/>
      <c r="D1054" s="331">
        <v>1047</v>
      </c>
      <c r="E1054" s="544">
        <f>+DATE(YEAR(E1053),MONTH(E1053)-1,DAY(E1053))</f>
        <v>25569.041666666668</v>
      </c>
      <c r="F1054" s="333">
        <f>IF($C$6=$E1054,1,IF(MONTH($E1054)=1,F1055*(1+$F$5),F1055))</f>
      </c>
      <c r="G1054" s="333">
        <f>F1054*$B$8/12</f>
      </c>
      <c r="H1054" s="333">
        <f>IF(F1054=1,F1054*$B$10/MIN(12,'Simulador - 3º Pilar'!$E$88),0)</f>
      </c>
      <c r="I1054" s="560">
        <f>(1+$G$5)^(D1054/12)*(H1054+IF(E1054=$N$7,$N$4,0))</f>
      </c>
      <c r="J1054" s="561">
        <f>(1+$G$5)^(D1054/12)*(H1054*(12-IF(MONTH(E1055)=12,0,MONTH(E1055)))+IF(AND(F1054=1,F1055=0),$Q$4,0))*IF(AND(F1054=1,F1055=0),1,0)</f>
      </c>
      <c r="K1054" s="217">
        <f>(1+$G$5)^(D1054/12)*(IF(E1054=$N$7,$N$4,0)+IF(E1054=$C$6,$B$10,0))</f>
      </c>
      <c r="L1054" s="217">
        <f>(1+$G$5)^(D1054/12)*(IF((E1054)&gt;($B$6),H1054,0)+IF(E1054=$N$7,$N$4,0)+IF(E1054=$C$6,0,0))</f>
      </c>
      <c r="M1054" s="1"/>
      <c r="N1054" s="7"/>
      <c r="O1054" s="1"/>
      <c r="P1054" s="331">
        <v>1047</v>
      </c>
      <c r="Q1054" s="544">
        <f>+DATE(YEAR(Q1053),MONTH(Q1053)-1,DAY(Q1053))</f>
        <v>25569.041666666668</v>
      </c>
      <c r="R1054" s="341">
        <f>IF($Z$7=$E1054,1,IF(MONTH($E1054)=1,R1055*(1+$F$5),R1055))</f>
      </c>
      <c r="S1054" s="334">
        <f>R1054*$B$8/12</f>
      </c>
      <c r="T1054" s="334">
        <f>R1054*$B$11/12</f>
      </c>
      <c r="U1054" s="565">
        <f>(1+$V$5)^(P1054/12)*(T1054+IF(Q1054=$Z$7,$Z$4,0))</f>
      </c>
      <c r="V1054" s="170"/>
      <c r="W1054" s="7"/>
      <c r="X1054" s="1"/>
      <c r="Y1054" s="1"/>
      <c r="Z1054" s="1"/>
      <c r="AA1054" s="1"/>
      <c r="AB1054" s="1"/>
      <c r="AC1054" s="331">
        <v>1047</v>
      </c>
      <c r="AD1054" s="544">
        <f>+DATE(YEAR(AD1053),MONTH(AD1053)-1,DAY(AD1053))</f>
        <v>25569.041666666668</v>
      </c>
      <c r="AE1054" s="341">
        <f>IF($AM$7=$E1054,1,IF(MONTH($E1054)=1,AE1055*(1+$F$5),AE1055))</f>
      </c>
      <c r="AF1054" s="334">
        <f>AE1054*$B$8/12</f>
      </c>
      <c r="AG1054" s="334">
        <f>AE1054*$B$12/12</f>
      </c>
      <c r="AH1054" s="565">
        <f>(1+$AI$5)^(AC1054/12)*(AG1054+IF(AD1054=$AM$7,$AM$4,0))</f>
      </c>
      <c r="AI1054" s="170"/>
      <c r="AJ1054" s="7"/>
      <c r="AK1054" s="1"/>
      <c r="AL1054" s="1"/>
      <c r="AM1054" s="1"/>
    </row>
    <row x14ac:dyDescent="0.25" r="1055" customHeight="1" ht="18.75">
      <c r="A1055" s="1"/>
      <c r="B1055" s="169"/>
      <c r="C1055" s="170"/>
      <c r="D1055" s="331">
        <v>1048</v>
      </c>
      <c r="E1055" s="544">
        <f>+DATE(YEAR(E1054),MONTH(E1054)-1,DAY(E1054))</f>
        <v>25569.041666666668</v>
      </c>
      <c r="F1055" s="333">
        <f>IF($C$6=$E1055,1,IF(MONTH($E1055)=1,F1056*(1+$F$5),F1056))</f>
      </c>
      <c r="G1055" s="333">
        <f>F1055*$B$8/12</f>
      </c>
      <c r="H1055" s="333">
        <f>IF(F1055=1,F1055*$B$10/MIN(12,'Simulador - 3º Pilar'!$E$88),0)</f>
      </c>
      <c r="I1055" s="560">
        <f>(1+$G$5)^(D1055/12)*(H1055+IF(E1055=$N$7,$N$4,0))</f>
      </c>
      <c r="J1055" s="561">
        <f>(1+$G$5)^(D1055/12)*(H1055*(12-IF(MONTH(E1056)=12,0,MONTH(E1056)))+IF(AND(F1055=1,F1056=0),$Q$4,0))*IF(AND(F1055=1,F1056=0),1,0)</f>
      </c>
      <c r="K1055" s="217">
        <f>(1+$G$5)^(D1055/12)*(IF(E1055=$N$7,$N$4,0)+IF(E1055=$C$6,$B$10,0))</f>
      </c>
      <c r="L1055" s="217">
        <f>(1+$G$5)^(D1055/12)*(IF((E1055)&gt;($B$6),H1055,0)+IF(E1055=$N$7,$N$4,0)+IF(E1055=$C$6,0,0))</f>
      </c>
      <c r="M1055" s="1"/>
      <c r="N1055" s="7"/>
      <c r="O1055" s="1"/>
      <c r="P1055" s="331">
        <v>1048</v>
      </c>
      <c r="Q1055" s="544">
        <f>+DATE(YEAR(Q1054),MONTH(Q1054)-1,DAY(Q1054))</f>
        <v>25569.041666666668</v>
      </c>
      <c r="R1055" s="341">
        <f>IF($Z$7=$E1055,1,IF(MONTH($E1055)=1,R1056*(1+$F$5),R1056))</f>
      </c>
      <c r="S1055" s="334">
        <f>R1055*$B$8/12</f>
      </c>
      <c r="T1055" s="334">
        <f>R1055*$B$11/12</f>
      </c>
      <c r="U1055" s="565">
        <f>(1+$V$5)^(P1055/12)*(T1055+IF(Q1055=$Z$7,$Z$4,0))</f>
      </c>
      <c r="V1055" s="170"/>
      <c r="W1055" s="7"/>
      <c r="X1055" s="1"/>
      <c r="Y1055" s="1"/>
      <c r="Z1055" s="1"/>
      <c r="AA1055" s="1"/>
      <c r="AB1055" s="1"/>
      <c r="AC1055" s="331">
        <v>1048</v>
      </c>
      <c r="AD1055" s="544">
        <f>+DATE(YEAR(AD1054),MONTH(AD1054)-1,DAY(AD1054))</f>
        <v>25569.041666666668</v>
      </c>
      <c r="AE1055" s="341">
        <f>IF($AM$7=$E1055,1,IF(MONTH($E1055)=1,AE1056*(1+$F$5),AE1056))</f>
      </c>
      <c r="AF1055" s="334">
        <f>AE1055*$B$8/12</f>
      </c>
      <c r="AG1055" s="334">
        <f>AE1055*$B$12/12</f>
      </c>
      <c r="AH1055" s="565">
        <f>(1+$AI$5)^(AC1055/12)*(AG1055+IF(AD1055=$AM$7,$AM$4,0))</f>
      </c>
      <c r="AI1055" s="170"/>
      <c r="AJ1055" s="7"/>
      <c r="AK1055" s="1"/>
      <c r="AL1055" s="1"/>
      <c r="AM1055" s="1"/>
    </row>
    <row x14ac:dyDescent="0.25" r="1056" customHeight="1" ht="18.75">
      <c r="A1056" s="1"/>
      <c r="B1056" s="169"/>
      <c r="C1056" s="170"/>
      <c r="D1056" s="331">
        <v>1049</v>
      </c>
      <c r="E1056" s="544">
        <f>+DATE(YEAR(E1055),MONTH(E1055)-1,DAY(E1055))</f>
        <v>25569.041666666668</v>
      </c>
      <c r="F1056" s="333">
        <f>IF($C$6=$E1056,1,IF(MONTH($E1056)=1,F1057*(1+$F$5),F1057))</f>
      </c>
      <c r="G1056" s="333">
        <f>F1056*$B$8/12</f>
      </c>
      <c r="H1056" s="333">
        <f>IF(F1056=1,F1056*$B$10/MIN(12,'Simulador - 3º Pilar'!$E$88),0)</f>
      </c>
      <c r="I1056" s="560">
        <f>(1+$G$5)^(D1056/12)*(H1056+IF(E1056=$N$7,$N$4,0))</f>
      </c>
      <c r="J1056" s="561">
        <f>(1+$G$5)^(D1056/12)*(H1056*(12-IF(MONTH(E1057)=12,0,MONTH(E1057)))+IF(AND(F1056=1,F1057=0),$Q$4,0))*IF(AND(F1056=1,F1057=0),1,0)</f>
      </c>
      <c r="K1056" s="217">
        <f>(1+$G$5)^(D1056/12)*(IF(E1056=$N$7,$N$4,0)+IF(E1056=$C$6,$B$10,0))</f>
      </c>
      <c r="L1056" s="217">
        <f>(1+$G$5)^(D1056/12)*(IF((E1056)&gt;($B$6),H1056,0)+IF(E1056=$N$7,$N$4,0)+IF(E1056=$C$6,0,0))</f>
      </c>
      <c r="M1056" s="1"/>
      <c r="N1056" s="7"/>
      <c r="O1056" s="1"/>
      <c r="P1056" s="331">
        <v>1049</v>
      </c>
      <c r="Q1056" s="544">
        <f>+DATE(YEAR(Q1055),MONTH(Q1055)-1,DAY(Q1055))</f>
        <v>25569.041666666668</v>
      </c>
      <c r="R1056" s="341">
        <f>IF($Z$7=$E1056,1,IF(MONTH($E1056)=1,R1057*(1+$F$5),R1057))</f>
      </c>
      <c r="S1056" s="334">
        <f>R1056*$B$8/12</f>
      </c>
      <c r="T1056" s="334">
        <f>R1056*$B$11/12</f>
      </c>
      <c r="U1056" s="565">
        <f>(1+$V$5)^(P1056/12)*(T1056+IF(Q1056=$Z$7,$Z$4,0))</f>
      </c>
      <c r="V1056" s="170"/>
      <c r="W1056" s="7"/>
      <c r="X1056" s="1"/>
      <c r="Y1056" s="1"/>
      <c r="Z1056" s="1"/>
      <c r="AA1056" s="1"/>
      <c r="AB1056" s="1"/>
      <c r="AC1056" s="331">
        <v>1049</v>
      </c>
      <c r="AD1056" s="544">
        <f>+DATE(YEAR(AD1055),MONTH(AD1055)-1,DAY(AD1055))</f>
        <v>25569.041666666668</v>
      </c>
      <c r="AE1056" s="341">
        <f>IF($AM$7=$E1056,1,IF(MONTH($E1056)=1,AE1057*(1+$F$5),AE1057))</f>
      </c>
      <c r="AF1056" s="334">
        <f>AE1056*$B$8/12</f>
      </c>
      <c r="AG1056" s="334">
        <f>AE1056*$B$12/12</f>
      </c>
      <c r="AH1056" s="565">
        <f>(1+$AI$5)^(AC1056/12)*(AG1056+IF(AD1056=$AM$7,$AM$4,0))</f>
      </c>
      <c r="AI1056" s="170"/>
      <c r="AJ1056" s="7"/>
      <c r="AK1056" s="1"/>
      <c r="AL1056" s="1"/>
      <c r="AM1056" s="1"/>
    </row>
    <row x14ac:dyDescent="0.25" r="1057" customHeight="1" ht="18.75">
      <c r="A1057" s="1"/>
      <c r="B1057" s="169"/>
      <c r="C1057" s="170"/>
      <c r="D1057" s="331">
        <v>1050</v>
      </c>
      <c r="E1057" s="544">
        <f>+DATE(YEAR(E1056),MONTH(E1056)-1,DAY(E1056))</f>
        <v>25569.041666666668</v>
      </c>
      <c r="F1057" s="333">
        <f>IF($C$6=$E1057,1,IF(MONTH($E1057)=1,F1058*(1+$F$5),F1058))</f>
      </c>
      <c r="G1057" s="333">
        <f>F1057*$B$8/12</f>
      </c>
      <c r="H1057" s="333">
        <f>IF(F1057=1,F1057*$B$10/MIN(12,'Simulador - 3º Pilar'!$E$88),0)</f>
      </c>
      <c r="I1057" s="560">
        <f>(1+$G$5)^(D1057/12)*(H1057+IF(E1057=$N$7,$N$4,0))</f>
      </c>
      <c r="J1057" s="561">
        <f>(1+$G$5)^(D1057/12)*(H1057*(12-IF(MONTH(E1058)=12,0,MONTH(E1058)))+IF(AND(F1057=1,F1058=0),$Q$4,0))*IF(AND(F1057=1,F1058=0),1,0)</f>
      </c>
      <c r="K1057" s="217">
        <f>(1+$G$5)^(D1057/12)*(IF(E1057=$N$7,$N$4,0)+IF(E1057=$C$6,$B$10,0))</f>
      </c>
      <c r="L1057" s="217">
        <f>(1+$G$5)^(D1057/12)*(IF((E1057)&gt;($B$6),H1057,0)+IF(E1057=$N$7,$N$4,0)+IF(E1057=$C$6,0,0))</f>
      </c>
      <c r="M1057" s="1"/>
      <c r="N1057" s="7"/>
      <c r="O1057" s="1"/>
      <c r="P1057" s="331">
        <v>1050</v>
      </c>
      <c r="Q1057" s="544">
        <f>+DATE(YEAR(Q1056),MONTH(Q1056)-1,DAY(Q1056))</f>
        <v>25569.041666666668</v>
      </c>
      <c r="R1057" s="341">
        <f>IF($Z$7=$E1057,1,IF(MONTH($E1057)=1,R1058*(1+$F$5),R1058))</f>
      </c>
      <c r="S1057" s="334">
        <f>R1057*$B$8/12</f>
      </c>
      <c r="T1057" s="334">
        <f>R1057*$B$11/12</f>
      </c>
      <c r="U1057" s="565">
        <f>(1+$V$5)^(P1057/12)*(T1057+IF(Q1057=$Z$7,$Z$4,0))</f>
      </c>
      <c r="V1057" s="170"/>
      <c r="W1057" s="7"/>
      <c r="X1057" s="1"/>
      <c r="Y1057" s="1"/>
      <c r="Z1057" s="1"/>
      <c r="AA1057" s="1"/>
      <c r="AB1057" s="1"/>
      <c r="AC1057" s="331">
        <v>1050</v>
      </c>
      <c r="AD1057" s="544">
        <f>+DATE(YEAR(AD1056),MONTH(AD1056)-1,DAY(AD1056))</f>
        <v>25569.041666666668</v>
      </c>
      <c r="AE1057" s="341">
        <f>IF($AM$7=$E1057,1,IF(MONTH($E1057)=1,AE1058*(1+$F$5),AE1058))</f>
      </c>
      <c r="AF1057" s="334">
        <f>AE1057*$B$8/12</f>
      </c>
      <c r="AG1057" s="334">
        <f>AE1057*$B$12/12</f>
      </c>
      <c r="AH1057" s="565">
        <f>(1+$AI$5)^(AC1057/12)*(AG1057+IF(AD1057=$AM$7,$AM$4,0))</f>
      </c>
      <c r="AI1057" s="170"/>
      <c r="AJ1057" s="7"/>
      <c r="AK1057" s="1"/>
      <c r="AL1057" s="1"/>
      <c r="AM1057" s="1"/>
    </row>
    <row x14ac:dyDescent="0.25" r="1058" customHeight="1" ht="18.75">
      <c r="A1058" s="1"/>
      <c r="B1058" s="169"/>
      <c r="C1058" s="170"/>
      <c r="D1058" s="331">
        <v>1051</v>
      </c>
      <c r="E1058" s="544">
        <f>+DATE(YEAR(E1057),MONTH(E1057)-1,DAY(E1057))</f>
        <v>25569.041666666668</v>
      </c>
      <c r="F1058" s="333">
        <f>IF($C$6=$E1058,1,IF(MONTH($E1058)=1,F1059*(1+$F$5),F1059))</f>
      </c>
      <c r="G1058" s="333">
        <f>F1058*$B$8/12</f>
      </c>
      <c r="H1058" s="333">
        <f>IF(F1058=1,F1058*$B$10/MIN(12,'Simulador - 3º Pilar'!$E$88),0)</f>
      </c>
      <c r="I1058" s="560">
        <f>(1+$G$5)^(D1058/12)*(H1058+IF(E1058=$N$7,$N$4,0))</f>
      </c>
      <c r="J1058" s="561">
        <f>(1+$G$5)^(D1058/12)*(H1058*(12-IF(MONTH(E1059)=12,0,MONTH(E1059)))+IF(AND(F1058=1,F1059=0),$Q$4,0))*IF(AND(F1058=1,F1059=0),1,0)</f>
      </c>
      <c r="K1058" s="217">
        <f>(1+$G$5)^(D1058/12)*(IF(E1058=$N$7,$N$4,0)+IF(E1058=$C$6,$B$10,0))</f>
      </c>
      <c r="L1058" s="217">
        <f>(1+$G$5)^(D1058/12)*(IF((E1058)&gt;($B$6),H1058,0)+IF(E1058=$N$7,$N$4,0)+IF(E1058=$C$6,0,0))</f>
      </c>
      <c r="M1058" s="1"/>
      <c r="N1058" s="7"/>
      <c r="O1058" s="1"/>
      <c r="P1058" s="331">
        <v>1051</v>
      </c>
      <c r="Q1058" s="544">
        <f>+DATE(YEAR(Q1057),MONTH(Q1057)-1,DAY(Q1057))</f>
        <v>25569.041666666668</v>
      </c>
      <c r="R1058" s="341">
        <f>IF($Z$7=$E1058,1,IF(MONTH($E1058)=1,R1059*(1+$F$5),R1059))</f>
      </c>
      <c r="S1058" s="334">
        <f>R1058*$B$8/12</f>
      </c>
      <c r="T1058" s="334">
        <f>R1058*$B$11/12</f>
      </c>
      <c r="U1058" s="565">
        <f>(1+$V$5)^(P1058/12)*(T1058+IF(Q1058=$Z$7,$Z$4,0))</f>
      </c>
      <c r="V1058" s="170"/>
      <c r="W1058" s="7"/>
      <c r="X1058" s="1"/>
      <c r="Y1058" s="1"/>
      <c r="Z1058" s="1"/>
      <c r="AA1058" s="1"/>
      <c r="AB1058" s="1"/>
      <c r="AC1058" s="331">
        <v>1051</v>
      </c>
      <c r="AD1058" s="544">
        <f>+DATE(YEAR(AD1057),MONTH(AD1057)-1,DAY(AD1057))</f>
        <v>25569.041666666668</v>
      </c>
      <c r="AE1058" s="341">
        <f>IF($AM$7=$E1058,1,IF(MONTH($E1058)=1,AE1059*(1+$F$5),AE1059))</f>
      </c>
      <c r="AF1058" s="334">
        <f>AE1058*$B$8/12</f>
      </c>
      <c r="AG1058" s="334">
        <f>AE1058*$B$12/12</f>
      </c>
      <c r="AH1058" s="565">
        <f>(1+$AI$5)^(AC1058/12)*(AG1058+IF(AD1058=$AM$7,$AM$4,0))</f>
      </c>
      <c r="AI1058" s="170"/>
      <c r="AJ1058" s="7"/>
      <c r="AK1058" s="1"/>
      <c r="AL1058" s="1"/>
      <c r="AM1058" s="1"/>
    </row>
    <row x14ac:dyDescent="0.25" r="1059" customHeight="1" ht="18.75">
      <c r="A1059" s="1"/>
      <c r="B1059" s="169"/>
      <c r="C1059" s="170"/>
      <c r="D1059" s="331">
        <v>1052</v>
      </c>
      <c r="E1059" s="544">
        <f>+DATE(YEAR(E1058),MONTH(E1058)-1,DAY(E1058))</f>
        <v>25569.041666666668</v>
      </c>
      <c r="F1059" s="333">
        <f>IF($C$6=$E1059,1,IF(MONTH($E1059)=1,F1060*(1+$F$5),F1060))</f>
      </c>
      <c r="G1059" s="333">
        <f>F1059*$B$8/12</f>
      </c>
      <c r="H1059" s="333">
        <f>IF(F1059=1,F1059*$B$10/MIN(12,'Simulador - 3º Pilar'!$E$88),0)</f>
      </c>
      <c r="I1059" s="560">
        <f>(1+$G$5)^(D1059/12)*(H1059+IF(E1059=$N$7,$N$4,0))</f>
      </c>
      <c r="J1059" s="561">
        <f>(1+$G$5)^(D1059/12)*(H1059*(12-IF(MONTH(E1060)=12,0,MONTH(E1060)))+IF(AND(F1059=1,F1060=0),$Q$4,0))*IF(AND(F1059=1,F1060=0),1,0)</f>
      </c>
      <c r="K1059" s="217">
        <f>(1+$G$5)^(D1059/12)*(IF(E1059=$N$7,$N$4,0)+IF(E1059=$C$6,$B$10,0))</f>
      </c>
      <c r="L1059" s="217">
        <f>(1+$G$5)^(D1059/12)*(IF((E1059)&gt;($B$6),H1059,0)+IF(E1059=$N$7,$N$4,0)+IF(E1059=$C$6,0,0))</f>
      </c>
      <c r="M1059" s="1"/>
      <c r="N1059" s="7"/>
      <c r="O1059" s="1"/>
      <c r="P1059" s="331">
        <v>1052</v>
      </c>
      <c r="Q1059" s="544">
        <f>+DATE(YEAR(Q1058),MONTH(Q1058)-1,DAY(Q1058))</f>
        <v>25569.041666666668</v>
      </c>
      <c r="R1059" s="341">
        <f>IF($Z$7=$E1059,1,IF(MONTH($E1059)=1,R1060*(1+$F$5),R1060))</f>
      </c>
      <c r="S1059" s="334">
        <f>R1059*$B$8/12</f>
      </c>
      <c r="T1059" s="334">
        <f>R1059*$B$11/12</f>
      </c>
      <c r="U1059" s="565">
        <f>(1+$V$5)^(P1059/12)*(T1059+IF(Q1059=$Z$7,$Z$4,0))</f>
      </c>
      <c r="V1059" s="170"/>
      <c r="W1059" s="7"/>
      <c r="X1059" s="1"/>
      <c r="Y1059" s="1"/>
      <c r="Z1059" s="1"/>
      <c r="AA1059" s="1"/>
      <c r="AB1059" s="1"/>
      <c r="AC1059" s="331">
        <v>1052</v>
      </c>
      <c r="AD1059" s="544">
        <f>+DATE(YEAR(AD1058),MONTH(AD1058)-1,DAY(AD1058))</f>
        <v>25569.041666666668</v>
      </c>
      <c r="AE1059" s="341">
        <f>IF($AM$7=$E1059,1,IF(MONTH($E1059)=1,AE1060*(1+$F$5),AE1060))</f>
      </c>
      <c r="AF1059" s="334">
        <f>AE1059*$B$8/12</f>
      </c>
      <c r="AG1059" s="334">
        <f>AE1059*$B$12/12</f>
      </c>
      <c r="AH1059" s="565">
        <f>(1+$AI$5)^(AC1059/12)*(AG1059+IF(AD1059=$AM$7,$AM$4,0))</f>
      </c>
      <c r="AI1059" s="170"/>
      <c r="AJ1059" s="7"/>
      <c r="AK1059" s="1"/>
      <c r="AL1059" s="1"/>
      <c r="AM1059" s="1"/>
    </row>
    <row x14ac:dyDescent="0.25" r="1060" customHeight="1" ht="18.75">
      <c r="A1060" s="1"/>
      <c r="B1060" s="169"/>
      <c r="C1060" s="170"/>
      <c r="D1060" s="331">
        <v>1053</v>
      </c>
      <c r="E1060" s="544">
        <f>+DATE(YEAR(E1059),MONTH(E1059)-1,DAY(E1059))</f>
        <v>25569.041666666668</v>
      </c>
      <c r="F1060" s="333">
        <f>IF($C$6=$E1060,1,IF(MONTH($E1060)=1,F1061*(1+$F$5),F1061))</f>
      </c>
      <c r="G1060" s="333">
        <f>F1060*$B$8/12</f>
      </c>
      <c r="H1060" s="333">
        <f>IF(F1060=1,F1060*$B$10/MIN(12,'Simulador - 3º Pilar'!$E$88),0)</f>
      </c>
      <c r="I1060" s="560">
        <f>(1+$G$5)^(D1060/12)*(H1060+IF(E1060=$N$7,$N$4,0))</f>
      </c>
      <c r="J1060" s="561">
        <f>(1+$G$5)^(D1060/12)*(H1060*(12-IF(MONTH(E1061)=12,0,MONTH(E1061)))+IF(AND(F1060=1,F1061=0),$Q$4,0))*IF(AND(F1060=1,F1061=0),1,0)</f>
      </c>
      <c r="K1060" s="217">
        <f>(1+$G$5)^(D1060/12)*(IF(E1060=$N$7,$N$4,0)+IF(E1060=$C$6,$B$10,0))</f>
      </c>
      <c r="L1060" s="217">
        <f>(1+$G$5)^(D1060/12)*(IF((E1060)&gt;($B$6),H1060,0)+IF(E1060=$N$7,$N$4,0)+IF(E1060=$C$6,0,0))</f>
      </c>
      <c r="M1060" s="1"/>
      <c r="N1060" s="7"/>
      <c r="O1060" s="1"/>
      <c r="P1060" s="331">
        <v>1053</v>
      </c>
      <c r="Q1060" s="544">
        <f>+DATE(YEAR(Q1059),MONTH(Q1059)-1,DAY(Q1059))</f>
        <v>25569.041666666668</v>
      </c>
      <c r="R1060" s="341">
        <f>IF($Z$7=$E1060,1,IF(MONTH($E1060)=1,R1061*(1+$F$5),R1061))</f>
      </c>
      <c r="S1060" s="334">
        <f>R1060*$B$8/12</f>
      </c>
      <c r="T1060" s="334">
        <f>R1060*$B$11/12</f>
      </c>
      <c r="U1060" s="565">
        <f>(1+$V$5)^(P1060/12)*(T1060+IF(Q1060=$Z$7,$Z$4,0))</f>
      </c>
      <c r="V1060" s="170"/>
      <c r="W1060" s="7"/>
      <c r="X1060" s="1"/>
      <c r="Y1060" s="1"/>
      <c r="Z1060" s="1"/>
      <c r="AA1060" s="1"/>
      <c r="AB1060" s="1"/>
      <c r="AC1060" s="331">
        <v>1053</v>
      </c>
      <c r="AD1060" s="544">
        <f>+DATE(YEAR(AD1059),MONTH(AD1059)-1,DAY(AD1059))</f>
        <v>25569.041666666668</v>
      </c>
      <c r="AE1060" s="341">
        <f>IF($AM$7=$E1060,1,IF(MONTH($E1060)=1,AE1061*(1+$F$5),AE1061))</f>
      </c>
      <c r="AF1060" s="334">
        <f>AE1060*$B$8/12</f>
      </c>
      <c r="AG1060" s="334">
        <f>AE1060*$B$12/12</f>
      </c>
      <c r="AH1060" s="565">
        <f>(1+$AI$5)^(AC1060/12)*(AG1060+IF(AD1060=$AM$7,$AM$4,0))</f>
      </c>
      <c r="AI1060" s="170"/>
      <c r="AJ1060" s="7"/>
      <c r="AK1060" s="1"/>
      <c r="AL1060" s="1"/>
      <c r="AM1060" s="1"/>
    </row>
    <row x14ac:dyDescent="0.25" r="1061" customHeight="1" ht="18.75">
      <c r="A1061" s="1"/>
      <c r="B1061" s="169"/>
      <c r="C1061" s="170"/>
      <c r="D1061" s="331">
        <v>1054</v>
      </c>
      <c r="E1061" s="544">
        <f>+DATE(YEAR(E1060),MONTH(E1060)-1,DAY(E1060))</f>
        <v>25569.041666666668</v>
      </c>
      <c r="F1061" s="333">
        <f>IF($C$6=$E1061,1,IF(MONTH($E1061)=1,F1062*(1+$F$5),F1062))</f>
      </c>
      <c r="G1061" s="333">
        <f>F1061*$B$8/12</f>
      </c>
      <c r="H1061" s="333">
        <f>IF(F1061=1,F1061*$B$10/MIN(12,'Simulador - 3º Pilar'!$E$88),0)</f>
      </c>
      <c r="I1061" s="560">
        <f>(1+$G$5)^(D1061/12)*(H1061+IF(E1061=$N$7,$N$4,0))</f>
      </c>
      <c r="J1061" s="561">
        <f>(1+$G$5)^(D1061/12)*(H1061*(12-IF(MONTH(E1062)=12,0,MONTH(E1062)))+IF(AND(F1061=1,F1062=0),$Q$4,0))*IF(AND(F1061=1,F1062=0),1,0)</f>
      </c>
      <c r="K1061" s="217">
        <f>(1+$G$5)^(D1061/12)*(IF(E1061=$N$7,$N$4,0)+IF(E1061=$C$6,$B$10,0))</f>
      </c>
      <c r="L1061" s="217">
        <f>(1+$G$5)^(D1061/12)*(IF((E1061)&gt;($B$6),H1061,0)+IF(E1061=$N$7,$N$4,0)+IF(E1061=$C$6,0,0))</f>
      </c>
      <c r="M1061" s="1"/>
      <c r="N1061" s="7"/>
      <c r="O1061" s="1"/>
      <c r="P1061" s="331">
        <v>1054</v>
      </c>
      <c r="Q1061" s="544">
        <f>+DATE(YEAR(Q1060),MONTH(Q1060)-1,DAY(Q1060))</f>
        <v>25569.041666666668</v>
      </c>
      <c r="R1061" s="341">
        <f>IF($Z$7=$E1061,1,IF(MONTH($E1061)=1,R1062*(1+$F$5),R1062))</f>
      </c>
      <c r="S1061" s="334">
        <f>R1061*$B$8/12</f>
      </c>
      <c r="T1061" s="334">
        <f>R1061*$B$11/12</f>
      </c>
      <c r="U1061" s="565">
        <f>(1+$V$5)^(P1061/12)*(T1061+IF(Q1061=$Z$7,$Z$4,0))</f>
      </c>
      <c r="V1061" s="170"/>
      <c r="W1061" s="7"/>
      <c r="X1061" s="1"/>
      <c r="Y1061" s="1"/>
      <c r="Z1061" s="1"/>
      <c r="AA1061" s="1"/>
      <c r="AB1061" s="1"/>
      <c r="AC1061" s="331">
        <v>1054</v>
      </c>
      <c r="AD1061" s="544">
        <f>+DATE(YEAR(AD1060),MONTH(AD1060)-1,DAY(AD1060))</f>
        <v>25569.041666666668</v>
      </c>
      <c r="AE1061" s="341">
        <f>IF($AM$7=$E1061,1,IF(MONTH($E1061)=1,AE1062*(1+$F$5),AE1062))</f>
      </c>
      <c r="AF1061" s="334">
        <f>AE1061*$B$8/12</f>
      </c>
      <c r="AG1061" s="334">
        <f>AE1061*$B$12/12</f>
      </c>
      <c r="AH1061" s="565">
        <f>(1+$AI$5)^(AC1061/12)*(AG1061+IF(AD1061=$AM$7,$AM$4,0))</f>
      </c>
      <c r="AI1061" s="170"/>
      <c r="AJ1061" s="7"/>
      <c r="AK1061" s="1"/>
      <c r="AL1061" s="1"/>
      <c r="AM1061" s="1"/>
    </row>
    <row x14ac:dyDescent="0.25" r="1062" customHeight="1" ht="18.75">
      <c r="A1062" s="1"/>
      <c r="B1062" s="169"/>
      <c r="C1062" s="170"/>
      <c r="D1062" s="331">
        <v>1055</v>
      </c>
      <c r="E1062" s="544">
        <f>+DATE(YEAR(E1061),MONTH(E1061)-1,DAY(E1061))</f>
        <v>25569.041666666668</v>
      </c>
      <c r="F1062" s="333">
        <f>IF($C$6=$E1062,1,IF(MONTH($E1062)=1,F1063*(1+$F$5),F1063))</f>
      </c>
      <c r="G1062" s="333">
        <f>F1062*$B$8/12</f>
      </c>
      <c r="H1062" s="333">
        <f>IF(F1062=1,F1062*$B$10/MIN(12,'Simulador - 3º Pilar'!$E$88),0)</f>
      </c>
      <c r="I1062" s="560">
        <f>(1+$G$5)^(D1062/12)*(H1062+IF(E1062=$N$7,$N$4,0))</f>
      </c>
      <c r="J1062" s="561">
        <f>(1+$G$5)^(D1062/12)*(H1062*(12-IF(MONTH(E1063)=12,0,MONTH(E1063)))+IF(AND(F1062=1,F1063=0),$Q$4,0))*IF(AND(F1062=1,F1063=0),1,0)</f>
      </c>
      <c r="K1062" s="217">
        <f>(1+$G$5)^(D1062/12)*(IF(E1062=$N$7,$N$4,0)+IF(E1062=$C$6,$B$10,0))</f>
      </c>
      <c r="L1062" s="217">
        <f>(1+$G$5)^(D1062/12)*(IF((E1062)&gt;($B$6),H1062,0)+IF(E1062=$N$7,$N$4,0)+IF(E1062=$C$6,0,0))</f>
      </c>
      <c r="M1062" s="1"/>
      <c r="N1062" s="7"/>
      <c r="O1062" s="1"/>
      <c r="P1062" s="331">
        <v>1055</v>
      </c>
      <c r="Q1062" s="544">
        <f>+DATE(YEAR(Q1061),MONTH(Q1061)-1,DAY(Q1061))</f>
        <v>25569.041666666668</v>
      </c>
      <c r="R1062" s="341">
        <f>IF($Z$7=$E1062,1,IF(MONTH($E1062)=1,R1063*(1+$F$5),R1063))</f>
      </c>
      <c r="S1062" s="334">
        <f>R1062*$B$8/12</f>
      </c>
      <c r="T1062" s="334">
        <f>R1062*$B$11/12</f>
      </c>
      <c r="U1062" s="565">
        <f>(1+$V$5)^(P1062/12)*(T1062+IF(Q1062=$Z$7,$Z$4,0))</f>
      </c>
      <c r="V1062" s="170"/>
      <c r="W1062" s="7"/>
      <c r="X1062" s="1"/>
      <c r="Y1062" s="1"/>
      <c r="Z1062" s="1"/>
      <c r="AA1062" s="1"/>
      <c r="AB1062" s="1"/>
      <c r="AC1062" s="331">
        <v>1055</v>
      </c>
      <c r="AD1062" s="544">
        <f>+DATE(YEAR(AD1061),MONTH(AD1061)-1,DAY(AD1061))</f>
        <v>25569.041666666668</v>
      </c>
      <c r="AE1062" s="341">
        <f>IF($AM$7=$E1062,1,IF(MONTH($E1062)=1,AE1063*(1+$F$5),AE1063))</f>
      </c>
      <c r="AF1062" s="334">
        <f>AE1062*$B$8/12</f>
      </c>
      <c r="AG1062" s="334">
        <f>AE1062*$B$12/12</f>
      </c>
      <c r="AH1062" s="565">
        <f>(1+$AI$5)^(AC1062/12)*(AG1062+IF(AD1062=$AM$7,$AM$4,0))</f>
      </c>
      <c r="AI1062" s="170"/>
      <c r="AJ1062" s="7"/>
      <c r="AK1062" s="1"/>
      <c r="AL1062" s="1"/>
      <c r="AM1062" s="1"/>
    </row>
    <row x14ac:dyDescent="0.25" r="1063" customHeight="1" ht="18.75">
      <c r="A1063" s="1"/>
      <c r="B1063" s="169"/>
      <c r="C1063" s="170"/>
      <c r="D1063" s="331">
        <v>1056</v>
      </c>
      <c r="E1063" s="544">
        <f>+DATE(YEAR(E1062),MONTH(E1062)-1,DAY(E1062))</f>
        <v>25569.041666666668</v>
      </c>
      <c r="F1063" s="333">
        <f>IF($C$6=$E1063,1,IF(MONTH($E1063)=1,F1064*(1+$F$5),F1064))</f>
      </c>
      <c r="G1063" s="333">
        <f>F1063*$B$8/12</f>
      </c>
      <c r="H1063" s="333">
        <f>IF(F1063=1,F1063*$B$10/MIN(12,'Simulador - 3º Pilar'!$E$88),0)</f>
      </c>
      <c r="I1063" s="560">
        <f>(1+$G$5)^(D1063/12)*(H1063+IF(E1063=$N$7,$N$4,0))</f>
      </c>
      <c r="J1063" s="561">
        <f>(1+$G$5)^(D1063/12)*(H1063*(12-IF(MONTH(E1064)=12,0,MONTH(E1064)))+IF(AND(F1063=1,F1064=0),$Q$4,0))*IF(AND(F1063=1,F1064=0),1,0)</f>
      </c>
      <c r="K1063" s="217">
        <f>(1+$G$5)^(D1063/12)*(IF(E1063=$N$7,$N$4,0)+IF(E1063=$C$6,$B$10,0))</f>
      </c>
      <c r="L1063" s="217">
        <f>(1+$G$5)^(D1063/12)*(IF((E1063)&gt;($B$6),H1063,0)+IF(E1063=$N$7,$N$4,0)+IF(E1063=$C$6,0,0))</f>
      </c>
      <c r="M1063" s="1"/>
      <c r="N1063" s="7"/>
      <c r="O1063" s="1"/>
      <c r="P1063" s="331">
        <v>1056</v>
      </c>
      <c r="Q1063" s="544">
        <f>+DATE(YEAR(Q1062),MONTH(Q1062)-1,DAY(Q1062))</f>
        <v>25569.041666666668</v>
      </c>
      <c r="R1063" s="341">
        <f>IF($Z$7=$E1063,1,IF(MONTH($E1063)=1,R1064*(1+$F$5),R1064))</f>
      </c>
      <c r="S1063" s="334">
        <f>R1063*$B$8/12</f>
      </c>
      <c r="T1063" s="334">
        <f>R1063*$B$11/12</f>
      </c>
      <c r="U1063" s="565">
        <f>(1+$V$5)^(P1063/12)*(T1063+IF(Q1063=$Z$7,$Z$4,0))</f>
      </c>
      <c r="V1063" s="170"/>
      <c r="W1063" s="7"/>
      <c r="X1063" s="1"/>
      <c r="Y1063" s="1"/>
      <c r="Z1063" s="1"/>
      <c r="AA1063" s="1"/>
      <c r="AB1063" s="1"/>
      <c r="AC1063" s="331">
        <v>1056</v>
      </c>
      <c r="AD1063" s="544">
        <f>+DATE(YEAR(AD1062),MONTH(AD1062)-1,DAY(AD1062))</f>
        <v>25569.041666666668</v>
      </c>
      <c r="AE1063" s="341">
        <f>IF($AM$7=$E1063,1,IF(MONTH($E1063)=1,AE1064*(1+$F$5),AE1064))</f>
      </c>
      <c r="AF1063" s="334">
        <f>AE1063*$B$8/12</f>
      </c>
      <c r="AG1063" s="334">
        <f>AE1063*$B$12/12</f>
      </c>
      <c r="AH1063" s="565">
        <f>(1+$AI$5)^(AC1063/12)*(AG1063+IF(AD1063=$AM$7,$AM$4,0))</f>
      </c>
      <c r="AI1063" s="170"/>
      <c r="AJ1063" s="7"/>
      <c r="AK1063" s="1"/>
      <c r="AL1063" s="1"/>
      <c r="AM1063" s="1"/>
    </row>
    <row x14ac:dyDescent="0.25" r="1064" customHeight="1" ht="18.75">
      <c r="A1064" s="1"/>
      <c r="B1064" s="169"/>
      <c r="C1064" s="170"/>
      <c r="D1064" s="331">
        <v>1057</v>
      </c>
      <c r="E1064" s="544">
        <f>+DATE(YEAR(E1063),MONTH(E1063)-1,DAY(E1063))</f>
        <v>25569.041666666668</v>
      </c>
      <c r="F1064" s="333">
        <f>IF($C$6=$E1064,1,IF(MONTH($E1064)=1,F1065*(1+$F$5),F1065))</f>
      </c>
      <c r="G1064" s="333">
        <f>F1064*$B$8/12</f>
      </c>
      <c r="H1064" s="333">
        <f>IF(F1064=1,F1064*$B$10/MIN(12,'Simulador - 3º Pilar'!$E$88),0)</f>
      </c>
      <c r="I1064" s="560">
        <f>(1+$G$5)^(D1064/12)*(H1064+IF(E1064=$N$7,$N$4,0))</f>
      </c>
      <c r="J1064" s="561">
        <f>(1+$G$5)^(D1064/12)*(H1064*(12-IF(MONTH(E1065)=12,0,MONTH(E1065)))+IF(AND(F1064=1,F1065=0),$Q$4,0))*IF(AND(F1064=1,F1065=0),1,0)</f>
      </c>
      <c r="K1064" s="217">
        <f>(1+$G$5)^(D1064/12)*(IF(E1064=$N$7,$N$4,0)+IF(E1064=$C$6,$B$10,0))</f>
      </c>
      <c r="L1064" s="217">
        <f>(1+$G$5)^(D1064/12)*(IF((E1064)&gt;($B$6),H1064,0)+IF(E1064=$N$7,$N$4,0)+IF(E1064=$C$6,0,0))</f>
      </c>
      <c r="M1064" s="1"/>
      <c r="N1064" s="7"/>
      <c r="O1064" s="1"/>
      <c r="P1064" s="331">
        <v>1057</v>
      </c>
      <c r="Q1064" s="544">
        <f>+DATE(YEAR(Q1063),MONTH(Q1063)-1,DAY(Q1063))</f>
        <v>25569.041666666668</v>
      </c>
      <c r="R1064" s="341">
        <f>IF($Z$7=$E1064,1,IF(MONTH($E1064)=1,R1065*(1+$F$5),R1065))</f>
      </c>
      <c r="S1064" s="334">
        <f>R1064*$B$8/12</f>
      </c>
      <c r="T1064" s="334">
        <f>R1064*$B$11/12</f>
      </c>
      <c r="U1064" s="565">
        <f>(1+$V$5)^(P1064/12)*(T1064+IF(Q1064=$Z$7,$Z$4,0))</f>
      </c>
      <c r="V1064" s="170"/>
      <c r="W1064" s="7"/>
      <c r="X1064" s="1"/>
      <c r="Y1064" s="1"/>
      <c r="Z1064" s="1"/>
      <c r="AA1064" s="1"/>
      <c r="AB1064" s="1"/>
      <c r="AC1064" s="331">
        <v>1057</v>
      </c>
      <c r="AD1064" s="544">
        <f>+DATE(YEAR(AD1063),MONTH(AD1063)-1,DAY(AD1063))</f>
        <v>25569.041666666668</v>
      </c>
      <c r="AE1064" s="341">
        <f>IF($AM$7=$E1064,1,IF(MONTH($E1064)=1,AE1065*(1+$F$5),AE1065))</f>
      </c>
      <c r="AF1064" s="334">
        <f>AE1064*$B$8/12</f>
      </c>
      <c r="AG1064" s="334">
        <f>AE1064*$B$12/12</f>
      </c>
      <c r="AH1064" s="565">
        <f>(1+$AI$5)^(AC1064/12)*(AG1064+IF(AD1064=$AM$7,$AM$4,0))</f>
      </c>
      <c r="AI1064" s="170"/>
      <c r="AJ1064" s="7"/>
      <c r="AK1064" s="1"/>
      <c r="AL1064" s="1"/>
      <c r="AM1064" s="1"/>
    </row>
    <row x14ac:dyDescent="0.25" r="1065" customHeight="1" ht="18.75">
      <c r="A1065" s="1"/>
      <c r="B1065" s="169"/>
      <c r="C1065" s="170"/>
      <c r="D1065" s="331">
        <v>1058</v>
      </c>
      <c r="E1065" s="544">
        <f>+DATE(YEAR(E1064),MONTH(E1064)-1,DAY(E1064))</f>
        <v>25569.041666666668</v>
      </c>
      <c r="F1065" s="333">
        <f>IF($C$6=$E1065,1,IF(MONTH($E1065)=1,F1066*(1+$F$5),F1066))</f>
      </c>
      <c r="G1065" s="333">
        <f>F1065*$B$8/12</f>
      </c>
      <c r="H1065" s="333">
        <f>IF(F1065=1,F1065*$B$10/MIN(12,'Simulador - 3º Pilar'!$E$88),0)</f>
      </c>
      <c r="I1065" s="560">
        <f>(1+$G$5)^(D1065/12)*(H1065+IF(E1065=$N$7,$N$4,0))</f>
      </c>
      <c r="J1065" s="561">
        <f>(1+$G$5)^(D1065/12)*(H1065*(12-IF(MONTH(E1066)=12,0,MONTH(E1066)))+IF(AND(F1065=1,F1066=0),$Q$4,0))*IF(AND(F1065=1,F1066=0),1,0)</f>
      </c>
      <c r="K1065" s="217">
        <f>(1+$G$5)^(D1065/12)*(IF(E1065=$N$7,$N$4,0)+IF(E1065=$C$6,$B$10,0))</f>
      </c>
      <c r="L1065" s="217">
        <f>(1+$G$5)^(D1065/12)*(IF((E1065)&gt;($B$6),H1065,0)+IF(E1065=$N$7,$N$4,0)+IF(E1065=$C$6,0,0))</f>
      </c>
      <c r="M1065" s="1"/>
      <c r="N1065" s="7"/>
      <c r="O1065" s="1"/>
      <c r="P1065" s="331">
        <v>1058</v>
      </c>
      <c r="Q1065" s="544">
        <f>+DATE(YEAR(Q1064),MONTH(Q1064)-1,DAY(Q1064))</f>
        <v>25569.041666666668</v>
      </c>
      <c r="R1065" s="341">
        <f>IF($Z$7=$E1065,1,IF(MONTH($E1065)=1,R1066*(1+$F$5),R1066))</f>
      </c>
      <c r="S1065" s="334">
        <f>R1065*$B$8/12</f>
      </c>
      <c r="T1065" s="334">
        <f>R1065*$B$11/12</f>
      </c>
      <c r="U1065" s="565">
        <f>(1+$V$5)^(P1065/12)*(T1065+IF(Q1065=$Z$7,$Z$4,0))</f>
      </c>
      <c r="V1065" s="170"/>
      <c r="W1065" s="7"/>
      <c r="X1065" s="1"/>
      <c r="Y1065" s="1"/>
      <c r="Z1065" s="1"/>
      <c r="AA1065" s="1"/>
      <c r="AB1065" s="1"/>
      <c r="AC1065" s="331">
        <v>1058</v>
      </c>
      <c r="AD1065" s="544">
        <f>+DATE(YEAR(AD1064),MONTH(AD1064)-1,DAY(AD1064))</f>
        <v>25569.041666666668</v>
      </c>
      <c r="AE1065" s="341">
        <f>IF($AM$7=$E1065,1,IF(MONTH($E1065)=1,AE1066*(1+$F$5),AE1066))</f>
      </c>
      <c r="AF1065" s="334">
        <f>AE1065*$B$8/12</f>
      </c>
      <c r="AG1065" s="334">
        <f>AE1065*$B$12/12</f>
      </c>
      <c r="AH1065" s="565">
        <f>(1+$AI$5)^(AC1065/12)*(AG1065+IF(AD1065=$AM$7,$AM$4,0))</f>
      </c>
      <c r="AI1065" s="170"/>
      <c r="AJ1065" s="7"/>
      <c r="AK1065" s="1"/>
      <c r="AL1065" s="1"/>
      <c r="AM1065" s="1"/>
    </row>
    <row x14ac:dyDescent="0.25" r="1066" customHeight="1" ht="18.75">
      <c r="A1066" s="1"/>
      <c r="B1066" s="169"/>
      <c r="C1066" s="170"/>
      <c r="D1066" s="331">
        <v>1059</v>
      </c>
      <c r="E1066" s="544">
        <f>+DATE(YEAR(E1065),MONTH(E1065)-1,DAY(E1065))</f>
        <v>25569.041666666668</v>
      </c>
      <c r="F1066" s="333">
        <f>IF($C$6=$E1066,1,IF(MONTH($E1066)=1,F1067*(1+$F$5),F1067))</f>
      </c>
      <c r="G1066" s="333">
        <f>F1066*$B$8/12</f>
      </c>
      <c r="H1066" s="333">
        <f>IF(F1066=1,F1066*$B$10/MIN(12,'Simulador - 3º Pilar'!$E$88),0)</f>
      </c>
      <c r="I1066" s="560">
        <f>(1+$G$5)^(D1066/12)*(H1066+IF(E1066=$N$7,$N$4,0))</f>
      </c>
      <c r="J1066" s="561">
        <f>(1+$G$5)^(D1066/12)*(H1066*(12-IF(MONTH(E1067)=12,0,MONTH(E1067)))+IF(AND(F1066=1,F1067=0),$Q$4,0))*IF(AND(F1066=1,F1067=0),1,0)</f>
      </c>
      <c r="K1066" s="217">
        <f>(1+$G$5)^(D1066/12)*(IF(E1066=$N$7,$N$4,0)+IF(E1066=$C$6,$B$10,0))</f>
      </c>
      <c r="L1066" s="217">
        <f>(1+$G$5)^(D1066/12)*(IF((E1066)&gt;($B$6),H1066,0)+IF(E1066=$N$7,$N$4,0)+IF(E1066=$C$6,0,0))</f>
      </c>
      <c r="M1066" s="1"/>
      <c r="N1066" s="7"/>
      <c r="O1066" s="1"/>
      <c r="P1066" s="331">
        <v>1059</v>
      </c>
      <c r="Q1066" s="544">
        <f>+DATE(YEAR(Q1065),MONTH(Q1065)-1,DAY(Q1065))</f>
        <v>25569.041666666668</v>
      </c>
      <c r="R1066" s="341">
        <f>IF($Z$7=$E1066,1,IF(MONTH($E1066)=1,R1067*(1+$F$5),R1067))</f>
      </c>
      <c r="S1066" s="334">
        <f>R1066*$B$8/12</f>
      </c>
      <c r="T1066" s="334">
        <f>R1066*$B$11/12</f>
      </c>
      <c r="U1066" s="565">
        <f>(1+$V$5)^(P1066/12)*(T1066+IF(Q1066=$Z$7,$Z$4,0))</f>
      </c>
      <c r="V1066" s="170"/>
      <c r="W1066" s="7"/>
      <c r="X1066" s="1"/>
      <c r="Y1066" s="1"/>
      <c r="Z1066" s="1"/>
      <c r="AA1066" s="1"/>
      <c r="AB1066" s="1"/>
      <c r="AC1066" s="331">
        <v>1059</v>
      </c>
      <c r="AD1066" s="544">
        <f>+DATE(YEAR(AD1065),MONTH(AD1065)-1,DAY(AD1065))</f>
        <v>25569.041666666668</v>
      </c>
      <c r="AE1066" s="341">
        <f>IF($AM$7=$E1066,1,IF(MONTH($E1066)=1,AE1067*(1+$F$5),AE1067))</f>
      </c>
      <c r="AF1066" s="334">
        <f>AE1066*$B$8/12</f>
      </c>
      <c r="AG1066" s="334">
        <f>AE1066*$B$12/12</f>
      </c>
      <c r="AH1066" s="565">
        <f>(1+$AI$5)^(AC1066/12)*(AG1066+IF(AD1066=$AM$7,$AM$4,0))</f>
      </c>
      <c r="AI1066" s="170"/>
      <c r="AJ1066" s="7"/>
      <c r="AK1066" s="1"/>
      <c r="AL1066" s="1"/>
      <c r="AM1066" s="1"/>
    </row>
  </sheetData>
  <mergeCells count="3">
    <mergeCell ref="D1:N1"/>
    <mergeCell ref="P1:Z1"/>
    <mergeCell ref="AC1:A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H112"/>
  <sheetViews>
    <sheetView workbookViewId="0"/>
  </sheetViews>
  <sheetFormatPr defaultRowHeight="15" x14ac:dyDescent="0.25"/>
  <cols>
    <col min="1" max="1" style="163" width="2.4335714285714283" customWidth="1" bestFit="1"/>
    <col min="2" max="2" style="163" width="2.5764285714285715" customWidth="1" bestFit="1"/>
    <col min="3" max="3" style="163" width="1.005" customWidth="1" bestFit="1"/>
    <col min="4" max="4" style="163" width="35.43357142857143" customWidth="1" bestFit="1"/>
    <col min="5" max="5" style="164" width="12.290714285714287" customWidth="1" bestFit="1"/>
    <col min="6" max="6" style="163" width="2.7192857142857143" customWidth="1" bestFit="1"/>
    <col min="7" max="7" style="167" width="14.290714285714287" customWidth="1" bestFit="1"/>
    <col min="8" max="8" style="166" width="13.719285714285713" customWidth="1" bestFit="1"/>
    <col min="9" max="9" style="166" width="0.43357142857142855" customWidth="1" bestFit="1"/>
    <col min="10" max="10" style="166" width="20.005" customWidth="1" bestFit="1"/>
    <col min="11" max="11" style="164" width="18.433571428571426" customWidth="1" bestFit="1"/>
    <col min="12" max="12" style="163" width="1.719285714285714" customWidth="1" bestFit="1"/>
    <col min="13" max="13" style="163" width="1.719285714285714" customWidth="1" bestFit="1"/>
    <col min="14" max="14" style="163" width="1.719285714285714" customWidth="1" bestFit="1"/>
    <col min="15" max="15" style="163" width="1.719285714285714" customWidth="1" bestFit="1"/>
    <col min="16" max="16" style="164" width="9.290714285714287" customWidth="1" bestFit="1"/>
    <col min="17" max="17" style="163" width="5.719285714285714" customWidth="1" bestFit="1"/>
    <col min="18" max="18" style="163" width="13.005" customWidth="1" bestFit="1"/>
    <col min="19" max="19" style="163" width="13.719285714285713" customWidth="1" bestFit="1"/>
    <col min="20" max="20" style="163" width="14.005" customWidth="1" bestFit="1"/>
    <col min="21" max="21" style="163" width="9.290714285714287" customWidth="1" bestFit="1"/>
    <col min="22" max="22" style="163" width="16.576428571428572" customWidth="1" bestFit="1"/>
    <col min="23" max="23" style="163" width="15.576428571428572" customWidth="1" bestFit="1"/>
    <col min="24" max="24" style="163" width="14.719285714285713" customWidth="1" bestFit="1"/>
    <col min="25" max="25" style="163" width="12.290714285714287" customWidth="1" bestFit="1"/>
    <col min="26" max="26" style="163" width="20.576428571428572" customWidth="1" bestFit="1"/>
    <col min="27" max="27" style="163" width="13.43357142857143" customWidth="1" bestFit="1"/>
    <col min="28" max="28" style="163" width="22.576428571428572" customWidth="1" bestFit="1"/>
    <col min="29" max="29" style="163" width="9.290714285714287" customWidth="1" bestFit="1"/>
    <col min="30" max="30" style="163" width="11.005" customWidth="1" bestFit="1"/>
    <col min="31" max="31" style="163" width="11.290714285714287" customWidth="1" bestFit="1"/>
    <col min="32" max="32" style="163" width="9.290714285714287" customWidth="1" bestFit="1"/>
    <col min="33" max="33" style="163" width="9.290714285714287" customWidth="1" bestFit="1"/>
    <col min="34" max="34" style="163" width="9.290714285714287" customWidth="1" bestFit="1"/>
    <col min="35" max="35" style="163" width="9.290714285714287" customWidth="1" bestFit="1"/>
    <col min="36" max="36" style="163" width="19.290714285714284" customWidth="1" bestFit="1"/>
    <col min="37" max="37" style="163" width="9.290714285714287" customWidth="1" bestFit="1"/>
    <col min="38" max="38" style="163" width="9.290714285714287" customWidth="1" bestFit="1"/>
    <col min="39" max="39" style="163" width="9.290714285714287" customWidth="1" bestFit="1"/>
    <col min="40" max="40" style="163" width="9.290714285714287" customWidth="1" bestFit="1"/>
    <col min="41" max="41" style="163" width="9.290714285714287" customWidth="1" bestFit="1"/>
    <col min="42" max="42" style="163" width="9.290714285714287" customWidth="1" bestFit="1"/>
    <col min="43" max="43" style="163" width="9.290714285714287" customWidth="1" bestFit="1"/>
    <col min="44" max="44" style="163" width="9.290714285714287" customWidth="1" bestFit="1"/>
    <col min="45" max="45" style="163" width="9.290714285714287" customWidth="1" bestFit="1"/>
    <col min="46" max="46" style="163" width="9.290714285714287" customWidth="1" bestFit="1"/>
    <col min="47" max="47" style="163" width="9.290714285714287" customWidth="1" bestFit="1"/>
    <col min="48" max="48" style="163" width="9.290714285714287" customWidth="1" bestFit="1"/>
    <col min="49" max="49" style="163" width="9.290714285714287" customWidth="1" bestFit="1"/>
    <col min="50" max="50" style="163" width="9.290714285714287" customWidth="1" bestFit="1"/>
    <col min="51" max="51" style="163" width="7.576428571428571" customWidth="1" bestFit="1"/>
    <col min="52" max="52" style="163" width="9.290714285714287" customWidth="1" bestFit="1"/>
    <col min="53" max="53" style="163" width="9.290714285714287" customWidth="1" bestFit="1"/>
    <col min="54" max="54" style="163" width="9.290714285714287" customWidth="1" bestFit="1"/>
    <col min="55" max="55" style="163" width="9.290714285714287" customWidth="1" bestFit="1"/>
    <col min="56" max="56" style="163" width="9.290714285714287" customWidth="1" bestFit="1"/>
    <col min="57" max="57" style="163" width="9.290714285714287" customWidth="1" bestFit="1"/>
    <col min="58" max="58" style="163" width="9.290714285714287" customWidth="1" bestFit="1"/>
    <col min="59" max="59" style="163" width="9.290714285714287" customWidth="1" bestFit="1"/>
    <col min="60" max="60" style="163" width="9.290714285714287" customWidth="1" bestFit="1"/>
  </cols>
  <sheetData>
    <row x14ac:dyDescent="0.25" r="1" customHeight="1" ht="18.75">
      <c r="A1" s="1"/>
      <c r="B1" s="1"/>
      <c r="C1" s="1"/>
      <c r="D1" s="139"/>
      <c r="E1" s="354"/>
      <c r="F1" s="139"/>
      <c r="G1" s="355"/>
      <c r="H1" s="356"/>
      <c r="I1" s="356"/>
      <c r="J1" s="356"/>
      <c r="K1" s="354"/>
      <c r="L1" s="139"/>
      <c r="M1" s="139"/>
      <c r="N1" s="139"/>
      <c r="O1" s="139"/>
      <c r="P1" s="354"/>
      <c r="Q1" s="139"/>
      <c r="R1" s="139"/>
      <c r="S1" s="139"/>
      <c r="T1" s="139"/>
      <c r="U1" s="139"/>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row>
    <row x14ac:dyDescent="0.25" r="2" customHeight="1" ht="36.6">
      <c r="A2" s="1"/>
      <c r="B2" s="260" t="s">
        <v>121</v>
      </c>
      <c r="C2" s="260"/>
      <c r="D2" s="260"/>
      <c r="E2" s="261"/>
      <c r="F2" s="260"/>
      <c r="G2" s="357"/>
      <c r="H2" s="358"/>
      <c r="I2" s="358"/>
      <c r="J2" s="358"/>
      <c r="K2" s="261"/>
      <c r="L2" s="178"/>
      <c r="M2" s="139"/>
      <c r="N2" s="139"/>
      <c r="O2" s="139"/>
      <c r="P2" s="354"/>
      <c r="Q2" s="139"/>
      <c r="R2" s="139"/>
      <c r="S2" s="139"/>
      <c r="T2" s="139"/>
      <c r="U2" s="139"/>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row>
    <row x14ac:dyDescent="0.25" r="3" customHeight="1" ht="3">
      <c r="A3" s="1"/>
      <c r="B3" s="1"/>
      <c r="C3" s="1"/>
      <c r="D3" s="359"/>
      <c r="E3" s="360"/>
      <c r="F3" s="359"/>
      <c r="G3" s="361"/>
      <c r="H3" s="362"/>
      <c r="I3" s="362"/>
      <c r="J3" s="362"/>
      <c r="K3" s="360"/>
      <c r="L3" s="363"/>
      <c r="M3" s="139"/>
      <c r="N3" s="139"/>
      <c r="O3" s="139"/>
      <c r="P3" s="354"/>
      <c r="Q3" s="139"/>
      <c r="R3" s="139"/>
      <c r="S3" s="139"/>
      <c r="T3" s="139"/>
      <c r="U3" s="139"/>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row>
    <row x14ac:dyDescent="0.25" r="4" customHeight="1" ht="14.65">
      <c r="A4" s="1"/>
      <c r="B4" s="364" t="s">
        <v>122</v>
      </c>
      <c r="C4" s="365"/>
      <c r="D4" s="366"/>
      <c r="E4" s="170"/>
      <c r="F4" s="139"/>
      <c r="G4" s="7"/>
      <c r="H4" s="367" t="s">
        <v>52</v>
      </c>
      <c r="I4" s="367"/>
      <c r="J4" s="367"/>
      <c r="K4" s="368">
        <f>+'Simulador - 1º Pilar'!G20</f>
        <v>25569.041666666668</v>
      </c>
      <c r="L4" s="139"/>
      <c r="M4" s="139"/>
      <c r="N4" s="139"/>
      <c r="O4" s="139"/>
      <c r="P4" s="354"/>
      <c r="Q4" s="139"/>
      <c r="R4" s="139"/>
      <c r="S4" s="139"/>
      <c r="T4" s="139"/>
      <c r="U4" s="139"/>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row>
    <row x14ac:dyDescent="0.25" r="5" customHeight="1" ht="4.15">
      <c r="A5" s="1"/>
      <c r="B5" s="365"/>
      <c r="C5" s="365"/>
      <c r="D5" s="366"/>
      <c r="E5" s="170"/>
      <c r="F5" s="139"/>
      <c r="G5" s="7"/>
      <c r="H5" s="367"/>
      <c r="I5" s="367"/>
      <c r="J5" s="367"/>
      <c r="K5" s="368"/>
      <c r="L5" s="139"/>
      <c r="M5" s="139"/>
      <c r="N5" s="139"/>
      <c r="O5" s="139"/>
      <c r="P5" s="354"/>
      <c r="Q5" s="139"/>
      <c r="R5" s="139"/>
      <c r="S5" s="139"/>
      <c r="T5" s="139"/>
      <c r="U5" s="139"/>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row>
    <row x14ac:dyDescent="0.25" r="6" customHeight="1" ht="17.65">
      <c r="A6" s="1"/>
      <c r="B6" s="369" t="s">
        <v>123</v>
      </c>
      <c r="C6" s="370"/>
      <c r="D6" s="370"/>
      <c r="E6" s="371"/>
      <c r="F6" s="372"/>
      <c r="G6" s="373"/>
      <c r="H6" s="374">
        <v>0</v>
      </c>
      <c r="I6" s="375"/>
      <c r="J6" s="376" t="s">
        <v>124</v>
      </c>
      <c r="K6" s="377">
        <f>IFERROR(IF(H6&lt;0,"-",H6),"")</f>
      </c>
      <c r="L6" s="139"/>
      <c r="M6" s="139"/>
      <c r="N6" s="139"/>
      <c r="O6" s="139"/>
      <c r="P6" s="354"/>
      <c r="Q6" s="139"/>
      <c r="R6" s="139"/>
      <c r="S6" s="139"/>
      <c r="T6" s="139"/>
      <c r="U6" s="171"/>
      <c r="V6" s="171"/>
      <c r="W6" s="171"/>
      <c r="X6" s="17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row>
    <row x14ac:dyDescent="0.25" r="7" customHeight="1" ht="17.65">
      <c r="A7" s="1"/>
      <c r="B7" s="370"/>
      <c r="C7" s="370"/>
      <c r="D7" s="370"/>
      <c r="E7" s="371"/>
      <c r="F7" s="372"/>
      <c r="G7" s="373"/>
      <c r="H7" s="378"/>
      <c r="I7" s="379"/>
      <c r="J7" s="380" t="s">
        <v>125</v>
      </c>
      <c r="K7" s="381">
        <f>IFERROR(-E90*MIN(12,E88),"")</f>
      </c>
      <c r="L7" s="139"/>
      <c r="M7" s="218"/>
      <c r="N7" s="139"/>
      <c r="O7" s="139"/>
      <c r="P7" s="354"/>
      <c r="Q7" s="139"/>
      <c r="R7" s="139"/>
      <c r="S7" s="139"/>
      <c r="T7" s="139"/>
      <c r="U7" s="171"/>
      <c r="V7" s="171"/>
      <c r="W7" s="171"/>
      <c r="X7" s="17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row>
    <row x14ac:dyDescent="0.25" r="8" customHeight="1" ht="7.5">
      <c r="A8" s="1"/>
      <c r="B8" s="139"/>
      <c r="C8" s="139"/>
      <c r="D8" s="139"/>
      <c r="E8" s="354"/>
      <c r="F8" s="139"/>
      <c r="G8" s="355"/>
      <c r="H8" s="356"/>
      <c r="I8" s="356"/>
      <c r="J8" s="382"/>
      <c r="K8" s="383"/>
      <c r="L8" s="139"/>
      <c r="M8" s="139"/>
      <c r="N8" s="139"/>
      <c r="O8" s="139"/>
      <c r="P8" s="354"/>
      <c r="Q8" s="139"/>
      <c r="R8" s="139"/>
      <c r="S8" s="139"/>
      <c r="T8" s="139"/>
      <c r="U8" s="171"/>
      <c r="V8" s="171"/>
      <c r="W8" s="171"/>
      <c r="X8" s="17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row>
    <row x14ac:dyDescent="0.25" r="9" customHeight="1" ht="20.65">
      <c r="A9" s="1"/>
      <c r="B9" s="384" t="s">
        <v>126</v>
      </c>
      <c r="C9" s="385"/>
      <c r="D9" s="385"/>
      <c r="E9" s="386"/>
      <c r="F9" s="139"/>
      <c r="G9" s="387" t="s">
        <v>127</v>
      </c>
      <c r="H9" s="388"/>
      <c r="I9" s="388"/>
      <c r="J9" s="389"/>
      <c r="K9" s="390">
        <v>0</v>
      </c>
      <c r="L9" s="139"/>
      <c r="M9" s="139"/>
      <c r="N9" s="139"/>
      <c r="O9" s="139"/>
      <c r="P9" s="354"/>
      <c r="Q9" s="139"/>
      <c r="R9" s="139"/>
      <c r="S9" s="139"/>
      <c r="T9" s="139"/>
      <c r="U9" s="171"/>
      <c r="V9" s="171"/>
      <c r="W9" s="171"/>
      <c r="X9" s="17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row>
    <row x14ac:dyDescent="0.25" r="10" customHeight="1" ht="18.6">
      <c r="A10" s="1"/>
      <c r="B10" s="385"/>
      <c r="C10" s="385"/>
      <c r="D10" s="385"/>
      <c r="E10" s="386"/>
      <c r="F10" s="139"/>
      <c r="G10" s="391"/>
      <c r="H10" s="388"/>
      <c r="I10" s="388"/>
      <c r="J10" s="389"/>
      <c r="K10" s="392">
        <f>IFERROR(K9,"-")</f>
      </c>
      <c r="L10" s="139"/>
      <c r="M10" s="139"/>
      <c r="N10" s="139"/>
      <c r="O10" s="139"/>
      <c r="P10" s="354"/>
      <c r="Q10" s="139"/>
      <c r="R10" s="139"/>
      <c r="S10" s="139"/>
      <c r="T10" s="139"/>
      <c r="U10" s="171"/>
      <c r="V10" s="171"/>
      <c r="W10" s="171"/>
      <c r="X10" s="17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row>
    <row x14ac:dyDescent="0.25" r="11" customHeight="1" ht="6">
      <c r="A11" s="1"/>
      <c r="B11" s="1"/>
      <c r="C11" s="30"/>
      <c r="D11" s="393"/>
      <c r="E11" s="394"/>
      <c r="F11" s="207"/>
      <c r="G11" s="395"/>
      <c r="H11" s="396"/>
      <c r="I11" s="396"/>
      <c r="J11" s="397"/>
      <c r="K11" s="397"/>
      <c r="L11" s="139"/>
      <c r="M11" s="139"/>
      <c r="N11" s="139"/>
      <c r="O11" s="139"/>
      <c r="P11" s="354"/>
      <c r="Q11" s="139"/>
      <c r="R11" s="139"/>
      <c r="S11" s="139"/>
      <c r="T11" s="139"/>
      <c r="U11" s="171"/>
      <c r="V11" s="171"/>
      <c r="W11" s="171"/>
      <c r="X11" s="17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row>
    <row x14ac:dyDescent="0.25" r="12" customHeight="1" ht="4.15">
      <c r="A12" s="1"/>
      <c r="B12" s="1"/>
      <c r="C12" s="398"/>
      <c r="D12" s="399"/>
      <c r="E12" s="400"/>
      <c r="F12" s="139"/>
      <c r="G12" s="401"/>
      <c r="H12" s="402"/>
      <c r="I12" s="402"/>
      <c r="J12" s="402"/>
      <c r="K12" s="400"/>
      <c r="L12" s="139"/>
      <c r="M12" s="139"/>
      <c r="N12" s="139"/>
      <c r="O12" s="139"/>
      <c r="P12" s="354"/>
      <c r="Q12" s="139"/>
      <c r="R12" s="139"/>
      <c r="S12" s="139"/>
      <c r="T12" s="139"/>
      <c r="U12" s="171"/>
      <c r="V12" s="171"/>
      <c r="W12" s="171"/>
      <c r="X12" s="17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row>
    <row x14ac:dyDescent="0.25" r="13" customHeight="1" ht="33">
      <c r="A13" s="1"/>
      <c r="B13" s="403" t="s">
        <v>128</v>
      </c>
      <c r="C13" s="404"/>
      <c r="D13" s="405" t="s">
        <v>129</v>
      </c>
      <c r="E13" s="406"/>
      <c r="F13" s="393"/>
      <c r="G13" s="391" t="s">
        <v>130</v>
      </c>
      <c r="H13" s="388"/>
      <c r="I13" s="388"/>
      <c r="J13" s="388"/>
      <c r="K13" s="407"/>
      <c r="L13" s="139"/>
      <c r="M13" s="139"/>
      <c r="N13" s="139"/>
      <c r="O13" s="139"/>
      <c r="P13" s="354"/>
      <c r="Q13" s="139"/>
      <c r="R13" s="139"/>
      <c r="S13" s="139"/>
      <c r="T13" s="139"/>
      <c r="U13" s="171"/>
      <c r="V13" s="171"/>
      <c r="W13" s="171"/>
      <c r="X13" s="17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row>
    <row x14ac:dyDescent="0.25" r="14" customHeight="1" ht="17.65">
      <c r="A14" s="1"/>
      <c r="B14" s="408"/>
      <c r="C14" s="404"/>
      <c r="D14" s="409"/>
      <c r="E14" s="406"/>
      <c r="F14" s="393"/>
      <c r="G14" s="410"/>
      <c r="H14" s="411"/>
      <c r="I14" s="298">
        <v>0</v>
      </c>
      <c r="J14" s="298"/>
      <c r="K14" s="412"/>
      <c r="L14" s="139"/>
      <c r="M14" s="139"/>
      <c r="N14" s="139"/>
      <c r="O14" s="139"/>
      <c r="P14" s="354"/>
      <c r="Q14" s="139"/>
      <c r="R14" s="139"/>
      <c r="S14" s="139"/>
      <c r="T14" s="139"/>
      <c r="U14" s="139"/>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row>
    <row x14ac:dyDescent="0.25" r="15" customHeight="1" ht="17.65">
      <c r="A15" s="1"/>
      <c r="B15" s="408"/>
      <c r="C15" s="404"/>
      <c r="D15" s="409"/>
      <c r="E15" s="406"/>
      <c r="F15" s="393"/>
      <c r="G15" s="410"/>
      <c r="H15" s="411"/>
      <c r="I15" s="413">
        <v>44561</v>
      </c>
      <c r="J15" s="413"/>
      <c r="K15" s="412"/>
      <c r="L15" s="139"/>
      <c r="M15" s="139"/>
      <c r="N15" s="139"/>
      <c r="O15" s="139"/>
      <c r="P15" s="354"/>
      <c r="Q15" s="139"/>
      <c r="R15" s="139"/>
      <c r="S15" s="139"/>
      <c r="T15" s="139"/>
      <c r="U15" s="139"/>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row>
    <row x14ac:dyDescent="0.25" r="16" customHeight="1" ht="5.25">
      <c r="A16" s="1"/>
      <c r="B16" s="414"/>
      <c r="C16" s="415"/>
      <c r="D16" s="393"/>
      <c r="E16" s="394"/>
      <c r="F16" s="393"/>
      <c r="G16" s="410"/>
      <c r="H16" s="411"/>
      <c r="I16" s="411"/>
      <c r="J16" s="416"/>
      <c r="K16" s="416"/>
      <c r="L16" s="139"/>
      <c r="M16" s="139"/>
      <c r="N16" s="139"/>
      <c r="O16" s="139"/>
      <c r="P16" s="354"/>
      <c r="Q16" s="139"/>
      <c r="R16" s="139"/>
      <c r="S16" s="139"/>
      <c r="T16" s="139"/>
      <c r="U16" s="139"/>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row>
    <row x14ac:dyDescent="0.25" r="17" customHeight="1" ht="4.15">
      <c r="A17" s="1"/>
      <c r="B17" s="414"/>
      <c r="C17" s="414"/>
      <c r="D17" s="308"/>
      <c r="E17" s="311"/>
      <c r="F17" s="308"/>
      <c r="G17" s="417"/>
      <c r="H17" s="418"/>
      <c r="I17" s="418"/>
      <c r="J17" s="418"/>
      <c r="K17" s="311"/>
      <c r="L17" s="139"/>
      <c r="M17" s="139"/>
      <c r="N17" s="139"/>
      <c r="O17" s="139"/>
      <c r="P17" s="354"/>
      <c r="Q17" s="139"/>
      <c r="R17" s="139"/>
      <c r="S17" s="139"/>
      <c r="T17" s="139"/>
      <c r="U17" s="139"/>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row>
    <row x14ac:dyDescent="0.25" r="18" customHeight="1" ht="28.149999999999995">
      <c r="A18" s="1"/>
      <c r="B18" s="419" t="s">
        <v>113</v>
      </c>
      <c r="C18" s="420"/>
      <c r="D18" s="405" t="s">
        <v>131</v>
      </c>
      <c r="E18" s="406"/>
      <c r="F18" s="393"/>
      <c r="G18" s="391" t="s">
        <v>132</v>
      </c>
      <c r="H18" s="388"/>
      <c r="I18" s="388"/>
      <c r="J18" s="388"/>
      <c r="K18" s="407"/>
      <c r="L18" s="139"/>
      <c r="M18" s="139"/>
      <c r="N18" s="139"/>
      <c r="O18" s="139"/>
      <c r="P18" s="354"/>
      <c r="Q18" s="139"/>
      <c r="R18" s="219"/>
      <c r="S18" s="139"/>
      <c r="T18" s="1"/>
      <c r="U18" s="139"/>
      <c r="V18" s="1"/>
      <c r="W18" s="1"/>
      <c r="X18" s="1"/>
      <c r="Y18" s="17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row>
    <row x14ac:dyDescent="0.25" r="19" customHeight="1" ht="17.65">
      <c r="A19" s="1"/>
      <c r="B19" s="421"/>
      <c r="C19" s="420"/>
      <c r="D19" s="409"/>
      <c r="E19" s="406"/>
      <c r="F19" s="393"/>
      <c r="G19" s="422"/>
      <c r="H19" s="423"/>
      <c r="I19" s="424" t="s">
        <v>133</v>
      </c>
      <c r="J19" s="424"/>
      <c r="K19" s="425"/>
      <c r="L19" s="139"/>
      <c r="M19" s="139"/>
      <c r="N19" s="139"/>
      <c r="O19" s="139"/>
      <c r="P19" s="218">
        <v>7927.693060900462</v>
      </c>
      <c r="Q19" s="139"/>
      <c r="R19" s="139"/>
      <c r="S19" s="139"/>
      <c r="T19" s="139"/>
      <c r="U19" s="139"/>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row>
    <row x14ac:dyDescent="0.25" r="20" customHeight="1" ht="17.65">
      <c r="A20" s="1"/>
      <c r="B20" s="421"/>
      <c r="C20" s="420"/>
      <c r="D20" s="409"/>
      <c r="E20" s="406"/>
      <c r="F20" s="426"/>
      <c r="G20" s="427">
        <f>+IF(I19="Mi propio perfil","Indique la rentabilidad:","")</f>
      </c>
      <c r="H20" s="428"/>
      <c r="I20" s="424">
        <v>0.1</v>
      </c>
      <c r="J20" s="424"/>
      <c r="K20" s="425"/>
      <c r="L20" s="139"/>
      <c r="M20" s="139"/>
      <c r="N20" s="139"/>
      <c r="O20" s="139"/>
      <c r="P20" s="218">
        <v>7853.947078938596</v>
      </c>
      <c r="Q20" s="139"/>
      <c r="R20" s="139"/>
      <c r="S20" s="139"/>
      <c r="T20" s="139"/>
      <c r="U20" s="139"/>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row>
    <row x14ac:dyDescent="0.25" r="21" customHeight="1" ht="5.25">
      <c r="A21" s="1"/>
      <c r="B21" s="429"/>
      <c r="C21" s="430"/>
      <c r="D21" s="431"/>
      <c r="E21" s="432"/>
      <c r="F21" s="433"/>
      <c r="G21" s="433"/>
      <c r="H21" s="433"/>
      <c r="I21" s="433"/>
      <c r="J21" s="433"/>
      <c r="K21" s="433"/>
      <c r="L21" s="139"/>
      <c r="M21" s="139"/>
      <c r="N21" s="139"/>
      <c r="O21" s="139"/>
      <c r="P21" s="354"/>
      <c r="Q21" s="139"/>
      <c r="R21" s="139"/>
      <c r="S21" s="139"/>
      <c r="T21" s="139"/>
      <c r="U21" s="139"/>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row>
    <row x14ac:dyDescent="0.25" r="22" customHeight="1" ht="5.1">
      <c r="A22" s="1"/>
      <c r="B22" s="434"/>
      <c r="C22" s="434"/>
      <c r="D22" s="308"/>
      <c r="E22" s="311"/>
      <c r="F22" s="308"/>
      <c r="G22" s="417"/>
      <c r="H22" s="418"/>
      <c r="I22" s="435"/>
      <c r="J22" s="418"/>
      <c r="K22" s="311"/>
      <c r="L22" s="139"/>
      <c r="M22" s="139"/>
      <c r="N22" s="139"/>
      <c r="O22" s="139"/>
      <c r="P22" s="354"/>
      <c r="Q22" s="139"/>
      <c r="R22" s="139"/>
      <c r="S22" s="139"/>
      <c r="T22" s="139"/>
      <c r="U22" s="139"/>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row>
    <row x14ac:dyDescent="0.25" r="23" customHeight="1" ht="17.65">
      <c r="A23" s="1"/>
      <c r="B23" s="436" t="s">
        <v>134</v>
      </c>
      <c r="C23" s="437"/>
      <c r="D23" s="438" t="s">
        <v>135</v>
      </c>
      <c r="E23" s="439"/>
      <c r="F23" s="308"/>
      <c r="G23" s="440">
        <f>IFERROR(IF(D76="SI",$E$97,$E$96),"-")</f>
      </c>
      <c r="H23" s="440"/>
      <c r="I23" s="440"/>
      <c r="J23" s="440"/>
      <c r="K23" s="441"/>
      <c r="L23" s="139"/>
      <c r="M23" s="139"/>
      <c r="N23" s="139"/>
      <c r="O23" s="139"/>
      <c r="P23" s="354"/>
      <c r="Q23" s="139"/>
      <c r="R23" s="139"/>
      <c r="S23" s="139"/>
      <c r="T23" s="139"/>
      <c r="U23" s="139"/>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row>
    <row x14ac:dyDescent="0.25" r="24" customHeight="1" ht="2.25">
      <c r="A24" s="1"/>
      <c r="B24" s="442"/>
      <c r="C24" s="443"/>
      <c r="D24" s="444"/>
      <c r="E24" s="445"/>
      <c r="F24" s="308"/>
      <c r="G24" s="446"/>
      <c r="H24" s="446"/>
      <c r="I24" s="446"/>
      <c r="J24" s="446"/>
      <c r="K24" s="441"/>
      <c r="L24" s="139"/>
      <c r="M24" s="139"/>
      <c r="N24" s="139"/>
      <c r="O24" s="139"/>
      <c r="P24" s="354"/>
      <c r="Q24" s="139"/>
      <c r="R24" s="139"/>
      <c r="S24" s="139"/>
      <c r="T24" s="139"/>
      <c r="U24" s="139"/>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row>
    <row x14ac:dyDescent="0.25" r="25" customHeight="1" ht="17.65">
      <c r="A25" s="1"/>
      <c r="B25" s="442"/>
      <c r="C25" s="437"/>
      <c r="D25" s="447" t="s">
        <v>136</v>
      </c>
      <c r="E25" s="439"/>
      <c r="F25" s="308"/>
      <c r="G25" s="391" t="s">
        <v>15</v>
      </c>
      <c r="H25" s="388"/>
      <c r="I25" s="356"/>
      <c r="J25" s="388" t="s">
        <v>16</v>
      </c>
      <c r="K25" s="311"/>
      <c r="L25" s="139"/>
      <c r="M25" s="139"/>
      <c r="N25" s="139"/>
      <c r="O25" s="139"/>
      <c r="P25" s="354"/>
      <c r="Q25" s="139"/>
      <c r="R25" s="139"/>
      <c r="S25" s="139"/>
      <c r="T25" s="1"/>
      <c r="U25" s="448"/>
      <c r="V25" s="448"/>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row>
    <row x14ac:dyDescent="0.25" r="26" customHeight="1" ht="2.25">
      <c r="A26" s="1"/>
      <c r="B26" s="442"/>
      <c r="C26" s="437"/>
      <c r="D26" s="438"/>
      <c r="E26" s="439"/>
      <c r="F26" s="308"/>
      <c r="G26" s="449"/>
      <c r="H26" s="450"/>
      <c r="I26" s="450"/>
      <c r="J26" s="450"/>
      <c r="K26" s="311"/>
      <c r="L26" s="139"/>
      <c r="M26" s="139"/>
      <c r="N26" s="139"/>
      <c r="O26" s="139"/>
      <c r="P26" s="354"/>
      <c r="Q26" s="139"/>
      <c r="R26" s="139"/>
      <c r="S26" s="139"/>
      <c r="T26" s="139"/>
      <c r="U26" s="448"/>
      <c r="V26" s="448"/>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row>
    <row x14ac:dyDescent="0.25" r="27" customHeight="1" ht="17.65">
      <c r="A27" s="1"/>
      <c r="B27" s="442"/>
      <c r="C27" s="437"/>
      <c r="D27" s="438"/>
      <c r="E27" s="439"/>
      <c r="F27" s="308"/>
      <c r="G27" s="451">
        <f>IFERROR(G23/'Renta Vitalicia'!$F$5,"-")</f>
      </c>
      <c r="H27" s="451"/>
      <c r="I27" s="356"/>
      <c r="J27" s="440">
        <f>IFERROR(+G27/12,"-")</f>
      </c>
      <c r="K27" s="311"/>
      <c r="L27" s="139"/>
      <c r="M27" s="139"/>
      <c r="N27" s="139"/>
      <c r="O27" s="139"/>
      <c r="P27" s="354"/>
      <c r="Q27" s="139"/>
      <c r="R27" s="139"/>
      <c r="S27" s="139"/>
      <c r="T27" s="139"/>
      <c r="U27" s="448"/>
      <c r="V27" s="448"/>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row>
    <row x14ac:dyDescent="0.25" r="28" customHeight="1" ht="15">
      <c r="A28" s="1"/>
      <c r="B28" s="442"/>
      <c r="C28" s="452"/>
      <c r="D28" s="1"/>
      <c r="E28" s="170"/>
      <c r="F28" s="1"/>
      <c r="G28" s="7"/>
      <c r="H28" s="168"/>
      <c r="I28" s="168"/>
      <c r="J28" s="397"/>
      <c r="K28" s="311"/>
      <c r="L28" s="139"/>
      <c r="M28" s="139"/>
      <c r="N28" s="139"/>
      <c r="O28" s="139"/>
      <c r="P28" s="354"/>
      <c r="Q28" s="139"/>
      <c r="R28" s="139"/>
      <c r="S28" s="139"/>
      <c r="T28" s="139"/>
      <c r="U28" s="448"/>
      <c r="V28" s="448"/>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row>
    <row x14ac:dyDescent="0.25" r="29" customHeight="1" ht="9">
      <c r="A29" s="1"/>
      <c r="B29" s="442"/>
      <c r="C29" s="443"/>
      <c r="D29" s="453"/>
      <c r="E29" s="454"/>
      <c r="F29" s="308"/>
      <c r="G29" s="417"/>
      <c r="H29" s="455"/>
      <c r="I29" s="455"/>
      <c r="J29" s="433"/>
      <c r="K29" s="311"/>
      <c r="L29" s="139"/>
      <c r="M29" s="139"/>
      <c r="N29" s="139"/>
      <c r="O29" s="139"/>
      <c r="P29" s="354"/>
      <c r="Q29" s="139"/>
      <c r="R29" s="139"/>
      <c r="S29" s="139"/>
      <c r="T29" s="139"/>
      <c r="U29" s="448"/>
      <c r="V29" s="448"/>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row>
    <row x14ac:dyDescent="0.25" r="30" customHeight="1" ht="17.65">
      <c r="A30" s="1"/>
      <c r="B30" s="442"/>
      <c r="C30" s="437"/>
      <c r="D30" s="438" t="s">
        <v>83</v>
      </c>
      <c r="E30" s="439"/>
      <c r="F30" s="308"/>
      <c r="G30" s="456">
        <f>IFERROR(+G27/$H$49,"-")</f>
      </c>
      <c r="H30" s="456"/>
      <c r="I30" s="456"/>
      <c r="J30" s="456"/>
      <c r="K30" s="311"/>
      <c r="L30" s="139"/>
      <c r="M30" s="139"/>
      <c r="N30" s="139"/>
      <c r="O30" s="139"/>
      <c r="P30" s="354"/>
      <c r="Q30" s="139"/>
      <c r="R30" s="139"/>
      <c r="S30" s="139"/>
      <c r="T30" s="139"/>
      <c r="U30" s="448"/>
      <c r="V30" s="448"/>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row>
    <row x14ac:dyDescent="0.25" r="31" customHeight="1" ht="17.65">
      <c r="A31" s="1"/>
      <c r="B31" s="1"/>
      <c r="C31" s="1"/>
      <c r="D31" s="1"/>
      <c r="E31" s="170"/>
      <c r="F31" s="1"/>
      <c r="G31" s="7"/>
      <c r="H31" s="168"/>
      <c r="I31" s="168"/>
      <c r="J31" s="168"/>
      <c r="K31" s="170"/>
      <c r="L31" s="139"/>
      <c r="M31" s="139"/>
      <c r="N31" s="139"/>
      <c r="O31" s="139"/>
      <c r="P31" s="354"/>
      <c r="Q31" s="139"/>
      <c r="R31" s="139"/>
      <c r="S31" s="139"/>
      <c r="T31" s="139"/>
      <c r="U31" s="448"/>
      <c r="V31" s="448"/>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row>
    <row x14ac:dyDescent="0.25" r="32" customHeight="1" ht="17.65">
      <c r="A32" s="1"/>
      <c r="B32" s="1"/>
      <c r="C32" s="1"/>
      <c r="D32" s="1"/>
      <c r="E32" s="170"/>
      <c r="F32" s="1"/>
      <c r="G32" s="7"/>
      <c r="H32" s="168"/>
      <c r="I32" s="168"/>
      <c r="J32" s="168"/>
      <c r="K32" s="170"/>
      <c r="L32" s="139"/>
      <c r="M32" s="139"/>
      <c r="N32" s="139"/>
      <c r="O32" s="139"/>
      <c r="P32" s="354"/>
      <c r="Q32" s="139"/>
      <c r="R32" s="139"/>
      <c r="S32" s="139"/>
      <c r="T32" s="139"/>
      <c r="U32" s="448"/>
      <c r="V32" s="448"/>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row>
    <row x14ac:dyDescent="0.25" r="33" customHeight="1" ht="17.65">
      <c r="A33" s="1"/>
      <c r="B33" s="457"/>
      <c r="C33" s="443"/>
      <c r="D33" s="458"/>
      <c r="E33" s="459"/>
      <c r="F33" s="458"/>
      <c r="G33" s="460"/>
      <c r="H33" s="461"/>
      <c r="I33" s="461"/>
      <c r="J33" s="461"/>
      <c r="K33" s="459"/>
      <c r="L33" s="1"/>
      <c r="M33" s="139"/>
      <c r="N33" s="171"/>
      <c r="O33" s="171"/>
      <c r="P33" s="462"/>
      <c r="Q33" s="171"/>
      <c r="R33" s="171"/>
      <c r="S33" s="171"/>
      <c r="T33" s="1"/>
      <c r="U33" s="448"/>
      <c r="V33" s="448"/>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row>
    <row x14ac:dyDescent="0.25" r="34" customHeight="1" ht="17.65">
      <c r="A34" s="1"/>
      <c r="B34" s="457"/>
      <c r="C34" s="443"/>
      <c r="D34" s="463"/>
      <c r="E34" s="464"/>
      <c r="F34" s="431"/>
      <c r="G34" s="465"/>
      <c r="H34" s="466"/>
      <c r="I34" s="435"/>
      <c r="J34" s="446"/>
      <c r="K34" s="446"/>
      <c r="L34" s="1"/>
      <c r="M34" s="139"/>
      <c r="N34" s="171"/>
      <c r="O34" s="171"/>
      <c r="P34" s="462"/>
      <c r="Q34" s="171"/>
      <c r="R34" s="171"/>
      <c r="S34" s="171"/>
      <c r="T34" s="171"/>
      <c r="U34" s="171"/>
      <c r="V34" s="1"/>
      <c r="W34" s="171"/>
      <c r="X34" s="171"/>
      <c r="Y34" s="171"/>
      <c r="Z34" s="171"/>
      <c r="AA34" s="171"/>
      <c r="AB34" s="171"/>
      <c r="AC34" s="171"/>
      <c r="AD34" s="171"/>
      <c r="AE34" s="171"/>
      <c r="AF34" s="171"/>
      <c r="AG34" s="171"/>
      <c r="AH34" s="171"/>
      <c r="AI34" s="171"/>
      <c r="AJ34" s="171"/>
      <c r="AK34" s="171"/>
      <c r="AL34" s="171"/>
      <c r="AM34" s="171"/>
      <c r="AN34" s="171"/>
      <c r="AO34" s="171"/>
      <c r="AP34" s="171"/>
      <c r="AQ34" s="171"/>
      <c r="AR34" s="171"/>
      <c r="AS34" s="171"/>
      <c r="AT34" s="171"/>
      <c r="AU34" s="171"/>
      <c r="AV34" s="171"/>
      <c r="AW34" s="171"/>
      <c r="AX34" s="171"/>
      <c r="AY34" s="171"/>
      <c r="AZ34" s="171"/>
      <c r="BA34" s="171"/>
      <c r="BB34" s="171"/>
      <c r="BC34" s="171"/>
      <c r="BD34" s="171"/>
      <c r="BE34" s="171"/>
      <c r="BF34" s="171"/>
      <c r="BG34" s="171"/>
      <c r="BH34" s="171"/>
    </row>
    <row x14ac:dyDescent="0.25" r="35" customHeight="1" ht="2.25">
      <c r="A35" s="1"/>
      <c r="B35" s="457"/>
      <c r="C35" s="443"/>
      <c r="D35" s="463"/>
      <c r="E35" s="464"/>
      <c r="F35" s="431"/>
      <c r="G35" s="465"/>
      <c r="H35" s="466"/>
      <c r="I35" s="435"/>
      <c r="J35" s="446"/>
      <c r="K35" s="446"/>
      <c r="L35" s="1"/>
      <c r="M35" s="139"/>
      <c r="N35" s="171"/>
      <c r="O35" s="171"/>
      <c r="P35" s="462"/>
      <c r="Q35" s="171"/>
      <c r="R35" s="171"/>
      <c r="S35" s="171"/>
      <c r="T35" s="171"/>
      <c r="U35" s="171"/>
      <c r="V35" s="1"/>
      <c r="W35" s="171"/>
      <c r="X35" s="171"/>
      <c r="Y35" s="171"/>
      <c r="Z35" s="171"/>
      <c r="AA35" s="171"/>
      <c r="AB35" s="171"/>
      <c r="AC35" s="171"/>
      <c r="AD35" s="171"/>
      <c r="AE35" s="171"/>
      <c r="AF35" s="171"/>
      <c r="AG35" s="171"/>
      <c r="AH35" s="171"/>
      <c r="AI35" s="171"/>
      <c r="AJ35" s="171"/>
      <c r="AK35" s="171"/>
      <c r="AL35" s="171"/>
      <c r="AM35" s="171"/>
      <c r="AN35" s="171"/>
      <c r="AO35" s="171"/>
      <c r="AP35" s="171"/>
      <c r="AQ35" s="171"/>
      <c r="AR35" s="171"/>
      <c r="AS35" s="171"/>
      <c r="AT35" s="171"/>
      <c r="AU35" s="171"/>
      <c r="AV35" s="171"/>
      <c r="AW35" s="171"/>
      <c r="AX35" s="171"/>
      <c r="AY35" s="171"/>
      <c r="AZ35" s="171"/>
      <c r="BA35" s="171"/>
      <c r="BB35" s="171"/>
      <c r="BC35" s="171"/>
      <c r="BD35" s="171"/>
      <c r="BE35" s="171"/>
      <c r="BF35" s="171"/>
      <c r="BG35" s="171"/>
      <c r="BH35" s="171"/>
    </row>
    <row x14ac:dyDescent="0.25" r="36" customHeight="1" ht="17.65">
      <c r="A36" s="1"/>
      <c r="B36" s="457"/>
      <c r="C36" s="443"/>
      <c r="D36" s="444"/>
      <c r="E36" s="445"/>
      <c r="F36" s="444"/>
      <c r="G36" s="467"/>
      <c r="H36" s="468"/>
      <c r="I36" s="435"/>
      <c r="J36" s="469"/>
      <c r="K36" s="266"/>
      <c r="L36" s="1"/>
      <c r="M36" s="139"/>
      <c r="N36" s="171"/>
      <c r="O36" s="171"/>
      <c r="P36" s="462"/>
      <c r="Q36" s="171"/>
      <c r="R36" s="171"/>
      <c r="S36" s="171"/>
      <c r="T36" s="171"/>
      <c r="U36" s="171"/>
      <c r="V36" s="1"/>
      <c r="W36" s="171"/>
      <c r="X36" s="171"/>
      <c r="Y36" s="171"/>
      <c r="Z36" s="171"/>
      <c r="AA36" s="171"/>
      <c r="AB36" s="171"/>
      <c r="AC36" s="171"/>
      <c r="AD36" s="171"/>
      <c r="AE36" s="171"/>
      <c r="AF36" s="171"/>
      <c r="AG36" s="171"/>
      <c r="AH36" s="171"/>
      <c r="AI36" s="171"/>
      <c r="AJ36" s="171"/>
      <c r="AK36" s="171"/>
      <c r="AL36" s="171"/>
      <c r="AM36" s="171"/>
      <c r="AN36" s="171"/>
      <c r="AO36" s="171"/>
      <c r="AP36" s="171"/>
      <c r="AQ36" s="171"/>
      <c r="AR36" s="171"/>
      <c r="AS36" s="171"/>
      <c r="AT36" s="171"/>
      <c r="AU36" s="171"/>
      <c r="AV36" s="171"/>
      <c r="AW36" s="171"/>
      <c r="AX36" s="171"/>
      <c r="AY36" s="171"/>
      <c r="AZ36" s="171"/>
      <c r="BA36" s="171"/>
      <c r="BB36" s="171"/>
      <c r="BC36" s="171"/>
      <c r="BD36" s="171"/>
      <c r="BE36" s="171"/>
      <c r="BF36" s="171"/>
      <c r="BG36" s="171"/>
      <c r="BH36" s="171"/>
    </row>
    <row x14ac:dyDescent="0.25" r="37" customHeight="1" ht="2.25">
      <c r="A37" s="1"/>
      <c r="B37" s="457"/>
      <c r="C37" s="443"/>
      <c r="D37" s="444"/>
      <c r="E37" s="445"/>
      <c r="F37" s="444"/>
      <c r="G37" s="467"/>
      <c r="H37" s="468"/>
      <c r="I37" s="435"/>
      <c r="J37" s="469"/>
      <c r="K37" s="266"/>
      <c r="L37" s="1"/>
      <c r="M37" s="139"/>
      <c r="N37" s="171"/>
      <c r="O37" s="171"/>
      <c r="P37" s="462"/>
      <c r="Q37" s="171"/>
      <c r="R37" s="171"/>
      <c r="S37" s="171"/>
      <c r="T37" s="171"/>
      <c r="U37" s="171"/>
      <c r="V37" s="1"/>
      <c r="W37" s="171"/>
      <c r="X37" s="171"/>
      <c r="Y37" s="171"/>
      <c r="Z37" s="171"/>
      <c r="AA37" s="171"/>
      <c r="AB37" s="171"/>
      <c r="AC37" s="171"/>
      <c r="AD37" s="171"/>
      <c r="AE37" s="171"/>
      <c r="AF37" s="171"/>
      <c r="AG37" s="171"/>
      <c r="AH37" s="171"/>
      <c r="AI37" s="171"/>
      <c r="AJ37" s="171"/>
      <c r="AK37" s="171"/>
      <c r="AL37" s="171"/>
      <c r="AM37" s="171"/>
      <c r="AN37" s="171"/>
      <c r="AO37" s="171"/>
      <c r="AP37" s="171"/>
      <c r="AQ37" s="171"/>
      <c r="AR37" s="171"/>
      <c r="AS37" s="171"/>
      <c r="AT37" s="171"/>
      <c r="AU37" s="171"/>
      <c r="AV37" s="171"/>
      <c r="AW37" s="171"/>
      <c r="AX37" s="171"/>
      <c r="AY37" s="171"/>
      <c r="AZ37" s="171"/>
      <c r="BA37" s="171"/>
      <c r="BB37" s="171"/>
      <c r="BC37" s="171"/>
      <c r="BD37" s="171"/>
      <c r="BE37" s="171"/>
      <c r="BF37" s="171"/>
      <c r="BG37" s="171"/>
      <c r="BH37" s="171"/>
    </row>
    <row x14ac:dyDescent="0.25" r="38" customHeight="1" ht="17.65">
      <c r="A38" s="1"/>
      <c r="B38" s="457"/>
      <c r="C38" s="443"/>
      <c r="D38" s="444"/>
      <c r="E38" s="445"/>
      <c r="F38" s="444"/>
      <c r="G38" s="467"/>
      <c r="H38" s="468"/>
      <c r="I38" s="435"/>
      <c r="J38" s="470"/>
      <c r="K38" s="446"/>
      <c r="L38" s="1"/>
      <c r="M38" s="171"/>
      <c r="N38" s="171"/>
      <c r="O38" s="171"/>
      <c r="P38" s="462"/>
      <c r="Q38" s="171"/>
      <c r="R38" s="171"/>
      <c r="S38" s="171"/>
      <c r="T38" s="171"/>
      <c r="U38" s="17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row>
    <row x14ac:dyDescent="0.25" r="39" customHeight="1" ht="2.25">
      <c r="A39" s="1"/>
      <c r="B39" s="457"/>
      <c r="C39" s="443"/>
      <c r="D39" s="444"/>
      <c r="E39" s="445"/>
      <c r="F39" s="444"/>
      <c r="G39" s="467"/>
      <c r="H39" s="468"/>
      <c r="I39" s="435"/>
      <c r="J39" s="470"/>
      <c r="K39" s="446"/>
      <c r="L39" s="1"/>
      <c r="M39" s="171"/>
      <c r="N39" s="171"/>
      <c r="O39" s="171"/>
      <c r="P39" s="462"/>
      <c r="Q39" s="171"/>
      <c r="R39" s="171"/>
      <c r="S39" s="171"/>
      <c r="T39" s="171"/>
      <c r="U39" s="17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row>
    <row x14ac:dyDescent="0.25" r="40" customHeight="1" ht="24">
      <c r="A40" s="1"/>
      <c r="B40" s="457"/>
      <c r="C40" s="443"/>
      <c r="D40" s="471"/>
      <c r="E40" s="472"/>
      <c r="F40" s="471"/>
      <c r="G40" s="473"/>
      <c r="H40" s="474"/>
      <c r="I40" s="435"/>
      <c r="J40" s="475"/>
      <c r="K40" s="475"/>
      <c r="L40" s="171"/>
      <c r="M40" s="171"/>
      <c r="N40" s="171"/>
      <c r="O40" s="171"/>
      <c r="P40" s="462"/>
      <c r="Q40" s="171"/>
      <c r="R40" s="171"/>
      <c r="S40" s="171"/>
      <c r="T40" s="171"/>
      <c r="U40" s="17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row>
    <row x14ac:dyDescent="0.25" r="41" customHeight="1" ht="12">
      <c r="A41" s="1"/>
      <c r="B41" s="1"/>
      <c r="C41" s="1"/>
      <c r="D41" s="1"/>
      <c r="E41" s="170"/>
      <c r="F41" s="1"/>
      <c r="G41" s="7"/>
      <c r="H41" s="168"/>
      <c r="I41" s="168"/>
      <c r="J41" s="168"/>
      <c r="K41" s="170"/>
      <c r="L41" s="1"/>
      <c r="M41" s="476"/>
      <c r="N41" s="171"/>
      <c r="O41" s="171"/>
      <c r="P41" s="462"/>
      <c r="Q41" s="171"/>
      <c r="R41" s="171"/>
      <c r="S41" s="171"/>
      <c r="T41" s="171"/>
      <c r="U41" s="17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row>
    <row x14ac:dyDescent="0.25" r="42" customHeight="1" ht="12">
      <c r="A42" s="1"/>
      <c r="B42" s="1"/>
      <c r="C42" s="1"/>
      <c r="D42" s="1"/>
      <c r="E42" s="170"/>
      <c r="F42" s="1"/>
      <c r="G42" s="7"/>
      <c r="H42" s="168"/>
      <c r="I42" s="168"/>
      <c r="J42" s="168"/>
      <c r="K42" s="170"/>
      <c r="L42" s="1"/>
      <c r="M42" s="1"/>
      <c r="N42" s="477"/>
      <c r="O42" s="171"/>
      <c r="P42" s="462"/>
      <c r="Q42" s="171"/>
      <c r="R42" s="171"/>
      <c r="S42" s="171"/>
      <c r="T42" s="171"/>
      <c r="U42" s="171"/>
      <c r="V42" s="1"/>
      <c r="W42" s="1"/>
      <c r="X42" s="1"/>
      <c r="Y42" s="1"/>
      <c r="Z42" s="478"/>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row>
    <row x14ac:dyDescent="0.25" r="43" customHeight="1" ht="12">
      <c r="A43" s="1"/>
      <c r="B43" s="1"/>
      <c r="C43" s="1"/>
      <c r="D43" s="1"/>
      <c r="E43" s="170"/>
      <c r="F43" s="1"/>
      <c r="G43" s="7"/>
      <c r="H43" s="168"/>
      <c r="I43" s="168"/>
      <c r="J43" s="168"/>
      <c r="K43" s="170"/>
      <c r="L43" s="1"/>
      <c r="M43" s="1"/>
      <c r="N43" s="171"/>
      <c r="O43" s="171"/>
      <c r="P43" s="462"/>
      <c r="Q43" s="171"/>
      <c r="R43" s="171"/>
      <c r="S43" s="171"/>
      <c r="T43" s="171"/>
      <c r="U43" s="17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row>
    <row x14ac:dyDescent="0.25" r="44" customHeight="1" ht="12">
      <c r="A44" s="1"/>
      <c r="B44" s="1"/>
      <c r="C44" s="1"/>
      <c r="D44" s="1"/>
      <c r="E44" s="170"/>
      <c r="F44" s="479"/>
      <c r="G44" s="7"/>
      <c r="H44" s="318"/>
      <c r="I44" s="168"/>
      <c r="J44" s="480"/>
      <c r="K44" s="170"/>
      <c r="L44" s="1"/>
      <c r="M44" s="1"/>
      <c r="N44" s="171"/>
      <c r="O44" s="171"/>
      <c r="P44" s="462"/>
      <c r="Q44" s="171"/>
      <c r="R44" s="171"/>
      <c r="S44" s="171"/>
      <c r="T44" s="171"/>
      <c r="U44" s="17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row>
    <row x14ac:dyDescent="0.25" r="45" customHeight="1" ht="12">
      <c r="A45" s="1"/>
      <c r="B45" s="1"/>
      <c r="C45" s="1"/>
      <c r="D45" s="1"/>
      <c r="E45" s="276"/>
      <c r="F45" s="1"/>
      <c r="G45" s="7"/>
      <c r="H45" s="217"/>
      <c r="I45" s="168"/>
      <c r="J45" s="168"/>
      <c r="K45" s="170"/>
      <c r="L45" s="1"/>
      <c r="M45" s="171"/>
      <c r="N45" s="1"/>
      <c r="O45" s="1"/>
      <c r="P45" s="170"/>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row>
    <row x14ac:dyDescent="0.25" r="46" customHeight="1" ht="21.75">
      <c r="A46" s="1"/>
      <c r="B46" s="1"/>
      <c r="C46" s="1"/>
      <c r="D46" s="247" t="s">
        <v>65</v>
      </c>
      <c r="E46" s="170"/>
      <c r="F46" s="1"/>
      <c r="G46" s="7"/>
      <c r="H46" s="168"/>
      <c r="I46" s="168"/>
      <c r="J46" s="168"/>
      <c r="K46" s="170"/>
      <c r="L46" s="1"/>
      <c r="M46" s="481"/>
      <c r="N46" s="1"/>
      <c r="O46" s="1"/>
      <c r="P46" s="170"/>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row>
    <row x14ac:dyDescent="0.25" r="47" customHeight="1" ht="24.600000000000005">
      <c r="A47" s="1"/>
      <c r="B47" s="1"/>
      <c r="C47" s="1"/>
      <c r="D47" s="247"/>
      <c r="E47" s="170"/>
      <c r="F47" s="1"/>
      <c r="G47" s="7"/>
      <c r="H47" s="482"/>
      <c r="I47" s="168"/>
      <c r="J47" s="168"/>
      <c r="K47" s="170"/>
      <c r="L47" s="1"/>
      <c r="M47" s="171"/>
      <c r="N47" s="1"/>
      <c r="O47" s="1"/>
      <c r="P47" s="170"/>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row>
    <row x14ac:dyDescent="0.25" r="48" customHeight="1" ht="24.600000000000005">
      <c r="A48" s="1"/>
      <c r="B48" s="1"/>
      <c r="C48" s="1"/>
      <c r="D48" s="249" t="s">
        <v>137</v>
      </c>
      <c r="E48" s="170"/>
      <c r="F48" s="1"/>
      <c r="G48" s="7"/>
      <c r="H48" s="168"/>
      <c r="I48" s="168"/>
      <c r="J48" s="480" t="s">
        <v>138</v>
      </c>
      <c r="K48" s="170"/>
      <c r="L48" s="1"/>
      <c r="M48" s="171"/>
      <c r="N48" s="1"/>
      <c r="O48" s="1"/>
      <c r="P48" s="170"/>
      <c r="Q48" s="1"/>
      <c r="R48" s="1"/>
      <c r="S48" s="171"/>
      <c r="T48" s="171"/>
      <c r="U48" s="171"/>
      <c r="V48" s="17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row>
    <row x14ac:dyDescent="0.25" r="49" customHeight="1" ht="18.75">
      <c r="A49" s="1"/>
      <c r="B49" s="1"/>
      <c r="C49" s="1"/>
      <c r="D49" s="244" t="s">
        <v>139</v>
      </c>
      <c r="E49" s="483"/>
      <c r="F49" s="244"/>
      <c r="G49" s="484"/>
      <c r="H49" s="485">
        <f>IFERROR(+'Simulador - 1º Pilar'!$G$50,0)</f>
      </c>
      <c r="I49" s="168"/>
      <c r="J49" s="168"/>
      <c r="K49" s="486"/>
      <c r="L49" s="1"/>
      <c r="M49" s="171"/>
      <c r="N49" s="1"/>
      <c r="O49" s="1"/>
      <c r="P49" s="170"/>
      <c r="Q49" s="1"/>
      <c r="R49" s="1"/>
      <c r="S49" s="171"/>
      <c r="T49" s="171"/>
      <c r="U49" s="171"/>
      <c r="V49" s="17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row>
    <row x14ac:dyDescent="0.25" r="50" customHeight="1" ht="18.75">
      <c r="A50" s="1"/>
      <c r="B50" s="1"/>
      <c r="C50" s="1"/>
      <c r="D50" s="244" t="s">
        <v>140</v>
      </c>
      <c r="E50" s="483"/>
      <c r="F50" s="244"/>
      <c r="G50" s="484"/>
      <c r="H50" s="487">
        <f>IFERROR(MIN(+$G$27/$H$49,100%),"-")</f>
      </c>
      <c r="I50" s="168"/>
      <c r="J50" s="486">
        <f>IFERROR('Simulador - 1º Pilar'!$G$51+H50+'Simulador - RESUMEN'!N28,"-")</f>
      </c>
      <c r="K50" s="276"/>
      <c r="L50" s="1"/>
      <c r="M50" s="171"/>
      <c r="N50" s="1"/>
      <c r="O50" s="1"/>
      <c r="P50" s="170"/>
      <c r="Q50" s="1"/>
      <c r="R50" s="1"/>
      <c r="S50" s="171"/>
      <c r="T50" s="171"/>
      <c r="U50" s="171"/>
      <c r="V50" s="17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row>
    <row x14ac:dyDescent="0.25" r="51" customHeight="1" ht="18.75">
      <c r="A51" s="1"/>
      <c r="B51" s="1"/>
      <c r="C51" s="1"/>
      <c r="D51" s="207" t="s">
        <v>141</v>
      </c>
      <c r="E51" s="483"/>
      <c r="F51" s="244"/>
      <c r="G51" s="484"/>
      <c r="H51" s="487">
        <f>IFERROR(MAX(100%-$H$50,0%),"-")</f>
      </c>
      <c r="I51" s="168"/>
      <c r="J51" s="487">
        <f>MAX(100%-J50,0)</f>
      </c>
      <c r="K51" s="170"/>
      <c r="L51" s="1"/>
      <c r="M51" s="171"/>
      <c r="N51" s="1"/>
      <c r="O51" s="1"/>
      <c r="P51" s="170"/>
      <c r="Q51" s="1"/>
      <c r="R51" s="1"/>
      <c r="S51" s="171"/>
      <c r="T51" s="171"/>
      <c r="U51" s="171"/>
      <c r="V51" s="17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row>
    <row x14ac:dyDescent="0.25" r="52" customHeight="1" ht="18.75">
      <c r="A52" s="1"/>
      <c r="B52" s="1"/>
      <c r="C52" s="1"/>
      <c r="D52" s="1"/>
      <c r="E52" s="170"/>
      <c r="F52" s="1"/>
      <c r="G52" s="7"/>
      <c r="H52" s="168"/>
      <c r="I52" s="168"/>
      <c r="J52" s="168"/>
      <c r="K52" s="170"/>
      <c r="L52" s="1"/>
      <c r="M52" s="171"/>
      <c r="N52" s="1"/>
      <c r="O52" s="1"/>
      <c r="P52" s="170"/>
      <c r="Q52" s="1"/>
      <c r="R52" s="1"/>
      <c r="S52" s="171"/>
      <c r="T52" s="171"/>
      <c r="U52" s="171"/>
      <c r="V52" s="17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row>
    <row x14ac:dyDescent="0.25" r="53" customHeight="1" ht="18.75">
      <c r="A53" s="1"/>
      <c r="B53" s="1"/>
      <c r="C53" s="1"/>
      <c r="D53" s="1"/>
      <c r="E53" s="170"/>
      <c r="F53" s="1"/>
      <c r="G53" s="7"/>
      <c r="H53" s="168"/>
      <c r="I53" s="168"/>
      <c r="J53" s="168"/>
      <c r="K53" s="170"/>
      <c r="L53" s="1"/>
      <c r="M53" s="171"/>
      <c r="N53" s="1"/>
      <c r="O53" s="1"/>
      <c r="P53" s="170"/>
      <c r="Q53" s="1"/>
      <c r="R53" s="1"/>
      <c r="S53" s="171"/>
      <c r="T53" s="171"/>
      <c r="U53" s="171"/>
      <c r="V53" s="17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row>
    <row x14ac:dyDescent="0.25" r="54" customHeight="1" ht="18.75">
      <c r="A54" s="488"/>
      <c r="B54" s="488"/>
      <c r="C54" s="488"/>
      <c r="D54" s="249" t="s">
        <v>142</v>
      </c>
      <c r="E54" s="489"/>
      <c r="F54" s="488"/>
      <c r="G54" s="490"/>
      <c r="H54" s="491"/>
      <c r="I54" s="491"/>
      <c r="J54" s="491"/>
      <c r="K54" s="489"/>
      <c r="L54" s="488"/>
      <c r="M54" s="171"/>
      <c r="N54" s="488"/>
      <c r="O54" s="488"/>
      <c r="P54" s="489"/>
      <c r="Q54" s="488"/>
      <c r="R54" s="1"/>
      <c r="S54" s="171"/>
      <c r="T54" s="171"/>
      <c r="U54" s="171"/>
      <c r="V54" s="17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row>
    <row x14ac:dyDescent="0.25" r="55" customHeight="1" ht="18.75">
      <c r="A55" s="488"/>
      <c r="B55" s="488"/>
      <c r="C55" s="488"/>
      <c r="D55" s="244" t="s">
        <v>143</v>
      </c>
      <c r="E55" s="489"/>
      <c r="F55" s="488"/>
      <c r="G55" s="490"/>
      <c r="H55" s="491"/>
      <c r="I55" s="491"/>
      <c r="J55" s="491"/>
      <c r="K55" s="489"/>
      <c r="L55" s="488"/>
      <c r="M55" s="488"/>
      <c r="N55" s="488"/>
      <c r="O55" s="488"/>
      <c r="P55" s="489"/>
      <c r="Q55" s="488"/>
      <c r="R55" s="1"/>
      <c r="S55" s="171"/>
      <c r="T55" s="171"/>
      <c r="U55" s="171"/>
      <c r="V55" s="17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row>
    <row x14ac:dyDescent="0.25" r="56" customHeight="1" ht="18.75">
      <c r="A56" s="1"/>
      <c r="B56" s="1"/>
      <c r="C56" s="1"/>
      <c r="D56" s="1"/>
      <c r="E56" s="170"/>
      <c r="F56" s="1"/>
      <c r="G56" s="7"/>
      <c r="H56" s="168"/>
      <c r="I56" s="168"/>
      <c r="J56" s="168"/>
      <c r="K56" s="170"/>
      <c r="L56" s="1"/>
      <c r="M56" s="1"/>
      <c r="N56" s="1"/>
      <c r="O56" s="1"/>
      <c r="P56" s="170"/>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row>
    <row x14ac:dyDescent="0.25" r="57" customHeight="1" ht="18.75">
      <c r="A57" s="1"/>
      <c r="B57" s="1"/>
      <c r="C57" s="1"/>
      <c r="D57" s="249" t="s">
        <v>144</v>
      </c>
      <c r="E57" s="170"/>
      <c r="F57" s="1"/>
      <c r="G57" s="7"/>
      <c r="H57" s="168"/>
      <c r="I57" s="168"/>
      <c r="J57" s="168"/>
      <c r="K57" s="170"/>
      <c r="L57" s="1"/>
      <c r="M57" s="1"/>
      <c r="N57" s="1"/>
      <c r="O57" s="1"/>
      <c r="P57" s="170"/>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row>
    <row x14ac:dyDescent="0.25" r="58" customHeight="1" ht="18.75">
      <c r="A58" s="1"/>
      <c r="B58" s="1"/>
      <c r="C58" s="1"/>
      <c r="D58" s="244" t="s">
        <v>145</v>
      </c>
      <c r="E58" s="170"/>
      <c r="F58" s="1"/>
      <c r="G58" s="7"/>
      <c r="H58" s="168"/>
      <c r="I58" s="168"/>
      <c r="J58" s="168"/>
      <c r="K58" s="170"/>
      <c r="L58" s="1"/>
      <c r="M58" s="1"/>
      <c r="N58" s="1"/>
      <c r="O58" s="1"/>
      <c r="P58" s="170"/>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row>
    <row x14ac:dyDescent="0.25" r="59" customHeight="1" ht="18.75">
      <c r="A59" s="1"/>
      <c r="B59" s="1"/>
      <c r="C59" s="1"/>
      <c r="D59" s="244" t="s">
        <v>146</v>
      </c>
      <c r="E59" s="170"/>
      <c r="F59" s="1"/>
      <c r="G59" s="7"/>
      <c r="H59" s="168"/>
      <c r="I59" s="168"/>
      <c r="J59" s="168"/>
      <c r="K59" s="170"/>
      <c r="L59" s="1"/>
      <c r="M59" s="1"/>
      <c r="N59" s="1"/>
      <c r="O59" s="1"/>
      <c r="P59" s="170"/>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row>
    <row x14ac:dyDescent="0.25" r="60" customHeight="1" ht="18.75">
      <c r="A60" s="1"/>
      <c r="B60" s="1"/>
      <c r="C60" s="1"/>
      <c r="D60" s="244" t="s">
        <v>147</v>
      </c>
      <c r="E60" s="170"/>
      <c r="F60" s="1"/>
      <c r="G60" s="7"/>
      <c r="H60" s="168"/>
      <c r="I60" s="168"/>
      <c r="J60" s="168"/>
      <c r="K60" s="170"/>
      <c r="L60" s="1"/>
      <c r="M60" s="1"/>
      <c r="N60" s="1"/>
      <c r="O60" s="1"/>
      <c r="P60" s="170"/>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row>
    <row x14ac:dyDescent="0.25" r="61" customHeight="1" ht="18.75">
      <c r="A61" s="1"/>
      <c r="B61" s="1"/>
      <c r="C61" s="1"/>
      <c r="D61" s="244" t="s">
        <v>133</v>
      </c>
      <c r="E61" s="170"/>
      <c r="F61" s="1"/>
      <c r="G61" s="7"/>
      <c r="H61" s="168"/>
      <c r="I61" s="168"/>
      <c r="J61" s="168"/>
      <c r="K61" s="170"/>
      <c r="L61" s="1"/>
      <c r="M61" s="1"/>
      <c r="N61" s="1"/>
      <c r="O61" s="1"/>
      <c r="P61" s="170"/>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row>
    <row x14ac:dyDescent="0.25" r="62" customHeight="1" ht="18.75">
      <c r="A62" s="1"/>
      <c r="B62" s="1"/>
      <c r="C62" s="1"/>
      <c r="D62" s="1"/>
      <c r="E62" s="170"/>
      <c r="F62" s="1"/>
      <c r="G62" s="7"/>
      <c r="H62" s="168"/>
      <c r="I62" s="168"/>
      <c r="J62" s="168"/>
      <c r="K62" s="170"/>
      <c r="L62" s="1"/>
      <c r="M62" s="1"/>
      <c r="N62" s="1"/>
      <c r="O62" s="1"/>
      <c r="P62" s="170"/>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row>
    <row x14ac:dyDescent="0.25" r="63" customHeight="1" ht="18.75">
      <c r="A63" s="1"/>
      <c r="B63" s="1"/>
      <c r="C63" s="1"/>
      <c r="D63" s="1"/>
      <c r="E63" s="170"/>
      <c r="F63" s="1"/>
      <c r="G63" s="7"/>
      <c r="H63" s="168"/>
      <c r="I63" s="168"/>
      <c r="J63" s="168"/>
      <c r="K63" s="170"/>
      <c r="L63" s="1"/>
      <c r="M63" s="1"/>
      <c r="N63" s="1"/>
      <c r="O63" s="1"/>
      <c r="P63" s="170"/>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row>
    <row x14ac:dyDescent="0.25" r="64" customHeight="1" ht="18.75">
      <c r="A64" s="1"/>
      <c r="B64" s="1"/>
      <c r="C64" s="1"/>
      <c r="D64" s="249" t="s">
        <v>93</v>
      </c>
      <c r="E64" s="170"/>
      <c r="F64" s="1"/>
      <c r="G64" s="7"/>
      <c r="H64" s="168"/>
      <c r="I64" s="168"/>
      <c r="J64" s="168"/>
      <c r="K64" s="170"/>
      <c r="L64" s="1"/>
      <c r="M64" s="1"/>
      <c r="N64" s="1"/>
      <c r="O64" s="1"/>
      <c r="P64" s="170"/>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row>
    <row x14ac:dyDescent="0.25" r="65" customHeight="1" ht="18.75">
      <c r="A65" s="1"/>
      <c r="B65" s="1"/>
      <c r="C65" s="1"/>
      <c r="D65" s="244" t="s">
        <v>94</v>
      </c>
      <c r="E65" s="170"/>
      <c r="F65" s="1"/>
      <c r="G65" s="7"/>
      <c r="H65" s="168"/>
      <c r="I65" s="168"/>
      <c r="J65" s="168"/>
      <c r="K65" s="170"/>
      <c r="L65" s="1"/>
      <c r="M65" s="1"/>
      <c r="N65" s="1"/>
      <c r="O65" s="1"/>
      <c r="P65" s="170"/>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row>
    <row x14ac:dyDescent="0.25" r="66" customHeight="1" ht="18.75">
      <c r="A66" s="1"/>
      <c r="B66" s="1"/>
      <c r="C66" s="1"/>
      <c r="D66" s="244" t="s">
        <v>90</v>
      </c>
      <c r="E66" s="485"/>
      <c r="F66" s="1"/>
      <c r="G66" s="7"/>
      <c r="H66" s="168"/>
      <c r="I66" s="168"/>
      <c r="J66" s="168"/>
      <c r="K66" s="485"/>
      <c r="L66" s="1"/>
      <c r="M66" s="1"/>
      <c r="N66" s="1"/>
      <c r="O66" s="1"/>
      <c r="P66" s="170"/>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row>
    <row x14ac:dyDescent="0.25" r="67" customHeight="1" ht="18.75">
      <c r="A67" s="1"/>
      <c r="B67" s="1"/>
      <c r="C67" s="1"/>
      <c r="D67" s="249" t="s">
        <v>95</v>
      </c>
      <c r="E67" s="487"/>
      <c r="F67" s="1"/>
      <c r="G67" s="7"/>
      <c r="H67" s="168"/>
      <c r="I67" s="168"/>
      <c r="J67" s="168"/>
      <c r="K67" s="487"/>
      <c r="L67" s="1"/>
      <c r="M67" s="1"/>
      <c r="N67" s="1"/>
      <c r="O67" s="1"/>
      <c r="P67" s="170"/>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row>
    <row x14ac:dyDescent="0.25" r="68" customHeight="1" ht="18.75">
      <c r="A68" s="1"/>
      <c r="B68" s="1"/>
      <c r="C68" s="1"/>
      <c r="D68" s="244" t="s">
        <v>148</v>
      </c>
      <c r="E68" s="487"/>
      <c r="F68" s="1"/>
      <c r="G68" s="7"/>
      <c r="H68" s="168"/>
      <c r="I68" s="168"/>
      <c r="J68" s="168"/>
      <c r="K68" s="487"/>
      <c r="L68" s="1"/>
      <c r="M68" s="1"/>
      <c r="N68" s="1"/>
      <c r="O68" s="1"/>
      <c r="P68" s="170"/>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row>
    <row x14ac:dyDescent="0.25" r="69" customHeight="1" ht="18.75">
      <c r="A69" s="1"/>
      <c r="B69" s="1"/>
      <c r="C69" s="1"/>
      <c r="D69" s="244" t="s">
        <v>149</v>
      </c>
      <c r="E69" s="487"/>
      <c r="F69" s="487"/>
      <c r="G69" s="487"/>
      <c r="H69" s="487"/>
      <c r="I69" s="487"/>
      <c r="J69" s="487"/>
      <c r="K69" s="487"/>
      <c r="L69" s="1"/>
      <c r="M69" s="1"/>
      <c r="N69" s="1"/>
      <c r="O69" s="1"/>
      <c r="P69" s="170"/>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row>
    <row x14ac:dyDescent="0.25" r="70" customHeight="1" ht="18.75">
      <c r="A70" s="1"/>
      <c r="B70" s="1"/>
      <c r="C70" s="1"/>
      <c r="D70" s="249" t="s">
        <v>95</v>
      </c>
      <c r="E70" s="487"/>
      <c r="F70" s="487"/>
      <c r="G70" s="487"/>
      <c r="H70" s="487"/>
      <c r="I70" s="487"/>
      <c r="J70" s="487"/>
      <c r="K70" s="487"/>
      <c r="L70" s="1"/>
      <c r="M70" s="1"/>
      <c r="N70" s="1"/>
      <c r="O70" s="1"/>
      <c r="P70" s="170"/>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row>
    <row x14ac:dyDescent="0.25" r="71" customHeight="1" ht="18.75">
      <c r="A71" s="1"/>
      <c r="B71" s="1"/>
      <c r="C71" s="1"/>
      <c r="D71" s="244" t="s">
        <v>150</v>
      </c>
      <c r="E71" s="170"/>
      <c r="F71" s="1"/>
      <c r="G71" s="7"/>
      <c r="H71" s="168"/>
      <c r="I71" s="168"/>
      <c r="J71" s="168"/>
      <c r="K71" s="487"/>
      <c r="L71" s="1"/>
      <c r="M71" s="1"/>
      <c r="N71" s="1"/>
      <c r="O71" s="1"/>
      <c r="P71" s="170"/>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row>
    <row x14ac:dyDescent="0.25" r="72" customHeight="1" ht="18.75">
      <c r="A72" s="1"/>
      <c r="B72" s="1"/>
      <c r="C72" s="1"/>
      <c r="D72" s="244" t="s">
        <v>151</v>
      </c>
      <c r="E72" s="170"/>
      <c r="F72" s="1"/>
      <c r="G72" s="7"/>
      <c r="H72" s="168"/>
      <c r="I72" s="168"/>
      <c r="J72" s="168"/>
      <c r="K72" s="170"/>
      <c r="L72" s="1"/>
      <c r="M72" s="1"/>
      <c r="N72" s="1"/>
      <c r="O72" s="1"/>
      <c r="P72" s="170"/>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row>
    <row x14ac:dyDescent="0.25" r="73" customHeight="1" ht="18.75">
      <c r="A73" s="1"/>
      <c r="B73" s="1"/>
      <c r="C73" s="1"/>
      <c r="D73" s="1"/>
      <c r="E73" s="170"/>
      <c r="F73" s="1"/>
      <c r="G73" s="7"/>
      <c r="H73" s="168"/>
      <c r="I73" s="168"/>
      <c r="J73" s="168"/>
      <c r="K73" s="170"/>
      <c r="L73" s="1"/>
      <c r="M73" s="1"/>
      <c r="N73" s="1"/>
      <c r="O73" s="1"/>
      <c r="P73" s="170"/>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row>
    <row x14ac:dyDescent="0.25" r="74" customHeight="1" ht="18.75">
      <c r="A74" s="1"/>
      <c r="B74" s="1"/>
      <c r="C74" s="1"/>
      <c r="D74" s="1"/>
      <c r="E74" s="170"/>
      <c r="F74" s="1"/>
      <c r="G74" s="7"/>
      <c r="H74" s="168"/>
      <c r="I74" s="168"/>
      <c r="J74" s="168"/>
      <c r="K74" s="170"/>
      <c r="L74" s="1"/>
      <c r="M74" s="1"/>
      <c r="N74" s="1"/>
      <c r="O74" s="1"/>
      <c r="P74" s="170"/>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row>
    <row x14ac:dyDescent="0.25" r="75" customHeight="1" ht="18.75">
      <c r="A75" s="1"/>
      <c r="B75" s="1"/>
      <c r="C75" s="1"/>
      <c r="D75" s="249" t="s">
        <v>152</v>
      </c>
      <c r="E75" s="170"/>
      <c r="F75" s="1"/>
      <c r="G75" s="7"/>
      <c r="H75" s="168"/>
      <c r="I75" s="168"/>
      <c r="J75" s="168"/>
      <c r="K75" s="170"/>
      <c r="L75" s="1"/>
      <c r="M75" s="1"/>
      <c r="N75" s="1"/>
      <c r="O75" s="1"/>
      <c r="P75" s="170"/>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row>
    <row x14ac:dyDescent="0.25" r="76" customHeight="1" ht="18.75">
      <c r="A76" s="1"/>
      <c r="B76" s="492"/>
      <c r="C76" s="492"/>
      <c r="D76" s="193" t="s">
        <v>153</v>
      </c>
      <c r="E76" s="493"/>
      <c r="F76" s="1"/>
      <c r="G76" s="7"/>
      <c r="H76" s="168"/>
      <c r="I76" s="168"/>
      <c r="J76" s="168"/>
      <c r="K76" s="170"/>
      <c r="L76" s="1"/>
      <c r="M76" s="1"/>
      <c r="N76" s="1"/>
      <c r="O76" s="1"/>
      <c r="P76" s="170"/>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row>
    <row x14ac:dyDescent="0.25" r="77" customHeight="1" ht="18.75">
      <c r="A77" s="1"/>
      <c r="B77" s="492"/>
      <c r="C77" s="492"/>
      <c r="D77" s="492"/>
      <c r="E77" s="493"/>
      <c r="F77" s="1"/>
      <c r="G77" s="7"/>
      <c r="H77" s="168"/>
      <c r="I77" s="168"/>
      <c r="J77" s="168"/>
      <c r="K77" s="170"/>
      <c r="L77" s="1"/>
      <c r="M77" s="1"/>
      <c r="N77" s="1"/>
      <c r="O77" s="1"/>
      <c r="P77" s="170"/>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row>
    <row x14ac:dyDescent="0.25" r="78" customHeight="1" ht="18.75">
      <c r="A78" s="1"/>
      <c r="B78" s="492"/>
      <c r="C78" s="492"/>
      <c r="D78" s="249" t="s">
        <v>154</v>
      </c>
      <c r="E78" s="484">
        <f>'Aportaciones PP indvidual'!$B$7</f>
        <v>25569.041666666668</v>
      </c>
      <c r="F78" s="1"/>
      <c r="G78" s="7"/>
      <c r="H78" s="168"/>
      <c r="I78" s="168"/>
      <c r="J78" s="168"/>
      <c r="K78" s="170"/>
      <c r="L78" s="1"/>
      <c r="M78" s="1"/>
      <c r="N78" s="1"/>
      <c r="O78" s="1"/>
      <c r="P78" s="170"/>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row>
    <row x14ac:dyDescent="0.25" r="79" customHeight="1" ht="18.75">
      <c r="A79" s="1"/>
      <c r="B79" s="492"/>
      <c r="C79" s="492"/>
      <c r="D79" s="249" t="s">
        <v>155</v>
      </c>
      <c r="E79" s="484">
        <f>DATE(YEAR(TODAY()),MONTH(TODAY())+1,DAY(1))</f>
        <v>25569.041666666668</v>
      </c>
      <c r="F79" s="1"/>
      <c r="G79" s="484">
        <f>DATE(YEAR(E79),MONTH(1),DAY(1))</f>
        <v>25569.041666666668</v>
      </c>
      <c r="H79" s="168"/>
      <c r="I79" s="168"/>
      <c r="J79" s="168"/>
      <c r="K79" s="170"/>
      <c r="L79" s="1"/>
      <c r="M79" s="1"/>
      <c r="N79" s="1"/>
      <c r="O79" s="1"/>
      <c r="P79" s="170"/>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row>
    <row x14ac:dyDescent="0.25" r="80" customHeight="1" ht="18.75">
      <c r="A80" s="492"/>
      <c r="B80" s="492"/>
      <c r="C80" s="492"/>
      <c r="D80" s="249" t="s">
        <v>156</v>
      </c>
      <c r="E80" s="484">
        <f>'Aportaciones PP indvidual'!$N$7</f>
        <v>25569.041666666668</v>
      </c>
      <c r="F80" s="1"/>
      <c r="G80" s="7"/>
      <c r="H80" s="168"/>
      <c r="I80" s="168"/>
      <c r="J80" s="168"/>
      <c r="K80" s="170"/>
      <c r="L80" s="1"/>
      <c r="M80" s="1"/>
      <c r="N80" s="1"/>
      <c r="O80" s="1"/>
      <c r="P80" s="170"/>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row>
    <row x14ac:dyDescent="0.25" r="81" customHeight="1" ht="18.75">
      <c r="A81" s="1"/>
      <c r="B81" s="1"/>
      <c r="C81" s="1"/>
      <c r="D81" s="1"/>
      <c r="E81" s="170"/>
      <c r="F81" s="1"/>
      <c r="G81" s="7"/>
      <c r="H81" s="168"/>
      <c r="I81" s="168"/>
      <c r="J81" s="168"/>
      <c r="K81" s="170"/>
      <c r="L81" s="1"/>
      <c r="M81" s="1"/>
      <c r="N81" s="1"/>
      <c r="O81" s="1"/>
      <c r="P81" s="170"/>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row>
    <row x14ac:dyDescent="0.25" r="82" customHeight="1" ht="18.75">
      <c r="A82" s="1"/>
      <c r="B82" s="1"/>
      <c r="C82" s="1"/>
      <c r="D82" s="1"/>
      <c r="E82" s="170"/>
      <c r="F82" s="1"/>
      <c r="G82" s="7"/>
      <c r="H82" s="168"/>
      <c r="I82" s="168"/>
      <c r="J82" s="168"/>
      <c r="K82" s="170"/>
      <c r="L82" s="1"/>
      <c r="M82" s="1"/>
      <c r="N82" s="1"/>
      <c r="O82" s="1"/>
      <c r="P82" s="170"/>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row>
    <row x14ac:dyDescent="0.25" r="83" customHeight="1" ht="18.75">
      <c r="A83" s="1"/>
      <c r="B83" s="1"/>
      <c r="C83" s="1"/>
      <c r="D83" s="249" t="s">
        <v>157</v>
      </c>
      <c r="E83" s="494"/>
      <c r="F83" s="495"/>
      <c r="G83" s="496"/>
      <c r="H83" s="168"/>
      <c r="I83" s="168"/>
      <c r="J83" s="168"/>
      <c r="K83" s="170"/>
      <c r="L83" s="1"/>
      <c r="M83" s="1"/>
      <c r="N83" s="1"/>
      <c r="O83" s="1"/>
      <c r="P83" s="170"/>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row>
    <row x14ac:dyDescent="0.25" r="84" customHeight="1" ht="18.75">
      <c r="A84" s="1"/>
      <c r="B84" s="1"/>
      <c r="C84" s="1"/>
      <c r="D84" s="497"/>
      <c r="E84" s="498"/>
      <c r="F84" s="1"/>
      <c r="G84" s="7"/>
      <c r="H84" s="168"/>
      <c r="I84" s="168"/>
      <c r="J84" s="168"/>
      <c r="K84" s="170"/>
      <c r="L84" s="1"/>
      <c r="M84" s="1"/>
      <c r="N84" s="1"/>
      <c r="O84" s="1"/>
      <c r="P84" s="170"/>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row>
    <row x14ac:dyDescent="0.25" r="85" customHeight="1" ht="18.75">
      <c r="A85" s="1"/>
      <c r="B85" s="1"/>
      <c r="C85" s="1"/>
      <c r="D85" s="499" t="s">
        <v>158</v>
      </c>
      <c r="E85" s="500">
        <f>$H$6*12</f>
      </c>
      <c r="F85" s="241" t="s">
        <v>159</v>
      </c>
      <c r="G85" s="501"/>
      <c r="H85" s="168"/>
      <c r="I85" s="168"/>
      <c r="J85" s="168"/>
      <c r="K85" s="170"/>
      <c r="L85" s="1"/>
      <c r="M85" s="1"/>
      <c r="N85" s="1"/>
      <c r="O85" s="1"/>
      <c r="P85" s="170"/>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row>
    <row x14ac:dyDescent="0.25" r="86" customHeight="1" ht="18.75">
      <c r="A86" s="1"/>
      <c r="B86" s="1"/>
      <c r="C86" s="1"/>
      <c r="D86" s="499" t="s">
        <v>160</v>
      </c>
      <c r="E86" s="502">
        <f>(E85*'Renta Vitalicia'!$F$5)-E105</f>
      </c>
      <c r="F86" s="241" t="s">
        <v>161</v>
      </c>
      <c r="G86" s="501"/>
      <c r="H86" s="168"/>
      <c r="I86" s="168"/>
      <c r="J86" s="168"/>
      <c r="K86" s="170"/>
      <c r="L86" s="1"/>
      <c r="M86" s="1"/>
      <c r="N86" s="1"/>
      <c r="O86" s="1"/>
      <c r="P86" s="170"/>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row>
    <row x14ac:dyDescent="0.25" r="87" customHeight="1" ht="18.75">
      <c r="A87" s="1"/>
      <c r="B87" s="1"/>
      <c r="C87" s="1"/>
      <c r="D87" s="499" t="s">
        <v>162</v>
      </c>
      <c r="E87" s="503">
        <f>+(1+'Aportaciones PP indvidual'!$G$5)^(1/12)-1</f>
      </c>
      <c r="F87" s="241" t="s">
        <v>163</v>
      </c>
      <c r="G87" s="501"/>
      <c r="H87" s="168"/>
      <c r="I87" s="168"/>
      <c r="J87" s="168"/>
      <c r="K87" s="170"/>
      <c r="L87" s="1"/>
      <c r="M87" s="1"/>
      <c r="N87" s="1"/>
      <c r="O87" s="1"/>
      <c r="P87" s="170"/>
      <c r="Q87" s="1"/>
      <c r="R87" s="1"/>
      <c r="S87" s="1"/>
      <c r="T87" s="1"/>
      <c r="U87" s="1"/>
      <c r="V87" s="1"/>
      <c r="W87" s="1"/>
      <c r="X87" s="1"/>
      <c r="Y87" s="1"/>
      <c r="Z87" s="1"/>
      <c r="AA87" s="1"/>
      <c r="AB87" s="1"/>
      <c r="AC87" s="1"/>
      <c r="AD87" s="495"/>
      <c r="AE87" s="495"/>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row>
    <row x14ac:dyDescent="0.25" r="88" customHeight="1" ht="18.75">
      <c r="A88" s="1"/>
      <c r="B88" s="1"/>
      <c r="C88" s="1"/>
      <c r="D88" s="499" t="s">
        <v>164</v>
      </c>
      <c r="E88" s="502">
        <f>(DATEDIF($E$79,$E$78,"M"))-0</f>
      </c>
      <c r="F88" s="241" t="s">
        <v>165</v>
      </c>
      <c r="G88" s="501"/>
      <c r="H88" s="168"/>
      <c r="I88" s="168"/>
      <c r="J88" s="168"/>
      <c r="K88" s="170"/>
      <c r="L88" s="1"/>
      <c r="M88" s="1"/>
      <c r="N88" s="1"/>
      <c r="O88" s="1"/>
      <c r="P88" s="170"/>
      <c r="Q88" s="1"/>
      <c r="R88" s="1"/>
      <c r="S88" s="1"/>
      <c r="T88" s="1"/>
      <c r="U88" s="1"/>
      <c r="V88" s="1"/>
      <c r="W88" s="1"/>
      <c r="X88" s="1"/>
      <c r="Y88" s="1"/>
      <c r="Z88" s="1"/>
      <c r="AA88" s="1"/>
      <c r="AB88" s="1"/>
      <c r="AC88" s="1"/>
      <c r="AD88" s="495"/>
      <c r="AE88" s="495"/>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row>
    <row x14ac:dyDescent="0.25" r="89" customHeight="1" ht="18.75">
      <c r="A89" s="1"/>
      <c r="B89" s="1"/>
      <c r="C89" s="1"/>
      <c r="D89" s="499" t="s">
        <v>166</v>
      </c>
      <c r="E89" s="504">
        <v>1</v>
      </c>
      <c r="F89" s="241" t="s">
        <v>167</v>
      </c>
      <c r="G89" s="501"/>
      <c r="H89" s="168"/>
      <c r="I89" s="168"/>
      <c r="J89" s="168"/>
      <c r="K89" s="484"/>
      <c r="L89" s="1"/>
      <c r="M89" s="1"/>
      <c r="N89" s="1"/>
      <c r="O89" s="1"/>
      <c r="P89" s="170"/>
      <c r="Q89" s="1"/>
      <c r="R89" s="1"/>
      <c r="S89" s="1"/>
      <c r="T89" s="1"/>
      <c r="U89" s="1"/>
      <c r="V89" s="1"/>
      <c r="W89" s="1"/>
      <c r="X89" s="1"/>
      <c r="Y89" s="1"/>
      <c r="Z89" s="1"/>
      <c r="AA89" s="1"/>
      <c r="AB89" s="1"/>
      <c r="AC89" s="1"/>
      <c r="AD89" s="495"/>
      <c r="AE89" s="495"/>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row>
    <row x14ac:dyDescent="0.25" r="90" customHeight="1" ht="18.75">
      <c r="A90" s="1"/>
      <c r="B90" s="1"/>
      <c r="C90" s="1"/>
      <c r="D90" s="499" t="s">
        <v>168</v>
      </c>
      <c r="E90" s="505">
        <f>IFERROR(PPMT(E87,E89,E88,MAX(E86,0)),0)</f>
      </c>
      <c r="F90" s="241" t="s">
        <v>169</v>
      </c>
      <c r="G90" s="501"/>
      <c r="H90" s="168"/>
      <c r="I90" s="168"/>
      <c r="J90" s="168"/>
      <c r="K90" s="170"/>
      <c r="L90" s="1"/>
      <c r="M90" s="1"/>
      <c r="N90" s="1"/>
      <c r="O90" s="1"/>
      <c r="P90" s="170"/>
      <c r="Q90" s="1"/>
      <c r="R90" s="1"/>
      <c r="S90" s="1"/>
      <c r="T90" s="1"/>
      <c r="U90" s="1"/>
      <c r="V90" s="1"/>
      <c r="W90" s="1"/>
      <c r="X90" s="1"/>
      <c r="Y90" s="1"/>
      <c r="Z90" s="1"/>
      <c r="AA90" s="1"/>
      <c r="AB90" s="1"/>
      <c r="AC90" s="1"/>
      <c r="AD90" s="495"/>
      <c r="AE90" s="495"/>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row>
    <row x14ac:dyDescent="0.25" r="91" customHeight="1" ht="18.75">
      <c r="A91" s="1"/>
      <c r="B91" s="1"/>
      <c r="C91" s="1"/>
      <c r="D91" s="506"/>
      <c r="E91" s="507"/>
      <c r="F91" s="1"/>
      <c r="G91" s="7"/>
      <c r="H91" s="168"/>
      <c r="I91" s="168"/>
      <c r="J91" s="168"/>
      <c r="K91" s="485"/>
      <c r="L91" s="1"/>
      <c r="M91" s="1"/>
      <c r="N91" s="1"/>
      <c r="O91" s="1"/>
      <c r="P91" s="170"/>
      <c r="Q91" s="1"/>
      <c r="R91" s="1"/>
      <c r="S91" s="1"/>
      <c r="T91" s="1"/>
      <c r="U91" s="1"/>
      <c r="V91" s="1"/>
      <c r="W91" s="1"/>
      <c r="X91" s="1"/>
      <c r="Y91" s="1"/>
      <c r="Z91" s="1"/>
      <c r="AA91" s="1"/>
      <c r="AB91" s="1"/>
      <c r="AC91" s="1"/>
      <c r="AD91" s="495"/>
      <c r="AE91" s="495"/>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row>
    <row x14ac:dyDescent="0.25" r="92" customHeight="1" ht="18.75">
      <c r="A92" s="1"/>
      <c r="B92" s="1"/>
      <c r="C92" s="1"/>
      <c r="D92" s="499" t="s">
        <v>170</v>
      </c>
      <c r="E92" s="502">
        <f>FV(E87/12,E88,E90)</f>
      </c>
      <c r="F92" s="508" t="s">
        <v>171</v>
      </c>
      <c r="G92" s="501"/>
      <c r="H92" s="168"/>
      <c r="I92" s="168"/>
      <c r="J92" s="168"/>
      <c r="K92" s="487"/>
      <c r="L92" s="1"/>
      <c r="M92" s="1"/>
      <c r="N92" s="1"/>
      <c r="O92" s="1"/>
      <c r="P92" s="170"/>
      <c r="Q92" s="1"/>
      <c r="R92" s="1"/>
      <c r="S92" s="1"/>
      <c r="T92" s="1"/>
      <c r="U92" s="1"/>
      <c r="V92" s="1"/>
      <c r="W92" s="1"/>
      <c r="X92" s="1"/>
      <c r="Y92" s="1"/>
      <c r="Z92" s="1"/>
      <c r="AA92" s="1"/>
      <c r="AB92" s="1"/>
      <c r="AC92" s="1"/>
      <c r="AD92" s="495"/>
      <c r="AE92" s="495"/>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row>
    <row x14ac:dyDescent="0.25" r="93" customHeight="1" ht="18.75">
      <c r="A93" s="1"/>
      <c r="B93" s="1"/>
      <c r="C93" s="1"/>
      <c r="D93" s="509" t="s">
        <v>172</v>
      </c>
      <c r="E93" s="510">
        <f>E92/'Renta Vitalicia'!$F$5</f>
      </c>
      <c r="F93" s="508" t="s">
        <v>173</v>
      </c>
      <c r="G93" s="501"/>
      <c r="H93" s="168"/>
      <c r="I93" s="168"/>
      <c r="J93" s="168"/>
      <c r="K93" s="485"/>
      <c r="L93" s="1"/>
      <c r="M93" s="1"/>
      <c r="N93" s="1"/>
      <c r="O93" s="1"/>
      <c r="P93" s="170"/>
      <c r="Q93" s="1"/>
      <c r="R93" s="1"/>
      <c r="S93" s="1"/>
      <c r="T93" s="1"/>
      <c r="U93" s="1"/>
      <c r="V93" s="1"/>
      <c r="W93" s="1"/>
      <c r="X93" s="1"/>
      <c r="Y93" s="1"/>
      <c r="Z93" s="1"/>
      <c r="AA93" s="1"/>
      <c r="AB93" s="1"/>
      <c r="AC93" s="1"/>
      <c r="AD93" s="495"/>
      <c r="AE93" s="495"/>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row>
    <row x14ac:dyDescent="0.25" r="94" customHeight="1" ht="18.75">
      <c r="A94" s="1"/>
      <c r="B94" s="1"/>
      <c r="C94" s="1"/>
      <c r="D94" s="1"/>
      <c r="E94" s="170"/>
      <c r="F94" s="1"/>
      <c r="G94" s="501"/>
      <c r="H94" s="168"/>
      <c r="I94" s="168"/>
      <c r="J94" s="168"/>
      <c r="K94" s="170"/>
      <c r="L94" s="1"/>
      <c r="M94" s="1"/>
      <c r="N94" s="1"/>
      <c r="O94" s="1"/>
      <c r="P94" s="170"/>
      <c r="Q94" s="1"/>
      <c r="R94" s="1"/>
      <c r="S94" s="1"/>
      <c r="T94" s="1"/>
      <c r="U94" s="1"/>
      <c r="V94" s="1"/>
      <c r="W94" s="1"/>
      <c r="X94" s="1"/>
      <c r="Y94" s="1"/>
      <c r="Z94" s="1"/>
      <c r="AA94" s="1"/>
      <c r="AB94" s="1"/>
      <c r="AC94" s="1"/>
      <c r="AD94" s="495"/>
      <c r="AE94" s="495"/>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row>
    <row x14ac:dyDescent="0.25" r="95" customHeight="1" ht="18.75">
      <c r="A95" s="1"/>
      <c r="B95" s="1"/>
      <c r="C95" s="1"/>
      <c r="D95" s="497" t="s">
        <v>174</v>
      </c>
      <c r="E95" s="511">
        <f>-$K$10/MIN(12,E88)</f>
      </c>
      <c r="F95" s="241" t="s">
        <v>175</v>
      </c>
      <c r="G95" s="501"/>
      <c r="H95" s="168"/>
      <c r="I95" s="168"/>
      <c r="J95" s="168"/>
      <c r="K95" s="170"/>
      <c r="L95" s="1"/>
      <c r="M95" s="1"/>
      <c r="N95" s="1"/>
      <c r="O95" s="1"/>
      <c r="P95" s="170"/>
      <c r="Q95" s="1"/>
      <c r="R95" s="1"/>
      <c r="S95" s="1"/>
      <c r="T95" s="1"/>
      <c r="U95" s="1"/>
      <c r="V95" s="1"/>
      <c r="W95" s="1"/>
      <c r="X95" s="1"/>
      <c r="Y95" s="1"/>
      <c r="Z95" s="1"/>
      <c r="AA95" s="1"/>
      <c r="AB95" s="1"/>
      <c r="AC95" s="1"/>
      <c r="AD95" s="495"/>
      <c r="AE95" s="495"/>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row>
    <row x14ac:dyDescent="0.25" r="96" customHeight="1" ht="18.75">
      <c r="A96" s="1"/>
      <c r="B96" s="1"/>
      <c r="C96" s="1"/>
      <c r="D96" s="499" t="s">
        <v>176</v>
      </c>
      <c r="E96" s="505">
        <f>'Aportaciones PP indvidual'!K5</f>
      </c>
      <c r="F96" s="241" t="s">
        <v>177</v>
      </c>
      <c r="G96" s="501"/>
      <c r="H96" s="168"/>
      <c r="I96" s="168"/>
      <c r="J96" s="168"/>
      <c r="K96" s="170"/>
      <c r="L96" s="1"/>
      <c r="M96" s="1"/>
      <c r="N96" s="1"/>
      <c r="O96" s="1"/>
      <c r="P96" s="170"/>
      <c r="Q96" s="1"/>
      <c r="R96" s="1"/>
      <c r="S96" s="1"/>
      <c r="T96" s="1"/>
      <c r="U96" s="1"/>
      <c r="V96" s="1"/>
      <c r="W96" s="1"/>
      <c r="X96" s="1"/>
      <c r="Y96" s="1"/>
      <c r="Z96" s="1"/>
      <c r="AA96" s="1"/>
      <c r="AB96" s="1"/>
      <c r="AC96" s="1"/>
      <c r="AD96" s="495"/>
      <c r="AE96" s="495"/>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row>
    <row x14ac:dyDescent="0.25" r="97" customHeight="1" ht="18.75">
      <c r="A97" s="1"/>
      <c r="B97" s="1"/>
      <c r="C97" s="1"/>
      <c r="D97" s="509" t="s">
        <v>178</v>
      </c>
      <c r="E97" s="512">
        <f>'Aportaciones PP indvidual'!L5</f>
      </c>
      <c r="F97" s="241" t="s">
        <v>179</v>
      </c>
      <c r="G97" s="501"/>
      <c r="H97" s="168"/>
      <c r="I97" s="168"/>
      <c r="J97" s="168"/>
      <c r="K97" s="170"/>
      <c r="L97" s="1"/>
      <c r="M97" s="1"/>
      <c r="N97" s="1"/>
      <c r="O97" s="1"/>
      <c r="P97" s="170"/>
      <c r="Q97" s="1"/>
      <c r="R97" s="1"/>
      <c r="S97" s="1"/>
      <c r="T97" s="1"/>
      <c r="U97" s="1"/>
      <c r="V97" s="1"/>
      <c r="W97" s="1"/>
      <c r="X97" s="1"/>
      <c r="Y97" s="1"/>
      <c r="Z97" s="1"/>
      <c r="AA97" s="1"/>
      <c r="AB97" s="1"/>
      <c r="AC97" s="1"/>
      <c r="AD97" s="495"/>
      <c r="AE97" s="495"/>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row>
    <row x14ac:dyDescent="0.25" r="98" customHeight="1" ht="18.75">
      <c r="A98" s="1"/>
      <c r="B98" s="1"/>
      <c r="C98" s="1"/>
      <c r="D98" s="1"/>
      <c r="E98" s="170"/>
      <c r="F98" s="1"/>
      <c r="G98" s="7"/>
      <c r="H98" s="168"/>
      <c r="I98" s="168"/>
      <c r="J98" s="168"/>
      <c r="K98" s="170"/>
      <c r="L98" s="1"/>
      <c r="M98" s="1"/>
      <c r="N98" s="1"/>
      <c r="O98" s="1"/>
      <c r="P98" s="170"/>
      <c r="Q98" s="1"/>
      <c r="R98" s="1"/>
      <c r="S98" s="1"/>
      <c r="T98" s="1"/>
      <c r="U98" s="1"/>
      <c r="V98" s="1"/>
      <c r="W98" s="1"/>
      <c r="X98" s="1"/>
      <c r="Y98" s="1"/>
      <c r="Z98" s="1"/>
      <c r="AA98" s="1"/>
      <c r="AB98" s="1"/>
      <c r="AC98" s="1"/>
      <c r="AD98" s="495"/>
      <c r="AE98" s="495"/>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row>
    <row x14ac:dyDescent="0.25" r="99" customHeight="1" ht="18.75">
      <c r="A99" s="1"/>
      <c r="B99" s="1"/>
      <c r="C99" s="1"/>
      <c r="D99" s="1"/>
      <c r="E99" s="170"/>
      <c r="F99" s="1"/>
      <c r="G99" s="7"/>
      <c r="H99" s="168"/>
      <c r="I99" s="168"/>
      <c r="J99" s="168"/>
      <c r="K99" s="170"/>
      <c r="L99" s="1"/>
      <c r="M99" s="1"/>
      <c r="N99" s="1"/>
      <c r="O99" s="1"/>
      <c r="P99" s="170"/>
      <c r="Q99" s="1"/>
      <c r="R99" s="1"/>
      <c r="S99" s="1"/>
      <c r="T99" s="1"/>
      <c r="U99" s="1"/>
      <c r="V99" s="1"/>
      <c r="W99" s="1"/>
      <c r="X99" s="1"/>
      <c r="Y99" s="1"/>
      <c r="Z99" s="1"/>
      <c r="AA99" s="1"/>
      <c r="AB99" s="1"/>
      <c r="AC99" s="1"/>
      <c r="AD99" s="495"/>
      <c r="AE99" s="495"/>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row>
    <row x14ac:dyDescent="0.25" r="100" customHeight="1" ht="18.75">
      <c r="A100" s="1"/>
      <c r="B100" s="1"/>
      <c r="C100" s="1"/>
      <c r="D100" s="513" t="s">
        <v>156</v>
      </c>
      <c r="E100" s="514">
        <f>DATE(YEAR(I15),MONTH(I15)+1,DAY(I15))</f>
        <v>25569.041666666668</v>
      </c>
      <c r="F100" s="1"/>
      <c r="G100" s="7"/>
      <c r="H100" s="168"/>
      <c r="I100" s="168"/>
      <c r="J100" s="168"/>
      <c r="K100" s="170"/>
      <c r="L100" s="1"/>
      <c r="M100" s="1"/>
      <c r="N100" s="1"/>
      <c r="O100" s="1"/>
      <c r="P100" s="170"/>
      <c r="Q100" s="1"/>
      <c r="R100" s="1"/>
      <c r="S100" s="1"/>
      <c r="T100" s="1"/>
      <c r="U100" s="1"/>
      <c r="V100" s="1"/>
      <c r="W100" s="1"/>
      <c r="X100" s="1"/>
      <c r="Y100" s="1"/>
      <c r="Z100" s="1"/>
      <c r="AA100" s="1"/>
      <c r="AB100" s="1"/>
      <c r="AC100" s="1"/>
      <c r="AD100" s="495"/>
      <c r="AE100" s="495"/>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row>
    <row x14ac:dyDescent="0.25" r="101" customHeight="1" ht="18.75">
      <c r="A101" s="1"/>
      <c r="B101" s="1"/>
      <c r="C101" s="1"/>
      <c r="D101" s="515" t="s">
        <v>180</v>
      </c>
      <c r="E101" s="516">
        <f>I14</f>
      </c>
      <c r="F101" s="1"/>
      <c r="G101" s="7"/>
      <c r="H101" s="168"/>
      <c r="I101" s="168"/>
      <c r="J101" s="168"/>
      <c r="K101" s="170"/>
      <c r="L101" s="1"/>
      <c r="M101" s="1"/>
      <c r="N101" s="1"/>
      <c r="O101" s="1"/>
      <c r="P101" s="170"/>
      <c r="Q101" s="1"/>
      <c r="R101" s="1"/>
      <c r="S101" s="1"/>
      <c r="T101" s="1"/>
      <c r="U101" s="1"/>
      <c r="V101" s="1"/>
      <c r="W101" s="1"/>
      <c r="X101" s="1"/>
      <c r="Y101" s="1"/>
      <c r="Z101" s="1"/>
      <c r="AA101" s="1"/>
      <c r="AB101" s="1"/>
      <c r="AC101" s="1"/>
      <c r="AD101" s="495"/>
      <c r="AE101" s="495"/>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row>
    <row x14ac:dyDescent="0.25" r="102" customHeight="1" ht="18.75">
      <c r="A102" s="1"/>
      <c r="B102" s="1"/>
      <c r="C102" s="1"/>
      <c r="D102" s="515" t="s">
        <v>162</v>
      </c>
      <c r="E102" s="517">
        <f>E87</f>
      </c>
      <c r="F102" s="1"/>
      <c r="G102" s="7"/>
      <c r="H102" s="168"/>
      <c r="I102" s="168"/>
      <c r="J102" s="168"/>
      <c r="K102" s="170"/>
      <c r="L102" s="1"/>
      <c r="M102" s="1"/>
      <c r="N102" s="1"/>
      <c r="O102" s="1"/>
      <c r="P102" s="170"/>
      <c r="Q102" s="1"/>
      <c r="R102" s="1"/>
      <c r="S102" s="1"/>
      <c r="T102" s="1"/>
      <c r="U102" s="1"/>
      <c r="V102" s="1"/>
      <c r="W102" s="1"/>
      <c r="X102" s="1"/>
      <c r="Y102" s="1"/>
      <c r="Z102" s="1"/>
      <c r="AA102" s="1"/>
      <c r="AB102" s="1"/>
      <c r="AC102" s="1"/>
      <c r="AD102" s="495"/>
      <c r="AE102" s="495"/>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row>
    <row x14ac:dyDescent="0.25" r="103" customHeight="1" ht="18.75">
      <c r="A103" s="1"/>
      <c r="B103" s="1"/>
      <c r="C103" s="1"/>
      <c r="D103" s="518" t="s">
        <v>164</v>
      </c>
      <c r="E103" s="519">
        <f>(DATEDIF($E$100,$E$78,"M"))-0</f>
        <v>25569.041666666668</v>
      </c>
      <c r="F103" s="1"/>
      <c r="G103" s="7"/>
      <c r="H103" s="168"/>
      <c r="I103" s="168"/>
      <c r="J103" s="168"/>
      <c r="K103" s="170"/>
      <c r="L103" s="1"/>
      <c r="M103" s="1"/>
      <c r="N103" s="1"/>
      <c r="O103" s="1"/>
      <c r="P103" s="170"/>
      <c r="Q103" s="1"/>
      <c r="R103" s="1"/>
      <c r="S103" s="1"/>
      <c r="T103" s="1"/>
      <c r="U103" s="1"/>
      <c r="V103" s="1"/>
      <c r="W103" s="1"/>
      <c r="X103" s="1"/>
      <c r="Y103" s="1"/>
      <c r="Z103" s="1"/>
      <c r="AA103" s="1"/>
      <c r="AB103" s="1"/>
      <c r="AC103" s="1"/>
      <c r="AD103" s="301"/>
      <c r="AE103" s="30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row>
    <row x14ac:dyDescent="0.25" r="104" customHeight="1" ht="18.75">
      <c r="A104" s="1"/>
      <c r="B104" s="1"/>
      <c r="C104" s="1"/>
      <c r="D104" s="518"/>
      <c r="E104" s="520"/>
      <c r="F104" s="1"/>
      <c r="G104" s="7"/>
      <c r="H104" s="168"/>
      <c r="I104" s="168"/>
      <c r="J104" s="168"/>
      <c r="K104" s="170"/>
      <c r="L104" s="1"/>
      <c r="M104" s="1"/>
      <c r="N104" s="1"/>
      <c r="O104" s="1"/>
      <c r="P104" s="170"/>
      <c r="Q104" s="1"/>
      <c r="R104" s="1"/>
      <c r="S104" s="1"/>
      <c r="T104" s="1"/>
      <c r="U104" s="1"/>
      <c r="V104" s="1"/>
      <c r="W104" s="1"/>
      <c r="X104" s="1"/>
      <c r="Y104" s="1"/>
      <c r="Z104" s="1"/>
      <c r="AA104" s="1"/>
      <c r="AB104" s="1"/>
      <c r="AC104" s="1"/>
      <c r="AD104" s="301"/>
      <c r="AE104" s="30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row>
    <row x14ac:dyDescent="0.25" r="105" customHeight="1" ht="18.75">
      <c r="A105" s="1"/>
      <c r="B105" s="1"/>
      <c r="C105" s="1"/>
      <c r="D105" s="521" t="s">
        <v>168</v>
      </c>
      <c r="E105" s="522">
        <f>E101*(1+E102)^E103</f>
      </c>
      <c r="F105" s="523" t="s">
        <v>181</v>
      </c>
      <c r="G105" s="7"/>
      <c r="H105" s="168"/>
      <c r="I105" s="168"/>
      <c r="J105" s="168"/>
      <c r="K105" s="170"/>
      <c r="L105" s="1"/>
      <c r="M105" s="1"/>
      <c r="N105" s="1"/>
      <c r="O105" s="1"/>
      <c r="P105" s="170"/>
      <c r="Q105" s="1"/>
      <c r="R105" s="1"/>
      <c r="S105" s="1"/>
      <c r="T105" s="1"/>
      <c r="U105" s="1"/>
      <c r="V105" s="1"/>
      <c r="W105" s="1"/>
      <c r="X105" s="1"/>
      <c r="Y105" s="1"/>
      <c r="Z105" s="1"/>
      <c r="AA105" s="1"/>
      <c r="AB105" s="1"/>
      <c r="AC105" s="1"/>
      <c r="AD105" s="301"/>
      <c r="AE105" s="30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row>
    <row x14ac:dyDescent="0.25" r="106" customHeight="1" ht="18.75">
      <c r="A106" s="1"/>
      <c r="B106" s="1"/>
      <c r="C106" s="1"/>
      <c r="D106" s="1"/>
      <c r="E106" s="524"/>
      <c r="F106" s="1"/>
      <c r="G106" s="7"/>
      <c r="H106" s="168"/>
      <c r="I106" s="168"/>
      <c r="J106" s="168"/>
      <c r="K106" s="170"/>
      <c r="L106" s="1"/>
      <c r="M106" s="1"/>
      <c r="N106" s="1"/>
      <c r="O106" s="1"/>
      <c r="P106" s="170"/>
      <c r="Q106" s="1"/>
      <c r="R106" s="1"/>
      <c r="S106" s="1"/>
      <c r="T106" s="1"/>
      <c r="U106" s="1"/>
      <c r="V106" s="1"/>
      <c r="W106" s="1"/>
      <c r="X106" s="1"/>
      <c r="Y106" s="1"/>
      <c r="Z106" s="1"/>
      <c r="AA106" s="1"/>
      <c r="AB106" s="1"/>
      <c r="AC106" s="1"/>
      <c r="AD106" s="301"/>
      <c r="AE106" s="30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row>
    <row x14ac:dyDescent="0.25" r="107" customHeight="1" ht="18.75">
      <c r="A107" s="1"/>
      <c r="B107" s="1"/>
      <c r="C107" s="1"/>
      <c r="D107" s="1"/>
      <c r="E107" s="170"/>
      <c r="F107" s="1"/>
      <c r="G107" s="7"/>
      <c r="H107" s="168"/>
      <c r="I107" s="168"/>
      <c r="J107" s="168"/>
      <c r="K107" s="170"/>
      <c r="L107" s="1"/>
      <c r="M107" s="1"/>
      <c r="N107" s="1"/>
      <c r="O107" s="1"/>
      <c r="P107" s="170"/>
      <c r="Q107" s="1"/>
      <c r="R107" s="1"/>
      <c r="S107" s="1"/>
      <c r="T107" s="1"/>
      <c r="U107" s="1"/>
      <c r="V107" s="1"/>
      <c r="W107" s="1"/>
      <c r="X107" s="1"/>
      <c r="Y107" s="1"/>
      <c r="Z107" s="1"/>
      <c r="AA107" s="1"/>
      <c r="AB107" s="1"/>
      <c r="AC107" s="525"/>
      <c r="AD107" s="301"/>
      <c r="AE107" s="30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row>
    <row x14ac:dyDescent="0.25" r="108" customHeight="1" ht="18.75">
      <c r="A108" s="1"/>
      <c r="B108" s="1"/>
      <c r="C108" s="1"/>
      <c r="D108" s="1"/>
      <c r="E108" s="170"/>
      <c r="F108" s="1"/>
      <c r="G108" s="7"/>
      <c r="H108" s="168"/>
      <c r="I108" s="168"/>
      <c r="J108" s="168"/>
      <c r="K108" s="170"/>
      <c r="L108" s="1"/>
      <c r="M108" s="1"/>
      <c r="N108" s="1"/>
      <c r="O108" s="1"/>
      <c r="P108" s="170"/>
      <c r="Q108" s="1"/>
      <c r="R108" s="1"/>
      <c r="S108" s="1"/>
      <c r="T108" s="1"/>
      <c r="U108" s="1"/>
      <c r="V108" s="1"/>
      <c r="W108" s="1"/>
      <c r="X108" s="1"/>
      <c r="Y108" s="526"/>
      <c r="Z108" s="1"/>
      <c r="AA108" s="1"/>
      <c r="AB108" s="1"/>
      <c r="AC108" s="525"/>
      <c r="AD108" s="301"/>
      <c r="AE108" s="30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row>
    <row x14ac:dyDescent="0.25" r="109" customHeight="1" ht="18.75">
      <c r="A109" s="1"/>
      <c r="B109" s="1"/>
      <c r="C109" s="1"/>
      <c r="D109" s="1"/>
      <c r="E109" s="170"/>
      <c r="F109" s="1"/>
      <c r="G109" s="7"/>
      <c r="H109" s="168"/>
      <c r="I109" s="168"/>
      <c r="J109" s="168"/>
      <c r="K109" s="170"/>
      <c r="L109" s="1"/>
      <c r="M109" s="1"/>
      <c r="N109" s="1"/>
      <c r="O109" s="1"/>
      <c r="P109" s="170"/>
      <c r="Q109" s="1"/>
      <c r="R109" s="1"/>
      <c r="S109" s="1"/>
      <c r="T109" s="1"/>
      <c r="U109" s="1"/>
      <c r="V109" s="1"/>
      <c r="W109" s="1"/>
      <c r="X109" s="1"/>
      <c r="Y109" s="1"/>
      <c r="Z109" s="1"/>
      <c r="AA109" s="1"/>
      <c r="AB109" s="1"/>
      <c r="AC109" s="525"/>
      <c r="AD109" s="527"/>
      <c r="AE109" s="527"/>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row>
    <row x14ac:dyDescent="0.25" r="110" customHeight="1" ht="18.75">
      <c r="A110" s="1"/>
      <c r="B110" s="1"/>
      <c r="C110" s="1"/>
      <c r="D110" s="1"/>
      <c r="E110" s="170"/>
      <c r="F110" s="1"/>
      <c r="G110" s="7"/>
      <c r="H110" s="168"/>
      <c r="I110" s="168"/>
      <c r="J110" s="168"/>
      <c r="K110" s="170"/>
      <c r="L110" s="1"/>
      <c r="M110" s="1"/>
      <c r="N110" s="1"/>
      <c r="O110" s="1"/>
      <c r="P110" s="170"/>
      <c r="Q110" s="1"/>
      <c r="R110" s="1"/>
      <c r="S110" s="1"/>
      <c r="T110" s="1"/>
      <c r="U110" s="1"/>
      <c r="V110" s="1"/>
      <c r="W110" s="1"/>
      <c r="X110" s="1"/>
      <c r="Y110" s="1"/>
      <c r="Z110" s="1"/>
      <c r="AA110" s="1"/>
      <c r="AB110" s="1"/>
      <c r="AC110" s="525"/>
      <c r="AD110" s="301"/>
      <c r="AE110" s="30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row>
    <row x14ac:dyDescent="0.25" r="111" customHeight="1" ht="18.75">
      <c r="A111" s="1"/>
      <c r="B111" s="1"/>
      <c r="C111" s="1"/>
      <c r="D111" s="1"/>
      <c r="E111" s="170"/>
      <c r="F111" s="1"/>
      <c r="G111" s="7"/>
      <c r="H111" s="168"/>
      <c r="I111" s="168"/>
      <c r="J111" s="168"/>
      <c r="K111" s="170"/>
      <c r="L111" s="1"/>
      <c r="M111" s="1"/>
      <c r="N111" s="1"/>
      <c r="O111" s="1"/>
      <c r="P111" s="17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row>
    <row x14ac:dyDescent="0.25" r="112" customHeight="1" ht="18.75">
      <c r="A112" s="1"/>
      <c r="B112" s="1"/>
      <c r="C112" s="1"/>
      <c r="D112" s="1"/>
      <c r="E112" s="170"/>
      <c r="F112" s="1"/>
      <c r="G112" s="7"/>
      <c r="H112" s="168"/>
      <c r="I112" s="168"/>
      <c r="J112" s="168"/>
      <c r="K112" s="170"/>
      <c r="L112" s="1"/>
      <c r="M112" s="1"/>
      <c r="N112" s="1"/>
      <c r="O112" s="1"/>
      <c r="P112" s="17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row>
  </sheetData>
  <mergeCells count="31">
    <mergeCell ref="B2:K2"/>
    <mergeCell ref="H4:J4"/>
    <mergeCell ref="B6:E7"/>
    <mergeCell ref="B9:E10"/>
    <mergeCell ref="G9:J10"/>
    <mergeCell ref="B13:B15"/>
    <mergeCell ref="D13:E15"/>
    <mergeCell ref="G13:K13"/>
    <mergeCell ref="I14:J14"/>
    <mergeCell ref="I15:J15"/>
    <mergeCell ref="B18:B20"/>
    <mergeCell ref="D18:E20"/>
    <mergeCell ref="G18:K18"/>
    <mergeCell ref="G19:H19"/>
    <mergeCell ref="I19:J19"/>
    <mergeCell ref="G20:H20"/>
    <mergeCell ref="I20:J20"/>
    <mergeCell ref="B23:B30"/>
    <mergeCell ref="G23:J23"/>
    <mergeCell ref="D25:E27"/>
    <mergeCell ref="G25:H25"/>
    <mergeCell ref="G27:H27"/>
    <mergeCell ref="G30:J30"/>
    <mergeCell ref="D33:K33"/>
    <mergeCell ref="D34:E34"/>
    <mergeCell ref="J34:K34"/>
    <mergeCell ref="D36:H36"/>
    <mergeCell ref="J36:K36"/>
    <mergeCell ref="D38:H38"/>
    <mergeCell ref="D40:H40"/>
    <mergeCell ref="J40:K40"/>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755"/>
  <sheetViews>
    <sheetView workbookViewId="0"/>
  </sheetViews>
  <sheetFormatPr defaultRowHeight="15" x14ac:dyDescent="0.25"/>
  <cols>
    <col min="1" max="1" style="163" width="13.576428571428572" customWidth="1" bestFit="1"/>
    <col min="2" max="2" style="163" width="25.719285714285714" customWidth="1" bestFit="1"/>
    <col min="3" max="3" style="165" width="24.719285714285714" customWidth="1" bestFit="1"/>
    <col min="4" max="4" style="165" width="37.71928571428572" customWidth="1" bestFit="1"/>
    <col min="5" max="5" style="166" width="13.005" customWidth="1" bestFit="1"/>
    <col min="6" max="6" style="165" width="13.576428571428572" customWidth="1" bestFit="1"/>
    <col min="7" max="7" style="164" width="13.576428571428572" customWidth="1" bestFit="1"/>
    <col min="8" max="8" style="163" width="13.576428571428572" customWidth="1" bestFit="1"/>
    <col min="9" max="9" style="163" width="12.576428571428572" customWidth="1" bestFit="1"/>
    <col min="10" max="10" style="163" width="10.290714285714287" customWidth="1" bestFit="1"/>
    <col min="11" max="11" style="163" width="13.576428571428572" customWidth="1" bestFit="1"/>
    <col min="12" max="12" style="163" width="13.576428571428572" customWidth="1" bestFit="1"/>
    <col min="13" max="13" style="352" width="13.576428571428572" customWidth="1" bestFit="1"/>
    <col min="14" max="14" style="353" width="13.576428571428572" customWidth="1" bestFit="1"/>
    <col min="15" max="15" style="353" width="13.576428571428572" customWidth="1" bestFit="1"/>
    <col min="16" max="16" style="352" width="13.576428571428572" customWidth="1" bestFit="1"/>
    <col min="17" max="17" style="163" width="13.576428571428572" customWidth="1" bestFit="1"/>
    <col min="18" max="18" style="352" width="13.576428571428572" customWidth="1" bestFit="1"/>
    <col min="19" max="19" style="353" width="13.576428571428572" customWidth="1" bestFit="1"/>
    <col min="20" max="20" style="353" width="13.576428571428572" customWidth="1" bestFit="1"/>
    <col min="21" max="21" style="352" width="13.576428571428572" customWidth="1" bestFit="1"/>
    <col min="22" max="22" style="163" width="13.576428571428572" customWidth="1" bestFit="1"/>
    <col min="23" max="23" style="352" width="13.576428571428572" customWidth="1" bestFit="1"/>
    <col min="24" max="24" style="163" width="13.576428571428572" customWidth="1" bestFit="1"/>
    <col min="25" max="25" style="164" width="13.576428571428572" customWidth="1" bestFit="1"/>
    <col min="26" max="26" style="352" width="13.576428571428572" customWidth="1" bestFit="1"/>
    <col min="27" max="27" style="163" width="13.576428571428572" customWidth="1" bestFit="1"/>
    <col min="28" max="28" style="352" width="13.576428571428572" customWidth="1" bestFit="1"/>
    <col min="29" max="29" style="163" width="13.576428571428572" customWidth="1" bestFit="1"/>
    <col min="30" max="30" style="164" width="13.576428571428572" customWidth="1" bestFit="1"/>
    <col min="31" max="31" style="352" width="13.576428571428572" customWidth="1" bestFit="1"/>
  </cols>
  <sheetData>
    <row x14ac:dyDescent="0.25" r="1" customHeight="1" ht="18.75">
      <c r="A1" s="1"/>
      <c r="B1" s="1"/>
      <c r="C1" s="169"/>
      <c r="D1" s="169"/>
      <c r="E1" s="168"/>
      <c r="F1" s="169"/>
      <c r="G1" s="170"/>
      <c r="H1" s="1"/>
      <c r="I1" s="1"/>
      <c r="J1" s="1"/>
      <c r="K1" s="1"/>
      <c r="L1" s="1"/>
      <c r="M1" s="320"/>
      <c r="N1" s="321"/>
      <c r="O1" s="321"/>
      <c r="P1" s="320"/>
      <c r="Q1" s="1"/>
      <c r="R1" s="320"/>
      <c r="S1" s="321"/>
      <c r="T1" s="321"/>
      <c r="U1" s="320"/>
      <c r="V1" s="1"/>
      <c r="W1" s="320"/>
      <c r="X1" s="1"/>
      <c r="Y1" s="170"/>
      <c r="Z1" s="320"/>
      <c r="AA1" s="1"/>
      <c r="AB1" s="320"/>
      <c r="AC1" s="1"/>
      <c r="AD1" s="170"/>
      <c r="AE1" s="320"/>
    </row>
    <row x14ac:dyDescent="0.25" r="2" customHeight="1" ht="18.75">
      <c r="A2" s="1"/>
      <c r="B2" s="1"/>
      <c r="C2" s="169"/>
      <c r="D2" s="169"/>
      <c r="E2" s="168"/>
      <c r="F2" s="169"/>
      <c r="G2" s="170"/>
      <c r="H2" s="1"/>
      <c r="I2" s="1"/>
      <c r="J2" s="1"/>
      <c r="K2" s="1"/>
      <c r="L2" s="1"/>
      <c r="M2" s="320"/>
      <c r="N2" s="321"/>
      <c r="O2" s="321"/>
      <c r="P2" s="320"/>
      <c r="Q2" s="1"/>
      <c r="R2" s="320"/>
      <c r="S2" s="321"/>
      <c r="T2" s="321"/>
      <c r="U2" s="320"/>
      <c r="V2" s="1"/>
      <c r="W2" s="320"/>
      <c r="X2" s="1"/>
      <c r="Y2" s="170"/>
      <c r="Z2" s="320"/>
      <c r="AA2" s="1"/>
      <c r="AB2" s="320"/>
      <c r="AC2" s="1"/>
      <c r="AD2" s="170"/>
      <c r="AE2" s="320"/>
    </row>
    <row x14ac:dyDescent="0.25" r="3" customHeight="1" ht="18.75">
      <c r="A3" s="1"/>
      <c r="B3" s="1"/>
      <c r="C3" s="169"/>
      <c r="D3" s="169"/>
      <c r="E3" s="168"/>
      <c r="F3" s="169"/>
      <c r="G3" s="170"/>
      <c r="H3" s="1"/>
      <c r="I3" s="1"/>
      <c r="J3" s="1"/>
      <c r="K3" s="1"/>
      <c r="L3" s="1"/>
      <c r="M3" s="320"/>
      <c r="N3" s="321" t="s">
        <v>103</v>
      </c>
      <c r="O3" s="321"/>
      <c r="P3" s="320"/>
      <c r="Q3" s="1"/>
      <c r="R3" s="320"/>
      <c r="S3" s="321" t="s">
        <v>103</v>
      </c>
      <c r="T3" s="321"/>
      <c r="U3" s="320"/>
      <c r="V3" s="1"/>
      <c r="W3" s="320"/>
      <c r="X3" s="1" t="s">
        <v>103</v>
      </c>
      <c r="Y3" s="170"/>
      <c r="Z3" s="320"/>
      <c r="AA3" s="1"/>
      <c r="AB3" s="320"/>
      <c r="AC3" s="1" t="s">
        <v>103</v>
      </c>
      <c r="AD3" s="170"/>
      <c r="AE3" s="320"/>
    </row>
    <row x14ac:dyDescent="0.25" r="4" customHeight="1" ht="18.75">
      <c r="A4" s="1"/>
      <c r="B4" s="1"/>
      <c r="C4" s="169"/>
      <c r="D4" s="169"/>
      <c r="E4" s="168"/>
      <c r="F4" s="169"/>
      <c r="G4" s="170"/>
      <c r="H4" s="1"/>
      <c r="I4" s="1"/>
      <c r="J4" s="1"/>
      <c r="K4" s="1"/>
      <c r="L4" s="1"/>
      <c r="M4" s="320"/>
      <c r="N4" s="321"/>
      <c r="O4" s="321" t="s">
        <v>104</v>
      </c>
      <c r="P4" s="320"/>
      <c r="Q4" s="1"/>
      <c r="R4" s="320"/>
      <c r="S4" s="321"/>
      <c r="T4" s="321" t="s">
        <v>105</v>
      </c>
      <c r="U4" s="320"/>
      <c r="V4" s="1"/>
      <c r="W4" s="320"/>
      <c r="X4" s="1"/>
      <c r="Y4" s="170" t="s">
        <v>106</v>
      </c>
      <c r="Z4" s="320"/>
      <c r="AA4" s="1"/>
      <c r="AB4" s="320"/>
      <c r="AC4" s="1"/>
      <c r="AD4" s="170" t="s">
        <v>107</v>
      </c>
      <c r="AE4" s="320"/>
    </row>
    <row x14ac:dyDescent="0.25" r="5" customHeight="1" ht="18.75">
      <c r="A5" s="1"/>
      <c r="B5" s="1"/>
      <c r="C5" s="169"/>
      <c r="D5" s="169"/>
      <c r="E5" s="168"/>
      <c r="F5" s="322"/>
      <c r="G5" s="323"/>
      <c r="H5" s="324"/>
      <c r="I5" s="1"/>
      <c r="J5" s="324"/>
      <c r="K5" s="1"/>
      <c r="L5" s="1"/>
      <c r="M5" s="320"/>
      <c r="N5" s="325" t="s">
        <v>108</v>
      </c>
      <c r="O5" s="326"/>
      <c r="P5" s="327"/>
      <c r="Q5" s="1"/>
      <c r="R5" s="320"/>
      <c r="S5" s="325" t="s">
        <v>108</v>
      </c>
      <c r="T5" s="326"/>
      <c r="U5" s="327"/>
      <c r="V5" s="1"/>
      <c r="W5" s="320"/>
      <c r="X5" s="328" t="s">
        <v>108</v>
      </c>
      <c r="Y5" s="326"/>
      <c r="Z5" s="327"/>
      <c r="AA5" s="1"/>
      <c r="AB5" s="320"/>
      <c r="AC5" s="328" t="s">
        <v>108</v>
      </c>
      <c r="AD5" s="326"/>
      <c r="AE5" s="327"/>
    </row>
    <row x14ac:dyDescent="0.25" r="6" customHeight="1" ht="18.75">
      <c r="A6" s="1"/>
      <c r="B6" s="329"/>
      <c r="C6" s="323"/>
      <c r="D6" s="169"/>
      <c r="E6" s="330"/>
      <c r="F6" s="322"/>
      <c r="G6" s="217"/>
      <c r="H6" s="324"/>
      <c r="I6" s="323"/>
      <c r="J6" s="323"/>
      <c r="K6" s="1"/>
      <c r="L6" s="1"/>
      <c r="M6" s="331">
        <f>P6</f>
      </c>
      <c r="N6" s="332">
        <f>F13*12</f>
      </c>
      <c r="O6" s="333">
        <f>C13</f>
      </c>
      <c r="P6" s="332">
        <v>1</v>
      </c>
      <c r="Q6" s="1"/>
      <c r="R6" s="331">
        <f>U6</f>
      </c>
      <c r="S6" s="332">
        <f>F14*12</f>
      </c>
      <c r="T6" s="333">
        <f>C14</f>
      </c>
      <c r="U6" s="332">
        <v>1</v>
      </c>
      <c r="V6" s="1"/>
      <c r="W6" s="331">
        <f>Z6</f>
      </c>
      <c r="X6" s="334">
        <f>F15*12</f>
      </c>
      <c r="Y6" s="333">
        <f>C15</f>
      </c>
      <c r="Z6" s="332">
        <v>1</v>
      </c>
      <c r="AA6" s="1"/>
      <c r="AB6" s="331">
        <f>AE6</f>
      </c>
      <c r="AC6" s="334">
        <f>F16*12</f>
      </c>
      <c r="AD6" s="333">
        <f>C16</f>
      </c>
      <c r="AE6" s="332">
        <v>1</v>
      </c>
    </row>
    <row x14ac:dyDescent="0.25" r="7" customHeight="1" ht="18.75">
      <c r="A7" s="1"/>
      <c r="B7" s="329"/>
      <c r="C7" s="323"/>
      <c r="D7" s="323"/>
      <c r="E7" s="330"/>
      <c r="F7" s="323"/>
      <c r="G7" s="217"/>
      <c r="H7" s="324"/>
      <c r="I7" s="323"/>
      <c r="J7" s="323"/>
      <c r="K7" s="1"/>
      <c r="L7" s="1"/>
      <c r="M7" s="331">
        <f>P7</f>
      </c>
      <c r="N7" s="335">
        <f>+IF(O7&lt;N6,O7,N6)</f>
      </c>
      <c r="O7" s="335">
        <f>+(O6-N6)*(1+$E$13)</f>
      </c>
      <c r="P7" s="332">
        <v>2</v>
      </c>
      <c r="Q7" s="1"/>
      <c r="R7" s="331">
        <f>U7</f>
      </c>
      <c r="S7" s="335">
        <f>+IF(T7&lt;S6,T7,S6)</f>
      </c>
      <c r="T7" s="335">
        <f>+(T6-S6)*(1+$E$14)</f>
      </c>
      <c r="U7" s="332">
        <v>2</v>
      </c>
      <c r="V7" s="1"/>
      <c r="W7" s="331">
        <f>Z7</f>
      </c>
      <c r="X7" s="336">
        <f>+IF(Y7&lt;X6,Y7,X6)</f>
      </c>
      <c r="Y7" s="337">
        <f>+(Y6-X6)*(1+$E$15)</f>
      </c>
      <c r="Z7" s="332">
        <v>2</v>
      </c>
      <c r="AA7" s="1"/>
      <c r="AB7" s="331">
        <f>AE7</f>
      </c>
      <c r="AC7" s="336">
        <f>+IF(AD7&lt;AC6,AD7,AC6)</f>
      </c>
      <c r="AD7" s="337">
        <f>+(AD6-AC6)*(1+$E$16)</f>
      </c>
      <c r="AE7" s="332">
        <v>2</v>
      </c>
    </row>
    <row x14ac:dyDescent="0.25" r="8" customHeight="1" ht="18.75">
      <c r="A8" s="1"/>
      <c r="B8" s="329"/>
      <c r="C8" s="323"/>
      <c r="D8" s="323"/>
      <c r="E8" s="330"/>
      <c r="F8" s="322"/>
      <c r="G8" s="217"/>
      <c r="H8" s="324"/>
      <c r="I8" s="323"/>
      <c r="J8" s="323"/>
      <c r="K8" s="1"/>
      <c r="L8" s="1"/>
      <c r="M8" s="331">
        <f>P8</f>
      </c>
      <c r="N8" s="335">
        <f>+IF(O8&lt;N7,O8,N7)</f>
      </c>
      <c r="O8" s="335">
        <f>+(O7-N7)*(1+$E$13)</f>
      </c>
      <c r="P8" s="332">
        <v>3</v>
      </c>
      <c r="Q8" s="1"/>
      <c r="R8" s="331">
        <f>U8</f>
      </c>
      <c r="S8" s="335">
        <f>+IF(T8&lt;S7,T8,S7)</f>
      </c>
      <c r="T8" s="335">
        <f>+(T7-S7)*(1+$E$14)</f>
      </c>
      <c r="U8" s="332">
        <v>3</v>
      </c>
      <c r="V8" s="1"/>
      <c r="W8" s="331">
        <f>Z8</f>
      </c>
      <c r="X8" s="336">
        <f>+IF(Y8&lt;X7,Y8,X7)</f>
      </c>
      <c r="Y8" s="337">
        <f>+(Y7-X7)*(1+$E$15)</f>
      </c>
      <c r="Z8" s="332">
        <v>3</v>
      </c>
      <c r="AA8" s="1"/>
      <c r="AB8" s="331">
        <f>AE8</f>
      </c>
      <c r="AC8" s="336">
        <f>+IF(AD8&lt;AC7,AD8,AC7)</f>
      </c>
      <c r="AD8" s="337">
        <f>+(AD7-AC7)*(1+$E$16)</f>
      </c>
      <c r="AE8" s="332">
        <v>3</v>
      </c>
    </row>
    <row x14ac:dyDescent="0.25" r="9" customHeight="1" ht="18.75">
      <c r="A9" s="1"/>
      <c r="B9" s="1"/>
      <c r="C9" s="169"/>
      <c r="D9" s="338" t="s">
        <v>109</v>
      </c>
      <c r="E9" s="168"/>
      <c r="F9" s="169"/>
      <c r="G9" s="170"/>
      <c r="H9" s="1"/>
      <c r="I9" s="1"/>
      <c r="J9" s="1"/>
      <c r="K9" s="1"/>
      <c r="L9" s="1"/>
      <c r="M9" s="331">
        <f>P9</f>
      </c>
      <c r="N9" s="335">
        <f>+IF(O9&lt;N8,O9,N8)</f>
      </c>
      <c r="O9" s="335">
        <f>+(O8-N8)*(1+$E$13)</f>
      </c>
      <c r="P9" s="332">
        <v>4</v>
      </c>
      <c r="Q9" s="1"/>
      <c r="R9" s="331">
        <f>U9</f>
      </c>
      <c r="S9" s="335">
        <f>+IF(T9&lt;S8,T9,S8)</f>
      </c>
      <c r="T9" s="335">
        <f>+(T8-S8)*(1+$E$14)</f>
      </c>
      <c r="U9" s="332">
        <v>4</v>
      </c>
      <c r="V9" s="1"/>
      <c r="W9" s="331">
        <f>Z9</f>
      </c>
      <c r="X9" s="336">
        <f>+IF(Y9&lt;X8,Y9,X8)</f>
      </c>
      <c r="Y9" s="337">
        <f>+(Y8-X8)*(1+$E$15)</f>
      </c>
      <c r="Z9" s="332">
        <v>4</v>
      </c>
      <c r="AA9" s="1"/>
      <c r="AB9" s="331">
        <f>AE9</f>
      </c>
      <c r="AC9" s="336">
        <f>+IF(AD9&lt;AC8,AD9,AC8)</f>
      </c>
      <c r="AD9" s="337">
        <f>+(AD8-AC8)*(1+$E$16)</f>
      </c>
      <c r="AE9" s="332">
        <v>4</v>
      </c>
    </row>
    <row x14ac:dyDescent="0.25" r="10" customHeight="1" ht="18.75">
      <c r="A10" s="1"/>
      <c r="B10" s="1"/>
      <c r="C10" s="169"/>
      <c r="D10" s="169"/>
      <c r="E10" s="168"/>
      <c r="F10" s="169"/>
      <c r="G10" s="170"/>
      <c r="H10" s="1"/>
      <c r="I10" s="1"/>
      <c r="J10" s="1"/>
      <c r="K10" s="1"/>
      <c r="L10" s="1"/>
      <c r="M10" s="331">
        <f>P10</f>
      </c>
      <c r="N10" s="335">
        <f>+IF(O10&lt;N9,O10,N9)</f>
      </c>
      <c r="O10" s="335">
        <f>+(O9-N9)*(1+$E$13)</f>
      </c>
      <c r="P10" s="332">
        <v>5</v>
      </c>
      <c r="Q10" s="1"/>
      <c r="R10" s="331">
        <f>U10</f>
      </c>
      <c r="S10" s="335">
        <f>+IF(T10&lt;S9,T10,S9)</f>
      </c>
      <c r="T10" s="335">
        <f>+(T9-S9)*(1+$E$14)</f>
      </c>
      <c r="U10" s="332">
        <v>5</v>
      </c>
      <c r="V10" s="1"/>
      <c r="W10" s="331">
        <f>Z10</f>
      </c>
      <c r="X10" s="336">
        <f>+IF(Y10&lt;X9,Y10,X9)</f>
      </c>
      <c r="Y10" s="337">
        <f>+(Y9-X9)*(1+$E$15)</f>
      </c>
      <c r="Z10" s="332">
        <v>5</v>
      </c>
      <c r="AA10" s="1"/>
      <c r="AB10" s="331">
        <f>AE10</f>
      </c>
      <c r="AC10" s="336">
        <f>+IF(AD10&lt;AC9,AD10,AC9)</f>
      </c>
      <c r="AD10" s="337">
        <f>+(AD9-AC9)*(1+$E$16)</f>
      </c>
      <c r="AE10" s="332">
        <v>5</v>
      </c>
    </row>
    <row x14ac:dyDescent="0.25" r="11" customHeight="1" ht="18.75">
      <c r="A11" s="1"/>
      <c r="B11" s="1"/>
      <c r="C11" s="169" t="s">
        <v>110</v>
      </c>
      <c r="D11" s="330">
        <f>Hipótesis!E17</f>
      </c>
      <c r="E11" s="330"/>
      <c r="F11" s="169"/>
      <c r="G11" s="170"/>
      <c r="H11" s="1"/>
      <c r="I11" s="1"/>
      <c r="J11" s="1"/>
      <c r="K11" s="1"/>
      <c r="L11" s="1"/>
      <c r="M11" s="331">
        <f>P11</f>
      </c>
      <c r="N11" s="335">
        <f>+IF(O11&lt;N10,O11,N10)</f>
      </c>
      <c r="O11" s="335">
        <f>+(O10-N10)*(1+$E$13)</f>
      </c>
      <c r="P11" s="332">
        <v>6</v>
      </c>
      <c r="Q11" s="1"/>
      <c r="R11" s="331">
        <f>U11</f>
      </c>
      <c r="S11" s="335">
        <f>+IF(T11&lt;S10,T11,S10)</f>
      </c>
      <c r="T11" s="335">
        <f>+(T10-S10)*(1+$E$14)</f>
      </c>
      <c r="U11" s="332">
        <v>6</v>
      </c>
      <c r="V11" s="1"/>
      <c r="W11" s="331">
        <f>Z11</f>
      </c>
      <c r="X11" s="336">
        <f>+IF(Y11&lt;X10,Y11,X10)</f>
      </c>
      <c r="Y11" s="337">
        <f>+(Y10-X10)*(1+$E$15)</f>
      </c>
      <c r="Z11" s="332">
        <v>6</v>
      </c>
      <c r="AA11" s="1"/>
      <c r="AB11" s="331">
        <f>AE11</f>
      </c>
      <c r="AC11" s="336">
        <f>+IF(AD11&lt;AC10,AD11,AC10)</f>
      </c>
      <c r="AD11" s="337">
        <f>+(AD10-AC10)*(1+$E$16)</f>
      </c>
      <c r="AE11" s="332">
        <v>6</v>
      </c>
    </row>
    <row x14ac:dyDescent="0.25" r="12" customHeight="1" ht="18.75">
      <c r="A12" s="1"/>
      <c r="B12" s="339"/>
      <c r="C12" s="340" t="s">
        <v>111</v>
      </c>
      <c r="D12" s="340" t="s">
        <v>112</v>
      </c>
      <c r="E12" s="341" t="s">
        <v>113</v>
      </c>
      <c r="F12" s="342" t="s">
        <v>114</v>
      </c>
      <c r="G12" s="343" t="s">
        <v>115</v>
      </c>
      <c r="H12" s="344"/>
      <c r="I12" s="339" t="s">
        <v>116</v>
      </c>
      <c r="J12" s="345" t="s">
        <v>117</v>
      </c>
      <c r="K12" s="1"/>
      <c r="L12" s="1"/>
      <c r="M12" s="331">
        <f>P12</f>
      </c>
      <c r="N12" s="335">
        <f>+IF(O12&lt;N11,O12,N11)</f>
      </c>
      <c r="O12" s="335">
        <f>+(O11-N11)*(1+$E$13)</f>
      </c>
      <c r="P12" s="332">
        <v>7</v>
      </c>
      <c r="Q12" s="1"/>
      <c r="R12" s="331">
        <f>U12</f>
      </c>
      <c r="S12" s="335">
        <f>+IF(T12&lt;S11,T12,S11)</f>
      </c>
      <c r="T12" s="335">
        <f>+(T11-S11)*(1+$E$14)</f>
      </c>
      <c r="U12" s="332">
        <v>7</v>
      </c>
      <c r="V12" s="1"/>
      <c r="W12" s="331">
        <f>Z12</f>
      </c>
      <c r="X12" s="336">
        <f>+IF(Y12&lt;X11,Y12,X11)</f>
      </c>
      <c r="Y12" s="337">
        <f>+(Y11-X11)*(1+$E$15)</f>
      </c>
      <c r="Z12" s="332">
        <v>7</v>
      </c>
      <c r="AA12" s="1"/>
      <c r="AB12" s="331">
        <f>AE12</f>
      </c>
      <c r="AC12" s="336">
        <f>+IF(AD12&lt;AC11,AD12,AC11)</f>
      </c>
      <c r="AD12" s="337">
        <f>+(AD11-AC11)*(1+$E$16)</f>
      </c>
      <c r="AE12" s="332">
        <v>7</v>
      </c>
    </row>
    <row x14ac:dyDescent="0.25" r="13" customHeight="1" ht="14.65">
      <c r="A13" s="1"/>
      <c r="B13" s="346" t="s">
        <v>118</v>
      </c>
      <c r="C13" s="332">
        <f>'Simulador - 2º Pilar'!V59</f>
      </c>
      <c r="D13" s="332">
        <f>'Simulador - 2º Pilar'!T61</f>
      </c>
      <c r="E13" s="347">
        <f>Hipótesis!$E$15</f>
      </c>
      <c r="F13" s="332">
        <f>'Simulador - 2º Pilar'!T63</f>
      </c>
      <c r="G13" s="333">
        <f>((1-(1+$D$11)^(-F13))/$D$11)*(1+$D$11)</f>
      </c>
      <c r="H13" s="348">
        <f>+ROUND(C13/G13,0)</f>
      </c>
      <c r="I13" s="334">
        <f>MAX(COUNTIF($N$6:$N$755,$F$13*12)+VLOOKUP(COUNTIF($N$6:$N$755,$F$13*12)+1,$M$6:$N$755,2,0)/($F$13*12),0.08)</f>
      </c>
      <c r="J13" s="349">
        <f>MAX(IF(D13="Número de años a percibir la renta",H13/12,I13),0)</f>
      </c>
      <c r="K13" s="1"/>
      <c r="L13" s="1"/>
      <c r="M13" s="331">
        <f>P13</f>
      </c>
      <c r="N13" s="335">
        <f>+IF(O13&lt;N12,O13,N12)</f>
      </c>
      <c r="O13" s="335">
        <f>+(O12-N12)*(1+$E$13)</f>
      </c>
      <c r="P13" s="332">
        <v>8</v>
      </c>
      <c r="Q13" s="1"/>
      <c r="R13" s="331">
        <f>U13</f>
      </c>
      <c r="S13" s="335">
        <f>+IF(T13&lt;S12,T13,S12)</f>
      </c>
      <c r="T13" s="335">
        <f>+(T12-S12)*(1+$E$14)</f>
      </c>
      <c r="U13" s="332">
        <v>8</v>
      </c>
      <c r="V13" s="1"/>
      <c r="W13" s="331">
        <f>Z13</f>
      </c>
      <c r="X13" s="336">
        <f>+IF(Y13&lt;X12,Y13,X12)</f>
      </c>
      <c r="Y13" s="337">
        <f>+(Y12-X12)*(1+$E$15)</f>
      </c>
      <c r="Z13" s="332">
        <v>8</v>
      </c>
      <c r="AA13" s="1"/>
      <c r="AB13" s="331">
        <f>AE13</f>
      </c>
      <c r="AC13" s="336">
        <f>+IF(AD13&lt;AC12,AD13,AC12)</f>
      </c>
      <c r="AD13" s="337">
        <f>+(AD12-AC12)*(1+$E$16)</f>
      </c>
      <c r="AE13" s="332">
        <v>8</v>
      </c>
    </row>
    <row x14ac:dyDescent="0.25" r="14" customHeight="1" ht="14.65">
      <c r="A14" s="1"/>
      <c r="B14" s="346" t="s">
        <v>119</v>
      </c>
      <c r="C14" s="332">
        <f>sim!L32</f>
      </c>
      <c r="D14" s="340">
        <f>sim!J34</f>
      </c>
      <c r="E14" s="347">
        <f>Hipótesis!$E$15</f>
      </c>
      <c r="F14" s="332">
        <f>sim!J36</f>
      </c>
      <c r="G14" s="333">
        <f>((1-(1+$D$11)^(-F14))/$D$11)*(1+$D$11)</f>
      </c>
      <c r="H14" s="348">
        <f>+ROUND(C14/G14,0)</f>
      </c>
      <c r="I14" s="334">
        <f>COUNTIF($S$6:$S$755,$F$14*12)+VLOOKUP(COUNTIF($S$6:$S$755,$F$14*12)+1,$R$6:$S$755,2,0)/($F$14*12)</f>
      </c>
      <c r="J14" s="349">
        <f>IF(D14="Número de años a percibir la renta",H14/12,I14)</f>
      </c>
      <c r="K14" s="1"/>
      <c r="L14" s="1"/>
      <c r="M14" s="331">
        <f>P14</f>
      </c>
      <c r="N14" s="335">
        <f>+IF(O14&lt;N13,O14,N13)</f>
      </c>
      <c r="O14" s="335">
        <f>+(O13-N13)*(1+$E$13)</f>
      </c>
      <c r="P14" s="332">
        <v>9</v>
      </c>
      <c r="Q14" s="1"/>
      <c r="R14" s="331">
        <f>U14</f>
      </c>
      <c r="S14" s="335">
        <f>+IF(T14&lt;S13,T14,S13)</f>
      </c>
      <c r="T14" s="335">
        <f>+(T13-S13)*(1+$E$14)</f>
      </c>
      <c r="U14" s="332">
        <v>9</v>
      </c>
      <c r="V14" s="1"/>
      <c r="W14" s="331">
        <f>Z14</f>
      </c>
      <c r="X14" s="336">
        <f>+IF(Y14&lt;X13,Y14,X13)</f>
      </c>
      <c r="Y14" s="337">
        <f>+(Y13-X13)*(1+$E$15)</f>
      </c>
      <c r="Z14" s="332">
        <v>9</v>
      </c>
      <c r="AA14" s="1"/>
      <c r="AB14" s="331">
        <f>AE14</f>
      </c>
      <c r="AC14" s="336">
        <f>+IF(AD14&lt;AC13,AD14,AC13)</f>
      </c>
      <c r="AD14" s="337">
        <f>+(AD13-AC13)*(1+$E$16)</f>
      </c>
      <c r="AE14" s="332">
        <v>9</v>
      </c>
    </row>
    <row x14ac:dyDescent="0.25" r="15" customHeight="1" ht="18.75">
      <c r="A15" s="1"/>
      <c r="B15" s="346" t="s">
        <v>106</v>
      </c>
      <c r="C15" s="340"/>
      <c r="D15" s="340"/>
      <c r="E15" s="347">
        <f>Hipótesis!$E$15</f>
      </c>
      <c r="F15" s="340">
        <f>#REF!</f>
      </c>
      <c r="G15" s="350">
        <f>((1-(1+$D$11)^(-F15))/$D$11)*(1+$D$11)</f>
      </c>
      <c r="H15" s="348">
        <f>+ROUND(C15/G15,0)</f>
      </c>
      <c r="I15" s="334">
        <f>COUNTIF($X$6:$X$755,$F$15*12)+VLOOKUP(COUNTIF($X$6:$X$755,$F$15*12)+1,$W$6:$X$755,2,0)/($F$15*12)</f>
      </c>
      <c r="J15" s="349">
        <f>IF(D15="Número de años a percibir la renta",H15/12,I15)</f>
      </c>
      <c r="K15" s="1"/>
      <c r="L15" s="1"/>
      <c r="M15" s="331">
        <f>P15</f>
      </c>
      <c r="N15" s="335">
        <f>+IF(O15&lt;N14,O15,N14)</f>
      </c>
      <c r="O15" s="335">
        <f>+(O14-N14)*(1+$E$13)</f>
      </c>
      <c r="P15" s="332">
        <v>10</v>
      </c>
      <c r="Q15" s="1"/>
      <c r="R15" s="331">
        <f>U15</f>
      </c>
      <c r="S15" s="335">
        <f>+IF(T15&lt;S14,T15,S14)</f>
      </c>
      <c r="T15" s="335">
        <f>+(T14-S14)*(1+$E$14)</f>
      </c>
      <c r="U15" s="332">
        <v>10</v>
      </c>
      <c r="V15" s="1"/>
      <c r="W15" s="331">
        <f>Z15</f>
      </c>
      <c r="X15" s="336">
        <f>+IF(Y15&lt;X14,Y15,X14)</f>
      </c>
      <c r="Y15" s="337">
        <f>+(Y14-X14)*(1+$E$15)</f>
      </c>
      <c r="Z15" s="332">
        <v>10</v>
      </c>
      <c r="AA15" s="1"/>
      <c r="AB15" s="331">
        <f>AE15</f>
      </c>
      <c r="AC15" s="336">
        <f>+IF(AD15&lt;AC14,AD15,AC14)</f>
      </c>
      <c r="AD15" s="337">
        <f>+(AD14-AC14)*(1+$E$16)</f>
      </c>
      <c r="AE15" s="332">
        <v>10</v>
      </c>
    </row>
    <row x14ac:dyDescent="0.25" r="16" customHeight="1" ht="14.65">
      <c r="A16" s="1"/>
      <c r="B16" s="346" t="s">
        <v>120</v>
      </c>
      <c r="C16" s="340"/>
      <c r="D16" s="340"/>
      <c r="E16" s="347">
        <f>Hipótesis!$E$15</f>
      </c>
      <c r="F16" s="340">
        <f>#REF!</f>
      </c>
      <c r="G16" s="350">
        <f>((1-(1+$D$11)^(-F16))/$D$11)*(1+$D$11)</f>
      </c>
      <c r="H16" s="348">
        <f>+ROUND(C16/G16,0)</f>
      </c>
      <c r="I16" s="334">
        <f>COUNTIF($AC$6:$AC$755,$F$16*12)+VLOOKUP(COUNTIF($AC$6:$AC$755,$F$16*12)+1,$AB$6:$AC$755,2,0)/($F$16*12)</f>
      </c>
      <c r="J16" s="349">
        <f>IF(D16="Número de años a percibir la renta",H16/12,I16)</f>
      </c>
      <c r="K16" s="1"/>
      <c r="L16" s="1"/>
      <c r="M16" s="331">
        <f>P16</f>
      </c>
      <c r="N16" s="335">
        <f>+IF(O16&lt;N15,O16,N15)</f>
      </c>
      <c r="O16" s="335">
        <f>+(O15-N15)*(1+$E$13)</f>
      </c>
      <c r="P16" s="332">
        <v>11</v>
      </c>
      <c r="Q16" s="1"/>
      <c r="R16" s="331">
        <f>U16</f>
      </c>
      <c r="S16" s="335">
        <f>+IF(T16&lt;S15,T16,S15)</f>
      </c>
      <c r="T16" s="335">
        <f>+(T15-S15)*(1+$E$14)</f>
      </c>
      <c r="U16" s="332">
        <v>11</v>
      </c>
      <c r="V16" s="1"/>
      <c r="W16" s="331">
        <f>Z16</f>
      </c>
      <c r="X16" s="336">
        <f>+IF(Y16&lt;X15,Y16,X15)</f>
      </c>
      <c r="Y16" s="337">
        <f>+(Y15-X15)*(1+$E$15)</f>
      </c>
      <c r="Z16" s="332">
        <v>11</v>
      </c>
      <c r="AA16" s="1"/>
      <c r="AB16" s="331">
        <f>AE16</f>
      </c>
      <c r="AC16" s="336">
        <f>+IF(AD16&lt;AC15,AD16,AC15)</f>
      </c>
      <c r="AD16" s="337">
        <f>+(AD15-AC15)*(1+$E$16)</f>
      </c>
      <c r="AE16" s="332">
        <v>11</v>
      </c>
    </row>
    <row x14ac:dyDescent="0.25" r="17" customHeight="1" ht="14.65">
      <c r="A17" s="1"/>
      <c r="B17" s="1"/>
      <c r="C17" s="169"/>
      <c r="D17" s="169"/>
      <c r="E17" s="168"/>
      <c r="F17" s="169"/>
      <c r="G17" s="170"/>
      <c r="H17" s="1"/>
      <c r="I17" s="1"/>
      <c r="J17" s="1"/>
      <c r="K17" s="1"/>
      <c r="L17" s="1"/>
      <c r="M17" s="331">
        <f>P17</f>
      </c>
      <c r="N17" s="335">
        <f>+IF(O17&lt;N16,O17,N16)</f>
      </c>
      <c r="O17" s="335">
        <f>+(O16-N16)*(1+$E$13)</f>
      </c>
      <c r="P17" s="332">
        <v>12</v>
      </c>
      <c r="Q17" s="1"/>
      <c r="R17" s="331">
        <f>U17</f>
      </c>
      <c r="S17" s="335">
        <f>+IF(T17&lt;S16,T17,S16)</f>
      </c>
      <c r="T17" s="335">
        <f>+(T16-S16)*(1+$E$14)</f>
      </c>
      <c r="U17" s="332">
        <v>12</v>
      </c>
      <c r="V17" s="1"/>
      <c r="W17" s="331">
        <f>Z17</f>
      </c>
      <c r="X17" s="336">
        <f>+IF(Y17&lt;X16,Y17,X16)</f>
      </c>
      <c r="Y17" s="337">
        <f>+(Y16-X16)*(1+$E$15)</f>
      </c>
      <c r="Z17" s="332">
        <v>12</v>
      </c>
      <c r="AA17" s="1"/>
      <c r="AB17" s="331">
        <f>AE17</f>
      </c>
      <c r="AC17" s="336">
        <f>+IF(AD17&lt;AC16,AD17,AC16)</f>
      </c>
      <c r="AD17" s="337">
        <f>+(AD16-AC16)*(1+$E$16)</f>
      </c>
      <c r="AE17" s="332">
        <v>12</v>
      </c>
    </row>
    <row x14ac:dyDescent="0.25" r="18" customHeight="1" ht="18.75">
      <c r="A18" s="1"/>
      <c r="B18" s="1"/>
      <c r="C18" s="169"/>
      <c r="D18" s="169"/>
      <c r="E18" s="168"/>
      <c r="F18" s="169"/>
      <c r="G18" s="217"/>
      <c r="H18" s="324"/>
      <c r="I18" s="1"/>
      <c r="J18" s="1"/>
      <c r="K18" s="1"/>
      <c r="L18" s="1"/>
      <c r="M18" s="331">
        <f>P18</f>
      </c>
      <c r="N18" s="335">
        <f>+IF(O18&lt;N17,O18,N17)</f>
      </c>
      <c r="O18" s="335">
        <f>+(O17-N17)*(1+$E$13)</f>
      </c>
      <c r="P18" s="332">
        <v>13</v>
      </c>
      <c r="Q18" s="1"/>
      <c r="R18" s="331">
        <f>U18</f>
      </c>
      <c r="S18" s="335">
        <f>+IF(T18&lt;S17,T18,S17)</f>
      </c>
      <c r="T18" s="335">
        <f>+(T17-S17)*(1+$E$14)</f>
      </c>
      <c r="U18" s="332">
        <v>13</v>
      </c>
      <c r="V18" s="1"/>
      <c r="W18" s="331">
        <f>Z18</f>
      </c>
      <c r="X18" s="336">
        <f>+IF(Y18&lt;X17,Y18,X17)</f>
      </c>
      <c r="Y18" s="337">
        <f>+(Y17-X17)*(1+$E$15)</f>
      </c>
      <c r="Z18" s="332">
        <v>13</v>
      </c>
      <c r="AA18" s="1"/>
      <c r="AB18" s="331">
        <f>AE18</f>
      </c>
      <c r="AC18" s="336">
        <f>+IF(AD18&lt;AC17,AD18,AC17)</f>
      </c>
      <c r="AD18" s="337">
        <f>+(AD17-AC17)*(1+$E$16)</f>
      </c>
      <c r="AE18" s="332">
        <v>13</v>
      </c>
    </row>
    <row x14ac:dyDescent="0.25" r="19" customHeight="1" ht="14.65">
      <c r="A19" s="1"/>
      <c r="B19" s="1"/>
      <c r="C19" s="169"/>
      <c r="D19" s="169"/>
      <c r="E19" s="168"/>
      <c r="F19" s="169"/>
      <c r="G19" s="170"/>
      <c r="H19" s="1"/>
      <c r="I19" s="1"/>
      <c r="J19" s="1"/>
      <c r="K19" s="1"/>
      <c r="L19" s="1"/>
      <c r="M19" s="331">
        <f>P19</f>
      </c>
      <c r="N19" s="335">
        <f>+IF(O19&lt;N18,O19,N18)</f>
      </c>
      <c r="O19" s="335">
        <f>+(O18-N18)*(1+$E$13)</f>
      </c>
      <c r="P19" s="332">
        <v>14</v>
      </c>
      <c r="Q19" s="1"/>
      <c r="R19" s="331">
        <f>U19</f>
      </c>
      <c r="S19" s="335">
        <f>+IF(T19&lt;S18,T19,S18)</f>
      </c>
      <c r="T19" s="335">
        <f>+(T18-S18)*(1+$E$14)</f>
      </c>
      <c r="U19" s="332">
        <v>14</v>
      </c>
      <c r="V19" s="1"/>
      <c r="W19" s="331">
        <f>Z19</f>
      </c>
      <c r="X19" s="336">
        <f>+IF(Y19&lt;X18,Y19,X18)</f>
      </c>
      <c r="Y19" s="337">
        <f>+(Y18-X18)*(1+$E$15)</f>
      </c>
      <c r="Z19" s="332">
        <v>14</v>
      </c>
      <c r="AA19" s="1"/>
      <c r="AB19" s="331">
        <f>AE19</f>
      </c>
      <c r="AC19" s="336">
        <f>+IF(AD19&lt;AC18,AD19,AC18)</f>
      </c>
      <c r="AD19" s="337">
        <f>+(AD18-AC18)*(1+$E$16)</f>
      </c>
      <c r="AE19" s="332">
        <v>14</v>
      </c>
    </row>
    <row x14ac:dyDescent="0.25" r="20" customHeight="1" ht="14.65">
      <c r="A20" s="1"/>
      <c r="B20" s="1"/>
      <c r="C20" s="169"/>
      <c r="D20" s="169"/>
      <c r="E20" s="168"/>
      <c r="F20" s="169"/>
      <c r="G20" s="351"/>
      <c r="H20" s="1"/>
      <c r="I20" s="1"/>
      <c r="J20" s="1"/>
      <c r="K20" s="1"/>
      <c r="L20" s="1"/>
      <c r="M20" s="331">
        <f>P20</f>
      </c>
      <c r="N20" s="335">
        <f>+IF(O20&lt;N19,O20,N19)</f>
      </c>
      <c r="O20" s="335">
        <f>+(O19-N19)*(1+$E$13)</f>
      </c>
      <c r="P20" s="332">
        <v>15</v>
      </c>
      <c r="Q20" s="1"/>
      <c r="R20" s="331">
        <f>U20</f>
      </c>
      <c r="S20" s="335">
        <f>+IF(T20&lt;S19,T20,S19)</f>
      </c>
      <c r="T20" s="335">
        <f>+(T19-S19)*(1+$E$14)</f>
      </c>
      <c r="U20" s="332">
        <v>15</v>
      </c>
      <c r="V20" s="1"/>
      <c r="W20" s="331">
        <f>Z20</f>
      </c>
      <c r="X20" s="336">
        <f>+IF(Y20&lt;X19,Y20,X19)</f>
      </c>
      <c r="Y20" s="337">
        <f>+(Y19-X19)*(1+$E$15)</f>
      </c>
      <c r="Z20" s="332">
        <v>15</v>
      </c>
      <c r="AA20" s="1"/>
      <c r="AB20" s="331">
        <f>AE20</f>
      </c>
      <c r="AC20" s="336">
        <f>+IF(AD20&lt;AC19,AD20,AC19)</f>
      </c>
      <c r="AD20" s="337">
        <f>+(AD19-AC19)*(1+$E$16)</f>
      </c>
      <c r="AE20" s="332">
        <v>15</v>
      </c>
    </row>
    <row x14ac:dyDescent="0.25" r="21" customHeight="1" ht="18.75">
      <c r="A21" s="1"/>
      <c r="B21" s="1"/>
      <c r="C21" s="169"/>
      <c r="D21" s="169"/>
      <c r="E21" s="168"/>
      <c r="F21" s="169"/>
      <c r="G21" s="170"/>
      <c r="H21" s="1"/>
      <c r="I21" s="1"/>
      <c r="J21" s="1"/>
      <c r="K21" s="1"/>
      <c r="L21" s="1"/>
      <c r="M21" s="331">
        <f>P21</f>
      </c>
      <c r="N21" s="335">
        <f>+IF(O21&lt;N20,O21,N20)</f>
      </c>
      <c r="O21" s="335">
        <f>+(O20-N20)*(1+$E$13)</f>
      </c>
      <c r="P21" s="332">
        <v>16</v>
      </c>
      <c r="Q21" s="1"/>
      <c r="R21" s="331">
        <f>U21</f>
      </c>
      <c r="S21" s="335">
        <f>+IF(T21&lt;S20,T21,S20)</f>
      </c>
      <c r="T21" s="335">
        <f>+(T20-S20)*(1+$E$14)</f>
      </c>
      <c r="U21" s="332">
        <v>16</v>
      </c>
      <c r="V21" s="1"/>
      <c r="W21" s="331">
        <f>Z21</f>
      </c>
      <c r="X21" s="336">
        <f>+IF(Y21&lt;X20,Y21,X20)</f>
      </c>
      <c r="Y21" s="337">
        <f>+(Y20-X20)*(1+$E$15)</f>
      </c>
      <c r="Z21" s="332">
        <v>16</v>
      </c>
      <c r="AA21" s="1"/>
      <c r="AB21" s="331">
        <f>AE21</f>
      </c>
      <c r="AC21" s="336">
        <f>+IF(AD21&lt;AC20,AD21,AC20)</f>
      </c>
      <c r="AD21" s="337">
        <f>+(AD20-AC20)*(1+$E$16)</f>
      </c>
      <c r="AE21" s="332">
        <v>16</v>
      </c>
    </row>
    <row x14ac:dyDescent="0.25" r="22" customHeight="1" ht="14.65">
      <c r="A22" s="1"/>
      <c r="B22" s="1"/>
      <c r="C22" s="169"/>
      <c r="D22" s="169"/>
      <c r="E22" s="168"/>
      <c r="F22" s="169"/>
      <c r="G22" s="170"/>
      <c r="H22" s="1"/>
      <c r="I22" s="1"/>
      <c r="J22" s="1"/>
      <c r="K22" s="1"/>
      <c r="L22" s="1"/>
      <c r="M22" s="331">
        <f>P22</f>
      </c>
      <c r="N22" s="335">
        <f>+IF(O22&lt;N21,O22,N21)</f>
      </c>
      <c r="O22" s="335">
        <f>+(O21-N21)*(1+$E$13)</f>
      </c>
      <c r="P22" s="332">
        <v>17</v>
      </c>
      <c r="Q22" s="1"/>
      <c r="R22" s="331">
        <f>U22</f>
      </c>
      <c r="S22" s="335">
        <f>+IF(T22&lt;S21,T22,S21)</f>
      </c>
      <c r="T22" s="335">
        <f>+(T21-S21)*(1+$E$14)</f>
      </c>
      <c r="U22" s="332">
        <v>17</v>
      </c>
      <c r="V22" s="1"/>
      <c r="W22" s="331">
        <f>Z22</f>
      </c>
      <c r="X22" s="336">
        <f>+IF(Y22&lt;X21,Y22,X21)</f>
      </c>
      <c r="Y22" s="337">
        <f>+(Y21-X21)*(1+$E$15)</f>
      </c>
      <c r="Z22" s="332">
        <v>17</v>
      </c>
      <c r="AA22" s="1"/>
      <c r="AB22" s="331">
        <f>AE22</f>
      </c>
      <c r="AC22" s="336">
        <f>+IF(AD22&lt;AC21,AD22,AC21)</f>
      </c>
      <c r="AD22" s="337">
        <f>+(AD21-AC21)*(1+$E$16)</f>
      </c>
      <c r="AE22" s="332">
        <v>17</v>
      </c>
    </row>
    <row x14ac:dyDescent="0.25" r="23" customHeight="1" ht="14.65">
      <c r="A23" s="1"/>
      <c r="B23" s="1"/>
      <c r="C23" s="169"/>
      <c r="D23" s="169"/>
      <c r="E23" s="168"/>
      <c r="F23" s="169"/>
      <c r="G23" s="170"/>
      <c r="H23" s="1"/>
      <c r="I23" s="1"/>
      <c r="J23" s="1"/>
      <c r="K23" s="1"/>
      <c r="L23" s="1"/>
      <c r="M23" s="331">
        <f>P23</f>
      </c>
      <c r="N23" s="335">
        <f>+IF(O23&lt;N22,O23,N22)</f>
      </c>
      <c r="O23" s="335">
        <f>+(O22-N22)*(1+$E$13)</f>
      </c>
      <c r="P23" s="332">
        <v>18</v>
      </c>
      <c r="Q23" s="1"/>
      <c r="R23" s="331">
        <f>U23</f>
      </c>
      <c r="S23" s="335">
        <f>+IF(T23&lt;S22,T23,S22)</f>
      </c>
      <c r="T23" s="335">
        <f>+(T22-S22)*(1+$E$14)</f>
      </c>
      <c r="U23" s="332">
        <v>18</v>
      </c>
      <c r="V23" s="1"/>
      <c r="W23" s="331">
        <f>Z23</f>
      </c>
      <c r="X23" s="336">
        <f>+IF(Y23&lt;X22,Y23,X22)</f>
      </c>
      <c r="Y23" s="337">
        <f>+(Y22-X22)*(1+$E$15)</f>
      </c>
      <c r="Z23" s="332">
        <v>18</v>
      </c>
      <c r="AA23" s="1"/>
      <c r="AB23" s="331">
        <f>AE23</f>
      </c>
      <c r="AC23" s="336">
        <f>+IF(AD23&lt;AC22,AD23,AC22)</f>
      </c>
      <c r="AD23" s="337">
        <f>+(AD22-AC22)*(1+$E$16)</f>
      </c>
      <c r="AE23" s="332">
        <v>18</v>
      </c>
    </row>
    <row x14ac:dyDescent="0.25" r="24" customHeight="1" ht="18.75">
      <c r="A24" s="1"/>
      <c r="B24" s="1"/>
      <c r="C24" s="169"/>
      <c r="D24" s="169"/>
      <c r="E24" s="168"/>
      <c r="F24" s="169"/>
      <c r="G24" s="170"/>
      <c r="H24" s="1"/>
      <c r="I24" s="1"/>
      <c r="J24" s="1"/>
      <c r="K24" s="1"/>
      <c r="L24" s="1"/>
      <c r="M24" s="331">
        <f>P24</f>
      </c>
      <c r="N24" s="335">
        <f>+IF(O24&lt;N23,O24,N23)</f>
      </c>
      <c r="O24" s="335">
        <f>+(O23-N23)*(1+$E$13)</f>
      </c>
      <c r="P24" s="332">
        <v>19</v>
      </c>
      <c r="Q24" s="1"/>
      <c r="R24" s="331">
        <f>U24</f>
      </c>
      <c r="S24" s="335">
        <f>+IF(T24&lt;S23,T24,S23)</f>
      </c>
      <c r="T24" s="335">
        <f>+(T23-S23)*(1+$E$14)</f>
      </c>
      <c r="U24" s="332">
        <v>19</v>
      </c>
      <c r="V24" s="1"/>
      <c r="W24" s="331">
        <f>Z24</f>
      </c>
      <c r="X24" s="336">
        <f>+IF(Y24&lt;X23,Y24,X23)</f>
      </c>
      <c r="Y24" s="337">
        <f>+(Y23-X23)*(1+$E$15)</f>
      </c>
      <c r="Z24" s="332">
        <v>19</v>
      </c>
      <c r="AA24" s="1"/>
      <c r="AB24" s="331">
        <f>AE24</f>
      </c>
      <c r="AC24" s="336">
        <f>+IF(AD24&lt;AC23,AD24,AC23)</f>
      </c>
      <c r="AD24" s="337">
        <f>+(AD23-AC23)*(1+$E$16)</f>
      </c>
      <c r="AE24" s="332">
        <v>19</v>
      </c>
    </row>
    <row x14ac:dyDescent="0.25" r="25" customHeight="1" ht="18.75">
      <c r="A25" s="1"/>
      <c r="B25" s="1"/>
      <c r="C25" s="169"/>
      <c r="D25" s="169"/>
      <c r="E25" s="168"/>
      <c r="F25" s="169"/>
      <c r="G25" s="170"/>
      <c r="H25" s="1"/>
      <c r="I25" s="1"/>
      <c r="J25" s="1"/>
      <c r="K25" s="1"/>
      <c r="L25" s="1"/>
      <c r="M25" s="331">
        <f>P25</f>
      </c>
      <c r="N25" s="335">
        <f>+IF(O25&lt;N24,O25,N24)</f>
      </c>
      <c r="O25" s="335">
        <f>+(O24-N24)*(1+$E$13)</f>
      </c>
      <c r="P25" s="332">
        <v>20</v>
      </c>
      <c r="Q25" s="1"/>
      <c r="R25" s="331">
        <f>U25</f>
      </c>
      <c r="S25" s="335">
        <f>+IF(T25&lt;S24,T25,S24)</f>
      </c>
      <c r="T25" s="335">
        <f>+(T24-S24)*(1+$E$14)</f>
      </c>
      <c r="U25" s="332">
        <v>20</v>
      </c>
      <c r="V25" s="1"/>
      <c r="W25" s="331">
        <f>Z25</f>
      </c>
      <c r="X25" s="336">
        <f>+IF(Y25&lt;X24,Y25,X24)</f>
      </c>
      <c r="Y25" s="337">
        <f>+(Y24-X24)*(1+$E$15)</f>
      </c>
      <c r="Z25" s="332">
        <v>20</v>
      </c>
      <c r="AA25" s="1"/>
      <c r="AB25" s="331">
        <f>AE25</f>
      </c>
      <c r="AC25" s="336">
        <f>+IF(AD25&lt;AC24,AD25,AC24)</f>
      </c>
      <c r="AD25" s="337">
        <f>+(AD24-AC24)*(1+$E$16)</f>
      </c>
      <c r="AE25" s="332">
        <v>20</v>
      </c>
    </row>
    <row x14ac:dyDescent="0.25" r="26" customHeight="1" ht="18.75">
      <c r="A26" s="1"/>
      <c r="B26" s="1"/>
      <c r="C26" s="169"/>
      <c r="D26" s="169"/>
      <c r="E26" s="168"/>
      <c r="F26" s="169"/>
      <c r="G26" s="170"/>
      <c r="H26" s="1"/>
      <c r="I26" s="1"/>
      <c r="J26" s="1"/>
      <c r="K26" s="1"/>
      <c r="L26" s="1"/>
      <c r="M26" s="331">
        <f>P26</f>
      </c>
      <c r="N26" s="335">
        <f>+IF(O26&lt;N25,O26,N25)</f>
      </c>
      <c r="O26" s="335">
        <f>+(O25-N25)*(1+$E$13)</f>
      </c>
      <c r="P26" s="332">
        <v>21</v>
      </c>
      <c r="Q26" s="1"/>
      <c r="R26" s="331">
        <f>U26</f>
      </c>
      <c r="S26" s="335">
        <f>+IF(T26&lt;S25,T26,S25)</f>
      </c>
      <c r="T26" s="335">
        <f>+(T25-S25)*(1+$E$14)</f>
      </c>
      <c r="U26" s="332">
        <v>21</v>
      </c>
      <c r="V26" s="1"/>
      <c r="W26" s="331">
        <f>Z26</f>
      </c>
      <c r="X26" s="336">
        <f>+IF(Y26&lt;X25,Y26,X25)</f>
      </c>
      <c r="Y26" s="337">
        <f>+(Y25-X25)*(1+$E$15)</f>
      </c>
      <c r="Z26" s="332">
        <v>21</v>
      </c>
      <c r="AA26" s="1"/>
      <c r="AB26" s="331">
        <f>AE26</f>
      </c>
      <c r="AC26" s="336">
        <f>+IF(AD26&lt;AC25,AD26,AC25)</f>
      </c>
      <c r="AD26" s="337">
        <f>+(AD25-AC25)*(1+$E$16)</f>
      </c>
      <c r="AE26" s="332">
        <v>21</v>
      </c>
    </row>
    <row x14ac:dyDescent="0.25" r="27" customHeight="1" ht="18.75">
      <c r="A27" s="1"/>
      <c r="B27" s="1"/>
      <c r="C27" s="169"/>
      <c r="D27" s="169"/>
      <c r="E27" s="168"/>
      <c r="F27" s="169"/>
      <c r="G27" s="170"/>
      <c r="H27" s="1"/>
      <c r="I27" s="1"/>
      <c r="J27" s="1"/>
      <c r="K27" s="1"/>
      <c r="L27" s="1"/>
      <c r="M27" s="331">
        <f>P27</f>
      </c>
      <c r="N27" s="335">
        <f>+IF(O27&lt;N26,O27,N26)</f>
      </c>
      <c r="O27" s="335">
        <f>+(O26-N26)*(1+$E$13)</f>
      </c>
      <c r="P27" s="332">
        <v>22</v>
      </c>
      <c r="Q27" s="1"/>
      <c r="R27" s="331">
        <f>U27</f>
      </c>
      <c r="S27" s="335">
        <f>+IF(T27&lt;S26,T27,S26)</f>
      </c>
      <c r="T27" s="335">
        <f>+(T26-S26)*(1+$E$14)</f>
      </c>
      <c r="U27" s="332">
        <v>22</v>
      </c>
      <c r="V27" s="1"/>
      <c r="W27" s="331">
        <f>Z27</f>
      </c>
      <c r="X27" s="336">
        <f>+IF(Y27&lt;X26,Y27,X26)</f>
      </c>
      <c r="Y27" s="337">
        <f>+(Y26-X26)*(1+$E$15)</f>
      </c>
      <c r="Z27" s="332">
        <v>22</v>
      </c>
      <c r="AA27" s="1"/>
      <c r="AB27" s="331">
        <f>AE27</f>
      </c>
      <c r="AC27" s="336">
        <f>+IF(AD27&lt;AC26,AD27,AC26)</f>
      </c>
      <c r="AD27" s="337">
        <f>+(AD26-AC26)*(1+$E$16)</f>
      </c>
      <c r="AE27" s="332">
        <v>22</v>
      </c>
    </row>
    <row x14ac:dyDescent="0.25" r="28" customHeight="1" ht="18.75">
      <c r="A28" s="1"/>
      <c r="B28" s="1"/>
      <c r="C28" s="169"/>
      <c r="D28" s="169"/>
      <c r="E28" s="168"/>
      <c r="F28" s="169"/>
      <c r="G28" s="170"/>
      <c r="H28" s="1"/>
      <c r="I28" s="1"/>
      <c r="J28" s="1"/>
      <c r="K28" s="1"/>
      <c r="L28" s="1"/>
      <c r="M28" s="331">
        <f>P28</f>
      </c>
      <c r="N28" s="335">
        <f>+IF(O28&lt;N27,O28,N27)</f>
      </c>
      <c r="O28" s="335">
        <f>+(O27-N27)*(1+$E$13)</f>
      </c>
      <c r="P28" s="332">
        <v>23</v>
      </c>
      <c r="Q28" s="1"/>
      <c r="R28" s="331">
        <f>U28</f>
      </c>
      <c r="S28" s="335">
        <f>+IF(T28&lt;S27,T28,S27)</f>
      </c>
      <c r="T28" s="335">
        <f>+(T27-S27)*(1+$E$14)</f>
      </c>
      <c r="U28" s="332">
        <v>23</v>
      </c>
      <c r="V28" s="1"/>
      <c r="W28" s="331">
        <f>Z28</f>
      </c>
      <c r="X28" s="336">
        <f>+IF(Y28&lt;X27,Y28,X27)</f>
      </c>
      <c r="Y28" s="337">
        <f>+(Y27-X27)*(1+$E$15)</f>
      </c>
      <c r="Z28" s="332">
        <v>23</v>
      </c>
      <c r="AA28" s="1"/>
      <c r="AB28" s="331">
        <f>AE28</f>
      </c>
      <c r="AC28" s="336">
        <f>+IF(AD28&lt;AC27,AD28,AC27)</f>
      </c>
      <c r="AD28" s="337">
        <f>+(AD27-AC27)*(1+$E$16)</f>
      </c>
      <c r="AE28" s="332">
        <v>23</v>
      </c>
    </row>
    <row x14ac:dyDescent="0.25" r="29" customHeight="1" ht="18.75">
      <c r="A29" s="1"/>
      <c r="B29" s="1"/>
      <c r="C29" s="169"/>
      <c r="D29" s="169"/>
      <c r="E29" s="168"/>
      <c r="F29" s="169"/>
      <c r="G29" s="170"/>
      <c r="H29" s="1"/>
      <c r="I29" s="1"/>
      <c r="J29" s="1"/>
      <c r="K29" s="1"/>
      <c r="L29" s="1"/>
      <c r="M29" s="331">
        <f>P29</f>
      </c>
      <c r="N29" s="335">
        <f>+IF(O29&lt;N28,O29,N28)</f>
      </c>
      <c r="O29" s="335">
        <f>+(O28-N28)*(1+$E$13)</f>
      </c>
      <c r="P29" s="332">
        <v>24</v>
      </c>
      <c r="Q29" s="1"/>
      <c r="R29" s="331">
        <f>U29</f>
      </c>
      <c r="S29" s="335">
        <f>+IF(T29&lt;S28,T29,S28)</f>
      </c>
      <c r="T29" s="335">
        <f>+(T28-S28)*(1+$E$14)</f>
      </c>
      <c r="U29" s="332">
        <v>24</v>
      </c>
      <c r="V29" s="1"/>
      <c r="W29" s="331">
        <f>Z29</f>
      </c>
      <c r="X29" s="336">
        <f>+IF(Y29&lt;X28,Y29,X28)</f>
      </c>
      <c r="Y29" s="337">
        <f>+(Y28-X28)*(1+$E$15)</f>
      </c>
      <c r="Z29" s="332">
        <v>24</v>
      </c>
      <c r="AA29" s="1"/>
      <c r="AB29" s="331">
        <f>AE29</f>
      </c>
      <c r="AC29" s="336">
        <f>+IF(AD29&lt;AC28,AD29,AC28)</f>
      </c>
      <c r="AD29" s="337">
        <f>+(AD28-AC28)*(1+$E$16)</f>
      </c>
      <c r="AE29" s="332">
        <v>24</v>
      </c>
    </row>
    <row x14ac:dyDescent="0.25" r="30" customHeight="1" ht="18.75">
      <c r="A30" s="1"/>
      <c r="B30" s="1"/>
      <c r="C30" s="169"/>
      <c r="D30" s="169"/>
      <c r="E30" s="168"/>
      <c r="F30" s="169"/>
      <c r="G30" s="170"/>
      <c r="H30" s="1"/>
      <c r="I30" s="1"/>
      <c r="J30" s="1"/>
      <c r="K30" s="1"/>
      <c r="L30" s="1"/>
      <c r="M30" s="331">
        <f>P30</f>
      </c>
      <c r="N30" s="335">
        <f>+IF(O30&lt;N29,O30,N29)</f>
      </c>
      <c r="O30" s="335">
        <f>+(O29-N29)*(1+$E$13)</f>
      </c>
      <c r="P30" s="332">
        <v>25</v>
      </c>
      <c r="Q30" s="1"/>
      <c r="R30" s="331">
        <f>U30</f>
      </c>
      <c r="S30" s="335">
        <f>+IF(T30&lt;S29,T30,S29)</f>
      </c>
      <c r="T30" s="335">
        <f>+(T29-S29)*(1+$E$14)</f>
      </c>
      <c r="U30" s="332">
        <v>25</v>
      </c>
      <c r="V30" s="1"/>
      <c r="W30" s="331">
        <f>Z30</f>
      </c>
      <c r="X30" s="336">
        <f>+IF(Y30&lt;X29,Y30,X29)</f>
      </c>
      <c r="Y30" s="337">
        <f>+(Y29-X29)*(1+$E$15)</f>
      </c>
      <c r="Z30" s="332">
        <v>25</v>
      </c>
      <c r="AA30" s="1"/>
      <c r="AB30" s="331">
        <f>AE30</f>
      </c>
      <c r="AC30" s="336">
        <f>+IF(AD30&lt;AC29,AD30,AC29)</f>
      </c>
      <c r="AD30" s="337">
        <f>+(AD29-AC29)*(1+$E$16)</f>
      </c>
      <c r="AE30" s="332">
        <v>25</v>
      </c>
    </row>
    <row x14ac:dyDescent="0.25" r="31" customHeight="1" ht="18.75">
      <c r="A31" s="1"/>
      <c r="B31" s="1"/>
      <c r="C31" s="169"/>
      <c r="D31" s="169"/>
      <c r="E31" s="168"/>
      <c r="F31" s="169"/>
      <c r="G31" s="170"/>
      <c r="H31" s="1"/>
      <c r="I31" s="1"/>
      <c r="J31" s="1"/>
      <c r="K31" s="1"/>
      <c r="L31" s="1"/>
      <c r="M31" s="331">
        <f>P31</f>
      </c>
      <c r="N31" s="335">
        <f>+IF(O31&lt;N30,O31,N30)</f>
      </c>
      <c r="O31" s="335">
        <f>+(O30-N30)*(1+$E$13)</f>
      </c>
      <c r="P31" s="332">
        <v>26</v>
      </c>
      <c r="Q31" s="1"/>
      <c r="R31" s="331">
        <f>U31</f>
      </c>
      <c r="S31" s="335">
        <f>+IF(T31&lt;S30,T31,S30)</f>
      </c>
      <c r="T31" s="335">
        <f>+(T30-S30)*(1+$E$14)</f>
      </c>
      <c r="U31" s="332">
        <v>26</v>
      </c>
      <c r="V31" s="1"/>
      <c r="W31" s="331">
        <f>Z31</f>
      </c>
      <c r="X31" s="336">
        <f>+IF(Y31&lt;X30,Y31,X30)</f>
      </c>
      <c r="Y31" s="337">
        <f>+(Y30-X30)*(1+$E$15)</f>
      </c>
      <c r="Z31" s="332">
        <v>26</v>
      </c>
      <c r="AA31" s="1"/>
      <c r="AB31" s="331">
        <f>AE31</f>
      </c>
      <c r="AC31" s="336">
        <f>+IF(AD31&lt;AC30,AD31,AC30)</f>
      </c>
      <c r="AD31" s="337">
        <f>+(AD30-AC30)*(1+$E$16)</f>
      </c>
      <c r="AE31" s="332">
        <v>26</v>
      </c>
    </row>
    <row x14ac:dyDescent="0.25" r="32" customHeight="1" ht="18.75">
      <c r="A32" s="1"/>
      <c r="B32" s="1"/>
      <c r="C32" s="169"/>
      <c r="D32" s="169"/>
      <c r="E32" s="168"/>
      <c r="F32" s="169"/>
      <c r="G32" s="170"/>
      <c r="H32" s="1"/>
      <c r="I32" s="1"/>
      <c r="J32" s="1"/>
      <c r="K32" s="1"/>
      <c r="L32" s="1"/>
      <c r="M32" s="331">
        <f>P32</f>
      </c>
      <c r="N32" s="335">
        <f>+IF(O32&lt;N31,O32,N31)</f>
      </c>
      <c r="O32" s="335">
        <f>+(O31-N31)*(1+$E$13)</f>
      </c>
      <c r="P32" s="332">
        <v>27</v>
      </c>
      <c r="Q32" s="1"/>
      <c r="R32" s="331">
        <f>U32</f>
      </c>
      <c r="S32" s="335">
        <f>+IF(T32&lt;S31,T32,S31)</f>
      </c>
      <c r="T32" s="335">
        <f>+(T31-S31)*(1+$E$14)</f>
      </c>
      <c r="U32" s="332">
        <v>27</v>
      </c>
      <c r="V32" s="1"/>
      <c r="W32" s="331">
        <f>Z32</f>
      </c>
      <c r="X32" s="336">
        <f>+IF(Y32&lt;X31,Y32,X31)</f>
      </c>
      <c r="Y32" s="337">
        <f>+(Y31-X31)*(1+$E$15)</f>
      </c>
      <c r="Z32" s="332">
        <v>27</v>
      </c>
      <c r="AA32" s="1"/>
      <c r="AB32" s="331">
        <f>AE32</f>
      </c>
      <c r="AC32" s="336">
        <f>+IF(AD32&lt;AC31,AD32,AC31)</f>
      </c>
      <c r="AD32" s="337">
        <f>+(AD31-AC31)*(1+$E$16)</f>
      </c>
      <c r="AE32" s="332">
        <v>27</v>
      </c>
    </row>
    <row x14ac:dyDescent="0.25" r="33" customHeight="1" ht="18.75">
      <c r="A33" s="1"/>
      <c r="B33" s="1"/>
      <c r="C33" s="169"/>
      <c r="D33" s="169"/>
      <c r="E33" s="168"/>
      <c r="F33" s="169"/>
      <c r="G33" s="170"/>
      <c r="H33" s="1"/>
      <c r="I33" s="1"/>
      <c r="J33" s="1"/>
      <c r="K33" s="1"/>
      <c r="L33" s="1"/>
      <c r="M33" s="331">
        <f>P33</f>
      </c>
      <c r="N33" s="335">
        <f>+IF(O33&lt;N32,O33,N32)</f>
      </c>
      <c r="O33" s="335">
        <f>+(O32-N32)*(1+$E$13)</f>
      </c>
      <c r="P33" s="332">
        <v>28</v>
      </c>
      <c r="Q33" s="1"/>
      <c r="R33" s="331">
        <f>U33</f>
      </c>
      <c r="S33" s="335">
        <f>+IF(T33&lt;S32,T33,S32)</f>
      </c>
      <c r="T33" s="335">
        <f>+(T32-S32)*(1+$E$14)</f>
      </c>
      <c r="U33" s="332">
        <v>28</v>
      </c>
      <c r="V33" s="1"/>
      <c r="W33" s="331">
        <f>Z33</f>
      </c>
      <c r="X33" s="336">
        <f>+IF(Y33&lt;X32,Y33,X32)</f>
      </c>
      <c r="Y33" s="337">
        <f>+(Y32-X32)*(1+$E$15)</f>
      </c>
      <c r="Z33" s="332">
        <v>28</v>
      </c>
      <c r="AA33" s="1"/>
      <c r="AB33" s="331">
        <f>AE33</f>
      </c>
      <c r="AC33" s="336">
        <f>+IF(AD33&lt;AC32,AD33,AC32)</f>
      </c>
      <c r="AD33" s="337">
        <f>+(AD32-AC32)*(1+$E$16)</f>
      </c>
      <c r="AE33" s="332">
        <v>28</v>
      </c>
    </row>
    <row x14ac:dyDescent="0.25" r="34" customHeight="1" ht="18.75">
      <c r="A34" s="1"/>
      <c r="B34" s="1"/>
      <c r="C34" s="169"/>
      <c r="D34" s="169"/>
      <c r="E34" s="168"/>
      <c r="F34" s="169"/>
      <c r="G34" s="170"/>
      <c r="H34" s="1"/>
      <c r="I34" s="1"/>
      <c r="J34" s="1"/>
      <c r="K34" s="1"/>
      <c r="L34" s="1"/>
      <c r="M34" s="331">
        <f>P34</f>
      </c>
      <c r="N34" s="335">
        <f>+IF(O34&lt;N33,O34,N33)</f>
      </c>
      <c r="O34" s="335">
        <f>+(O33-N33)*(1+$E$13)</f>
      </c>
      <c r="P34" s="332">
        <v>29</v>
      </c>
      <c r="Q34" s="1"/>
      <c r="R34" s="331">
        <f>U34</f>
      </c>
      <c r="S34" s="335">
        <f>+IF(T34&lt;S33,T34,S33)</f>
      </c>
      <c r="T34" s="335">
        <f>+(T33-S33)*(1+$E$14)</f>
      </c>
      <c r="U34" s="332">
        <v>29</v>
      </c>
      <c r="V34" s="1"/>
      <c r="W34" s="331">
        <f>Z34</f>
      </c>
      <c r="X34" s="336">
        <f>+IF(Y34&lt;X33,Y34,X33)</f>
      </c>
      <c r="Y34" s="337">
        <f>+(Y33-X33)*(1+$E$15)</f>
      </c>
      <c r="Z34" s="332">
        <v>29</v>
      </c>
      <c r="AA34" s="1"/>
      <c r="AB34" s="331">
        <f>AE34</f>
      </c>
      <c r="AC34" s="336">
        <f>+IF(AD34&lt;AC33,AD34,AC33)</f>
      </c>
      <c r="AD34" s="337">
        <f>+(AD33-AC33)*(1+$E$16)</f>
      </c>
      <c r="AE34" s="332">
        <v>29</v>
      </c>
    </row>
    <row x14ac:dyDescent="0.25" r="35" customHeight="1" ht="18.75">
      <c r="A35" s="1"/>
      <c r="B35" s="1"/>
      <c r="C35" s="169"/>
      <c r="D35" s="169"/>
      <c r="E35" s="168"/>
      <c r="F35" s="169"/>
      <c r="G35" s="170"/>
      <c r="H35" s="1"/>
      <c r="I35" s="1"/>
      <c r="J35" s="1"/>
      <c r="K35" s="1"/>
      <c r="L35" s="1"/>
      <c r="M35" s="331">
        <f>P35</f>
      </c>
      <c r="N35" s="335">
        <f>+IF(O35&lt;N34,O35,N34)</f>
      </c>
      <c r="O35" s="335">
        <f>+(O34-N34)*(1+$E$13)</f>
      </c>
      <c r="P35" s="332">
        <v>30</v>
      </c>
      <c r="Q35" s="1"/>
      <c r="R35" s="331">
        <f>U35</f>
      </c>
      <c r="S35" s="335">
        <f>+IF(T35&lt;S34,T35,S34)</f>
      </c>
      <c r="T35" s="335">
        <f>+(T34-S34)*(1+$E$14)</f>
      </c>
      <c r="U35" s="332">
        <v>30</v>
      </c>
      <c r="V35" s="1"/>
      <c r="W35" s="331">
        <f>Z35</f>
      </c>
      <c r="X35" s="336">
        <f>+IF(Y35&lt;X34,Y35,X34)</f>
      </c>
      <c r="Y35" s="337">
        <f>+(Y34-X34)*(1+$E$15)</f>
      </c>
      <c r="Z35" s="332">
        <v>30</v>
      </c>
      <c r="AA35" s="1"/>
      <c r="AB35" s="331">
        <f>AE35</f>
      </c>
      <c r="AC35" s="336">
        <f>+IF(AD35&lt;AC34,AD35,AC34)</f>
      </c>
      <c r="AD35" s="337">
        <f>+(AD34-AC34)*(1+$E$16)</f>
      </c>
      <c r="AE35" s="332">
        <v>30</v>
      </c>
    </row>
    <row x14ac:dyDescent="0.25" r="36" customHeight="1" ht="18.75">
      <c r="A36" s="1"/>
      <c r="B36" s="1"/>
      <c r="C36" s="169"/>
      <c r="D36" s="169"/>
      <c r="E36" s="168"/>
      <c r="F36" s="169"/>
      <c r="G36" s="170"/>
      <c r="H36" s="1"/>
      <c r="I36" s="1"/>
      <c r="J36" s="1"/>
      <c r="K36" s="1"/>
      <c r="L36" s="1"/>
      <c r="M36" s="331">
        <f>P36</f>
      </c>
      <c r="N36" s="335">
        <f>+IF(O36&lt;N35,O36,N35)</f>
      </c>
      <c r="O36" s="335">
        <f>+(O35-N35)*(1+$E$13)</f>
      </c>
      <c r="P36" s="332">
        <v>31</v>
      </c>
      <c r="Q36" s="1"/>
      <c r="R36" s="331">
        <f>U36</f>
      </c>
      <c r="S36" s="335">
        <f>+IF(T36&lt;S35,T36,S35)</f>
      </c>
      <c r="T36" s="335">
        <f>+(T35-S35)*(1+$E$14)</f>
      </c>
      <c r="U36" s="332">
        <v>31</v>
      </c>
      <c r="V36" s="1"/>
      <c r="W36" s="331">
        <f>Z36</f>
      </c>
      <c r="X36" s="336">
        <f>+IF(Y36&lt;X35,Y36,X35)</f>
      </c>
      <c r="Y36" s="337">
        <f>+(Y35-X35)*(1+$E$15)</f>
      </c>
      <c r="Z36" s="332">
        <v>31</v>
      </c>
      <c r="AA36" s="1"/>
      <c r="AB36" s="331">
        <f>AE36</f>
      </c>
      <c r="AC36" s="336">
        <f>+IF(AD36&lt;AC35,AD36,AC35)</f>
      </c>
      <c r="AD36" s="337">
        <f>+(AD35-AC35)*(1+$E$16)</f>
      </c>
      <c r="AE36" s="332">
        <v>31</v>
      </c>
    </row>
    <row x14ac:dyDescent="0.25" r="37" customHeight="1" ht="18.75">
      <c r="A37" s="1"/>
      <c r="B37" s="1"/>
      <c r="C37" s="169"/>
      <c r="D37" s="169"/>
      <c r="E37" s="168"/>
      <c r="F37" s="169"/>
      <c r="G37" s="170"/>
      <c r="H37" s="1"/>
      <c r="I37" s="1"/>
      <c r="J37" s="1"/>
      <c r="K37" s="1"/>
      <c r="L37" s="1"/>
      <c r="M37" s="331">
        <f>P37</f>
      </c>
      <c r="N37" s="335">
        <f>+IF(O37&lt;N36,O37,N36)</f>
      </c>
      <c r="O37" s="335">
        <f>+(O36-N36)*(1+$E$13)</f>
      </c>
      <c r="P37" s="332">
        <v>32</v>
      </c>
      <c r="Q37" s="1"/>
      <c r="R37" s="331">
        <f>U37</f>
      </c>
      <c r="S37" s="335">
        <f>+IF(T37&lt;S36,T37,S36)</f>
      </c>
      <c r="T37" s="335">
        <f>+(T36-S36)*(1+$E$14)</f>
      </c>
      <c r="U37" s="332">
        <v>32</v>
      </c>
      <c r="V37" s="1"/>
      <c r="W37" s="331">
        <f>Z37</f>
      </c>
      <c r="X37" s="336">
        <f>+IF(Y37&lt;X36,Y37,X36)</f>
      </c>
      <c r="Y37" s="337">
        <f>+(Y36-X36)*(1+$E$15)</f>
      </c>
      <c r="Z37" s="332">
        <v>32</v>
      </c>
      <c r="AA37" s="1"/>
      <c r="AB37" s="331">
        <f>AE37</f>
      </c>
      <c r="AC37" s="336">
        <f>+IF(AD37&lt;AC36,AD37,AC36)</f>
      </c>
      <c r="AD37" s="337">
        <f>+(AD36-AC36)*(1+$E$16)</f>
      </c>
      <c r="AE37" s="332">
        <v>32</v>
      </c>
    </row>
    <row x14ac:dyDescent="0.25" r="38" customHeight="1" ht="18.75">
      <c r="A38" s="1"/>
      <c r="B38" s="1"/>
      <c r="C38" s="169"/>
      <c r="D38" s="169"/>
      <c r="E38" s="168"/>
      <c r="F38" s="169"/>
      <c r="G38" s="170"/>
      <c r="H38" s="1"/>
      <c r="I38" s="1"/>
      <c r="J38" s="1"/>
      <c r="K38" s="1"/>
      <c r="L38" s="1"/>
      <c r="M38" s="331">
        <f>P38</f>
      </c>
      <c r="N38" s="335">
        <f>+IF(O38&lt;N37,O38,N37)</f>
      </c>
      <c r="O38" s="335">
        <f>+(O37-N37)*(1+$E$13)</f>
      </c>
      <c r="P38" s="332">
        <v>33</v>
      </c>
      <c r="Q38" s="1"/>
      <c r="R38" s="331">
        <f>U38</f>
      </c>
      <c r="S38" s="335">
        <f>+IF(T38&lt;S37,T38,S37)</f>
      </c>
      <c r="T38" s="335">
        <f>+(T37-S37)*(1+$E$14)</f>
      </c>
      <c r="U38" s="332">
        <v>33</v>
      </c>
      <c r="V38" s="1"/>
      <c r="W38" s="331">
        <f>Z38</f>
      </c>
      <c r="X38" s="336">
        <f>+IF(Y38&lt;X37,Y38,X37)</f>
      </c>
      <c r="Y38" s="337">
        <f>+(Y37-X37)*(1+$E$15)</f>
      </c>
      <c r="Z38" s="332">
        <v>33</v>
      </c>
      <c r="AA38" s="1"/>
      <c r="AB38" s="331">
        <f>AE38</f>
      </c>
      <c r="AC38" s="336">
        <f>+IF(AD38&lt;AC37,AD38,AC37)</f>
      </c>
      <c r="AD38" s="337">
        <f>+(AD37-AC37)*(1+$E$16)</f>
      </c>
      <c r="AE38" s="332">
        <v>33</v>
      </c>
    </row>
    <row x14ac:dyDescent="0.25" r="39" customHeight="1" ht="18.75">
      <c r="A39" s="1"/>
      <c r="B39" s="1"/>
      <c r="C39" s="169"/>
      <c r="D39" s="169"/>
      <c r="E39" s="168"/>
      <c r="F39" s="169"/>
      <c r="G39" s="170"/>
      <c r="H39" s="1"/>
      <c r="I39" s="1"/>
      <c r="J39" s="1"/>
      <c r="K39" s="1"/>
      <c r="L39" s="1"/>
      <c r="M39" s="331">
        <f>P39</f>
      </c>
      <c r="N39" s="335">
        <f>+IF(O39&lt;N38,O39,N38)</f>
      </c>
      <c r="O39" s="335">
        <f>+(O38-N38)*(1+$E$13)</f>
      </c>
      <c r="P39" s="332">
        <v>34</v>
      </c>
      <c r="Q39" s="1"/>
      <c r="R39" s="331">
        <f>U39</f>
      </c>
      <c r="S39" s="335">
        <f>+IF(T39&lt;S38,T39,S38)</f>
      </c>
      <c r="T39" s="335">
        <f>+(T38-S38)*(1+$E$14)</f>
      </c>
      <c r="U39" s="332">
        <v>34</v>
      </c>
      <c r="V39" s="1"/>
      <c r="W39" s="331">
        <f>Z39</f>
      </c>
      <c r="X39" s="336">
        <f>+IF(Y39&lt;X38,Y39,X38)</f>
      </c>
      <c r="Y39" s="337">
        <f>+(Y38-X38)*(1+$E$15)</f>
      </c>
      <c r="Z39" s="332">
        <v>34</v>
      </c>
      <c r="AA39" s="1"/>
      <c r="AB39" s="331">
        <f>AE39</f>
      </c>
      <c r="AC39" s="336">
        <f>+IF(AD39&lt;AC38,AD39,AC38)</f>
      </c>
      <c r="AD39" s="337">
        <f>+(AD38-AC38)*(1+$E$16)</f>
      </c>
      <c r="AE39" s="332">
        <v>34</v>
      </c>
    </row>
    <row x14ac:dyDescent="0.25" r="40" customHeight="1" ht="18.75">
      <c r="A40" s="1"/>
      <c r="B40" s="1"/>
      <c r="C40" s="169"/>
      <c r="D40" s="169"/>
      <c r="E40" s="168"/>
      <c r="F40" s="169"/>
      <c r="G40" s="170"/>
      <c r="H40" s="1"/>
      <c r="I40" s="1"/>
      <c r="J40" s="1"/>
      <c r="K40" s="1"/>
      <c r="L40" s="1"/>
      <c r="M40" s="331">
        <f>P40</f>
      </c>
      <c r="N40" s="335">
        <f>+IF(O40&lt;N39,O40,N39)</f>
      </c>
      <c r="O40" s="335">
        <f>+(O39-N39)*(1+$E$13)</f>
      </c>
      <c r="P40" s="332">
        <v>35</v>
      </c>
      <c r="Q40" s="1"/>
      <c r="R40" s="331">
        <f>U40</f>
      </c>
      <c r="S40" s="335">
        <f>+IF(T40&lt;S39,T40,S39)</f>
      </c>
      <c r="T40" s="335">
        <f>+(T39-S39)*(1+$E$14)</f>
      </c>
      <c r="U40" s="332">
        <v>35</v>
      </c>
      <c r="V40" s="1"/>
      <c r="W40" s="331">
        <f>Z40</f>
      </c>
      <c r="X40" s="336">
        <f>+IF(Y40&lt;X39,Y40,X39)</f>
      </c>
      <c r="Y40" s="337">
        <f>+(Y39-X39)*(1+$E$15)</f>
      </c>
      <c r="Z40" s="332">
        <v>35</v>
      </c>
      <c r="AA40" s="1"/>
      <c r="AB40" s="331">
        <f>AE40</f>
      </c>
      <c r="AC40" s="336">
        <f>+IF(AD40&lt;AC39,AD40,AC39)</f>
      </c>
      <c r="AD40" s="337">
        <f>+(AD39-AC39)*(1+$E$16)</f>
      </c>
      <c r="AE40" s="332">
        <v>35</v>
      </c>
    </row>
    <row x14ac:dyDescent="0.25" r="41" customHeight="1" ht="18.75">
      <c r="A41" s="1"/>
      <c r="B41" s="1"/>
      <c r="C41" s="169"/>
      <c r="D41" s="169"/>
      <c r="E41" s="168"/>
      <c r="F41" s="169"/>
      <c r="G41" s="170"/>
      <c r="H41" s="1"/>
      <c r="I41" s="1"/>
      <c r="J41" s="1"/>
      <c r="K41" s="1"/>
      <c r="L41" s="1"/>
      <c r="M41" s="331">
        <f>P41</f>
      </c>
      <c r="N41" s="335">
        <f>+IF(O41&lt;N40,O41,N40)</f>
      </c>
      <c r="O41" s="335">
        <f>+(O40-N40)*(1+$E$13)</f>
      </c>
      <c r="P41" s="332">
        <v>36</v>
      </c>
      <c r="Q41" s="1"/>
      <c r="R41" s="331">
        <f>U41</f>
      </c>
      <c r="S41" s="335">
        <f>+IF(T41&lt;S40,T41,S40)</f>
      </c>
      <c r="T41" s="335">
        <f>+(T40-S40)*(1+$E$14)</f>
      </c>
      <c r="U41" s="332">
        <v>36</v>
      </c>
      <c r="V41" s="1"/>
      <c r="W41" s="331">
        <f>Z41</f>
      </c>
      <c r="X41" s="336">
        <f>+IF(Y41&lt;X40,Y41,X40)</f>
      </c>
      <c r="Y41" s="337">
        <f>+(Y40-X40)*(1+$E$15)</f>
      </c>
      <c r="Z41" s="332">
        <v>36</v>
      </c>
      <c r="AA41" s="1"/>
      <c r="AB41" s="331">
        <f>AE41</f>
      </c>
      <c r="AC41" s="336">
        <f>+IF(AD41&lt;AC40,AD41,AC40)</f>
      </c>
      <c r="AD41" s="337">
        <f>+(AD40-AC40)*(1+$E$16)</f>
      </c>
      <c r="AE41" s="332">
        <v>36</v>
      </c>
    </row>
    <row x14ac:dyDescent="0.25" r="42" customHeight="1" ht="18.75">
      <c r="A42" s="1"/>
      <c r="B42" s="1"/>
      <c r="C42" s="169"/>
      <c r="D42" s="169"/>
      <c r="E42" s="168"/>
      <c r="F42" s="169"/>
      <c r="G42" s="170"/>
      <c r="H42" s="1"/>
      <c r="I42" s="1"/>
      <c r="J42" s="1"/>
      <c r="K42" s="1"/>
      <c r="L42" s="1"/>
      <c r="M42" s="331">
        <f>P42</f>
      </c>
      <c r="N42" s="335">
        <f>+IF(O42&lt;N41,O42,N41)</f>
      </c>
      <c r="O42" s="335">
        <f>+(O41-N41)*(1+$E$13)</f>
      </c>
      <c r="P42" s="332">
        <v>37</v>
      </c>
      <c r="Q42" s="1"/>
      <c r="R42" s="331">
        <f>U42</f>
      </c>
      <c r="S42" s="335">
        <f>+IF(T42&lt;S41,T42,S41)</f>
      </c>
      <c r="T42" s="335">
        <f>+(T41-S41)*(1+$E$14)</f>
      </c>
      <c r="U42" s="332">
        <v>37</v>
      </c>
      <c r="V42" s="1"/>
      <c r="W42" s="331">
        <f>Z42</f>
      </c>
      <c r="X42" s="336">
        <f>+IF(Y42&lt;X41,Y42,X41)</f>
      </c>
      <c r="Y42" s="337">
        <f>+(Y41-X41)*(1+$E$15)</f>
      </c>
      <c r="Z42" s="332">
        <v>37</v>
      </c>
      <c r="AA42" s="1"/>
      <c r="AB42" s="331">
        <f>AE42</f>
      </c>
      <c r="AC42" s="336">
        <f>+IF(AD42&lt;AC41,AD42,AC41)</f>
      </c>
      <c r="AD42" s="337">
        <f>+(AD41-AC41)*(1+$E$16)</f>
      </c>
      <c r="AE42" s="332">
        <v>37</v>
      </c>
    </row>
    <row x14ac:dyDescent="0.25" r="43" customHeight="1" ht="18.75">
      <c r="A43" s="1"/>
      <c r="B43" s="1"/>
      <c r="C43" s="169"/>
      <c r="D43" s="169"/>
      <c r="E43" s="168"/>
      <c r="F43" s="169"/>
      <c r="G43" s="170"/>
      <c r="H43" s="1"/>
      <c r="I43" s="1"/>
      <c r="J43" s="1"/>
      <c r="K43" s="1"/>
      <c r="L43" s="1"/>
      <c r="M43" s="331">
        <f>P43</f>
      </c>
      <c r="N43" s="335">
        <f>+IF(O43&lt;N42,O43,N42)</f>
      </c>
      <c r="O43" s="335">
        <f>+(O42-N42)*(1+$E$13)</f>
      </c>
      <c r="P43" s="332">
        <v>38</v>
      </c>
      <c r="Q43" s="1"/>
      <c r="R43" s="331">
        <f>U43</f>
      </c>
      <c r="S43" s="335">
        <f>+IF(T43&lt;S42,T43,S42)</f>
      </c>
      <c r="T43" s="335">
        <f>+(T42-S42)*(1+$E$14)</f>
      </c>
      <c r="U43" s="332">
        <v>38</v>
      </c>
      <c r="V43" s="1"/>
      <c r="W43" s="331">
        <f>Z43</f>
      </c>
      <c r="X43" s="336">
        <f>+IF(Y43&lt;X42,Y43,X42)</f>
      </c>
      <c r="Y43" s="337">
        <f>+(Y42-X42)*(1+$E$15)</f>
      </c>
      <c r="Z43" s="332">
        <v>38</v>
      </c>
      <c r="AA43" s="1"/>
      <c r="AB43" s="331">
        <f>AE43</f>
      </c>
      <c r="AC43" s="336">
        <f>+IF(AD43&lt;AC42,AD43,AC42)</f>
      </c>
      <c r="AD43" s="337">
        <f>+(AD42-AC42)*(1+$E$16)</f>
      </c>
      <c r="AE43" s="332">
        <v>38</v>
      </c>
    </row>
    <row x14ac:dyDescent="0.25" r="44" customHeight="1" ht="18.75">
      <c r="A44" s="1"/>
      <c r="B44" s="1"/>
      <c r="C44" s="169"/>
      <c r="D44" s="169"/>
      <c r="E44" s="168"/>
      <c r="F44" s="169"/>
      <c r="G44" s="170"/>
      <c r="H44" s="1"/>
      <c r="I44" s="1"/>
      <c r="J44" s="1"/>
      <c r="K44" s="1"/>
      <c r="L44" s="1"/>
      <c r="M44" s="331">
        <f>P44</f>
      </c>
      <c r="N44" s="335">
        <f>+IF(O44&lt;N43,O44,N43)</f>
      </c>
      <c r="O44" s="335">
        <f>+(O43-N43)*(1+$E$13)</f>
      </c>
      <c r="P44" s="332">
        <v>39</v>
      </c>
      <c r="Q44" s="1"/>
      <c r="R44" s="331">
        <f>U44</f>
      </c>
      <c r="S44" s="335">
        <f>+IF(T44&lt;S43,T44,S43)</f>
      </c>
      <c r="T44" s="335">
        <f>+(T43-S43)*(1+$E$14)</f>
      </c>
      <c r="U44" s="332">
        <v>39</v>
      </c>
      <c r="V44" s="1"/>
      <c r="W44" s="331">
        <f>Z44</f>
      </c>
      <c r="X44" s="336">
        <f>+IF(Y44&lt;X43,Y44,X43)</f>
      </c>
      <c r="Y44" s="337">
        <f>+(Y43-X43)*(1+$E$15)</f>
      </c>
      <c r="Z44" s="332">
        <v>39</v>
      </c>
      <c r="AA44" s="1"/>
      <c r="AB44" s="331">
        <f>AE44</f>
      </c>
      <c r="AC44" s="336">
        <f>+IF(AD44&lt;AC43,AD44,AC43)</f>
      </c>
      <c r="AD44" s="337">
        <f>+(AD43-AC43)*(1+$E$16)</f>
      </c>
      <c r="AE44" s="332">
        <v>39</v>
      </c>
    </row>
    <row x14ac:dyDescent="0.25" r="45" customHeight="1" ht="18.75">
      <c r="A45" s="1"/>
      <c r="B45" s="1"/>
      <c r="C45" s="169"/>
      <c r="D45" s="169"/>
      <c r="E45" s="168"/>
      <c r="F45" s="169"/>
      <c r="G45" s="170"/>
      <c r="H45" s="1"/>
      <c r="I45" s="1"/>
      <c r="J45" s="1"/>
      <c r="K45" s="1"/>
      <c r="L45" s="1"/>
      <c r="M45" s="331">
        <f>P45</f>
      </c>
      <c r="N45" s="335">
        <f>+IF(O45&lt;N44,O45,N44)</f>
      </c>
      <c r="O45" s="335">
        <f>+(O44-N44)*(1+$E$13)</f>
      </c>
      <c r="P45" s="332">
        <v>40</v>
      </c>
      <c r="Q45" s="1"/>
      <c r="R45" s="331">
        <f>U45</f>
      </c>
      <c r="S45" s="335">
        <f>+IF(T45&lt;S44,T45,S44)</f>
      </c>
      <c r="T45" s="335">
        <f>+(T44-S44)*(1+$E$14)</f>
      </c>
      <c r="U45" s="332">
        <v>40</v>
      </c>
      <c r="V45" s="1"/>
      <c r="W45" s="331">
        <f>Z45</f>
      </c>
      <c r="X45" s="336">
        <f>+IF(Y45&lt;X44,Y45,X44)</f>
      </c>
      <c r="Y45" s="337">
        <f>+(Y44-X44)*(1+$E$15)</f>
      </c>
      <c r="Z45" s="332">
        <v>40</v>
      </c>
      <c r="AA45" s="1"/>
      <c r="AB45" s="331">
        <f>AE45</f>
      </c>
      <c r="AC45" s="336">
        <f>+IF(AD45&lt;AC44,AD45,AC44)</f>
      </c>
      <c r="AD45" s="337">
        <f>+(AD44-AC44)*(1+$E$16)</f>
      </c>
      <c r="AE45" s="332">
        <v>40</v>
      </c>
    </row>
    <row x14ac:dyDescent="0.25" r="46" customHeight="1" ht="18.75">
      <c r="A46" s="1"/>
      <c r="B46" s="1"/>
      <c r="C46" s="169"/>
      <c r="D46" s="169"/>
      <c r="E46" s="168"/>
      <c r="F46" s="169"/>
      <c r="G46" s="170"/>
      <c r="H46" s="1"/>
      <c r="I46" s="1"/>
      <c r="J46" s="1"/>
      <c r="K46" s="1"/>
      <c r="L46" s="1"/>
      <c r="M46" s="331">
        <f>P46</f>
      </c>
      <c r="N46" s="335">
        <f>+IF(O46&lt;N45,O46,N45)</f>
      </c>
      <c r="O46" s="335">
        <f>+(O45-N45)*(1+$E$13)</f>
      </c>
      <c r="P46" s="332">
        <v>41</v>
      </c>
      <c r="Q46" s="1"/>
      <c r="R46" s="331">
        <f>U46</f>
      </c>
      <c r="S46" s="335">
        <f>+IF(T46&lt;S45,T46,S45)</f>
      </c>
      <c r="T46" s="335">
        <f>+(T45-S45)*(1+$E$14)</f>
      </c>
      <c r="U46" s="332">
        <v>41</v>
      </c>
      <c r="V46" s="1"/>
      <c r="W46" s="331">
        <f>Z46</f>
      </c>
      <c r="X46" s="336">
        <f>+IF(Y46&lt;X45,Y46,X45)</f>
      </c>
      <c r="Y46" s="337">
        <f>+(Y45-X45)*(1+$E$15)</f>
      </c>
      <c r="Z46" s="332">
        <v>41</v>
      </c>
      <c r="AA46" s="1"/>
      <c r="AB46" s="331">
        <f>AE46</f>
      </c>
      <c r="AC46" s="336">
        <f>+IF(AD46&lt;AC45,AD46,AC45)</f>
      </c>
      <c r="AD46" s="337">
        <f>+(AD45-AC45)*(1+$E$16)</f>
      </c>
      <c r="AE46" s="332">
        <v>41</v>
      </c>
    </row>
    <row x14ac:dyDescent="0.25" r="47" customHeight="1" ht="18.75">
      <c r="A47" s="1"/>
      <c r="B47" s="1"/>
      <c r="C47" s="169"/>
      <c r="D47" s="169"/>
      <c r="E47" s="168"/>
      <c r="F47" s="169"/>
      <c r="G47" s="170"/>
      <c r="H47" s="1"/>
      <c r="I47" s="1"/>
      <c r="J47" s="1"/>
      <c r="K47" s="1"/>
      <c r="L47" s="1"/>
      <c r="M47" s="331">
        <f>P47</f>
      </c>
      <c r="N47" s="335">
        <f>+IF(O47&lt;N46,O47,N46)</f>
      </c>
      <c r="O47" s="335">
        <f>+(O46-N46)*(1+$E$13)</f>
      </c>
      <c r="P47" s="332">
        <v>42</v>
      </c>
      <c r="Q47" s="1"/>
      <c r="R47" s="331">
        <f>U47</f>
      </c>
      <c r="S47" s="335">
        <f>+IF(T47&lt;S46,T47,S46)</f>
      </c>
      <c r="T47" s="335">
        <f>+(T46-S46)*(1+$E$14)</f>
      </c>
      <c r="U47" s="332">
        <v>42</v>
      </c>
      <c r="V47" s="1"/>
      <c r="W47" s="331">
        <f>Z47</f>
      </c>
      <c r="X47" s="336">
        <f>+IF(Y47&lt;X46,Y47,X46)</f>
      </c>
      <c r="Y47" s="337">
        <f>+(Y46-X46)*(1+$E$15)</f>
      </c>
      <c r="Z47" s="332">
        <v>42</v>
      </c>
      <c r="AA47" s="1"/>
      <c r="AB47" s="331">
        <f>AE47</f>
      </c>
      <c r="AC47" s="336">
        <f>+IF(AD47&lt;AC46,AD47,AC46)</f>
      </c>
      <c r="AD47" s="337">
        <f>+(AD46-AC46)*(1+$E$16)</f>
      </c>
      <c r="AE47" s="332">
        <v>42</v>
      </c>
    </row>
    <row x14ac:dyDescent="0.25" r="48" customHeight="1" ht="18.75">
      <c r="A48" s="1"/>
      <c r="B48" s="1"/>
      <c r="C48" s="169"/>
      <c r="D48" s="169"/>
      <c r="E48" s="168"/>
      <c r="F48" s="169"/>
      <c r="G48" s="170"/>
      <c r="H48" s="1"/>
      <c r="I48" s="1"/>
      <c r="J48" s="1"/>
      <c r="K48" s="1"/>
      <c r="L48" s="1"/>
      <c r="M48" s="331">
        <f>P48</f>
      </c>
      <c r="N48" s="335">
        <f>+IF(O48&lt;N47,O48,N47)</f>
      </c>
      <c r="O48" s="335">
        <f>+(O47-N47)*(1+$E$13)</f>
      </c>
      <c r="P48" s="332">
        <v>43</v>
      </c>
      <c r="Q48" s="1"/>
      <c r="R48" s="331">
        <f>U48</f>
      </c>
      <c r="S48" s="335">
        <f>+IF(T48&lt;S47,T48,S47)</f>
      </c>
      <c r="T48" s="335">
        <f>+(T47-S47)*(1+$E$14)</f>
      </c>
      <c r="U48" s="332">
        <v>43</v>
      </c>
      <c r="V48" s="1"/>
      <c r="W48" s="331">
        <f>Z48</f>
      </c>
      <c r="X48" s="336">
        <f>+IF(Y48&lt;X47,Y48,X47)</f>
      </c>
      <c r="Y48" s="337">
        <f>+(Y47-X47)*(1+$E$15)</f>
      </c>
      <c r="Z48" s="332">
        <v>43</v>
      </c>
      <c r="AA48" s="1"/>
      <c r="AB48" s="331">
        <f>AE48</f>
      </c>
      <c r="AC48" s="336">
        <f>+IF(AD48&lt;AC47,AD48,AC47)</f>
      </c>
      <c r="AD48" s="337">
        <f>+(AD47-AC47)*(1+$E$16)</f>
      </c>
      <c r="AE48" s="332">
        <v>43</v>
      </c>
    </row>
    <row x14ac:dyDescent="0.25" r="49" customHeight="1" ht="18.75">
      <c r="A49" s="1"/>
      <c r="B49" s="1"/>
      <c r="C49" s="169"/>
      <c r="D49" s="169"/>
      <c r="E49" s="168"/>
      <c r="F49" s="169"/>
      <c r="G49" s="170"/>
      <c r="H49" s="1"/>
      <c r="I49" s="1"/>
      <c r="J49" s="1"/>
      <c r="K49" s="1"/>
      <c r="L49" s="1"/>
      <c r="M49" s="331">
        <f>P49</f>
      </c>
      <c r="N49" s="335">
        <f>+IF(O49&lt;N48,O49,N48)</f>
      </c>
      <c r="O49" s="335">
        <f>+(O48-N48)*(1+$E$13)</f>
      </c>
      <c r="P49" s="332">
        <v>44</v>
      </c>
      <c r="Q49" s="1"/>
      <c r="R49" s="331">
        <f>U49</f>
      </c>
      <c r="S49" s="335">
        <f>+IF(T49&lt;S48,T49,S48)</f>
      </c>
      <c r="T49" s="335">
        <f>+(T48-S48)*(1+$E$14)</f>
      </c>
      <c r="U49" s="332">
        <v>44</v>
      </c>
      <c r="V49" s="1"/>
      <c r="W49" s="331">
        <f>Z49</f>
      </c>
      <c r="X49" s="336">
        <f>+IF(Y49&lt;X48,Y49,X48)</f>
      </c>
      <c r="Y49" s="337">
        <f>+(Y48-X48)*(1+$E$15)</f>
      </c>
      <c r="Z49" s="332">
        <v>44</v>
      </c>
      <c r="AA49" s="1"/>
      <c r="AB49" s="331">
        <f>AE49</f>
      </c>
      <c r="AC49" s="336">
        <f>+IF(AD49&lt;AC48,AD49,AC48)</f>
      </c>
      <c r="AD49" s="337">
        <f>+(AD48-AC48)*(1+$E$16)</f>
      </c>
      <c r="AE49" s="332">
        <v>44</v>
      </c>
    </row>
    <row x14ac:dyDescent="0.25" r="50" customHeight="1" ht="18.75">
      <c r="A50" s="1"/>
      <c r="B50" s="1"/>
      <c r="C50" s="169"/>
      <c r="D50" s="169"/>
      <c r="E50" s="168"/>
      <c r="F50" s="169"/>
      <c r="G50" s="170"/>
      <c r="H50" s="1"/>
      <c r="I50" s="1"/>
      <c r="J50" s="1"/>
      <c r="K50" s="1"/>
      <c r="L50" s="1"/>
      <c r="M50" s="331">
        <f>P50</f>
      </c>
      <c r="N50" s="335">
        <f>+IF(O50&lt;N49,O50,N49)</f>
      </c>
      <c r="O50" s="335">
        <f>+(O49-N49)*(1+$E$13)</f>
      </c>
      <c r="P50" s="332">
        <v>45</v>
      </c>
      <c r="Q50" s="1"/>
      <c r="R50" s="331">
        <f>U50</f>
      </c>
      <c r="S50" s="335">
        <f>+IF(T50&lt;S49,T50,S49)</f>
      </c>
      <c r="T50" s="335">
        <f>+(T49-S49)*(1+$E$14)</f>
      </c>
      <c r="U50" s="332">
        <v>45</v>
      </c>
      <c r="V50" s="1"/>
      <c r="W50" s="331">
        <f>Z50</f>
      </c>
      <c r="X50" s="336">
        <f>+IF(Y50&lt;X49,Y50,X49)</f>
      </c>
      <c r="Y50" s="337">
        <f>+(Y49-X49)*(1+$E$15)</f>
      </c>
      <c r="Z50" s="332">
        <v>45</v>
      </c>
      <c r="AA50" s="1"/>
      <c r="AB50" s="331">
        <f>AE50</f>
      </c>
      <c r="AC50" s="336">
        <f>+IF(AD50&lt;AC49,AD50,AC49)</f>
      </c>
      <c r="AD50" s="337">
        <f>+(AD49-AC49)*(1+$E$16)</f>
      </c>
      <c r="AE50" s="332">
        <v>45</v>
      </c>
    </row>
    <row x14ac:dyDescent="0.25" r="51" customHeight="1" ht="18.75">
      <c r="A51" s="1"/>
      <c r="B51" s="1"/>
      <c r="C51" s="169"/>
      <c r="D51" s="169"/>
      <c r="E51" s="168"/>
      <c r="F51" s="169"/>
      <c r="G51" s="170"/>
      <c r="H51" s="1"/>
      <c r="I51" s="1"/>
      <c r="J51" s="1"/>
      <c r="K51" s="1"/>
      <c r="L51" s="1"/>
      <c r="M51" s="331">
        <f>P51</f>
      </c>
      <c r="N51" s="335">
        <f>+IF(O51&lt;N50,O51,N50)</f>
      </c>
      <c r="O51" s="335">
        <f>+(O50-N50)*(1+$E$13)</f>
      </c>
      <c r="P51" s="332">
        <v>46</v>
      </c>
      <c r="Q51" s="1"/>
      <c r="R51" s="331">
        <f>U51</f>
      </c>
      <c r="S51" s="335">
        <f>+IF(T51&lt;S50,T51,S50)</f>
      </c>
      <c r="T51" s="335">
        <f>+(T50-S50)*(1+$E$14)</f>
      </c>
      <c r="U51" s="332">
        <v>46</v>
      </c>
      <c r="V51" s="1"/>
      <c r="W51" s="331">
        <f>Z51</f>
      </c>
      <c r="X51" s="336">
        <f>+IF(Y51&lt;X50,Y51,X50)</f>
      </c>
      <c r="Y51" s="337">
        <f>+(Y50-X50)*(1+$E$15)</f>
      </c>
      <c r="Z51" s="332">
        <v>46</v>
      </c>
      <c r="AA51" s="1"/>
      <c r="AB51" s="331">
        <f>AE51</f>
      </c>
      <c r="AC51" s="336">
        <f>+IF(AD51&lt;AC50,AD51,AC50)</f>
      </c>
      <c r="AD51" s="337">
        <f>+(AD50-AC50)*(1+$E$16)</f>
      </c>
      <c r="AE51" s="332">
        <v>46</v>
      </c>
    </row>
    <row x14ac:dyDescent="0.25" r="52" customHeight="1" ht="18.75">
      <c r="A52" s="1"/>
      <c r="B52" s="1"/>
      <c r="C52" s="169"/>
      <c r="D52" s="169"/>
      <c r="E52" s="168"/>
      <c r="F52" s="169"/>
      <c r="G52" s="170"/>
      <c r="H52" s="1"/>
      <c r="I52" s="1"/>
      <c r="J52" s="1"/>
      <c r="K52" s="1"/>
      <c r="L52" s="1"/>
      <c r="M52" s="331">
        <f>P52</f>
      </c>
      <c r="N52" s="335">
        <f>+IF(O52&lt;N51,O52,N51)</f>
      </c>
      <c r="O52" s="335">
        <f>+(O51-N51)*(1+$E$13)</f>
      </c>
      <c r="P52" s="332">
        <v>47</v>
      </c>
      <c r="Q52" s="1"/>
      <c r="R52" s="331">
        <f>U52</f>
      </c>
      <c r="S52" s="335">
        <f>+IF(T52&lt;S51,T52,S51)</f>
      </c>
      <c r="T52" s="335">
        <f>+(T51-S51)*(1+$E$14)</f>
      </c>
      <c r="U52" s="332">
        <v>47</v>
      </c>
      <c r="V52" s="1"/>
      <c r="W52" s="331">
        <f>Z52</f>
      </c>
      <c r="X52" s="336">
        <f>+IF(Y52&lt;X51,Y52,X51)</f>
      </c>
      <c r="Y52" s="337">
        <f>+(Y51-X51)*(1+$E$15)</f>
      </c>
      <c r="Z52" s="332">
        <v>47</v>
      </c>
      <c r="AA52" s="1"/>
      <c r="AB52" s="331">
        <f>AE52</f>
      </c>
      <c r="AC52" s="336">
        <f>+IF(AD52&lt;AC51,AD52,AC51)</f>
      </c>
      <c r="AD52" s="337">
        <f>+(AD51-AC51)*(1+$E$16)</f>
      </c>
      <c r="AE52" s="332">
        <v>47</v>
      </c>
    </row>
    <row x14ac:dyDescent="0.25" r="53" customHeight="1" ht="18.75">
      <c r="A53" s="1"/>
      <c r="B53" s="1"/>
      <c r="C53" s="169"/>
      <c r="D53" s="169"/>
      <c r="E53" s="168"/>
      <c r="F53" s="169"/>
      <c r="G53" s="170"/>
      <c r="H53" s="1"/>
      <c r="I53" s="1"/>
      <c r="J53" s="1"/>
      <c r="K53" s="1"/>
      <c r="L53" s="1"/>
      <c r="M53" s="331">
        <f>P53</f>
      </c>
      <c r="N53" s="335">
        <f>+IF(O53&lt;N52,O53,N52)</f>
      </c>
      <c r="O53" s="335">
        <f>+(O52-N52)*(1+$E$13)</f>
      </c>
      <c r="P53" s="332">
        <v>48</v>
      </c>
      <c r="Q53" s="1"/>
      <c r="R53" s="331">
        <f>U53</f>
      </c>
      <c r="S53" s="335">
        <f>+IF(T53&lt;S52,T53,S52)</f>
      </c>
      <c r="T53" s="335">
        <f>+(T52-S52)*(1+$E$14)</f>
      </c>
      <c r="U53" s="332">
        <v>48</v>
      </c>
      <c r="V53" s="1"/>
      <c r="W53" s="331">
        <f>Z53</f>
      </c>
      <c r="X53" s="336">
        <f>+IF(Y53&lt;X52,Y53,X52)</f>
      </c>
      <c r="Y53" s="337">
        <f>+(Y52-X52)*(1+$E$15)</f>
      </c>
      <c r="Z53" s="332">
        <v>48</v>
      </c>
      <c r="AA53" s="1"/>
      <c r="AB53" s="331">
        <f>AE53</f>
      </c>
      <c r="AC53" s="336">
        <f>+IF(AD53&lt;AC52,AD53,AC52)</f>
      </c>
      <c r="AD53" s="337">
        <f>+(AD52-AC52)*(1+$E$16)</f>
      </c>
      <c r="AE53" s="332">
        <v>48</v>
      </c>
    </row>
    <row x14ac:dyDescent="0.25" r="54" customHeight="1" ht="18.75">
      <c r="A54" s="1"/>
      <c r="B54" s="1"/>
      <c r="C54" s="169"/>
      <c r="D54" s="169"/>
      <c r="E54" s="168"/>
      <c r="F54" s="169"/>
      <c r="G54" s="170"/>
      <c r="H54" s="1"/>
      <c r="I54" s="1"/>
      <c r="J54" s="1"/>
      <c r="K54" s="1"/>
      <c r="L54" s="1"/>
      <c r="M54" s="331">
        <f>P54</f>
      </c>
      <c r="N54" s="335">
        <f>+IF(O54&lt;N53,O54,N53)</f>
      </c>
      <c r="O54" s="335">
        <f>+(O53-N53)*(1+$E$13)</f>
      </c>
      <c r="P54" s="332">
        <v>49</v>
      </c>
      <c r="Q54" s="1"/>
      <c r="R54" s="331">
        <f>U54</f>
      </c>
      <c r="S54" s="335">
        <f>+IF(T54&lt;S53,T54,S53)</f>
      </c>
      <c r="T54" s="335">
        <f>+(T53-S53)*(1+$E$14)</f>
      </c>
      <c r="U54" s="332">
        <v>49</v>
      </c>
      <c r="V54" s="1"/>
      <c r="W54" s="331">
        <f>Z54</f>
      </c>
      <c r="X54" s="336">
        <f>+IF(Y54&lt;X53,Y54,X53)</f>
      </c>
      <c r="Y54" s="337">
        <f>+(Y53-X53)*(1+$E$15)</f>
      </c>
      <c r="Z54" s="332">
        <v>49</v>
      </c>
      <c r="AA54" s="1"/>
      <c r="AB54" s="331">
        <f>AE54</f>
      </c>
      <c r="AC54" s="336">
        <f>+IF(AD54&lt;AC53,AD54,AC53)</f>
      </c>
      <c r="AD54" s="337">
        <f>+(AD53-AC53)*(1+$E$16)</f>
      </c>
      <c r="AE54" s="332">
        <v>49</v>
      </c>
    </row>
    <row x14ac:dyDescent="0.25" r="55" customHeight="1" ht="18.75">
      <c r="A55" s="1"/>
      <c r="B55" s="1"/>
      <c r="C55" s="169"/>
      <c r="D55" s="169"/>
      <c r="E55" s="168"/>
      <c r="F55" s="169"/>
      <c r="G55" s="170"/>
      <c r="H55" s="1"/>
      <c r="I55" s="1"/>
      <c r="J55" s="1"/>
      <c r="K55" s="1"/>
      <c r="L55" s="1"/>
      <c r="M55" s="331">
        <f>P55</f>
      </c>
      <c r="N55" s="335">
        <f>+IF(O55&lt;N54,O55,N54)</f>
      </c>
      <c r="O55" s="335">
        <f>+(O54-N54)*(1+$E$13)</f>
      </c>
      <c r="P55" s="332">
        <v>50</v>
      </c>
      <c r="Q55" s="1"/>
      <c r="R55" s="331">
        <f>U55</f>
      </c>
      <c r="S55" s="335">
        <f>+IF(T55&lt;S54,T55,S54)</f>
      </c>
      <c r="T55" s="335">
        <f>+(T54-S54)*(1+$E$14)</f>
      </c>
      <c r="U55" s="332">
        <v>50</v>
      </c>
      <c r="V55" s="1"/>
      <c r="W55" s="331">
        <f>Z55</f>
      </c>
      <c r="X55" s="336">
        <f>+IF(Y55&lt;X54,Y55,X54)</f>
      </c>
      <c r="Y55" s="337">
        <f>+(Y54-X54)*(1+$E$15)</f>
      </c>
      <c r="Z55" s="332">
        <v>50</v>
      </c>
      <c r="AA55" s="1"/>
      <c r="AB55" s="331">
        <f>AE55</f>
      </c>
      <c r="AC55" s="336">
        <f>+IF(AD55&lt;AC54,AD55,AC54)</f>
      </c>
      <c r="AD55" s="337">
        <f>+(AD54-AC54)*(1+$E$16)</f>
      </c>
      <c r="AE55" s="332">
        <v>50</v>
      </c>
    </row>
    <row x14ac:dyDescent="0.25" r="56" customHeight="1" ht="18.75">
      <c r="A56" s="1"/>
      <c r="B56" s="1"/>
      <c r="C56" s="169"/>
      <c r="D56" s="169"/>
      <c r="E56" s="168"/>
      <c r="F56" s="169"/>
      <c r="G56" s="170"/>
      <c r="H56" s="1"/>
      <c r="I56" s="1"/>
      <c r="J56" s="1"/>
      <c r="K56" s="1"/>
      <c r="L56" s="1"/>
      <c r="M56" s="331">
        <f>P56</f>
      </c>
      <c r="N56" s="335">
        <f>+IF(O56&lt;N55,O56,N55)</f>
      </c>
      <c r="O56" s="335">
        <f>+(O55-N55)*(1+$E$13)</f>
      </c>
      <c r="P56" s="332">
        <v>51</v>
      </c>
      <c r="Q56" s="1"/>
      <c r="R56" s="331">
        <f>U56</f>
      </c>
      <c r="S56" s="335">
        <f>+IF(T56&lt;S55,T56,S55)</f>
      </c>
      <c r="T56" s="335">
        <f>+(T55-S55)*(1+$E$14)</f>
      </c>
      <c r="U56" s="332">
        <v>51</v>
      </c>
      <c r="V56" s="1"/>
      <c r="W56" s="331">
        <f>Z56</f>
      </c>
      <c r="X56" s="336">
        <f>+IF(Y56&lt;X55,Y56,X55)</f>
      </c>
      <c r="Y56" s="337">
        <f>+(Y55-X55)*(1+$E$15)</f>
      </c>
      <c r="Z56" s="332">
        <v>51</v>
      </c>
      <c r="AA56" s="1"/>
      <c r="AB56" s="331">
        <f>AE56</f>
      </c>
      <c r="AC56" s="336">
        <f>+IF(AD56&lt;AC55,AD56,AC55)</f>
      </c>
      <c r="AD56" s="337">
        <f>+(AD55-AC55)*(1+$E$16)</f>
      </c>
      <c r="AE56" s="332">
        <v>51</v>
      </c>
    </row>
    <row x14ac:dyDescent="0.25" r="57" customHeight="1" ht="18.75">
      <c r="A57" s="1"/>
      <c r="B57" s="1"/>
      <c r="C57" s="169"/>
      <c r="D57" s="169"/>
      <c r="E57" s="168"/>
      <c r="F57" s="169"/>
      <c r="G57" s="170"/>
      <c r="H57" s="1"/>
      <c r="I57" s="1"/>
      <c r="J57" s="1"/>
      <c r="K57" s="1"/>
      <c r="L57" s="1"/>
      <c r="M57" s="331">
        <f>P57</f>
      </c>
      <c r="N57" s="335">
        <f>+IF(O57&lt;N56,O57,N56)</f>
      </c>
      <c r="O57" s="335">
        <f>+(O56-N56)*(1+$E$13)</f>
      </c>
      <c r="P57" s="332">
        <v>52</v>
      </c>
      <c r="Q57" s="1"/>
      <c r="R57" s="331">
        <f>U57</f>
      </c>
      <c r="S57" s="335">
        <f>+IF(T57&lt;S56,T57,S56)</f>
      </c>
      <c r="T57" s="335">
        <f>+(T56-S56)*(1+$E$14)</f>
      </c>
      <c r="U57" s="332">
        <v>52</v>
      </c>
      <c r="V57" s="1"/>
      <c r="W57" s="331">
        <f>Z57</f>
      </c>
      <c r="X57" s="336">
        <f>+IF(Y57&lt;X56,Y57,X56)</f>
      </c>
      <c r="Y57" s="337">
        <f>+(Y56-X56)*(1+$E$15)</f>
      </c>
      <c r="Z57" s="332">
        <v>52</v>
      </c>
      <c r="AA57" s="1"/>
      <c r="AB57" s="331">
        <f>AE57</f>
      </c>
      <c r="AC57" s="336">
        <f>+IF(AD57&lt;AC56,AD57,AC56)</f>
      </c>
      <c r="AD57" s="337">
        <f>+(AD56-AC56)*(1+$E$16)</f>
      </c>
      <c r="AE57" s="332">
        <v>52</v>
      </c>
    </row>
    <row x14ac:dyDescent="0.25" r="58" customHeight="1" ht="18.75">
      <c r="A58" s="1"/>
      <c r="B58" s="1"/>
      <c r="C58" s="169"/>
      <c r="D58" s="169"/>
      <c r="E58" s="168"/>
      <c r="F58" s="169"/>
      <c r="G58" s="170"/>
      <c r="H58" s="1"/>
      <c r="I58" s="1"/>
      <c r="J58" s="1"/>
      <c r="K58" s="1"/>
      <c r="L58" s="1"/>
      <c r="M58" s="331">
        <f>P58</f>
      </c>
      <c r="N58" s="335">
        <f>+IF(O58&lt;N57,O58,N57)</f>
      </c>
      <c r="O58" s="335">
        <f>+(O57-N57)*(1+$E$13)</f>
      </c>
      <c r="P58" s="332">
        <v>53</v>
      </c>
      <c r="Q58" s="1"/>
      <c r="R58" s="331">
        <f>U58</f>
      </c>
      <c r="S58" s="335">
        <f>+IF(T58&lt;S57,T58,S57)</f>
      </c>
      <c r="T58" s="335">
        <f>+(T57-S57)*(1+$E$14)</f>
      </c>
      <c r="U58" s="332">
        <v>53</v>
      </c>
      <c r="V58" s="1"/>
      <c r="W58" s="331">
        <f>Z58</f>
      </c>
      <c r="X58" s="336">
        <f>+IF(Y58&lt;X57,Y58,X57)</f>
      </c>
      <c r="Y58" s="337">
        <f>+(Y57-X57)*(1+$E$15)</f>
      </c>
      <c r="Z58" s="332">
        <v>53</v>
      </c>
      <c r="AA58" s="1"/>
      <c r="AB58" s="331">
        <f>AE58</f>
      </c>
      <c r="AC58" s="336">
        <f>+IF(AD58&lt;AC57,AD58,AC57)</f>
      </c>
      <c r="AD58" s="337">
        <f>+(AD57-AC57)*(1+$E$16)</f>
      </c>
      <c r="AE58" s="332">
        <v>53</v>
      </c>
    </row>
    <row x14ac:dyDescent="0.25" r="59" customHeight="1" ht="18.75">
      <c r="A59" s="1"/>
      <c r="B59" s="1"/>
      <c r="C59" s="169"/>
      <c r="D59" s="169"/>
      <c r="E59" s="168"/>
      <c r="F59" s="169"/>
      <c r="G59" s="170"/>
      <c r="H59" s="1"/>
      <c r="I59" s="1"/>
      <c r="J59" s="1"/>
      <c r="K59" s="1"/>
      <c r="L59" s="1"/>
      <c r="M59" s="331">
        <f>P59</f>
      </c>
      <c r="N59" s="335">
        <f>+IF(O59&lt;N58,O59,N58)</f>
      </c>
      <c r="O59" s="335">
        <f>+(O58-N58)*(1+$E$13)</f>
      </c>
      <c r="P59" s="332">
        <v>54</v>
      </c>
      <c r="Q59" s="1"/>
      <c r="R59" s="331">
        <f>U59</f>
      </c>
      <c r="S59" s="335">
        <f>+IF(T59&lt;S58,T59,S58)</f>
      </c>
      <c r="T59" s="335">
        <f>+(T58-S58)*(1+$E$14)</f>
      </c>
      <c r="U59" s="332">
        <v>54</v>
      </c>
      <c r="V59" s="1"/>
      <c r="W59" s="331">
        <f>Z59</f>
      </c>
      <c r="X59" s="336">
        <f>+IF(Y59&lt;X58,Y59,X58)</f>
      </c>
      <c r="Y59" s="337">
        <f>+(Y58-X58)*(1+$E$15)</f>
      </c>
      <c r="Z59" s="332">
        <v>54</v>
      </c>
      <c r="AA59" s="1"/>
      <c r="AB59" s="331">
        <f>AE59</f>
      </c>
      <c r="AC59" s="336">
        <f>+IF(AD59&lt;AC58,AD59,AC58)</f>
      </c>
      <c r="AD59" s="337">
        <f>+(AD58-AC58)*(1+$E$16)</f>
      </c>
      <c r="AE59" s="332">
        <v>54</v>
      </c>
    </row>
    <row x14ac:dyDescent="0.25" r="60" customHeight="1" ht="18.75">
      <c r="A60" s="1"/>
      <c r="B60" s="1"/>
      <c r="C60" s="169"/>
      <c r="D60" s="169"/>
      <c r="E60" s="168"/>
      <c r="F60" s="169"/>
      <c r="G60" s="170"/>
      <c r="H60" s="1"/>
      <c r="I60" s="1"/>
      <c r="J60" s="1"/>
      <c r="K60" s="1"/>
      <c r="L60" s="1"/>
      <c r="M60" s="331">
        <f>P60</f>
      </c>
      <c r="N60" s="335">
        <f>+IF(O60&lt;N59,O60,N59)</f>
      </c>
      <c r="O60" s="335">
        <f>+(O59-N59)*(1+$E$13)</f>
      </c>
      <c r="P60" s="332">
        <v>55</v>
      </c>
      <c r="Q60" s="1"/>
      <c r="R60" s="331">
        <f>U60</f>
      </c>
      <c r="S60" s="335">
        <f>+IF(T60&lt;S59,T60,S59)</f>
      </c>
      <c r="T60" s="335">
        <f>+(T59-S59)*(1+$E$14)</f>
      </c>
      <c r="U60" s="332">
        <v>55</v>
      </c>
      <c r="V60" s="1"/>
      <c r="W60" s="331">
        <f>Z60</f>
      </c>
      <c r="X60" s="336">
        <f>+IF(Y60&lt;X59,Y60,X59)</f>
      </c>
      <c r="Y60" s="337">
        <f>+(Y59-X59)*(1+$E$15)</f>
      </c>
      <c r="Z60" s="332">
        <v>55</v>
      </c>
      <c r="AA60" s="1"/>
      <c r="AB60" s="331">
        <f>AE60</f>
      </c>
      <c r="AC60" s="336">
        <f>+IF(AD60&lt;AC59,AD60,AC59)</f>
      </c>
      <c r="AD60" s="337">
        <f>+(AD59-AC59)*(1+$E$16)</f>
      </c>
      <c r="AE60" s="332">
        <v>55</v>
      </c>
    </row>
    <row x14ac:dyDescent="0.25" r="61" customHeight="1" ht="18.75">
      <c r="A61" s="1"/>
      <c r="B61" s="1"/>
      <c r="C61" s="169"/>
      <c r="D61" s="169"/>
      <c r="E61" s="168"/>
      <c r="F61" s="169"/>
      <c r="G61" s="170"/>
      <c r="H61" s="1"/>
      <c r="I61" s="1"/>
      <c r="J61" s="1"/>
      <c r="K61" s="1"/>
      <c r="L61" s="1"/>
      <c r="M61" s="331">
        <f>P61</f>
      </c>
      <c r="N61" s="335">
        <f>+IF(O61&lt;N60,O61,N60)</f>
      </c>
      <c r="O61" s="335">
        <f>+(O60-N60)*(1+$E$13)</f>
      </c>
      <c r="P61" s="332">
        <v>56</v>
      </c>
      <c r="Q61" s="1"/>
      <c r="R61" s="331">
        <f>U61</f>
      </c>
      <c r="S61" s="335">
        <f>+IF(T61&lt;S60,T61,S60)</f>
      </c>
      <c r="T61" s="335">
        <f>+(T60-S60)*(1+$E$14)</f>
      </c>
      <c r="U61" s="332">
        <v>56</v>
      </c>
      <c r="V61" s="1"/>
      <c r="W61" s="331">
        <f>Z61</f>
      </c>
      <c r="X61" s="336">
        <f>+IF(Y61&lt;X60,Y61,X60)</f>
      </c>
      <c r="Y61" s="337">
        <f>+(Y60-X60)*(1+$E$15)</f>
      </c>
      <c r="Z61" s="332">
        <v>56</v>
      </c>
      <c r="AA61" s="1"/>
      <c r="AB61" s="331">
        <f>AE61</f>
      </c>
      <c r="AC61" s="336">
        <f>+IF(AD61&lt;AC60,AD61,AC60)</f>
      </c>
      <c r="AD61" s="337">
        <f>+(AD60-AC60)*(1+$E$16)</f>
      </c>
      <c r="AE61" s="332">
        <v>56</v>
      </c>
    </row>
    <row x14ac:dyDescent="0.25" r="62" customHeight="1" ht="18.75">
      <c r="A62" s="1"/>
      <c r="B62" s="1"/>
      <c r="C62" s="169"/>
      <c r="D62" s="169"/>
      <c r="E62" s="168"/>
      <c r="F62" s="169"/>
      <c r="G62" s="170"/>
      <c r="H62" s="1"/>
      <c r="I62" s="1"/>
      <c r="J62" s="1"/>
      <c r="K62" s="1"/>
      <c r="L62" s="1"/>
      <c r="M62" s="331">
        <f>P62</f>
      </c>
      <c r="N62" s="335">
        <f>+IF(O62&lt;N61,O62,N61)</f>
      </c>
      <c r="O62" s="335">
        <f>+(O61-N61)*(1+$E$13)</f>
      </c>
      <c r="P62" s="332">
        <v>57</v>
      </c>
      <c r="Q62" s="1"/>
      <c r="R62" s="331">
        <f>U62</f>
      </c>
      <c r="S62" s="335">
        <f>+IF(T62&lt;S61,T62,S61)</f>
      </c>
      <c r="T62" s="335">
        <f>+(T61-S61)*(1+$E$14)</f>
      </c>
      <c r="U62" s="332">
        <v>57</v>
      </c>
      <c r="V62" s="1"/>
      <c r="W62" s="331">
        <f>Z62</f>
      </c>
      <c r="X62" s="336">
        <f>+IF(Y62&lt;X61,Y62,X61)</f>
      </c>
      <c r="Y62" s="337">
        <f>+(Y61-X61)*(1+$E$15)</f>
      </c>
      <c r="Z62" s="332">
        <v>57</v>
      </c>
      <c r="AA62" s="1"/>
      <c r="AB62" s="331">
        <f>AE62</f>
      </c>
      <c r="AC62" s="336">
        <f>+IF(AD62&lt;AC61,AD62,AC61)</f>
      </c>
      <c r="AD62" s="337">
        <f>+(AD61-AC61)*(1+$E$16)</f>
      </c>
      <c r="AE62" s="332">
        <v>57</v>
      </c>
    </row>
    <row x14ac:dyDescent="0.25" r="63" customHeight="1" ht="18.75">
      <c r="A63" s="1"/>
      <c r="B63" s="1"/>
      <c r="C63" s="169"/>
      <c r="D63" s="169"/>
      <c r="E63" s="168"/>
      <c r="F63" s="169"/>
      <c r="G63" s="170"/>
      <c r="H63" s="1"/>
      <c r="I63" s="1"/>
      <c r="J63" s="1"/>
      <c r="K63" s="1"/>
      <c r="L63" s="1"/>
      <c r="M63" s="331">
        <f>P63</f>
      </c>
      <c r="N63" s="335">
        <f>+IF(O63&lt;N62,O63,N62)</f>
      </c>
      <c r="O63" s="335">
        <f>+(O62-N62)*(1+$E$13)</f>
      </c>
      <c r="P63" s="332">
        <v>58</v>
      </c>
      <c r="Q63" s="1"/>
      <c r="R63" s="331">
        <f>U63</f>
      </c>
      <c r="S63" s="335">
        <f>+IF(T63&lt;S62,T63,S62)</f>
      </c>
      <c r="T63" s="335">
        <f>+(T62-S62)*(1+$E$14)</f>
      </c>
      <c r="U63" s="332">
        <v>58</v>
      </c>
      <c r="V63" s="1"/>
      <c r="W63" s="331">
        <f>Z63</f>
      </c>
      <c r="X63" s="336">
        <f>+IF(Y63&lt;X62,Y63,X62)</f>
      </c>
      <c r="Y63" s="337">
        <f>+(Y62-X62)*(1+$E$15)</f>
      </c>
      <c r="Z63" s="332">
        <v>58</v>
      </c>
      <c r="AA63" s="1"/>
      <c r="AB63" s="331">
        <f>AE63</f>
      </c>
      <c r="AC63" s="336">
        <f>+IF(AD63&lt;AC62,AD63,AC62)</f>
      </c>
      <c r="AD63" s="337">
        <f>+(AD62-AC62)*(1+$E$16)</f>
      </c>
      <c r="AE63" s="332">
        <v>58</v>
      </c>
    </row>
    <row x14ac:dyDescent="0.25" r="64" customHeight="1" ht="18.75">
      <c r="A64" s="1"/>
      <c r="B64" s="1"/>
      <c r="C64" s="169"/>
      <c r="D64" s="169"/>
      <c r="E64" s="168"/>
      <c r="F64" s="169"/>
      <c r="G64" s="170"/>
      <c r="H64" s="1"/>
      <c r="I64" s="1"/>
      <c r="J64" s="1"/>
      <c r="K64" s="1"/>
      <c r="L64" s="1"/>
      <c r="M64" s="331">
        <f>P64</f>
      </c>
      <c r="N64" s="335">
        <f>+IF(O64&lt;N63,O64,N63)</f>
      </c>
      <c r="O64" s="335">
        <f>+(O63-N63)*(1+$E$13)</f>
      </c>
      <c r="P64" s="332">
        <v>59</v>
      </c>
      <c r="Q64" s="1"/>
      <c r="R64" s="331">
        <f>U64</f>
      </c>
      <c r="S64" s="335">
        <f>+IF(T64&lt;S63,T64,S63)</f>
      </c>
      <c r="T64" s="335">
        <f>+(T63-S63)*(1+$E$14)</f>
      </c>
      <c r="U64" s="332">
        <v>59</v>
      </c>
      <c r="V64" s="1"/>
      <c r="W64" s="331">
        <f>Z64</f>
      </c>
      <c r="X64" s="336">
        <f>+IF(Y64&lt;X63,Y64,X63)</f>
      </c>
      <c r="Y64" s="337">
        <f>+(Y63-X63)*(1+$E$15)</f>
      </c>
      <c r="Z64" s="332">
        <v>59</v>
      </c>
      <c r="AA64" s="1"/>
      <c r="AB64" s="331">
        <f>AE64</f>
      </c>
      <c r="AC64" s="336">
        <f>+IF(AD64&lt;AC63,AD64,AC63)</f>
      </c>
      <c r="AD64" s="337">
        <f>+(AD63-AC63)*(1+$E$16)</f>
      </c>
      <c r="AE64" s="332">
        <v>59</v>
      </c>
    </row>
    <row x14ac:dyDescent="0.25" r="65" customHeight="1" ht="18.75">
      <c r="A65" s="1"/>
      <c r="B65" s="1"/>
      <c r="C65" s="169"/>
      <c r="D65" s="169"/>
      <c r="E65" s="168"/>
      <c r="F65" s="169"/>
      <c r="G65" s="170"/>
      <c r="H65" s="1"/>
      <c r="I65" s="1"/>
      <c r="J65" s="1"/>
      <c r="K65" s="1"/>
      <c r="L65" s="1"/>
      <c r="M65" s="331">
        <f>P65</f>
      </c>
      <c r="N65" s="335">
        <f>+IF(O65&lt;N64,O65,N64)</f>
      </c>
      <c r="O65" s="335">
        <f>+(O64-N64)*(1+$E$13)</f>
      </c>
      <c r="P65" s="332">
        <v>60</v>
      </c>
      <c r="Q65" s="1"/>
      <c r="R65" s="331">
        <f>U65</f>
      </c>
      <c r="S65" s="335">
        <f>+IF(T65&lt;S64,T65,S64)</f>
      </c>
      <c r="T65" s="335">
        <f>+(T64-S64)*(1+$E$14)</f>
      </c>
      <c r="U65" s="332">
        <v>60</v>
      </c>
      <c r="V65" s="1"/>
      <c r="W65" s="331">
        <f>Z65</f>
      </c>
      <c r="X65" s="336">
        <f>+IF(Y65&lt;X64,Y65,X64)</f>
      </c>
      <c r="Y65" s="337">
        <f>+(Y64-X64)*(1+$E$15)</f>
      </c>
      <c r="Z65" s="332">
        <v>60</v>
      </c>
      <c r="AA65" s="1"/>
      <c r="AB65" s="331">
        <f>AE65</f>
      </c>
      <c r="AC65" s="336">
        <f>+IF(AD65&lt;AC64,AD65,AC64)</f>
      </c>
      <c r="AD65" s="337">
        <f>+(AD64-AC64)*(1+$E$16)</f>
      </c>
      <c r="AE65" s="332">
        <v>60</v>
      </c>
    </row>
    <row x14ac:dyDescent="0.25" r="66" customHeight="1" ht="18.75">
      <c r="A66" s="1"/>
      <c r="B66" s="1"/>
      <c r="C66" s="169"/>
      <c r="D66" s="169"/>
      <c r="E66" s="168"/>
      <c r="F66" s="169"/>
      <c r="G66" s="170"/>
      <c r="H66" s="1"/>
      <c r="I66" s="1"/>
      <c r="J66" s="1"/>
      <c r="K66" s="1"/>
      <c r="L66" s="1"/>
      <c r="M66" s="331">
        <f>P66</f>
      </c>
      <c r="N66" s="335">
        <f>+IF(O66&lt;N65,O66,N65)</f>
      </c>
      <c r="O66" s="335">
        <f>+(O65-N65)*(1+$E$13)</f>
      </c>
      <c r="P66" s="332">
        <v>61</v>
      </c>
      <c r="Q66" s="1"/>
      <c r="R66" s="331">
        <f>U66</f>
      </c>
      <c r="S66" s="335">
        <f>+IF(T66&lt;S65,T66,S65)</f>
      </c>
      <c r="T66" s="335">
        <f>+(T65-S65)*(1+$E$14)</f>
      </c>
      <c r="U66" s="332">
        <v>61</v>
      </c>
      <c r="V66" s="1"/>
      <c r="W66" s="331">
        <f>Z66</f>
      </c>
      <c r="X66" s="336">
        <f>+IF(Y66&lt;X65,Y66,X65)</f>
      </c>
      <c r="Y66" s="337">
        <f>+(Y65-X65)*(1+$E$15)</f>
      </c>
      <c r="Z66" s="332">
        <v>61</v>
      </c>
      <c r="AA66" s="1"/>
      <c r="AB66" s="331">
        <f>AE66</f>
      </c>
      <c r="AC66" s="336">
        <f>+IF(AD66&lt;AC65,AD66,AC65)</f>
      </c>
      <c r="AD66" s="337">
        <f>+(AD65-AC65)*(1+$E$16)</f>
      </c>
      <c r="AE66" s="332">
        <v>61</v>
      </c>
    </row>
    <row x14ac:dyDescent="0.25" r="67" customHeight="1" ht="18.75">
      <c r="A67" s="1"/>
      <c r="B67" s="1"/>
      <c r="C67" s="169"/>
      <c r="D67" s="169"/>
      <c r="E67" s="168"/>
      <c r="F67" s="169"/>
      <c r="G67" s="170"/>
      <c r="H67" s="1"/>
      <c r="I67" s="1"/>
      <c r="J67" s="1"/>
      <c r="K67" s="1"/>
      <c r="L67" s="1"/>
      <c r="M67" s="331">
        <f>P67</f>
      </c>
      <c r="N67" s="335">
        <f>+IF(O67&lt;N66,O67,N66)</f>
      </c>
      <c r="O67" s="335">
        <f>+(O66-N66)*(1+$E$13)</f>
      </c>
      <c r="P67" s="332">
        <v>62</v>
      </c>
      <c r="Q67" s="1"/>
      <c r="R67" s="331">
        <f>U67</f>
      </c>
      <c r="S67" s="335">
        <f>+IF(T67&lt;S66,T67,S66)</f>
      </c>
      <c r="T67" s="335">
        <f>+(T66-S66)*(1+$E$14)</f>
      </c>
      <c r="U67" s="332">
        <v>62</v>
      </c>
      <c r="V67" s="1"/>
      <c r="W67" s="331">
        <f>Z67</f>
      </c>
      <c r="X67" s="336">
        <f>+IF(Y67&lt;X66,Y67,X66)</f>
      </c>
      <c r="Y67" s="337">
        <f>+(Y66-X66)*(1+$E$15)</f>
      </c>
      <c r="Z67" s="332">
        <v>62</v>
      </c>
      <c r="AA67" s="1"/>
      <c r="AB67" s="331">
        <f>AE67</f>
      </c>
      <c r="AC67" s="336">
        <f>+IF(AD67&lt;AC66,AD67,AC66)</f>
      </c>
      <c r="AD67" s="337">
        <f>+(AD66-AC66)*(1+$E$16)</f>
      </c>
      <c r="AE67" s="332">
        <v>62</v>
      </c>
    </row>
    <row x14ac:dyDescent="0.25" r="68" customHeight="1" ht="18.75">
      <c r="A68" s="1"/>
      <c r="B68" s="1"/>
      <c r="C68" s="169"/>
      <c r="D68" s="169"/>
      <c r="E68" s="168"/>
      <c r="F68" s="169"/>
      <c r="G68" s="170"/>
      <c r="H68" s="1"/>
      <c r="I68" s="1"/>
      <c r="J68" s="1"/>
      <c r="K68" s="1"/>
      <c r="L68" s="1"/>
      <c r="M68" s="331">
        <f>P68</f>
      </c>
      <c r="N68" s="335">
        <f>+IF(O68&lt;N67,O68,N67)</f>
      </c>
      <c r="O68" s="335">
        <f>+(O67-N67)*(1+$E$13)</f>
      </c>
      <c r="P68" s="332">
        <v>63</v>
      </c>
      <c r="Q68" s="1"/>
      <c r="R68" s="331">
        <f>U68</f>
      </c>
      <c r="S68" s="335">
        <f>+IF(T68&lt;S67,T68,S67)</f>
      </c>
      <c r="T68" s="335">
        <f>+(T67-S67)*(1+$E$14)</f>
      </c>
      <c r="U68" s="332">
        <v>63</v>
      </c>
      <c r="V68" s="1"/>
      <c r="W68" s="331">
        <f>Z68</f>
      </c>
      <c r="X68" s="336">
        <f>+IF(Y68&lt;X67,Y68,X67)</f>
      </c>
      <c r="Y68" s="337">
        <f>+(Y67-X67)*(1+$E$15)</f>
      </c>
      <c r="Z68" s="332">
        <v>63</v>
      </c>
      <c r="AA68" s="1"/>
      <c r="AB68" s="331">
        <f>AE68</f>
      </c>
      <c r="AC68" s="336">
        <f>+IF(AD68&lt;AC67,AD68,AC67)</f>
      </c>
      <c r="AD68" s="337">
        <f>+(AD67-AC67)*(1+$E$16)</f>
      </c>
      <c r="AE68" s="332">
        <v>63</v>
      </c>
    </row>
    <row x14ac:dyDescent="0.25" r="69" customHeight="1" ht="18.75">
      <c r="A69" s="1"/>
      <c r="B69" s="1"/>
      <c r="C69" s="169"/>
      <c r="D69" s="169"/>
      <c r="E69" s="168"/>
      <c r="F69" s="169"/>
      <c r="G69" s="170"/>
      <c r="H69" s="1"/>
      <c r="I69" s="1"/>
      <c r="J69" s="1"/>
      <c r="K69" s="1"/>
      <c r="L69" s="1"/>
      <c r="M69" s="331">
        <f>P69</f>
      </c>
      <c r="N69" s="335">
        <f>+IF(O69&lt;N68,O69,N68)</f>
      </c>
      <c r="O69" s="335">
        <f>+(O68-N68)*(1+$E$13)</f>
      </c>
      <c r="P69" s="332">
        <v>64</v>
      </c>
      <c r="Q69" s="1"/>
      <c r="R69" s="331">
        <f>U69</f>
      </c>
      <c r="S69" s="335">
        <f>+IF(T69&lt;S68,T69,S68)</f>
      </c>
      <c r="T69" s="335">
        <f>+(T68-S68)*(1+$E$14)</f>
      </c>
      <c r="U69" s="332">
        <v>64</v>
      </c>
      <c r="V69" s="1"/>
      <c r="W69" s="331">
        <f>Z69</f>
      </c>
      <c r="X69" s="336">
        <f>+IF(Y69&lt;X68,Y69,X68)</f>
      </c>
      <c r="Y69" s="337">
        <f>+(Y68-X68)*(1+$E$15)</f>
      </c>
      <c r="Z69" s="332">
        <v>64</v>
      </c>
      <c r="AA69" s="1"/>
      <c r="AB69" s="331">
        <f>AE69</f>
      </c>
      <c r="AC69" s="336">
        <f>+IF(AD69&lt;AC68,AD69,AC68)</f>
      </c>
      <c r="AD69" s="337">
        <f>+(AD68-AC68)*(1+$E$16)</f>
      </c>
      <c r="AE69" s="332">
        <v>64</v>
      </c>
    </row>
    <row x14ac:dyDescent="0.25" r="70" customHeight="1" ht="18.75">
      <c r="A70" s="1"/>
      <c r="B70" s="1"/>
      <c r="C70" s="169"/>
      <c r="D70" s="169"/>
      <c r="E70" s="168"/>
      <c r="F70" s="169"/>
      <c r="G70" s="170"/>
      <c r="H70" s="1"/>
      <c r="I70" s="1"/>
      <c r="J70" s="1"/>
      <c r="K70" s="1"/>
      <c r="L70" s="1"/>
      <c r="M70" s="331">
        <f>P70</f>
      </c>
      <c r="N70" s="335">
        <f>+IF(O70&lt;N69,O70,N69)</f>
      </c>
      <c r="O70" s="335">
        <f>+(O69-N69)*(1+$E$13)</f>
      </c>
      <c r="P70" s="332">
        <v>65</v>
      </c>
      <c r="Q70" s="1"/>
      <c r="R70" s="331">
        <f>U70</f>
      </c>
      <c r="S70" s="335">
        <f>+IF(T70&lt;S69,T70,S69)</f>
      </c>
      <c r="T70" s="335">
        <f>+(T69-S69)*(1+$E$14)</f>
      </c>
      <c r="U70" s="332">
        <v>65</v>
      </c>
      <c r="V70" s="1"/>
      <c r="W70" s="331">
        <f>Z70</f>
      </c>
      <c r="X70" s="336">
        <f>+IF(Y70&lt;X69,Y70,X69)</f>
      </c>
      <c r="Y70" s="337">
        <f>+(Y69-X69)*(1+$E$15)</f>
      </c>
      <c r="Z70" s="332">
        <v>65</v>
      </c>
      <c r="AA70" s="1"/>
      <c r="AB70" s="331">
        <f>AE70</f>
      </c>
      <c r="AC70" s="336">
        <f>+IF(AD70&lt;AC69,AD70,AC69)</f>
      </c>
      <c r="AD70" s="337">
        <f>+(AD69-AC69)*(1+$E$16)</f>
      </c>
      <c r="AE70" s="332">
        <v>65</v>
      </c>
    </row>
    <row x14ac:dyDescent="0.25" r="71" customHeight="1" ht="18.75">
      <c r="A71" s="1"/>
      <c r="B71" s="1"/>
      <c r="C71" s="169"/>
      <c r="D71" s="169"/>
      <c r="E71" s="168"/>
      <c r="F71" s="169"/>
      <c r="G71" s="170"/>
      <c r="H71" s="1"/>
      <c r="I71" s="1"/>
      <c r="J71" s="1"/>
      <c r="K71" s="1"/>
      <c r="L71" s="1"/>
      <c r="M71" s="331">
        <f>P71</f>
      </c>
      <c r="N71" s="335">
        <f>+IF(O71&lt;N70,O71,N70)</f>
      </c>
      <c r="O71" s="335">
        <f>+(O70-N70)*(1+$E$13)</f>
      </c>
      <c r="P71" s="332">
        <v>66</v>
      </c>
      <c r="Q71" s="1"/>
      <c r="R71" s="331">
        <f>U71</f>
      </c>
      <c r="S71" s="335">
        <f>+IF(T71&lt;S70,T71,S70)</f>
      </c>
      <c r="T71" s="335">
        <f>+(T70-S70)*(1+$E$14)</f>
      </c>
      <c r="U71" s="332">
        <v>66</v>
      </c>
      <c r="V71" s="1"/>
      <c r="W71" s="331">
        <f>Z71</f>
      </c>
      <c r="X71" s="336">
        <f>+IF(Y71&lt;X70,Y71,X70)</f>
      </c>
      <c r="Y71" s="337">
        <f>+(Y70-X70)*(1+$E$15)</f>
      </c>
      <c r="Z71" s="332">
        <v>66</v>
      </c>
      <c r="AA71" s="1"/>
      <c r="AB71" s="331">
        <f>AE71</f>
      </c>
      <c r="AC71" s="336">
        <f>+IF(AD71&lt;AC70,AD71,AC70)</f>
      </c>
      <c r="AD71" s="337">
        <f>+(AD70-AC70)*(1+$E$16)</f>
      </c>
      <c r="AE71" s="332">
        <v>66</v>
      </c>
    </row>
    <row x14ac:dyDescent="0.25" r="72" customHeight="1" ht="18.75">
      <c r="A72" s="1"/>
      <c r="B72" s="1"/>
      <c r="C72" s="169"/>
      <c r="D72" s="169"/>
      <c r="E72" s="168"/>
      <c r="F72" s="169"/>
      <c r="G72" s="170"/>
      <c r="H72" s="1"/>
      <c r="I72" s="1"/>
      <c r="J72" s="1"/>
      <c r="K72" s="1"/>
      <c r="L72" s="1"/>
      <c r="M72" s="331">
        <f>P72</f>
      </c>
      <c r="N72" s="335">
        <f>+IF(O72&lt;N71,O72,N71)</f>
      </c>
      <c r="O72" s="335">
        <f>+(O71-N71)*(1+$E$13)</f>
      </c>
      <c r="P72" s="332">
        <v>67</v>
      </c>
      <c r="Q72" s="1"/>
      <c r="R72" s="331">
        <f>U72</f>
      </c>
      <c r="S72" s="335">
        <f>+IF(T72&lt;S71,T72,S71)</f>
      </c>
      <c r="T72" s="335">
        <f>+(T71-S71)*(1+$E$14)</f>
      </c>
      <c r="U72" s="332">
        <v>67</v>
      </c>
      <c r="V72" s="1"/>
      <c r="W72" s="331">
        <f>Z72</f>
      </c>
      <c r="X72" s="336">
        <f>+IF(Y72&lt;X71,Y72,X71)</f>
      </c>
      <c r="Y72" s="337">
        <f>+(Y71-X71)*(1+$E$15)</f>
      </c>
      <c r="Z72" s="332">
        <v>67</v>
      </c>
      <c r="AA72" s="1"/>
      <c r="AB72" s="331">
        <f>AE72</f>
      </c>
      <c r="AC72" s="336">
        <f>+IF(AD72&lt;AC71,AD72,AC71)</f>
      </c>
      <c r="AD72" s="337">
        <f>+(AD71-AC71)*(1+$E$16)</f>
      </c>
      <c r="AE72" s="332">
        <v>67</v>
      </c>
    </row>
    <row x14ac:dyDescent="0.25" r="73" customHeight="1" ht="18.75">
      <c r="A73" s="1"/>
      <c r="B73" s="1"/>
      <c r="C73" s="169"/>
      <c r="D73" s="169"/>
      <c r="E73" s="168"/>
      <c r="F73" s="169"/>
      <c r="G73" s="170"/>
      <c r="H73" s="1"/>
      <c r="I73" s="1"/>
      <c r="J73" s="1"/>
      <c r="K73" s="1"/>
      <c r="L73" s="1"/>
      <c r="M73" s="331">
        <f>P73</f>
      </c>
      <c r="N73" s="335">
        <f>+IF(O73&lt;N72,O73,N72)</f>
      </c>
      <c r="O73" s="335">
        <f>+(O72-N72)*(1+$E$13)</f>
      </c>
      <c r="P73" s="332">
        <v>68</v>
      </c>
      <c r="Q73" s="1"/>
      <c r="R73" s="331">
        <f>U73</f>
      </c>
      <c r="S73" s="335">
        <f>+IF(T73&lt;S72,T73,S72)</f>
      </c>
      <c r="T73" s="335">
        <f>+(T72-S72)*(1+$E$14)</f>
      </c>
      <c r="U73" s="332">
        <v>68</v>
      </c>
      <c r="V73" s="1"/>
      <c r="W73" s="331">
        <f>Z73</f>
      </c>
      <c r="X73" s="336">
        <f>+IF(Y73&lt;X72,Y73,X72)</f>
      </c>
      <c r="Y73" s="337">
        <f>+(Y72-X72)*(1+$E$15)</f>
      </c>
      <c r="Z73" s="332">
        <v>68</v>
      </c>
      <c r="AA73" s="1"/>
      <c r="AB73" s="331">
        <f>AE73</f>
      </c>
      <c r="AC73" s="336">
        <f>+IF(AD73&lt;AC72,AD73,AC72)</f>
      </c>
      <c r="AD73" s="337">
        <f>+(AD72-AC72)*(1+$E$16)</f>
      </c>
      <c r="AE73" s="332">
        <v>68</v>
      </c>
    </row>
    <row x14ac:dyDescent="0.25" r="74" customHeight="1" ht="18.75">
      <c r="A74" s="1"/>
      <c r="B74" s="1"/>
      <c r="C74" s="169"/>
      <c r="D74" s="169"/>
      <c r="E74" s="168"/>
      <c r="F74" s="169"/>
      <c r="G74" s="170"/>
      <c r="H74" s="1"/>
      <c r="I74" s="1"/>
      <c r="J74" s="1"/>
      <c r="K74" s="1"/>
      <c r="L74" s="1"/>
      <c r="M74" s="331">
        <f>P74</f>
      </c>
      <c r="N74" s="335">
        <f>+IF(O74&lt;N73,O74,N73)</f>
      </c>
      <c r="O74" s="335">
        <f>+(O73-N73)*(1+$E$13)</f>
      </c>
      <c r="P74" s="332">
        <v>69</v>
      </c>
      <c r="Q74" s="1"/>
      <c r="R74" s="331">
        <f>U74</f>
      </c>
      <c r="S74" s="335">
        <f>+IF(T74&lt;S73,T74,S73)</f>
      </c>
      <c r="T74" s="335">
        <f>+(T73-S73)*(1+$E$14)</f>
      </c>
      <c r="U74" s="332">
        <v>69</v>
      </c>
      <c r="V74" s="1"/>
      <c r="W74" s="331">
        <f>Z74</f>
      </c>
      <c r="X74" s="336">
        <f>+IF(Y74&lt;X73,Y74,X73)</f>
      </c>
      <c r="Y74" s="337">
        <f>+(Y73-X73)*(1+$E$15)</f>
      </c>
      <c r="Z74" s="332">
        <v>69</v>
      </c>
      <c r="AA74" s="1"/>
      <c r="AB74" s="331">
        <f>AE74</f>
      </c>
      <c r="AC74" s="336">
        <f>+IF(AD74&lt;AC73,AD74,AC73)</f>
      </c>
      <c r="AD74" s="337">
        <f>+(AD73-AC73)*(1+$E$16)</f>
      </c>
      <c r="AE74" s="332">
        <v>69</v>
      </c>
    </row>
    <row x14ac:dyDescent="0.25" r="75" customHeight="1" ht="18.75">
      <c r="A75" s="1"/>
      <c r="B75" s="1"/>
      <c r="C75" s="169"/>
      <c r="D75" s="169"/>
      <c r="E75" s="168"/>
      <c r="F75" s="169"/>
      <c r="G75" s="170"/>
      <c r="H75" s="1"/>
      <c r="I75" s="1"/>
      <c r="J75" s="1"/>
      <c r="K75" s="1"/>
      <c r="L75" s="1"/>
      <c r="M75" s="331">
        <f>P75</f>
      </c>
      <c r="N75" s="335">
        <f>+IF(O75&lt;N74,O75,N74)</f>
      </c>
      <c r="O75" s="335">
        <f>+(O74-N74)*(1+$E$13)</f>
      </c>
      <c r="P75" s="332">
        <v>70</v>
      </c>
      <c r="Q75" s="1"/>
      <c r="R75" s="331">
        <f>U75</f>
      </c>
      <c r="S75" s="335">
        <f>+IF(T75&lt;S74,T75,S74)</f>
      </c>
      <c r="T75" s="335">
        <f>+(T74-S74)*(1+$E$14)</f>
      </c>
      <c r="U75" s="332">
        <v>70</v>
      </c>
      <c r="V75" s="1"/>
      <c r="W75" s="331">
        <f>Z75</f>
      </c>
      <c r="X75" s="336">
        <f>+IF(Y75&lt;X74,Y75,X74)</f>
      </c>
      <c r="Y75" s="337">
        <f>+(Y74-X74)*(1+$E$15)</f>
      </c>
      <c r="Z75" s="332">
        <v>70</v>
      </c>
      <c r="AA75" s="1"/>
      <c r="AB75" s="331">
        <f>AE75</f>
      </c>
      <c r="AC75" s="336">
        <f>+IF(AD75&lt;AC74,AD75,AC74)</f>
      </c>
      <c r="AD75" s="337">
        <f>+(AD74-AC74)*(1+$E$16)</f>
      </c>
      <c r="AE75" s="332">
        <v>70</v>
      </c>
    </row>
    <row x14ac:dyDescent="0.25" r="76" customHeight="1" ht="18.75">
      <c r="A76" s="1"/>
      <c r="B76" s="1"/>
      <c r="C76" s="169"/>
      <c r="D76" s="169"/>
      <c r="E76" s="168"/>
      <c r="F76" s="169"/>
      <c r="G76" s="170"/>
      <c r="H76" s="1"/>
      <c r="I76" s="1"/>
      <c r="J76" s="1"/>
      <c r="K76" s="1"/>
      <c r="L76" s="1"/>
      <c r="M76" s="331">
        <f>P76</f>
      </c>
      <c r="N76" s="335">
        <f>+IF(O76&lt;N75,O76,N75)</f>
      </c>
      <c r="O76" s="335">
        <f>+(O75-N75)*(1+$E$13)</f>
      </c>
      <c r="P76" s="332">
        <v>71</v>
      </c>
      <c r="Q76" s="1"/>
      <c r="R76" s="331">
        <f>U76</f>
      </c>
      <c r="S76" s="335">
        <f>+IF(T76&lt;S75,T76,S75)</f>
      </c>
      <c r="T76" s="335">
        <f>+(T75-S75)*(1+$E$14)</f>
      </c>
      <c r="U76" s="332">
        <v>71</v>
      </c>
      <c r="V76" s="1"/>
      <c r="W76" s="331">
        <f>Z76</f>
      </c>
      <c r="X76" s="336">
        <f>+IF(Y76&lt;X75,Y76,X75)</f>
      </c>
      <c r="Y76" s="337">
        <f>+(Y75-X75)*(1+$E$15)</f>
      </c>
      <c r="Z76" s="332">
        <v>71</v>
      </c>
      <c r="AA76" s="1"/>
      <c r="AB76" s="331">
        <f>AE76</f>
      </c>
      <c r="AC76" s="336">
        <f>+IF(AD76&lt;AC75,AD76,AC75)</f>
      </c>
      <c r="AD76" s="337">
        <f>+(AD75-AC75)*(1+$E$16)</f>
      </c>
      <c r="AE76" s="332">
        <v>71</v>
      </c>
    </row>
    <row x14ac:dyDescent="0.25" r="77" customHeight="1" ht="18.75">
      <c r="A77" s="1"/>
      <c r="B77" s="1"/>
      <c r="C77" s="169"/>
      <c r="D77" s="169"/>
      <c r="E77" s="168"/>
      <c r="F77" s="169"/>
      <c r="G77" s="170"/>
      <c r="H77" s="1"/>
      <c r="I77" s="1"/>
      <c r="J77" s="1"/>
      <c r="K77" s="1"/>
      <c r="L77" s="1"/>
      <c r="M77" s="331">
        <f>P77</f>
      </c>
      <c r="N77" s="335">
        <f>+IF(O77&lt;N76,O77,N76)</f>
      </c>
      <c r="O77" s="335">
        <f>+(O76-N76)*(1+$E$13)</f>
      </c>
      <c r="P77" s="332">
        <v>72</v>
      </c>
      <c r="Q77" s="1"/>
      <c r="R77" s="331">
        <f>U77</f>
      </c>
      <c r="S77" s="335">
        <f>+IF(T77&lt;S76,T77,S76)</f>
      </c>
      <c r="T77" s="335">
        <f>+(T76-S76)*(1+$E$14)</f>
      </c>
      <c r="U77" s="332">
        <v>72</v>
      </c>
      <c r="V77" s="1"/>
      <c r="W77" s="331">
        <f>Z77</f>
      </c>
      <c r="X77" s="336">
        <f>+IF(Y77&lt;X76,Y77,X76)</f>
      </c>
      <c r="Y77" s="337">
        <f>+(Y76-X76)*(1+$E$15)</f>
      </c>
      <c r="Z77" s="332">
        <v>72</v>
      </c>
      <c r="AA77" s="1"/>
      <c r="AB77" s="331">
        <f>AE77</f>
      </c>
      <c r="AC77" s="336">
        <f>+IF(AD77&lt;AC76,AD77,AC76)</f>
      </c>
      <c r="AD77" s="337">
        <f>+(AD76-AC76)*(1+$E$16)</f>
      </c>
      <c r="AE77" s="332">
        <v>72</v>
      </c>
    </row>
    <row x14ac:dyDescent="0.25" r="78" customHeight="1" ht="18.75">
      <c r="A78" s="1"/>
      <c r="B78" s="1"/>
      <c r="C78" s="169"/>
      <c r="D78" s="169"/>
      <c r="E78" s="168"/>
      <c r="F78" s="169"/>
      <c r="G78" s="170"/>
      <c r="H78" s="1"/>
      <c r="I78" s="1"/>
      <c r="J78" s="1"/>
      <c r="K78" s="1"/>
      <c r="L78" s="1"/>
      <c r="M78" s="331">
        <f>P78</f>
      </c>
      <c r="N78" s="335">
        <f>+IF(O78&lt;N77,O78,N77)</f>
      </c>
      <c r="O78" s="335">
        <f>+(O77-N77)*(1+$E$13)</f>
      </c>
      <c r="P78" s="332">
        <v>73</v>
      </c>
      <c r="Q78" s="1"/>
      <c r="R78" s="331">
        <f>U78</f>
      </c>
      <c r="S78" s="335">
        <f>+IF(T78&lt;S77,T78,S77)</f>
      </c>
      <c r="T78" s="335">
        <f>+(T77-S77)*(1+$E$14)</f>
      </c>
      <c r="U78" s="332">
        <v>73</v>
      </c>
      <c r="V78" s="1"/>
      <c r="W78" s="331">
        <f>Z78</f>
      </c>
      <c r="X78" s="336">
        <f>+IF(Y78&lt;X77,Y78,X77)</f>
      </c>
      <c r="Y78" s="337">
        <f>+(Y77-X77)*(1+$E$15)</f>
      </c>
      <c r="Z78" s="332">
        <v>73</v>
      </c>
      <c r="AA78" s="1"/>
      <c r="AB78" s="331">
        <f>AE78</f>
      </c>
      <c r="AC78" s="336">
        <f>+IF(AD78&lt;AC77,AD78,AC77)</f>
      </c>
      <c r="AD78" s="337">
        <f>+(AD77-AC77)*(1+$E$16)</f>
      </c>
      <c r="AE78" s="332">
        <v>73</v>
      </c>
    </row>
    <row x14ac:dyDescent="0.25" r="79" customHeight="1" ht="18.75">
      <c r="A79" s="1"/>
      <c r="B79" s="1"/>
      <c r="C79" s="169"/>
      <c r="D79" s="169"/>
      <c r="E79" s="168"/>
      <c r="F79" s="169"/>
      <c r="G79" s="170"/>
      <c r="H79" s="1"/>
      <c r="I79" s="1"/>
      <c r="J79" s="1"/>
      <c r="K79" s="1"/>
      <c r="L79" s="1"/>
      <c r="M79" s="331">
        <f>P79</f>
      </c>
      <c r="N79" s="335">
        <f>+IF(O79&lt;N78,O79,N78)</f>
      </c>
      <c r="O79" s="335">
        <f>+(O78-N78)*(1+$E$13)</f>
      </c>
      <c r="P79" s="332">
        <v>74</v>
      </c>
      <c r="Q79" s="1"/>
      <c r="R79" s="331">
        <f>U79</f>
      </c>
      <c r="S79" s="335">
        <f>+IF(T79&lt;S78,T79,S78)</f>
      </c>
      <c r="T79" s="335">
        <f>+(T78-S78)*(1+$E$14)</f>
      </c>
      <c r="U79" s="332">
        <v>74</v>
      </c>
      <c r="V79" s="1"/>
      <c r="W79" s="331">
        <f>Z79</f>
      </c>
      <c r="X79" s="336">
        <f>+IF(Y79&lt;X78,Y79,X78)</f>
      </c>
      <c r="Y79" s="337">
        <f>+(Y78-X78)*(1+$E$15)</f>
      </c>
      <c r="Z79" s="332">
        <v>74</v>
      </c>
      <c r="AA79" s="1"/>
      <c r="AB79" s="331">
        <f>AE79</f>
      </c>
      <c r="AC79" s="336">
        <f>+IF(AD79&lt;AC78,AD79,AC78)</f>
      </c>
      <c r="AD79" s="337">
        <f>+(AD78-AC78)*(1+$E$16)</f>
      </c>
      <c r="AE79" s="332">
        <v>74</v>
      </c>
    </row>
    <row x14ac:dyDescent="0.25" r="80" customHeight="1" ht="18.75">
      <c r="A80" s="1"/>
      <c r="B80" s="1"/>
      <c r="C80" s="169"/>
      <c r="D80" s="169"/>
      <c r="E80" s="168"/>
      <c r="F80" s="169"/>
      <c r="G80" s="170"/>
      <c r="H80" s="1"/>
      <c r="I80" s="1"/>
      <c r="J80" s="1"/>
      <c r="K80" s="1"/>
      <c r="L80" s="1"/>
      <c r="M80" s="331">
        <f>P80</f>
      </c>
      <c r="N80" s="335">
        <f>+IF(O80&lt;N79,O80,N79)</f>
      </c>
      <c r="O80" s="335">
        <f>+(O79-N79)*(1+$E$13)</f>
      </c>
      <c r="P80" s="332">
        <v>75</v>
      </c>
      <c r="Q80" s="1"/>
      <c r="R80" s="331">
        <f>U80</f>
      </c>
      <c r="S80" s="335">
        <f>+IF(T80&lt;S79,T80,S79)</f>
      </c>
      <c r="T80" s="335">
        <f>+(T79-S79)*(1+$E$14)</f>
      </c>
      <c r="U80" s="332">
        <v>75</v>
      </c>
      <c r="V80" s="1"/>
      <c r="W80" s="331">
        <f>Z80</f>
      </c>
      <c r="X80" s="336">
        <f>+IF(Y80&lt;X79,Y80,X79)</f>
      </c>
      <c r="Y80" s="337">
        <f>+(Y79-X79)*(1+$E$15)</f>
      </c>
      <c r="Z80" s="332">
        <v>75</v>
      </c>
      <c r="AA80" s="1"/>
      <c r="AB80" s="331">
        <f>AE80</f>
      </c>
      <c r="AC80" s="336">
        <f>+IF(AD80&lt;AC79,AD80,AC79)</f>
      </c>
      <c r="AD80" s="337">
        <f>+(AD79-AC79)*(1+$E$16)</f>
      </c>
      <c r="AE80" s="332">
        <v>75</v>
      </c>
    </row>
    <row x14ac:dyDescent="0.25" r="81" customHeight="1" ht="18.75">
      <c r="A81" s="1"/>
      <c r="B81" s="1"/>
      <c r="C81" s="169"/>
      <c r="D81" s="169"/>
      <c r="E81" s="168"/>
      <c r="F81" s="169"/>
      <c r="G81" s="170"/>
      <c r="H81" s="1"/>
      <c r="I81" s="1"/>
      <c r="J81" s="1"/>
      <c r="K81" s="1"/>
      <c r="L81" s="1"/>
      <c r="M81" s="331">
        <f>P81</f>
      </c>
      <c r="N81" s="335">
        <f>+IF(O81&lt;N80,O81,N80)</f>
      </c>
      <c r="O81" s="335">
        <f>+(O80-N80)*(1+$E$13)</f>
      </c>
      <c r="P81" s="332">
        <v>76</v>
      </c>
      <c r="Q81" s="1"/>
      <c r="R81" s="331">
        <f>U81</f>
      </c>
      <c r="S81" s="335">
        <f>+IF(T81&lt;S80,T81,S80)</f>
      </c>
      <c r="T81" s="335">
        <f>+(T80-S80)*(1+$E$14)</f>
      </c>
      <c r="U81" s="332">
        <v>76</v>
      </c>
      <c r="V81" s="1"/>
      <c r="W81" s="331">
        <f>Z81</f>
      </c>
      <c r="X81" s="336">
        <f>+IF(Y81&lt;X80,Y81,X80)</f>
      </c>
      <c r="Y81" s="337">
        <f>+(Y80-X80)*(1+$E$15)</f>
      </c>
      <c r="Z81" s="332">
        <v>76</v>
      </c>
      <c r="AA81" s="1"/>
      <c r="AB81" s="331">
        <f>AE81</f>
      </c>
      <c r="AC81" s="336">
        <f>+IF(AD81&lt;AC80,AD81,AC80)</f>
      </c>
      <c r="AD81" s="337">
        <f>+(AD80-AC80)*(1+$E$16)</f>
      </c>
      <c r="AE81" s="332">
        <v>76</v>
      </c>
    </row>
    <row x14ac:dyDescent="0.25" r="82" customHeight="1" ht="18.75">
      <c r="A82" s="1"/>
      <c r="B82" s="1"/>
      <c r="C82" s="169"/>
      <c r="D82" s="169"/>
      <c r="E82" s="168"/>
      <c r="F82" s="169"/>
      <c r="G82" s="170"/>
      <c r="H82" s="1"/>
      <c r="I82" s="1"/>
      <c r="J82" s="1"/>
      <c r="K82" s="1"/>
      <c r="L82" s="1"/>
      <c r="M82" s="331">
        <f>P82</f>
      </c>
      <c r="N82" s="335">
        <f>+IF(O82&lt;N81,O82,N81)</f>
      </c>
      <c r="O82" s="335">
        <f>+(O81-N81)*(1+$E$13)</f>
      </c>
      <c r="P82" s="332">
        <v>77</v>
      </c>
      <c r="Q82" s="1"/>
      <c r="R82" s="331">
        <f>U82</f>
      </c>
      <c r="S82" s="335">
        <f>+IF(T82&lt;S81,T82,S81)</f>
      </c>
      <c r="T82" s="335">
        <f>+(T81-S81)*(1+$E$14)</f>
      </c>
      <c r="U82" s="332">
        <v>77</v>
      </c>
      <c r="V82" s="1"/>
      <c r="W82" s="331">
        <f>Z82</f>
      </c>
      <c r="X82" s="336">
        <f>+IF(Y82&lt;X81,Y82,X81)</f>
      </c>
      <c r="Y82" s="337">
        <f>+(Y81-X81)*(1+$E$15)</f>
      </c>
      <c r="Z82" s="332">
        <v>77</v>
      </c>
      <c r="AA82" s="1"/>
      <c r="AB82" s="331">
        <f>AE82</f>
      </c>
      <c r="AC82" s="336">
        <f>+IF(AD82&lt;AC81,AD82,AC81)</f>
      </c>
      <c r="AD82" s="337">
        <f>+(AD81-AC81)*(1+$E$16)</f>
      </c>
      <c r="AE82" s="332">
        <v>77</v>
      </c>
    </row>
    <row x14ac:dyDescent="0.25" r="83" customHeight="1" ht="18.75">
      <c r="A83" s="1"/>
      <c r="B83" s="1"/>
      <c r="C83" s="169"/>
      <c r="D83" s="169"/>
      <c r="E83" s="168"/>
      <c r="F83" s="169"/>
      <c r="G83" s="170"/>
      <c r="H83" s="1"/>
      <c r="I83" s="1"/>
      <c r="J83" s="1"/>
      <c r="K83" s="1"/>
      <c r="L83" s="1"/>
      <c r="M83" s="331">
        <f>P83</f>
      </c>
      <c r="N83" s="335">
        <f>+IF(O83&lt;N82,O83,N82)</f>
      </c>
      <c r="O83" s="335">
        <f>+(O82-N82)*(1+$E$13)</f>
      </c>
      <c r="P83" s="332">
        <v>78</v>
      </c>
      <c r="Q83" s="1"/>
      <c r="R83" s="331">
        <f>U83</f>
      </c>
      <c r="S83" s="335">
        <f>+IF(T83&lt;S82,T83,S82)</f>
      </c>
      <c r="T83" s="335">
        <f>+(T82-S82)*(1+$E$14)</f>
      </c>
      <c r="U83" s="332">
        <v>78</v>
      </c>
      <c r="V83" s="1"/>
      <c r="W83" s="331">
        <f>Z83</f>
      </c>
      <c r="X83" s="336">
        <f>+IF(Y83&lt;X82,Y83,X82)</f>
      </c>
      <c r="Y83" s="337">
        <f>+(Y82-X82)*(1+$E$15)</f>
      </c>
      <c r="Z83" s="332">
        <v>78</v>
      </c>
      <c r="AA83" s="1"/>
      <c r="AB83" s="331">
        <f>AE83</f>
      </c>
      <c r="AC83" s="336">
        <f>+IF(AD83&lt;AC82,AD83,AC82)</f>
      </c>
      <c r="AD83" s="337">
        <f>+(AD82-AC82)*(1+$E$16)</f>
      </c>
      <c r="AE83" s="332">
        <v>78</v>
      </c>
    </row>
    <row x14ac:dyDescent="0.25" r="84" customHeight="1" ht="18.75">
      <c r="A84" s="1"/>
      <c r="B84" s="1"/>
      <c r="C84" s="169"/>
      <c r="D84" s="169"/>
      <c r="E84" s="168"/>
      <c r="F84" s="169"/>
      <c r="G84" s="170"/>
      <c r="H84" s="1"/>
      <c r="I84" s="1"/>
      <c r="J84" s="1"/>
      <c r="K84" s="1"/>
      <c r="L84" s="1"/>
      <c r="M84" s="331">
        <f>P84</f>
      </c>
      <c r="N84" s="335">
        <f>+IF(O84&lt;N83,O84,N83)</f>
      </c>
      <c r="O84" s="335">
        <f>+(O83-N83)*(1+$E$13)</f>
      </c>
      <c r="P84" s="332">
        <v>79</v>
      </c>
      <c r="Q84" s="1"/>
      <c r="R84" s="331">
        <f>U84</f>
      </c>
      <c r="S84" s="335">
        <f>+IF(T84&lt;S83,T84,S83)</f>
      </c>
      <c r="T84" s="335">
        <f>+(T83-S83)*(1+$E$14)</f>
      </c>
      <c r="U84" s="332">
        <v>79</v>
      </c>
      <c r="V84" s="1"/>
      <c r="W84" s="331">
        <f>Z84</f>
      </c>
      <c r="X84" s="336">
        <f>+IF(Y84&lt;X83,Y84,X83)</f>
      </c>
      <c r="Y84" s="337">
        <f>+(Y83-X83)*(1+$E$15)</f>
      </c>
      <c r="Z84" s="332">
        <v>79</v>
      </c>
      <c r="AA84" s="1"/>
      <c r="AB84" s="331">
        <f>AE84</f>
      </c>
      <c r="AC84" s="336">
        <f>+IF(AD84&lt;AC83,AD84,AC83)</f>
      </c>
      <c r="AD84" s="337">
        <f>+(AD83-AC83)*(1+$E$16)</f>
      </c>
      <c r="AE84" s="332">
        <v>79</v>
      </c>
    </row>
    <row x14ac:dyDescent="0.25" r="85" customHeight="1" ht="18.75">
      <c r="A85" s="1"/>
      <c r="B85" s="1"/>
      <c r="C85" s="169"/>
      <c r="D85" s="169"/>
      <c r="E85" s="168"/>
      <c r="F85" s="169"/>
      <c r="G85" s="170"/>
      <c r="H85" s="1"/>
      <c r="I85" s="1"/>
      <c r="J85" s="1"/>
      <c r="K85" s="1"/>
      <c r="L85" s="1"/>
      <c r="M85" s="331">
        <f>P85</f>
      </c>
      <c r="N85" s="335">
        <f>+IF(O85&lt;N84,O85,N84)</f>
      </c>
      <c r="O85" s="335">
        <f>+(O84-N84)*(1+$E$13)</f>
      </c>
      <c r="P85" s="332">
        <v>80</v>
      </c>
      <c r="Q85" s="1"/>
      <c r="R85" s="331">
        <f>U85</f>
      </c>
      <c r="S85" s="335">
        <f>+IF(T85&lt;S84,T85,S84)</f>
      </c>
      <c r="T85" s="335">
        <f>+(T84-S84)*(1+$E$14)</f>
      </c>
      <c r="U85" s="332">
        <v>80</v>
      </c>
      <c r="V85" s="1"/>
      <c r="W85" s="331">
        <f>Z85</f>
      </c>
      <c r="X85" s="336">
        <f>+IF(Y85&lt;X84,Y85,X84)</f>
      </c>
      <c r="Y85" s="337">
        <f>+(Y84-X84)*(1+$E$15)</f>
      </c>
      <c r="Z85" s="332">
        <v>80</v>
      </c>
      <c r="AA85" s="1"/>
      <c r="AB85" s="331">
        <f>AE85</f>
      </c>
      <c r="AC85" s="336">
        <f>+IF(AD85&lt;AC84,AD85,AC84)</f>
      </c>
      <c r="AD85" s="337">
        <f>+(AD84-AC84)*(1+$E$16)</f>
      </c>
      <c r="AE85" s="332">
        <v>80</v>
      </c>
    </row>
    <row x14ac:dyDescent="0.25" r="86" customHeight="1" ht="18.75">
      <c r="A86" s="1"/>
      <c r="B86" s="1"/>
      <c r="C86" s="169"/>
      <c r="D86" s="169"/>
      <c r="E86" s="168"/>
      <c r="F86" s="169"/>
      <c r="G86" s="170"/>
      <c r="H86" s="1"/>
      <c r="I86" s="1"/>
      <c r="J86" s="1"/>
      <c r="K86" s="1"/>
      <c r="L86" s="1"/>
      <c r="M86" s="331">
        <f>P86</f>
      </c>
      <c r="N86" s="335">
        <f>+IF(O86&lt;N85,O86,N85)</f>
      </c>
      <c r="O86" s="335">
        <f>+(O85-N85)*(1+$E$13)</f>
      </c>
      <c r="P86" s="332">
        <v>81</v>
      </c>
      <c r="Q86" s="1"/>
      <c r="R86" s="331">
        <f>U86</f>
      </c>
      <c r="S86" s="335">
        <f>+IF(T86&lt;S85,T86,S85)</f>
      </c>
      <c r="T86" s="335">
        <f>+(T85-S85)*(1+$E$14)</f>
      </c>
      <c r="U86" s="332">
        <v>81</v>
      </c>
      <c r="V86" s="1"/>
      <c r="W86" s="331">
        <f>Z86</f>
      </c>
      <c r="X86" s="336">
        <f>+IF(Y86&lt;X85,Y86,X85)</f>
      </c>
      <c r="Y86" s="337">
        <f>+(Y85-X85)*(1+$E$15)</f>
      </c>
      <c r="Z86" s="332">
        <v>81</v>
      </c>
      <c r="AA86" s="1"/>
      <c r="AB86" s="331">
        <f>AE86</f>
      </c>
      <c r="AC86" s="336">
        <f>+IF(AD86&lt;AC85,AD86,AC85)</f>
      </c>
      <c r="AD86" s="337">
        <f>+(AD85-AC85)*(1+$E$16)</f>
      </c>
      <c r="AE86" s="332">
        <v>81</v>
      </c>
    </row>
    <row x14ac:dyDescent="0.25" r="87" customHeight="1" ht="18.75">
      <c r="A87" s="1"/>
      <c r="B87" s="1"/>
      <c r="C87" s="169"/>
      <c r="D87" s="169"/>
      <c r="E87" s="168"/>
      <c r="F87" s="169"/>
      <c r="G87" s="170"/>
      <c r="H87" s="1"/>
      <c r="I87" s="1"/>
      <c r="J87" s="1"/>
      <c r="K87" s="1"/>
      <c r="L87" s="1"/>
      <c r="M87" s="331">
        <f>P87</f>
      </c>
      <c r="N87" s="335">
        <f>+IF(O87&lt;N86,O87,N86)</f>
      </c>
      <c r="O87" s="335">
        <f>+(O86-N86)*(1+$E$13)</f>
      </c>
      <c r="P87" s="332">
        <v>82</v>
      </c>
      <c r="Q87" s="1"/>
      <c r="R87" s="331">
        <f>U87</f>
      </c>
      <c r="S87" s="335">
        <f>+IF(T87&lt;S86,T87,S86)</f>
      </c>
      <c r="T87" s="335">
        <f>+(T86-S86)*(1+$E$14)</f>
      </c>
      <c r="U87" s="332">
        <v>82</v>
      </c>
      <c r="V87" s="1"/>
      <c r="W87" s="331">
        <f>Z87</f>
      </c>
      <c r="X87" s="336">
        <f>+IF(Y87&lt;X86,Y87,X86)</f>
      </c>
      <c r="Y87" s="337">
        <f>+(Y86-X86)*(1+$E$15)</f>
      </c>
      <c r="Z87" s="332">
        <v>82</v>
      </c>
      <c r="AA87" s="1"/>
      <c r="AB87" s="331">
        <f>AE87</f>
      </c>
      <c r="AC87" s="336">
        <f>+IF(AD87&lt;AC86,AD87,AC86)</f>
      </c>
      <c r="AD87" s="337">
        <f>+(AD86-AC86)*(1+$E$16)</f>
      </c>
      <c r="AE87" s="332">
        <v>82</v>
      </c>
    </row>
    <row x14ac:dyDescent="0.25" r="88" customHeight="1" ht="18.75">
      <c r="A88" s="1"/>
      <c r="B88" s="1"/>
      <c r="C88" s="169"/>
      <c r="D88" s="169"/>
      <c r="E88" s="168"/>
      <c r="F88" s="169"/>
      <c r="G88" s="170"/>
      <c r="H88" s="1"/>
      <c r="I88" s="1"/>
      <c r="J88" s="1"/>
      <c r="K88" s="1"/>
      <c r="L88" s="1"/>
      <c r="M88" s="331">
        <f>P88</f>
      </c>
      <c r="N88" s="335">
        <f>+IF(O88&lt;N87,O88,N87)</f>
      </c>
      <c r="O88" s="335">
        <f>+(O87-N87)*(1+$E$13)</f>
      </c>
      <c r="P88" s="332">
        <v>83</v>
      </c>
      <c r="Q88" s="1"/>
      <c r="R88" s="331">
        <f>U88</f>
      </c>
      <c r="S88" s="335">
        <f>+IF(T88&lt;S87,T88,S87)</f>
      </c>
      <c r="T88" s="335">
        <f>+(T87-S87)*(1+$E$14)</f>
      </c>
      <c r="U88" s="332">
        <v>83</v>
      </c>
      <c r="V88" s="1"/>
      <c r="W88" s="331">
        <f>Z88</f>
      </c>
      <c r="X88" s="336">
        <f>+IF(Y88&lt;X87,Y88,X87)</f>
      </c>
      <c r="Y88" s="337">
        <f>+(Y87-X87)*(1+$E$15)</f>
      </c>
      <c r="Z88" s="332">
        <v>83</v>
      </c>
      <c r="AA88" s="1"/>
      <c r="AB88" s="331">
        <f>AE88</f>
      </c>
      <c r="AC88" s="336">
        <f>+IF(AD88&lt;AC87,AD88,AC87)</f>
      </c>
      <c r="AD88" s="337">
        <f>+(AD87-AC87)*(1+$E$16)</f>
      </c>
      <c r="AE88" s="332">
        <v>83</v>
      </c>
    </row>
    <row x14ac:dyDescent="0.25" r="89" customHeight="1" ht="18.75">
      <c r="A89" s="1"/>
      <c r="B89" s="1"/>
      <c r="C89" s="169"/>
      <c r="D89" s="169"/>
      <c r="E89" s="168"/>
      <c r="F89" s="169"/>
      <c r="G89" s="170"/>
      <c r="H89" s="1"/>
      <c r="I89" s="1"/>
      <c r="J89" s="1"/>
      <c r="K89" s="1"/>
      <c r="L89" s="1"/>
      <c r="M89" s="331">
        <f>P89</f>
      </c>
      <c r="N89" s="335">
        <f>+IF(O89&lt;N88,O89,N88)</f>
      </c>
      <c r="O89" s="335">
        <f>+(O88-N88)*(1+$E$13)</f>
      </c>
      <c r="P89" s="332">
        <v>84</v>
      </c>
      <c r="Q89" s="1"/>
      <c r="R89" s="331">
        <f>U89</f>
      </c>
      <c r="S89" s="335">
        <f>+IF(T89&lt;S88,T89,S88)</f>
      </c>
      <c r="T89" s="335">
        <f>+(T88-S88)*(1+$E$14)</f>
      </c>
      <c r="U89" s="332">
        <v>84</v>
      </c>
      <c r="V89" s="1"/>
      <c r="W89" s="331">
        <f>Z89</f>
      </c>
      <c r="X89" s="336">
        <f>+IF(Y89&lt;X88,Y89,X88)</f>
      </c>
      <c r="Y89" s="337">
        <f>+(Y88-X88)*(1+$E$15)</f>
      </c>
      <c r="Z89" s="332">
        <v>84</v>
      </c>
      <c r="AA89" s="1"/>
      <c r="AB89" s="331">
        <f>AE89</f>
      </c>
      <c r="AC89" s="336">
        <f>+IF(AD89&lt;AC88,AD89,AC88)</f>
      </c>
      <c r="AD89" s="337">
        <f>+(AD88-AC88)*(1+$E$16)</f>
      </c>
      <c r="AE89" s="332">
        <v>84</v>
      </c>
    </row>
    <row x14ac:dyDescent="0.25" r="90" customHeight="1" ht="18.75">
      <c r="A90" s="1"/>
      <c r="B90" s="1"/>
      <c r="C90" s="169"/>
      <c r="D90" s="169"/>
      <c r="E90" s="168"/>
      <c r="F90" s="169"/>
      <c r="G90" s="170"/>
      <c r="H90" s="1"/>
      <c r="I90" s="1"/>
      <c r="J90" s="1"/>
      <c r="K90" s="1"/>
      <c r="L90" s="1"/>
      <c r="M90" s="331">
        <f>P90</f>
      </c>
      <c r="N90" s="335">
        <f>+IF(O90&lt;N89,O90,N89)</f>
      </c>
      <c r="O90" s="335">
        <f>+(O89-N89)*(1+$E$13)</f>
      </c>
      <c r="P90" s="332">
        <v>85</v>
      </c>
      <c r="Q90" s="1"/>
      <c r="R90" s="331">
        <f>U90</f>
      </c>
      <c r="S90" s="335">
        <f>+IF(T90&lt;S89,T90,S89)</f>
      </c>
      <c r="T90" s="335">
        <f>+(T89-S89)*(1+$E$14)</f>
      </c>
      <c r="U90" s="332">
        <v>85</v>
      </c>
      <c r="V90" s="1"/>
      <c r="W90" s="331">
        <f>Z90</f>
      </c>
      <c r="X90" s="336">
        <f>+IF(Y90&lt;X89,Y90,X89)</f>
      </c>
      <c r="Y90" s="337">
        <f>+(Y89-X89)*(1+$E$15)</f>
      </c>
      <c r="Z90" s="332">
        <v>85</v>
      </c>
      <c r="AA90" s="1"/>
      <c r="AB90" s="331">
        <f>AE90</f>
      </c>
      <c r="AC90" s="336">
        <f>+IF(AD90&lt;AC89,AD90,AC89)</f>
      </c>
      <c r="AD90" s="337">
        <f>+(AD89-AC89)*(1+$E$16)</f>
      </c>
      <c r="AE90" s="332">
        <v>85</v>
      </c>
    </row>
    <row x14ac:dyDescent="0.25" r="91" customHeight="1" ht="18.75">
      <c r="A91" s="1"/>
      <c r="B91" s="1"/>
      <c r="C91" s="169"/>
      <c r="D91" s="169"/>
      <c r="E91" s="168"/>
      <c r="F91" s="169"/>
      <c r="G91" s="170"/>
      <c r="H91" s="1"/>
      <c r="I91" s="1"/>
      <c r="J91" s="1"/>
      <c r="K91" s="1"/>
      <c r="L91" s="1"/>
      <c r="M91" s="331">
        <f>P91</f>
      </c>
      <c r="N91" s="335">
        <f>+IF(O91&lt;N90,O91,N90)</f>
      </c>
      <c r="O91" s="335">
        <f>+(O90-N90)*(1+$E$13)</f>
      </c>
      <c r="P91" s="332">
        <v>86</v>
      </c>
      <c r="Q91" s="1"/>
      <c r="R91" s="331">
        <f>U91</f>
      </c>
      <c r="S91" s="335">
        <f>+IF(T91&lt;S90,T91,S90)</f>
      </c>
      <c r="T91" s="335">
        <f>+(T90-S90)*(1+$E$14)</f>
      </c>
      <c r="U91" s="332">
        <v>86</v>
      </c>
      <c r="V91" s="1"/>
      <c r="W91" s="331">
        <f>Z91</f>
      </c>
      <c r="X91" s="336">
        <f>+IF(Y91&lt;X90,Y91,X90)</f>
      </c>
      <c r="Y91" s="337">
        <f>+(Y90-X90)*(1+$E$15)</f>
      </c>
      <c r="Z91" s="332">
        <v>86</v>
      </c>
      <c r="AA91" s="1"/>
      <c r="AB91" s="331">
        <f>AE91</f>
      </c>
      <c r="AC91" s="336">
        <f>+IF(AD91&lt;AC90,AD91,AC90)</f>
      </c>
      <c r="AD91" s="337">
        <f>+(AD90-AC90)*(1+$E$16)</f>
      </c>
      <c r="AE91" s="332">
        <v>86</v>
      </c>
    </row>
    <row x14ac:dyDescent="0.25" r="92" customHeight="1" ht="18.75">
      <c r="A92" s="1"/>
      <c r="B92" s="1"/>
      <c r="C92" s="169"/>
      <c r="D92" s="169"/>
      <c r="E92" s="168"/>
      <c r="F92" s="169"/>
      <c r="G92" s="170"/>
      <c r="H92" s="1"/>
      <c r="I92" s="1"/>
      <c r="J92" s="1"/>
      <c r="K92" s="1"/>
      <c r="L92" s="1"/>
      <c r="M92" s="331">
        <f>P92</f>
      </c>
      <c r="N92" s="335">
        <f>+IF(O92&lt;N91,O92,N91)</f>
      </c>
      <c r="O92" s="335">
        <f>+(O91-N91)*(1+$E$13)</f>
      </c>
      <c r="P92" s="332">
        <v>87</v>
      </c>
      <c r="Q92" s="1"/>
      <c r="R92" s="331">
        <f>U92</f>
      </c>
      <c r="S92" s="335">
        <f>+IF(T92&lt;S91,T92,S91)</f>
      </c>
      <c r="T92" s="335">
        <f>+(T91-S91)*(1+$E$14)</f>
      </c>
      <c r="U92" s="332">
        <v>87</v>
      </c>
      <c r="V92" s="1"/>
      <c r="W92" s="331">
        <f>Z92</f>
      </c>
      <c r="X92" s="336">
        <f>+IF(Y92&lt;X91,Y92,X91)</f>
      </c>
      <c r="Y92" s="337">
        <f>+(Y91-X91)*(1+$E$15)</f>
      </c>
      <c r="Z92" s="332">
        <v>87</v>
      </c>
      <c r="AA92" s="1"/>
      <c r="AB92" s="331">
        <f>AE92</f>
      </c>
      <c r="AC92" s="336">
        <f>+IF(AD92&lt;AC91,AD92,AC91)</f>
      </c>
      <c r="AD92" s="337">
        <f>+(AD91-AC91)*(1+$E$16)</f>
      </c>
      <c r="AE92" s="332">
        <v>87</v>
      </c>
    </row>
    <row x14ac:dyDescent="0.25" r="93" customHeight="1" ht="18.75">
      <c r="A93" s="1"/>
      <c r="B93" s="1"/>
      <c r="C93" s="169"/>
      <c r="D93" s="169"/>
      <c r="E93" s="168"/>
      <c r="F93" s="169"/>
      <c r="G93" s="170"/>
      <c r="H93" s="1"/>
      <c r="I93" s="1"/>
      <c r="J93" s="1"/>
      <c r="K93" s="1"/>
      <c r="L93" s="1"/>
      <c r="M93" s="331">
        <f>P93</f>
      </c>
      <c r="N93" s="335">
        <f>+IF(O93&lt;N92,O93,N92)</f>
      </c>
      <c r="O93" s="335">
        <f>+(O92-N92)*(1+$E$13)</f>
      </c>
      <c r="P93" s="332">
        <v>88</v>
      </c>
      <c r="Q93" s="1"/>
      <c r="R93" s="331">
        <f>U93</f>
      </c>
      <c r="S93" s="335">
        <f>+IF(T93&lt;S92,T93,S92)</f>
      </c>
      <c r="T93" s="335">
        <f>+(T92-S92)*(1+$E$14)</f>
      </c>
      <c r="U93" s="332">
        <v>88</v>
      </c>
      <c r="V93" s="1"/>
      <c r="W93" s="331">
        <f>Z93</f>
      </c>
      <c r="X93" s="336">
        <f>+IF(Y93&lt;X92,Y93,X92)</f>
      </c>
      <c r="Y93" s="337">
        <f>+(Y92-X92)*(1+$E$15)</f>
      </c>
      <c r="Z93" s="332">
        <v>88</v>
      </c>
      <c r="AA93" s="1"/>
      <c r="AB93" s="331">
        <f>AE93</f>
      </c>
      <c r="AC93" s="336">
        <f>+IF(AD93&lt;AC92,AD93,AC92)</f>
      </c>
      <c r="AD93" s="337">
        <f>+(AD92-AC92)*(1+$E$16)</f>
      </c>
      <c r="AE93" s="332">
        <v>88</v>
      </c>
    </row>
    <row x14ac:dyDescent="0.25" r="94" customHeight="1" ht="18.75">
      <c r="A94" s="1"/>
      <c r="B94" s="1"/>
      <c r="C94" s="169"/>
      <c r="D94" s="169"/>
      <c r="E94" s="168"/>
      <c r="F94" s="169"/>
      <c r="G94" s="170"/>
      <c r="H94" s="1"/>
      <c r="I94" s="1"/>
      <c r="J94" s="1"/>
      <c r="K94" s="1"/>
      <c r="L94" s="1"/>
      <c r="M94" s="331">
        <f>P94</f>
      </c>
      <c r="N94" s="335">
        <f>+IF(O94&lt;N93,O94,N93)</f>
      </c>
      <c r="O94" s="335">
        <f>+(O93-N93)*(1+$E$13)</f>
      </c>
      <c r="P94" s="332">
        <v>89</v>
      </c>
      <c r="Q94" s="1"/>
      <c r="R94" s="331">
        <f>U94</f>
      </c>
      <c r="S94" s="335">
        <f>+IF(T94&lt;S93,T94,S93)</f>
      </c>
      <c r="T94" s="335">
        <f>+(T93-S93)*(1+$E$14)</f>
      </c>
      <c r="U94" s="332">
        <v>89</v>
      </c>
      <c r="V94" s="1"/>
      <c r="W94" s="331">
        <f>Z94</f>
      </c>
      <c r="X94" s="336">
        <f>+IF(Y94&lt;X93,Y94,X93)</f>
      </c>
      <c r="Y94" s="337">
        <f>+(Y93-X93)*(1+$E$15)</f>
      </c>
      <c r="Z94" s="332">
        <v>89</v>
      </c>
      <c r="AA94" s="1"/>
      <c r="AB94" s="331">
        <f>AE94</f>
      </c>
      <c r="AC94" s="336">
        <f>+IF(AD94&lt;AC93,AD94,AC93)</f>
      </c>
      <c r="AD94" s="337">
        <f>+(AD93-AC93)*(1+$E$16)</f>
      </c>
      <c r="AE94" s="332">
        <v>89</v>
      </c>
    </row>
    <row x14ac:dyDescent="0.25" r="95" customHeight="1" ht="18.75">
      <c r="A95" s="1"/>
      <c r="B95" s="1"/>
      <c r="C95" s="169"/>
      <c r="D95" s="169"/>
      <c r="E95" s="168"/>
      <c r="F95" s="169"/>
      <c r="G95" s="170"/>
      <c r="H95" s="1"/>
      <c r="I95" s="1"/>
      <c r="J95" s="1"/>
      <c r="K95" s="1"/>
      <c r="L95" s="1"/>
      <c r="M95" s="331">
        <f>P95</f>
      </c>
      <c r="N95" s="335">
        <f>+IF(O95&lt;N94,O95,N94)</f>
      </c>
      <c r="O95" s="335">
        <f>+(O94-N94)*(1+$E$13)</f>
      </c>
      <c r="P95" s="332">
        <v>90</v>
      </c>
      <c r="Q95" s="1"/>
      <c r="R95" s="331">
        <f>U95</f>
      </c>
      <c r="S95" s="335">
        <f>+IF(T95&lt;S94,T95,S94)</f>
      </c>
      <c r="T95" s="335">
        <f>+(T94-S94)*(1+$E$14)</f>
      </c>
      <c r="U95" s="332">
        <v>90</v>
      </c>
      <c r="V95" s="1"/>
      <c r="W95" s="331">
        <f>Z95</f>
      </c>
      <c r="X95" s="336">
        <f>+IF(Y95&lt;X94,Y95,X94)</f>
      </c>
      <c r="Y95" s="337">
        <f>+(Y94-X94)*(1+$E$15)</f>
      </c>
      <c r="Z95" s="332">
        <v>90</v>
      </c>
      <c r="AA95" s="1"/>
      <c r="AB95" s="331">
        <f>AE95</f>
      </c>
      <c r="AC95" s="336">
        <f>+IF(AD95&lt;AC94,AD95,AC94)</f>
      </c>
      <c r="AD95" s="337">
        <f>+(AD94-AC94)*(1+$E$16)</f>
      </c>
      <c r="AE95" s="332">
        <v>90</v>
      </c>
    </row>
    <row x14ac:dyDescent="0.25" r="96" customHeight="1" ht="18.75">
      <c r="A96" s="1"/>
      <c r="B96" s="1"/>
      <c r="C96" s="169"/>
      <c r="D96" s="169"/>
      <c r="E96" s="168"/>
      <c r="F96" s="169"/>
      <c r="G96" s="170"/>
      <c r="H96" s="1"/>
      <c r="I96" s="1"/>
      <c r="J96" s="1"/>
      <c r="K96" s="1"/>
      <c r="L96" s="1"/>
      <c r="M96" s="331">
        <f>P96</f>
      </c>
      <c r="N96" s="335">
        <f>+IF(O96&lt;N95,O96,N95)</f>
      </c>
      <c r="O96" s="335">
        <f>+(O95-N95)*(1+$E$13)</f>
      </c>
      <c r="P96" s="332">
        <v>91</v>
      </c>
      <c r="Q96" s="1"/>
      <c r="R96" s="331">
        <f>U96</f>
      </c>
      <c r="S96" s="335">
        <f>+IF(T96&lt;S95,T96,S95)</f>
      </c>
      <c r="T96" s="335">
        <f>+(T95-S95)*(1+$E$14)</f>
      </c>
      <c r="U96" s="332">
        <v>91</v>
      </c>
      <c r="V96" s="1"/>
      <c r="W96" s="331">
        <f>Z96</f>
      </c>
      <c r="X96" s="336">
        <f>+IF(Y96&lt;X95,Y96,X95)</f>
      </c>
      <c r="Y96" s="337">
        <f>+(Y95-X95)*(1+$E$15)</f>
      </c>
      <c r="Z96" s="332">
        <v>91</v>
      </c>
      <c r="AA96" s="1"/>
      <c r="AB96" s="331">
        <f>AE96</f>
      </c>
      <c r="AC96" s="336">
        <f>+IF(AD96&lt;AC95,AD96,AC95)</f>
      </c>
      <c r="AD96" s="337">
        <f>+(AD95-AC95)*(1+$E$16)</f>
      </c>
      <c r="AE96" s="332">
        <v>91</v>
      </c>
    </row>
    <row x14ac:dyDescent="0.25" r="97" customHeight="1" ht="18.75">
      <c r="A97" s="1"/>
      <c r="B97" s="1"/>
      <c r="C97" s="169"/>
      <c r="D97" s="169"/>
      <c r="E97" s="168"/>
      <c r="F97" s="169"/>
      <c r="G97" s="170"/>
      <c r="H97" s="1"/>
      <c r="I97" s="1"/>
      <c r="J97" s="1"/>
      <c r="K97" s="1"/>
      <c r="L97" s="1"/>
      <c r="M97" s="331">
        <f>P97</f>
      </c>
      <c r="N97" s="335">
        <f>+IF(O97&lt;N96,O97,N96)</f>
      </c>
      <c r="O97" s="335">
        <f>+(O96-N96)*(1+$E$13)</f>
      </c>
      <c r="P97" s="332">
        <v>92</v>
      </c>
      <c r="Q97" s="1"/>
      <c r="R97" s="331">
        <f>U97</f>
      </c>
      <c r="S97" s="335">
        <f>+IF(T97&lt;S96,T97,S96)</f>
      </c>
      <c r="T97" s="335">
        <f>+(T96-S96)*(1+$E$14)</f>
      </c>
      <c r="U97" s="332">
        <v>92</v>
      </c>
      <c r="V97" s="1"/>
      <c r="W97" s="331">
        <f>Z97</f>
      </c>
      <c r="X97" s="336">
        <f>+IF(Y97&lt;X96,Y97,X96)</f>
      </c>
      <c r="Y97" s="337">
        <f>+(Y96-X96)*(1+$E$15)</f>
      </c>
      <c r="Z97" s="332">
        <v>92</v>
      </c>
      <c r="AA97" s="1"/>
      <c r="AB97" s="331">
        <f>AE97</f>
      </c>
      <c r="AC97" s="336">
        <f>+IF(AD97&lt;AC96,AD97,AC96)</f>
      </c>
      <c r="AD97" s="337">
        <f>+(AD96-AC96)*(1+$E$16)</f>
      </c>
      <c r="AE97" s="332">
        <v>92</v>
      </c>
    </row>
    <row x14ac:dyDescent="0.25" r="98" customHeight="1" ht="18.75">
      <c r="A98" s="1"/>
      <c r="B98" s="1"/>
      <c r="C98" s="169"/>
      <c r="D98" s="169"/>
      <c r="E98" s="168"/>
      <c r="F98" s="169"/>
      <c r="G98" s="170"/>
      <c r="H98" s="1"/>
      <c r="I98" s="1"/>
      <c r="J98" s="1"/>
      <c r="K98" s="1"/>
      <c r="L98" s="1"/>
      <c r="M98" s="331">
        <f>P98</f>
      </c>
      <c r="N98" s="335">
        <f>+IF(O98&lt;N97,O98,N97)</f>
      </c>
      <c r="O98" s="335">
        <f>+(O97-N97)*(1+$E$13)</f>
      </c>
      <c r="P98" s="332">
        <v>93</v>
      </c>
      <c r="Q98" s="1"/>
      <c r="R98" s="331">
        <f>U98</f>
      </c>
      <c r="S98" s="335">
        <f>+IF(T98&lt;S97,T98,S97)</f>
      </c>
      <c r="T98" s="335">
        <f>+(T97-S97)*(1+$E$14)</f>
      </c>
      <c r="U98" s="332">
        <v>93</v>
      </c>
      <c r="V98" s="1"/>
      <c r="W98" s="331">
        <f>Z98</f>
      </c>
      <c r="X98" s="336">
        <f>+IF(Y98&lt;X97,Y98,X97)</f>
      </c>
      <c r="Y98" s="337">
        <f>+(Y97-X97)*(1+$E$15)</f>
      </c>
      <c r="Z98" s="332">
        <v>93</v>
      </c>
      <c r="AA98" s="1"/>
      <c r="AB98" s="331">
        <f>AE98</f>
      </c>
      <c r="AC98" s="336">
        <f>+IF(AD98&lt;AC97,AD98,AC97)</f>
      </c>
      <c r="AD98" s="337">
        <f>+(AD97-AC97)*(1+$E$16)</f>
      </c>
      <c r="AE98" s="332">
        <v>93</v>
      </c>
    </row>
    <row x14ac:dyDescent="0.25" r="99" customHeight="1" ht="18.75">
      <c r="A99" s="1"/>
      <c r="B99" s="1"/>
      <c r="C99" s="169"/>
      <c r="D99" s="169"/>
      <c r="E99" s="168"/>
      <c r="F99" s="169"/>
      <c r="G99" s="170"/>
      <c r="H99" s="1"/>
      <c r="I99" s="1"/>
      <c r="J99" s="1"/>
      <c r="K99" s="1"/>
      <c r="L99" s="1"/>
      <c r="M99" s="331">
        <f>P99</f>
      </c>
      <c r="N99" s="335">
        <f>+IF(O99&lt;N98,O99,N98)</f>
      </c>
      <c r="O99" s="335">
        <f>+(O98-N98)*(1+$E$13)</f>
      </c>
      <c r="P99" s="332">
        <v>94</v>
      </c>
      <c r="Q99" s="1"/>
      <c r="R99" s="331">
        <f>U99</f>
      </c>
      <c r="S99" s="335">
        <f>+IF(T99&lt;S98,T99,S98)</f>
      </c>
      <c r="T99" s="335">
        <f>+(T98-S98)*(1+$E$14)</f>
      </c>
      <c r="U99" s="332">
        <v>94</v>
      </c>
      <c r="V99" s="1"/>
      <c r="W99" s="331">
        <f>Z99</f>
      </c>
      <c r="X99" s="336">
        <f>+IF(Y99&lt;X98,Y99,X98)</f>
      </c>
      <c r="Y99" s="337">
        <f>+(Y98-X98)*(1+$E$15)</f>
      </c>
      <c r="Z99" s="332">
        <v>94</v>
      </c>
      <c r="AA99" s="1"/>
      <c r="AB99" s="331">
        <f>AE99</f>
      </c>
      <c r="AC99" s="336">
        <f>+IF(AD99&lt;AC98,AD99,AC98)</f>
      </c>
      <c r="AD99" s="337">
        <f>+(AD98-AC98)*(1+$E$16)</f>
      </c>
      <c r="AE99" s="332">
        <v>94</v>
      </c>
    </row>
    <row x14ac:dyDescent="0.25" r="100" customHeight="1" ht="18.75">
      <c r="A100" s="1"/>
      <c r="B100" s="1"/>
      <c r="C100" s="169"/>
      <c r="D100" s="169"/>
      <c r="E100" s="168"/>
      <c r="F100" s="169"/>
      <c r="G100" s="170"/>
      <c r="H100" s="1"/>
      <c r="I100" s="1"/>
      <c r="J100" s="1"/>
      <c r="K100" s="1"/>
      <c r="L100" s="1"/>
      <c r="M100" s="331">
        <f>P100</f>
      </c>
      <c r="N100" s="335">
        <f>+IF(O100&lt;N99,O100,N99)</f>
      </c>
      <c r="O100" s="335">
        <f>+(O99-N99)*(1+$E$13)</f>
      </c>
      <c r="P100" s="332">
        <v>95</v>
      </c>
      <c r="Q100" s="1"/>
      <c r="R100" s="331">
        <f>U100</f>
      </c>
      <c r="S100" s="335">
        <f>+IF(T100&lt;S99,T100,S99)</f>
      </c>
      <c r="T100" s="335">
        <f>+(T99-S99)*(1+$E$14)</f>
      </c>
      <c r="U100" s="332">
        <v>95</v>
      </c>
      <c r="V100" s="1"/>
      <c r="W100" s="331">
        <f>Z100</f>
      </c>
      <c r="X100" s="336">
        <f>+IF(Y100&lt;X99,Y100,X99)</f>
      </c>
      <c r="Y100" s="337">
        <f>+(Y99-X99)*(1+$E$15)</f>
      </c>
      <c r="Z100" s="332">
        <v>95</v>
      </c>
      <c r="AA100" s="1"/>
      <c r="AB100" s="331">
        <f>AE100</f>
      </c>
      <c r="AC100" s="336">
        <f>+IF(AD100&lt;AC99,AD100,AC99)</f>
      </c>
      <c r="AD100" s="337">
        <f>+(AD99-AC99)*(1+$E$16)</f>
      </c>
      <c r="AE100" s="332">
        <v>95</v>
      </c>
    </row>
    <row x14ac:dyDescent="0.25" r="101" customHeight="1" ht="18.75">
      <c r="A101" s="1"/>
      <c r="B101" s="1"/>
      <c r="C101" s="169"/>
      <c r="D101" s="169"/>
      <c r="E101" s="168"/>
      <c r="F101" s="169"/>
      <c r="G101" s="170"/>
      <c r="H101" s="1"/>
      <c r="I101" s="1"/>
      <c r="J101" s="1"/>
      <c r="K101" s="1"/>
      <c r="L101" s="1"/>
      <c r="M101" s="331">
        <f>P101</f>
      </c>
      <c r="N101" s="335">
        <f>+IF(O101&lt;N100,O101,N100)</f>
      </c>
      <c r="O101" s="335">
        <f>+(O100-N100)*(1+$E$13)</f>
      </c>
      <c r="P101" s="332">
        <v>96</v>
      </c>
      <c r="Q101" s="1"/>
      <c r="R101" s="331">
        <f>U101</f>
      </c>
      <c r="S101" s="335">
        <f>+IF(T101&lt;S100,T101,S100)</f>
      </c>
      <c r="T101" s="335">
        <f>+(T100-S100)*(1+$E$14)</f>
      </c>
      <c r="U101" s="332">
        <v>96</v>
      </c>
      <c r="V101" s="1"/>
      <c r="W101" s="331">
        <f>Z101</f>
      </c>
      <c r="X101" s="336">
        <f>+IF(Y101&lt;X100,Y101,X100)</f>
      </c>
      <c r="Y101" s="337">
        <f>+(Y100-X100)*(1+$E$15)</f>
      </c>
      <c r="Z101" s="332">
        <v>96</v>
      </c>
      <c r="AA101" s="1"/>
      <c r="AB101" s="331">
        <f>AE101</f>
      </c>
      <c r="AC101" s="336">
        <f>+IF(AD101&lt;AC100,AD101,AC100)</f>
      </c>
      <c r="AD101" s="337">
        <f>+(AD100-AC100)*(1+$E$16)</f>
      </c>
      <c r="AE101" s="332">
        <v>96</v>
      </c>
    </row>
    <row x14ac:dyDescent="0.25" r="102" customHeight="1" ht="18.75">
      <c r="A102" s="1"/>
      <c r="B102" s="1"/>
      <c r="C102" s="169"/>
      <c r="D102" s="169"/>
      <c r="E102" s="168"/>
      <c r="F102" s="169"/>
      <c r="G102" s="170"/>
      <c r="H102" s="1"/>
      <c r="I102" s="1"/>
      <c r="J102" s="1"/>
      <c r="K102" s="1"/>
      <c r="L102" s="1"/>
      <c r="M102" s="331">
        <f>P102</f>
      </c>
      <c r="N102" s="335">
        <f>+IF(O102&lt;N101,O102,N101)</f>
      </c>
      <c r="O102" s="335">
        <f>+(O101-N101)*(1+$E$13)</f>
      </c>
      <c r="P102" s="332">
        <v>97</v>
      </c>
      <c r="Q102" s="1"/>
      <c r="R102" s="331">
        <f>U102</f>
      </c>
      <c r="S102" s="335">
        <f>+IF(T102&lt;S101,T102,S101)</f>
      </c>
      <c r="T102" s="335">
        <f>+(T101-S101)*(1+$E$14)</f>
      </c>
      <c r="U102" s="332">
        <v>97</v>
      </c>
      <c r="V102" s="1"/>
      <c r="W102" s="331">
        <f>Z102</f>
      </c>
      <c r="X102" s="336">
        <f>+IF(Y102&lt;X101,Y102,X101)</f>
      </c>
      <c r="Y102" s="337">
        <f>+(Y101-X101)*(1+$E$15)</f>
      </c>
      <c r="Z102" s="332">
        <v>97</v>
      </c>
      <c r="AA102" s="1"/>
      <c r="AB102" s="331">
        <f>AE102</f>
      </c>
      <c r="AC102" s="336">
        <f>+IF(AD102&lt;AC101,AD102,AC101)</f>
      </c>
      <c r="AD102" s="337">
        <f>+(AD101-AC101)*(1+$E$16)</f>
      </c>
      <c r="AE102" s="332">
        <v>97</v>
      </c>
    </row>
    <row x14ac:dyDescent="0.25" r="103" customHeight="1" ht="18.75">
      <c r="A103" s="1"/>
      <c r="B103" s="1"/>
      <c r="C103" s="169"/>
      <c r="D103" s="169"/>
      <c r="E103" s="168"/>
      <c r="F103" s="169"/>
      <c r="G103" s="170"/>
      <c r="H103" s="1"/>
      <c r="I103" s="1"/>
      <c r="J103" s="1"/>
      <c r="K103" s="1"/>
      <c r="L103" s="1"/>
      <c r="M103" s="331">
        <f>P103</f>
      </c>
      <c r="N103" s="335">
        <f>+IF(O103&lt;N102,O103,N102)</f>
      </c>
      <c r="O103" s="335">
        <f>+(O102-N102)*(1+$E$13)</f>
      </c>
      <c r="P103" s="332">
        <v>98</v>
      </c>
      <c r="Q103" s="1"/>
      <c r="R103" s="331">
        <f>U103</f>
      </c>
      <c r="S103" s="335">
        <f>+IF(T103&lt;S102,T103,S102)</f>
      </c>
      <c r="T103" s="335">
        <f>+(T102-S102)*(1+$E$14)</f>
      </c>
      <c r="U103" s="332">
        <v>98</v>
      </c>
      <c r="V103" s="1"/>
      <c r="W103" s="331">
        <f>Z103</f>
      </c>
      <c r="X103" s="336">
        <f>+IF(Y103&lt;X102,Y103,X102)</f>
      </c>
      <c r="Y103" s="337">
        <f>+(Y102-X102)*(1+$E$15)</f>
      </c>
      <c r="Z103" s="332">
        <v>98</v>
      </c>
      <c r="AA103" s="1"/>
      <c r="AB103" s="331">
        <f>AE103</f>
      </c>
      <c r="AC103" s="336">
        <f>+IF(AD103&lt;AC102,AD103,AC102)</f>
      </c>
      <c r="AD103" s="337">
        <f>+(AD102-AC102)*(1+$E$16)</f>
      </c>
      <c r="AE103" s="332">
        <v>98</v>
      </c>
    </row>
    <row x14ac:dyDescent="0.25" r="104" customHeight="1" ht="18.75">
      <c r="A104" s="1"/>
      <c r="B104" s="1"/>
      <c r="C104" s="169"/>
      <c r="D104" s="169"/>
      <c r="E104" s="168"/>
      <c r="F104" s="169"/>
      <c r="G104" s="170"/>
      <c r="H104" s="1"/>
      <c r="I104" s="1"/>
      <c r="J104" s="1"/>
      <c r="K104" s="1"/>
      <c r="L104" s="1"/>
      <c r="M104" s="331">
        <f>P104</f>
      </c>
      <c r="N104" s="335">
        <f>+IF(O104&lt;N103,O104,N103)</f>
      </c>
      <c r="O104" s="335">
        <f>+(O103-N103)*(1+$E$13)</f>
      </c>
      <c r="P104" s="332">
        <v>99</v>
      </c>
      <c r="Q104" s="1"/>
      <c r="R104" s="331">
        <f>U104</f>
      </c>
      <c r="S104" s="335">
        <f>+IF(T104&lt;S103,T104,S103)</f>
      </c>
      <c r="T104" s="335">
        <f>+(T103-S103)*(1+$E$14)</f>
      </c>
      <c r="U104" s="332">
        <v>99</v>
      </c>
      <c r="V104" s="1"/>
      <c r="W104" s="331">
        <f>Z104</f>
      </c>
      <c r="X104" s="336">
        <f>+IF(Y104&lt;X103,Y104,X103)</f>
      </c>
      <c r="Y104" s="337">
        <f>+(Y103-X103)*(1+$E$15)</f>
      </c>
      <c r="Z104" s="332">
        <v>99</v>
      </c>
      <c r="AA104" s="1"/>
      <c r="AB104" s="331">
        <f>AE104</f>
      </c>
      <c r="AC104" s="336">
        <f>+IF(AD104&lt;AC103,AD104,AC103)</f>
      </c>
      <c r="AD104" s="337">
        <f>+(AD103-AC103)*(1+$E$16)</f>
      </c>
      <c r="AE104" s="332">
        <v>99</v>
      </c>
    </row>
    <row x14ac:dyDescent="0.25" r="105" customHeight="1" ht="18.75">
      <c r="A105" s="1"/>
      <c r="B105" s="1"/>
      <c r="C105" s="169"/>
      <c r="D105" s="169"/>
      <c r="E105" s="168"/>
      <c r="F105" s="169"/>
      <c r="G105" s="170"/>
      <c r="H105" s="1"/>
      <c r="I105" s="1"/>
      <c r="J105" s="1"/>
      <c r="K105" s="1"/>
      <c r="L105" s="1"/>
      <c r="M105" s="331">
        <f>P105</f>
      </c>
      <c r="N105" s="335">
        <f>+IF(O105&lt;N104,O105,N104)</f>
      </c>
      <c r="O105" s="335">
        <f>+(O104-N104)*(1+$E$13)</f>
      </c>
      <c r="P105" s="332">
        <v>100</v>
      </c>
      <c r="Q105" s="1"/>
      <c r="R105" s="331">
        <f>U105</f>
      </c>
      <c r="S105" s="335">
        <f>+IF(T105&lt;S104,T105,S104)</f>
      </c>
      <c r="T105" s="335">
        <f>+(T104-S104)*(1+$E$14)</f>
      </c>
      <c r="U105" s="332">
        <v>100</v>
      </c>
      <c r="V105" s="1"/>
      <c r="W105" s="331">
        <f>Z105</f>
      </c>
      <c r="X105" s="336">
        <f>+IF(Y105&lt;X104,Y105,X104)</f>
      </c>
      <c r="Y105" s="337">
        <f>+(Y104-X104)*(1+$E$15)</f>
      </c>
      <c r="Z105" s="332">
        <v>100</v>
      </c>
      <c r="AA105" s="1"/>
      <c r="AB105" s="331">
        <f>AE105</f>
      </c>
      <c r="AC105" s="336">
        <f>+IF(AD105&lt;AC104,AD105,AC104)</f>
      </c>
      <c r="AD105" s="337">
        <f>+(AD104-AC104)*(1+$E$16)</f>
      </c>
      <c r="AE105" s="332">
        <v>100</v>
      </c>
    </row>
    <row x14ac:dyDescent="0.25" r="106" customHeight="1" ht="18.75">
      <c r="A106" s="1"/>
      <c r="B106" s="1"/>
      <c r="C106" s="169"/>
      <c r="D106" s="169"/>
      <c r="E106" s="168"/>
      <c r="F106" s="169"/>
      <c r="G106" s="170"/>
      <c r="H106" s="1"/>
      <c r="I106" s="1"/>
      <c r="J106" s="1"/>
      <c r="K106" s="1"/>
      <c r="L106" s="1"/>
      <c r="M106" s="331">
        <f>P106</f>
      </c>
      <c r="N106" s="335">
        <f>+IF(O106&lt;N105,O106,N105)</f>
      </c>
      <c r="O106" s="335">
        <f>+(O105-N105)*(1+$E$13)</f>
      </c>
      <c r="P106" s="332">
        <v>101</v>
      </c>
      <c r="Q106" s="1"/>
      <c r="R106" s="331">
        <f>U106</f>
      </c>
      <c r="S106" s="335">
        <f>+IF(T106&lt;S105,T106,S105)</f>
      </c>
      <c r="T106" s="335">
        <f>+(T105-S105)*(1+$E$14)</f>
      </c>
      <c r="U106" s="332">
        <v>101</v>
      </c>
      <c r="V106" s="1"/>
      <c r="W106" s="331">
        <f>Z106</f>
      </c>
      <c r="X106" s="336">
        <f>+IF(Y106&lt;X105,Y106,X105)</f>
      </c>
      <c r="Y106" s="337">
        <f>+(Y105-X105)*(1+$E$15)</f>
      </c>
      <c r="Z106" s="332">
        <v>101</v>
      </c>
      <c r="AA106" s="1"/>
      <c r="AB106" s="331">
        <f>AE106</f>
      </c>
      <c r="AC106" s="336">
        <f>+IF(AD106&lt;AC105,AD106,AC105)</f>
      </c>
      <c r="AD106" s="337">
        <f>+(AD105-AC105)*(1+$E$16)</f>
      </c>
      <c r="AE106" s="332">
        <v>101</v>
      </c>
    </row>
    <row x14ac:dyDescent="0.25" r="107" customHeight="1" ht="18.75">
      <c r="A107" s="1"/>
      <c r="B107" s="1"/>
      <c r="C107" s="169"/>
      <c r="D107" s="169"/>
      <c r="E107" s="168"/>
      <c r="F107" s="169"/>
      <c r="G107" s="170"/>
      <c r="H107" s="1"/>
      <c r="I107" s="1"/>
      <c r="J107" s="1"/>
      <c r="K107" s="1"/>
      <c r="L107" s="1"/>
      <c r="M107" s="331">
        <f>P107</f>
      </c>
      <c r="N107" s="335">
        <f>+IF(O107&lt;N106,O107,N106)</f>
      </c>
      <c r="O107" s="335">
        <f>+(O106-N106)*(1+$E$13)</f>
      </c>
      <c r="P107" s="332">
        <v>102</v>
      </c>
      <c r="Q107" s="1"/>
      <c r="R107" s="331">
        <f>U107</f>
      </c>
      <c r="S107" s="335">
        <f>+IF(T107&lt;S106,T107,S106)</f>
      </c>
      <c r="T107" s="335">
        <f>+(T106-S106)*(1+$E$14)</f>
      </c>
      <c r="U107" s="332">
        <v>102</v>
      </c>
      <c r="V107" s="1"/>
      <c r="W107" s="331">
        <f>Z107</f>
      </c>
      <c r="X107" s="336">
        <f>+IF(Y107&lt;X106,Y107,X106)</f>
      </c>
      <c r="Y107" s="337">
        <f>+(Y106-X106)*(1+$E$15)</f>
      </c>
      <c r="Z107" s="332">
        <v>102</v>
      </c>
      <c r="AA107" s="1"/>
      <c r="AB107" s="331">
        <f>AE107</f>
      </c>
      <c r="AC107" s="336">
        <f>+IF(AD107&lt;AC106,AD107,AC106)</f>
      </c>
      <c r="AD107" s="337">
        <f>+(AD106-AC106)*(1+$E$16)</f>
      </c>
      <c r="AE107" s="332">
        <v>102</v>
      </c>
    </row>
    <row x14ac:dyDescent="0.25" r="108" customHeight="1" ht="18.75">
      <c r="A108" s="1"/>
      <c r="B108" s="1"/>
      <c r="C108" s="169"/>
      <c r="D108" s="169"/>
      <c r="E108" s="168"/>
      <c r="F108" s="169"/>
      <c r="G108" s="170"/>
      <c r="H108" s="1"/>
      <c r="I108" s="1"/>
      <c r="J108" s="1"/>
      <c r="K108" s="1"/>
      <c r="L108" s="1"/>
      <c r="M108" s="331">
        <f>P108</f>
      </c>
      <c r="N108" s="335">
        <f>+IF(O108&lt;N107,O108,N107)</f>
      </c>
      <c r="O108" s="335">
        <f>+(O107-N107)*(1+$E$13)</f>
      </c>
      <c r="P108" s="332">
        <v>103</v>
      </c>
      <c r="Q108" s="1"/>
      <c r="R108" s="331">
        <f>U108</f>
      </c>
      <c r="S108" s="335">
        <f>+IF(T108&lt;S107,T108,S107)</f>
      </c>
      <c r="T108" s="335">
        <f>+(T107-S107)*(1+$E$14)</f>
      </c>
      <c r="U108" s="332">
        <v>103</v>
      </c>
      <c r="V108" s="1"/>
      <c r="W108" s="331">
        <f>Z108</f>
      </c>
      <c r="X108" s="336">
        <f>+IF(Y108&lt;X107,Y108,X107)</f>
      </c>
      <c r="Y108" s="337">
        <f>+(Y107-X107)*(1+$E$15)</f>
      </c>
      <c r="Z108" s="332">
        <v>103</v>
      </c>
      <c r="AA108" s="1"/>
      <c r="AB108" s="331">
        <f>AE108</f>
      </c>
      <c r="AC108" s="336">
        <f>+IF(AD108&lt;AC107,AD108,AC107)</f>
      </c>
      <c r="AD108" s="337">
        <f>+(AD107-AC107)*(1+$E$16)</f>
      </c>
      <c r="AE108" s="332">
        <v>103</v>
      </c>
    </row>
    <row x14ac:dyDescent="0.25" r="109" customHeight="1" ht="18.75">
      <c r="A109" s="1"/>
      <c r="B109" s="1"/>
      <c r="C109" s="169"/>
      <c r="D109" s="169"/>
      <c r="E109" s="168"/>
      <c r="F109" s="169"/>
      <c r="G109" s="170"/>
      <c r="H109" s="1"/>
      <c r="I109" s="1"/>
      <c r="J109" s="1"/>
      <c r="K109" s="1"/>
      <c r="L109" s="1"/>
      <c r="M109" s="331">
        <f>P109</f>
      </c>
      <c r="N109" s="335">
        <f>+IF(O109&lt;N108,O109,N108)</f>
      </c>
      <c r="O109" s="335">
        <f>+(O108-N108)*(1+$E$13)</f>
      </c>
      <c r="P109" s="332">
        <v>104</v>
      </c>
      <c r="Q109" s="1"/>
      <c r="R109" s="331">
        <f>U109</f>
      </c>
      <c r="S109" s="335">
        <f>+IF(T109&lt;S108,T109,S108)</f>
      </c>
      <c r="T109" s="335">
        <f>+(T108-S108)*(1+$E$14)</f>
      </c>
      <c r="U109" s="332">
        <v>104</v>
      </c>
      <c r="V109" s="1"/>
      <c r="W109" s="331">
        <f>Z109</f>
      </c>
      <c r="X109" s="336">
        <f>+IF(Y109&lt;X108,Y109,X108)</f>
      </c>
      <c r="Y109" s="337">
        <f>+(Y108-X108)*(1+$E$15)</f>
      </c>
      <c r="Z109" s="332">
        <v>104</v>
      </c>
      <c r="AA109" s="1"/>
      <c r="AB109" s="331">
        <f>AE109</f>
      </c>
      <c r="AC109" s="336">
        <f>+IF(AD109&lt;AC108,AD109,AC108)</f>
      </c>
      <c r="AD109" s="337">
        <f>+(AD108-AC108)*(1+$E$16)</f>
      </c>
      <c r="AE109" s="332">
        <v>104</v>
      </c>
    </row>
    <row x14ac:dyDescent="0.25" r="110" customHeight="1" ht="18.75">
      <c r="A110" s="1"/>
      <c r="B110" s="1"/>
      <c r="C110" s="169"/>
      <c r="D110" s="169"/>
      <c r="E110" s="168"/>
      <c r="F110" s="169"/>
      <c r="G110" s="170"/>
      <c r="H110" s="1"/>
      <c r="I110" s="1"/>
      <c r="J110" s="1"/>
      <c r="K110" s="1"/>
      <c r="L110" s="1"/>
      <c r="M110" s="331">
        <f>P110</f>
      </c>
      <c r="N110" s="335">
        <f>+IF(O110&lt;N109,O110,N109)</f>
      </c>
      <c r="O110" s="335">
        <f>+(O109-N109)*(1+$E$13)</f>
      </c>
      <c r="P110" s="332">
        <v>105</v>
      </c>
      <c r="Q110" s="1"/>
      <c r="R110" s="331">
        <f>U110</f>
      </c>
      <c r="S110" s="335">
        <f>+IF(T110&lt;S109,T110,S109)</f>
      </c>
      <c r="T110" s="335">
        <f>+(T109-S109)*(1+$E$14)</f>
      </c>
      <c r="U110" s="332">
        <v>105</v>
      </c>
      <c r="V110" s="1"/>
      <c r="W110" s="331">
        <f>Z110</f>
      </c>
      <c r="X110" s="336">
        <f>+IF(Y110&lt;X109,Y110,X109)</f>
      </c>
      <c r="Y110" s="337">
        <f>+(Y109-X109)*(1+$E$15)</f>
      </c>
      <c r="Z110" s="332">
        <v>105</v>
      </c>
      <c r="AA110" s="1"/>
      <c r="AB110" s="331">
        <f>AE110</f>
      </c>
      <c r="AC110" s="336">
        <f>+IF(AD110&lt;AC109,AD110,AC109)</f>
      </c>
      <c r="AD110" s="337">
        <f>+(AD109-AC109)*(1+$E$16)</f>
      </c>
      <c r="AE110" s="332">
        <v>105</v>
      </c>
    </row>
    <row x14ac:dyDescent="0.25" r="111" customHeight="1" ht="18.75">
      <c r="A111" s="1"/>
      <c r="B111" s="1"/>
      <c r="C111" s="169"/>
      <c r="D111" s="169"/>
      <c r="E111" s="168"/>
      <c r="F111" s="169"/>
      <c r="G111" s="170"/>
      <c r="H111" s="1"/>
      <c r="I111" s="1"/>
      <c r="J111" s="1"/>
      <c r="K111" s="1"/>
      <c r="L111" s="1"/>
      <c r="M111" s="331">
        <f>P111</f>
      </c>
      <c r="N111" s="335">
        <f>+IF(O111&lt;N110,O111,N110)</f>
      </c>
      <c r="O111" s="335">
        <f>+(O110-N110)*(1+$E$13)</f>
      </c>
      <c r="P111" s="332">
        <v>106</v>
      </c>
      <c r="Q111" s="1"/>
      <c r="R111" s="331">
        <f>U111</f>
      </c>
      <c r="S111" s="335">
        <f>+IF(T111&lt;S110,T111,S110)</f>
      </c>
      <c r="T111" s="335">
        <f>+(T110-S110)*(1+$E$14)</f>
      </c>
      <c r="U111" s="332">
        <v>106</v>
      </c>
      <c r="V111" s="1"/>
      <c r="W111" s="331">
        <f>Z111</f>
      </c>
      <c r="X111" s="336">
        <f>+IF(Y111&lt;X110,Y111,X110)</f>
      </c>
      <c r="Y111" s="337">
        <f>+(Y110-X110)*(1+$E$15)</f>
      </c>
      <c r="Z111" s="332">
        <v>106</v>
      </c>
      <c r="AA111" s="1"/>
      <c r="AB111" s="331">
        <f>AE111</f>
      </c>
      <c r="AC111" s="336">
        <f>+IF(AD111&lt;AC110,AD111,AC110)</f>
      </c>
      <c r="AD111" s="337">
        <f>+(AD110-AC110)*(1+$E$16)</f>
      </c>
      <c r="AE111" s="332">
        <v>106</v>
      </c>
    </row>
    <row x14ac:dyDescent="0.25" r="112" customHeight="1" ht="18.75">
      <c r="A112" s="1"/>
      <c r="B112" s="1"/>
      <c r="C112" s="169"/>
      <c r="D112" s="169"/>
      <c r="E112" s="168"/>
      <c r="F112" s="169"/>
      <c r="G112" s="170"/>
      <c r="H112" s="1"/>
      <c r="I112" s="1"/>
      <c r="J112" s="1"/>
      <c r="K112" s="1"/>
      <c r="L112" s="1"/>
      <c r="M112" s="331">
        <f>P112</f>
      </c>
      <c r="N112" s="335">
        <f>+IF(O112&lt;N111,O112,N111)</f>
      </c>
      <c r="O112" s="335">
        <f>+(O111-N111)*(1+$E$13)</f>
      </c>
      <c r="P112" s="332">
        <v>107</v>
      </c>
      <c r="Q112" s="1"/>
      <c r="R112" s="331">
        <f>U112</f>
      </c>
      <c r="S112" s="335">
        <f>+IF(T112&lt;S111,T112,S111)</f>
      </c>
      <c r="T112" s="335">
        <f>+(T111-S111)*(1+$E$14)</f>
      </c>
      <c r="U112" s="332">
        <v>107</v>
      </c>
      <c r="V112" s="1"/>
      <c r="W112" s="331">
        <f>Z112</f>
      </c>
      <c r="X112" s="336">
        <f>+IF(Y112&lt;X111,Y112,X111)</f>
      </c>
      <c r="Y112" s="337">
        <f>+(Y111-X111)*(1+$E$15)</f>
      </c>
      <c r="Z112" s="332">
        <v>107</v>
      </c>
      <c r="AA112" s="1"/>
      <c r="AB112" s="331">
        <f>AE112</f>
      </c>
      <c r="AC112" s="336">
        <f>+IF(AD112&lt;AC111,AD112,AC111)</f>
      </c>
      <c r="AD112" s="337">
        <f>+(AD111-AC111)*(1+$E$16)</f>
      </c>
      <c r="AE112" s="332">
        <v>107</v>
      </c>
    </row>
    <row x14ac:dyDescent="0.25" r="113" customHeight="1" ht="18.75">
      <c r="A113" s="1"/>
      <c r="B113" s="1"/>
      <c r="C113" s="169"/>
      <c r="D113" s="169"/>
      <c r="E113" s="168"/>
      <c r="F113" s="169"/>
      <c r="G113" s="170"/>
      <c r="H113" s="1"/>
      <c r="I113" s="1"/>
      <c r="J113" s="1"/>
      <c r="K113" s="1"/>
      <c r="L113" s="1"/>
      <c r="M113" s="331">
        <f>P113</f>
      </c>
      <c r="N113" s="335">
        <f>+IF(O113&lt;N112,O113,N112)</f>
      </c>
      <c r="O113" s="335">
        <f>+(O112-N112)*(1+$E$13)</f>
      </c>
      <c r="P113" s="332">
        <v>108</v>
      </c>
      <c r="Q113" s="1"/>
      <c r="R113" s="331">
        <f>U113</f>
      </c>
      <c r="S113" s="335">
        <f>+IF(T113&lt;S112,T113,S112)</f>
      </c>
      <c r="T113" s="335">
        <f>+(T112-S112)*(1+$E$14)</f>
      </c>
      <c r="U113" s="332">
        <v>108</v>
      </c>
      <c r="V113" s="1"/>
      <c r="W113" s="331">
        <f>Z113</f>
      </c>
      <c r="X113" s="336">
        <f>+IF(Y113&lt;X112,Y113,X112)</f>
      </c>
      <c r="Y113" s="337">
        <f>+(Y112-X112)*(1+$E$15)</f>
      </c>
      <c r="Z113" s="332">
        <v>108</v>
      </c>
      <c r="AA113" s="1"/>
      <c r="AB113" s="331">
        <f>AE113</f>
      </c>
      <c r="AC113" s="336">
        <f>+IF(AD113&lt;AC112,AD113,AC112)</f>
      </c>
      <c r="AD113" s="337">
        <f>+(AD112-AC112)*(1+$E$16)</f>
      </c>
      <c r="AE113" s="332">
        <v>108</v>
      </c>
    </row>
    <row x14ac:dyDescent="0.25" r="114" customHeight="1" ht="18.75">
      <c r="A114" s="1"/>
      <c r="B114" s="1"/>
      <c r="C114" s="169"/>
      <c r="D114" s="169"/>
      <c r="E114" s="168"/>
      <c r="F114" s="169"/>
      <c r="G114" s="170"/>
      <c r="H114" s="1"/>
      <c r="I114" s="1"/>
      <c r="J114" s="1"/>
      <c r="K114" s="1"/>
      <c r="L114" s="1"/>
      <c r="M114" s="331">
        <f>P114</f>
      </c>
      <c r="N114" s="335">
        <f>+IF(O114&lt;N113,O114,N113)</f>
      </c>
      <c r="O114" s="335">
        <f>+(O113-N113)*(1+$E$13)</f>
      </c>
      <c r="P114" s="332">
        <v>109</v>
      </c>
      <c r="Q114" s="1"/>
      <c r="R114" s="331">
        <f>U114</f>
      </c>
      <c r="S114" s="335">
        <f>+IF(T114&lt;S113,T114,S113)</f>
      </c>
      <c r="T114" s="335">
        <f>+(T113-S113)*(1+$E$14)</f>
      </c>
      <c r="U114" s="332">
        <v>109</v>
      </c>
      <c r="V114" s="1"/>
      <c r="W114" s="331">
        <f>Z114</f>
      </c>
      <c r="X114" s="336">
        <f>+IF(Y114&lt;X113,Y114,X113)</f>
      </c>
      <c r="Y114" s="337">
        <f>+(Y113-X113)*(1+$E$15)</f>
      </c>
      <c r="Z114" s="332">
        <v>109</v>
      </c>
      <c r="AA114" s="1"/>
      <c r="AB114" s="331">
        <f>AE114</f>
      </c>
      <c r="AC114" s="336">
        <f>+IF(AD114&lt;AC113,AD114,AC113)</f>
      </c>
      <c r="AD114" s="337">
        <f>+(AD113-AC113)*(1+$E$16)</f>
      </c>
      <c r="AE114" s="332">
        <v>109</v>
      </c>
    </row>
    <row x14ac:dyDescent="0.25" r="115" customHeight="1" ht="18.75">
      <c r="A115" s="1"/>
      <c r="B115" s="1"/>
      <c r="C115" s="169"/>
      <c r="D115" s="169"/>
      <c r="E115" s="168"/>
      <c r="F115" s="169"/>
      <c r="G115" s="170"/>
      <c r="H115" s="1"/>
      <c r="I115" s="1"/>
      <c r="J115" s="1"/>
      <c r="K115" s="1"/>
      <c r="L115" s="1"/>
      <c r="M115" s="331">
        <f>P115</f>
      </c>
      <c r="N115" s="335">
        <f>+IF(O115&lt;N114,O115,N114)</f>
      </c>
      <c r="O115" s="335">
        <f>+(O114-N114)*(1+$E$13)</f>
      </c>
      <c r="P115" s="332">
        <v>110</v>
      </c>
      <c r="Q115" s="1"/>
      <c r="R115" s="331">
        <f>U115</f>
      </c>
      <c r="S115" s="335">
        <f>+IF(T115&lt;S114,T115,S114)</f>
      </c>
      <c r="T115" s="335">
        <f>+(T114-S114)*(1+$E$14)</f>
      </c>
      <c r="U115" s="332">
        <v>110</v>
      </c>
      <c r="V115" s="1"/>
      <c r="W115" s="331">
        <f>Z115</f>
      </c>
      <c r="X115" s="336">
        <f>+IF(Y115&lt;X114,Y115,X114)</f>
      </c>
      <c r="Y115" s="337">
        <f>+(Y114-X114)*(1+$E$15)</f>
      </c>
      <c r="Z115" s="332">
        <v>110</v>
      </c>
      <c r="AA115" s="1"/>
      <c r="AB115" s="331">
        <f>AE115</f>
      </c>
      <c r="AC115" s="336">
        <f>+IF(AD115&lt;AC114,AD115,AC114)</f>
      </c>
      <c r="AD115" s="337">
        <f>+(AD114-AC114)*(1+$E$16)</f>
      </c>
      <c r="AE115" s="332">
        <v>110</v>
      </c>
    </row>
    <row x14ac:dyDescent="0.25" r="116" customHeight="1" ht="18.75">
      <c r="A116" s="1"/>
      <c r="B116" s="1"/>
      <c r="C116" s="169"/>
      <c r="D116" s="169"/>
      <c r="E116" s="168"/>
      <c r="F116" s="169"/>
      <c r="G116" s="170"/>
      <c r="H116" s="1"/>
      <c r="I116" s="1"/>
      <c r="J116" s="1"/>
      <c r="K116" s="1"/>
      <c r="L116" s="1"/>
      <c r="M116" s="331">
        <f>P116</f>
      </c>
      <c r="N116" s="335">
        <f>+IF(O116&lt;N115,O116,N115)</f>
      </c>
      <c r="O116" s="335">
        <f>+(O115-N115)*(1+$E$13)</f>
      </c>
      <c r="P116" s="332">
        <v>111</v>
      </c>
      <c r="Q116" s="1"/>
      <c r="R116" s="331">
        <f>U116</f>
      </c>
      <c r="S116" s="335">
        <f>+IF(T116&lt;S115,T116,S115)</f>
      </c>
      <c r="T116" s="335">
        <f>+(T115-S115)*(1+$E$14)</f>
      </c>
      <c r="U116" s="332">
        <v>111</v>
      </c>
      <c r="V116" s="1"/>
      <c r="W116" s="331">
        <f>Z116</f>
      </c>
      <c r="X116" s="336">
        <f>+IF(Y116&lt;X115,Y116,X115)</f>
      </c>
      <c r="Y116" s="337">
        <f>+(Y115-X115)*(1+$E$15)</f>
      </c>
      <c r="Z116" s="332">
        <v>111</v>
      </c>
      <c r="AA116" s="1"/>
      <c r="AB116" s="331">
        <f>AE116</f>
      </c>
      <c r="AC116" s="336">
        <f>+IF(AD116&lt;AC115,AD116,AC115)</f>
      </c>
      <c r="AD116" s="337">
        <f>+(AD115-AC115)*(1+$E$16)</f>
      </c>
      <c r="AE116" s="332">
        <v>111</v>
      </c>
    </row>
    <row x14ac:dyDescent="0.25" r="117" customHeight="1" ht="18.75">
      <c r="A117" s="1"/>
      <c r="B117" s="1"/>
      <c r="C117" s="169"/>
      <c r="D117" s="169"/>
      <c r="E117" s="168"/>
      <c r="F117" s="169"/>
      <c r="G117" s="170"/>
      <c r="H117" s="1"/>
      <c r="I117" s="1"/>
      <c r="J117" s="1"/>
      <c r="K117" s="1"/>
      <c r="L117" s="1"/>
      <c r="M117" s="331">
        <f>P117</f>
      </c>
      <c r="N117" s="335">
        <f>+IF(O117&lt;N116,O117,N116)</f>
      </c>
      <c r="O117" s="335">
        <f>+(O116-N116)*(1+$E$13)</f>
      </c>
      <c r="P117" s="332">
        <v>112</v>
      </c>
      <c r="Q117" s="1"/>
      <c r="R117" s="331">
        <f>U117</f>
      </c>
      <c r="S117" s="335">
        <f>+IF(T117&lt;S116,T117,S116)</f>
      </c>
      <c r="T117" s="335">
        <f>+(T116-S116)*(1+$E$14)</f>
      </c>
      <c r="U117" s="332">
        <v>112</v>
      </c>
      <c r="V117" s="1"/>
      <c r="W117" s="331">
        <f>Z117</f>
      </c>
      <c r="X117" s="336">
        <f>+IF(Y117&lt;X116,Y117,X116)</f>
      </c>
      <c r="Y117" s="337">
        <f>+(Y116-X116)*(1+$E$15)</f>
      </c>
      <c r="Z117" s="332">
        <v>112</v>
      </c>
      <c r="AA117" s="1"/>
      <c r="AB117" s="331">
        <f>AE117</f>
      </c>
      <c r="AC117" s="336">
        <f>+IF(AD117&lt;AC116,AD117,AC116)</f>
      </c>
      <c r="AD117" s="337">
        <f>+(AD116-AC116)*(1+$E$16)</f>
      </c>
      <c r="AE117" s="332">
        <v>112</v>
      </c>
    </row>
    <row x14ac:dyDescent="0.25" r="118" customHeight="1" ht="18.75">
      <c r="A118" s="1"/>
      <c r="B118" s="1"/>
      <c r="C118" s="169"/>
      <c r="D118" s="169"/>
      <c r="E118" s="168"/>
      <c r="F118" s="169"/>
      <c r="G118" s="170"/>
      <c r="H118" s="1"/>
      <c r="I118" s="1"/>
      <c r="J118" s="1"/>
      <c r="K118" s="1"/>
      <c r="L118" s="1"/>
      <c r="M118" s="331">
        <f>P118</f>
      </c>
      <c r="N118" s="335">
        <f>+IF(O118&lt;N117,O118,N117)</f>
      </c>
      <c r="O118" s="335">
        <f>+(O117-N117)*(1+$E$13)</f>
      </c>
      <c r="P118" s="332">
        <v>113</v>
      </c>
      <c r="Q118" s="1"/>
      <c r="R118" s="331">
        <f>U118</f>
      </c>
      <c r="S118" s="335">
        <f>+IF(T118&lt;S117,T118,S117)</f>
      </c>
      <c r="T118" s="335">
        <f>+(T117-S117)*(1+$E$14)</f>
      </c>
      <c r="U118" s="332">
        <v>113</v>
      </c>
      <c r="V118" s="1"/>
      <c r="W118" s="331">
        <f>Z118</f>
      </c>
      <c r="X118" s="336">
        <f>+IF(Y118&lt;X117,Y118,X117)</f>
      </c>
      <c r="Y118" s="337">
        <f>+(Y117-X117)*(1+$E$15)</f>
      </c>
      <c r="Z118" s="332">
        <v>113</v>
      </c>
      <c r="AA118" s="1"/>
      <c r="AB118" s="331">
        <f>AE118</f>
      </c>
      <c r="AC118" s="336">
        <f>+IF(AD118&lt;AC117,AD118,AC117)</f>
      </c>
      <c r="AD118" s="337">
        <f>+(AD117-AC117)*(1+$E$16)</f>
      </c>
      <c r="AE118" s="332">
        <v>113</v>
      </c>
    </row>
    <row x14ac:dyDescent="0.25" r="119" customHeight="1" ht="18.75">
      <c r="A119" s="1"/>
      <c r="B119" s="1"/>
      <c r="C119" s="169"/>
      <c r="D119" s="169"/>
      <c r="E119" s="168"/>
      <c r="F119" s="169"/>
      <c r="G119" s="170"/>
      <c r="H119" s="1"/>
      <c r="I119" s="1"/>
      <c r="J119" s="1"/>
      <c r="K119" s="1"/>
      <c r="L119" s="1"/>
      <c r="M119" s="331">
        <f>P119</f>
      </c>
      <c r="N119" s="335">
        <f>+IF(O119&lt;N118,O119,N118)</f>
      </c>
      <c r="O119" s="335">
        <f>+(O118-N118)*(1+$E$13)</f>
      </c>
      <c r="P119" s="332">
        <v>114</v>
      </c>
      <c r="Q119" s="1"/>
      <c r="R119" s="331">
        <f>U119</f>
      </c>
      <c r="S119" s="335">
        <f>+IF(T119&lt;S118,T119,S118)</f>
      </c>
      <c r="T119" s="335">
        <f>+(T118-S118)*(1+$E$14)</f>
      </c>
      <c r="U119" s="332">
        <v>114</v>
      </c>
      <c r="V119" s="1"/>
      <c r="W119" s="331">
        <f>Z119</f>
      </c>
      <c r="X119" s="336">
        <f>+IF(Y119&lt;X118,Y119,X118)</f>
      </c>
      <c r="Y119" s="337">
        <f>+(Y118-X118)*(1+$E$15)</f>
      </c>
      <c r="Z119" s="332">
        <v>114</v>
      </c>
      <c r="AA119" s="1"/>
      <c r="AB119" s="331">
        <f>AE119</f>
      </c>
      <c r="AC119" s="336">
        <f>+IF(AD119&lt;AC118,AD119,AC118)</f>
      </c>
      <c r="AD119" s="337">
        <f>+(AD118-AC118)*(1+$E$16)</f>
      </c>
      <c r="AE119" s="332">
        <v>114</v>
      </c>
    </row>
    <row x14ac:dyDescent="0.25" r="120" customHeight="1" ht="18.75">
      <c r="A120" s="1"/>
      <c r="B120" s="1"/>
      <c r="C120" s="169"/>
      <c r="D120" s="169"/>
      <c r="E120" s="168"/>
      <c r="F120" s="169"/>
      <c r="G120" s="170"/>
      <c r="H120" s="1"/>
      <c r="I120" s="1"/>
      <c r="J120" s="1"/>
      <c r="K120" s="1"/>
      <c r="L120" s="1"/>
      <c r="M120" s="331">
        <f>P120</f>
      </c>
      <c r="N120" s="335">
        <f>+IF(O120&lt;N119,O120,N119)</f>
      </c>
      <c r="O120" s="335">
        <f>+(O119-N119)*(1+$E$13)</f>
      </c>
      <c r="P120" s="332">
        <v>115</v>
      </c>
      <c r="Q120" s="1"/>
      <c r="R120" s="331">
        <f>U120</f>
      </c>
      <c r="S120" s="335">
        <f>+IF(T120&lt;S119,T120,S119)</f>
      </c>
      <c r="T120" s="335">
        <f>+(T119-S119)*(1+$E$14)</f>
      </c>
      <c r="U120" s="332">
        <v>115</v>
      </c>
      <c r="V120" s="1"/>
      <c r="W120" s="331">
        <f>Z120</f>
      </c>
      <c r="X120" s="336">
        <f>+IF(Y120&lt;X119,Y120,X119)</f>
      </c>
      <c r="Y120" s="337">
        <f>+(Y119-X119)*(1+$E$15)</f>
      </c>
      <c r="Z120" s="332">
        <v>115</v>
      </c>
      <c r="AA120" s="1"/>
      <c r="AB120" s="331">
        <f>AE120</f>
      </c>
      <c r="AC120" s="336">
        <f>+IF(AD120&lt;AC119,AD120,AC119)</f>
      </c>
      <c r="AD120" s="337">
        <f>+(AD119-AC119)*(1+$E$16)</f>
      </c>
      <c r="AE120" s="332">
        <v>115</v>
      </c>
    </row>
    <row x14ac:dyDescent="0.25" r="121" customHeight="1" ht="18.75">
      <c r="A121" s="1"/>
      <c r="B121" s="1"/>
      <c r="C121" s="169"/>
      <c r="D121" s="169"/>
      <c r="E121" s="168"/>
      <c r="F121" s="169"/>
      <c r="G121" s="170"/>
      <c r="H121" s="1"/>
      <c r="I121" s="1"/>
      <c r="J121" s="1"/>
      <c r="K121" s="1"/>
      <c r="L121" s="1"/>
      <c r="M121" s="331">
        <f>P121</f>
      </c>
      <c r="N121" s="335">
        <f>+IF(O121&lt;N120,O121,N120)</f>
      </c>
      <c r="O121" s="335">
        <f>+(O120-N120)*(1+$E$13)</f>
      </c>
      <c r="P121" s="332">
        <v>116</v>
      </c>
      <c r="Q121" s="1"/>
      <c r="R121" s="331">
        <f>U121</f>
      </c>
      <c r="S121" s="335">
        <f>+IF(T121&lt;S120,T121,S120)</f>
      </c>
      <c r="T121" s="335">
        <f>+(T120-S120)*(1+$E$14)</f>
      </c>
      <c r="U121" s="332">
        <v>116</v>
      </c>
      <c r="V121" s="1"/>
      <c r="W121" s="331">
        <f>Z121</f>
      </c>
      <c r="X121" s="336">
        <f>+IF(Y121&lt;X120,Y121,X120)</f>
      </c>
      <c r="Y121" s="337">
        <f>+(Y120-X120)*(1+$E$15)</f>
      </c>
      <c r="Z121" s="332">
        <v>116</v>
      </c>
      <c r="AA121" s="1"/>
      <c r="AB121" s="331">
        <f>AE121</f>
      </c>
      <c r="AC121" s="336">
        <f>+IF(AD121&lt;AC120,AD121,AC120)</f>
      </c>
      <c r="AD121" s="337">
        <f>+(AD120-AC120)*(1+$E$16)</f>
      </c>
      <c r="AE121" s="332">
        <v>116</v>
      </c>
    </row>
    <row x14ac:dyDescent="0.25" r="122" customHeight="1" ht="18.75">
      <c r="A122" s="1"/>
      <c r="B122" s="1"/>
      <c r="C122" s="169"/>
      <c r="D122" s="169"/>
      <c r="E122" s="168"/>
      <c r="F122" s="169"/>
      <c r="G122" s="170"/>
      <c r="H122" s="1"/>
      <c r="I122" s="1"/>
      <c r="J122" s="1"/>
      <c r="K122" s="1"/>
      <c r="L122" s="1"/>
      <c r="M122" s="331">
        <f>P122</f>
      </c>
      <c r="N122" s="335">
        <f>+IF(O122&lt;N121,O122,N121)</f>
      </c>
      <c r="O122" s="335">
        <f>+(O121-N121)*(1+$E$13)</f>
      </c>
      <c r="P122" s="332">
        <v>117</v>
      </c>
      <c r="Q122" s="1"/>
      <c r="R122" s="331">
        <f>U122</f>
      </c>
      <c r="S122" s="335">
        <f>+IF(T122&lt;S121,T122,S121)</f>
      </c>
      <c r="T122" s="335">
        <f>+(T121-S121)*(1+$E$14)</f>
      </c>
      <c r="U122" s="332">
        <v>117</v>
      </c>
      <c r="V122" s="1"/>
      <c r="W122" s="331">
        <f>Z122</f>
      </c>
      <c r="X122" s="336">
        <f>+IF(Y122&lt;X121,Y122,X121)</f>
      </c>
      <c r="Y122" s="337">
        <f>+(Y121-X121)*(1+$E$15)</f>
      </c>
      <c r="Z122" s="332">
        <v>117</v>
      </c>
      <c r="AA122" s="1"/>
      <c r="AB122" s="331">
        <f>AE122</f>
      </c>
      <c r="AC122" s="336">
        <f>+IF(AD122&lt;AC121,AD122,AC121)</f>
      </c>
      <c r="AD122" s="337">
        <f>+(AD121-AC121)*(1+$E$16)</f>
      </c>
      <c r="AE122" s="332">
        <v>117</v>
      </c>
    </row>
    <row x14ac:dyDescent="0.25" r="123" customHeight="1" ht="18.75">
      <c r="A123" s="1"/>
      <c r="B123" s="1"/>
      <c r="C123" s="169"/>
      <c r="D123" s="169"/>
      <c r="E123" s="168"/>
      <c r="F123" s="169"/>
      <c r="G123" s="170"/>
      <c r="H123" s="1"/>
      <c r="I123" s="1"/>
      <c r="J123" s="1"/>
      <c r="K123" s="1"/>
      <c r="L123" s="1"/>
      <c r="M123" s="331">
        <f>P123</f>
      </c>
      <c r="N123" s="335">
        <f>+IF(O123&lt;N122,O123,N122)</f>
      </c>
      <c r="O123" s="335">
        <f>+(O122-N122)*(1+$E$13)</f>
      </c>
      <c r="P123" s="332">
        <v>118</v>
      </c>
      <c r="Q123" s="1"/>
      <c r="R123" s="331">
        <f>U123</f>
      </c>
      <c r="S123" s="335">
        <f>+IF(T123&lt;S122,T123,S122)</f>
      </c>
      <c r="T123" s="335">
        <f>+(T122-S122)*(1+$E$14)</f>
      </c>
      <c r="U123" s="332">
        <v>118</v>
      </c>
      <c r="V123" s="1"/>
      <c r="W123" s="331">
        <f>Z123</f>
      </c>
      <c r="X123" s="336">
        <f>+IF(Y123&lt;X122,Y123,X122)</f>
      </c>
      <c r="Y123" s="337">
        <f>+(Y122-X122)*(1+$E$15)</f>
      </c>
      <c r="Z123" s="332">
        <v>118</v>
      </c>
      <c r="AA123" s="1"/>
      <c r="AB123" s="331">
        <f>AE123</f>
      </c>
      <c r="AC123" s="336">
        <f>+IF(AD123&lt;AC122,AD123,AC122)</f>
      </c>
      <c r="AD123" s="337">
        <f>+(AD122-AC122)*(1+$E$16)</f>
      </c>
      <c r="AE123" s="332">
        <v>118</v>
      </c>
    </row>
    <row x14ac:dyDescent="0.25" r="124" customHeight="1" ht="18.75">
      <c r="A124" s="1"/>
      <c r="B124" s="1"/>
      <c r="C124" s="169"/>
      <c r="D124" s="169"/>
      <c r="E124" s="168"/>
      <c r="F124" s="169"/>
      <c r="G124" s="170"/>
      <c r="H124" s="1"/>
      <c r="I124" s="1"/>
      <c r="J124" s="1"/>
      <c r="K124" s="1"/>
      <c r="L124" s="1"/>
      <c r="M124" s="331">
        <f>P124</f>
      </c>
      <c r="N124" s="335">
        <f>+IF(O124&lt;N123,O124,N123)</f>
      </c>
      <c r="O124" s="335">
        <f>+(O123-N123)*(1+$E$13)</f>
      </c>
      <c r="P124" s="332">
        <v>119</v>
      </c>
      <c r="Q124" s="1"/>
      <c r="R124" s="331">
        <f>U124</f>
      </c>
      <c r="S124" s="335">
        <f>+IF(T124&lt;S123,T124,S123)</f>
      </c>
      <c r="T124" s="335">
        <f>+(T123-S123)*(1+$E$14)</f>
      </c>
      <c r="U124" s="332">
        <v>119</v>
      </c>
      <c r="V124" s="1"/>
      <c r="W124" s="331">
        <f>Z124</f>
      </c>
      <c r="X124" s="336">
        <f>+IF(Y124&lt;X123,Y124,X123)</f>
      </c>
      <c r="Y124" s="337">
        <f>+(Y123-X123)*(1+$E$15)</f>
      </c>
      <c r="Z124" s="332">
        <v>119</v>
      </c>
      <c r="AA124" s="1"/>
      <c r="AB124" s="331">
        <f>AE124</f>
      </c>
      <c r="AC124" s="336">
        <f>+IF(AD124&lt;AC123,AD124,AC123)</f>
      </c>
      <c r="AD124" s="337">
        <f>+(AD123-AC123)*(1+$E$16)</f>
      </c>
      <c r="AE124" s="332">
        <v>119</v>
      </c>
    </row>
    <row x14ac:dyDescent="0.25" r="125" customHeight="1" ht="18.75">
      <c r="A125" s="1"/>
      <c r="B125" s="1"/>
      <c r="C125" s="169"/>
      <c r="D125" s="169"/>
      <c r="E125" s="168"/>
      <c r="F125" s="169"/>
      <c r="G125" s="170"/>
      <c r="H125" s="1"/>
      <c r="I125" s="1"/>
      <c r="J125" s="1"/>
      <c r="K125" s="1"/>
      <c r="L125" s="1"/>
      <c r="M125" s="331">
        <f>P125</f>
      </c>
      <c r="N125" s="335">
        <f>+IF(O125&lt;N124,O125,N124)</f>
      </c>
      <c r="O125" s="335">
        <f>+(O124-N124)*(1+$E$13)</f>
      </c>
      <c r="P125" s="332">
        <v>120</v>
      </c>
      <c r="Q125" s="1"/>
      <c r="R125" s="331">
        <f>U125</f>
      </c>
      <c r="S125" s="335">
        <f>+IF(T125&lt;S124,T125,S124)</f>
      </c>
      <c r="T125" s="335">
        <f>+(T124-S124)*(1+$E$14)</f>
      </c>
      <c r="U125" s="332">
        <v>120</v>
      </c>
      <c r="V125" s="1"/>
      <c r="W125" s="331">
        <f>Z125</f>
      </c>
      <c r="X125" s="336">
        <f>+IF(Y125&lt;X124,Y125,X124)</f>
      </c>
      <c r="Y125" s="337">
        <f>+(Y124-X124)*(1+$E$15)</f>
      </c>
      <c r="Z125" s="332">
        <v>120</v>
      </c>
      <c r="AA125" s="1"/>
      <c r="AB125" s="331">
        <f>AE125</f>
      </c>
      <c r="AC125" s="336">
        <f>+IF(AD125&lt;AC124,AD125,AC124)</f>
      </c>
      <c r="AD125" s="337">
        <f>+(AD124-AC124)*(1+$E$16)</f>
      </c>
      <c r="AE125" s="332">
        <v>120</v>
      </c>
    </row>
    <row x14ac:dyDescent="0.25" r="126" customHeight="1" ht="18.75">
      <c r="A126" s="1"/>
      <c r="B126" s="1"/>
      <c r="C126" s="169"/>
      <c r="D126" s="169"/>
      <c r="E126" s="168"/>
      <c r="F126" s="169"/>
      <c r="G126" s="170"/>
      <c r="H126" s="1"/>
      <c r="I126" s="1"/>
      <c r="J126" s="1"/>
      <c r="K126" s="1"/>
      <c r="L126" s="1"/>
      <c r="M126" s="331">
        <f>P126</f>
      </c>
      <c r="N126" s="335">
        <f>+IF(O126&lt;N125,O126,N125)</f>
      </c>
      <c r="O126" s="335">
        <f>+(O125-N125)*(1+$E$13)</f>
      </c>
      <c r="P126" s="332">
        <v>121</v>
      </c>
      <c r="Q126" s="1"/>
      <c r="R126" s="331">
        <f>U126</f>
      </c>
      <c r="S126" s="335">
        <f>+IF(T126&lt;S125,T126,S125)</f>
      </c>
      <c r="T126" s="335">
        <f>+(T125-S125)*(1+$E$14)</f>
      </c>
      <c r="U126" s="332">
        <v>121</v>
      </c>
      <c r="V126" s="1"/>
      <c r="W126" s="331">
        <f>Z126</f>
      </c>
      <c r="X126" s="336">
        <f>+IF(Y126&lt;X125,Y126,X125)</f>
      </c>
      <c r="Y126" s="337">
        <f>+(Y125-X125)*(1+$E$15)</f>
      </c>
      <c r="Z126" s="332">
        <v>121</v>
      </c>
      <c r="AA126" s="1"/>
      <c r="AB126" s="331">
        <f>AE126</f>
      </c>
      <c r="AC126" s="336">
        <f>+IF(AD126&lt;AC125,AD126,AC125)</f>
      </c>
      <c r="AD126" s="337">
        <f>+(AD125-AC125)*(1+$E$16)</f>
      </c>
      <c r="AE126" s="332">
        <v>121</v>
      </c>
    </row>
    <row x14ac:dyDescent="0.25" r="127" customHeight="1" ht="18.75">
      <c r="A127" s="1"/>
      <c r="B127" s="1"/>
      <c r="C127" s="169"/>
      <c r="D127" s="169"/>
      <c r="E127" s="168"/>
      <c r="F127" s="169"/>
      <c r="G127" s="170"/>
      <c r="H127" s="1"/>
      <c r="I127" s="1"/>
      <c r="J127" s="1"/>
      <c r="K127" s="1"/>
      <c r="L127" s="1"/>
      <c r="M127" s="331">
        <f>P127</f>
      </c>
      <c r="N127" s="335">
        <f>+IF(O127&lt;N126,O127,N126)</f>
      </c>
      <c r="O127" s="335">
        <f>+(O126-N126)*(1+$E$13)</f>
      </c>
      <c r="P127" s="332">
        <v>122</v>
      </c>
      <c r="Q127" s="1"/>
      <c r="R127" s="331">
        <f>U127</f>
      </c>
      <c r="S127" s="335">
        <f>+IF(T127&lt;S126,T127,S126)</f>
      </c>
      <c r="T127" s="335">
        <f>+(T126-S126)*(1+$E$14)</f>
      </c>
      <c r="U127" s="332">
        <v>122</v>
      </c>
      <c r="V127" s="1"/>
      <c r="W127" s="331">
        <f>Z127</f>
      </c>
      <c r="X127" s="336">
        <f>+IF(Y127&lt;X126,Y127,X126)</f>
      </c>
      <c r="Y127" s="337">
        <f>+(Y126-X126)*(1+$E$15)</f>
      </c>
      <c r="Z127" s="332">
        <v>122</v>
      </c>
      <c r="AA127" s="1"/>
      <c r="AB127" s="331">
        <f>AE127</f>
      </c>
      <c r="AC127" s="336">
        <f>+IF(AD127&lt;AC126,AD127,AC126)</f>
      </c>
      <c r="AD127" s="337">
        <f>+(AD126-AC126)*(1+$E$16)</f>
      </c>
      <c r="AE127" s="332">
        <v>122</v>
      </c>
    </row>
    <row x14ac:dyDescent="0.25" r="128" customHeight="1" ht="18.75">
      <c r="A128" s="1"/>
      <c r="B128" s="1"/>
      <c r="C128" s="169"/>
      <c r="D128" s="169"/>
      <c r="E128" s="168"/>
      <c r="F128" s="169"/>
      <c r="G128" s="170"/>
      <c r="H128" s="1"/>
      <c r="I128" s="1"/>
      <c r="J128" s="1"/>
      <c r="K128" s="1"/>
      <c r="L128" s="1"/>
      <c r="M128" s="331">
        <f>P128</f>
      </c>
      <c r="N128" s="335">
        <f>+IF(O128&lt;N127,O128,N127)</f>
      </c>
      <c r="O128" s="335">
        <f>+(O127-N127)*(1+$E$13)</f>
      </c>
      <c r="P128" s="332">
        <v>123</v>
      </c>
      <c r="Q128" s="1"/>
      <c r="R128" s="331">
        <f>U128</f>
      </c>
      <c r="S128" s="335">
        <f>+IF(T128&lt;S127,T128,S127)</f>
      </c>
      <c r="T128" s="335">
        <f>+(T127-S127)*(1+$E$14)</f>
      </c>
      <c r="U128" s="332">
        <v>123</v>
      </c>
      <c r="V128" s="1"/>
      <c r="W128" s="331">
        <f>Z128</f>
      </c>
      <c r="X128" s="336">
        <f>+IF(Y128&lt;X127,Y128,X127)</f>
      </c>
      <c r="Y128" s="337">
        <f>+(Y127-X127)*(1+$E$15)</f>
      </c>
      <c r="Z128" s="332">
        <v>123</v>
      </c>
      <c r="AA128" s="1"/>
      <c r="AB128" s="331">
        <f>AE128</f>
      </c>
      <c r="AC128" s="336">
        <f>+IF(AD128&lt;AC127,AD128,AC127)</f>
      </c>
      <c r="AD128" s="337">
        <f>+(AD127-AC127)*(1+$E$16)</f>
      </c>
      <c r="AE128" s="332">
        <v>123</v>
      </c>
    </row>
    <row x14ac:dyDescent="0.25" r="129" customHeight="1" ht="18.75">
      <c r="A129" s="1"/>
      <c r="B129" s="1"/>
      <c r="C129" s="169"/>
      <c r="D129" s="169"/>
      <c r="E129" s="168"/>
      <c r="F129" s="169"/>
      <c r="G129" s="170"/>
      <c r="H129" s="1"/>
      <c r="I129" s="1"/>
      <c r="J129" s="1"/>
      <c r="K129" s="1"/>
      <c r="L129" s="1"/>
      <c r="M129" s="331">
        <f>P129</f>
      </c>
      <c r="N129" s="335">
        <f>+IF(O129&lt;N128,O129,N128)</f>
      </c>
      <c r="O129" s="335">
        <f>+(O128-N128)*(1+$E$13)</f>
      </c>
      <c r="P129" s="332">
        <v>124</v>
      </c>
      <c r="Q129" s="1"/>
      <c r="R129" s="331">
        <f>U129</f>
      </c>
      <c r="S129" s="335">
        <f>+IF(T129&lt;S128,T129,S128)</f>
      </c>
      <c r="T129" s="335">
        <f>+(T128-S128)*(1+$E$14)</f>
      </c>
      <c r="U129" s="332">
        <v>124</v>
      </c>
      <c r="V129" s="1"/>
      <c r="W129" s="331">
        <f>Z129</f>
      </c>
      <c r="X129" s="336">
        <f>+IF(Y129&lt;X128,Y129,X128)</f>
      </c>
      <c r="Y129" s="337">
        <f>+(Y128-X128)*(1+$E$15)</f>
      </c>
      <c r="Z129" s="332">
        <v>124</v>
      </c>
      <c r="AA129" s="1"/>
      <c r="AB129" s="331">
        <f>AE129</f>
      </c>
      <c r="AC129" s="336">
        <f>+IF(AD129&lt;AC128,AD129,AC128)</f>
      </c>
      <c r="AD129" s="337">
        <f>+(AD128-AC128)*(1+$E$16)</f>
      </c>
      <c r="AE129" s="332">
        <v>124</v>
      </c>
    </row>
    <row x14ac:dyDescent="0.25" r="130" customHeight="1" ht="18.75">
      <c r="A130" s="1"/>
      <c r="B130" s="1"/>
      <c r="C130" s="169"/>
      <c r="D130" s="169"/>
      <c r="E130" s="168"/>
      <c r="F130" s="169"/>
      <c r="G130" s="170"/>
      <c r="H130" s="1"/>
      <c r="I130" s="1"/>
      <c r="J130" s="1"/>
      <c r="K130" s="1"/>
      <c r="L130" s="1"/>
      <c r="M130" s="331">
        <f>P130</f>
      </c>
      <c r="N130" s="335">
        <f>+IF(O130&lt;N129,O130,N129)</f>
      </c>
      <c r="O130" s="335">
        <f>+(O129-N129)*(1+$E$13)</f>
      </c>
      <c r="P130" s="332">
        <v>125</v>
      </c>
      <c r="Q130" s="1"/>
      <c r="R130" s="331">
        <f>U130</f>
      </c>
      <c r="S130" s="335">
        <f>+IF(T130&lt;S129,T130,S129)</f>
      </c>
      <c r="T130" s="335">
        <f>+(T129-S129)*(1+$E$14)</f>
      </c>
      <c r="U130" s="332">
        <v>125</v>
      </c>
      <c r="V130" s="1"/>
      <c r="W130" s="331">
        <f>Z130</f>
      </c>
      <c r="X130" s="336">
        <f>+IF(Y130&lt;X129,Y130,X129)</f>
      </c>
      <c r="Y130" s="337">
        <f>+(Y129-X129)*(1+$E$15)</f>
      </c>
      <c r="Z130" s="332">
        <v>125</v>
      </c>
      <c r="AA130" s="1"/>
      <c r="AB130" s="331">
        <f>AE130</f>
      </c>
      <c r="AC130" s="336">
        <f>+IF(AD130&lt;AC129,AD130,AC129)</f>
      </c>
      <c r="AD130" s="337">
        <f>+(AD129-AC129)*(1+$E$16)</f>
      </c>
      <c r="AE130" s="332">
        <v>125</v>
      </c>
    </row>
    <row x14ac:dyDescent="0.25" r="131" customHeight="1" ht="18.75">
      <c r="A131" s="1"/>
      <c r="B131" s="1"/>
      <c r="C131" s="169"/>
      <c r="D131" s="169"/>
      <c r="E131" s="168"/>
      <c r="F131" s="169"/>
      <c r="G131" s="170"/>
      <c r="H131" s="1"/>
      <c r="I131" s="1"/>
      <c r="J131" s="1"/>
      <c r="K131" s="1"/>
      <c r="L131" s="1"/>
      <c r="M131" s="331">
        <f>P131</f>
      </c>
      <c r="N131" s="335">
        <f>+IF(O131&lt;N130,O131,N130)</f>
      </c>
      <c r="O131" s="335">
        <f>+(O130-N130)*(1+$E$13)</f>
      </c>
      <c r="P131" s="332">
        <v>126</v>
      </c>
      <c r="Q131" s="1"/>
      <c r="R131" s="331">
        <f>U131</f>
      </c>
      <c r="S131" s="335">
        <f>+IF(T131&lt;S130,T131,S130)</f>
      </c>
      <c r="T131" s="335">
        <f>+(T130-S130)*(1+$E$14)</f>
      </c>
      <c r="U131" s="332">
        <v>126</v>
      </c>
      <c r="V131" s="1"/>
      <c r="W131" s="331">
        <f>Z131</f>
      </c>
      <c r="X131" s="336">
        <f>+IF(Y131&lt;X130,Y131,X130)</f>
      </c>
      <c r="Y131" s="337">
        <f>+(Y130-X130)*(1+$E$15)</f>
      </c>
      <c r="Z131" s="332">
        <v>126</v>
      </c>
      <c r="AA131" s="1"/>
      <c r="AB131" s="331">
        <f>AE131</f>
      </c>
      <c r="AC131" s="336">
        <f>+IF(AD131&lt;AC130,AD131,AC130)</f>
      </c>
      <c r="AD131" s="337">
        <f>+(AD130-AC130)*(1+$E$16)</f>
      </c>
      <c r="AE131" s="332">
        <v>126</v>
      </c>
    </row>
    <row x14ac:dyDescent="0.25" r="132" customHeight="1" ht="18.75">
      <c r="A132" s="1"/>
      <c r="B132" s="1"/>
      <c r="C132" s="169"/>
      <c r="D132" s="169"/>
      <c r="E132" s="168"/>
      <c r="F132" s="169"/>
      <c r="G132" s="170"/>
      <c r="H132" s="1"/>
      <c r="I132" s="1"/>
      <c r="J132" s="1"/>
      <c r="K132" s="1"/>
      <c r="L132" s="1"/>
      <c r="M132" s="331">
        <f>P132</f>
      </c>
      <c r="N132" s="335">
        <f>+IF(O132&lt;N131,O132,N131)</f>
      </c>
      <c r="O132" s="335">
        <f>+(O131-N131)*(1+$E$13)</f>
      </c>
      <c r="P132" s="332">
        <v>127</v>
      </c>
      <c r="Q132" s="1"/>
      <c r="R132" s="331">
        <f>U132</f>
      </c>
      <c r="S132" s="335">
        <f>+IF(T132&lt;S131,T132,S131)</f>
      </c>
      <c r="T132" s="335">
        <f>+(T131-S131)*(1+$E$14)</f>
      </c>
      <c r="U132" s="332">
        <v>127</v>
      </c>
      <c r="V132" s="1"/>
      <c r="W132" s="331">
        <f>Z132</f>
      </c>
      <c r="X132" s="336">
        <f>+IF(Y132&lt;X131,Y132,X131)</f>
      </c>
      <c r="Y132" s="337">
        <f>+(Y131-X131)*(1+$E$15)</f>
      </c>
      <c r="Z132" s="332">
        <v>127</v>
      </c>
      <c r="AA132" s="1"/>
      <c r="AB132" s="331">
        <f>AE132</f>
      </c>
      <c r="AC132" s="336">
        <f>+IF(AD132&lt;AC131,AD132,AC131)</f>
      </c>
      <c r="AD132" s="337">
        <f>+(AD131-AC131)*(1+$E$16)</f>
      </c>
      <c r="AE132" s="332">
        <v>127</v>
      </c>
    </row>
    <row x14ac:dyDescent="0.25" r="133" customHeight="1" ht="18.75">
      <c r="A133" s="1"/>
      <c r="B133" s="1"/>
      <c r="C133" s="169"/>
      <c r="D133" s="169"/>
      <c r="E133" s="168"/>
      <c r="F133" s="169"/>
      <c r="G133" s="170"/>
      <c r="H133" s="1"/>
      <c r="I133" s="1"/>
      <c r="J133" s="1"/>
      <c r="K133" s="1"/>
      <c r="L133" s="1"/>
      <c r="M133" s="331">
        <f>P133</f>
      </c>
      <c r="N133" s="335">
        <f>+IF(O133&lt;N132,O133,N132)</f>
      </c>
      <c r="O133" s="335">
        <f>+(O132-N132)*(1+$E$13)</f>
      </c>
      <c r="P133" s="332">
        <v>128</v>
      </c>
      <c r="Q133" s="1"/>
      <c r="R133" s="331">
        <f>U133</f>
      </c>
      <c r="S133" s="335">
        <f>+IF(T133&lt;S132,T133,S132)</f>
      </c>
      <c r="T133" s="335">
        <f>+(T132-S132)*(1+$E$14)</f>
      </c>
      <c r="U133" s="332">
        <v>128</v>
      </c>
      <c r="V133" s="1"/>
      <c r="W133" s="331">
        <f>Z133</f>
      </c>
      <c r="X133" s="336">
        <f>+IF(Y133&lt;X132,Y133,X132)</f>
      </c>
      <c r="Y133" s="337">
        <f>+(Y132-X132)*(1+$E$15)</f>
      </c>
      <c r="Z133" s="332">
        <v>128</v>
      </c>
      <c r="AA133" s="1"/>
      <c r="AB133" s="331">
        <f>AE133</f>
      </c>
      <c r="AC133" s="336">
        <f>+IF(AD133&lt;AC132,AD133,AC132)</f>
      </c>
      <c r="AD133" s="337">
        <f>+(AD132-AC132)*(1+$E$16)</f>
      </c>
      <c r="AE133" s="332">
        <v>128</v>
      </c>
    </row>
    <row x14ac:dyDescent="0.25" r="134" customHeight="1" ht="18.75">
      <c r="A134" s="1"/>
      <c r="B134" s="1"/>
      <c r="C134" s="169"/>
      <c r="D134" s="169"/>
      <c r="E134" s="168"/>
      <c r="F134" s="169"/>
      <c r="G134" s="170"/>
      <c r="H134" s="1"/>
      <c r="I134" s="1"/>
      <c r="J134" s="1"/>
      <c r="K134" s="1"/>
      <c r="L134" s="1"/>
      <c r="M134" s="331">
        <f>P134</f>
      </c>
      <c r="N134" s="335">
        <f>+IF(O134&lt;N133,O134,N133)</f>
      </c>
      <c r="O134" s="335">
        <f>+(O133-N133)*(1+$E$13)</f>
      </c>
      <c r="P134" s="332">
        <v>129</v>
      </c>
      <c r="Q134" s="1"/>
      <c r="R134" s="331">
        <f>U134</f>
      </c>
      <c r="S134" s="335">
        <f>+IF(T134&lt;S133,T134,S133)</f>
      </c>
      <c r="T134" s="335">
        <f>+(T133-S133)*(1+$E$14)</f>
      </c>
      <c r="U134" s="332">
        <v>129</v>
      </c>
      <c r="V134" s="1"/>
      <c r="W134" s="331">
        <f>Z134</f>
      </c>
      <c r="X134" s="336">
        <f>+IF(Y134&lt;X133,Y134,X133)</f>
      </c>
      <c r="Y134" s="337">
        <f>+(Y133-X133)*(1+$E$15)</f>
      </c>
      <c r="Z134" s="332">
        <v>129</v>
      </c>
      <c r="AA134" s="1"/>
      <c r="AB134" s="331">
        <f>AE134</f>
      </c>
      <c r="AC134" s="336">
        <f>+IF(AD134&lt;AC133,AD134,AC133)</f>
      </c>
      <c r="AD134" s="337">
        <f>+(AD133-AC133)*(1+$E$16)</f>
      </c>
      <c r="AE134" s="332">
        <v>129</v>
      </c>
    </row>
    <row x14ac:dyDescent="0.25" r="135" customHeight="1" ht="18.75">
      <c r="A135" s="1"/>
      <c r="B135" s="1"/>
      <c r="C135" s="169"/>
      <c r="D135" s="169"/>
      <c r="E135" s="168"/>
      <c r="F135" s="169"/>
      <c r="G135" s="170"/>
      <c r="H135" s="1"/>
      <c r="I135" s="1"/>
      <c r="J135" s="1"/>
      <c r="K135" s="1"/>
      <c r="L135" s="1"/>
      <c r="M135" s="331">
        <f>P135</f>
      </c>
      <c r="N135" s="335">
        <f>+IF(O135&lt;N134,O135,N134)</f>
      </c>
      <c r="O135" s="335">
        <f>+(O134-N134)*(1+$E$13)</f>
      </c>
      <c r="P135" s="332">
        <v>130</v>
      </c>
      <c r="Q135" s="1"/>
      <c r="R135" s="331">
        <f>U135</f>
      </c>
      <c r="S135" s="335">
        <f>+IF(T135&lt;S134,T135,S134)</f>
      </c>
      <c r="T135" s="335">
        <f>+(T134-S134)*(1+$E$14)</f>
      </c>
      <c r="U135" s="332">
        <v>130</v>
      </c>
      <c r="V135" s="1"/>
      <c r="W135" s="331">
        <f>Z135</f>
      </c>
      <c r="X135" s="336">
        <f>+IF(Y135&lt;X134,Y135,X134)</f>
      </c>
      <c r="Y135" s="337">
        <f>+(Y134-X134)*(1+$E$15)</f>
      </c>
      <c r="Z135" s="332">
        <v>130</v>
      </c>
      <c r="AA135" s="1"/>
      <c r="AB135" s="331">
        <f>AE135</f>
      </c>
      <c r="AC135" s="336">
        <f>+IF(AD135&lt;AC134,AD135,AC134)</f>
      </c>
      <c r="AD135" s="337">
        <f>+(AD134-AC134)*(1+$E$16)</f>
      </c>
      <c r="AE135" s="332">
        <v>130</v>
      </c>
    </row>
    <row x14ac:dyDescent="0.25" r="136" customHeight="1" ht="18.75">
      <c r="A136" s="1"/>
      <c r="B136" s="1"/>
      <c r="C136" s="169"/>
      <c r="D136" s="169"/>
      <c r="E136" s="168"/>
      <c r="F136" s="169"/>
      <c r="G136" s="170"/>
      <c r="H136" s="1"/>
      <c r="I136" s="1"/>
      <c r="J136" s="1"/>
      <c r="K136" s="1"/>
      <c r="L136" s="1"/>
      <c r="M136" s="331">
        <f>P136</f>
      </c>
      <c r="N136" s="335">
        <f>+IF(O136&lt;N135,O136,N135)</f>
      </c>
      <c r="O136" s="335">
        <f>+(O135-N135)*(1+$E$13)</f>
      </c>
      <c r="P136" s="332">
        <v>131</v>
      </c>
      <c r="Q136" s="1"/>
      <c r="R136" s="331">
        <f>U136</f>
      </c>
      <c r="S136" s="335">
        <f>+IF(T136&lt;S135,T136,S135)</f>
      </c>
      <c r="T136" s="335">
        <f>+(T135-S135)*(1+$E$14)</f>
      </c>
      <c r="U136" s="332">
        <v>131</v>
      </c>
      <c r="V136" s="1"/>
      <c r="W136" s="331">
        <f>Z136</f>
      </c>
      <c r="X136" s="336">
        <f>+IF(Y136&lt;X135,Y136,X135)</f>
      </c>
      <c r="Y136" s="337">
        <f>+(Y135-X135)*(1+$E$15)</f>
      </c>
      <c r="Z136" s="332">
        <v>131</v>
      </c>
      <c r="AA136" s="1"/>
      <c r="AB136" s="331">
        <f>AE136</f>
      </c>
      <c r="AC136" s="336">
        <f>+IF(AD136&lt;AC135,AD136,AC135)</f>
      </c>
      <c r="AD136" s="337">
        <f>+(AD135-AC135)*(1+$E$16)</f>
      </c>
      <c r="AE136" s="332">
        <v>131</v>
      </c>
    </row>
    <row x14ac:dyDescent="0.25" r="137" customHeight="1" ht="18.75">
      <c r="A137" s="1"/>
      <c r="B137" s="1"/>
      <c r="C137" s="169"/>
      <c r="D137" s="169"/>
      <c r="E137" s="168"/>
      <c r="F137" s="169"/>
      <c r="G137" s="170"/>
      <c r="H137" s="1"/>
      <c r="I137" s="1"/>
      <c r="J137" s="1"/>
      <c r="K137" s="1"/>
      <c r="L137" s="1"/>
      <c r="M137" s="331">
        <f>P137</f>
      </c>
      <c r="N137" s="335">
        <f>+IF(O137&lt;N136,O137,N136)</f>
      </c>
      <c r="O137" s="335">
        <f>+(O136-N136)*(1+$E$13)</f>
      </c>
      <c r="P137" s="332">
        <v>132</v>
      </c>
      <c r="Q137" s="1"/>
      <c r="R137" s="331">
        <f>U137</f>
      </c>
      <c r="S137" s="335">
        <f>+IF(T137&lt;S136,T137,S136)</f>
      </c>
      <c r="T137" s="335">
        <f>+(T136-S136)*(1+$E$14)</f>
      </c>
      <c r="U137" s="332">
        <v>132</v>
      </c>
      <c r="V137" s="1"/>
      <c r="W137" s="331">
        <f>Z137</f>
      </c>
      <c r="X137" s="336">
        <f>+IF(Y137&lt;X136,Y137,X136)</f>
      </c>
      <c r="Y137" s="337">
        <f>+(Y136-X136)*(1+$E$15)</f>
      </c>
      <c r="Z137" s="332">
        <v>132</v>
      </c>
      <c r="AA137" s="1"/>
      <c r="AB137" s="331">
        <f>AE137</f>
      </c>
      <c r="AC137" s="336">
        <f>+IF(AD137&lt;AC136,AD137,AC136)</f>
      </c>
      <c r="AD137" s="337">
        <f>+(AD136-AC136)*(1+$E$16)</f>
      </c>
      <c r="AE137" s="332">
        <v>132</v>
      </c>
    </row>
    <row x14ac:dyDescent="0.25" r="138" customHeight="1" ht="18.75">
      <c r="A138" s="1"/>
      <c r="B138" s="1"/>
      <c r="C138" s="169"/>
      <c r="D138" s="169"/>
      <c r="E138" s="168"/>
      <c r="F138" s="169"/>
      <c r="G138" s="170"/>
      <c r="H138" s="1"/>
      <c r="I138" s="1"/>
      <c r="J138" s="1"/>
      <c r="K138" s="1"/>
      <c r="L138" s="1"/>
      <c r="M138" s="331">
        <f>P138</f>
      </c>
      <c r="N138" s="335">
        <f>+IF(O138&lt;N137,O138,N137)</f>
      </c>
      <c r="O138" s="335">
        <f>+(O137-N137)*(1+$E$13)</f>
      </c>
      <c r="P138" s="332">
        <v>133</v>
      </c>
      <c r="Q138" s="1"/>
      <c r="R138" s="331">
        <f>U138</f>
      </c>
      <c r="S138" s="335">
        <f>+IF(T138&lt;S137,T138,S137)</f>
      </c>
      <c r="T138" s="335">
        <f>+(T137-S137)*(1+$E$14)</f>
      </c>
      <c r="U138" s="332">
        <v>133</v>
      </c>
      <c r="V138" s="1"/>
      <c r="W138" s="331">
        <f>Z138</f>
      </c>
      <c r="X138" s="336">
        <f>+IF(Y138&lt;X137,Y138,X137)</f>
      </c>
      <c r="Y138" s="337">
        <f>+(Y137-X137)*(1+$E$15)</f>
      </c>
      <c r="Z138" s="332">
        <v>133</v>
      </c>
      <c r="AA138" s="1"/>
      <c r="AB138" s="331">
        <f>AE138</f>
      </c>
      <c r="AC138" s="336">
        <f>+IF(AD138&lt;AC137,AD138,AC137)</f>
      </c>
      <c r="AD138" s="337">
        <f>+(AD137-AC137)*(1+$E$16)</f>
      </c>
      <c r="AE138" s="332">
        <v>133</v>
      </c>
    </row>
    <row x14ac:dyDescent="0.25" r="139" customHeight="1" ht="18.75">
      <c r="A139" s="1"/>
      <c r="B139" s="1"/>
      <c r="C139" s="169"/>
      <c r="D139" s="169"/>
      <c r="E139" s="168"/>
      <c r="F139" s="169"/>
      <c r="G139" s="170"/>
      <c r="H139" s="1"/>
      <c r="I139" s="1"/>
      <c r="J139" s="1"/>
      <c r="K139" s="1"/>
      <c r="L139" s="1"/>
      <c r="M139" s="331">
        <f>P139</f>
      </c>
      <c r="N139" s="335">
        <f>+IF(O139&lt;N138,O139,N138)</f>
      </c>
      <c r="O139" s="335">
        <f>+(O138-N138)*(1+$E$13)</f>
      </c>
      <c r="P139" s="332">
        <v>134</v>
      </c>
      <c r="Q139" s="1"/>
      <c r="R139" s="331">
        <f>U139</f>
      </c>
      <c r="S139" s="335">
        <f>+IF(T139&lt;S138,T139,S138)</f>
      </c>
      <c r="T139" s="335">
        <f>+(T138-S138)*(1+$E$14)</f>
      </c>
      <c r="U139" s="332">
        <v>134</v>
      </c>
      <c r="V139" s="1"/>
      <c r="W139" s="331">
        <f>Z139</f>
      </c>
      <c r="X139" s="336">
        <f>+IF(Y139&lt;X138,Y139,X138)</f>
      </c>
      <c r="Y139" s="337">
        <f>+(Y138-X138)*(1+$E$15)</f>
      </c>
      <c r="Z139" s="332">
        <v>134</v>
      </c>
      <c r="AA139" s="1"/>
      <c r="AB139" s="331">
        <f>AE139</f>
      </c>
      <c r="AC139" s="336">
        <f>+IF(AD139&lt;AC138,AD139,AC138)</f>
      </c>
      <c r="AD139" s="337">
        <f>+(AD138-AC138)*(1+$E$16)</f>
      </c>
      <c r="AE139" s="332">
        <v>134</v>
      </c>
    </row>
    <row x14ac:dyDescent="0.25" r="140" customHeight="1" ht="18.75">
      <c r="A140" s="1"/>
      <c r="B140" s="1"/>
      <c r="C140" s="169"/>
      <c r="D140" s="169"/>
      <c r="E140" s="168"/>
      <c r="F140" s="169"/>
      <c r="G140" s="170"/>
      <c r="H140" s="1"/>
      <c r="I140" s="1"/>
      <c r="J140" s="1"/>
      <c r="K140" s="1"/>
      <c r="L140" s="1"/>
      <c r="M140" s="331">
        <f>P140</f>
      </c>
      <c r="N140" s="335">
        <f>+IF(O140&lt;N139,O140,N139)</f>
      </c>
      <c r="O140" s="335">
        <f>+(O139-N139)*(1+$E$13)</f>
      </c>
      <c r="P140" s="332">
        <v>135</v>
      </c>
      <c r="Q140" s="1"/>
      <c r="R140" s="331">
        <f>U140</f>
      </c>
      <c r="S140" s="335">
        <f>+IF(T140&lt;S139,T140,S139)</f>
      </c>
      <c r="T140" s="335">
        <f>+(T139-S139)*(1+$E$14)</f>
      </c>
      <c r="U140" s="332">
        <v>135</v>
      </c>
      <c r="V140" s="1"/>
      <c r="W140" s="331">
        <f>Z140</f>
      </c>
      <c r="X140" s="336">
        <f>+IF(Y140&lt;X139,Y140,X139)</f>
      </c>
      <c r="Y140" s="337">
        <f>+(Y139-X139)*(1+$E$15)</f>
      </c>
      <c r="Z140" s="332">
        <v>135</v>
      </c>
      <c r="AA140" s="1"/>
      <c r="AB140" s="331">
        <f>AE140</f>
      </c>
      <c r="AC140" s="336">
        <f>+IF(AD140&lt;AC139,AD140,AC139)</f>
      </c>
      <c r="AD140" s="337">
        <f>+(AD139-AC139)*(1+$E$16)</f>
      </c>
      <c r="AE140" s="332">
        <v>135</v>
      </c>
    </row>
    <row x14ac:dyDescent="0.25" r="141" customHeight="1" ht="18.75">
      <c r="A141" s="1"/>
      <c r="B141" s="1"/>
      <c r="C141" s="169"/>
      <c r="D141" s="169"/>
      <c r="E141" s="168"/>
      <c r="F141" s="169"/>
      <c r="G141" s="170"/>
      <c r="H141" s="1"/>
      <c r="I141" s="1"/>
      <c r="J141" s="1"/>
      <c r="K141" s="1"/>
      <c r="L141" s="1"/>
      <c r="M141" s="331">
        <f>P141</f>
      </c>
      <c r="N141" s="335">
        <f>+IF(O141&lt;N140,O141,N140)</f>
      </c>
      <c r="O141" s="335">
        <f>+(O140-N140)*(1+$E$13)</f>
      </c>
      <c r="P141" s="332">
        <v>136</v>
      </c>
      <c r="Q141" s="1"/>
      <c r="R141" s="331">
        <f>U141</f>
      </c>
      <c r="S141" s="335">
        <f>+IF(T141&lt;S140,T141,S140)</f>
      </c>
      <c r="T141" s="335">
        <f>+(T140-S140)*(1+$E$14)</f>
      </c>
      <c r="U141" s="332">
        <v>136</v>
      </c>
      <c r="V141" s="1"/>
      <c r="W141" s="331">
        <f>Z141</f>
      </c>
      <c r="X141" s="336">
        <f>+IF(Y141&lt;X140,Y141,X140)</f>
      </c>
      <c r="Y141" s="337">
        <f>+(Y140-X140)*(1+$E$15)</f>
      </c>
      <c r="Z141" s="332">
        <v>136</v>
      </c>
      <c r="AA141" s="1"/>
      <c r="AB141" s="331">
        <f>AE141</f>
      </c>
      <c r="AC141" s="336">
        <f>+IF(AD141&lt;AC140,AD141,AC140)</f>
      </c>
      <c r="AD141" s="337">
        <f>+(AD140-AC140)*(1+$E$16)</f>
      </c>
      <c r="AE141" s="332">
        <v>136</v>
      </c>
    </row>
    <row x14ac:dyDescent="0.25" r="142" customHeight="1" ht="18.75">
      <c r="A142" s="1"/>
      <c r="B142" s="1"/>
      <c r="C142" s="169"/>
      <c r="D142" s="169"/>
      <c r="E142" s="168"/>
      <c r="F142" s="169"/>
      <c r="G142" s="170"/>
      <c r="H142" s="1"/>
      <c r="I142" s="1"/>
      <c r="J142" s="1"/>
      <c r="K142" s="1"/>
      <c r="L142" s="1"/>
      <c r="M142" s="331">
        <f>P142</f>
      </c>
      <c r="N142" s="335">
        <f>+IF(O142&lt;N141,O142,N141)</f>
      </c>
      <c r="O142" s="335">
        <f>+(O141-N141)*(1+$E$13)</f>
      </c>
      <c r="P142" s="332">
        <v>137</v>
      </c>
      <c r="Q142" s="1"/>
      <c r="R142" s="331">
        <f>U142</f>
      </c>
      <c r="S142" s="335">
        <f>+IF(T142&lt;S141,T142,S141)</f>
      </c>
      <c r="T142" s="335">
        <f>+(T141-S141)*(1+$E$14)</f>
      </c>
      <c r="U142" s="332">
        <v>137</v>
      </c>
      <c r="V142" s="1"/>
      <c r="W142" s="331">
        <f>Z142</f>
      </c>
      <c r="X142" s="336">
        <f>+IF(Y142&lt;X141,Y142,X141)</f>
      </c>
      <c r="Y142" s="337">
        <f>+(Y141-X141)*(1+$E$15)</f>
      </c>
      <c r="Z142" s="332">
        <v>137</v>
      </c>
      <c r="AA142" s="1"/>
      <c r="AB142" s="331">
        <f>AE142</f>
      </c>
      <c r="AC142" s="336">
        <f>+IF(AD142&lt;AC141,AD142,AC141)</f>
      </c>
      <c r="AD142" s="337">
        <f>+(AD141-AC141)*(1+$E$16)</f>
      </c>
      <c r="AE142" s="332">
        <v>137</v>
      </c>
    </row>
    <row x14ac:dyDescent="0.25" r="143" customHeight="1" ht="18.75">
      <c r="A143" s="1"/>
      <c r="B143" s="1"/>
      <c r="C143" s="169"/>
      <c r="D143" s="169"/>
      <c r="E143" s="168"/>
      <c r="F143" s="169"/>
      <c r="G143" s="170"/>
      <c r="H143" s="1"/>
      <c r="I143" s="1"/>
      <c r="J143" s="1"/>
      <c r="K143" s="1"/>
      <c r="L143" s="1"/>
      <c r="M143" s="331">
        <f>P143</f>
      </c>
      <c r="N143" s="335">
        <f>+IF(O143&lt;N142,O143,N142)</f>
      </c>
      <c r="O143" s="335">
        <f>+(O142-N142)*(1+$E$13)</f>
      </c>
      <c r="P143" s="332">
        <v>138</v>
      </c>
      <c r="Q143" s="1"/>
      <c r="R143" s="331">
        <f>U143</f>
      </c>
      <c r="S143" s="335">
        <f>+IF(T143&lt;S142,T143,S142)</f>
      </c>
      <c r="T143" s="335">
        <f>+(T142-S142)*(1+$E$14)</f>
      </c>
      <c r="U143" s="332">
        <v>138</v>
      </c>
      <c r="V143" s="1"/>
      <c r="W143" s="331">
        <f>Z143</f>
      </c>
      <c r="X143" s="336">
        <f>+IF(Y143&lt;X142,Y143,X142)</f>
      </c>
      <c r="Y143" s="337">
        <f>+(Y142-X142)*(1+$E$15)</f>
      </c>
      <c r="Z143" s="332">
        <v>138</v>
      </c>
      <c r="AA143" s="1"/>
      <c r="AB143" s="331">
        <f>AE143</f>
      </c>
      <c r="AC143" s="336">
        <f>+IF(AD143&lt;AC142,AD143,AC142)</f>
      </c>
      <c r="AD143" s="337">
        <f>+(AD142-AC142)*(1+$E$16)</f>
      </c>
      <c r="AE143" s="332">
        <v>138</v>
      </c>
    </row>
    <row x14ac:dyDescent="0.25" r="144" customHeight="1" ht="18.75">
      <c r="A144" s="1"/>
      <c r="B144" s="1"/>
      <c r="C144" s="169"/>
      <c r="D144" s="169"/>
      <c r="E144" s="168"/>
      <c r="F144" s="169"/>
      <c r="G144" s="170"/>
      <c r="H144" s="1"/>
      <c r="I144" s="1"/>
      <c r="J144" s="1"/>
      <c r="K144" s="1"/>
      <c r="L144" s="1"/>
      <c r="M144" s="331">
        <f>P144</f>
      </c>
      <c r="N144" s="335">
        <f>+IF(O144&lt;N143,O144,N143)</f>
      </c>
      <c r="O144" s="335">
        <f>+(O143-N143)*(1+$E$13)</f>
      </c>
      <c r="P144" s="332">
        <v>139</v>
      </c>
      <c r="Q144" s="1"/>
      <c r="R144" s="331">
        <f>U144</f>
      </c>
      <c r="S144" s="335">
        <f>+IF(T144&lt;S143,T144,S143)</f>
      </c>
      <c r="T144" s="335">
        <f>+(T143-S143)*(1+$E$14)</f>
      </c>
      <c r="U144" s="332">
        <v>139</v>
      </c>
      <c r="V144" s="1"/>
      <c r="W144" s="331">
        <f>Z144</f>
      </c>
      <c r="X144" s="336">
        <f>+IF(Y144&lt;X143,Y144,X143)</f>
      </c>
      <c r="Y144" s="337">
        <f>+(Y143-X143)*(1+$E$15)</f>
      </c>
      <c r="Z144" s="332">
        <v>139</v>
      </c>
      <c r="AA144" s="1"/>
      <c r="AB144" s="331">
        <f>AE144</f>
      </c>
      <c r="AC144" s="336">
        <f>+IF(AD144&lt;AC143,AD144,AC143)</f>
      </c>
      <c r="AD144" s="337">
        <f>+(AD143-AC143)*(1+$E$16)</f>
      </c>
      <c r="AE144" s="332">
        <v>139</v>
      </c>
    </row>
    <row x14ac:dyDescent="0.25" r="145" customHeight="1" ht="18.75">
      <c r="A145" s="1"/>
      <c r="B145" s="1"/>
      <c r="C145" s="169"/>
      <c r="D145" s="169"/>
      <c r="E145" s="168"/>
      <c r="F145" s="169"/>
      <c r="G145" s="170"/>
      <c r="H145" s="1"/>
      <c r="I145" s="1"/>
      <c r="J145" s="1"/>
      <c r="K145" s="1"/>
      <c r="L145" s="1"/>
      <c r="M145" s="331">
        <f>P145</f>
      </c>
      <c r="N145" s="335">
        <f>+IF(O145&lt;N144,O145,N144)</f>
      </c>
      <c r="O145" s="335">
        <f>+(O144-N144)*(1+$E$13)</f>
      </c>
      <c r="P145" s="332">
        <v>140</v>
      </c>
      <c r="Q145" s="1"/>
      <c r="R145" s="331">
        <f>U145</f>
      </c>
      <c r="S145" s="335">
        <f>+IF(T145&lt;S144,T145,S144)</f>
      </c>
      <c r="T145" s="335">
        <f>+(T144-S144)*(1+$E$14)</f>
      </c>
      <c r="U145" s="332">
        <v>140</v>
      </c>
      <c r="V145" s="1"/>
      <c r="W145" s="331">
        <f>Z145</f>
      </c>
      <c r="X145" s="336">
        <f>+IF(Y145&lt;X144,Y145,X144)</f>
      </c>
      <c r="Y145" s="337">
        <f>+(Y144-X144)*(1+$E$15)</f>
      </c>
      <c r="Z145" s="332">
        <v>140</v>
      </c>
      <c r="AA145" s="1"/>
      <c r="AB145" s="331">
        <f>AE145</f>
      </c>
      <c r="AC145" s="336">
        <f>+IF(AD145&lt;AC144,AD145,AC144)</f>
      </c>
      <c r="AD145" s="337">
        <f>+(AD144-AC144)*(1+$E$16)</f>
      </c>
      <c r="AE145" s="332">
        <v>140</v>
      </c>
    </row>
    <row x14ac:dyDescent="0.25" r="146" customHeight="1" ht="18.75">
      <c r="A146" s="1"/>
      <c r="B146" s="1"/>
      <c r="C146" s="169"/>
      <c r="D146" s="169"/>
      <c r="E146" s="168"/>
      <c r="F146" s="169"/>
      <c r="G146" s="170"/>
      <c r="H146" s="1"/>
      <c r="I146" s="1"/>
      <c r="J146" s="1"/>
      <c r="K146" s="1"/>
      <c r="L146" s="1"/>
      <c r="M146" s="331">
        <f>P146</f>
      </c>
      <c r="N146" s="335">
        <f>+IF(O146&lt;N145,O146,N145)</f>
      </c>
      <c r="O146" s="335">
        <f>+(O145-N145)*(1+$E$13)</f>
      </c>
      <c r="P146" s="332">
        <v>141</v>
      </c>
      <c r="Q146" s="1"/>
      <c r="R146" s="331">
        <f>U146</f>
      </c>
      <c r="S146" s="335">
        <f>+IF(T146&lt;S145,T146,S145)</f>
      </c>
      <c r="T146" s="335">
        <f>+(T145-S145)*(1+$E$14)</f>
      </c>
      <c r="U146" s="332">
        <v>141</v>
      </c>
      <c r="V146" s="1"/>
      <c r="W146" s="331">
        <f>Z146</f>
      </c>
      <c r="X146" s="336">
        <f>+IF(Y146&lt;X145,Y146,X145)</f>
      </c>
      <c r="Y146" s="337">
        <f>+(Y145-X145)*(1+$E$15)</f>
      </c>
      <c r="Z146" s="332">
        <v>141</v>
      </c>
      <c r="AA146" s="1"/>
      <c r="AB146" s="331">
        <f>AE146</f>
      </c>
      <c r="AC146" s="336">
        <f>+IF(AD146&lt;AC145,AD146,AC145)</f>
      </c>
      <c r="AD146" s="337">
        <f>+(AD145-AC145)*(1+$E$16)</f>
      </c>
      <c r="AE146" s="332">
        <v>141</v>
      </c>
    </row>
    <row x14ac:dyDescent="0.25" r="147" customHeight="1" ht="18.75">
      <c r="A147" s="1"/>
      <c r="B147" s="1"/>
      <c r="C147" s="169"/>
      <c r="D147" s="169"/>
      <c r="E147" s="168"/>
      <c r="F147" s="169"/>
      <c r="G147" s="170"/>
      <c r="H147" s="1"/>
      <c r="I147" s="1"/>
      <c r="J147" s="1"/>
      <c r="K147" s="1"/>
      <c r="L147" s="1"/>
      <c r="M147" s="331">
        <f>P147</f>
      </c>
      <c r="N147" s="335">
        <f>+IF(O147&lt;N146,O147,N146)</f>
      </c>
      <c r="O147" s="335">
        <f>+(O146-N146)*(1+$E$13)</f>
      </c>
      <c r="P147" s="332">
        <v>142</v>
      </c>
      <c r="Q147" s="1"/>
      <c r="R147" s="331">
        <f>U147</f>
      </c>
      <c r="S147" s="335">
        <f>+IF(T147&lt;S146,T147,S146)</f>
      </c>
      <c r="T147" s="335">
        <f>+(T146-S146)*(1+$E$14)</f>
      </c>
      <c r="U147" s="332">
        <v>142</v>
      </c>
      <c r="V147" s="1"/>
      <c r="W147" s="331">
        <f>Z147</f>
      </c>
      <c r="X147" s="336">
        <f>+IF(Y147&lt;X146,Y147,X146)</f>
      </c>
      <c r="Y147" s="337">
        <f>+(Y146-X146)*(1+$E$15)</f>
      </c>
      <c r="Z147" s="332">
        <v>142</v>
      </c>
      <c r="AA147" s="1"/>
      <c r="AB147" s="331">
        <f>AE147</f>
      </c>
      <c r="AC147" s="336">
        <f>+IF(AD147&lt;AC146,AD147,AC146)</f>
      </c>
      <c r="AD147" s="337">
        <f>+(AD146-AC146)*(1+$E$16)</f>
      </c>
      <c r="AE147" s="332">
        <v>142</v>
      </c>
    </row>
    <row x14ac:dyDescent="0.25" r="148" customHeight="1" ht="18.75">
      <c r="A148" s="1"/>
      <c r="B148" s="1"/>
      <c r="C148" s="169"/>
      <c r="D148" s="169"/>
      <c r="E148" s="168"/>
      <c r="F148" s="169"/>
      <c r="G148" s="170"/>
      <c r="H148" s="1"/>
      <c r="I148" s="1"/>
      <c r="J148" s="1"/>
      <c r="K148" s="1"/>
      <c r="L148" s="1"/>
      <c r="M148" s="331">
        <f>P148</f>
      </c>
      <c r="N148" s="335">
        <f>+IF(O148&lt;N147,O148,N147)</f>
      </c>
      <c r="O148" s="335">
        <f>+(O147-N147)*(1+$E$13)</f>
      </c>
      <c r="P148" s="332">
        <v>143</v>
      </c>
      <c r="Q148" s="1"/>
      <c r="R148" s="331">
        <f>U148</f>
      </c>
      <c r="S148" s="335">
        <f>+IF(T148&lt;S147,T148,S147)</f>
      </c>
      <c r="T148" s="335">
        <f>+(T147-S147)*(1+$E$14)</f>
      </c>
      <c r="U148" s="332">
        <v>143</v>
      </c>
      <c r="V148" s="1"/>
      <c r="W148" s="331">
        <f>Z148</f>
      </c>
      <c r="X148" s="336">
        <f>+IF(Y148&lt;X147,Y148,X147)</f>
      </c>
      <c r="Y148" s="337">
        <f>+(Y147-X147)*(1+$E$15)</f>
      </c>
      <c r="Z148" s="332">
        <v>143</v>
      </c>
      <c r="AA148" s="1"/>
      <c r="AB148" s="331">
        <f>AE148</f>
      </c>
      <c r="AC148" s="336">
        <f>+IF(AD148&lt;AC147,AD148,AC147)</f>
      </c>
      <c r="AD148" s="337">
        <f>+(AD147-AC147)*(1+$E$16)</f>
      </c>
      <c r="AE148" s="332">
        <v>143</v>
      </c>
    </row>
    <row x14ac:dyDescent="0.25" r="149" customHeight="1" ht="18.75">
      <c r="A149" s="1"/>
      <c r="B149" s="1"/>
      <c r="C149" s="169"/>
      <c r="D149" s="169"/>
      <c r="E149" s="168"/>
      <c r="F149" s="169"/>
      <c r="G149" s="170"/>
      <c r="H149" s="1"/>
      <c r="I149" s="1"/>
      <c r="J149" s="1"/>
      <c r="K149" s="1"/>
      <c r="L149" s="1"/>
      <c r="M149" s="331">
        <f>P149</f>
      </c>
      <c r="N149" s="335">
        <f>+IF(O149&lt;N148,O149,N148)</f>
      </c>
      <c r="O149" s="335">
        <f>+(O148-N148)*(1+$E$13)</f>
      </c>
      <c r="P149" s="332">
        <v>144</v>
      </c>
      <c r="Q149" s="1"/>
      <c r="R149" s="331">
        <f>U149</f>
      </c>
      <c r="S149" s="335">
        <f>+IF(T149&lt;S148,T149,S148)</f>
      </c>
      <c r="T149" s="335">
        <f>+(T148-S148)*(1+$E$14)</f>
      </c>
      <c r="U149" s="332">
        <v>144</v>
      </c>
      <c r="V149" s="1"/>
      <c r="W149" s="331">
        <f>Z149</f>
      </c>
      <c r="X149" s="336">
        <f>+IF(Y149&lt;X148,Y149,X148)</f>
      </c>
      <c r="Y149" s="337">
        <f>+(Y148-X148)*(1+$E$15)</f>
      </c>
      <c r="Z149" s="332">
        <v>144</v>
      </c>
      <c r="AA149" s="1"/>
      <c r="AB149" s="331">
        <f>AE149</f>
      </c>
      <c r="AC149" s="336">
        <f>+IF(AD149&lt;AC148,AD149,AC148)</f>
      </c>
      <c r="AD149" s="337">
        <f>+(AD148-AC148)*(1+$E$16)</f>
      </c>
      <c r="AE149" s="332">
        <v>144</v>
      </c>
    </row>
    <row x14ac:dyDescent="0.25" r="150" customHeight="1" ht="18.75">
      <c r="A150" s="1"/>
      <c r="B150" s="1"/>
      <c r="C150" s="169"/>
      <c r="D150" s="169"/>
      <c r="E150" s="168"/>
      <c r="F150" s="169"/>
      <c r="G150" s="170"/>
      <c r="H150" s="1"/>
      <c r="I150" s="1"/>
      <c r="J150" s="1"/>
      <c r="K150" s="1"/>
      <c r="L150" s="1"/>
      <c r="M150" s="331">
        <f>P150</f>
      </c>
      <c r="N150" s="335">
        <f>+IF(O150&lt;N149,O150,N149)</f>
      </c>
      <c r="O150" s="335">
        <f>+(O149-N149)*(1+$E$13)</f>
      </c>
      <c r="P150" s="332">
        <v>145</v>
      </c>
      <c r="Q150" s="1"/>
      <c r="R150" s="331">
        <f>U150</f>
      </c>
      <c r="S150" s="335">
        <f>+IF(T150&lt;S149,T150,S149)</f>
      </c>
      <c r="T150" s="335">
        <f>+(T149-S149)*(1+$E$14)</f>
      </c>
      <c r="U150" s="332">
        <v>145</v>
      </c>
      <c r="V150" s="1"/>
      <c r="W150" s="331">
        <f>Z150</f>
      </c>
      <c r="X150" s="336">
        <f>+IF(Y150&lt;X149,Y150,X149)</f>
      </c>
      <c r="Y150" s="337">
        <f>+(Y149-X149)*(1+$E$15)</f>
      </c>
      <c r="Z150" s="332">
        <v>145</v>
      </c>
      <c r="AA150" s="1"/>
      <c r="AB150" s="331">
        <f>AE150</f>
      </c>
      <c r="AC150" s="336">
        <f>+IF(AD150&lt;AC149,AD150,AC149)</f>
      </c>
      <c r="AD150" s="337">
        <f>+(AD149-AC149)*(1+$E$16)</f>
      </c>
      <c r="AE150" s="332">
        <v>145</v>
      </c>
    </row>
    <row x14ac:dyDescent="0.25" r="151" customHeight="1" ht="18.75">
      <c r="A151" s="1"/>
      <c r="B151" s="1"/>
      <c r="C151" s="169"/>
      <c r="D151" s="169"/>
      <c r="E151" s="168"/>
      <c r="F151" s="169"/>
      <c r="G151" s="170"/>
      <c r="H151" s="1"/>
      <c r="I151" s="1"/>
      <c r="J151" s="1"/>
      <c r="K151" s="1"/>
      <c r="L151" s="1"/>
      <c r="M151" s="331">
        <f>P151</f>
      </c>
      <c r="N151" s="335">
        <f>+IF(O151&lt;N150,O151,N150)</f>
      </c>
      <c r="O151" s="335">
        <f>+(O150-N150)*(1+$E$13)</f>
      </c>
      <c r="P151" s="332">
        <v>146</v>
      </c>
      <c r="Q151" s="1"/>
      <c r="R151" s="331">
        <f>U151</f>
      </c>
      <c r="S151" s="335">
        <f>+IF(T151&lt;S150,T151,S150)</f>
      </c>
      <c r="T151" s="335">
        <f>+(T150-S150)*(1+$E$14)</f>
      </c>
      <c r="U151" s="332">
        <v>146</v>
      </c>
      <c r="V151" s="1"/>
      <c r="W151" s="331">
        <f>Z151</f>
      </c>
      <c r="X151" s="336">
        <f>+IF(Y151&lt;X150,Y151,X150)</f>
      </c>
      <c r="Y151" s="337">
        <f>+(Y150-X150)*(1+$E$15)</f>
      </c>
      <c r="Z151" s="332">
        <v>146</v>
      </c>
      <c r="AA151" s="1"/>
      <c r="AB151" s="331">
        <f>AE151</f>
      </c>
      <c r="AC151" s="336">
        <f>+IF(AD151&lt;AC150,AD151,AC150)</f>
      </c>
      <c r="AD151" s="337">
        <f>+(AD150-AC150)*(1+$E$16)</f>
      </c>
      <c r="AE151" s="332">
        <v>146</v>
      </c>
    </row>
    <row x14ac:dyDescent="0.25" r="152" customHeight="1" ht="18.75">
      <c r="A152" s="1"/>
      <c r="B152" s="1"/>
      <c r="C152" s="169"/>
      <c r="D152" s="169"/>
      <c r="E152" s="168"/>
      <c r="F152" s="169"/>
      <c r="G152" s="170"/>
      <c r="H152" s="1"/>
      <c r="I152" s="1"/>
      <c r="J152" s="1"/>
      <c r="K152" s="1"/>
      <c r="L152" s="1"/>
      <c r="M152" s="331">
        <f>P152</f>
      </c>
      <c r="N152" s="335">
        <f>+IF(O152&lt;N151,O152,N151)</f>
      </c>
      <c r="O152" s="335">
        <f>+(O151-N151)*(1+$E$13)</f>
      </c>
      <c r="P152" s="332">
        <v>147</v>
      </c>
      <c r="Q152" s="1"/>
      <c r="R152" s="331">
        <f>U152</f>
      </c>
      <c r="S152" s="335">
        <f>+IF(T152&lt;S151,T152,S151)</f>
      </c>
      <c r="T152" s="335">
        <f>+(T151-S151)*(1+$E$14)</f>
      </c>
      <c r="U152" s="332">
        <v>147</v>
      </c>
      <c r="V152" s="1"/>
      <c r="W152" s="331">
        <f>Z152</f>
      </c>
      <c r="X152" s="336">
        <f>+IF(Y152&lt;X151,Y152,X151)</f>
      </c>
      <c r="Y152" s="337">
        <f>+(Y151-X151)*(1+$E$15)</f>
      </c>
      <c r="Z152" s="332">
        <v>147</v>
      </c>
      <c r="AA152" s="1"/>
      <c r="AB152" s="331">
        <f>AE152</f>
      </c>
      <c r="AC152" s="336">
        <f>+IF(AD152&lt;AC151,AD152,AC151)</f>
      </c>
      <c r="AD152" s="337">
        <f>+(AD151-AC151)*(1+$E$16)</f>
      </c>
      <c r="AE152" s="332">
        <v>147</v>
      </c>
    </row>
    <row x14ac:dyDescent="0.25" r="153" customHeight="1" ht="18.75">
      <c r="A153" s="1"/>
      <c r="B153" s="1"/>
      <c r="C153" s="169"/>
      <c r="D153" s="169"/>
      <c r="E153" s="168"/>
      <c r="F153" s="169"/>
      <c r="G153" s="170"/>
      <c r="H153" s="1"/>
      <c r="I153" s="1"/>
      <c r="J153" s="1"/>
      <c r="K153" s="1"/>
      <c r="L153" s="1"/>
      <c r="M153" s="331">
        <f>P153</f>
      </c>
      <c r="N153" s="335">
        <f>+IF(O153&lt;N152,O153,N152)</f>
      </c>
      <c r="O153" s="335">
        <f>+(O152-N152)*(1+$E$13)</f>
      </c>
      <c r="P153" s="332">
        <v>148</v>
      </c>
      <c r="Q153" s="1"/>
      <c r="R153" s="331">
        <f>U153</f>
      </c>
      <c r="S153" s="335">
        <f>+IF(T153&lt;S152,T153,S152)</f>
      </c>
      <c r="T153" s="335">
        <f>+(T152-S152)*(1+$E$14)</f>
      </c>
      <c r="U153" s="332">
        <v>148</v>
      </c>
      <c r="V153" s="1"/>
      <c r="W153" s="331">
        <f>Z153</f>
      </c>
      <c r="X153" s="336">
        <f>+IF(Y153&lt;X152,Y153,X152)</f>
      </c>
      <c r="Y153" s="337">
        <f>+(Y152-X152)*(1+$E$15)</f>
      </c>
      <c r="Z153" s="332">
        <v>148</v>
      </c>
      <c r="AA153" s="1"/>
      <c r="AB153" s="331">
        <f>AE153</f>
      </c>
      <c r="AC153" s="336">
        <f>+IF(AD153&lt;AC152,AD153,AC152)</f>
      </c>
      <c r="AD153" s="337">
        <f>+(AD152-AC152)*(1+$E$16)</f>
      </c>
      <c r="AE153" s="332">
        <v>148</v>
      </c>
    </row>
    <row x14ac:dyDescent="0.25" r="154" customHeight="1" ht="18.75">
      <c r="A154" s="1"/>
      <c r="B154" s="1"/>
      <c r="C154" s="169"/>
      <c r="D154" s="169"/>
      <c r="E154" s="168"/>
      <c r="F154" s="169"/>
      <c r="G154" s="170"/>
      <c r="H154" s="1"/>
      <c r="I154" s="1"/>
      <c r="J154" s="1"/>
      <c r="K154" s="1"/>
      <c r="L154" s="1"/>
      <c r="M154" s="331">
        <f>P154</f>
      </c>
      <c r="N154" s="335">
        <f>+IF(O154&lt;N153,O154,N153)</f>
      </c>
      <c r="O154" s="335">
        <f>+(O153-N153)*(1+$E$13)</f>
      </c>
      <c r="P154" s="332">
        <v>149</v>
      </c>
      <c r="Q154" s="1"/>
      <c r="R154" s="331">
        <f>U154</f>
      </c>
      <c r="S154" s="335">
        <f>+IF(T154&lt;S153,T154,S153)</f>
      </c>
      <c r="T154" s="335">
        <f>+(T153-S153)*(1+$E$14)</f>
      </c>
      <c r="U154" s="332">
        <v>149</v>
      </c>
      <c r="V154" s="1"/>
      <c r="W154" s="331">
        <f>Z154</f>
      </c>
      <c r="X154" s="336">
        <f>+IF(Y154&lt;X153,Y154,X153)</f>
      </c>
      <c r="Y154" s="337">
        <f>+(Y153-X153)*(1+$E$15)</f>
      </c>
      <c r="Z154" s="332">
        <v>149</v>
      </c>
      <c r="AA154" s="1"/>
      <c r="AB154" s="331">
        <f>AE154</f>
      </c>
      <c r="AC154" s="336">
        <f>+IF(AD154&lt;AC153,AD154,AC153)</f>
      </c>
      <c r="AD154" s="337">
        <f>+(AD153-AC153)*(1+$E$16)</f>
      </c>
      <c r="AE154" s="332">
        <v>149</v>
      </c>
    </row>
    <row x14ac:dyDescent="0.25" r="155" customHeight="1" ht="18.75">
      <c r="A155" s="1"/>
      <c r="B155" s="1"/>
      <c r="C155" s="169"/>
      <c r="D155" s="169"/>
      <c r="E155" s="168"/>
      <c r="F155" s="169"/>
      <c r="G155" s="170"/>
      <c r="H155" s="1"/>
      <c r="I155" s="1"/>
      <c r="J155" s="1"/>
      <c r="K155" s="1"/>
      <c r="L155" s="1"/>
      <c r="M155" s="331">
        <f>P155</f>
      </c>
      <c r="N155" s="335">
        <f>+IF(O155&lt;N154,O155,N154)</f>
      </c>
      <c r="O155" s="335">
        <f>+(O154-N154)*(1+$E$13)</f>
      </c>
      <c r="P155" s="332">
        <v>150</v>
      </c>
      <c r="Q155" s="1"/>
      <c r="R155" s="331">
        <f>U155</f>
      </c>
      <c r="S155" s="335">
        <f>+IF(T155&lt;S154,T155,S154)</f>
      </c>
      <c r="T155" s="335">
        <f>+(T154-S154)*(1+$E$14)</f>
      </c>
      <c r="U155" s="332">
        <v>150</v>
      </c>
      <c r="V155" s="1"/>
      <c r="W155" s="331">
        <f>Z155</f>
      </c>
      <c r="X155" s="336">
        <f>+IF(Y155&lt;X154,Y155,X154)</f>
      </c>
      <c r="Y155" s="337">
        <f>+(Y154-X154)*(1+$E$15)</f>
      </c>
      <c r="Z155" s="332">
        <v>150</v>
      </c>
      <c r="AA155" s="1"/>
      <c r="AB155" s="331">
        <f>AE155</f>
      </c>
      <c r="AC155" s="336">
        <f>+IF(AD155&lt;AC154,AD155,AC154)</f>
      </c>
      <c r="AD155" s="337">
        <f>+(AD154-AC154)*(1+$E$16)</f>
      </c>
      <c r="AE155" s="332">
        <v>150</v>
      </c>
    </row>
    <row x14ac:dyDescent="0.25" r="156" customHeight="1" ht="18.75">
      <c r="A156" s="1"/>
      <c r="B156" s="1"/>
      <c r="C156" s="169"/>
      <c r="D156" s="169"/>
      <c r="E156" s="168"/>
      <c r="F156" s="169"/>
      <c r="G156" s="170"/>
      <c r="H156" s="1"/>
      <c r="I156" s="1"/>
      <c r="J156" s="1"/>
      <c r="K156" s="1"/>
      <c r="L156" s="1"/>
      <c r="M156" s="331">
        <f>P156</f>
      </c>
      <c r="N156" s="335">
        <f>+IF(O156&lt;N155,O156,N155)</f>
      </c>
      <c r="O156" s="335">
        <f>+(O155-N155)*(1+$E$13)</f>
      </c>
      <c r="P156" s="332">
        <v>151</v>
      </c>
      <c r="Q156" s="1"/>
      <c r="R156" s="331">
        <f>U156</f>
      </c>
      <c r="S156" s="335">
        <f>+IF(T156&lt;S155,T156,S155)</f>
      </c>
      <c r="T156" s="335">
        <f>+(T155-S155)*(1+$E$14)</f>
      </c>
      <c r="U156" s="332">
        <v>151</v>
      </c>
      <c r="V156" s="1"/>
      <c r="W156" s="331">
        <f>Z156</f>
      </c>
      <c r="X156" s="336">
        <f>+IF(Y156&lt;X155,Y156,X155)</f>
      </c>
      <c r="Y156" s="337">
        <f>+(Y155-X155)*(1+$E$15)</f>
      </c>
      <c r="Z156" s="332">
        <v>151</v>
      </c>
      <c r="AA156" s="1"/>
      <c r="AB156" s="331">
        <f>AE156</f>
      </c>
      <c r="AC156" s="336">
        <f>+IF(AD156&lt;AC155,AD156,AC155)</f>
      </c>
      <c r="AD156" s="337">
        <f>+(AD155-AC155)*(1+$E$16)</f>
      </c>
      <c r="AE156" s="332">
        <v>151</v>
      </c>
    </row>
    <row x14ac:dyDescent="0.25" r="157" customHeight="1" ht="18.75">
      <c r="A157" s="1"/>
      <c r="B157" s="1"/>
      <c r="C157" s="169"/>
      <c r="D157" s="169"/>
      <c r="E157" s="168"/>
      <c r="F157" s="169"/>
      <c r="G157" s="170"/>
      <c r="H157" s="1"/>
      <c r="I157" s="1"/>
      <c r="J157" s="1"/>
      <c r="K157" s="1"/>
      <c r="L157" s="1"/>
      <c r="M157" s="331">
        <f>P157</f>
      </c>
      <c r="N157" s="335">
        <f>+IF(O157&lt;N156,O157,N156)</f>
      </c>
      <c r="O157" s="335">
        <f>+(O156-N156)*(1+$E$13)</f>
      </c>
      <c r="P157" s="332">
        <v>152</v>
      </c>
      <c r="Q157" s="1"/>
      <c r="R157" s="331">
        <f>U157</f>
      </c>
      <c r="S157" s="335">
        <f>+IF(T157&lt;S156,T157,S156)</f>
      </c>
      <c r="T157" s="335">
        <f>+(T156-S156)*(1+$E$14)</f>
      </c>
      <c r="U157" s="332">
        <v>152</v>
      </c>
      <c r="V157" s="1"/>
      <c r="W157" s="331">
        <f>Z157</f>
      </c>
      <c r="X157" s="336">
        <f>+IF(Y157&lt;X156,Y157,X156)</f>
      </c>
      <c r="Y157" s="337">
        <f>+(Y156-X156)*(1+$E$15)</f>
      </c>
      <c r="Z157" s="332">
        <v>152</v>
      </c>
      <c r="AA157" s="1"/>
      <c r="AB157" s="331">
        <f>AE157</f>
      </c>
      <c r="AC157" s="336">
        <f>+IF(AD157&lt;AC156,AD157,AC156)</f>
      </c>
      <c r="AD157" s="337">
        <f>+(AD156-AC156)*(1+$E$16)</f>
      </c>
      <c r="AE157" s="332">
        <v>152</v>
      </c>
    </row>
    <row x14ac:dyDescent="0.25" r="158" customHeight="1" ht="18.75">
      <c r="A158" s="1"/>
      <c r="B158" s="1"/>
      <c r="C158" s="169"/>
      <c r="D158" s="169"/>
      <c r="E158" s="168"/>
      <c r="F158" s="169"/>
      <c r="G158" s="170"/>
      <c r="H158" s="1"/>
      <c r="I158" s="1"/>
      <c r="J158" s="1"/>
      <c r="K158" s="1"/>
      <c r="L158" s="1"/>
      <c r="M158" s="331">
        <f>P158</f>
      </c>
      <c r="N158" s="335">
        <f>+IF(O158&lt;N157,O158,N157)</f>
      </c>
      <c r="O158" s="335">
        <f>+(O157-N157)*(1+$E$13)</f>
      </c>
      <c r="P158" s="332">
        <v>153</v>
      </c>
      <c r="Q158" s="1"/>
      <c r="R158" s="331">
        <f>U158</f>
      </c>
      <c r="S158" s="335">
        <f>+IF(T158&lt;S157,T158,S157)</f>
      </c>
      <c r="T158" s="335">
        <f>+(T157-S157)*(1+$E$14)</f>
      </c>
      <c r="U158" s="332">
        <v>153</v>
      </c>
      <c r="V158" s="1"/>
      <c r="W158" s="331">
        <f>Z158</f>
      </c>
      <c r="X158" s="336">
        <f>+IF(Y158&lt;X157,Y158,X157)</f>
      </c>
      <c r="Y158" s="337">
        <f>+(Y157-X157)*(1+$E$15)</f>
      </c>
      <c r="Z158" s="332">
        <v>153</v>
      </c>
      <c r="AA158" s="1"/>
      <c r="AB158" s="331">
        <f>AE158</f>
      </c>
      <c r="AC158" s="336">
        <f>+IF(AD158&lt;AC157,AD158,AC157)</f>
      </c>
      <c r="AD158" s="337">
        <f>+(AD157-AC157)*(1+$E$16)</f>
      </c>
      <c r="AE158" s="332">
        <v>153</v>
      </c>
    </row>
    <row x14ac:dyDescent="0.25" r="159" customHeight="1" ht="18.75">
      <c r="A159" s="1"/>
      <c r="B159" s="1"/>
      <c r="C159" s="169"/>
      <c r="D159" s="169"/>
      <c r="E159" s="168"/>
      <c r="F159" s="169"/>
      <c r="G159" s="170"/>
      <c r="H159" s="1"/>
      <c r="I159" s="1"/>
      <c r="J159" s="1"/>
      <c r="K159" s="1"/>
      <c r="L159" s="1"/>
      <c r="M159" s="331">
        <f>P159</f>
      </c>
      <c r="N159" s="335">
        <f>+IF(O159&lt;N158,O159,N158)</f>
      </c>
      <c r="O159" s="335">
        <f>+(O158-N158)*(1+$E$13)</f>
      </c>
      <c r="P159" s="332">
        <v>154</v>
      </c>
      <c r="Q159" s="1"/>
      <c r="R159" s="331">
        <f>U159</f>
      </c>
      <c r="S159" s="335">
        <f>+IF(T159&lt;S158,T159,S158)</f>
      </c>
      <c r="T159" s="335">
        <f>+(T158-S158)*(1+$E$14)</f>
      </c>
      <c r="U159" s="332">
        <v>154</v>
      </c>
      <c r="V159" s="1"/>
      <c r="W159" s="331">
        <f>Z159</f>
      </c>
      <c r="X159" s="336">
        <f>+IF(Y159&lt;X158,Y159,X158)</f>
      </c>
      <c r="Y159" s="337">
        <f>+(Y158-X158)*(1+$E$15)</f>
      </c>
      <c r="Z159" s="332">
        <v>154</v>
      </c>
      <c r="AA159" s="1"/>
      <c r="AB159" s="331">
        <f>AE159</f>
      </c>
      <c r="AC159" s="336">
        <f>+IF(AD159&lt;AC158,AD159,AC158)</f>
      </c>
      <c r="AD159" s="337">
        <f>+(AD158-AC158)*(1+$E$16)</f>
      </c>
      <c r="AE159" s="332">
        <v>154</v>
      </c>
    </row>
    <row x14ac:dyDescent="0.25" r="160" customHeight="1" ht="18.75">
      <c r="A160" s="1"/>
      <c r="B160" s="1"/>
      <c r="C160" s="169"/>
      <c r="D160" s="169"/>
      <c r="E160" s="168"/>
      <c r="F160" s="169"/>
      <c r="G160" s="170"/>
      <c r="H160" s="1"/>
      <c r="I160" s="1"/>
      <c r="J160" s="1"/>
      <c r="K160" s="1"/>
      <c r="L160" s="1"/>
      <c r="M160" s="331">
        <f>P160</f>
      </c>
      <c r="N160" s="335">
        <f>+IF(O160&lt;N159,O160,N159)</f>
      </c>
      <c r="O160" s="335">
        <f>+(O159-N159)*(1+$E$13)</f>
      </c>
      <c r="P160" s="332">
        <v>155</v>
      </c>
      <c r="Q160" s="1"/>
      <c r="R160" s="331">
        <f>U160</f>
      </c>
      <c r="S160" s="335">
        <f>+IF(T160&lt;S159,T160,S159)</f>
      </c>
      <c r="T160" s="335">
        <f>+(T159-S159)*(1+$E$14)</f>
      </c>
      <c r="U160" s="332">
        <v>155</v>
      </c>
      <c r="V160" s="1"/>
      <c r="W160" s="331">
        <f>Z160</f>
      </c>
      <c r="X160" s="336">
        <f>+IF(Y160&lt;X159,Y160,X159)</f>
      </c>
      <c r="Y160" s="337">
        <f>+(Y159-X159)*(1+$E$15)</f>
      </c>
      <c r="Z160" s="332">
        <v>155</v>
      </c>
      <c r="AA160" s="1"/>
      <c r="AB160" s="331">
        <f>AE160</f>
      </c>
      <c r="AC160" s="336">
        <f>+IF(AD160&lt;AC159,AD160,AC159)</f>
      </c>
      <c r="AD160" s="337">
        <f>+(AD159-AC159)*(1+$E$16)</f>
      </c>
      <c r="AE160" s="332">
        <v>155</v>
      </c>
    </row>
    <row x14ac:dyDescent="0.25" r="161" customHeight="1" ht="18.75">
      <c r="A161" s="1"/>
      <c r="B161" s="1"/>
      <c r="C161" s="169"/>
      <c r="D161" s="169"/>
      <c r="E161" s="168"/>
      <c r="F161" s="169"/>
      <c r="G161" s="170"/>
      <c r="H161" s="1"/>
      <c r="I161" s="1"/>
      <c r="J161" s="1"/>
      <c r="K161" s="1"/>
      <c r="L161" s="1"/>
      <c r="M161" s="331">
        <f>P161</f>
      </c>
      <c r="N161" s="335">
        <f>+IF(O161&lt;N160,O161,N160)</f>
      </c>
      <c r="O161" s="335">
        <f>+(O160-N160)*(1+$E$13)</f>
      </c>
      <c r="P161" s="332">
        <v>156</v>
      </c>
      <c r="Q161" s="1"/>
      <c r="R161" s="331">
        <f>U161</f>
      </c>
      <c r="S161" s="335">
        <f>+IF(T161&lt;S160,T161,S160)</f>
      </c>
      <c r="T161" s="335">
        <f>+(T160-S160)*(1+$E$14)</f>
      </c>
      <c r="U161" s="332">
        <v>156</v>
      </c>
      <c r="V161" s="1"/>
      <c r="W161" s="331">
        <f>Z161</f>
      </c>
      <c r="X161" s="336">
        <f>+IF(Y161&lt;X160,Y161,X160)</f>
      </c>
      <c r="Y161" s="337">
        <f>+(Y160-X160)*(1+$E$15)</f>
      </c>
      <c r="Z161" s="332">
        <v>156</v>
      </c>
      <c r="AA161" s="1"/>
      <c r="AB161" s="331">
        <f>AE161</f>
      </c>
      <c r="AC161" s="336">
        <f>+IF(AD161&lt;AC160,AD161,AC160)</f>
      </c>
      <c r="AD161" s="337">
        <f>+(AD160-AC160)*(1+$E$16)</f>
      </c>
      <c r="AE161" s="332">
        <v>156</v>
      </c>
    </row>
    <row x14ac:dyDescent="0.25" r="162" customHeight="1" ht="18.75">
      <c r="A162" s="1"/>
      <c r="B162" s="1"/>
      <c r="C162" s="169"/>
      <c r="D162" s="169"/>
      <c r="E162" s="168"/>
      <c r="F162" s="169"/>
      <c r="G162" s="170"/>
      <c r="H162" s="1"/>
      <c r="I162" s="1"/>
      <c r="J162" s="1"/>
      <c r="K162" s="1"/>
      <c r="L162" s="1"/>
      <c r="M162" s="331">
        <f>P162</f>
      </c>
      <c r="N162" s="335">
        <f>+IF(O162&lt;N161,O162,N161)</f>
      </c>
      <c r="O162" s="335">
        <f>+(O161-N161)*(1+$E$13)</f>
      </c>
      <c r="P162" s="332">
        <v>157</v>
      </c>
      <c r="Q162" s="1"/>
      <c r="R162" s="331">
        <f>U162</f>
      </c>
      <c r="S162" s="335">
        <f>+IF(T162&lt;S161,T162,S161)</f>
      </c>
      <c r="T162" s="335">
        <f>+(T161-S161)*(1+$E$14)</f>
      </c>
      <c r="U162" s="332">
        <v>157</v>
      </c>
      <c r="V162" s="1"/>
      <c r="W162" s="331">
        <f>Z162</f>
      </c>
      <c r="X162" s="336">
        <f>+IF(Y162&lt;X161,Y162,X161)</f>
      </c>
      <c r="Y162" s="337">
        <f>+(Y161-X161)*(1+$E$15)</f>
      </c>
      <c r="Z162" s="332">
        <v>157</v>
      </c>
      <c r="AA162" s="1"/>
      <c r="AB162" s="331">
        <f>AE162</f>
      </c>
      <c r="AC162" s="336">
        <f>+IF(AD162&lt;AC161,AD162,AC161)</f>
      </c>
      <c r="AD162" s="337">
        <f>+(AD161-AC161)*(1+$E$16)</f>
      </c>
      <c r="AE162" s="332">
        <v>157</v>
      </c>
    </row>
    <row x14ac:dyDescent="0.25" r="163" customHeight="1" ht="18.75">
      <c r="A163" s="1"/>
      <c r="B163" s="1"/>
      <c r="C163" s="169"/>
      <c r="D163" s="169"/>
      <c r="E163" s="168"/>
      <c r="F163" s="169"/>
      <c r="G163" s="170"/>
      <c r="H163" s="1"/>
      <c r="I163" s="1"/>
      <c r="J163" s="1"/>
      <c r="K163" s="1"/>
      <c r="L163" s="1"/>
      <c r="M163" s="331">
        <f>P163</f>
      </c>
      <c r="N163" s="335">
        <f>+IF(O163&lt;N162,O163,N162)</f>
      </c>
      <c r="O163" s="335">
        <f>+(O162-N162)*(1+$E$13)</f>
      </c>
      <c r="P163" s="332">
        <v>158</v>
      </c>
      <c r="Q163" s="1"/>
      <c r="R163" s="331">
        <f>U163</f>
      </c>
      <c r="S163" s="335">
        <f>+IF(T163&lt;S162,T163,S162)</f>
      </c>
      <c r="T163" s="335">
        <f>+(T162-S162)*(1+$E$14)</f>
      </c>
      <c r="U163" s="332">
        <v>158</v>
      </c>
      <c r="V163" s="1"/>
      <c r="W163" s="331">
        <f>Z163</f>
      </c>
      <c r="X163" s="336">
        <f>+IF(Y163&lt;X162,Y163,X162)</f>
      </c>
      <c r="Y163" s="337">
        <f>+(Y162-X162)*(1+$E$15)</f>
      </c>
      <c r="Z163" s="332">
        <v>158</v>
      </c>
      <c r="AA163" s="1"/>
      <c r="AB163" s="331">
        <f>AE163</f>
      </c>
      <c r="AC163" s="336">
        <f>+IF(AD163&lt;AC162,AD163,AC162)</f>
      </c>
      <c r="AD163" s="337">
        <f>+(AD162-AC162)*(1+$E$16)</f>
      </c>
      <c r="AE163" s="332">
        <v>158</v>
      </c>
    </row>
    <row x14ac:dyDescent="0.25" r="164" customHeight="1" ht="18.75">
      <c r="A164" s="1"/>
      <c r="B164" s="1"/>
      <c r="C164" s="169"/>
      <c r="D164" s="169"/>
      <c r="E164" s="168"/>
      <c r="F164" s="169"/>
      <c r="G164" s="170"/>
      <c r="H164" s="1"/>
      <c r="I164" s="1"/>
      <c r="J164" s="1"/>
      <c r="K164" s="1"/>
      <c r="L164" s="1"/>
      <c r="M164" s="331">
        <f>P164</f>
      </c>
      <c r="N164" s="335">
        <f>+IF(O164&lt;N163,O164,N163)</f>
      </c>
      <c r="O164" s="335">
        <f>+(O163-N163)*(1+$E$13)</f>
      </c>
      <c r="P164" s="332">
        <v>159</v>
      </c>
      <c r="Q164" s="1"/>
      <c r="R164" s="331">
        <f>U164</f>
      </c>
      <c r="S164" s="335">
        <f>+IF(T164&lt;S163,T164,S163)</f>
      </c>
      <c r="T164" s="335">
        <f>+(T163-S163)*(1+$E$14)</f>
      </c>
      <c r="U164" s="332">
        <v>159</v>
      </c>
      <c r="V164" s="1"/>
      <c r="W164" s="331">
        <f>Z164</f>
      </c>
      <c r="X164" s="336">
        <f>+IF(Y164&lt;X163,Y164,X163)</f>
      </c>
      <c r="Y164" s="337">
        <f>+(Y163-X163)*(1+$E$15)</f>
      </c>
      <c r="Z164" s="332">
        <v>159</v>
      </c>
      <c r="AA164" s="1"/>
      <c r="AB164" s="331">
        <f>AE164</f>
      </c>
      <c r="AC164" s="336">
        <f>+IF(AD164&lt;AC163,AD164,AC163)</f>
      </c>
      <c r="AD164" s="337">
        <f>+(AD163-AC163)*(1+$E$16)</f>
      </c>
      <c r="AE164" s="332">
        <v>159</v>
      </c>
    </row>
    <row x14ac:dyDescent="0.25" r="165" customHeight="1" ht="18.75">
      <c r="A165" s="1"/>
      <c r="B165" s="1"/>
      <c r="C165" s="169"/>
      <c r="D165" s="169"/>
      <c r="E165" s="168"/>
      <c r="F165" s="169"/>
      <c r="G165" s="170"/>
      <c r="H165" s="1"/>
      <c r="I165" s="1"/>
      <c r="J165" s="1"/>
      <c r="K165" s="1"/>
      <c r="L165" s="1"/>
      <c r="M165" s="331">
        <f>P165</f>
      </c>
      <c r="N165" s="335">
        <f>+IF(O165&lt;N164,O165,N164)</f>
      </c>
      <c r="O165" s="335">
        <f>+(O164-N164)*(1+$E$13)</f>
      </c>
      <c r="P165" s="332">
        <v>160</v>
      </c>
      <c r="Q165" s="1"/>
      <c r="R165" s="331">
        <f>U165</f>
      </c>
      <c r="S165" s="335">
        <f>+IF(T165&lt;S164,T165,S164)</f>
      </c>
      <c r="T165" s="335">
        <f>+(T164-S164)*(1+$E$14)</f>
      </c>
      <c r="U165" s="332">
        <v>160</v>
      </c>
      <c r="V165" s="1"/>
      <c r="W165" s="331">
        <f>Z165</f>
      </c>
      <c r="X165" s="336">
        <f>+IF(Y165&lt;X164,Y165,X164)</f>
      </c>
      <c r="Y165" s="337">
        <f>+(Y164-X164)*(1+$E$15)</f>
      </c>
      <c r="Z165" s="332">
        <v>160</v>
      </c>
      <c r="AA165" s="1"/>
      <c r="AB165" s="331">
        <f>AE165</f>
      </c>
      <c r="AC165" s="336">
        <f>+IF(AD165&lt;AC164,AD165,AC164)</f>
      </c>
      <c r="AD165" s="337">
        <f>+(AD164-AC164)*(1+$E$16)</f>
      </c>
      <c r="AE165" s="332">
        <v>160</v>
      </c>
    </row>
    <row x14ac:dyDescent="0.25" r="166" customHeight="1" ht="18.75">
      <c r="A166" s="1"/>
      <c r="B166" s="1"/>
      <c r="C166" s="169"/>
      <c r="D166" s="169"/>
      <c r="E166" s="168"/>
      <c r="F166" s="169"/>
      <c r="G166" s="170"/>
      <c r="H166" s="1"/>
      <c r="I166" s="1"/>
      <c r="J166" s="1"/>
      <c r="K166" s="1"/>
      <c r="L166" s="1"/>
      <c r="M166" s="331">
        <f>P166</f>
      </c>
      <c r="N166" s="335">
        <f>+IF(O166&lt;N165,O166,N165)</f>
      </c>
      <c r="O166" s="335">
        <f>+(O165-N165)*(1+$E$13)</f>
      </c>
      <c r="P166" s="332">
        <v>161</v>
      </c>
      <c r="Q166" s="1"/>
      <c r="R166" s="331">
        <f>U166</f>
      </c>
      <c r="S166" s="335">
        <f>+IF(T166&lt;S165,T166,S165)</f>
      </c>
      <c r="T166" s="335">
        <f>+(T165-S165)*(1+$E$14)</f>
      </c>
      <c r="U166" s="332">
        <v>161</v>
      </c>
      <c r="V166" s="1"/>
      <c r="W166" s="331">
        <f>Z166</f>
      </c>
      <c r="X166" s="336">
        <f>+IF(Y166&lt;X165,Y166,X165)</f>
      </c>
      <c r="Y166" s="337">
        <f>+(Y165-X165)*(1+$E$15)</f>
      </c>
      <c r="Z166" s="332">
        <v>161</v>
      </c>
      <c r="AA166" s="1"/>
      <c r="AB166" s="331">
        <f>AE166</f>
      </c>
      <c r="AC166" s="336">
        <f>+IF(AD166&lt;AC165,AD166,AC165)</f>
      </c>
      <c r="AD166" s="337">
        <f>+(AD165-AC165)*(1+$E$16)</f>
      </c>
      <c r="AE166" s="332">
        <v>161</v>
      </c>
    </row>
    <row x14ac:dyDescent="0.25" r="167" customHeight="1" ht="18.75">
      <c r="A167" s="1"/>
      <c r="B167" s="1"/>
      <c r="C167" s="169"/>
      <c r="D167" s="169"/>
      <c r="E167" s="168"/>
      <c r="F167" s="169"/>
      <c r="G167" s="170"/>
      <c r="H167" s="1"/>
      <c r="I167" s="1"/>
      <c r="J167" s="1"/>
      <c r="K167" s="1"/>
      <c r="L167" s="1"/>
      <c r="M167" s="331">
        <f>P167</f>
      </c>
      <c r="N167" s="335">
        <f>+IF(O167&lt;N166,O167,N166)</f>
      </c>
      <c r="O167" s="335">
        <f>+(O166-N166)*(1+$E$13)</f>
      </c>
      <c r="P167" s="332">
        <v>162</v>
      </c>
      <c r="Q167" s="1"/>
      <c r="R167" s="331">
        <f>U167</f>
      </c>
      <c r="S167" s="335">
        <f>+IF(T167&lt;S166,T167,S166)</f>
      </c>
      <c r="T167" s="335">
        <f>+(T166-S166)*(1+$E$14)</f>
      </c>
      <c r="U167" s="332">
        <v>162</v>
      </c>
      <c r="V167" s="1"/>
      <c r="W167" s="331">
        <f>Z167</f>
      </c>
      <c r="X167" s="336">
        <f>+IF(Y167&lt;X166,Y167,X166)</f>
      </c>
      <c r="Y167" s="337">
        <f>+(Y166-X166)*(1+$E$15)</f>
      </c>
      <c r="Z167" s="332">
        <v>162</v>
      </c>
      <c r="AA167" s="1"/>
      <c r="AB167" s="331">
        <f>AE167</f>
      </c>
      <c r="AC167" s="336">
        <f>+IF(AD167&lt;AC166,AD167,AC166)</f>
      </c>
      <c r="AD167" s="337">
        <f>+(AD166-AC166)*(1+$E$16)</f>
      </c>
      <c r="AE167" s="332">
        <v>162</v>
      </c>
    </row>
    <row x14ac:dyDescent="0.25" r="168" customHeight="1" ht="18.75">
      <c r="A168" s="1"/>
      <c r="B168" s="1"/>
      <c r="C168" s="169"/>
      <c r="D168" s="169"/>
      <c r="E168" s="168"/>
      <c r="F168" s="169"/>
      <c r="G168" s="170"/>
      <c r="H168" s="1"/>
      <c r="I168" s="1"/>
      <c r="J168" s="1"/>
      <c r="K168" s="1"/>
      <c r="L168" s="1"/>
      <c r="M168" s="331">
        <f>P168</f>
      </c>
      <c r="N168" s="335">
        <f>+IF(O168&lt;N167,O168,N167)</f>
      </c>
      <c r="O168" s="335">
        <f>+(O167-N167)*(1+$E$13)</f>
      </c>
      <c r="P168" s="332">
        <v>163</v>
      </c>
      <c r="Q168" s="1"/>
      <c r="R168" s="331">
        <f>U168</f>
      </c>
      <c r="S168" s="335">
        <f>+IF(T168&lt;S167,T168,S167)</f>
      </c>
      <c r="T168" s="335">
        <f>+(T167-S167)*(1+$E$14)</f>
      </c>
      <c r="U168" s="332">
        <v>163</v>
      </c>
      <c r="V168" s="1"/>
      <c r="W168" s="331">
        <f>Z168</f>
      </c>
      <c r="X168" s="336">
        <f>+IF(Y168&lt;X167,Y168,X167)</f>
      </c>
      <c r="Y168" s="337">
        <f>+(Y167-X167)*(1+$E$15)</f>
      </c>
      <c r="Z168" s="332">
        <v>163</v>
      </c>
      <c r="AA168" s="1"/>
      <c r="AB168" s="331">
        <f>AE168</f>
      </c>
      <c r="AC168" s="336">
        <f>+IF(AD168&lt;AC167,AD168,AC167)</f>
      </c>
      <c r="AD168" s="337">
        <f>+(AD167-AC167)*(1+$E$16)</f>
      </c>
      <c r="AE168" s="332">
        <v>163</v>
      </c>
    </row>
    <row x14ac:dyDescent="0.25" r="169" customHeight="1" ht="18.75">
      <c r="A169" s="1"/>
      <c r="B169" s="1"/>
      <c r="C169" s="169"/>
      <c r="D169" s="169"/>
      <c r="E169" s="168"/>
      <c r="F169" s="169"/>
      <c r="G169" s="170"/>
      <c r="H169" s="1"/>
      <c r="I169" s="1"/>
      <c r="J169" s="1"/>
      <c r="K169" s="1"/>
      <c r="L169" s="1"/>
      <c r="M169" s="331">
        <f>P169</f>
      </c>
      <c r="N169" s="335">
        <f>+IF(O169&lt;N168,O169,N168)</f>
      </c>
      <c r="O169" s="335">
        <f>+(O168-N168)*(1+$E$13)</f>
      </c>
      <c r="P169" s="332">
        <v>164</v>
      </c>
      <c r="Q169" s="1"/>
      <c r="R169" s="331">
        <f>U169</f>
      </c>
      <c r="S169" s="335">
        <f>+IF(T169&lt;S168,T169,S168)</f>
      </c>
      <c r="T169" s="335">
        <f>+(T168-S168)*(1+$E$14)</f>
      </c>
      <c r="U169" s="332">
        <v>164</v>
      </c>
      <c r="V169" s="1"/>
      <c r="W169" s="331">
        <f>Z169</f>
      </c>
      <c r="X169" s="336">
        <f>+IF(Y169&lt;X168,Y169,X168)</f>
      </c>
      <c r="Y169" s="337">
        <f>+(Y168-X168)*(1+$E$15)</f>
      </c>
      <c r="Z169" s="332">
        <v>164</v>
      </c>
      <c r="AA169" s="1"/>
      <c r="AB169" s="331">
        <f>AE169</f>
      </c>
      <c r="AC169" s="336">
        <f>+IF(AD169&lt;AC168,AD169,AC168)</f>
      </c>
      <c r="AD169" s="337">
        <f>+(AD168-AC168)*(1+$E$16)</f>
      </c>
      <c r="AE169" s="332">
        <v>164</v>
      </c>
    </row>
    <row x14ac:dyDescent="0.25" r="170" customHeight="1" ht="18.75">
      <c r="A170" s="1"/>
      <c r="B170" s="1"/>
      <c r="C170" s="169"/>
      <c r="D170" s="169"/>
      <c r="E170" s="168"/>
      <c r="F170" s="169"/>
      <c r="G170" s="170"/>
      <c r="H170" s="1"/>
      <c r="I170" s="1"/>
      <c r="J170" s="1"/>
      <c r="K170" s="1"/>
      <c r="L170" s="1"/>
      <c r="M170" s="331">
        <f>P170</f>
      </c>
      <c r="N170" s="335">
        <f>+IF(O170&lt;N169,O170,N169)</f>
      </c>
      <c r="O170" s="335">
        <f>+(O169-N169)*(1+$E$13)</f>
      </c>
      <c r="P170" s="332">
        <v>165</v>
      </c>
      <c r="Q170" s="1"/>
      <c r="R170" s="331">
        <f>U170</f>
      </c>
      <c r="S170" s="335">
        <f>+IF(T170&lt;S169,T170,S169)</f>
      </c>
      <c r="T170" s="335">
        <f>+(T169-S169)*(1+$E$14)</f>
      </c>
      <c r="U170" s="332">
        <v>165</v>
      </c>
      <c r="V170" s="1"/>
      <c r="W170" s="331">
        <f>Z170</f>
      </c>
      <c r="X170" s="336">
        <f>+IF(Y170&lt;X169,Y170,X169)</f>
      </c>
      <c r="Y170" s="337">
        <f>+(Y169-X169)*(1+$E$15)</f>
      </c>
      <c r="Z170" s="332">
        <v>165</v>
      </c>
      <c r="AA170" s="1"/>
      <c r="AB170" s="331">
        <f>AE170</f>
      </c>
      <c r="AC170" s="336">
        <f>+IF(AD170&lt;AC169,AD170,AC169)</f>
      </c>
      <c r="AD170" s="337">
        <f>+(AD169-AC169)*(1+$E$16)</f>
      </c>
      <c r="AE170" s="332">
        <v>165</v>
      </c>
    </row>
    <row x14ac:dyDescent="0.25" r="171" customHeight="1" ht="18.75">
      <c r="A171" s="1"/>
      <c r="B171" s="1"/>
      <c r="C171" s="169"/>
      <c r="D171" s="169"/>
      <c r="E171" s="168"/>
      <c r="F171" s="169"/>
      <c r="G171" s="170"/>
      <c r="H171" s="1"/>
      <c r="I171" s="1"/>
      <c r="J171" s="1"/>
      <c r="K171" s="1"/>
      <c r="L171" s="1"/>
      <c r="M171" s="331">
        <f>P171</f>
      </c>
      <c r="N171" s="335">
        <f>+IF(O171&lt;N170,O171,N170)</f>
      </c>
      <c r="O171" s="335">
        <f>+(O170-N170)*(1+$E$13)</f>
      </c>
      <c r="P171" s="332">
        <v>166</v>
      </c>
      <c r="Q171" s="1"/>
      <c r="R171" s="331">
        <f>U171</f>
      </c>
      <c r="S171" s="335">
        <f>+IF(T171&lt;S170,T171,S170)</f>
      </c>
      <c r="T171" s="335">
        <f>+(T170-S170)*(1+$E$14)</f>
      </c>
      <c r="U171" s="332">
        <v>166</v>
      </c>
      <c r="V171" s="1"/>
      <c r="W171" s="331">
        <f>Z171</f>
      </c>
      <c r="X171" s="336">
        <f>+IF(Y171&lt;X170,Y171,X170)</f>
      </c>
      <c r="Y171" s="337">
        <f>+(Y170-X170)*(1+$E$15)</f>
      </c>
      <c r="Z171" s="332">
        <v>166</v>
      </c>
      <c r="AA171" s="1"/>
      <c r="AB171" s="331">
        <f>AE171</f>
      </c>
      <c r="AC171" s="336">
        <f>+IF(AD171&lt;AC170,AD171,AC170)</f>
      </c>
      <c r="AD171" s="337">
        <f>+(AD170-AC170)*(1+$E$16)</f>
      </c>
      <c r="AE171" s="332">
        <v>166</v>
      </c>
    </row>
    <row x14ac:dyDescent="0.25" r="172" customHeight="1" ht="18.75">
      <c r="A172" s="1"/>
      <c r="B172" s="1"/>
      <c r="C172" s="169"/>
      <c r="D172" s="169"/>
      <c r="E172" s="168"/>
      <c r="F172" s="169"/>
      <c r="G172" s="170"/>
      <c r="H172" s="1"/>
      <c r="I172" s="1"/>
      <c r="J172" s="1"/>
      <c r="K172" s="1"/>
      <c r="L172" s="1"/>
      <c r="M172" s="331">
        <f>P172</f>
      </c>
      <c r="N172" s="335">
        <f>+IF(O172&lt;N171,O172,N171)</f>
      </c>
      <c r="O172" s="335">
        <f>+(O171-N171)*(1+$E$13)</f>
      </c>
      <c r="P172" s="332">
        <v>167</v>
      </c>
      <c r="Q172" s="1"/>
      <c r="R172" s="331">
        <f>U172</f>
      </c>
      <c r="S172" s="335">
        <f>+IF(T172&lt;S171,T172,S171)</f>
      </c>
      <c r="T172" s="335">
        <f>+(T171-S171)*(1+$E$14)</f>
      </c>
      <c r="U172" s="332">
        <v>167</v>
      </c>
      <c r="V172" s="1"/>
      <c r="W172" s="331">
        <f>Z172</f>
      </c>
      <c r="X172" s="336">
        <f>+IF(Y172&lt;X171,Y172,X171)</f>
      </c>
      <c r="Y172" s="337">
        <f>+(Y171-X171)*(1+$E$15)</f>
      </c>
      <c r="Z172" s="332">
        <v>167</v>
      </c>
      <c r="AA172" s="1"/>
      <c r="AB172" s="331">
        <f>AE172</f>
      </c>
      <c r="AC172" s="336">
        <f>+IF(AD172&lt;AC171,AD172,AC171)</f>
      </c>
      <c r="AD172" s="337">
        <f>+(AD171-AC171)*(1+$E$16)</f>
      </c>
      <c r="AE172" s="332">
        <v>167</v>
      </c>
    </row>
    <row x14ac:dyDescent="0.25" r="173" customHeight="1" ht="18.75">
      <c r="A173" s="1"/>
      <c r="B173" s="1"/>
      <c r="C173" s="169"/>
      <c r="D173" s="169"/>
      <c r="E173" s="168"/>
      <c r="F173" s="169"/>
      <c r="G173" s="170"/>
      <c r="H173" s="1"/>
      <c r="I173" s="1"/>
      <c r="J173" s="1"/>
      <c r="K173" s="1"/>
      <c r="L173" s="1"/>
      <c r="M173" s="331">
        <f>P173</f>
      </c>
      <c r="N173" s="335">
        <f>+IF(O173&lt;N172,O173,N172)</f>
      </c>
      <c r="O173" s="335">
        <f>+(O172-N172)*(1+$E$13)</f>
      </c>
      <c r="P173" s="332">
        <v>168</v>
      </c>
      <c r="Q173" s="1"/>
      <c r="R173" s="331">
        <f>U173</f>
      </c>
      <c r="S173" s="335">
        <f>+IF(T173&lt;S172,T173,S172)</f>
      </c>
      <c r="T173" s="335">
        <f>+(T172-S172)*(1+$E$14)</f>
      </c>
      <c r="U173" s="332">
        <v>168</v>
      </c>
      <c r="V173" s="1"/>
      <c r="W173" s="331">
        <f>Z173</f>
      </c>
      <c r="X173" s="336">
        <f>+IF(Y173&lt;X172,Y173,X172)</f>
      </c>
      <c r="Y173" s="337">
        <f>+(Y172-X172)*(1+$E$15)</f>
      </c>
      <c r="Z173" s="332">
        <v>168</v>
      </c>
      <c r="AA173" s="1"/>
      <c r="AB173" s="331">
        <f>AE173</f>
      </c>
      <c r="AC173" s="336">
        <f>+IF(AD173&lt;AC172,AD173,AC172)</f>
      </c>
      <c r="AD173" s="337">
        <f>+(AD172-AC172)*(1+$E$16)</f>
      </c>
      <c r="AE173" s="332">
        <v>168</v>
      </c>
    </row>
    <row x14ac:dyDescent="0.25" r="174" customHeight="1" ht="18.75">
      <c r="A174" s="1"/>
      <c r="B174" s="1"/>
      <c r="C174" s="169"/>
      <c r="D174" s="169"/>
      <c r="E174" s="168"/>
      <c r="F174" s="169"/>
      <c r="G174" s="170"/>
      <c r="H174" s="1"/>
      <c r="I174" s="1"/>
      <c r="J174" s="1"/>
      <c r="K174" s="1"/>
      <c r="L174" s="1"/>
      <c r="M174" s="331">
        <f>P174</f>
      </c>
      <c r="N174" s="335">
        <f>+IF(O174&lt;N173,O174,N173)</f>
      </c>
      <c r="O174" s="335">
        <f>+(O173-N173)*(1+$E$13)</f>
      </c>
      <c r="P174" s="332">
        <v>169</v>
      </c>
      <c r="Q174" s="1"/>
      <c r="R174" s="331">
        <f>U174</f>
      </c>
      <c r="S174" s="335">
        <f>+IF(T174&lt;S173,T174,S173)</f>
      </c>
      <c r="T174" s="335">
        <f>+(T173-S173)*(1+$E$14)</f>
      </c>
      <c r="U174" s="332">
        <v>169</v>
      </c>
      <c r="V174" s="1"/>
      <c r="W174" s="331">
        <f>Z174</f>
      </c>
      <c r="X174" s="336">
        <f>+IF(Y174&lt;X173,Y174,X173)</f>
      </c>
      <c r="Y174" s="337">
        <f>+(Y173-X173)*(1+$E$15)</f>
      </c>
      <c r="Z174" s="332">
        <v>169</v>
      </c>
      <c r="AA174" s="1"/>
      <c r="AB174" s="331">
        <f>AE174</f>
      </c>
      <c r="AC174" s="336">
        <f>+IF(AD174&lt;AC173,AD174,AC173)</f>
      </c>
      <c r="AD174" s="337">
        <f>+(AD173-AC173)*(1+$E$16)</f>
      </c>
      <c r="AE174" s="332">
        <v>169</v>
      </c>
    </row>
    <row x14ac:dyDescent="0.25" r="175" customHeight="1" ht="18.75">
      <c r="A175" s="1"/>
      <c r="B175" s="1"/>
      <c r="C175" s="169"/>
      <c r="D175" s="169"/>
      <c r="E175" s="168"/>
      <c r="F175" s="169"/>
      <c r="G175" s="170"/>
      <c r="H175" s="1"/>
      <c r="I175" s="1"/>
      <c r="J175" s="1"/>
      <c r="K175" s="1"/>
      <c r="L175" s="1"/>
      <c r="M175" s="331">
        <f>P175</f>
      </c>
      <c r="N175" s="335">
        <f>+IF(O175&lt;N174,O175,N174)</f>
      </c>
      <c r="O175" s="335">
        <f>+(O174-N174)*(1+$E$13)</f>
      </c>
      <c r="P175" s="332">
        <v>170</v>
      </c>
      <c r="Q175" s="1"/>
      <c r="R175" s="331">
        <f>U175</f>
      </c>
      <c r="S175" s="335">
        <f>+IF(T175&lt;S174,T175,S174)</f>
      </c>
      <c r="T175" s="335">
        <f>+(T174-S174)*(1+$E$14)</f>
      </c>
      <c r="U175" s="332">
        <v>170</v>
      </c>
      <c r="V175" s="1"/>
      <c r="W175" s="331">
        <f>Z175</f>
      </c>
      <c r="X175" s="336">
        <f>+IF(Y175&lt;X174,Y175,X174)</f>
      </c>
      <c r="Y175" s="337">
        <f>+(Y174-X174)*(1+$E$15)</f>
      </c>
      <c r="Z175" s="332">
        <v>170</v>
      </c>
      <c r="AA175" s="1"/>
      <c r="AB175" s="331">
        <f>AE175</f>
      </c>
      <c r="AC175" s="336">
        <f>+IF(AD175&lt;AC174,AD175,AC174)</f>
      </c>
      <c r="AD175" s="337">
        <f>+(AD174-AC174)*(1+$E$16)</f>
      </c>
      <c r="AE175" s="332">
        <v>170</v>
      </c>
    </row>
    <row x14ac:dyDescent="0.25" r="176" customHeight="1" ht="18.75">
      <c r="A176" s="1"/>
      <c r="B176" s="1"/>
      <c r="C176" s="169"/>
      <c r="D176" s="169"/>
      <c r="E176" s="168"/>
      <c r="F176" s="169"/>
      <c r="G176" s="170"/>
      <c r="H176" s="1"/>
      <c r="I176" s="1"/>
      <c r="J176" s="1"/>
      <c r="K176" s="1"/>
      <c r="L176" s="1"/>
      <c r="M176" s="331">
        <f>P176</f>
      </c>
      <c r="N176" s="335">
        <f>+IF(O176&lt;N175,O176,N175)</f>
      </c>
      <c r="O176" s="335">
        <f>+(O175-N175)*(1+$E$13)</f>
      </c>
      <c r="P176" s="332">
        <v>171</v>
      </c>
      <c r="Q176" s="1"/>
      <c r="R176" s="331">
        <f>U176</f>
      </c>
      <c r="S176" s="335">
        <f>+IF(T176&lt;S175,T176,S175)</f>
      </c>
      <c r="T176" s="335">
        <f>+(T175-S175)*(1+$E$14)</f>
      </c>
      <c r="U176" s="332">
        <v>171</v>
      </c>
      <c r="V176" s="1"/>
      <c r="W176" s="331">
        <f>Z176</f>
      </c>
      <c r="X176" s="336">
        <f>+IF(Y176&lt;X175,Y176,X175)</f>
      </c>
      <c r="Y176" s="337">
        <f>+(Y175-X175)*(1+$E$15)</f>
      </c>
      <c r="Z176" s="332">
        <v>171</v>
      </c>
      <c r="AA176" s="1"/>
      <c r="AB176" s="331">
        <f>AE176</f>
      </c>
      <c r="AC176" s="336">
        <f>+IF(AD176&lt;AC175,AD176,AC175)</f>
      </c>
      <c r="AD176" s="337">
        <f>+(AD175-AC175)*(1+$E$16)</f>
      </c>
      <c r="AE176" s="332">
        <v>171</v>
      </c>
    </row>
    <row x14ac:dyDescent="0.25" r="177" customHeight="1" ht="18.75">
      <c r="A177" s="1"/>
      <c r="B177" s="1"/>
      <c r="C177" s="169"/>
      <c r="D177" s="169"/>
      <c r="E177" s="168"/>
      <c r="F177" s="169"/>
      <c r="G177" s="170"/>
      <c r="H177" s="1"/>
      <c r="I177" s="1"/>
      <c r="J177" s="1"/>
      <c r="K177" s="1"/>
      <c r="L177" s="1"/>
      <c r="M177" s="331">
        <f>P177</f>
      </c>
      <c r="N177" s="335">
        <f>+IF(O177&lt;N176,O177,N176)</f>
      </c>
      <c r="O177" s="335">
        <f>+(O176-N176)*(1+$E$13)</f>
      </c>
      <c r="P177" s="332">
        <v>172</v>
      </c>
      <c r="Q177" s="1"/>
      <c r="R177" s="331">
        <f>U177</f>
      </c>
      <c r="S177" s="335">
        <f>+IF(T177&lt;S176,T177,S176)</f>
      </c>
      <c r="T177" s="335">
        <f>+(T176-S176)*(1+$E$14)</f>
      </c>
      <c r="U177" s="332">
        <v>172</v>
      </c>
      <c r="V177" s="1"/>
      <c r="W177" s="331">
        <f>Z177</f>
      </c>
      <c r="X177" s="336">
        <f>+IF(Y177&lt;X176,Y177,X176)</f>
      </c>
      <c r="Y177" s="337">
        <f>+(Y176-X176)*(1+$E$15)</f>
      </c>
      <c r="Z177" s="332">
        <v>172</v>
      </c>
      <c r="AA177" s="1"/>
      <c r="AB177" s="331">
        <f>AE177</f>
      </c>
      <c r="AC177" s="336">
        <f>+IF(AD177&lt;AC176,AD177,AC176)</f>
      </c>
      <c r="AD177" s="337">
        <f>+(AD176-AC176)*(1+$E$16)</f>
      </c>
      <c r="AE177" s="332">
        <v>172</v>
      </c>
    </row>
    <row x14ac:dyDescent="0.25" r="178" customHeight="1" ht="18.75">
      <c r="A178" s="1"/>
      <c r="B178" s="1"/>
      <c r="C178" s="169"/>
      <c r="D178" s="169"/>
      <c r="E178" s="168"/>
      <c r="F178" s="169"/>
      <c r="G178" s="170"/>
      <c r="H178" s="1"/>
      <c r="I178" s="1"/>
      <c r="J178" s="1"/>
      <c r="K178" s="1"/>
      <c r="L178" s="1"/>
      <c r="M178" s="331">
        <f>P178</f>
      </c>
      <c r="N178" s="335">
        <f>+IF(O178&lt;N177,O178,N177)</f>
      </c>
      <c r="O178" s="335">
        <f>+(O177-N177)*(1+$E$13)</f>
      </c>
      <c r="P178" s="332">
        <v>173</v>
      </c>
      <c r="Q178" s="1"/>
      <c r="R178" s="331">
        <f>U178</f>
      </c>
      <c r="S178" s="335">
        <f>+IF(T178&lt;S177,T178,S177)</f>
      </c>
      <c r="T178" s="335">
        <f>+(T177-S177)*(1+$E$14)</f>
      </c>
      <c r="U178" s="332">
        <v>173</v>
      </c>
      <c r="V178" s="1"/>
      <c r="W178" s="331">
        <f>Z178</f>
      </c>
      <c r="X178" s="336">
        <f>+IF(Y178&lt;X177,Y178,X177)</f>
      </c>
      <c r="Y178" s="337">
        <f>+(Y177-X177)*(1+$E$15)</f>
      </c>
      <c r="Z178" s="332">
        <v>173</v>
      </c>
      <c r="AA178" s="1"/>
      <c r="AB178" s="331">
        <f>AE178</f>
      </c>
      <c r="AC178" s="336">
        <f>+IF(AD178&lt;AC177,AD178,AC177)</f>
      </c>
      <c r="AD178" s="337">
        <f>+(AD177-AC177)*(1+$E$16)</f>
      </c>
      <c r="AE178" s="332">
        <v>173</v>
      </c>
    </row>
    <row x14ac:dyDescent="0.25" r="179" customHeight="1" ht="18.75">
      <c r="A179" s="1"/>
      <c r="B179" s="1"/>
      <c r="C179" s="169"/>
      <c r="D179" s="169"/>
      <c r="E179" s="168"/>
      <c r="F179" s="169"/>
      <c r="G179" s="170"/>
      <c r="H179" s="1"/>
      <c r="I179" s="1"/>
      <c r="J179" s="1"/>
      <c r="K179" s="1"/>
      <c r="L179" s="1"/>
      <c r="M179" s="331">
        <f>P179</f>
      </c>
      <c r="N179" s="335">
        <f>+IF(O179&lt;N178,O179,N178)</f>
      </c>
      <c r="O179" s="335">
        <f>+(O178-N178)*(1+$E$13)</f>
      </c>
      <c r="P179" s="332">
        <v>174</v>
      </c>
      <c r="Q179" s="1"/>
      <c r="R179" s="331">
        <f>U179</f>
      </c>
      <c r="S179" s="335">
        <f>+IF(T179&lt;S178,T179,S178)</f>
      </c>
      <c r="T179" s="335">
        <f>+(T178-S178)*(1+$E$14)</f>
      </c>
      <c r="U179" s="332">
        <v>174</v>
      </c>
      <c r="V179" s="1"/>
      <c r="W179" s="331">
        <f>Z179</f>
      </c>
      <c r="X179" s="336">
        <f>+IF(Y179&lt;X178,Y179,X178)</f>
      </c>
      <c r="Y179" s="337">
        <f>+(Y178-X178)*(1+$E$15)</f>
      </c>
      <c r="Z179" s="332">
        <v>174</v>
      </c>
      <c r="AA179" s="1"/>
      <c r="AB179" s="331">
        <f>AE179</f>
      </c>
      <c r="AC179" s="336">
        <f>+IF(AD179&lt;AC178,AD179,AC178)</f>
      </c>
      <c r="AD179" s="337">
        <f>+(AD178-AC178)*(1+$E$16)</f>
      </c>
      <c r="AE179" s="332">
        <v>174</v>
      </c>
    </row>
    <row x14ac:dyDescent="0.25" r="180" customHeight="1" ht="18.75">
      <c r="A180" s="1"/>
      <c r="B180" s="1"/>
      <c r="C180" s="169"/>
      <c r="D180" s="169"/>
      <c r="E180" s="168"/>
      <c r="F180" s="169"/>
      <c r="G180" s="170"/>
      <c r="H180" s="1"/>
      <c r="I180" s="1"/>
      <c r="J180" s="1"/>
      <c r="K180" s="1"/>
      <c r="L180" s="1"/>
      <c r="M180" s="331">
        <f>P180</f>
      </c>
      <c r="N180" s="335">
        <f>+IF(O180&lt;N179,O180,N179)</f>
      </c>
      <c r="O180" s="335">
        <f>+(O179-N179)*(1+$E$13)</f>
      </c>
      <c r="P180" s="332">
        <v>175</v>
      </c>
      <c r="Q180" s="1"/>
      <c r="R180" s="331">
        <f>U180</f>
      </c>
      <c r="S180" s="335">
        <f>+IF(T180&lt;S179,T180,S179)</f>
      </c>
      <c r="T180" s="335">
        <f>+(T179-S179)*(1+$E$14)</f>
      </c>
      <c r="U180" s="332">
        <v>175</v>
      </c>
      <c r="V180" s="1"/>
      <c r="W180" s="331">
        <f>Z180</f>
      </c>
      <c r="X180" s="336">
        <f>+IF(Y180&lt;X179,Y180,X179)</f>
      </c>
      <c r="Y180" s="337">
        <f>+(Y179-X179)*(1+$E$15)</f>
      </c>
      <c r="Z180" s="332">
        <v>175</v>
      </c>
      <c r="AA180" s="1"/>
      <c r="AB180" s="331">
        <f>AE180</f>
      </c>
      <c r="AC180" s="336">
        <f>+IF(AD180&lt;AC179,AD180,AC179)</f>
      </c>
      <c r="AD180" s="337">
        <f>+(AD179-AC179)*(1+$E$16)</f>
      </c>
      <c r="AE180" s="332">
        <v>175</v>
      </c>
    </row>
    <row x14ac:dyDescent="0.25" r="181" customHeight="1" ht="18.75">
      <c r="A181" s="1"/>
      <c r="B181" s="1"/>
      <c r="C181" s="169"/>
      <c r="D181" s="169"/>
      <c r="E181" s="168"/>
      <c r="F181" s="169"/>
      <c r="G181" s="170"/>
      <c r="H181" s="1"/>
      <c r="I181" s="1"/>
      <c r="J181" s="1"/>
      <c r="K181" s="1"/>
      <c r="L181" s="1"/>
      <c r="M181" s="331">
        <f>P181</f>
      </c>
      <c r="N181" s="335">
        <f>+IF(O181&lt;N180,O181,N180)</f>
      </c>
      <c r="O181" s="335">
        <f>+(O180-N180)*(1+$E$13)</f>
      </c>
      <c r="P181" s="332">
        <v>176</v>
      </c>
      <c r="Q181" s="1"/>
      <c r="R181" s="331">
        <f>U181</f>
      </c>
      <c r="S181" s="335">
        <f>+IF(T181&lt;S180,T181,S180)</f>
      </c>
      <c r="T181" s="335">
        <f>+(T180-S180)*(1+$E$14)</f>
      </c>
      <c r="U181" s="332">
        <v>176</v>
      </c>
      <c r="V181" s="1"/>
      <c r="W181" s="331">
        <f>Z181</f>
      </c>
      <c r="X181" s="336">
        <f>+IF(Y181&lt;X180,Y181,X180)</f>
      </c>
      <c r="Y181" s="337">
        <f>+(Y180-X180)*(1+$E$15)</f>
      </c>
      <c r="Z181" s="332">
        <v>176</v>
      </c>
      <c r="AA181" s="1"/>
      <c r="AB181" s="331">
        <f>AE181</f>
      </c>
      <c r="AC181" s="336">
        <f>+IF(AD181&lt;AC180,AD181,AC180)</f>
      </c>
      <c r="AD181" s="337">
        <f>+(AD180-AC180)*(1+$E$16)</f>
      </c>
      <c r="AE181" s="332">
        <v>176</v>
      </c>
    </row>
    <row x14ac:dyDescent="0.25" r="182" customHeight="1" ht="18.75">
      <c r="A182" s="1"/>
      <c r="B182" s="1"/>
      <c r="C182" s="169"/>
      <c r="D182" s="169"/>
      <c r="E182" s="168"/>
      <c r="F182" s="169"/>
      <c r="G182" s="170"/>
      <c r="H182" s="1"/>
      <c r="I182" s="1"/>
      <c r="J182" s="1"/>
      <c r="K182" s="1"/>
      <c r="L182" s="1"/>
      <c r="M182" s="331">
        <f>P182</f>
      </c>
      <c r="N182" s="335">
        <f>+IF(O182&lt;N181,O182,N181)</f>
      </c>
      <c r="O182" s="335">
        <f>+(O181-N181)*(1+$E$13)</f>
      </c>
      <c r="P182" s="332">
        <v>177</v>
      </c>
      <c r="Q182" s="1"/>
      <c r="R182" s="331">
        <f>U182</f>
      </c>
      <c r="S182" s="335">
        <f>+IF(T182&lt;S181,T182,S181)</f>
      </c>
      <c r="T182" s="335">
        <f>+(T181-S181)*(1+$E$14)</f>
      </c>
      <c r="U182" s="332">
        <v>177</v>
      </c>
      <c r="V182" s="1"/>
      <c r="W182" s="331">
        <f>Z182</f>
      </c>
      <c r="X182" s="336">
        <f>+IF(Y182&lt;X181,Y182,X181)</f>
      </c>
      <c r="Y182" s="337">
        <f>+(Y181-X181)*(1+$E$15)</f>
      </c>
      <c r="Z182" s="332">
        <v>177</v>
      </c>
      <c r="AA182" s="1"/>
      <c r="AB182" s="331">
        <f>AE182</f>
      </c>
      <c r="AC182" s="336">
        <f>+IF(AD182&lt;AC181,AD182,AC181)</f>
      </c>
      <c r="AD182" s="337">
        <f>+(AD181-AC181)*(1+$E$16)</f>
      </c>
      <c r="AE182" s="332">
        <v>177</v>
      </c>
    </row>
    <row x14ac:dyDescent="0.25" r="183" customHeight="1" ht="18.75">
      <c r="A183" s="1"/>
      <c r="B183" s="1"/>
      <c r="C183" s="169"/>
      <c r="D183" s="169"/>
      <c r="E183" s="168"/>
      <c r="F183" s="169"/>
      <c r="G183" s="170"/>
      <c r="H183" s="1"/>
      <c r="I183" s="1"/>
      <c r="J183" s="1"/>
      <c r="K183" s="1"/>
      <c r="L183" s="1"/>
      <c r="M183" s="331">
        <f>P183</f>
      </c>
      <c r="N183" s="335">
        <f>+IF(O183&lt;N182,O183,N182)</f>
      </c>
      <c r="O183" s="335">
        <f>+(O182-N182)*(1+$E$13)</f>
      </c>
      <c r="P183" s="332">
        <v>178</v>
      </c>
      <c r="Q183" s="1"/>
      <c r="R183" s="331">
        <f>U183</f>
      </c>
      <c r="S183" s="335">
        <f>+IF(T183&lt;S182,T183,S182)</f>
      </c>
      <c r="T183" s="335">
        <f>+(T182-S182)*(1+$E$14)</f>
      </c>
      <c r="U183" s="332">
        <v>178</v>
      </c>
      <c r="V183" s="1"/>
      <c r="W183" s="331">
        <f>Z183</f>
      </c>
      <c r="X183" s="336">
        <f>+IF(Y183&lt;X182,Y183,X182)</f>
      </c>
      <c r="Y183" s="337">
        <f>+(Y182-X182)*(1+$E$15)</f>
      </c>
      <c r="Z183" s="332">
        <v>178</v>
      </c>
      <c r="AA183" s="1"/>
      <c r="AB183" s="331">
        <f>AE183</f>
      </c>
      <c r="AC183" s="336">
        <f>+IF(AD183&lt;AC182,AD183,AC182)</f>
      </c>
      <c r="AD183" s="337">
        <f>+(AD182-AC182)*(1+$E$16)</f>
      </c>
      <c r="AE183" s="332">
        <v>178</v>
      </c>
    </row>
    <row x14ac:dyDescent="0.25" r="184" customHeight="1" ht="18.75">
      <c r="A184" s="1"/>
      <c r="B184" s="1"/>
      <c r="C184" s="169"/>
      <c r="D184" s="169"/>
      <c r="E184" s="168"/>
      <c r="F184" s="169"/>
      <c r="G184" s="170"/>
      <c r="H184" s="1"/>
      <c r="I184" s="1"/>
      <c r="J184" s="1"/>
      <c r="K184" s="1"/>
      <c r="L184" s="1"/>
      <c r="M184" s="331">
        <f>P184</f>
      </c>
      <c r="N184" s="335">
        <f>+IF(O184&lt;N183,O184,N183)</f>
      </c>
      <c r="O184" s="335">
        <f>+(O183-N183)*(1+$E$13)</f>
      </c>
      <c r="P184" s="332">
        <v>179</v>
      </c>
      <c r="Q184" s="1"/>
      <c r="R184" s="331">
        <f>U184</f>
      </c>
      <c r="S184" s="335">
        <f>+IF(T184&lt;S183,T184,S183)</f>
      </c>
      <c r="T184" s="335">
        <f>+(T183-S183)*(1+$E$14)</f>
      </c>
      <c r="U184" s="332">
        <v>179</v>
      </c>
      <c r="V184" s="1"/>
      <c r="W184" s="331">
        <f>Z184</f>
      </c>
      <c r="X184" s="336">
        <f>+IF(Y184&lt;X183,Y184,X183)</f>
      </c>
      <c r="Y184" s="337">
        <f>+(Y183-X183)*(1+$E$15)</f>
      </c>
      <c r="Z184" s="332">
        <v>179</v>
      </c>
      <c r="AA184" s="1"/>
      <c r="AB184" s="331">
        <f>AE184</f>
      </c>
      <c r="AC184" s="336">
        <f>+IF(AD184&lt;AC183,AD184,AC183)</f>
      </c>
      <c r="AD184" s="337">
        <f>+(AD183-AC183)*(1+$E$16)</f>
      </c>
      <c r="AE184" s="332">
        <v>179</v>
      </c>
    </row>
    <row x14ac:dyDescent="0.25" r="185" customHeight="1" ht="18.75">
      <c r="A185" s="1"/>
      <c r="B185" s="1"/>
      <c r="C185" s="169"/>
      <c r="D185" s="169"/>
      <c r="E185" s="168"/>
      <c r="F185" s="169"/>
      <c r="G185" s="170"/>
      <c r="H185" s="1"/>
      <c r="I185" s="1"/>
      <c r="J185" s="1"/>
      <c r="K185" s="1"/>
      <c r="L185" s="1"/>
      <c r="M185" s="331">
        <f>P185</f>
      </c>
      <c r="N185" s="335">
        <f>+IF(O185&lt;N184,O185,N184)</f>
      </c>
      <c r="O185" s="335">
        <f>+(O184-N184)*(1+$E$13)</f>
      </c>
      <c r="P185" s="332">
        <v>180</v>
      </c>
      <c r="Q185" s="1"/>
      <c r="R185" s="331">
        <f>U185</f>
      </c>
      <c r="S185" s="335">
        <f>+IF(T185&lt;S184,T185,S184)</f>
      </c>
      <c r="T185" s="335">
        <f>+(T184-S184)*(1+$E$14)</f>
      </c>
      <c r="U185" s="332">
        <v>180</v>
      </c>
      <c r="V185" s="1"/>
      <c r="W185" s="331">
        <f>Z185</f>
      </c>
      <c r="X185" s="336">
        <f>+IF(Y185&lt;X184,Y185,X184)</f>
      </c>
      <c r="Y185" s="337">
        <f>+(Y184-X184)*(1+$E$15)</f>
      </c>
      <c r="Z185" s="332">
        <v>180</v>
      </c>
      <c r="AA185" s="1"/>
      <c r="AB185" s="331">
        <f>AE185</f>
      </c>
      <c r="AC185" s="336">
        <f>+IF(AD185&lt;AC184,AD185,AC184)</f>
      </c>
      <c r="AD185" s="337">
        <f>+(AD184-AC184)*(1+$E$16)</f>
      </c>
      <c r="AE185" s="332">
        <v>180</v>
      </c>
    </row>
    <row x14ac:dyDescent="0.25" r="186" customHeight="1" ht="18.75">
      <c r="A186" s="1"/>
      <c r="B186" s="1"/>
      <c r="C186" s="169"/>
      <c r="D186" s="169"/>
      <c r="E186" s="168"/>
      <c r="F186" s="169"/>
      <c r="G186" s="170"/>
      <c r="H186" s="1"/>
      <c r="I186" s="1"/>
      <c r="J186" s="1"/>
      <c r="K186" s="1"/>
      <c r="L186" s="1"/>
      <c r="M186" s="331">
        <f>P186</f>
      </c>
      <c r="N186" s="335">
        <f>+IF(O186&lt;N185,O186,N185)</f>
      </c>
      <c r="O186" s="335">
        <f>+(O185-N185)*(1+$E$13)</f>
      </c>
      <c r="P186" s="332">
        <v>181</v>
      </c>
      <c r="Q186" s="1"/>
      <c r="R186" s="331">
        <f>U186</f>
      </c>
      <c r="S186" s="335">
        <f>+IF(T186&lt;S185,T186,S185)</f>
      </c>
      <c r="T186" s="335">
        <f>+(T185-S185)*(1+$E$14)</f>
      </c>
      <c r="U186" s="332">
        <v>181</v>
      </c>
      <c r="V186" s="1"/>
      <c r="W186" s="331">
        <f>Z186</f>
      </c>
      <c r="X186" s="336">
        <f>+IF(Y186&lt;X185,Y186,X185)</f>
      </c>
      <c r="Y186" s="337">
        <f>+(Y185-X185)*(1+$E$15)</f>
      </c>
      <c r="Z186" s="332">
        <v>181</v>
      </c>
      <c r="AA186" s="1"/>
      <c r="AB186" s="331">
        <f>AE186</f>
      </c>
      <c r="AC186" s="336">
        <f>+IF(AD186&lt;AC185,AD186,AC185)</f>
      </c>
      <c r="AD186" s="337">
        <f>+(AD185-AC185)*(1+$E$16)</f>
      </c>
      <c r="AE186" s="332">
        <v>181</v>
      </c>
    </row>
    <row x14ac:dyDescent="0.25" r="187" customHeight="1" ht="18.75">
      <c r="A187" s="1"/>
      <c r="B187" s="1"/>
      <c r="C187" s="169"/>
      <c r="D187" s="169"/>
      <c r="E187" s="168"/>
      <c r="F187" s="169"/>
      <c r="G187" s="170"/>
      <c r="H187" s="1"/>
      <c r="I187" s="1"/>
      <c r="J187" s="1"/>
      <c r="K187" s="1"/>
      <c r="L187" s="1"/>
      <c r="M187" s="331">
        <f>P187</f>
      </c>
      <c r="N187" s="335">
        <f>+IF(O187&lt;N186,O187,N186)</f>
      </c>
      <c r="O187" s="335">
        <f>+(O186-N186)*(1+$E$13)</f>
      </c>
      <c r="P187" s="332">
        <v>182</v>
      </c>
      <c r="Q187" s="1"/>
      <c r="R187" s="331">
        <f>U187</f>
      </c>
      <c r="S187" s="335">
        <f>+IF(T187&lt;S186,T187,S186)</f>
      </c>
      <c r="T187" s="335">
        <f>+(T186-S186)*(1+$E$14)</f>
      </c>
      <c r="U187" s="332">
        <v>182</v>
      </c>
      <c r="V187" s="1"/>
      <c r="W187" s="331">
        <f>Z187</f>
      </c>
      <c r="X187" s="336">
        <f>+IF(Y187&lt;X186,Y187,X186)</f>
      </c>
      <c r="Y187" s="337">
        <f>+(Y186-X186)*(1+$E$15)</f>
      </c>
      <c r="Z187" s="332">
        <v>182</v>
      </c>
      <c r="AA187" s="1"/>
      <c r="AB187" s="331">
        <f>AE187</f>
      </c>
      <c r="AC187" s="336">
        <f>+IF(AD187&lt;AC186,AD187,AC186)</f>
      </c>
      <c r="AD187" s="337">
        <f>+(AD186-AC186)*(1+$E$16)</f>
      </c>
      <c r="AE187" s="332">
        <v>182</v>
      </c>
    </row>
    <row x14ac:dyDescent="0.25" r="188" customHeight="1" ht="18.75">
      <c r="A188" s="1"/>
      <c r="B188" s="1"/>
      <c r="C188" s="169"/>
      <c r="D188" s="169"/>
      <c r="E188" s="168"/>
      <c r="F188" s="169"/>
      <c r="G188" s="170"/>
      <c r="H188" s="1"/>
      <c r="I188" s="1"/>
      <c r="J188" s="1"/>
      <c r="K188" s="1"/>
      <c r="L188" s="1"/>
      <c r="M188" s="331">
        <f>P188</f>
      </c>
      <c r="N188" s="335">
        <f>+IF(O188&lt;N187,O188,N187)</f>
      </c>
      <c r="O188" s="335">
        <f>+(O187-N187)*(1+$E$13)</f>
      </c>
      <c r="P188" s="332">
        <v>183</v>
      </c>
      <c r="Q188" s="1"/>
      <c r="R188" s="331">
        <f>U188</f>
      </c>
      <c r="S188" s="335">
        <f>+IF(T188&lt;S187,T188,S187)</f>
      </c>
      <c r="T188" s="335">
        <f>+(T187-S187)*(1+$E$14)</f>
      </c>
      <c r="U188" s="332">
        <v>183</v>
      </c>
      <c r="V188" s="1"/>
      <c r="W188" s="331">
        <f>Z188</f>
      </c>
      <c r="X188" s="336">
        <f>+IF(Y188&lt;X187,Y188,X187)</f>
      </c>
      <c r="Y188" s="337">
        <f>+(Y187-X187)*(1+$E$15)</f>
      </c>
      <c r="Z188" s="332">
        <v>183</v>
      </c>
      <c r="AA188" s="1"/>
      <c r="AB188" s="331">
        <f>AE188</f>
      </c>
      <c r="AC188" s="336">
        <f>+IF(AD188&lt;AC187,AD188,AC187)</f>
      </c>
      <c r="AD188" s="337">
        <f>+(AD187-AC187)*(1+$E$16)</f>
      </c>
      <c r="AE188" s="332">
        <v>183</v>
      </c>
    </row>
    <row x14ac:dyDescent="0.25" r="189" customHeight="1" ht="18.75">
      <c r="A189" s="1"/>
      <c r="B189" s="1"/>
      <c r="C189" s="169"/>
      <c r="D189" s="169"/>
      <c r="E189" s="168"/>
      <c r="F189" s="169"/>
      <c r="G189" s="170"/>
      <c r="H189" s="1"/>
      <c r="I189" s="1"/>
      <c r="J189" s="1"/>
      <c r="K189" s="1"/>
      <c r="L189" s="1"/>
      <c r="M189" s="331">
        <f>P189</f>
      </c>
      <c r="N189" s="335">
        <f>+IF(O189&lt;N188,O189,N188)</f>
      </c>
      <c r="O189" s="335">
        <f>+(O188-N188)*(1+$E$13)</f>
      </c>
      <c r="P189" s="332">
        <v>184</v>
      </c>
      <c r="Q189" s="1"/>
      <c r="R189" s="331">
        <f>U189</f>
      </c>
      <c r="S189" s="335">
        <f>+IF(T189&lt;S188,T189,S188)</f>
      </c>
      <c r="T189" s="335">
        <f>+(T188-S188)*(1+$E$14)</f>
      </c>
      <c r="U189" s="332">
        <v>184</v>
      </c>
      <c r="V189" s="1"/>
      <c r="W189" s="331">
        <f>Z189</f>
      </c>
      <c r="X189" s="336">
        <f>+IF(Y189&lt;X188,Y189,X188)</f>
      </c>
      <c r="Y189" s="337">
        <f>+(Y188-X188)*(1+$E$15)</f>
      </c>
      <c r="Z189" s="332">
        <v>184</v>
      </c>
      <c r="AA189" s="1"/>
      <c r="AB189" s="331">
        <f>AE189</f>
      </c>
      <c r="AC189" s="336">
        <f>+IF(AD189&lt;AC188,AD189,AC188)</f>
      </c>
      <c r="AD189" s="337">
        <f>+(AD188-AC188)*(1+$E$16)</f>
      </c>
      <c r="AE189" s="332">
        <v>184</v>
      </c>
    </row>
    <row x14ac:dyDescent="0.25" r="190" customHeight="1" ht="18.75">
      <c r="A190" s="1"/>
      <c r="B190" s="1"/>
      <c r="C190" s="169"/>
      <c r="D190" s="169"/>
      <c r="E190" s="168"/>
      <c r="F190" s="169"/>
      <c r="G190" s="170"/>
      <c r="H190" s="1"/>
      <c r="I190" s="1"/>
      <c r="J190" s="1"/>
      <c r="K190" s="1"/>
      <c r="L190" s="1"/>
      <c r="M190" s="331">
        <f>P190</f>
      </c>
      <c r="N190" s="335">
        <f>+IF(O190&lt;N189,O190,N189)</f>
      </c>
      <c r="O190" s="335">
        <f>+(O189-N189)*(1+$E$13)</f>
      </c>
      <c r="P190" s="332">
        <v>185</v>
      </c>
      <c r="Q190" s="1"/>
      <c r="R190" s="331">
        <f>U190</f>
      </c>
      <c r="S190" s="335">
        <f>+IF(T190&lt;S189,T190,S189)</f>
      </c>
      <c r="T190" s="335">
        <f>+(T189-S189)*(1+$E$14)</f>
      </c>
      <c r="U190" s="332">
        <v>185</v>
      </c>
      <c r="V190" s="1"/>
      <c r="W190" s="331">
        <f>Z190</f>
      </c>
      <c r="X190" s="336">
        <f>+IF(Y190&lt;X189,Y190,X189)</f>
      </c>
      <c r="Y190" s="337">
        <f>+(Y189-X189)*(1+$E$15)</f>
      </c>
      <c r="Z190" s="332">
        <v>185</v>
      </c>
      <c r="AA190" s="1"/>
      <c r="AB190" s="331">
        <f>AE190</f>
      </c>
      <c r="AC190" s="336">
        <f>+IF(AD190&lt;AC189,AD190,AC189)</f>
      </c>
      <c r="AD190" s="337">
        <f>+(AD189-AC189)*(1+$E$16)</f>
      </c>
      <c r="AE190" s="332">
        <v>185</v>
      </c>
    </row>
    <row x14ac:dyDescent="0.25" r="191" customHeight="1" ht="18.75">
      <c r="A191" s="1"/>
      <c r="B191" s="1"/>
      <c r="C191" s="169"/>
      <c r="D191" s="169"/>
      <c r="E191" s="168"/>
      <c r="F191" s="169"/>
      <c r="G191" s="170"/>
      <c r="H191" s="1"/>
      <c r="I191" s="1"/>
      <c r="J191" s="1"/>
      <c r="K191" s="1"/>
      <c r="L191" s="1"/>
      <c r="M191" s="331">
        <f>P191</f>
      </c>
      <c r="N191" s="335">
        <f>+IF(O191&lt;N190,O191,N190)</f>
      </c>
      <c r="O191" s="335">
        <f>+(O190-N190)*(1+$E$13)</f>
      </c>
      <c r="P191" s="332">
        <v>186</v>
      </c>
      <c r="Q191" s="1"/>
      <c r="R191" s="331">
        <f>U191</f>
      </c>
      <c r="S191" s="335">
        <f>+IF(T191&lt;S190,T191,S190)</f>
      </c>
      <c r="T191" s="335">
        <f>+(T190-S190)*(1+$E$14)</f>
      </c>
      <c r="U191" s="332">
        <v>186</v>
      </c>
      <c r="V191" s="1"/>
      <c r="W191" s="331">
        <f>Z191</f>
      </c>
      <c r="X191" s="336">
        <f>+IF(Y191&lt;X190,Y191,X190)</f>
      </c>
      <c r="Y191" s="337">
        <f>+(Y190-X190)*(1+$E$15)</f>
      </c>
      <c r="Z191" s="332">
        <v>186</v>
      </c>
      <c r="AA191" s="1"/>
      <c r="AB191" s="331">
        <f>AE191</f>
      </c>
      <c r="AC191" s="336">
        <f>+IF(AD191&lt;AC190,AD191,AC190)</f>
      </c>
      <c r="AD191" s="337">
        <f>+(AD190-AC190)*(1+$E$16)</f>
      </c>
      <c r="AE191" s="332">
        <v>186</v>
      </c>
    </row>
    <row x14ac:dyDescent="0.25" r="192" customHeight="1" ht="18.75">
      <c r="A192" s="1"/>
      <c r="B192" s="1"/>
      <c r="C192" s="169"/>
      <c r="D192" s="169"/>
      <c r="E192" s="168"/>
      <c r="F192" s="169"/>
      <c r="G192" s="170"/>
      <c r="H192" s="1"/>
      <c r="I192" s="1"/>
      <c r="J192" s="1"/>
      <c r="K192" s="1"/>
      <c r="L192" s="1"/>
      <c r="M192" s="331">
        <f>P192</f>
      </c>
      <c r="N192" s="335">
        <f>+IF(O192&lt;N191,O192,N191)</f>
      </c>
      <c r="O192" s="335">
        <f>+(O191-N191)*(1+$E$13)</f>
      </c>
      <c r="P192" s="332">
        <v>187</v>
      </c>
      <c r="Q192" s="1"/>
      <c r="R192" s="331">
        <f>U192</f>
      </c>
      <c r="S192" s="335">
        <f>+IF(T192&lt;S191,T192,S191)</f>
      </c>
      <c r="T192" s="335">
        <f>+(T191-S191)*(1+$E$14)</f>
      </c>
      <c r="U192" s="332">
        <v>187</v>
      </c>
      <c r="V192" s="1"/>
      <c r="W192" s="331">
        <f>Z192</f>
      </c>
      <c r="X192" s="336">
        <f>+IF(Y192&lt;X191,Y192,X191)</f>
      </c>
      <c r="Y192" s="337">
        <f>+(Y191-X191)*(1+$E$15)</f>
      </c>
      <c r="Z192" s="332">
        <v>187</v>
      </c>
      <c r="AA192" s="1"/>
      <c r="AB192" s="331">
        <f>AE192</f>
      </c>
      <c r="AC192" s="336">
        <f>+IF(AD192&lt;AC191,AD192,AC191)</f>
      </c>
      <c r="AD192" s="337">
        <f>+(AD191-AC191)*(1+$E$16)</f>
      </c>
      <c r="AE192" s="332">
        <v>187</v>
      </c>
    </row>
    <row x14ac:dyDescent="0.25" r="193" customHeight="1" ht="18.75">
      <c r="A193" s="1"/>
      <c r="B193" s="1"/>
      <c r="C193" s="169"/>
      <c r="D193" s="169"/>
      <c r="E193" s="168"/>
      <c r="F193" s="169"/>
      <c r="G193" s="170"/>
      <c r="H193" s="1"/>
      <c r="I193" s="1"/>
      <c r="J193" s="1"/>
      <c r="K193" s="1"/>
      <c r="L193" s="1"/>
      <c r="M193" s="331">
        <f>P193</f>
      </c>
      <c r="N193" s="335">
        <f>+IF(O193&lt;N192,O193,N192)</f>
      </c>
      <c r="O193" s="335">
        <f>+(O192-N192)*(1+$E$13)</f>
      </c>
      <c r="P193" s="332">
        <v>188</v>
      </c>
      <c r="Q193" s="1"/>
      <c r="R193" s="331">
        <f>U193</f>
      </c>
      <c r="S193" s="335">
        <f>+IF(T193&lt;S192,T193,S192)</f>
      </c>
      <c r="T193" s="335">
        <f>+(T192-S192)*(1+$E$14)</f>
      </c>
      <c r="U193" s="332">
        <v>188</v>
      </c>
      <c r="V193" s="1"/>
      <c r="W193" s="331">
        <f>Z193</f>
      </c>
      <c r="X193" s="336">
        <f>+IF(Y193&lt;X192,Y193,X192)</f>
      </c>
      <c r="Y193" s="337">
        <f>+(Y192-X192)*(1+$E$15)</f>
      </c>
      <c r="Z193" s="332">
        <v>188</v>
      </c>
      <c r="AA193" s="1"/>
      <c r="AB193" s="331">
        <f>AE193</f>
      </c>
      <c r="AC193" s="336">
        <f>+IF(AD193&lt;AC192,AD193,AC192)</f>
      </c>
      <c r="AD193" s="337">
        <f>+(AD192-AC192)*(1+$E$16)</f>
      </c>
      <c r="AE193" s="332">
        <v>188</v>
      </c>
    </row>
    <row x14ac:dyDescent="0.25" r="194" customHeight="1" ht="18.75">
      <c r="A194" s="1"/>
      <c r="B194" s="1"/>
      <c r="C194" s="169"/>
      <c r="D194" s="169"/>
      <c r="E194" s="168"/>
      <c r="F194" s="169"/>
      <c r="G194" s="170"/>
      <c r="H194" s="1"/>
      <c r="I194" s="1"/>
      <c r="J194" s="1"/>
      <c r="K194" s="1"/>
      <c r="L194" s="1"/>
      <c r="M194" s="331">
        <f>P194</f>
      </c>
      <c r="N194" s="335">
        <f>+IF(O194&lt;N193,O194,N193)</f>
      </c>
      <c r="O194" s="335">
        <f>+(O193-N193)*(1+$E$13)</f>
      </c>
      <c r="P194" s="332">
        <v>189</v>
      </c>
      <c r="Q194" s="1"/>
      <c r="R194" s="331">
        <f>U194</f>
      </c>
      <c r="S194" s="335">
        <f>+IF(T194&lt;S193,T194,S193)</f>
      </c>
      <c r="T194" s="335">
        <f>+(T193-S193)*(1+$E$14)</f>
      </c>
      <c r="U194" s="332">
        <v>189</v>
      </c>
      <c r="V194" s="1"/>
      <c r="W194" s="331">
        <f>Z194</f>
      </c>
      <c r="X194" s="336">
        <f>+IF(Y194&lt;X193,Y194,X193)</f>
      </c>
      <c r="Y194" s="337">
        <f>+(Y193-X193)*(1+$E$15)</f>
      </c>
      <c r="Z194" s="332">
        <v>189</v>
      </c>
      <c r="AA194" s="1"/>
      <c r="AB194" s="331">
        <f>AE194</f>
      </c>
      <c r="AC194" s="336">
        <f>+IF(AD194&lt;AC193,AD194,AC193)</f>
      </c>
      <c r="AD194" s="337">
        <f>+(AD193-AC193)*(1+$E$16)</f>
      </c>
      <c r="AE194" s="332">
        <v>189</v>
      </c>
    </row>
    <row x14ac:dyDescent="0.25" r="195" customHeight="1" ht="18.75">
      <c r="A195" s="1"/>
      <c r="B195" s="1"/>
      <c r="C195" s="169"/>
      <c r="D195" s="169"/>
      <c r="E195" s="168"/>
      <c r="F195" s="169"/>
      <c r="G195" s="170"/>
      <c r="H195" s="1"/>
      <c r="I195" s="1"/>
      <c r="J195" s="1"/>
      <c r="K195" s="1"/>
      <c r="L195" s="1"/>
      <c r="M195" s="331">
        <f>P195</f>
      </c>
      <c r="N195" s="335">
        <f>+IF(O195&lt;N194,O195,N194)</f>
      </c>
      <c r="O195" s="335">
        <f>+(O194-N194)*(1+$E$13)</f>
      </c>
      <c r="P195" s="332">
        <v>190</v>
      </c>
      <c r="Q195" s="1"/>
      <c r="R195" s="331">
        <f>U195</f>
      </c>
      <c r="S195" s="335">
        <f>+IF(T195&lt;S194,T195,S194)</f>
      </c>
      <c r="T195" s="335">
        <f>+(T194-S194)*(1+$E$14)</f>
      </c>
      <c r="U195" s="332">
        <v>190</v>
      </c>
      <c r="V195" s="1"/>
      <c r="W195" s="331">
        <f>Z195</f>
      </c>
      <c r="X195" s="336">
        <f>+IF(Y195&lt;X194,Y195,X194)</f>
      </c>
      <c r="Y195" s="337">
        <f>+(Y194-X194)*(1+$E$15)</f>
      </c>
      <c r="Z195" s="332">
        <v>190</v>
      </c>
      <c r="AA195" s="1"/>
      <c r="AB195" s="331">
        <f>AE195</f>
      </c>
      <c r="AC195" s="336">
        <f>+IF(AD195&lt;AC194,AD195,AC194)</f>
      </c>
      <c r="AD195" s="337">
        <f>+(AD194-AC194)*(1+$E$16)</f>
      </c>
      <c r="AE195" s="332">
        <v>190</v>
      </c>
    </row>
    <row x14ac:dyDescent="0.25" r="196" customHeight="1" ht="18.75">
      <c r="A196" s="1"/>
      <c r="B196" s="1"/>
      <c r="C196" s="169"/>
      <c r="D196" s="169"/>
      <c r="E196" s="168"/>
      <c r="F196" s="169"/>
      <c r="G196" s="170"/>
      <c r="H196" s="1"/>
      <c r="I196" s="1"/>
      <c r="J196" s="1"/>
      <c r="K196" s="1"/>
      <c r="L196" s="1"/>
      <c r="M196" s="331">
        <f>P196</f>
      </c>
      <c r="N196" s="335">
        <f>+IF(O196&lt;N195,O196,N195)</f>
      </c>
      <c r="O196" s="335">
        <f>+(O195-N195)*(1+$E$13)</f>
      </c>
      <c r="P196" s="332">
        <v>191</v>
      </c>
      <c r="Q196" s="1"/>
      <c r="R196" s="331">
        <f>U196</f>
      </c>
      <c r="S196" s="335">
        <f>+IF(T196&lt;S195,T196,S195)</f>
      </c>
      <c r="T196" s="335">
        <f>+(T195-S195)*(1+$E$14)</f>
      </c>
      <c r="U196" s="332">
        <v>191</v>
      </c>
      <c r="V196" s="1"/>
      <c r="W196" s="331">
        <f>Z196</f>
      </c>
      <c r="X196" s="336">
        <f>+IF(Y196&lt;X195,Y196,X195)</f>
      </c>
      <c r="Y196" s="337">
        <f>+(Y195-X195)*(1+$E$15)</f>
      </c>
      <c r="Z196" s="332">
        <v>191</v>
      </c>
      <c r="AA196" s="1"/>
      <c r="AB196" s="331">
        <f>AE196</f>
      </c>
      <c r="AC196" s="336">
        <f>+IF(AD196&lt;AC195,AD196,AC195)</f>
      </c>
      <c r="AD196" s="337">
        <f>+(AD195-AC195)*(1+$E$16)</f>
      </c>
      <c r="AE196" s="332">
        <v>191</v>
      </c>
    </row>
    <row x14ac:dyDescent="0.25" r="197" customHeight="1" ht="18.75">
      <c r="A197" s="1"/>
      <c r="B197" s="1"/>
      <c r="C197" s="169"/>
      <c r="D197" s="169"/>
      <c r="E197" s="168"/>
      <c r="F197" s="169"/>
      <c r="G197" s="170"/>
      <c r="H197" s="1"/>
      <c r="I197" s="1"/>
      <c r="J197" s="1"/>
      <c r="K197" s="1"/>
      <c r="L197" s="1"/>
      <c r="M197" s="331">
        <f>P197</f>
      </c>
      <c r="N197" s="335">
        <f>+IF(O197&lt;N196,O197,N196)</f>
      </c>
      <c r="O197" s="335">
        <f>+(O196-N196)*(1+$E$13)</f>
      </c>
      <c r="P197" s="332">
        <v>192</v>
      </c>
      <c r="Q197" s="1"/>
      <c r="R197" s="331">
        <f>U197</f>
      </c>
      <c r="S197" s="335">
        <f>+IF(T197&lt;S196,T197,S196)</f>
      </c>
      <c r="T197" s="335">
        <f>+(T196-S196)*(1+$E$14)</f>
      </c>
      <c r="U197" s="332">
        <v>192</v>
      </c>
      <c r="V197" s="1"/>
      <c r="W197" s="331">
        <f>Z197</f>
      </c>
      <c r="X197" s="336">
        <f>+IF(Y197&lt;X196,Y197,X196)</f>
      </c>
      <c r="Y197" s="337">
        <f>+(Y196-X196)*(1+$E$15)</f>
      </c>
      <c r="Z197" s="332">
        <v>192</v>
      </c>
      <c r="AA197" s="1"/>
      <c r="AB197" s="331">
        <f>AE197</f>
      </c>
      <c r="AC197" s="336">
        <f>+IF(AD197&lt;AC196,AD197,AC196)</f>
      </c>
      <c r="AD197" s="337">
        <f>+(AD196-AC196)*(1+$E$16)</f>
      </c>
      <c r="AE197" s="332">
        <v>192</v>
      </c>
    </row>
    <row x14ac:dyDescent="0.25" r="198" customHeight="1" ht="18.75">
      <c r="A198" s="1"/>
      <c r="B198" s="1"/>
      <c r="C198" s="169"/>
      <c r="D198" s="169"/>
      <c r="E198" s="168"/>
      <c r="F198" s="169"/>
      <c r="G198" s="170"/>
      <c r="H198" s="1"/>
      <c r="I198" s="1"/>
      <c r="J198" s="1"/>
      <c r="K198" s="1"/>
      <c r="L198" s="1"/>
      <c r="M198" s="331">
        <f>P198</f>
      </c>
      <c r="N198" s="335">
        <f>+IF(O198&lt;N197,O198,N197)</f>
      </c>
      <c r="O198" s="335">
        <f>+(O197-N197)*(1+$E$13)</f>
      </c>
      <c r="P198" s="332">
        <v>193</v>
      </c>
      <c r="Q198" s="1"/>
      <c r="R198" s="331">
        <f>U198</f>
      </c>
      <c r="S198" s="335">
        <f>+IF(T198&lt;S197,T198,S197)</f>
      </c>
      <c r="T198" s="335">
        <f>+(T197-S197)*(1+$E$14)</f>
      </c>
      <c r="U198" s="332">
        <v>193</v>
      </c>
      <c r="V198" s="1"/>
      <c r="W198" s="331">
        <f>Z198</f>
      </c>
      <c r="X198" s="336">
        <f>+IF(Y198&lt;X197,Y198,X197)</f>
      </c>
      <c r="Y198" s="337">
        <f>+(Y197-X197)*(1+$E$15)</f>
      </c>
      <c r="Z198" s="332">
        <v>193</v>
      </c>
      <c r="AA198" s="1"/>
      <c r="AB198" s="331">
        <f>AE198</f>
      </c>
      <c r="AC198" s="336">
        <f>+IF(AD198&lt;AC197,AD198,AC197)</f>
      </c>
      <c r="AD198" s="337">
        <f>+(AD197-AC197)*(1+$E$16)</f>
      </c>
      <c r="AE198" s="332">
        <v>193</v>
      </c>
    </row>
    <row x14ac:dyDescent="0.25" r="199" customHeight="1" ht="18.75">
      <c r="A199" s="1"/>
      <c r="B199" s="1"/>
      <c r="C199" s="169"/>
      <c r="D199" s="169"/>
      <c r="E199" s="168"/>
      <c r="F199" s="169"/>
      <c r="G199" s="170"/>
      <c r="H199" s="1"/>
      <c r="I199" s="1"/>
      <c r="J199" s="1"/>
      <c r="K199" s="1"/>
      <c r="L199" s="1"/>
      <c r="M199" s="331">
        <f>P199</f>
      </c>
      <c r="N199" s="335">
        <f>+IF(O199&lt;N198,O199,N198)</f>
      </c>
      <c r="O199" s="335">
        <f>+(O198-N198)*(1+$E$13)</f>
      </c>
      <c r="P199" s="332">
        <v>194</v>
      </c>
      <c r="Q199" s="1"/>
      <c r="R199" s="331">
        <f>U199</f>
      </c>
      <c r="S199" s="335">
        <f>+IF(T199&lt;S198,T199,S198)</f>
      </c>
      <c r="T199" s="335">
        <f>+(T198-S198)*(1+$E$14)</f>
      </c>
      <c r="U199" s="332">
        <v>194</v>
      </c>
      <c r="V199" s="1"/>
      <c r="W199" s="331">
        <f>Z199</f>
      </c>
      <c r="X199" s="336">
        <f>+IF(Y199&lt;X198,Y199,X198)</f>
      </c>
      <c r="Y199" s="337">
        <f>+(Y198-X198)*(1+$E$15)</f>
      </c>
      <c r="Z199" s="332">
        <v>194</v>
      </c>
      <c r="AA199" s="1"/>
      <c r="AB199" s="331">
        <f>AE199</f>
      </c>
      <c r="AC199" s="336">
        <f>+IF(AD199&lt;AC198,AD199,AC198)</f>
      </c>
      <c r="AD199" s="337">
        <f>+(AD198-AC198)*(1+$E$16)</f>
      </c>
      <c r="AE199" s="332">
        <v>194</v>
      </c>
    </row>
    <row x14ac:dyDescent="0.25" r="200" customHeight="1" ht="18.75">
      <c r="A200" s="1"/>
      <c r="B200" s="1"/>
      <c r="C200" s="169"/>
      <c r="D200" s="169"/>
      <c r="E200" s="168"/>
      <c r="F200" s="169"/>
      <c r="G200" s="170"/>
      <c r="H200" s="1"/>
      <c r="I200" s="1"/>
      <c r="J200" s="1"/>
      <c r="K200" s="1"/>
      <c r="L200" s="1"/>
      <c r="M200" s="331">
        <f>P200</f>
      </c>
      <c r="N200" s="335">
        <f>+IF(O200&lt;N199,O200,N199)</f>
      </c>
      <c r="O200" s="335">
        <f>+(O199-N199)*(1+$E$13)</f>
      </c>
      <c r="P200" s="332">
        <v>195</v>
      </c>
      <c r="Q200" s="1"/>
      <c r="R200" s="331">
        <f>U200</f>
      </c>
      <c r="S200" s="335">
        <f>+IF(T200&lt;S199,T200,S199)</f>
      </c>
      <c r="T200" s="335">
        <f>+(T199-S199)*(1+$E$14)</f>
      </c>
      <c r="U200" s="332">
        <v>195</v>
      </c>
      <c r="V200" s="1"/>
      <c r="W200" s="331">
        <f>Z200</f>
      </c>
      <c r="X200" s="336">
        <f>+IF(Y200&lt;X199,Y200,X199)</f>
      </c>
      <c r="Y200" s="337">
        <f>+(Y199-X199)*(1+$E$15)</f>
      </c>
      <c r="Z200" s="332">
        <v>195</v>
      </c>
      <c r="AA200" s="1"/>
      <c r="AB200" s="331">
        <f>AE200</f>
      </c>
      <c r="AC200" s="336">
        <f>+IF(AD200&lt;AC199,AD200,AC199)</f>
      </c>
      <c r="AD200" s="337">
        <f>+(AD199-AC199)*(1+$E$16)</f>
      </c>
      <c r="AE200" s="332">
        <v>195</v>
      </c>
    </row>
    <row x14ac:dyDescent="0.25" r="201" customHeight="1" ht="18.75">
      <c r="A201" s="1"/>
      <c r="B201" s="1"/>
      <c r="C201" s="169"/>
      <c r="D201" s="169"/>
      <c r="E201" s="168"/>
      <c r="F201" s="169"/>
      <c r="G201" s="170"/>
      <c r="H201" s="1"/>
      <c r="I201" s="1"/>
      <c r="J201" s="1"/>
      <c r="K201" s="1"/>
      <c r="L201" s="1"/>
      <c r="M201" s="331">
        <f>P201</f>
      </c>
      <c r="N201" s="335">
        <f>+IF(O201&lt;N200,O201,N200)</f>
      </c>
      <c r="O201" s="335">
        <f>+(O200-N200)*(1+$E$13)</f>
      </c>
      <c r="P201" s="332">
        <v>196</v>
      </c>
      <c r="Q201" s="1"/>
      <c r="R201" s="331">
        <f>U201</f>
      </c>
      <c r="S201" s="335">
        <f>+IF(T201&lt;S200,T201,S200)</f>
      </c>
      <c r="T201" s="335">
        <f>+(T200-S200)*(1+$E$14)</f>
      </c>
      <c r="U201" s="332">
        <v>196</v>
      </c>
      <c r="V201" s="1"/>
      <c r="W201" s="331">
        <f>Z201</f>
      </c>
      <c r="X201" s="336">
        <f>+IF(Y201&lt;X200,Y201,X200)</f>
      </c>
      <c r="Y201" s="337">
        <f>+(Y200-X200)*(1+$E$15)</f>
      </c>
      <c r="Z201" s="332">
        <v>196</v>
      </c>
      <c r="AA201" s="1"/>
      <c r="AB201" s="331">
        <f>AE201</f>
      </c>
      <c r="AC201" s="336">
        <f>+IF(AD201&lt;AC200,AD201,AC200)</f>
      </c>
      <c r="AD201" s="337">
        <f>+(AD200-AC200)*(1+$E$16)</f>
      </c>
      <c r="AE201" s="332">
        <v>196</v>
      </c>
    </row>
    <row x14ac:dyDescent="0.25" r="202" customHeight="1" ht="18.75">
      <c r="A202" s="1"/>
      <c r="B202" s="1"/>
      <c r="C202" s="169"/>
      <c r="D202" s="169"/>
      <c r="E202" s="168"/>
      <c r="F202" s="169"/>
      <c r="G202" s="170"/>
      <c r="H202" s="1"/>
      <c r="I202" s="1"/>
      <c r="J202" s="1"/>
      <c r="K202" s="1"/>
      <c r="L202" s="1"/>
      <c r="M202" s="331">
        <f>P202</f>
      </c>
      <c r="N202" s="335">
        <f>+IF(O202&lt;N201,O202,N201)</f>
      </c>
      <c r="O202" s="335">
        <f>+(O201-N201)*(1+$E$13)</f>
      </c>
      <c r="P202" s="332">
        <v>197</v>
      </c>
      <c r="Q202" s="1"/>
      <c r="R202" s="331">
        <f>U202</f>
      </c>
      <c r="S202" s="335">
        <f>+IF(T202&lt;S201,T202,S201)</f>
      </c>
      <c r="T202" s="335">
        <f>+(T201-S201)*(1+$E$14)</f>
      </c>
      <c r="U202" s="332">
        <v>197</v>
      </c>
      <c r="V202" s="1"/>
      <c r="W202" s="331">
        <f>Z202</f>
      </c>
      <c r="X202" s="336">
        <f>+IF(Y202&lt;X201,Y202,X201)</f>
      </c>
      <c r="Y202" s="337">
        <f>+(Y201-X201)*(1+$E$15)</f>
      </c>
      <c r="Z202" s="332">
        <v>197</v>
      </c>
      <c r="AA202" s="1"/>
      <c r="AB202" s="331">
        <f>AE202</f>
      </c>
      <c r="AC202" s="336">
        <f>+IF(AD202&lt;AC201,AD202,AC201)</f>
      </c>
      <c r="AD202" s="337">
        <f>+(AD201-AC201)*(1+$E$16)</f>
      </c>
      <c r="AE202" s="332">
        <v>197</v>
      </c>
    </row>
    <row x14ac:dyDescent="0.25" r="203" customHeight="1" ht="18.75">
      <c r="A203" s="1"/>
      <c r="B203" s="1"/>
      <c r="C203" s="169"/>
      <c r="D203" s="169"/>
      <c r="E203" s="168"/>
      <c r="F203" s="169"/>
      <c r="G203" s="170"/>
      <c r="H203" s="1"/>
      <c r="I203" s="1"/>
      <c r="J203" s="1"/>
      <c r="K203" s="1"/>
      <c r="L203" s="1"/>
      <c r="M203" s="331">
        <f>P203</f>
      </c>
      <c r="N203" s="335">
        <f>+IF(O203&lt;N202,O203,N202)</f>
      </c>
      <c r="O203" s="335">
        <f>+(O202-N202)*(1+$E$13)</f>
      </c>
      <c r="P203" s="332">
        <v>198</v>
      </c>
      <c r="Q203" s="1"/>
      <c r="R203" s="331">
        <f>U203</f>
      </c>
      <c r="S203" s="335">
        <f>+IF(T203&lt;S202,T203,S202)</f>
      </c>
      <c r="T203" s="335">
        <f>+(T202-S202)*(1+$E$14)</f>
      </c>
      <c r="U203" s="332">
        <v>198</v>
      </c>
      <c r="V203" s="1"/>
      <c r="W203" s="331">
        <f>Z203</f>
      </c>
      <c r="X203" s="336">
        <f>+IF(Y203&lt;X202,Y203,X202)</f>
      </c>
      <c r="Y203" s="337">
        <f>+(Y202-X202)*(1+$E$15)</f>
      </c>
      <c r="Z203" s="332">
        <v>198</v>
      </c>
      <c r="AA203" s="1"/>
      <c r="AB203" s="331">
        <f>AE203</f>
      </c>
      <c r="AC203" s="336">
        <f>+IF(AD203&lt;AC202,AD203,AC202)</f>
      </c>
      <c r="AD203" s="337">
        <f>+(AD202-AC202)*(1+$E$16)</f>
      </c>
      <c r="AE203" s="332">
        <v>198</v>
      </c>
    </row>
    <row x14ac:dyDescent="0.25" r="204" customHeight="1" ht="18.75">
      <c r="A204" s="1"/>
      <c r="B204" s="1"/>
      <c r="C204" s="169"/>
      <c r="D204" s="169"/>
      <c r="E204" s="168"/>
      <c r="F204" s="169"/>
      <c r="G204" s="170"/>
      <c r="H204" s="1"/>
      <c r="I204" s="1"/>
      <c r="J204" s="1"/>
      <c r="K204" s="1"/>
      <c r="L204" s="1"/>
      <c r="M204" s="331">
        <f>P204</f>
      </c>
      <c r="N204" s="335">
        <f>+IF(O204&lt;N203,O204,N203)</f>
      </c>
      <c r="O204" s="335">
        <f>+(O203-N203)*(1+$E$13)</f>
      </c>
      <c r="P204" s="332">
        <v>199</v>
      </c>
      <c r="Q204" s="1"/>
      <c r="R204" s="331">
        <f>U204</f>
      </c>
      <c r="S204" s="335">
        <f>+IF(T204&lt;S203,T204,S203)</f>
      </c>
      <c r="T204" s="335">
        <f>+(T203-S203)*(1+$E$14)</f>
      </c>
      <c r="U204" s="332">
        <v>199</v>
      </c>
      <c r="V204" s="1"/>
      <c r="W204" s="331">
        <f>Z204</f>
      </c>
      <c r="X204" s="336">
        <f>+IF(Y204&lt;X203,Y204,X203)</f>
      </c>
      <c r="Y204" s="337">
        <f>+(Y203-X203)*(1+$E$15)</f>
      </c>
      <c r="Z204" s="332">
        <v>199</v>
      </c>
      <c r="AA204" s="1"/>
      <c r="AB204" s="331">
        <f>AE204</f>
      </c>
      <c r="AC204" s="336">
        <f>+IF(AD204&lt;AC203,AD204,AC203)</f>
      </c>
      <c r="AD204" s="337">
        <f>+(AD203-AC203)*(1+$E$16)</f>
      </c>
      <c r="AE204" s="332">
        <v>199</v>
      </c>
    </row>
    <row x14ac:dyDescent="0.25" r="205" customHeight="1" ht="18.75">
      <c r="A205" s="1"/>
      <c r="B205" s="1"/>
      <c r="C205" s="169"/>
      <c r="D205" s="169"/>
      <c r="E205" s="168"/>
      <c r="F205" s="169"/>
      <c r="G205" s="170"/>
      <c r="H205" s="1"/>
      <c r="I205" s="1"/>
      <c r="J205" s="1"/>
      <c r="K205" s="1"/>
      <c r="L205" s="1"/>
      <c r="M205" s="331">
        <f>P205</f>
      </c>
      <c r="N205" s="335">
        <f>+IF(O205&lt;N204,O205,N204)</f>
      </c>
      <c r="O205" s="335">
        <f>+(O204-N204)*(1+$E$13)</f>
      </c>
      <c r="P205" s="332">
        <v>200</v>
      </c>
      <c r="Q205" s="1"/>
      <c r="R205" s="331">
        <f>U205</f>
      </c>
      <c r="S205" s="335">
        <f>+IF(T205&lt;S204,T205,S204)</f>
      </c>
      <c r="T205" s="335">
        <f>+(T204-S204)*(1+$E$14)</f>
      </c>
      <c r="U205" s="332">
        <v>200</v>
      </c>
      <c r="V205" s="1"/>
      <c r="W205" s="331">
        <f>Z205</f>
      </c>
      <c r="X205" s="336">
        <f>+IF(Y205&lt;X204,Y205,X204)</f>
      </c>
      <c r="Y205" s="337">
        <f>+(Y204-X204)*(1+$E$15)</f>
      </c>
      <c r="Z205" s="332">
        <v>200</v>
      </c>
      <c r="AA205" s="1"/>
      <c r="AB205" s="331">
        <f>AE205</f>
      </c>
      <c r="AC205" s="336">
        <f>+IF(AD205&lt;AC204,AD205,AC204)</f>
      </c>
      <c r="AD205" s="337">
        <f>+(AD204-AC204)*(1+$E$16)</f>
      </c>
      <c r="AE205" s="332">
        <v>200</v>
      </c>
    </row>
    <row x14ac:dyDescent="0.25" r="206" customHeight="1" ht="18.75">
      <c r="A206" s="1"/>
      <c r="B206" s="1"/>
      <c r="C206" s="169"/>
      <c r="D206" s="169"/>
      <c r="E206" s="168"/>
      <c r="F206" s="169"/>
      <c r="G206" s="170"/>
      <c r="H206" s="1"/>
      <c r="I206" s="1"/>
      <c r="J206" s="1"/>
      <c r="K206" s="1"/>
      <c r="L206" s="1"/>
      <c r="M206" s="331">
        <f>P206</f>
      </c>
      <c r="N206" s="335">
        <f>+IF(O206&lt;N205,O206,N205)</f>
      </c>
      <c r="O206" s="335">
        <f>+(O205-N205)*(1+$E$13)</f>
      </c>
      <c r="P206" s="332">
        <v>201</v>
      </c>
      <c r="Q206" s="1"/>
      <c r="R206" s="331">
        <f>U206</f>
      </c>
      <c r="S206" s="335">
        <f>+IF(T206&lt;S205,T206,S205)</f>
      </c>
      <c r="T206" s="335">
        <f>+(T205-S205)*(1+$E$14)</f>
      </c>
      <c r="U206" s="332">
        <v>201</v>
      </c>
      <c r="V206" s="1"/>
      <c r="W206" s="331">
        <f>Z206</f>
      </c>
      <c r="X206" s="336">
        <f>+IF(Y206&lt;X205,Y206,X205)</f>
      </c>
      <c r="Y206" s="337">
        <f>+(Y205-X205)*(1+$E$15)</f>
      </c>
      <c r="Z206" s="332">
        <v>201</v>
      </c>
      <c r="AA206" s="1"/>
      <c r="AB206" s="331">
        <f>AE206</f>
      </c>
      <c r="AC206" s="336">
        <f>+IF(AD206&lt;AC205,AD206,AC205)</f>
      </c>
      <c r="AD206" s="337">
        <f>+(AD205-AC205)*(1+$E$16)</f>
      </c>
      <c r="AE206" s="332">
        <v>201</v>
      </c>
    </row>
    <row x14ac:dyDescent="0.25" r="207" customHeight="1" ht="18.75">
      <c r="A207" s="1"/>
      <c r="B207" s="1"/>
      <c r="C207" s="169"/>
      <c r="D207" s="169"/>
      <c r="E207" s="168"/>
      <c r="F207" s="169"/>
      <c r="G207" s="170"/>
      <c r="H207" s="1"/>
      <c r="I207" s="1"/>
      <c r="J207" s="1"/>
      <c r="K207" s="1"/>
      <c r="L207" s="1"/>
      <c r="M207" s="331">
        <f>P207</f>
      </c>
      <c r="N207" s="335">
        <f>+IF(O207&lt;N206,O207,N206)</f>
      </c>
      <c r="O207" s="335">
        <f>+(O206-N206)*(1+$E$13)</f>
      </c>
      <c r="P207" s="332">
        <v>202</v>
      </c>
      <c r="Q207" s="1"/>
      <c r="R207" s="331">
        <f>U207</f>
      </c>
      <c r="S207" s="335">
        <f>+IF(T207&lt;S206,T207,S206)</f>
      </c>
      <c r="T207" s="335">
        <f>+(T206-S206)*(1+$E$14)</f>
      </c>
      <c r="U207" s="332">
        <v>202</v>
      </c>
      <c r="V207" s="1"/>
      <c r="W207" s="331">
        <f>Z207</f>
      </c>
      <c r="X207" s="336">
        <f>+IF(Y207&lt;X206,Y207,X206)</f>
      </c>
      <c r="Y207" s="337">
        <f>+(Y206-X206)*(1+$E$15)</f>
      </c>
      <c r="Z207" s="332">
        <v>202</v>
      </c>
      <c r="AA207" s="1"/>
      <c r="AB207" s="331">
        <f>AE207</f>
      </c>
      <c r="AC207" s="336">
        <f>+IF(AD207&lt;AC206,AD207,AC206)</f>
      </c>
      <c r="AD207" s="337">
        <f>+(AD206-AC206)*(1+$E$16)</f>
      </c>
      <c r="AE207" s="332">
        <v>202</v>
      </c>
    </row>
    <row x14ac:dyDescent="0.25" r="208" customHeight="1" ht="18.75">
      <c r="A208" s="1"/>
      <c r="B208" s="1"/>
      <c r="C208" s="169"/>
      <c r="D208" s="169"/>
      <c r="E208" s="168"/>
      <c r="F208" s="169"/>
      <c r="G208" s="170"/>
      <c r="H208" s="1"/>
      <c r="I208" s="1"/>
      <c r="J208" s="1"/>
      <c r="K208" s="1"/>
      <c r="L208" s="1"/>
      <c r="M208" s="331">
        <f>P208</f>
      </c>
      <c r="N208" s="335">
        <f>+IF(O208&lt;N207,O208,N207)</f>
      </c>
      <c r="O208" s="335">
        <f>+(O207-N207)*(1+$E$13)</f>
      </c>
      <c r="P208" s="332">
        <v>203</v>
      </c>
      <c r="Q208" s="1"/>
      <c r="R208" s="331">
        <f>U208</f>
      </c>
      <c r="S208" s="335">
        <f>+IF(T208&lt;S207,T208,S207)</f>
      </c>
      <c r="T208" s="335">
        <f>+(T207-S207)*(1+$E$14)</f>
      </c>
      <c r="U208" s="332">
        <v>203</v>
      </c>
      <c r="V208" s="1"/>
      <c r="W208" s="331">
        <f>Z208</f>
      </c>
      <c r="X208" s="336">
        <f>+IF(Y208&lt;X207,Y208,X207)</f>
      </c>
      <c r="Y208" s="337">
        <f>+(Y207-X207)*(1+$E$15)</f>
      </c>
      <c r="Z208" s="332">
        <v>203</v>
      </c>
      <c r="AA208" s="1"/>
      <c r="AB208" s="331">
        <f>AE208</f>
      </c>
      <c r="AC208" s="336">
        <f>+IF(AD208&lt;AC207,AD208,AC207)</f>
      </c>
      <c r="AD208" s="337">
        <f>+(AD207-AC207)*(1+$E$16)</f>
      </c>
      <c r="AE208" s="332">
        <v>203</v>
      </c>
    </row>
    <row x14ac:dyDescent="0.25" r="209" customHeight="1" ht="18.75">
      <c r="A209" s="1"/>
      <c r="B209" s="1"/>
      <c r="C209" s="169"/>
      <c r="D209" s="169"/>
      <c r="E209" s="168"/>
      <c r="F209" s="169"/>
      <c r="G209" s="170"/>
      <c r="H209" s="1"/>
      <c r="I209" s="1"/>
      <c r="J209" s="1"/>
      <c r="K209" s="1"/>
      <c r="L209" s="1"/>
      <c r="M209" s="331">
        <f>P209</f>
      </c>
      <c r="N209" s="335">
        <f>+IF(O209&lt;N208,O209,N208)</f>
      </c>
      <c r="O209" s="335">
        <f>+(O208-N208)*(1+$E$13)</f>
      </c>
      <c r="P209" s="332">
        <v>204</v>
      </c>
      <c r="Q209" s="1"/>
      <c r="R209" s="331">
        <f>U209</f>
      </c>
      <c r="S209" s="335">
        <f>+IF(T209&lt;S208,T209,S208)</f>
      </c>
      <c r="T209" s="335">
        <f>+(T208-S208)*(1+$E$14)</f>
      </c>
      <c r="U209" s="332">
        <v>204</v>
      </c>
      <c r="V209" s="1"/>
      <c r="W209" s="331">
        <f>Z209</f>
      </c>
      <c r="X209" s="336">
        <f>+IF(Y209&lt;X208,Y209,X208)</f>
      </c>
      <c r="Y209" s="337">
        <f>+(Y208-X208)*(1+$E$15)</f>
      </c>
      <c r="Z209" s="332">
        <v>204</v>
      </c>
      <c r="AA209" s="1"/>
      <c r="AB209" s="331">
        <f>AE209</f>
      </c>
      <c r="AC209" s="336">
        <f>+IF(AD209&lt;AC208,AD209,AC208)</f>
      </c>
      <c r="AD209" s="337">
        <f>+(AD208-AC208)*(1+$E$16)</f>
      </c>
      <c r="AE209" s="332">
        <v>204</v>
      </c>
    </row>
    <row x14ac:dyDescent="0.25" r="210" customHeight="1" ht="18.75">
      <c r="A210" s="1"/>
      <c r="B210" s="1"/>
      <c r="C210" s="169"/>
      <c r="D210" s="169"/>
      <c r="E210" s="168"/>
      <c r="F210" s="169"/>
      <c r="G210" s="170"/>
      <c r="H210" s="1"/>
      <c r="I210" s="1"/>
      <c r="J210" s="1"/>
      <c r="K210" s="1"/>
      <c r="L210" s="1"/>
      <c r="M210" s="331">
        <f>P210</f>
      </c>
      <c r="N210" s="335">
        <f>+IF(O210&lt;N209,O210,N209)</f>
      </c>
      <c r="O210" s="335">
        <f>+(O209-N209)*(1+$E$13)</f>
      </c>
      <c r="P210" s="332">
        <v>205</v>
      </c>
      <c r="Q210" s="1"/>
      <c r="R210" s="331">
        <f>U210</f>
      </c>
      <c r="S210" s="335">
        <f>+IF(T210&lt;S209,T210,S209)</f>
      </c>
      <c r="T210" s="335">
        <f>+(T209-S209)*(1+$E$14)</f>
      </c>
      <c r="U210" s="332">
        <v>205</v>
      </c>
      <c r="V210" s="1"/>
      <c r="W210" s="331">
        <f>Z210</f>
      </c>
      <c r="X210" s="336">
        <f>+IF(Y210&lt;X209,Y210,X209)</f>
      </c>
      <c r="Y210" s="337">
        <f>+(Y209-X209)*(1+$E$15)</f>
      </c>
      <c r="Z210" s="332">
        <v>205</v>
      </c>
      <c r="AA210" s="1"/>
      <c r="AB210" s="331">
        <f>AE210</f>
      </c>
      <c r="AC210" s="336">
        <f>+IF(AD210&lt;AC209,AD210,AC209)</f>
      </c>
      <c r="AD210" s="337">
        <f>+(AD209-AC209)*(1+$E$16)</f>
      </c>
      <c r="AE210" s="332">
        <v>205</v>
      </c>
    </row>
    <row x14ac:dyDescent="0.25" r="211" customHeight="1" ht="18.75">
      <c r="A211" s="1"/>
      <c r="B211" s="1"/>
      <c r="C211" s="169"/>
      <c r="D211" s="169"/>
      <c r="E211" s="168"/>
      <c r="F211" s="169"/>
      <c r="G211" s="170"/>
      <c r="H211" s="1"/>
      <c r="I211" s="1"/>
      <c r="J211" s="1"/>
      <c r="K211" s="1"/>
      <c r="L211" s="1"/>
      <c r="M211" s="331">
        <f>P211</f>
      </c>
      <c r="N211" s="335">
        <f>+IF(O211&lt;N210,O211,N210)</f>
      </c>
      <c r="O211" s="335">
        <f>+(O210-N210)*(1+$E$13)</f>
      </c>
      <c r="P211" s="332">
        <v>206</v>
      </c>
      <c r="Q211" s="1"/>
      <c r="R211" s="331">
        <f>U211</f>
      </c>
      <c r="S211" s="335">
        <f>+IF(T211&lt;S210,T211,S210)</f>
      </c>
      <c r="T211" s="335">
        <f>+(T210-S210)*(1+$E$14)</f>
      </c>
      <c r="U211" s="332">
        <v>206</v>
      </c>
      <c r="V211" s="1"/>
      <c r="W211" s="331">
        <f>Z211</f>
      </c>
      <c r="X211" s="336">
        <f>+IF(Y211&lt;X210,Y211,X210)</f>
      </c>
      <c r="Y211" s="337">
        <f>+(Y210-X210)*(1+$E$15)</f>
      </c>
      <c r="Z211" s="332">
        <v>206</v>
      </c>
      <c r="AA211" s="1"/>
      <c r="AB211" s="331">
        <f>AE211</f>
      </c>
      <c r="AC211" s="336">
        <f>+IF(AD211&lt;AC210,AD211,AC210)</f>
      </c>
      <c r="AD211" s="337">
        <f>+(AD210-AC210)*(1+$E$16)</f>
      </c>
      <c r="AE211" s="332">
        <v>206</v>
      </c>
    </row>
    <row x14ac:dyDescent="0.25" r="212" customHeight="1" ht="18.75">
      <c r="A212" s="1"/>
      <c r="B212" s="1"/>
      <c r="C212" s="169"/>
      <c r="D212" s="169"/>
      <c r="E212" s="168"/>
      <c r="F212" s="169"/>
      <c r="G212" s="170"/>
      <c r="H212" s="1"/>
      <c r="I212" s="1"/>
      <c r="J212" s="1"/>
      <c r="K212" s="1"/>
      <c r="L212" s="1"/>
      <c r="M212" s="331">
        <f>P212</f>
      </c>
      <c r="N212" s="335">
        <f>+IF(O212&lt;N211,O212,N211)</f>
      </c>
      <c r="O212" s="335">
        <f>+(O211-N211)*(1+$E$13)</f>
      </c>
      <c r="P212" s="332">
        <v>207</v>
      </c>
      <c r="Q212" s="1"/>
      <c r="R212" s="331">
        <f>U212</f>
      </c>
      <c r="S212" s="335">
        <f>+IF(T212&lt;S211,T212,S211)</f>
      </c>
      <c r="T212" s="335">
        <f>+(T211-S211)*(1+$E$14)</f>
      </c>
      <c r="U212" s="332">
        <v>207</v>
      </c>
      <c r="V212" s="1"/>
      <c r="W212" s="331">
        <f>Z212</f>
      </c>
      <c r="X212" s="336">
        <f>+IF(Y212&lt;X211,Y212,X211)</f>
      </c>
      <c r="Y212" s="337">
        <f>+(Y211-X211)*(1+$E$15)</f>
      </c>
      <c r="Z212" s="332">
        <v>207</v>
      </c>
      <c r="AA212" s="1"/>
      <c r="AB212" s="331">
        <f>AE212</f>
      </c>
      <c r="AC212" s="336">
        <f>+IF(AD212&lt;AC211,AD212,AC211)</f>
      </c>
      <c r="AD212" s="337">
        <f>+(AD211-AC211)*(1+$E$16)</f>
      </c>
      <c r="AE212" s="332">
        <v>207</v>
      </c>
    </row>
    <row x14ac:dyDescent="0.25" r="213" customHeight="1" ht="18.75">
      <c r="A213" s="1"/>
      <c r="B213" s="1"/>
      <c r="C213" s="169"/>
      <c r="D213" s="169"/>
      <c r="E213" s="168"/>
      <c r="F213" s="169"/>
      <c r="G213" s="170"/>
      <c r="H213" s="1"/>
      <c r="I213" s="1"/>
      <c r="J213" s="1"/>
      <c r="K213" s="1"/>
      <c r="L213" s="1"/>
      <c r="M213" s="331">
        <f>P213</f>
      </c>
      <c r="N213" s="335">
        <f>+IF(O213&lt;N212,O213,N212)</f>
      </c>
      <c r="O213" s="335">
        <f>+(O212-N212)*(1+$E$13)</f>
      </c>
      <c r="P213" s="332">
        <v>208</v>
      </c>
      <c r="Q213" s="1"/>
      <c r="R213" s="331">
        <f>U213</f>
      </c>
      <c r="S213" s="335">
        <f>+IF(T213&lt;S212,T213,S212)</f>
      </c>
      <c r="T213" s="335">
        <f>+(T212-S212)*(1+$E$14)</f>
      </c>
      <c r="U213" s="332">
        <v>208</v>
      </c>
      <c r="V213" s="1"/>
      <c r="W213" s="331">
        <f>Z213</f>
      </c>
      <c r="X213" s="336">
        <f>+IF(Y213&lt;X212,Y213,X212)</f>
      </c>
      <c r="Y213" s="337">
        <f>+(Y212-X212)*(1+$E$15)</f>
      </c>
      <c r="Z213" s="332">
        <v>208</v>
      </c>
      <c r="AA213" s="1"/>
      <c r="AB213" s="331">
        <f>AE213</f>
      </c>
      <c r="AC213" s="336">
        <f>+IF(AD213&lt;AC212,AD213,AC212)</f>
      </c>
      <c r="AD213" s="337">
        <f>+(AD212-AC212)*(1+$E$16)</f>
      </c>
      <c r="AE213" s="332">
        <v>208</v>
      </c>
    </row>
    <row x14ac:dyDescent="0.25" r="214" customHeight="1" ht="18.75">
      <c r="A214" s="1"/>
      <c r="B214" s="1"/>
      <c r="C214" s="169"/>
      <c r="D214" s="169"/>
      <c r="E214" s="168"/>
      <c r="F214" s="169"/>
      <c r="G214" s="170"/>
      <c r="H214" s="1"/>
      <c r="I214" s="1"/>
      <c r="J214" s="1"/>
      <c r="K214" s="1"/>
      <c r="L214" s="1"/>
      <c r="M214" s="331">
        <f>P214</f>
      </c>
      <c r="N214" s="335">
        <f>+IF(O214&lt;N213,O214,N213)</f>
      </c>
      <c r="O214" s="335">
        <f>+(O213-N213)*(1+$E$13)</f>
      </c>
      <c r="P214" s="332">
        <v>209</v>
      </c>
      <c r="Q214" s="1"/>
      <c r="R214" s="331">
        <f>U214</f>
      </c>
      <c r="S214" s="335">
        <f>+IF(T214&lt;S213,T214,S213)</f>
      </c>
      <c r="T214" s="335">
        <f>+(T213-S213)*(1+$E$14)</f>
      </c>
      <c r="U214" s="332">
        <v>209</v>
      </c>
      <c r="V214" s="1"/>
      <c r="W214" s="331">
        <f>Z214</f>
      </c>
      <c r="X214" s="336">
        <f>+IF(Y214&lt;X213,Y214,X213)</f>
      </c>
      <c r="Y214" s="337">
        <f>+(Y213-X213)*(1+$E$15)</f>
      </c>
      <c r="Z214" s="332">
        <v>209</v>
      </c>
      <c r="AA214" s="1"/>
      <c r="AB214" s="331">
        <f>AE214</f>
      </c>
      <c r="AC214" s="336">
        <f>+IF(AD214&lt;AC213,AD214,AC213)</f>
      </c>
      <c r="AD214" s="337">
        <f>+(AD213-AC213)*(1+$E$16)</f>
      </c>
      <c r="AE214" s="332">
        <v>209</v>
      </c>
    </row>
    <row x14ac:dyDescent="0.25" r="215" customHeight="1" ht="18.75">
      <c r="A215" s="1"/>
      <c r="B215" s="1"/>
      <c r="C215" s="169"/>
      <c r="D215" s="169"/>
      <c r="E215" s="168"/>
      <c r="F215" s="169"/>
      <c r="G215" s="170"/>
      <c r="H215" s="1"/>
      <c r="I215" s="1"/>
      <c r="J215" s="1"/>
      <c r="K215" s="1"/>
      <c r="L215" s="1"/>
      <c r="M215" s="331">
        <f>P215</f>
      </c>
      <c r="N215" s="335">
        <f>+IF(O215&lt;N214,O215,N214)</f>
      </c>
      <c r="O215" s="335">
        <f>+(O214-N214)*(1+$E$13)</f>
      </c>
      <c r="P215" s="332">
        <v>210</v>
      </c>
      <c r="Q215" s="1"/>
      <c r="R215" s="331">
        <f>U215</f>
      </c>
      <c r="S215" s="335">
        <f>+IF(T215&lt;S214,T215,S214)</f>
      </c>
      <c r="T215" s="335">
        <f>+(T214-S214)*(1+$E$14)</f>
      </c>
      <c r="U215" s="332">
        <v>210</v>
      </c>
      <c r="V215" s="1"/>
      <c r="W215" s="331">
        <f>Z215</f>
      </c>
      <c r="X215" s="336">
        <f>+IF(Y215&lt;X214,Y215,X214)</f>
      </c>
      <c r="Y215" s="337">
        <f>+(Y214-X214)*(1+$E$15)</f>
      </c>
      <c r="Z215" s="332">
        <v>210</v>
      </c>
      <c r="AA215" s="1"/>
      <c r="AB215" s="331">
        <f>AE215</f>
      </c>
      <c r="AC215" s="336">
        <f>+IF(AD215&lt;AC214,AD215,AC214)</f>
      </c>
      <c r="AD215" s="337">
        <f>+(AD214-AC214)*(1+$E$16)</f>
      </c>
      <c r="AE215" s="332">
        <v>210</v>
      </c>
    </row>
    <row x14ac:dyDescent="0.25" r="216" customHeight="1" ht="18.75">
      <c r="A216" s="1"/>
      <c r="B216" s="1"/>
      <c r="C216" s="169"/>
      <c r="D216" s="169"/>
      <c r="E216" s="168"/>
      <c r="F216" s="169"/>
      <c r="G216" s="170"/>
      <c r="H216" s="1"/>
      <c r="I216" s="1"/>
      <c r="J216" s="1"/>
      <c r="K216" s="1"/>
      <c r="L216" s="1"/>
      <c r="M216" s="331">
        <f>P216</f>
      </c>
      <c r="N216" s="335">
        <f>+IF(O216&lt;N215,O216,N215)</f>
      </c>
      <c r="O216" s="335">
        <f>+(O215-N215)*(1+$E$13)</f>
      </c>
      <c r="P216" s="332">
        <v>211</v>
      </c>
      <c r="Q216" s="1"/>
      <c r="R216" s="331">
        <f>U216</f>
      </c>
      <c r="S216" s="335">
        <f>+IF(T216&lt;S215,T216,S215)</f>
      </c>
      <c r="T216" s="335">
        <f>+(T215-S215)*(1+$E$14)</f>
      </c>
      <c r="U216" s="332">
        <v>211</v>
      </c>
      <c r="V216" s="1"/>
      <c r="W216" s="331">
        <f>Z216</f>
      </c>
      <c r="X216" s="336">
        <f>+IF(Y216&lt;X215,Y216,X215)</f>
      </c>
      <c r="Y216" s="337">
        <f>+(Y215-X215)*(1+$E$15)</f>
      </c>
      <c r="Z216" s="332">
        <v>211</v>
      </c>
      <c r="AA216" s="1"/>
      <c r="AB216" s="331">
        <f>AE216</f>
      </c>
      <c r="AC216" s="336">
        <f>+IF(AD216&lt;AC215,AD216,AC215)</f>
      </c>
      <c r="AD216" s="337">
        <f>+(AD215-AC215)*(1+$E$16)</f>
      </c>
      <c r="AE216" s="332">
        <v>211</v>
      </c>
    </row>
    <row x14ac:dyDescent="0.25" r="217" customHeight="1" ht="18.75">
      <c r="A217" s="1"/>
      <c r="B217" s="1"/>
      <c r="C217" s="169"/>
      <c r="D217" s="169"/>
      <c r="E217" s="168"/>
      <c r="F217" s="169"/>
      <c r="G217" s="170"/>
      <c r="H217" s="1"/>
      <c r="I217" s="1"/>
      <c r="J217" s="1"/>
      <c r="K217" s="1"/>
      <c r="L217" s="1"/>
      <c r="M217" s="331">
        <f>P217</f>
      </c>
      <c r="N217" s="335">
        <f>+IF(O217&lt;N216,O217,N216)</f>
      </c>
      <c r="O217" s="335">
        <f>+(O216-N216)*(1+$E$13)</f>
      </c>
      <c r="P217" s="332">
        <v>212</v>
      </c>
      <c r="Q217" s="1"/>
      <c r="R217" s="331">
        <f>U217</f>
      </c>
      <c r="S217" s="335">
        <f>+IF(T217&lt;S216,T217,S216)</f>
      </c>
      <c r="T217" s="335">
        <f>+(T216-S216)*(1+$E$14)</f>
      </c>
      <c r="U217" s="332">
        <v>212</v>
      </c>
      <c r="V217" s="1"/>
      <c r="W217" s="331">
        <f>Z217</f>
      </c>
      <c r="X217" s="336">
        <f>+IF(Y217&lt;X216,Y217,X216)</f>
      </c>
      <c r="Y217" s="337">
        <f>+(Y216-X216)*(1+$E$15)</f>
      </c>
      <c r="Z217" s="332">
        <v>212</v>
      </c>
      <c r="AA217" s="1"/>
      <c r="AB217" s="331">
        <f>AE217</f>
      </c>
      <c r="AC217" s="336">
        <f>+IF(AD217&lt;AC216,AD217,AC216)</f>
      </c>
      <c r="AD217" s="337">
        <f>+(AD216-AC216)*(1+$E$16)</f>
      </c>
      <c r="AE217" s="332">
        <v>212</v>
      </c>
    </row>
    <row x14ac:dyDescent="0.25" r="218" customHeight="1" ht="18.75">
      <c r="A218" s="1"/>
      <c r="B218" s="1"/>
      <c r="C218" s="169"/>
      <c r="D218" s="169"/>
      <c r="E218" s="168"/>
      <c r="F218" s="169"/>
      <c r="G218" s="170"/>
      <c r="H218" s="1"/>
      <c r="I218" s="1"/>
      <c r="J218" s="1"/>
      <c r="K218" s="1"/>
      <c r="L218" s="1"/>
      <c r="M218" s="331">
        <f>P218</f>
      </c>
      <c r="N218" s="335">
        <f>+IF(O218&lt;N217,O218,N217)</f>
      </c>
      <c r="O218" s="335">
        <f>+(O217-N217)*(1+$E$13)</f>
      </c>
      <c r="P218" s="332">
        <v>213</v>
      </c>
      <c r="Q218" s="1"/>
      <c r="R218" s="331">
        <f>U218</f>
      </c>
      <c r="S218" s="335">
        <f>+IF(T218&lt;S217,T218,S217)</f>
      </c>
      <c r="T218" s="335">
        <f>+(T217-S217)*(1+$E$14)</f>
      </c>
      <c r="U218" s="332">
        <v>213</v>
      </c>
      <c r="V218" s="1"/>
      <c r="W218" s="331">
        <f>Z218</f>
      </c>
      <c r="X218" s="336">
        <f>+IF(Y218&lt;X217,Y218,X217)</f>
      </c>
      <c r="Y218" s="337">
        <f>+(Y217-X217)*(1+$E$15)</f>
      </c>
      <c r="Z218" s="332">
        <v>213</v>
      </c>
      <c r="AA218" s="1"/>
      <c r="AB218" s="331">
        <f>AE218</f>
      </c>
      <c r="AC218" s="336">
        <f>+IF(AD218&lt;AC217,AD218,AC217)</f>
      </c>
      <c r="AD218" s="337">
        <f>+(AD217-AC217)*(1+$E$16)</f>
      </c>
      <c r="AE218" s="332">
        <v>213</v>
      </c>
    </row>
    <row x14ac:dyDescent="0.25" r="219" customHeight="1" ht="18.75">
      <c r="A219" s="1"/>
      <c r="B219" s="1"/>
      <c r="C219" s="169"/>
      <c r="D219" s="169"/>
      <c r="E219" s="168"/>
      <c r="F219" s="169"/>
      <c r="G219" s="170"/>
      <c r="H219" s="1"/>
      <c r="I219" s="1"/>
      <c r="J219" s="1"/>
      <c r="K219" s="1"/>
      <c r="L219" s="1"/>
      <c r="M219" s="331">
        <f>P219</f>
      </c>
      <c r="N219" s="335">
        <f>+IF(O219&lt;N218,O219,N218)</f>
      </c>
      <c r="O219" s="335">
        <f>+(O218-N218)*(1+$E$13)</f>
      </c>
      <c r="P219" s="332">
        <v>214</v>
      </c>
      <c r="Q219" s="1"/>
      <c r="R219" s="331">
        <f>U219</f>
      </c>
      <c r="S219" s="335">
        <f>+IF(T219&lt;S218,T219,S218)</f>
      </c>
      <c r="T219" s="335">
        <f>+(T218-S218)*(1+$E$14)</f>
      </c>
      <c r="U219" s="332">
        <v>214</v>
      </c>
      <c r="V219" s="1"/>
      <c r="W219" s="331">
        <f>Z219</f>
      </c>
      <c r="X219" s="336">
        <f>+IF(Y219&lt;X218,Y219,X218)</f>
      </c>
      <c r="Y219" s="337">
        <f>+(Y218-X218)*(1+$E$15)</f>
      </c>
      <c r="Z219" s="332">
        <v>214</v>
      </c>
      <c r="AA219" s="1"/>
      <c r="AB219" s="331">
        <f>AE219</f>
      </c>
      <c r="AC219" s="336">
        <f>+IF(AD219&lt;AC218,AD219,AC218)</f>
      </c>
      <c r="AD219" s="337">
        <f>+(AD218-AC218)*(1+$E$16)</f>
      </c>
      <c r="AE219" s="332">
        <v>214</v>
      </c>
    </row>
    <row x14ac:dyDescent="0.25" r="220" customHeight="1" ht="18.75">
      <c r="A220" s="1"/>
      <c r="B220" s="1"/>
      <c r="C220" s="169"/>
      <c r="D220" s="169"/>
      <c r="E220" s="168"/>
      <c r="F220" s="169"/>
      <c r="G220" s="170"/>
      <c r="H220" s="1"/>
      <c r="I220" s="1"/>
      <c r="J220" s="1"/>
      <c r="K220" s="1"/>
      <c r="L220" s="1"/>
      <c r="M220" s="331">
        <f>P220</f>
      </c>
      <c r="N220" s="335">
        <f>+IF(O220&lt;N219,O220,N219)</f>
      </c>
      <c r="O220" s="335">
        <f>+(O219-N219)*(1+$E$13)</f>
      </c>
      <c r="P220" s="332">
        <v>215</v>
      </c>
      <c r="Q220" s="1"/>
      <c r="R220" s="331">
        <f>U220</f>
      </c>
      <c r="S220" s="335">
        <f>+IF(T220&lt;S219,T220,S219)</f>
      </c>
      <c r="T220" s="335">
        <f>+(T219-S219)*(1+$E$14)</f>
      </c>
      <c r="U220" s="332">
        <v>215</v>
      </c>
      <c r="V220" s="1"/>
      <c r="W220" s="331">
        <f>Z220</f>
      </c>
      <c r="X220" s="336">
        <f>+IF(Y220&lt;X219,Y220,X219)</f>
      </c>
      <c r="Y220" s="337">
        <f>+(Y219-X219)*(1+$E$15)</f>
      </c>
      <c r="Z220" s="332">
        <v>215</v>
      </c>
      <c r="AA220" s="1"/>
      <c r="AB220" s="331">
        <f>AE220</f>
      </c>
      <c r="AC220" s="336">
        <f>+IF(AD220&lt;AC219,AD220,AC219)</f>
      </c>
      <c r="AD220" s="337">
        <f>+(AD219-AC219)*(1+$E$16)</f>
      </c>
      <c r="AE220" s="332">
        <v>215</v>
      </c>
    </row>
    <row x14ac:dyDescent="0.25" r="221" customHeight="1" ht="18.75">
      <c r="A221" s="1"/>
      <c r="B221" s="1"/>
      <c r="C221" s="169"/>
      <c r="D221" s="169"/>
      <c r="E221" s="168"/>
      <c r="F221" s="169"/>
      <c r="G221" s="170"/>
      <c r="H221" s="1"/>
      <c r="I221" s="1"/>
      <c r="J221" s="1"/>
      <c r="K221" s="1"/>
      <c r="L221" s="1"/>
      <c r="M221" s="331">
        <f>P221</f>
      </c>
      <c r="N221" s="335">
        <f>+IF(O221&lt;N220,O221,N220)</f>
      </c>
      <c r="O221" s="335">
        <f>+(O220-N220)*(1+$E$13)</f>
      </c>
      <c r="P221" s="332">
        <v>216</v>
      </c>
      <c r="Q221" s="1"/>
      <c r="R221" s="331">
        <f>U221</f>
      </c>
      <c r="S221" s="335">
        <f>+IF(T221&lt;S220,T221,S220)</f>
      </c>
      <c r="T221" s="335">
        <f>+(T220-S220)*(1+$E$14)</f>
      </c>
      <c r="U221" s="332">
        <v>216</v>
      </c>
      <c r="V221" s="1"/>
      <c r="W221" s="331">
        <f>Z221</f>
      </c>
      <c r="X221" s="336">
        <f>+IF(Y221&lt;X220,Y221,X220)</f>
      </c>
      <c r="Y221" s="337">
        <f>+(Y220-X220)*(1+$E$15)</f>
      </c>
      <c r="Z221" s="332">
        <v>216</v>
      </c>
      <c r="AA221" s="1"/>
      <c r="AB221" s="331">
        <f>AE221</f>
      </c>
      <c r="AC221" s="336">
        <f>+IF(AD221&lt;AC220,AD221,AC220)</f>
      </c>
      <c r="AD221" s="337">
        <f>+(AD220-AC220)*(1+$E$16)</f>
      </c>
      <c r="AE221" s="332">
        <v>216</v>
      </c>
    </row>
    <row x14ac:dyDescent="0.25" r="222" customHeight="1" ht="18.75">
      <c r="A222" s="1"/>
      <c r="B222" s="1"/>
      <c r="C222" s="169"/>
      <c r="D222" s="169"/>
      <c r="E222" s="168"/>
      <c r="F222" s="169"/>
      <c r="G222" s="170"/>
      <c r="H222" s="1"/>
      <c r="I222" s="1"/>
      <c r="J222" s="1"/>
      <c r="K222" s="1"/>
      <c r="L222" s="1"/>
      <c r="M222" s="331">
        <f>P222</f>
      </c>
      <c r="N222" s="335">
        <f>+IF(O222&lt;N221,O222,N221)</f>
      </c>
      <c r="O222" s="335">
        <f>+(O221-N221)*(1+$E$13)</f>
      </c>
      <c r="P222" s="332">
        <v>217</v>
      </c>
      <c r="Q222" s="1"/>
      <c r="R222" s="331">
        <f>U222</f>
      </c>
      <c r="S222" s="335">
        <f>+IF(T222&lt;S221,T222,S221)</f>
      </c>
      <c r="T222" s="335">
        <f>+(T221-S221)*(1+$E$14)</f>
      </c>
      <c r="U222" s="332">
        <v>217</v>
      </c>
      <c r="V222" s="1"/>
      <c r="W222" s="331">
        <f>Z222</f>
      </c>
      <c r="X222" s="336">
        <f>+IF(Y222&lt;X221,Y222,X221)</f>
      </c>
      <c r="Y222" s="337">
        <f>+(Y221-X221)*(1+$E$15)</f>
      </c>
      <c r="Z222" s="332">
        <v>217</v>
      </c>
      <c r="AA222" s="1"/>
      <c r="AB222" s="331">
        <f>AE222</f>
      </c>
      <c r="AC222" s="336">
        <f>+IF(AD222&lt;AC221,AD222,AC221)</f>
      </c>
      <c r="AD222" s="337">
        <f>+(AD221-AC221)*(1+$E$16)</f>
      </c>
      <c r="AE222" s="332">
        <v>217</v>
      </c>
    </row>
    <row x14ac:dyDescent="0.25" r="223" customHeight="1" ht="18.75">
      <c r="A223" s="1"/>
      <c r="B223" s="1"/>
      <c r="C223" s="169"/>
      <c r="D223" s="169"/>
      <c r="E223" s="168"/>
      <c r="F223" s="169"/>
      <c r="G223" s="170"/>
      <c r="H223" s="1"/>
      <c r="I223" s="1"/>
      <c r="J223" s="1"/>
      <c r="K223" s="1"/>
      <c r="L223" s="1"/>
      <c r="M223" s="331">
        <f>P223</f>
      </c>
      <c r="N223" s="335">
        <f>+IF(O223&lt;N222,O223,N222)</f>
      </c>
      <c r="O223" s="335">
        <f>+(O222-N222)*(1+$E$13)</f>
      </c>
      <c r="P223" s="332">
        <v>218</v>
      </c>
      <c r="Q223" s="1"/>
      <c r="R223" s="331">
        <f>U223</f>
      </c>
      <c r="S223" s="335">
        <f>+IF(T223&lt;S222,T223,S222)</f>
      </c>
      <c r="T223" s="335">
        <f>+(T222-S222)*(1+$E$14)</f>
      </c>
      <c r="U223" s="332">
        <v>218</v>
      </c>
      <c r="V223" s="1"/>
      <c r="W223" s="331">
        <f>Z223</f>
      </c>
      <c r="X223" s="336">
        <f>+IF(Y223&lt;X222,Y223,X222)</f>
      </c>
      <c r="Y223" s="337">
        <f>+(Y222-X222)*(1+$E$15)</f>
      </c>
      <c r="Z223" s="332">
        <v>218</v>
      </c>
      <c r="AA223" s="1"/>
      <c r="AB223" s="331">
        <f>AE223</f>
      </c>
      <c r="AC223" s="336">
        <f>+IF(AD223&lt;AC222,AD223,AC222)</f>
      </c>
      <c r="AD223" s="337">
        <f>+(AD222-AC222)*(1+$E$16)</f>
      </c>
      <c r="AE223" s="332">
        <v>218</v>
      </c>
    </row>
    <row x14ac:dyDescent="0.25" r="224" customHeight="1" ht="18.75">
      <c r="A224" s="1"/>
      <c r="B224" s="1"/>
      <c r="C224" s="169"/>
      <c r="D224" s="169"/>
      <c r="E224" s="168"/>
      <c r="F224" s="169"/>
      <c r="G224" s="170"/>
      <c r="H224" s="1"/>
      <c r="I224" s="1"/>
      <c r="J224" s="1"/>
      <c r="K224" s="1"/>
      <c r="L224" s="1"/>
      <c r="M224" s="331">
        <f>P224</f>
      </c>
      <c r="N224" s="335">
        <f>+IF(O224&lt;N223,O224,N223)</f>
      </c>
      <c r="O224" s="335">
        <f>+(O223-N223)*(1+$E$13)</f>
      </c>
      <c r="P224" s="332">
        <v>219</v>
      </c>
      <c r="Q224" s="1"/>
      <c r="R224" s="331">
        <f>U224</f>
      </c>
      <c r="S224" s="335">
        <f>+IF(T224&lt;S223,T224,S223)</f>
      </c>
      <c r="T224" s="335">
        <f>+(T223-S223)*(1+$E$14)</f>
      </c>
      <c r="U224" s="332">
        <v>219</v>
      </c>
      <c r="V224" s="1"/>
      <c r="W224" s="331">
        <f>Z224</f>
      </c>
      <c r="X224" s="336">
        <f>+IF(Y224&lt;X223,Y224,X223)</f>
      </c>
      <c r="Y224" s="337">
        <f>+(Y223-X223)*(1+$E$15)</f>
      </c>
      <c r="Z224" s="332">
        <v>219</v>
      </c>
      <c r="AA224" s="1"/>
      <c r="AB224" s="331">
        <f>AE224</f>
      </c>
      <c r="AC224" s="336">
        <f>+IF(AD224&lt;AC223,AD224,AC223)</f>
      </c>
      <c r="AD224" s="337">
        <f>+(AD223-AC223)*(1+$E$16)</f>
      </c>
      <c r="AE224" s="332">
        <v>219</v>
      </c>
    </row>
    <row x14ac:dyDescent="0.25" r="225" customHeight="1" ht="18.75">
      <c r="A225" s="1"/>
      <c r="B225" s="1"/>
      <c r="C225" s="169"/>
      <c r="D225" s="169"/>
      <c r="E225" s="168"/>
      <c r="F225" s="169"/>
      <c r="G225" s="170"/>
      <c r="H225" s="1"/>
      <c r="I225" s="1"/>
      <c r="J225" s="1"/>
      <c r="K225" s="1"/>
      <c r="L225" s="1"/>
      <c r="M225" s="331">
        <f>P225</f>
      </c>
      <c r="N225" s="335">
        <f>+IF(O225&lt;N224,O225,N224)</f>
      </c>
      <c r="O225" s="335">
        <f>+(O224-N224)*(1+$E$13)</f>
      </c>
      <c r="P225" s="332">
        <v>220</v>
      </c>
      <c r="Q225" s="1"/>
      <c r="R225" s="331">
        <f>U225</f>
      </c>
      <c r="S225" s="335">
        <f>+IF(T225&lt;S224,T225,S224)</f>
      </c>
      <c r="T225" s="335">
        <f>+(T224-S224)*(1+$E$14)</f>
      </c>
      <c r="U225" s="332">
        <v>220</v>
      </c>
      <c r="V225" s="1"/>
      <c r="W225" s="331">
        <f>Z225</f>
      </c>
      <c r="X225" s="336">
        <f>+IF(Y225&lt;X224,Y225,X224)</f>
      </c>
      <c r="Y225" s="337">
        <f>+(Y224-X224)*(1+$E$15)</f>
      </c>
      <c r="Z225" s="332">
        <v>220</v>
      </c>
      <c r="AA225" s="1"/>
      <c r="AB225" s="331">
        <f>AE225</f>
      </c>
      <c r="AC225" s="336">
        <f>+IF(AD225&lt;AC224,AD225,AC224)</f>
      </c>
      <c r="AD225" s="337">
        <f>+(AD224-AC224)*(1+$E$16)</f>
      </c>
      <c r="AE225" s="332">
        <v>220</v>
      </c>
    </row>
    <row x14ac:dyDescent="0.25" r="226" customHeight="1" ht="18.75">
      <c r="A226" s="1"/>
      <c r="B226" s="1"/>
      <c r="C226" s="169"/>
      <c r="D226" s="169"/>
      <c r="E226" s="168"/>
      <c r="F226" s="169"/>
      <c r="G226" s="170"/>
      <c r="H226" s="1"/>
      <c r="I226" s="1"/>
      <c r="J226" s="1"/>
      <c r="K226" s="1"/>
      <c r="L226" s="1"/>
      <c r="M226" s="331">
        <f>P226</f>
      </c>
      <c r="N226" s="335">
        <f>+IF(O226&lt;N225,O226,N225)</f>
      </c>
      <c r="O226" s="335">
        <f>+(O225-N225)*(1+$E$13)</f>
      </c>
      <c r="P226" s="332">
        <v>221</v>
      </c>
      <c r="Q226" s="1"/>
      <c r="R226" s="331">
        <f>U226</f>
      </c>
      <c r="S226" s="335">
        <f>+IF(T226&lt;S225,T226,S225)</f>
      </c>
      <c r="T226" s="335">
        <f>+(T225-S225)*(1+$E$14)</f>
      </c>
      <c r="U226" s="332">
        <v>221</v>
      </c>
      <c r="V226" s="1"/>
      <c r="W226" s="331">
        <f>Z226</f>
      </c>
      <c r="X226" s="336">
        <f>+IF(Y226&lt;X225,Y226,X225)</f>
      </c>
      <c r="Y226" s="337">
        <f>+(Y225-X225)*(1+$E$15)</f>
      </c>
      <c r="Z226" s="332">
        <v>221</v>
      </c>
      <c r="AA226" s="1"/>
      <c r="AB226" s="331">
        <f>AE226</f>
      </c>
      <c r="AC226" s="336">
        <f>+IF(AD226&lt;AC225,AD226,AC225)</f>
      </c>
      <c r="AD226" s="337">
        <f>+(AD225-AC225)*(1+$E$16)</f>
      </c>
      <c r="AE226" s="332">
        <v>221</v>
      </c>
    </row>
    <row x14ac:dyDescent="0.25" r="227" customHeight="1" ht="18.75">
      <c r="A227" s="1"/>
      <c r="B227" s="1"/>
      <c r="C227" s="169"/>
      <c r="D227" s="169"/>
      <c r="E227" s="168"/>
      <c r="F227" s="169"/>
      <c r="G227" s="170"/>
      <c r="H227" s="1"/>
      <c r="I227" s="1"/>
      <c r="J227" s="1"/>
      <c r="K227" s="1"/>
      <c r="L227" s="1"/>
      <c r="M227" s="331">
        <f>P227</f>
      </c>
      <c r="N227" s="335">
        <f>+IF(O227&lt;N226,O227,N226)</f>
      </c>
      <c r="O227" s="335">
        <f>+(O226-N226)*(1+$E$13)</f>
      </c>
      <c r="P227" s="332">
        <v>222</v>
      </c>
      <c r="Q227" s="1"/>
      <c r="R227" s="331">
        <f>U227</f>
      </c>
      <c r="S227" s="335">
        <f>+IF(T227&lt;S226,T227,S226)</f>
      </c>
      <c r="T227" s="335">
        <f>+(T226-S226)*(1+$E$14)</f>
      </c>
      <c r="U227" s="332">
        <v>222</v>
      </c>
      <c r="V227" s="1"/>
      <c r="W227" s="331">
        <f>Z227</f>
      </c>
      <c r="X227" s="336">
        <f>+IF(Y227&lt;X226,Y227,X226)</f>
      </c>
      <c r="Y227" s="337">
        <f>+(Y226-X226)*(1+$E$15)</f>
      </c>
      <c r="Z227" s="332">
        <v>222</v>
      </c>
      <c r="AA227" s="1"/>
      <c r="AB227" s="331">
        <f>AE227</f>
      </c>
      <c r="AC227" s="336">
        <f>+IF(AD227&lt;AC226,AD227,AC226)</f>
      </c>
      <c r="AD227" s="337">
        <f>+(AD226-AC226)*(1+$E$16)</f>
      </c>
      <c r="AE227" s="332">
        <v>222</v>
      </c>
    </row>
    <row x14ac:dyDescent="0.25" r="228" customHeight="1" ht="18.75">
      <c r="A228" s="1"/>
      <c r="B228" s="1"/>
      <c r="C228" s="169"/>
      <c r="D228" s="169"/>
      <c r="E228" s="168"/>
      <c r="F228" s="169"/>
      <c r="G228" s="170"/>
      <c r="H228" s="1"/>
      <c r="I228" s="1"/>
      <c r="J228" s="1"/>
      <c r="K228" s="1"/>
      <c r="L228" s="1"/>
      <c r="M228" s="331">
        <f>P228</f>
      </c>
      <c r="N228" s="335">
        <f>+IF(O228&lt;N227,O228,N227)</f>
      </c>
      <c r="O228" s="335">
        <f>+(O227-N227)*(1+$E$13)</f>
      </c>
      <c r="P228" s="332">
        <v>223</v>
      </c>
      <c r="Q228" s="1"/>
      <c r="R228" s="331">
        <f>U228</f>
      </c>
      <c r="S228" s="335">
        <f>+IF(T228&lt;S227,T228,S227)</f>
      </c>
      <c r="T228" s="335">
        <f>+(T227-S227)*(1+$E$14)</f>
      </c>
      <c r="U228" s="332">
        <v>223</v>
      </c>
      <c r="V228" s="1"/>
      <c r="W228" s="331">
        <f>Z228</f>
      </c>
      <c r="X228" s="336">
        <f>+IF(Y228&lt;X227,Y228,X227)</f>
      </c>
      <c r="Y228" s="337">
        <f>+(Y227-X227)*(1+$E$15)</f>
      </c>
      <c r="Z228" s="332">
        <v>223</v>
      </c>
      <c r="AA228" s="1"/>
      <c r="AB228" s="331">
        <f>AE228</f>
      </c>
      <c r="AC228" s="336">
        <f>+IF(AD228&lt;AC227,AD228,AC227)</f>
      </c>
      <c r="AD228" s="337">
        <f>+(AD227-AC227)*(1+$E$16)</f>
      </c>
      <c r="AE228" s="332">
        <v>223</v>
      </c>
    </row>
    <row x14ac:dyDescent="0.25" r="229" customHeight="1" ht="18.75">
      <c r="A229" s="1"/>
      <c r="B229" s="1"/>
      <c r="C229" s="169"/>
      <c r="D229" s="169"/>
      <c r="E229" s="168"/>
      <c r="F229" s="169"/>
      <c r="G229" s="170"/>
      <c r="H229" s="1"/>
      <c r="I229" s="1"/>
      <c r="J229" s="1"/>
      <c r="K229" s="1"/>
      <c r="L229" s="1"/>
      <c r="M229" s="331">
        <f>P229</f>
      </c>
      <c r="N229" s="335">
        <f>+IF(O229&lt;N228,O229,N228)</f>
      </c>
      <c r="O229" s="335">
        <f>+(O228-N228)*(1+$E$13)</f>
      </c>
      <c r="P229" s="332">
        <v>224</v>
      </c>
      <c r="Q229" s="1"/>
      <c r="R229" s="331">
        <f>U229</f>
      </c>
      <c r="S229" s="335">
        <f>+IF(T229&lt;S228,T229,S228)</f>
      </c>
      <c r="T229" s="335">
        <f>+(T228-S228)*(1+$E$14)</f>
      </c>
      <c r="U229" s="332">
        <v>224</v>
      </c>
      <c r="V229" s="1"/>
      <c r="W229" s="331">
        <f>Z229</f>
      </c>
      <c r="X229" s="336">
        <f>+IF(Y229&lt;X228,Y229,X228)</f>
      </c>
      <c r="Y229" s="337">
        <f>+(Y228-X228)*(1+$E$15)</f>
      </c>
      <c r="Z229" s="332">
        <v>224</v>
      </c>
      <c r="AA229" s="1"/>
      <c r="AB229" s="331">
        <f>AE229</f>
      </c>
      <c r="AC229" s="336">
        <f>+IF(AD229&lt;AC228,AD229,AC228)</f>
      </c>
      <c r="AD229" s="337">
        <f>+(AD228-AC228)*(1+$E$16)</f>
      </c>
      <c r="AE229" s="332">
        <v>224</v>
      </c>
    </row>
    <row x14ac:dyDescent="0.25" r="230" customHeight="1" ht="18.75">
      <c r="A230" s="1"/>
      <c r="B230" s="1"/>
      <c r="C230" s="169"/>
      <c r="D230" s="169"/>
      <c r="E230" s="168"/>
      <c r="F230" s="169"/>
      <c r="G230" s="170"/>
      <c r="H230" s="1"/>
      <c r="I230" s="1"/>
      <c r="J230" s="1"/>
      <c r="K230" s="1"/>
      <c r="L230" s="1"/>
      <c r="M230" s="331">
        <f>P230</f>
      </c>
      <c r="N230" s="335">
        <f>+IF(O230&lt;N229,O230,N229)</f>
      </c>
      <c r="O230" s="335">
        <f>+(O229-N229)*(1+$E$13)</f>
      </c>
      <c r="P230" s="332">
        <v>225</v>
      </c>
      <c r="Q230" s="1"/>
      <c r="R230" s="331">
        <f>U230</f>
      </c>
      <c r="S230" s="335">
        <f>+IF(T230&lt;S229,T230,S229)</f>
      </c>
      <c r="T230" s="335">
        <f>+(T229-S229)*(1+$E$14)</f>
      </c>
      <c r="U230" s="332">
        <v>225</v>
      </c>
      <c r="V230" s="1"/>
      <c r="W230" s="331">
        <f>Z230</f>
      </c>
      <c r="X230" s="336">
        <f>+IF(Y230&lt;X229,Y230,X229)</f>
      </c>
      <c r="Y230" s="337">
        <f>+(Y229-X229)*(1+$E$15)</f>
      </c>
      <c r="Z230" s="332">
        <v>225</v>
      </c>
      <c r="AA230" s="1"/>
      <c r="AB230" s="331">
        <f>AE230</f>
      </c>
      <c r="AC230" s="336">
        <f>+IF(AD230&lt;AC229,AD230,AC229)</f>
      </c>
      <c r="AD230" s="337">
        <f>+(AD229-AC229)*(1+$E$16)</f>
      </c>
      <c r="AE230" s="332">
        <v>225</v>
      </c>
    </row>
    <row x14ac:dyDescent="0.25" r="231" customHeight="1" ht="18.75">
      <c r="A231" s="1"/>
      <c r="B231" s="1"/>
      <c r="C231" s="169"/>
      <c r="D231" s="169"/>
      <c r="E231" s="168"/>
      <c r="F231" s="169"/>
      <c r="G231" s="170"/>
      <c r="H231" s="1"/>
      <c r="I231" s="1"/>
      <c r="J231" s="1"/>
      <c r="K231" s="1"/>
      <c r="L231" s="1"/>
      <c r="M231" s="331">
        <f>P231</f>
      </c>
      <c r="N231" s="335">
        <f>+IF(O231&lt;N230,O231,N230)</f>
      </c>
      <c r="O231" s="335">
        <f>+(O230-N230)*(1+$E$13)</f>
      </c>
      <c r="P231" s="332">
        <v>226</v>
      </c>
      <c r="Q231" s="1"/>
      <c r="R231" s="331">
        <f>U231</f>
      </c>
      <c r="S231" s="335">
        <f>+IF(T231&lt;S230,T231,S230)</f>
      </c>
      <c r="T231" s="335">
        <f>+(T230-S230)*(1+$E$14)</f>
      </c>
      <c r="U231" s="332">
        <v>226</v>
      </c>
      <c r="V231" s="1"/>
      <c r="W231" s="331">
        <f>Z231</f>
      </c>
      <c r="X231" s="336">
        <f>+IF(Y231&lt;X230,Y231,X230)</f>
      </c>
      <c r="Y231" s="337">
        <f>+(Y230-X230)*(1+$E$15)</f>
      </c>
      <c r="Z231" s="332">
        <v>226</v>
      </c>
      <c r="AA231" s="1"/>
      <c r="AB231" s="331">
        <f>AE231</f>
      </c>
      <c r="AC231" s="336">
        <f>+IF(AD231&lt;AC230,AD231,AC230)</f>
      </c>
      <c r="AD231" s="337">
        <f>+(AD230-AC230)*(1+$E$16)</f>
      </c>
      <c r="AE231" s="332">
        <v>226</v>
      </c>
    </row>
    <row x14ac:dyDescent="0.25" r="232" customHeight="1" ht="18.75">
      <c r="A232" s="1"/>
      <c r="B232" s="1"/>
      <c r="C232" s="169"/>
      <c r="D232" s="169"/>
      <c r="E232" s="168"/>
      <c r="F232" s="169"/>
      <c r="G232" s="170"/>
      <c r="H232" s="1"/>
      <c r="I232" s="1"/>
      <c r="J232" s="1"/>
      <c r="K232" s="1"/>
      <c r="L232" s="1"/>
      <c r="M232" s="331">
        <f>P232</f>
      </c>
      <c r="N232" s="335">
        <f>+IF(O232&lt;N231,O232,N231)</f>
      </c>
      <c r="O232" s="335">
        <f>+(O231-N231)*(1+$E$13)</f>
      </c>
      <c r="P232" s="332">
        <v>227</v>
      </c>
      <c r="Q232" s="1"/>
      <c r="R232" s="331">
        <f>U232</f>
      </c>
      <c r="S232" s="335">
        <f>+IF(T232&lt;S231,T232,S231)</f>
      </c>
      <c r="T232" s="335">
        <f>+(T231-S231)*(1+$E$14)</f>
      </c>
      <c r="U232" s="332">
        <v>227</v>
      </c>
      <c r="V232" s="1"/>
      <c r="W232" s="331">
        <f>Z232</f>
      </c>
      <c r="X232" s="336">
        <f>+IF(Y232&lt;X231,Y232,X231)</f>
      </c>
      <c r="Y232" s="337">
        <f>+(Y231-X231)*(1+$E$15)</f>
      </c>
      <c r="Z232" s="332">
        <v>227</v>
      </c>
      <c r="AA232" s="1"/>
      <c r="AB232" s="331">
        <f>AE232</f>
      </c>
      <c r="AC232" s="336">
        <f>+IF(AD232&lt;AC231,AD232,AC231)</f>
      </c>
      <c r="AD232" s="337">
        <f>+(AD231-AC231)*(1+$E$16)</f>
      </c>
      <c r="AE232" s="332">
        <v>227</v>
      </c>
    </row>
    <row x14ac:dyDescent="0.25" r="233" customHeight="1" ht="18.75">
      <c r="A233" s="1"/>
      <c r="B233" s="1"/>
      <c r="C233" s="169"/>
      <c r="D233" s="169"/>
      <c r="E233" s="168"/>
      <c r="F233" s="169"/>
      <c r="G233" s="170"/>
      <c r="H233" s="1"/>
      <c r="I233" s="1"/>
      <c r="J233" s="1"/>
      <c r="K233" s="1"/>
      <c r="L233" s="1"/>
      <c r="M233" s="331">
        <f>P233</f>
      </c>
      <c r="N233" s="335">
        <f>+IF(O233&lt;N232,O233,N232)</f>
      </c>
      <c r="O233" s="335">
        <f>+(O232-N232)*(1+$E$13)</f>
      </c>
      <c r="P233" s="332">
        <v>228</v>
      </c>
      <c r="Q233" s="1"/>
      <c r="R233" s="331">
        <f>U233</f>
      </c>
      <c r="S233" s="335">
        <f>+IF(T233&lt;S232,T233,S232)</f>
      </c>
      <c r="T233" s="335">
        <f>+(T232-S232)*(1+$E$14)</f>
      </c>
      <c r="U233" s="332">
        <v>228</v>
      </c>
      <c r="V233" s="1"/>
      <c r="W233" s="331">
        <f>Z233</f>
      </c>
      <c r="X233" s="336">
        <f>+IF(Y233&lt;X232,Y233,X232)</f>
      </c>
      <c r="Y233" s="337">
        <f>+(Y232-X232)*(1+$E$15)</f>
      </c>
      <c r="Z233" s="332">
        <v>228</v>
      </c>
      <c r="AA233" s="1"/>
      <c r="AB233" s="331">
        <f>AE233</f>
      </c>
      <c r="AC233" s="336">
        <f>+IF(AD233&lt;AC232,AD233,AC232)</f>
      </c>
      <c r="AD233" s="337">
        <f>+(AD232-AC232)*(1+$E$16)</f>
      </c>
      <c r="AE233" s="332">
        <v>228</v>
      </c>
    </row>
    <row x14ac:dyDescent="0.25" r="234" customHeight="1" ht="18.75">
      <c r="A234" s="1"/>
      <c r="B234" s="1"/>
      <c r="C234" s="169"/>
      <c r="D234" s="169"/>
      <c r="E234" s="168"/>
      <c r="F234" s="169"/>
      <c r="G234" s="170"/>
      <c r="H234" s="1"/>
      <c r="I234" s="1"/>
      <c r="J234" s="1"/>
      <c r="K234" s="1"/>
      <c r="L234" s="1"/>
      <c r="M234" s="331">
        <f>P234</f>
      </c>
      <c r="N234" s="335">
        <f>+IF(O234&lt;N233,O234,N233)</f>
      </c>
      <c r="O234" s="335">
        <f>+(O233-N233)*(1+$E$13)</f>
      </c>
      <c r="P234" s="332">
        <v>229</v>
      </c>
      <c r="Q234" s="1"/>
      <c r="R234" s="331">
        <f>U234</f>
      </c>
      <c r="S234" s="335">
        <f>+IF(T234&lt;S233,T234,S233)</f>
      </c>
      <c r="T234" s="335">
        <f>+(T233-S233)*(1+$E$14)</f>
      </c>
      <c r="U234" s="332">
        <v>229</v>
      </c>
      <c r="V234" s="1"/>
      <c r="W234" s="331">
        <f>Z234</f>
      </c>
      <c r="X234" s="336">
        <f>+IF(Y234&lt;X233,Y234,X233)</f>
      </c>
      <c r="Y234" s="337">
        <f>+(Y233-X233)*(1+$E$15)</f>
      </c>
      <c r="Z234" s="332">
        <v>229</v>
      </c>
      <c r="AA234" s="1"/>
      <c r="AB234" s="331">
        <f>AE234</f>
      </c>
      <c r="AC234" s="336">
        <f>+IF(AD234&lt;AC233,AD234,AC233)</f>
      </c>
      <c r="AD234" s="337">
        <f>+(AD233-AC233)*(1+$E$16)</f>
      </c>
      <c r="AE234" s="332">
        <v>229</v>
      </c>
    </row>
    <row x14ac:dyDescent="0.25" r="235" customHeight="1" ht="18.75">
      <c r="A235" s="1"/>
      <c r="B235" s="1"/>
      <c r="C235" s="169"/>
      <c r="D235" s="169"/>
      <c r="E235" s="168"/>
      <c r="F235" s="169"/>
      <c r="G235" s="170"/>
      <c r="H235" s="1"/>
      <c r="I235" s="1"/>
      <c r="J235" s="1"/>
      <c r="K235" s="1"/>
      <c r="L235" s="1"/>
      <c r="M235" s="331">
        <f>P235</f>
      </c>
      <c r="N235" s="335">
        <f>+IF(O235&lt;N234,O235,N234)</f>
      </c>
      <c r="O235" s="335">
        <f>+(O234-N234)*(1+$E$13)</f>
      </c>
      <c r="P235" s="332">
        <v>230</v>
      </c>
      <c r="Q235" s="1"/>
      <c r="R235" s="331">
        <f>U235</f>
      </c>
      <c r="S235" s="335">
        <f>+IF(T235&lt;S234,T235,S234)</f>
      </c>
      <c r="T235" s="335">
        <f>+(T234-S234)*(1+$E$14)</f>
      </c>
      <c r="U235" s="332">
        <v>230</v>
      </c>
      <c r="V235" s="1"/>
      <c r="W235" s="331">
        <f>Z235</f>
      </c>
      <c r="X235" s="336">
        <f>+IF(Y235&lt;X234,Y235,X234)</f>
      </c>
      <c r="Y235" s="337">
        <f>+(Y234-X234)*(1+$E$15)</f>
      </c>
      <c r="Z235" s="332">
        <v>230</v>
      </c>
      <c r="AA235" s="1"/>
      <c r="AB235" s="331">
        <f>AE235</f>
      </c>
      <c r="AC235" s="336">
        <f>+IF(AD235&lt;AC234,AD235,AC234)</f>
      </c>
      <c r="AD235" s="337">
        <f>+(AD234-AC234)*(1+$E$16)</f>
      </c>
      <c r="AE235" s="332">
        <v>230</v>
      </c>
    </row>
    <row x14ac:dyDescent="0.25" r="236" customHeight="1" ht="18.75">
      <c r="A236" s="1"/>
      <c r="B236" s="1"/>
      <c r="C236" s="169"/>
      <c r="D236" s="169"/>
      <c r="E236" s="168"/>
      <c r="F236" s="169"/>
      <c r="G236" s="170"/>
      <c r="H236" s="1"/>
      <c r="I236" s="1"/>
      <c r="J236" s="1"/>
      <c r="K236" s="1"/>
      <c r="L236" s="1"/>
      <c r="M236" s="331">
        <f>P236</f>
      </c>
      <c r="N236" s="335">
        <f>+IF(O236&lt;N235,O236,N235)</f>
      </c>
      <c r="O236" s="335">
        <f>+(O235-N235)*(1+$E$13)</f>
      </c>
      <c r="P236" s="332">
        <v>231</v>
      </c>
      <c r="Q236" s="1"/>
      <c r="R236" s="331">
        <f>U236</f>
      </c>
      <c r="S236" s="335">
        <f>+IF(T236&lt;S235,T236,S235)</f>
      </c>
      <c r="T236" s="335">
        <f>+(T235-S235)*(1+$E$14)</f>
      </c>
      <c r="U236" s="332">
        <v>231</v>
      </c>
      <c r="V236" s="1"/>
      <c r="W236" s="331">
        <f>Z236</f>
      </c>
      <c r="X236" s="336">
        <f>+IF(Y236&lt;X235,Y236,X235)</f>
      </c>
      <c r="Y236" s="337">
        <f>+(Y235-X235)*(1+$E$15)</f>
      </c>
      <c r="Z236" s="332">
        <v>231</v>
      </c>
      <c r="AA236" s="1"/>
      <c r="AB236" s="331">
        <f>AE236</f>
      </c>
      <c r="AC236" s="336">
        <f>+IF(AD236&lt;AC235,AD236,AC235)</f>
      </c>
      <c r="AD236" s="337">
        <f>+(AD235-AC235)*(1+$E$16)</f>
      </c>
      <c r="AE236" s="332">
        <v>231</v>
      </c>
    </row>
    <row x14ac:dyDescent="0.25" r="237" customHeight="1" ht="18.75">
      <c r="A237" s="1"/>
      <c r="B237" s="1"/>
      <c r="C237" s="169"/>
      <c r="D237" s="169"/>
      <c r="E237" s="168"/>
      <c r="F237" s="169"/>
      <c r="G237" s="170"/>
      <c r="H237" s="1"/>
      <c r="I237" s="1"/>
      <c r="J237" s="1"/>
      <c r="K237" s="1"/>
      <c r="L237" s="1"/>
      <c r="M237" s="331">
        <f>P237</f>
      </c>
      <c r="N237" s="335">
        <f>+IF(O237&lt;N236,O237,N236)</f>
      </c>
      <c r="O237" s="335">
        <f>+(O236-N236)*(1+$E$13)</f>
      </c>
      <c r="P237" s="332">
        <v>232</v>
      </c>
      <c r="Q237" s="1"/>
      <c r="R237" s="331">
        <f>U237</f>
      </c>
      <c r="S237" s="335">
        <f>+IF(T237&lt;S236,T237,S236)</f>
      </c>
      <c r="T237" s="335">
        <f>+(T236-S236)*(1+$E$14)</f>
      </c>
      <c r="U237" s="332">
        <v>232</v>
      </c>
      <c r="V237" s="1"/>
      <c r="W237" s="331">
        <f>Z237</f>
      </c>
      <c r="X237" s="336">
        <f>+IF(Y237&lt;X236,Y237,X236)</f>
      </c>
      <c r="Y237" s="337">
        <f>+(Y236-X236)*(1+$E$15)</f>
      </c>
      <c r="Z237" s="332">
        <v>232</v>
      </c>
      <c r="AA237" s="1"/>
      <c r="AB237" s="331">
        <f>AE237</f>
      </c>
      <c r="AC237" s="336">
        <f>+IF(AD237&lt;AC236,AD237,AC236)</f>
      </c>
      <c r="AD237" s="337">
        <f>+(AD236-AC236)*(1+$E$16)</f>
      </c>
      <c r="AE237" s="332">
        <v>232</v>
      </c>
    </row>
    <row x14ac:dyDescent="0.25" r="238" customHeight="1" ht="18.75">
      <c r="A238" s="1"/>
      <c r="B238" s="1"/>
      <c r="C238" s="169"/>
      <c r="D238" s="169"/>
      <c r="E238" s="168"/>
      <c r="F238" s="169"/>
      <c r="G238" s="170"/>
      <c r="H238" s="1"/>
      <c r="I238" s="1"/>
      <c r="J238" s="1"/>
      <c r="K238" s="1"/>
      <c r="L238" s="1"/>
      <c r="M238" s="331">
        <f>P238</f>
      </c>
      <c r="N238" s="335">
        <f>+IF(O238&lt;N237,O238,N237)</f>
      </c>
      <c r="O238" s="335">
        <f>+(O237-N237)*(1+$E$13)</f>
      </c>
      <c r="P238" s="332">
        <v>233</v>
      </c>
      <c r="Q238" s="1"/>
      <c r="R238" s="331">
        <f>U238</f>
      </c>
      <c r="S238" s="335">
        <f>+IF(T238&lt;S237,T238,S237)</f>
      </c>
      <c r="T238" s="335">
        <f>+(T237-S237)*(1+$E$14)</f>
      </c>
      <c r="U238" s="332">
        <v>233</v>
      </c>
      <c r="V238" s="1"/>
      <c r="W238" s="331">
        <f>Z238</f>
      </c>
      <c r="X238" s="336">
        <f>+IF(Y238&lt;X237,Y238,X237)</f>
      </c>
      <c r="Y238" s="337">
        <f>+(Y237-X237)*(1+$E$15)</f>
      </c>
      <c r="Z238" s="332">
        <v>233</v>
      </c>
      <c r="AA238" s="1"/>
      <c r="AB238" s="331">
        <f>AE238</f>
      </c>
      <c r="AC238" s="336">
        <f>+IF(AD238&lt;AC237,AD238,AC237)</f>
      </c>
      <c r="AD238" s="337">
        <f>+(AD237-AC237)*(1+$E$16)</f>
      </c>
      <c r="AE238" s="332">
        <v>233</v>
      </c>
    </row>
    <row x14ac:dyDescent="0.25" r="239" customHeight="1" ht="18.75">
      <c r="A239" s="1"/>
      <c r="B239" s="1"/>
      <c r="C239" s="169"/>
      <c r="D239" s="169"/>
      <c r="E239" s="168"/>
      <c r="F239" s="169"/>
      <c r="G239" s="170"/>
      <c r="H239" s="1"/>
      <c r="I239" s="1"/>
      <c r="J239" s="1"/>
      <c r="K239" s="1"/>
      <c r="L239" s="1"/>
      <c r="M239" s="331">
        <f>P239</f>
      </c>
      <c r="N239" s="335">
        <f>+IF(O239&lt;N238,O239,N238)</f>
      </c>
      <c r="O239" s="335">
        <f>+(O238-N238)*(1+$E$13)</f>
      </c>
      <c r="P239" s="332">
        <v>234</v>
      </c>
      <c r="Q239" s="1"/>
      <c r="R239" s="331">
        <f>U239</f>
      </c>
      <c r="S239" s="335">
        <f>+IF(T239&lt;S238,T239,S238)</f>
      </c>
      <c r="T239" s="335">
        <f>+(T238-S238)*(1+$E$14)</f>
      </c>
      <c r="U239" s="332">
        <v>234</v>
      </c>
      <c r="V239" s="1"/>
      <c r="W239" s="331">
        <f>Z239</f>
      </c>
      <c r="X239" s="336">
        <f>+IF(Y239&lt;X238,Y239,X238)</f>
      </c>
      <c r="Y239" s="337">
        <f>+(Y238-X238)*(1+$E$15)</f>
      </c>
      <c r="Z239" s="332">
        <v>234</v>
      </c>
      <c r="AA239" s="1"/>
      <c r="AB239" s="331">
        <f>AE239</f>
      </c>
      <c r="AC239" s="336">
        <f>+IF(AD239&lt;AC238,AD239,AC238)</f>
      </c>
      <c r="AD239" s="337">
        <f>+(AD238-AC238)*(1+$E$16)</f>
      </c>
      <c r="AE239" s="332">
        <v>234</v>
      </c>
    </row>
    <row x14ac:dyDescent="0.25" r="240" customHeight="1" ht="18.75">
      <c r="A240" s="1"/>
      <c r="B240" s="1"/>
      <c r="C240" s="169"/>
      <c r="D240" s="169"/>
      <c r="E240" s="168"/>
      <c r="F240" s="169"/>
      <c r="G240" s="170"/>
      <c r="H240" s="1"/>
      <c r="I240" s="1"/>
      <c r="J240" s="1"/>
      <c r="K240" s="1"/>
      <c r="L240" s="1"/>
      <c r="M240" s="331">
        <f>P240</f>
      </c>
      <c r="N240" s="335">
        <f>+IF(O240&lt;N239,O240,N239)</f>
      </c>
      <c r="O240" s="335">
        <f>+(O239-N239)*(1+$E$13)</f>
      </c>
      <c r="P240" s="332">
        <v>235</v>
      </c>
      <c r="Q240" s="1"/>
      <c r="R240" s="331">
        <f>U240</f>
      </c>
      <c r="S240" s="335">
        <f>+IF(T240&lt;S239,T240,S239)</f>
      </c>
      <c r="T240" s="335">
        <f>+(T239-S239)*(1+$E$14)</f>
      </c>
      <c r="U240" s="332">
        <v>235</v>
      </c>
      <c r="V240" s="1"/>
      <c r="W240" s="331">
        <f>Z240</f>
      </c>
      <c r="X240" s="336">
        <f>+IF(Y240&lt;X239,Y240,X239)</f>
      </c>
      <c r="Y240" s="337">
        <f>+(Y239-X239)*(1+$E$15)</f>
      </c>
      <c r="Z240" s="332">
        <v>235</v>
      </c>
      <c r="AA240" s="1"/>
      <c r="AB240" s="331">
        <f>AE240</f>
      </c>
      <c r="AC240" s="336">
        <f>+IF(AD240&lt;AC239,AD240,AC239)</f>
      </c>
      <c r="AD240" s="337">
        <f>+(AD239-AC239)*(1+$E$16)</f>
      </c>
      <c r="AE240" s="332">
        <v>235</v>
      </c>
    </row>
    <row x14ac:dyDescent="0.25" r="241" customHeight="1" ht="18.75">
      <c r="A241" s="1"/>
      <c r="B241" s="1"/>
      <c r="C241" s="169"/>
      <c r="D241" s="169"/>
      <c r="E241" s="168"/>
      <c r="F241" s="169"/>
      <c r="G241" s="170"/>
      <c r="H241" s="1"/>
      <c r="I241" s="1"/>
      <c r="J241" s="1"/>
      <c r="K241" s="1"/>
      <c r="L241" s="1"/>
      <c r="M241" s="331">
        <f>P241</f>
      </c>
      <c r="N241" s="335">
        <f>+IF(O241&lt;N240,O241,N240)</f>
      </c>
      <c r="O241" s="335">
        <f>+(O240-N240)*(1+$E$13)</f>
      </c>
      <c r="P241" s="332">
        <v>236</v>
      </c>
      <c r="Q241" s="1"/>
      <c r="R241" s="331">
        <f>U241</f>
      </c>
      <c r="S241" s="335">
        <f>+IF(T241&lt;S240,T241,S240)</f>
      </c>
      <c r="T241" s="335">
        <f>+(T240-S240)*(1+$E$14)</f>
      </c>
      <c r="U241" s="332">
        <v>236</v>
      </c>
      <c r="V241" s="1"/>
      <c r="W241" s="331">
        <f>Z241</f>
      </c>
      <c r="X241" s="336">
        <f>+IF(Y241&lt;X240,Y241,X240)</f>
      </c>
      <c r="Y241" s="337">
        <f>+(Y240-X240)*(1+$E$15)</f>
      </c>
      <c r="Z241" s="332">
        <v>236</v>
      </c>
      <c r="AA241" s="1"/>
      <c r="AB241" s="331">
        <f>AE241</f>
      </c>
      <c r="AC241" s="336">
        <f>+IF(AD241&lt;AC240,AD241,AC240)</f>
      </c>
      <c r="AD241" s="337">
        <f>+(AD240-AC240)*(1+$E$16)</f>
      </c>
      <c r="AE241" s="332">
        <v>236</v>
      </c>
    </row>
    <row x14ac:dyDescent="0.25" r="242" customHeight="1" ht="18.75">
      <c r="A242" s="1"/>
      <c r="B242" s="1"/>
      <c r="C242" s="169"/>
      <c r="D242" s="169"/>
      <c r="E242" s="168"/>
      <c r="F242" s="169"/>
      <c r="G242" s="170"/>
      <c r="H242" s="1"/>
      <c r="I242" s="1"/>
      <c r="J242" s="1"/>
      <c r="K242" s="1"/>
      <c r="L242" s="1"/>
      <c r="M242" s="331">
        <f>P242</f>
      </c>
      <c r="N242" s="335">
        <f>+IF(O242&lt;N241,O242,N241)</f>
      </c>
      <c r="O242" s="335">
        <f>+(O241-N241)*(1+$E$13)</f>
      </c>
      <c r="P242" s="332">
        <v>237</v>
      </c>
      <c r="Q242" s="1"/>
      <c r="R242" s="331">
        <f>U242</f>
      </c>
      <c r="S242" s="335">
        <f>+IF(T242&lt;S241,T242,S241)</f>
      </c>
      <c r="T242" s="335">
        <f>+(T241-S241)*(1+$E$14)</f>
      </c>
      <c r="U242" s="332">
        <v>237</v>
      </c>
      <c r="V242" s="1"/>
      <c r="W242" s="331">
        <f>Z242</f>
      </c>
      <c r="X242" s="336">
        <f>+IF(Y242&lt;X241,Y242,X241)</f>
      </c>
      <c r="Y242" s="337">
        <f>+(Y241-X241)*(1+$E$15)</f>
      </c>
      <c r="Z242" s="332">
        <v>237</v>
      </c>
      <c r="AA242" s="1"/>
      <c r="AB242" s="331">
        <f>AE242</f>
      </c>
      <c r="AC242" s="336">
        <f>+IF(AD242&lt;AC241,AD242,AC241)</f>
      </c>
      <c r="AD242" s="337">
        <f>+(AD241-AC241)*(1+$E$16)</f>
      </c>
      <c r="AE242" s="332">
        <v>237</v>
      </c>
    </row>
    <row x14ac:dyDescent="0.25" r="243" customHeight="1" ht="18.75">
      <c r="A243" s="1"/>
      <c r="B243" s="1"/>
      <c r="C243" s="169"/>
      <c r="D243" s="169"/>
      <c r="E243" s="168"/>
      <c r="F243" s="169"/>
      <c r="G243" s="170"/>
      <c r="H243" s="1"/>
      <c r="I243" s="1"/>
      <c r="J243" s="1"/>
      <c r="K243" s="1"/>
      <c r="L243" s="1"/>
      <c r="M243" s="331">
        <f>P243</f>
      </c>
      <c r="N243" s="335">
        <f>+IF(O243&lt;N242,O243,N242)</f>
      </c>
      <c r="O243" s="335">
        <f>+(O242-N242)*(1+$E$13)</f>
      </c>
      <c r="P243" s="332">
        <v>238</v>
      </c>
      <c r="Q243" s="1"/>
      <c r="R243" s="331">
        <f>U243</f>
      </c>
      <c r="S243" s="335">
        <f>+IF(T243&lt;S242,T243,S242)</f>
      </c>
      <c r="T243" s="335">
        <f>+(T242-S242)*(1+$E$14)</f>
      </c>
      <c r="U243" s="332">
        <v>238</v>
      </c>
      <c r="V243" s="1"/>
      <c r="W243" s="331">
        <f>Z243</f>
      </c>
      <c r="X243" s="336">
        <f>+IF(Y243&lt;X242,Y243,X242)</f>
      </c>
      <c r="Y243" s="337">
        <f>+(Y242-X242)*(1+$E$15)</f>
      </c>
      <c r="Z243" s="332">
        <v>238</v>
      </c>
      <c r="AA243" s="1"/>
      <c r="AB243" s="331">
        <f>AE243</f>
      </c>
      <c r="AC243" s="336">
        <f>+IF(AD243&lt;AC242,AD243,AC242)</f>
      </c>
      <c r="AD243" s="337">
        <f>+(AD242-AC242)*(1+$E$16)</f>
      </c>
      <c r="AE243" s="332">
        <v>238</v>
      </c>
    </row>
    <row x14ac:dyDescent="0.25" r="244" customHeight="1" ht="18.75">
      <c r="A244" s="1"/>
      <c r="B244" s="1"/>
      <c r="C244" s="169"/>
      <c r="D244" s="169"/>
      <c r="E244" s="168"/>
      <c r="F244" s="169"/>
      <c r="G244" s="170"/>
      <c r="H244" s="1"/>
      <c r="I244" s="1"/>
      <c r="J244" s="1"/>
      <c r="K244" s="1"/>
      <c r="L244" s="1"/>
      <c r="M244" s="331">
        <f>P244</f>
      </c>
      <c r="N244" s="335">
        <f>+IF(O244&lt;N243,O244,N243)</f>
      </c>
      <c r="O244" s="335">
        <f>+(O243-N243)*(1+$E$13)</f>
      </c>
      <c r="P244" s="332">
        <v>239</v>
      </c>
      <c r="Q244" s="1"/>
      <c r="R244" s="331">
        <f>U244</f>
      </c>
      <c r="S244" s="335">
        <f>+IF(T244&lt;S243,T244,S243)</f>
      </c>
      <c r="T244" s="335">
        <f>+(T243-S243)*(1+$E$14)</f>
      </c>
      <c r="U244" s="332">
        <v>239</v>
      </c>
      <c r="V244" s="1"/>
      <c r="W244" s="331">
        <f>Z244</f>
      </c>
      <c r="X244" s="336">
        <f>+IF(Y244&lt;X243,Y244,X243)</f>
      </c>
      <c r="Y244" s="337">
        <f>+(Y243-X243)*(1+$E$15)</f>
      </c>
      <c r="Z244" s="332">
        <v>239</v>
      </c>
      <c r="AA244" s="1"/>
      <c r="AB244" s="331">
        <f>AE244</f>
      </c>
      <c r="AC244" s="336">
        <f>+IF(AD244&lt;AC243,AD244,AC243)</f>
      </c>
      <c r="AD244" s="337">
        <f>+(AD243-AC243)*(1+$E$16)</f>
      </c>
      <c r="AE244" s="332">
        <v>239</v>
      </c>
    </row>
    <row x14ac:dyDescent="0.25" r="245" customHeight="1" ht="18.75">
      <c r="A245" s="1"/>
      <c r="B245" s="1"/>
      <c r="C245" s="169"/>
      <c r="D245" s="169"/>
      <c r="E245" s="168"/>
      <c r="F245" s="169"/>
      <c r="G245" s="170"/>
      <c r="H245" s="1"/>
      <c r="I245" s="1"/>
      <c r="J245" s="1"/>
      <c r="K245" s="1"/>
      <c r="L245" s="1"/>
      <c r="M245" s="331">
        <f>P245</f>
      </c>
      <c r="N245" s="335">
        <f>+IF(O245&lt;N244,O245,N244)</f>
      </c>
      <c r="O245" s="335">
        <f>+(O244-N244)*(1+$E$13)</f>
      </c>
      <c r="P245" s="332">
        <v>240</v>
      </c>
      <c r="Q245" s="1"/>
      <c r="R245" s="331">
        <f>U245</f>
      </c>
      <c r="S245" s="335">
        <f>+IF(T245&lt;S244,T245,S244)</f>
      </c>
      <c r="T245" s="335">
        <f>+(T244-S244)*(1+$E$14)</f>
      </c>
      <c r="U245" s="332">
        <v>240</v>
      </c>
      <c r="V245" s="1"/>
      <c r="W245" s="331">
        <f>Z245</f>
      </c>
      <c r="X245" s="336">
        <f>+IF(Y245&lt;X244,Y245,X244)</f>
      </c>
      <c r="Y245" s="337">
        <f>+(Y244-X244)*(1+$E$15)</f>
      </c>
      <c r="Z245" s="332">
        <v>240</v>
      </c>
      <c r="AA245" s="1"/>
      <c r="AB245" s="331">
        <f>AE245</f>
      </c>
      <c r="AC245" s="336">
        <f>+IF(AD245&lt;AC244,AD245,AC244)</f>
      </c>
      <c r="AD245" s="337">
        <f>+(AD244-AC244)*(1+$E$16)</f>
      </c>
      <c r="AE245" s="332">
        <v>240</v>
      </c>
    </row>
    <row x14ac:dyDescent="0.25" r="246" customHeight="1" ht="18.75">
      <c r="A246" s="1"/>
      <c r="B246" s="1"/>
      <c r="C246" s="169"/>
      <c r="D246" s="169"/>
      <c r="E246" s="168"/>
      <c r="F246" s="169"/>
      <c r="G246" s="170"/>
      <c r="H246" s="1"/>
      <c r="I246" s="1"/>
      <c r="J246" s="1"/>
      <c r="K246" s="1"/>
      <c r="L246" s="1"/>
      <c r="M246" s="331">
        <f>P246</f>
      </c>
      <c r="N246" s="335">
        <f>+IF(O246&lt;N245,O246,N245)</f>
      </c>
      <c r="O246" s="335">
        <f>+(O245-N245)*(1+$E$13)</f>
      </c>
      <c r="P246" s="332">
        <v>241</v>
      </c>
      <c r="Q246" s="1"/>
      <c r="R246" s="331">
        <f>U246</f>
      </c>
      <c r="S246" s="335">
        <f>+IF(T246&lt;S245,T246,S245)</f>
      </c>
      <c r="T246" s="335">
        <f>+(T245-S245)*(1+$E$14)</f>
      </c>
      <c r="U246" s="332">
        <v>241</v>
      </c>
      <c r="V246" s="1"/>
      <c r="W246" s="331">
        <f>Z246</f>
      </c>
      <c r="X246" s="336">
        <f>+IF(Y246&lt;X245,Y246,X245)</f>
      </c>
      <c r="Y246" s="337">
        <f>+(Y245-X245)*(1+$E$15)</f>
      </c>
      <c r="Z246" s="332">
        <v>241</v>
      </c>
      <c r="AA246" s="1"/>
      <c r="AB246" s="331">
        <f>AE246</f>
      </c>
      <c r="AC246" s="336">
        <f>+IF(AD246&lt;AC245,AD246,AC245)</f>
      </c>
      <c r="AD246" s="337">
        <f>+(AD245-AC245)*(1+$E$16)</f>
      </c>
      <c r="AE246" s="332">
        <v>241</v>
      </c>
    </row>
    <row x14ac:dyDescent="0.25" r="247" customHeight="1" ht="18.75">
      <c r="A247" s="1"/>
      <c r="B247" s="1"/>
      <c r="C247" s="169"/>
      <c r="D247" s="169"/>
      <c r="E247" s="168"/>
      <c r="F247" s="169"/>
      <c r="G247" s="170"/>
      <c r="H247" s="1"/>
      <c r="I247" s="1"/>
      <c r="J247" s="1"/>
      <c r="K247" s="1"/>
      <c r="L247" s="1"/>
      <c r="M247" s="331">
        <f>P247</f>
      </c>
      <c r="N247" s="335">
        <f>+IF(O247&lt;N246,O247,N246)</f>
      </c>
      <c r="O247" s="335">
        <f>+(O246-N246)*(1+$E$13)</f>
      </c>
      <c r="P247" s="332">
        <v>242</v>
      </c>
      <c r="Q247" s="1"/>
      <c r="R247" s="331">
        <f>U247</f>
      </c>
      <c r="S247" s="335">
        <f>+IF(T247&lt;S246,T247,S246)</f>
      </c>
      <c r="T247" s="335">
        <f>+(T246-S246)*(1+$E$14)</f>
      </c>
      <c r="U247" s="332">
        <v>242</v>
      </c>
      <c r="V247" s="1"/>
      <c r="W247" s="331">
        <f>Z247</f>
      </c>
      <c r="X247" s="336">
        <f>+IF(Y247&lt;X246,Y247,X246)</f>
      </c>
      <c r="Y247" s="337">
        <f>+(Y246-X246)*(1+$E$15)</f>
      </c>
      <c r="Z247" s="332">
        <v>242</v>
      </c>
      <c r="AA247" s="1"/>
      <c r="AB247" s="331">
        <f>AE247</f>
      </c>
      <c r="AC247" s="336">
        <f>+IF(AD247&lt;AC246,AD247,AC246)</f>
      </c>
      <c r="AD247" s="337">
        <f>+(AD246-AC246)*(1+$E$16)</f>
      </c>
      <c r="AE247" s="332">
        <v>242</v>
      </c>
    </row>
    <row x14ac:dyDescent="0.25" r="248" customHeight="1" ht="18.75">
      <c r="A248" s="1"/>
      <c r="B248" s="1"/>
      <c r="C248" s="169"/>
      <c r="D248" s="169"/>
      <c r="E248" s="168"/>
      <c r="F248" s="169"/>
      <c r="G248" s="170"/>
      <c r="H248" s="1"/>
      <c r="I248" s="1"/>
      <c r="J248" s="1"/>
      <c r="K248" s="1"/>
      <c r="L248" s="1"/>
      <c r="M248" s="331">
        <f>P248</f>
      </c>
      <c r="N248" s="335">
        <f>+IF(O248&lt;N247,O248,N247)</f>
      </c>
      <c r="O248" s="335">
        <f>+(O247-N247)*(1+$E$13)</f>
      </c>
      <c r="P248" s="332">
        <v>243</v>
      </c>
      <c r="Q248" s="1"/>
      <c r="R248" s="331">
        <f>U248</f>
      </c>
      <c r="S248" s="335">
        <f>+IF(T248&lt;S247,T248,S247)</f>
      </c>
      <c r="T248" s="335">
        <f>+(T247-S247)*(1+$E$14)</f>
      </c>
      <c r="U248" s="332">
        <v>243</v>
      </c>
      <c r="V248" s="1"/>
      <c r="W248" s="331">
        <f>Z248</f>
      </c>
      <c r="X248" s="336">
        <f>+IF(Y248&lt;X247,Y248,X247)</f>
      </c>
      <c r="Y248" s="337">
        <f>+(Y247-X247)*(1+$E$15)</f>
      </c>
      <c r="Z248" s="332">
        <v>243</v>
      </c>
      <c r="AA248" s="1"/>
      <c r="AB248" s="331">
        <f>AE248</f>
      </c>
      <c r="AC248" s="336">
        <f>+IF(AD248&lt;AC247,AD248,AC247)</f>
      </c>
      <c r="AD248" s="337">
        <f>+(AD247-AC247)*(1+$E$16)</f>
      </c>
      <c r="AE248" s="332">
        <v>243</v>
      </c>
    </row>
    <row x14ac:dyDescent="0.25" r="249" customHeight="1" ht="18.75">
      <c r="A249" s="1"/>
      <c r="B249" s="1"/>
      <c r="C249" s="169"/>
      <c r="D249" s="169"/>
      <c r="E249" s="168"/>
      <c r="F249" s="169"/>
      <c r="G249" s="170"/>
      <c r="H249" s="1"/>
      <c r="I249" s="1"/>
      <c r="J249" s="1"/>
      <c r="K249" s="1"/>
      <c r="L249" s="1"/>
      <c r="M249" s="331">
        <f>P249</f>
      </c>
      <c r="N249" s="335">
        <f>+IF(O249&lt;N248,O249,N248)</f>
      </c>
      <c r="O249" s="335">
        <f>+(O248-N248)*(1+$E$13)</f>
      </c>
      <c r="P249" s="332">
        <v>244</v>
      </c>
      <c r="Q249" s="1"/>
      <c r="R249" s="331">
        <f>U249</f>
      </c>
      <c r="S249" s="335">
        <f>+IF(T249&lt;S248,T249,S248)</f>
      </c>
      <c r="T249" s="335">
        <f>+(T248-S248)*(1+$E$14)</f>
      </c>
      <c r="U249" s="332">
        <v>244</v>
      </c>
      <c r="V249" s="1"/>
      <c r="W249" s="331">
        <f>Z249</f>
      </c>
      <c r="X249" s="336">
        <f>+IF(Y249&lt;X248,Y249,X248)</f>
      </c>
      <c r="Y249" s="337">
        <f>+(Y248-X248)*(1+$E$15)</f>
      </c>
      <c r="Z249" s="332">
        <v>244</v>
      </c>
      <c r="AA249" s="1"/>
      <c r="AB249" s="331">
        <f>AE249</f>
      </c>
      <c r="AC249" s="336">
        <f>+IF(AD249&lt;AC248,AD249,AC248)</f>
      </c>
      <c r="AD249" s="337">
        <f>+(AD248-AC248)*(1+$E$16)</f>
      </c>
      <c r="AE249" s="332">
        <v>244</v>
      </c>
    </row>
    <row x14ac:dyDescent="0.25" r="250" customHeight="1" ht="18.75">
      <c r="A250" s="1"/>
      <c r="B250" s="1"/>
      <c r="C250" s="169"/>
      <c r="D250" s="169"/>
      <c r="E250" s="168"/>
      <c r="F250" s="169"/>
      <c r="G250" s="170"/>
      <c r="H250" s="1"/>
      <c r="I250" s="1"/>
      <c r="J250" s="1"/>
      <c r="K250" s="1"/>
      <c r="L250" s="1"/>
      <c r="M250" s="331">
        <f>P250</f>
      </c>
      <c r="N250" s="335">
        <f>+IF(O250&lt;N249,O250,N249)</f>
      </c>
      <c r="O250" s="335">
        <f>+(O249-N249)*(1+$E$13)</f>
      </c>
      <c r="P250" s="332">
        <v>245</v>
      </c>
      <c r="Q250" s="1"/>
      <c r="R250" s="331">
        <f>U250</f>
      </c>
      <c r="S250" s="335">
        <f>+IF(T250&lt;S249,T250,S249)</f>
      </c>
      <c r="T250" s="335">
        <f>+(T249-S249)*(1+$E$14)</f>
      </c>
      <c r="U250" s="332">
        <v>245</v>
      </c>
      <c r="V250" s="1"/>
      <c r="W250" s="331">
        <f>Z250</f>
      </c>
      <c r="X250" s="336">
        <f>+IF(Y250&lt;X249,Y250,X249)</f>
      </c>
      <c r="Y250" s="337">
        <f>+(Y249-X249)*(1+$E$15)</f>
      </c>
      <c r="Z250" s="332">
        <v>245</v>
      </c>
      <c r="AA250" s="1"/>
      <c r="AB250" s="331">
        <f>AE250</f>
      </c>
      <c r="AC250" s="336">
        <f>+IF(AD250&lt;AC249,AD250,AC249)</f>
      </c>
      <c r="AD250" s="337">
        <f>+(AD249-AC249)*(1+$E$16)</f>
      </c>
      <c r="AE250" s="332">
        <v>245</v>
      </c>
    </row>
    <row x14ac:dyDescent="0.25" r="251" customHeight="1" ht="18.75">
      <c r="A251" s="1"/>
      <c r="B251" s="1"/>
      <c r="C251" s="169"/>
      <c r="D251" s="169"/>
      <c r="E251" s="168"/>
      <c r="F251" s="169"/>
      <c r="G251" s="170"/>
      <c r="H251" s="1"/>
      <c r="I251" s="1"/>
      <c r="J251" s="1"/>
      <c r="K251" s="1"/>
      <c r="L251" s="1"/>
      <c r="M251" s="331">
        <f>P251</f>
      </c>
      <c r="N251" s="335">
        <f>+IF(O251&lt;N250,O251,N250)</f>
      </c>
      <c r="O251" s="335">
        <f>+(O250-N250)*(1+$E$13)</f>
      </c>
      <c r="P251" s="332">
        <v>246</v>
      </c>
      <c r="Q251" s="1"/>
      <c r="R251" s="331">
        <f>U251</f>
      </c>
      <c r="S251" s="335">
        <f>+IF(T251&lt;S250,T251,S250)</f>
      </c>
      <c r="T251" s="335">
        <f>+(T250-S250)*(1+$E$14)</f>
      </c>
      <c r="U251" s="332">
        <v>246</v>
      </c>
      <c r="V251" s="1"/>
      <c r="W251" s="331">
        <f>Z251</f>
      </c>
      <c r="X251" s="336">
        <f>+IF(Y251&lt;X250,Y251,X250)</f>
      </c>
      <c r="Y251" s="337">
        <f>+(Y250-X250)*(1+$E$15)</f>
      </c>
      <c r="Z251" s="332">
        <v>246</v>
      </c>
      <c r="AA251" s="1"/>
      <c r="AB251" s="331">
        <f>AE251</f>
      </c>
      <c r="AC251" s="336">
        <f>+IF(AD251&lt;AC250,AD251,AC250)</f>
      </c>
      <c r="AD251" s="337">
        <f>+(AD250-AC250)*(1+$E$16)</f>
      </c>
      <c r="AE251" s="332">
        <v>246</v>
      </c>
    </row>
    <row x14ac:dyDescent="0.25" r="252" customHeight="1" ht="18.75">
      <c r="A252" s="1"/>
      <c r="B252" s="1"/>
      <c r="C252" s="169"/>
      <c r="D252" s="169"/>
      <c r="E252" s="168"/>
      <c r="F252" s="169"/>
      <c r="G252" s="170"/>
      <c r="H252" s="1"/>
      <c r="I252" s="1"/>
      <c r="J252" s="1"/>
      <c r="K252" s="1"/>
      <c r="L252" s="1"/>
      <c r="M252" s="331">
        <f>P252</f>
      </c>
      <c r="N252" s="335">
        <f>+IF(O252&lt;N251,O252,N251)</f>
      </c>
      <c r="O252" s="335">
        <f>+(O251-N251)*(1+$E$13)</f>
      </c>
      <c r="P252" s="332">
        <v>247</v>
      </c>
      <c r="Q252" s="1"/>
      <c r="R252" s="331">
        <f>U252</f>
      </c>
      <c r="S252" s="335">
        <f>+IF(T252&lt;S251,T252,S251)</f>
      </c>
      <c r="T252" s="335">
        <f>+(T251-S251)*(1+$E$14)</f>
      </c>
      <c r="U252" s="332">
        <v>247</v>
      </c>
      <c r="V252" s="1"/>
      <c r="W252" s="331">
        <f>Z252</f>
      </c>
      <c r="X252" s="336">
        <f>+IF(Y252&lt;X251,Y252,X251)</f>
      </c>
      <c r="Y252" s="337">
        <f>+(Y251-X251)*(1+$E$15)</f>
      </c>
      <c r="Z252" s="332">
        <v>247</v>
      </c>
      <c r="AA252" s="1"/>
      <c r="AB252" s="331">
        <f>AE252</f>
      </c>
      <c r="AC252" s="336">
        <f>+IF(AD252&lt;AC251,AD252,AC251)</f>
      </c>
      <c r="AD252" s="337">
        <f>+(AD251-AC251)*(1+$E$16)</f>
      </c>
      <c r="AE252" s="332">
        <v>247</v>
      </c>
    </row>
    <row x14ac:dyDescent="0.25" r="253" customHeight="1" ht="18.75">
      <c r="A253" s="1"/>
      <c r="B253" s="1"/>
      <c r="C253" s="169"/>
      <c r="D253" s="169"/>
      <c r="E253" s="168"/>
      <c r="F253" s="169"/>
      <c r="G253" s="170"/>
      <c r="H253" s="1"/>
      <c r="I253" s="1"/>
      <c r="J253" s="1"/>
      <c r="K253" s="1"/>
      <c r="L253" s="1"/>
      <c r="M253" s="331">
        <f>P253</f>
      </c>
      <c r="N253" s="335">
        <f>+IF(O253&lt;N252,O253,N252)</f>
      </c>
      <c r="O253" s="335">
        <f>+(O252-N252)*(1+$E$13)</f>
      </c>
      <c r="P253" s="332">
        <v>248</v>
      </c>
      <c r="Q253" s="1"/>
      <c r="R253" s="331">
        <f>U253</f>
      </c>
      <c r="S253" s="335">
        <f>+IF(T253&lt;S252,T253,S252)</f>
      </c>
      <c r="T253" s="335">
        <f>+(T252-S252)*(1+$E$14)</f>
      </c>
      <c r="U253" s="332">
        <v>248</v>
      </c>
      <c r="V253" s="1"/>
      <c r="W253" s="331">
        <f>Z253</f>
      </c>
      <c r="X253" s="336">
        <f>+IF(Y253&lt;X252,Y253,X252)</f>
      </c>
      <c r="Y253" s="337">
        <f>+(Y252-X252)*(1+$E$15)</f>
      </c>
      <c r="Z253" s="332">
        <v>248</v>
      </c>
      <c r="AA253" s="1"/>
      <c r="AB253" s="331">
        <f>AE253</f>
      </c>
      <c r="AC253" s="336">
        <f>+IF(AD253&lt;AC252,AD253,AC252)</f>
      </c>
      <c r="AD253" s="337">
        <f>+(AD252-AC252)*(1+$E$16)</f>
      </c>
      <c r="AE253" s="332">
        <v>248</v>
      </c>
    </row>
    <row x14ac:dyDescent="0.25" r="254" customHeight="1" ht="18.75">
      <c r="A254" s="1"/>
      <c r="B254" s="1"/>
      <c r="C254" s="169"/>
      <c r="D254" s="169"/>
      <c r="E254" s="168"/>
      <c r="F254" s="169"/>
      <c r="G254" s="170"/>
      <c r="H254" s="1"/>
      <c r="I254" s="1"/>
      <c r="J254" s="1"/>
      <c r="K254" s="1"/>
      <c r="L254" s="1"/>
      <c r="M254" s="331">
        <f>P254</f>
      </c>
      <c r="N254" s="335">
        <f>+IF(O254&lt;N253,O254,N253)</f>
      </c>
      <c r="O254" s="335">
        <f>+(O253-N253)*(1+$E$13)</f>
      </c>
      <c r="P254" s="332">
        <v>249</v>
      </c>
      <c r="Q254" s="1"/>
      <c r="R254" s="331">
        <f>U254</f>
      </c>
      <c r="S254" s="335">
        <f>+IF(T254&lt;S253,T254,S253)</f>
      </c>
      <c r="T254" s="335">
        <f>+(T253-S253)*(1+$E$14)</f>
      </c>
      <c r="U254" s="332">
        <v>249</v>
      </c>
      <c r="V254" s="1"/>
      <c r="W254" s="331">
        <f>Z254</f>
      </c>
      <c r="X254" s="336">
        <f>+IF(Y254&lt;X253,Y254,X253)</f>
      </c>
      <c r="Y254" s="337">
        <f>+(Y253-X253)*(1+$E$15)</f>
      </c>
      <c r="Z254" s="332">
        <v>249</v>
      </c>
      <c r="AA254" s="1"/>
      <c r="AB254" s="331">
        <f>AE254</f>
      </c>
      <c r="AC254" s="336">
        <f>+IF(AD254&lt;AC253,AD254,AC253)</f>
      </c>
      <c r="AD254" s="337">
        <f>+(AD253-AC253)*(1+$E$16)</f>
      </c>
      <c r="AE254" s="332">
        <v>249</v>
      </c>
    </row>
    <row x14ac:dyDescent="0.25" r="255" customHeight="1" ht="18.75">
      <c r="A255" s="1"/>
      <c r="B255" s="1"/>
      <c r="C255" s="169"/>
      <c r="D255" s="169"/>
      <c r="E255" s="168"/>
      <c r="F255" s="169"/>
      <c r="G255" s="170"/>
      <c r="H255" s="1"/>
      <c r="I255" s="1"/>
      <c r="J255" s="1"/>
      <c r="K255" s="1"/>
      <c r="L255" s="1"/>
      <c r="M255" s="331">
        <f>P255</f>
      </c>
      <c r="N255" s="335">
        <f>+IF(O255&lt;N254,O255,N254)</f>
      </c>
      <c r="O255" s="335">
        <f>+(O254-N254)*(1+$E$13)</f>
      </c>
      <c r="P255" s="332">
        <v>250</v>
      </c>
      <c r="Q255" s="1"/>
      <c r="R255" s="331">
        <f>U255</f>
      </c>
      <c r="S255" s="335">
        <f>+IF(T255&lt;S254,T255,S254)</f>
      </c>
      <c r="T255" s="335">
        <f>+(T254-S254)*(1+$E$14)</f>
      </c>
      <c r="U255" s="332">
        <v>250</v>
      </c>
      <c r="V255" s="1"/>
      <c r="W255" s="331">
        <f>Z255</f>
      </c>
      <c r="X255" s="336">
        <f>+IF(Y255&lt;X254,Y255,X254)</f>
      </c>
      <c r="Y255" s="337">
        <f>+(Y254-X254)*(1+$E$15)</f>
      </c>
      <c r="Z255" s="332">
        <v>250</v>
      </c>
      <c r="AA255" s="1"/>
      <c r="AB255" s="331">
        <f>AE255</f>
      </c>
      <c r="AC255" s="336">
        <f>+IF(AD255&lt;AC254,AD255,AC254)</f>
      </c>
      <c r="AD255" s="337">
        <f>+(AD254-AC254)*(1+$E$16)</f>
      </c>
      <c r="AE255" s="332">
        <v>250</v>
      </c>
    </row>
    <row x14ac:dyDescent="0.25" r="256" customHeight="1" ht="18.75">
      <c r="A256" s="1"/>
      <c r="B256" s="1"/>
      <c r="C256" s="169"/>
      <c r="D256" s="169"/>
      <c r="E256" s="168"/>
      <c r="F256" s="169"/>
      <c r="G256" s="170"/>
      <c r="H256" s="1"/>
      <c r="I256" s="1"/>
      <c r="J256" s="1"/>
      <c r="K256" s="1"/>
      <c r="L256" s="1"/>
      <c r="M256" s="331">
        <f>P256</f>
      </c>
      <c r="N256" s="335">
        <f>+IF(O256&lt;N255,O256,N255)</f>
      </c>
      <c r="O256" s="335">
        <f>+(O255-N255)*(1+$E$13)</f>
      </c>
      <c r="P256" s="332">
        <v>251</v>
      </c>
      <c r="Q256" s="1"/>
      <c r="R256" s="331">
        <f>U256</f>
      </c>
      <c r="S256" s="335">
        <f>+IF(T256&lt;S255,T256,S255)</f>
      </c>
      <c r="T256" s="335">
        <f>+(T255-S255)*(1+$E$14)</f>
      </c>
      <c r="U256" s="332">
        <v>251</v>
      </c>
      <c r="V256" s="1"/>
      <c r="W256" s="331">
        <f>Z256</f>
      </c>
      <c r="X256" s="336">
        <f>+IF(Y256&lt;X255,Y256,X255)</f>
      </c>
      <c r="Y256" s="337">
        <f>+(Y255-X255)*(1+$E$15)</f>
      </c>
      <c r="Z256" s="332">
        <v>251</v>
      </c>
      <c r="AA256" s="1"/>
      <c r="AB256" s="331">
        <f>AE256</f>
      </c>
      <c r="AC256" s="336">
        <f>+IF(AD256&lt;AC255,AD256,AC255)</f>
      </c>
      <c r="AD256" s="337">
        <f>+(AD255-AC255)*(1+$E$16)</f>
      </c>
      <c r="AE256" s="332">
        <v>251</v>
      </c>
    </row>
    <row x14ac:dyDescent="0.25" r="257" customHeight="1" ht="18.75">
      <c r="A257" s="1"/>
      <c r="B257" s="1"/>
      <c r="C257" s="169"/>
      <c r="D257" s="169"/>
      <c r="E257" s="168"/>
      <c r="F257" s="169"/>
      <c r="G257" s="170"/>
      <c r="H257" s="1"/>
      <c r="I257" s="1"/>
      <c r="J257" s="1"/>
      <c r="K257" s="1"/>
      <c r="L257" s="1"/>
      <c r="M257" s="331">
        <f>P257</f>
      </c>
      <c r="N257" s="335">
        <f>+IF(O257&lt;N256,O257,N256)</f>
      </c>
      <c r="O257" s="335">
        <f>+(O256-N256)*(1+$E$13)</f>
      </c>
      <c r="P257" s="332">
        <v>252</v>
      </c>
      <c r="Q257" s="1"/>
      <c r="R257" s="331">
        <f>U257</f>
      </c>
      <c r="S257" s="335">
        <f>+IF(T257&lt;S256,T257,S256)</f>
      </c>
      <c r="T257" s="335">
        <f>+(T256-S256)*(1+$E$14)</f>
      </c>
      <c r="U257" s="332">
        <v>252</v>
      </c>
      <c r="V257" s="1"/>
      <c r="W257" s="331">
        <f>Z257</f>
      </c>
      <c r="X257" s="336">
        <f>+IF(Y257&lt;X256,Y257,X256)</f>
      </c>
      <c r="Y257" s="337">
        <f>+(Y256-X256)*(1+$E$15)</f>
      </c>
      <c r="Z257" s="332">
        <v>252</v>
      </c>
      <c r="AA257" s="1"/>
      <c r="AB257" s="331">
        <f>AE257</f>
      </c>
      <c r="AC257" s="336">
        <f>+IF(AD257&lt;AC256,AD257,AC256)</f>
      </c>
      <c r="AD257" s="337">
        <f>+(AD256-AC256)*(1+$E$16)</f>
      </c>
      <c r="AE257" s="332">
        <v>252</v>
      </c>
    </row>
    <row x14ac:dyDescent="0.25" r="258" customHeight="1" ht="18.75">
      <c r="A258" s="1"/>
      <c r="B258" s="1"/>
      <c r="C258" s="169"/>
      <c r="D258" s="169"/>
      <c r="E258" s="168"/>
      <c r="F258" s="169"/>
      <c r="G258" s="170"/>
      <c r="H258" s="1"/>
      <c r="I258" s="1"/>
      <c r="J258" s="1"/>
      <c r="K258" s="1"/>
      <c r="L258" s="1"/>
      <c r="M258" s="331">
        <f>P258</f>
      </c>
      <c r="N258" s="335">
        <f>+IF(O258&lt;N257,O258,N257)</f>
      </c>
      <c r="O258" s="335">
        <f>+(O257-N257)*(1+$E$13)</f>
      </c>
      <c r="P258" s="332">
        <v>253</v>
      </c>
      <c r="Q258" s="1"/>
      <c r="R258" s="331">
        <f>U258</f>
      </c>
      <c r="S258" s="335">
        <f>+IF(T258&lt;S257,T258,S257)</f>
      </c>
      <c r="T258" s="335">
        <f>+(T257-S257)*(1+$E$14)</f>
      </c>
      <c r="U258" s="332">
        <v>253</v>
      </c>
      <c r="V258" s="1"/>
      <c r="W258" s="331">
        <f>Z258</f>
      </c>
      <c r="X258" s="336">
        <f>+IF(Y258&lt;X257,Y258,X257)</f>
      </c>
      <c r="Y258" s="337">
        <f>+(Y257-X257)*(1+$E$15)</f>
      </c>
      <c r="Z258" s="332">
        <v>253</v>
      </c>
      <c r="AA258" s="1"/>
      <c r="AB258" s="331">
        <f>AE258</f>
      </c>
      <c r="AC258" s="336">
        <f>+IF(AD258&lt;AC257,AD258,AC257)</f>
      </c>
      <c r="AD258" s="337">
        <f>+(AD257-AC257)*(1+$E$16)</f>
      </c>
      <c r="AE258" s="332">
        <v>253</v>
      </c>
    </row>
    <row x14ac:dyDescent="0.25" r="259" customHeight="1" ht="18.75">
      <c r="A259" s="1"/>
      <c r="B259" s="1"/>
      <c r="C259" s="169"/>
      <c r="D259" s="169"/>
      <c r="E259" s="168"/>
      <c r="F259" s="169"/>
      <c r="G259" s="170"/>
      <c r="H259" s="1"/>
      <c r="I259" s="1"/>
      <c r="J259" s="1"/>
      <c r="K259" s="1"/>
      <c r="L259" s="1"/>
      <c r="M259" s="331">
        <f>P259</f>
      </c>
      <c r="N259" s="335">
        <f>+IF(O259&lt;N258,O259,N258)</f>
      </c>
      <c r="O259" s="335">
        <f>+(O258-N258)*(1+$E$13)</f>
      </c>
      <c r="P259" s="332">
        <v>254</v>
      </c>
      <c r="Q259" s="1"/>
      <c r="R259" s="331">
        <f>U259</f>
      </c>
      <c r="S259" s="335">
        <f>+IF(T259&lt;S258,T259,S258)</f>
      </c>
      <c r="T259" s="335">
        <f>+(T258-S258)*(1+$E$14)</f>
      </c>
      <c r="U259" s="332">
        <v>254</v>
      </c>
      <c r="V259" s="1"/>
      <c r="W259" s="331">
        <f>Z259</f>
      </c>
      <c r="X259" s="336">
        <f>+IF(Y259&lt;X258,Y259,X258)</f>
      </c>
      <c r="Y259" s="337">
        <f>+(Y258-X258)*(1+$E$15)</f>
      </c>
      <c r="Z259" s="332">
        <v>254</v>
      </c>
      <c r="AA259" s="1"/>
      <c r="AB259" s="331">
        <f>AE259</f>
      </c>
      <c r="AC259" s="336">
        <f>+IF(AD259&lt;AC258,AD259,AC258)</f>
      </c>
      <c r="AD259" s="337">
        <f>+(AD258-AC258)*(1+$E$16)</f>
      </c>
      <c r="AE259" s="332">
        <v>254</v>
      </c>
    </row>
    <row x14ac:dyDescent="0.25" r="260" customHeight="1" ht="18.75">
      <c r="A260" s="1"/>
      <c r="B260" s="1"/>
      <c r="C260" s="169"/>
      <c r="D260" s="169"/>
      <c r="E260" s="168"/>
      <c r="F260" s="169"/>
      <c r="G260" s="170"/>
      <c r="H260" s="1"/>
      <c r="I260" s="1"/>
      <c r="J260" s="1"/>
      <c r="K260" s="1"/>
      <c r="L260" s="1"/>
      <c r="M260" s="331">
        <f>P260</f>
      </c>
      <c r="N260" s="335">
        <f>+IF(O260&lt;N259,O260,N259)</f>
      </c>
      <c r="O260" s="335">
        <f>+(O259-N259)*(1+$E$13)</f>
      </c>
      <c r="P260" s="332">
        <v>255</v>
      </c>
      <c r="Q260" s="1"/>
      <c r="R260" s="331">
        <f>U260</f>
      </c>
      <c r="S260" s="335">
        <f>+IF(T260&lt;S259,T260,S259)</f>
      </c>
      <c r="T260" s="335">
        <f>+(T259-S259)*(1+$E$14)</f>
      </c>
      <c r="U260" s="332">
        <v>255</v>
      </c>
      <c r="V260" s="1"/>
      <c r="W260" s="331">
        <f>Z260</f>
      </c>
      <c r="X260" s="336">
        <f>+IF(Y260&lt;X259,Y260,X259)</f>
      </c>
      <c r="Y260" s="337">
        <f>+(Y259-X259)*(1+$E$15)</f>
      </c>
      <c r="Z260" s="332">
        <v>255</v>
      </c>
      <c r="AA260" s="1"/>
      <c r="AB260" s="331">
        <f>AE260</f>
      </c>
      <c r="AC260" s="336">
        <f>+IF(AD260&lt;AC259,AD260,AC259)</f>
      </c>
      <c r="AD260" s="337">
        <f>+(AD259-AC259)*(1+$E$16)</f>
      </c>
      <c r="AE260" s="332">
        <v>255</v>
      </c>
    </row>
    <row x14ac:dyDescent="0.25" r="261" customHeight="1" ht="18.75">
      <c r="A261" s="1"/>
      <c r="B261" s="1"/>
      <c r="C261" s="169"/>
      <c r="D261" s="169"/>
      <c r="E261" s="168"/>
      <c r="F261" s="169"/>
      <c r="G261" s="170"/>
      <c r="H261" s="1"/>
      <c r="I261" s="1"/>
      <c r="J261" s="1"/>
      <c r="K261" s="1"/>
      <c r="L261" s="1"/>
      <c r="M261" s="331">
        <f>P261</f>
      </c>
      <c r="N261" s="335">
        <f>+IF(O261&lt;N260,O261,N260)</f>
      </c>
      <c r="O261" s="335">
        <f>+(O260-N260)*(1+$E$13)</f>
      </c>
      <c r="P261" s="332">
        <v>256</v>
      </c>
      <c r="Q261" s="1"/>
      <c r="R261" s="331">
        <f>U261</f>
      </c>
      <c r="S261" s="335">
        <f>+IF(T261&lt;S260,T261,S260)</f>
      </c>
      <c r="T261" s="335">
        <f>+(T260-S260)*(1+$E$14)</f>
      </c>
      <c r="U261" s="332">
        <v>256</v>
      </c>
      <c r="V261" s="1"/>
      <c r="W261" s="331">
        <f>Z261</f>
      </c>
      <c r="X261" s="336">
        <f>+IF(Y261&lt;X260,Y261,X260)</f>
      </c>
      <c r="Y261" s="337">
        <f>+(Y260-X260)*(1+$E$15)</f>
      </c>
      <c r="Z261" s="332">
        <v>256</v>
      </c>
      <c r="AA261" s="1"/>
      <c r="AB261" s="331">
        <f>AE261</f>
      </c>
      <c r="AC261" s="336">
        <f>+IF(AD261&lt;AC260,AD261,AC260)</f>
      </c>
      <c r="AD261" s="337">
        <f>+(AD260-AC260)*(1+$E$16)</f>
      </c>
      <c r="AE261" s="332">
        <v>256</v>
      </c>
    </row>
    <row x14ac:dyDescent="0.25" r="262" customHeight="1" ht="18.75">
      <c r="A262" s="1"/>
      <c r="B262" s="1"/>
      <c r="C262" s="169"/>
      <c r="D262" s="169"/>
      <c r="E262" s="168"/>
      <c r="F262" s="169"/>
      <c r="G262" s="170"/>
      <c r="H262" s="1"/>
      <c r="I262" s="1"/>
      <c r="J262" s="1"/>
      <c r="K262" s="1"/>
      <c r="L262" s="1"/>
      <c r="M262" s="331">
        <f>P262</f>
      </c>
      <c r="N262" s="335">
        <f>+IF(O262&lt;N261,O262,N261)</f>
      </c>
      <c r="O262" s="335">
        <f>+(O261-N261)*(1+$E$13)</f>
      </c>
      <c r="P262" s="332">
        <v>257</v>
      </c>
      <c r="Q262" s="1"/>
      <c r="R262" s="331">
        <f>U262</f>
      </c>
      <c r="S262" s="335">
        <f>+IF(T262&lt;S261,T262,S261)</f>
      </c>
      <c r="T262" s="335">
        <f>+(T261-S261)*(1+$E$14)</f>
      </c>
      <c r="U262" s="332">
        <v>257</v>
      </c>
      <c r="V262" s="1"/>
      <c r="W262" s="331">
        <f>Z262</f>
      </c>
      <c r="X262" s="336">
        <f>+IF(Y262&lt;X261,Y262,X261)</f>
      </c>
      <c r="Y262" s="337">
        <f>+(Y261-X261)*(1+$E$15)</f>
      </c>
      <c r="Z262" s="332">
        <v>257</v>
      </c>
      <c r="AA262" s="1"/>
      <c r="AB262" s="331">
        <f>AE262</f>
      </c>
      <c r="AC262" s="336">
        <f>+IF(AD262&lt;AC261,AD262,AC261)</f>
      </c>
      <c r="AD262" s="337">
        <f>+(AD261-AC261)*(1+$E$16)</f>
      </c>
      <c r="AE262" s="332">
        <v>257</v>
      </c>
    </row>
    <row x14ac:dyDescent="0.25" r="263" customHeight="1" ht="18.75">
      <c r="A263" s="1"/>
      <c r="B263" s="1"/>
      <c r="C263" s="169"/>
      <c r="D263" s="169"/>
      <c r="E263" s="168"/>
      <c r="F263" s="169"/>
      <c r="G263" s="170"/>
      <c r="H263" s="1"/>
      <c r="I263" s="1"/>
      <c r="J263" s="1"/>
      <c r="K263" s="1"/>
      <c r="L263" s="1"/>
      <c r="M263" s="331">
        <f>P263</f>
      </c>
      <c r="N263" s="335">
        <f>+IF(O263&lt;N262,O263,N262)</f>
      </c>
      <c r="O263" s="335">
        <f>+(O262-N262)*(1+$E$13)</f>
      </c>
      <c r="P263" s="332">
        <v>258</v>
      </c>
      <c r="Q263" s="1"/>
      <c r="R263" s="331">
        <f>U263</f>
      </c>
      <c r="S263" s="335">
        <f>+IF(T263&lt;S262,T263,S262)</f>
      </c>
      <c r="T263" s="335">
        <f>+(T262-S262)*(1+$E$14)</f>
      </c>
      <c r="U263" s="332">
        <v>258</v>
      </c>
      <c r="V263" s="1"/>
      <c r="W263" s="331">
        <f>Z263</f>
      </c>
      <c r="X263" s="336">
        <f>+IF(Y263&lt;X262,Y263,X262)</f>
      </c>
      <c r="Y263" s="337">
        <f>+(Y262-X262)*(1+$E$15)</f>
      </c>
      <c r="Z263" s="332">
        <v>258</v>
      </c>
      <c r="AA263" s="1"/>
      <c r="AB263" s="331">
        <f>AE263</f>
      </c>
      <c r="AC263" s="336">
        <f>+IF(AD263&lt;AC262,AD263,AC262)</f>
      </c>
      <c r="AD263" s="337">
        <f>+(AD262-AC262)*(1+$E$16)</f>
      </c>
      <c r="AE263" s="332">
        <v>258</v>
      </c>
    </row>
    <row x14ac:dyDescent="0.25" r="264" customHeight="1" ht="18.75">
      <c r="A264" s="1"/>
      <c r="B264" s="1"/>
      <c r="C264" s="169"/>
      <c r="D264" s="169"/>
      <c r="E264" s="168"/>
      <c r="F264" s="169"/>
      <c r="G264" s="170"/>
      <c r="H264" s="1"/>
      <c r="I264" s="1"/>
      <c r="J264" s="1"/>
      <c r="K264" s="1"/>
      <c r="L264" s="1"/>
      <c r="M264" s="331">
        <f>P264</f>
      </c>
      <c r="N264" s="335">
        <f>+IF(O264&lt;N263,O264,N263)</f>
      </c>
      <c r="O264" s="335">
        <f>+(O263-N263)*(1+$E$13)</f>
      </c>
      <c r="P264" s="332">
        <v>259</v>
      </c>
      <c r="Q264" s="1"/>
      <c r="R264" s="331">
        <f>U264</f>
      </c>
      <c r="S264" s="335">
        <f>+IF(T264&lt;S263,T264,S263)</f>
      </c>
      <c r="T264" s="335">
        <f>+(T263-S263)*(1+$E$14)</f>
      </c>
      <c r="U264" s="332">
        <v>259</v>
      </c>
      <c r="V264" s="1"/>
      <c r="W264" s="331">
        <f>Z264</f>
      </c>
      <c r="X264" s="336">
        <f>+IF(Y264&lt;X263,Y264,X263)</f>
      </c>
      <c r="Y264" s="337">
        <f>+(Y263-X263)*(1+$E$15)</f>
      </c>
      <c r="Z264" s="332">
        <v>259</v>
      </c>
      <c r="AA264" s="1"/>
      <c r="AB264" s="331">
        <f>AE264</f>
      </c>
      <c r="AC264" s="336">
        <f>+IF(AD264&lt;AC263,AD264,AC263)</f>
      </c>
      <c r="AD264" s="337">
        <f>+(AD263-AC263)*(1+$E$16)</f>
      </c>
      <c r="AE264" s="332">
        <v>259</v>
      </c>
    </row>
    <row x14ac:dyDescent="0.25" r="265" customHeight="1" ht="18.75">
      <c r="A265" s="1"/>
      <c r="B265" s="1"/>
      <c r="C265" s="169"/>
      <c r="D265" s="169"/>
      <c r="E265" s="168"/>
      <c r="F265" s="169"/>
      <c r="G265" s="170"/>
      <c r="H265" s="1"/>
      <c r="I265" s="1"/>
      <c r="J265" s="1"/>
      <c r="K265" s="1"/>
      <c r="L265" s="1"/>
      <c r="M265" s="331">
        <f>P265</f>
      </c>
      <c r="N265" s="335">
        <f>+IF(O265&lt;N264,O265,N264)</f>
      </c>
      <c r="O265" s="335">
        <f>+(O264-N264)*(1+$E$13)</f>
      </c>
      <c r="P265" s="332">
        <v>260</v>
      </c>
      <c r="Q265" s="1"/>
      <c r="R265" s="331">
        <f>U265</f>
      </c>
      <c r="S265" s="335">
        <f>+IF(T265&lt;S264,T265,S264)</f>
      </c>
      <c r="T265" s="335">
        <f>+(T264-S264)*(1+$E$14)</f>
      </c>
      <c r="U265" s="332">
        <v>260</v>
      </c>
      <c r="V265" s="1"/>
      <c r="W265" s="331">
        <f>Z265</f>
      </c>
      <c r="X265" s="336">
        <f>+IF(Y265&lt;X264,Y265,X264)</f>
      </c>
      <c r="Y265" s="337">
        <f>+(Y264-X264)*(1+$E$15)</f>
      </c>
      <c r="Z265" s="332">
        <v>260</v>
      </c>
      <c r="AA265" s="1"/>
      <c r="AB265" s="331">
        <f>AE265</f>
      </c>
      <c r="AC265" s="336">
        <f>+IF(AD265&lt;AC264,AD265,AC264)</f>
      </c>
      <c r="AD265" s="337">
        <f>+(AD264-AC264)*(1+$E$16)</f>
      </c>
      <c r="AE265" s="332">
        <v>260</v>
      </c>
    </row>
    <row x14ac:dyDescent="0.25" r="266" customHeight="1" ht="18.75">
      <c r="A266" s="1"/>
      <c r="B266" s="1"/>
      <c r="C266" s="169"/>
      <c r="D266" s="169"/>
      <c r="E266" s="168"/>
      <c r="F266" s="169"/>
      <c r="G266" s="170"/>
      <c r="H266" s="1"/>
      <c r="I266" s="1"/>
      <c r="J266" s="1"/>
      <c r="K266" s="1"/>
      <c r="L266" s="1"/>
      <c r="M266" s="331">
        <f>P266</f>
      </c>
      <c r="N266" s="335">
        <f>+IF(O266&lt;N265,O266,N265)</f>
      </c>
      <c r="O266" s="335">
        <f>+(O265-N265)*(1+$E$13)</f>
      </c>
      <c r="P266" s="332">
        <v>261</v>
      </c>
      <c r="Q266" s="1"/>
      <c r="R266" s="331">
        <f>U266</f>
      </c>
      <c r="S266" s="335">
        <f>+IF(T266&lt;S265,T266,S265)</f>
      </c>
      <c r="T266" s="335">
        <f>+(T265-S265)*(1+$E$14)</f>
      </c>
      <c r="U266" s="332">
        <v>261</v>
      </c>
      <c r="V266" s="1"/>
      <c r="W266" s="331">
        <f>Z266</f>
      </c>
      <c r="X266" s="336">
        <f>+IF(Y266&lt;X265,Y266,X265)</f>
      </c>
      <c r="Y266" s="337">
        <f>+(Y265-X265)*(1+$E$15)</f>
      </c>
      <c r="Z266" s="332">
        <v>261</v>
      </c>
      <c r="AA266" s="1"/>
      <c r="AB266" s="331">
        <f>AE266</f>
      </c>
      <c r="AC266" s="336">
        <f>+IF(AD266&lt;AC265,AD266,AC265)</f>
      </c>
      <c r="AD266" s="337">
        <f>+(AD265-AC265)*(1+$E$16)</f>
      </c>
      <c r="AE266" s="332">
        <v>261</v>
      </c>
    </row>
    <row x14ac:dyDescent="0.25" r="267" customHeight="1" ht="18.75">
      <c r="A267" s="1"/>
      <c r="B267" s="1"/>
      <c r="C267" s="169"/>
      <c r="D267" s="169"/>
      <c r="E267" s="168"/>
      <c r="F267" s="169"/>
      <c r="G267" s="170"/>
      <c r="H267" s="1"/>
      <c r="I267" s="1"/>
      <c r="J267" s="1"/>
      <c r="K267" s="1"/>
      <c r="L267" s="1"/>
      <c r="M267" s="331">
        <f>P267</f>
      </c>
      <c r="N267" s="335">
        <f>+IF(O267&lt;N266,O267,N266)</f>
      </c>
      <c r="O267" s="335">
        <f>+(O266-N266)*(1+$E$13)</f>
      </c>
      <c r="P267" s="332">
        <v>262</v>
      </c>
      <c r="Q267" s="1"/>
      <c r="R267" s="331">
        <f>U267</f>
      </c>
      <c r="S267" s="335">
        <f>+IF(T267&lt;S266,T267,S266)</f>
      </c>
      <c r="T267" s="335">
        <f>+(T266-S266)*(1+$E$14)</f>
      </c>
      <c r="U267" s="332">
        <v>262</v>
      </c>
      <c r="V267" s="1"/>
      <c r="W267" s="331">
        <f>Z267</f>
      </c>
      <c r="X267" s="336">
        <f>+IF(Y267&lt;X266,Y267,X266)</f>
      </c>
      <c r="Y267" s="337">
        <f>+(Y266-X266)*(1+$E$15)</f>
      </c>
      <c r="Z267" s="332">
        <v>262</v>
      </c>
      <c r="AA267" s="1"/>
      <c r="AB267" s="331">
        <f>AE267</f>
      </c>
      <c r="AC267" s="336">
        <f>+IF(AD267&lt;AC266,AD267,AC266)</f>
      </c>
      <c r="AD267" s="337">
        <f>+(AD266-AC266)*(1+$E$16)</f>
      </c>
      <c r="AE267" s="332">
        <v>262</v>
      </c>
    </row>
    <row x14ac:dyDescent="0.25" r="268" customHeight="1" ht="18.75">
      <c r="A268" s="1"/>
      <c r="B268" s="1"/>
      <c r="C268" s="169"/>
      <c r="D268" s="169"/>
      <c r="E268" s="168"/>
      <c r="F268" s="169"/>
      <c r="G268" s="170"/>
      <c r="H268" s="1"/>
      <c r="I268" s="1"/>
      <c r="J268" s="1"/>
      <c r="K268" s="1"/>
      <c r="L268" s="1"/>
      <c r="M268" s="331">
        <f>P268</f>
      </c>
      <c r="N268" s="335">
        <f>+IF(O268&lt;N267,O268,N267)</f>
      </c>
      <c r="O268" s="335">
        <f>+(O267-N267)*(1+$E$13)</f>
      </c>
      <c r="P268" s="332">
        <v>263</v>
      </c>
      <c r="Q268" s="1"/>
      <c r="R268" s="331">
        <f>U268</f>
      </c>
      <c r="S268" s="335">
        <f>+IF(T268&lt;S267,T268,S267)</f>
      </c>
      <c r="T268" s="335">
        <f>+(T267-S267)*(1+$E$14)</f>
      </c>
      <c r="U268" s="332">
        <v>263</v>
      </c>
      <c r="V268" s="1"/>
      <c r="W268" s="331">
        <f>Z268</f>
      </c>
      <c r="X268" s="336">
        <f>+IF(Y268&lt;X267,Y268,X267)</f>
      </c>
      <c r="Y268" s="337">
        <f>+(Y267-X267)*(1+$E$15)</f>
      </c>
      <c r="Z268" s="332">
        <v>263</v>
      </c>
      <c r="AA268" s="1"/>
      <c r="AB268" s="331">
        <f>AE268</f>
      </c>
      <c r="AC268" s="336">
        <f>+IF(AD268&lt;AC267,AD268,AC267)</f>
      </c>
      <c r="AD268" s="337">
        <f>+(AD267-AC267)*(1+$E$16)</f>
      </c>
      <c r="AE268" s="332">
        <v>263</v>
      </c>
    </row>
    <row x14ac:dyDescent="0.25" r="269" customHeight="1" ht="18.75">
      <c r="A269" s="1"/>
      <c r="B269" s="1"/>
      <c r="C269" s="169"/>
      <c r="D269" s="169"/>
      <c r="E269" s="168"/>
      <c r="F269" s="169"/>
      <c r="G269" s="170"/>
      <c r="H269" s="1"/>
      <c r="I269" s="1"/>
      <c r="J269" s="1"/>
      <c r="K269" s="1"/>
      <c r="L269" s="1"/>
      <c r="M269" s="331">
        <f>P269</f>
      </c>
      <c r="N269" s="335">
        <f>+IF(O269&lt;N268,O269,N268)</f>
      </c>
      <c r="O269" s="335">
        <f>+(O268-N268)*(1+$E$13)</f>
      </c>
      <c r="P269" s="332">
        <v>264</v>
      </c>
      <c r="Q269" s="1"/>
      <c r="R269" s="331">
        <f>U269</f>
      </c>
      <c r="S269" s="335">
        <f>+IF(T269&lt;S268,T269,S268)</f>
      </c>
      <c r="T269" s="335">
        <f>+(T268-S268)*(1+$E$14)</f>
      </c>
      <c r="U269" s="332">
        <v>264</v>
      </c>
      <c r="V269" s="1"/>
      <c r="W269" s="331">
        <f>Z269</f>
      </c>
      <c r="X269" s="336">
        <f>+IF(Y269&lt;X268,Y269,X268)</f>
      </c>
      <c r="Y269" s="337">
        <f>+(Y268-X268)*(1+$E$15)</f>
      </c>
      <c r="Z269" s="332">
        <v>264</v>
      </c>
      <c r="AA269" s="1"/>
      <c r="AB269" s="331">
        <f>AE269</f>
      </c>
      <c r="AC269" s="336">
        <f>+IF(AD269&lt;AC268,AD269,AC268)</f>
      </c>
      <c r="AD269" s="337">
        <f>+(AD268-AC268)*(1+$E$16)</f>
      </c>
      <c r="AE269" s="332">
        <v>264</v>
      </c>
    </row>
    <row x14ac:dyDescent="0.25" r="270" customHeight="1" ht="18.75">
      <c r="A270" s="1"/>
      <c r="B270" s="1"/>
      <c r="C270" s="169"/>
      <c r="D270" s="169"/>
      <c r="E270" s="168"/>
      <c r="F270" s="169"/>
      <c r="G270" s="170"/>
      <c r="H270" s="1"/>
      <c r="I270" s="1"/>
      <c r="J270" s="1"/>
      <c r="K270" s="1"/>
      <c r="L270" s="1"/>
      <c r="M270" s="331">
        <f>P270</f>
      </c>
      <c r="N270" s="335">
        <f>+IF(O270&lt;N269,O270,N269)</f>
      </c>
      <c r="O270" s="335">
        <f>+(O269-N269)*(1+$E$13)</f>
      </c>
      <c r="P270" s="332">
        <v>265</v>
      </c>
      <c r="Q270" s="1"/>
      <c r="R270" s="331">
        <f>U270</f>
      </c>
      <c r="S270" s="335">
        <f>+IF(T270&lt;S269,T270,S269)</f>
      </c>
      <c r="T270" s="335">
        <f>+(T269-S269)*(1+$E$14)</f>
      </c>
      <c r="U270" s="332">
        <v>265</v>
      </c>
      <c r="V270" s="1"/>
      <c r="W270" s="331">
        <f>Z270</f>
      </c>
      <c r="X270" s="336">
        <f>+IF(Y270&lt;X269,Y270,X269)</f>
      </c>
      <c r="Y270" s="337">
        <f>+(Y269-X269)*(1+$E$15)</f>
      </c>
      <c r="Z270" s="332">
        <v>265</v>
      </c>
      <c r="AA270" s="1"/>
      <c r="AB270" s="331">
        <f>AE270</f>
      </c>
      <c r="AC270" s="336">
        <f>+IF(AD270&lt;AC269,AD270,AC269)</f>
      </c>
      <c r="AD270" s="337">
        <f>+(AD269-AC269)*(1+$E$16)</f>
      </c>
      <c r="AE270" s="332">
        <v>265</v>
      </c>
    </row>
    <row x14ac:dyDescent="0.25" r="271" customHeight="1" ht="18.75">
      <c r="A271" s="1"/>
      <c r="B271" s="1"/>
      <c r="C271" s="169"/>
      <c r="D271" s="169"/>
      <c r="E271" s="168"/>
      <c r="F271" s="169"/>
      <c r="G271" s="170"/>
      <c r="H271" s="1"/>
      <c r="I271" s="1"/>
      <c r="J271" s="1"/>
      <c r="K271" s="1"/>
      <c r="L271" s="1"/>
      <c r="M271" s="331">
        <f>P271</f>
      </c>
      <c r="N271" s="335">
        <f>+IF(O271&lt;N270,O271,N270)</f>
      </c>
      <c r="O271" s="335">
        <f>+(O270-N270)*(1+$E$13)</f>
      </c>
      <c r="P271" s="332">
        <v>266</v>
      </c>
      <c r="Q271" s="1"/>
      <c r="R271" s="331">
        <f>U271</f>
      </c>
      <c r="S271" s="335">
        <f>+IF(T271&lt;S270,T271,S270)</f>
      </c>
      <c r="T271" s="335">
        <f>+(T270-S270)*(1+$E$14)</f>
      </c>
      <c r="U271" s="332">
        <v>266</v>
      </c>
      <c r="V271" s="1"/>
      <c r="W271" s="331">
        <f>Z271</f>
      </c>
      <c r="X271" s="336">
        <f>+IF(Y271&lt;X270,Y271,X270)</f>
      </c>
      <c r="Y271" s="337">
        <f>+(Y270-X270)*(1+$E$15)</f>
      </c>
      <c r="Z271" s="332">
        <v>266</v>
      </c>
      <c r="AA271" s="1"/>
      <c r="AB271" s="331">
        <f>AE271</f>
      </c>
      <c r="AC271" s="336">
        <f>+IF(AD271&lt;AC270,AD271,AC270)</f>
      </c>
      <c r="AD271" s="337">
        <f>+(AD270-AC270)*(1+$E$16)</f>
      </c>
      <c r="AE271" s="332">
        <v>266</v>
      </c>
    </row>
    <row x14ac:dyDescent="0.25" r="272" customHeight="1" ht="18.75">
      <c r="A272" s="1"/>
      <c r="B272" s="1"/>
      <c r="C272" s="169"/>
      <c r="D272" s="169"/>
      <c r="E272" s="168"/>
      <c r="F272" s="169"/>
      <c r="G272" s="170"/>
      <c r="H272" s="1"/>
      <c r="I272" s="1"/>
      <c r="J272" s="1"/>
      <c r="K272" s="1"/>
      <c r="L272" s="1"/>
      <c r="M272" s="331">
        <f>P272</f>
      </c>
      <c r="N272" s="335">
        <f>+IF(O272&lt;N271,O272,N271)</f>
      </c>
      <c r="O272" s="335">
        <f>+(O271-N271)*(1+$E$13)</f>
      </c>
      <c r="P272" s="332">
        <v>267</v>
      </c>
      <c r="Q272" s="1"/>
      <c r="R272" s="331">
        <f>U272</f>
      </c>
      <c r="S272" s="335">
        <f>+IF(T272&lt;S271,T272,S271)</f>
      </c>
      <c r="T272" s="335">
        <f>+(T271-S271)*(1+$E$14)</f>
      </c>
      <c r="U272" s="332">
        <v>267</v>
      </c>
      <c r="V272" s="1"/>
      <c r="W272" s="331">
        <f>Z272</f>
      </c>
      <c r="X272" s="336">
        <f>+IF(Y272&lt;X271,Y272,X271)</f>
      </c>
      <c r="Y272" s="337">
        <f>+(Y271-X271)*(1+$E$15)</f>
      </c>
      <c r="Z272" s="332">
        <v>267</v>
      </c>
      <c r="AA272" s="1"/>
      <c r="AB272" s="331">
        <f>AE272</f>
      </c>
      <c r="AC272" s="336">
        <f>+IF(AD272&lt;AC271,AD272,AC271)</f>
      </c>
      <c r="AD272" s="337">
        <f>+(AD271-AC271)*(1+$E$16)</f>
      </c>
      <c r="AE272" s="332">
        <v>267</v>
      </c>
    </row>
    <row x14ac:dyDescent="0.25" r="273" customHeight="1" ht="18.75">
      <c r="A273" s="1"/>
      <c r="B273" s="1"/>
      <c r="C273" s="169"/>
      <c r="D273" s="169"/>
      <c r="E273" s="168"/>
      <c r="F273" s="169"/>
      <c r="G273" s="170"/>
      <c r="H273" s="1"/>
      <c r="I273" s="1"/>
      <c r="J273" s="1"/>
      <c r="K273" s="1"/>
      <c r="L273" s="1"/>
      <c r="M273" s="331">
        <f>P273</f>
      </c>
      <c r="N273" s="335">
        <f>+IF(O273&lt;N272,O273,N272)</f>
      </c>
      <c r="O273" s="335">
        <f>+(O272-N272)*(1+$E$13)</f>
      </c>
      <c r="P273" s="332">
        <v>268</v>
      </c>
      <c r="Q273" s="1"/>
      <c r="R273" s="331">
        <f>U273</f>
      </c>
      <c r="S273" s="335">
        <f>+IF(T273&lt;S272,T273,S272)</f>
      </c>
      <c r="T273" s="335">
        <f>+(T272-S272)*(1+$E$14)</f>
      </c>
      <c r="U273" s="332">
        <v>268</v>
      </c>
      <c r="V273" s="1"/>
      <c r="W273" s="331">
        <f>Z273</f>
      </c>
      <c r="X273" s="336">
        <f>+IF(Y273&lt;X272,Y273,X272)</f>
      </c>
      <c r="Y273" s="337">
        <f>+(Y272-X272)*(1+$E$15)</f>
      </c>
      <c r="Z273" s="332">
        <v>268</v>
      </c>
      <c r="AA273" s="1"/>
      <c r="AB273" s="331">
        <f>AE273</f>
      </c>
      <c r="AC273" s="336">
        <f>+IF(AD273&lt;AC272,AD273,AC272)</f>
      </c>
      <c r="AD273" s="337">
        <f>+(AD272-AC272)*(1+$E$16)</f>
      </c>
      <c r="AE273" s="332">
        <v>268</v>
      </c>
    </row>
    <row x14ac:dyDescent="0.25" r="274" customHeight="1" ht="18.75">
      <c r="A274" s="1"/>
      <c r="B274" s="1"/>
      <c r="C274" s="169"/>
      <c r="D274" s="169"/>
      <c r="E274" s="168"/>
      <c r="F274" s="169"/>
      <c r="G274" s="170"/>
      <c r="H274" s="1"/>
      <c r="I274" s="1"/>
      <c r="J274" s="1"/>
      <c r="K274" s="1"/>
      <c r="L274" s="1"/>
      <c r="M274" s="331">
        <f>P274</f>
      </c>
      <c r="N274" s="335">
        <f>+IF(O274&lt;N273,O274,N273)</f>
      </c>
      <c r="O274" s="335">
        <f>+(O273-N273)*(1+$E$13)</f>
      </c>
      <c r="P274" s="332">
        <v>269</v>
      </c>
      <c r="Q274" s="1"/>
      <c r="R274" s="331">
        <f>U274</f>
      </c>
      <c r="S274" s="335">
        <f>+IF(T274&lt;S273,T274,S273)</f>
      </c>
      <c r="T274" s="335">
        <f>+(T273-S273)*(1+$E$14)</f>
      </c>
      <c r="U274" s="332">
        <v>269</v>
      </c>
      <c r="V274" s="1"/>
      <c r="W274" s="331">
        <f>Z274</f>
      </c>
      <c r="X274" s="336">
        <f>+IF(Y274&lt;X273,Y274,X273)</f>
      </c>
      <c r="Y274" s="337">
        <f>+(Y273-X273)*(1+$E$15)</f>
      </c>
      <c r="Z274" s="332">
        <v>269</v>
      </c>
      <c r="AA274" s="1"/>
      <c r="AB274" s="331">
        <f>AE274</f>
      </c>
      <c r="AC274" s="336">
        <f>+IF(AD274&lt;AC273,AD274,AC273)</f>
      </c>
      <c r="AD274" s="337">
        <f>+(AD273-AC273)*(1+$E$16)</f>
      </c>
      <c r="AE274" s="332">
        <v>269</v>
      </c>
    </row>
    <row x14ac:dyDescent="0.25" r="275" customHeight="1" ht="18.75">
      <c r="A275" s="1"/>
      <c r="B275" s="1"/>
      <c r="C275" s="169"/>
      <c r="D275" s="169"/>
      <c r="E275" s="168"/>
      <c r="F275" s="169"/>
      <c r="G275" s="170"/>
      <c r="H275" s="1"/>
      <c r="I275" s="1"/>
      <c r="J275" s="1"/>
      <c r="K275" s="1"/>
      <c r="L275" s="1"/>
      <c r="M275" s="331">
        <f>P275</f>
      </c>
      <c r="N275" s="335">
        <f>+IF(O275&lt;N274,O275,N274)</f>
      </c>
      <c r="O275" s="335">
        <f>+(O274-N274)*(1+$E$13)</f>
      </c>
      <c r="P275" s="332">
        <v>270</v>
      </c>
      <c r="Q275" s="1"/>
      <c r="R275" s="331">
        <f>U275</f>
      </c>
      <c r="S275" s="335">
        <f>+IF(T275&lt;S274,T275,S274)</f>
      </c>
      <c r="T275" s="335">
        <f>+(T274-S274)*(1+$E$14)</f>
      </c>
      <c r="U275" s="332">
        <v>270</v>
      </c>
      <c r="V275" s="1"/>
      <c r="W275" s="331">
        <f>Z275</f>
      </c>
      <c r="X275" s="336">
        <f>+IF(Y275&lt;X274,Y275,X274)</f>
      </c>
      <c r="Y275" s="337">
        <f>+(Y274-X274)*(1+$E$15)</f>
      </c>
      <c r="Z275" s="332">
        <v>270</v>
      </c>
      <c r="AA275" s="1"/>
      <c r="AB275" s="331">
        <f>AE275</f>
      </c>
      <c r="AC275" s="336">
        <f>+IF(AD275&lt;AC274,AD275,AC274)</f>
      </c>
      <c r="AD275" s="337">
        <f>+(AD274-AC274)*(1+$E$16)</f>
      </c>
      <c r="AE275" s="332">
        <v>270</v>
      </c>
    </row>
    <row x14ac:dyDescent="0.25" r="276" customHeight="1" ht="18.75">
      <c r="A276" s="1"/>
      <c r="B276" s="1"/>
      <c r="C276" s="169"/>
      <c r="D276" s="169"/>
      <c r="E276" s="168"/>
      <c r="F276" s="169"/>
      <c r="G276" s="170"/>
      <c r="H276" s="1"/>
      <c r="I276" s="1"/>
      <c r="J276" s="1"/>
      <c r="K276" s="1"/>
      <c r="L276" s="1"/>
      <c r="M276" s="331">
        <f>P276</f>
      </c>
      <c r="N276" s="335">
        <f>+IF(O276&lt;N275,O276,N275)</f>
      </c>
      <c r="O276" s="335">
        <f>+(O275-N275)*(1+$E$13)</f>
      </c>
      <c r="P276" s="332">
        <v>271</v>
      </c>
      <c r="Q276" s="1"/>
      <c r="R276" s="331">
        <f>U276</f>
      </c>
      <c r="S276" s="335">
        <f>+IF(T276&lt;S275,T276,S275)</f>
      </c>
      <c r="T276" s="335">
        <f>+(T275-S275)*(1+$E$14)</f>
      </c>
      <c r="U276" s="332">
        <v>271</v>
      </c>
      <c r="V276" s="1"/>
      <c r="W276" s="331">
        <f>Z276</f>
      </c>
      <c r="X276" s="336">
        <f>+IF(Y276&lt;X275,Y276,X275)</f>
      </c>
      <c r="Y276" s="337">
        <f>+(Y275-X275)*(1+$E$15)</f>
      </c>
      <c r="Z276" s="332">
        <v>271</v>
      </c>
      <c r="AA276" s="1"/>
      <c r="AB276" s="331">
        <f>AE276</f>
      </c>
      <c r="AC276" s="336">
        <f>+IF(AD276&lt;AC275,AD276,AC275)</f>
      </c>
      <c r="AD276" s="337">
        <f>+(AD275-AC275)*(1+$E$16)</f>
      </c>
      <c r="AE276" s="332">
        <v>271</v>
      </c>
    </row>
    <row x14ac:dyDescent="0.25" r="277" customHeight="1" ht="18.75">
      <c r="A277" s="1"/>
      <c r="B277" s="1"/>
      <c r="C277" s="169"/>
      <c r="D277" s="169"/>
      <c r="E277" s="168"/>
      <c r="F277" s="169"/>
      <c r="G277" s="170"/>
      <c r="H277" s="1"/>
      <c r="I277" s="1"/>
      <c r="J277" s="1"/>
      <c r="K277" s="1"/>
      <c r="L277" s="1"/>
      <c r="M277" s="331">
        <f>P277</f>
      </c>
      <c r="N277" s="335">
        <f>+IF(O277&lt;N276,O277,N276)</f>
      </c>
      <c r="O277" s="335">
        <f>+(O276-N276)*(1+$E$13)</f>
      </c>
      <c r="P277" s="332">
        <v>272</v>
      </c>
      <c r="Q277" s="1"/>
      <c r="R277" s="331">
        <f>U277</f>
      </c>
      <c r="S277" s="335">
        <f>+IF(T277&lt;S276,T277,S276)</f>
      </c>
      <c r="T277" s="335">
        <f>+(T276-S276)*(1+$E$14)</f>
      </c>
      <c r="U277" s="332">
        <v>272</v>
      </c>
      <c r="V277" s="1"/>
      <c r="W277" s="331">
        <f>Z277</f>
      </c>
      <c r="X277" s="336">
        <f>+IF(Y277&lt;X276,Y277,X276)</f>
      </c>
      <c r="Y277" s="337">
        <f>+(Y276-X276)*(1+$E$15)</f>
      </c>
      <c r="Z277" s="332">
        <v>272</v>
      </c>
      <c r="AA277" s="1"/>
      <c r="AB277" s="331">
        <f>AE277</f>
      </c>
      <c r="AC277" s="336">
        <f>+IF(AD277&lt;AC276,AD277,AC276)</f>
      </c>
      <c r="AD277" s="337">
        <f>+(AD276-AC276)*(1+$E$16)</f>
      </c>
      <c r="AE277" s="332">
        <v>272</v>
      </c>
    </row>
    <row x14ac:dyDescent="0.25" r="278" customHeight="1" ht="18.75">
      <c r="A278" s="1"/>
      <c r="B278" s="1"/>
      <c r="C278" s="169"/>
      <c r="D278" s="169"/>
      <c r="E278" s="168"/>
      <c r="F278" s="169"/>
      <c r="G278" s="170"/>
      <c r="H278" s="1"/>
      <c r="I278" s="1"/>
      <c r="J278" s="1"/>
      <c r="K278" s="1"/>
      <c r="L278" s="1"/>
      <c r="M278" s="331">
        <f>P278</f>
      </c>
      <c r="N278" s="335">
        <f>+IF(O278&lt;N277,O278,N277)</f>
      </c>
      <c r="O278" s="335">
        <f>+(O277-N277)*(1+$E$13)</f>
      </c>
      <c r="P278" s="332">
        <v>273</v>
      </c>
      <c r="Q278" s="1"/>
      <c r="R278" s="331">
        <f>U278</f>
      </c>
      <c r="S278" s="335">
        <f>+IF(T278&lt;S277,T278,S277)</f>
      </c>
      <c r="T278" s="335">
        <f>+(T277-S277)*(1+$E$14)</f>
      </c>
      <c r="U278" s="332">
        <v>273</v>
      </c>
      <c r="V278" s="1"/>
      <c r="W278" s="331">
        <f>Z278</f>
      </c>
      <c r="X278" s="336">
        <f>+IF(Y278&lt;X277,Y278,X277)</f>
      </c>
      <c r="Y278" s="337">
        <f>+(Y277-X277)*(1+$E$15)</f>
      </c>
      <c r="Z278" s="332">
        <v>273</v>
      </c>
      <c r="AA278" s="1"/>
      <c r="AB278" s="331">
        <f>AE278</f>
      </c>
      <c r="AC278" s="336">
        <f>+IF(AD278&lt;AC277,AD278,AC277)</f>
      </c>
      <c r="AD278" s="337">
        <f>+(AD277-AC277)*(1+$E$16)</f>
      </c>
      <c r="AE278" s="332">
        <v>273</v>
      </c>
    </row>
    <row x14ac:dyDescent="0.25" r="279" customHeight="1" ht="18.75">
      <c r="A279" s="1"/>
      <c r="B279" s="1"/>
      <c r="C279" s="169"/>
      <c r="D279" s="169"/>
      <c r="E279" s="168"/>
      <c r="F279" s="169"/>
      <c r="G279" s="170"/>
      <c r="H279" s="1"/>
      <c r="I279" s="1"/>
      <c r="J279" s="1"/>
      <c r="K279" s="1"/>
      <c r="L279" s="1"/>
      <c r="M279" s="331">
        <f>P279</f>
      </c>
      <c r="N279" s="335">
        <f>+IF(O279&lt;N278,O279,N278)</f>
      </c>
      <c r="O279" s="335">
        <f>+(O278-N278)*(1+$E$13)</f>
      </c>
      <c r="P279" s="332">
        <v>274</v>
      </c>
      <c r="Q279" s="1"/>
      <c r="R279" s="331">
        <f>U279</f>
      </c>
      <c r="S279" s="335">
        <f>+IF(T279&lt;S278,T279,S278)</f>
      </c>
      <c r="T279" s="335">
        <f>+(T278-S278)*(1+$E$14)</f>
      </c>
      <c r="U279" s="332">
        <v>274</v>
      </c>
      <c r="V279" s="1"/>
      <c r="W279" s="331">
        <f>Z279</f>
      </c>
      <c r="X279" s="336">
        <f>+IF(Y279&lt;X278,Y279,X278)</f>
      </c>
      <c r="Y279" s="337">
        <f>+(Y278-X278)*(1+$E$15)</f>
      </c>
      <c r="Z279" s="332">
        <v>274</v>
      </c>
      <c r="AA279" s="1"/>
      <c r="AB279" s="331">
        <f>AE279</f>
      </c>
      <c r="AC279" s="336">
        <f>+IF(AD279&lt;AC278,AD279,AC278)</f>
      </c>
      <c r="AD279" s="337">
        <f>+(AD278-AC278)*(1+$E$16)</f>
      </c>
      <c r="AE279" s="332">
        <v>274</v>
      </c>
    </row>
    <row x14ac:dyDescent="0.25" r="280" customHeight="1" ht="18.75">
      <c r="A280" s="1"/>
      <c r="B280" s="1"/>
      <c r="C280" s="169"/>
      <c r="D280" s="169"/>
      <c r="E280" s="168"/>
      <c r="F280" s="169"/>
      <c r="G280" s="170"/>
      <c r="H280" s="1"/>
      <c r="I280" s="1"/>
      <c r="J280" s="1"/>
      <c r="K280" s="1"/>
      <c r="L280" s="1"/>
      <c r="M280" s="331">
        <f>P280</f>
      </c>
      <c r="N280" s="335">
        <f>+IF(O280&lt;N279,O280,N279)</f>
      </c>
      <c r="O280" s="335">
        <f>+(O279-N279)*(1+$E$13)</f>
      </c>
      <c r="P280" s="332">
        <v>275</v>
      </c>
      <c r="Q280" s="1"/>
      <c r="R280" s="331">
        <f>U280</f>
      </c>
      <c r="S280" s="335">
        <f>+IF(T280&lt;S279,T280,S279)</f>
      </c>
      <c r="T280" s="335">
        <f>+(T279-S279)*(1+$E$14)</f>
      </c>
      <c r="U280" s="332">
        <v>275</v>
      </c>
      <c r="V280" s="1"/>
      <c r="W280" s="331">
        <f>Z280</f>
      </c>
      <c r="X280" s="336">
        <f>+IF(Y280&lt;X279,Y280,X279)</f>
      </c>
      <c r="Y280" s="337">
        <f>+(Y279-X279)*(1+$E$15)</f>
      </c>
      <c r="Z280" s="332">
        <v>275</v>
      </c>
      <c r="AA280" s="1"/>
      <c r="AB280" s="331">
        <f>AE280</f>
      </c>
      <c r="AC280" s="336">
        <f>+IF(AD280&lt;AC279,AD280,AC279)</f>
      </c>
      <c r="AD280" s="337">
        <f>+(AD279-AC279)*(1+$E$16)</f>
      </c>
      <c r="AE280" s="332">
        <v>275</v>
      </c>
    </row>
    <row x14ac:dyDescent="0.25" r="281" customHeight="1" ht="18.75">
      <c r="A281" s="1"/>
      <c r="B281" s="1"/>
      <c r="C281" s="169"/>
      <c r="D281" s="169"/>
      <c r="E281" s="168"/>
      <c r="F281" s="169"/>
      <c r="G281" s="170"/>
      <c r="H281" s="1"/>
      <c r="I281" s="1"/>
      <c r="J281" s="1"/>
      <c r="K281" s="1"/>
      <c r="L281" s="1"/>
      <c r="M281" s="331">
        <f>P281</f>
      </c>
      <c r="N281" s="335">
        <f>+IF(O281&lt;N280,O281,N280)</f>
      </c>
      <c r="O281" s="335">
        <f>+(O280-N280)*(1+$E$13)</f>
      </c>
      <c r="P281" s="332">
        <v>276</v>
      </c>
      <c r="Q281" s="1"/>
      <c r="R281" s="331">
        <f>U281</f>
      </c>
      <c r="S281" s="335">
        <f>+IF(T281&lt;S280,T281,S280)</f>
      </c>
      <c r="T281" s="335">
        <f>+(T280-S280)*(1+$E$14)</f>
      </c>
      <c r="U281" s="332">
        <v>276</v>
      </c>
      <c r="V281" s="1"/>
      <c r="W281" s="331">
        <f>Z281</f>
      </c>
      <c r="X281" s="336">
        <f>+IF(Y281&lt;X280,Y281,X280)</f>
      </c>
      <c r="Y281" s="337">
        <f>+(Y280-X280)*(1+$E$15)</f>
      </c>
      <c r="Z281" s="332">
        <v>276</v>
      </c>
      <c r="AA281" s="1"/>
      <c r="AB281" s="331">
        <f>AE281</f>
      </c>
      <c r="AC281" s="336">
        <f>+IF(AD281&lt;AC280,AD281,AC280)</f>
      </c>
      <c r="AD281" s="337">
        <f>+(AD280-AC280)*(1+$E$16)</f>
      </c>
      <c r="AE281" s="332">
        <v>276</v>
      </c>
    </row>
    <row x14ac:dyDescent="0.25" r="282" customHeight="1" ht="18.75">
      <c r="A282" s="1"/>
      <c r="B282" s="1"/>
      <c r="C282" s="169"/>
      <c r="D282" s="169"/>
      <c r="E282" s="168"/>
      <c r="F282" s="169"/>
      <c r="G282" s="170"/>
      <c r="H282" s="1"/>
      <c r="I282" s="1"/>
      <c r="J282" s="1"/>
      <c r="K282" s="1"/>
      <c r="L282" s="1"/>
      <c r="M282" s="331">
        <f>P282</f>
      </c>
      <c r="N282" s="335">
        <f>+IF(O282&lt;N281,O282,N281)</f>
      </c>
      <c r="O282" s="335">
        <f>+(O281-N281)*(1+$E$13)</f>
      </c>
      <c r="P282" s="332">
        <v>277</v>
      </c>
      <c r="Q282" s="1"/>
      <c r="R282" s="331">
        <f>U282</f>
      </c>
      <c r="S282" s="335">
        <f>+IF(T282&lt;S281,T282,S281)</f>
      </c>
      <c r="T282" s="335">
        <f>+(T281-S281)*(1+$E$14)</f>
      </c>
      <c r="U282" s="332">
        <v>277</v>
      </c>
      <c r="V282" s="1"/>
      <c r="W282" s="331">
        <f>Z282</f>
      </c>
      <c r="X282" s="336">
        <f>+IF(Y282&lt;X281,Y282,X281)</f>
      </c>
      <c r="Y282" s="337">
        <f>+(Y281-X281)*(1+$E$15)</f>
      </c>
      <c r="Z282" s="332">
        <v>277</v>
      </c>
      <c r="AA282" s="1"/>
      <c r="AB282" s="331">
        <f>AE282</f>
      </c>
      <c r="AC282" s="336">
        <f>+IF(AD282&lt;AC281,AD282,AC281)</f>
      </c>
      <c r="AD282" s="337">
        <f>+(AD281-AC281)*(1+$E$16)</f>
      </c>
      <c r="AE282" s="332">
        <v>277</v>
      </c>
    </row>
    <row x14ac:dyDescent="0.25" r="283" customHeight="1" ht="18.75">
      <c r="A283" s="1"/>
      <c r="B283" s="1"/>
      <c r="C283" s="169"/>
      <c r="D283" s="169"/>
      <c r="E283" s="168"/>
      <c r="F283" s="169"/>
      <c r="G283" s="170"/>
      <c r="H283" s="1"/>
      <c r="I283" s="1"/>
      <c r="J283" s="1"/>
      <c r="K283" s="1"/>
      <c r="L283" s="1"/>
      <c r="M283" s="331">
        <f>P283</f>
      </c>
      <c r="N283" s="335">
        <f>+IF(O283&lt;N282,O283,N282)</f>
      </c>
      <c r="O283" s="335">
        <f>+(O282-N282)*(1+$E$13)</f>
      </c>
      <c r="P283" s="332">
        <v>278</v>
      </c>
      <c r="Q283" s="1"/>
      <c r="R283" s="331">
        <f>U283</f>
      </c>
      <c r="S283" s="335">
        <f>+IF(T283&lt;S282,T283,S282)</f>
      </c>
      <c r="T283" s="335">
        <f>+(T282-S282)*(1+$E$14)</f>
      </c>
      <c r="U283" s="332">
        <v>278</v>
      </c>
      <c r="V283" s="1"/>
      <c r="W283" s="331">
        <f>Z283</f>
      </c>
      <c r="X283" s="336">
        <f>+IF(Y283&lt;X282,Y283,X282)</f>
      </c>
      <c r="Y283" s="337">
        <f>+(Y282-X282)*(1+$E$15)</f>
      </c>
      <c r="Z283" s="332">
        <v>278</v>
      </c>
      <c r="AA283" s="1"/>
      <c r="AB283" s="331">
        <f>AE283</f>
      </c>
      <c r="AC283" s="336">
        <f>+IF(AD283&lt;AC282,AD283,AC282)</f>
      </c>
      <c r="AD283" s="337">
        <f>+(AD282-AC282)*(1+$E$16)</f>
      </c>
      <c r="AE283" s="332">
        <v>278</v>
      </c>
    </row>
    <row x14ac:dyDescent="0.25" r="284" customHeight="1" ht="18.75">
      <c r="A284" s="1"/>
      <c r="B284" s="1"/>
      <c r="C284" s="169"/>
      <c r="D284" s="169"/>
      <c r="E284" s="168"/>
      <c r="F284" s="169"/>
      <c r="G284" s="170"/>
      <c r="H284" s="1"/>
      <c r="I284" s="1"/>
      <c r="J284" s="1"/>
      <c r="K284" s="1"/>
      <c r="L284" s="1"/>
      <c r="M284" s="331">
        <f>P284</f>
      </c>
      <c r="N284" s="335">
        <f>+IF(O284&lt;N283,O284,N283)</f>
      </c>
      <c r="O284" s="335">
        <f>+(O283-N283)*(1+$E$13)</f>
      </c>
      <c r="P284" s="332">
        <v>279</v>
      </c>
      <c r="Q284" s="1"/>
      <c r="R284" s="331">
        <f>U284</f>
      </c>
      <c r="S284" s="335">
        <f>+IF(T284&lt;S283,T284,S283)</f>
      </c>
      <c r="T284" s="335">
        <f>+(T283-S283)*(1+$E$14)</f>
      </c>
      <c r="U284" s="332">
        <v>279</v>
      </c>
      <c r="V284" s="1"/>
      <c r="W284" s="331">
        <f>Z284</f>
      </c>
      <c r="X284" s="336">
        <f>+IF(Y284&lt;X283,Y284,X283)</f>
      </c>
      <c r="Y284" s="337">
        <f>+(Y283-X283)*(1+$E$15)</f>
      </c>
      <c r="Z284" s="332">
        <v>279</v>
      </c>
      <c r="AA284" s="1"/>
      <c r="AB284" s="331">
        <f>AE284</f>
      </c>
      <c r="AC284" s="336">
        <f>+IF(AD284&lt;AC283,AD284,AC283)</f>
      </c>
      <c r="AD284" s="337">
        <f>+(AD283-AC283)*(1+$E$16)</f>
      </c>
      <c r="AE284" s="332">
        <v>279</v>
      </c>
    </row>
    <row x14ac:dyDescent="0.25" r="285" customHeight="1" ht="18.75">
      <c r="A285" s="1"/>
      <c r="B285" s="1"/>
      <c r="C285" s="169"/>
      <c r="D285" s="169"/>
      <c r="E285" s="168"/>
      <c r="F285" s="169"/>
      <c r="G285" s="170"/>
      <c r="H285" s="1"/>
      <c r="I285" s="1"/>
      <c r="J285" s="1"/>
      <c r="K285" s="1"/>
      <c r="L285" s="1"/>
      <c r="M285" s="331">
        <f>P285</f>
      </c>
      <c r="N285" s="335">
        <f>+IF(O285&lt;N284,O285,N284)</f>
      </c>
      <c r="O285" s="335">
        <f>+(O284-N284)*(1+$E$13)</f>
      </c>
      <c r="P285" s="332">
        <v>280</v>
      </c>
      <c r="Q285" s="1"/>
      <c r="R285" s="331">
        <f>U285</f>
      </c>
      <c r="S285" s="335">
        <f>+IF(T285&lt;S284,T285,S284)</f>
      </c>
      <c r="T285" s="335">
        <f>+(T284-S284)*(1+$E$14)</f>
      </c>
      <c r="U285" s="332">
        <v>280</v>
      </c>
      <c r="V285" s="1"/>
      <c r="W285" s="331">
        <f>Z285</f>
      </c>
      <c r="X285" s="336">
        <f>+IF(Y285&lt;X284,Y285,X284)</f>
      </c>
      <c r="Y285" s="337">
        <f>+(Y284-X284)*(1+$E$15)</f>
      </c>
      <c r="Z285" s="332">
        <v>280</v>
      </c>
      <c r="AA285" s="1"/>
      <c r="AB285" s="331">
        <f>AE285</f>
      </c>
      <c r="AC285" s="336">
        <f>+IF(AD285&lt;AC284,AD285,AC284)</f>
      </c>
      <c r="AD285" s="337">
        <f>+(AD284-AC284)*(1+$E$16)</f>
      </c>
      <c r="AE285" s="332">
        <v>280</v>
      </c>
    </row>
    <row x14ac:dyDescent="0.25" r="286" customHeight="1" ht="18.75">
      <c r="A286" s="1"/>
      <c r="B286" s="1"/>
      <c r="C286" s="169"/>
      <c r="D286" s="169"/>
      <c r="E286" s="168"/>
      <c r="F286" s="169"/>
      <c r="G286" s="170"/>
      <c r="H286" s="1"/>
      <c r="I286" s="1"/>
      <c r="J286" s="1"/>
      <c r="K286" s="1"/>
      <c r="L286" s="1"/>
      <c r="M286" s="331">
        <f>P286</f>
      </c>
      <c r="N286" s="335">
        <f>+IF(O286&lt;N285,O286,N285)</f>
      </c>
      <c r="O286" s="335">
        <f>+(O285-N285)*(1+$E$13)</f>
      </c>
      <c r="P286" s="332">
        <v>281</v>
      </c>
      <c r="Q286" s="1"/>
      <c r="R286" s="331">
        <f>U286</f>
      </c>
      <c r="S286" s="335">
        <f>+IF(T286&lt;S285,T286,S285)</f>
      </c>
      <c r="T286" s="335">
        <f>+(T285-S285)*(1+$E$14)</f>
      </c>
      <c r="U286" s="332">
        <v>281</v>
      </c>
      <c r="V286" s="1"/>
      <c r="W286" s="331">
        <f>Z286</f>
      </c>
      <c r="X286" s="336">
        <f>+IF(Y286&lt;X285,Y286,X285)</f>
      </c>
      <c r="Y286" s="337">
        <f>+(Y285-X285)*(1+$E$15)</f>
      </c>
      <c r="Z286" s="332">
        <v>281</v>
      </c>
      <c r="AA286" s="1"/>
      <c r="AB286" s="331">
        <f>AE286</f>
      </c>
      <c r="AC286" s="336">
        <f>+IF(AD286&lt;AC285,AD286,AC285)</f>
      </c>
      <c r="AD286" s="337">
        <f>+(AD285-AC285)*(1+$E$16)</f>
      </c>
      <c r="AE286" s="332">
        <v>281</v>
      </c>
    </row>
    <row x14ac:dyDescent="0.25" r="287" customHeight="1" ht="18.75">
      <c r="A287" s="1"/>
      <c r="B287" s="1"/>
      <c r="C287" s="169"/>
      <c r="D287" s="169"/>
      <c r="E287" s="168"/>
      <c r="F287" s="169"/>
      <c r="G287" s="170"/>
      <c r="H287" s="1"/>
      <c r="I287" s="1"/>
      <c r="J287" s="1"/>
      <c r="K287" s="1"/>
      <c r="L287" s="1"/>
      <c r="M287" s="331">
        <f>P287</f>
      </c>
      <c r="N287" s="335">
        <f>+IF(O287&lt;N286,O287,N286)</f>
      </c>
      <c r="O287" s="335">
        <f>+(O286-N286)*(1+$E$13)</f>
      </c>
      <c r="P287" s="332">
        <v>282</v>
      </c>
      <c r="Q287" s="1"/>
      <c r="R287" s="331">
        <f>U287</f>
      </c>
      <c r="S287" s="335">
        <f>+IF(T287&lt;S286,T287,S286)</f>
      </c>
      <c r="T287" s="335">
        <f>+(T286-S286)*(1+$E$14)</f>
      </c>
      <c r="U287" s="332">
        <v>282</v>
      </c>
      <c r="V287" s="1"/>
      <c r="W287" s="331">
        <f>Z287</f>
      </c>
      <c r="X287" s="336">
        <f>+IF(Y287&lt;X286,Y287,X286)</f>
      </c>
      <c r="Y287" s="337">
        <f>+(Y286-X286)*(1+$E$15)</f>
      </c>
      <c r="Z287" s="332">
        <v>282</v>
      </c>
      <c r="AA287" s="1"/>
      <c r="AB287" s="331">
        <f>AE287</f>
      </c>
      <c r="AC287" s="336">
        <f>+IF(AD287&lt;AC286,AD287,AC286)</f>
      </c>
      <c r="AD287" s="337">
        <f>+(AD286-AC286)*(1+$E$16)</f>
      </c>
      <c r="AE287" s="332">
        <v>282</v>
      </c>
    </row>
    <row x14ac:dyDescent="0.25" r="288" customHeight="1" ht="18.75">
      <c r="A288" s="1"/>
      <c r="B288" s="1"/>
      <c r="C288" s="169"/>
      <c r="D288" s="169"/>
      <c r="E288" s="168"/>
      <c r="F288" s="169"/>
      <c r="G288" s="170"/>
      <c r="H288" s="1"/>
      <c r="I288" s="1"/>
      <c r="J288" s="1"/>
      <c r="K288" s="1"/>
      <c r="L288" s="1"/>
      <c r="M288" s="331">
        <f>P288</f>
      </c>
      <c r="N288" s="335">
        <f>+IF(O288&lt;N287,O288,N287)</f>
      </c>
      <c r="O288" s="335">
        <f>+(O287-N287)*(1+$E$13)</f>
      </c>
      <c r="P288" s="332">
        <v>283</v>
      </c>
      <c r="Q288" s="1"/>
      <c r="R288" s="331">
        <f>U288</f>
      </c>
      <c r="S288" s="335">
        <f>+IF(T288&lt;S287,T288,S287)</f>
      </c>
      <c r="T288" s="335">
        <f>+(T287-S287)*(1+$E$14)</f>
      </c>
      <c r="U288" s="332">
        <v>283</v>
      </c>
      <c r="V288" s="1"/>
      <c r="W288" s="331">
        <f>Z288</f>
      </c>
      <c r="X288" s="336">
        <f>+IF(Y288&lt;X287,Y288,X287)</f>
      </c>
      <c r="Y288" s="337">
        <f>+(Y287-X287)*(1+$E$15)</f>
      </c>
      <c r="Z288" s="332">
        <v>283</v>
      </c>
      <c r="AA288" s="1"/>
      <c r="AB288" s="331">
        <f>AE288</f>
      </c>
      <c r="AC288" s="336">
        <f>+IF(AD288&lt;AC287,AD288,AC287)</f>
      </c>
      <c r="AD288" s="337">
        <f>+(AD287-AC287)*(1+$E$16)</f>
      </c>
      <c r="AE288" s="332">
        <v>283</v>
      </c>
    </row>
    <row x14ac:dyDescent="0.25" r="289" customHeight="1" ht="18.75">
      <c r="A289" s="1"/>
      <c r="B289" s="1"/>
      <c r="C289" s="169"/>
      <c r="D289" s="169"/>
      <c r="E289" s="168"/>
      <c r="F289" s="169"/>
      <c r="G289" s="170"/>
      <c r="H289" s="1"/>
      <c r="I289" s="1"/>
      <c r="J289" s="1"/>
      <c r="K289" s="1"/>
      <c r="L289" s="1"/>
      <c r="M289" s="331">
        <f>P289</f>
      </c>
      <c r="N289" s="335">
        <f>+IF(O289&lt;N288,O289,N288)</f>
      </c>
      <c r="O289" s="335">
        <f>+(O288-N288)*(1+$E$13)</f>
      </c>
      <c r="P289" s="332">
        <v>284</v>
      </c>
      <c r="Q289" s="1"/>
      <c r="R289" s="331">
        <f>U289</f>
      </c>
      <c r="S289" s="335">
        <f>+IF(T289&lt;S288,T289,S288)</f>
      </c>
      <c r="T289" s="335">
        <f>+(T288-S288)*(1+$E$14)</f>
      </c>
      <c r="U289" s="332">
        <v>284</v>
      </c>
      <c r="V289" s="1"/>
      <c r="W289" s="331">
        <f>Z289</f>
      </c>
      <c r="X289" s="336">
        <f>+IF(Y289&lt;X288,Y289,X288)</f>
      </c>
      <c r="Y289" s="337">
        <f>+(Y288-X288)*(1+$E$15)</f>
      </c>
      <c r="Z289" s="332">
        <v>284</v>
      </c>
      <c r="AA289" s="1"/>
      <c r="AB289" s="331">
        <f>AE289</f>
      </c>
      <c r="AC289" s="336">
        <f>+IF(AD289&lt;AC288,AD289,AC288)</f>
      </c>
      <c r="AD289" s="337">
        <f>+(AD288-AC288)*(1+$E$16)</f>
      </c>
      <c r="AE289" s="332">
        <v>284</v>
      </c>
    </row>
    <row x14ac:dyDescent="0.25" r="290" customHeight="1" ht="18.75">
      <c r="A290" s="1"/>
      <c r="B290" s="1"/>
      <c r="C290" s="169"/>
      <c r="D290" s="169"/>
      <c r="E290" s="168"/>
      <c r="F290" s="169"/>
      <c r="G290" s="170"/>
      <c r="H290" s="1"/>
      <c r="I290" s="1"/>
      <c r="J290" s="1"/>
      <c r="K290" s="1"/>
      <c r="L290" s="1"/>
      <c r="M290" s="331">
        <f>P290</f>
      </c>
      <c r="N290" s="335">
        <f>+IF(O290&lt;N289,O290,N289)</f>
      </c>
      <c r="O290" s="335">
        <f>+(O289-N289)*(1+$E$13)</f>
      </c>
      <c r="P290" s="332">
        <v>285</v>
      </c>
      <c r="Q290" s="1"/>
      <c r="R290" s="331">
        <f>U290</f>
      </c>
      <c r="S290" s="335">
        <f>+IF(T290&lt;S289,T290,S289)</f>
      </c>
      <c r="T290" s="335">
        <f>+(T289-S289)*(1+$E$14)</f>
      </c>
      <c r="U290" s="332">
        <v>285</v>
      </c>
      <c r="V290" s="1"/>
      <c r="W290" s="331">
        <f>Z290</f>
      </c>
      <c r="X290" s="336">
        <f>+IF(Y290&lt;X289,Y290,X289)</f>
      </c>
      <c r="Y290" s="337">
        <f>+(Y289-X289)*(1+$E$15)</f>
      </c>
      <c r="Z290" s="332">
        <v>285</v>
      </c>
      <c r="AA290" s="1"/>
      <c r="AB290" s="331">
        <f>AE290</f>
      </c>
      <c r="AC290" s="336">
        <f>+IF(AD290&lt;AC289,AD290,AC289)</f>
      </c>
      <c r="AD290" s="337">
        <f>+(AD289-AC289)*(1+$E$16)</f>
      </c>
      <c r="AE290" s="332">
        <v>285</v>
      </c>
    </row>
    <row x14ac:dyDescent="0.25" r="291" customHeight="1" ht="18.75">
      <c r="A291" s="1"/>
      <c r="B291" s="1"/>
      <c r="C291" s="169"/>
      <c r="D291" s="169"/>
      <c r="E291" s="168"/>
      <c r="F291" s="169"/>
      <c r="G291" s="170"/>
      <c r="H291" s="1"/>
      <c r="I291" s="1"/>
      <c r="J291" s="1"/>
      <c r="K291" s="1"/>
      <c r="L291" s="1"/>
      <c r="M291" s="331">
        <f>P291</f>
      </c>
      <c r="N291" s="335">
        <f>+IF(O291&lt;N290,O291,N290)</f>
      </c>
      <c r="O291" s="335">
        <f>+(O290-N290)*(1+$E$13)</f>
      </c>
      <c r="P291" s="332">
        <v>286</v>
      </c>
      <c r="Q291" s="1"/>
      <c r="R291" s="331">
        <f>U291</f>
      </c>
      <c r="S291" s="335">
        <f>+IF(T291&lt;S290,T291,S290)</f>
      </c>
      <c r="T291" s="335">
        <f>+(T290-S290)*(1+$E$14)</f>
      </c>
      <c r="U291" s="332">
        <v>286</v>
      </c>
      <c r="V291" s="1"/>
      <c r="W291" s="331">
        <f>Z291</f>
      </c>
      <c r="X291" s="336">
        <f>+IF(Y291&lt;X290,Y291,X290)</f>
      </c>
      <c r="Y291" s="337">
        <f>+(Y290-X290)*(1+$E$15)</f>
      </c>
      <c r="Z291" s="332">
        <v>286</v>
      </c>
      <c r="AA291" s="1"/>
      <c r="AB291" s="331">
        <f>AE291</f>
      </c>
      <c r="AC291" s="336">
        <f>+IF(AD291&lt;AC290,AD291,AC290)</f>
      </c>
      <c r="AD291" s="337">
        <f>+(AD290-AC290)*(1+$E$16)</f>
      </c>
      <c r="AE291" s="332">
        <v>286</v>
      </c>
    </row>
    <row x14ac:dyDescent="0.25" r="292" customHeight="1" ht="18.75">
      <c r="A292" s="1"/>
      <c r="B292" s="1"/>
      <c r="C292" s="169"/>
      <c r="D292" s="169"/>
      <c r="E292" s="168"/>
      <c r="F292" s="169"/>
      <c r="G292" s="170"/>
      <c r="H292" s="1"/>
      <c r="I292" s="1"/>
      <c r="J292" s="1"/>
      <c r="K292" s="1"/>
      <c r="L292" s="1"/>
      <c r="M292" s="331">
        <f>P292</f>
      </c>
      <c r="N292" s="335">
        <f>+IF(O292&lt;N291,O292,N291)</f>
      </c>
      <c r="O292" s="335">
        <f>+(O291-N291)*(1+$E$13)</f>
      </c>
      <c r="P292" s="332">
        <v>287</v>
      </c>
      <c r="Q292" s="1"/>
      <c r="R292" s="331">
        <f>U292</f>
      </c>
      <c r="S292" s="335">
        <f>+IF(T292&lt;S291,T292,S291)</f>
      </c>
      <c r="T292" s="335">
        <f>+(T291-S291)*(1+$E$14)</f>
      </c>
      <c r="U292" s="332">
        <v>287</v>
      </c>
      <c r="V292" s="1"/>
      <c r="W292" s="331">
        <f>Z292</f>
      </c>
      <c r="X292" s="336">
        <f>+IF(Y292&lt;X291,Y292,X291)</f>
      </c>
      <c r="Y292" s="337">
        <f>+(Y291-X291)*(1+$E$15)</f>
      </c>
      <c r="Z292" s="332">
        <v>287</v>
      </c>
      <c r="AA292" s="1"/>
      <c r="AB292" s="331">
        <f>AE292</f>
      </c>
      <c r="AC292" s="336">
        <f>+IF(AD292&lt;AC291,AD292,AC291)</f>
      </c>
      <c r="AD292" s="337">
        <f>+(AD291-AC291)*(1+$E$16)</f>
      </c>
      <c r="AE292" s="332">
        <v>287</v>
      </c>
    </row>
    <row x14ac:dyDescent="0.25" r="293" customHeight="1" ht="18.75">
      <c r="A293" s="1"/>
      <c r="B293" s="1"/>
      <c r="C293" s="169"/>
      <c r="D293" s="169"/>
      <c r="E293" s="168"/>
      <c r="F293" s="169"/>
      <c r="G293" s="170"/>
      <c r="H293" s="1"/>
      <c r="I293" s="1"/>
      <c r="J293" s="1"/>
      <c r="K293" s="1"/>
      <c r="L293" s="1"/>
      <c r="M293" s="331">
        <f>P293</f>
      </c>
      <c r="N293" s="335">
        <f>+IF(O293&lt;N292,O293,N292)</f>
      </c>
      <c r="O293" s="335">
        <f>+(O292-N292)*(1+$E$13)</f>
      </c>
      <c r="P293" s="332">
        <v>288</v>
      </c>
      <c r="Q293" s="1"/>
      <c r="R293" s="331">
        <f>U293</f>
      </c>
      <c r="S293" s="335">
        <f>+IF(T293&lt;S292,T293,S292)</f>
      </c>
      <c r="T293" s="335">
        <f>+(T292-S292)*(1+$E$14)</f>
      </c>
      <c r="U293" s="332">
        <v>288</v>
      </c>
      <c r="V293" s="1"/>
      <c r="W293" s="331">
        <f>Z293</f>
      </c>
      <c r="X293" s="336">
        <f>+IF(Y293&lt;X292,Y293,X292)</f>
      </c>
      <c r="Y293" s="337">
        <f>+(Y292-X292)*(1+$E$15)</f>
      </c>
      <c r="Z293" s="332">
        <v>288</v>
      </c>
      <c r="AA293" s="1"/>
      <c r="AB293" s="331">
        <f>AE293</f>
      </c>
      <c r="AC293" s="336">
        <f>+IF(AD293&lt;AC292,AD293,AC292)</f>
      </c>
      <c r="AD293" s="337">
        <f>+(AD292-AC292)*(1+$E$16)</f>
      </c>
      <c r="AE293" s="332">
        <v>288</v>
      </c>
    </row>
    <row x14ac:dyDescent="0.25" r="294" customHeight="1" ht="18.75">
      <c r="A294" s="1"/>
      <c r="B294" s="1"/>
      <c r="C294" s="169"/>
      <c r="D294" s="169"/>
      <c r="E294" s="168"/>
      <c r="F294" s="169"/>
      <c r="G294" s="170"/>
      <c r="H294" s="1"/>
      <c r="I294" s="1"/>
      <c r="J294" s="1"/>
      <c r="K294" s="1"/>
      <c r="L294" s="1"/>
      <c r="M294" s="331">
        <f>P294</f>
      </c>
      <c r="N294" s="335">
        <f>+IF(O294&lt;N293,O294,N293)</f>
      </c>
      <c r="O294" s="335">
        <f>+(O293-N293)*(1+$E$13)</f>
      </c>
      <c r="P294" s="332">
        <v>289</v>
      </c>
      <c r="Q294" s="1"/>
      <c r="R294" s="331">
        <f>U294</f>
      </c>
      <c r="S294" s="335">
        <f>+IF(T294&lt;S293,T294,S293)</f>
      </c>
      <c r="T294" s="335">
        <f>+(T293-S293)*(1+$E$14)</f>
      </c>
      <c r="U294" s="332">
        <v>289</v>
      </c>
      <c r="V294" s="1"/>
      <c r="W294" s="331">
        <f>Z294</f>
      </c>
      <c r="X294" s="336">
        <f>+IF(Y294&lt;X293,Y294,X293)</f>
      </c>
      <c r="Y294" s="337">
        <f>+(Y293-X293)*(1+$E$15)</f>
      </c>
      <c r="Z294" s="332">
        <v>289</v>
      </c>
      <c r="AA294" s="1"/>
      <c r="AB294" s="331">
        <f>AE294</f>
      </c>
      <c r="AC294" s="336">
        <f>+IF(AD294&lt;AC293,AD294,AC293)</f>
      </c>
      <c r="AD294" s="337">
        <f>+(AD293-AC293)*(1+$E$16)</f>
      </c>
      <c r="AE294" s="332">
        <v>289</v>
      </c>
    </row>
    <row x14ac:dyDescent="0.25" r="295" customHeight="1" ht="18.75">
      <c r="A295" s="1"/>
      <c r="B295" s="1"/>
      <c r="C295" s="169"/>
      <c r="D295" s="169"/>
      <c r="E295" s="168"/>
      <c r="F295" s="169"/>
      <c r="G295" s="170"/>
      <c r="H295" s="1"/>
      <c r="I295" s="1"/>
      <c r="J295" s="1"/>
      <c r="K295" s="1"/>
      <c r="L295" s="1"/>
      <c r="M295" s="331">
        <f>P295</f>
      </c>
      <c r="N295" s="335">
        <f>+IF(O295&lt;N294,O295,N294)</f>
      </c>
      <c r="O295" s="335">
        <f>+(O294-N294)*(1+$E$13)</f>
      </c>
      <c r="P295" s="332">
        <v>290</v>
      </c>
      <c r="Q295" s="1"/>
      <c r="R295" s="331">
        <f>U295</f>
      </c>
      <c r="S295" s="335">
        <f>+IF(T295&lt;S294,T295,S294)</f>
      </c>
      <c r="T295" s="335">
        <f>+(T294-S294)*(1+$E$14)</f>
      </c>
      <c r="U295" s="332">
        <v>290</v>
      </c>
      <c r="V295" s="1"/>
      <c r="W295" s="331">
        <f>Z295</f>
      </c>
      <c r="X295" s="336">
        <f>+IF(Y295&lt;X294,Y295,X294)</f>
      </c>
      <c r="Y295" s="337">
        <f>+(Y294-X294)*(1+$E$15)</f>
      </c>
      <c r="Z295" s="332">
        <v>290</v>
      </c>
      <c r="AA295" s="1"/>
      <c r="AB295" s="331">
        <f>AE295</f>
      </c>
      <c r="AC295" s="336">
        <f>+IF(AD295&lt;AC294,AD295,AC294)</f>
      </c>
      <c r="AD295" s="337">
        <f>+(AD294-AC294)*(1+$E$16)</f>
      </c>
      <c r="AE295" s="332">
        <v>290</v>
      </c>
    </row>
    <row x14ac:dyDescent="0.25" r="296" customHeight="1" ht="18.75">
      <c r="A296" s="1"/>
      <c r="B296" s="1"/>
      <c r="C296" s="169"/>
      <c r="D296" s="169"/>
      <c r="E296" s="168"/>
      <c r="F296" s="169"/>
      <c r="G296" s="170"/>
      <c r="H296" s="1"/>
      <c r="I296" s="1"/>
      <c r="J296" s="1"/>
      <c r="K296" s="1"/>
      <c r="L296" s="1"/>
      <c r="M296" s="331">
        <f>P296</f>
      </c>
      <c r="N296" s="335">
        <f>+IF(O296&lt;N295,O296,N295)</f>
      </c>
      <c r="O296" s="335">
        <f>+(O295-N295)*(1+$E$13)</f>
      </c>
      <c r="P296" s="332">
        <v>291</v>
      </c>
      <c r="Q296" s="1"/>
      <c r="R296" s="331">
        <f>U296</f>
      </c>
      <c r="S296" s="335">
        <f>+IF(T296&lt;S295,T296,S295)</f>
      </c>
      <c r="T296" s="335">
        <f>+(T295-S295)*(1+$E$14)</f>
      </c>
      <c r="U296" s="332">
        <v>291</v>
      </c>
      <c r="V296" s="1"/>
      <c r="W296" s="331">
        <f>Z296</f>
      </c>
      <c r="X296" s="336">
        <f>+IF(Y296&lt;X295,Y296,X295)</f>
      </c>
      <c r="Y296" s="337">
        <f>+(Y295-X295)*(1+$E$15)</f>
      </c>
      <c r="Z296" s="332">
        <v>291</v>
      </c>
      <c r="AA296" s="1"/>
      <c r="AB296" s="331">
        <f>AE296</f>
      </c>
      <c r="AC296" s="336">
        <f>+IF(AD296&lt;AC295,AD296,AC295)</f>
      </c>
      <c r="AD296" s="337">
        <f>+(AD295-AC295)*(1+$E$16)</f>
      </c>
      <c r="AE296" s="332">
        <v>291</v>
      </c>
    </row>
    <row x14ac:dyDescent="0.25" r="297" customHeight="1" ht="18.75">
      <c r="A297" s="1"/>
      <c r="B297" s="1"/>
      <c r="C297" s="169"/>
      <c r="D297" s="169"/>
      <c r="E297" s="168"/>
      <c r="F297" s="169"/>
      <c r="G297" s="170"/>
      <c r="H297" s="1"/>
      <c r="I297" s="1"/>
      <c r="J297" s="1"/>
      <c r="K297" s="1"/>
      <c r="L297" s="1"/>
      <c r="M297" s="331">
        <f>P297</f>
      </c>
      <c r="N297" s="335">
        <f>+IF(O297&lt;N296,O297,N296)</f>
      </c>
      <c r="O297" s="335">
        <f>+(O296-N296)*(1+$E$13)</f>
      </c>
      <c r="P297" s="332">
        <v>292</v>
      </c>
      <c r="Q297" s="1"/>
      <c r="R297" s="331">
        <f>U297</f>
      </c>
      <c r="S297" s="335">
        <f>+IF(T297&lt;S296,T297,S296)</f>
      </c>
      <c r="T297" s="335">
        <f>+(T296-S296)*(1+$E$14)</f>
      </c>
      <c r="U297" s="332">
        <v>292</v>
      </c>
      <c r="V297" s="1"/>
      <c r="W297" s="331">
        <f>Z297</f>
      </c>
      <c r="X297" s="336">
        <f>+IF(Y297&lt;X296,Y297,X296)</f>
      </c>
      <c r="Y297" s="337">
        <f>+(Y296-X296)*(1+$E$15)</f>
      </c>
      <c r="Z297" s="332">
        <v>292</v>
      </c>
      <c r="AA297" s="1"/>
      <c r="AB297" s="331">
        <f>AE297</f>
      </c>
      <c r="AC297" s="336">
        <f>+IF(AD297&lt;AC296,AD297,AC296)</f>
      </c>
      <c r="AD297" s="337">
        <f>+(AD296-AC296)*(1+$E$16)</f>
      </c>
      <c r="AE297" s="332">
        <v>292</v>
      </c>
    </row>
    <row x14ac:dyDescent="0.25" r="298" customHeight="1" ht="18.75">
      <c r="A298" s="1"/>
      <c r="B298" s="1"/>
      <c r="C298" s="169"/>
      <c r="D298" s="169"/>
      <c r="E298" s="168"/>
      <c r="F298" s="169"/>
      <c r="G298" s="170"/>
      <c r="H298" s="1"/>
      <c r="I298" s="1"/>
      <c r="J298" s="1"/>
      <c r="K298" s="1"/>
      <c r="L298" s="1"/>
      <c r="M298" s="331">
        <f>P298</f>
      </c>
      <c r="N298" s="335">
        <f>+IF(O298&lt;N297,O298,N297)</f>
      </c>
      <c r="O298" s="335">
        <f>+(O297-N297)*(1+$E$13)</f>
      </c>
      <c r="P298" s="332">
        <v>293</v>
      </c>
      <c r="Q298" s="1"/>
      <c r="R298" s="331">
        <f>U298</f>
      </c>
      <c r="S298" s="335">
        <f>+IF(T298&lt;S297,T298,S297)</f>
      </c>
      <c r="T298" s="335">
        <f>+(T297-S297)*(1+$E$14)</f>
      </c>
      <c r="U298" s="332">
        <v>293</v>
      </c>
      <c r="V298" s="1"/>
      <c r="W298" s="331">
        <f>Z298</f>
      </c>
      <c r="X298" s="336">
        <f>+IF(Y298&lt;X297,Y298,X297)</f>
      </c>
      <c r="Y298" s="337">
        <f>+(Y297-X297)*(1+$E$15)</f>
      </c>
      <c r="Z298" s="332">
        <v>293</v>
      </c>
      <c r="AA298" s="1"/>
      <c r="AB298" s="331">
        <f>AE298</f>
      </c>
      <c r="AC298" s="336">
        <f>+IF(AD298&lt;AC297,AD298,AC297)</f>
      </c>
      <c r="AD298" s="337">
        <f>+(AD297-AC297)*(1+$E$16)</f>
      </c>
      <c r="AE298" s="332">
        <v>293</v>
      </c>
    </row>
    <row x14ac:dyDescent="0.25" r="299" customHeight="1" ht="18.75">
      <c r="A299" s="1"/>
      <c r="B299" s="1"/>
      <c r="C299" s="169"/>
      <c r="D299" s="169"/>
      <c r="E299" s="168"/>
      <c r="F299" s="169"/>
      <c r="G299" s="170"/>
      <c r="H299" s="1"/>
      <c r="I299" s="1"/>
      <c r="J299" s="1"/>
      <c r="K299" s="1"/>
      <c r="L299" s="1"/>
      <c r="M299" s="331">
        <f>P299</f>
      </c>
      <c r="N299" s="335">
        <f>+IF(O299&lt;N298,O299,N298)</f>
      </c>
      <c r="O299" s="335">
        <f>+(O298-N298)*(1+$E$13)</f>
      </c>
      <c r="P299" s="332">
        <v>294</v>
      </c>
      <c r="Q299" s="1"/>
      <c r="R299" s="331">
        <f>U299</f>
      </c>
      <c r="S299" s="335">
        <f>+IF(T299&lt;S298,T299,S298)</f>
      </c>
      <c r="T299" s="335">
        <f>+(T298-S298)*(1+$E$14)</f>
      </c>
      <c r="U299" s="332">
        <v>294</v>
      </c>
      <c r="V299" s="1"/>
      <c r="W299" s="331">
        <f>Z299</f>
      </c>
      <c r="X299" s="336">
        <f>+IF(Y299&lt;X298,Y299,X298)</f>
      </c>
      <c r="Y299" s="337">
        <f>+(Y298-X298)*(1+$E$15)</f>
      </c>
      <c r="Z299" s="332">
        <v>294</v>
      </c>
      <c r="AA299" s="1"/>
      <c r="AB299" s="331">
        <f>AE299</f>
      </c>
      <c r="AC299" s="336">
        <f>+IF(AD299&lt;AC298,AD299,AC298)</f>
      </c>
      <c r="AD299" s="337">
        <f>+(AD298-AC298)*(1+$E$16)</f>
      </c>
      <c r="AE299" s="332">
        <v>294</v>
      </c>
    </row>
    <row x14ac:dyDescent="0.25" r="300" customHeight="1" ht="18.75">
      <c r="A300" s="1"/>
      <c r="B300" s="1"/>
      <c r="C300" s="169"/>
      <c r="D300" s="169"/>
      <c r="E300" s="168"/>
      <c r="F300" s="169"/>
      <c r="G300" s="170"/>
      <c r="H300" s="1"/>
      <c r="I300" s="1"/>
      <c r="J300" s="1"/>
      <c r="K300" s="1"/>
      <c r="L300" s="1"/>
      <c r="M300" s="331">
        <f>P300</f>
      </c>
      <c r="N300" s="335">
        <f>+IF(O300&lt;N299,O300,N299)</f>
      </c>
      <c r="O300" s="335">
        <f>+(O299-N299)*(1+$E$13)</f>
      </c>
      <c r="P300" s="332">
        <v>295</v>
      </c>
      <c r="Q300" s="1"/>
      <c r="R300" s="331">
        <f>U300</f>
      </c>
      <c r="S300" s="335">
        <f>+IF(T300&lt;S299,T300,S299)</f>
      </c>
      <c r="T300" s="335">
        <f>+(T299-S299)*(1+$E$14)</f>
      </c>
      <c r="U300" s="332">
        <v>295</v>
      </c>
      <c r="V300" s="1"/>
      <c r="W300" s="331">
        <f>Z300</f>
      </c>
      <c r="X300" s="336">
        <f>+IF(Y300&lt;X299,Y300,X299)</f>
      </c>
      <c r="Y300" s="337">
        <f>+(Y299-X299)*(1+$E$15)</f>
      </c>
      <c r="Z300" s="332">
        <v>295</v>
      </c>
      <c r="AA300" s="1"/>
      <c r="AB300" s="331">
        <f>AE300</f>
      </c>
      <c r="AC300" s="336">
        <f>+IF(AD300&lt;AC299,AD300,AC299)</f>
      </c>
      <c r="AD300" s="337">
        <f>+(AD299-AC299)*(1+$E$16)</f>
      </c>
      <c r="AE300" s="332">
        <v>295</v>
      </c>
    </row>
    <row x14ac:dyDescent="0.25" r="301" customHeight="1" ht="18.75">
      <c r="A301" s="1"/>
      <c r="B301" s="1"/>
      <c r="C301" s="169"/>
      <c r="D301" s="169"/>
      <c r="E301" s="168"/>
      <c r="F301" s="169"/>
      <c r="G301" s="170"/>
      <c r="H301" s="1"/>
      <c r="I301" s="1"/>
      <c r="J301" s="1"/>
      <c r="K301" s="1"/>
      <c r="L301" s="1"/>
      <c r="M301" s="331">
        <f>P301</f>
      </c>
      <c r="N301" s="335">
        <f>+IF(O301&lt;N300,O301,N300)</f>
      </c>
      <c r="O301" s="335">
        <f>+(O300-N300)*(1+$E$13)</f>
      </c>
      <c r="P301" s="332">
        <v>296</v>
      </c>
      <c r="Q301" s="1"/>
      <c r="R301" s="331">
        <f>U301</f>
      </c>
      <c r="S301" s="335">
        <f>+IF(T301&lt;S300,T301,S300)</f>
      </c>
      <c r="T301" s="335">
        <f>+(T300-S300)*(1+$E$14)</f>
      </c>
      <c r="U301" s="332">
        <v>296</v>
      </c>
      <c r="V301" s="1"/>
      <c r="W301" s="331">
        <f>Z301</f>
      </c>
      <c r="X301" s="336">
        <f>+IF(Y301&lt;X300,Y301,X300)</f>
      </c>
      <c r="Y301" s="337">
        <f>+(Y300-X300)*(1+$E$15)</f>
      </c>
      <c r="Z301" s="332">
        <v>296</v>
      </c>
      <c r="AA301" s="1"/>
      <c r="AB301" s="331">
        <f>AE301</f>
      </c>
      <c r="AC301" s="336">
        <f>+IF(AD301&lt;AC300,AD301,AC300)</f>
      </c>
      <c r="AD301" s="337">
        <f>+(AD300-AC300)*(1+$E$16)</f>
      </c>
      <c r="AE301" s="332">
        <v>296</v>
      </c>
    </row>
    <row x14ac:dyDescent="0.25" r="302" customHeight="1" ht="18.75">
      <c r="A302" s="1"/>
      <c r="B302" s="1"/>
      <c r="C302" s="169"/>
      <c r="D302" s="169"/>
      <c r="E302" s="168"/>
      <c r="F302" s="169"/>
      <c r="G302" s="170"/>
      <c r="H302" s="1"/>
      <c r="I302" s="1"/>
      <c r="J302" s="1"/>
      <c r="K302" s="1"/>
      <c r="L302" s="1"/>
      <c r="M302" s="331">
        <f>P302</f>
      </c>
      <c r="N302" s="335">
        <f>+IF(O302&lt;N301,O302,N301)</f>
      </c>
      <c r="O302" s="335">
        <f>+(O301-N301)*(1+$E$13)</f>
      </c>
      <c r="P302" s="332">
        <v>297</v>
      </c>
      <c r="Q302" s="1"/>
      <c r="R302" s="331">
        <f>U302</f>
      </c>
      <c r="S302" s="335">
        <f>+IF(T302&lt;S301,T302,S301)</f>
      </c>
      <c r="T302" s="335">
        <f>+(T301-S301)*(1+$E$14)</f>
      </c>
      <c r="U302" s="332">
        <v>297</v>
      </c>
      <c r="V302" s="1"/>
      <c r="W302" s="331">
        <f>Z302</f>
      </c>
      <c r="X302" s="336">
        <f>+IF(Y302&lt;X301,Y302,X301)</f>
      </c>
      <c r="Y302" s="337">
        <f>+(Y301-X301)*(1+$E$15)</f>
      </c>
      <c r="Z302" s="332">
        <v>297</v>
      </c>
      <c r="AA302" s="1"/>
      <c r="AB302" s="331">
        <f>AE302</f>
      </c>
      <c r="AC302" s="336">
        <f>+IF(AD302&lt;AC301,AD302,AC301)</f>
      </c>
      <c r="AD302" s="337">
        <f>+(AD301-AC301)*(1+$E$16)</f>
      </c>
      <c r="AE302" s="332">
        <v>297</v>
      </c>
    </row>
    <row x14ac:dyDescent="0.25" r="303" customHeight="1" ht="18.75">
      <c r="A303" s="1"/>
      <c r="B303" s="1"/>
      <c r="C303" s="169"/>
      <c r="D303" s="169"/>
      <c r="E303" s="168"/>
      <c r="F303" s="169"/>
      <c r="G303" s="170"/>
      <c r="H303" s="1"/>
      <c r="I303" s="1"/>
      <c r="J303" s="1"/>
      <c r="K303" s="1"/>
      <c r="L303" s="1"/>
      <c r="M303" s="331">
        <f>P303</f>
      </c>
      <c r="N303" s="335">
        <f>+IF(O303&lt;N302,O303,N302)</f>
      </c>
      <c r="O303" s="335">
        <f>+(O302-N302)*(1+$E$13)</f>
      </c>
      <c r="P303" s="332">
        <v>298</v>
      </c>
      <c r="Q303" s="1"/>
      <c r="R303" s="331">
        <f>U303</f>
      </c>
      <c r="S303" s="335">
        <f>+IF(T303&lt;S302,T303,S302)</f>
      </c>
      <c r="T303" s="335">
        <f>+(T302-S302)*(1+$E$14)</f>
      </c>
      <c r="U303" s="332">
        <v>298</v>
      </c>
      <c r="V303" s="1"/>
      <c r="W303" s="331">
        <f>Z303</f>
      </c>
      <c r="X303" s="336">
        <f>+IF(Y303&lt;X302,Y303,X302)</f>
      </c>
      <c r="Y303" s="337">
        <f>+(Y302-X302)*(1+$E$15)</f>
      </c>
      <c r="Z303" s="332">
        <v>298</v>
      </c>
      <c r="AA303" s="1"/>
      <c r="AB303" s="331">
        <f>AE303</f>
      </c>
      <c r="AC303" s="336">
        <f>+IF(AD303&lt;AC302,AD303,AC302)</f>
      </c>
      <c r="AD303" s="337">
        <f>+(AD302-AC302)*(1+$E$16)</f>
      </c>
      <c r="AE303" s="332">
        <v>298</v>
      </c>
    </row>
    <row x14ac:dyDescent="0.25" r="304" customHeight="1" ht="18.75">
      <c r="A304" s="1"/>
      <c r="B304" s="1"/>
      <c r="C304" s="169"/>
      <c r="D304" s="169"/>
      <c r="E304" s="168"/>
      <c r="F304" s="169"/>
      <c r="G304" s="170"/>
      <c r="H304" s="1"/>
      <c r="I304" s="1"/>
      <c r="J304" s="1"/>
      <c r="K304" s="1"/>
      <c r="L304" s="1"/>
      <c r="M304" s="331">
        <f>P304</f>
      </c>
      <c r="N304" s="335">
        <f>+IF(O304&lt;N303,O304,N303)</f>
      </c>
      <c r="O304" s="335">
        <f>+(O303-N303)*(1+$E$13)</f>
      </c>
      <c r="P304" s="332">
        <v>299</v>
      </c>
      <c r="Q304" s="1"/>
      <c r="R304" s="331">
        <f>U304</f>
      </c>
      <c r="S304" s="335">
        <f>+IF(T304&lt;S303,T304,S303)</f>
      </c>
      <c r="T304" s="335">
        <f>+(T303-S303)*(1+$E$14)</f>
      </c>
      <c r="U304" s="332">
        <v>299</v>
      </c>
      <c r="V304" s="1"/>
      <c r="W304" s="331">
        <f>Z304</f>
      </c>
      <c r="X304" s="336">
        <f>+IF(Y304&lt;X303,Y304,X303)</f>
      </c>
      <c r="Y304" s="337">
        <f>+(Y303-X303)*(1+$E$15)</f>
      </c>
      <c r="Z304" s="332">
        <v>299</v>
      </c>
      <c r="AA304" s="1"/>
      <c r="AB304" s="331">
        <f>AE304</f>
      </c>
      <c r="AC304" s="336">
        <f>+IF(AD304&lt;AC303,AD304,AC303)</f>
      </c>
      <c r="AD304" s="337">
        <f>+(AD303-AC303)*(1+$E$16)</f>
      </c>
      <c r="AE304" s="332">
        <v>299</v>
      </c>
    </row>
    <row x14ac:dyDescent="0.25" r="305" customHeight="1" ht="18.75">
      <c r="A305" s="1"/>
      <c r="B305" s="1"/>
      <c r="C305" s="169"/>
      <c r="D305" s="169"/>
      <c r="E305" s="168"/>
      <c r="F305" s="169"/>
      <c r="G305" s="170"/>
      <c r="H305" s="1"/>
      <c r="I305" s="1"/>
      <c r="J305" s="1"/>
      <c r="K305" s="1"/>
      <c r="L305" s="1"/>
      <c r="M305" s="331">
        <f>P305</f>
      </c>
      <c r="N305" s="335">
        <f>+IF(O305&lt;N304,O305,N304)</f>
      </c>
      <c r="O305" s="335">
        <f>+(O304-N304)*(1+$E$13)</f>
      </c>
      <c r="P305" s="332">
        <v>300</v>
      </c>
      <c r="Q305" s="1"/>
      <c r="R305" s="331">
        <f>U305</f>
      </c>
      <c r="S305" s="335">
        <f>+IF(T305&lt;S304,T305,S304)</f>
      </c>
      <c r="T305" s="335">
        <f>+(T304-S304)*(1+$E$14)</f>
      </c>
      <c r="U305" s="332">
        <v>300</v>
      </c>
      <c r="V305" s="1"/>
      <c r="W305" s="331">
        <f>Z305</f>
      </c>
      <c r="X305" s="336">
        <f>+IF(Y305&lt;X304,Y305,X304)</f>
      </c>
      <c r="Y305" s="337">
        <f>+(Y304-X304)*(1+$E$15)</f>
      </c>
      <c r="Z305" s="332">
        <v>300</v>
      </c>
      <c r="AA305" s="1"/>
      <c r="AB305" s="331">
        <f>AE305</f>
      </c>
      <c r="AC305" s="336">
        <f>+IF(AD305&lt;AC304,AD305,AC304)</f>
      </c>
      <c r="AD305" s="337">
        <f>+(AD304-AC304)*(1+$E$16)</f>
      </c>
      <c r="AE305" s="332">
        <v>300</v>
      </c>
    </row>
    <row x14ac:dyDescent="0.25" r="306" customHeight="1" ht="18.75">
      <c r="A306" s="1"/>
      <c r="B306" s="1"/>
      <c r="C306" s="169"/>
      <c r="D306" s="169"/>
      <c r="E306" s="168"/>
      <c r="F306" s="169"/>
      <c r="G306" s="170"/>
      <c r="H306" s="1"/>
      <c r="I306" s="1"/>
      <c r="J306" s="1"/>
      <c r="K306" s="1"/>
      <c r="L306" s="1"/>
      <c r="M306" s="331">
        <f>P306</f>
      </c>
      <c r="N306" s="335">
        <f>+IF(O306&lt;N305,O306,N305)</f>
      </c>
      <c r="O306" s="335">
        <f>+(O305-N305)*(1+$E$13)</f>
      </c>
      <c r="P306" s="332">
        <v>301</v>
      </c>
      <c r="Q306" s="1"/>
      <c r="R306" s="331">
        <f>U306</f>
      </c>
      <c r="S306" s="335">
        <f>+IF(T306&lt;S305,T306,S305)</f>
      </c>
      <c r="T306" s="335">
        <f>+(T305-S305)*(1+$E$14)</f>
      </c>
      <c r="U306" s="332">
        <v>301</v>
      </c>
      <c r="V306" s="1"/>
      <c r="W306" s="331">
        <f>Z306</f>
      </c>
      <c r="X306" s="336">
        <f>+IF(Y306&lt;X305,Y306,X305)</f>
      </c>
      <c r="Y306" s="337">
        <f>+(Y305-X305)*(1+$E$15)</f>
      </c>
      <c r="Z306" s="332">
        <v>301</v>
      </c>
      <c r="AA306" s="1"/>
      <c r="AB306" s="331">
        <f>AE306</f>
      </c>
      <c r="AC306" s="336">
        <f>+IF(AD306&lt;AC305,AD306,AC305)</f>
      </c>
      <c r="AD306" s="337">
        <f>+(AD305-AC305)*(1+$E$16)</f>
      </c>
      <c r="AE306" s="332">
        <v>301</v>
      </c>
    </row>
    <row x14ac:dyDescent="0.25" r="307" customHeight="1" ht="18.75">
      <c r="A307" s="1"/>
      <c r="B307" s="1"/>
      <c r="C307" s="169"/>
      <c r="D307" s="169"/>
      <c r="E307" s="168"/>
      <c r="F307" s="169"/>
      <c r="G307" s="170"/>
      <c r="H307" s="1"/>
      <c r="I307" s="1"/>
      <c r="J307" s="1"/>
      <c r="K307" s="1"/>
      <c r="L307" s="1"/>
      <c r="M307" s="331">
        <f>P307</f>
      </c>
      <c r="N307" s="335">
        <f>+IF(O307&lt;N306,O307,N306)</f>
      </c>
      <c r="O307" s="335">
        <f>+(O306-N306)*(1+$E$13)</f>
      </c>
      <c r="P307" s="332">
        <v>302</v>
      </c>
      <c r="Q307" s="1"/>
      <c r="R307" s="331">
        <f>U307</f>
      </c>
      <c r="S307" s="335">
        <f>+IF(T307&lt;S306,T307,S306)</f>
      </c>
      <c r="T307" s="335">
        <f>+(T306-S306)*(1+$E$14)</f>
      </c>
      <c r="U307" s="332">
        <v>302</v>
      </c>
      <c r="V307" s="1"/>
      <c r="W307" s="331">
        <f>Z307</f>
      </c>
      <c r="X307" s="336">
        <f>+IF(Y307&lt;X306,Y307,X306)</f>
      </c>
      <c r="Y307" s="337">
        <f>+(Y306-X306)*(1+$E$15)</f>
      </c>
      <c r="Z307" s="332">
        <v>302</v>
      </c>
      <c r="AA307" s="1"/>
      <c r="AB307" s="331">
        <f>AE307</f>
      </c>
      <c r="AC307" s="336">
        <f>+IF(AD307&lt;AC306,AD307,AC306)</f>
      </c>
      <c r="AD307" s="337">
        <f>+(AD306-AC306)*(1+$E$16)</f>
      </c>
      <c r="AE307" s="332">
        <v>302</v>
      </c>
    </row>
    <row x14ac:dyDescent="0.25" r="308" customHeight="1" ht="18.75">
      <c r="A308" s="1"/>
      <c r="B308" s="1"/>
      <c r="C308" s="169"/>
      <c r="D308" s="169"/>
      <c r="E308" s="168"/>
      <c r="F308" s="169"/>
      <c r="G308" s="170"/>
      <c r="H308" s="1"/>
      <c r="I308" s="1"/>
      <c r="J308" s="1"/>
      <c r="K308" s="1"/>
      <c r="L308" s="1"/>
      <c r="M308" s="331">
        <f>P308</f>
      </c>
      <c r="N308" s="335">
        <f>+IF(O308&lt;N307,O308,N307)</f>
      </c>
      <c r="O308" s="335">
        <f>+(O307-N307)*(1+$E$13)</f>
      </c>
      <c r="P308" s="332">
        <v>303</v>
      </c>
      <c r="Q308" s="1"/>
      <c r="R308" s="331">
        <f>U308</f>
      </c>
      <c r="S308" s="335">
        <f>+IF(T308&lt;S307,T308,S307)</f>
      </c>
      <c r="T308" s="335">
        <f>+(T307-S307)*(1+$E$14)</f>
      </c>
      <c r="U308" s="332">
        <v>303</v>
      </c>
      <c r="V308" s="1"/>
      <c r="W308" s="331">
        <f>Z308</f>
      </c>
      <c r="X308" s="336">
        <f>+IF(Y308&lt;X307,Y308,X307)</f>
      </c>
      <c r="Y308" s="337">
        <f>+(Y307-X307)*(1+$E$15)</f>
      </c>
      <c r="Z308" s="332">
        <v>303</v>
      </c>
      <c r="AA308" s="1"/>
      <c r="AB308" s="331">
        <f>AE308</f>
      </c>
      <c r="AC308" s="336">
        <f>+IF(AD308&lt;AC307,AD308,AC307)</f>
      </c>
      <c r="AD308" s="337">
        <f>+(AD307-AC307)*(1+$E$16)</f>
      </c>
      <c r="AE308" s="332">
        <v>303</v>
      </c>
    </row>
    <row x14ac:dyDescent="0.25" r="309" customHeight="1" ht="18.75">
      <c r="A309" s="1"/>
      <c r="B309" s="1"/>
      <c r="C309" s="169"/>
      <c r="D309" s="169"/>
      <c r="E309" s="168"/>
      <c r="F309" s="169"/>
      <c r="G309" s="170"/>
      <c r="H309" s="1"/>
      <c r="I309" s="1"/>
      <c r="J309" s="1"/>
      <c r="K309" s="1"/>
      <c r="L309" s="1"/>
      <c r="M309" s="331">
        <f>P309</f>
      </c>
      <c r="N309" s="335">
        <f>+IF(O309&lt;N308,O309,N308)</f>
      </c>
      <c r="O309" s="335">
        <f>+(O308-N308)*(1+$E$13)</f>
      </c>
      <c r="P309" s="332">
        <v>304</v>
      </c>
      <c r="Q309" s="1"/>
      <c r="R309" s="331">
        <f>U309</f>
      </c>
      <c r="S309" s="335">
        <f>+IF(T309&lt;S308,T309,S308)</f>
      </c>
      <c r="T309" s="335">
        <f>+(T308-S308)*(1+$E$14)</f>
      </c>
      <c r="U309" s="332">
        <v>304</v>
      </c>
      <c r="V309" s="1"/>
      <c r="W309" s="331">
        <f>Z309</f>
      </c>
      <c r="X309" s="336">
        <f>+IF(Y309&lt;X308,Y309,X308)</f>
      </c>
      <c r="Y309" s="337">
        <f>+(Y308-X308)*(1+$E$15)</f>
      </c>
      <c r="Z309" s="332">
        <v>304</v>
      </c>
      <c r="AA309" s="1"/>
      <c r="AB309" s="331">
        <f>AE309</f>
      </c>
      <c r="AC309" s="336">
        <f>+IF(AD309&lt;AC308,AD309,AC308)</f>
      </c>
      <c r="AD309" s="337">
        <f>+(AD308-AC308)*(1+$E$16)</f>
      </c>
      <c r="AE309" s="332">
        <v>304</v>
      </c>
    </row>
    <row x14ac:dyDescent="0.25" r="310" customHeight="1" ht="18.75">
      <c r="A310" s="1"/>
      <c r="B310" s="1"/>
      <c r="C310" s="169"/>
      <c r="D310" s="169"/>
      <c r="E310" s="168"/>
      <c r="F310" s="169"/>
      <c r="G310" s="170"/>
      <c r="H310" s="1"/>
      <c r="I310" s="1"/>
      <c r="J310" s="1"/>
      <c r="K310" s="1"/>
      <c r="L310" s="1"/>
      <c r="M310" s="331">
        <f>P310</f>
      </c>
      <c r="N310" s="335">
        <f>+IF(O310&lt;N309,O310,N309)</f>
      </c>
      <c r="O310" s="335">
        <f>+(O309-N309)*(1+$E$13)</f>
      </c>
      <c r="P310" s="332">
        <v>305</v>
      </c>
      <c r="Q310" s="1"/>
      <c r="R310" s="331">
        <f>U310</f>
      </c>
      <c r="S310" s="335">
        <f>+IF(T310&lt;S309,T310,S309)</f>
      </c>
      <c r="T310" s="335">
        <f>+(T309-S309)*(1+$E$14)</f>
      </c>
      <c r="U310" s="332">
        <v>305</v>
      </c>
      <c r="V310" s="1"/>
      <c r="W310" s="331">
        <f>Z310</f>
      </c>
      <c r="X310" s="336">
        <f>+IF(Y310&lt;X309,Y310,X309)</f>
      </c>
      <c r="Y310" s="337">
        <f>+(Y309-X309)*(1+$E$15)</f>
      </c>
      <c r="Z310" s="332">
        <v>305</v>
      </c>
      <c r="AA310" s="1"/>
      <c r="AB310" s="331">
        <f>AE310</f>
      </c>
      <c r="AC310" s="336">
        <f>+IF(AD310&lt;AC309,AD310,AC309)</f>
      </c>
      <c r="AD310" s="337">
        <f>+(AD309-AC309)*(1+$E$16)</f>
      </c>
      <c r="AE310" s="332">
        <v>305</v>
      </c>
    </row>
    <row x14ac:dyDescent="0.25" r="311" customHeight="1" ht="18.75">
      <c r="A311" s="1"/>
      <c r="B311" s="1"/>
      <c r="C311" s="169"/>
      <c r="D311" s="169"/>
      <c r="E311" s="168"/>
      <c r="F311" s="169"/>
      <c r="G311" s="170"/>
      <c r="H311" s="1"/>
      <c r="I311" s="1"/>
      <c r="J311" s="1"/>
      <c r="K311" s="1"/>
      <c r="L311" s="1"/>
      <c r="M311" s="331">
        <f>P311</f>
      </c>
      <c r="N311" s="335">
        <f>+IF(O311&lt;N310,O311,N310)</f>
      </c>
      <c r="O311" s="335">
        <f>+(O310-N310)*(1+$E$13)</f>
      </c>
      <c r="P311" s="332">
        <v>306</v>
      </c>
      <c r="Q311" s="1"/>
      <c r="R311" s="331">
        <f>U311</f>
      </c>
      <c r="S311" s="335">
        <f>+IF(T311&lt;S310,T311,S310)</f>
      </c>
      <c r="T311" s="335">
        <f>+(T310-S310)*(1+$E$14)</f>
      </c>
      <c r="U311" s="332">
        <v>306</v>
      </c>
      <c r="V311" s="1"/>
      <c r="W311" s="331">
        <f>Z311</f>
      </c>
      <c r="X311" s="336">
        <f>+IF(Y311&lt;X310,Y311,X310)</f>
      </c>
      <c r="Y311" s="337">
        <f>+(Y310-X310)*(1+$E$15)</f>
      </c>
      <c r="Z311" s="332">
        <v>306</v>
      </c>
      <c r="AA311" s="1"/>
      <c r="AB311" s="331">
        <f>AE311</f>
      </c>
      <c r="AC311" s="336">
        <f>+IF(AD311&lt;AC310,AD311,AC310)</f>
      </c>
      <c r="AD311" s="337">
        <f>+(AD310-AC310)*(1+$E$16)</f>
      </c>
      <c r="AE311" s="332">
        <v>306</v>
      </c>
    </row>
    <row x14ac:dyDescent="0.25" r="312" customHeight="1" ht="18.75">
      <c r="A312" s="1"/>
      <c r="B312" s="1"/>
      <c r="C312" s="169"/>
      <c r="D312" s="169"/>
      <c r="E312" s="168"/>
      <c r="F312" s="169"/>
      <c r="G312" s="170"/>
      <c r="H312" s="1"/>
      <c r="I312" s="1"/>
      <c r="J312" s="1"/>
      <c r="K312" s="1"/>
      <c r="L312" s="1"/>
      <c r="M312" s="331">
        <f>P312</f>
      </c>
      <c r="N312" s="335">
        <f>+IF(O312&lt;N311,O312,N311)</f>
      </c>
      <c r="O312" s="335">
        <f>+(O311-N311)*(1+$E$13)</f>
      </c>
      <c r="P312" s="332">
        <v>307</v>
      </c>
      <c r="Q312" s="1"/>
      <c r="R312" s="331">
        <f>U312</f>
      </c>
      <c r="S312" s="335">
        <f>+IF(T312&lt;S311,T312,S311)</f>
      </c>
      <c r="T312" s="335">
        <f>+(T311-S311)*(1+$E$14)</f>
      </c>
      <c r="U312" s="332">
        <v>307</v>
      </c>
      <c r="V312" s="1"/>
      <c r="W312" s="331">
        <f>Z312</f>
      </c>
      <c r="X312" s="336">
        <f>+IF(Y312&lt;X311,Y312,X311)</f>
      </c>
      <c r="Y312" s="337">
        <f>+(Y311-X311)*(1+$E$15)</f>
      </c>
      <c r="Z312" s="332">
        <v>307</v>
      </c>
      <c r="AA312" s="1"/>
      <c r="AB312" s="331">
        <f>AE312</f>
      </c>
      <c r="AC312" s="336">
        <f>+IF(AD312&lt;AC311,AD312,AC311)</f>
      </c>
      <c r="AD312" s="337">
        <f>+(AD311-AC311)*(1+$E$16)</f>
      </c>
      <c r="AE312" s="332">
        <v>307</v>
      </c>
    </row>
    <row x14ac:dyDescent="0.25" r="313" customHeight="1" ht="18.75">
      <c r="A313" s="1"/>
      <c r="B313" s="1"/>
      <c r="C313" s="169"/>
      <c r="D313" s="169"/>
      <c r="E313" s="168"/>
      <c r="F313" s="169"/>
      <c r="G313" s="170"/>
      <c r="H313" s="1"/>
      <c r="I313" s="1"/>
      <c r="J313" s="1"/>
      <c r="K313" s="1"/>
      <c r="L313" s="1"/>
      <c r="M313" s="331">
        <f>P313</f>
      </c>
      <c r="N313" s="335">
        <f>+IF(O313&lt;N312,O313,N312)</f>
      </c>
      <c r="O313" s="335">
        <f>+(O312-N312)*(1+$E$13)</f>
      </c>
      <c r="P313" s="332">
        <v>308</v>
      </c>
      <c r="Q313" s="1"/>
      <c r="R313" s="331">
        <f>U313</f>
      </c>
      <c r="S313" s="335">
        <f>+IF(T313&lt;S312,T313,S312)</f>
      </c>
      <c r="T313" s="335">
        <f>+(T312-S312)*(1+$E$14)</f>
      </c>
      <c r="U313" s="332">
        <v>308</v>
      </c>
      <c r="V313" s="1"/>
      <c r="W313" s="331">
        <f>Z313</f>
      </c>
      <c r="X313" s="336">
        <f>+IF(Y313&lt;X312,Y313,X312)</f>
      </c>
      <c r="Y313" s="337">
        <f>+(Y312-X312)*(1+$E$15)</f>
      </c>
      <c r="Z313" s="332">
        <v>308</v>
      </c>
      <c r="AA313" s="1"/>
      <c r="AB313" s="331">
        <f>AE313</f>
      </c>
      <c r="AC313" s="336">
        <f>+IF(AD313&lt;AC312,AD313,AC312)</f>
      </c>
      <c r="AD313" s="337">
        <f>+(AD312-AC312)*(1+$E$16)</f>
      </c>
      <c r="AE313" s="332">
        <v>308</v>
      </c>
    </row>
    <row x14ac:dyDescent="0.25" r="314" customHeight="1" ht="18.75">
      <c r="A314" s="1"/>
      <c r="B314" s="1"/>
      <c r="C314" s="169"/>
      <c r="D314" s="169"/>
      <c r="E314" s="168"/>
      <c r="F314" s="169"/>
      <c r="G314" s="170"/>
      <c r="H314" s="1"/>
      <c r="I314" s="1"/>
      <c r="J314" s="1"/>
      <c r="K314" s="1"/>
      <c r="L314" s="1"/>
      <c r="M314" s="331">
        <f>P314</f>
      </c>
      <c r="N314" s="335">
        <f>+IF(O314&lt;N313,O314,N313)</f>
      </c>
      <c r="O314" s="335">
        <f>+(O313-N313)*(1+$E$13)</f>
      </c>
      <c r="P314" s="332">
        <v>309</v>
      </c>
      <c r="Q314" s="1"/>
      <c r="R314" s="331">
        <f>U314</f>
      </c>
      <c r="S314" s="335">
        <f>+IF(T314&lt;S313,T314,S313)</f>
      </c>
      <c r="T314" s="335">
        <f>+(T313-S313)*(1+$E$14)</f>
      </c>
      <c r="U314" s="332">
        <v>309</v>
      </c>
      <c r="V314" s="1"/>
      <c r="W314" s="331">
        <f>Z314</f>
      </c>
      <c r="X314" s="336">
        <f>+IF(Y314&lt;X313,Y314,X313)</f>
      </c>
      <c r="Y314" s="337">
        <f>+(Y313-X313)*(1+$E$15)</f>
      </c>
      <c r="Z314" s="332">
        <v>309</v>
      </c>
      <c r="AA314" s="1"/>
      <c r="AB314" s="331">
        <f>AE314</f>
      </c>
      <c r="AC314" s="336">
        <f>+IF(AD314&lt;AC313,AD314,AC313)</f>
      </c>
      <c r="AD314" s="337">
        <f>+(AD313-AC313)*(1+$E$16)</f>
      </c>
      <c r="AE314" s="332">
        <v>309</v>
      </c>
    </row>
    <row x14ac:dyDescent="0.25" r="315" customHeight="1" ht="18.75">
      <c r="A315" s="1"/>
      <c r="B315" s="1"/>
      <c r="C315" s="169"/>
      <c r="D315" s="169"/>
      <c r="E315" s="168"/>
      <c r="F315" s="169"/>
      <c r="G315" s="170"/>
      <c r="H315" s="1"/>
      <c r="I315" s="1"/>
      <c r="J315" s="1"/>
      <c r="K315" s="1"/>
      <c r="L315" s="1"/>
      <c r="M315" s="331">
        <f>P315</f>
      </c>
      <c r="N315" s="335">
        <f>+IF(O315&lt;N314,O315,N314)</f>
      </c>
      <c r="O315" s="335">
        <f>+(O314-N314)*(1+$E$13)</f>
      </c>
      <c r="P315" s="332">
        <v>310</v>
      </c>
      <c r="Q315" s="1"/>
      <c r="R315" s="331">
        <f>U315</f>
      </c>
      <c r="S315" s="335">
        <f>+IF(T315&lt;S314,T315,S314)</f>
      </c>
      <c r="T315" s="335">
        <f>+(T314-S314)*(1+$E$14)</f>
      </c>
      <c r="U315" s="332">
        <v>310</v>
      </c>
      <c r="V315" s="1"/>
      <c r="W315" s="331">
        <f>Z315</f>
      </c>
      <c r="X315" s="336">
        <f>+IF(Y315&lt;X314,Y315,X314)</f>
      </c>
      <c r="Y315" s="337">
        <f>+(Y314-X314)*(1+$E$15)</f>
      </c>
      <c r="Z315" s="332">
        <v>310</v>
      </c>
      <c r="AA315" s="1"/>
      <c r="AB315" s="331">
        <f>AE315</f>
      </c>
      <c r="AC315" s="336">
        <f>+IF(AD315&lt;AC314,AD315,AC314)</f>
      </c>
      <c r="AD315" s="337">
        <f>+(AD314-AC314)*(1+$E$16)</f>
      </c>
      <c r="AE315" s="332">
        <v>310</v>
      </c>
    </row>
    <row x14ac:dyDescent="0.25" r="316" customHeight="1" ht="18.75">
      <c r="A316" s="1"/>
      <c r="B316" s="1"/>
      <c r="C316" s="169"/>
      <c r="D316" s="169"/>
      <c r="E316" s="168"/>
      <c r="F316" s="169"/>
      <c r="G316" s="170"/>
      <c r="H316" s="1"/>
      <c r="I316" s="1"/>
      <c r="J316" s="1"/>
      <c r="K316" s="1"/>
      <c r="L316" s="1"/>
      <c r="M316" s="331">
        <f>P316</f>
      </c>
      <c r="N316" s="335">
        <f>+IF(O316&lt;N315,O316,N315)</f>
      </c>
      <c r="O316" s="335">
        <f>+(O315-N315)*(1+$E$13)</f>
      </c>
      <c r="P316" s="332">
        <v>311</v>
      </c>
      <c r="Q316" s="1"/>
      <c r="R316" s="331">
        <f>U316</f>
      </c>
      <c r="S316" s="335">
        <f>+IF(T316&lt;S315,T316,S315)</f>
      </c>
      <c r="T316" s="335">
        <f>+(T315-S315)*(1+$E$14)</f>
      </c>
      <c r="U316" s="332">
        <v>311</v>
      </c>
      <c r="V316" s="1"/>
      <c r="W316" s="331">
        <f>Z316</f>
      </c>
      <c r="X316" s="336">
        <f>+IF(Y316&lt;X315,Y316,X315)</f>
      </c>
      <c r="Y316" s="337">
        <f>+(Y315-X315)*(1+$E$15)</f>
      </c>
      <c r="Z316" s="332">
        <v>311</v>
      </c>
      <c r="AA316" s="1"/>
      <c r="AB316" s="331">
        <f>AE316</f>
      </c>
      <c r="AC316" s="336">
        <f>+IF(AD316&lt;AC315,AD316,AC315)</f>
      </c>
      <c r="AD316" s="337">
        <f>+(AD315-AC315)*(1+$E$16)</f>
      </c>
      <c r="AE316" s="332">
        <v>311</v>
      </c>
    </row>
    <row x14ac:dyDescent="0.25" r="317" customHeight="1" ht="18.75">
      <c r="A317" s="1"/>
      <c r="B317" s="1"/>
      <c r="C317" s="169"/>
      <c r="D317" s="169"/>
      <c r="E317" s="168"/>
      <c r="F317" s="169"/>
      <c r="G317" s="170"/>
      <c r="H317" s="1"/>
      <c r="I317" s="1"/>
      <c r="J317" s="1"/>
      <c r="K317" s="1"/>
      <c r="L317" s="1"/>
      <c r="M317" s="331">
        <f>P317</f>
      </c>
      <c r="N317" s="335">
        <f>+IF(O317&lt;N316,O317,N316)</f>
      </c>
      <c r="O317" s="335">
        <f>+(O316-N316)*(1+$E$13)</f>
      </c>
      <c r="P317" s="332">
        <v>312</v>
      </c>
      <c r="Q317" s="1"/>
      <c r="R317" s="331">
        <f>U317</f>
      </c>
      <c r="S317" s="335">
        <f>+IF(T317&lt;S316,T317,S316)</f>
      </c>
      <c r="T317" s="335">
        <f>+(T316-S316)*(1+$E$14)</f>
      </c>
      <c r="U317" s="332">
        <v>312</v>
      </c>
      <c r="V317" s="1"/>
      <c r="W317" s="331">
        <f>Z317</f>
      </c>
      <c r="X317" s="336">
        <f>+IF(Y317&lt;X316,Y317,X316)</f>
      </c>
      <c r="Y317" s="337">
        <f>+(Y316-X316)*(1+$E$15)</f>
      </c>
      <c r="Z317" s="332">
        <v>312</v>
      </c>
      <c r="AA317" s="1"/>
      <c r="AB317" s="331">
        <f>AE317</f>
      </c>
      <c r="AC317" s="336">
        <f>+IF(AD317&lt;AC316,AD317,AC316)</f>
      </c>
      <c r="AD317" s="337">
        <f>+(AD316-AC316)*(1+$E$16)</f>
      </c>
      <c r="AE317" s="332">
        <v>312</v>
      </c>
    </row>
    <row x14ac:dyDescent="0.25" r="318" customHeight="1" ht="18.75">
      <c r="A318" s="1"/>
      <c r="B318" s="1"/>
      <c r="C318" s="169"/>
      <c r="D318" s="169"/>
      <c r="E318" s="168"/>
      <c r="F318" s="169"/>
      <c r="G318" s="170"/>
      <c r="H318" s="1"/>
      <c r="I318" s="1"/>
      <c r="J318" s="1"/>
      <c r="K318" s="1"/>
      <c r="L318" s="1"/>
      <c r="M318" s="331">
        <f>P318</f>
      </c>
      <c r="N318" s="335">
        <f>+IF(O318&lt;N317,O318,N317)</f>
      </c>
      <c r="O318" s="335">
        <f>+(O317-N317)*(1+$E$13)</f>
      </c>
      <c r="P318" s="332">
        <v>313</v>
      </c>
      <c r="Q318" s="1"/>
      <c r="R318" s="331">
        <f>U318</f>
      </c>
      <c r="S318" s="335">
        <f>+IF(T318&lt;S317,T318,S317)</f>
      </c>
      <c r="T318" s="335">
        <f>+(T317-S317)*(1+$E$14)</f>
      </c>
      <c r="U318" s="332">
        <v>313</v>
      </c>
      <c r="V318" s="1"/>
      <c r="W318" s="331">
        <f>Z318</f>
      </c>
      <c r="X318" s="336">
        <f>+IF(Y318&lt;X317,Y318,X317)</f>
      </c>
      <c r="Y318" s="337">
        <f>+(Y317-X317)*(1+$E$15)</f>
      </c>
      <c r="Z318" s="332">
        <v>313</v>
      </c>
      <c r="AA318" s="1"/>
      <c r="AB318" s="331">
        <f>AE318</f>
      </c>
      <c r="AC318" s="336">
        <f>+IF(AD318&lt;AC317,AD318,AC317)</f>
      </c>
      <c r="AD318" s="337">
        <f>+(AD317-AC317)*(1+$E$16)</f>
      </c>
      <c r="AE318" s="332">
        <v>313</v>
      </c>
    </row>
    <row x14ac:dyDescent="0.25" r="319" customHeight="1" ht="18.75">
      <c r="A319" s="1"/>
      <c r="B319" s="1"/>
      <c r="C319" s="169"/>
      <c r="D319" s="169"/>
      <c r="E319" s="168"/>
      <c r="F319" s="169"/>
      <c r="G319" s="170"/>
      <c r="H319" s="1"/>
      <c r="I319" s="1"/>
      <c r="J319" s="1"/>
      <c r="K319" s="1"/>
      <c r="L319" s="1"/>
      <c r="M319" s="331">
        <f>P319</f>
      </c>
      <c r="N319" s="335">
        <f>+IF(O319&lt;N318,O319,N318)</f>
      </c>
      <c r="O319" s="335">
        <f>+(O318-N318)*(1+$E$13)</f>
      </c>
      <c r="P319" s="332">
        <v>314</v>
      </c>
      <c r="Q319" s="1"/>
      <c r="R319" s="331">
        <f>U319</f>
      </c>
      <c r="S319" s="335">
        <f>+IF(T319&lt;S318,T319,S318)</f>
      </c>
      <c r="T319" s="335">
        <f>+(T318-S318)*(1+$E$14)</f>
      </c>
      <c r="U319" s="332">
        <v>314</v>
      </c>
      <c r="V319" s="1"/>
      <c r="W319" s="331">
        <f>Z319</f>
      </c>
      <c r="X319" s="336">
        <f>+IF(Y319&lt;X318,Y319,X318)</f>
      </c>
      <c r="Y319" s="337">
        <f>+(Y318-X318)*(1+$E$15)</f>
      </c>
      <c r="Z319" s="332">
        <v>314</v>
      </c>
      <c r="AA319" s="1"/>
      <c r="AB319" s="331">
        <f>AE319</f>
      </c>
      <c r="AC319" s="336">
        <f>+IF(AD319&lt;AC318,AD319,AC318)</f>
      </c>
      <c r="AD319" s="337">
        <f>+(AD318-AC318)*(1+$E$16)</f>
      </c>
      <c r="AE319" s="332">
        <v>314</v>
      </c>
    </row>
    <row x14ac:dyDescent="0.25" r="320" customHeight="1" ht="18.75">
      <c r="A320" s="1"/>
      <c r="B320" s="1"/>
      <c r="C320" s="169"/>
      <c r="D320" s="169"/>
      <c r="E320" s="168"/>
      <c r="F320" s="169"/>
      <c r="G320" s="170"/>
      <c r="H320" s="1"/>
      <c r="I320" s="1"/>
      <c r="J320" s="1"/>
      <c r="K320" s="1"/>
      <c r="L320" s="1"/>
      <c r="M320" s="331">
        <f>P320</f>
      </c>
      <c r="N320" s="335">
        <f>+IF(O320&lt;N319,O320,N319)</f>
      </c>
      <c r="O320" s="335">
        <f>+(O319-N319)*(1+$E$13)</f>
      </c>
      <c r="P320" s="332">
        <v>315</v>
      </c>
      <c r="Q320" s="1"/>
      <c r="R320" s="331">
        <f>U320</f>
      </c>
      <c r="S320" s="335">
        <f>+IF(T320&lt;S319,T320,S319)</f>
      </c>
      <c r="T320" s="335">
        <f>+(T319-S319)*(1+$E$14)</f>
      </c>
      <c r="U320" s="332">
        <v>315</v>
      </c>
      <c r="V320" s="1"/>
      <c r="W320" s="331">
        <f>Z320</f>
      </c>
      <c r="X320" s="336">
        <f>+IF(Y320&lt;X319,Y320,X319)</f>
      </c>
      <c r="Y320" s="337">
        <f>+(Y319-X319)*(1+$E$15)</f>
      </c>
      <c r="Z320" s="332">
        <v>315</v>
      </c>
      <c r="AA320" s="1"/>
      <c r="AB320" s="331">
        <f>AE320</f>
      </c>
      <c r="AC320" s="336">
        <f>+IF(AD320&lt;AC319,AD320,AC319)</f>
      </c>
      <c r="AD320" s="337">
        <f>+(AD319-AC319)*(1+$E$16)</f>
      </c>
      <c r="AE320" s="332">
        <v>315</v>
      </c>
    </row>
    <row x14ac:dyDescent="0.25" r="321" customHeight="1" ht="18.75">
      <c r="A321" s="1"/>
      <c r="B321" s="1"/>
      <c r="C321" s="169"/>
      <c r="D321" s="169"/>
      <c r="E321" s="168"/>
      <c r="F321" s="169"/>
      <c r="G321" s="170"/>
      <c r="H321" s="1"/>
      <c r="I321" s="1"/>
      <c r="J321" s="1"/>
      <c r="K321" s="1"/>
      <c r="L321" s="1"/>
      <c r="M321" s="331">
        <f>P321</f>
      </c>
      <c r="N321" s="335">
        <f>+IF(O321&lt;N320,O321,N320)</f>
      </c>
      <c r="O321" s="335">
        <f>+(O320-N320)*(1+$E$13)</f>
      </c>
      <c r="P321" s="332">
        <v>316</v>
      </c>
      <c r="Q321" s="1"/>
      <c r="R321" s="331">
        <f>U321</f>
      </c>
      <c r="S321" s="335">
        <f>+IF(T321&lt;S320,T321,S320)</f>
      </c>
      <c r="T321" s="335">
        <f>+(T320-S320)*(1+$E$14)</f>
      </c>
      <c r="U321" s="332">
        <v>316</v>
      </c>
      <c r="V321" s="1"/>
      <c r="W321" s="331">
        <f>Z321</f>
      </c>
      <c r="X321" s="336">
        <f>+IF(Y321&lt;X320,Y321,X320)</f>
      </c>
      <c r="Y321" s="337">
        <f>+(Y320-X320)*(1+$E$15)</f>
      </c>
      <c r="Z321" s="332">
        <v>316</v>
      </c>
      <c r="AA321" s="1"/>
      <c r="AB321" s="331">
        <f>AE321</f>
      </c>
      <c r="AC321" s="336">
        <f>+IF(AD321&lt;AC320,AD321,AC320)</f>
      </c>
      <c r="AD321" s="337">
        <f>+(AD320-AC320)*(1+$E$16)</f>
      </c>
      <c r="AE321" s="332">
        <v>316</v>
      </c>
    </row>
    <row x14ac:dyDescent="0.25" r="322" customHeight="1" ht="18.75">
      <c r="A322" s="1"/>
      <c r="B322" s="1"/>
      <c r="C322" s="169"/>
      <c r="D322" s="169"/>
      <c r="E322" s="168"/>
      <c r="F322" s="169"/>
      <c r="G322" s="170"/>
      <c r="H322" s="1"/>
      <c r="I322" s="1"/>
      <c r="J322" s="1"/>
      <c r="K322" s="1"/>
      <c r="L322" s="1"/>
      <c r="M322" s="331">
        <f>P322</f>
      </c>
      <c r="N322" s="335">
        <f>+IF(O322&lt;N321,O322,N321)</f>
      </c>
      <c r="O322" s="335">
        <f>+(O321-N321)*(1+$E$13)</f>
      </c>
      <c r="P322" s="332">
        <v>317</v>
      </c>
      <c r="Q322" s="1"/>
      <c r="R322" s="331">
        <f>U322</f>
      </c>
      <c r="S322" s="335">
        <f>+IF(T322&lt;S321,T322,S321)</f>
      </c>
      <c r="T322" s="335">
        <f>+(T321-S321)*(1+$E$14)</f>
      </c>
      <c r="U322" s="332">
        <v>317</v>
      </c>
      <c r="V322" s="1"/>
      <c r="W322" s="331">
        <f>Z322</f>
      </c>
      <c r="X322" s="336">
        <f>+IF(Y322&lt;X321,Y322,X321)</f>
      </c>
      <c r="Y322" s="337">
        <f>+(Y321-X321)*(1+$E$15)</f>
      </c>
      <c r="Z322" s="332">
        <v>317</v>
      </c>
      <c r="AA322" s="1"/>
      <c r="AB322" s="331">
        <f>AE322</f>
      </c>
      <c r="AC322" s="336">
        <f>+IF(AD322&lt;AC321,AD322,AC321)</f>
      </c>
      <c r="AD322" s="337">
        <f>+(AD321-AC321)*(1+$E$16)</f>
      </c>
      <c r="AE322" s="332">
        <v>317</v>
      </c>
    </row>
    <row x14ac:dyDescent="0.25" r="323" customHeight="1" ht="18.75">
      <c r="A323" s="1"/>
      <c r="B323" s="1"/>
      <c r="C323" s="169"/>
      <c r="D323" s="169"/>
      <c r="E323" s="168"/>
      <c r="F323" s="169"/>
      <c r="G323" s="170"/>
      <c r="H323" s="1"/>
      <c r="I323" s="1"/>
      <c r="J323" s="1"/>
      <c r="K323" s="1"/>
      <c r="L323" s="1"/>
      <c r="M323" s="331">
        <f>P323</f>
      </c>
      <c r="N323" s="335">
        <f>+IF(O323&lt;N322,O323,N322)</f>
      </c>
      <c r="O323" s="335">
        <f>+(O322-N322)*(1+$E$13)</f>
      </c>
      <c r="P323" s="332">
        <v>318</v>
      </c>
      <c r="Q323" s="1"/>
      <c r="R323" s="331">
        <f>U323</f>
      </c>
      <c r="S323" s="335">
        <f>+IF(T323&lt;S322,T323,S322)</f>
      </c>
      <c r="T323" s="335">
        <f>+(T322-S322)*(1+$E$14)</f>
      </c>
      <c r="U323" s="332">
        <v>318</v>
      </c>
      <c r="V323" s="1"/>
      <c r="W323" s="331">
        <f>Z323</f>
      </c>
      <c r="X323" s="336">
        <f>+IF(Y323&lt;X322,Y323,X322)</f>
      </c>
      <c r="Y323" s="337">
        <f>+(Y322-X322)*(1+$E$15)</f>
      </c>
      <c r="Z323" s="332">
        <v>318</v>
      </c>
      <c r="AA323" s="1"/>
      <c r="AB323" s="331">
        <f>AE323</f>
      </c>
      <c r="AC323" s="336">
        <f>+IF(AD323&lt;AC322,AD323,AC322)</f>
      </c>
      <c r="AD323" s="337">
        <f>+(AD322-AC322)*(1+$E$16)</f>
      </c>
      <c r="AE323" s="332">
        <v>318</v>
      </c>
    </row>
    <row x14ac:dyDescent="0.25" r="324" customHeight="1" ht="18.75">
      <c r="A324" s="1"/>
      <c r="B324" s="1"/>
      <c r="C324" s="169"/>
      <c r="D324" s="169"/>
      <c r="E324" s="168"/>
      <c r="F324" s="169"/>
      <c r="G324" s="170"/>
      <c r="H324" s="1"/>
      <c r="I324" s="1"/>
      <c r="J324" s="1"/>
      <c r="K324" s="1"/>
      <c r="L324" s="1"/>
      <c r="M324" s="331">
        <f>P324</f>
      </c>
      <c r="N324" s="335">
        <f>+IF(O324&lt;N323,O324,N323)</f>
      </c>
      <c r="O324" s="335">
        <f>+(O323-N323)*(1+$E$13)</f>
      </c>
      <c r="P324" s="332">
        <v>319</v>
      </c>
      <c r="Q324" s="1"/>
      <c r="R324" s="331">
        <f>U324</f>
      </c>
      <c r="S324" s="335">
        <f>+IF(T324&lt;S323,T324,S323)</f>
      </c>
      <c r="T324" s="335">
        <f>+(T323-S323)*(1+$E$14)</f>
      </c>
      <c r="U324" s="332">
        <v>319</v>
      </c>
      <c r="V324" s="1"/>
      <c r="W324" s="331">
        <f>Z324</f>
      </c>
      <c r="X324" s="336">
        <f>+IF(Y324&lt;X323,Y324,X323)</f>
      </c>
      <c r="Y324" s="337">
        <f>+(Y323-X323)*(1+$E$15)</f>
      </c>
      <c r="Z324" s="332">
        <v>319</v>
      </c>
      <c r="AA324" s="1"/>
      <c r="AB324" s="331">
        <f>AE324</f>
      </c>
      <c r="AC324" s="336">
        <f>+IF(AD324&lt;AC323,AD324,AC323)</f>
      </c>
      <c r="AD324" s="337">
        <f>+(AD323-AC323)*(1+$E$16)</f>
      </c>
      <c r="AE324" s="332">
        <v>319</v>
      </c>
    </row>
    <row x14ac:dyDescent="0.25" r="325" customHeight="1" ht="18.75">
      <c r="A325" s="1"/>
      <c r="B325" s="1"/>
      <c r="C325" s="169"/>
      <c r="D325" s="169"/>
      <c r="E325" s="168"/>
      <c r="F325" s="169"/>
      <c r="G325" s="170"/>
      <c r="H325" s="1"/>
      <c r="I325" s="1"/>
      <c r="J325" s="1"/>
      <c r="K325" s="1"/>
      <c r="L325" s="1"/>
      <c r="M325" s="331">
        <f>P325</f>
      </c>
      <c r="N325" s="335">
        <f>+IF(O325&lt;N324,O325,N324)</f>
      </c>
      <c r="O325" s="335">
        <f>+(O324-N324)*(1+$E$13)</f>
      </c>
      <c r="P325" s="332">
        <v>320</v>
      </c>
      <c r="Q325" s="1"/>
      <c r="R325" s="331">
        <f>U325</f>
      </c>
      <c r="S325" s="335">
        <f>+IF(T325&lt;S324,T325,S324)</f>
      </c>
      <c r="T325" s="335">
        <f>+(T324-S324)*(1+$E$14)</f>
      </c>
      <c r="U325" s="332">
        <v>320</v>
      </c>
      <c r="V325" s="1"/>
      <c r="W325" s="331">
        <f>Z325</f>
      </c>
      <c r="X325" s="336">
        <f>+IF(Y325&lt;X324,Y325,X324)</f>
      </c>
      <c r="Y325" s="337">
        <f>+(Y324-X324)*(1+$E$15)</f>
      </c>
      <c r="Z325" s="332">
        <v>320</v>
      </c>
      <c r="AA325" s="1"/>
      <c r="AB325" s="331">
        <f>AE325</f>
      </c>
      <c r="AC325" s="336">
        <f>+IF(AD325&lt;AC324,AD325,AC324)</f>
      </c>
      <c r="AD325" s="337">
        <f>+(AD324-AC324)*(1+$E$16)</f>
      </c>
      <c r="AE325" s="332">
        <v>320</v>
      </c>
    </row>
    <row x14ac:dyDescent="0.25" r="326" customHeight="1" ht="18.75">
      <c r="A326" s="1"/>
      <c r="B326" s="1"/>
      <c r="C326" s="169"/>
      <c r="D326" s="169"/>
      <c r="E326" s="168"/>
      <c r="F326" s="169"/>
      <c r="G326" s="170"/>
      <c r="H326" s="1"/>
      <c r="I326" s="1"/>
      <c r="J326" s="1"/>
      <c r="K326" s="1"/>
      <c r="L326" s="1"/>
      <c r="M326" s="331">
        <f>P326</f>
      </c>
      <c r="N326" s="335">
        <f>+IF(O326&lt;N325,O326,N325)</f>
      </c>
      <c r="O326" s="335">
        <f>+(O325-N325)*(1+$E$13)</f>
      </c>
      <c r="P326" s="332">
        <v>321</v>
      </c>
      <c r="Q326" s="1"/>
      <c r="R326" s="331">
        <f>U326</f>
      </c>
      <c r="S326" s="335">
        <f>+IF(T326&lt;S325,T326,S325)</f>
      </c>
      <c r="T326" s="335">
        <f>+(T325-S325)*(1+$E$14)</f>
      </c>
      <c r="U326" s="332">
        <v>321</v>
      </c>
      <c r="V326" s="1"/>
      <c r="W326" s="331">
        <f>Z326</f>
      </c>
      <c r="X326" s="336">
        <f>+IF(Y326&lt;X325,Y326,X325)</f>
      </c>
      <c r="Y326" s="337">
        <f>+(Y325-X325)*(1+$E$15)</f>
      </c>
      <c r="Z326" s="332">
        <v>321</v>
      </c>
      <c r="AA326" s="1"/>
      <c r="AB326" s="331">
        <f>AE326</f>
      </c>
      <c r="AC326" s="336">
        <f>+IF(AD326&lt;AC325,AD326,AC325)</f>
      </c>
      <c r="AD326" s="337">
        <f>+(AD325-AC325)*(1+$E$16)</f>
      </c>
      <c r="AE326" s="332">
        <v>321</v>
      </c>
    </row>
    <row x14ac:dyDescent="0.25" r="327" customHeight="1" ht="18.75">
      <c r="A327" s="1"/>
      <c r="B327" s="1"/>
      <c r="C327" s="169"/>
      <c r="D327" s="169"/>
      <c r="E327" s="168"/>
      <c r="F327" s="169"/>
      <c r="G327" s="170"/>
      <c r="H327" s="1"/>
      <c r="I327" s="1"/>
      <c r="J327" s="1"/>
      <c r="K327" s="1"/>
      <c r="L327" s="1"/>
      <c r="M327" s="331">
        <f>P327</f>
      </c>
      <c r="N327" s="335">
        <f>+IF(O327&lt;N326,O327,N326)</f>
      </c>
      <c r="O327" s="335">
        <f>+(O326-N326)*(1+$E$13)</f>
      </c>
      <c r="P327" s="332">
        <v>322</v>
      </c>
      <c r="Q327" s="1"/>
      <c r="R327" s="331">
        <f>U327</f>
      </c>
      <c r="S327" s="335">
        <f>+IF(T327&lt;S326,T327,S326)</f>
      </c>
      <c r="T327" s="335">
        <f>+(T326-S326)*(1+$E$14)</f>
      </c>
      <c r="U327" s="332">
        <v>322</v>
      </c>
      <c r="V327" s="1"/>
      <c r="W327" s="331">
        <f>Z327</f>
      </c>
      <c r="X327" s="336">
        <f>+IF(Y327&lt;X326,Y327,X326)</f>
      </c>
      <c r="Y327" s="337">
        <f>+(Y326-X326)*(1+$E$15)</f>
      </c>
      <c r="Z327" s="332">
        <v>322</v>
      </c>
      <c r="AA327" s="1"/>
      <c r="AB327" s="331">
        <f>AE327</f>
      </c>
      <c r="AC327" s="336">
        <f>+IF(AD327&lt;AC326,AD327,AC326)</f>
      </c>
      <c r="AD327" s="337">
        <f>+(AD326-AC326)*(1+$E$16)</f>
      </c>
      <c r="AE327" s="332">
        <v>322</v>
      </c>
    </row>
    <row x14ac:dyDescent="0.25" r="328" customHeight="1" ht="18.75">
      <c r="A328" s="1"/>
      <c r="B328" s="1"/>
      <c r="C328" s="169"/>
      <c r="D328" s="169"/>
      <c r="E328" s="168"/>
      <c r="F328" s="169"/>
      <c r="G328" s="170"/>
      <c r="H328" s="1"/>
      <c r="I328" s="1"/>
      <c r="J328" s="1"/>
      <c r="K328" s="1"/>
      <c r="L328" s="1"/>
      <c r="M328" s="331">
        <f>P328</f>
      </c>
      <c r="N328" s="335">
        <f>+IF(O328&lt;N327,O328,N327)</f>
      </c>
      <c r="O328" s="335">
        <f>+(O327-N327)*(1+$E$13)</f>
      </c>
      <c r="P328" s="332">
        <v>323</v>
      </c>
      <c r="Q328" s="1"/>
      <c r="R328" s="331">
        <f>U328</f>
      </c>
      <c r="S328" s="335">
        <f>+IF(T328&lt;S327,T328,S327)</f>
      </c>
      <c r="T328" s="335">
        <f>+(T327-S327)*(1+$E$14)</f>
      </c>
      <c r="U328" s="332">
        <v>323</v>
      </c>
      <c r="V328" s="1"/>
      <c r="W328" s="331">
        <f>Z328</f>
      </c>
      <c r="X328" s="336">
        <f>+IF(Y328&lt;X327,Y328,X327)</f>
      </c>
      <c r="Y328" s="337">
        <f>+(Y327-X327)*(1+$E$15)</f>
      </c>
      <c r="Z328" s="332">
        <v>323</v>
      </c>
      <c r="AA328" s="1"/>
      <c r="AB328" s="331">
        <f>AE328</f>
      </c>
      <c r="AC328" s="336">
        <f>+IF(AD328&lt;AC327,AD328,AC327)</f>
      </c>
      <c r="AD328" s="337">
        <f>+(AD327-AC327)*(1+$E$16)</f>
      </c>
      <c r="AE328" s="332">
        <v>323</v>
      </c>
    </row>
    <row x14ac:dyDescent="0.25" r="329" customHeight="1" ht="18.75">
      <c r="A329" s="1"/>
      <c r="B329" s="1"/>
      <c r="C329" s="169"/>
      <c r="D329" s="169"/>
      <c r="E329" s="168"/>
      <c r="F329" s="169"/>
      <c r="G329" s="170"/>
      <c r="H329" s="1"/>
      <c r="I329" s="1"/>
      <c r="J329" s="1"/>
      <c r="K329" s="1"/>
      <c r="L329" s="1"/>
      <c r="M329" s="331">
        <f>P329</f>
      </c>
      <c r="N329" s="335">
        <f>+IF(O329&lt;N328,O329,N328)</f>
      </c>
      <c r="O329" s="335">
        <f>+(O328-N328)*(1+$E$13)</f>
      </c>
      <c r="P329" s="332">
        <v>324</v>
      </c>
      <c r="Q329" s="1"/>
      <c r="R329" s="331">
        <f>U329</f>
      </c>
      <c r="S329" s="335">
        <f>+IF(T329&lt;S328,T329,S328)</f>
      </c>
      <c r="T329" s="335">
        <f>+(T328-S328)*(1+$E$14)</f>
      </c>
      <c r="U329" s="332">
        <v>324</v>
      </c>
      <c r="V329" s="1"/>
      <c r="W329" s="331">
        <f>Z329</f>
      </c>
      <c r="X329" s="336">
        <f>+IF(Y329&lt;X328,Y329,X328)</f>
      </c>
      <c r="Y329" s="337">
        <f>+(Y328-X328)*(1+$E$15)</f>
      </c>
      <c r="Z329" s="332">
        <v>324</v>
      </c>
      <c r="AA329" s="1"/>
      <c r="AB329" s="331">
        <f>AE329</f>
      </c>
      <c r="AC329" s="336">
        <f>+IF(AD329&lt;AC328,AD329,AC328)</f>
      </c>
      <c r="AD329" s="337">
        <f>+(AD328-AC328)*(1+$E$16)</f>
      </c>
      <c r="AE329" s="332">
        <v>324</v>
      </c>
    </row>
    <row x14ac:dyDescent="0.25" r="330" customHeight="1" ht="18.75">
      <c r="A330" s="1"/>
      <c r="B330" s="1"/>
      <c r="C330" s="169"/>
      <c r="D330" s="169"/>
      <c r="E330" s="168"/>
      <c r="F330" s="169"/>
      <c r="G330" s="170"/>
      <c r="H330" s="1"/>
      <c r="I330" s="1"/>
      <c r="J330" s="1"/>
      <c r="K330" s="1"/>
      <c r="L330" s="1"/>
      <c r="M330" s="331">
        <f>P330</f>
      </c>
      <c r="N330" s="335">
        <f>+IF(O330&lt;N329,O330,N329)</f>
      </c>
      <c r="O330" s="335">
        <f>+(O329-N329)*(1+$E$13)</f>
      </c>
      <c r="P330" s="332">
        <v>325</v>
      </c>
      <c r="Q330" s="1"/>
      <c r="R330" s="331">
        <f>U330</f>
      </c>
      <c r="S330" s="335">
        <f>+IF(T330&lt;S329,T330,S329)</f>
      </c>
      <c r="T330" s="335">
        <f>+(T329-S329)*(1+$E$14)</f>
      </c>
      <c r="U330" s="332">
        <v>325</v>
      </c>
      <c r="V330" s="1"/>
      <c r="W330" s="331">
        <f>Z330</f>
      </c>
      <c r="X330" s="336">
        <f>+IF(Y330&lt;X329,Y330,X329)</f>
      </c>
      <c r="Y330" s="337">
        <f>+(Y329-X329)*(1+$E$15)</f>
      </c>
      <c r="Z330" s="332">
        <v>325</v>
      </c>
      <c r="AA330" s="1"/>
      <c r="AB330" s="331">
        <f>AE330</f>
      </c>
      <c r="AC330" s="336">
        <f>+IF(AD330&lt;AC329,AD330,AC329)</f>
      </c>
      <c r="AD330" s="337">
        <f>+(AD329-AC329)*(1+$E$16)</f>
      </c>
      <c r="AE330" s="332">
        <v>325</v>
      </c>
    </row>
    <row x14ac:dyDescent="0.25" r="331" customHeight="1" ht="18.75">
      <c r="A331" s="1"/>
      <c r="B331" s="1"/>
      <c r="C331" s="169"/>
      <c r="D331" s="169"/>
      <c r="E331" s="168"/>
      <c r="F331" s="169"/>
      <c r="G331" s="170"/>
      <c r="H331" s="1"/>
      <c r="I331" s="1"/>
      <c r="J331" s="1"/>
      <c r="K331" s="1"/>
      <c r="L331" s="1"/>
      <c r="M331" s="331">
        <f>P331</f>
      </c>
      <c r="N331" s="335">
        <f>+IF(O331&lt;N330,O331,N330)</f>
      </c>
      <c r="O331" s="335">
        <f>+(O330-N330)*(1+$E$13)</f>
      </c>
      <c r="P331" s="332">
        <v>326</v>
      </c>
      <c r="Q331" s="1"/>
      <c r="R331" s="331">
        <f>U331</f>
      </c>
      <c r="S331" s="335">
        <f>+IF(T331&lt;S330,T331,S330)</f>
      </c>
      <c r="T331" s="335">
        <f>+(T330-S330)*(1+$E$14)</f>
      </c>
      <c r="U331" s="332">
        <v>326</v>
      </c>
      <c r="V331" s="1"/>
      <c r="W331" s="331">
        <f>Z331</f>
      </c>
      <c r="X331" s="336">
        <f>+IF(Y331&lt;X330,Y331,X330)</f>
      </c>
      <c r="Y331" s="337">
        <f>+(Y330-X330)*(1+$E$15)</f>
      </c>
      <c r="Z331" s="332">
        <v>326</v>
      </c>
      <c r="AA331" s="1"/>
      <c r="AB331" s="331">
        <f>AE331</f>
      </c>
      <c r="AC331" s="336">
        <f>+IF(AD331&lt;AC330,AD331,AC330)</f>
      </c>
      <c r="AD331" s="337">
        <f>+(AD330-AC330)*(1+$E$16)</f>
      </c>
      <c r="AE331" s="332">
        <v>326</v>
      </c>
    </row>
    <row x14ac:dyDescent="0.25" r="332" customHeight="1" ht="18.75">
      <c r="A332" s="1"/>
      <c r="B332" s="1"/>
      <c r="C332" s="169"/>
      <c r="D332" s="169"/>
      <c r="E332" s="168"/>
      <c r="F332" s="169"/>
      <c r="G332" s="170"/>
      <c r="H332" s="1"/>
      <c r="I332" s="1"/>
      <c r="J332" s="1"/>
      <c r="K332" s="1"/>
      <c r="L332" s="1"/>
      <c r="M332" s="331">
        <f>P332</f>
      </c>
      <c r="N332" s="335">
        <f>+IF(O332&lt;N331,O332,N331)</f>
      </c>
      <c r="O332" s="335">
        <f>+(O331-N331)*(1+$E$13)</f>
      </c>
      <c r="P332" s="332">
        <v>327</v>
      </c>
      <c r="Q332" s="1"/>
      <c r="R332" s="331">
        <f>U332</f>
      </c>
      <c r="S332" s="335">
        <f>+IF(T332&lt;S331,T332,S331)</f>
      </c>
      <c r="T332" s="335">
        <f>+(T331-S331)*(1+$E$14)</f>
      </c>
      <c r="U332" s="332">
        <v>327</v>
      </c>
      <c r="V332" s="1"/>
      <c r="W332" s="331">
        <f>Z332</f>
      </c>
      <c r="X332" s="336">
        <f>+IF(Y332&lt;X331,Y332,X331)</f>
      </c>
      <c r="Y332" s="337">
        <f>+(Y331-X331)*(1+$E$15)</f>
      </c>
      <c r="Z332" s="332">
        <v>327</v>
      </c>
      <c r="AA332" s="1"/>
      <c r="AB332" s="331">
        <f>AE332</f>
      </c>
      <c r="AC332" s="336">
        <f>+IF(AD332&lt;AC331,AD332,AC331)</f>
      </c>
      <c r="AD332" s="337">
        <f>+(AD331-AC331)*(1+$E$16)</f>
      </c>
      <c r="AE332" s="332">
        <v>327</v>
      </c>
    </row>
    <row x14ac:dyDescent="0.25" r="333" customHeight="1" ht="18.75">
      <c r="A333" s="1"/>
      <c r="B333" s="1"/>
      <c r="C333" s="169"/>
      <c r="D333" s="169"/>
      <c r="E333" s="168"/>
      <c r="F333" s="169"/>
      <c r="G333" s="170"/>
      <c r="H333" s="1"/>
      <c r="I333" s="1"/>
      <c r="J333" s="1"/>
      <c r="K333" s="1"/>
      <c r="L333" s="1"/>
      <c r="M333" s="331">
        <f>P333</f>
      </c>
      <c r="N333" s="335">
        <f>+IF(O333&lt;N332,O333,N332)</f>
      </c>
      <c r="O333" s="335">
        <f>+(O332-N332)*(1+$E$13)</f>
      </c>
      <c r="P333" s="332">
        <v>328</v>
      </c>
      <c r="Q333" s="1"/>
      <c r="R333" s="331">
        <f>U333</f>
      </c>
      <c r="S333" s="335">
        <f>+IF(T333&lt;S332,T333,S332)</f>
      </c>
      <c r="T333" s="335">
        <f>+(T332-S332)*(1+$E$14)</f>
      </c>
      <c r="U333" s="332">
        <v>328</v>
      </c>
      <c r="V333" s="1"/>
      <c r="W333" s="331">
        <f>Z333</f>
      </c>
      <c r="X333" s="336">
        <f>+IF(Y333&lt;X332,Y333,X332)</f>
      </c>
      <c r="Y333" s="337">
        <f>+(Y332-X332)*(1+$E$15)</f>
      </c>
      <c r="Z333" s="332">
        <v>328</v>
      </c>
      <c r="AA333" s="1"/>
      <c r="AB333" s="331">
        <f>AE333</f>
      </c>
      <c r="AC333" s="336">
        <f>+IF(AD333&lt;AC332,AD333,AC332)</f>
      </c>
      <c r="AD333" s="337">
        <f>+(AD332-AC332)*(1+$E$16)</f>
      </c>
      <c r="AE333" s="332">
        <v>328</v>
      </c>
    </row>
    <row x14ac:dyDescent="0.25" r="334" customHeight="1" ht="18.75">
      <c r="A334" s="1"/>
      <c r="B334" s="1"/>
      <c r="C334" s="169"/>
      <c r="D334" s="169"/>
      <c r="E334" s="168"/>
      <c r="F334" s="169"/>
      <c r="G334" s="170"/>
      <c r="H334" s="1"/>
      <c r="I334" s="1"/>
      <c r="J334" s="1"/>
      <c r="K334" s="1"/>
      <c r="L334" s="1"/>
      <c r="M334" s="331">
        <f>P334</f>
      </c>
      <c r="N334" s="335">
        <f>+IF(O334&lt;N333,O334,N333)</f>
      </c>
      <c r="O334" s="335">
        <f>+(O333-N333)*(1+$E$13)</f>
      </c>
      <c r="P334" s="332">
        <v>329</v>
      </c>
      <c r="Q334" s="1"/>
      <c r="R334" s="331">
        <f>U334</f>
      </c>
      <c r="S334" s="335">
        <f>+IF(T334&lt;S333,T334,S333)</f>
      </c>
      <c r="T334" s="335">
        <f>+(T333-S333)*(1+$E$14)</f>
      </c>
      <c r="U334" s="332">
        <v>329</v>
      </c>
      <c r="V334" s="1"/>
      <c r="W334" s="331">
        <f>Z334</f>
      </c>
      <c r="X334" s="336">
        <f>+IF(Y334&lt;X333,Y334,X333)</f>
      </c>
      <c r="Y334" s="337">
        <f>+(Y333-X333)*(1+$E$15)</f>
      </c>
      <c r="Z334" s="332">
        <v>329</v>
      </c>
      <c r="AA334" s="1"/>
      <c r="AB334" s="331">
        <f>AE334</f>
      </c>
      <c r="AC334" s="336">
        <f>+IF(AD334&lt;AC333,AD334,AC333)</f>
      </c>
      <c r="AD334" s="337">
        <f>+(AD333-AC333)*(1+$E$16)</f>
      </c>
      <c r="AE334" s="332">
        <v>329</v>
      </c>
    </row>
    <row x14ac:dyDescent="0.25" r="335" customHeight="1" ht="18.75">
      <c r="A335" s="1"/>
      <c r="B335" s="1"/>
      <c r="C335" s="169"/>
      <c r="D335" s="169"/>
      <c r="E335" s="168"/>
      <c r="F335" s="169"/>
      <c r="G335" s="170"/>
      <c r="H335" s="1"/>
      <c r="I335" s="1"/>
      <c r="J335" s="1"/>
      <c r="K335" s="1"/>
      <c r="L335" s="1"/>
      <c r="M335" s="331">
        <f>P335</f>
      </c>
      <c r="N335" s="335">
        <f>+IF(O335&lt;N334,O335,N334)</f>
      </c>
      <c r="O335" s="335">
        <f>+(O334-N334)*(1+$E$13)</f>
      </c>
      <c r="P335" s="332">
        <v>330</v>
      </c>
      <c r="Q335" s="1"/>
      <c r="R335" s="331">
        <f>U335</f>
      </c>
      <c r="S335" s="335">
        <f>+IF(T335&lt;S334,T335,S334)</f>
      </c>
      <c r="T335" s="335">
        <f>+(T334-S334)*(1+$E$14)</f>
      </c>
      <c r="U335" s="332">
        <v>330</v>
      </c>
      <c r="V335" s="1"/>
      <c r="W335" s="331">
        <f>Z335</f>
      </c>
      <c r="X335" s="336">
        <f>+IF(Y335&lt;X334,Y335,X334)</f>
      </c>
      <c r="Y335" s="337">
        <f>+(Y334-X334)*(1+$E$15)</f>
      </c>
      <c r="Z335" s="332">
        <v>330</v>
      </c>
      <c r="AA335" s="1"/>
      <c r="AB335" s="331">
        <f>AE335</f>
      </c>
      <c r="AC335" s="336">
        <f>+IF(AD335&lt;AC334,AD335,AC334)</f>
      </c>
      <c r="AD335" s="337">
        <f>+(AD334-AC334)*(1+$E$16)</f>
      </c>
      <c r="AE335" s="332">
        <v>330</v>
      </c>
    </row>
    <row x14ac:dyDescent="0.25" r="336" customHeight="1" ht="18.75">
      <c r="A336" s="1"/>
      <c r="B336" s="1"/>
      <c r="C336" s="169"/>
      <c r="D336" s="169"/>
      <c r="E336" s="168"/>
      <c r="F336" s="169"/>
      <c r="G336" s="170"/>
      <c r="H336" s="1"/>
      <c r="I336" s="1"/>
      <c r="J336" s="1"/>
      <c r="K336" s="1"/>
      <c r="L336" s="1"/>
      <c r="M336" s="331">
        <f>P336</f>
      </c>
      <c r="N336" s="335">
        <f>+IF(O336&lt;N335,O336,N335)</f>
      </c>
      <c r="O336" s="335">
        <f>+(O335-N335)*(1+$E$13)</f>
      </c>
      <c r="P336" s="332">
        <v>331</v>
      </c>
      <c r="Q336" s="1"/>
      <c r="R336" s="331">
        <f>U336</f>
      </c>
      <c r="S336" s="335">
        <f>+IF(T336&lt;S335,T336,S335)</f>
      </c>
      <c r="T336" s="335">
        <f>+(T335-S335)*(1+$E$14)</f>
      </c>
      <c r="U336" s="332">
        <v>331</v>
      </c>
      <c r="V336" s="1"/>
      <c r="W336" s="331">
        <f>Z336</f>
      </c>
      <c r="X336" s="336">
        <f>+IF(Y336&lt;X335,Y336,X335)</f>
      </c>
      <c r="Y336" s="337">
        <f>+(Y335-X335)*(1+$E$15)</f>
      </c>
      <c r="Z336" s="332">
        <v>331</v>
      </c>
      <c r="AA336" s="1"/>
      <c r="AB336" s="331">
        <f>AE336</f>
      </c>
      <c r="AC336" s="336">
        <f>+IF(AD336&lt;AC335,AD336,AC335)</f>
      </c>
      <c r="AD336" s="337">
        <f>+(AD335-AC335)*(1+$E$16)</f>
      </c>
      <c r="AE336" s="332">
        <v>331</v>
      </c>
    </row>
    <row x14ac:dyDescent="0.25" r="337" customHeight="1" ht="18.75">
      <c r="A337" s="1"/>
      <c r="B337" s="1"/>
      <c r="C337" s="169"/>
      <c r="D337" s="169"/>
      <c r="E337" s="168"/>
      <c r="F337" s="169"/>
      <c r="G337" s="170"/>
      <c r="H337" s="1"/>
      <c r="I337" s="1"/>
      <c r="J337" s="1"/>
      <c r="K337" s="1"/>
      <c r="L337" s="1"/>
      <c r="M337" s="331">
        <f>P337</f>
      </c>
      <c r="N337" s="335">
        <f>+IF(O337&lt;N336,O337,N336)</f>
      </c>
      <c r="O337" s="335">
        <f>+(O336-N336)*(1+$E$13)</f>
      </c>
      <c r="P337" s="332">
        <v>332</v>
      </c>
      <c r="Q337" s="1"/>
      <c r="R337" s="331">
        <f>U337</f>
      </c>
      <c r="S337" s="335">
        <f>+IF(T337&lt;S336,T337,S336)</f>
      </c>
      <c r="T337" s="335">
        <f>+(T336-S336)*(1+$E$14)</f>
      </c>
      <c r="U337" s="332">
        <v>332</v>
      </c>
      <c r="V337" s="1"/>
      <c r="W337" s="331">
        <f>Z337</f>
      </c>
      <c r="X337" s="336">
        <f>+IF(Y337&lt;X336,Y337,X336)</f>
      </c>
      <c r="Y337" s="337">
        <f>+(Y336-X336)*(1+$E$15)</f>
      </c>
      <c r="Z337" s="332">
        <v>332</v>
      </c>
      <c r="AA337" s="1"/>
      <c r="AB337" s="331">
        <f>AE337</f>
      </c>
      <c r="AC337" s="336">
        <f>+IF(AD337&lt;AC336,AD337,AC336)</f>
      </c>
      <c r="AD337" s="337">
        <f>+(AD336-AC336)*(1+$E$16)</f>
      </c>
      <c r="AE337" s="332">
        <v>332</v>
      </c>
    </row>
    <row x14ac:dyDescent="0.25" r="338" customHeight="1" ht="18.75">
      <c r="A338" s="1"/>
      <c r="B338" s="1"/>
      <c r="C338" s="169"/>
      <c r="D338" s="169"/>
      <c r="E338" s="168"/>
      <c r="F338" s="169"/>
      <c r="G338" s="170"/>
      <c r="H338" s="1"/>
      <c r="I338" s="1"/>
      <c r="J338" s="1"/>
      <c r="K338" s="1"/>
      <c r="L338" s="1"/>
      <c r="M338" s="331">
        <f>P338</f>
      </c>
      <c r="N338" s="335">
        <f>+IF(O338&lt;N337,O338,N337)</f>
      </c>
      <c r="O338" s="335">
        <f>+(O337-N337)*(1+$E$13)</f>
      </c>
      <c r="P338" s="332">
        <v>333</v>
      </c>
      <c r="Q338" s="1"/>
      <c r="R338" s="331">
        <f>U338</f>
      </c>
      <c r="S338" s="335">
        <f>+IF(T338&lt;S337,T338,S337)</f>
      </c>
      <c r="T338" s="335">
        <f>+(T337-S337)*(1+$E$14)</f>
      </c>
      <c r="U338" s="332">
        <v>333</v>
      </c>
      <c r="V338" s="1"/>
      <c r="W338" s="331">
        <f>Z338</f>
      </c>
      <c r="X338" s="336">
        <f>+IF(Y338&lt;X337,Y338,X337)</f>
      </c>
      <c r="Y338" s="337">
        <f>+(Y337-X337)*(1+$E$15)</f>
      </c>
      <c r="Z338" s="332">
        <v>333</v>
      </c>
      <c r="AA338" s="1"/>
      <c r="AB338" s="331">
        <f>AE338</f>
      </c>
      <c r="AC338" s="336">
        <f>+IF(AD338&lt;AC337,AD338,AC337)</f>
      </c>
      <c r="AD338" s="337">
        <f>+(AD337-AC337)*(1+$E$16)</f>
      </c>
      <c r="AE338" s="332">
        <v>333</v>
      </c>
    </row>
    <row x14ac:dyDescent="0.25" r="339" customHeight="1" ht="18.75">
      <c r="A339" s="1"/>
      <c r="B339" s="1"/>
      <c r="C339" s="169"/>
      <c r="D339" s="169"/>
      <c r="E339" s="168"/>
      <c r="F339" s="169"/>
      <c r="G339" s="170"/>
      <c r="H339" s="1"/>
      <c r="I339" s="1"/>
      <c r="J339" s="1"/>
      <c r="K339" s="1"/>
      <c r="L339" s="1"/>
      <c r="M339" s="331">
        <f>P339</f>
      </c>
      <c r="N339" s="335">
        <f>+IF(O339&lt;N338,O339,N338)</f>
      </c>
      <c r="O339" s="335">
        <f>+(O338-N338)*(1+$E$13)</f>
      </c>
      <c r="P339" s="332">
        <v>334</v>
      </c>
      <c r="Q339" s="1"/>
      <c r="R339" s="331">
        <f>U339</f>
      </c>
      <c r="S339" s="335">
        <f>+IF(T339&lt;S338,T339,S338)</f>
      </c>
      <c r="T339" s="335">
        <f>+(T338-S338)*(1+$E$14)</f>
      </c>
      <c r="U339" s="332">
        <v>334</v>
      </c>
      <c r="V339" s="1"/>
      <c r="W339" s="331">
        <f>Z339</f>
      </c>
      <c r="X339" s="336">
        <f>+IF(Y339&lt;X338,Y339,X338)</f>
      </c>
      <c r="Y339" s="337">
        <f>+(Y338-X338)*(1+$E$15)</f>
      </c>
      <c r="Z339" s="332">
        <v>334</v>
      </c>
      <c r="AA339" s="1"/>
      <c r="AB339" s="331">
        <f>AE339</f>
      </c>
      <c r="AC339" s="336">
        <f>+IF(AD339&lt;AC338,AD339,AC338)</f>
      </c>
      <c r="AD339" s="337">
        <f>+(AD338-AC338)*(1+$E$16)</f>
      </c>
      <c r="AE339" s="332">
        <v>334</v>
      </c>
    </row>
    <row x14ac:dyDescent="0.25" r="340" customHeight="1" ht="18.75">
      <c r="A340" s="1"/>
      <c r="B340" s="1"/>
      <c r="C340" s="169"/>
      <c r="D340" s="169"/>
      <c r="E340" s="168"/>
      <c r="F340" s="169"/>
      <c r="G340" s="170"/>
      <c r="H340" s="1"/>
      <c r="I340" s="1"/>
      <c r="J340" s="1"/>
      <c r="K340" s="1"/>
      <c r="L340" s="1"/>
      <c r="M340" s="331">
        <f>P340</f>
      </c>
      <c r="N340" s="335">
        <f>+IF(O340&lt;N339,O340,N339)</f>
      </c>
      <c r="O340" s="335">
        <f>+(O339-N339)*(1+$E$13)</f>
      </c>
      <c r="P340" s="332">
        <v>335</v>
      </c>
      <c r="Q340" s="1"/>
      <c r="R340" s="331">
        <f>U340</f>
      </c>
      <c r="S340" s="335">
        <f>+IF(T340&lt;S339,T340,S339)</f>
      </c>
      <c r="T340" s="335">
        <f>+(T339-S339)*(1+$E$14)</f>
      </c>
      <c r="U340" s="332">
        <v>335</v>
      </c>
      <c r="V340" s="1"/>
      <c r="W340" s="331">
        <f>Z340</f>
      </c>
      <c r="X340" s="336">
        <f>+IF(Y340&lt;X339,Y340,X339)</f>
      </c>
      <c r="Y340" s="337">
        <f>+(Y339-X339)*(1+$E$15)</f>
      </c>
      <c r="Z340" s="332">
        <v>335</v>
      </c>
      <c r="AA340" s="1"/>
      <c r="AB340" s="331">
        <f>AE340</f>
      </c>
      <c r="AC340" s="336">
        <f>+IF(AD340&lt;AC339,AD340,AC339)</f>
      </c>
      <c r="AD340" s="337">
        <f>+(AD339-AC339)*(1+$E$16)</f>
      </c>
      <c r="AE340" s="332">
        <v>335</v>
      </c>
    </row>
    <row x14ac:dyDescent="0.25" r="341" customHeight="1" ht="18.75">
      <c r="A341" s="1"/>
      <c r="B341" s="1"/>
      <c r="C341" s="169"/>
      <c r="D341" s="169"/>
      <c r="E341" s="168"/>
      <c r="F341" s="169"/>
      <c r="G341" s="170"/>
      <c r="H341" s="1"/>
      <c r="I341" s="1"/>
      <c r="J341" s="1"/>
      <c r="K341" s="1"/>
      <c r="L341" s="1"/>
      <c r="M341" s="331">
        <f>P341</f>
      </c>
      <c r="N341" s="335">
        <f>+IF(O341&lt;N340,O341,N340)</f>
      </c>
      <c r="O341" s="335">
        <f>+(O340-N340)*(1+$E$13)</f>
      </c>
      <c r="P341" s="332">
        <v>336</v>
      </c>
      <c r="Q341" s="1"/>
      <c r="R341" s="331">
        <f>U341</f>
      </c>
      <c r="S341" s="335">
        <f>+IF(T341&lt;S340,T341,S340)</f>
      </c>
      <c r="T341" s="335">
        <f>+(T340-S340)*(1+$E$14)</f>
      </c>
      <c r="U341" s="332">
        <v>336</v>
      </c>
      <c r="V341" s="1"/>
      <c r="W341" s="331">
        <f>Z341</f>
      </c>
      <c r="X341" s="336">
        <f>+IF(Y341&lt;X340,Y341,X340)</f>
      </c>
      <c r="Y341" s="337">
        <f>+(Y340-X340)*(1+$E$15)</f>
      </c>
      <c r="Z341" s="332">
        <v>336</v>
      </c>
      <c r="AA341" s="1"/>
      <c r="AB341" s="331">
        <f>AE341</f>
      </c>
      <c r="AC341" s="336">
        <f>+IF(AD341&lt;AC340,AD341,AC340)</f>
      </c>
      <c r="AD341" s="337">
        <f>+(AD340-AC340)*(1+$E$16)</f>
      </c>
      <c r="AE341" s="332">
        <v>336</v>
      </c>
    </row>
    <row x14ac:dyDescent="0.25" r="342" customHeight="1" ht="18.75">
      <c r="A342" s="1"/>
      <c r="B342" s="1"/>
      <c r="C342" s="169"/>
      <c r="D342" s="169"/>
      <c r="E342" s="168"/>
      <c r="F342" s="169"/>
      <c r="G342" s="170"/>
      <c r="H342" s="1"/>
      <c r="I342" s="1"/>
      <c r="J342" s="1"/>
      <c r="K342" s="1"/>
      <c r="L342" s="1"/>
      <c r="M342" s="331">
        <f>P342</f>
      </c>
      <c r="N342" s="335">
        <f>+IF(O342&lt;N341,O342,N341)</f>
      </c>
      <c r="O342" s="335">
        <f>+(O341-N341)*(1+$E$13)</f>
      </c>
      <c r="P342" s="332">
        <v>337</v>
      </c>
      <c r="Q342" s="1"/>
      <c r="R342" s="331">
        <f>U342</f>
      </c>
      <c r="S342" s="335">
        <f>+IF(T342&lt;S341,T342,S341)</f>
      </c>
      <c r="T342" s="335">
        <f>+(T341-S341)*(1+$E$14)</f>
      </c>
      <c r="U342" s="332">
        <v>337</v>
      </c>
      <c r="V342" s="1"/>
      <c r="W342" s="331">
        <f>Z342</f>
      </c>
      <c r="X342" s="336">
        <f>+IF(Y342&lt;X341,Y342,X341)</f>
      </c>
      <c r="Y342" s="337">
        <f>+(Y341-X341)*(1+$E$15)</f>
      </c>
      <c r="Z342" s="332">
        <v>337</v>
      </c>
      <c r="AA342" s="1"/>
      <c r="AB342" s="331">
        <f>AE342</f>
      </c>
      <c r="AC342" s="336">
        <f>+IF(AD342&lt;AC341,AD342,AC341)</f>
      </c>
      <c r="AD342" s="337">
        <f>+(AD341-AC341)*(1+$E$16)</f>
      </c>
      <c r="AE342" s="332">
        <v>337</v>
      </c>
    </row>
    <row x14ac:dyDescent="0.25" r="343" customHeight="1" ht="18.75">
      <c r="A343" s="1"/>
      <c r="B343" s="1"/>
      <c r="C343" s="169"/>
      <c r="D343" s="169"/>
      <c r="E343" s="168"/>
      <c r="F343" s="169"/>
      <c r="G343" s="170"/>
      <c r="H343" s="1"/>
      <c r="I343" s="1"/>
      <c r="J343" s="1"/>
      <c r="K343" s="1"/>
      <c r="L343" s="1"/>
      <c r="M343" s="331">
        <f>P343</f>
      </c>
      <c r="N343" s="335">
        <f>+IF(O343&lt;N342,O343,N342)</f>
      </c>
      <c r="O343" s="335">
        <f>+(O342-N342)*(1+$E$13)</f>
      </c>
      <c r="P343" s="332">
        <v>338</v>
      </c>
      <c r="Q343" s="1"/>
      <c r="R343" s="331">
        <f>U343</f>
      </c>
      <c r="S343" s="335">
        <f>+IF(T343&lt;S342,T343,S342)</f>
      </c>
      <c r="T343" s="335">
        <f>+(T342-S342)*(1+$E$14)</f>
      </c>
      <c r="U343" s="332">
        <v>338</v>
      </c>
      <c r="V343" s="1"/>
      <c r="W343" s="331">
        <f>Z343</f>
      </c>
      <c r="X343" s="336">
        <f>+IF(Y343&lt;X342,Y343,X342)</f>
      </c>
      <c r="Y343" s="337">
        <f>+(Y342-X342)*(1+$E$15)</f>
      </c>
      <c r="Z343" s="332">
        <v>338</v>
      </c>
      <c r="AA343" s="1"/>
      <c r="AB343" s="331">
        <f>AE343</f>
      </c>
      <c r="AC343" s="336">
        <f>+IF(AD343&lt;AC342,AD343,AC342)</f>
      </c>
      <c r="AD343" s="337">
        <f>+(AD342-AC342)*(1+$E$16)</f>
      </c>
      <c r="AE343" s="332">
        <v>338</v>
      </c>
    </row>
    <row x14ac:dyDescent="0.25" r="344" customHeight="1" ht="18.75">
      <c r="A344" s="1"/>
      <c r="B344" s="1"/>
      <c r="C344" s="169"/>
      <c r="D344" s="169"/>
      <c r="E344" s="168"/>
      <c r="F344" s="169"/>
      <c r="G344" s="170"/>
      <c r="H344" s="1"/>
      <c r="I344" s="1"/>
      <c r="J344" s="1"/>
      <c r="K344" s="1"/>
      <c r="L344" s="1"/>
      <c r="M344" s="331">
        <f>P344</f>
      </c>
      <c r="N344" s="335">
        <f>+IF(O344&lt;N343,O344,N343)</f>
      </c>
      <c r="O344" s="335">
        <f>+(O343-N343)*(1+$E$13)</f>
      </c>
      <c r="P344" s="332">
        <v>339</v>
      </c>
      <c r="Q344" s="1"/>
      <c r="R344" s="331">
        <f>U344</f>
      </c>
      <c r="S344" s="335">
        <f>+IF(T344&lt;S343,T344,S343)</f>
      </c>
      <c r="T344" s="335">
        <f>+(T343-S343)*(1+$E$14)</f>
      </c>
      <c r="U344" s="332">
        <v>339</v>
      </c>
      <c r="V344" s="1"/>
      <c r="W344" s="331">
        <f>Z344</f>
      </c>
      <c r="X344" s="336">
        <f>+IF(Y344&lt;X343,Y344,X343)</f>
      </c>
      <c r="Y344" s="337">
        <f>+(Y343-X343)*(1+$E$15)</f>
      </c>
      <c r="Z344" s="332">
        <v>339</v>
      </c>
      <c r="AA344" s="1"/>
      <c r="AB344" s="331">
        <f>AE344</f>
      </c>
      <c r="AC344" s="336">
        <f>+IF(AD344&lt;AC343,AD344,AC343)</f>
      </c>
      <c r="AD344" s="337">
        <f>+(AD343-AC343)*(1+$E$16)</f>
      </c>
      <c r="AE344" s="332">
        <v>339</v>
      </c>
    </row>
    <row x14ac:dyDescent="0.25" r="345" customHeight="1" ht="18.75">
      <c r="A345" s="1"/>
      <c r="B345" s="1"/>
      <c r="C345" s="169"/>
      <c r="D345" s="169"/>
      <c r="E345" s="168"/>
      <c r="F345" s="169"/>
      <c r="G345" s="170"/>
      <c r="H345" s="1"/>
      <c r="I345" s="1"/>
      <c r="J345" s="1"/>
      <c r="K345" s="1"/>
      <c r="L345" s="1"/>
      <c r="M345" s="331">
        <f>P345</f>
      </c>
      <c r="N345" s="335">
        <f>+IF(O345&lt;N344,O345,N344)</f>
      </c>
      <c r="O345" s="335">
        <f>+(O344-N344)*(1+$E$13)</f>
      </c>
      <c r="P345" s="332">
        <v>340</v>
      </c>
      <c r="Q345" s="1"/>
      <c r="R345" s="331">
        <f>U345</f>
      </c>
      <c r="S345" s="335">
        <f>+IF(T345&lt;S344,T345,S344)</f>
      </c>
      <c r="T345" s="335">
        <f>+(T344-S344)*(1+$E$14)</f>
      </c>
      <c r="U345" s="332">
        <v>340</v>
      </c>
      <c r="V345" s="1"/>
      <c r="W345" s="331">
        <f>Z345</f>
      </c>
      <c r="X345" s="336">
        <f>+IF(Y345&lt;X344,Y345,X344)</f>
      </c>
      <c r="Y345" s="337">
        <f>+(Y344-X344)*(1+$E$15)</f>
      </c>
      <c r="Z345" s="332">
        <v>340</v>
      </c>
      <c r="AA345" s="1"/>
      <c r="AB345" s="331">
        <f>AE345</f>
      </c>
      <c r="AC345" s="336">
        <f>+IF(AD345&lt;AC344,AD345,AC344)</f>
      </c>
      <c r="AD345" s="337">
        <f>+(AD344-AC344)*(1+$E$16)</f>
      </c>
      <c r="AE345" s="332">
        <v>340</v>
      </c>
    </row>
    <row x14ac:dyDescent="0.25" r="346" customHeight="1" ht="18.75">
      <c r="A346" s="1"/>
      <c r="B346" s="1"/>
      <c r="C346" s="169"/>
      <c r="D346" s="169"/>
      <c r="E346" s="168"/>
      <c r="F346" s="169"/>
      <c r="G346" s="170"/>
      <c r="H346" s="1"/>
      <c r="I346" s="1"/>
      <c r="J346" s="1"/>
      <c r="K346" s="1"/>
      <c r="L346" s="1"/>
      <c r="M346" s="331">
        <f>P346</f>
      </c>
      <c r="N346" s="335">
        <f>+IF(O346&lt;N345,O346,N345)</f>
      </c>
      <c r="O346" s="335">
        <f>+(O345-N345)*(1+$E$13)</f>
      </c>
      <c r="P346" s="332">
        <v>341</v>
      </c>
      <c r="Q346" s="1"/>
      <c r="R346" s="331">
        <f>U346</f>
      </c>
      <c r="S346" s="335">
        <f>+IF(T346&lt;S345,T346,S345)</f>
      </c>
      <c r="T346" s="335">
        <f>+(T345-S345)*(1+$E$14)</f>
      </c>
      <c r="U346" s="332">
        <v>341</v>
      </c>
      <c r="V346" s="1"/>
      <c r="W346" s="331">
        <f>Z346</f>
      </c>
      <c r="X346" s="336">
        <f>+IF(Y346&lt;X345,Y346,X345)</f>
      </c>
      <c r="Y346" s="337">
        <f>+(Y345-X345)*(1+$E$15)</f>
      </c>
      <c r="Z346" s="332">
        <v>341</v>
      </c>
      <c r="AA346" s="1"/>
      <c r="AB346" s="331">
        <f>AE346</f>
      </c>
      <c r="AC346" s="336">
        <f>+IF(AD346&lt;AC345,AD346,AC345)</f>
      </c>
      <c r="AD346" s="337">
        <f>+(AD345-AC345)*(1+$E$16)</f>
      </c>
      <c r="AE346" s="332">
        <v>341</v>
      </c>
    </row>
    <row x14ac:dyDescent="0.25" r="347" customHeight="1" ht="18.75">
      <c r="A347" s="1"/>
      <c r="B347" s="1"/>
      <c r="C347" s="169"/>
      <c r="D347" s="169"/>
      <c r="E347" s="168"/>
      <c r="F347" s="169"/>
      <c r="G347" s="170"/>
      <c r="H347" s="1"/>
      <c r="I347" s="1"/>
      <c r="J347" s="1"/>
      <c r="K347" s="1"/>
      <c r="L347" s="1"/>
      <c r="M347" s="331">
        <f>P347</f>
      </c>
      <c r="N347" s="335">
        <f>+IF(O347&lt;N346,O347,N346)</f>
      </c>
      <c r="O347" s="335">
        <f>+(O346-N346)*(1+$E$13)</f>
      </c>
      <c r="P347" s="332">
        <v>342</v>
      </c>
      <c r="Q347" s="1"/>
      <c r="R347" s="331">
        <f>U347</f>
      </c>
      <c r="S347" s="335">
        <f>+IF(T347&lt;S346,T347,S346)</f>
      </c>
      <c r="T347" s="335">
        <f>+(T346-S346)*(1+$E$14)</f>
      </c>
      <c r="U347" s="332">
        <v>342</v>
      </c>
      <c r="V347" s="1"/>
      <c r="W347" s="331">
        <f>Z347</f>
      </c>
      <c r="X347" s="336">
        <f>+IF(Y347&lt;X346,Y347,X346)</f>
      </c>
      <c r="Y347" s="337">
        <f>+(Y346-X346)*(1+$E$15)</f>
      </c>
      <c r="Z347" s="332">
        <v>342</v>
      </c>
      <c r="AA347" s="1"/>
      <c r="AB347" s="331">
        <f>AE347</f>
      </c>
      <c r="AC347" s="336">
        <f>+IF(AD347&lt;AC346,AD347,AC346)</f>
      </c>
      <c r="AD347" s="337">
        <f>+(AD346-AC346)*(1+$E$16)</f>
      </c>
      <c r="AE347" s="332">
        <v>342</v>
      </c>
    </row>
    <row x14ac:dyDescent="0.25" r="348" customHeight="1" ht="18.75">
      <c r="A348" s="1"/>
      <c r="B348" s="1"/>
      <c r="C348" s="169"/>
      <c r="D348" s="169"/>
      <c r="E348" s="168"/>
      <c r="F348" s="169"/>
      <c r="G348" s="170"/>
      <c r="H348" s="1"/>
      <c r="I348" s="1"/>
      <c r="J348" s="1"/>
      <c r="K348" s="1"/>
      <c r="L348" s="1"/>
      <c r="M348" s="331">
        <f>P348</f>
      </c>
      <c r="N348" s="335">
        <f>+IF(O348&lt;N347,O348,N347)</f>
      </c>
      <c r="O348" s="335">
        <f>+(O347-N347)*(1+$E$13)</f>
      </c>
      <c r="P348" s="332">
        <v>343</v>
      </c>
      <c r="Q348" s="1"/>
      <c r="R348" s="331">
        <f>U348</f>
      </c>
      <c r="S348" s="335">
        <f>+IF(T348&lt;S347,T348,S347)</f>
      </c>
      <c r="T348" s="335">
        <f>+(T347-S347)*(1+$E$14)</f>
      </c>
      <c r="U348" s="332">
        <v>343</v>
      </c>
      <c r="V348" s="1"/>
      <c r="W348" s="331">
        <f>Z348</f>
      </c>
      <c r="X348" s="336">
        <f>+IF(Y348&lt;X347,Y348,X347)</f>
      </c>
      <c r="Y348" s="337">
        <f>+(Y347-X347)*(1+$E$15)</f>
      </c>
      <c r="Z348" s="332">
        <v>343</v>
      </c>
      <c r="AA348" s="1"/>
      <c r="AB348" s="331">
        <f>AE348</f>
      </c>
      <c r="AC348" s="336">
        <f>+IF(AD348&lt;AC347,AD348,AC347)</f>
      </c>
      <c r="AD348" s="337">
        <f>+(AD347-AC347)*(1+$E$16)</f>
      </c>
      <c r="AE348" s="332">
        <v>343</v>
      </c>
    </row>
    <row x14ac:dyDescent="0.25" r="349" customHeight="1" ht="18.75">
      <c r="A349" s="1"/>
      <c r="B349" s="1"/>
      <c r="C349" s="169"/>
      <c r="D349" s="169"/>
      <c r="E349" s="168"/>
      <c r="F349" s="169"/>
      <c r="G349" s="170"/>
      <c r="H349" s="1"/>
      <c r="I349" s="1"/>
      <c r="J349" s="1"/>
      <c r="K349" s="1"/>
      <c r="L349" s="1"/>
      <c r="M349" s="331">
        <f>P349</f>
      </c>
      <c r="N349" s="335">
        <f>+IF(O349&lt;N348,O349,N348)</f>
      </c>
      <c r="O349" s="335">
        <f>+(O348-N348)*(1+$E$13)</f>
      </c>
      <c r="P349" s="332">
        <v>344</v>
      </c>
      <c r="Q349" s="1"/>
      <c r="R349" s="331">
        <f>U349</f>
      </c>
      <c r="S349" s="335">
        <f>+IF(T349&lt;S348,T349,S348)</f>
      </c>
      <c r="T349" s="335">
        <f>+(T348-S348)*(1+$E$14)</f>
      </c>
      <c r="U349" s="332">
        <v>344</v>
      </c>
      <c r="V349" s="1"/>
      <c r="W349" s="331">
        <f>Z349</f>
      </c>
      <c r="X349" s="336">
        <f>+IF(Y349&lt;X348,Y349,X348)</f>
      </c>
      <c r="Y349" s="337">
        <f>+(Y348-X348)*(1+$E$15)</f>
      </c>
      <c r="Z349" s="332">
        <v>344</v>
      </c>
      <c r="AA349" s="1"/>
      <c r="AB349" s="331">
        <f>AE349</f>
      </c>
      <c r="AC349" s="336">
        <f>+IF(AD349&lt;AC348,AD349,AC348)</f>
      </c>
      <c r="AD349" s="337">
        <f>+(AD348-AC348)*(1+$E$16)</f>
      </c>
      <c r="AE349" s="332">
        <v>344</v>
      </c>
    </row>
    <row x14ac:dyDescent="0.25" r="350" customHeight="1" ht="18.75">
      <c r="A350" s="1"/>
      <c r="B350" s="1"/>
      <c r="C350" s="169"/>
      <c r="D350" s="169"/>
      <c r="E350" s="168"/>
      <c r="F350" s="169"/>
      <c r="G350" s="170"/>
      <c r="H350" s="1"/>
      <c r="I350" s="1"/>
      <c r="J350" s="1"/>
      <c r="K350" s="1"/>
      <c r="L350" s="1"/>
      <c r="M350" s="331">
        <f>P350</f>
      </c>
      <c r="N350" s="335">
        <f>+IF(O350&lt;N349,O350,N349)</f>
      </c>
      <c r="O350" s="335">
        <f>+(O349-N349)*(1+$E$13)</f>
      </c>
      <c r="P350" s="332">
        <v>345</v>
      </c>
      <c r="Q350" s="1"/>
      <c r="R350" s="331">
        <f>U350</f>
      </c>
      <c r="S350" s="335">
        <f>+IF(T350&lt;S349,T350,S349)</f>
      </c>
      <c r="T350" s="335">
        <f>+(T349-S349)*(1+$E$14)</f>
      </c>
      <c r="U350" s="332">
        <v>345</v>
      </c>
      <c r="V350" s="1"/>
      <c r="W350" s="331">
        <f>Z350</f>
      </c>
      <c r="X350" s="336">
        <f>+IF(Y350&lt;X349,Y350,X349)</f>
      </c>
      <c r="Y350" s="337">
        <f>+(Y349-X349)*(1+$E$15)</f>
      </c>
      <c r="Z350" s="332">
        <v>345</v>
      </c>
      <c r="AA350" s="1"/>
      <c r="AB350" s="331">
        <f>AE350</f>
      </c>
      <c r="AC350" s="336">
        <f>+IF(AD350&lt;AC349,AD350,AC349)</f>
      </c>
      <c r="AD350" s="337">
        <f>+(AD349-AC349)*(1+$E$16)</f>
      </c>
      <c r="AE350" s="332">
        <v>345</v>
      </c>
    </row>
    <row x14ac:dyDescent="0.25" r="351" customHeight="1" ht="18.75">
      <c r="A351" s="1"/>
      <c r="B351" s="1"/>
      <c r="C351" s="169"/>
      <c r="D351" s="169"/>
      <c r="E351" s="168"/>
      <c r="F351" s="169"/>
      <c r="G351" s="170"/>
      <c r="H351" s="1"/>
      <c r="I351" s="1"/>
      <c r="J351" s="1"/>
      <c r="K351" s="1"/>
      <c r="L351" s="1"/>
      <c r="M351" s="331">
        <f>P351</f>
      </c>
      <c r="N351" s="335">
        <f>+IF(O351&lt;N350,O351,N350)</f>
      </c>
      <c r="O351" s="335">
        <f>+(O350-N350)*(1+$E$13)</f>
      </c>
      <c r="P351" s="332">
        <v>346</v>
      </c>
      <c r="Q351" s="1"/>
      <c r="R351" s="331">
        <f>U351</f>
      </c>
      <c r="S351" s="335">
        <f>+IF(T351&lt;S350,T351,S350)</f>
      </c>
      <c r="T351" s="335">
        <f>+(T350-S350)*(1+$E$14)</f>
      </c>
      <c r="U351" s="332">
        <v>346</v>
      </c>
      <c r="V351" s="1"/>
      <c r="W351" s="331">
        <f>Z351</f>
      </c>
      <c r="X351" s="336">
        <f>+IF(Y351&lt;X350,Y351,X350)</f>
      </c>
      <c r="Y351" s="337">
        <f>+(Y350-X350)*(1+$E$15)</f>
      </c>
      <c r="Z351" s="332">
        <v>346</v>
      </c>
      <c r="AA351" s="1"/>
      <c r="AB351" s="331">
        <f>AE351</f>
      </c>
      <c r="AC351" s="336">
        <f>+IF(AD351&lt;AC350,AD351,AC350)</f>
      </c>
      <c r="AD351" s="337">
        <f>+(AD350-AC350)*(1+$E$16)</f>
      </c>
      <c r="AE351" s="332">
        <v>346</v>
      </c>
    </row>
    <row x14ac:dyDescent="0.25" r="352" customHeight="1" ht="18.75">
      <c r="A352" s="1"/>
      <c r="B352" s="1"/>
      <c r="C352" s="169"/>
      <c r="D352" s="169"/>
      <c r="E352" s="168"/>
      <c r="F352" s="169"/>
      <c r="G352" s="170"/>
      <c r="H352" s="1"/>
      <c r="I352" s="1"/>
      <c r="J352" s="1"/>
      <c r="K352" s="1"/>
      <c r="L352" s="1"/>
      <c r="M352" s="331">
        <f>P352</f>
      </c>
      <c r="N352" s="335">
        <f>+IF(O352&lt;N351,O352,N351)</f>
      </c>
      <c r="O352" s="335">
        <f>+(O351-N351)*(1+$E$13)</f>
      </c>
      <c r="P352" s="332">
        <v>347</v>
      </c>
      <c r="Q352" s="1"/>
      <c r="R352" s="331">
        <f>U352</f>
      </c>
      <c r="S352" s="335">
        <f>+IF(T352&lt;S351,T352,S351)</f>
      </c>
      <c r="T352" s="335">
        <f>+(T351-S351)*(1+$E$14)</f>
      </c>
      <c r="U352" s="332">
        <v>347</v>
      </c>
      <c r="V352" s="1"/>
      <c r="W352" s="331">
        <f>Z352</f>
      </c>
      <c r="X352" s="336">
        <f>+IF(Y352&lt;X351,Y352,X351)</f>
      </c>
      <c r="Y352" s="337">
        <f>+(Y351-X351)*(1+$E$15)</f>
      </c>
      <c r="Z352" s="332">
        <v>347</v>
      </c>
      <c r="AA352" s="1"/>
      <c r="AB352" s="331">
        <f>AE352</f>
      </c>
      <c r="AC352" s="336">
        <f>+IF(AD352&lt;AC351,AD352,AC351)</f>
      </c>
      <c r="AD352" s="337">
        <f>+(AD351-AC351)*(1+$E$16)</f>
      </c>
      <c r="AE352" s="332">
        <v>347</v>
      </c>
    </row>
    <row x14ac:dyDescent="0.25" r="353" customHeight="1" ht="18.75">
      <c r="A353" s="1"/>
      <c r="B353" s="1"/>
      <c r="C353" s="169"/>
      <c r="D353" s="169"/>
      <c r="E353" s="168"/>
      <c r="F353" s="169"/>
      <c r="G353" s="170"/>
      <c r="H353" s="1"/>
      <c r="I353" s="1"/>
      <c r="J353" s="1"/>
      <c r="K353" s="1"/>
      <c r="L353" s="1"/>
      <c r="M353" s="331">
        <f>P353</f>
      </c>
      <c r="N353" s="335">
        <f>+IF(O353&lt;N352,O353,N352)</f>
      </c>
      <c r="O353" s="335">
        <f>+(O352-N352)*(1+$E$13)</f>
      </c>
      <c r="P353" s="332">
        <v>348</v>
      </c>
      <c r="Q353" s="1"/>
      <c r="R353" s="331">
        <f>U353</f>
      </c>
      <c r="S353" s="335">
        <f>+IF(T353&lt;S352,T353,S352)</f>
      </c>
      <c r="T353" s="335">
        <f>+(T352-S352)*(1+$E$14)</f>
      </c>
      <c r="U353" s="332">
        <v>348</v>
      </c>
      <c r="V353" s="1"/>
      <c r="W353" s="331">
        <f>Z353</f>
      </c>
      <c r="X353" s="336">
        <f>+IF(Y353&lt;X352,Y353,X352)</f>
      </c>
      <c r="Y353" s="337">
        <f>+(Y352-X352)*(1+$E$15)</f>
      </c>
      <c r="Z353" s="332">
        <v>348</v>
      </c>
      <c r="AA353" s="1"/>
      <c r="AB353" s="331">
        <f>AE353</f>
      </c>
      <c r="AC353" s="336">
        <f>+IF(AD353&lt;AC352,AD353,AC352)</f>
      </c>
      <c r="AD353" s="337">
        <f>+(AD352-AC352)*(1+$E$16)</f>
      </c>
      <c r="AE353" s="332">
        <v>348</v>
      </c>
    </row>
    <row x14ac:dyDescent="0.25" r="354" customHeight="1" ht="18.75">
      <c r="A354" s="1"/>
      <c r="B354" s="1"/>
      <c r="C354" s="169"/>
      <c r="D354" s="169"/>
      <c r="E354" s="168"/>
      <c r="F354" s="169"/>
      <c r="G354" s="170"/>
      <c r="H354" s="1"/>
      <c r="I354" s="1"/>
      <c r="J354" s="1"/>
      <c r="K354" s="1"/>
      <c r="L354" s="1"/>
      <c r="M354" s="331">
        <f>P354</f>
      </c>
      <c r="N354" s="335">
        <f>+IF(O354&lt;N353,O354,N353)</f>
      </c>
      <c r="O354" s="335">
        <f>+(O353-N353)*(1+$E$13)</f>
      </c>
      <c r="P354" s="332">
        <v>349</v>
      </c>
      <c r="Q354" s="1"/>
      <c r="R354" s="331">
        <f>U354</f>
      </c>
      <c r="S354" s="335">
        <f>+IF(T354&lt;S353,T354,S353)</f>
      </c>
      <c r="T354" s="335">
        <f>+(T353-S353)*(1+$E$14)</f>
      </c>
      <c r="U354" s="332">
        <v>349</v>
      </c>
      <c r="V354" s="1"/>
      <c r="W354" s="331">
        <f>Z354</f>
      </c>
      <c r="X354" s="336">
        <f>+IF(Y354&lt;X353,Y354,X353)</f>
      </c>
      <c r="Y354" s="337">
        <f>+(Y353-X353)*(1+$E$15)</f>
      </c>
      <c r="Z354" s="332">
        <v>349</v>
      </c>
      <c r="AA354" s="1"/>
      <c r="AB354" s="331">
        <f>AE354</f>
      </c>
      <c r="AC354" s="336">
        <f>+IF(AD354&lt;AC353,AD354,AC353)</f>
      </c>
      <c r="AD354" s="337">
        <f>+(AD353-AC353)*(1+$E$16)</f>
      </c>
      <c r="AE354" s="332">
        <v>349</v>
      </c>
    </row>
    <row x14ac:dyDescent="0.25" r="355" customHeight="1" ht="18.75">
      <c r="A355" s="1"/>
      <c r="B355" s="1"/>
      <c r="C355" s="169"/>
      <c r="D355" s="169"/>
      <c r="E355" s="168"/>
      <c r="F355" s="169"/>
      <c r="G355" s="170"/>
      <c r="H355" s="1"/>
      <c r="I355" s="1"/>
      <c r="J355" s="1"/>
      <c r="K355" s="1"/>
      <c r="L355" s="1"/>
      <c r="M355" s="331">
        <f>P355</f>
      </c>
      <c r="N355" s="335">
        <f>+IF(O355&lt;N354,O355,N354)</f>
      </c>
      <c r="O355" s="335">
        <f>+(O354-N354)*(1+$E$13)</f>
      </c>
      <c r="P355" s="332">
        <v>350</v>
      </c>
      <c r="Q355" s="1"/>
      <c r="R355" s="331">
        <f>U355</f>
      </c>
      <c r="S355" s="335">
        <f>+IF(T355&lt;S354,T355,S354)</f>
      </c>
      <c r="T355" s="335">
        <f>+(T354-S354)*(1+$E$14)</f>
      </c>
      <c r="U355" s="332">
        <v>350</v>
      </c>
      <c r="V355" s="1"/>
      <c r="W355" s="331">
        <f>Z355</f>
      </c>
      <c r="X355" s="336">
        <f>+IF(Y355&lt;X354,Y355,X354)</f>
      </c>
      <c r="Y355" s="337">
        <f>+(Y354-X354)*(1+$E$15)</f>
      </c>
      <c r="Z355" s="332">
        <v>350</v>
      </c>
      <c r="AA355" s="1"/>
      <c r="AB355" s="331">
        <f>AE355</f>
      </c>
      <c r="AC355" s="336">
        <f>+IF(AD355&lt;AC354,AD355,AC354)</f>
      </c>
      <c r="AD355" s="337">
        <f>+(AD354-AC354)*(1+$E$16)</f>
      </c>
      <c r="AE355" s="332">
        <v>350</v>
      </c>
    </row>
    <row x14ac:dyDescent="0.25" r="356" customHeight="1" ht="18.75">
      <c r="A356" s="1"/>
      <c r="B356" s="1"/>
      <c r="C356" s="169"/>
      <c r="D356" s="169"/>
      <c r="E356" s="168"/>
      <c r="F356" s="169"/>
      <c r="G356" s="170"/>
      <c r="H356" s="1"/>
      <c r="I356" s="1"/>
      <c r="J356" s="1"/>
      <c r="K356" s="1"/>
      <c r="L356" s="1"/>
      <c r="M356" s="331">
        <f>P356</f>
      </c>
      <c r="N356" s="335">
        <f>+IF(O356&lt;N355,O356,N355)</f>
      </c>
      <c r="O356" s="335">
        <f>+(O355-N355)*(1+$E$13)</f>
      </c>
      <c r="P356" s="332">
        <v>351</v>
      </c>
      <c r="Q356" s="1"/>
      <c r="R356" s="331">
        <f>U356</f>
      </c>
      <c r="S356" s="335">
        <f>+IF(T356&lt;S355,T356,S355)</f>
      </c>
      <c r="T356" s="335">
        <f>+(T355-S355)*(1+$E$14)</f>
      </c>
      <c r="U356" s="332">
        <v>351</v>
      </c>
      <c r="V356" s="1"/>
      <c r="W356" s="331">
        <f>Z356</f>
      </c>
      <c r="X356" s="336">
        <f>+IF(Y356&lt;X355,Y356,X355)</f>
      </c>
      <c r="Y356" s="337">
        <f>+(Y355-X355)*(1+$E$15)</f>
      </c>
      <c r="Z356" s="332">
        <v>351</v>
      </c>
      <c r="AA356" s="1"/>
      <c r="AB356" s="331">
        <f>AE356</f>
      </c>
      <c r="AC356" s="336">
        <f>+IF(AD356&lt;AC355,AD356,AC355)</f>
      </c>
      <c r="AD356" s="337">
        <f>+(AD355-AC355)*(1+$E$16)</f>
      </c>
      <c r="AE356" s="332">
        <v>351</v>
      </c>
    </row>
    <row x14ac:dyDescent="0.25" r="357" customHeight="1" ht="18.75">
      <c r="A357" s="1"/>
      <c r="B357" s="1"/>
      <c r="C357" s="169"/>
      <c r="D357" s="169"/>
      <c r="E357" s="168"/>
      <c r="F357" s="169"/>
      <c r="G357" s="170"/>
      <c r="H357" s="1"/>
      <c r="I357" s="1"/>
      <c r="J357" s="1"/>
      <c r="K357" s="1"/>
      <c r="L357" s="1"/>
      <c r="M357" s="331">
        <f>P357</f>
      </c>
      <c r="N357" s="335">
        <f>+IF(O357&lt;N356,O357,N356)</f>
      </c>
      <c r="O357" s="335">
        <f>+(O356-N356)*(1+$E$13)</f>
      </c>
      <c r="P357" s="332">
        <v>352</v>
      </c>
      <c r="Q357" s="1"/>
      <c r="R357" s="331">
        <f>U357</f>
      </c>
      <c r="S357" s="335">
        <f>+IF(T357&lt;S356,T357,S356)</f>
      </c>
      <c r="T357" s="335">
        <f>+(T356-S356)*(1+$E$14)</f>
      </c>
      <c r="U357" s="332">
        <v>352</v>
      </c>
      <c r="V357" s="1"/>
      <c r="W357" s="331">
        <f>Z357</f>
      </c>
      <c r="X357" s="336">
        <f>+IF(Y357&lt;X356,Y357,X356)</f>
      </c>
      <c r="Y357" s="337">
        <f>+(Y356-X356)*(1+$E$15)</f>
      </c>
      <c r="Z357" s="332">
        <v>352</v>
      </c>
      <c r="AA357" s="1"/>
      <c r="AB357" s="331">
        <f>AE357</f>
      </c>
      <c r="AC357" s="336">
        <f>+IF(AD357&lt;AC356,AD357,AC356)</f>
      </c>
      <c r="AD357" s="337">
        <f>+(AD356-AC356)*(1+$E$16)</f>
      </c>
      <c r="AE357" s="332">
        <v>352</v>
      </c>
    </row>
    <row x14ac:dyDescent="0.25" r="358" customHeight="1" ht="18.75">
      <c r="A358" s="1"/>
      <c r="B358" s="1"/>
      <c r="C358" s="169"/>
      <c r="D358" s="169"/>
      <c r="E358" s="168"/>
      <c r="F358" s="169"/>
      <c r="G358" s="170"/>
      <c r="H358" s="1"/>
      <c r="I358" s="1"/>
      <c r="J358" s="1"/>
      <c r="K358" s="1"/>
      <c r="L358" s="1"/>
      <c r="M358" s="331">
        <f>P358</f>
      </c>
      <c r="N358" s="335">
        <f>+IF(O358&lt;N357,O358,N357)</f>
      </c>
      <c r="O358" s="335">
        <f>+(O357-N357)*(1+$E$13)</f>
      </c>
      <c r="P358" s="332">
        <v>353</v>
      </c>
      <c r="Q358" s="1"/>
      <c r="R358" s="331">
        <f>U358</f>
      </c>
      <c r="S358" s="335">
        <f>+IF(T358&lt;S357,T358,S357)</f>
      </c>
      <c r="T358" s="335">
        <f>+(T357-S357)*(1+$E$14)</f>
      </c>
      <c r="U358" s="332">
        <v>353</v>
      </c>
      <c r="V358" s="1"/>
      <c r="W358" s="331">
        <f>Z358</f>
      </c>
      <c r="X358" s="336">
        <f>+IF(Y358&lt;X357,Y358,X357)</f>
      </c>
      <c r="Y358" s="337">
        <f>+(Y357-X357)*(1+$E$15)</f>
      </c>
      <c r="Z358" s="332">
        <v>353</v>
      </c>
      <c r="AA358" s="1"/>
      <c r="AB358" s="331">
        <f>AE358</f>
      </c>
      <c r="AC358" s="336">
        <f>+IF(AD358&lt;AC357,AD358,AC357)</f>
      </c>
      <c r="AD358" s="337">
        <f>+(AD357-AC357)*(1+$E$16)</f>
      </c>
      <c r="AE358" s="332">
        <v>353</v>
      </c>
    </row>
    <row x14ac:dyDescent="0.25" r="359" customHeight="1" ht="18.75">
      <c r="A359" s="1"/>
      <c r="B359" s="1"/>
      <c r="C359" s="169"/>
      <c r="D359" s="169"/>
      <c r="E359" s="168"/>
      <c r="F359" s="169"/>
      <c r="G359" s="170"/>
      <c r="H359" s="1"/>
      <c r="I359" s="1"/>
      <c r="J359" s="1"/>
      <c r="K359" s="1"/>
      <c r="L359" s="1"/>
      <c r="M359" s="331">
        <f>P359</f>
      </c>
      <c r="N359" s="335">
        <f>+IF(O359&lt;N358,O359,N358)</f>
      </c>
      <c r="O359" s="335">
        <f>+(O358-N358)*(1+$E$13)</f>
      </c>
      <c r="P359" s="332">
        <v>354</v>
      </c>
      <c r="Q359" s="1"/>
      <c r="R359" s="331">
        <f>U359</f>
      </c>
      <c r="S359" s="335">
        <f>+IF(T359&lt;S358,T359,S358)</f>
      </c>
      <c r="T359" s="335">
        <f>+(T358-S358)*(1+$E$14)</f>
      </c>
      <c r="U359" s="332">
        <v>354</v>
      </c>
      <c r="V359" s="1"/>
      <c r="W359" s="331">
        <f>Z359</f>
      </c>
      <c r="X359" s="336">
        <f>+IF(Y359&lt;X358,Y359,X358)</f>
      </c>
      <c r="Y359" s="337">
        <f>+(Y358-X358)*(1+$E$15)</f>
      </c>
      <c r="Z359" s="332">
        <v>354</v>
      </c>
      <c r="AA359" s="1"/>
      <c r="AB359" s="331">
        <f>AE359</f>
      </c>
      <c r="AC359" s="336">
        <f>+IF(AD359&lt;AC358,AD359,AC358)</f>
      </c>
      <c r="AD359" s="337">
        <f>+(AD358-AC358)*(1+$E$16)</f>
      </c>
      <c r="AE359" s="332">
        <v>354</v>
      </c>
    </row>
    <row x14ac:dyDescent="0.25" r="360" customHeight="1" ht="18.75">
      <c r="A360" s="1"/>
      <c r="B360" s="1"/>
      <c r="C360" s="169"/>
      <c r="D360" s="169"/>
      <c r="E360" s="168"/>
      <c r="F360" s="169"/>
      <c r="G360" s="170"/>
      <c r="H360" s="1"/>
      <c r="I360" s="1"/>
      <c r="J360" s="1"/>
      <c r="K360" s="1"/>
      <c r="L360" s="1"/>
      <c r="M360" s="331">
        <f>P360</f>
      </c>
      <c r="N360" s="335">
        <f>+IF(O360&lt;N359,O360,N359)</f>
      </c>
      <c r="O360" s="335">
        <f>+(O359-N359)*(1+$E$13)</f>
      </c>
      <c r="P360" s="332">
        <v>355</v>
      </c>
      <c r="Q360" s="1"/>
      <c r="R360" s="331">
        <f>U360</f>
      </c>
      <c r="S360" s="335">
        <f>+IF(T360&lt;S359,T360,S359)</f>
      </c>
      <c r="T360" s="335">
        <f>+(T359-S359)*(1+$E$14)</f>
      </c>
      <c r="U360" s="332">
        <v>355</v>
      </c>
      <c r="V360" s="1"/>
      <c r="W360" s="331">
        <f>Z360</f>
      </c>
      <c r="X360" s="336">
        <f>+IF(Y360&lt;X359,Y360,X359)</f>
      </c>
      <c r="Y360" s="337">
        <f>+(Y359-X359)*(1+$E$15)</f>
      </c>
      <c r="Z360" s="332">
        <v>355</v>
      </c>
      <c r="AA360" s="1"/>
      <c r="AB360" s="331">
        <f>AE360</f>
      </c>
      <c r="AC360" s="336">
        <f>+IF(AD360&lt;AC359,AD360,AC359)</f>
      </c>
      <c r="AD360" s="337">
        <f>+(AD359-AC359)*(1+$E$16)</f>
      </c>
      <c r="AE360" s="332">
        <v>355</v>
      </c>
    </row>
    <row x14ac:dyDescent="0.25" r="361" customHeight="1" ht="18.75">
      <c r="A361" s="1"/>
      <c r="B361" s="1"/>
      <c r="C361" s="169"/>
      <c r="D361" s="169"/>
      <c r="E361" s="168"/>
      <c r="F361" s="169"/>
      <c r="G361" s="170"/>
      <c r="H361" s="1"/>
      <c r="I361" s="1"/>
      <c r="J361" s="1"/>
      <c r="K361" s="1"/>
      <c r="L361" s="1"/>
      <c r="M361" s="331">
        <f>P361</f>
      </c>
      <c r="N361" s="335">
        <f>+IF(O361&lt;N360,O361,N360)</f>
      </c>
      <c r="O361" s="335">
        <f>+(O360-N360)*(1+$E$13)</f>
      </c>
      <c r="P361" s="332">
        <v>356</v>
      </c>
      <c r="Q361" s="1"/>
      <c r="R361" s="331">
        <f>U361</f>
      </c>
      <c r="S361" s="335">
        <f>+IF(T361&lt;S360,T361,S360)</f>
      </c>
      <c r="T361" s="335">
        <f>+(T360-S360)*(1+$E$14)</f>
      </c>
      <c r="U361" s="332">
        <v>356</v>
      </c>
      <c r="V361" s="1"/>
      <c r="W361" s="331">
        <f>Z361</f>
      </c>
      <c r="X361" s="336">
        <f>+IF(Y361&lt;X360,Y361,X360)</f>
      </c>
      <c r="Y361" s="337">
        <f>+(Y360-X360)*(1+$E$15)</f>
      </c>
      <c r="Z361" s="332">
        <v>356</v>
      </c>
      <c r="AA361" s="1"/>
      <c r="AB361" s="331">
        <f>AE361</f>
      </c>
      <c r="AC361" s="336">
        <f>+IF(AD361&lt;AC360,AD361,AC360)</f>
      </c>
      <c r="AD361" s="337">
        <f>+(AD360-AC360)*(1+$E$16)</f>
      </c>
      <c r="AE361" s="332">
        <v>356</v>
      </c>
    </row>
    <row x14ac:dyDescent="0.25" r="362" customHeight="1" ht="18.75">
      <c r="A362" s="1"/>
      <c r="B362" s="1"/>
      <c r="C362" s="169"/>
      <c r="D362" s="169"/>
      <c r="E362" s="168"/>
      <c r="F362" s="169"/>
      <c r="G362" s="170"/>
      <c r="H362" s="1"/>
      <c r="I362" s="1"/>
      <c r="J362" s="1"/>
      <c r="K362" s="1"/>
      <c r="L362" s="1"/>
      <c r="M362" s="331">
        <f>P362</f>
      </c>
      <c r="N362" s="335">
        <f>+IF(O362&lt;N361,O362,N361)</f>
      </c>
      <c r="O362" s="335">
        <f>+(O361-N361)*(1+$E$13)</f>
      </c>
      <c r="P362" s="332">
        <v>357</v>
      </c>
      <c r="Q362" s="1"/>
      <c r="R362" s="331">
        <f>U362</f>
      </c>
      <c r="S362" s="335">
        <f>+IF(T362&lt;S361,T362,S361)</f>
      </c>
      <c r="T362" s="335">
        <f>+(T361-S361)*(1+$E$14)</f>
      </c>
      <c r="U362" s="332">
        <v>357</v>
      </c>
      <c r="V362" s="1"/>
      <c r="W362" s="331">
        <f>Z362</f>
      </c>
      <c r="X362" s="336">
        <f>+IF(Y362&lt;X361,Y362,X361)</f>
      </c>
      <c r="Y362" s="337">
        <f>+(Y361-X361)*(1+$E$15)</f>
      </c>
      <c r="Z362" s="332">
        <v>357</v>
      </c>
      <c r="AA362" s="1"/>
      <c r="AB362" s="331">
        <f>AE362</f>
      </c>
      <c r="AC362" s="336">
        <f>+IF(AD362&lt;AC361,AD362,AC361)</f>
      </c>
      <c r="AD362" s="337">
        <f>+(AD361-AC361)*(1+$E$16)</f>
      </c>
      <c r="AE362" s="332">
        <v>357</v>
      </c>
    </row>
    <row x14ac:dyDescent="0.25" r="363" customHeight="1" ht="18.75">
      <c r="A363" s="1"/>
      <c r="B363" s="1"/>
      <c r="C363" s="169"/>
      <c r="D363" s="169"/>
      <c r="E363" s="168"/>
      <c r="F363" s="169"/>
      <c r="G363" s="170"/>
      <c r="H363" s="1"/>
      <c r="I363" s="1"/>
      <c r="J363" s="1"/>
      <c r="K363" s="1"/>
      <c r="L363" s="1"/>
      <c r="M363" s="331">
        <f>P363</f>
      </c>
      <c r="N363" s="335">
        <f>+IF(O363&lt;N362,O363,N362)</f>
      </c>
      <c r="O363" s="335">
        <f>+(O362-N362)*(1+$E$13)</f>
      </c>
      <c r="P363" s="332">
        <v>358</v>
      </c>
      <c r="Q363" s="1"/>
      <c r="R363" s="331">
        <f>U363</f>
      </c>
      <c r="S363" s="335">
        <f>+IF(T363&lt;S362,T363,S362)</f>
      </c>
      <c r="T363" s="335">
        <f>+(T362-S362)*(1+$E$14)</f>
      </c>
      <c r="U363" s="332">
        <v>358</v>
      </c>
      <c r="V363" s="1"/>
      <c r="W363" s="331">
        <f>Z363</f>
      </c>
      <c r="X363" s="336">
        <f>+IF(Y363&lt;X362,Y363,X362)</f>
      </c>
      <c r="Y363" s="337">
        <f>+(Y362-X362)*(1+$E$15)</f>
      </c>
      <c r="Z363" s="332">
        <v>358</v>
      </c>
      <c r="AA363" s="1"/>
      <c r="AB363" s="331">
        <f>AE363</f>
      </c>
      <c r="AC363" s="336">
        <f>+IF(AD363&lt;AC362,AD363,AC362)</f>
      </c>
      <c r="AD363" s="337">
        <f>+(AD362-AC362)*(1+$E$16)</f>
      </c>
      <c r="AE363" s="332">
        <v>358</v>
      </c>
    </row>
    <row x14ac:dyDescent="0.25" r="364" customHeight="1" ht="18.75">
      <c r="A364" s="1"/>
      <c r="B364" s="1"/>
      <c r="C364" s="169"/>
      <c r="D364" s="169"/>
      <c r="E364" s="168"/>
      <c r="F364" s="169"/>
      <c r="G364" s="170"/>
      <c r="H364" s="1"/>
      <c r="I364" s="1"/>
      <c r="J364" s="1"/>
      <c r="K364" s="1"/>
      <c r="L364" s="1"/>
      <c r="M364" s="331">
        <f>P364</f>
      </c>
      <c r="N364" s="335">
        <f>+IF(O364&lt;N363,O364,N363)</f>
      </c>
      <c r="O364" s="335">
        <f>+(O363-N363)*(1+$E$13)</f>
      </c>
      <c r="P364" s="332">
        <v>359</v>
      </c>
      <c r="Q364" s="1"/>
      <c r="R364" s="331">
        <f>U364</f>
      </c>
      <c r="S364" s="335">
        <f>+IF(T364&lt;S363,T364,S363)</f>
      </c>
      <c r="T364" s="335">
        <f>+(T363-S363)*(1+$E$14)</f>
      </c>
      <c r="U364" s="332">
        <v>359</v>
      </c>
      <c r="V364" s="1"/>
      <c r="W364" s="331">
        <f>Z364</f>
      </c>
      <c r="X364" s="336">
        <f>+IF(Y364&lt;X363,Y364,X363)</f>
      </c>
      <c r="Y364" s="337">
        <f>+(Y363-X363)*(1+$E$15)</f>
      </c>
      <c r="Z364" s="332">
        <v>359</v>
      </c>
      <c r="AA364" s="1"/>
      <c r="AB364" s="331">
        <f>AE364</f>
      </c>
      <c r="AC364" s="336">
        <f>+IF(AD364&lt;AC363,AD364,AC363)</f>
      </c>
      <c r="AD364" s="337">
        <f>+(AD363-AC363)*(1+$E$16)</f>
      </c>
      <c r="AE364" s="332">
        <v>359</v>
      </c>
    </row>
    <row x14ac:dyDescent="0.25" r="365" customHeight="1" ht="18.75">
      <c r="A365" s="1"/>
      <c r="B365" s="1"/>
      <c r="C365" s="169"/>
      <c r="D365" s="169"/>
      <c r="E365" s="168"/>
      <c r="F365" s="169"/>
      <c r="G365" s="170"/>
      <c r="H365" s="1"/>
      <c r="I365" s="1"/>
      <c r="J365" s="1"/>
      <c r="K365" s="1"/>
      <c r="L365" s="1"/>
      <c r="M365" s="331">
        <f>P365</f>
      </c>
      <c r="N365" s="335">
        <f>+IF(O365&lt;N364,O365,N364)</f>
      </c>
      <c r="O365" s="335">
        <f>+(O364-N364)*(1+$E$13)</f>
      </c>
      <c r="P365" s="332">
        <v>360</v>
      </c>
      <c r="Q365" s="1"/>
      <c r="R365" s="331">
        <f>U365</f>
      </c>
      <c r="S365" s="335">
        <f>+IF(T365&lt;S364,T365,S364)</f>
      </c>
      <c r="T365" s="335">
        <f>+(T364-S364)*(1+$E$14)</f>
      </c>
      <c r="U365" s="332">
        <v>360</v>
      </c>
      <c r="V365" s="1"/>
      <c r="W365" s="331">
        <f>Z365</f>
      </c>
      <c r="X365" s="336">
        <f>+IF(Y365&lt;X364,Y365,X364)</f>
      </c>
      <c r="Y365" s="337">
        <f>+(Y364-X364)*(1+$E$15)</f>
      </c>
      <c r="Z365" s="332">
        <v>360</v>
      </c>
      <c r="AA365" s="1"/>
      <c r="AB365" s="331">
        <f>AE365</f>
      </c>
      <c r="AC365" s="336">
        <f>+IF(AD365&lt;AC364,AD365,AC364)</f>
      </c>
      <c r="AD365" s="337">
        <f>+(AD364-AC364)*(1+$E$16)</f>
      </c>
      <c r="AE365" s="332">
        <v>360</v>
      </c>
    </row>
    <row x14ac:dyDescent="0.25" r="366" customHeight="1" ht="18.75">
      <c r="A366" s="1"/>
      <c r="B366" s="1"/>
      <c r="C366" s="169"/>
      <c r="D366" s="169"/>
      <c r="E366" s="168"/>
      <c r="F366" s="169"/>
      <c r="G366" s="170"/>
      <c r="H366" s="1"/>
      <c r="I366" s="1"/>
      <c r="J366" s="1"/>
      <c r="K366" s="1"/>
      <c r="L366" s="1"/>
      <c r="M366" s="331">
        <f>P366</f>
      </c>
      <c r="N366" s="335">
        <f>+IF(O366&lt;N365,O366,N365)</f>
      </c>
      <c r="O366" s="335">
        <f>+(O365-N365)*(1+$E$13)</f>
      </c>
      <c r="P366" s="332">
        <v>361</v>
      </c>
      <c r="Q366" s="1"/>
      <c r="R366" s="331">
        <f>U366</f>
      </c>
      <c r="S366" s="335">
        <f>+IF(T366&lt;S365,T366,S365)</f>
      </c>
      <c r="T366" s="335">
        <f>+(T365-S365)*(1+$E$14)</f>
      </c>
      <c r="U366" s="332">
        <v>361</v>
      </c>
      <c r="V366" s="1"/>
      <c r="W366" s="331">
        <f>Z366</f>
      </c>
      <c r="X366" s="336">
        <f>+IF(Y366&lt;X365,Y366,X365)</f>
      </c>
      <c r="Y366" s="337">
        <f>+(Y365-X365)*(1+$E$15)</f>
      </c>
      <c r="Z366" s="332">
        <v>361</v>
      </c>
      <c r="AA366" s="1"/>
      <c r="AB366" s="331">
        <f>AE366</f>
      </c>
      <c r="AC366" s="336">
        <f>+IF(AD366&lt;AC365,AD366,AC365)</f>
      </c>
      <c r="AD366" s="337">
        <f>+(AD365-AC365)*(1+$E$16)</f>
      </c>
      <c r="AE366" s="332">
        <v>361</v>
      </c>
    </row>
    <row x14ac:dyDescent="0.25" r="367" customHeight="1" ht="18.75">
      <c r="A367" s="1"/>
      <c r="B367" s="1"/>
      <c r="C367" s="169"/>
      <c r="D367" s="169"/>
      <c r="E367" s="168"/>
      <c r="F367" s="169"/>
      <c r="G367" s="170"/>
      <c r="H367" s="1"/>
      <c r="I367" s="1"/>
      <c r="J367" s="1"/>
      <c r="K367" s="1"/>
      <c r="L367" s="1"/>
      <c r="M367" s="331">
        <f>P367</f>
      </c>
      <c r="N367" s="335">
        <f>+IF(O367&lt;N366,O367,N366)</f>
      </c>
      <c r="O367" s="335">
        <f>+(O366-N366)*(1+$E$13)</f>
      </c>
      <c r="P367" s="332">
        <v>362</v>
      </c>
      <c r="Q367" s="1"/>
      <c r="R367" s="331">
        <f>U367</f>
      </c>
      <c r="S367" s="335">
        <f>+IF(T367&lt;S366,T367,S366)</f>
      </c>
      <c r="T367" s="335">
        <f>+(T366-S366)*(1+$E$14)</f>
      </c>
      <c r="U367" s="332">
        <v>362</v>
      </c>
      <c r="V367" s="1"/>
      <c r="W367" s="331">
        <f>Z367</f>
      </c>
      <c r="X367" s="336">
        <f>+IF(Y367&lt;X366,Y367,X366)</f>
      </c>
      <c r="Y367" s="337">
        <f>+(Y366-X366)*(1+$E$15)</f>
      </c>
      <c r="Z367" s="332">
        <v>362</v>
      </c>
      <c r="AA367" s="1"/>
      <c r="AB367" s="331">
        <f>AE367</f>
      </c>
      <c r="AC367" s="336">
        <f>+IF(AD367&lt;AC366,AD367,AC366)</f>
      </c>
      <c r="AD367" s="337">
        <f>+(AD366-AC366)*(1+$E$16)</f>
      </c>
      <c r="AE367" s="332">
        <v>362</v>
      </c>
    </row>
    <row x14ac:dyDescent="0.25" r="368" customHeight="1" ht="18.75">
      <c r="A368" s="1"/>
      <c r="B368" s="1"/>
      <c r="C368" s="169"/>
      <c r="D368" s="169"/>
      <c r="E368" s="168"/>
      <c r="F368" s="169"/>
      <c r="G368" s="170"/>
      <c r="H368" s="1"/>
      <c r="I368" s="1"/>
      <c r="J368" s="1"/>
      <c r="K368" s="1"/>
      <c r="L368" s="1"/>
      <c r="M368" s="331">
        <f>P368</f>
      </c>
      <c r="N368" s="335">
        <f>+IF(O368&lt;N367,O368,N367)</f>
      </c>
      <c r="O368" s="335">
        <f>+(O367-N367)*(1+$E$13)</f>
      </c>
      <c r="P368" s="332">
        <v>363</v>
      </c>
      <c r="Q368" s="1"/>
      <c r="R368" s="331">
        <f>U368</f>
      </c>
      <c r="S368" s="335">
        <f>+IF(T368&lt;S367,T368,S367)</f>
      </c>
      <c r="T368" s="335">
        <f>+(T367-S367)*(1+$E$14)</f>
      </c>
      <c r="U368" s="332">
        <v>363</v>
      </c>
      <c r="V368" s="1"/>
      <c r="W368" s="331">
        <f>Z368</f>
      </c>
      <c r="X368" s="336">
        <f>+IF(Y368&lt;X367,Y368,X367)</f>
      </c>
      <c r="Y368" s="337">
        <f>+(Y367-X367)*(1+$E$15)</f>
      </c>
      <c r="Z368" s="332">
        <v>363</v>
      </c>
      <c r="AA368" s="1"/>
      <c r="AB368" s="331">
        <f>AE368</f>
      </c>
      <c r="AC368" s="336">
        <f>+IF(AD368&lt;AC367,AD368,AC367)</f>
      </c>
      <c r="AD368" s="337">
        <f>+(AD367-AC367)*(1+$E$16)</f>
      </c>
      <c r="AE368" s="332">
        <v>363</v>
      </c>
    </row>
    <row x14ac:dyDescent="0.25" r="369" customHeight="1" ht="18.75">
      <c r="A369" s="1"/>
      <c r="B369" s="1"/>
      <c r="C369" s="169"/>
      <c r="D369" s="169"/>
      <c r="E369" s="168"/>
      <c r="F369" s="169"/>
      <c r="G369" s="170"/>
      <c r="H369" s="1"/>
      <c r="I369" s="1"/>
      <c r="J369" s="1"/>
      <c r="K369" s="1"/>
      <c r="L369" s="1"/>
      <c r="M369" s="331">
        <f>P369</f>
      </c>
      <c r="N369" s="335">
        <f>+IF(O369&lt;N368,O369,N368)</f>
      </c>
      <c r="O369" s="335">
        <f>+(O368-N368)*(1+$E$13)</f>
      </c>
      <c r="P369" s="332">
        <v>364</v>
      </c>
      <c r="Q369" s="1"/>
      <c r="R369" s="331">
        <f>U369</f>
      </c>
      <c r="S369" s="335">
        <f>+IF(T369&lt;S368,T369,S368)</f>
      </c>
      <c r="T369" s="335">
        <f>+(T368-S368)*(1+$E$14)</f>
      </c>
      <c r="U369" s="332">
        <v>364</v>
      </c>
      <c r="V369" s="1"/>
      <c r="W369" s="331">
        <f>Z369</f>
      </c>
      <c r="X369" s="336">
        <f>+IF(Y369&lt;X368,Y369,X368)</f>
      </c>
      <c r="Y369" s="337">
        <f>+(Y368-X368)*(1+$E$15)</f>
      </c>
      <c r="Z369" s="332">
        <v>364</v>
      </c>
      <c r="AA369" s="1"/>
      <c r="AB369" s="331">
        <f>AE369</f>
      </c>
      <c r="AC369" s="336">
        <f>+IF(AD369&lt;AC368,AD369,AC368)</f>
      </c>
      <c r="AD369" s="337">
        <f>+(AD368-AC368)*(1+$E$16)</f>
      </c>
      <c r="AE369" s="332">
        <v>364</v>
      </c>
    </row>
    <row x14ac:dyDescent="0.25" r="370" customHeight="1" ht="18.75">
      <c r="A370" s="1"/>
      <c r="B370" s="1"/>
      <c r="C370" s="169"/>
      <c r="D370" s="169"/>
      <c r="E370" s="168"/>
      <c r="F370" s="169"/>
      <c r="G370" s="170"/>
      <c r="H370" s="1"/>
      <c r="I370" s="1"/>
      <c r="J370" s="1"/>
      <c r="K370" s="1"/>
      <c r="L370" s="1"/>
      <c r="M370" s="331">
        <f>P370</f>
      </c>
      <c r="N370" s="335">
        <f>+IF(O370&lt;N369,O370,N369)</f>
      </c>
      <c r="O370" s="335">
        <f>+(O369-N369)*(1+$E$13)</f>
      </c>
      <c r="P370" s="332">
        <v>365</v>
      </c>
      <c r="Q370" s="1"/>
      <c r="R370" s="331">
        <f>U370</f>
      </c>
      <c r="S370" s="335">
        <f>+IF(T370&lt;S369,T370,S369)</f>
      </c>
      <c r="T370" s="335">
        <f>+(T369-S369)*(1+$E$14)</f>
      </c>
      <c r="U370" s="332">
        <v>365</v>
      </c>
      <c r="V370" s="1"/>
      <c r="W370" s="331">
        <f>Z370</f>
      </c>
      <c r="X370" s="336">
        <f>+IF(Y370&lt;X369,Y370,X369)</f>
      </c>
      <c r="Y370" s="337">
        <f>+(Y369-X369)*(1+$E$15)</f>
      </c>
      <c r="Z370" s="332">
        <v>365</v>
      </c>
      <c r="AA370" s="1"/>
      <c r="AB370" s="331">
        <f>AE370</f>
      </c>
      <c r="AC370" s="336">
        <f>+IF(AD370&lt;AC369,AD370,AC369)</f>
      </c>
      <c r="AD370" s="337">
        <f>+(AD369-AC369)*(1+$E$16)</f>
      </c>
      <c r="AE370" s="332">
        <v>365</v>
      </c>
    </row>
    <row x14ac:dyDescent="0.25" r="371" customHeight="1" ht="18.75">
      <c r="A371" s="1"/>
      <c r="B371" s="1"/>
      <c r="C371" s="169"/>
      <c r="D371" s="169"/>
      <c r="E371" s="168"/>
      <c r="F371" s="169"/>
      <c r="G371" s="170"/>
      <c r="H371" s="1"/>
      <c r="I371" s="1"/>
      <c r="J371" s="1"/>
      <c r="K371" s="1"/>
      <c r="L371" s="1"/>
      <c r="M371" s="331">
        <f>P371</f>
      </c>
      <c r="N371" s="335">
        <f>+IF(O371&lt;N370,O371,N370)</f>
      </c>
      <c r="O371" s="335">
        <f>+(O370-N370)*(1+$E$13)</f>
      </c>
      <c r="P371" s="332">
        <v>366</v>
      </c>
      <c r="Q371" s="1"/>
      <c r="R371" s="331">
        <f>U371</f>
      </c>
      <c r="S371" s="335">
        <f>+IF(T371&lt;S370,T371,S370)</f>
      </c>
      <c r="T371" s="335">
        <f>+(T370-S370)*(1+$E$14)</f>
      </c>
      <c r="U371" s="332">
        <v>366</v>
      </c>
      <c r="V371" s="1"/>
      <c r="W371" s="331">
        <f>Z371</f>
      </c>
      <c r="X371" s="336">
        <f>+IF(Y371&lt;X370,Y371,X370)</f>
      </c>
      <c r="Y371" s="337">
        <f>+(Y370-X370)*(1+$E$15)</f>
      </c>
      <c r="Z371" s="332">
        <v>366</v>
      </c>
      <c r="AA371" s="1"/>
      <c r="AB371" s="331">
        <f>AE371</f>
      </c>
      <c r="AC371" s="336">
        <f>+IF(AD371&lt;AC370,AD371,AC370)</f>
      </c>
      <c r="AD371" s="337">
        <f>+(AD370-AC370)*(1+$E$16)</f>
      </c>
      <c r="AE371" s="332">
        <v>366</v>
      </c>
    </row>
    <row x14ac:dyDescent="0.25" r="372" customHeight="1" ht="18.75">
      <c r="A372" s="1"/>
      <c r="B372" s="1"/>
      <c r="C372" s="169"/>
      <c r="D372" s="169"/>
      <c r="E372" s="168"/>
      <c r="F372" s="169"/>
      <c r="G372" s="170"/>
      <c r="H372" s="1"/>
      <c r="I372" s="1"/>
      <c r="J372" s="1"/>
      <c r="K372" s="1"/>
      <c r="L372" s="1"/>
      <c r="M372" s="331">
        <f>P372</f>
      </c>
      <c r="N372" s="335">
        <f>+IF(O372&lt;N371,O372,N371)</f>
      </c>
      <c r="O372" s="335">
        <f>+(O371-N371)*(1+$E$13)</f>
      </c>
      <c r="P372" s="332">
        <v>367</v>
      </c>
      <c r="Q372" s="1"/>
      <c r="R372" s="331">
        <f>U372</f>
      </c>
      <c r="S372" s="335">
        <f>+IF(T372&lt;S371,T372,S371)</f>
      </c>
      <c r="T372" s="335">
        <f>+(T371-S371)*(1+$E$14)</f>
      </c>
      <c r="U372" s="332">
        <v>367</v>
      </c>
      <c r="V372" s="1"/>
      <c r="W372" s="331">
        <f>Z372</f>
      </c>
      <c r="X372" s="336">
        <f>+IF(Y372&lt;X371,Y372,X371)</f>
      </c>
      <c r="Y372" s="337">
        <f>+(Y371-X371)*(1+$E$15)</f>
      </c>
      <c r="Z372" s="332">
        <v>367</v>
      </c>
      <c r="AA372" s="1"/>
      <c r="AB372" s="331">
        <f>AE372</f>
      </c>
      <c r="AC372" s="336">
        <f>+IF(AD372&lt;AC371,AD372,AC371)</f>
      </c>
      <c r="AD372" s="337">
        <f>+(AD371-AC371)*(1+$E$16)</f>
      </c>
      <c r="AE372" s="332">
        <v>367</v>
      </c>
    </row>
    <row x14ac:dyDescent="0.25" r="373" customHeight="1" ht="18.75">
      <c r="A373" s="1"/>
      <c r="B373" s="1"/>
      <c r="C373" s="169"/>
      <c r="D373" s="169"/>
      <c r="E373" s="168"/>
      <c r="F373" s="169"/>
      <c r="G373" s="170"/>
      <c r="H373" s="1"/>
      <c r="I373" s="1"/>
      <c r="J373" s="1"/>
      <c r="K373" s="1"/>
      <c r="L373" s="1"/>
      <c r="M373" s="331">
        <f>P373</f>
      </c>
      <c r="N373" s="335">
        <f>+IF(O373&lt;N372,O373,N372)</f>
      </c>
      <c r="O373" s="335">
        <f>+(O372-N372)*(1+$E$13)</f>
      </c>
      <c r="P373" s="332">
        <v>368</v>
      </c>
      <c r="Q373" s="1"/>
      <c r="R373" s="331">
        <f>U373</f>
      </c>
      <c r="S373" s="335">
        <f>+IF(T373&lt;S372,T373,S372)</f>
      </c>
      <c r="T373" s="335">
        <f>+(T372-S372)*(1+$E$14)</f>
      </c>
      <c r="U373" s="332">
        <v>368</v>
      </c>
      <c r="V373" s="1"/>
      <c r="W373" s="331">
        <f>Z373</f>
      </c>
      <c r="X373" s="336">
        <f>+IF(Y373&lt;X372,Y373,X372)</f>
      </c>
      <c r="Y373" s="337">
        <f>+(Y372-X372)*(1+$E$15)</f>
      </c>
      <c r="Z373" s="332">
        <v>368</v>
      </c>
      <c r="AA373" s="1"/>
      <c r="AB373" s="331">
        <f>AE373</f>
      </c>
      <c r="AC373" s="336">
        <f>+IF(AD373&lt;AC372,AD373,AC372)</f>
      </c>
      <c r="AD373" s="337">
        <f>+(AD372-AC372)*(1+$E$16)</f>
      </c>
      <c r="AE373" s="332">
        <v>368</v>
      </c>
    </row>
    <row x14ac:dyDescent="0.25" r="374" customHeight="1" ht="18.75">
      <c r="A374" s="1"/>
      <c r="B374" s="1"/>
      <c r="C374" s="169"/>
      <c r="D374" s="169"/>
      <c r="E374" s="168"/>
      <c r="F374" s="169"/>
      <c r="G374" s="170"/>
      <c r="H374" s="1"/>
      <c r="I374" s="1"/>
      <c r="J374" s="1"/>
      <c r="K374" s="1"/>
      <c r="L374" s="1"/>
      <c r="M374" s="331">
        <f>P374</f>
      </c>
      <c r="N374" s="335">
        <f>+IF(O374&lt;N373,O374,N373)</f>
      </c>
      <c r="O374" s="335">
        <f>+(O373-N373)*(1+$E$13)</f>
      </c>
      <c r="P374" s="332">
        <v>369</v>
      </c>
      <c r="Q374" s="1"/>
      <c r="R374" s="331">
        <f>U374</f>
      </c>
      <c r="S374" s="335">
        <f>+IF(T374&lt;S373,T374,S373)</f>
      </c>
      <c r="T374" s="335">
        <f>+(T373-S373)*(1+$E$14)</f>
      </c>
      <c r="U374" s="332">
        <v>369</v>
      </c>
      <c r="V374" s="1"/>
      <c r="W374" s="331">
        <f>Z374</f>
      </c>
      <c r="X374" s="336">
        <f>+IF(Y374&lt;X373,Y374,X373)</f>
      </c>
      <c r="Y374" s="337">
        <f>+(Y373-X373)*(1+$E$15)</f>
      </c>
      <c r="Z374" s="332">
        <v>369</v>
      </c>
      <c r="AA374" s="1"/>
      <c r="AB374" s="331">
        <f>AE374</f>
      </c>
      <c r="AC374" s="336">
        <f>+IF(AD374&lt;AC373,AD374,AC373)</f>
      </c>
      <c r="AD374" s="337">
        <f>+(AD373-AC373)*(1+$E$16)</f>
      </c>
      <c r="AE374" s="332">
        <v>369</v>
      </c>
    </row>
    <row x14ac:dyDescent="0.25" r="375" customHeight="1" ht="18.75">
      <c r="A375" s="1"/>
      <c r="B375" s="1"/>
      <c r="C375" s="169"/>
      <c r="D375" s="169"/>
      <c r="E375" s="168"/>
      <c r="F375" s="169"/>
      <c r="G375" s="170"/>
      <c r="H375" s="1"/>
      <c r="I375" s="1"/>
      <c r="J375" s="1"/>
      <c r="K375" s="1"/>
      <c r="L375" s="1"/>
      <c r="M375" s="331">
        <f>P375</f>
      </c>
      <c r="N375" s="335">
        <f>+IF(O375&lt;N374,O375,N374)</f>
      </c>
      <c r="O375" s="335">
        <f>+(O374-N374)*(1+$E$13)</f>
      </c>
      <c r="P375" s="332">
        <v>370</v>
      </c>
      <c r="Q375" s="1"/>
      <c r="R375" s="331">
        <f>U375</f>
      </c>
      <c r="S375" s="335">
        <f>+IF(T375&lt;S374,T375,S374)</f>
      </c>
      <c r="T375" s="335">
        <f>+(T374-S374)*(1+$E$14)</f>
      </c>
      <c r="U375" s="332">
        <v>370</v>
      </c>
      <c r="V375" s="1"/>
      <c r="W375" s="331">
        <f>Z375</f>
      </c>
      <c r="X375" s="336">
        <f>+IF(Y375&lt;X374,Y375,X374)</f>
      </c>
      <c r="Y375" s="337">
        <f>+(Y374-X374)*(1+$E$15)</f>
      </c>
      <c r="Z375" s="332">
        <v>370</v>
      </c>
      <c r="AA375" s="1"/>
      <c r="AB375" s="331">
        <f>AE375</f>
      </c>
      <c r="AC375" s="336">
        <f>+IF(AD375&lt;AC374,AD375,AC374)</f>
      </c>
      <c r="AD375" s="337">
        <f>+(AD374-AC374)*(1+$E$16)</f>
      </c>
      <c r="AE375" s="332">
        <v>370</v>
      </c>
    </row>
    <row x14ac:dyDescent="0.25" r="376" customHeight="1" ht="18.75">
      <c r="A376" s="1"/>
      <c r="B376" s="1"/>
      <c r="C376" s="169"/>
      <c r="D376" s="169"/>
      <c r="E376" s="168"/>
      <c r="F376" s="169"/>
      <c r="G376" s="170"/>
      <c r="H376" s="1"/>
      <c r="I376" s="1"/>
      <c r="J376" s="1"/>
      <c r="K376" s="1"/>
      <c r="L376" s="1"/>
      <c r="M376" s="331">
        <f>P376</f>
      </c>
      <c r="N376" s="335">
        <f>+IF(O376&lt;N375,O376,N375)</f>
      </c>
      <c r="O376" s="335">
        <f>+(O375-N375)*(1+$E$13)</f>
      </c>
      <c r="P376" s="332">
        <v>371</v>
      </c>
      <c r="Q376" s="1"/>
      <c r="R376" s="331">
        <f>U376</f>
      </c>
      <c r="S376" s="335">
        <f>+IF(T376&lt;S375,T376,S375)</f>
      </c>
      <c r="T376" s="335">
        <f>+(T375-S375)*(1+$E$14)</f>
      </c>
      <c r="U376" s="332">
        <v>371</v>
      </c>
      <c r="V376" s="1"/>
      <c r="W376" s="331">
        <f>Z376</f>
      </c>
      <c r="X376" s="336">
        <f>+IF(Y376&lt;X375,Y376,X375)</f>
      </c>
      <c r="Y376" s="337">
        <f>+(Y375-X375)*(1+$E$15)</f>
      </c>
      <c r="Z376" s="332">
        <v>371</v>
      </c>
      <c r="AA376" s="1"/>
      <c r="AB376" s="331">
        <f>AE376</f>
      </c>
      <c r="AC376" s="336">
        <f>+IF(AD376&lt;AC375,AD376,AC375)</f>
      </c>
      <c r="AD376" s="337">
        <f>+(AD375-AC375)*(1+$E$16)</f>
      </c>
      <c r="AE376" s="332">
        <v>371</v>
      </c>
    </row>
    <row x14ac:dyDescent="0.25" r="377" customHeight="1" ht="18.75">
      <c r="A377" s="1"/>
      <c r="B377" s="1"/>
      <c r="C377" s="169"/>
      <c r="D377" s="169"/>
      <c r="E377" s="168"/>
      <c r="F377" s="169"/>
      <c r="G377" s="170"/>
      <c r="H377" s="1"/>
      <c r="I377" s="1"/>
      <c r="J377" s="1"/>
      <c r="K377" s="1"/>
      <c r="L377" s="1"/>
      <c r="M377" s="331">
        <f>P377</f>
      </c>
      <c r="N377" s="335">
        <f>+IF(O377&lt;N376,O377,N376)</f>
      </c>
      <c r="O377" s="335">
        <f>+(O376-N376)*(1+$E$13)</f>
      </c>
      <c r="P377" s="332">
        <v>372</v>
      </c>
      <c r="Q377" s="1"/>
      <c r="R377" s="331">
        <f>U377</f>
      </c>
      <c r="S377" s="335">
        <f>+IF(T377&lt;S376,T377,S376)</f>
      </c>
      <c r="T377" s="335">
        <f>+(T376-S376)*(1+$E$14)</f>
      </c>
      <c r="U377" s="332">
        <v>372</v>
      </c>
      <c r="V377" s="1"/>
      <c r="W377" s="331">
        <f>Z377</f>
      </c>
      <c r="X377" s="336">
        <f>+IF(Y377&lt;X376,Y377,X376)</f>
      </c>
      <c r="Y377" s="337">
        <f>+(Y376-X376)*(1+$E$15)</f>
      </c>
      <c r="Z377" s="332">
        <v>372</v>
      </c>
      <c r="AA377" s="1"/>
      <c r="AB377" s="331">
        <f>AE377</f>
      </c>
      <c r="AC377" s="336">
        <f>+IF(AD377&lt;AC376,AD377,AC376)</f>
      </c>
      <c r="AD377" s="337">
        <f>+(AD376-AC376)*(1+$E$16)</f>
      </c>
      <c r="AE377" s="332">
        <v>372</v>
      </c>
    </row>
    <row x14ac:dyDescent="0.25" r="378" customHeight="1" ht="18.75">
      <c r="A378" s="1"/>
      <c r="B378" s="1"/>
      <c r="C378" s="169"/>
      <c r="D378" s="169"/>
      <c r="E378" s="168"/>
      <c r="F378" s="169"/>
      <c r="G378" s="170"/>
      <c r="H378" s="1"/>
      <c r="I378" s="1"/>
      <c r="J378" s="1"/>
      <c r="K378" s="1"/>
      <c r="L378" s="1"/>
      <c r="M378" s="331">
        <f>P378</f>
      </c>
      <c r="N378" s="335">
        <f>+IF(O378&lt;N377,O378,N377)</f>
      </c>
      <c r="O378" s="335">
        <f>+(O377-N377)*(1+$E$13)</f>
      </c>
      <c r="P378" s="332">
        <v>373</v>
      </c>
      <c r="Q378" s="1"/>
      <c r="R378" s="331">
        <f>U378</f>
      </c>
      <c r="S378" s="335">
        <f>+IF(T378&lt;S377,T378,S377)</f>
      </c>
      <c r="T378" s="335">
        <f>+(T377-S377)*(1+$E$14)</f>
      </c>
      <c r="U378" s="332">
        <v>373</v>
      </c>
      <c r="V378" s="1"/>
      <c r="W378" s="331">
        <f>Z378</f>
      </c>
      <c r="X378" s="336">
        <f>+IF(Y378&lt;X377,Y378,X377)</f>
      </c>
      <c r="Y378" s="337">
        <f>+(Y377-X377)*(1+$E$15)</f>
      </c>
      <c r="Z378" s="332">
        <v>373</v>
      </c>
      <c r="AA378" s="1"/>
      <c r="AB378" s="331">
        <f>AE378</f>
      </c>
      <c r="AC378" s="336">
        <f>+IF(AD378&lt;AC377,AD378,AC377)</f>
      </c>
      <c r="AD378" s="337">
        <f>+(AD377-AC377)*(1+$E$16)</f>
      </c>
      <c r="AE378" s="332">
        <v>373</v>
      </c>
    </row>
    <row x14ac:dyDescent="0.25" r="379" customHeight="1" ht="18.75">
      <c r="A379" s="1"/>
      <c r="B379" s="1"/>
      <c r="C379" s="169"/>
      <c r="D379" s="169"/>
      <c r="E379" s="168"/>
      <c r="F379" s="169"/>
      <c r="G379" s="170"/>
      <c r="H379" s="1"/>
      <c r="I379" s="1"/>
      <c r="J379" s="1"/>
      <c r="K379" s="1"/>
      <c r="L379" s="1"/>
      <c r="M379" s="331">
        <f>P379</f>
      </c>
      <c r="N379" s="335">
        <f>+IF(O379&lt;N378,O379,N378)</f>
      </c>
      <c r="O379" s="335">
        <f>+(O378-N378)*(1+$E$13)</f>
      </c>
      <c r="P379" s="332">
        <v>374</v>
      </c>
      <c r="Q379" s="1"/>
      <c r="R379" s="331">
        <f>U379</f>
      </c>
      <c r="S379" s="335">
        <f>+IF(T379&lt;S378,T379,S378)</f>
      </c>
      <c r="T379" s="335">
        <f>+(T378-S378)*(1+$E$14)</f>
      </c>
      <c r="U379" s="332">
        <v>374</v>
      </c>
      <c r="V379" s="1"/>
      <c r="W379" s="331">
        <f>Z379</f>
      </c>
      <c r="X379" s="336">
        <f>+IF(Y379&lt;X378,Y379,X378)</f>
      </c>
      <c r="Y379" s="337">
        <f>+(Y378-X378)*(1+$E$15)</f>
      </c>
      <c r="Z379" s="332">
        <v>374</v>
      </c>
      <c r="AA379" s="1"/>
      <c r="AB379" s="331">
        <f>AE379</f>
      </c>
      <c r="AC379" s="336">
        <f>+IF(AD379&lt;AC378,AD379,AC378)</f>
      </c>
      <c r="AD379" s="337">
        <f>+(AD378-AC378)*(1+$E$16)</f>
      </c>
      <c r="AE379" s="332">
        <v>374</v>
      </c>
    </row>
    <row x14ac:dyDescent="0.25" r="380" customHeight="1" ht="18.75">
      <c r="A380" s="1"/>
      <c r="B380" s="1"/>
      <c r="C380" s="169"/>
      <c r="D380" s="169"/>
      <c r="E380" s="168"/>
      <c r="F380" s="169"/>
      <c r="G380" s="170"/>
      <c r="H380" s="1"/>
      <c r="I380" s="1"/>
      <c r="J380" s="1"/>
      <c r="K380" s="1"/>
      <c r="L380" s="1"/>
      <c r="M380" s="331">
        <f>P380</f>
      </c>
      <c r="N380" s="335">
        <f>+IF(O380&lt;N379,O380,N379)</f>
      </c>
      <c r="O380" s="335">
        <f>+(O379-N379)*(1+$E$13)</f>
      </c>
      <c r="P380" s="332">
        <v>375</v>
      </c>
      <c r="Q380" s="1"/>
      <c r="R380" s="331">
        <f>U380</f>
      </c>
      <c r="S380" s="335">
        <f>+IF(T380&lt;S379,T380,S379)</f>
      </c>
      <c r="T380" s="335">
        <f>+(T379-S379)*(1+$E$14)</f>
      </c>
      <c r="U380" s="332">
        <v>375</v>
      </c>
      <c r="V380" s="1"/>
      <c r="W380" s="331">
        <f>Z380</f>
      </c>
      <c r="X380" s="336">
        <f>+IF(Y380&lt;X379,Y380,X379)</f>
      </c>
      <c r="Y380" s="337">
        <f>+(Y379-X379)*(1+$E$15)</f>
      </c>
      <c r="Z380" s="332">
        <v>375</v>
      </c>
      <c r="AA380" s="1"/>
      <c r="AB380" s="331">
        <f>AE380</f>
      </c>
      <c r="AC380" s="336">
        <f>+IF(AD380&lt;AC379,AD380,AC379)</f>
      </c>
      <c r="AD380" s="337">
        <f>+(AD379-AC379)*(1+$E$16)</f>
      </c>
      <c r="AE380" s="332">
        <v>375</v>
      </c>
    </row>
    <row x14ac:dyDescent="0.25" r="381" customHeight="1" ht="18.75">
      <c r="A381" s="1"/>
      <c r="B381" s="1"/>
      <c r="C381" s="169"/>
      <c r="D381" s="169"/>
      <c r="E381" s="168"/>
      <c r="F381" s="169"/>
      <c r="G381" s="170"/>
      <c r="H381" s="1"/>
      <c r="I381" s="1"/>
      <c r="J381" s="1"/>
      <c r="K381" s="1"/>
      <c r="L381" s="1"/>
      <c r="M381" s="331">
        <f>P381</f>
      </c>
      <c r="N381" s="335">
        <f>+IF(O381&lt;N380,O381,N380)</f>
      </c>
      <c r="O381" s="335">
        <f>+(O380-N380)*(1+$E$13)</f>
      </c>
      <c r="P381" s="332">
        <v>376</v>
      </c>
      <c r="Q381" s="1"/>
      <c r="R381" s="331">
        <f>U381</f>
      </c>
      <c r="S381" s="335">
        <f>+IF(T381&lt;S380,T381,S380)</f>
      </c>
      <c r="T381" s="335">
        <f>+(T380-S380)*(1+$E$14)</f>
      </c>
      <c r="U381" s="332">
        <v>376</v>
      </c>
      <c r="V381" s="1"/>
      <c r="W381" s="331">
        <f>Z381</f>
      </c>
      <c r="X381" s="336">
        <f>+IF(Y381&lt;X380,Y381,X380)</f>
      </c>
      <c r="Y381" s="337">
        <f>+(Y380-X380)*(1+$E$15)</f>
      </c>
      <c r="Z381" s="332">
        <v>376</v>
      </c>
      <c r="AA381" s="1"/>
      <c r="AB381" s="331">
        <f>AE381</f>
      </c>
      <c r="AC381" s="336">
        <f>+IF(AD381&lt;AC380,AD381,AC380)</f>
      </c>
      <c r="AD381" s="337">
        <f>+(AD380-AC380)*(1+$E$16)</f>
      </c>
      <c r="AE381" s="332">
        <v>376</v>
      </c>
    </row>
    <row x14ac:dyDescent="0.25" r="382" customHeight="1" ht="18.75">
      <c r="A382" s="1"/>
      <c r="B382" s="1"/>
      <c r="C382" s="169"/>
      <c r="D382" s="169"/>
      <c r="E382" s="168"/>
      <c r="F382" s="169"/>
      <c r="G382" s="170"/>
      <c r="H382" s="1"/>
      <c r="I382" s="1"/>
      <c r="J382" s="1"/>
      <c r="K382" s="1"/>
      <c r="L382" s="1"/>
      <c r="M382" s="331">
        <f>P382</f>
      </c>
      <c r="N382" s="335">
        <f>+IF(O382&lt;N381,O382,N381)</f>
      </c>
      <c r="O382" s="335">
        <f>+(O381-N381)*(1+$E$13)</f>
      </c>
      <c r="P382" s="332">
        <v>377</v>
      </c>
      <c r="Q382" s="1"/>
      <c r="R382" s="331">
        <f>U382</f>
      </c>
      <c r="S382" s="335">
        <f>+IF(T382&lt;S381,T382,S381)</f>
      </c>
      <c r="T382" s="335">
        <f>+(T381-S381)*(1+$E$14)</f>
      </c>
      <c r="U382" s="332">
        <v>377</v>
      </c>
      <c r="V382" s="1"/>
      <c r="W382" s="331">
        <f>Z382</f>
      </c>
      <c r="X382" s="336">
        <f>+IF(Y382&lt;X381,Y382,X381)</f>
      </c>
      <c r="Y382" s="337">
        <f>+(Y381-X381)*(1+$E$15)</f>
      </c>
      <c r="Z382" s="332">
        <v>377</v>
      </c>
      <c r="AA382" s="1"/>
      <c r="AB382" s="331">
        <f>AE382</f>
      </c>
      <c r="AC382" s="336">
        <f>+IF(AD382&lt;AC381,AD382,AC381)</f>
      </c>
      <c r="AD382" s="337">
        <f>+(AD381-AC381)*(1+$E$16)</f>
      </c>
      <c r="AE382" s="332">
        <v>377</v>
      </c>
    </row>
    <row x14ac:dyDescent="0.25" r="383" customHeight="1" ht="18.75">
      <c r="A383" s="1"/>
      <c r="B383" s="1"/>
      <c r="C383" s="169"/>
      <c r="D383" s="169"/>
      <c r="E383" s="168"/>
      <c r="F383" s="169"/>
      <c r="G383" s="170"/>
      <c r="H383" s="1"/>
      <c r="I383" s="1"/>
      <c r="J383" s="1"/>
      <c r="K383" s="1"/>
      <c r="L383" s="1"/>
      <c r="M383" s="331">
        <f>P383</f>
      </c>
      <c r="N383" s="335">
        <f>+IF(O383&lt;N382,O383,N382)</f>
      </c>
      <c r="O383" s="335">
        <f>+(O382-N382)*(1+$E$13)</f>
      </c>
      <c r="P383" s="332">
        <v>378</v>
      </c>
      <c r="Q383" s="1"/>
      <c r="R383" s="331">
        <f>U383</f>
      </c>
      <c r="S383" s="335">
        <f>+IF(T383&lt;S382,T383,S382)</f>
      </c>
      <c r="T383" s="335">
        <f>+(T382-S382)*(1+$E$14)</f>
      </c>
      <c r="U383" s="332">
        <v>378</v>
      </c>
      <c r="V383" s="1"/>
      <c r="W383" s="331">
        <f>Z383</f>
      </c>
      <c r="X383" s="336">
        <f>+IF(Y383&lt;X382,Y383,X382)</f>
      </c>
      <c r="Y383" s="337">
        <f>+(Y382-X382)*(1+$E$15)</f>
      </c>
      <c r="Z383" s="332">
        <v>378</v>
      </c>
      <c r="AA383" s="1"/>
      <c r="AB383" s="331">
        <f>AE383</f>
      </c>
      <c r="AC383" s="336">
        <f>+IF(AD383&lt;AC382,AD383,AC382)</f>
      </c>
      <c r="AD383" s="337">
        <f>+(AD382-AC382)*(1+$E$16)</f>
      </c>
      <c r="AE383" s="332">
        <v>378</v>
      </c>
    </row>
    <row x14ac:dyDescent="0.25" r="384" customHeight="1" ht="18.75">
      <c r="A384" s="1"/>
      <c r="B384" s="1"/>
      <c r="C384" s="169"/>
      <c r="D384" s="169"/>
      <c r="E384" s="168"/>
      <c r="F384" s="169"/>
      <c r="G384" s="170"/>
      <c r="H384" s="1"/>
      <c r="I384" s="1"/>
      <c r="J384" s="1"/>
      <c r="K384" s="1"/>
      <c r="L384" s="1"/>
      <c r="M384" s="331">
        <f>P384</f>
      </c>
      <c r="N384" s="335">
        <f>+IF(O384&lt;N383,O384,N383)</f>
      </c>
      <c r="O384" s="335">
        <f>+(O383-N383)*(1+$E$13)</f>
      </c>
      <c r="P384" s="332">
        <v>379</v>
      </c>
      <c r="Q384" s="1"/>
      <c r="R384" s="331">
        <f>U384</f>
      </c>
      <c r="S384" s="335">
        <f>+IF(T384&lt;S383,T384,S383)</f>
      </c>
      <c r="T384" s="335">
        <f>+(T383-S383)*(1+$E$14)</f>
      </c>
      <c r="U384" s="332">
        <v>379</v>
      </c>
      <c r="V384" s="1"/>
      <c r="W384" s="331">
        <f>Z384</f>
      </c>
      <c r="X384" s="336">
        <f>+IF(Y384&lt;X383,Y384,X383)</f>
      </c>
      <c r="Y384" s="337">
        <f>+(Y383-X383)*(1+$E$15)</f>
      </c>
      <c r="Z384" s="332">
        <v>379</v>
      </c>
      <c r="AA384" s="1"/>
      <c r="AB384" s="331">
        <f>AE384</f>
      </c>
      <c r="AC384" s="336">
        <f>+IF(AD384&lt;AC383,AD384,AC383)</f>
      </c>
      <c r="AD384" s="337">
        <f>+(AD383-AC383)*(1+$E$16)</f>
      </c>
      <c r="AE384" s="332">
        <v>379</v>
      </c>
    </row>
    <row x14ac:dyDescent="0.25" r="385" customHeight="1" ht="18.75">
      <c r="A385" s="1"/>
      <c r="B385" s="1"/>
      <c r="C385" s="169"/>
      <c r="D385" s="169"/>
      <c r="E385" s="168"/>
      <c r="F385" s="169"/>
      <c r="G385" s="170"/>
      <c r="H385" s="1"/>
      <c r="I385" s="1"/>
      <c r="J385" s="1"/>
      <c r="K385" s="1"/>
      <c r="L385" s="1"/>
      <c r="M385" s="331">
        <f>P385</f>
      </c>
      <c r="N385" s="335">
        <f>+IF(O385&lt;N384,O385,N384)</f>
      </c>
      <c r="O385" s="335">
        <f>+(O384-N384)*(1+$E$13)</f>
      </c>
      <c r="P385" s="332">
        <v>380</v>
      </c>
      <c r="Q385" s="1"/>
      <c r="R385" s="331">
        <f>U385</f>
      </c>
      <c r="S385" s="335">
        <f>+IF(T385&lt;S384,T385,S384)</f>
      </c>
      <c r="T385" s="335">
        <f>+(T384-S384)*(1+$E$14)</f>
      </c>
      <c r="U385" s="332">
        <v>380</v>
      </c>
      <c r="V385" s="1"/>
      <c r="W385" s="331">
        <f>Z385</f>
      </c>
      <c r="X385" s="336">
        <f>+IF(Y385&lt;X384,Y385,X384)</f>
      </c>
      <c r="Y385" s="337">
        <f>+(Y384-X384)*(1+$E$15)</f>
      </c>
      <c r="Z385" s="332">
        <v>380</v>
      </c>
      <c r="AA385" s="1"/>
      <c r="AB385" s="331">
        <f>AE385</f>
      </c>
      <c r="AC385" s="336">
        <f>+IF(AD385&lt;AC384,AD385,AC384)</f>
      </c>
      <c r="AD385" s="337">
        <f>+(AD384-AC384)*(1+$E$16)</f>
      </c>
      <c r="AE385" s="332">
        <v>380</v>
      </c>
    </row>
    <row x14ac:dyDescent="0.25" r="386" customHeight="1" ht="18.75">
      <c r="A386" s="1"/>
      <c r="B386" s="1"/>
      <c r="C386" s="169"/>
      <c r="D386" s="169"/>
      <c r="E386" s="168"/>
      <c r="F386" s="169"/>
      <c r="G386" s="170"/>
      <c r="H386" s="1"/>
      <c r="I386" s="1"/>
      <c r="J386" s="1"/>
      <c r="K386" s="1"/>
      <c r="L386" s="1"/>
      <c r="M386" s="331">
        <f>P386</f>
      </c>
      <c r="N386" s="335">
        <f>+IF(O386&lt;N385,O386,N385)</f>
      </c>
      <c r="O386" s="335">
        <f>+(O385-N385)*(1+$E$13)</f>
      </c>
      <c r="P386" s="332">
        <v>381</v>
      </c>
      <c r="Q386" s="1"/>
      <c r="R386" s="331">
        <f>U386</f>
      </c>
      <c r="S386" s="335">
        <f>+IF(T386&lt;S385,T386,S385)</f>
      </c>
      <c r="T386" s="335">
        <f>+(T385-S385)*(1+$E$14)</f>
      </c>
      <c r="U386" s="332">
        <v>381</v>
      </c>
      <c r="V386" s="1"/>
      <c r="W386" s="331">
        <f>Z386</f>
      </c>
      <c r="X386" s="336">
        <f>+IF(Y386&lt;X385,Y386,X385)</f>
      </c>
      <c r="Y386" s="337">
        <f>+(Y385-X385)*(1+$E$15)</f>
      </c>
      <c r="Z386" s="332">
        <v>381</v>
      </c>
      <c r="AA386" s="1"/>
      <c r="AB386" s="331">
        <f>AE386</f>
      </c>
      <c r="AC386" s="336">
        <f>+IF(AD386&lt;AC385,AD386,AC385)</f>
      </c>
      <c r="AD386" s="337">
        <f>+(AD385-AC385)*(1+$E$16)</f>
      </c>
      <c r="AE386" s="332">
        <v>381</v>
      </c>
    </row>
    <row x14ac:dyDescent="0.25" r="387" customHeight="1" ht="18.75">
      <c r="A387" s="1"/>
      <c r="B387" s="1"/>
      <c r="C387" s="169"/>
      <c r="D387" s="169"/>
      <c r="E387" s="168"/>
      <c r="F387" s="169"/>
      <c r="G387" s="170"/>
      <c r="H387" s="1"/>
      <c r="I387" s="1"/>
      <c r="J387" s="1"/>
      <c r="K387" s="1"/>
      <c r="L387" s="1"/>
      <c r="M387" s="331">
        <f>P387</f>
      </c>
      <c r="N387" s="335">
        <f>+IF(O387&lt;N386,O387,N386)</f>
      </c>
      <c r="O387" s="335">
        <f>+(O386-N386)*(1+$E$13)</f>
      </c>
      <c r="P387" s="332">
        <v>382</v>
      </c>
      <c r="Q387" s="1"/>
      <c r="R387" s="331">
        <f>U387</f>
      </c>
      <c r="S387" s="335">
        <f>+IF(T387&lt;S386,T387,S386)</f>
      </c>
      <c r="T387" s="335">
        <f>+(T386-S386)*(1+$E$14)</f>
      </c>
      <c r="U387" s="332">
        <v>382</v>
      </c>
      <c r="V387" s="1"/>
      <c r="W387" s="331">
        <f>Z387</f>
      </c>
      <c r="X387" s="336">
        <f>+IF(Y387&lt;X386,Y387,X386)</f>
      </c>
      <c r="Y387" s="337">
        <f>+(Y386-X386)*(1+$E$15)</f>
      </c>
      <c r="Z387" s="332">
        <v>382</v>
      </c>
      <c r="AA387" s="1"/>
      <c r="AB387" s="331">
        <f>AE387</f>
      </c>
      <c r="AC387" s="336">
        <f>+IF(AD387&lt;AC386,AD387,AC386)</f>
      </c>
      <c r="AD387" s="337">
        <f>+(AD386-AC386)*(1+$E$16)</f>
      </c>
      <c r="AE387" s="332">
        <v>382</v>
      </c>
    </row>
    <row x14ac:dyDescent="0.25" r="388" customHeight="1" ht="18.75">
      <c r="A388" s="1"/>
      <c r="B388" s="1"/>
      <c r="C388" s="169"/>
      <c r="D388" s="169"/>
      <c r="E388" s="168"/>
      <c r="F388" s="169"/>
      <c r="G388" s="170"/>
      <c r="H388" s="1"/>
      <c r="I388" s="1"/>
      <c r="J388" s="1"/>
      <c r="K388" s="1"/>
      <c r="L388" s="1"/>
      <c r="M388" s="331">
        <f>P388</f>
      </c>
      <c r="N388" s="335">
        <f>+IF(O388&lt;N387,O388,N387)</f>
      </c>
      <c r="O388" s="335">
        <f>+(O387-N387)*(1+$E$13)</f>
      </c>
      <c r="P388" s="332">
        <v>383</v>
      </c>
      <c r="Q388" s="1"/>
      <c r="R388" s="331">
        <f>U388</f>
      </c>
      <c r="S388" s="335">
        <f>+IF(T388&lt;S387,T388,S387)</f>
      </c>
      <c r="T388" s="335">
        <f>+(T387-S387)*(1+$E$14)</f>
      </c>
      <c r="U388" s="332">
        <v>383</v>
      </c>
      <c r="V388" s="1"/>
      <c r="W388" s="331">
        <f>Z388</f>
      </c>
      <c r="X388" s="336">
        <f>+IF(Y388&lt;X387,Y388,X387)</f>
      </c>
      <c r="Y388" s="337">
        <f>+(Y387-X387)*(1+$E$15)</f>
      </c>
      <c r="Z388" s="332">
        <v>383</v>
      </c>
      <c r="AA388" s="1"/>
      <c r="AB388" s="331">
        <f>AE388</f>
      </c>
      <c r="AC388" s="336">
        <f>+IF(AD388&lt;AC387,AD388,AC387)</f>
      </c>
      <c r="AD388" s="337">
        <f>+(AD387-AC387)*(1+$E$16)</f>
      </c>
      <c r="AE388" s="332">
        <v>383</v>
      </c>
    </row>
    <row x14ac:dyDescent="0.25" r="389" customHeight="1" ht="18.75">
      <c r="A389" s="1"/>
      <c r="B389" s="1"/>
      <c r="C389" s="169"/>
      <c r="D389" s="169"/>
      <c r="E389" s="168"/>
      <c r="F389" s="169"/>
      <c r="G389" s="170"/>
      <c r="H389" s="1"/>
      <c r="I389" s="1"/>
      <c r="J389" s="1"/>
      <c r="K389" s="1"/>
      <c r="L389" s="1"/>
      <c r="M389" s="331">
        <f>P389</f>
      </c>
      <c r="N389" s="335">
        <f>+IF(O389&lt;N388,O389,N388)</f>
      </c>
      <c r="O389" s="335">
        <f>+(O388-N388)*(1+$E$13)</f>
      </c>
      <c r="P389" s="332">
        <v>384</v>
      </c>
      <c r="Q389" s="1"/>
      <c r="R389" s="331">
        <f>U389</f>
      </c>
      <c r="S389" s="335">
        <f>+IF(T389&lt;S388,T389,S388)</f>
      </c>
      <c r="T389" s="335">
        <f>+(T388-S388)*(1+$E$14)</f>
      </c>
      <c r="U389" s="332">
        <v>384</v>
      </c>
      <c r="V389" s="1"/>
      <c r="W389" s="331">
        <f>Z389</f>
      </c>
      <c r="X389" s="336">
        <f>+IF(Y389&lt;X388,Y389,X388)</f>
      </c>
      <c r="Y389" s="337">
        <f>+(Y388-X388)*(1+$E$15)</f>
      </c>
      <c r="Z389" s="332">
        <v>384</v>
      </c>
      <c r="AA389" s="1"/>
      <c r="AB389" s="331">
        <f>AE389</f>
      </c>
      <c r="AC389" s="336">
        <f>+IF(AD389&lt;AC388,AD389,AC388)</f>
      </c>
      <c r="AD389" s="337">
        <f>+(AD388-AC388)*(1+$E$16)</f>
      </c>
      <c r="AE389" s="332">
        <v>384</v>
      </c>
    </row>
    <row x14ac:dyDescent="0.25" r="390" customHeight="1" ht="18.75">
      <c r="A390" s="1"/>
      <c r="B390" s="1"/>
      <c r="C390" s="169"/>
      <c r="D390" s="169"/>
      <c r="E390" s="168"/>
      <c r="F390" s="169"/>
      <c r="G390" s="170"/>
      <c r="H390" s="1"/>
      <c r="I390" s="1"/>
      <c r="J390" s="1"/>
      <c r="K390" s="1"/>
      <c r="L390" s="1"/>
      <c r="M390" s="331">
        <f>P390</f>
      </c>
      <c r="N390" s="335">
        <f>+IF(O390&lt;N389,O390,N389)</f>
      </c>
      <c r="O390" s="335">
        <f>+(O389-N389)*(1+$E$13)</f>
      </c>
      <c r="P390" s="332">
        <v>385</v>
      </c>
      <c r="Q390" s="1"/>
      <c r="R390" s="331">
        <f>U390</f>
      </c>
      <c r="S390" s="335">
        <f>+IF(T390&lt;S389,T390,S389)</f>
      </c>
      <c r="T390" s="335">
        <f>+(T389-S389)*(1+$E$14)</f>
      </c>
      <c r="U390" s="332">
        <v>385</v>
      </c>
      <c r="V390" s="1"/>
      <c r="W390" s="331">
        <f>Z390</f>
      </c>
      <c r="X390" s="336">
        <f>+IF(Y390&lt;X389,Y390,X389)</f>
      </c>
      <c r="Y390" s="337">
        <f>+(Y389-X389)*(1+$E$15)</f>
      </c>
      <c r="Z390" s="332">
        <v>385</v>
      </c>
      <c r="AA390" s="1"/>
      <c r="AB390" s="331">
        <f>AE390</f>
      </c>
      <c r="AC390" s="336">
        <f>+IF(AD390&lt;AC389,AD390,AC389)</f>
      </c>
      <c r="AD390" s="337">
        <f>+(AD389-AC389)*(1+$E$16)</f>
      </c>
      <c r="AE390" s="332">
        <v>385</v>
      </c>
    </row>
    <row x14ac:dyDescent="0.25" r="391" customHeight="1" ht="18.75">
      <c r="A391" s="1"/>
      <c r="B391" s="1"/>
      <c r="C391" s="169"/>
      <c r="D391" s="169"/>
      <c r="E391" s="168"/>
      <c r="F391" s="169"/>
      <c r="G391" s="170"/>
      <c r="H391" s="1"/>
      <c r="I391" s="1"/>
      <c r="J391" s="1"/>
      <c r="K391" s="1"/>
      <c r="L391" s="1"/>
      <c r="M391" s="331">
        <f>P391</f>
      </c>
      <c r="N391" s="335">
        <f>+IF(O391&lt;N390,O391,N390)</f>
      </c>
      <c r="O391" s="335">
        <f>+(O390-N390)*(1+$E$13)</f>
      </c>
      <c r="P391" s="332">
        <v>386</v>
      </c>
      <c r="Q391" s="1"/>
      <c r="R391" s="331">
        <f>U391</f>
      </c>
      <c r="S391" s="335">
        <f>+IF(T391&lt;S390,T391,S390)</f>
      </c>
      <c r="T391" s="335">
        <f>+(T390-S390)*(1+$E$14)</f>
      </c>
      <c r="U391" s="332">
        <v>386</v>
      </c>
      <c r="V391" s="1"/>
      <c r="W391" s="331">
        <f>Z391</f>
      </c>
      <c r="X391" s="336">
        <f>+IF(Y391&lt;X390,Y391,X390)</f>
      </c>
      <c r="Y391" s="337">
        <f>+(Y390-X390)*(1+$E$15)</f>
      </c>
      <c r="Z391" s="332">
        <v>386</v>
      </c>
      <c r="AA391" s="1"/>
      <c r="AB391" s="331">
        <f>AE391</f>
      </c>
      <c r="AC391" s="336">
        <f>+IF(AD391&lt;AC390,AD391,AC390)</f>
      </c>
      <c r="AD391" s="337">
        <f>+(AD390-AC390)*(1+$E$16)</f>
      </c>
      <c r="AE391" s="332">
        <v>386</v>
      </c>
    </row>
    <row x14ac:dyDescent="0.25" r="392" customHeight="1" ht="18.75">
      <c r="A392" s="1"/>
      <c r="B392" s="1"/>
      <c r="C392" s="169"/>
      <c r="D392" s="169"/>
      <c r="E392" s="168"/>
      <c r="F392" s="169"/>
      <c r="G392" s="170"/>
      <c r="H392" s="1"/>
      <c r="I392" s="1"/>
      <c r="J392" s="1"/>
      <c r="K392" s="1"/>
      <c r="L392" s="1"/>
      <c r="M392" s="331">
        <f>P392</f>
      </c>
      <c r="N392" s="335">
        <f>+IF(O392&lt;N391,O392,N391)</f>
      </c>
      <c r="O392" s="335">
        <f>+(O391-N391)*(1+$E$13)</f>
      </c>
      <c r="P392" s="332">
        <v>387</v>
      </c>
      <c r="Q392" s="1"/>
      <c r="R392" s="331">
        <f>U392</f>
      </c>
      <c r="S392" s="335">
        <f>+IF(T392&lt;S391,T392,S391)</f>
      </c>
      <c r="T392" s="335">
        <f>+(T391-S391)*(1+$E$14)</f>
      </c>
      <c r="U392" s="332">
        <v>387</v>
      </c>
      <c r="V392" s="1"/>
      <c r="W392" s="331">
        <f>Z392</f>
      </c>
      <c r="X392" s="336">
        <f>+IF(Y392&lt;X391,Y392,X391)</f>
      </c>
      <c r="Y392" s="337">
        <f>+(Y391-X391)*(1+$E$15)</f>
      </c>
      <c r="Z392" s="332">
        <v>387</v>
      </c>
      <c r="AA392" s="1"/>
      <c r="AB392" s="331">
        <f>AE392</f>
      </c>
      <c r="AC392" s="336">
        <f>+IF(AD392&lt;AC391,AD392,AC391)</f>
      </c>
      <c r="AD392" s="337">
        <f>+(AD391-AC391)*(1+$E$16)</f>
      </c>
      <c r="AE392" s="332">
        <v>387</v>
      </c>
    </row>
    <row x14ac:dyDescent="0.25" r="393" customHeight="1" ht="18.75">
      <c r="A393" s="1"/>
      <c r="B393" s="1"/>
      <c r="C393" s="169"/>
      <c r="D393" s="169"/>
      <c r="E393" s="168"/>
      <c r="F393" s="169"/>
      <c r="G393" s="170"/>
      <c r="H393" s="1"/>
      <c r="I393" s="1"/>
      <c r="J393" s="1"/>
      <c r="K393" s="1"/>
      <c r="L393" s="1"/>
      <c r="M393" s="331">
        <f>P393</f>
      </c>
      <c r="N393" s="335">
        <f>+IF(O393&lt;N392,O393,N392)</f>
      </c>
      <c r="O393" s="335">
        <f>+(O392-N392)*(1+$E$13)</f>
      </c>
      <c r="P393" s="332">
        <v>388</v>
      </c>
      <c r="Q393" s="1"/>
      <c r="R393" s="331">
        <f>U393</f>
      </c>
      <c r="S393" s="335">
        <f>+IF(T393&lt;S392,T393,S392)</f>
      </c>
      <c r="T393" s="335">
        <f>+(T392-S392)*(1+$E$14)</f>
      </c>
      <c r="U393" s="332">
        <v>388</v>
      </c>
      <c r="V393" s="1"/>
      <c r="W393" s="331">
        <f>Z393</f>
      </c>
      <c r="X393" s="336">
        <f>+IF(Y393&lt;X392,Y393,X392)</f>
      </c>
      <c r="Y393" s="337">
        <f>+(Y392-X392)*(1+$E$15)</f>
      </c>
      <c r="Z393" s="332">
        <v>388</v>
      </c>
      <c r="AA393" s="1"/>
      <c r="AB393" s="331">
        <f>AE393</f>
      </c>
      <c r="AC393" s="336">
        <f>+IF(AD393&lt;AC392,AD393,AC392)</f>
      </c>
      <c r="AD393" s="337">
        <f>+(AD392-AC392)*(1+$E$16)</f>
      </c>
      <c r="AE393" s="332">
        <v>388</v>
      </c>
    </row>
    <row x14ac:dyDescent="0.25" r="394" customHeight="1" ht="18.75">
      <c r="A394" s="1"/>
      <c r="B394" s="1"/>
      <c r="C394" s="169"/>
      <c r="D394" s="169"/>
      <c r="E394" s="168"/>
      <c r="F394" s="169"/>
      <c r="G394" s="170"/>
      <c r="H394" s="1"/>
      <c r="I394" s="1"/>
      <c r="J394" s="1"/>
      <c r="K394" s="1"/>
      <c r="L394" s="1"/>
      <c r="M394" s="331">
        <f>P394</f>
      </c>
      <c r="N394" s="335">
        <f>+IF(O394&lt;N393,O394,N393)</f>
      </c>
      <c r="O394" s="335">
        <f>+(O393-N393)*(1+$E$13)</f>
      </c>
      <c r="P394" s="332">
        <v>389</v>
      </c>
      <c r="Q394" s="1"/>
      <c r="R394" s="331">
        <f>U394</f>
      </c>
      <c r="S394" s="335">
        <f>+IF(T394&lt;S393,T394,S393)</f>
      </c>
      <c r="T394" s="335">
        <f>+(T393-S393)*(1+$E$14)</f>
      </c>
      <c r="U394" s="332">
        <v>389</v>
      </c>
      <c r="V394" s="1"/>
      <c r="W394" s="331">
        <f>Z394</f>
      </c>
      <c r="X394" s="336">
        <f>+IF(Y394&lt;X393,Y394,X393)</f>
      </c>
      <c r="Y394" s="337">
        <f>+(Y393-X393)*(1+$E$15)</f>
      </c>
      <c r="Z394" s="332">
        <v>389</v>
      </c>
      <c r="AA394" s="1"/>
      <c r="AB394" s="331">
        <f>AE394</f>
      </c>
      <c r="AC394" s="336">
        <f>+IF(AD394&lt;AC393,AD394,AC393)</f>
      </c>
      <c r="AD394" s="337">
        <f>+(AD393-AC393)*(1+$E$16)</f>
      </c>
      <c r="AE394" s="332">
        <v>389</v>
      </c>
    </row>
    <row x14ac:dyDescent="0.25" r="395" customHeight="1" ht="18.75">
      <c r="A395" s="1"/>
      <c r="B395" s="1"/>
      <c r="C395" s="169"/>
      <c r="D395" s="169"/>
      <c r="E395" s="168"/>
      <c r="F395" s="169"/>
      <c r="G395" s="170"/>
      <c r="H395" s="1"/>
      <c r="I395" s="1"/>
      <c r="J395" s="1"/>
      <c r="K395" s="1"/>
      <c r="L395" s="1"/>
      <c r="M395" s="331">
        <f>P395</f>
      </c>
      <c r="N395" s="335">
        <f>+IF(O395&lt;N394,O395,N394)</f>
      </c>
      <c r="O395" s="335">
        <f>+(O394-N394)*(1+$E$13)</f>
      </c>
      <c r="P395" s="332">
        <v>390</v>
      </c>
      <c r="Q395" s="1"/>
      <c r="R395" s="331">
        <f>U395</f>
      </c>
      <c r="S395" s="335">
        <f>+IF(T395&lt;S394,T395,S394)</f>
      </c>
      <c r="T395" s="335">
        <f>+(T394-S394)*(1+$E$14)</f>
      </c>
      <c r="U395" s="332">
        <v>390</v>
      </c>
      <c r="V395" s="1"/>
      <c r="W395" s="331">
        <f>Z395</f>
      </c>
      <c r="X395" s="336">
        <f>+IF(Y395&lt;X394,Y395,X394)</f>
      </c>
      <c r="Y395" s="337">
        <f>+(Y394-X394)*(1+$E$15)</f>
      </c>
      <c r="Z395" s="332">
        <v>390</v>
      </c>
      <c r="AA395" s="1"/>
      <c r="AB395" s="331">
        <f>AE395</f>
      </c>
      <c r="AC395" s="336">
        <f>+IF(AD395&lt;AC394,AD395,AC394)</f>
      </c>
      <c r="AD395" s="337">
        <f>+(AD394-AC394)*(1+$E$16)</f>
      </c>
      <c r="AE395" s="332">
        <v>390</v>
      </c>
    </row>
    <row x14ac:dyDescent="0.25" r="396" customHeight="1" ht="18.75">
      <c r="A396" s="1"/>
      <c r="B396" s="1"/>
      <c r="C396" s="169"/>
      <c r="D396" s="169"/>
      <c r="E396" s="168"/>
      <c r="F396" s="169"/>
      <c r="G396" s="170"/>
      <c r="H396" s="1"/>
      <c r="I396" s="1"/>
      <c r="J396" s="1"/>
      <c r="K396" s="1"/>
      <c r="L396" s="1"/>
      <c r="M396" s="331">
        <f>P396</f>
      </c>
      <c r="N396" s="335">
        <f>+IF(O396&lt;N395,O396,N395)</f>
      </c>
      <c r="O396" s="335">
        <f>+(O395-N395)*(1+$E$13)</f>
      </c>
      <c r="P396" s="332">
        <v>391</v>
      </c>
      <c r="Q396" s="1"/>
      <c r="R396" s="331">
        <f>U396</f>
      </c>
      <c r="S396" s="335">
        <f>+IF(T396&lt;S395,T396,S395)</f>
      </c>
      <c r="T396" s="335">
        <f>+(T395-S395)*(1+$E$14)</f>
      </c>
      <c r="U396" s="332">
        <v>391</v>
      </c>
      <c r="V396" s="1"/>
      <c r="W396" s="331">
        <f>Z396</f>
      </c>
      <c r="X396" s="336">
        <f>+IF(Y396&lt;X395,Y396,X395)</f>
      </c>
      <c r="Y396" s="337">
        <f>+(Y395-X395)*(1+$E$15)</f>
      </c>
      <c r="Z396" s="332">
        <v>391</v>
      </c>
      <c r="AA396" s="1"/>
      <c r="AB396" s="331">
        <f>AE396</f>
      </c>
      <c r="AC396" s="336">
        <f>+IF(AD396&lt;AC395,AD396,AC395)</f>
      </c>
      <c r="AD396" s="337">
        <f>+(AD395-AC395)*(1+$E$16)</f>
      </c>
      <c r="AE396" s="332">
        <v>391</v>
      </c>
    </row>
    <row x14ac:dyDescent="0.25" r="397" customHeight="1" ht="18.75">
      <c r="A397" s="1"/>
      <c r="B397" s="1"/>
      <c r="C397" s="169"/>
      <c r="D397" s="169"/>
      <c r="E397" s="168"/>
      <c r="F397" s="169"/>
      <c r="G397" s="170"/>
      <c r="H397" s="1"/>
      <c r="I397" s="1"/>
      <c r="J397" s="1"/>
      <c r="K397" s="1"/>
      <c r="L397" s="1"/>
      <c r="M397" s="331">
        <f>P397</f>
      </c>
      <c r="N397" s="335">
        <f>+IF(O397&lt;N396,O397,N396)</f>
      </c>
      <c r="O397" s="335">
        <f>+(O396-N396)*(1+$E$13)</f>
      </c>
      <c r="P397" s="332">
        <v>392</v>
      </c>
      <c r="Q397" s="1"/>
      <c r="R397" s="331">
        <f>U397</f>
      </c>
      <c r="S397" s="335">
        <f>+IF(T397&lt;S396,T397,S396)</f>
      </c>
      <c r="T397" s="335">
        <f>+(T396-S396)*(1+$E$14)</f>
      </c>
      <c r="U397" s="332">
        <v>392</v>
      </c>
      <c r="V397" s="1"/>
      <c r="W397" s="331">
        <f>Z397</f>
      </c>
      <c r="X397" s="336">
        <f>+IF(Y397&lt;X396,Y397,X396)</f>
      </c>
      <c r="Y397" s="337">
        <f>+(Y396-X396)*(1+$E$15)</f>
      </c>
      <c r="Z397" s="332">
        <v>392</v>
      </c>
      <c r="AA397" s="1"/>
      <c r="AB397" s="331">
        <f>AE397</f>
      </c>
      <c r="AC397" s="336">
        <f>+IF(AD397&lt;AC396,AD397,AC396)</f>
      </c>
      <c r="AD397" s="337">
        <f>+(AD396-AC396)*(1+$E$16)</f>
      </c>
      <c r="AE397" s="332">
        <v>392</v>
      </c>
    </row>
    <row x14ac:dyDescent="0.25" r="398" customHeight="1" ht="18.75">
      <c r="A398" s="1"/>
      <c r="B398" s="1"/>
      <c r="C398" s="169"/>
      <c r="D398" s="169"/>
      <c r="E398" s="168"/>
      <c r="F398" s="169"/>
      <c r="G398" s="170"/>
      <c r="H398" s="1"/>
      <c r="I398" s="1"/>
      <c r="J398" s="1"/>
      <c r="K398" s="1"/>
      <c r="L398" s="1"/>
      <c r="M398" s="331">
        <f>P398</f>
      </c>
      <c r="N398" s="335">
        <f>+IF(O398&lt;N397,O398,N397)</f>
      </c>
      <c r="O398" s="335">
        <f>+(O397-N397)*(1+$E$13)</f>
      </c>
      <c r="P398" s="332">
        <v>393</v>
      </c>
      <c r="Q398" s="1"/>
      <c r="R398" s="331">
        <f>U398</f>
      </c>
      <c r="S398" s="335">
        <f>+IF(T398&lt;S397,T398,S397)</f>
      </c>
      <c r="T398" s="335">
        <f>+(T397-S397)*(1+$E$14)</f>
      </c>
      <c r="U398" s="332">
        <v>393</v>
      </c>
      <c r="V398" s="1"/>
      <c r="W398" s="331">
        <f>Z398</f>
      </c>
      <c r="X398" s="336">
        <f>+IF(Y398&lt;X397,Y398,X397)</f>
      </c>
      <c r="Y398" s="337">
        <f>+(Y397-X397)*(1+$E$15)</f>
      </c>
      <c r="Z398" s="332">
        <v>393</v>
      </c>
      <c r="AA398" s="1"/>
      <c r="AB398" s="331">
        <f>AE398</f>
      </c>
      <c r="AC398" s="336">
        <f>+IF(AD398&lt;AC397,AD398,AC397)</f>
      </c>
      <c r="AD398" s="337">
        <f>+(AD397-AC397)*(1+$E$16)</f>
      </c>
      <c r="AE398" s="332">
        <v>393</v>
      </c>
    </row>
    <row x14ac:dyDescent="0.25" r="399" customHeight="1" ht="18.75">
      <c r="A399" s="1"/>
      <c r="B399" s="1"/>
      <c r="C399" s="169"/>
      <c r="D399" s="169"/>
      <c r="E399" s="168"/>
      <c r="F399" s="169"/>
      <c r="G399" s="170"/>
      <c r="H399" s="1"/>
      <c r="I399" s="1"/>
      <c r="J399" s="1"/>
      <c r="K399" s="1"/>
      <c r="L399" s="1"/>
      <c r="M399" s="331">
        <f>P399</f>
      </c>
      <c r="N399" s="335">
        <f>+IF(O399&lt;N398,O399,N398)</f>
      </c>
      <c r="O399" s="335">
        <f>+(O398-N398)*(1+$E$13)</f>
      </c>
      <c r="P399" s="332">
        <v>394</v>
      </c>
      <c r="Q399" s="1"/>
      <c r="R399" s="331">
        <f>U399</f>
      </c>
      <c r="S399" s="335">
        <f>+IF(T399&lt;S398,T399,S398)</f>
      </c>
      <c r="T399" s="335">
        <f>+(T398-S398)*(1+$E$14)</f>
      </c>
      <c r="U399" s="332">
        <v>394</v>
      </c>
      <c r="V399" s="1"/>
      <c r="W399" s="331">
        <f>Z399</f>
      </c>
      <c r="X399" s="336">
        <f>+IF(Y399&lt;X398,Y399,X398)</f>
      </c>
      <c r="Y399" s="337">
        <f>+(Y398-X398)*(1+$E$15)</f>
      </c>
      <c r="Z399" s="332">
        <v>394</v>
      </c>
      <c r="AA399" s="1"/>
      <c r="AB399" s="331">
        <f>AE399</f>
      </c>
      <c r="AC399" s="336">
        <f>+IF(AD399&lt;AC398,AD399,AC398)</f>
      </c>
      <c r="AD399" s="337">
        <f>+(AD398-AC398)*(1+$E$16)</f>
      </c>
      <c r="AE399" s="332">
        <v>394</v>
      </c>
    </row>
    <row x14ac:dyDescent="0.25" r="400" customHeight="1" ht="18.75">
      <c r="A400" s="1"/>
      <c r="B400" s="1"/>
      <c r="C400" s="169"/>
      <c r="D400" s="169"/>
      <c r="E400" s="168"/>
      <c r="F400" s="169"/>
      <c r="G400" s="170"/>
      <c r="H400" s="1"/>
      <c r="I400" s="1"/>
      <c r="J400" s="1"/>
      <c r="K400" s="1"/>
      <c r="L400" s="1"/>
      <c r="M400" s="331">
        <f>P400</f>
      </c>
      <c r="N400" s="335">
        <f>+IF(O400&lt;N399,O400,N399)</f>
      </c>
      <c r="O400" s="335">
        <f>+(O399-N399)*(1+$E$13)</f>
      </c>
      <c r="P400" s="332">
        <v>395</v>
      </c>
      <c r="Q400" s="1"/>
      <c r="R400" s="331">
        <f>U400</f>
      </c>
      <c r="S400" s="335">
        <f>+IF(T400&lt;S399,T400,S399)</f>
      </c>
      <c r="T400" s="335">
        <f>+(T399-S399)*(1+$E$14)</f>
      </c>
      <c r="U400" s="332">
        <v>395</v>
      </c>
      <c r="V400" s="1"/>
      <c r="W400" s="331">
        <f>Z400</f>
      </c>
      <c r="X400" s="336">
        <f>+IF(Y400&lt;X399,Y400,X399)</f>
      </c>
      <c r="Y400" s="337">
        <f>+(Y399-X399)*(1+$E$15)</f>
      </c>
      <c r="Z400" s="332">
        <v>395</v>
      </c>
      <c r="AA400" s="1"/>
      <c r="AB400" s="331">
        <f>AE400</f>
      </c>
      <c r="AC400" s="336">
        <f>+IF(AD400&lt;AC399,AD400,AC399)</f>
      </c>
      <c r="AD400" s="337">
        <f>+(AD399-AC399)*(1+$E$16)</f>
      </c>
      <c r="AE400" s="332">
        <v>395</v>
      </c>
    </row>
    <row x14ac:dyDescent="0.25" r="401" customHeight="1" ht="18.75">
      <c r="A401" s="1"/>
      <c r="B401" s="1"/>
      <c r="C401" s="169"/>
      <c r="D401" s="169"/>
      <c r="E401" s="168"/>
      <c r="F401" s="169"/>
      <c r="G401" s="170"/>
      <c r="H401" s="1"/>
      <c r="I401" s="1"/>
      <c r="J401" s="1"/>
      <c r="K401" s="1"/>
      <c r="L401" s="1"/>
      <c r="M401" s="331">
        <f>P401</f>
      </c>
      <c r="N401" s="335">
        <f>+IF(O401&lt;N400,O401,N400)</f>
      </c>
      <c r="O401" s="335">
        <f>+(O400-N400)*(1+$E$13)</f>
      </c>
      <c r="P401" s="332">
        <v>396</v>
      </c>
      <c r="Q401" s="1"/>
      <c r="R401" s="331">
        <f>U401</f>
      </c>
      <c r="S401" s="335">
        <f>+IF(T401&lt;S400,T401,S400)</f>
      </c>
      <c r="T401" s="335">
        <f>+(T400-S400)*(1+$E$14)</f>
      </c>
      <c r="U401" s="332">
        <v>396</v>
      </c>
      <c r="V401" s="1"/>
      <c r="W401" s="331">
        <f>Z401</f>
      </c>
      <c r="X401" s="336">
        <f>+IF(Y401&lt;X400,Y401,X400)</f>
      </c>
      <c r="Y401" s="337">
        <f>+(Y400-X400)*(1+$E$15)</f>
      </c>
      <c r="Z401" s="332">
        <v>396</v>
      </c>
      <c r="AA401" s="1"/>
      <c r="AB401" s="331">
        <f>AE401</f>
      </c>
      <c r="AC401" s="336">
        <f>+IF(AD401&lt;AC400,AD401,AC400)</f>
      </c>
      <c r="AD401" s="337">
        <f>+(AD400-AC400)*(1+$E$16)</f>
      </c>
      <c r="AE401" s="332">
        <v>396</v>
      </c>
    </row>
    <row x14ac:dyDescent="0.25" r="402" customHeight="1" ht="18.75">
      <c r="A402" s="1"/>
      <c r="B402" s="1"/>
      <c r="C402" s="169"/>
      <c r="D402" s="169"/>
      <c r="E402" s="168"/>
      <c r="F402" s="169"/>
      <c r="G402" s="170"/>
      <c r="H402" s="1"/>
      <c r="I402" s="1"/>
      <c r="J402" s="1"/>
      <c r="K402" s="1"/>
      <c r="L402" s="1"/>
      <c r="M402" s="331">
        <f>P402</f>
      </c>
      <c r="N402" s="335">
        <f>+IF(O402&lt;N401,O402,N401)</f>
      </c>
      <c r="O402" s="335">
        <f>+(O401-N401)*(1+$E$13)</f>
      </c>
      <c r="P402" s="332">
        <v>397</v>
      </c>
      <c r="Q402" s="1"/>
      <c r="R402" s="331">
        <f>U402</f>
      </c>
      <c r="S402" s="335">
        <f>+IF(T402&lt;S401,T402,S401)</f>
      </c>
      <c r="T402" s="335">
        <f>+(T401-S401)*(1+$E$14)</f>
      </c>
      <c r="U402" s="332">
        <v>397</v>
      </c>
      <c r="V402" s="1"/>
      <c r="W402" s="331">
        <f>Z402</f>
      </c>
      <c r="X402" s="336">
        <f>+IF(Y402&lt;X401,Y402,X401)</f>
      </c>
      <c r="Y402" s="337">
        <f>+(Y401-X401)*(1+$E$15)</f>
      </c>
      <c r="Z402" s="332">
        <v>397</v>
      </c>
      <c r="AA402" s="1"/>
      <c r="AB402" s="331">
        <f>AE402</f>
      </c>
      <c r="AC402" s="336">
        <f>+IF(AD402&lt;AC401,AD402,AC401)</f>
      </c>
      <c r="AD402" s="337">
        <f>+(AD401-AC401)*(1+$E$16)</f>
      </c>
      <c r="AE402" s="332">
        <v>397</v>
      </c>
    </row>
    <row x14ac:dyDescent="0.25" r="403" customHeight="1" ht="18.75">
      <c r="A403" s="1"/>
      <c r="B403" s="1"/>
      <c r="C403" s="169"/>
      <c r="D403" s="169"/>
      <c r="E403" s="168"/>
      <c r="F403" s="169"/>
      <c r="G403" s="170"/>
      <c r="H403" s="1"/>
      <c r="I403" s="1"/>
      <c r="J403" s="1"/>
      <c r="K403" s="1"/>
      <c r="L403" s="1"/>
      <c r="M403" s="331">
        <f>P403</f>
      </c>
      <c r="N403" s="335">
        <f>+IF(O403&lt;N402,O403,N402)</f>
      </c>
      <c r="O403" s="335">
        <f>+(O402-N402)*(1+$E$13)</f>
      </c>
      <c r="P403" s="332">
        <v>398</v>
      </c>
      <c r="Q403" s="1"/>
      <c r="R403" s="331">
        <f>U403</f>
      </c>
      <c r="S403" s="335">
        <f>+IF(T403&lt;S402,T403,S402)</f>
      </c>
      <c r="T403" s="335">
        <f>+(T402-S402)*(1+$E$14)</f>
      </c>
      <c r="U403" s="332">
        <v>398</v>
      </c>
      <c r="V403" s="1"/>
      <c r="W403" s="331">
        <f>Z403</f>
      </c>
      <c r="X403" s="336">
        <f>+IF(Y403&lt;X402,Y403,X402)</f>
      </c>
      <c r="Y403" s="337">
        <f>+(Y402-X402)*(1+$E$15)</f>
      </c>
      <c r="Z403" s="332">
        <v>398</v>
      </c>
      <c r="AA403" s="1"/>
      <c r="AB403" s="331">
        <f>AE403</f>
      </c>
      <c r="AC403" s="336">
        <f>+IF(AD403&lt;AC402,AD403,AC402)</f>
      </c>
      <c r="AD403" s="337">
        <f>+(AD402-AC402)*(1+$E$16)</f>
      </c>
      <c r="AE403" s="332">
        <v>398</v>
      </c>
    </row>
    <row x14ac:dyDescent="0.25" r="404" customHeight="1" ht="18.75">
      <c r="A404" s="1"/>
      <c r="B404" s="1"/>
      <c r="C404" s="169"/>
      <c r="D404" s="169"/>
      <c r="E404" s="168"/>
      <c r="F404" s="169"/>
      <c r="G404" s="170"/>
      <c r="H404" s="1"/>
      <c r="I404" s="1"/>
      <c r="J404" s="1"/>
      <c r="K404" s="1"/>
      <c r="L404" s="1"/>
      <c r="M404" s="331">
        <f>P404</f>
      </c>
      <c r="N404" s="335">
        <f>+IF(O404&lt;N403,O404,N403)</f>
      </c>
      <c r="O404" s="335">
        <f>+(O403-N403)*(1+$E$13)</f>
      </c>
      <c r="P404" s="332">
        <v>399</v>
      </c>
      <c r="Q404" s="1"/>
      <c r="R404" s="331">
        <f>U404</f>
      </c>
      <c r="S404" s="335">
        <f>+IF(T404&lt;S403,T404,S403)</f>
      </c>
      <c r="T404" s="335">
        <f>+(T403-S403)*(1+$E$14)</f>
      </c>
      <c r="U404" s="332">
        <v>399</v>
      </c>
      <c r="V404" s="1"/>
      <c r="W404" s="331">
        <f>Z404</f>
      </c>
      <c r="X404" s="336">
        <f>+IF(Y404&lt;X403,Y404,X403)</f>
      </c>
      <c r="Y404" s="337">
        <f>+(Y403-X403)*(1+$E$15)</f>
      </c>
      <c r="Z404" s="332">
        <v>399</v>
      </c>
      <c r="AA404" s="1"/>
      <c r="AB404" s="331">
        <f>AE404</f>
      </c>
      <c r="AC404" s="336">
        <f>+IF(AD404&lt;AC403,AD404,AC403)</f>
      </c>
      <c r="AD404" s="337">
        <f>+(AD403-AC403)*(1+$E$16)</f>
      </c>
      <c r="AE404" s="332">
        <v>399</v>
      </c>
    </row>
    <row x14ac:dyDescent="0.25" r="405" customHeight="1" ht="18.75">
      <c r="A405" s="1"/>
      <c r="B405" s="1"/>
      <c r="C405" s="169"/>
      <c r="D405" s="169"/>
      <c r="E405" s="168"/>
      <c r="F405" s="169"/>
      <c r="G405" s="170"/>
      <c r="H405" s="1"/>
      <c r="I405" s="1"/>
      <c r="J405" s="1"/>
      <c r="K405" s="1"/>
      <c r="L405" s="1"/>
      <c r="M405" s="331">
        <f>P405</f>
      </c>
      <c r="N405" s="335">
        <f>+IF(O405&lt;N404,O405,N404)</f>
      </c>
      <c r="O405" s="335">
        <f>+(O404-N404)*(1+$E$13)</f>
      </c>
      <c r="P405" s="332">
        <v>400</v>
      </c>
      <c r="Q405" s="1"/>
      <c r="R405" s="331">
        <f>U405</f>
      </c>
      <c r="S405" s="335">
        <f>+IF(T405&lt;S404,T405,S404)</f>
      </c>
      <c r="T405" s="335">
        <f>+(T404-S404)*(1+$E$14)</f>
      </c>
      <c r="U405" s="332">
        <v>400</v>
      </c>
      <c r="V405" s="1"/>
      <c r="W405" s="331">
        <f>Z405</f>
      </c>
      <c r="X405" s="336">
        <f>+IF(Y405&lt;X404,Y405,X404)</f>
      </c>
      <c r="Y405" s="337">
        <f>+(Y404-X404)*(1+$E$15)</f>
      </c>
      <c r="Z405" s="332">
        <v>400</v>
      </c>
      <c r="AA405" s="1"/>
      <c r="AB405" s="331">
        <f>AE405</f>
      </c>
      <c r="AC405" s="336">
        <f>+IF(AD405&lt;AC404,AD405,AC404)</f>
      </c>
      <c r="AD405" s="337">
        <f>+(AD404-AC404)*(1+$E$16)</f>
      </c>
      <c r="AE405" s="332">
        <v>400</v>
      </c>
    </row>
    <row x14ac:dyDescent="0.25" r="406" customHeight="1" ht="18.75">
      <c r="A406" s="1"/>
      <c r="B406" s="1"/>
      <c r="C406" s="169"/>
      <c r="D406" s="169"/>
      <c r="E406" s="168"/>
      <c r="F406" s="169"/>
      <c r="G406" s="170"/>
      <c r="H406" s="1"/>
      <c r="I406" s="1"/>
      <c r="J406" s="1"/>
      <c r="K406" s="1"/>
      <c r="L406" s="1"/>
      <c r="M406" s="331">
        <f>P406</f>
      </c>
      <c r="N406" s="335">
        <f>+IF(O406&lt;N405,O406,N405)</f>
      </c>
      <c r="O406" s="335">
        <f>+(O405-N405)*(1+$E$13)</f>
      </c>
      <c r="P406" s="332">
        <v>401</v>
      </c>
      <c r="Q406" s="1"/>
      <c r="R406" s="331">
        <f>U406</f>
      </c>
      <c r="S406" s="335">
        <f>+IF(T406&lt;S405,T406,S405)</f>
      </c>
      <c r="T406" s="335">
        <f>+(T405-S405)*(1+$E$14)</f>
      </c>
      <c r="U406" s="332">
        <v>401</v>
      </c>
      <c r="V406" s="1"/>
      <c r="W406" s="331">
        <f>Z406</f>
      </c>
      <c r="X406" s="336">
        <f>+IF(Y406&lt;X405,Y406,X405)</f>
      </c>
      <c r="Y406" s="337">
        <f>+(Y405-X405)*(1+$E$15)</f>
      </c>
      <c r="Z406" s="332">
        <v>401</v>
      </c>
      <c r="AA406" s="1"/>
      <c r="AB406" s="331">
        <f>AE406</f>
      </c>
      <c r="AC406" s="336">
        <f>+IF(AD406&lt;AC405,AD406,AC405)</f>
      </c>
      <c r="AD406" s="337">
        <f>+(AD405-AC405)*(1+$E$16)</f>
      </c>
      <c r="AE406" s="332">
        <v>401</v>
      </c>
    </row>
    <row x14ac:dyDescent="0.25" r="407" customHeight="1" ht="18.75">
      <c r="A407" s="1"/>
      <c r="B407" s="1"/>
      <c r="C407" s="169"/>
      <c r="D407" s="169"/>
      <c r="E407" s="168"/>
      <c r="F407" s="169"/>
      <c r="G407" s="170"/>
      <c r="H407" s="1"/>
      <c r="I407" s="1"/>
      <c r="J407" s="1"/>
      <c r="K407" s="1"/>
      <c r="L407" s="1"/>
      <c r="M407" s="331">
        <f>P407</f>
      </c>
      <c r="N407" s="335">
        <f>+IF(O407&lt;N406,O407,N406)</f>
      </c>
      <c r="O407" s="335">
        <f>+(O406-N406)*(1+$E$13)</f>
      </c>
      <c r="P407" s="332">
        <v>402</v>
      </c>
      <c r="Q407" s="1"/>
      <c r="R407" s="331">
        <f>U407</f>
      </c>
      <c r="S407" s="335">
        <f>+IF(T407&lt;S406,T407,S406)</f>
      </c>
      <c r="T407" s="335">
        <f>+(T406-S406)*(1+$E$14)</f>
      </c>
      <c r="U407" s="332">
        <v>402</v>
      </c>
      <c r="V407" s="1"/>
      <c r="W407" s="331">
        <f>Z407</f>
      </c>
      <c r="X407" s="336">
        <f>+IF(Y407&lt;X406,Y407,X406)</f>
      </c>
      <c r="Y407" s="337">
        <f>+(Y406-X406)*(1+$E$15)</f>
      </c>
      <c r="Z407" s="332">
        <v>402</v>
      </c>
      <c r="AA407" s="1"/>
      <c r="AB407" s="331">
        <f>AE407</f>
      </c>
      <c r="AC407" s="336">
        <f>+IF(AD407&lt;AC406,AD407,AC406)</f>
      </c>
      <c r="AD407" s="337">
        <f>+(AD406-AC406)*(1+$E$16)</f>
      </c>
      <c r="AE407" s="332">
        <v>402</v>
      </c>
    </row>
    <row x14ac:dyDescent="0.25" r="408" customHeight="1" ht="18.75">
      <c r="A408" s="1"/>
      <c r="B408" s="1"/>
      <c r="C408" s="169"/>
      <c r="D408" s="169"/>
      <c r="E408" s="168"/>
      <c r="F408" s="169"/>
      <c r="G408" s="170"/>
      <c r="H408" s="1"/>
      <c r="I408" s="1"/>
      <c r="J408" s="1"/>
      <c r="K408" s="1"/>
      <c r="L408" s="1"/>
      <c r="M408" s="331">
        <f>P408</f>
      </c>
      <c r="N408" s="335">
        <f>+IF(O408&lt;N407,O408,N407)</f>
      </c>
      <c r="O408" s="335">
        <f>+(O407-N407)*(1+$E$13)</f>
      </c>
      <c r="P408" s="332">
        <v>403</v>
      </c>
      <c r="Q408" s="1"/>
      <c r="R408" s="331">
        <f>U408</f>
      </c>
      <c r="S408" s="335">
        <f>+IF(T408&lt;S407,T408,S407)</f>
      </c>
      <c r="T408" s="335">
        <f>+(T407-S407)*(1+$E$14)</f>
      </c>
      <c r="U408" s="332">
        <v>403</v>
      </c>
      <c r="V408" s="1"/>
      <c r="W408" s="331">
        <f>Z408</f>
      </c>
      <c r="X408" s="336">
        <f>+IF(Y408&lt;X407,Y408,X407)</f>
      </c>
      <c r="Y408" s="337">
        <f>+(Y407-X407)*(1+$E$15)</f>
      </c>
      <c r="Z408" s="332">
        <v>403</v>
      </c>
      <c r="AA408" s="1"/>
      <c r="AB408" s="331">
        <f>AE408</f>
      </c>
      <c r="AC408" s="336">
        <f>+IF(AD408&lt;AC407,AD408,AC407)</f>
      </c>
      <c r="AD408" s="337">
        <f>+(AD407-AC407)*(1+$E$16)</f>
      </c>
      <c r="AE408" s="332">
        <v>403</v>
      </c>
    </row>
    <row x14ac:dyDescent="0.25" r="409" customHeight="1" ht="18.75">
      <c r="A409" s="1"/>
      <c r="B409" s="1"/>
      <c r="C409" s="169"/>
      <c r="D409" s="169"/>
      <c r="E409" s="168"/>
      <c r="F409" s="169"/>
      <c r="G409" s="170"/>
      <c r="H409" s="1"/>
      <c r="I409" s="1"/>
      <c r="J409" s="1"/>
      <c r="K409" s="1"/>
      <c r="L409" s="1"/>
      <c r="M409" s="331">
        <f>P409</f>
      </c>
      <c r="N409" s="335">
        <f>+IF(O409&lt;N408,O409,N408)</f>
      </c>
      <c r="O409" s="335">
        <f>+(O408-N408)*(1+$E$13)</f>
      </c>
      <c r="P409" s="332">
        <v>404</v>
      </c>
      <c r="Q409" s="1"/>
      <c r="R409" s="331">
        <f>U409</f>
      </c>
      <c r="S409" s="335">
        <f>+IF(T409&lt;S408,T409,S408)</f>
      </c>
      <c r="T409" s="335">
        <f>+(T408-S408)*(1+$E$14)</f>
      </c>
      <c r="U409" s="332">
        <v>404</v>
      </c>
      <c r="V409" s="1"/>
      <c r="W409" s="331">
        <f>Z409</f>
      </c>
      <c r="X409" s="336">
        <f>+IF(Y409&lt;X408,Y409,X408)</f>
      </c>
      <c r="Y409" s="337">
        <f>+(Y408-X408)*(1+$E$15)</f>
      </c>
      <c r="Z409" s="332">
        <v>404</v>
      </c>
      <c r="AA409" s="1"/>
      <c r="AB409" s="331">
        <f>AE409</f>
      </c>
      <c r="AC409" s="336">
        <f>+IF(AD409&lt;AC408,AD409,AC408)</f>
      </c>
      <c r="AD409" s="337">
        <f>+(AD408-AC408)*(1+$E$16)</f>
      </c>
      <c r="AE409" s="332">
        <v>404</v>
      </c>
    </row>
    <row x14ac:dyDescent="0.25" r="410" customHeight="1" ht="18.75">
      <c r="A410" s="1"/>
      <c r="B410" s="1"/>
      <c r="C410" s="169"/>
      <c r="D410" s="169"/>
      <c r="E410" s="168"/>
      <c r="F410" s="169"/>
      <c r="G410" s="170"/>
      <c r="H410" s="1"/>
      <c r="I410" s="1"/>
      <c r="J410" s="1"/>
      <c r="K410" s="1"/>
      <c r="L410" s="1"/>
      <c r="M410" s="331">
        <f>P410</f>
      </c>
      <c r="N410" s="335">
        <f>+IF(O410&lt;N409,O410,N409)</f>
      </c>
      <c r="O410" s="335">
        <f>+(O409-N409)*(1+$E$13)</f>
      </c>
      <c r="P410" s="332">
        <v>405</v>
      </c>
      <c r="Q410" s="1"/>
      <c r="R410" s="331">
        <f>U410</f>
      </c>
      <c r="S410" s="335">
        <f>+IF(T410&lt;S409,T410,S409)</f>
      </c>
      <c r="T410" s="335">
        <f>+(T409-S409)*(1+$E$14)</f>
      </c>
      <c r="U410" s="332">
        <v>405</v>
      </c>
      <c r="V410" s="1"/>
      <c r="W410" s="331">
        <f>Z410</f>
      </c>
      <c r="X410" s="336">
        <f>+IF(Y410&lt;X409,Y410,X409)</f>
      </c>
      <c r="Y410" s="337">
        <f>+(Y409-X409)*(1+$E$15)</f>
      </c>
      <c r="Z410" s="332">
        <v>405</v>
      </c>
      <c r="AA410" s="1"/>
      <c r="AB410" s="331">
        <f>AE410</f>
      </c>
      <c r="AC410" s="336">
        <f>+IF(AD410&lt;AC409,AD410,AC409)</f>
      </c>
      <c r="AD410" s="337">
        <f>+(AD409-AC409)*(1+$E$16)</f>
      </c>
      <c r="AE410" s="332">
        <v>405</v>
      </c>
    </row>
    <row x14ac:dyDescent="0.25" r="411" customHeight="1" ht="18.75">
      <c r="A411" s="1"/>
      <c r="B411" s="1"/>
      <c r="C411" s="169"/>
      <c r="D411" s="169"/>
      <c r="E411" s="168"/>
      <c r="F411" s="169"/>
      <c r="G411" s="170"/>
      <c r="H411" s="1"/>
      <c r="I411" s="1"/>
      <c r="J411" s="1"/>
      <c r="K411" s="1"/>
      <c r="L411" s="1"/>
      <c r="M411" s="331">
        <f>P411</f>
      </c>
      <c r="N411" s="335">
        <f>+IF(O411&lt;N410,O411,N410)</f>
      </c>
      <c r="O411" s="335">
        <f>+(O410-N410)*(1+$E$13)</f>
      </c>
      <c r="P411" s="332">
        <v>406</v>
      </c>
      <c r="Q411" s="1"/>
      <c r="R411" s="331">
        <f>U411</f>
      </c>
      <c r="S411" s="335">
        <f>+IF(T411&lt;S410,T411,S410)</f>
      </c>
      <c r="T411" s="335">
        <f>+(T410-S410)*(1+$E$14)</f>
      </c>
      <c r="U411" s="332">
        <v>406</v>
      </c>
      <c r="V411" s="1"/>
      <c r="W411" s="331">
        <f>Z411</f>
      </c>
      <c r="X411" s="336">
        <f>+IF(Y411&lt;X410,Y411,X410)</f>
      </c>
      <c r="Y411" s="337">
        <f>+(Y410-X410)*(1+$E$15)</f>
      </c>
      <c r="Z411" s="332">
        <v>406</v>
      </c>
      <c r="AA411" s="1"/>
      <c r="AB411" s="331">
        <f>AE411</f>
      </c>
      <c r="AC411" s="336">
        <f>+IF(AD411&lt;AC410,AD411,AC410)</f>
      </c>
      <c r="AD411" s="337">
        <f>+(AD410-AC410)*(1+$E$16)</f>
      </c>
      <c r="AE411" s="332">
        <v>406</v>
      </c>
    </row>
    <row x14ac:dyDescent="0.25" r="412" customHeight="1" ht="18.75">
      <c r="A412" s="1"/>
      <c r="B412" s="1"/>
      <c r="C412" s="169"/>
      <c r="D412" s="169"/>
      <c r="E412" s="168"/>
      <c r="F412" s="169"/>
      <c r="G412" s="170"/>
      <c r="H412" s="1"/>
      <c r="I412" s="1"/>
      <c r="J412" s="1"/>
      <c r="K412" s="1"/>
      <c r="L412" s="1"/>
      <c r="M412" s="331">
        <f>P412</f>
      </c>
      <c r="N412" s="335">
        <f>+IF(O412&lt;N411,O412,N411)</f>
      </c>
      <c r="O412" s="335">
        <f>+(O411-N411)*(1+$E$13)</f>
      </c>
      <c r="P412" s="332">
        <v>407</v>
      </c>
      <c r="Q412" s="1"/>
      <c r="R412" s="331">
        <f>U412</f>
      </c>
      <c r="S412" s="335">
        <f>+IF(T412&lt;S411,T412,S411)</f>
      </c>
      <c r="T412" s="335">
        <f>+(T411-S411)*(1+$E$14)</f>
      </c>
      <c r="U412" s="332">
        <v>407</v>
      </c>
      <c r="V412" s="1"/>
      <c r="W412" s="331">
        <f>Z412</f>
      </c>
      <c r="X412" s="336">
        <f>+IF(Y412&lt;X411,Y412,X411)</f>
      </c>
      <c r="Y412" s="337">
        <f>+(Y411-X411)*(1+$E$15)</f>
      </c>
      <c r="Z412" s="332">
        <v>407</v>
      </c>
      <c r="AA412" s="1"/>
      <c r="AB412" s="331">
        <f>AE412</f>
      </c>
      <c r="AC412" s="336">
        <f>+IF(AD412&lt;AC411,AD412,AC411)</f>
      </c>
      <c r="AD412" s="337">
        <f>+(AD411-AC411)*(1+$E$16)</f>
      </c>
      <c r="AE412" s="332">
        <v>407</v>
      </c>
    </row>
    <row x14ac:dyDescent="0.25" r="413" customHeight="1" ht="18.75">
      <c r="A413" s="1"/>
      <c r="B413" s="1"/>
      <c r="C413" s="169"/>
      <c r="D413" s="169"/>
      <c r="E413" s="168"/>
      <c r="F413" s="169"/>
      <c r="G413" s="170"/>
      <c r="H413" s="1"/>
      <c r="I413" s="1"/>
      <c r="J413" s="1"/>
      <c r="K413" s="1"/>
      <c r="L413" s="1"/>
      <c r="M413" s="331">
        <f>P413</f>
      </c>
      <c r="N413" s="335">
        <f>+IF(O413&lt;N412,O413,N412)</f>
      </c>
      <c r="O413" s="335">
        <f>+(O412-N412)*(1+$E$13)</f>
      </c>
      <c r="P413" s="332">
        <v>408</v>
      </c>
      <c r="Q413" s="1"/>
      <c r="R413" s="331">
        <f>U413</f>
      </c>
      <c r="S413" s="335">
        <f>+IF(T413&lt;S412,T413,S412)</f>
      </c>
      <c r="T413" s="335">
        <f>+(T412-S412)*(1+$E$14)</f>
      </c>
      <c r="U413" s="332">
        <v>408</v>
      </c>
      <c r="V413" s="1"/>
      <c r="W413" s="331">
        <f>Z413</f>
      </c>
      <c r="X413" s="336">
        <f>+IF(Y413&lt;X412,Y413,X412)</f>
      </c>
      <c r="Y413" s="337">
        <f>+(Y412-X412)*(1+$E$15)</f>
      </c>
      <c r="Z413" s="332">
        <v>408</v>
      </c>
      <c r="AA413" s="1"/>
      <c r="AB413" s="331">
        <f>AE413</f>
      </c>
      <c r="AC413" s="336">
        <f>+IF(AD413&lt;AC412,AD413,AC412)</f>
      </c>
      <c r="AD413" s="337">
        <f>+(AD412-AC412)*(1+$E$16)</f>
      </c>
      <c r="AE413" s="332">
        <v>408</v>
      </c>
    </row>
    <row x14ac:dyDescent="0.25" r="414" customHeight="1" ht="18.75">
      <c r="A414" s="1"/>
      <c r="B414" s="1"/>
      <c r="C414" s="169"/>
      <c r="D414" s="169"/>
      <c r="E414" s="168"/>
      <c r="F414" s="169"/>
      <c r="G414" s="170"/>
      <c r="H414" s="1"/>
      <c r="I414" s="1"/>
      <c r="J414" s="1"/>
      <c r="K414" s="1"/>
      <c r="L414" s="1"/>
      <c r="M414" s="331">
        <f>P414</f>
      </c>
      <c r="N414" s="335">
        <f>+IF(O414&lt;N413,O414,N413)</f>
      </c>
      <c r="O414" s="335">
        <f>+(O413-N413)*(1+$E$13)</f>
      </c>
      <c r="P414" s="332">
        <v>409</v>
      </c>
      <c r="Q414" s="1"/>
      <c r="R414" s="331">
        <f>U414</f>
      </c>
      <c r="S414" s="335">
        <f>+IF(T414&lt;S413,T414,S413)</f>
      </c>
      <c r="T414" s="335">
        <f>+(T413-S413)*(1+$E$14)</f>
      </c>
      <c r="U414" s="332">
        <v>409</v>
      </c>
      <c r="V414" s="1"/>
      <c r="W414" s="331">
        <f>Z414</f>
      </c>
      <c r="X414" s="336">
        <f>+IF(Y414&lt;X413,Y414,X413)</f>
      </c>
      <c r="Y414" s="337">
        <f>+(Y413-X413)*(1+$E$15)</f>
      </c>
      <c r="Z414" s="332">
        <v>409</v>
      </c>
      <c r="AA414" s="1"/>
      <c r="AB414" s="331">
        <f>AE414</f>
      </c>
      <c r="AC414" s="336">
        <f>+IF(AD414&lt;AC413,AD414,AC413)</f>
      </c>
      <c r="AD414" s="337">
        <f>+(AD413-AC413)*(1+$E$16)</f>
      </c>
      <c r="AE414" s="332">
        <v>409</v>
      </c>
    </row>
    <row x14ac:dyDescent="0.25" r="415" customHeight="1" ht="18.75">
      <c r="A415" s="1"/>
      <c r="B415" s="1"/>
      <c r="C415" s="169"/>
      <c r="D415" s="169"/>
      <c r="E415" s="168"/>
      <c r="F415" s="169"/>
      <c r="G415" s="170"/>
      <c r="H415" s="1"/>
      <c r="I415" s="1"/>
      <c r="J415" s="1"/>
      <c r="K415" s="1"/>
      <c r="L415" s="1"/>
      <c r="M415" s="331">
        <f>P415</f>
      </c>
      <c r="N415" s="335">
        <f>+IF(O415&lt;N414,O415,N414)</f>
      </c>
      <c r="O415" s="335">
        <f>+(O414-N414)*(1+$E$13)</f>
      </c>
      <c r="P415" s="332">
        <v>410</v>
      </c>
      <c r="Q415" s="1"/>
      <c r="R415" s="331">
        <f>U415</f>
      </c>
      <c r="S415" s="335">
        <f>+IF(T415&lt;S414,T415,S414)</f>
      </c>
      <c r="T415" s="335">
        <f>+(T414-S414)*(1+$E$14)</f>
      </c>
      <c r="U415" s="332">
        <v>410</v>
      </c>
      <c r="V415" s="1"/>
      <c r="W415" s="331">
        <f>Z415</f>
      </c>
      <c r="X415" s="336">
        <f>+IF(Y415&lt;X414,Y415,X414)</f>
      </c>
      <c r="Y415" s="337">
        <f>+(Y414-X414)*(1+$E$15)</f>
      </c>
      <c r="Z415" s="332">
        <v>410</v>
      </c>
      <c r="AA415" s="1"/>
      <c r="AB415" s="331">
        <f>AE415</f>
      </c>
      <c r="AC415" s="336">
        <f>+IF(AD415&lt;AC414,AD415,AC414)</f>
      </c>
      <c r="AD415" s="337">
        <f>+(AD414-AC414)*(1+$E$16)</f>
      </c>
      <c r="AE415" s="332">
        <v>410</v>
      </c>
    </row>
    <row x14ac:dyDescent="0.25" r="416" customHeight="1" ht="18.75">
      <c r="A416" s="1"/>
      <c r="B416" s="1"/>
      <c r="C416" s="169"/>
      <c r="D416" s="169"/>
      <c r="E416" s="168"/>
      <c r="F416" s="169"/>
      <c r="G416" s="170"/>
      <c r="H416" s="1"/>
      <c r="I416" s="1"/>
      <c r="J416" s="1"/>
      <c r="K416" s="1"/>
      <c r="L416" s="1"/>
      <c r="M416" s="331">
        <f>P416</f>
      </c>
      <c r="N416" s="335">
        <f>+IF(O416&lt;N415,O416,N415)</f>
      </c>
      <c r="O416" s="335">
        <f>+(O415-N415)*(1+$E$13)</f>
      </c>
      <c r="P416" s="332">
        <v>411</v>
      </c>
      <c r="Q416" s="1"/>
      <c r="R416" s="331">
        <f>U416</f>
      </c>
      <c r="S416" s="335">
        <f>+IF(T416&lt;S415,T416,S415)</f>
      </c>
      <c r="T416" s="335">
        <f>+(T415-S415)*(1+$E$14)</f>
      </c>
      <c r="U416" s="332">
        <v>411</v>
      </c>
      <c r="V416" s="1"/>
      <c r="W416" s="331">
        <f>Z416</f>
      </c>
      <c r="X416" s="336">
        <f>+IF(Y416&lt;X415,Y416,X415)</f>
      </c>
      <c r="Y416" s="337">
        <f>+(Y415-X415)*(1+$E$15)</f>
      </c>
      <c r="Z416" s="332">
        <v>411</v>
      </c>
      <c r="AA416" s="1"/>
      <c r="AB416" s="331">
        <f>AE416</f>
      </c>
      <c r="AC416" s="336">
        <f>+IF(AD416&lt;AC415,AD416,AC415)</f>
      </c>
      <c r="AD416" s="337">
        <f>+(AD415-AC415)*(1+$E$16)</f>
      </c>
      <c r="AE416" s="332">
        <v>411</v>
      </c>
    </row>
    <row x14ac:dyDescent="0.25" r="417" customHeight="1" ht="18.75">
      <c r="A417" s="1"/>
      <c r="B417" s="1"/>
      <c r="C417" s="169"/>
      <c r="D417" s="169"/>
      <c r="E417" s="168"/>
      <c r="F417" s="169"/>
      <c r="G417" s="170"/>
      <c r="H417" s="1"/>
      <c r="I417" s="1"/>
      <c r="J417" s="1"/>
      <c r="K417" s="1"/>
      <c r="L417" s="1"/>
      <c r="M417" s="331">
        <f>P417</f>
      </c>
      <c r="N417" s="335">
        <f>+IF(O417&lt;N416,O417,N416)</f>
      </c>
      <c r="O417" s="335">
        <f>+(O416-N416)*(1+$E$13)</f>
      </c>
      <c r="P417" s="332">
        <v>412</v>
      </c>
      <c r="Q417" s="1"/>
      <c r="R417" s="331">
        <f>U417</f>
      </c>
      <c r="S417" s="335">
        <f>+IF(T417&lt;S416,T417,S416)</f>
      </c>
      <c r="T417" s="335">
        <f>+(T416-S416)*(1+$E$14)</f>
      </c>
      <c r="U417" s="332">
        <v>412</v>
      </c>
      <c r="V417" s="1"/>
      <c r="W417" s="331">
        <f>Z417</f>
      </c>
      <c r="X417" s="336">
        <f>+IF(Y417&lt;X416,Y417,X416)</f>
      </c>
      <c r="Y417" s="337">
        <f>+(Y416-X416)*(1+$E$15)</f>
      </c>
      <c r="Z417" s="332">
        <v>412</v>
      </c>
      <c r="AA417" s="1"/>
      <c r="AB417" s="331">
        <f>AE417</f>
      </c>
      <c r="AC417" s="336">
        <f>+IF(AD417&lt;AC416,AD417,AC416)</f>
      </c>
      <c r="AD417" s="337">
        <f>+(AD416-AC416)*(1+$E$16)</f>
      </c>
      <c r="AE417" s="332">
        <v>412</v>
      </c>
    </row>
    <row x14ac:dyDescent="0.25" r="418" customHeight="1" ht="18.75">
      <c r="A418" s="1"/>
      <c r="B418" s="1"/>
      <c r="C418" s="169"/>
      <c r="D418" s="169"/>
      <c r="E418" s="168"/>
      <c r="F418" s="169"/>
      <c r="G418" s="170"/>
      <c r="H418" s="1"/>
      <c r="I418" s="1"/>
      <c r="J418" s="1"/>
      <c r="K418" s="1"/>
      <c r="L418" s="1"/>
      <c r="M418" s="331">
        <f>P418</f>
      </c>
      <c r="N418" s="335">
        <f>+IF(O418&lt;N417,O418,N417)</f>
      </c>
      <c r="O418" s="335">
        <f>+(O417-N417)*(1+$E$13)</f>
      </c>
      <c r="P418" s="332">
        <v>413</v>
      </c>
      <c r="Q418" s="1"/>
      <c r="R418" s="331">
        <f>U418</f>
      </c>
      <c r="S418" s="335">
        <f>+IF(T418&lt;S417,T418,S417)</f>
      </c>
      <c r="T418" s="335">
        <f>+(T417-S417)*(1+$E$14)</f>
      </c>
      <c r="U418" s="332">
        <v>413</v>
      </c>
      <c r="V418" s="1"/>
      <c r="W418" s="331">
        <f>Z418</f>
      </c>
      <c r="X418" s="336">
        <f>+IF(Y418&lt;X417,Y418,X417)</f>
      </c>
      <c r="Y418" s="337">
        <f>+(Y417-X417)*(1+$E$15)</f>
      </c>
      <c r="Z418" s="332">
        <v>413</v>
      </c>
      <c r="AA418" s="1"/>
      <c r="AB418" s="331">
        <f>AE418</f>
      </c>
      <c r="AC418" s="336">
        <f>+IF(AD418&lt;AC417,AD418,AC417)</f>
      </c>
      <c r="AD418" s="337">
        <f>+(AD417-AC417)*(1+$E$16)</f>
      </c>
      <c r="AE418" s="332">
        <v>413</v>
      </c>
    </row>
    <row x14ac:dyDescent="0.25" r="419" customHeight="1" ht="18.75">
      <c r="A419" s="1"/>
      <c r="B419" s="1"/>
      <c r="C419" s="169"/>
      <c r="D419" s="169"/>
      <c r="E419" s="168"/>
      <c r="F419" s="169"/>
      <c r="G419" s="170"/>
      <c r="H419" s="1"/>
      <c r="I419" s="1"/>
      <c r="J419" s="1"/>
      <c r="K419" s="1"/>
      <c r="L419" s="1"/>
      <c r="M419" s="331">
        <f>P419</f>
      </c>
      <c r="N419" s="335">
        <f>+IF(O419&lt;N418,O419,N418)</f>
      </c>
      <c r="O419" s="335">
        <f>+(O418-N418)*(1+$E$13)</f>
      </c>
      <c r="P419" s="332">
        <v>414</v>
      </c>
      <c r="Q419" s="1"/>
      <c r="R419" s="331">
        <f>U419</f>
      </c>
      <c r="S419" s="335">
        <f>+IF(T419&lt;S418,T419,S418)</f>
      </c>
      <c r="T419" s="335">
        <f>+(T418-S418)*(1+$E$14)</f>
      </c>
      <c r="U419" s="332">
        <v>414</v>
      </c>
      <c r="V419" s="1"/>
      <c r="W419" s="331">
        <f>Z419</f>
      </c>
      <c r="X419" s="336">
        <f>+IF(Y419&lt;X418,Y419,X418)</f>
      </c>
      <c r="Y419" s="337">
        <f>+(Y418-X418)*(1+$E$15)</f>
      </c>
      <c r="Z419" s="332">
        <v>414</v>
      </c>
      <c r="AA419" s="1"/>
      <c r="AB419" s="331">
        <f>AE419</f>
      </c>
      <c r="AC419" s="336">
        <f>+IF(AD419&lt;AC418,AD419,AC418)</f>
      </c>
      <c r="AD419" s="337">
        <f>+(AD418-AC418)*(1+$E$16)</f>
      </c>
      <c r="AE419" s="332">
        <v>414</v>
      </c>
    </row>
    <row x14ac:dyDescent="0.25" r="420" customHeight="1" ht="18.75">
      <c r="A420" s="1"/>
      <c r="B420" s="1"/>
      <c r="C420" s="169"/>
      <c r="D420" s="169"/>
      <c r="E420" s="168"/>
      <c r="F420" s="169"/>
      <c r="G420" s="170"/>
      <c r="H420" s="1"/>
      <c r="I420" s="1"/>
      <c r="J420" s="1"/>
      <c r="K420" s="1"/>
      <c r="L420" s="1"/>
      <c r="M420" s="331">
        <f>P420</f>
      </c>
      <c r="N420" s="335">
        <f>+IF(O420&lt;N419,O420,N419)</f>
      </c>
      <c r="O420" s="335">
        <f>+(O419-N419)*(1+$E$13)</f>
      </c>
      <c r="P420" s="332">
        <v>415</v>
      </c>
      <c r="Q420" s="1"/>
      <c r="R420" s="331">
        <f>U420</f>
      </c>
      <c r="S420" s="335">
        <f>+IF(T420&lt;S419,T420,S419)</f>
      </c>
      <c r="T420" s="335">
        <f>+(T419-S419)*(1+$E$14)</f>
      </c>
      <c r="U420" s="332">
        <v>415</v>
      </c>
      <c r="V420" s="1"/>
      <c r="W420" s="331">
        <f>Z420</f>
      </c>
      <c r="X420" s="336">
        <f>+IF(Y420&lt;X419,Y420,X419)</f>
      </c>
      <c r="Y420" s="337">
        <f>+(Y419-X419)*(1+$E$15)</f>
      </c>
      <c r="Z420" s="332">
        <v>415</v>
      </c>
      <c r="AA420" s="1"/>
      <c r="AB420" s="331">
        <f>AE420</f>
      </c>
      <c r="AC420" s="336">
        <f>+IF(AD420&lt;AC419,AD420,AC419)</f>
      </c>
      <c r="AD420" s="337">
        <f>+(AD419-AC419)*(1+$E$16)</f>
      </c>
      <c r="AE420" s="332">
        <v>415</v>
      </c>
    </row>
    <row x14ac:dyDescent="0.25" r="421" customHeight="1" ht="18.75">
      <c r="A421" s="1"/>
      <c r="B421" s="1"/>
      <c r="C421" s="169"/>
      <c r="D421" s="169"/>
      <c r="E421" s="168"/>
      <c r="F421" s="169"/>
      <c r="G421" s="170"/>
      <c r="H421" s="1"/>
      <c r="I421" s="1"/>
      <c r="J421" s="1"/>
      <c r="K421" s="1"/>
      <c r="L421" s="1"/>
      <c r="M421" s="331">
        <f>P421</f>
      </c>
      <c r="N421" s="335">
        <f>+IF(O421&lt;N420,O421,N420)</f>
      </c>
      <c r="O421" s="335">
        <f>+(O420-N420)*(1+$E$13)</f>
      </c>
      <c r="P421" s="332">
        <v>416</v>
      </c>
      <c r="Q421" s="1"/>
      <c r="R421" s="331">
        <f>U421</f>
      </c>
      <c r="S421" s="335">
        <f>+IF(T421&lt;S420,T421,S420)</f>
      </c>
      <c r="T421" s="335">
        <f>+(T420-S420)*(1+$E$14)</f>
      </c>
      <c r="U421" s="332">
        <v>416</v>
      </c>
      <c r="V421" s="1"/>
      <c r="W421" s="331">
        <f>Z421</f>
      </c>
      <c r="X421" s="336">
        <f>+IF(Y421&lt;X420,Y421,X420)</f>
      </c>
      <c r="Y421" s="337">
        <f>+(Y420-X420)*(1+$E$15)</f>
      </c>
      <c r="Z421" s="332">
        <v>416</v>
      </c>
      <c r="AA421" s="1"/>
      <c r="AB421" s="331">
        <f>AE421</f>
      </c>
      <c r="AC421" s="336">
        <f>+IF(AD421&lt;AC420,AD421,AC420)</f>
      </c>
      <c r="AD421" s="337">
        <f>+(AD420-AC420)*(1+$E$16)</f>
      </c>
      <c r="AE421" s="332">
        <v>416</v>
      </c>
    </row>
    <row x14ac:dyDescent="0.25" r="422" customHeight="1" ht="18.75">
      <c r="A422" s="1"/>
      <c r="B422" s="1"/>
      <c r="C422" s="169"/>
      <c r="D422" s="169"/>
      <c r="E422" s="168"/>
      <c r="F422" s="169"/>
      <c r="G422" s="170"/>
      <c r="H422" s="1"/>
      <c r="I422" s="1"/>
      <c r="J422" s="1"/>
      <c r="K422" s="1"/>
      <c r="L422" s="1"/>
      <c r="M422" s="331">
        <f>P422</f>
      </c>
      <c r="N422" s="335">
        <f>+IF(O422&lt;N421,O422,N421)</f>
      </c>
      <c r="O422" s="335">
        <f>+(O421-N421)*(1+$E$13)</f>
      </c>
      <c r="P422" s="332">
        <v>417</v>
      </c>
      <c r="Q422" s="1"/>
      <c r="R422" s="331">
        <f>U422</f>
      </c>
      <c r="S422" s="335">
        <f>+IF(T422&lt;S421,T422,S421)</f>
      </c>
      <c r="T422" s="335">
        <f>+(T421-S421)*(1+$E$14)</f>
      </c>
      <c r="U422" s="332">
        <v>417</v>
      </c>
      <c r="V422" s="1"/>
      <c r="W422" s="331">
        <f>Z422</f>
      </c>
      <c r="X422" s="336">
        <f>+IF(Y422&lt;X421,Y422,X421)</f>
      </c>
      <c r="Y422" s="337">
        <f>+(Y421-X421)*(1+$E$15)</f>
      </c>
      <c r="Z422" s="332">
        <v>417</v>
      </c>
      <c r="AA422" s="1"/>
      <c r="AB422" s="331">
        <f>AE422</f>
      </c>
      <c r="AC422" s="336">
        <f>+IF(AD422&lt;AC421,AD422,AC421)</f>
      </c>
      <c r="AD422" s="337">
        <f>+(AD421-AC421)*(1+$E$16)</f>
      </c>
      <c r="AE422" s="332">
        <v>417</v>
      </c>
    </row>
    <row x14ac:dyDescent="0.25" r="423" customHeight="1" ht="18.75">
      <c r="A423" s="1"/>
      <c r="B423" s="1"/>
      <c r="C423" s="169"/>
      <c r="D423" s="169"/>
      <c r="E423" s="168"/>
      <c r="F423" s="169"/>
      <c r="G423" s="170"/>
      <c r="H423" s="1"/>
      <c r="I423" s="1"/>
      <c r="J423" s="1"/>
      <c r="K423" s="1"/>
      <c r="L423" s="1"/>
      <c r="M423" s="331">
        <f>P423</f>
      </c>
      <c r="N423" s="335">
        <f>+IF(O423&lt;N422,O423,N422)</f>
      </c>
      <c r="O423" s="335">
        <f>+(O422-N422)*(1+$E$13)</f>
      </c>
      <c r="P423" s="332">
        <v>418</v>
      </c>
      <c r="Q423" s="1"/>
      <c r="R423" s="331">
        <f>U423</f>
      </c>
      <c r="S423" s="335">
        <f>+IF(T423&lt;S422,T423,S422)</f>
      </c>
      <c r="T423" s="335">
        <f>+(T422-S422)*(1+$E$14)</f>
      </c>
      <c r="U423" s="332">
        <v>418</v>
      </c>
      <c r="V423" s="1"/>
      <c r="W423" s="331">
        <f>Z423</f>
      </c>
      <c r="X423" s="336">
        <f>+IF(Y423&lt;X422,Y423,X422)</f>
      </c>
      <c r="Y423" s="337">
        <f>+(Y422-X422)*(1+$E$15)</f>
      </c>
      <c r="Z423" s="332">
        <v>418</v>
      </c>
      <c r="AA423" s="1"/>
      <c r="AB423" s="331">
        <f>AE423</f>
      </c>
      <c r="AC423" s="336">
        <f>+IF(AD423&lt;AC422,AD423,AC422)</f>
      </c>
      <c r="AD423" s="337">
        <f>+(AD422-AC422)*(1+$E$16)</f>
      </c>
      <c r="AE423" s="332">
        <v>418</v>
      </c>
    </row>
    <row x14ac:dyDescent="0.25" r="424" customHeight="1" ht="18.75">
      <c r="A424" s="1"/>
      <c r="B424" s="1"/>
      <c r="C424" s="169"/>
      <c r="D424" s="169"/>
      <c r="E424" s="168"/>
      <c r="F424" s="169"/>
      <c r="G424" s="170"/>
      <c r="H424" s="1"/>
      <c r="I424" s="1"/>
      <c r="J424" s="1"/>
      <c r="K424" s="1"/>
      <c r="L424" s="1"/>
      <c r="M424" s="331">
        <f>P424</f>
      </c>
      <c r="N424" s="335">
        <f>+IF(O424&lt;N423,O424,N423)</f>
      </c>
      <c r="O424" s="335">
        <f>+(O423-N423)*(1+$E$13)</f>
      </c>
      <c r="P424" s="332">
        <v>419</v>
      </c>
      <c r="Q424" s="1"/>
      <c r="R424" s="331">
        <f>U424</f>
      </c>
      <c r="S424" s="335">
        <f>+IF(T424&lt;S423,T424,S423)</f>
      </c>
      <c r="T424" s="335">
        <f>+(T423-S423)*(1+$E$14)</f>
      </c>
      <c r="U424" s="332">
        <v>419</v>
      </c>
      <c r="V424" s="1"/>
      <c r="W424" s="331">
        <f>Z424</f>
      </c>
      <c r="X424" s="336">
        <f>+IF(Y424&lt;X423,Y424,X423)</f>
      </c>
      <c r="Y424" s="337">
        <f>+(Y423-X423)*(1+$E$15)</f>
      </c>
      <c r="Z424" s="332">
        <v>419</v>
      </c>
      <c r="AA424" s="1"/>
      <c r="AB424" s="331">
        <f>AE424</f>
      </c>
      <c r="AC424" s="336">
        <f>+IF(AD424&lt;AC423,AD424,AC423)</f>
      </c>
      <c r="AD424" s="337">
        <f>+(AD423-AC423)*(1+$E$16)</f>
      </c>
      <c r="AE424" s="332">
        <v>419</v>
      </c>
    </row>
    <row x14ac:dyDescent="0.25" r="425" customHeight="1" ht="18.75">
      <c r="A425" s="1"/>
      <c r="B425" s="1"/>
      <c r="C425" s="169"/>
      <c r="D425" s="169"/>
      <c r="E425" s="168"/>
      <c r="F425" s="169"/>
      <c r="G425" s="170"/>
      <c r="H425" s="1"/>
      <c r="I425" s="1"/>
      <c r="J425" s="1"/>
      <c r="K425" s="1"/>
      <c r="L425" s="1"/>
      <c r="M425" s="331">
        <f>P425</f>
      </c>
      <c r="N425" s="335">
        <f>+IF(O425&lt;N424,O425,N424)</f>
      </c>
      <c r="O425" s="335">
        <f>+(O424-N424)*(1+$E$13)</f>
      </c>
      <c r="P425" s="332">
        <v>420</v>
      </c>
      <c r="Q425" s="1"/>
      <c r="R425" s="331">
        <f>U425</f>
      </c>
      <c r="S425" s="335">
        <f>+IF(T425&lt;S424,T425,S424)</f>
      </c>
      <c r="T425" s="335">
        <f>+(T424-S424)*(1+$E$14)</f>
      </c>
      <c r="U425" s="332">
        <v>420</v>
      </c>
      <c r="V425" s="1"/>
      <c r="W425" s="331">
        <f>Z425</f>
      </c>
      <c r="X425" s="336">
        <f>+IF(Y425&lt;X424,Y425,X424)</f>
      </c>
      <c r="Y425" s="337">
        <f>+(Y424-X424)*(1+$E$15)</f>
      </c>
      <c r="Z425" s="332">
        <v>420</v>
      </c>
      <c r="AA425" s="1"/>
      <c r="AB425" s="331">
        <f>AE425</f>
      </c>
      <c r="AC425" s="336">
        <f>+IF(AD425&lt;AC424,AD425,AC424)</f>
      </c>
      <c r="AD425" s="337">
        <f>+(AD424-AC424)*(1+$E$16)</f>
      </c>
      <c r="AE425" s="332">
        <v>420</v>
      </c>
    </row>
    <row x14ac:dyDescent="0.25" r="426" customHeight="1" ht="18.75">
      <c r="A426" s="1"/>
      <c r="B426" s="1"/>
      <c r="C426" s="169"/>
      <c r="D426" s="169"/>
      <c r="E426" s="168"/>
      <c r="F426" s="169"/>
      <c r="G426" s="170"/>
      <c r="H426" s="1"/>
      <c r="I426" s="1"/>
      <c r="J426" s="1"/>
      <c r="K426" s="1"/>
      <c r="L426" s="1"/>
      <c r="M426" s="331">
        <f>P426</f>
      </c>
      <c r="N426" s="335">
        <f>+IF(O426&lt;N425,O426,N425)</f>
      </c>
      <c r="O426" s="335">
        <f>+(O425-N425)*(1+$E$13)</f>
      </c>
      <c r="P426" s="332">
        <v>421</v>
      </c>
      <c r="Q426" s="1"/>
      <c r="R426" s="331">
        <f>U426</f>
      </c>
      <c r="S426" s="335">
        <f>+IF(T426&lt;S425,T426,S425)</f>
      </c>
      <c r="T426" s="335">
        <f>+(T425-S425)*(1+$E$14)</f>
      </c>
      <c r="U426" s="332">
        <v>421</v>
      </c>
      <c r="V426" s="1"/>
      <c r="W426" s="331">
        <f>Z426</f>
      </c>
      <c r="X426" s="336">
        <f>+IF(Y426&lt;X425,Y426,X425)</f>
      </c>
      <c r="Y426" s="337">
        <f>+(Y425-X425)*(1+$E$15)</f>
      </c>
      <c r="Z426" s="332">
        <v>421</v>
      </c>
      <c r="AA426" s="1"/>
      <c r="AB426" s="331">
        <f>AE426</f>
      </c>
      <c r="AC426" s="336">
        <f>+IF(AD426&lt;AC425,AD426,AC425)</f>
      </c>
      <c r="AD426" s="337">
        <f>+(AD425-AC425)*(1+$E$16)</f>
      </c>
      <c r="AE426" s="332">
        <v>421</v>
      </c>
    </row>
    <row x14ac:dyDescent="0.25" r="427" customHeight="1" ht="18.75">
      <c r="A427" s="1"/>
      <c r="B427" s="1"/>
      <c r="C427" s="169"/>
      <c r="D427" s="169"/>
      <c r="E427" s="168"/>
      <c r="F427" s="169"/>
      <c r="G427" s="170"/>
      <c r="H427" s="1"/>
      <c r="I427" s="1"/>
      <c r="J427" s="1"/>
      <c r="K427" s="1"/>
      <c r="L427" s="1"/>
      <c r="M427" s="331">
        <f>P427</f>
      </c>
      <c r="N427" s="335">
        <f>+IF(O427&lt;N426,O427,N426)</f>
      </c>
      <c r="O427" s="335">
        <f>+(O426-N426)*(1+$E$13)</f>
      </c>
      <c r="P427" s="332">
        <v>422</v>
      </c>
      <c r="Q427" s="1"/>
      <c r="R427" s="331">
        <f>U427</f>
      </c>
      <c r="S427" s="335">
        <f>+IF(T427&lt;S426,T427,S426)</f>
      </c>
      <c r="T427" s="335">
        <f>+(T426-S426)*(1+$E$14)</f>
      </c>
      <c r="U427" s="332">
        <v>422</v>
      </c>
      <c r="V427" s="1"/>
      <c r="W427" s="331">
        <f>Z427</f>
      </c>
      <c r="X427" s="336">
        <f>+IF(Y427&lt;X426,Y427,X426)</f>
      </c>
      <c r="Y427" s="337">
        <f>+(Y426-X426)*(1+$E$15)</f>
      </c>
      <c r="Z427" s="332">
        <v>422</v>
      </c>
      <c r="AA427" s="1"/>
      <c r="AB427" s="331">
        <f>AE427</f>
      </c>
      <c r="AC427" s="336">
        <f>+IF(AD427&lt;AC426,AD427,AC426)</f>
      </c>
      <c r="AD427" s="337">
        <f>+(AD426-AC426)*(1+$E$16)</f>
      </c>
      <c r="AE427" s="332">
        <v>422</v>
      </c>
    </row>
    <row x14ac:dyDescent="0.25" r="428" customHeight="1" ht="18.75">
      <c r="A428" s="1"/>
      <c r="B428" s="1"/>
      <c r="C428" s="169"/>
      <c r="D428" s="169"/>
      <c r="E428" s="168"/>
      <c r="F428" s="169"/>
      <c r="G428" s="170"/>
      <c r="H428" s="1"/>
      <c r="I428" s="1"/>
      <c r="J428" s="1"/>
      <c r="K428" s="1"/>
      <c r="L428" s="1"/>
      <c r="M428" s="331">
        <f>P428</f>
      </c>
      <c r="N428" s="335">
        <f>+IF(O428&lt;N427,O428,N427)</f>
      </c>
      <c r="O428" s="335">
        <f>+(O427-N427)*(1+$E$13)</f>
      </c>
      <c r="P428" s="332">
        <v>423</v>
      </c>
      <c r="Q428" s="1"/>
      <c r="R428" s="331">
        <f>U428</f>
      </c>
      <c r="S428" s="335">
        <f>+IF(T428&lt;S427,T428,S427)</f>
      </c>
      <c r="T428" s="335">
        <f>+(T427-S427)*(1+$E$14)</f>
      </c>
      <c r="U428" s="332">
        <v>423</v>
      </c>
      <c r="V428" s="1"/>
      <c r="W428" s="331">
        <f>Z428</f>
      </c>
      <c r="X428" s="336">
        <f>+IF(Y428&lt;X427,Y428,X427)</f>
      </c>
      <c r="Y428" s="337">
        <f>+(Y427-X427)*(1+$E$15)</f>
      </c>
      <c r="Z428" s="332">
        <v>423</v>
      </c>
      <c r="AA428" s="1"/>
      <c r="AB428" s="331">
        <f>AE428</f>
      </c>
      <c r="AC428" s="336">
        <f>+IF(AD428&lt;AC427,AD428,AC427)</f>
      </c>
      <c r="AD428" s="337">
        <f>+(AD427-AC427)*(1+$E$16)</f>
      </c>
      <c r="AE428" s="332">
        <v>423</v>
      </c>
    </row>
    <row x14ac:dyDescent="0.25" r="429" customHeight="1" ht="18.75">
      <c r="A429" s="1"/>
      <c r="B429" s="1"/>
      <c r="C429" s="169"/>
      <c r="D429" s="169"/>
      <c r="E429" s="168"/>
      <c r="F429" s="169"/>
      <c r="G429" s="170"/>
      <c r="H429" s="1"/>
      <c r="I429" s="1"/>
      <c r="J429" s="1"/>
      <c r="K429" s="1"/>
      <c r="L429" s="1"/>
      <c r="M429" s="331">
        <f>P429</f>
      </c>
      <c r="N429" s="335">
        <f>+IF(O429&lt;N428,O429,N428)</f>
      </c>
      <c r="O429" s="335">
        <f>+(O428-N428)*(1+$E$13)</f>
      </c>
      <c r="P429" s="332">
        <v>424</v>
      </c>
      <c r="Q429" s="1"/>
      <c r="R429" s="331">
        <f>U429</f>
      </c>
      <c r="S429" s="335">
        <f>+IF(T429&lt;S428,T429,S428)</f>
      </c>
      <c r="T429" s="335">
        <f>+(T428-S428)*(1+$E$14)</f>
      </c>
      <c r="U429" s="332">
        <v>424</v>
      </c>
      <c r="V429" s="1"/>
      <c r="W429" s="331">
        <f>Z429</f>
      </c>
      <c r="X429" s="336">
        <f>+IF(Y429&lt;X428,Y429,X428)</f>
      </c>
      <c r="Y429" s="337">
        <f>+(Y428-X428)*(1+$E$15)</f>
      </c>
      <c r="Z429" s="332">
        <v>424</v>
      </c>
      <c r="AA429" s="1"/>
      <c r="AB429" s="331">
        <f>AE429</f>
      </c>
      <c r="AC429" s="336">
        <f>+IF(AD429&lt;AC428,AD429,AC428)</f>
      </c>
      <c r="AD429" s="337">
        <f>+(AD428-AC428)*(1+$E$16)</f>
      </c>
      <c r="AE429" s="332">
        <v>424</v>
      </c>
    </row>
    <row x14ac:dyDescent="0.25" r="430" customHeight="1" ht="18.75">
      <c r="A430" s="1"/>
      <c r="B430" s="1"/>
      <c r="C430" s="169"/>
      <c r="D430" s="169"/>
      <c r="E430" s="168"/>
      <c r="F430" s="169"/>
      <c r="G430" s="170"/>
      <c r="H430" s="1"/>
      <c r="I430" s="1"/>
      <c r="J430" s="1"/>
      <c r="K430" s="1"/>
      <c r="L430" s="1"/>
      <c r="M430" s="331">
        <f>P430</f>
      </c>
      <c r="N430" s="335">
        <f>+IF(O430&lt;N429,O430,N429)</f>
      </c>
      <c r="O430" s="335">
        <f>+(O429-N429)*(1+$E$13)</f>
      </c>
      <c r="P430" s="332">
        <v>425</v>
      </c>
      <c r="Q430" s="1"/>
      <c r="R430" s="331">
        <f>U430</f>
      </c>
      <c r="S430" s="335">
        <f>+IF(T430&lt;S429,T430,S429)</f>
      </c>
      <c r="T430" s="335">
        <f>+(T429-S429)*(1+$E$14)</f>
      </c>
      <c r="U430" s="332">
        <v>425</v>
      </c>
      <c r="V430" s="1"/>
      <c r="W430" s="331">
        <f>Z430</f>
      </c>
      <c r="X430" s="336">
        <f>+IF(Y430&lt;X429,Y430,X429)</f>
      </c>
      <c r="Y430" s="337">
        <f>+(Y429-X429)*(1+$E$15)</f>
      </c>
      <c r="Z430" s="332">
        <v>425</v>
      </c>
      <c r="AA430" s="1"/>
      <c r="AB430" s="331">
        <f>AE430</f>
      </c>
      <c r="AC430" s="336">
        <f>+IF(AD430&lt;AC429,AD430,AC429)</f>
      </c>
      <c r="AD430" s="337">
        <f>+(AD429-AC429)*(1+$E$16)</f>
      </c>
      <c r="AE430" s="332">
        <v>425</v>
      </c>
    </row>
    <row x14ac:dyDescent="0.25" r="431" customHeight="1" ht="18.75">
      <c r="A431" s="1"/>
      <c r="B431" s="1"/>
      <c r="C431" s="169"/>
      <c r="D431" s="169"/>
      <c r="E431" s="168"/>
      <c r="F431" s="169"/>
      <c r="G431" s="170"/>
      <c r="H431" s="1"/>
      <c r="I431" s="1"/>
      <c r="J431" s="1"/>
      <c r="K431" s="1"/>
      <c r="L431" s="1"/>
      <c r="M431" s="331">
        <f>P431</f>
      </c>
      <c r="N431" s="335">
        <f>+IF(O431&lt;N430,O431,N430)</f>
      </c>
      <c r="O431" s="335">
        <f>+(O430-N430)*(1+$E$13)</f>
      </c>
      <c r="P431" s="332">
        <v>426</v>
      </c>
      <c r="Q431" s="1"/>
      <c r="R431" s="331">
        <f>U431</f>
      </c>
      <c r="S431" s="335">
        <f>+IF(T431&lt;S430,T431,S430)</f>
      </c>
      <c r="T431" s="335">
        <f>+(T430-S430)*(1+$E$14)</f>
      </c>
      <c r="U431" s="332">
        <v>426</v>
      </c>
      <c r="V431" s="1"/>
      <c r="W431" s="331">
        <f>Z431</f>
      </c>
      <c r="X431" s="336">
        <f>+IF(Y431&lt;X430,Y431,X430)</f>
      </c>
      <c r="Y431" s="337">
        <f>+(Y430-X430)*(1+$E$15)</f>
      </c>
      <c r="Z431" s="332">
        <v>426</v>
      </c>
      <c r="AA431" s="1"/>
      <c r="AB431" s="331">
        <f>AE431</f>
      </c>
      <c r="AC431" s="336">
        <f>+IF(AD431&lt;AC430,AD431,AC430)</f>
      </c>
      <c r="AD431" s="337">
        <f>+(AD430-AC430)*(1+$E$16)</f>
      </c>
      <c r="AE431" s="332">
        <v>426</v>
      </c>
    </row>
    <row x14ac:dyDescent="0.25" r="432" customHeight="1" ht="18.75">
      <c r="A432" s="1"/>
      <c r="B432" s="1"/>
      <c r="C432" s="169"/>
      <c r="D432" s="169"/>
      <c r="E432" s="168"/>
      <c r="F432" s="169"/>
      <c r="G432" s="170"/>
      <c r="H432" s="1"/>
      <c r="I432" s="1"/>
      <c r="J432" s="1"/>
      <c r="K432" s="1"/>
      <c r="L432" s="1"/>
      <c r="M432" s="331">
        <f>P432</f>
      </c>
      <c r="N432" s="335">
        <f>+IF(O432&lt;N431,O432,N431)</f>
      </c>
      <c r="O432" s="335">
        <f>+(O431-N431)*(1+$E$13)</f>
      </c>
      <c r="P432" s="332">
        <v>427</v>
      </c>
      <c r="Q432" s="1"/>
      <c r="R432" s="331">
        <f>U432</f>
      </c>
      <c r="S432" s="335">
        <f>+IF(T432&lt;S431,T432,S431)</f>
      </c>
      <c r="T432" s="335">
        <f>+(T431-S431)*(1+$E$14)</f>
      </c>
      <c r="U432" s="332">
        <v>427</v>
      </c>
      <c r="V432" s="1"/>
      <c r="W432" s="331">
        <f>Z432</f>
      </c>
      <c r="X432" s="336">
        <f>+IF(Y432&lt;X431,Y432,X431)</f>
      </c>
      <c r="Y432" s="337">
        <f>+(Y431-X431)*(1+$E$15)</f>
      </c>
      <c r="Z432" s="332">
        <v>427</v>
      </c>
      <c r="AA432" s="1"/>
      <c r="AB432" s="331">
        <f>AE432</f>
      </c>
      <c r="AC432" s="336">
        <f>+IF(AD432&lt;AC431,AD432,AC431)</f>
      </c>
      <c r="AD432" s="337">
        <f>+(AD431-AC431)*(1+$E$16)</f>
      </c>
      <c r="AE432" s="332">
        <v>427</v>
      </c>
    </row>
    <row x14ac:dyDescent="0.25" r="433" customHeight="1" ht="18.75">
      <c r="A433" s="1"/>
      <c r="B433" s="1"/>
      <c r="C433" s="169"/>
      <c r="D433" s="169"/>
      <c r="E433" s="168"/>
      <c r="F433" s="169"/>
      <c r="G433" s="170"/>
      <c r="H433" s="1"/>
      <c r="I433" s="1"/>
      <c r="J433" s="1"/>
      <c r="K433" s="1"/>
      <c r="L433" s="1"/>
      <c r="M433" s="331">
        <f>P433</f>
      </c>
      <c r="N433" s="335">
        <f>+IF(O433&lt;N432,O433,N432)</f>
      </c>
      <c r="O433" s="335">
        <f>+(O432-N432)*(1+$E$13)</f>
      </c>
      <c r="P433" s="332">
        <v>428</v>
      </c>
      <c r="Q433" s="1"/>
      <c r="R433" s="331">
        <f>U433</f>
      </c>
      <c r="S433" s="335">
        <f>+IF(T433&lt;S432,T433,S432)</f>
      </c>
      <c r="T433" s="335">
        <f>+(T432-S432)*(1+$E$14)</f>
      </c>
      <c r="U433" s="332">
        <v>428</v>
      </c>
      <c r="V433" s="1"/>
      <c r="W433" s="331">
        <f>Z433</f>
      </c>
      <c r="X433" s="336">
        <f>+IF(Y433&lt;X432,Y433,X432)</f>
      </c>
      <c r="Y433" s="337">
        <f>+(Y432-X432)*(1+$E$15)</f>
      </c>
      <c r="Z433" s="332">
        <v>428</v>
      </c>
      <c r="AA433" s="1"/>
      <c r="AB433" s="331">
        <f>AE433</f>
      </c>
      <c r="AC433" s="336">
        <f>+IF(AD433&lt;AC432,AD433,AC432)</f>
      </c>
      <c r="AD433" s="337">
        <f>+(AD432-AC432)*(1+$E$16)</f>
      </c>
      <c r="AE433" s="332">
        <v>428</v>
      </c>
    </row>
    <row x14ac:dyDescent="0.25" r="434" customHeight="1" ht="18.75">
      <c r="A434" s="1"/>
      <c r="B434" s="1"/>
      <c r="C434" s="169"/>
      <c r="D434" s="169"/>
      <c r="E434" s="168"/>
      <c r="F434" s="169"/>
      <c r="G434" s="170"/>
      <c r="H434" s="1"/>
      <c r="I434" s="1"/>
      <c r="J434" s="1"/>
      <c r="K434" s="1"/>
      <c r="L434" s="1"/>
      <c r="M434" s="331">
        <f>P434</f>
      </c>
      <c r="N434" s="335">
        <f>+IF(O434&lt;N433,O434,N433)</f>
      </c>
      <c r="O434" s="335">
        <f>+(O433-N433)*(1+$E$13)</f>
      </c>
      <c r="P434" s="332">
        <v>429</v>
      </c>
      <c r="Q434" s="1"/>
      <c r="R434" s="331">
        <f>U434</f>
      </c>
      <c r="S434" s="335">
        <f>+IF(T434&lt;S433,T434,S433)</f>
      </c>
      <c r="T434" s="335">
        <f>+(T433-S433)*(1+$E$14)</f>
      </c>
      <c r="U434" s="332">
        <v>429</v>
      </c>
      <c r="V434" s="1"/>
      <c r="W434" s="331">
        <f>Z434</f>
      </c>
      <c r="X434" s="336">
        <f>+IF(Y434&lt;X433,Y434,X433)</f>
      </c>
      <c r="Y434" s="337">
        <f>+(Y433-X433)*(1+$E$15)</f>
      </c>
      <c r="Z434" s="332">
        <v>429</v>
      </c>
      <c r="AA434" s="1"/>
      <c r="AB434" s="331">
        <f>AE434</f>
      </c>
      <c r="AC434" s="336">
        <f>+IF(AD434&lt;AC433,AD434,AC433)</f>
      </c>
      <c r="AD434" s="337">
        <f>+(AD433-AC433)*(1+$E$16)</f>
      </c>
      <c r="AE434" s="332">
        <v>429</v>
      </c>
    </row>
    <row x14ac:dyDescent="0.25" r="435" customHeight="1" ht="18.75">
      <c r="A435" s="1"/>
      <c r="B435" s="1"/>
      <c r="C435" s="169"/>
      <c r="D435" s="169"/>
      <c r="E435" s="168"/>
      <c r="F435" s="169"/>
      <c r="G435" s="170"/>
      <c r="H435" s="1"/>
      <c r="I435" s="1"/>
      <c r="J435" s="1"/>
      <c r="K435" s="1"/>
      <c r="L435" s="1"/>
      <c r="M435" s="331">
        <f>P435</f>
      </c>
      <c r="N435" s="335">
        <f>+IF(O435&lt;N434,O435,N434)</f>
      </c>
      <c r="O435" s="335">
        <f>+(O434-N434)*(1+$E$13)</f>
      </c>
      <c r="P435" s="332">
        <v>430</v>
      </c>
      <c r="Q435" s="1"/>
      <c r="R435" s="331">
        <f>U435</f>
      </c>
      <c r="S435" s="335">
        <f>+IF(T435&lt;S434,T435,S434)</f>
      </c>
      <c r="T435" s="335">
        <f>+(T434-S434)*(1+$E$14)</f>
      </c>
      <c r="U435" s="332">
        <v>430</v>
      </c>
      <c r="V435" s="1"/>
      <c r="W435" s="331">
        <f>Z435</f>
      </c>
      <c r="X435" s="336">
        <f>+IF(Y435&lt;X434,Y435,X434)</f>
      </c>
      <c r="Y435" s="337">
        <f>+(Y434-X434)*(1+$E$15)</f>
      </c>
      <c r="Z435" s="332">
        <v>430</v>
      </c>
      <c r="AA435" s="1"/>
      <c r="AB435" s="331">
        <f>AE435</f>
      </c>
      <c r="AC435" s="336">
        <f>+IF(AD435&lt;AC434,AD435,AC434)</f>
      </c>
      <c r="AD435" s="337">
        <f>+(AD434-AC434)*(1+$E$16)</f>
      </c>
      <c r="AE435" s="332">
        <v>430</v>
      </c>
    </row>
    <row x14ac:dyDescent="0.25" r="436" customHeight="1" ht="18.75">
      <c r="A436" s="1"/>
      <c r="B436" s="1"/>
      <c r="C436" s="169"/>
      <c r="D436" s="169"/>
      <c r="E436" s="168"/>
      <c r="F436" s="169"/>
      <c r="G436" s="170"/>
      <c r="H436" s="1"/>
      <c r="I436" s="1"/>
      <c r="J436" s="1"/>
      <c r="K436" s="1"/>
      <c r="L436" s="1"/>
      <c r="M436" s="331">
        <f>P436</f>
      </c>
      <c r="N436" s="335">
        <f>+IF(O436&lt;N435,O436,N435)</f>
      </c>
      <c r="O436" s="335">
        <f>+(O435-N435)*(1+$E$13)</f>
      </c>
      <c r="P436" s="332">
        <v>431</v>
      </c>
      <c r="Q436" s="1"/>
      <c r="R436" s="331">
        <f>U436</f>
      </c>
      <c r="S436" s="335">
        <f>+IF(T436&lt;S435,T436,S435)</f>
      </c>
      <c r="T436" s="335">
        <f>+(T435-S435)*(1+$E$14)</f>
      </c>
      <c r="U436" s="332">
        <v>431</v>
      </c>
      <c r="V436" s="1"/>
      <c r="W436" s="331">
        <f>Z436</f>
      </c>
      <c r="X436" s="336">
        <f>+IF(Y436&lt;X435,Y436,X435)</f>
      </c>
      <c r="Y436" s="337">
        <f>+(Y435-X435)*(1+$E$15)</f>
      </c>
      <c r="Z436" s="332">
        <v>431</v>
      </c>
      <c r="AA436" s="1"/>
      <c r="AB436" s="331">
        <f>AE436</f>
      </c>
      <c r="AC436" s="336">
        <f>+IF(AD436&lt;AC435,AD436,AC435)</f>
      </c>
      <c r="AD436" s="337">
        <f>+(AD435-AC435)*(1+$E$16)</f>
      </c>
      <c r="AE436" s="332">
        <v>431</v>
      </c>
    </row>
    <row x14ac:dyDescent="0.25" r="437" customHeight="1" ht="18.75">
      <c r="A437" s="1"/>
      <c r="B437" s="1"/>
      <c r="C437" s="169"/>
      <c r="D437" s="169"/>
      <c r="E437" s="168"/>
      <c r="F437" s="169"/>
      <c r="G437" s="170"/>
      <c r="H437" s="1"/>
      <c r="I437" s="1"/>
      <c r="J437" s="1"/>
      <c r="K437" s="1"/>
      <c r="L437" s="1"/>
      <c r="M437" s="331">
        <f>P437</f>
      </c>
      <c r="N437" s="335">
        <f>+IF(O437&lt;N436,O437,N436)</f>
      </c>
      <c r="O437" s="335">
        <f>+(O436-N436)*(1+$E$13)</f>
      </c>
      <c r="P437" s="332">
        <v>432</v>
      </c>
      <c r="Q437" s="1"/>
      <c r="R437" s="331">
        <f>U437</f>
      </c>
      <c r="S437" s="335">
        <f>+IF(T437&lt;S436,T437,S436)</f>
      </c>
      <c r="T437" s="335">
        <f>+(T436-S436)*(1+$E$14)</f>
      </c>
      <c r="U437" s="332">
        <v>432</v>
      </c>
      <c r="V437" s="1"/>
      <c r="W437" s="331">
        <f>Z437</f>
      </c>
      <c r="X437" s="336">
        <f>+IF(Y437&lt;X436,Y437,X436)</f>
      </c>
      <c r="Y437" s="337">
        <f>+(Y436-X436)*(1+$E$15)</f>
      </c>
      <c r="Z437" s="332">
        <v>432</v>
      </c>
      <c r="AA437" s="1"/>
      <c r="AB437" s="331">
        <f>AE437</f>
      </c>
      <c r="AC437" s="336">
        <f>+IF(AD437&lt;AC436,AD437,AC436)</f>
      </c>
      <c r="AD437" s="337">
        <f>+(AD436-AC436)*(1+$E$16)</f>
      </c>
      <c r="AE437" s="332">
        <v>432</v>
      </c>
    </row>
    <row x14ac:dyDescent="0.25" r="438" customHeight="1" ht="18.75">
      <c r="A438" s="1"/>
      <c r="B438" s="1"/>
      <c r="C438" s="169"/>
      <c r="D438" s="169"/>
      <c r="E438" s="168"/>
      <c r="F438" s="169"/>
      <c r="G438" s="170"/>
      <c r="H438" s="1"/>
      <c r="I438" s="1"/>
      <c r="J438" s="1"/>
      <c r="K438" s="1"/>
      <c r="L438" s="1"/>
      <c r="M438" s="331">
        <f>P438</f>
      </c>
      <c r="N438" s="335">
        <f>+IF(O438&lt;N437,O438,N437)</f>
      </c>
      <c r="O438" s="335">
        <f>+(O437-N437)*(1+$E$13)</f>
      </c>
      <c r="P438" s="332">
        <v>433</v>
      </c>
      <c r="Q438" s="1"/>
      <c r="R438" s="331">
        <f>U438</f>
      </c>
      <c r="S438" s="335">
        <f>+IF(T438&lt;S437,T438,S437)</f>
      </c>
      <c r="T438" s="335">
        <f>+(T437-S437)*(1+$E$14)</f>
      </c>
      <c r="U438" s="332">
        <v>433</v>
      </c>
      <c r="V438" s="1"/>
      <c r="W438" s="331">
        <f>Z438</f>
      </c>
      <c r="X438" s="336">
        <f>+IF(Y438&lt;X437,Y438,X437)</f>
      </c>
      <c r="Y438" s="337">
        <f>+(Y437-X437)*(1+$E$15)</f>
      </c>
      <c r="Z438" s="332">
        <v>433</v>
      </c>
      <c r="AA438" s="1"/>
      <c r="AB438" s="331">
        <f>AE438</f>
      </c>
      <c r="AC438" s="336">
        <f>+IF(AD438&lt;AC437,AD438,AC437)</f>
      </c>
      <c r="AD438" s="337">
        <f>+(AD437-AC437)*(1+$E$16)</f>
      </c>
      <c r="AE438" s="332">
        <v>433</v>
      </c>
    </row>
    <row x14ac:dyDescent="0.25" r="439" customHeight="1" ht="18.75">
      <c r="A439" s="1"/>
      <c r="B439" s="1"/>
      <c r="C439" s="169"/>
      <c r="D439" s="169"/>
      <c r="E439" s="168"/>
      <c r="F439" s="169"/>
      <c r="G439" s="170"/>
      <c r="H439" s="1"/>
      <c r="I439" s="1"/>
      <c r="J439" s="1"/>
      <c r="K439" s="1"/>
      <c r="L439" s="1"/>
      <c r="M439" s="331">
        <f>P439</f>
      </c>
      <c r="N439" s="335">
        <f>+IF(O439&lt;N438,O439,N438)</f>
      </c>
      <c r="O439" s="335">
        <f>+(O438-N438)*(1+$E$13)</f>
      </c>
      <c r="P439" s="332">
        <v>434</v>
      </c>
      <c r="Q439" s="1"/>
      <c r="R439" s="331">
        <f>U439</f>
      </c>
      <c r="S439" s="335">
        <f>+IF(T439&lt;S438,T439,S438)</f>
      </c>
      <c r="T439" s="335">
        <f>+(T438-S438)*(1+$E$14)</f>
      </c>
      <c r="U439" s="332">
        <v>434</v>
      </c>
      <c r="V439" s="1"/>
      <c r="W439" s="331">
        <f>Z439</f>
      </c>
      <c r="X439" s="336">
        <f>+IF(Y439&lt;X438,Y439,X438)</f>
      </c>
      <c r="Y439" s="337">
        <f>+(Y438-X438)*(1+$E$15)</f>
      </c>
      <c r="Z439" s="332">
        <v>434</v>
      </c>
      <c r="AA439" s="1"/>
      <c r="AB439" s="331">
        <f>AE439</f>
      </c>
      <c r="AC439" s="336">
        <f>+IF(AD439&lt;AC438,AD439,AC438)</f>
      </c>
      <c r="AD439" s="337">
        <f>+(AD438-AC438)*(1+$E$16)</f>
      </c>
      <c r="AE439" s="332">
        <v>434</v>
      </c>
    </row>
    <row x14ac:dyDescent="0.25" r="440" customHeight="1" ht="18.75">
      <c r="A440" s="1"/>
      <c r="B440" s="1"/>
      <c r="C440" s="169"/>
      <c r="D440" s="169"/>
      <c r="E440" s="168"/>
      <c r="F440" s="169"/>
      <c r="G440" s="170"/>
      <c r="H440" s="1"/>
      <c r="I440" s="1"/>
      <c r="J440" s="1"/>
      <c r="K440" s="1"/>
      <c r="L440" s="1"/>
      <c r="M440" s="331">
        <f>P440</f>
      </c>
      <c r="N440" s="335">
        <f>+IF(O440&lt;N439,O440,N439)</f>
      </c>
      <c r="O440" s="335">
        <f>+(O439-N439)*(1+$E$13)</f>
      </c>
      <c r="P440" s="332">
        <v>435</v>
      </c>
      <c r="Q440" s="1"/>
      <c r="R440" s="331">
        <f>U440</f>
      </c>
      <c r="S440" s="335">
        <f>+IF(T440&lt;S439,T440,S439)</f>
      </c>
      <c r="T440" s="335">
        <f>+(T439-S439)*(1+$E$14)</f>
      </c>
      <c r="U440" s="332">
        <v>435</v>
      </c>
      <c r="V440" s="1"/>
      <c r="W440" s="331">
        <f>Z440</f>
      </c>
      <c r="X440" s="336">
        <f>+IF(Y440&lt;X439,Y440,X439)</f>
      </c>
      <c r="Y440" s="337">
        <f>+(Y439-X439)*(1+$E$15)</f>
      </c>
      <c r="Z440" s="332">
        <v>435</v>
      </c>
      <c r="AA440" s="1"/>
      <c r="AB440" s="331">
        <f>AE440</f>
      </c>
      <c r="AC440" s="336">
        <f>+IF(AD440&lt;AC439,AD440,AC439)</f>
      </c>
      <c r="AD440" s="337">
        <f>+(AD439-AC439)*(1+$E$16)</f>
      </c>
      <c r="AE440" s="332">
        <v>435</v>
      </c>
    </row>
    <row x14ac:dyDescent="0.25" r="441" customHeight="1" ht="18.75">
      <c r="A441" s="1"/>
      <c r="B441" s="1"/>
      <c r="C441" s="169"/>
      <c r="D441" s="169"/>
      <c r="E441" s="168"/>
      <c r="F441" s="169"/>
      <c r="G441" s="170"/>
      <c r="H441" s="1"/>
      <c r="I441" s="1"/>
      <c r="J441" s="1"/>
      <c r="K441" s="1"/>
      <c r="L441" s="1"/>
      <c r="M441" s="331">
        <f>P441</f>
      </c>
      <c r="N441" s="335">
        <f>+IF(O441&lt;N440,O441,N440)</f>
      </c>
      <c r="O441" s="335">
        <f>+(O440-N440)*(1+$E$13)</f>
      </c>
      <c r="P441" s="332">
        <v>436</v>
      </c>
      <c r="Q441" s="1"/>
      <c r="R441" s="331">
        <f>U441</f>
      </c>
      <c r="S441" s="335">
        <f>+IF(T441&lt;S440,T441,S440)</f>
      </c>
      <c r="T441" s="335">
        <f>+(T440-S440)*(1+$E$14)</f>
      </c>
      <c r="U441" s="332">
        <v>436</v>
      </c>
      <c r="V441" s="1"/>
      <c r="W441" s="331">
        <f>Z441</f>
      </c>
      <c r="X441" s="336">
        <f>+IF(Y441&lt;X440,Y441,X440)</f>
      </c>
      <c r="Y441" s="337">
        <f>+(Y440-X440)*(1+$E$15)</f>
      </c>
      <c r="Z441" s="332">
        <v>436</v>
      </c>
      <c r="AA441" s="1"/>
      <c r="AB441" s="331">
        <f>AE441</f>
      </c>
      <c r="AC441" s="336">
        <f>+IF(AD441&lt;AC440,AD441,AC440)</f>
      </c>
      <c r="AD441" s="337">
        <f>+(AD440-AC440)*(1+$E$16)</f>
      </c>
      <c r="AE441" s="332">
        <v>436</v>
      </c>
    </row>
    <row x14ac:dyDescent="0.25" r="442" customHeight="1" ht="18.75">
      <c r="A442" s="1"/>
      <c r="B442" s="1"/>
      <c r="C442" s="169"/>
      <c r="D442" s="169"/>
      <c r="E442" s="168"/>
      <c r="F442" s="169"/>
      <c r="G442" s="170"/>
      <c r="H442" s="1"/>
      <c r="I442" s="1"/>
      <c r="J442" s="1"/>
      <c r="K442" s="1"/>
      <c r="L442" s="1"/>
      <c r="M442" s="331">
        <f>P442</f>
      </c>
      <c r="N442" s="335">
        <f>+IF(O442&lt;N441,O442,N441)</f>
      </c>
      <c r="O442" s="335">
        <f>+(O441-N441)*(1+$E$13)</f>
      </c>
      <c r="P442" s="332">
        <v>437</v>
      </c>
      <c r="Q442" s="1"/>
      <c r="R442" s="331">
        <f>U442</f>
      </c>
      <c r="S442" s="335">
        <f>+IF(T442&lt;S441,T442,S441)</f>
      </c>
      <c r="T442" s="335">
        <f>+(T441-S441)*(1+$E$14)</f>
      </c>
      <c r="U442" s="332">
        <v>437</v>
      </c>
      <c r="V442" s="1"/>
      <c r="W442" s="331">
        <f>Z442</f>
      </c>
      <c r="X442" s="336">
        <f>+IF(Y442&lt;X441,Y442,X441)</f>
      </c>
      <c r="Y442" s="337">
        <f>+(Y441-X441)*(1+$E$15)</f>
      </c>
      <c r="Z442" s="332">
        <v>437</v>
      </c>
      <c r="AA442" s="1"/>
      <c r="AB442" s="331">
        <f>AE442</f>
      </c>
      <c r="AC442" s="336">
        <f>+IF(AD442&lt;AC441,AD442,AC441)</f>
      </c>
      <c r="AD442" s="337">
        <f>+(AD441-AC441)*(1+$E$16)</f>
      </c>
      <c r="AE442" s="332">
        <v>437</v>
      </c>
    </row>
    <row x14ac:dyDescent="0.25" r="443" customHeight="1" ht="18.75">
      <c r="A443" s="1"/>
      <c r="B443" s="1"/>
      <c r="C443" s="169"/>
      <c r="D443" s="169"/>
      <c r="E443" s="168"/>
      <c r="F443" s="169"/>
      <c r="G443" s="170"/>
      <c r="H443" s="1"/>
      <c r="I443" s="1"/>
      <c r="J443" s="1"/>
      <c r="K443" s="1"/>
      <c r="L443" s="1"/>
      <c r="M443" s="331">
        <f>P443</f>
      </c>
      <c r="N443" s="335">
        <f>+IF(O443&lt;N442,O443,N442)</f>
      </c>
      <c r="O443" s="335">
        <f>+(O442-N442)*(1+$E$13)</f>
      </c>
      <c r="P443" s="332">
        <v>438</v>
      </c>
      <c r="Q443" s="1"/>
      <c r="R443" s="331">
        <f>U443</f>
      </c>
      <c r="S443" s="335">
        <f>+IF(T443&lt;S442,T443,S442)</f>
      </c>
      <c r="T443" s="335">
        <f>+(T442-S442)*(1+$E$14)</f>
      </c>
      <c r="U443" s="332">
        <v>438</v>
      </c>
      <c r="V443" s="1"/>
      <c r="W443" s="331">
        <f>Z443</f>
      </c>
      <c r="X443" s="336">
        <f>+IF(Y443&lt;X442,Y443,X442)</f>
      </c>
      <c r="Y443" s="337">
        <f>+(Y442-X442)*(1+$E$15)</f>
      </c>
      <c r="Z443" s="332">
        <v>438</v>
      </c>
      <c r="AA443" s="1"/>
      <c r="AB443" s="331">
        <f>AE443</f>
      </c>
      <c r="AC443" s="336">
        <f>+IF(AD443&lt;AC442,AD443,AC442)</f>
      </c>
      <c r="AD443" s="337">
        <f>+(AD442-AC442)*(1+$E$16)</f>
      </c>
      <c r="AE443" s="332">
        <v>438</v>
      </c>
    </row>
    <row x14ac:dyDescent="0.25" r="444" customHeight="1" ht="18.75">
      <c r="A444" s="1"/>
      <c r="B444" s="1"/>
      <c r="C444" s="169"/>
      <c r="D444" s="169"/>
      <c r="E444" s="168"/>
      <c r="F444" s="169"/>
      <c r="G444" s="170"/>
      <c r="H444" s="1"/>
      <c r="I444" s="1"/>
      <c r="J444" s="1"/>
      <c r="K444" s="1"/>
      <c r="L444" s="1"/>
      <c r="M444" s="331">
        <f>P444</f>
      </c>
      <c r="N444" s="335">
        <f>+IF(O444&lt;N443,O444,N443)</f>
      </c>
      <c r="O444" s="335">
        <f>+(O443-N443)*(1+$E$13)</f>
      </c>
      <c r="P444" s="332">
        <v>439</v>
      </c>
      <c r="Q444" s="1"/>
      <c r="R444" s="331">
        <f>U444</f>
      </c>
      <c r="S444" s="335">
        <f>+IF(T444&lt;S443,T444,S443)</f>
      </c>
      <c r="T444" s="335">
        <f>+(T443-S443)*(1+$E$14)</f>
      </c>
      <c r="U444" s="332">
        <v>439</v>
      </c>
      <c r="V444" s="1"/>
      <c r="W444" s="331">
        <f>Z444</f>
      </c>
      <c r="X444" s="336">
        <f>+IF(Y444&lt;X443,Y444,X443)</f>
      </c>
      <c r="Y444" s="337">
        <f>+(Y443-X443)*(1+$E$15)</f>
      </c>
      <c r="Z444" s="332">
        <v>439</v>
      </c>
      <c r="AA444" s="1"/>
      <c r="AB444" s="331">
        <f>AE444</f>
      </c>
      <c r="AC444" s="336">
        <f>+IF(AD444&lt;AC443,AD444,AC443)</f>
      </c>
      <c r="AD444" s="337">
        <f>+(AD443-AC443)*(1+$E$16)</f>
      </c>
      <c r="AE444" s="332">
        <v>439</v>
      </c>
    </row>
    <row x14ac:dyDescent="0.25" r="445" customHeight="1" ht="18.75">
      <c r="A445" s="1"/>
      <c r="B445" s="1"/>
      <c r="C445" s="169"/>
      <c r="D445" s="169"/>
      <c r="E445" s="168"/>
      <c r="F445" s="169"/>
      <c r="G445" s="170"/>
      <c r="H445" s="1"/>
      <c r="I445" s="1"/>
      <c r="J445" s="1"/>
      <c r="K445" s="1"/>
      <c r="L445" s="1"/>
      <c r="M445" s="331">
        <f>P445</f>
      </c>
      <c r="N445" s="335">
        <f>+IF(O445&lt;N444,O445,N444)</f>
      </c>
      <c r="O445" s="335">
        <f>+(O444-N444)*(1+$E$13)</f>
      </c>
      <c r="P445" s="332">
        <v>440</v>
      </c>
      <c r="Q445" s="1"/>
      <c r="R445" s="331">
        <f>U445</f>
      </c>
      <c r="S445" s="335">
        <f>+IF(T445&lt;S444,T445,S444)</f>
      </c>
      <c r="T445" s="335">
        <f>+(T444-S444)*(1+$E$14)</f>
      </c>
      <c r="U445" s="332">
        <v>440</v>
      </c>
      <c r="V445" s="1"/>
      <c r="W445" s="331">
        <f>Z445</f>
      </c>
      <c r="X445" s="336">
        <f>+IF(Y445&lt;X444,Y445,X444)</f>
      </c>
      <c r="Y445" s="337">
        <f>+(Y444-X444)*(1+$E$15)</f>
      </c>
      <c r="Z445" s="332">
        <v>440</v>
      </c>
      <c r="AA445" s="1"/>
      <c r="AB445" s="331">
        <f>AE445</f>
      </c>
      <c r="AC445" s="336">
        <f>+IF(AD445&lt;AC444,AD445,AC444)</f>
      </c>
      <c r="AD445" s="337">
        <f>+(AD444-AC444)*(1+$E$16)</f>
      </c>
      <c r="AE445" s="332">
        <v>440</v>
      </c>
    </row>
    <row x14ac:dyDescent="0.25" r="446" customHeight="1" ht="18.75">
      <c r="A446" s="1"/>
      <c r="B446" s="1"/>
      <c r="C446" s="169"/>
      <c r="D446" s="169"/>
      <c r="E446" s="168"/>
      <c r="F446" s="169"/>
      <c r="G446" s="170"/>
      <c r="H446" s="1"/>
      <c r="I446" s="1"/>
      <c r="J446" s="1"/>
      <c r="K446" s="1"/>
      <c r="L446" s="1"/>
      <c r="M446" s="331">
        <f>P446</f>
      </c>
      <c r="N446" s="335">
        <f>+IF(O446&lt;N445,O446,N445)</f>
      </c>
      <c r="O446" s="335">
        <f>+(O445-N445)*(1+$E$13)</f>
      </c>
      <c r="P446" s="332">
        <v>441</v>
      </c>
      <c r="Q446" s="1"/>
      <c r="R446" s="331">
        <f>U446</f>
      </c>
      <c r="S446" s="335">
        <f>+IF(T446&lt;S445,T446,S445)</f>
      </c>
      <c r="T446" s="335">
        <f>+(T445-S445)*(1+$E$14)</f>
      </c>
      <c r="U446" s="332">
        <v>441</v>
      </c>
      <c r="V446" s="1"/>
      <c r="W446" s="331">
        <f>Z446</f>
      </c>
      <c r="X446" s="336">
        <f>+IF(Y446&lt;X445,Y446,X445)</f>
      </c>
      <c r="Y446" s="337">
        <f>+(Y445-X445)*(1+$E$15)</f>
      </c>
      <c r="Z446" s="332">
        <v>441</v>
      </c>
      <c r="AA446" s="1"/>
      <c r="AB446" s="331">
        <f>AE446</f>
      </c>
      <c r="AC446" s="336">
        <f>+IF(AD446&lt;AC445,AD446,AC445)</f>
      </c>
      <c r="AD446" s="337">
        <f>+(AD445-AC445)*(1+$E$16)</f>
      </c>
      <c r="AE446" s="332">
        <v>441</v>
      </c>
    </row>
    <row x14ac:dyDescent="0.25" r="447" customHeight="1" ht="18.75">
      <c r="A447" s="1"/>
      <c r="B447" s="1"/>
      <c r="C447" s="169"/>
      <c r="D447" s="169"/>
      <c r="E447" s="168"/>
      <c r="F447" s="169"/>
      <c r="G447" s="170"/>
      <c r="H447" s="1"/>
      <c r="I447" s="1"/>
      <c r="J447" s="1"/>
      <c r="K447" s="1"/>
      <c r="L447" s="1"/>
      <c r="M447" s="331">
        <f>P447</f>
      </c>
      <c r="N447" s="335">
        <f>+IF(O447&lt;N446,O447,N446)</f>
      </c>
      <c r="O447" s="335">
        <f>+(O446-N446)*(1+$E$13)</f>
      </c>
      <c r="P447" s="332">
        <v>442</v>
      </c>
      <c r="Q447" s="1"/>
      <c r="R447" s="331">
        <f>U447</f>
      </c>
      <c r="S447" s="335">
        <f>+IF(T447&lt;S446,T447,S446)</f>
      </c>
      <c r="T447" s="335">
        <f>+(T446-S446)*(1+$E$14)</f>
      </c>
      <c r="U447" s="332">
        <v>442</v>
      </c>
      <c r="V447" s="1"/>
      <c r="W447" s="331">
        <f>Z447</f>
      </c>
      <c r="X447" s="336">
        <f>+IF(Y447&lt;X446,Y447,X446)</f>
      </c>
      <c r="Y447" s="337">
        <f>+(Y446-X446)*(1+$E$15)</f>
      </c>
      <c r="Z447" s="332">
        <v>442</v>
      </c>
      <c r="AA447" s="1"/>
      <c r="AB447" s="331">
        <f>AE447</f>
      </c>
      <c r="AC447" s="336">
        <f>+IF(AD447&lt;AC446,AD447,AC446)</f>
      </c>
      <c r="AD447" s="337">
        <f>+(AD446-AC446)*(1+$E$16)</f>
      </c>
      <c r="AE447" s="332">
        <v>442</v>
      </c>
    </row>
    <row x14ac:dyDescent="0.25" r="448" customHeight="1" ht="18.75">
      <c r="A448" s="1"/>
      <c r="B448" s="1"/>
      <c r="C448" s="169"/>
      <c r="D448" s="169"/>
      <c r="E448" s="168"/>
      <c r="F448" s="169"/>
      <c r="G448" s="170"/>
      <c r="H448" s="1"/>
      <c r="I448" s="1"/>
      <c r="J448" s="1"/>
      <c r="K448" s="1"/>
      <c r="L448" s="1"/>
      <c r="M448" s="331">
        <f>P448</f>
      </c>
      <c r="N448" s="335">
        <f>+IF(O448&lt;N447,O448,N447)</f>
      </c>
      <c r="O448" s="335">
        <f>+(O447-N447)*(1+$E$13)</f>
      </c>
      <c r="P448" s="332">
        <v>443</v>
      </c>
      <c r="Q448" s="1"/>
      <c r="R448" s="331">
        <f>U448</f>
      </c>
      <c r="S448" s="335">
        <f>+IF(T448&lt;S447,T448,S447)</f>
      </c>
      <c r="T448" s="335">
        <f>+(T447-S447)*(1+$E$14)</f>
      </c>
      <c r="U448" s="332">
        <v>443</v>
      </c>
      <c r="V448" s="1"/>
      <c r="W448" s="331">
        <f>Z448</f>
      </c>
      <c r="X448" s="336">
        <f>+IF(Y448&lt;X447,Y448,X447)</f>
      </c>
      <c r="Y448" s="337">
        <f>+(Y447-X447)*(1+$E$15)</f>
      </c>
      <c r="Z448" s="332">
        <v>443</v>
      </c>
      <c r="AA448" s="1"/>
      <c r="AB448" s="331">
        <f>AE448</f>
      </c>
      <c r="AC448" s="336">
        <f>+IF(AD448&lt;AC447,AD448,AC447)</f>
      </c>
      <c r="AD448" s="337">
        <f>+(AD447-AC447)*(1+$E$16)</f>
      </c>
      <c r="AE448" s="332">
        <v>443</v>
      </c>
    </row>
    <row x14ac:dyDescent="0.25" r="449" customHeight="1" ht="18.75">
      <c r="A449" s="1"/>
      <c r="B449" s="1"/>
      <c r="C449" s="169"/>
      <c r="D449" s="169"/>
      <c r="E449" s="168"/>
      <c r="F449" s="169"/>
      <c r="G449" s="170"/>
      <c r="H449" s="1"/>
      <c r="I449" s="1"/>
      <c r="J449" s="1"/>
      <c r="K449" s="1"/>
      <c r="L449" s="1"/>
      <c r="M449" s="331">
        <f>P449</f>
      </c>
      <c r="N449" s="335">
        <f>+IF(O449&lt;N448,O449,N448)</f>
      </c>
      <c r="O449" s="335">
        <f>+(O448-N448)*(1+$E$13)</f>
      </c>
      <c r="P449" s="332">
        <v>444</v>
      </c>
      <c r="Q449" s="1"/>
      <c r="R449" s="331">
        <f>U449</f>
      </c>
      <c r="S449" s="335">
        <f>+IF(T449&lt;S448,T449,S448)</f>
      </c>
      <c r="T449" s="335">
        <f>+(T448-S448)*(1+$E$14)</f>
      </c>
      <c r="U449" s="332">
        <v>444</v>
      </c>
      <c r="V449" s="1"/>
      <c r="W449" s="331">
        <f>Z449</f>
      </c>
      <c r="X449" s="336">
        <f>+IF(Y449&lt;X448,Y449,X448)</f>
      </c>
      <c r="Y449" s="337">
        <f>+(Y448-X448)*(1+$E$15)</f>
      </c>
      <c r="Z449" s="332">
        <v>444</v>
      </c>
      <c r="AA449" s="1"/>
      <c r="AB449" s="331">
        <f>AE449</f>
      </c>
      <c r="AC449" s="336">
        <f>+IF(AD449&lt;AC448,AD449,AC448)</f>
      </c>
      <c r="AD449" s="337">
        <f>+(AD448-AC448)*(1+$E$16)</f>
      </c>
      <c r="AE449" s="332">
        <v>444</v>
      </c>
    </row>
    <row x14ac:dyDescent="0.25" r="450" customHeight="1" ht="18.75">
      <c r="A450" s="1"/>
      <c r="B450" s="1"/>
      <c r="C450" s="169"/>
      <c r="D450" s="169"/>
      <c r="E450" s="168"/>
      <c r="F450" s="169"/>
      <c r="G450" s="170"/>
      <c r="H450" s="1"/>
      <c r="I450" s="1"/>
      <c r="J450" s="1"/>
      <c r="K450" s="1"/>
      <c r="L450" s="1"/>
      <c r="M450" s="331">
        <f>P450</f>
      </c>
      <c r="N450" s="335">
        <f>+IF(O450&lt;N449,O450,N449)</f>
      </c>
      <c r="O450" s="335">
        <f>+(O449-N449)*(1+$E$13)</f>
      </c>
      <c r="P450" s="332">
        <v>445</v>
      </c>
      <c r="Q450" s="1"/>
      <c r="R450" s="331">
        <f>U450</f>
      </c>
      <c r="S450" s="335">
        <f>+IF(T450&lt;S449,T450,S449)</f>
      </c>
      <c r="T450" s="335">
        <f>+(T449-S449)*(1+$E$14)</f>
      </c>
      <c r="U450" s="332">
        <v>445</v>
      </c>
      <c r="V450" s="1"/>
      <c r="W450" s="331">
        <f>Z450</f>
      </c>
      <c r="X450" s="336">
        <f>+IF(Y450&lt;X449,Y450,X449)</f>
      </c>
      <c r="Y450" s="337">
        <f>+(Y449-X449)*(1+$E$15)</f>
      </c>
      <c r="Z450" s="332">
        <v>445</v>
      </c>
      <c r="AA450" s="1"/>
      <c r="AB450" s="331">
        <f>AE450</f>
      </c>
      <c r="AC450" s="336">
        <f>+IF(AD450&lt;AC449,AD450,AC449)</f>
      </c>
      <c r="AD450" s="337">
        <f>+(AD449-AC449)*(1+$E$16)</f>
      </c>
      <c r="AE450" s="332">
        <v>445</v>
      </c>
    </row>
    <row x14ac:dyDescent="0.25" r="451" customHeight="1" ht="18.75">
      <c r="A451" s="1"/>
      <c r="B451" s="1"/>
      <c r="C451" s="169"/>
      <c r="D451" s="169"/>
      <c r="E451" s="168"/>
      <c r="F451" s="169"/>
      <c r="G451" s="170"/>
      <c r="H451" s="1"/>
      <c r="I451" s="1"/>
      <c r="J451" s="1"/>
      <c r="K451" s="1"/>
      <c r="L451" s="1"/>
      <c r="M451" s="331">
        <f>P451</f>
      </c>
      <c r="N451" s="335">
        <f>+IF(O451&lt;N450,O451,N450)</f>
      </c>
      <c r="O451" s="335">
        <f>+(O450-N450)*(1+$E$13)</f>
      </c>
      <c r="P451" s="332">
        <v>446</v>
      </c>
      <c r="Q451" s="1"/>
      <c r="R451" s="331">
        <f>U451</f>
      </c>
      <c r="S451" s="335">
        <f>+IF(T451&lt;S450,T451,S450)</f>
      </c>
      <c r="T451" s="335">
        <f>+(T450-S450)*(1+$E$14)</f>
      </c>
      <c r="U451" s="332">
        <v>446</v>
      </c>
      <c r="V451" s="1"/>
      <c r="W451" s="331">
        <f>Z451</f>
      </c>
      <c r="X451" s="336">
        <f>+IF(Y451&lt;X450,Y451,X450)</f>
      </c>
      <c r="Y451" s="337">
        <f>+(Y450-X450)*(1+$E$15)</f>
      </c>
      <c r="Z451" s="332">
        <v>446</v>
      </c>
      <c r="AA451" s="1"/>
      <c r="AB451" s="331">
        <f>AE451</f>
      </c>
      <c r="AC451" s="336">
        <f>+IF(AD451&lt;AC450,AD451,AC450)</f>
      </c>
      <c r="AD451" s="337">
        <f>+(AD450-AC450)*(1+$E$16)</f>
      </c>
      <c r="AE451" s="332">
        <v>446</v>
      </c>
    </row>
    <row x14ac:dyDescent="0.25" r="452" customHeight="1" ht="18.75">
      <c r="A452" s="1"/>
      <c r="B452" s="1"/>
      <c r="C452" s="169"/>
      <c r="D452" s="169"/>
      <c r="E452" s="168"/>
      <c r="F452" s="169"/>
      <c r="G452" s="170"/>
      <c r="H452" s="1"/>
      <c r="I452" s="1"/>
      <c r="J452" s="1"/>
      <c r="K452" s="1"/>
      <c r="L452" s="1"/>
      <c r="M452" s="331">
        <f>P452</f>
      </c>
      <c r="N452" s="335">
        <f>+IF(O452&lt;N451,O452,N451)</f>
      </c>
      <c r="O452" s="335">
        <f>+(O451-N451)*(1+$E$13)</f>
      </c>
      <c r="P452" s="332">
        <v>447</v>
      </c>
      <c r="Q452" s="1"/>
      <c r="R452" s="331">
        <f>U452</f>
      </c>
      <c r="S452" s="335">
        <f>+IF(T452&lt;S451,T452,S451)</f>
      </c>
      <c r="T452" s="335">
        <f>+(T451-S451)*(1+$E$14)</f>
      </c>
      <c r="U452" s="332">
        <v>447</v>
      </c>
      <c r="V452" s="1"/>
      <c r="W452" s="331">
        <f>Z452</f>
      </c>
      <c r="X452" s="336">
        <f>+IF(Y452&lt;X451,Y452,X451)</f>
      </c>
      <c r="Y452" s="337">
        <f>+(Y451-X451)*(1+$E$15)</f>
      </c>
      <c r="Z452" s="332">
        <v>447</v>
      </c>
      <c r="AA452" s="1"/>
      <c r="AB452" s="331">
        <f>AE452</f>
      </c>
      <c r="AC452" s="336">
        <f>+IF(AD452&lt;AC451,AD452,AC451)</f>
      </c>
      <c r="AD452" s="337">
        <f>+(AD451-AC451)*(1+$E$16)</f>
      </c>
      <c r="AE452" s="332">
        <v>447</v>
      </c>
    </row>
    <row x14ac:dyDescent="0.25" r="453" customHeight="1" ht="18.75">
      <c r="A453" s="1"/>
      <c r="B453" s="1"/>
      <c r="C453" s="169"/>
      <c r="D453" s="169"/>
      <c r="E453" s="168"/>
      <c r="F453" s="169"/>
      <c r="G453" s="170"/>
      <c r="H453" s="1"/>
      <c r="I453" s="1"/>
      <c r="J453" s="1"/>
      <c r="K453" s="1"/>
      <c r="L453" s="1"/>
      <c r="M453" s="331">
        <f>P453</f>
      </c>
      <c r="N453" s="335">
        <f>+IF(O453&lt;N452,O453,N452)</f>
      </c>
      <c r="O453" s="335">
        <f>+(O452-N452)*(1+$E$13)</f>
      </c>
      <c r="P453" s="332">
        <v>448</v>
      </c>
      <c r="Q453" s="1"/>
      <c r="R453" s="331">
        <f>U453</f>
      </c>
      <c r="S453" s="335">
        <f>+IF(T453&lt;S452,T453,S452)</f>
      </c>
      <c r="T453" s="335">
        <f>+(T452-S452)*(1+$E$14)</f>
      </c>
      <c r="U453" s="332">
        <v>448</v>
      </c>
      <c r="V453" s="1"/>
      <c r="W453" s="331">
        <f>Z453</f>
      </c>
      <c r="X453" s="336">
        <f>+IF(Y453&lt;X452,Y453,X452)</f>
      </c>
      <c r="Y453" s="337">
        <f>+(Y452-X452)*(1+$E$15)</f>
      </c>
      <c r="Z453" s="332">
        <v>448</v>
      </c>
      <c r="AA453" s="1"/>
      <c r="AB453" s="331">
        <f>AE453</f>
      </c>
      <c r="AC453" s="336">
        <f>+IF(AD453&lt;AC452,AD453,AC452)</f>
      </c>
      <c r="AD453" s="337">
        <f>+(AD452-AC452)*(1+$E$16)</f>
      </c>
      <c r="AE453" s="332">
        <v>448</v>
      </c>
    </row>
    <row x14ac:dyDescent="0.25" r="454" customHeight="1" ht="18.75">
      <c r="A454" s="1"/>
      <c r="B454" s="1"/>
      <c r="C454" s="169"/>
      <c r="D454" s="169"/>
      <c r="E454" s="168"/>
      <c r="F454" s="169"/>
      <c r="G454" s="170"/>
      <c r="H454" s="1"/>
      <c r="I454" s="1"/>
      <c r="J454" s="1"/>
      <c r="K454" s="1"/>
      <c r="L454" s="1"/>
      <c r="M454" s="331">
        <f>P454</f>
      </c>
      <c r="N454" s="335">
        <f>+IF(O454&lt;N453,O454,N453)</f>
      </c>
      <c r="O454" s="335">
        <f>+(O453-N453)*(1+$E$13)</f>
      </c>
      <c r="P454" s="332">
        <v>449</v>
      </c>
      <c r="Q454" s="1"/>
      <c r="R454" s="331">
        <f>U454</f>
      </c>
      <c r="S454" s="335">
        <f>+IF(T454&lt;S453,T454,S453)</f>
      </c>
      <c r="T454" s="335">
        <f>+(T453-S453)*(1+$E$14)</f>
      </c>
      <c r="U454" s="332">
        <v>449</v>
      </c>
      <c r="V454" s="1"/>
      <c r="W454" s="331">
        <f>Z454</f>
      </c>
      <c r="X454" s="336">
        <f>+IF(Y454&lt;X453,Y454,X453)</f>
      </c>
      <c r="Y454" s="337">
        <f>+(Y453-X453)*(1+$E$15)</f>
      </c>
      <c r="Z454" s="332">
        <v>449</v>
      </c>
      <c r="AA454" s="1"/>
      <c r="AB454" s="331">
        <f>AE454</f>
      </c>
      <c r="AC454" s="336">
        <f>+IF(AD454&lt;AC453,AD454,AC453)</f>
      </c>
      <c r="AD454" s="337">
        <f>+(AD453-AC453)*(1+$E$16)</f>
      </c>
      <c r="AE454" s="332">
        <v>449</v>
      </c>
    </row>
    <row x14ac:dyDescent="0.25" r="455" customHeight="1" ht="18.75">
      <c r="A455" s="1"/>
      <c r="B455" s="1"/>
      <c r="C455" s="169"/>
      <c r="D455" s="169"/>
      <c r="E455" s="168"/>
      <c r="F455" s="169"/>
      <c r="G455" s="170"/>
      <c r="H455" s="1"/>
      <c r="I455" s="1"/>
      <c r="J455" s="1"/>
      <c r="K455" s="1"/>
      <c r="L455" s="1"/>
      <c r="M455" s="331">
        <f>P455</f>
      </c>
      <c r="N455" s="335">
        <f>+IF(O455&lt;N454,O455,N454)</f>
      </c>
      <c r="O455" s="335">
        <f>+(O454-N454)*(1+$E$13)</f>
      </c>
      <c r="P455" s="332">
        <v>450</v>
      </c>
      <c r="Q455" s="1"/>
      <c r="R455" s="331">
        <f>U455</f>
      </c>
      <c r="S455" s="335">
        <f>+IF(T455&lt;S454,T455,S454)</f>
      </c>
      <c r="T455" s="335">
        <f>+(T454-S454)*(1+$E$14)</f>
      </c>
      <c r="U455" s="332">
        <v>450</v>
      </c>
      <c r="V455" s="1"/>
      <c r="W455" s="331">
        <f>Z455</f>
      </c>
      <c r="X455" s="336">
        <f>+IF(Y455&lt;X454,Y455,X454)</f>
      </c>
      <c r="Y455" s="337">
        <f>+(Y454-X454)*(1+$E$15)</f>
      </c>
      <c r="Z455" s="332">
        <v>450</v>
      </c>
      <c r="AA455" s="1"/>
      <c r="AB455" s="331">
        <f>AE455</f>
      </c>
      <c r="AC455" s="336">
        <f>+IF(AD455&lt;AC454,AD455,AC454)</f>
      </c>
      <c r="AD455" s="337">
        <f>+(AD454-AC454)*(1+$E$16)</f>
      </c>
      <c r="AE455" s="332">
        <v>450</v>
      </c>
    </row>
    <row x14ac:dyDescent="0.25" r="456" customHeight="1" ht="18.75">
      <c r="A456" s="1"/>
      <c r="B456" s="1"/>
      <c r="C456" s="169"/>
      <c r="D456" s="169"/>
      <c r="E456" s="168"/>
      <c r="F456" s="169"/>
      <c r="G456" s="170"/>
      <c r="H456" s="1"/>
      <c r="I456" s="1"/>
      <c r="J456" s="1"/>
      <c r="K456" s="1"/>
      <c r="L456" s="1"/>
      <c r="M456" s="331">
        <f>P456</f>
      </c>
      <c r="N456" s="335">
        <f>+IF(O456&lt;N455,O456,N455)</f>
      </c>
      <c r="O456" s="335">
        <f>+(O455-N455)*(1+$E$13)</f>
      </c>
      <c r="P456" s="332">
        <v>451</v>
      </c>
      <c r="Q456" s="1"/>
      <c r="R456" s="331">
        <f>U456</f>
      </c>
      <c r="S456" s="335">
        <f>+IF(T456&lt;S455,T456,S455)</f>
      </c>
      <c r="T456" s="335">
        <f>+(T455-S455)*(1+$E$14)</f>
      </c>
      <c r="U456" s="332">
        <v>451</v>
      </c>
      <c r="V456" s="1"/>
      <c r="W456" s="331">
        <f>Z456</f>
      </c>
      <c r="X456" s="336">
        <f>+IF(Y456&lt;X455,Y456,X455)</f>
      </c>
      <c r="Y456" s="337">
        <f>+(Y455-X455)*(1+$E$15)</f>
      </c>
      <c r="Z456" s="332">
        <v>451</v>
      </c>
      <c r="AA456" s="1"/>
      <c r="AB456" s="331">
        <f>AE456</f>
      </c>
      <c r="AC456" s="336">
        <f>+IF(AD456&lt;AC455,AD456,AC455)</f>
      </c>
      <c r="AD456" s="337">
        <f>+(AD455-AC455)*(1+$E$16)</f>
      </c>
      <c r="AE456" s="332">
        <v>451</v>
      </c>
    </row>
    <row x14ac:dyDescent="0.25" r="457" customHeight="1" ht="18.75">
      <c r="A457" s="1"/>
      <c r="B457" s="1"/>
      <c r="C457" s="169"/>
      <c r="D457" s="169"/>
      <c r="E457" s="168"/>
      <c r="F457" s="169"/>
      <c r="G457" s="170"/>
      <c r="H457" s="1"/>
      <c r="I457" s="1"/>
      <c r="J457" s="1"/>
      <c r="K457" s="1"/>
      <c r="L457" s="1"/>
      <c r="M457" s="331">
        <f>P457</f>
      </c>
      <c r="N457" s="335">
        <f>+IF(O457&lt;N456,O457,N456)</f>
      </c>
      <c r="O457" s="335">
        <f>+(O456-N456)*(1+$E$13)</f>
      </c>
      <c r="P457" s="332">
        <v>452</v>
      </c>
      <c r="Q457" s="1"/>
      <c r="R457" s="331">
        <f>U457</f>
      </c>
      <c r="S457" s="335">
        <f>+IF(T457&lt;S456,T457,S456)</f>
      </c>
      <c r="T457" s="335">
        <f>+(T456-S456)*(1+$E$14)</f>
      </c>
      <c r="U457" s="332">
        <v>452</v>
      </c>
      <c r="V457" s="1"/>
      <c r="W457" s="331">
        <f>Z457</f>
      </c>
      <c r="X457" s="336">
        <f>+IF(Y457&lt;X456,Y457,X456)</f>
      </c>
      <c r="Y457" s="337">
        <f>+(Y456-X456)*(1+$E$15)</f>
      </c>
      <c r="Z457" s="332">
        <v>452</v>
      </c>
      <c r="AA457" s="1"/>
      <c r="AB457" s="331">
        <f>AE457</f>
      </c>
      <c r="AC457" s="336">
        <f>+IF(AD457&lt;AC456,AD457,AC456)</f>
      </c>
      <c r="AD457" s="337">
        <f>+(AD456-AC456)*(1+$E$16)</f>
      </c>
      <c r="AE457" s="332">
        <v>452</v>
      </c>
    </row>
    <row x14ac:dyDescent="0.25" r="458" customHeight="1" ht="18.75">
      <c r="A458" s="1"/>
      <c r="B458" s="1"/>
      <c r="C458" s="169"/>
      <c r="D458" s="169"/>
      <c r="E458" s="168"/>
      <c r="F458" s="169"/>
      <c r="G458" s="170"/>
      <c r="H458" s="1"/>
      <c r="I458" s="1"/>
      <c r="J458" s="1"/>
      <c r="K458" s="1"/>
      <c r="L458" s="1"/>
      <c r="M458" s="331">
        <f>P458</f>
      </c>
      <c r="N458" s="335">
        <f>+IF(O458&lt;N457,O458,N457)</f>
      </c>
      <c r="O458" s="335">
        <f>+(O457-N457)*(1+$E$13)</f>
      </c>
      <c r="P458" s="332">
        <v>453</v>
      </c>
      <c r="Q458" s="1"/>
      <c r="R458" s="331">
        <f>U458</f>
      </c>
      <c r="S458" s="335">
        <f>+IF(T458&lt;S457,T458,S457)</f>
      </c>
      <c r="T458" s="335">
        <f>+(T457-S457)*(1+$E$14)</f>
      </c>
      <c r="U458" s="332">
        <v>453</v>
      </c>
      <c r="V458" s="1"/>
      <c r="W458" s="331">
        <f>Z458</f>
      </c>
      <c r="X458" s="336">
        <f>+IF(Y458&lt;X457,Y458,X457)</f>
      </c>
      <c r="Y458" s="337">
        <f>+(Y457-X457)*(1+$E$15)</f>
      </c>
      <c r="Z458" s="332">
        <v>453</v>
      </c>
      <c r="AA458" s="1"/>
      <c r="AB458" s="331">
        <f>AE458</f>
      </c>
      <c r="AC458" s="336">
        <f>+IF(AD458&lt;AC457,AD458,AC457)</f>
      </c>
      <c r="AD458" s="337">
        <f>+(AD457-AC457)*(1+$E$16)</f>
      </c>
      <c r="AE458" s="332">
        <v>453</v>
      </c>
    </row>
    <row x14ac:dyDescent="0.25" r="459" customHeight="1" ht="18.75">
      <c r="A459" s="1"/>
      <c r="B459" s="1"/>
      <c r="C459" s="169"/>
      <c r="D459" s="169"/>
      <c r="E459" s="168"/>
      <c r="F459" s="169"/>
      <c r="G459" s="170"/>
      <c r="H459" s="1"/>
      <c r="I459" s="1"/>
      <c r="J459" s="1"/>
      <c r="K459" s="1"/>
      <c r="L459" s="1"/>
      <c r="M459" s="331">
        <f>P459</f>
      </c>
      <c r="N459" s="335">
        <f>+IF(O459&lt;N458,O459,N458)</f>
      </c>
      <c r="O459" s="335">
        <f>+(O458-N458)*(1+$E$13)</f>
      </c>
      <c r="P459" s="332">
        <v>454</v>
      </c>
      <c r="Q459" s="1"/>
      <c r="R459" s="331">
        <f>U459</f>
      </c>
      <c r="S459" s="335">
        <f>+IF(T459&lt;S458,T459,S458)</f>
      </c>
      <c r="T459" s="335">
        <f>+(T458-S458)*(1+$E$14)</f>
      </c>
      <c r="U459" s="332">
        <v>454</v>
      </c>
      <c r="V459" s="1"/>
      <c r="W459" s="331">
        <f>Z459</f>
      </c>
      <c r="X459" s="336">
        <f>+IF(Y459&lt;X458,Y459,X458)</f>
      </c>
      <c r="Y459" s="337">
        <f>+(Y458-X458)*(1+$E$15)</f>
      </c>
      <c r="Z459" s="332">
        <v>454</v>
      </c>
      <c r="AA459" s="1"/>
      <c r="AB459" s="331">
        <f>AE459</f>
      </c>
      <c r="AC459" s="336">
        <f>+IF(AD459&lt;AC458,AD459,AC458)</f>
      </c>
      <c r="AD459" s="337">
        <f>+(AD458-AC458)*(1+$E$16)</f>
      </c>
      <c r="AE459" s="332">
        <v>454</v>
      </c>
    </row>
    <row x14ac:dyDescent="0.25" r="460" customHeight="1" ht="18.75">
      <c r="A460" s="1"/>
      <c r="B460" s="1"/>
      <c r="C460" s="169"/>
      <c r="D460" s="169"/>
      <c r="E460" s="168"/>
      <c r="F460" s="169"/>
      <c r="G460" s="170"/>
      <c r="H460" s="1"/>
      <c r="I460" s="1"/>
      <c r="J460" s="1"/>
      <c r="K460" s="1"/>
      <c r="L460" s="1"/>
      <c r="M460" s="331">
        <f>P460</f>
      </c>
      <c r="N460" s="335">
        <f>+IF(O460&lt;N459,O460,N459)</f>
      </c>
      <c r="O460" s="335">
        <f>+(O459-N459)*(1+$E$13)</f>
      </c>
      <c r="P460" s="332">
        <v>455</v>
      </c>
      <c r="Q460" s="1"/>
      <c r="R460" s="331">
        <f>U460</f>
      </c>
      <c r="S460" s="335">
        <f>+IF(T460&lt;S459,T460,S459)</f>
      </c>
      <c r="T460" s="335">
        <f>+(T459-S459)*(1+$E$14)</f>
      </c>
      <c r="U460" s="332">
        <v>455</v>
      </c>
      <c r="V460" s="1"/>
      <c r="W460" s="331">
        <f>Z460</f>
      </c>
      <c r="X460" s="336">
        <f>+IF(Y460&lt;X459,Y460,X459)</f>
      </c>
      <c r="Y460" s="337">
        <f>+(Y459-X459)*(1+$E$15)</f>
      </c>
      <c r="Z460" s="332">
        <v>455</v>
      </c>
      <c r="AA460" s="1"/>
      <c r="AB460" s="331">
        <f>AE460</f>
      </c>
      <c r="AC460" s="336">
        <f>+IF(AD460&lt;AC459,AD460,AC459)</f>
      </c>
      <c r="AD460" s="337">
        <f>+(AD459-AC459)*(1+$E$16)</f>
      </c>
      <c r="AE460" s="332">
        <v>455</v>
      </c>
    </row>
    <row x14ac:dyDescent="0.25" r="461" customHeight="1" ht="18.75">
      <c r="A461" s="1"/>
      <c r="B461" s="1"/>
      <c r="C461" s="169"/>
      <c r="D461" s="169"/>
      <c r="E461" s="168"/>
      <c r="F461" s="169"/>
      <c r="G461" s="170"/>
      <c r="H461" s="1"/>
      <c r="I461" s="1"/>
      <c r="J461" s="1"/>
      <c r="K461" s="1"/>
      <c r="L461" s="1"/>
      <c r="M461" s="331">
        <f>P461</f>
      </c>
      <c r="N461" s="335">
        <f>+IF(O461&lt;N460,O461,N460)</f>
      </c>
      <c r="O461" s="335">
        <f>+(O460-N460)*(1+$E$13)</f>
      </c>
      <c r="P461" s="332">
        <v>456</v>
      </c>
      <c r="Q461" s="1"/>
      <c r="R461" s="331">
        <f>U461</f>
      </c>
      <c r="S461" s="335">
        <f>+IF(T461&lt;S460,T461,S460)</f>
      </c>
      <c r="T461" s="335">
        <f>+(T460-S460)*(1+$E$14)</f>
      </c>
      <c r="U461" s="332">
        <v>456</v>
      </c>
      <c r="V461" s="1"/>
      <c r="W461" s="331">
        <f>Z461</f>
      </c>
      <c r="X461" s="336">
        <f>+IF(Y461&lt;X460,Y461,X460)</f>
      </c>
      <c r="Y461" s="337">
        <f>+(Y460-X460)*(1+$E$15)</f>
      </c>
      <c r="Z461" s="332">
        <v>456</v>
      </c>
      <c r="AA461" s="1"/>
      <c r="AB461" s="331">
        <f>AE461</f>
      </c>
      <c r="AC461" s="336">
        <f>+IF(AD461&lt;AC460,AD461,AC460)</f>
      </c>
      <c r="AD461" s="337">
        <f>+(AD460-AC460)*(1+$E$16)</f>
      </c>
      <c r="AE461" s="332">
        <v>456</v>
      </c>
    </row>
    <row x14ac:dyDescent="0.25" r="462" customHeight="1" ht="18.75">
      <c r="A462" s="1"/>
      <c r="B462" s="1"/>
      <c r="C462" s="169"/>
      <c r="D462" s="169"/>
      <c r="E462" s="168"/>
      <c r="F462" s="169"/>
      <c r="G462" s="170"/>
      <c r="H462" s="1"/>
      <c r="I462" s="1"/>
      <c r="J462" s="1"/>
      <c r="K462" s="1"/>
      <c r="L462" s="1"/>
      <c r="M462" s="331">
        <f>P462</f>
      </c>
      <c r="N462" s="335">
        <f>+IF(O462&lt;N461,O462,N461)</f>
      </c>
      <c r="O462" s="335">
        <f>+(O461-N461)*(1+$E$13)</f>
      </c>
      <c r="P462" s="332">
        <v>457</v>
      </c>
      <c r="Q462" s="1"/>
      <c r="R462" s="331">
        <f>U462</f>
      </c>
      <c r="S462" s="335">
        <f>+IF(T462&lt;S461,T462,S461)</f>
      </c>
      <c r="T462" s="335">
        <f>+(T461-S461)*(1+$E$14)</f>
      </c>
      <c r="U462" s="332">
        <v>457</v>
      </c>
      <c r="V462" s="1"/>
      <c r="W462" s="331">
        <f>Z462</f>
      </c>
      <c r="X462" s="336">
        <f>+IF(Y462&lt;X461,Y462,X461)</f>
      </c>
      <c r="Y462" s="337">
        <f>+(Y461-X461)*(1+$E$15)</f>
      </c>
      <c r="Z462" s="332">
        <v>457</v>
      </c>
      <c r="AA462" s="1"/>
      <c r="AB462" s="331">
        <f>AE462</f>
      </c>
      <c r="AC462" s="336">
        <f>+IF(AD462&lt;AC461,AD462,AC461)</f>
      </c>
      <c r="AD462" s="337">
        <f>+(AD461-AC461)*(1+$E$16)</f>
      </c>
      <c r="AE462" s="332">
        <v>457</v>
      </c>
    </row>
    <row x14ac:dyDescent="0.25" r="463" customHeight="1" ht="18.75">
      <c r="A463" s="1"/>
      <c r="B463" s="1"/>
      <c r="C463" s="169"/>
      <c r="D463" s="169"/>
      <c r="E463" s="168"/>
      <c r="F463" s="169"/>
      <c r="G463" s="170"/>
      <c r="H463" s="1"/>
      <c r="I463" s="1"/>
      <c r="J463" s="1"/>
      <c r="K463" s="1"/>
      <c r="L463" s="1"/>
      <c r="M463" s="331">
        <f>P463</f>
      </c>
      <c r="N463" s="335">
        <f>+IF(O463&lt;N462,O463,N462)</f>
      </c>
      <c r="O463" s="335">
        <f>+(O462-N462)*(1+$E$13)</f>
      </c>
      <c r="P463" s="332">
        <v>458</v>
      </c>
      <c r="Q463" s="1"/>
      <c r="R463" s="331">
        <f>U463</f>
      </c>
      <c r="S463" s="335">
        <f>+IF(T463&lt;S462,T463,S462)</f>
      </c>
      <c r="T463" s="335">
        <f>+(T462-S462)*(1+$E$14)</f>
      </c>
      <c r="U463" s="332">
        <v>458</v>
      </c>
      <c r="V463" s="1"/>
      <c r="W463" s="331">
        <f>Z463</f>
      </c>
      <c r="X463" s="336">
        <f>+IF(Y463&lt;X462,Y463,X462)</f>
      </c>
      <c r="Y463" s="337">
        <f>+(Y462-X462)*(1+$E$15)</f>
      </c>
      <c r="Z463" s="332">
        <v>458</v>
      </c>
      <c r="AA463" s="1"/>
      <c r="AB463" s="331">
        <f>AE463</f>
      </c>
      <c r="AC463" s="336">
        <f>+IF(AD463&lt;AC462,AD463,AC462)</f>
      </c>
      <c r="AD463" s="337">
        <f>+(AD462-AC462)*(1+$E$16)</f>
      </c>
      <c r="AE463" s="332">
        <v>458</v>
      </c>
    </row>
    <row x14ac:dyDescent="0.25" r="464" customHeight="1" ht="18.75">
      <c r="A464" s="1"/>
      <c r="B464" s="1"/>
      <c r="C464" s="169"/>
      <c r="D464" s="169"/>
      <c r="E464" s="168"/>
      <c r="F464" s="169"/>
      <c r="G464" s="170"/>
      <c r="H464" s="1"/>
      <c r="I464" s="1"/>
      <c r="J464" s="1"/>
      <c r="K464" s="1"/>
      <c r="L464" s="1"/>
      <c r="M464" s="331">
        <f>P464</f>
      </c>
      <c r="N464" s="335">
        <f>+IF(O464&lt;N463,O464,N463)</f>
      </c>
      <c r="O464" s="335">
        <f>+(O463-N463)*(1+$E$13)</f>
      </c>
      <c r="P464" s="332">
        <v>459</v>
      </c>
      <c r="Q464" s="1"/>
      <c r="R464" s="331">
        <f>U464</f>
      </c>
      <c r="S464" s="335">
        <f>+IF(T464&lt;S463,T464,S463)</f>
      </c>
      <c r="T464" s="335">
        <f>+(T463-S463)*(1+$E$14)</f>
      </c>
      <c r="U464" s="332">
        <v>459</v>
      </c>
      <c r="V464" s="1"/>
      <c r="W464" s="331">
        <f>Z464</f>
      </c>
      <c r="X464" s="336">
        <f>+IF(Y464&lt;X463,Y464,X463)</f>
      </c>
      <c r="Y464" s="337">
        <f>+(Y463-X463)*(1+$E$15)</f>
      </c>
      <c r="Z464" s="332">
        <v>459</v>
      </c>
      <c r="AA464" s="1"/>
      <c r="AB464" s="331">
        <f>AE464</f>
      </c>
      <c r="AC464" s="336">
        <f>+IF(AD464&lt;AC463,AD464,AC463)</f>
      </c>
      <c r="AD464" s="337">
        <f>+(AD463-AC463)*(1+$E$16)</f>
      </c>
      <c r="AE464" s="332">
        <v>459</v>
      </c>
    </row>
    <row x14ac:dyDescent="0.25" r="465" customHeight="1" ht="18.75">
      <c r="A465" s="1"/>
      <c r="B465" s="1"/>
      <c r="C465" s="169"/>
      <c r="D465" s="169"/>
      <c r="E465" s="168"/>
      <c r="F465" s="169"/>
      <c r="G465" s="170"/>
      <c r="H465" s="1"/>
      <c r="I465" s="1"/>
      <c r="J465" s="1"/>
      <c r="K465" s="1"/>
      <c r="L465" s="1"/>
      <c r="M465" s="331">
        <f>P465</f>
      </c>
      <c r="N465" s="335">
        <f>+IF(O465&lt;N464,O465,N464)</f>
      </c>
      <c r="O465" s="335">
        <f>+(O464-N464)*(1+$E$13)</f>
      </c>
      <c r="P465" s="332">
        <v>460</v>
      </c>
      <c r="Q465" s="1"/>
      <c r="R465" s="331">
        <f>U465</f>
      </c>
      <c r="S465" s="335">
        <f>+IF(T465&lt;S464,T465,S464)</f>
      </c>
      <c r="T465" s="335">
        <f>+(T464-S464)*(1+$E$14)</f>
      </c>
      <c r="U465" s="332">
        <v>460</v>
      </c>
      <c r="V465" s="1"/>
      <c r="W465" s="331">
        <f>Z465</f>
      </c>
      <c r="X465" s="336">
        <f>+IF(Y465&lt;X464,Y465,X464)</f>
      </c>
      <c r="Y465" s="337">
        <f>+(Y464-X464)*(1+$E$15)</f>
      </c>
      <c r="Z465" s="332">
        <v>460</v>
      </c>
      <c r="AA465" s="1"/>
      <c r="AB465" s="331">
        <f>AE465</f>
      </c>
      <c r="AC465" s="336">
        <f>+IF(AD465&lt;AC464,AD465,AC464)</f>
      </c>
      <c r="AD465" s="337">
        <f>+(AD464-AC464)*(1+$E$16)</f>
      </c>
      <c r="AE465" s="332">
        <v>460</v>
      </c>
    </row>
    <row x14ac:dyDescent="0.25" r="466" customHeight="1" ht="18.75">
      <c r="A466" s="1"/>
      <c r="B466" s="1"/>
      <c r="C466" s="169"/>
      <c r="D466" s="169"/>
      <c r="E466" s="168"/>
      <c r="F466" s="169"/>
      <c r="G466" s="170"/>
      <c r="H466" s="1"/>
      <c r="I466" s="1"/>
      <c r="J466" s="1"/>
      <c r="K466" s="1"/>
      <c r="L466" s="1"/>
      <c r="M466" s="331">
        <f>P466</f>
      </c>
      <c r="N466" s="335">
        <f>+IF(O466&lt;N465,O466,N465)</f>
      </c>
      <c r="O466" s="335">
        <f>+(O465-N465)*(1+$E$13)</f>
      </c>
      <c r="P466" s="332">
        <v>461</v>
      </c>
      <c r="Q466" s="1"/>
      <c r="R466" s="331">
        <f>U466</f>
      </c>
      <c r="S466" s="335">
        <f>+IF(T466&lt;S465,T466,S465)</f>
      </c>
      <c r="T466" s="335">
        <f>+(T465-S465)*(1+$E$14)</f>
      </c>
      <c r="U466" s="332">
        <v>461</v>
      </c>
      <c r="V466" s="1"/>
      <c r="W466" s="331">
        <f>Z466</f>
      </c>
      <c r="X466" s="336">
        <f>+IF(Y466&lt;X465,Y466,X465)</f>
      </c>
      <c r="Y466" s="337">
        <f>+(Y465-X465)*(1+$E$15)</f>
      </c>
      <c r="Z466" s="332">
        <v>461</v>
      </c>
      <c r="AA466" s="1"/>
      <c r="AB466" s="331">
        <f>AE466</f>
      </c>
      <c r="AC466" s="336">
        <f>+IF(AD466&lt;AC465,AD466,AC465)</f>
      </c>
      <c r="AD466" s="337">
        <f>+(AD465-AC465)*(1+$E$16)</f>
      </c>
      <c r="AE466" s="332">
        <v>461</v>
      </c>
    </row>
    <row x14ac:dyDescent="0.25" r="467" customHeight="1" ht="18.75">
      <c r="A467" s="1"/>
      <c r="B467" s="1"/>
      <c r="C467" s="169"/>
      <c r="D467" s="169"/>
      <c r="E467" s="168"/>
      <c r="F467" s="169"/>
      <c r="G467" s="170"/>
      <c r="H467" s="1"/>
      <c r="I467" s="1"/>
      <c r="J467" s="1"/>
      <c r="K467" s="1"/>
      <c r="L467" s="1"/>
      <c r="M467" s="331">
        <f>P467</f>
      </c>
      <c r="N467" s="335">
        <f>+IF(O467&lt;N466,O467,N466)</f>
      </c>
      <c r="O467" s="335">
        <f>+(O466-N466)*(1+$E$13)</f>
      </c>
      <c r="P467" s="332">
        <v>462</v>
      </c>
      <c r="Q467" s="1"/>
      <c r="R467" s="331">
        <f>U467</f>
      </c>
      <c r="S467" s="335">
        <f>+IF(T467&lt;S466,T467,S466)</f>
      </c>
      <c r="T467" s="335">
        <f>+(T466-S466)*(1+$E$14)</f>
      </c>
      <c r="U467" s="332">
        <v>462</v>
      </c>
      <c r="V467" s="1"/>
      <c r="W467" s="331">
        <f>Z467</f>
      </c>
      <c r="X467" s="336">
        <f>+IF(Y467&lt;X466,Y467,X466)</f>
      </c>
      <c r="Y467" s="337">
        <f>+(Y466-X466)*(1+$E$15)</f>
      </c>
      <c r="Z467" s="332">
        <v>462</v>
      </c>
      <c r="AA467" s="1"/>
      <c r="AB467" s="331">
        <f>AE467</f>
      </c>
      <c r="AC467" s="336">
        <f>+IF(AD467&lt;AC466,AD467,AC466)</f>
      </c>
      <c r="AD467" s="337">
        <f>+(AD466-AC466)*(1+$E$16)</f>
      </c>
      <c r="AE467" s="332">
        <v>462</v>
      </c>
    </row>
    <row x14ac:dyDescent="0.25" r="468" customHeight="1" ht="18.75">
      <c r="A468" s="1"/>
      <c r="B468" s="1"/>
      <c r="C468" s="169"/>
      <c r="D468" s="169"/>
      <c r="E468" s="168"/>
      <c r="F468" s="169"/>
      <c r="G468" s="170"/>
      <c r="H468" s="1"/>
      <c r="I468" s="1"/>
      <c r="J468" s="1"/>
      <c r="K468" s="1"/>
      <c r="L468" s="1"/>
      <c r="M468" s="331">
        <f>P468</f>
      </c>
      <c r="N468" s="335">
        <f>+IF(O468&lt;N467,O468,N467)</f>
      </c>
      <c r="O468" s="335">
        <f>+(O467-N467)*(1+$E$13)</f>
      </c>
      <c r="P468" s="332">
        <v>463</v>
      </c>
      <c r="Q468" s="1"/>
      <c r="R468" s="331">
        <f>U468</f>
      </c>
      <c r="S468" s="335">
        <f>+IF(T468&lt;S467,T468,S467)</f>
      </c>
      <c r="T468" s="335">
        <f>+(T467-S467)*(1+$E$14)</f>
      </c>
      <c r="U468" s="332">
        <v>463</v>
      </c>
      <c r="V468" s="1"/>
      <c r="W468" s="331">
        <f>Z468</f>
      </c>
      <c r="X468" s="336">
        <f>+IF(Y468&lt;X467,Y468,X467)</f>
      </c>
      <c r="Y468" s="337">
        <f>+(Y467-X467)*(1+$E$15)</f>
      </c>
      <c r="Z468" s="332">
        <v>463</v>
      </c>
      <c r="AA468" s="1"/>
      <c r="AB468" s="331">
        <f>AE468</f>
      </c>
      <c r="AC468" s="336">
        <f>+IF(AD468&lt;AC467,AD468,AC467)</f>
      </c>
      <c r="AD468" s="337">
        <f>+(AD467-AC467)*(1+$E$16)</f>
      </c>
      <c r="AE468" s="332">
        <v>463</v>
      </c>
    </row>
    <row x14ac:dyDescent="0.25" r="469" customHeight="1" ht="18.75">
      <c r="A469" s="1"/>
      <c r="B469" s="1"/>
      <c r="C469" s="169"/>
      <c r="D469" s="169"/>
      <c r="E469" s="168"/>
      <c r="F469" s="169"/>
      <c r="G469" s="170"/>
      <c r="H469" s="1"/>
      <c r="I469" s="1"/>
      <c r="J469" s="1"/>
      <c r="K469" s="1"/>
      <c r="L469" s="1"/>
      <c r="M469" s="331">
        <f>P469</f>
      </c>
      <c r="N469" s="335">
        <f>+IF(O469&lt;N468,O469,N468)</f>
      </c>
      <c r="O469" s="335">
        <f>+(O468-N468)*(1+$E$13)</f>
      </c>
      <c r="P469" s="332">
        <v>464</v>
      </c>
      <c r="Q469" s="1"/>
      <c r="R469" s="331">
        <f>U469</f>
      </c>
      <c r="S469" s="335">
        <f>+IF(T469&lt;S468,T469,S468)</f>
      </c>
      <c r="T469" s="335">
        <f>+(T468-S468)*(1+$E$14)</f>
      </c>
      <c r="U469" s="332">
        <v>464</v>
      </c>
      <c r="V469" s="1"/>
      <c r="W469" s="331">
        <f>Z469</f>
      </c>
      <c r="X469" s="336">
        <f>+IF(Y469&lt;X468,Y469,X468)</f>
      </c>
      <c r="Y469" s="337">
        <f>+(Y468-X468)*(1+$E$15)</f>
      </c>
      <c r="Z469" s="332">
        <v>464</v>
      </c>
      <c r="AA469" s="1"/>
      <c r="AB469" s="331">
        <f>AE469</f>
      </c>
      <c r="AC469" s="336">
        <f>+IF(AD469&lt;AC468,AD469,AC468)</f>
      </c>
      <c r="AD469" s="337">
        <f>+(AD468-AC468)*(1+$E$16)</f>
      </c>
      <c r="AE469" s="332">
        <v>464</v>
      </c>
    </row>
    <row x14ac:dyDescent="0.25" r="470" customHeight="1" ht="18.75">
      <c r="A470" s="1"/>
      <c r="B470" s="1"/>
      <c r="C470" s="169"/>
      <c r="D470" s="169"/>
      <c r="E470" s="168"/>
      <c r="F470" s="169"/>
      <c r="G470" s="170"/>
      <c r="H470" s="1"/>
      <c r="I470" s="1"/>
      <c r="J470" s="1"/>
      <c r="K470" s="1"/>
      <c r="L470" s="1"/>
      <c r="M470" s="331">
        <f>P470</f>
      </c>
      <c r="N470" s="335">
        <f>+IF(O470&lt;N469,O470,N469)</f>
      </c>
      <c r="O470" s="335">
        <f>+(O469-N469)*(1+$E$13)</f>
      </c>
      <c r="P470" s="332">
        <v>465</v>
      </c>
      <c r="Q470" s="1"/>
      <c r="R470" s="331">
        <f>U470</f>
      </c>
      <c r="S470" s="335">
        <f>+IF(T470&lt;S469,T470,S469)</f>
      </c>
      <c r="T470" s="335">
        <f>+(T469-S469)*(1+$E$14)</f>
      </c>
      <c r="U470" s="332">
        <v>465</v>
      </c>
      <c r="V470" s="1"/>
      <c r="W470" s="331">
        <f>Z470</f>
      </c>
      <c r="X470" s="336">
        <f>+IF(Y470&lt;X469,Y470,X469)</f>
      </c>
      <c r="Y470" s="337">
        <f>+(Y469-X469)*(1+$E$15)</f>
      </c>
      <c r="Z470" s="332">
        <v>465</v>
      </c>
      <c r="AA470" s="1"/>
      <c r="AB470" s="331">
        <f>AE470</f>
      </c>
      <c r="AC470" s="336">
        <f>+IF(AD470&lt;AC469,AD470,AC469)</f>
      </c>
      <c r="AD470" s="337">
        <f>+(AD469-AC469)*(1+$E$16)</f>
      </c>
      <c r="AE470" s="332">
        <v>465</v>
      </c>
    </row>
    <row x14ac:dyDescent="0.25" r="471" customHeight="1" ht="18.75">
      <c r="A471" s="1"/>
      <c r="B471" s="1"/>
      <c r="C471" s="169"/>
      <c r="D471" s="169"/>
      <c r="E471" s="168"/>
      <c r="F471" s="169"/>
      <c r="G471" s="170"/>
      <c r="H471" s="1"/>
      <c r="I471" s="1"/>
      <c r="J471" s="1"/>
      <c r="K471" s="1"/>
      <c r="L471" s="1"/>
      <c r="M471" s="331">
        <f>P471</f>
      </c>
      <c r="N471" s="335">
        <f>+IF(O471&lt;N470,O471,N470)</f>
      </c>
      <c r="O471" s="335">
        <f>+(O470-N470)*(1+$E$13)</f>
      </c>
      <c r="P471" s="332">
        <v>466</v>
      </c>
      <c r="Q471" s="1"/>
      <c r="R471" s="331">
        <f>U471</f>
      </c>
      <c r="S471" s="335">
        <f>+IF(T471&lt;S470,T471,S470)</f>
      </c>
      <c r="T471" s="335">
        <f>+(T470-S470)*(1+$E$14)</f>
      </c>
      <c r="U471" s="332">
        <v>466</v>
      </c>
      <c r="V471" s="1"/>
      <c r="W471" s="331">
        <f>Z471</f>
      </c>
      <c r="X471" s="336">
        <f>+IF(Y471&lt;X470,Y471,X470)</f>
      </c>
      <c r="Y471" s="337">
        <f>+(Y470-X470)*(1+$E$15)</f>
      </c>
      <c r="Z471" s="332">
        <v>466</v>
      </c>
      <c r="AA471" s="1"/>
      <c r="AB471" s="331">
        <f>AE471</f>
      </c>
      <c r="AC471" s="336">
        <f>+IF(AD471&lt;AC470,AD471,AC470)</f>
      </c>
      <c r="AD471" s="337">
        <f>+(AD470-AC470)*(1+$E$16)</f>
      </c>
      <c r="AE471" s="332">
        <v>466</v>
      </c>
    </row>
    <row x14ac:dyDescent="0.25" r="472" customHeight="1" ht="18.75">
      <c r="A472" s="1"/>
      <c r="B472" s="1"/>
      <c r="C472" s="169"/>
      <c r="D472" s="169"/>
      <c r="E472" s="168"/>
      <c r="F472" s="169"/>
      <c r="G472" s="170"/>
      <c r="H472" s="1"/>
      <c r="I472" s="1"/>
      <c r="J472" s="1"/>
      <c r="K472" s="1"/>
      <c r="L472" s="1"/>
      <c r="M472" s="331">
        <f>P472</f>
      </c>
      <c r="N472" s="335">
        <f>+IF(O472&lt;N471,O472,N471)</f>
      </c>
      <c r="O472" s="335">
        <f>+(O471-N471)*(1+$E$13)</f>
      </c>
      <c r="P472" s="332">
        <v>467</v>
      </c>
      <c r="Q472" s="1"/>
      <c r="R472" s="331">
        <f>U472</f>
      </c>
      <c r="S472" s="335">
        <f>+IF(T472&lt;S471,T472,S471)</f>
      </c>
      <c r="T472" s="335">
        <f>+(T471-S471)*(1+$E$14)</f>
      </c>
      <c r="U472" s="332">
        <v>467</v>
      </c>
      <c r="V472" s="1"/>
      <c r="W472" s="331">
        <f>Z472</f>
      </c>
      <c r="X472" s="336">
        <f>+IF(Y472&lt;X471,Y472,X471)</f>
      </c>
      <c r="Y472" s="337">
        <f>+(Y471-X471)*(1+$E$15)</f>
      </c>
      <c r="Z472" s="332">
        <v>467</v>
      </c>
      <c r="AA472" s="1"/>
      <c r="AB472" s="331">
        <f>AE472</f>
      </c>
      <c r="AC472" s="336">
        <f>+IF(AD472&lt;AC471,AD472,AC471)</f>
      </c>
      <c r="AD472" s="337">
        <f>+(AD471-AC471)*(1+$E$16)</f>
      </c>
      <c r="AE472" s="332">
        <v>467</v>
      </c>
    </row>
    <row x14ac:dyDescent="0.25" r="473" customHeight="1" ht="18.75">
      <c r="A473" s="1"/>
      <c r="B473" s="1"/>
      <c r="C473" s="169"/>
      <c r="D473" s="169"/>
      <c r="E473" s="168"/>
      <c r="F473" s="169"/>
      <c r="G473" s="170"/>
      <c r="H473" s="1"/>
      <c r="I473" s="1"/>
      <c r="J473" s="1"/>
      <c r="K473" s="1"/>
      <c r="L473" s="1"/>
      <c r="M473" s="331">
        <f>P473</f>
      </c>
      <c r="N473" s="335">
        <f>+IF(O473&lt;N472,O473,N472)</f>
      </c>
      <c r="O473" s="335">
        <f>+(O472-N472)*(1+$E$13)</f>
      </c>
      <c r="P473" s="332">
        <v>468</v>
      </c>
      <c r="Q473" s="1"/>
      <c r="R473" s="331">
        <f>U473</f>
      </c>
      <c r="S473" s="335">
        <f>+IF(T473&lt;S472,T473,S472)</f>
      </c>
      <c r="T473" s="335">
        <f>+(T472-S472)*(1+$E$14)</f>
      </c>
      <c r="U473" s="332">
        <v>468</v>
      </c>
      <c r="V473" s="1"/>
      <c r="W473" s="331">
        <f>Z473</f>
      </c>
      <c r="X473" s="336">
        <f>+IF(Y473&lt;X472,Y473,X472)</f>
      </c>
      <c r="Y473" s="337">
        <f>+(Y472-X472)*(1+$E$15)</f>
      </c>
      <c r="Z473" s="332">
        <v>468</v>
      </c>
      <c r="AA473" s="1"/>
      <c r="AB473" s="331">
        <f>AE473</f>
      </c>
      <c r="AC473" s="336">
        <f>+IF(AD473&lt;AC472,AD473,AC472)</f>
      </c>
      <c r="AD473" s="337">
        <f>+(AD472-AC472)*(1+$E$16)</f>
      </c>
      <c r="AE473" s="332">
        <v>468</v>
      </c>
    </row>
    <row x14ac:dyDescent="0.25" r="474" customHeight="1" ht="18.75">
      <c r="A474" s="1"/>
      <c r="B474" s="1"/>
      <c r="C474" s="169"/>
      <c r="D474" s="169"/>
      <c r="E474" s="168"/>
      <c r="F474" s="169"/>
      <c r="G474" s="170"/>
      <c r="H474" s="1"/>
      <c r="I474" s="1"/>
      <c r="J474" s="1"/>
      <c r="K474" s="1"/>
      <c r="L474" s="1"/>
      <c r="M474" s="331">
        <f>P474</f>
      </c>
      <c r="N474" s="335">
        <f>+IF(O474&lt;N473,O474,N473)</f>
      </c>
      <c r="O474" s="335">
        <f>+(O473-N473)*(1+$E$13)</f>
      </c>
      <c r="P474" s="332">
        <v>469</v>
      </c>
      <c r="Q474" s="1"/>
      <c r="R474" s="331">
        <f>U474</f>
      </c>
      <c r="S474" s="335">
        <f>+IF(T474&lt;S473,T474,S473)</f>
      </c>
      <c r="T474" s="335">
        <f>+(T473-S473)*(1+$E$14)</f>
      </c>
      <c r="U474" s="332">
        <v>469</v>
      </c>
      <c r="V474" s="1"/>
      <c r="W474" s="331">
        <f>Z474</f>
      </c>
      <c r="X474" s="336">
        <f>+IF(Y474&lt;X473,Y474,X473)</f>
      </c>
      <c r="Y474" s="337">
        <f>+(Y473-X473)*(1+$E$15)</f>
      </c>
      <c r="Z474" s="332">
        <v>469</v>
      </c>
      <c r="AA474" s="1"/>
      <c r="AB474" s="331">
        <f>AE474</f>
      </c>
      <c r="AC474" s="336">
        <f>+IF(AD474&lt;AC473,AD474,AC473)</f>
      </c>
      <c r="AD474" s="337">
        <f>+(AD473-AC473)*(1+$E$16)</f>
      </c>
      <c r="AE474" s="332">
        <v>469</v>
      </c>
    </row>
    <row x14ac:dyDescent="0.25" r="475" customHeight="1" ht="18.75">
      <c r="A475" s="1"/>
      <c r="B475" s="1"/>
      <c r="C475" s="169"/>
      <c r="D475" s="169"/>
      <c r="E475" s="168"/>
      <c r="F475" s="169"/>
      <c r="G475" s="170"/>
      <c r="H475" s="1"/>
      <c r="I475" s="1"/>
      <c r="J475" s="1"/>
      <c r="K475" s="1"/>
      <c r="L475" s="1"/>
      <c r="M475" s="331">
        <f>P475</f>
      </c>
      <c r="N475" s="335">
        <f>+IF(O475&lt;N474,O475,N474)</f>
      </c>
      <c r="O475" s="335">
        <f>+(O474-N474)*(1+$E$13)</f>
      </c>
      <c r="P475" s="332">
        <v>470</v>
      </c>
      <c r="Q475" s="1"/>
      <c r="R475" s="331">
        <f>U475</f>
      </c>
      <c r="S475" s="335">
        <f>+IF(T475&lt;S474,T475,S474)</f>
      </c>
      <c r="T475" s="335">
        <f>+(T474-S474)*(1+$E$14)</f>
      </c>
      <c r="U475" s="332">
        <v>470</v>
      </c>
      <c r="V475" s="1"/>
      <c r="W475" s="331">
        <f>Z475</f>
      </c>
      <c r="X475" s="336">
        <f>+IF(Y475&lt;X474,Y475,X474)</f>
      </c>
      <c r="Y475" s="337">
        <f>+(Y474-X474)*(1+$E$15)</f>
      </c>
      <c r="Z475" s="332">
        <v>470</v>
      </c>
      <c r="AA475" s="1"/>
      <c r="AB475" s="331">
        <f>AE475</f>
      </c>
      <c r="AC475" s="336">
        <f>+IF(AD475&lt;AC474,AD475,AC474)</f>
      </c>
      <c r="AD475" s="337">
        <f>+(AD474-AC474)*(1+$E$16)</f>
      </c>
      <c r="AE475" s="332">
        <v>470</v>
      </c>
    </row>
    <row x14ac:dyDescent="0.25" r="476" customHeight="1" ht="18.75">
      <c r="A476" s="1"/>
      <c r="B476" s="1"/>
      <c r="C476" s="169"/>
      <c r="D476" s="169"/>
      <c r="E476" s="168"/>
      <c r="F476" s="169"/>
      <c r="G476" s="170"/>
      <c r="H476" s="1"/>
      <c r="I476" s="1"/>
      <c r="J476" s="1"/>
      <c r="K476" s="1"/>
      <c r="L476" s="1"/>
      <c r="M476" s="331">
        <f>P476</f>
      </c>
      <c r="N476" s="335">
        <f>+IF(O476&lt;N475,O476,N475)</f>
      </c>
      <c r="O476" s="335">
        <f>+(O475-N475)*(1+$E$13)</f>
      </c>
      <c r="P476" s="332">
        <v>471</v>
      </c>
      <c r="Q476" s="1"/>
      <c r="R476" s="331">
        <f>U476</f>
      </c>
      <c r="S476" s="335">
        <f>+IF(T476&lt;S475,T476,S475)</f>
      </c>
      <c r="T476" s="335">
        <f>+(T475-S475)*(1+$E$14)</f>
      </c>
      <c r="U476" s="332">
        <v>471</v>
      </c>
      <c r="V476" s="1"/>
      <c r="W476" s="331">
        <f>Z476</f>
      </c>
      <c r="X476" s="336">
        <f>+IF(Y476&lt;X475,Y476,X475)</f>
      </c>
      <c r="Y476" s="337">
        <f>+(Y475-X475)*(1+$E$15)</f>
      </c>
      <c r="Z476" s="332">
        <v>471</v>
      </c>
      <c r="AA476" s="1"/>
      <c r="AB476" s="331">
        <f>AE476</f>
      </c>
      <c r="AC476" s="336">
        <f>+IF(AD476&lt;AC475,AD476,AC475)</f>
      </c>
      <c r="AD476" s="337">
        <f>+(AD475-AC475)*(1+$E$16)</f>
      </c>
      <c r="AE476" s="332">
        <v>471</v>
      </c>
    </row>
    <row x14ac:dyDescent="0.25" r="477" customHeight="1" ht="18.75">
      <c r="A477" s="1"/>
      <c r="B477" s="1"/>
      <c r="C477" s="169"/>
      <c r="D477" s="169"/>
      <c r="E477" s="168"/>
      <c r="F477" s="169"/>
      <c r="G477" s="170"/>
      <c r="H477" s="1"/>
      <c r="I477" s="1"/>
      <c r="J477" s="1"/>
      <c r="K477" s="1"/>
      <c r="L477" s="1"/>
      <c r="M477" s="331">
        <f>P477</f>
      </c>
      <c r="N477" s="335">
        <f>+IF(O477&lt;N476,O477,N476)</f>
      </c>
      <c r="O477" s="335">
        <f>+(O476-N476)*(1+$E$13)</f>
      </c>
      <c r="P477" s="332">
        <v>472</v>
      </c>
      <c r="Q477" s="1"/>
      <c r="R477" s="331">
        <f>U477</f>
      </c>
      <c r="S477" s="335">
        <f>+IF(T477&lt;S476,T477,S476)</f>
      </c>
      <c r="T477" s="335">
        <f>+(T476-S476)*(1+$E$14)</f>
      </c>
      <c r="U477" s="332">
        <v>472</v>
      </c>
      <c r="V477" s="1"/>
      <c r="W477" s="331">
        <f>Z477</f>
      </c>
      <c r="X477" s="336">
        <f>+IF(Y477&lt;X476,Y477,X476)</f>
      </c>
      <c r="Y477" s="337">
        <f>+(Y476-X476)*(1+$E$15)</f>
      </c>
      <c r="Z477" s="332">
        <v>472</v>
      </c>
      <c r="AA477" s="1"/>
      <c r="AB477" s="331">
        <f>AE477</f>
      </c>
      <c r="AC477" s="336">
        <f>+IF(AD477&lt;AC476,AD477,AC476)</f>
      </c>
      <c r="AD477" s="337">
        <f>+(AD476-AC476)*(1+$E$16)</f>
      </c>
      <c r="AE477" s="332">
        <v>472</v>
      </c>
    </row>
    <row x14ac:dyDescent="0.25" r="478" customHeight="1" ht="18.75">
      <c r="A478" s="1"/>
      <c r="B478" s="1"/>
      <c r="C478" s="169"/>
      <c r="D478" s="169"/>
      <c r="E478" s="168"/>
      <c r="F478" s="169"/>
      <c r="G478" s="170"/>
      <c r="H478" s="1"/>
      <c r="I478" s="1"/>
      <c r="J478" s="1"/>
      <c r="K478" s="1"/>
      <c r="L478" s="1"/>
      <c r="M478" s="331">
        <f>P478</f>
      </c>
      <c r="N478" s="335">
        <f>+IF(O478&lt;N477,O478,N477)</f>
      </c>
      <c r="O478" s="335">
        <f>+(O477-N477)*(1+$E$13)</f>
      </c>
      <c r="P478" s="332">
        <v>473</v>
      </c>
      <c r="Q478" s="1"/>
      <c r="R478" s="331">
        <f>U478</f>
      </c>
      <c r="S478" s="335">
        <f>+IF(T478&lt;S477,T478,S477)</f>
      </c>
      <c r="T478" s="335">
        <f>+(T477-S477)*(1+$E$14)</f>
      </c>
      <c r="U478" s="332">
        <v>473</v>
      </c>
      <c r="V478" s="1"/>
      <c r="W478" s="331">
        <f>Z478</f>
      </c>
      <c r="X478" s="336">
        <f>+IF(Y478&lt;X477,Y478,X477)</f>
      </c>
      <c r="Y478" s="337">
        <f>+(Y477-X477)*(1+$E$15)</f>
      </c>
      <c r="Z478" s="332">
        <v>473</v>
      </c>
      <c r="AA478" s="1"/>
      <c r="AB478" s="331">
        <f>AE478</f>
      </c>
      <c r="AC478" s="336">
        <f>+IF(AD478&lt;AC477,AD478,AC477)</f>
      </c>
      <c r="AD478" s="337">
        <f>+(AD477-AC477)*(1+$E$16)</f>
      </c>
      <c r="AE478" s="332">
        <v>473</v>
      </c>
    </row>
    <row x14ac:dyDescent="0.25" r="479" customHeight="1" ht="18.75">
      <c r="A479" s="1"/>
      <c r="B479" s="1"/>
      <c r="C479" s="169"/>
      <c r="D479" s="169"/>
      <c r="E479" s="168"/>
      <c r="F479" s="169"/>
      <c r="G479" s="170"/>
      <c r="H479" s="1"/>
      <c r="I479" s="1"/>
      <c r="J479" s="1"/>
      <c r="K479" s="1"/>
      <c r="L479" s="1"/>
      <c r="M479" s="331">
        <f>P479</f>
      </c>
      <c r="N479" s="335">
        <f>+IF(O479&lt;N478,O479,N478)</f>
      </c>
      <c r="O479" s="335">
        <f>+(O478-N478)*(1+$E$13)</f>
      </c>
      <c r="P479" s="332">
        <v>474</v>
      </c>
      <c r="Q479" s="1"/>
      <c r="R479" s="331">
        <f>U479</f>
      </c>
      <c r="S479" s="335">
        <f>+IF(T479&lt;S478,T479,S478)</f>
      </c>
      <c r="T479" s="335">
        <f>+(T478-S478)*(1+$E$14)</f>
      </c>
      <c r="U479" s="332">
        <v>474</v>
      </c>
      <c r="V479" s="1"/>
      <c r="W479" s="331">
        <f>Z479</f>
      </c>
      <c r="X479" s="336">
        <f>+IF(Y479&lt;X478,Y479,X478)</f>
      </c>
      <c r="Y479" s="337">
        <f>+(Y478-X478)*(1+$E$15)</f>
      </c>
      <c r="Z479" s="332">
        <v>474</v>
      </c>
      <c r="AA479" s="1"/>
      <c r="AB479" s="331">
        <f>AE479</f>
      </c>
      <c r="AC479" s="336">
        <f>+IF(AD479&lt;AC478,AD479,AC478)</f>
      </c>
      <c r="AD479" s="337">
        <f>+(AD478-AC478)*(1+$E$16)</f>
      </c>
      <c r="AE479" s="332">
        <v>474</v>
      </c>
    </row>
    <row x14ac:dyDescent="0.25" r="480" customHeight="1" ht="18.75">
      <c r="A480" s="1"/>
      <c r="B480" s="1"/>
      <c r="C480" s="169"/>
      <c r="D480" s="169"/>
      <c r="E480" s="168"/>
      <c r="F480" s="169"/>
      <c r="G480" s="170"/>
      <c r="H480" s="1"/>
      <c r="I480" s="1"/>
      <c r="J480" s="1"/>
      <c r="K480" s="1"/>
      <c r="L480" s="1"/>
      <c r="M480" s="331">
        <f>P480</f>
      </c>
      <c r="N480" s="335">
        <f>+IF(O480&lt;N479,O480,N479)</f>
      </c>
      <c r="O480" s="335">
        <f>+(O479-N479)*(1+$E$13)</f>
      </c>
      <c r="P480" s="332">
        <v>475</v>
      </c>
      <c r="Q480" s="1"/>
      <c r="R480" s="331">
        <f>U480</f>
      </c>
      <c r="S480" s="335">
        <f>+IF(T480&lt;S479,T480,S479)</f>
      </c>
      <c r="T480" s="335">
        <f>+(T479-S479)*(1+$E$14)</f>
      </c>
      <c r="U480" s="332">
        <v>475</v>
      </c>
      <c r="V480" s="1"/>
      <c r="W480" s="331">
        <f>Z480</f>
      </c>
      <c r="X480" s="336">
        <f>+IF(Y480&lt;X479,Y480,X479)</f>
      </c>
      <c r="Y480" s="337">
        <f>+(Y479-X479)*(1+$E$15)</f>
      </c>
      <c r="Z480" s="332">
        <v>475</v>
      </c>
      <c r="AA480" s="1"/>
      <c r="AB480" s="331">
        <f>AE480</f>
      </c>
      <c r="AC480" s="336">
        <f>+IF(AD480&lt;AC479,AD480,AC479)</f>
      </c>
      <c r="AD480" s="337">
        <f>+(AD479-AC479)*(1+$E$16)</f>
      </c>
      <c r="AE480" s="332">
        <v>475</v>
      </c>
    </row>
    <row x14ac:dyDescent="0.25" r="481" customHeight="1" ht="18.75">
      <c r="A481" s="1"/>
      <c r="B481" s="1"/>
      <c r="C481" s="169"/>
      <c r="D481" s="169"/>
      <c r="E481" s="168"/>
      <c r="F481" s="169"/>
      <c r="G481" s="170"/>
      <c r="H481" s="1"/>
      <c r="I481" s="1"/>
      <c r="J481" s="1"/>
      <c r="K481" s="1"/>
      <c r="L481" s="1"/>
      <c r="M481" s="331">
        <f>P481</f>
      </c>
      <c r="N481" s="335">
        <f>+IF(O481&lt;N480,O481,N480)</f>
      </c>
      <c r="O481" s="335">
        <f>+(O480-N480)*(1+$E$13)</f>
      </c>
      <c r="P481" s="332">
        <v>476</v>
      </c>
      <c r="Q481" s="1"/>
      <c r="R481" s="331">
        <f>U481</f>
      </c>
      <c r="S481" s="335">
        <f>+IF(T481&lt;S480,T481,S480)</f>
      </c>
      <c r="T481" s="335">
        <f>+(T480-S480)*(1+$E$14)</f>
      </c>
      <c r="U481" s="332">
        <v>476</v>
      </c>
      <c r="V481" s="1"/>
      <c r="W481" s="331">
        <f>Z481</f>
      </c>
      <c r="X481" s="336">
        <f>+IF(Y481&lt;X480,Y481,X480)</f>
      </c>
      <c r="Y481" s="337">
        <f>+(Y480-X480)*(1+$E$15)</f>
      </c>
      <c r="Z481" s="332">
        <v>476</v>
      </c>
      <c r="AA481" s="1"/>
      <c r="AB481" s="331">
        <f>AE481</f>
      </c>
      <c r="AC481" s="336">
        <f>+IF(AD481&lt;AC480,AD481,AC480)</f>
      </c>
      <c r="AD481" s="337">
        <f>+(AD480-AC480)*(1+$E$16)</f>
      </c>
      <c r="AE481" s="332">
        <v>476</v>
      </c>
    </row>
    <row x14ac:dyDescent="0.25" r="482" customHeight="1" ht="18.75">
      <c r="A482" s="1"/>
      <c r="B482" s="1"/>
      <c r="C482" s="169"/>
      <c r="D482" s="169"/>
      <c r="E482" s="168"/>
      <c r="F482" s="169"/>
      <c r="G482" s="170"/>
      <c r="H482" s="1"/>
      <c r="I482" s="1"/>
      <c r="J482" s="1"/>
      <c r="K482" s="1"/>
      <c r="L482" s="1"/>
      <c r="M482" s="331">
        <f>P482</f>
      </c>
      <c r="N482" s="335">
        <f>+IF(O482&lt;N481,O482,N481)</f>
      </c>
      <c r="O482" s="335">
        <f>+(O481-N481)*(1+$E$13)</f>
      </c>
      <c r="P482" s="332">
        <v>477</v>
      </c>
      <c r="Q482" s="1"/>
      <c r="R482" s="331">
        <f>U482</f>
      </c>
      <c r="S482" s="335">
        <f>+IF(T482&lt;S481,T482,S481)</f>
      </c>
      <c r="T482" s="335">
        <f>+(T481-S481)*(1+$E$14)</f>
      </c>
      <c r="U482" s="332">
        <v>477</v>
      </c>
      <c r="V482" s="1"/>
      <c r="W482" s="331">
        <f>Z482</f>
      </c>
      <c r="X482" s="336">
        <f>+IF(Y482&lt;X481,Y482,X481)</f>
      </c>
      <c r="Y482" s="337">
        <f>+(Y481-X481)*(1+$E$15)</f>
      </c>
      <c r="Z482" s="332">
        <v>477</v>
      </c>
      <c r="AA482" s="1"/>
      <c r="AB482" s="331">
        <f>AE482</f>
      </c>
      <c r="AC482" s="336">
        <f>+IF(AD482&lt;AC481,AD482,AC481)</f>
      </c>
      <c r="AD482" s="337">
        <f>+(AD481-AC481)*(1+$E$16)</f>
      </c>
      <c r="AE482" s="332">
        <v>477</v>
      </c>
    </row>
    <row x14ac:dyDescent="0.25" r="483" customHeight="1" ht="18.75">
      <c r="A483" s="1"/>
      <c r="B483" s="1"/>
      <c r="C483" s="169"/>
      <c r="D483" s="169"/>
      <c r="E483" s="168"/>
      <c r="F483" s="169"/>
      <c r="G483" s="170"/>
      <c r="H483" s="1"/>
      <c r="I483" s="1"/>
      <c r="J483" s="1"/>
      <c r="K483" s="1"/>
      <c r="L483" s="1"/>
      <c r="M483" s="331">
        <f>P483</f>
      </c>
      <c r="N483" s="335">
        <f>+IF(O483&lt;N482,O483,N482)</f>
      </c>
      <c r="O483" s="335">
        <f>+(O482-N482)*(1+$E$13)</f>
      </c>
      <c r="P483" s="332">
        <v>478</v>
      </c>
      <c r="Q483" s="1"/>
      <c r="R483" s="331">
        <f>U483</f>
      </c>
      <c r="S483" s="335">
        <f>+IF(T483&lt;S482,T483,S482)</f>
      </c>
      <c r="T483" s="335">
        <f>+(T482-S482)*(1+$E$14)</f>
      </c>
      <c r="U483" s="332">
        <v>478</v>
      </c>
      <c r="V483" s="1"/>
      <c r="W483" s="331">
        <f>Z483</f>
      </c>
      <c r="X483" s="336">
        <f>+IF(Y483&lt;X482,Y483,X482)</f>
      </c>
      <c r="Y483" s="337">
        <f>+(Y482-X482)*(1+$E$15)</f>
      </c>
      <c r="Z483" s="332">
        <v>478</v>
      </c>
      <c r="AA483" s="1"/>
      <c r="AB483" s="331">
        <f>AE483</f>
      </c>
      <c r="AC483" s="336">
        <f>+IF(AD483&lt;AC482,AD483,AC482)</f>
      </c>
      <c r="AD483" s="337">
        <f>+(AD482-AC482)*(1+$E$16)</f>
      </c>
      <c r="AE483" s="332">
        <v>478</v>
      </c>
    </row>
    <row x14ac:dyDescent="0.25" r="484" customHeight="1" ht="18.75">
      <c r="A484" s="1"/>
      <c r="B484" s="1"/>
      <c r="C484" s="169"/>
      <c r="D484" s="169"/>
      <c r="E484" s="168"/>
      <c r="F484" s="169"/>
      <c r="G484" s="170"/>
      <c r="H484" s="1"/>
      <c r="I484" s="1"/>
      <c r="J484" s="1"/>
      <c r="K484" s="1"/>
      <c r="L484" s="1"/>
      <c r="M484" s="331">
        <f>P484</f>
      </c>
      <c r="N484" s="335">
        <f>+IF(O484&lt;N483,O484,N483)</f>
      </c>
      <c r="O484" s="335">
        <f>+(O483-N483)*(1+$E$13)</f>
      </c>
      <c r="P484" s="332">
        <v>479</v>
      </c>
      <c r="Q484" s="1"/>
      <c r="R484" s="331">
        <f>U484</f>
      </c>
      <c r="S484" s="335">
        <f>+IF(T484&lt;S483,T484,S483)</f>
      </c>
      <c r="T484" s="335">
        <f>+(T483-S483)*(1+$E$14)</f>
      </c>
      <c r="U484" s="332">
        <v>479</v>
      </c>
      <c r="V484" s="1"/>
      <c r="W484" s="331">
        <f>Z484</f>
      </c>
      <c r="X484" s="336">
        <f>+IF(Y484&lt;X483,Y484,X483)</f>
      </c>
      <c r="Y484" s="337">
        <f>+(Y483-X483)*(1+$E$15)</f>
      </c>
      <c r="Z484" s="332">
        <v>479</v>
      </c>
      <c r="AA484" s="1"/>
      <c r="AB484" s="331">
        <f>AE484</f>
      </c>
      <c r="AC484" s="336">
        <f>+IF(AD484&lt;AC483,AD484,AC483)</f>
      </c>
      <c r="AD484" s="337">
        <f>+(AD483-AC483)*(1+$E$16)</f>
      </c>
      <c r="AE484" s="332">
        <v>479</v>
      </c>
    </row>
    <row x14ac:dyDescent="0.25" r="485" customHeight="1" ht="18.75">
      <c r="A485" s="1"/>
      <c r="B485" s="1"/>
      <c r="C485" s="169"/>
      <c r="D485" s="169"/>
      <c r="E485" s="168"/>
      <c r="F485" s="169"/>
      <c r="G485" s="170"/>
      <c r="H485" s="1"/>
      <c r="I485" s="1"/>
      <c r="J485" s="1"/>
      <c r="K485" s="1"/>
      <c r="L485" s="1"/>
      <c r="M485" s="331">
        <f>P485</f>
      </c>
      <c r="N485" s="335">
        <f>+IF(O485&lt;N484,O485,N484)</f>
      </c>
      <c r="O485" s="335">
        <f>+(O484-N484)*(1+$E$13)</f>
      </c>
      <c r="P485" s="332">
        <v>480</v>
      </c>
      <c r="Q485" s="1"/>
      <c r="R485" s="331">
        <f>U485</f>
      </c>
      <c r="S485" s="335">
        <f>+IF(T485&lt;S484,T485,S484)</f>
      </c>
      <c r="T485" s="335">
        <f>+(T484-S484)*(1+$E$14)</f>
      </c>
      <c r="U485" s="332">
        <v>480</v>
      </c>
      <c r="V485" s="1"/>
      <c r="W485" s="331">
        <f>Z485</f>
      </c>
      <c r="X485" s="336">
        <f>+IF(Y485&lt;X484,Y485,X484)</f>
      </c>
      <c r="Y485" s="337">
        <f>+(Y484-X484)*(1+$E$15)</f>
      </c>
      <c r="Z485" s="332">
        <v>480</v>
      </c>
      <c r="AA485" s="1"/>
      <c r="AB485" s="331">
        <f>AE485</f>
      </c>
      <c r="AC485" s="336">
        <f>+IF(AD485&lt;AC484,AD485,AC484)</f>
      </c>
      <c r="AD485" s="337">
        <f>+(AD484-AC484)*(1+$E$16)</f>
      </c>
      <c r="AE485" s="332">
        <v>480</v>
      </c>
    </row>
    <row x14ac:dyDescent="0.25" r="486" customHeight="1" ht="18.75">
      <c r="A486" s="1"/>
      <c r="B486" s="1"/>
      <c r="C486" s="169"/>
      <c r="D486" s="169"/>
      <c r="E486" s="168"/>
      <c r="F486" s="169"/>
      <c r="G486" s="170"/>
      <c r="H486" s="1"/>
      <c r="I486" s="1"/>
      <c r="J486" s="1"/>
      <c r="K486" s="1"/>
      <c r="L486" s="1"/>
      <c r="M486" s="331">
        <f>P486</f>
      </c>
      <c r="N486" s="335">
        <f>+IF(O486&lt;N485,O486,N485)</f>
      </c>
      <c r="O486" s="335">
        <f>+(O485-N485)*(1+$E$13)</f>
      </c>
      <c r="P486" s="332">
        <v>481</v>
      </c>
      <c r="Q486" s="1"/>
      <c r="R486" s="331">
        <f>U486</f>
      </c>
      <c r="S486" s="335">
        <f>+IF(T486&lt;S485,T486,S485)</f>
      </c>
      <c r="T486" s="335">
        <f>+(T485-S485)*(1+$E$14)</f>
      </c>
      <c r="U486" s="332">
        <v>481</v>
      </c>
      <c r="V486" s="1"/>
      <c r="W486" s="331">
        <f>Z486</f>
      </c>
      <c r="X486" s="336">
        <f>+IF(Y486&lt;X485,Y486,X485)</f>
      </c>
      <c r="Y486" s="337">
        <f>+(Y485-X485)*(1+$E$15)</f>
      </c>
      <c r="Z486" s="332">
        <v>481</v>
      </c>
      <c r="AA486" s="1"/>
      <c r="AB486" s="331">
        <f>AE486</f>
      </c>
      <c r="AC486" s="336">
        <f>+IF(AD486&lt;AC485,AD486,AC485)</f>
      </c>
      <c r="AD486" s="337">
        <f>+(AD485-AC485)*(1+$E$16)</f>
      </c>
      <c r="AE486" s="332">
        <v>481</v>
      </c>
    </row>
    <row x14ac:dyDescent="0.25" r="487" customHeight="1" ht="18.75">
      <c r="A487" s="1"/>
      <c r="B487" s="1"/>
      <c r="C487" s="169"/>
      <c r="D487" s="169"/>
      <c r="E487" s="168"/>
      <c r="F487" s="169"/>
      <c r="G487" s="170"/>
      <c r="H487" s="1"/>
      <c r="I487" s="1"/>
      <c r="J487" s="1"/>
      <c r="K487" s="1"/>
      <c r="L487" s="1"/>
      <c r="M487" s="331">
        <f>P487</f>
      </c>
      <c r="N487" s="335">
        <f>+IF(O487&lt;N486,O487,N486)</f>
      </c>
      <c r="O487" s="335">
        <f>+(O486-N486)*(1+$E$13)</f>
      </c>
      <c r="P487" s="332">
        <v>482</v>
      </c>
      <c r="Q487" s="1"/>
      <c r="R487" s="331">
        <f>U487</f>
      </c>
      <c r="S487" s="335">
        <f>+IF(T487&lt;S486,T487,S486)</f>
      </c>
      <c r="T487" s="335">
        <f>+(T486-S486)*(1+$E$14)</f>
      </c>
      <c r="U487" s="332">
        <v>482</v>
      </c>
      <c r="V487" s="1"/>
      <c r="W487" s="331">
        <f>Z487</f>
      </c>
      <c r="X487" s="336">
        <f>+IF(Y487&lt;X486,Y487,X486)</f>
      </c>
      <c r="Y487" s="337">
        <f>+(Y486-X486)*(1+$E$15)</f>
      </c>
      <c r="Z487" s="332">
        <v>482</v>
      </c>
      <c r="AA487" s="1"/>
      <c r="AB487" s="331">
        <f>AE487</f>
      </c>
      <c r="AC487" s="336">
        <f>+IF(AD487&lt;AC486,AD487,AC486)</f>
      </c>
      <c r="AD487" s="337">
        <f>+(AD486-AC486)*(1+$E$16)</f>
      </c>
      <c r="AE487" s="332">
        <v>482</v>
      </c>
    </row>
    <row x14ac:dyDescent="0.25" r="488" customHeight="1" ht="18.75">
      <c r="A488" s="1"/>
      <c r="B488" s="1"/>
      <c r="C488" s="169"/>
      <c r="D488" s="169"/>
      <c r="E488" s="168"/>
      <c r="F488" s="169"/>
      <c r="G488" s="170"/>
      <c r="H488" s="1"/>
      <c r="I488" s="1"/>
      <c r="J488" s="1"/>
      <c r="K488" s="1"/>
      <c r="L488" s="1"/>
      <c r="M488" s="331">
        <f>P488</f>
      </c>
      <c r="N488" s="335">
        <f>+IF(O488&lt;N487,O488,N487)</f>
      </c>
      <c r="O488" s="335">
        <f>+(O487-N487)*(1+$E$13)</f>
      </c>
      <c r="P488" s="332">
        <v>483</v>
      </c>
      <c r="Q488" s="1"/>
      <c r="R488" s="331">
        <f>U488</f>
      </c>
      <c r="S488" s="335">
        <f>+IF(T488&lt;S487,T488,S487)</f>
      </c>
      <c r="T488" s="335">
        <f>+(T487-S487)*(1+$E$14)</f>
      </c>
      <c r="U488" s="332">
        <v>483</v>
      </c>
      <c r="V488" s="1"/>
      <c r="W488" s="331">
        <f>Z488</f>
      </c>
      <c r="X488" s="336">
        <f>+IF(Y488&lt;X487,Y488,X487)</f>
      </c>
      <c r="Y488" s="337">
        <f>+(Y487-X487)*(1+$E$15)</f>
      </c>
      <c r="Z488" s="332">
        <v>483</v>
      </c>
      <c r="AA488" s="1"/>
      <c r="AB488" s="331">
        <f>AE488</f>
      </c>
      <c r="AC488" s="336">
        <f>+IF(AD488&lt;AC487,AD488,AC487)</f>
      </c>
      <c r="AD488" s="337">
        <f>+(AD487-AC487)*(1+$E$16)</f>
      </c>
      <c r="AE488" s="332">
        <v>483</v>
      </c>
    </row>
    <row x14ac:dyDescent="0.25" r="489" customHeight="1" ht="18.75">
      <c r="A489" s="1"/>
      <c r="B489" s="1"/>
      <c r="C489" s="169"/>
      <c r="D489" s="169"/>
      <c r="E489" s="168"/>
      <c r="F489" s="169"/>
      <c r="G489" s="170"/>
      <c r="H489" s="1"/>
      <c r="I489" s="1"/>
      <c r="J489" s="1"/>
      <c r="K489" s="1"/>
      <c r="L489" s="1"/>
      <c r="M489" s="331">
        <f>P489</f>
      </c>
      <c r="N489" s="335">
        <f>+IF(O489&lt;N488,O489,N488)</f>
      </c>
      <c r="O489" s="335">
        <f>+(O488-N488)*(1+$E$13)</f>
      </c>
      <c r="P489" s="332">
        <v>484</v>
      </c>
      <c r="Q489" s="1"/>
      <c r="R489" s="331">
        <f>U489</f>
      </c>
      <c r="S489" s="335">
        <f>+IF(T489&lt;S488,T489,S488)</f>
      </c>
      <c r="T489" s="335">
        <f>+(T488-S488)*(1+$E$14)</f>
      </c>
      <c r="U489" s="332">
        <v>484</v>
      </c>
      <c r="V489" s="1"/>
      <c r="W489" s="331">
        <f>Z489</f>
      </c>
      <c r="X489" s="336">
        <f>+IF(Y489&lt;X488,Y489,X488)</f>
      </c>
      <c r="Y489" s="337">
        <f>+(Y488-X488)*(1+$E$15)</f>
      </c>
      <c r="Z489" s="332">
        <v>484</v>
      </c>
      <c r="AA489" s="1"/>
      <c r="AB489" s="331">
        <f>AE489</f>
      </c>
      <c r="AC489" s="336">
        <f>+IF(AD489&lt;AC488,AD489,AC488)</f>
      </c>
      <c r="AD489" s="337">
        <f>+(AD488-AC488)*(1+$E$16)</f>
      </c>
      <c r="AE489" s="332">
        <v>484</v>
      </c>
    </row>
    <row x14ac:dyDescent="0.25" r="490" customHeight="1" ht="18.75">
      <c r="A490" s="1"/>
      <c r="B490" s="1"/>
      <c r="C490" s="169"/>
      <c r="D490" s="169"/>
      <c r="E490" s="168"/>
      <c r="F490" s="169"/>
      <c r="G490" s="170"/>
      <c r="H490" s="1"/>
      <c r="I490" s="1"/>
      <c r="J490" s="1"/>
      <c r="K490" s="1"/>
      <c r="L490" s="1"/>
      <c r="M490" s="331">
        <f>P490</f>
      </c>
      <c r="N490" s="335">
        <f>+IF(O490&lt;N489,O490,N489)</f>
      </c>
      <c r="O490" s="335">
        <f>+(O489-N489)*(1+$E$13)</f>
      </c>
      <c r="P490" s="332">
        <v>485</v>
      </c>
      <c r="Q490" s="1"/>
      <c r="R490" s="331">
        <f>U490</f>
      </c>
      <c r="S490" s="335">
        <f>+IF(T490&lt;S489,T490,S489)</f>
      </c>
      <c r="T490" s="335">
        <f>+(T489-S489)*(1+$E$14)</f>
      </c>
      <c r="U490" s="332">
        <v>485</v>
      </c>
      <c r="V490" s="1"/>
      <c r="W490" s="331">
        <f>Z490</f>
      </c>
      <c r="X490" s="336">
        <f>+IF(Y490&lt;X489,Y490,X489)</f>
      </c>
      <c r="Y490" s="337">
        <f>+(Y489-X489)*(1+$E$15)</f>
      </c>
      <c r="Z490" s="332">
        <v>485</v>
      </c>
      <c r="AA490" s="1"/>
      <c r="AB490" s="331">
        <f>AE490</f>
      </c>
      <c r="AC490" s="336">
        <f>+IF(AD490&lt;AC489,AD490,AC489)</f>
      </c>
      <c r="AD490" s="337">
        <f>+(AD489-AC489)*(1+$E$16)</f>
      </c>
      <c r="AE490" s="332">
        <v>485</v>
      </c>
    </row>
    <row x14ac:dyDescent="0.25" r="491" customHeight="1" ht="18.75">
      <c r="A491" s="1"/>
      <c r="B491" s="1"/>
      <c r="C491" s="169"/>
      <c r="D491" s="169"/>
      <c r="E491" s="168"/>
      <c r="F491" s="169"/>
      <c r="G491" s="170"/>
      <c r="H491" s="1"/>
      <c r="I491" s="1"/>
      <c r="J491" s="1"/>
      <c r="K491" s="1"/>
      <c r="L491" s="1"/>
      <c r="M491" s="331">
        <f>P491</f>
      </c>
      <c r="N491" s="335">
        <f>+IF(O491&lt;N490,O491,N490)</f>
      </c>
      <c r="O491" s="335">
        <f>+(O490-N490)*(1+$E$13)</f>
      </c>
      <c r="P491" s="332">
        <v>486</v>
      </c>
      <c r="Q491" s="1"/>
      <c r="R491" s="331">
        <f>U491</f>
      </c>
      <c r="S491" s="335">
        <f>+IF(T491&lt;S490,T491,S490)</f>
      </c>
      <c r="T491" s="335">
        <f>+(T490-S490)*(1+$E$14)</f>
      </c>
      <c r="U491" s="332">
        <v>486</v>
      </c>
      <c r="V491" s="1"/>
      <c r="W491" s="331">
        <f>Z491</f>
      </c>
      <c r="X491" s="336">
        <f>+IF(Y491&lt;X490,Y491,X490)</f>
      </c>
      <c r="Y491" s="337">
        <f>+(Y490-X490)*(1+$E$15)</f>
      </c>
      <c r="Z491" s="332">
        <v>486</v>
      </c>
      <c r="AA491" s="1"/>
      <c r="AB491" s="331">
        <f>AE491</f>
      </c>
      <c r="AC491" s="336">
        <f>+IF(AD491&lt;AC490,AD491,AC490)</f>
      </c>
      <c r="AD491" s="337">
        <f>+(AD490-AC490)*(1+$E$16)</f>
      </c>
      <c r="AE491" s="332">
        <v>486</v>
      </c>
    </row>
    <row x14ac:dyDescent="0.25" r="492" customHeight="1" ht="18.75">
      <c r="A492" s="1"/>
      <c r="B492" s="1"/>
      <c r="C492" s="169"/>
      <c r="D492" s="169"/>
      <c r="E492" s="168"/>
      <c r="F492" s="169"/>
      <c r="G492" s="170"/>
      <c r="H492" s="1"/>
      <c r="I492" s="1"/>
      <c r="J492" s="1"/>
      <c r="K492" s="1"/>
      <c r="L492" s="1"/>
      <c r="M492" s="331">
        <f>P492</f>
      </c>
      <c r="N492" s="335">
        <f>+IF(O492&lt;N491,O492,N491)</f>
      </c>
      <c r="O492" s="335">
        <f>+(O491-N491)*(1+$E$13)</f>
      </c>
      <c r="P492" s="332">
        <v>487</v>
      </c>
      <c r="Q492" s="1"/>
      <c r="R492" s="331">
        <f>U492</f>
      </c>
      <c r="S492" s="335">
        <f>+IF(T492&lt;S491,T492,S491)</f>
      </c>
      <c r="T492" s="335">
        <f>+(T491-S491)*(1+$E$14)</f>
      </c>
      <c r="U492" s="332">
        <v>487</v>
      </c>
      <c r="V492" s="1"/>
      <c r="W492" s="331">
        <f>Z492</f>
      </c>
      <c r="X492" s="336">
        <f>+IF(Y492&lt;X491,Y492,X491)</f>
      </c>
      <c r="Y492" s="337">
        <f>+(Y491-X491)*(1+$E$15)</f>
      </c>
      <c r="Z492" s="332">
        <v>487</v>
      </c>
      <c r="AA492" s="1"/>
      <c r="AB492" s="331">
        <f>AE492</f>
      </c>
      <c r="AC492" s="336">
        <f>+IF(AD492&lt;AC491,AD492,AC491)</f>
      </c>
      <c r="AD492" s="337">
        <f>+(AD491-AC491)*(1+$E$16)</f>
      </c>
      <c r="AE492" s="332">
        <v>487</v>
      </c>
    </row>
    <row x14ac:dyDescent="0.25" r="493" customHeight="1" ht="18.75">
      <c r="A493" s="1"/>
      <c r="B493" s="1"/>
      <c r="C493" s="169"/>
      <c r="D493" s="169"/>
      <c r="E493" s="168"/>
      <c r="F493" s="169"/>
      <c r="G493" s="170"/>
      <c r="H493" s="1"/>
      <c r="I493" s="1"/>
      <c r="J493" s="1"/>
      <c r="K493" s="1"/>
      <c r="L493" s="1"/>
      <c r="M493" s="331">
        <f>P493</f>
      </c>
      <c r="N493" s="335">
        <f>+IF(O493&lt;N492,O493,N492)</f>
      </c>
      <c r="O493" s="335">
        <f>+(O492-N492)*(1+$E$13)</f>
      </c>
      <c r="P493" s="332">
        <v>488</v>
      </c>
      <c r="Q493" s="1"/>
      <c r="R493" s="331">
        <f>U493</f>
      </c>
      <c r="S493" s="335">
        <f>+IF(T493&lt;S492,T493,S492)</f>
      </c>
      <c r="T493" s="335">
        <f>+(T492-S492)*(1+$E$14)</f>
      </c>
      <c r="U493" s="332">
        <v>488</v>
      </c>
      <c r="V493" s="1"/>
      <c r="W493" s="331">
        <f>Z493</f>
      </c>
      <c r="X493" s="336">
        <f>+IF(Y493&lt;X492,Y493,X492)</f>
      </c>
      <c r="Y493" s="337">
        <f>+(Y492-X492)*(1+$E$15)</f>
      </c>
      <c r="Z493" s="332">
        <v>488</v>
      </c>
      <c r="AA493" s="1"/>
      <c r="AB493" s="331">
        <f>AE493</f>
      </c>
      <c r="AC493" s="336">
        <f>+IF(AD493&lt;AC492,AD493,AC492)</f>
      </c>
      <c r="AD493" s="337">
        <f>+(AD492-AC492)*(1+$E$16)</f>
      </c>
      <c r="AE493" s="332">
        <v>488</v>
      </c>
    </row>
    <row x14ac:dyDescent="0.25" r="494" customHeight="1" ht="18.75">
      <c r="A494" s="1"/>
      <c r="B494" s="1"/>
      <c r="C494" s="169"/>
      <c r="D494" s="169"/>
      <c r="E494" s="168"/>
      <c r="F494" s="169"/>
      <c r="G494" s="170"/>
      <c r="H494" s="1"/>
      <c r="I494" s="1"/>
      <c r="J494" s="1"/>
      <c r="K494" s="1"/>
      <c r="L494" s="1"/>
      <c r="M494" s="331">
        <f>P494</f>
      </c>
      <c r="N494" s="335">
        <f>+IF(O494&lt;N493,O494,N493)</f>
      </c>
      <c r="O494" s="335">
        <f>+(O493-N493)*(1+$E$13)</f>
      </c>
      <c r="P494" s="332">
        <v>489</v>
      </c>
      <c r="Q494" s="1"/>
      <c r="R494" s="331">
        <f>U494</f>
      </c>
      <c r="S494" s="335">
        <f>+IF(T494&lt;S493,T494,S493)</f>
      </c>
      <c r="T494" s="335">
        <f>+(T493-S493)*(1+$E$14)</f>
      </c>
      <c r="U494" s="332">
        <v>489</v>
      </c>
      <c r="V494" s="1"/>
      <c r="W494" s="331">
        <f>Z494</f>
      </c>
      <c r="X494" s="336">
        <f>+IF(Y494&lt;X493,Y494,X493)</f>
      </c>
      <c r="Y494" s="337">
        <f>+(Y493-X493)*(1+$E$15)</f>
      </c>
      <c r="Z494" s="332">
        <v>489</v>
      </c>
      <c r="AA494" s="1"/>
      <c r="AB494" s="331">
        <f>AE494</f>
      </c>
      <c r="AC494" s="336">
        <f>+IF(AD494&lt;AC493,AD494,AC493)</f>
      </c>
      <c r="AD494" s="337">
        <f>+(AD493-AC493)*(1+$E$16)</f>
      </c>
      <c r="AE494" s="332">
        <v>489</v>
      </c>
    </row>
    <row x14ac:dyDescent="0.25" r="495" customHeight="1" ht="18.75">
      <c r="A495" s="1"/>
      <c r="B495" s="1"/>
      <c r="C495" s="169"/>
      <c r="D495" s="169"/>
      <c r="E495" s="168"/>
      <c r="F495" s="169"/>
      <c r="G495" s="170"/>
      <c r="H495" s="1"/>
      <c r="I495" s="1"/>
      <c r="J495" s="1"/>
      <c r="K495" s="1"/>
      <c r="L495" s="1"/>
      <c r="M495" s="331">
        <f>P495</f>
      </c>
      <c r="N495" s="335">
        <f>+IF(O495&lt;N494,O495,N494)</f>
      </c>
      <c r="O495" s="335">
        <f>+(O494-N494)*(1+$E$13)</f>
      </c>
      <c r="P495" s="332">
        <v>490</v>
      </c>
      <c r="Q495" s="1"/>
      <c r="R495" s="331">
        <f>U495</f>
      </c>
      <c r="S495" s="335">
        <f>+IF(T495&lt;S494,T495,S494)</f>
      </c>
      <c r="T495" s="335">
        <f>+(T494-S494)*(1+$E$14)</f>
      </c>
      <c r="U495" s="332">
        <v>490</v>
      </c>
      <c r="V495" s="1"/>
      <c r="W495" s="331">
        <f>Z495</f>
      </c>
      <c r="X495" s="336">
        <f>+IF(Y495&lt;X494,Y495,X494)</f>
      </c>
      <c r="Y495" s="337">
        <f>+(Y494-X494)*(1+$E$15)</f>
      </c>
      <c r="Z495" s="332">
        <v>490</v>
      </c>
      <c r="AA495" s="1"/>
      <c r="AB495" s="331">
        <f>AE495</f>
      </c>
      <c r="AC495" s="336">
        <f>+IF(AD495&lt;AC494,AD495,AC494)</f>
      </c>
      <c r="AD495" s="337">
        <f>+(AD494-AC494)*(1+$E$16)</f>
      </c>
      <c r="AE495" s="332">
        <v>490</v>
      </c>
    </row>
    <row x14ac:dyDescent="0.25" r="496" customHeight="1" ht="18.75">
      <c r="A496" s="1"/>
      <c r="B496" s="1"/>
      <c r="C496" s="169"/>
      <c r="D496" s="169"/>
      <c r="E496" s="168"/>
      <c r="F496" s="169"/>
      <c r="G496" s="170"/>
      <c r="H496" s="1"/>
      <c r="I496" s="1"/>
      <c r="J496" s="1"/>
      <c r="K496" s="1"/>
      <c r="L496" s="1"/>
      <c r="M496" s="331">
        <f>P496</f>
      </c>
      <c r="N496" s="335">
        <f>+IF(O496&lt;N495,O496,N495)</f>
      </c>
      <c r="O496" s="335">
        <f>+(O495-N495)*(1+$E$13)</f>
      </c>
      <c r="P496" s="332">
        <v>491</v>
      </c>
      <c r="Q496" s="1"/>
      <c r="R496" s="331">
        <f>U496</f>
      </c>
      <c r="S496" s="335">
        <f>+IF(T496&lt;S495,T496,S495)</f>
      </c>
      <c r="T496" s="335">
        <f>+(T495-S495)*(1+$E$14)</f>
      </c>
      <c r="U496" s="332">
        <v>491</v>
      </c>
      <c r="V496" s="1"/>
      <c r="W496" s="331">
        <f>Z496</f>
      </c>
      <c r="X496" s="336">
        <f>+IF(Y496&lt;X495,Y496,X495)</f>
      </c>
      <c r="Y496" s="337">
        <f>+(Y495-X495)*(1+$E$15)</f>
      </c>
      <c r="Z496" s="332">
        <v>491</v>
      </c>
      <c r="AA496" s="1"/>
      <c r="AB496" s="331">
        <f>AE496</f>
      </c>
      <c r="AC496" s="336">
        <f>+IF(AD496&lt;AC495,AD496,AC495)</f>
      </c>
      <c r="AD496" s="337">
        <f>+(AD495-AC495)*(1+$E$16)</f>
      </c>
      <c r="AE496" s="332">
        <v>491</v>
      </c>
    </row>
    <row x14ac:dyDescent="0.25" r="497" customHeight="1" ht="18.75">
      <c r="A497" s="1"/>
      <c r="B497" s="1"/>
      <c r="C497" s="169"/>
      <c r="D497" s="169"/>
      <c r="E497" s="168"/>
      <c r="F497" s="169"/>
      <c r="G497" s="170"/>
      <c r="H497" s="1"/>
      <c r="I497" s="1"/>
      <c r="J497" s="1"/>
      <c r="K497" s="1"/>
      <c r="L497" s="1"/>
      <c r="M497" s="331">
        <f>P497</f>
      </c>
      <c r="N497" s="335">
        <f>+IF(O497&lt;N496,O497,N496)</f>
      </c>
      <c r="O497" s="335">
        <f>+(O496-N496)*(1+$E$13)</f>
      </c>
      <c r="P497" s="332">
        <v>492</v>
      </c>
      <c r="Q497" s="1"/>
      <c r="R497" s="331">
        <f>U497</f>
      </c>
      <c r="S497" s="335">
        <f>+IF(T497&lt;S496,T497,S496)</f>
      </c>
      <c r="T497" s="335">
        <f>+(T496-S496)*(1+$E$14)</f>
      </c>
      <c r="U497" s="332">
        <v>492</v>
      </c>
      <c r="V497" s="1"/>
      <c r="W497" s="331">
        <f>Z497</f>
      </c>
      <c r="X497" s="336">
        <f>+IF(Y497&lt;X496,Y497,X496)</f>
      </c>
      <c r="Y497" s="337">
        <f>+(Y496-X496)*(1+$E$15)</f>
      </c>
      <c r="Z497" s="332">
        <v>492</v>
      </c>
      <c r="AA497" s="1"/>
      <c r="AB497" s="331">
        <f>AE497</f>
      </c>
      <c r="AC497" s="336">
        <f>+IF(AD497&lt;AC496,AD497,AC496)</f>
      </c>
      <c r="AD497" s="337">
        <f>+(AD496-AC496)*(1+$E$16)</f>
      </c>
      <c r="AE497" s="332">
        <v>492</v>
      </c>
    </row>
    <row x14ac:dyDescent="0.25" r="498" customHeight="1" ht="18.75">
      <c r="A498" s="1"/>
      <c r="B498" s="1"/>
      <c r="C498" s="169"/>
      <c r="D498" s="169"/>
      <c r="E498" s="168"/>
      <c r="F498" s="169"/>
      <c r="G498" s="170"/>
      <c r="H498" s="1"/>
      <c r="I498" s="1"/>
      <c r="J498" s="1"/>
      <c r="K498" s="1"/>
      <c r="L498" s="1"/>
      <c r="M498" s="331">
        <f>P498</f>
      </c>
      <c r="N498" s="335">
        <f>+IF(O498&lt;N497,O498,N497)</f>
      </c>
      <c r="O498" s="335">
        <f>+(O497-N497)*(1+$E$13)</f>
      </c>
      <c r="P498" s="332">
        <v>493</v>
      </c>
      <c r="Q498" s="1"/>
      <c r="R498" s="331">
        <f>U498</f>
      </c>
      <c r="S498" s="335">
        <f>+IF(T498&lt;S497,T498,S497)</f>
      </c>
      <c r="T498" s="335">
        <f>+(T497-S497)*(1+$E$14)</f>
      </c>
      <c r="U498" s="332">
        <v>493</v>
      </c>
      <c r="V498" s="1"/>
      <c r="W498" s="331">
        <f>Z498</f>
      </c>
      <c r="X498" s="336">
        <f>+IF(Y498&lt;X497,Y498,X497)</f>
      </c>
      <c r="Y498" s="337">
        <f>+(Y497-X497)*(1+$E$15)</f>
      </c>
      <c r="Z498" s="332">
        <v>493</v>
      </c>
      <c r="AA498" s="1"/>
      <c r="AB498" s="331">
        <f>AE498</f>
      </c>
      <c r="AC498" s="336">
        <f>+IF(AD498&lt;AC497,AD498,AC497)</f>
      </c>
      <c r="AD498" s="337">
        <f>+(AD497-AC497)*(1+$E$16)</f>
      </c>
      <c r="AE498" s="332">
        <v>493</v>
      </c>
    </row>
    <row x14ac:dyDescent="0.25" r="499" customHeight="1" ht="18.75">
      <c r="A499" s="1"/>
      <c r="B499" s="1"/>
      <c r="C499" s="169"/>
      <c r="D499" s="169"/>
      <c r="E499" s="168"/>
      <c r="F499" s="169"/>
      <c r="G499" s="170"/>
      <c r="H499" s="1"/>
      <c r="I499" s="1"/>
      <c r="J499" s="1"/>
      <c r="K499" s="1"/>
      <c r="L499" s="1"/>
      <c r="M499" s="331">
        <f>P499</f>
      </c>
      <c r="N499" s="335">
        <f>+IF(O499&lt;N498,O499,N498)</f>
      </c>
      <c r="O499" s="335">
        <f>+(O498-N498)*(1+$E$13)</f>
      </c>
      <c r="P499" s="332">
        <v>494</v>
      </c>
      <c r="Q499" s="1"/>
      <c r="R499" s="331">
        <f>U499</f>
      </c>
      <c r="S499" s="335">
        <f>+IF(T499&lt;S498,T499,S498)</f>
      </c>
      <c r="T499" s="335">
        <f>+(T498-S498)*(1+$E$14)</f>
      </c>
      <c r="U499" s="332">
        <v>494</v>
      </c>
      <c r="V499" s="1"/>
      <c r="W499" s="331">
        <f>Z499</f>
      </c>
      <c r="X499" s="336">
        <f>+IF(Y499&lt;X498,Y499,X498)</f>
      </c>
      <c r="Y499" s="337">
        <f>+(Y498-X498)*(1+$E$15)</f>
      </c>
      <c r="Z499" s="332">
        <v>494</v>
      </c>
      <c r="AA499" s="1"/>
      <c r="AB499" s="331">
        <f>AE499</f>
      </c>
      <c r="AC499" s="336">
        <f>+IF(AD499&lt;AC498,AD499,AC498)</f>
      </c>
      <c r="AD499" s="337">
        <f>+(AD498-AC498)*(1+$E$16)</f>
      </c>
      <c r="AE499" s="332">
        <v>494</v>
      </c>
    </row>
    <row x14ac:dyDescent="0.25" r="500" customHeight="1" ht="18.75">
      <c r="A500" s="1"/>
      <c r="B500" s="1"/>
      <c r="C500" s="169"/>
      <c r="D500" s="169"/>
      <c r="E500" s="168"/>
      <c r="F500" s="169"/>
      <c r="G500" s="170"/>
      <c r="H500" s="1"/>
      <c r="I500" s="1"/>
      <c r="J500" s="1"/>
      <c r="K500" s="1"/>
      <c r="L500" s="1"/>
      <c r="M500" s="331">
        <f>P500</f>
      </c>
      <c r="N500" s="335">
        <f>+IF(O500&lt;N499,O500,N499)</f>
      </c>
      <c r="O500" s="335">
        <f>+(O499-N499)*(1+$E$13)</f>
      </c>
      <c r="P500" s="332">
        <v>495</v>
      </c>
      <c r="Q500" s="1"/>
      <c r="R500" s="331">
        <f>U500</f>
      </c>
      <c r="S500" s="335">
        <f>+IF(T500&lt;S499,T500,S499)</f>
      </c>
      <c r="T500" s="335">
        <f>+(T499-S499)*(1+$E$14)</f>
      </c>
      <c r="U500" s="332">
        <v>495</v>
      </c>
      <c r="V500" s="1"/>
      <c r="W500" s="331">
        <f>Z500</f>
      </c>
      <c r="X500" s="336">
        <f>+IF(Y500&lt;X499,Y500,X499)</f>
      </c>
      <c r="Y500" s="337">
        <f>+(Y499-X499)*(1+$E$15)</f>
      </c>
      <c r="Z500" s="332">
        <v>495</v>
      </c>
      <c r="AA500" s="1"/>
      <c r="AB500" s="331">
        <f>AE500</f>
      </c>
      <c r="AC500" s="336">
        <f>+IF(AD500&lt;AC499,AD500,AC499)</f>
      </c>
      <c r="AD500" s="337">
        <f>+(AD499-AC499)*(1+$E$16)</f>
      </c>
      <c r="AE500" s="332">
        <v>495</v>
      </c>
    </row>
    <row x14ac:dyDescent="0.25" r="501" customHeight="1" ht="18.75">
      <c r="A501" s="1"/>
      <c r="B501" s="1"/>
      <c r="C501" s="169"/>
      <c r="D501" s="169"/>
      <c r="E501" s="168"/>
      <c r="F501" s="169"/>
      <c r="G501" s="170"/>
      <c r="H501" s="1"/>
      <c r="I501" s="1"/>
      <c r="J501" s="1"/>
      <c r="K501" s="1"/>
      <c r="L501" s="1"/>
      <c r="M501" s="331">
        <f>P501</f>
      </c>
      <c r="N501" s="335">
        <f>+IF(O501&lt;N500,O501,N500)</f>
      </c>
      <c r="O501" s="335">
        <f>+(O500-N500)*(1+$E$13)</f>
      </c>
      <c r="P501" s="332">
        <v>496</v>
      </c>
      <c r="Q501" s="1"/>
      <c r="R501" s="331">
        <f>U501</f>
      </c>
      <c r="S501" s="335">
        <f>+IF(T501&lt;S500,T501,S500)</f>
      </c>
      <c r="T501" s="335">
        <f>+(T500-S500)*(1+$E$14)</f>
      </c>
      <c r="U501" s="332">
        <v>496</v>
      </c>
      <c r="V501" s="1"/>
      <c r="W501" s="331">
        <f>Z501</f>
      </c>
      <c r="X501" s="336">
        <f>+IF(Y501&lt;X500,Y501,X500)</f>
      </c>
      <c r="Y501" s="337">
        <f>+(Y500-X500)*(1+$E$15)</f>
      </c>
      <c r="Z501" s="332">
        <v>496</v>
      </c>
      <c r="AA501" s="1"/>
      <c r="AB501" s="331">
        <f>AE501</f>
      </c>
      <c r="AC501" s="336">
        <f>+IF(AD501&lt;AC500,AD501,AC500)</f>
      </c>
      <c r="AD501" s="337">
        <f>+(AD500-AC500)*(1+$E$16)</f>
      </c>
      <c r="AE501" s="332">
        <v>496</v>
      </c>
    </row>
    <row x14ac:dyDescent="0.25" r="502" customHeight="1" ht="18.75">
      <c r="A502" s="1"/>
      <c r="B502" s="1"/>
      <c r="C502" s="169"/>
      <c r="D502" s="169"/>
      <c r="E502" s="168"/>
      <c r="F502" s="169"/>
      <c r="G502" s="170"/>
      <c r="H502" s="1"/>
      <c r="I502" s="1"/>
      <c r="J502" s="1"/>
      <c r="K502" s="1"/>
      <c r="L502" s="1"/>
      <c r="M502" s="331">
        <f>P502</f>
      </c>
      <c r="N502" s="335">
        <f>+IF(O502&lt;N501,O502,N501)</f>
      </c>
      <c r="O502" s="335">
        <f>+(O501-N501)*(1+$E$13)</f>
      </c>
      <c r="P502" s="332">
        <v>497</v>
      </c>
      <c r="Q502" s="1"/>
      <c r="R502" s="331">
        <f>U502</f>
      </c>
      <c r="S502" s="335">
        <f>+IF(T502&lt;S501,T502,S501)</f>
      </c>
      <c r="T502" s="335">
        <f>+(T501-S501)*(1+$E$14)</f>
      </c>
      <c r="U502" s="332">
        <v>497</v>
      </c>
      <c r="V502" s="1"/>
      <c r="W502" s="331">
        <f>Z502</f>
      </c>
      <c r="X502" s="336">
        <f>+IF(Y502&lt;X501,Y502,X501)</f>
      </c>
      <c r="Y502" s="337">
        <f>+(Y501-X501)*(1+$E$15)</f>
      </c>
      <c r="Z502" s="332">
        <v>497</v>
      </c>
      <c r="AA502" s="1"/>
      <c r="AB502" s="331">
        <f>AE502</f>
      </c>
      <c r="AC502" s="336">
        <f>+IF(AD502&lt;AC501,AD502,AC501)</f>
      </c>
      <c r="AD502" s="337">
        <f>+(AD501-AC501)*(1+$E$16)</f>
      </c>
      <c r="AE502" s="332">
        <v>497</v>
      </c>
    </row>
    <row x14ac:dyDescent="0.25" r="503" customHeight="1" ht="18.75">
      <c r="A503" s="1"/>
      <c r="B503" s="1"/>
      <c r="C503" s="169"/>
      <c r="D503" s="169"/>
      <c r="E503" s="168"/>
      <c r="F503" s="169"/>
      <c r="G503" s="170"/>
      <c r="H503" s="1"/>
      <c r="I503" s="1"/>
      <c r="J503" s="1"/>
      <c r="K503" s="1"/>
      <c r="L503" s="1"/>
      <c r="M503" s="331">
        <f>P503</f>
      </c>
      <c r="N503" s="335">
        <f>+IF(O503&lt;N502,O503,N502)</f>
      </c>
      <c r="O503" s="335">
        <f>+(O502-N502)*(1+$E$13)</f>
      </c>
      <c r="P503" s="332">
        <v>498</v>
      </c>
      <c r="Q503" s="1"/>
      <c r="R503" s="331">
        <f>U503</f>
      </c>
      <c r="S503" s="335">
        <f>+IF(T503&lt;S502,T503,S502)</f>
      </c>
      <c r="T503" s="335">
        <f>+(T502-S502)*(1+$E$14)</f>
      </c>
      <c r="U503" s="332">
        <v>498</v>
      </c>
      <c r="V503" s="1"/>
      <c r="W503" s="331">
        <f>Z503</f>
      </c>
      <c r="X503" s="336">
        <f>+IF(Y503&lt;X502,Y503,X502)</f>
      </c>
      <c r="Y503" s="337">
        <f>+(Y502-X502)*(1+$E$15)</f>
      </c>
      <c r="Z503" s="332">
        <v>498</v>
      </c>
      <c r="AA503" s="1"/>
      <c r="AB503" s="331">
        <f>AE503</f>
      </c>
      <c r="AC503" s="336">
        <f>+IF(AD503&lt;AC502,AD503,AC502)</f>
      </c>
      <c r="AD503" s="337">
        <f>+(AD502-AC502)*(1+$E$16)</f>
      </c>
      <c r="AE503" s="332">
        <v>498</v>
      </c>
    </row>
    <row x14ac:dyDescent="0.25" r="504" customHeight="1" ht="18.75">
      <c r="A504" s="1"/>
      <c r="B504" s="1"/>
      <c r="C504" s="169"/>
      <c r="D504" s="169"/>
      <c r="E504" s="168"/>
      <c r="F504" s="169"/>
      <c r="G504" s="170"/>
      <c r="H504" s="1"/>
      <c r="I504" s="1"/>
      <c r="J504" s="1"/>
      <c r="K504" s="1"/>
      <c r="L504" s="1"/>
      <c r="M504" s="331">
        <f>P504</f>
      </c>
      <c r="N504" s="335">
        <f>+IF(O504&lt;N503,O504,N503)</f>
      </c>
      <c r="O504" s="335">
        <f>+(O503-N503)*(1+$E$13)</f>
      </c>
      <c r="P504" s="332">
        <v>499</v>
      </c>
      <c r="Q504" s="1"/>
      <c r="R504" s="331">
        <f>U504</f>
      </c>
      <c r="S504" s="335">
        <f>+IF(T504&lt;S503,T504,S503)</f>
      </c>
      <c r="T504" s="335">
        <f>+(T503-S503)*(1+$E$14)</f>
      </c>
      <c r="U504" s="332">
        <v>499</v>
      </c>
      <c r="V504" s="1"/>
      <c r="W504" s="331">
        <f>Z504</f>
      </c>
      <c r="X504" s="336">
        <f>+IF(Y504&lt;X503,Y504,X503)</f>
      </c>
      <c r="Y504" s="337">
        <f>+(Y503-X503)*(1+$E$15)</f>
      </c>
      <c r="Z504" s="332">
        <v>499</v>
      </c>
      <c r="AA504" s="1"/>
      <c r="AB504" s="331">
        <f>AE504</f>
      </c>
      <c r="AC504" s="336">
        <f>+IF(AD504&lt;AC503,AD504,AC503)</f>
      </c>
      <c r="AD504" s="337">
        <f>+(AD503-AC503)*(1+$E$16)</f>
      </c>
      <c r="AE504" s="332">
        <v>499</v>
      </c>
    </row>
    <row x14ac:dyDescent="0.25" r="505" customHeight="1" ht="18.75">
      <c r="A505" s="1"/>
      <c r="B505" s="1"/>
      <c r="C505" s="169"/>
      <c r="D505" s="169"/>
      <c r="E505" s="168"/>
      <c r="F505" s="169"/>
      <c r="G505" s="170"/>
      <c r="H505" s="1"/>
      <c r="I505" s="1"/>
      <c r="J505" s="1"/>
      <c r="K505" s="1"/>
      <c r="L505" s="1"/>
      <c r="M505" s="331">
        <f>P505</f>
      </c>
      <c r="N505" s="335">
        <f>+IF(O505&lt;N504,O505,N504)</f>
      </c>
      <c r="O505" s="335">
        <f>+(O504-N504)*(1+$E$13)</f>
      </c>
      <c r="P505" s="332">
        <v>500</v>
      </c>
      <c r="Q505" s="1"/>
      <c r="R505" s="331">
        <f>U505</f>
      </c>
      <c r="S505" s="335">
        <f>+IF(T505&lt;S504,T505,S504)</f>
      </c>
      <c r="T505" s="335">
        <f>+(T504-S504)*(1+$E$14)</f>
      </c>
      <c r="U505" s="332">
        <v>500</v>
      </c>
      <c r="V505" s="1"/>
      <c r="W505" s="331">
        <f>Z505</f>
      </c>
      <c r="X505" s="336">
        <f>+IF(Y505&lt;X504,Y505,X504)</f>
      </c>
      <c r="Y505" s="337">
        <f>+(Y504-X504)*(1+$E$15)</f>
      </c>
      <c r="Z505" s="332">
        <v>500</v>
      </c>
      <c r="AA505" s="1"/>
      <c r="AB505" s="331">
        <f>AE505</f>
      </c>
      <c r="AC505" s="336">
        <f>+IF(AD505&lt;AC504,AD505,AC504)</f>
      </c>
      <c r="AD505" s="337">
        <f>+(AD504-AC504)*(1+$E$16)</f>
      </c>
      <c r="AE505" s="332">
        <v>500</v>
      </c>
    </row>
    <row x14ac:dyDescent="0.25" r="506" customHeight="1" ht="18.75">
      <c r="A506" s="1"/>
      <c r="B506" s="1"/>
      <c r="C506" s="169"/>
      <c r="D506" s="169"/>
      <c r="E506" s="168"/>
      <c r="F506" s="169"/>
      <c r="G506" s="170"/>
      <c r="H506" s="1"/>
      <c r="I506" s="1"/>
      <c r="J506" s="1"/>
      <c r="K506" s="1"/>
      <c r="L506" s="1"/>
      <c r="M506" s="331">
        <f>P506</f>
      </c>
      <c r="N506" s="335">
        <f>+IF(O506&lt;N505,O506,N505)</f>
      </c>
      <c r="O506" s="335">
        <f>+(O505-N505)*(1+$E$13)</f>
      </c>
      <c r="P506" s="332">
        <v>501</v>
      </c>
      <c r="Q506" s="1"/>
      <c r="R506" s="331">
        <f>U506</f>
      </c>
      <c r="S506" s="335">
        <f>+IF(T506&lt;S505,T506,S505)</f>
      </c>
      <c r="T506" s="335">
        <f>+(T505-S505)*(1+$E$14)</f>
      </c>
      <c r="U506" s="332">
        <v>501</v>
      </c>
      <c r="V506" s="1"/>
      <c r="W506" s="331">
        <f>Z506</f>
      </c>
      <c r="X506" s="336">
        <f>+IF(Y506&lt;X505,Y506,X505)</f>
      </c>
      <c r="Y506" s="337">
        <f>+(Y505-X505)*(1+$E$15)</f>
      </c>
      <c r="Z506" s="332">
        <v>501</v>
      </c>
      <c r="AA506" s="1"/>
      <c r="AB506" s="331">
        <f>AE506</f>
      </c>
      <c r="AC506" s="336">
        <f>+IF(AD506&lt;AC505,AD506,AC505)</f>
      </c>
      <c r="AD506" s="337">
        <f>+(AD505-AC505)*(1+$E$16)</f>
      </c>
      <c r="AE506" s="332">
        <v>501</v>
      </c>
    </row>
    <row x14ac:dyDescent="0.25" r="507" customHeight="1" ht="18.75">
      <c r="A507" s="1"/>
      <c r="B507" s="1"/>
      <c r="C507" s="169"/>
      <c r="D507" s="169"/>
      <c r="E507" s="168"/>
      <c r="F507" s="169"/>
      <c r="G507" s="170"/>
      <c r="H507" s="1"/>
      <c r="I507" s="1"/>
      <c r="J507" s="1"/>
      <c r="K507" s="1"/>
      <c r="L507" s="1"/>
      <c r="M507" s="331">
        <f>P507</f>
      </c>
      <c r="N507" s="335">
        <f>+IF(O507&lt;N506,O507,N506)</f>
      </c>
      <c r="O507" s="335">
        <f>+(O506-N506)*(1+$E$13)</f>
      </c>
      <c r="P507" s="332">
        <v>502</v>
      </c>
      <c r="Q507" s="1"/>
      <c r="R507" s="331">
        <f>U507</f>
      </c>
      <c r="S507" s="335">
        <f>+IF(T507&lt;S506,T507,S506)</f>
      </c>
      <c r="T507" s="335">
        <f>+(T506-S506)*(1+$E$14)</f>
      </c>
      <c r="U507" s="332">
        <v>502</v>
      </c>
      <c r="V507" s="1"/>
      <c r="W507" s="331">
        <f>Z507</f>
      </c>
      <c r="X507" s="336">
        <f>+IF(Y507&lt;X506,Y507,X506)</f>
      </c>
      <c r="Y507" s="337">
        <f>+(Y506-X506)*(1+$E$15)</f>
      </c>
      <c r="Z507" s="332">
        <v>502</v>
      </c>
      <c r="AA507" s="1"/>
      <c r="AB507" s="331">
        <f>AE507</f>
      </c>
      <c r="AC507" s="336">
        <f>+IF(AD507&lt;AC506,AD507,AC506)</f>
      </c>
      <c r="AD507" s="337">
        <f>+(AD506-AC506)*(1+$E$16)</f>
      </c>
      <c r="AE507" s="332">
        <v>502</v>
      </c>
    </row>
    <row x14ac:dyDescent="0.25" r="508" customHeight="1" ht="18.75">
      <c r="A508" s="1"/>
      <c r="B508" s="1"/>
      <c r="C508" s="169"/>
      <c r="D508" s="169"/>
      <c r="E508" s="168"/>
      <c r="F508" s="169"/>
      <c r="G508" s="170"/>
      <c r="H508" s="1"/>
      <c r="I508" s="1"/>
      <c r="J508" s="1"/>
      <c r="K508" s="1"/>
      <c r="L508" s="1"/>
      <c r="M508" s="331">
        <f>P508</f>
      </c>
      <c r="N508" s="335">
        <f>+IF(O508&lt;N507,O508,N507)</f>
      </c>
      <c r="O508" s="335">
        <f>+(O507-N507)*(1+$E$13)</f>
      </c>
      <c r="P508" s="332">
        <v>503</v>
      </c>
      <c r="Q508" s="1"/>
      <c r="R508" s="331">
        <f>U508</f>
      </c>
      <c r="S508" s="335">
        <f>+IF(T508&lt;S507,T508,S507)</f>
      </c>
      <c r="T508" s="335">
        <f>+(T507-S507)*(1+$E$14)</f>
      </c>
      <c r="U508" s="332">
        <v>503</v>
      </c>
      <c r="V508" s="1"/>
      <c r="W508" s="331">
        <f>Z508</f>
      </c>
      <c r="X508" s="336">
        <f>+IF(Y508&lt;X507,Y508,X507)</f>
      </c>
      <c r="Y508" s="337">
        <f>+(Y507-X507)*(1+$E$15)</f>
      </c>
      <c r="Z508" s="332">
        <v>503</v>
      </c>
      <c r="AA508" s="1"/>
      <c r="AB508" s="331">
        <f>AE508</f>
      </c>
      <c r="AC508" s="336">
        <f>+IF(AD508&lt;AC507,AD508,AC507)</f>
      </c>
      <c r="AD508" s="337">
        <f>+(AD507-AC507)*(1+$E$16)</f>
      </c>
      <c r="AE508" s="332">
        <v>503</v>
      </c>
    </row>
    <row x14ac:dyDescent="0.25" r="509" customHeight="1" ht="18.75">
      <c r="A509" s="1"/>
      <c r="B509" s="1"/>
      <c r="C509" s="169"/>
      <c r="D509" s="169"/>
      <c r="E509" s="168"/>
      <c r="F509" s="169"/>
      <c r="G509" s="170"/>
      <c r="H509" s="1"/>
      <c r="I509" s="1"/>
      <c r="J509" s="1"/>
      <c r="K509" s="1"/>
      <c r="L509" s="1"/>
      <c r="M509" s="331">
        <f>P509</f>
      </c>
      <c r="N509" s="335">
        <f>+IF(O509&lt;N508,O509,N508)</f>
      </c>
      <c r="O509" s="335">
        <f>+(O508-N508)*(1+$E$13)</f>
      </c>
      <c r="P509" s="332">
        <v>504</v>
      </c>
      <c r="Q509" s="1"/>
      <c r="R509" s="331">
        <f>U509</f>
      </c>
      <c r="S509" s="335">
        <f>+IF(T509&lt;S508,T509,S508)</f>
      </c>
      <c r="T509" s="335">
        <f>+(T508-S508)*(1+$E$14)</f>
      </c>
      <c r="U509" s="332">
        <v>504</v>
      </c>
      <c r="V509" s="1"/>
      <c r="W509" s="331">
        <f>Z509</f>
      </c>
      <c r="X509" s="336">
        <f>+IF(Y509&lt;X508,Y509,X508)</f>
      </c>
      <c r="Y509" s="337">
        <f>+(Y508-X508)*(1+$E$15)</f>
      </c>
      <c r="Z509" s="332">
        <v>504</v>
      </c>
      <c r="AA509" s="1"/>
      <c r="AB509" s="331">
        <f>AE509</f>
      </c>
      <c r="AC509" s="336">
        <f>+IF(AD509&lt;AC508,AD509,AC508)</f>
      </c>
      <c r="AD509" s="337">
        <f>+(AD508-AC508)*(1+$E$16)</f>
      </c>
      <c r="AE509" s="332">
        <v>504</v>
      </c>
    </row>
    <row x14ac:dyDescent="0.25" r="510" customHeight="1" ht="18.75">
      <c r="A510" s="1"/>
      <c r="B510" s="1"/>
      <c r="C510" s="169"/>
      <c r="D510" s="169"/>
      <c r="E510" s="168"/>
      <c r="F510" s="169"/>
      <c r="G510" s="170"/>
      <c r="H510" s="1"/>
      <c r="I510" s="1"/>
      <c r="J510" s="1"/>
      <c r="K510" s="1"/>
      <c r="L510" s="1"/>
      <c r="M510" s="331">
        <f>P510</f>
      </c>
      <c r="N510" s="335">
        <f>+IF(O510&lt;N509,O510,N509)</f>
      </c>
      <c r="O510" s="335">
        <f>+(O509-N509)*(1+$E$13)</f>
      </c>
      <c r="P510" s="332">
        <v>505</v>
      </c>
      <c r="Q510" s="1"/>
      <c r="R510" s="331">
        <f>U510</f>
      </c>
      <c r="S510" s="335">
        <f>+IF(T510&lt;S509,T510,S509)</f>
      </c>
      <c r="T510" s="335">
        <f>+(T509-S509)*(1+$E$14)</f>
      </c>
      <c r="U510" s="332">
        <v>505</v>
      </c>
      <c r="V510" s="1"/>
      <c r="W510" s="331">
        <f>Z510</f>
      </c>
      <c r="X510" s="336">
        <f>+IF(Y510&lt;X509,Y510,X509)</f>
      </c>
      <c r="Y510" s="337">
        <f>+(Y509-X509)*(1+$E$15)</f>
      </c>
      <c r="Z510" s="332">
        <v>505</v>
      </c>
      <c r="AA510" s="1"/>
      <c r="AB510" s="331">
        <f>AE510</f>
      </c>
      <c r="AC510" s="336">
        <f>+IF(AD510&lt;AC509,AD510,AC509)</f>
      </c>
      <c r="AD510" s="337">
        <f>+(AD509-AC509)*(1+$E$16)</f>
      </c>
      <c r="AE510" s="332">
        <v>505</v>
      </c>
    </row>
    <row x14ac:dyDescent="0.25" r="511" customHeight="1" ht="18.75">
      <c r="A511" s="1"/>
      <c r="B511" s="1"/>
      <c r="C511" s="169"/>
      <c r="D511" s="169"/>
      <c r="E511" s="168"/>
      <c r="F511" s="169"/>
      <c r="G511" s="170"/>
      <c r="H511" s="1"/>
      <c r="I511" s="1"/>
      <c r="J511" s="1"/>
      <c r="K511" s="1"/>
      <c r="L511" s="1"/>
      <c r="M511" s="331">
        <f>P511</f>
      </c>
      <c r="N511" s="335">
        <f>+IF(O511&lt;N510,O511,N510)</f>
      </c>
      <c r="O511" s="335">
        <f>+(O510-N510)*(1+$E$13)</f>
      </c>
      <c r="P511" s="332">
        <v>506</v>
      </c>
      <c r="Q511" s="1"/>
      <c r="R511" s="331">
        <f>U511</f>
      </c>
      <c r="S511" s="335">
        <f>+IF(T511&lt;S510,T511,S510)</f>
      </c>
      <c r="T511" s="335">
        <f>+(T510-S510)*(1+$E$14)</f>
      </c>
      <c r="U511" s="332">
        <v>506</v>
      </c>
      <c r="V511" s="1"/>
      <c r="W511" s="331">
        <f>Z511</f>
      </c>
      <c r="X511" s="336">
        <f>+IF(Y511&lt;X510,Y511,X510)</f>
      </c>
      <c r="Y511" s="337">
        <f>+(Y510-X510)*(1+$E$15)</f>
      </c>
      <c r="Z511" s="332">
        <v>506</v>
      </c>
      <c r="AA511" s="1"/>
      <c r="AB511" s="331">
        <f>AE511</f>
      </c>
      <c r="AC511" s="336">
        <f>+IF(AD511&lt;AC510,AD511,AC510)</f>
      </c>
      <c r="AD511" s="337">
        <f>+(AD510-AC510)*(1+$E$16)</f>
      </c>
      <c r="AE511" s="332">
        <v>506</v>
      </c>
    </row>
    <row x14ac:dyDescent="0.25" r="512" customHeight="1" ht="18.75">
      <c r="A512" s="1"/>
      <c r="B512" s="1"/>
      <c r="C512" s="169"/>
      <c r="D512" s="169"/>
      <c r="E512" s="168"/>
      <c r="F512" s="169"/>
      <c r="G512" s="170"/>
      <c r="H512" s="1"/>
      <c r="I512" s="1"/>
      <c r="J512" s="1"/>
      <c r="K512" s="1"/>
      <c r="L512" s="1"/>
      <c r="M512" s="331">
        <f>P512</f>
      </c>
      <c r="N512" s="335">
        <f>+IF(O512&lt;N511,O512,N511)</f>
      </c>
      <c r="O512" s="335">
        <f>+(O511-N511)*(1+$E$13)</f>
      </c>
      <c r="P512" s="332">
        <v>507</v>
      </c>
      <c r="Q512" s="1"/>
      <c r="R512" s="331">
        <f>U512</f>
      </c>
      <c r="S512" s="335">
        <f>+IF(T512&lt;S511,T512,S511)</f>
      </c>
      <c r="T512" s="335">
        <f>+(T511-S511)*(1+$E$14)</f>
      </c>
      <c r="U512" s="332">
        <v>507</v>
      </c>
      <c r="V512" s="1"/>
      <c r="W512" s="331">
        <f>Z512</f>
      </c>
      <c r="X512" s="336">
        <f>+IF(Y512&lt;X511,Y512,X511)</f>
      </c>
      <c r="Y512" s="337">
        <f>+(Y511-X511)*(1+$E$15)</f>
      </c>
      <c r="Z512" s="332">
        <v>507</v>
      </c>
      <c r="AA512" s="1"/>
      <c r="AB512" s="331">
        <f>AE512</f>
      </c>
      <c r="AC512" s="336">
        <f>+IF(AD512&lt;AC511,AD512,AC511)</f>
      </c>
      <c r="AD512" s="337">
        <f>+(AD511-AC511)*(1+$E$16)</f>
      </c>
      <c r="AE512" s="332">
        <v>507</v>
      </c>
    </row>
    <row x14ac:dyDescent="0.25" r="513" customHeight="1" ht="18.75">
      <c r="A513" s="1"/>
      <c r="B513" s="1"/>
      <c r="C513" s="169"/>
      <c r="D513" s="169"/>
      <c r="E513" s="168"/>
      <c r="F513" s="169"/>
      <c r="G513" s="170"/>
      <c r="H513" s="1"/>
      <c r="I513" s="1"/>
      <c r="J513" s="1"/>
      <c r="K513" s="1"/>
      <c r="L513" s="1"/>
      <c r="M513" s="331">
        <f>P513</f>
      </c>
      <c r="N513" s="335">
        <f>+IF(O513&lt;N512,O513,N512)</f>
      </c>
      <c r="O513" s="335">
        <f>+(O512-N512)*(1+$E$13)</f>
      </c>
      <c r="P513" s="332">
        <v>508</v>
      </c>
      <c r="Q513" s="1"/>
      <c r="R513" s="331">
        <f>U513</f>
      </c>
      <c r="S513" s="335">
        <f>+IF(T513&lt;S512,T513,S512)</f>
      </c>
      <c r="T513" s="335">
        <f>+(T512-S512)*(1+$E$14)</f>
      </c>
      <c r="U513" s="332">
        <v>508</v>
      </c>
      <c r="V513" s="1"/>
      <c r="W513" s="331">
        <f>Z513</f>
      </c>
      <c r="X513" s="336">
        <f>+IF(Y513&lt;X512,Y513,X512)</f>
      </c>
      <c r="Y513" s="337">
        <f>+(Y512-X512)*(1+$E$15)</f>
      </c>
      <c r="Z513" s="332">
        <v>508</v>
      </c>
      <c r="AA513" s="1"/>
      <c r="AB513" s="331">
        <f>AE513</f>
      </c>
      <c r="AC513" s="336">
        <f>+IF(AD513&lt;AC512,AD513,AC512)</f>
      </c>
      <c r="AD513" s="337">
        <f>+(AD512-AC512)*(1+$E$16)</f>
      </c>
      <c r="AE513" s="332">
        <v>508</v>
      </c>
    </row>
    <row x14ac:dyDescent="0.25" r="514" customHeight="1" ht="18.75">
      <c r="A514" s="1"/>
      <c r="B514" s="1"/>
      <c r="C514" s="169"/>
      <c r="D514" s="169"/>
      <c r="E514" s="168"/>
      <c r="F514" s="169"/>
      <c r="G514" s="170"/>
      <c r="H514" s="1"/>
      <c r="I514" s="1"/>
      <c r="J514" s="1"/>
      <c r="K514" s="1"/>
      <c r="L514" s="1"/>
      <c r="M514" s="331">
        <f>P514</f>
      </c>
      <c r="N514" s="335">
        <f>+IF(O514&lt;N513,O514,N513)</f>
      </c>
      <c r="O514" s="335">
        <f>+(O513-N513)*(1+$E$13)</f>
      </c>
      <c r="P514" s="332">
        <v>509</v>
      </c>
      <c r="Q514" s="1"/>
      <c r="R514" s="331">
        <f>U514</f>
      </c>
      <c r="S514" s="335">
        <f>+IF(T514&lt;S513,T514,S513)</f>
      </c>
      <c r="T514" s="335">
        <f>+(T513-S513)*(1+$E$14)</f>
      </c>
      <c r="U514" s="332">
        <v>509</v>
      </c>
      <c r="V514" s="1"/>
      <c r="W514" s="331">
        <f>Z514</f>
      </c>
      <c r="X514" s="336">
        <f>+IF(Y514&lt;X513,Y514,X513)</f>
      </c>
      <c r="Y514" s="337">
        <f>+(Y513-X513)*(1+$E$15)</f>
      </c>
      <c r="Z514" s="332">
        <v>509</v>
      </c>
      <c r="AA514" s="1"/>
      <c r="AB514" s="331">
        <f>AE514</f>
      </c>
      <c r="AC514" s="336">
        <f>+IF(AD514&lt;AC513,AD514,AC513)</f>
      </c>
      <c r="AD514" s="337">
        <f>+(AD513-AC513)*(1+$E$16)</f>
      </c>
      <c r="AE514" s="332">
        <v>509</v>
      </c>
    </row>
    <row x14ac:dyDescent="0.25" r="515" customHeight="1" ht="18.75">
      <c r="A515" s="1"/>
      <c r="B515" s="1"/>
      <c r="C515" s="169"/>
      <c r="D515" s="169"/>
      <c r="E515" s="168"/>
      <c r="F515" s="169"/>
      <c r="G515" s="170"/>
      <c r="H515" s="1"/>
      <c r="I515" s="1"/>
      <c r="J515" s="1"/>
      <c r="K515" s="1"/>
      <c r="L515" s="1"/>
      <c r="M515" s="331">
        <f>P515</f>
      </c>
      <c r="N515" s="335">
        <f>+IF(O515&lt;N514,O515,N514)</f>
      </c>
      <c r="O515" s="335">
        <f>+(O514-N514)*(1+$E$13)</f>
      </c>
      <c r="P515" s="332">
        <v>510</v>
      </c>
      <c r="Q515" s="1"/>
      <c r="R515" s="331">
        <f>U515</f>
      </c>
      <c r="S515" s="335">
        <f>+IF(T515&lt;S514,T515,S514)</f>
      </c>
      <c r="T515" s="335">
        <f>+(T514-S514)*(1+$E$14)</f>
      </c>
      <c r="U515" s="332">
        <v>510</v>
      </c>
      <c r="V515" s="1"/>
      <c r="W515" s="331">
        <f>Z515</f>
      </c>
      <c r="X515" s="336">
        <f>+IF(Y515&lt;X514,Y515,X514)</f>
      </c>
      <c r="Y515" s="337">
        <f>+(Y514-X514)*(1+$E$15)</f>
      </c>
      <c r="Z515" s="332">
        <v>510</v>
      </c>
      <c r="AA515" s="1"/>
      <c r="AB515" s="331">
        <f>AE515</f>
      </c>
      <c r="AC515" s="336">
        <f>+IF(AD515&lt;AC514,AD515,AC514)</f>
      </c>
      <c r="AD515" s="337">
        <f>+(AD514-AC514)*(1+$E$16)</f>
      </c>
      <c r="AE515" s="332">
        <v>510</v>
      </c>
    </row>
    <row x14ac:dyDescent="0.25" r="516" customHeight="1" ht="18.75">
      <c r="A516" s="1"/>
      <c r="B516" s="1"/>
      <c r="C516" s="169"/>
      <c r="D516" s="169"/>
      <c r="E516" s="168"/>
      <c r="F516" s="169"/>
      <c r="G516" s="170"/>
      <c r="H516" s="1"/>
      <c r="I516" s="1"/>
      <c r="J516" s="1"/>
      <c r="K516" s="1"/>
      <c r="L516" s="1"/>
      <c r="M516" s="331">
        <f>P516</f>
      </c>
      <c r="N516" s="335">
        <f>+IF(O516&lt;N515,O516,N515)</f>
      </c>
      <c r="O516" s="335">
        <f>+(O515-N515)*(1+$E$13)</f>
      </c>
      <c r="P516" s="332">
        <v>511</v>
      </c>
      <c r="Q516" s="1"/>
      <c r="R516" s="331">
        <f>U516</f>
      </c>
      <c r="S516" s="335">
        <f>+IF(T516&lt;S515,T516,S515)</f>
      </c>
      <c r="T516" s="335">
        <f>+(T515-S515)*(1+$E$14)</f>
      </c>
      <c r="U516" s="332">
        <v>511</v>
      </c>
      <c r="V516" s="1"/>
      <c r="W516" s="331">
        <f>Z516</f>
      </c>
      <c r="X516" s="336">
        <f>+IF(Y516&lt;X515,Y516,X515)</f>
      </c>
      <c r="Y516" s="337">
        <f>+(Y515-X515)*(1+$E$15)</f>
      </c>
      <c r="Z516" s="332">
        <v>511</v>
      </c>
      <c r="AA516" s="1"/>
      <c r="AB516" s="331">
        <f>AE516</f>
      </c>
      <c r="AC516" s="336">
        <f>+IF(AD516&lt;AC515,AD516,AC515)</f>
      </c>
      <c r="AD516" s="337">
        <f>+(AD515-AC515)*(1+$E$16)</f>
      </c>
      <c r="AE516" s="332">
        <v>511</v>
      </c>
    </row>
    <row x14ac:dyDescent="0.25" r="517" customHeight="1" ht="18.75">
      <c r="A517" s="1"/>
      <c r="B517" s="1"/>
      <c r="C517" s="169"/>
      <c r="D517" s="169"/>
      <c r="E517" s="168"/>
      <c r="F517" s="169"/>
      <c r="G517" s="170"/>
      <c r="H517" s="1"/>
      <c r="I517" s="1"/>
      <c r="J517" s="1"/>
      <c r="K517" s="1"/>
      <c r="L517" s="1"/>
      <c r="M517" s="331">
        <f>P517</f>
      </c>
      <c r="N517" s="335">
        <f>+IF(O517&lt;N516,O517,N516)</f>
      </c>
      <c r="O517" s="335">
        <f>+(O516-N516)*(1+$E$13)</f>
      </c>
      <c r="P517" s="332">
        <v>512</v>
      </c>
      <c r="Q517" s="1"/>
      <c r="R517" s="331">
        <f>U517</f>
      </c>
      <c r="S517" s="335">
        <f>+IF(T517&lt;S516,T517,S516)</f>
      </c>
      <c r="T517" s="335">
        <f>+(T516-S516)*(1+$E$14)</f>
      </c>
      <c r="U517" s="332">
        <v>512</v>
      </c>
      <c r="V517" s="1"/>
      <c r="W517" s="331">
        <f>Z517</f>
      </c>
      <c r="X517" s="336">
        <f>+IF(Y517&lt;X516,Y517,X516)</f>
      </c>
      <c r="Y517" s="337">
        <f>+(Y516-X516)*(1+$E$15)</f>
      </c>
      <c r="Z517" s="332">
        <v>512</v>
      </c>
      <c r="AA517" s="1"/>
      <c r="AB517" s="331">
        <f>AE517</f>
      </c>
      <c r="AC517" s="336">
        <f>+IF(AD517&lt;AC516,AD517,AC516)</f>
      </c>
      <c r="AD517" s="337">
        <f>+(AD516-AC516)*(1+$E$16)</f>
      </c>
      <c r="AE517" s="332">
        <v>512</v>
      </c>
    </row>
    <row x14ac:dyDescent="0.25" r="518" customHeight="1" ht="18.75">
      <c r="A518" s="1"/>
      <c r="B518" s="1"/>
      <c r="C518" s="169"/>
      <c r="D518" s="169"/>
      <c r="E518" s="168"/>
      <c r="F518" s="169"/>
      <c r="G518" s="170"/>
      <c r="H518" s="1"/>
      <c r="I518" s="1"/>
      <c r="J518" s="1"/>
      <c r="K518" s="1"/>
      <c r="L518" s="1"/>
      <c r="M518" s="331">
        <f>P518</f>
      </c>
      <c r="N518" s="335">
        <f>+IF(O518&lt;N517,O518,N517)</f>
      </c>
      <c r="O518" s="335">
        <f>+(O517-N517)*(1+$E$13)</f>
      </c>
      <c r="P518" s="332">
        <v>513</v>
      </c>
      <c r="Q518" s="1"/>
      <c r="R518" s="331">
        <f>U518</f>
      </c>
      <c r="S518" s="335">
        <f>+IF(T518&lt;S517,T518,S517)</f>
      </c>
      <c r="T518" s="335">
        <f>+(T517-S517)*(1+$E$14)</f>
      </c>
      <c r="U518" s="332">
        <v>513</v>
      </c>
      <c r="V518" s="1"/>
      <c r="W518" s="331">
        <f>Z518</f>
      </c>
      <c r="X518" s="336">
        <f>+IF(Y518&lt;X517,Y518,X517)</f>
      </c>
      <c r="Y518" s="337">
        <f>+(Y517-X517)*(1+$E$15)</f>
      </c>
      <c r="Z518" s="332">
        <v>513</v>
      </c>
      <c r="AA518" s="1"/>
      <c r="AB518" s="331">
        <f>AE518</f>
      </c>
      <c r="AC518" s="336">
        <f>+IF(AD518&lt;AC517,AD518,AC517)</f>
      </c>
      <c r="AD518" s="337">
        <f>+(AD517-AC517)*(1+$E$16)</f>
      </c>
      <c r="AE518" s="332">
        <v>513</v>
      </c>
    </row>
    <row x14ac:dyDescent="0.25" r="519" customHeight="1" ht="18.75">
      <c r="A519" s="1"/>
      <c r="B519" s="1"/>
      <c r="C519" s="169"/>
      <c r="D519" s="169"/>
      <c r="E519" s="168"/>
      <c r="F519" s="169"/>
      <c r="G519" s="170"/>
      <c r="H519" s="1"/>
      <c r="I519" s="1"/>
      <c r="J519" s="1"/>
      <c r="K519" s="1"/>
      <c r="L519" s="1"/>
      <c r="M519" s="331">
        <f>P519</f>
      </c>
      <c r="N519" s="335">
        <f>+IF(O519&lt;N518,O519,N518)</f>
      </c>
      <c r="O519" s="335">
        <f>+(O518-N518)*(1+$E$13)</f>
      </c>
      <c r="P519" s="332">
        <v>514</v>
      </c>
      <c r="Q519" s="1"/>
      <c r="R519" s="331">
        <f>U519</f>
      </c>
      <c r="S519" s="335">
        <f>+IF(T519&lt;S518,T519,S518)</f>
      </c>
      <c r="T519" s="335">
        <f>+(T518-S518)*(1+$E$14)</f>
      </c>
      <c r="U519" s="332">
        <v>514</v>
      </c>
      <c r="V519" s="1"/>
      <c r="W519" s="331">
        <f>Z519</f>
      </c>
      <c r="X519" s="336">
        <f>+IF(Y519&lt;X518,Y519,X518)</f>
      </c>
      <c r="Y519" s="337">
        <f>+(Y518-X518)*(1+$E$15)</f>
      </c>
      <c r="Z519" s="332">
        <v>514</v>
      </c>
      <c r="AA519" s="1"/>
      <c r="AB519" s="331">
        <f>AE519</f>
      </c>
      <c r="AC519" s="336">
        <f>+IF(AD519&lt;AC518,AD519,AC518)</f>
      </c>
      <c r="AD519" s="337">
        <f>+(AD518-AC518)*(1+$E$16)</f>
      </c>
      <c r="AE519" s="332">
        <v>514</v>
      </c>
    </row>
    <row x14ac:dyDescent="0.25" r="520" customHeight="1" ht="18.75">
      <c r="A520" s="1"/>
      <c r="B520" s="1"/>
      <c r="C520" s="169"/>
      <c r="D520" s="169"/>
      <c r="E520" s="168"/>
      <c r="F520" s="169"/>
      <c r="G520" s="170"/>
      <c r="H520" s="1"/>
      <c r="I520" s="1"/>
      <c r="J520" s="1"/>
      <c r="K520" s="1"/>
      <c r="L520" s="1"/>
      <c r="M520" s="331">
        <f>P520</f>
      </c>
      <c r="N520" s="335">
        <f>+IF(O520&lt;N519,O520,N519)</f>
      </c>
      <c r="O520" s="335">
        <f>+(O519-N519)*(1+$E$13)</f>
      </c>
      <c r="P520" s="332">
        <v>515</v>
      </c>
      <c r="Q520" s="1"/>
      <c r="R520" s="331">
        <f>U520</f>
      </c>
      <c r="S520" s="335">
        <f>+IF(T520&lt;S519,T520,S519)</f>
      </c>
      <c r="T520" s="335">
        <f>+(T519-S519)*(1+$E$14)</f>
      </c>
      <c r="U520" s="332">
        <v>515</v>
      </c>
      <c r="V520" s="1"/>
      <c r="W520" s="331">
        <f>Z520</f>
      </c>
      <c r="X520" s="336">
        <f>+IF(Y520&lt;X519,Y520,X519)</f>
      </c>
      <c r="Y520" s="337">
        <f>+(Y519-X519)*(1+$E$15)</f>
      </c>
      <c r="Z520" s="332">
        <v>515</v>
      </c>
      <c r="AA520" s="1"/>
      <c r="AB520" s="331">
        <f>AE520</f>
      </c>
      <c r="AC520" s="336">
        <f>+IF(AD520&lt;AC519,AD520,AC519)</f>
      </c>
      <c r="AD520" s="337">
        <f>+(AD519-AC519)*(1+$E$16)</f>
      </c>
      <c r="AE520" s="332">
        <v>515</v>
      </c>
    </row>
    <row x14ac:dyDescent="0.25" r="521" customHeight="1" ht="18.75">
      <c r="A521" s="1"/>
      <c r="B521" s="1"/>
      <c r="C521" s="169"/>
      <c r="D521" s="169"/>
      <c r="E521" s="168"/>
      <c r="F521" s="169"/>
      <c r="G521" s="170"/>
      <c r="H521" s="1"/>
      <c r="I521" s="1"/>
      <c r="J521" s="1"/>
      <c r="K521" s="1"/>
      <c r="L521" s="1"/>
      <c r="M521" s="331">
        <f>P521</f>
      </c>
      <c r="N521" s="335">
        <f>+IF(O521&lt;N520,O521,N520)</f>
      </c>
      <c r="O521" s="335">
        <f>+(O520-N520)*(1+$E$13)</f>
      </c>
      <c r="P521" s="332">
        <v>516</v>
      </c>
      <c r="Q521" s="1"/>
      <c r="R521" s="331">
        <f>U521</f>
      </c>
      <c r="S521" s="335">
        <f>+IF(T521&lt;S520,T521,S520)</f>
      </c>
      <c r="T521" s="335">
        <f>+(T520-S520)*(1+$E$14)</f>
      </c>
      <c r="U521" s="332">
        <v>516</v>
      </c>
      <c r="V521" s="1"/>
      <c r="W521" s="331">
        <f>Z521</f>
      </c>
      <c r="X521" s="336">
        <f>+IF(Y521&lt;X520,Y521,X520)</f>
      </c>
      <c r="Y521" s="337">
        <f>+(Y520-X520)*(1+$E$15)</f>
      </c>
      <c r="Z521" s="332">
        <v>516</v>
      </c>
      <c r="AA521" s="1"/>
      <c r="AB521" s="331">
        <f>AE521</f>
      </c>
      <c r="AC521" s="336">
        <f>+IF(AD521&lt;AC520,AD521,AC520)</f>
      </c>
      <c r="AD521" s="337">
        <f>+(AD520-AC520)*(1+$E$16)</f>
      </c>
      <c r="AE521" s="332">
        <v>516</v>
      </c>
    </row>
    <row x14ac:dyDescent="0.25" r="522" customHeight="1" ht="18.75">
      <c r="A522" s="1"/>
      <c r="B522" s="1"/>
      <c r="C522" s="169"/>
      <c r="D522" s="169"/>
      <c r="E522" s="168"/>
      <c r="F522" s="169"/>
      <c r="G522" s="170"/>
      <c r="H522" s="1"/>
      <c r="I522" s="1"/>
      <c r="J522" s="1"/>
      <c r="K522" s="1"/>
      <c r="L522" s="1"/>
      <c r="M522" s="331">
        <f>P522</f>
      </c>
      <c r="N522" s="335">
        <f>+IF(O522&lt;N521,O522,N521)</f>
      </c>
      <c r="O522" s="335">
        <f>+(O521-N521)*(1+$E$13)</f>
      </c>
      <c r="P522" s="332">
        <v>517</v>
      </c>
      <c r="Q522" s="1"/>
      <c r="R522" s="331">
        <f>U522</f>
      </c>
      <c r="S522" s="335">
        <f>+IF(T522&lt;S521,T522,S521)</f>
      </c>
      <c r="T522" s="335">
        <f>+(T521-S521)*(1+$E$14)</f>
      </c>
      <c r="U522" s="332">
        <v>517</v>
      </c>
      <c r="V522" s="1"/>
      <c r="W522" s="331">
        <f>Z522</f>
      </c>
      <c r="X522" s="336">
        <f>+IF(Y522&lt;X521,Y522,X521)</f>
      </c>
      <c r="Y522" s="337">
        <f>+(Y521-X521)*(1+$E$15)</f>
      </c>
      <c r="Z522" s="332">
        <v>517</v>
      </c>
      <c r="AA522" s="1"/>
      <c r="AB522" s="331">
        <f>AE522</f>
      </c>
      <c r="AC522" s="336">
        <f>+IF(AD522&lt;AC521,AD522,AC521)</f>
      </c>
      <c r="AD522" s="337">
        <f>+(AD521-AC521)*(1+$E$16)</f>
      </c>
      <c r="AE522" s="332">
        <v>517</v>
      </c>
    </row>
    <row x14ac:dyDescent="0.25" r="523" customHeight="1" ht="18.75">
      <c r="A523" s="1"/>
      <c r="B523" s="1"/>
      <c r="C523" s="169"/>
      <c r="D523" s="169"/>
      <c r="E523" s="168"/>
      <c r="F523" s="169"/>
      <c r="G523" s="170"/>
      <c r="H523" s="1"/>
      <c r="I523" s="1"/>
      <c r="J523" s="1"/>
      <c r="K523" s="1"/>
      <c r="L523" s="1"/>
      <c r="M523" s="331">
        <f>P523</f>
      </c>
      <c r="N523" s="335">
        <f>+IF(O523&lt;N522,O523,N522)</f>
      </c>
      <c r="O523" s="335">
        <f>+(O522-N522)*(1+$E$13)</f>
      </c>
      <c r="P523" s="332">
        <v>518</v>
      </c>
      <c r="Q523" s="1"/>
      <c r="R523" s="331">
        <f>U523</f>
      </c>
      <c r="S523" s="335">
        <f>+IF(T523&lt;S522,T523,S522)</f>
      </c>
      <c r="T523" s="335">
        <f>+(T522-S522)*(1+$E$14)</f>
      </c>
      <c r="U523" s="332">
        <v>518</v>
      </c>
      <c r="V523" s="1"/>
      <c r="W523" s="331">
        <f>Z523</f>
      </c>
      <c r="X523" s="336">
        <f>+IF(Y523&lt;X522,Y523,X522)</f>
      </c>
      <c r="Y523" s="337">
        <f>+(Y522-X522)*(1+$E$15)</f>
      </c>
      <c r="Z523" s="332">
        <v>518</v>
      </c>
      <c r="AA523" s="1"/>
      <c r="AB523" s="331">
        <f>AE523</f>
      </c>
      <c r="AC523" s="336">
        <f>+IF(AD523&lt;AC522,AD523,AC522)</f>
      </c>
      <c r="AD523" s="337">
        <f>+(AD522-AC522)*(1+$E$16)</f>
      </c>
      <c r="AE523" s="332">
        <v>518</v>
      </c>
    </row>
    <row x14ac:dyDescent="0.25" r="524" customHeight="1" ht="18.75">
      <c r="A524" s="1"/>
      <c r="B524" s="1"/>
      <c r="C524" s="169"/>
      <c r="D524" s="169"/>
      <c r="E524" s="168"/>
      <c r="F524" s="169"/>
      <c r="G524" s="170"/>
      <c r="H524" s="1"/>
      <c r="I524" s="1"/>
      <c r="J524" s="1"/>
      <c r="K524" s="1"/>
      <c r="L524" s="1"/>
      <c r="M524" s="331">
        <f>P524</f>
      </c>
      <c r="N524" s="335">
        <f>+IF(O524&lt;N523,O524,N523)</f>
      </c>
      <c r="O524" s="335">
        <f>+(O523-N523)*(1+$E$13)</f>
      </c>
      <c r="P524" s="332">
        <v>519</v>
      </c>
      <c r="Q524" s="1"/>
      <c r="R524" s="331">
        <f>U524</f>
      </c>
      <c r="S524" s="335">
        <f>+IF(T524&lt;S523,T524,S523)</f>
      </c>
      <c r="T524" s="335">
        <f>+(T523-S523)*(1+$E$14)</f>
      </c>
      <c r="U524" s="332">
        <v>519</v>
      </c>
      <c r="V524" s="1"/>
      <c r="W524" s="331">
        <f>Z524</f>
      </c>
      <c r="X524" s="336">
        <f>+IF(Y524&lt;X523,Y524,X523)</f>
      </c>
      <c r="Y524" s="337">
        <f>+(Y523-X523)*(1+$E$15)</f>
      </c>
      <c r="Z524" s="332">
        <v>519</v>
      </c>
      <c r="AA524" s="1"/>
      <c r="AB524" s="331">
        <f>AE524</f>
      </c>
      <c r="AC524" s="336">
        <f>+IF(AD524&lt;AC523,AD524,AC523)</f>
      </c>
      <c r="AD524" s="337">
        <f>+(AD523-AC523)*(1+$E$16)</f>
      </c>
      <c r="AE524" s="332">
        <v>519</v>
      </c>
    </row>
    <row x14ac:dyDescent="0.25" r="525" customHeight="1" ht="18.75">
      <c r="A525" s="1"/>
      <c r="B525" s="1"/>
      <c r="C525" s="169"/>
      <c r="D525" s="169"/>
      <c r="E525" s="168"/>
      <c r="F525" s="169"/>
      <c r="G525" s="170"/>
      <c r="H525" s="1"/>
      <c r="I525" s="1"/>
      <c r="J525" s="1"/>
      <c r="K525" s="1"/>
      <c r="L525" s="1"/>
      <c r="M525" s="331">
        <f>P525</f>
      </c>
      <c r="N525" s="335">
        <f>+IF(O525&lt;N524,O525,N524)</f>
      </c>
      <c r="O525" s="335">
        <f>+(O524-N524)*(1+$E$13)</f>
      </c>
      <c r="P525" s="332">
        <v>520</v>
      </c>
      <c r="Q525" s="1"/>
      <c r="R525" s="331">
        <f>U525</f>
      </c>
      <c r="S525" s="335">
        <f>+IF(T525&lt;S524,T525,S524)</f>
      </c>
      <c r="T525" s="335">
        <f>+(T524-S524)*(1+$E$14)</f>
      </c>
      <c r="U525" s="332">
        <v>520</v>
      </c>
      <c r="V525" s="1"/>
      <c r="W525" s="331">
        <f>Z525</f>
      </c>
      <c r="X525" s="336">
        <f>+IF(Y525&lt;X524,Y525,X524)</f>
      </c>
      <c r="Y525" s="337">
        <f>+(Y524-X524)*(1+$E$15)</f>
      </c>
      <c r="Z525" s="332">
        <v>520</v>
      </c>
      <c r="AA525" s="1"/>
      <c r="AB525" s="331">
        <f>AE525</f>
      </c>
      <c r="AC525" s="336">
        <f>+IF(AD525&lt;AC524,AD525,AC524)</f>
      </c>
      <c r="AD525" s="337">
        <f>+(AD524-AC524)*(1+$E$16)</f>
      </c>
      <c r="AE525" s="332">
        <v>520</v>
      </c>
    </row>
    <row x14ac:dyDescent="0.25" r="526" customHeight="1" ht="18.75">
      <c r="A526" s="1"/>
      <c r="B526" s="1"/>
      <c r="C526" s="169"/>
      <c r="D526" s="169"/>
      <c r="E526" s="168"/>
      <c r="F526" s="169"/>
      <c r="G526" s="170"/>
      <c r="H526" s="1"/>
      <c r="I526" s="1"/>
      <c r="J526" s="1"/>
      <c r="K526" s="1"/>
      <c r="L526" s="1"/>
      <c r="M526" s="331">
        <f>P526</f>
      </c>
      <c r="N526" s="335">
        <f>+IF(O526&lt;N525,O526,N525)</f>
      </c>
      <c r="O526" s="335">
        <f>+(O525-N525)*(1+$E$13)</f>
      </c>
      <c r="P526" s="332">
        <v>521</v>
      </c>
      <c r="Q526" s="1"/>
      <c r="R526" s="331">
        <f>U526</f>
      </c>
      <c r="S526" s="335">
        <f>+IF(T526&lt;S525,T526,S525)</f>
      </c>
      <c r="T526" s="335">
        <f>+(T525-S525)*(1+$E$14)</f>
      </c>
      <c r="U526" s="332">
        <v>521</v>
      </c>
      <c r="V526" s="1"/>
      <c r="W526" s="331">
        <f>Z526</f>
      </c>
      <c r="X526" s="336">
        <f>+IF(Y526&lt;X525,Y526,X525)</f>
      </c>
      <c r="Y526" s="337">
        <f>+(Y525-X525)*(1+$E$15)</f>
      </c>
      <c r="Z526" s="332">
        <v>521</v>
      </c>
      <c r="AA526" s="1"/>
      <c r="AB526" s="331">
        <f>AE526</f>
      </c>
      <c r="AC526" s="336">
        <f>+IF(AD526&lt;AC525,AD526,AC525)</f>
      </c>
      <c r="AD526" s="337">
        <f>+(AD525-AC525)*(1+$E$16)</f>
      </c>
      <c r="AE526" s="332">
        <v>521</v>
      </c>
    </row>
    <row x14ac:dyDescent="0.25" r="527" customHeight="1" ht="18.75">
      <c r="A527" s="1"/>
      <c r="B527" s="1"/>
      <c r="C527" s="169"/>
      <c r="D527" s="169"/>
      <c r="E527" s="168"/>
      <c r="F527" s="169"/>
      <c r="G527" s="170"/>
      <c r="H527" s="1"/>
      <c r="I527" s="1"/>
      <c r="J527" s="1"/>
      <c r="K527" s="1"/>
      <c r="L527" s="1"/>
      <c r="M527" s="331">
        <f>P527</f>
      </c>
      <c r="N527" s="335">
        <f>+IF(O527&lt;N526,O527,N526)</f>
      </c>
      <c r="O527" s="335">
        <f>+(O526-N526)*(1+$E$13)</f>
      </c>
      <c r="P527" s="332">
        <v>522</v>
      </c>
      <c r="Q527" s="1"/>
      <c r="R527" s="331">
        <f>U527</f>
      </c>
      <c r="S527" s="335">
        <f>+IF(T527&lt;S526,T527,S526)</f>
      </c>
      <c r="T527" s="335">
        <f>+(T526-S526)*(1+$E$14)</f>
      </c>
      <c r="U527" s="332">
        <v>522</v>
      </c>
      <c r="V527" s="1"/>
      <c r="W527" s="331">
        <f>Z527</f>
      </c>
      <c r="X527" s="336">
        <f>+IF(Y527&lt;X526,Y527,X526)</f>
      </c>
      <c r="Y527" s="337">
        <f>+(Y526-X526)*(1+$E$15)</f>
      </c>
      <c r="Z527" s="332">
        <v>522</v>
      </c>
      <c r="AA527" s="1"/>
      <c r="AB527" s="331">
        <f>AE527</f>
      </c>
      <c r="AC527" s="336">
        <f>+IF(AD527&lt;AC526,AD527,AC526)</f>
      </c>
      <c r="AD527" s="337">
        <f>+(AD526-AC526)*(1+$E$16)</f>
      </c>
      <c r="AE527" s="332">
        <v>522</v>
      </c>
    </row>
    <row x14ac:dyDescent="0.25" r="528" customHeight="1" ht="18.75">
      <c r="A528" s="1"/>
      <c r="B528" s="1"/>
      <c r="C528" s="169"/>
      <c r="D528" s="169"/>
      <c r="E528" s="168"/>
      <c r="F528" s="169"/>
      <c r="G528" s="170"/>
      <c r="H528" s="1"/>
      <c r="I528" s="1"/>
      <c r="J528" s="1"/>
      <c r="K528" s="1"/>
      <c r="L528" s="1"/>
      <c r="M528" s="331">
        <f>P528</f>
      </c>
      <c r="N528" s="335">
        <f>+IF(O528&lt;N527,O528,N527)</f>
      </c>
      <c r="O528" s="335">
        <f>+(O527-N527)*(1+$E$13)</f>
      </c>
      <c r="P528" s="332">
        <v>523</v>
      </c>
      <c r="Q528" s="1"/>
      <c r="R528" s="331">
        <f>U528</f>
      </c>
      <c r="S528" s="335">
        <f>+IF(T528&lt;S527,T528,S527)</f>
      </c>
      <c r="T528" s="335">
        <f>+(T527-S527)*(1+$E$14)</f>
      </c>
      <c r="U528" s="332">
        <v>523</v>
      </c>
      <c r="V528" s="1"/>
      <c r="W528" s="331">
        <f>Z528</f>
      </c>
      <c r="X528" s="336">
        <f>+IF(Y528&lt;X527,Y528,X527)</f>
      </c>
      <c r="Y528" s="337">
        <f>+(Y527-X527)*(1+$E$15)</f>
      </c>
      <c r="Z528" s="332">
        <v>523</v>
      </c>
      <c r="AA528" s="1"/>
      <c r="AB528" s="331">
        <f>AE528</f>
      </c>
      <c r="AC528" s="336">
        <f>+IF(AD528&lt;AC527,AD528,AC527)</f>
      </c>
      <c r="AD528" s="337">
        <f>+(AD527-AC527)*(1+$E$16)</f>
      </c>
      <c r="AE528" s="332">
        <v>523</v>
      </c>
    </row>
    <row x14ac:dyDescent="0.25" r="529" customHeight="1" ht="18.75">
      <c r="A529" s="1"/>
      <c r="B529" s="1"/>
      <c r="C529" s="169"/>
      <c r="D529" s="169"/>
      <c r="E529" s="168"/>
      <c r="F529" s="169"/>
      <c r="G529" s="170"/>
      <c r="H529" s="1"/>
      <c r="I529" s="1"/>
      <c r="J529" s="1"/>
      <c r="K529" s="1"/>
      <c r="L529" s="1"/>
      <c r="M529" s="331">
        <f>P529</f>
      </c>
      <c r="N529" s="335">
        <f>+IF(O529&lt;N528,O529,N528)</f>
      </c>
      <c r="O529" s="335">
        <f>+(O528-N528)*(1+$E$13)</f>
      </c>
      <c r="P529" s="332">
        <v>524</v>
      </c>
      <c r="Q529" s="1"/>
      <c r="R529" s="331">
        <f>U529</f>
      </c>
      <c r="S529" s="335">
        <f>+IF(T529&lt;S528,T529,S528)</f>
      </c>
      <c r="T529" s="335">
        <f>+(T528-S528)*(1+$E$14)</f>
      </c>
      <c r="U529" s="332">
        <v>524</v>
      </c>
      <c r="V529" s="1"/>
      <c r="W529" s="331">
        <f>Z529</f>
      </c>
      <c r="X529" s="336">
        <f>+IF(Y529&lt;X528,Y529,X528)</f>
      </c>
      <c r="Y529" s="337">
        <f>+(Y528-X528)*(1+$E$15)</f>
      </c>
      <c r="Z529" s="332">
        <v>524</v>
      </c>
      <c r="AA529" s="1"/>
      <c r="AB529" s="331">
        <f>AE529</f>
      </c>
      <c r="AC529" s="336">
        <f>+IF(AD529&lt;AC528,AD529,AC528)</f>
      </c>
      <c r="AD529" s="337">
        <f>+(AD528-AC528)*(1+$E$16)</f>
      </c>
      <c r="AE529" s="332">
        <v>524</v>
      </c>
    </row>
    <row x14ac:dyDescent="0.25" r="530" customHeight="1" ht="18.75">
      <c r="A530" s="1"/>
      <c r="B530" s="1"/>
      <c r="C530" s="169"/>
      <c r="D530" s="169"/>
      <c r="E530" s="168"/>
      <c r="F530" s="169"/>
      <c r="G530" s="170"/>
      <c r="H530" s="1"/>
      <c r="I530" s="1"/>
      <c r="J530" s="1"/>
      <c r="K530" s="1"/>
      <c r="L530" s="1"/>
      <c r="M530" s="331">
        <f>P530</f>
      </c>
      <c r="N530" s="335">
        <f>+IF(O530&lt;N529,O530,N529)</f>
      </c>
      <c r="O530" s="335">
        <f>+(O529-N529)*(1+$E$13)</f>
      </c>
      <c r="P530" s="332">
        <v>525</v>
      </c>
      <c r="Q530" s="1"/>
      <c r="R530" s="331">
        <f>U530</f>
      </c>
      <c r="S530" s="335">
        <f>+IF(T530&lt;S529,T530,S529)</f>
      </c>
      <c r="T530" s="335">
        <f>+(T529-S529)*(1+$E$14)</f>
      </c>
      <c r="U530" s="332">
        <v>525</v>
      </c>
      <c r="V530" s="1"/>
      <c r="W530" s="331">
        <f>Z530</f>
      </c>
      <c r="X530" s="336">
        <f>+IF(Y530&lt;X529,Y530,X529)</f>
      </c>
      <c r="Y530" s="337">
        <f>+(Y529-X529)*(1+$E$15)</f>
      </c>
      <c r="Z530" s="332">
        <v>525</v>
      </c>
      <c r="AA530" s="1"/>
      <c r="AB530" s="331">
        <f>AE530</f>
      </c>
      <c r="AC530" s="336">
        <f>+IF(AD530&lt;AC529,AD530,AC529)</f>
      </c>
      <c r="AD530" s="337">
        <f>+(AD529-AC529)*(1+$E$16)</f>
      </c>
      <c r="AE530" s="332">
        <v>525</v>
      </c>
    </row>
    <row x14ac:dyDescent="0.25" r="531" customHeight="1" ht="18.75">
      <c r="A531" s="1"/>
      <c r="B531" s="1"/>
      <c r="C531" s="169"/>
      <c r="D531" s="169"/>
      <c r="E531" s="168"/>
      <c r="F531" s="169"/>
      <c r="G531" s="170"/>
      <c r="H531" s="1"/>
      <c r="I531" s="1"/>
      <c r="J531" s="1"/>
      <c r="K531" s="1"/>
      <c r="L531" s="1"/>
      <c r="M531" s="331">
        <f>P531</f>
      </c>
      <c r="N531" s="335">
        <f>+IF(O531&lt;N530,O531,N530)</f>
      </c>
      <c r="O531" s="335">
        <f>+(O530-N530)*(1+$E$13)</f>
      </c>
      <c r="P531" s="332">
        <v>526</v>
      </c>
      <c r="Q531" s="1"/>
      <c r="R531" s="331">
        <f>U531</f>
      </c>
      <c r="S531" s="335">
        <f>+IF(T531&lt;S530,T531,S530)</f>
      </c>
      <c r="T531" s="335">
        <f>+(T530-S530)*(1+$E$14)</f>
      </c>
      <c r="U531" s="332">
        <v>526</v>
      </c>
      <c r="V531" s="1"/>
      <c r="W531" s="331">
        <f>Z531</f>
      </c>
      <c r="X531" s="336">
        <f>+IF(Y531&lt;X530,Y531,X530)</f>
      </c>
      <c r="Y531" s="337">
        <f>+(Y530-X530)*(1+$E$15)</f>
      </c>
      <c r="Z531" s="332">
        <v>526</v>
      </c>
      <c r="AA531" s="1"/>
      <c r="AB531" s="331">
        <f>AE531</f>
      </c>
      <c r="AC531" s="336">
        <f>+IF(AD531&lt;AC530,AD531,AC530)</f>
      </c>
      <c r="AD531" s="337">
        <f>+(AD530-AC530)*(1+$E$16)</f>
      </c>
      <c r="AE531" s="332">
        <v>526</v>
      </c>
    </row>
    <row x14ac:dyDescent="0.25" r="532" customHeight="1" ht="18.75">
      <c r="A532" s="1"/>
      <c r="B532" s="1"/>
      <c r="C532" s="169"/>
      <c r="D532" s="169"/>
      <c r="E532" s="168"/>
      <c r="F532" s="169"/>
      <c r="G532" s="170"/>
      <c r="H532" s="1"/>
      <c r="I532" s="1"/>
      <c r="J532" s="1"/>
      <c r="K532" s="1"/>
      <c r="L532" s="1"/>
      <c r="M532" s="331">
        <f>P532</f>
      </c>
      <c r="N532" s="335">
        <f>+IF(O532&lt;N531,O532,N531)</f>
      </c>
      <c r="O532" s="335">
        <f>+(O531-N531)*(1+$E$13)</f>
      </c>
      <c r="P532" s="332">
        <v>527</v>
      </c>
      <c r="Q532" s="1"/>
      <c r="R532" s="331">
        <f>U532</f>
      </c>
      <c r="S532" s="335">
        <f>+IF(T532&lt;S531,T532,S531)</f>
      </c>
      <c r="T532" s="335">
        <f>+(T531-S531)*(1+$E$14)</f>
      </c>
      <c r="U532" s="332">
        <v>527</v>
      </c>
      <c r="V532" s="1"/>
      <c r="W532" s="331">
        <f>Z532</f>
      </c>
      <c r="X532" s="336">
        <f>+IF(Y532&lt;X531,Y532,X531)</f>
      </c>
      <c r="Y532" s="337">
        <f>+(Y531-X531)*(1+$E$15)</f>
      </c>
      <c r="Z532" s="332">
        <v>527</v>
      </c>
      <c r="AA532" s="1"/>
      <c r="AB532" s="331">
        <f>AE532</f>
      </c>
      <c r="AC532" s="336">
        <f>+IF(AD532&lt;AC531,AD532,AC531)</f>
      </c>
      <c r="AD532" s="337">
        <f>+(AD531-AC531)*(1+$E$16)</f>
      </c>
      <c r="AE532" s="332">
        <v>527</v>
      </c>
    </row>
    <row x14ac:dyDescent="0.25" r="533" customHeight="1" ht="18.75">
      <c r="A533" s="1"/>
      <c r="B533" s="1"/>
      <c r="C533" s="169"/>
      <c r="D533" s="169"/>
      <c r="E533" s="168"/>
      <c r="F533" s="169"/>
      <c r="G533" s="170"/>
      <c r="H533" s="1"/>
      <c r="I533" s="1"/>
      <c r="J533" s="1"/>
      <c r="K533" s="1"/>
      <c r="L533" s="1"/>
      <c r="M533" s="331">
        <f>P533</f>
      </c>
      <c r="N533" s="335">
        <f>+IF(O533&lt;N532,O533,N532)</f>
      </c>
      <c r="O533" s="335">
        <f>+(O532-N532)*(1+$E$13)</f>
      </c>
      <c r="P533" s="332">
        <v>528</v>
      </c>
      <c r="Q533" s="1"/>
      <c r="R533" s="331">
        <f>U533</f>
      </c>
      <c r="S533" s="335">
        <f>+IF(T533&lt;S532,T533,S532)</f>
      </c>
      <c r="T533" s="335">
        <f>+(T532-S532)*(1+$E$14)</f>
      </c>
      <c r="U533" s="332">
        <v>528</v>
      </c>
      <c r="V533" s="1"/>
      <c r="W533" s="331">
        <f>Z533</f>
      </c>
      <c r="X533" s="336">
        <f>+IF(Y533&lt;X532,Y533,X532)</f>
      </c>
      <c r="Y533" s="337">
        <f>+(Y532-X532)*(1+$E$15)</f>
      </c>
      <c r="Z533" s="332">
        <v>528</v>
      </c>
      <c r="AA533" s="1"/>
      <c r="AB533" s="331">
        <f>AE533</f>
      </c>
      <c r="AC533" s="336">
        <f>+IF(AD533&lt;AC532,AD533,AC532)</f>
      </c>
      <c r="AD533" s="337">
        <f>+(AD532-AC532)*(1+$E$16)</f>
      </c>
      <c r="AE533" s="332">
        <v>528</v>
      </c>
    </row>
    <row x14ac:dyDescent="0.25" r="534" customHeight="1" ht="18.75">
      <c r="A534" s="1"/>
      <c r="B534" s="1"/>
      <c r="C534" s="169"/>
      <c r="D534" s="169"/>
      <c r="E534" s="168"/>
      <c r="F534" s="169"/>
      <c r="G534" s="170"/>
      <c r="H534" s="1"/>
      <c r="I534" s="1"/>
      <c r="J534" s="1"/>
      <c r="K534" s="1"/>
      <c r="L534" s="1"/>
      <c r="M534" s="331">
        <f>P534</f>
      </c>
      <c r="N534" s="335">
        <f>+IF(O534&lt;N533,O534,N533)</f>
      </c>
      <c r="O534" s="335">
        <f>+(O533-N533)*(1+$E$13)</f>
      </c>
      <c r="P534" s="332">
        <v>529</v>
      </c>
      <c r="Q534" s="1"/>
      <c r="R534" s="331">
        <f>U534</f>
      </c>
      <c r="S534" s="335">
        <f>+IF(T534&lt;S533,T534,S533)</f>
      </c>
      <c r="T534" s="335">
        <f>+(T533-S533)*(1+$E$14)</f>
      </c>
      <c r="U534" s="332">
        <v>529</v>
      </c>
      <c r="V534" s="1"/>
      <c r="W534" s="331">
        <f>Z534</f>
      </c>
      <c r="X534" s="336">
        <f>+IF(Y534&lt;X533,Y534,X533)</f>
      </c>
      <c r="Y534" s="337">
        <f>+(Y533-X533)*(1+$E$15)</f>
      </c>
      <c r="Z534" s="332">
        <v>529</v>
      </c>
      <c r="AA534" s="1"/>
      <c r="AB534" s="331">
        <f>AE534</f>
      </c>
      <c r="AC534" s="336">
        <f>+IF(AD534&lt;AC533,AD534,AC533)</f>
      </c>
      <c r="AD534" s="337">
        <f>+(AD533-AC533)*(1+$E$16)</f>
      </c>
      <c r="AE534" s="332">
        <v>529</v>
      </c>
    </row>
    <row x14ac:dyDescent="0.25" r="535" customHeight="1" ht="18.75">
      <c r="A535" s="1"/>
      <c r="B535" s="1"/>
      <c r="C535" s="169"/>
      <c r="D535" s="169"/>
      <c r="E535" s="168"/>
      <c r="F535" s="169"/>
      <c r="G535" s="170"/>
      <c r="H535" s="1"/>
      <c r="I535" s="1"/>
      <c r="J535" s="1"/>
      <c r="K535" s="1"/>
      <c r="L535" s="1"/>
      <c r="M535" s="331">
        <f>P535</f>
      </c>
      <c r="N535" s="335">
        <f>+IF(O535&lt;N534,O535,N534)</f>
      </c>
      <c r="O535" s="335">
        <f>+(O534-N534)*(1+$E$13)</f>
      </c>
      <c r="P535" s="332">
        <v>530</v>
      </c>
      <c r="Q535" s="1"/>
      <c r="R535" s="331">
        <f>U535</f>
      </c>
      <c r="S535" s="335">
        <f>+IF(T535&lt;S534,T535,S534)</f>
      </c>
      <c r="T535" s="335">
        <f>+(T534-S534)*(1+$E$14)</f>
      </c>
      <c r="U535" s="332">
        <v>530</v>
      </c>
      <c r="V535" s="1"/>
      <c r="W535" s="331">
        <f>Z535</f>
      </c>
      <c r="X535" s="336">
        <f>+IF(Y535&lt;X534,Y535,X534)</f>
      </c>
      <c r="Y535" s="337">
        <f>+(Y534-X534)*(1+$E$15)</f>
      </c>
      <c r="Z535" s="332">
        <v>530</v>
      </c>
      <c r="AA535" s="1"/>
      <c r="AB535" s="331">
        <f>AE535</f>
      </c>
      <c r="AC535" s="336">
        <f>+IF(AD535&lt;AC534,AD535,AC534)</f>
      </c>
      <c r="AD535" s="337">
        <f>+(AD534-AC534)*(1+$E$16)</f>
      </c>
      <c r="AE535" s="332">
        <v>530</v>
      </c>
    </row>
    <row x14ac:dyDescent="0.25" r="536" customHeight="1" ht="18.75">
      <c r="A536" s="1"/>
      <c r="B536" s="1"/>
      <c r="C536" s="169"/>
      <c r="D536" s="169"/>
      <c r="E536" s="168"/>
      <c r="F536" s="169"/>
      <c r="G536" s="170"/>
      <c r="H536" s="1"/>
      <c r="I536" s="1"/>
      <c r="J536" s="1"/>
      <c r="K536" s="1"/>
      <c r="L536" s="1"/>
      <c r="M536" s="331">
        <f>P536</f>
      </c>
      <c r="N536" s="335">
        <f>+IF(O536&lt;N535,O536,N535)</f>
      </c>
      <c r="O536" s="335">
        <f>+(O535-N535)*(1+$E$13)</f>
      </c>
      <c r="P536" s="332">
        <v>531</v>
      </c>
      <c r="Q536" s="1"/>
      <c r="R536" s="331">
        <f>U536</f>
      </c>
      <c r="S536" s="335">
        <f>+IF(T536&lt;S535,T536,S535)</f>
      </c>
      <c r="T536" s="335">
        <f>+(T535-S535)*(1+$E$14)</f>
      </c>
      <c r="U536" s="332">
        <v>531</v>
      </c>
      <c r="V536" s="1"/>
      <c r="W536" s="331">
        <f>Z536</f>
      </c>
      <c r="X536" s="336">
        <f>+IF(Y536&lt;X535,Y536,X535)</f>
      </c>
      <c r="Y536" s="337">
        <f>+(Y535-X535)*(1+$E$15)</f>
      </c>
      <c r="Z536" s="332">
        <v>531</v>
      </c>
      <c r="AA536" s="1"/>
      <c r="AB536" s="331">
        <f>AE536</f>
      </c>
      <c r="AC536" s="336">
        <f>+IF(AD536&lt;AC535,AD536,AC535)</f>
      </c>
      <c r="AD536" s="337">
        <f>+(AD535-AC535)*(1+$E$16)</f>
      </c>
      <c r="AE536" s="332">
        <v>531</v>
      </c>
    </row>
    <row x14ac:dyDescent="0.25" r="537" customHeight="1" ht="18.75">
      <c r="A537" s="1"/>
      <c r="B537" s="1"/>
      <c r="C537" s="169"/>
      <c r="D537" s="169"/>
      <c r="E537" s="168"/>
      <c r="F537" s="169"/>
      <c r="G537" s="170"/>
      <c r="H537" s="1"/>
      <c r="I537" s="1"/>
      <c r="J537" s="1"/>
      <c r="K537" s="1"/>
      <c r="L537" s="1"/>
      <c r="M537" s="331">
        <f>P537</f>
      </c>
      <c r="N537" s="335">
        <f>+IF(O537&lt;N536,O537,N536)</f>
      </c>
      <c r="O537" s="335">
        <f>+(O536-N536)*(1+$E$13)</f>
      </c>
      <c r="P537" s="332">
        <v>532</v>
      </c>
      <c r="Q537" s="1"/>
      <c r="R537" s="331">
        <f>U537</f>
      </c>
      <c r="S537" s="335">
        <f>+IF(T537&lt;S536,T537,S536)</f>
      </c>
      <c r="T537" s="335">
        <f>+(T536-S536)*(1+$E$14)</f>
      </c>
      <c r="U537" s="332">
        <v>532</v>
      </c>
      <c r="V537" s="1"/>
      <c r="W537" s="331">
        <f>Z537</f>
      </c>
      <c r="X537" s="336">
        <f>+IF(Y537&lt;X536,Y537,X536)</f>
      </c>
      <c r="Y537" s="337">
        <f>+(Y536-X536)*(1+$E$15)</f>
      </c>
      <c r="Z537" s="332">
        <v>532</v>
      </c>
      <c r="AA537" s="1"/>
      <c r="AB537" s="331">
        <f>AE537</f>
      </c>
      <c r="AC537" s="336">
        <f>+IF(AD537&lt;AC536,AD537,AC536)</f>
      </c>
      <c r="AD537" s="337">
        <f>+(AD536-AC536)*(1+$E$16)</f>
      </c>
      <c r="AE537" s="332">
        <v>532</v>
      </c>
    </row>
    <row x14ac:dyDescent="0.25" r="538" customHeight="1" ht="18.75">
      <c r="A538" s="1"/>
      <c r="B538" s="1"/>
      <c r="C538" s="169"/>
      <c r="D538" s="169"/>
      <c r="E538" s="168"/>
      <c r="F538" s="169"/>
      <c r="G538" s="170"/>
      <c r="H538" s="1"/>
      <c r="I538" s="1"/>
      <c r="J538" s="1"/>
      <c r="K538" s="1"/>
      <c r="L538" s="1"/>
      <c r="M538" s="331">
        <f>P538</f>
      </c>
      <c r="N538" s="335">
        <f>+IF(O538&lt;N537,O538,N537)</f>
      </c>
      <c r="O538" s="335">
        <f>+(O537-N537)*(1+$E$13)</f>
      </c>
      <c r="P538" s="332">
        <v>533</v>
      </c>
      <c r="Q538" s="1"/>
      <c r="R538" s="331">
        <f>U538</f>
      </c>
      <c r="S538" s="335">
        <f>+IF(T538&lt;S537,T538,S537)</f>
      </c>
      <c r="T538" s="335">
        <f>+(T537-S537)*(1+$E$14)</f>
      </c>
      <c r="U538" s="332">
        <v>533</v>
      </c>
      <c r="V538" s="1"/>
      <c r="W538" s="331">
        <f>Z538</f>
      </c>
      <c r="X538" s="336">
        <f>+IF(Y538&lt;X537,Y538,X537)</f>
      </c>
      <c r="Y538" s="337">
        <f>+(Y537-X537)*(1+$E$15)</f>
      </c>
      <c r="Z538" s="332">
        <v>533</v>
      </c>
      <c r="AA538" s="1"/>
      <c r="AB538" s="331">
        <f>AE538</f>
      </c>
      <c r="AC538" s="336">
        <f>+IF(AD538&lt;AC537,AD538,AC537)</f>
      </c>
      <c r="AD538" s="337">
        <f>+(AD537-AC537)*(1+$E$16)</f>
      </c>
      <c r="AE538" s="332">
        <v>533</v>
      </c>
    </row>
    <row x14ac:dyDescent="0.25" r="539" customHeight="1" ht="18.75">
      <c r="A539" s="1"/>
      <c r="B539" s="1"/>
      <c r="C539" s="169"/>
      <c r="D539" s="169"/>
      <c r="E539" s="168"/>
      <c r="F539" s="169"/>
      <c r="G539" s="170"/>
      <c r="H539" s="1"/>
      <c r="I539" s="1"/>
      <c r="J539" s="1"/>
      <c r="K539" s="1"/>
      <c r="L539" s="1"/>
      <c r="M539" s="331">
        <f>P539</f>
      </c>
      <c r="N539" s="335">
        <f>+IF(O539&lt;N538,O539,N538)</f>
      </c>
      <c r="O539" s="335">
        <f>+(O538-N538)*(1+$E$13)</f>
      </c>
      <c r="P539" s="332">
        <v>534</v>
      </c>
      <c r="Q539" s="1"/>
      <c r="R539" s="331">
        <f>U539</f>
      </c>
      <c r="S539" s="335">
        <f>+IF(T539&lt;S538,T539,S538)</f>
      </c>
      <c r="T539" s="335">
        <f>+(T538-S538)*(1+$E$14)</f>
      </c>
      <c r="U539" s="332">
        <v>534</v>
      </c>
      <c r="V539" s="1"/>
      <c r="W539" s="331">
        <f>Z539</f>
      </c>
      <c r="X539" s="336">
        <f>+IF(Y539&lt;X538,Y539,X538)</f>
      </c>
      <c r="Y539" s="337">
        <f>+(Y538-X538)*(1+$E$15)</f>
      </c>
      <c r="Z539" s="332">
        <v>534</v>
      </c>
      <c r="AA539" s="1"/>
      <c r="AB539" s="331">
        <f>AE539</f>
      </c>
      <c r="AC539" s="336">
        <f>+IF(AD539&lt;AC538,AD539,AC538)</f>
      </c>
      <c r="AD539" s="337">
        <f>+(AD538-AC538)*(1+$E$16)</f>
      </c>
      <c r="AE539" s="332">
        <v>534</v>
      </c>
    </row>
    <row x14ac:dyDescent="0.25" r="540" customHeight="1" ht="18.75">
      <c r="A540" s="1"/>
      <c r="B540" s="1"/>
      <c r="C540" s="169"/>
      <c r="D540" s="169"/>
      <c r="E540" s="168"/>
      <c r="F540" s="169"/>
      <c r="G540" s="170"/>
      <c r="H540" s="1"/>
      <c r="I540" s="1"/>
      <c r="J540" s="1"/>
      <c r="K540" s="1"/>
      <c r="L540" s="1"/>
      <c r="M540" s="331">
        <f>P540</f>
      </c>
      <c r="N540" s="335">
        <f>+IF(O540&lt;N539,O540,N539)</f>
      </c>
      <c r="O540" s="335">
        <f>+(O539-N539)*(1+$E$13)</f>
      </c>
      <c r="P540" s="332">
        <v>535</v>
      </c>
      <c r="Q540" s="1"/>
      <c r="R540" s="331">
        <f>U540</f>
      </c>
      <c r="S540" s="335">
        <f>+IF(T540&lt;S539,T540,S539)</f>
      </c>
      <c r="T540" s="335">
        <f>+(T539-S539)*(1+$E$14)</f>
      </c>
      <c r="U540" s="332">
        <v>535</v>
      </c>
      <c r="V540" s="1"/>
      <c r="W540" s="331">
        <f>Z540</f>
      </c>
      <c r="X540" s="336">
        <f>+IF(Y540&lt;X539,Y540,X539)</f>
      </c>
      <c r="Y540" s="337">
        <f>+(Y539-X539)*(1+$E$15)</f>
      </c>
      <c r="Z540" s="332">
        <v>535</v>
      </c>
      <c r="AA540" s="1"/>
      <c r="AB540" s="331">
        <f>AE540</f>
      </c>
      <c r="AC540" s="336">
        <f>+IF(AD540&lt;AC539,AD540,AC539)</f>
      </c>
      <c r="AD540" s="337">
        <f>+(AD539-AC539)*(1+$E$16)</f>
      </c>
      <c r="AE540" s="332">
        <v>535</v>
      </c>
    </row>
    <row x14ac:dyDescent="0.25" r="541" customHeight="1" ht="18.75">
      <c r="A541" s="1"/>
      <c r="B541" s="1"/>
      <c r="C541" s="169"/>
      <c r="D541" s="169"/>
      <c r="E541" s="168"/>
      <c r="F541" s="169"/>
      <c r="G541" s="170"/>
      <c r="H541" s="1"/>
      <c r="I541" s="1"/>
      <c r="J541" s="1"/>
      <c r="K541" s="1"/>
      <c r="L541" s="1"/>
      <c r="M541" s="331">
        <f>P541</f>
      </c>
      <c r="N541" s="335">
        <f>+IF(O541&lt;N540,O541,N540)</f>
      </c>
      <c r="O541" s="335">
        <f>+(O540-N540)*(1+$E$13)</f>
      </c>
      <c r="P541" s="332">
        <v>536</v>
      </c>
      <c r="Q541" s="1"/>
      <c r="R541" s="331">
        <f>U541</f>
      </c>
      <c r="S541" s="335">
        <f>+IF(T541&lt;S540,T541,S540)</f>
      </c>
      <c r="T541" s="335">
        <f>+(T540-S540)*(1+$E$14)</f>
      </c>
      <c r="U541" s="332">
        <v>536</v>
      </c>
      <c r="V541" s="1"/>
      <c r="W541" s="331">
        <f>Z541</f>
      </c>
      <c r="X541" s="336">
        <f>+IF(Y541&lt;X540,Y541,X540)</f>
      </c>
      <c r="Y541" s="337">
        <f>+(Y540-X540)*(1+$E$15)</f>
      </c>
      <c r="Z541" s="332">
        <v>536</v>
      </c>
      <c r="AA541" s="1"/>
      <c r="AB541" s="331">
        <f>AE541</f>
      </c>
      <c r="AC541" s="336">
        <f>+IF(AD541&lt;AC540,AD541,AC540)</f>
      </c>
      <c r="AD541" s="337">
        <f>+(AD540-AC540)*(1+$E$16)</f>
      </c>
      <c r="AE541" s="332">
        <v>536</v>
      </c>
    </row>
    <row x14ac:dyDescent="0.25" r="542" customHeight="1" ht="18.75">
      <c r="A542" s="1"/>
      <c r="B542" s="1"/>
      <c r="C542" s="169"/>
      <c r="D542" s="169"/>
      <c r="E542" s="168"/>
      <c r="F542" s="169"/>
      <c r="G542" s="170"/>
      <c r="H542" s="1"/>
      <c r="I542" s="1"/>
      <c r="J542" s="1"/>
      <c r="K542" s="1"/>
      <c r="L542" s="1"/>
      <c r="M542" s="331">
        <f>P542</f>
      </c>
      <c r="N542" s="335">
        <f>+IF(O542&lt;N541,O542,N541)</f>
      </c>
      <c r="O542" s="335">
        <f>+(O541-N541)*(1+$E$13)</f>
      </c>
      <c r="P542" s="332">
        <v>537</v>
      </c>
      <c r="Q542" s="1"/>
      <c r="R542" s="331">
        <f>U542</f>
      </c>
      <c r="S542" s="335">
        <f>+IF(T542&lt;S541,T542,S541)</f>
      </c>
      <c r="T542" s="335">
        <f>+(T541-S541)*(1+$E$14)</f>
      </c>
      <c r="U542" s="332">
        <v>537</v>
      </c>
      <c r="V542" s="1"/>
      <c r="W542" s="331">
        <f>Z542</f>
      </c>
      <c r="X542" s="336">
        <f>+IF(Y542&lt;X541,Y542,X541)</f>
      </c>
      <c r="Y542" s="337">
        <f>+(Y541-X541)*(1+$E$15)</f>
      </c>
      <c r="Z542" s="332">
        <v>537</v>
      </c>
      <c r="AA542" s="1"/>
      <c r="AB542" s="331">
        <f>AE542</f>
      </c>
      <c r="AC542" s="336">
        <f>+IF(AD542&lt;AC541,AD542,AC541)</f>
      </c>
      <c r="AD542" s="337">
        <f>+(AD541-AC541)*(1+$E$16)</f>
      </c>
      <c r="AE542" s="332">
        <v>537</v>
      </c>
    </row>
    <row x14ac:dyDescent="0.25" r="543" customHeight="1" ht="18.75">
      <c r="A543" s="1"/>
      <c r="B543" s="1"/>
      <c r="C543" s="169"/>
      <c r="D543" s="169"/>
      <c r="E543" s="168"/>
      <c r="F543" s="169"/>
      <c r="G543" s="170"/>
      <c r="H543" s="1"/>
      <c r="I543" s="1"/>
      <c r="J543" s="1"/>
      <c r="K543" s="1"/>
      <c r="L543" s="1"/>
      <c r="M543" s="331">
        <f>P543</f>
      </c>
      <c r="N543" s="335">
        <f>+IF(O543&lt;N542,O543,N542)</f>
      </c>
      <c r="O543" s="335">
        <f>+(O542-N542)*(1+$E$13)</f>
      </c>
      <c r="P543" s="332">
        <v>538</v>
      </c>
      <c r="Q543" s="1"/>
      <c r="R543" s="331">
        <f>U543</f>
      </c>
      <c r="S543" s="335">
        <f>+IF(T543&lt;S542,T543,S542)</f>
      </c>
      <c r="T543" s="335">
        <f>+(T542-S542)*(1+$E$14)</f>
      </c>
      <c r="U543" s="332">
        <v>538</v>
      </c>
      <c r="V543" s="1"/>
      <c r="W543" s="331">
        <f>Z543</f>
      </c>
      <c r="X543" s="336">
        <f>+IF(Y543&lt;X542,Y543,X542)</f>
      </c>
      <c r="Y543" s="337">
        <f>+(Y542-X542)*(1+$E$15)</f>
      </c>
      <c r="Z543" s="332">
        <v>538</v>
      </c>
      <c r="AA543" s="1"/>
      <c r="AB543" s="331">
        <f>AE543</f>
      </c>
      <c r="AC543" s="336">
        <f>+IF(AD543&lt;AC542,AD543,AC542)</f>
      </c>
      <c r="AD543" s="337">
        <f>+(AD542-AC542)*(1+$E$16)</f>
      </c>
      <c r="AE543" s="332">
        <v>538</v>
      </c>
    </row>
    <row x14ac:dyDescent="0.25" r="544" customHeight="1" ht="18.75">
      <c r="A544" s="1"/>
      <c r="B544" s="1"/>
      <c r="C544" s="169"/>
      <c r="D544" s="169"/>
      <c r="E544" s="168"/>
      <c r="F544" s="169"/>
      <c r="G544" s="170"/>
      <c r="H544" s="1"/>
      <c r="I544" s="1"/>
      <c r="J544" s="1"/>
      <c r="K544" s="1"/>
      <c r="L544" s="1"/>
      <c r="M544" s="331">
        <f>P544</f>
      </c>
      <c r="N544" s="335">
        <f>+IF(O544&lt;N543,O544,N543)</f>
      </c>
      <c r="O544" s="335">
        <f>+(O543-N543)*(1+$E$13)</f>
      </c>
      <c r="P544" s="332">
        <v>539</v>
      </c>
      <c r="Q544" s="1"/>
      <c r="R544" s="331">
        <f>U544</f>
      </c>
      <c r="S544" s="335">
        <f>+IF(T544&lt;S543,T544,S543)</f>
      </c>
      <c r="T544" s="335">
        <f>+(T543-S543)*(1+$E$14)</f>
      </c>
      <c r="U544" s="332">
        <v>539</v>
      </c>
      <c r="V544" s="1"/>
      <c r="W544" s="331">
        <f>Z544</f>
      </c>
      <c r="X544" s="336">
        <f>+IF(Y544&lt;X543,Y544,X543)</f>
      </c>
      <c r="Y544" s="337">
        <f>+(Y543-X543)*(1+$E$15)</f>
      </c>
      <c r="Z544" s="332">
        <v>539</v>
      </c>
      <c r="AA544" s="1"/>
      <c r="AB544" s="331">
        <f>AE544</f>
      </c>
      <c r="AC544" s="336">
        <f>+IF(AD544&lt;AC543,AD544,AC543)</f>
      </c>
      <c r="AD544" s="337">
        <f>+(AD543-AC543)*(1+$E$16)</f>
      </c>
      <c r="AE544" s="332">
        <v>539</v>
      </c>
    </row>
    <row x14ac:dyDescent="0.25" r="545" customHeight="1" ht="18.75">
      <c r="A545" s="1"/>
      <c r="B545" s="1"/>
      <c r="C545" s="169"/>
      <c r="D545" s="169"/>
      <c r="E545" s="168"/>
      <c r="F545" s="169"/>
      <c r="G545" s="170"/>
      <c r="H545" s="1"/>
      <c r="I545" s="1"/>
      <c r="J545" s="1"/>
      <c r="K545" s="1"/>
      <c r="L545" s="1"/>
      <c r="M545" s="331">
        <f>P545</f>
      </c>
      <c r="N545" s="335">
        <f>+IF(O545&lt;N544,O545,N544)</f>
      </c>
      <c r="O545" s="335">
        <f>+(O544-N544)*(1+$E$13)</f>
      </c>
      <c r="P545" s="332">
        <v>540</v>
      </c>
      <c r="Q545" s="1"/>
      <c r="R545" s="331">
        <f>U545</f>
      </c>
      <c r="S545" s="335">
        <f>+IF(T545&lt;S544,T545,S544)</f>
      </c>
      <c r="T545" s="335">
        <f>+(T544-S544)*(1+$E$14)</f>
      </c>
      <c r="U545" s="332">
        <v>540</v>
      </c>
      <c r="V545" s="1"/>
      <c r="W545" s="331">
        <f>Z545</f>
      </c>
      <c r="X545" s="336">
        <f>+IF(Y545&lt;X544,Y545,X544)</f>
      </c>
      <c r="Y545" s="337">
        <f>+(Y544-X544)*(1+$E$15)</f>
      </c>
      <c r="Z545" s="332">
        <v>540</v>
      </c>
      <c r="AA545" s="1"/>
      <c r="AB545" s="331">
        <f>AE545</f>
      </c>
      <c r="AC545" s="336">
        <f>+IF(AD545&lt;AC544,AD545,AC544)</f>
      </c>
      <c r="AD545" s="337">
        <f>+(AD544-AC544)*(1+$E$16)</f>
      </c>
      <c r="AE545" s="332">
        <v>540</v>
      </c>
    </row>
    <row x14ac:dyDescent="0.25" r="546" customHeight="1" ht="18.75">
      <c r="A546" s="1"/>
      <c r="B546" s="1"/>
      <c r="C546" s="169"/>
      <c r="D546" s="169"/>
      <c r="E546" s="168"/>
      <c r="F546" s="169"/>
      <c r="G546" s="170"/>
      <c r="H546" s="1"/>
      <c r="I546" s="1"/>
      <c r="J546" s="1"/>
      <c r="K546" s="1"/>
      <c r="L546" s="1"/>
      <c r="M546" s="331">
        <f>P546</f>
      </c>
      <c r="N546" s="335">
        <f>+IF(O546&lt;N545,O546,N545)</f>
      </c>
      <c r="O546" s="335">
        <f>+(O545-N545)*(1+$E$13)</f>
      </c>
      <c r="P546" s="332">
        <v>541</v>
      </c>
      <c r="Q546" s="1"/>
      <c r="R546" s="331">
        <f>U546</f>
      </c>
      <c r="S546" s="335">
        <f>+IF(T546&lt;S545,T546,S545)</f>
      </c>
      <c r="T546" s="335">
        <f>+(T545-S545)*(1+$E$14)</f>
      </c>
      <c r="U546" s="332">
        <v>541</v>
      </c>
      <c r="V546" s="1"/>
      <c r="W546" s="331">
        <f>Z546</f>
      </c>
      <c r="X546" s="336">
        <f>+IF(Y546&lt;X545,Y546,X545)</f>
      </c>
      <c r="Y546" s="337">
        <f>+(Y545-X545)*(1+$E$15)</f>
      </c>
      <c r="Z546" s="332">
        <v>541</v>
      </c>
      <c r="AA546" s="1"/>
      <c r="AB546" s="331">
        <f>AE546</f>
      </c>
      <c r="AC546" s="336">
        <f>+IF(AD546&lt;AC545,AD546,AC545)</f>
      </c>
      <c r="AD546" s="337">
        <f>+(AD545-AC545)*(1+$E$16)</f>
      </c>
      <c r="AE546" s="332">
        <v>541</v>
      </c>
    </row>
    <row x14ac:dyDescent="0.25" r="547" customHeight="1" ht="18.75">
      <c r="A547" s="1"/>
      <c r="B547" s="1"/>
      <c r="C547" s="169"/>
      <c r="D547" s="169"/>
      <c r="E547" s="168"/>
      <c r="F547" s="169"/>
      <c r="G547" s="170"/>
      <c r="H547" s="1"/>
      <c r="I547" s="1"/>
      <c r="J547" s="1"/>
      <c r="K547" s="1"/>
      <c r="L547" s="1"/>
      <c r="M547" s="331">
        <f>P547</f>
      </c>
      <c r="N547" s="335">
        <f>+IF(O547&lt;N546,O547,N546)</f>
      </c>
      <c r="O547" s="335">
        <f>+(O546-N546)*(1+$E$13)</f>
      </c>
      <c r="P547" s="332">
        <v>542</v>
      </c>
      <c r="Q547" s="1"/>
      <c r="R547" s="331">
        <f>U547</f>
      </c>
      <c r="S547" s="335">
        <f>+IF(T547&lt;S546,T547,S546)</f>
      </c>
      <c r="T547" s="335">
        <f>+(T546-S546)*(1+$E$14)</f>
      </c>
      <c r="U547" s="332">
        <v>542</v>
      </c>
      <c r="V547" s="1"/>
      <c r="W547" s="331">
        <f>Z547</f>
      </c>
      <c r="X547" s="336">
        <f>+IF(Y547&lt;X546,Y547,X546)</f>
      </c>
      <c r="Y547" s="337">
        <f>+(Y546-X546)*(1+$E$15)</f>
      </c>
      <c r="Z547" s="332">
        <v>542</v>
      </c>
      <c r="AA547" s="1"/>
      <c r="AB547" s="331">
        <f>AE547</f>
      </c>
      <c r="AC547" s="336">
        <f>+IF(AD547&lt;AC546,AD547,AC546)</f>
      </c>
      <c r="AD547" s="337">
        <f>+(AD546-AC546)*(1+$E$16)</f>
      </c>
      <c r="AE547" s="332">
        <v>542</v>
      </c>
    </row>
    <row x14ac:dyDescent="0.25" r="548" customHeight="1" ht="18.75">
      <c r="A548" s="1"/>
      <c r="B548" s="1"/>
      <c r="C548" s="169"/>
      <c r="D548" s="169"/>
      <c r="E548" s="168"/>
      <c r="F548" s="169"/>
      <c r="G548" s="170"/>
      <c r="H548" s="1"/>
      <c r="I548" s="1"/>
      <c r="J548" s="1"/>
      <c r="K548" s="1"/>
      <c r="L548" s="1"/>
      <c r="M548" s="331">
        <f>P548</f>
      </c>
      <c r="N548" s="335">
        <f>+IF(O548&lt;N547,O548,N547)</f>
      </c>
      <c r="O548" s="335">
        <f>+(O547-N547)*(1+$E$13)</f>
      </c>
      <c r="P548" s="332">
        <v>543</v>
      </c>
      <c r="Q548" s="1"/>
      <c r="R548" s="331">
        <f>U548</f>
      </c>
      <c r="S548" s="335">
        <f>+IF(T548&lt;S547,T548,S547)</f>
      </c>
      <c r="T548" s="335">
        <f>+(T547-S547)*(1+$E$14)</f>
      </c>
      <c r="U548" s="332">
        <v>543</v>
      </c>
      <c r="V548" s="1"/>
      <c r="W548" s="331">
        <f>Z548</f>
      </c>
      <c r="X548" s="336">
        <f>+IF(Y548&lt;X547,Y548,X547)</f>
      </c>
      <c r="Y548" s="337">
        <f>+(Y547-X547)*(1+$E$15)</f>
      </c>
      <c r="Z548" s="332">
        <v>543</v>
      </c>
      <c r="AA548" s="1"/>
      <c r="AB548" s="331">
        <f>AE548</f>
      </c>
      <c r="AC548" s="336">
        <f>+IF(AD548&lt;AC547,AD548,AC547)</f>
      </c>
      <c r="AD548" s="337">
        <f>+(AD547-AC547)*(1+$E$16)</f>
      </c>
      <c r="AE548" s="332">
        <v>543</v>
      </c>
    </row>
    <row x14ac:dyDescent="0.25" r="549" customHeight="1" ht="18.75">
      <c r="A549" s="1"/>
      <c r="B549" s="1"/>
      <c r="C549" s="169"/>
      <c r="D549" s="169"/>
      <c r="E549" s="168"/>
      <c r="F549" s="169"/>
      <c r="G549" s="170"/>
      <c r="H549" s="1"/>
      <c r="I549" s="1"/>
      <c r="J549" s="1"/>
      <c r="K549" s="1"/>
      <c r="L549" s="1"/>
      <c r="M549" s="331">
        <f>P549</f>
      </c>
      <c r="N549" s="335">
        <f>+IF(O549&lt;N548,O549,N548)</f>
      </c>
      <c r="O549" s="335">
        <f>+(O548-N548)*(1+$E$13)</f>
      </c>
      <c r="P549" s="332">
        <v>544</v>
      </c>
      <c r="Q549" s="1"/>
      <c r="R549" s="331">
        <f>U549</f>
      </c>
      <c r="S549" s="335">
        <f>+IF(T549&lt;S548,T549,S548)</f>
      </c>
      <c r="T549" s="335">
        <f>+(T548-S548)*(1+$E$14)</f>
      </c>
      <c r="U549" s="332">
        <v>544</v>
      </c>
      <c r="V549" s="1"/>
      <c r="W549" s="331">
        <f>Z549</f>
      </c>
      <c r="X549" s="336">
        <f>+IF(Y549&lt;X548,Y549,X548)</f>
      </c>
      <c r="Y549" s="337">
        <f>+(Y548-X548)*(1+$E$15)</f>
      </c>
      <c r="Z549" s="332">
        <v>544</v>
      </c>
      <c r="AA549" s="1"/>
      <c r="AB549" s="331">
        <f>AE549</f>
      </c>
      <c r="AC549" s="336">
        <f>+IF(AD549&lt;AC548,AD549,AC548)</f>
      </c>
      <c r="AD549" s="337">
        <f>+(AD548-AC548)*(1+$E$16)</f>
      </c>
      <c r="AE549" s="332">
        <v>544</v>
      </c>
    </row>
    <row x14ac:dyDescent="0.25" r="550" customHeight="1" ht="18.75">
      <c r="A550" s="1"/>
      <c r="B550" s="1"/>
      <c r="C550" s="169"/>
      <c r="D550" s="169"/>
      <c r="E550" s="168"/>
      <c r="F550" s="169"/>
      <c r="G550" s="170"/>
      <c r="H550" s="1"/>
      <c r="I550" s="1"/>
      <c r="J550" s="1"/>
      <c r="K550" s="1"/>
      <c r="L550" s="1"/>
      <c r="M550" s="331">
        <f>P550</f>
      </c>
      <c r="N550" s="335">
        <f>+IF(O550&lt;N549,O550,N549)</f>
      </c>
      <c r="O550" s="335">
        <f>+(O549-N549)*(1+$E$13)</f>
      </c>
      <c r="P550" s="332">
        <v>545</v>
      </c>
      <c r="Q550" s="1"/>
      <c r="R550" s="331">
        <f>U550</f>
      </c>
      <c r="S550" s="335">
        <f>+IF(T550&lt;S549,T550,S549)</f>
      </c>
      <c r="T550" s="335">
        <f>+(T549-S549)*(1+$E$14)</f>
      </c>
      <c r="U550" s="332">
        <v>545</v>
      </c>
      <c r="V550" s="1"/>
      <c r="W550" s="331">
        <f>Z550</f>
      </c>
      <c r="X550" s="336">
        <f>+IF(Y550&lt;X549,Y550,X549)</f>
      </c>
      <c r="Y550" s="337">
        <f>+(Y549-X549)*(1+$E$15)</f>
      </c>
      <c r="Z550" s="332">
        <v>545</v>
      </c>
      <c r="AA550" s="1"/>
      <c r="AB550" s="331">
        <f>AE550</f>
      </c>
      <c r="AC550" s="336">
        <f>+IF(AD550&lt;AC549,AD550,AC549)</f>
      </c>
      <c r="AD550" s="337">
        <f>+(AD549-AC549)*(1+$E$16)</f>
      </c>
      <c r="AE550" s="332">
        <v>545</v>
      </c>
    </row>
    <row x14ac:dyDescent="0.25" r="551" customHeight="1" ht="18.75">
      <c r="A551" s="1"/>
      <c r="B551" s="1"/>
      <c r="C551" s="169"/>
      <c r="D551" s="169"/>
      <c r="E551" s="168"/>
      <c r="F551" s="169"/>
      <c r="G551" s="170"/>
      <c r="H551" s="1"/>
      <c r="I551" s="1"/>
      <c r="J551" s="1"/>
      <c r="K551" s="1"/>
      <c r="L551" s="1"/>
      <c r="M551" s="331">
        <f>P551</f>
      </c>
      <c r="N551" s="335">
        <f>+IF(O551&lt;N550,O551,N550)</f>
      </c>
      <c r="O551" s="335">
        <f>+(O550-N550)*(1+$E$13)</f>
      </c>
      <c r="P551" s="332">
        <v>546</v>
      </c>
      <c r="Q551" s="1"/>
      <c r="R551" s="331">
        <f>U551</f>
      </c>
      <c r="S551" s="335">
        <f>+IF(T551&lt;S550,T551,S550)</f>
      </c>
      <c r="T551" s="335">
        <f>+(T550-S550)*(1+$E$14)</f>
      </c>
      <c r="U551" s="332">
        <v>546</v>
      </c>
      <c r="V551" s="1"/>
      <c r="W551" s="331">
        <f>Z551</f>
      </c>
      <c r="X551" s="336">
        <f>+IF(Y551&lt;X550,Y551,X550)</f>
      </c>
      <c r="Y551" s="337">
        <f>+(Y550-X550)*(1+$E$15)</f>
      </c>
      <c r="Z551" s="332">
        <v>546</v>
      </c>
      <c r="AA551" s="1"/>
      <c r="AB551" s="331">
        <f>AE551</f>
      </c>
      <c r="AC551" s="336">
        <f>+IF(AD551&lt;AC550,AD551,AC550)</f>
      </c>
      <c r="AD551" s="337">
        <f>+(AD550-AC550)*(1+$E$16)</f>
      </c>
      <c r="AE551" s="332">
        <v>546</v>
      </c>
    </row>
    <row x14ac:dyDescent="0.25" r="552" customHeight="1" ht="18.75">
      <c r="A552" s="1"/>
      <c r="B552" s="1"/>
      <c r="C552" s="169"/>
      <c r="D552" s="169"/>
      <c r="E552" s="168"/>
      <c r="F552" s="169"/>
      <c r="G552" s="170"/>
      <c r="H552" s="1"/>
      <c r="I552" s="1"/>
      <c r="J552" s="1"/>
      <c r="K552" s="1"/>
      <c r="L552" s="1"/>
      <c r="M552" s="331">
        <f>P552</f>
      </c>
      <c r="N552" s="335">
        <f>+IF(O552&lt;N551,O552,N551)</f>
      </c>
      <c r="O552" s="335">
        <f>+(O551-N551)*(1+$E$13)</f>
      </c>
      <c r="P552" s="332">
        <v>547</v>
      </c>
      <c r="Q552" s="1"/>
      <c r="R552" s="331">
        <f>U552</f>
      </c>
      <c r="S552" s="335">
        <f>+IF(T552&lt;S551,T552,S551)</f>
      </c>
      <c r="T552" s="335">
        <f>+(T551-S551)*(1+$E$14)</f>
      </c>
      <c r="U552" s="332">
        <v>547</v>
      </c>
      <c r="V552" s="1"/>
      <c r="W552" s="331">
        <f>Z552</f>
      </c>
      <c r="X552" s="336">
        <f>+IF(Y552&lt;X551,Y552,X551)</f>
      </c>
      <c r="Y552" s="337">
        <f>+(Y551-X551)*(1+$E$15)</f>
      </c>
      <c r="Z552" s="332">
        <v>547</v>
      </c>
      <c r="AA552" s="1"/>
      <c r="AB552" s="331">
        <f>AE552</f>
      </c>
      <c r="AC552" s="336">
        <f>+IF(AD552&lt;AC551,AD552,AC551)</f>
      </c>
      <c r="AD552" s="337">
        <f>+(AD551-AC551)*(1+$E$16)</f>
      </c>
      <c r="AE552" s="332">
        <v>547</v>
      </c>
    </row>
    <row x14ac:dyDescent="0.25" r="553" customHeight="1" ht="18.75">
      <c r="A553" s="1"/>
      <c r="B553" s="1"/>
      <c r="C553" s="169"/>
      <c r="D553" s="169"/>
      <c r="E553" s="168"/>
      <c r="F553" s="169"/>
      <c r="G553" s="170"/>
      <c r="H553" s="1"/>
      <c r="I553" s="1"/>
      <c r="J553" s="1"/>
      <c r="K553" s="1"/>
      <c r="L553" s="1"/>
      <c r="M553" s="331">
        <f>P553</f>
      </c>
      <c r="N553" s="335">
        <f>+IF(O553&lt;N552,O553,N552)</f>
      </c>
      <c r="O553" s="335">
        <f>+(O552-N552)*(1+$E$13)</f>
      </c>
      <c r="P553" s="332">
        <v>548</v>
      </c>
      <c r="Q553" s="1"/>
      <c r="R553" s="331">
        <f>U553</f>
      </c>
      <c r="S553" s="335">
        <f>+IF(T553&lt;S552,T553,S552)</f>
      </c>
      <c r="T553" s="335">
        <f>+(T552-S552)*(1+$E$14)</f>
      </c>
      <c r="U553" s="332">
        <v>548</v>
      </c>
      <c r="V553" s="1"/>
      <c r="W553" s="331">
        <f>Z553</f>
      </c>
      <c r="X553" s="336">
        <f>+IF(Y553&lt;X552,Y553,X552)</f>
      </c>
      <c r="Y553" s="337">
        <f>+(Y552-X552)*(1+$E$15)</f>
      </c>
      <c r="Z553" s="332">
        <v>548</v>
      </c>
      <c r="AA553" s="1"/>
      <c r="AB553" s="331">
        <f>AE553</f>
      </c>
      <c r="AC553" s="336">
        <f>+IF(AD553&lt;AC552,AD553,AC552)</f>
      </c>
      <c r="AD553" s="337">
        <f>+(AD552-AC552)*(1+$E$16)</f>
      </c>
      <c r="AE553" s="332">
        <v>548</v>
      </c>
    </row>
    <row x14ac:dyDescent="0.25" r="554" customHeight="1" ht="18.75">
      <c r="A554" s="1"/>
      <c r="B554" s="1"/>
      <c r="C554" s="169"/>
      <c r="D554" s="169"/>
      <c r="E554" s="168"/>
      <c r="F554" s="169"/>
      <c r="G554" s="170"/>
      <c r="H554" s="1"/>
      <c r="I554" s="1"/>
      <c r="J554" s="1"/>
      <c r="K554" s="1"/>
      <c r="L554" s="1"/>
      <c r="M554" s="331">
        <f>P554</f>
      </c>
      <c r="N554" s="335">
        <f>+IF(O554&lt;N553,O554,N553)</f>
      </c>
      <c r="O554" s="335">
        <f>+(O553-N553)*(1+$E$13)</f>
      </c>
      <c r="P554" s="332">
        <v>549</v>
      </c>
      <c r="Q554" s="1"/>
      <c r="R554" s="331">
        <f>U554</f>
      </c>
      <c r="S554" s="335">
        <f>+IF(T554&lt;S553,T554,S553)</f>
      </c>
      <c r="T554" s="335">
        <f>+(T553-S553)*(1+$E$14)</f>
      </c>
      <c r="U554" s="332">
        <v>549</v>
      </c>
      <c r="V554" s="1"/>
      <c r="W554" s="331">
        <f>Z554</f>
      </c>
      <c r="X554" s="336">
        <f>+IF(Y554&lt;X553,Y554,X553)</f>
      </c>
      <c r="Y554" s="337">
        <f>+(Y553-X553)*(1+$E$15)</f>
      </c>
      <c r="Z554" s="332">
        <v>549</v>
      </c>
      <c r="AA554" s="1"/>
      <c r="AB554" s="331">
        <f>AE554</f>
      </c>
      <c r="AC554" s="336">
        <f>+IF(AD554&lt;AC553,AD554,AC553)</f>
      </c>
      <c r="AD554" s="337">
        <f>+(AD553-AC553)*(1+$E$16)</f>
      </c>
      <c r="AE554" s="332">
        <v>549</v>
      </c>
    </row>
    <row x14ac:dyDescent="0.25" r="555" customHeight="1" ht="18.75">
      <c r="A555" s="1"/>
      <c r="B555" s="1"/>
      <c r="C555" s="169"/>
      <c r="D555" s="169"/>
      <c r="E555" s="168"/>
      <c r="F555" s="169"/>
      <c r="G555" s="170"/>
      <c r="H555" s="1"/>
      <c r="I555" s="1"/>
      <c r="J555" s="1"/>
      <c r="K555" s="1"/>
      <c r="L555" s="1"/>
      <c r="M555" s="331">
        <f>P555</f>
      </c>
      <c r="N555" s="335">
        <f>+IF(O555&lt;N554,O555,N554)</f>
      </c>
      <c r="O555" s="335">
        <f>+(O554-N554)*(1+$E$13)</f>
      </c>
      <c r="P555" s="332">
        <v>550</v>
      </c>
      <c r="Q555" s="1"/>
      <c r="R555" s="331">
        <f>U555</f>
      </c>
      <c r="S555" s="335">
        <f>+IF(T555&lt;S554,T555,S554)</f>
      </c>
      <c r="T555" s="335">
        <f>+(T554-S554)*(1+$E$14)</f>
      </c>
      <c r="U555" s="332">
        <v>550</v>
      </c>
      <c r="V555" s="1"/>
      <c r="W555" s="331">
        <f>Z555</f>
      </c>
      <c r="X555" s="336">
        <f>+IF(Y555&lt;X554,Y555,X554)</f>
      </c>
      <c r="Y555" s="337">
        <f>+(Y554-X554)*(1+$E$15)</f>
      </c>
      <c r="Z555" s="332">
        <v>550</v>
      </c>
      <c r="AA555" s="1"/>
      <c r="AB555" s="331">
        <f>AE555</f>
      </c>
      <c r="AC555" s="336">
        <f>+IF(AD555&lt;AC554,AD555,AC554)</f>
      </c>
      <c r="AD555" s="337">
        <f>+(AD554-AC554)*(1+$E$16)</f>
      </c>
      <c r="AE555" s="332">
        <v>550</v>
      </c>
    </row>
    <row x14ac:dyDescent="0.25" r="556" customHeight="1" ht="18.75">
      <c r="A556" s="1"/>
      <c r="B556" s="1"/>
      <c r="C556" s="169"/>
      <c r="D556" s="169"/>
      <c r="E556" s="168"/>
      <c r="F556" s="169"/>
      <c r="G556" s="170"/>
      <c r="H556" s="1"/>
      <c r="I556" s="1"/>
      <c r="J556" s="1"/>
      <c r="K556" s="1"/>
      <c r="L556" s="1"/>
      <c r="M556" s="331">
        <f>P556</f>
      </c>
      <c r="N556" s="335">
        <f>+IF(O556&lt;N555,O556,N555)</f>
      </c>
      <c r="O556" s="335">
        <f>+(O555-N555)*(1+$E$13)</f>
      </c>
      <c r="P556" s="332">
        <v>551</v>
      </c>
      <c r="Q556" s="1"/>
      <c r="R556" s="331">
        <f>U556</f>
      </c>
      <c r="S556" s="335">
        <f>+IF(T556&lt;S555,T556,S555)</f>
      </c>
      <c r="T556" s="335">
        <f>+(T555-S555)*(1+$E$14)</f>
      </c>
      <c r="U556" s="332">
        <v>551</v>
      </c>
      <c r="V556" s="1"/>
      <c r="W556" s="331">
        <f>Z556</f>
      </c>
      <c r="X556" s="336">
        <f>+IF(Y556&lt;X555,Y556,X555)</f>
      </c>
      <c r="Y556" s="337">
        <f>+(Y555-X555)*(1+$E$15)</f>
      </c>
      <c r="Z556" s="332">
        <v>551</v>
      </c>
      <c r="AA556" s="1"/>
      <c r="AB556" s="331">
        <f>AE556</f>
      </c>
      <c r="AC556" s="336">
        <f>+IF(AD556&lt;AC555,AD556,AC555)</f>
      </c>
      <c r="AD556" s="337">
        <f>+(AD555-AC555)*(1+$E$16)</f>
      </c>
      <c r="AE556" s="332">
        <v>551</v>
      </c>
    </row>
    <row x14ac:dyDescent="0.25" r="557" customHeight="1" ht="18.75">
      <c r="A557" s="1"/>
      <c r="B557" s="1"/>
      <c r="C557" s="169"/>
      <c r="D557" s="169"/>
      <c r="E557" s="168"/>
      <c r="F557" s="169"/>
      <c r="G557" s="170"/>
      <c r="H557" s="1"/>
      <c r="I557" s="1"/>
      <c r="J557" s="1"/>
      <c r="K557" s="1"/>
      <c r="L557" s="1"/>
      <c r="M557" s="331">
        <f>P557</f>
      </c>
      <c r="N557" s="335">
        <f>+IF(O557&lt;N556,O557,N556)</f>
      </c>
      <c r="O557" s="335">
        <f>+(O556-N556)*(1+$E$13)</f>
      </c>
      <c r="P557" s="332">
        <v>552</v>
      </c>
      <c r="Q557" s="1"/>
      <c r="R557" s="331">
        <f>U557</f>
      </c>
      <c r="S557" s="335">
        <f>+IF(T557&lt;S556,T557,S556)</f>
      </c>
      <c r="T557" s="335">
        <f>+(T556-S556)*(1+$E$14)</f>
      </c>
      <c r="U557" s="332">
        <v>552</v>
      </c>
      <c r="V557" s="1"/>
      <c r="W557" s="331">
        <f>Z557</f>
      </c>
      <c r="X557" s="336">
        <f>+IF(Y557&lt;X556,Y557,X556)</f>
      </c>
      <c r="Y557" s="337">
        <f>+(Y556-X556)*(1+$E$15)</f>
      </c>
      <c r="Z557" s="332">
        <v>552</v>
      </c>
      <c r="AA557" s="1"/>
      <c r="AB557" s="331">
        <f>AE557</f>
      </c>
      <c r="AC557" s="336">
        <f>+IF(AD557&lt;AC556,AD557,AC556)</f>
      </c>
      <c r="AD557" s="337">
        <f>+(AD556-AC556)*(1+$E$16)</f>
      </c>
      <c r="AE557" s="332">
        <v>552</v>
      </c>
    </row>
    <row x14ac:dyDescent="0.25" r="558" customHeight="1" ht="18.75">
      <c r="A558" s="1"/>
      <c r="B558" s="1"/>
      <c r="C558" s="169"/>
      <c r="D558" s="169"/>
      <c r="E558" s="168"/>
      <c r="F558" s="169"/>
      <c r="G558" s="170"/>
      <c r="H558" s="1"/>
      <c r="I558" s="1"/>
      <c r="J558" s="1"/>
      <c r="K558" s="1"/>
      <c r="L558" s="1"/>
      <c r="M558" s="331">
        <f>P558</f>
      </c>
      <c r="N558" s="335">
        <f>+IF(O558&lt;N557,O558,N557)</f>
      </c>
      <c r="O558" s="335">
        <f>+(O557-N557)*(1+$E$13)</f>
      </c>
      <c r="P558" s="332">
        <v>553</v>
      </c>
      <c r="Q558" s="1"/>
      <c r="R558" s="331">
        <f>U558</f>
      </c>
      <c r="S558" s="335">
        <f>+IF(T558&lt;S557,T558,S557)</f>
      </c>
      <c r="T558" s="335">
        <f>+(T557-S557)*(1+$E$14)</f>
      </c>
      <c r="U558" s="332">
        <v>553</v>
      </c>
      <c r="V558" s="1"/>
      <c r="W558" s="331">
        <f>Z558</f>
      </c>
      <c r="X558" s="336">
        <f>+IF(Y558&lt;X557,Y558,X557)</f>
      </c>
      <c r="Y558" s="337">
        <f>+(Y557-X557)*(1+$E$15)</f>
      </c>
      <c r="Z558" s="332">
        <v>553</v>
      </c>
      <c r="AA558" s="1"/>
      <c r="AB558" s="331">
        <f>AE558</f>
      </c>
      <c r="AC558" s="336">
        <f>+IF(AD558&lt;AC557,AD558,AC557)</f>
      </c>
      <c r="AD558" s="337">
        <f>+(AD557-AC557)*(1+$E$16)</f>
      </c>
      <c r="AE558" s="332">
        <v>553</v>
      </c>
    </row>
    <row x14ac:dyDescent="0.25" r="559" customHeight="1" ht="18.75">
      <c r="A559" s="1"/>
      <c r="B559" s="1"/>
      <c r="C559" s="169"/>
      <c r="D559" s="169"/>
      <c r="E559" s="168"/>
      <c r="F559" s="169"/>
      <c r="G559" s="170"/>
      <c r="H559" s="1"/>
      <c r="I559" s="1"/>
      <c r="J559" s="1"/>
      <c r="K559" s="1"/>
      <c r="L559" s="1"/>
      <c r="M559" s="331">
        <f>P559</f>
      </c>
      <c r="N559" s="335">
        <f>+IF(O559&lt;N558,O559,N558)</f>
      </c>
      <c r="O559" s="335">
        <f>+(O558-N558)*(1+$E$13)</f>
      </c>
      <c r="P559" s="332">
        <v>554</v>
      </c>
      <c r="Q559" s="1"/>
      <c r="R559" s="331">
        <f>U559</f>
      </c>
      <c r="S559" s="335">
        <f>+IF(T559&lt;S558,T559,S558)</f>
      </c>
      <c r="T559" s="335">
        <f>+(T558-S558)*(1+$E$14)</f>
      </c>
      <c r="U559" s="332">
        <v>554</v>
      </c>
      <c r="V559" s="1"/>
      <c r="W559" s="331">
        <f>Z559</f>
      </c>
      <c r="X559" s="336">
        <f>+IF(Y559&lt;X558,Y559,X558)</f>
      </c>
      <c r="Y559" s="337">
        <f>+(Y558-X558)*(1+$E$15)</f>
      </c>
      <c r="Z559" s="332">
        <v>554</v>
      </c>
      <c r="AA559" s="1"/>
      <c r="AB559" s="331">
        <f>AE559</f>
      </c>
      <c r="AC559" s="336">
        <f>+IF(AD559&lt;AC558,AD559,AC558)</f>
      </c>
      <c r="AD559" s="337">
        <f>+(AD558-AC558)*(1+$E$16)</f>
      </c>
      <c r="AE559" s="332">
        <v>554</v>
      </c>
    </row>
    <row x14ac:dyDescent="0.25" r="560" customHeight="1" ht="18.75">
      <c r="A560" s="1"/>
      <c r="B560" s="1"/>
      <c r="C560" s="169"/>
      <c r="D560" s="169"/>
      <c r="E560" s="168"/>
      <c r="F560" s="169"/>
      <c r="G560" s="170"/>
      <c r="H560" s="1"/>
      <c r="I560" s="1"/>
      <c r="J560" s="1"/>
      <c r="K560" s="1"/>
      <c r="L560" s="1"/>
      <c r="M560" s="331">
        <f>P560</f>
      </c>
      <c r="N560" s="335">
        <f>+IF(O560&lt;N559,O560,N559)</f>
      </c>
      <c r="O560" s="335">
        <f>+(O559-N559)*(1+$E$13)</f>
      </c>
      <c r="P560" s="332">
        <v>555</v>
      </c>
      <c r="Q560" s="1"/>
      <c r="R560" s="331">
        <f>U560</f>
      </c>
      <c r="S560" s="335">
        <f>+IF(T560&lt;S559,T560,S559)</f>
      </c>
      <c r="T560" s="335">
        <f>+(T559-S559)*(1+$E$14)</f>
      </c>
      <c r="U560" s="332">
        <v>555</v>
      </c>
      <c r="V560" s="1"/>
      <c r="W560" s="331">
        <f>Z560</f>
      </c>
      <c r="X560" s="336">
        <f>+IF(Y560&lt;X559,Y560,X559)</f>
      </c>
      <c r="Y560" s="337">
        <f>+(Y559-X559)*(1+$E$15)</f>
      </c>
      <c r="Z560" s="332">
        <v>555</v>
      </c>
      <c r="AA560" s="1"/>
      <c r="AB560" s="331">
        <f>AE560</f>
      </c>
      <c r="AC560" s="336">
        <f>+IF(AD560&lt;AC559,AD560,AC559)</f>
      </c>
      <c r="AD560" s="337">
        <f>+(AD559-AC559)*(1+$E$16)</f>
      </c>
      <c r="AE560" s="332">
        <v>555</v>
      </c>
    </row>
    <row x14ac:dyDescent="0.25" r="561" customHeight="1" ht="18.75">
      <c r="A561" s="1"/>
      <c r="B561" s="1"/>
      <c r="C561" s="169"/>
      <c r="D561" s="169"/>
      <c r="E561" s="168"/>
      <c r="F561" s="169"/>
      <c r="G561" s="170"/>
      <c r="H561" s="1"/>
      <c r="I561" s="1"/>
      <c r="J561" s="1"/>
      <c r="K561" s="1"/>
      <c r="L561" s="1"/>
      <c r="M561" s="331">
        <f>P561</f>
      </c>
      <c r="N561" s="335">
        <f>+IF(O561&lt;N560,O561,N560)</f>
      </c>
      <c r="O561" s="335">
        <f>+(O560-N560)*(1+$E$13)</f>
      </c>
      <c r="P561" s="332">
        <v>556</v>
      </c>
      <c r="Q561" s="1"/>
      <c r="R561" s="331">
        <f>U561</f>
      </c>
      <c r="S561" s="335">
        <f>+IF(T561&lt;S560,T561,S560)</f>
      </c>
      <c r="T561" s="335">
        <f>+(T560-S560)*(1+$E$14)</f>
      </c>
      <c r="U561" s="332">
        <v>556</v>
      </c>
      <c r="V561" s="1"/>
      <c r="W561" s="331">
        <f>Z561</f>
      </c>
      <c r="X561" s="336">
        <f>+IF(Y561&lt;X560,Y561,X560)</f>
      </c>
      <c r="Y561" s="337">
        <f>+(Y560-X560)*(1+$E$15)</f>
      </c>
      <c r="Z561" s="332">
        <v>556</v>
      </c>
      <c r="AA561" s="1"/>
      <c r="AB561" s="331">
        <f>AE561</f>
      </c>
      <c r="AC561" s="336">
        <f>+IF(AD561&lt;AC560,AD561,AC560)</f>
      </c>
      <c r="AD561" s="337">
        <f>+(AD560-AC560)*(1+$E$16)</f>
      </c>
      <c r="AE561" s="332">
        <v>556</v>
      </c>
    </row>
    <row x14ac:dyDescent="0.25" r="562" customHeight="1" ht="18.75">
      <c r="A562" s="1"/>
      <c r="B562" s="1"/>
      <c r="C562" s="169"/>
      <c r="D562" s="169"/>
      <c r="E562" s="168"/>
      <c r="F562" s="169"/>
      <c r="G562" s="170"/>
      <c r="H562" s="1"/>
      <c r="I562" s="1"/>
      <c r="J562" s="1"/>
      <c r="K562" s="1"/>
      <c r="L562" s="1"/>
      <c r="M562" s="331">
        <f>P562</f>
      </c>
      <c r="N562" s="335">
        <f>+IF(O562&lt;N561,O562,N561)</f>
      </c>
      <c r="O562" s="335">
        <f>+(O561-N561)*(1+$E$13)</f>
      </c>
      <c r="P562" s="332">
        <v>557</v>
      </c>
      <c r="Q562" s="1"/>
      <c r="R562" s="331">
        <f>U562</f>
      </c>
      <c r="S562" s="335">
        <f>+IF(T562&lt;S561,T562,S561)</f>
      </c>
      <c r="T562" s="335">
        <f>+(T561-S561)*(1+$E$14)</f>
      </c>
      <c r="U562" s="332">
        <v>557</v>
      </c>
      <c r="V562" s="1"/>
      <c r="W562" s="331">
        <f>Z562</f>
      </c>
      <c r="X562" s="336">
        <f>+IF(Y562&lt;X561,Y562,X561)</f>
      </c>
      <c r="Y562" s="337">
        <f>+(Y561-X561)*(1+$E$15)</f>
      </c>
      <c r="Z562" s="332">
        <v>557</v>
      </c>
      <c r="AA562" s="1"/>
      <c r="AB562" s="331">
        <f>AE562</f>
      </c>
      <c r="AC562" s="336">
        <f>+IF(AD562&lt;AC561,AD562,AC561)</f>
      </c>
      <c r="AD562" s="337">
        <f>+(AD561-AC561)*(1+$E$16)</f>
      </c>
      <c r="AE562" s="332">
        <v>557</v>
      </c>
    </row>
    <row x14ac:dyDescent="0.25" r="563" customHeight="1" ht="18.75">
      <c r="A563" s="1"/>
      <c r="B563" s="1"/>
      <c r="C563" s="169"/>
      <c r="D563" s="169"/>
      <c r="E563" s="168"/>
      <c r="F563" s="169"/>
      <c r="G563" s="170"/>
      <c r="H563" s="1"/>
      <c r="I563" s="1"/>
      <c r="J563" s="1"/>
      <c r="K563" s="1"/>
      <c r="L563" s="1"/>
      <c r="M563" s="331">
        <f>P563</f>
      </c>
      <c r="N563" s="335">
        <f>+IF(O563&lt;N562,O563,N562)</f>
      </c>
      <c r="O563" s="335">
        <f>+(O562-N562)*(1+$E$13)</f>
      </c>
      <c r="P563" s="332">
        <v>558</v>
      </c>
      <c r="Q563" s="1"/>
      <c r="R563" s="331">
        <f>U563</f>
      </c>
      <c r="S563" s="335">
        <f>+IF(T563&lt;S562,T563,S562)</f>
      </c>
      <c r="T563" s="335">
        <f>+(T562-S562)*(1+$E$14)</f>
      </c>
      <c r="U563" s="332">
        <v>558</v>
      </c>
      <c r="V563" s="1"/>
      <c r="W563" s="331">
        <f>Z563</f>
      </c>
      <c r="X563" s="336">
        <f>+IF(Y563&lt;X562,Y563,X562)</f>
      </c>
      <c r="Y563" s="337">
        <f>+(Y562-X562)*(1+$E$15)</f>
      </c>
      <c r="Z563" s="332">
        <v>558</v>
      </c>
      <c r="AA563" s="1"/>
      <c r="AB563" s="331">
        <f>AE563</f>
      </c>
      <c r="AC563" s="336">
        <f>+IF(AD563&lt;AC562,AD563,AC562)</f>
      </c>
      <c r="AD563" s="337">
        <f>+(AD562-AC562)*(1+$E$16)</f>
      </c>
      <c r="AE563" s="332">
        <v>558</v>
      </c>
    </row>
    <row x14ac:dyDescent="0.25" r="564" customHeight="1" ht="18.75">
      <c r="A564" s="1"/>
      <c r="B564" s="1"/>
      <c r="C564" s="169"/>
      <c r="D564" s="169"/>
      <c r="E564" s="168"/>
      <c r="F564" s="169"/>
      <c r="G564" s="170"/>
      <c r="H564" s="1"/>
      <c r="I564" s="1"/>
      <c r="J564" s="1"/>
      <c r="K564" s="1"/>
      <c r="L564" s="1"/>
      <c r="M564" s="331">
        <f>P564</f>
      </c>
      <c r="N564" s="335">
        <f>+IF(O564&lt;N563,O564,N563)</f>
      </c>
      <c r="O564" s="335">
        <f>+(O563-N563)*(1+$E$13)</f>
      </c>
      <c r="P564" s="332">
        <v>559</v>
      </c>
      <c r="Q564" s="1"/>
      <c r="R564" s="331">
        <f>U564</f>
      </c>
      <c r="S564" s="335">
        <f>+IF(T564&lt;S563,T564,S563)</f>
      </c>
      <c r="T564" s="335">
        <f>+(T563-S563)*(1+$E$14)</f>
      </c>
      <c r="U564" s="332">
        <v>559</v>
      </c>
      <c r="V564" s="1"/>
      <c r="W564" s="331">
        <f>Z564</f>
      </c>
      <c r="X564" s="336">
        <f>+IF(Y564&lt;X563,Y564,X563)</f>
      </c>
      <c r="Y564" s="337">
        <f>+(Y563-X563)*(1+$E$15)</f>
      </c>
      <c r="Z564" s="332">
        <v>559</v>
      </c>
      <c r="AA564" s="1"/>
      <c r="AB564" s="331">
        <f>AE564</f>
      </c>
      <c r="AC564" s="336">
        <f>+IF(AD564&lt;AC563,AD564,AC563)</f>
      </c>
      <c r="AD564" s="337">
        <f>+(AD563-AC563)*(1+$E$16)</f>
      </c>
      <c r="AE564" s="332">
        <v>559</v>
      </c>
    </row>
    <row x14ac:dyDescent="0.25" r="565" customHeight="1" ht="18.75">
      <c r="A565" s="1"/>
      <c r="B565" s="1"/>
      <c r="C565" s="169"/>
      <c r="D565" s="169"/>
      <c r="E565" s="168"/>
      <c r="F565" s="169"/>
      <c r="G565" s="170"/>
      <c r="H565" s="1"/>
      <c r="I565" s="1"/>
      <c r="J565" s="1"/>
      <c r="K565" s="1"/>
      <c r="L565" s="1"/>
      <c r="M565" s="331">
        <f>P565</f>
      </c>
      <c r="N565" s="335">
        <f>+IF(O565&lt;N564,O565,N564)</f>
      </c>
      <c r="O565" s="335">
        <f>+(O564-N564)*(1+$E$13)</f>
      </c>
      <c r="P565" s="332">
        <v>560</v>
      </c>
      <c r="Q565" s="1"/>
      <c r="R565" s="331">
        <f>U565</f>
      </c>
      <c r="S565" s="335">
        <f>+IF(T565&lt;S564,T565,S564)</f>
      </c>
      <c r="T565" s="335">
        <f>+(T564-S564)*(1+$E$14)</f>
      </c>
      <c r="U565" s="332">
        <v>560</v>
      </c>
      <c r="V565" s="1"/>
      <c r="W565" s="331">
        <f>Z565</f>
      </c>
      <c r="X565" s="336">
        <f>+IF(Y565&lt;X564,Y565,X564)</f>
      </c>
      <c r="Y565" s="337">
        <f>+(Y564-X564)*(1+$E$15)</f>
      </c>
      <c r="Z565" s="332">
        <v>560</v>
      </c>
      <c r="AA565" s="1"/>
      <c r="AB565" s="331">
        <f>AE565</f>
      </c>
      <c r="AC565" s="336">
        <f>+IF(AD565&lt;AC564,AD565,AC564)</f>
      </c>
      <c r="AD565" s="337">
        <f>+(AD564-AC564)*(1+$E$16)</f>
      </c>
      <c r="AE565" s="332">
        <v>560</v>
      </c>
    </row>
    <row x14ac:dyDescent="0.25" r="566" customHeight="1" ht="18.75">
      <c r="A566" s="1"/>
      <c r="B566" s="1"/>
      <c r="C566" s="169"/>
      <c r="D566" s="169"/>
      <c r="E566" s="168"/>
      <c r="F566" s="169"/>
      <c r="G566" s="170"/>
      <c r="H566" s="1"/>
      <c r="I566" s="1"/>
      <c r="J566" s="1"/>
      <c r="K566" s="1"/>
      <c r="L566" s="1"/>
      <c r="M566" s="331">
        <f>P566</f>
      </c>
      <c r="N566" s="335">
        <f>+IF(O566&lt;N565,O566,N565)</f>
      </c>
      <c r="O566" s="335">
        <f>+(O565-N565)*(1+$E$13)</f>
      </c>
      <c r="P566" s="332">
        <v>561</v>
      </c>
      <c r="Q566" s="1"/>
      <c r="R566" s="331">
        <f>U566</f>
      </c>
      <c r="S566" s="335">
        <f>+IF(T566&lt;S565,T566,S565)</f>
      </c>
      <c r="T566" s="335">
        <f>+(T565-S565)*(1+$E$14)</f>
      </c>
      <c r="U566" s="332">
        <v>561</v>
      </c>
      <c r="V566" s="1"/>
      <c r="W566" s="331">
        <f>Z566</f>
      </c>
      <c r="X566" s="336">
        <f>+IF(Y566&lt;X565,Y566,X565)</f>
      </c>
      <c r="Y566" s="337">
        <f>+(Y565-X565)*(1+$E$15)</f>
      </c>
      <c r="Z566" s="332">
        <v>561</v>
      </c>
      <c r="AA566" s="1"/>
      <c r="AB566" s="331">
        <f>AE566</f>
      </c>
      <c r="AC566" s="336">
        <f>+IF(AD566&lt;AC565,AD566,AC565)</f>
      </c>
      <c r="AD566" s="337">
        <f>+(AD565-AC565)*(1+$E$16)</f>
      </c>
      <c r="AE566" s="332">
        <v>561</v>
      </c>
    </row>
    <row x14ac:dyDescent="0.25" r="567" customHeight="1" ht="18.75">
      <c r="A567" s="1"/>
      <c r="B567" s="1"/>
      <c r="C567" s="169"/>
      <c r="D567" s="169"/>
      <c r="E567" s="168"/>
      <c r="F567" s="169"/>
      <c r="G567" s="170"/>
      <c r="H567" s="1"/>
      <c r="I567" s="1"/>
      <c r="J567" s="1"/>
      <c r="K567" s="1"/>
      <c r="L567" s="1"/>
      <c r="M567" s="331">
        <f>P567</f>
      </c>
      <c r="N567" s="335">
        <f>+IF(O567&lt;N566,O567,N566)</f>
      </c>
      <c r="O567" s="335">
        <f>+(O566-N566)*(1+$E$13)</f>
      </c>
      <c r="P567" s="332">
        <v>562</v>
      </c>
      <c r="Q567" s="1"/>
      <c r="R567" s="331">
        <f>U567</f>
      </c>
      <c r="S567" s="335">
        <f>+IF(T567&lt;S566,T567,S566)</f>
      </c>
      <c r="T567" s="335">
        <f>+(T566-S566)*(1+$E$14)</f>
      </c>
      <c r="U567" s="332">
        <v>562</v>
      </c>
      <c r="V567" s="1"/>
      <c r="W567" s="331">
        <f>Z567</f>
      </c>
      <c r="X567" s="336">
        <f>+IF(Y567&lt;X566,Y567,X566)</f>
      </c>
      <c r="Y567" s="337">
        <f>+(Y566-X566)*(1+$E$15)</f>
      </c>
      <c r="Z567" s="332">
        <v>562</v>
      </c>
      <c r="AA567" s="1"/>
      <c r="AB567" s="331">
        <f>AE567</f>
      </c>
      <c r="AC567" s="336">
        <f>+IF(AD567&lt;AC566,AD567,AC566)</f>
      </c>
      <c r="AD567" s="337">
        <f>+(AD566-AC566)*(1+$E$16)</f>
      </c>
      <c r="AE567" s="332">
        <v>562</v>
      </c>
    </row>
    <row x14ac:dyDescent="0.25" r="568" customHeight="1" ht="18.75">
      <c r="A568" s="1"/>
      <c r="B568" s="1"/>
      <c r="C568" s="169"/>
      <c r="D568" s="169"/>
      <c r="E568" s="168"/>
      <c r="F568" s="169"/>
      <c r="G568" s="170"/>
      <c r="H568" s="1"/>
      <c r="I568" s="1"/>
      <c r="J568" s="1"/>
      <c r="K568" s="1"/>
      <c r="L568" s="1"/>
      <c r="M568" s="331">
        <f>P568</f>
      </c>
      <c r="N568" s="335">
        <f>+IF(O568&lt;N567,O568,N567)</f>
      </c>
      <c r="O568" s="335">
        <f>+(O567-N567)*(1+$E$13)</f>
      </c>
      <c r="P568" s="332">
        <v>563</v>
      </c>
      <c r="Q568" s="1"/>
      <c r="R568" s="331">
        <f>U568</f>
      </c>
      <c r="S568" s="335">
        <f>+IF(T568&lt;S567,T568,S567)</f>
      </c>
      <c r="T568" s="335">
        <f>+(T567-S567)*(1+$E$14)</f>
      </c>
      <c r="U568" s="332">
        <v>563</v>
      </c>
      <c r="V568" s="1"/>
      <c r="W568" s="331">
        <f>Z568</f>
      </c>
      <c r="X568" s="336">
        <f>+IF(Y568&lt;X567,Y568,X567)</f>
      </c>
      <c r="Y568" s="337">
        <f>+(Y567-X567)*(1+$E$15)</f>
      </c>
      <c r="Z568" s="332">
        <v>563</v>
      </c>
      <c r="AA568" s="1"/>
      <c r="AB568" s="331">
        <f>AE568</f>
      </c>
      <c r="AC568" s="336">
        <f>+IF(AD568&lt;AC567,AD568,AC567)</f>
      </c>
      <c r="AD568" s="337">
        <f>+(AD567-AC567)*(1+$E$16)</f>
      </c>
      <c r="AE568" s="332">
        <v>563</v>
      </c>
    </row>
    <row x14ac:dyDescent="0.25" r="569" customHeight="1" ht="18.75">
      <c r="A569" s="1"/>
      <c r="B569" s="1"/>
      <c r="C569" s="169"/>
      <c r="D569" s="169"/>
      <c r="E569" s="168"/>
      <c r="F569" s="169"/>
      <c r="G569" s="170"/>
      <c r="H569" s="1"/>
      <c r="I569" s="1"/>
      <c r="J569" s="1"/>
      <c r="K569" s="1"/>
      <c r="L569" s="1"/>
      <c r="M569" s="331">
        <f>P569</f>
      </c>
      <c r="N569" s="335">
        <f>+IF(O569&lt;N568,O569,N568)</f>
      </c>
      <c r="O569" s="335">
        <f>+(O568-N568)*(1+$E$13)</f>
      </c>
      <c r="P569" s="332">
        <v>564</v>
      </c>
      <c r="Q569" s="1"/>
      <c r="R569" s="331">
        <f>U569</f>
      </c>
      <c r="S569" s="335">
        <f>+IF(T569&lt;S568,T569,S568)</f>
      </c>
      <c r="T569" s="335">
        <f>+(T568-S568)*(1+$E$14)</f>
      </c>
      <c r="U569" s="332">
        <v>564</v>
      </c>
      <c r="V569" s="1"/>
      <c r="W569" s="331">
        <f>Z569</f>
      </c>
      <c r="X569" s="336">
        <f>+IF(Y569&lt;X568,Y569,X568)</f>
      </c>
      <c r="Y569" s="337">
        <f>+(Y568-X568)*(1+$E$15)</f>
      </c>
      <c r="Z569" s="332">
        <v>564</v>
      </c>
      <c r="AA569" s="1"/>
      <c r="AB569" s="331">
        <f>AE569</f>
      </c>
      <c r="AC569" s="336">
        <f>+IF(AD569&lt;AC568,AD569,AC568)</f>
      </c>
      <c r="AD569" s="337">
        <f>+(AD568-AC568)*(1+$E$16)</f>
      </c>
      <c r="AE569" s="332">
        <v>564</v>
      </c>
    </row>
    <row x14ac:dyDescent="0.25" r="570" customHeight="1" ht="18.75">
      <c r="A570" s="1"/>
      <c r="B570" s="1"/>
      <c r="C570" s="169"/>
      <c r="D570" s="169"/>
      <c r="E570" s="168"/>
      <c r="F570" s="169"/>
      <c r="G570" s="170"/>
      <c r="H570" s="1"/>
      <c r="I570" s="1"/>
      <c r="J570" s="1"/>
      <c r="K570" s="1"/>
      <c r="L570" s="1"/>
      <c r="M570" s="331">
        <f>P570</f>
      </c>
      <c r="N570" s="335">
        <f>+IF(O570&lt;N569,O570,N569)</f>
      </c>
      <c r="O570" s="335">
        <f>+(O569-N569)*(1+$E$13)</f>
      </c>
      <c r="P570" s="332">
        <v>565</v>
      </c>
      <c r="Q570" s="1"/>
      <c r="R570" s="331">
        <f>U570</f>
      </c>
      <c r="S570" s="335">
        <f>+IF(T570&lt;S569,T570,S569)</f>
      </c>
      <c r="T570" s="335">
        <f>+(T569-S569)*(1+$E$14)</f>
      </c>
      <c r="U570" s="332">
        <v>565</v>
      </c>
      <c r="V570" s="1"/>
      <c r="W570" s="331">
        <f>Z570</f>
      </c>
      <c r="X570" s="336">
        <f>+IF(Y570&lt;X569,Y570,X569)</f>
      </c>
      <c r="Y570" s="337">
        <f>+(Y569-X569)*(1+$E$15)</f>
      </c>
      <c r="Z570" s="332">
        <v>565</v>
      </c>
      <c r="AA570" s="1"/>
      <c r="AB570" s="331">
        <f>AE570</f>
      </c>
      <c r="AC570" s="336">
        <f>+IF(AD570&lt;AC569,AD570,AC569)</f>
      </c>
      <c r="AD570" s="337">
        <f>+(AD569-AC569)*(1+$E$16)</f>
      </c>
      <c r="AE570" s="332">
        <v>565</v>
      </c>
    </row>
    <row x14ac:dyDescent="0.25" r="571" customHeight="1" ht="18.75">
      <c r="A571" s="1"/>
      <c r="B571" s="1"/>
      <c r="C571" s="169"/>
      <c r="D571" s="169"/>
      <c r="E571" s="168"/>
      <c r="F571" s="169"/>
      <c r="G571" s="170"/>
      <c r="H571" s="1"/>
      <c r="I571" s="1"/>
      <c r="J571" s="1"/>
      <c r="K571" s="1"/>
      <c r="L571" s="1"/>
      <c r="M571" s="331">
        <f>P571</f>
      </c>
      <c r="N571" s="335">
        <f>+IF(O571&lt;N570,O571,N570)</f>
      </c>
      <c r="O571" s="335">
        <f>+(O570-N570)*(1+$E$13)</f>
      </c>
      <c r="P571" s="332">
        <v>566</v>
      </c>
      <c r="Q571" s="1"/>
      <c r="R571" s="331">
        <f>U571</f>
      </c>
      <c r="S571" s="335">
        <f>+IF(T571&lt;S570,T571,S570)</f>
      </c>
      <c r="T571" s="335">
        <f>+(T570-S570)*(1+$E$14)</f>
      </c>
      <c r="U571" s="332">
        <v>566</v>
      </c>
      <c r="V571" s="1"/>
      <c r="W571" s="331">
        <f>Z571</f>
      </c>
      <c r="X571" s="336">
        <f>+IF(Y571&lt;X570,Y571,X570)</f>
      </c>
      <c r="Y571" s="337">
        <f>+(Y570-X570)*(1+$E$15)</f>
      </c>
      <c r="Z571" s="332">
        <v>566</v>
      </c>
      <c r="AA571" s="1"/>
      <c r="AB571" s="331">
        <f>AE571</f>
      </c>
      <c r="AC571" s="336">
        <f>+IF(AD571&lt;AC570,AD571,AC570)</f>
      </c>
      <c r="AD571" s="337">
        <f>+(AD570-AC570)*(1+$E$16)</f>
      </c>
      <c r="AE571" s="332">
        <v>566</v>
      </c>
    </row>
    <row x14ac:dyDescent="0.25" r="572" customHeight="1" ht="18.75">
      <c r="A572" s="1"/>
      <c r="B572" s="1"/>
      <c r="C572" s="169"/>
      <c r="D572" s="169"/>
      <c r="E572" s="168"/>
      <c r="F572" s="169"/>
      <c r="G572" s="170"/>
      <c r="H572" s="1"/>
      <c r="I572" s="1"/>
      <c r="J572" s="1"/>
      <c r="K572" s="1"/>
      <c r="L572" s="1"/>
      <c r="M572" s="331">
        <f>P572</f>
      </c>
      <c r="N572" s="335">
        <f>+IF(O572&lt;N571,O572,N571)</f>
      </c>
      <c r="O572" s="335">
        <f>+(O571-N571)*(1+$E$13)</f>
      </c>
      <c r="P572" s="332">
        <v>567</v>
      </c>
      <c r="Q572" s="1"/>
      <c r="R572" s="331">
        <f>U572</f>
      </c>
      <c r="S572" s="335">
        <f>+IF(T572&lt;S571,T572,S571)</f>
      </c>
      <c r="T572" s="335">
        <f>+(T571-S571)*(1+$E$14)</f>
      </c>
      <c r="U572" s="332">
        <v>567</v>
      </c>
      <c r="V572" s="1"/>
      <c r="W572" s="331">
        <f>Z572</f>
      </c>
      <c r="X572" s="336">
        <f>+IF(Y572&lt;X571,Y572,X571)</f>
      </c>
      <c r="Y572" s="337">
        <f>+(Y571-X571)*(1+$E$15)</f>
      </c>
      <c r="Z572" s="332">
        <v>567</v>
      </c>
      <c r="AA572" s="1"/>
      <c r="AB572" s="331">
        <f>AE572</f>
      </c>
      <c r="AC572" s="336">
        <f>+IF(AD572&lt;AC571,AD572,AC571)</f>
      </c>
      <c r="AD572" s="337">
        <f>+(AD571-AC571)*(1+$E$16)</f>
      </c>
      <c r="AE572" s="332">
        <v>567</v>
      </c>
    </row>
    <row x14ac:dyDescent="0.25" r="573" customHeight="1" ht="18.75">
      <c r="A573" s="1"/>
      <c r="B573" s="1"/>
      <c r="C573" s="169"/>
      <c r="D573" s="169"/>
      <c r="E573" s="168"/>
      <c r="F573" s="169"/>
      <c r="G573" s="170"/>
      <c r="H573" s="1"/>
      <c r="I573" s="1"/>
      <c r="J573" s="1"/>
      <c r="K573" s="1"/>
      <c r="L573" s="1"/>
      <c r="M573" s="331">
        <f>P573</f>
      </c>
      <c r="N573" s="335">
        <f>+IF(O573&lt;N572,O573,N572)</f>
      </c>
      <c r="O573" s="335">
        <f>+(O572-N572)*(1+$E$13)</f>
      </c>
      <c r="P573" s="332">
        <v>568</v>
      </c>
      <c r="Q573" s="1"/>
      <c r="R573" s="331">
        <f>U573</f>
      </c>
      <c r="S573" s="335">
        <f>+IF(T573&lt;S572,T573,S572)</f>
      </c>
      <c r="T573" s="335">
        <f>+(T572-S572)*(1+$E$14)</f>
      </c>
      <c r="U573" s="332">
        <v>568</v>
      </c>
      <c r="V573" s="1"/>
      <c r="W573" s="331">
        <f>Z573</f>
      </c>
      <c r="X573" s="336">
        <f>+IF(Y573&lt;X572,Y573,X572)</f>
      </c>
      <c r="Y573" s="337">
        <f>+(Y572-X572)*(1+$E$15)</f>
      </c>
      <c r="Z573" s="332">
        <v>568</v>
      </c>
      <c r="AA573" s="1"/>
      <c r="AB573" s="331">
        <f>AE573</f>
      </c>
      <c r="AC573" s="336">
        <f>+IF(AD573&lt;AC572,AD573,AC572)</f>
      </c>
      <c r="AD573" s="337">
        <f>+(AD572-AC572)*(1+$E$16)</f>
      </c>
      <c r="AE573" s="332">
        <v>568</v>
      </c>
    </row>
    <row x14ac:dyDescent="0.25" r="574" customHeight="1" ht="18.75">
      <c r="A574" s="1"/>
      <c r="B574" s="1"/>
      <c r="C574" s="169"/>
      <c r="D574" s="169"/>
      <c r="E574" s="168"/>
      <c r="F574" s="169"/>
      <c r="G574" s="170"/>
      <c r="H574" s="1"/>
      <c r="I574" s="1"/>
      <c r="J574" s="1"/>
      <c r="K574" s="1"/>
      <c r="L574" s="1"/>
      <c r="M574" s="331">
        <f>P574</f>
      </c>
      <c r="N574" s="335">
        <f>+IF(O574&lt;N573,O574,N573)</f>
      </c>
      <c r="O574" s="335">
        <f>+(O573-N573)*(1+$E$13)</f>
      </c>
      <c r="P574" s="332">
        <v>569</v>
      </c>
      <c r="Q574" s="1"/>
      <c r="R574" s="331">
        <f>U574</f>
      </c>
      <c r="S574" s="335">
        <f>+IF(T574&lt;S573,T574,S573)</f>
      </c>
      <c r="T574" s="335">
        <f>+(T573-S573)*(1+$E$14)</f>
      </c>
      <c r="U574" s="332">
        <v>569</v>
      </c>
      <c r="V574" s="1"/>
      <c r="W574" s="331">
        <f>Z574</f>
      </c>
      <c r="X574" s="336">
        <f>+IF(Y574&lt;X573,Y574,X573)</f>
      </c>
      <c r="Y574" s="337">
        <f>+(Y573-X573)*(1+$E$15)</f>
      </c>
      <c r="Z574" s="332">
        <v>569</v>
      </c>
      <c r="AA574" s="1"/>
      <c r="AB574" s="331">
        <f>AE574</f>
      </c>
      <c r="AC574" s="336">
        <f>+IF(AD574&lt;AC573,AD574,AC573)</f>
      </c>
      <c r="AD574" s="337">
        <f>+(AD573-AC573)*(1+$E$16)</f>
      </c>
      <c r="AE574" s="332">
        <v>569</v>
      </c>
    </row>
    <row x14ac:dyDescent="0.25" r="575" customHeight="1" ht="18.75">
      <c r="A575" s="1"/>
      <c r="B575" s="1"/>
      <c r="C575" s="169"/>
      <c r="D575" s="169"/>
      <c r="E575" s="168"/>
      <c r="F575" s="169"/>
      <c r="G575" s="170"/>
      <c r="H575" s="1"/>
      <c r="I575" s="1"/>
      <c r="J575" s="1"/>
      <c r="K575" s="1"/>
      <c r="L575" s="1"/>
      <c r="M575" s="331">
        <f>P575</f>
      </c>
      <c r="N575" s="335">
        <f>+IF(O575&lt;N574,O575,N574)</f>
      </c>
      <c r="O575" s="335">
        <f>+(O574-N574)*(1+$E$13)</f>
      </c>
      <c r="P575" s="332">
        <v>570</v>
      </c>
      <c r="Q575" s="1"/>
      <c r="R575" s="331">
        <f>U575</f>
      </c>
      <c r="S575" s="335">
        <f>+IF(T575&lt;S574,T575,S574)</f>
      </c>
      <c r="T575" s="335">
        <f>+(T574-S574)*(1+$E$14)</f>
      </c>
      <c r="U575" s="332">
        <v>570</v>
      </c>
      <c r="V575" s="1"/>
      <c r="W575" s="331">
        <f>Z575</f>
      </c>
      <c r="X575" s="336">
        <f>+IF(Y575&lt;X574,Y575,X574)</f>
      </c>
      <c r="Y575" s="337">
        <f>+(Y574-X574)*(1+$E$15)</f>
      </c>
      <c r="Z575" s="332">
        <v>570</v>
      </c>
      <c r="AA575" s="1"/>
      <c r="AB575" s="331">
        <f>AE575</f>
      </c>
      <c r="AC575" s="336">
        <f>+IF(AD575&lt;AC574,AD575,AC574)</f>
      </c>
      <c r="AD575" s="337">
        <f>+(AD574-AC574)*(1+$E$16)</f>
      </c>
      <c r="AE575" s="332">
        <v>570</v>
      </c>
    </row>
    <row x14ac:dyDescent="0.25" r="576" customHeight="1" ht="18.75">
      <c r="A576" s="1"/>
      <c r="B576" s="1"/>
      <c r="C576" s="169"/>
      <c r="D576" s="169"/>
      <c r="E576" s="168"/>
      <c r="F576" s="169"/>
      <c r="G576" s="170"/>
      <c r="H576" s="1"/>
      <c r="I576" s="1"/>
      <c r="J576" s="1"/>
      <c r="K576" s="1"/>
      <c r="L576" s="1"/>
      <c r="M576" s="331">
        <f>P576</f>
      </c>
      <c r="N576" s="335">
        <f>+IF(O576&lt;N575,O576,N575)</f>
      </c>
      <c r="O576" s="335">
        <f>+(O575-N575)*(1+$E$13)</f>
      </c>
      <c r="P576" s="332">
        <v>571</v>
      </c>
      <c r="Q576" s="1"/>
      <c r="R576" s="331">
        <f>U576</f>
      </c>
      <c r="S576" s="335">
        <f>+IF(T576&lt;S575,T576,S575)</f>
      </c>
      <c r="T576" s="335">
        <f>+(T575-S575)*(1+$E$14)</f>
      </c>
      <c r="U576" s="332">
        <v>571</v>
      </c>
      <c r="V576" s="1"/>
      <c r="W576" s="331">
        <f>Z576</f>
      </c>
      <c r="X576" s="336">
        <f>+IF(Y576&lt;X575,Y576,X575)</f>
      </c>
      <c r="Y576" s="337">
        <f>+(Y575-X575)*(1+$E$15)</f>
      </c>
      <c r="Z576" s="332">
        <v>571</v>
      </c>
      <c r="AA576" s="1"/>
      <c r="AB576" s="331">
        <f>AE576</f>
      </c>
      <c r="AC576" s="336">
        <f>+IF(AD576&lt;AC575,AD576,AC575)</f>
      </c>
      <c r="AD576" s="337">
        <f>+(AD575-AC575)*(1+$E$16)</f>
      </c>
      <c r="AE576" s="332">
        <v>571</v>
      </c>
    </row>
    <row x14ac:dyDescent="0.25" r="577" customHeight="1" ht="18.75">
      <c r="A577" s="1"/>
      <c r="B577" s="1"/>
      <c r="C577" s="169"/>
      <c r="D577" s="169"/>
      <c r="E577" s="168"/>
      <c r="F577" s="169"/>
      <c r="G577" s="170"/>
      <c r="H577" s="1"/>
      <c r="I577" s="1"/>
      <c r="J577" s="1"/>
      <c r="K577" s="1"/>
      <c r="L577" s="1"/>
      <c r="M577" s="331">
        <f>P577</f>
      </c>
      <c r="N577" s="335">
        <f>+IF(O577&lt;N576,O577,N576)</f>
      </c>
      <c r="O577" s="335">
        <f>+(O576-N576)*(1+$E$13)</f>
      </c>
      <c r="P577" s="332">
        <v>572</v>
      </c>
      <c r="Q577" s="1"/>
      <c r="R577" s="331">
        <f>U577</f>
      </c>
      <c r="S577" s="335">
        <f>+IF(T577&lt;S576,T577,S576)</f>
      </c>
      <c r="T577" s="335">
        <f>+(T576-S576)*(1+$E$14)</f>
      </c>
      <c r="U577" s="332">
        <v>572</v>
      </c>
      <c r="V577" s="1"/>
      <c r="W577" s="331">
        <f>Z577</f>
      </c>
      <c r="X577" s="336">
        <f>+IF(Y577&lt;X576,Y577,X576)</f>
      </c>
      <c r="Y577" s="337">
        <f>+(Y576-X576)*(1+$E$15)</f>
      </c>
      <c r="Z577" s="332">
        <v>572</v>
      </c>
      <c r="AA577" s="1"/>
      <c r="AB577" s="331">
        <f>AE577</f>
      </c>
      <c r="AC577" s="336">
        <f>+IF(AD577&lt;AC576,AD577,AC576)</f>
      </c>
      <c r="AD577" s="337">
        <f>+(AD576-AC576)*(1+$E$16)</f>
      </c>
      <c r="AE577" s="332">
        <v>572</v>
      </c>
    </row>
    <row x14ac:dyDescent="0.25" r="578" customHeight="1" ht="18.75">
      <c r="A578" s="1"/>
      <c r="B578" s="1"/>
      <c r="C578" s="169"/>
      <c r="D578" s="169"/>
      <c r="E578" s="168"/>
      <c r="F578" s="169"/>
      <c r="G578" s="170"/>
      <c r="H578" s="1"/>
      <c r="I578" s="1"/>
      <c r="J578" s="1"/>
      <c r="K578" s="1"/>
      <c r="L578" s="1"/>
      <c r="M578" s="331">
        <f>P578</f>
      </c>
      <c r="N578" s="335">
        <f>+IF(O578&lt;N577,O578,N577)</f>
      </c>
      <c r="O578" s="335">
        <f>+(O577-N577)*(1+$E$13)</f>
      </c>
      <c r="P578" s="332">
        <v>573</v>
      </c>
      <c r="Q578" s="1"/>
      <c r="R578" s="331">
        <f>U578</f>
      </c>
      <c r="S578" s="335">
        <f>+IF(T578&lt;S577,T578,S577)</f>
      </c>
      <c r="T578" s="335">
        <f>+(T577-S577)*(1+$E$14)</f>
      </c>
      <c r="U578" s="332">
        <v>573</v>
      </c>
      <c r="V578" s="1"/>
      <c r="W578" s="331">
        <f>Z578</f>
      </c>
      <c r="X578" s="336">
        <f>+IF(Y578&lt;X577,Y578,X577)</f>
      </c>
      <c r="Y578" s="337">
        <f>+(Y577-X577)*(1+$E$15)</f>
      </c>
      <c r="Z578" s="332">
        <v>573</v>
      </c>
      <c r="AA578" s="1"/>
      <c r="AB578" s="331">
        <f>AE578</f>
      </c>
      <c r="AC578" s="336">
        <f>+IF(AD578&lt;AC577,AD578,AC577)</f>
      </c>
      <c r="AD578" s="337">
        <f>+(AD577-AC577)*(1+$E$16)</f>
      </c>
      <c r="AE578" s="332">
        <v>573</v>
      </c>
    </row>
    <row x14ac:dyDescent="0.25" r="579" customHeight="1" ht="18.75">
      <c r="A579" s="1"/>
      <c r="B579" s="1"/>
      <c r="C579" s="169"/>
      <c r="D579" s="169"/>
      <c r="E579" s="168"/>
      <c r="F579" s="169"/>
      <c r="G579" s="170"/>
      <c r="H579" s="1"/>
      <c r="I579" s="1"/>
      <c r="J579" s="1"/>
      <c r="K579" s="1"/>
      <c r="L579" s="1"/>
      <c r="M579" s="331">
        <f>P579</f>
      </c>
      <c r="N579" s="335">
        <f>+IF(O579&lt;N578,O579,N578)</f>
      </c>
      <c r="O579" s="335">
        <f>+(O578-N578)*(1+$E$13)</f>
      </c>
      <c r="P579" s="332">
        <v>574</v>
      </c>
      <c r="Q579" s="1"/>
      <c r="R579" s="331">
        <f>U579</f>
      </c>
      <c r="S579" s="335">
        <f>+IF(T579&lt;S578,T579,S578)</f>
      </c>
      <c r="T579" s="335">
        <f>+(T578-S578)*(1+$E$14)</f>
      </c>
      <c r="U579" s="332">
        <v>574</v>
      </c>
      <c r="V579" s="1"/>
      <c r="W579" s="331">
        <f>Z579</f>
      </c>
      <c r="X579" s="336">
        <f>+IF(Y579&lt;X578,Y579,X578)</f>
      </c>
      <c r="Y579" s="337">
        <f>+(Y578-X578)*(1+$E$15)</f>
      </c>
      <c r="Z579" s="332">
        <v>574</v>
      </c>
      <c r="AA579" s="1"/>
      <c r="AB579" s="331">
        <f>AE579</f>
      </c>
      <c r="AC579" s="336">
        <f>+IF(AD579&lt;AC578,AD579,AC578)</f>
      </c>
      <c r="AD579" s="337">
        <f>+(AD578-AC578)*(1+$E$16)</f>
      </c>
      <c r="AE579" s="332">
        <v>574</v>
      </c>
    </row>
    <row x14ac:dyDescent="0.25" r="580" customHeight="1" ht="18.75">
      <c r="A580" s="1"/>
      <c r="B580" s="1"/>
      <c r="C580" s="169"/>
      <c r="D580" s="169"/>
      <c r="E580" s="168"/>
      <c r="F580" s="169"/>
      <c r="G580" s="170"/>
      <c r="H580" s="1"/>
      <c r="I580" s="1"/>
      <c r="J580" s="1"/>
      <c r="K580" s="1"/>
      <c r="L580" s="1"/>
      <c r="M580" s="331">
        <f>P580</f>
      </c>
      <c r="N580" s="335">
        <f>+IF(O580&lt;N579,O580,N579)</f>
      </c>
      <c r="O580" s="335">
        <f>+(O579-N579)*(1+$E$13)</f>
      </c>
      <c r="P580" s="332">
        <v>575</v>
      </c>
      <c r="Q580" s="1"/>
      <c r="R580" s="331">
        <f>U580</f>
      </c>
      <c r="S580" s="335">
        <f>+IF(T580&lt;S579,T580,S579)</f>
      </c>
      <c r="T580" s="335">
        <f>+(T579-S579)*(1+$E$14)</f>
      </c>
      <c r="U580" s="332">
        <v>575</v>
      </c>
      <c r="V580" s="1"/>
      <c r="W580" s="331">
        <f>Z580</f>
      </c>
      <c r="X580" s="336">
        <f>+IF(Y580&lt;X579,Y580,X579)</f>
      </c>
      <c r="Y580" s="337">
        <f>+(Y579-X579)*(1+$E$15)</f>
      </c>
      <c r="Z580" s="332">
        <v>575</v>
      </c>
      <c r="AA580" s="1"/>
      <c r="AB580" s="331">
        <f>AE580</f>
      </c>
      <c r="AC580" s="336">
        <f>+IF(AD580&lt;AC579,AD580,AC579)</f>
      </c>
      <c r="AD580" s="337">
        <f>+(AD579-AC579)*(1+$E$16)</f>
      </c>
      <c r="AE580" s="332">
        <v>575</v>
      </c>
    </row>
    <row x14ac:dyDescent="0.25" r="581" customHeight="1" ht="18.75">
      <c r="A581" s="1"/>
      <c r="B581" s="1"/>
      <c r="C581" s="169"/>
      <c r="D581" s="169"/>
      <c r="E581" s="168"/>
      <c r="F581" s="169"/>
      <c r="G581" s="170"/>
      <c r="H581" s="1"/>
      <c r="I581" s="1"/>
      <c r="J581" s="1"/>
      <c r="K581" s="1"/>
      <c r="L581" s="1"/>
      <c r="M581" s="331">
        <f>P581</f>
      </c>
      <c r="N581" s="335">
        <f>+IF(O581&lt;N580,O581,N580)</f>
      </c>
      <c r="O581" s="335">
        <f>+(O580-N580)*(1+$E$13)</f>
      </c>
      <c r="P581" s="332">
        <v>576</v>
      </c>
      <c r="Q581" s="1"/>
      <c r="R581" s="331">
        <f>U581</f>
      </c>
      <c r="S581" s="335">
        <f>+IF(T581&lt;S580,T581,S580)</f>
      </c>
      <c r="T581" s="335">
        <f>+(T580-S580)*(1+$E$14)</f>
      </c>
      <c r="U581" s="332">
        <v>576</v>
      </c>
      <c r="V581" s="1"/>
      <c r="W581" s="331">
        <f>Z581</f>
      </c>
      <c r="X581" s="336">
        <f>+IF(Y581&lt;X580,Y581,X580)</f>
      </c>
      <c r="Y581" s="337">
        <f>+(Y580-X580)*(1+$E$15)</f>
      </c>
      <c r="Z581" s="332">
        <v>576</v>
      </c>
      <c r="AA581" s="1"/>
      <c r="AB581" s="331">
        <f>AE581</f>
      </c>
      <c r="AC581" s="336">
        <f>+IF(AD581&lt;AC580,AD581,AC580)</f>
      </c>
      <c r="AD581" s="337">
        <f>+(AD580-AC580)*(1+$E$16)</f>
      </c>
      <c r="AE581" s="332">
        <v>576</v>
      </c>
    </row>
    <row x14ac:dyDescent="0.25" r="582" customHeight="1" ht="18.75">
      <c r="A582" s="1"/>
      <c r="B582" s="1"/>
      <c r="C582" s="169"/>
      <c r="D582" s="169"/>
      <c r="E582" s="168"/>
      <c r="F582" s="169"/>
      <c r="G582" s="170"/>
      <c r="H582" s="1"/>
      <c r="I582" s="1"/>
      <c r="J582" s="1"/>
      <c r="K582" s="1"/>
      <c r="L582" s="1"/>
      <c r="M582" s="331">
        <f>P582</f>
      </c>
      <c r="N582" s="335">
        <f>+IF(O582&lt;N581,O582,N581)</f>
      </c>
      <c r="O582" s="335">
        <f>+(O581-N581)*(1+$E$13)</f>
      </c>
      <c r="P582" s="332">
        <v>577</v>
      </c>
      <c r="Q582" s="1"/>
      <c r="R582" s="331">
        <f>U582</f>
      </c>
      <c r="S582" s="335">
        <f>+IF(T582&lt;S581,T582,S581)</f>
      </c>
      <c r="T582" s="335">
        <f>+(T581-S581)*(1+$E$14)</f>
      </c>
      <c r="U582" s="332">
        <v>577</v>
      </c>
      <c r="V582" s="1"/>
      <c r="W582" s="331">
        <f>Z582</f>
      </c>
      <c r="X582" s="336">
        <f>+IF(Y582&lt;X581,Y582,X581)</f>
      </c>
      <c r="Y582" s="337">
        <f>+(Y581-X581)*(1+$E$15)</f>
      </c>
      <c r="Z582" s="332">
        <v>577</v>
      </c>
      <c r="AA582" s="1"/>
      <c r="AB582" s="331">
        <f>AE582</f>
      </c>
      <c r="AC582" s="336">
        <f>+IF(AD582&lt;AC581,AD582,AC581)</f>
      </c>
      <c r="AD582" s="337">
        <f>+(AD581-AC581)*(1+$E$16)</f>
      </c>
      <c r="AE582" s="332">
        <v>577</v>
      </c>
    </row>
    <row x14ac:dyDescent="0.25" r="583" customHeight="1" ht="18.75">
      <c r="A583" s="1"/>
      <c r="B583" s="1"/>
      <c r="C583" s="169"/>
      <c r="D583" s="169"/>
      <c r="E583" s="168"/>
      <c r="F583" s="169"/>
      <c r="G583" s="170"/>
      <c r="H583" s="1"/>
      <c r="I583" s="1"/>
      <c r="J583" s="1"/>
      <c r="K583" s="1"/>
      <c r="L583" s="1"/>
      <c r="M583" s="331">
        <f>P583</f>
      </c>
      <c r="N583" s="335">
        <f>+IF(O583&lt;N582,O583,N582)</f>
      </c>
      <c r="O583" s="335">
        <f>+(O582-N582)*(1+$E$13)</f>
      </c>
      <c r="P583" s="332">
        <v>578</v>
      </c>
      <c r="Q583" s="1"/>
      <c r="R583" s="331">
        <f>U583</f>
      </c>
      <c r="S583" s="335">
        <f>+IF(T583&lt;S582,T583,S582)</f>
      </c>
      <c r="T583" s="335">
        <f>+(T582-S582)*(1+$E$14)</f>
      </c>
      <c r="U583" s="332">
        <v>578</v>
      </c>
      <c r="V583" s="1"/>
      <c r="W583" s="331">
        <f>Z583</f>
      </c>
      <c r="X583" s="336">
        <f>+IF(Y583&lt;X582,Y583,X582)</f>
      </c>
      <c r="Y583" s="337">
        <f>+(Y582-X582)*(1+$E$15)</f>
      </c>
      <c r="Z583" s="332">
        <v>578</v>
      </c>
      <c r="AA583" s="1"/>
      <c r="AB583" s="331">
        <f>AE583</f>
      </c>
      <c r="AC583" s="336">
        <f>+IF(AD583&lt;AC582,AD583,AC582)</f>
      </c>
      <c r="AD583" s="337">
        <f>+(AD582-AC582)*(1+$E$16)</f>
      </c>
      <c r="AE583" s="332">
        <v>578</v>
      </c>
    </row>
    <row x14ac:dyDescent="0.25" r="584" customHeight="1" ht="18.75">
      <c r="A584" s="1"/>
      <c r="B584" s="1"/>
      <c r="C584" s="169"/>
      <c r="D584" s="169"/>
      <c r="E584" s="168"/>
      <c r="F584" s="169"/>
      <c r="G584" s="170"/>
      <c r="H584" s="1"/>
      <c r="I584" s="1"/>
      <c r="J584" s="1"/>
      <c r="K584" s="1"/>
      <c r="L584" s="1"/>
      <c r="M584" s="331">
        <f>P584</f>
      </c>
      <c r="N584" s="335">
        <f>+IF(O584&lt;N583,O584,N583)</f>
      </c>
      <c r="O584" s="335">
        <f>+(O583-N583)*(1+$E$13)</f>
      </c>
      <c r="P584" s="332">
        <v>579</v>
      </c>
      <c r="Q584" s="1"/>
      <c r="R584" s="331">
        <f>U584</f>
      </c>
      <c r="S584" s="335">
        <f>+IF(T584&lt;S583,T584,S583)</f>
      </c>
      <c r="T584" s="335">
        <f>+(T583-S583)*(1+$E$14)</f>
      </c>
      <c r="U584" s="332">
        <v>579</v>
      </c>
      <c r="V584" s="1"/>
      <c r="W584" s="331">
        <f>Z584</f>
      </c>
      <c r="X584" s="336">
        <f>+IF(Y584&lt;X583,Y584,X583)</f>
      </c>
      <c r="Y584" s="337">
        <f>+(Y583-X583)*(1+$E$15)</f>
      </c>
      <c r="Z584" s="332">
        <v>579</v>
      </c>
      <c r="AA584" s="1"/>
      <c r="AB584" s="331">
        <f>AE584</f>
      </c>
      <c r="AC584" s="336">
        <f>+IF(AD584&lt;AC583,AD584,AC583)</f>
      </c>
      <c r="AD584" s="337">
        <f>+(AD583-AC583)*(1+$E$16)</f>
      </c>
      <c r="AE584" s="332">
        <v>579</v>
      </c>
    </row>
    <row x14ac:dyDescent="0.25" r="585" customHeight="1" ht="18.75">
      <c r="A585" s="1"/>
      <c r="B585" s="1"/>
      <c r="C585" s="169"/>
      <c r="D585" s="169"/>
      <c r="E585" s="168"/>
      <c r="F585" s="169"/>
      <c r="G585" s="170"/>
      <c r="H585" s="1"/>
      <c r="I585" s="1"/>
      <c r="J585" s="1"/>
      <c r="K585" s="1"/>
      <c r="L585" s="1"/>
      <c r="M585" s="331">
        <f>P585</f>
      </c>
      <c r="N585" s="335">
        <f>+IF(O585&lt;N584,O585,N584)</f>
      </c>
      <c r="O585" s="335">
        <f>+(O584-N584)*(1+$E$13)</f>
      </c>
      <c r="P585" s="332">
        <v>580</v>
      </c>
      <c r="Q585" s="1"/>
      <c r="R585" s="331">
        <f>U585</f>
      </c>
      <c r="S585" s="335">
        <f>+IF(T585&lt;S584,T585,S584)</f>
      </c>
      <c r="T585" s="335">
        <f>+(T584-S584)*(1+$E$14)</f>
      </c>
      <c r="U585" s="332">
        <v>580</v>
      </c>
      <c r="V585" s="1"/>
      <c r="W585" s="331">
        <f>Z585</f>
      </c>
      <c r="X585" s="336">
        <f>+IF(Y585&lt;X584,Y585,X584)</f>
      </c>
      <c r="Y585" s="337">
        <f>+(Y584-X584)*(1+$E$15)</f>
      </c>
      <c r="Z585" s="332">
        <v>580</v>
      </c>
      <c r="AA585" s="1"/>
      <c r="AB585" s="331">
        <f>AE585</f>
      </c>
      <c r="AC585" s="336">
        <f>+IF(AD585&lt;AC584,AD585,AC584)</f>
      </c>
      <c r="AD585" s="337">
        <f>+(AD584-AC584)*(1+$E$16)</f>
      </c>
      <c r="AE585" s="332">
        <v>580</v>
      </c>
    </row>
    <row x14ac:dyDescent="0.25" r="586" customHeight="1" ht="18.75">
      <c r="A586" s="1"/>
      <c r="B586" s="1"/>
      <c r="C586" s="169"/>
      <c r="D586" s="169"/>
      <c r="E586" s="168"/>
      <c r="F586" s="169"/>
      <c r="G586" s="170"/>
      <c r="H586" s="1"/>
      <c r="I586" s="1"/>
      <c r="J586" s="1"/>
      <c r="K586" s="1"/>
      <c r="L586" s="1"/>
      <c r="M586" s="331">
        <f>P586</f>
      </c>
      <c r="N586" s="335">
        <f>+IF(O586&lt;N585,O586,N585)</f>
      </c>
      <c r="O586" s="335">
        <f>+(O585-N585)*(1+$E$13)</f>
      </c>
      <c r="P586" s="332">
        <v>581</v>
      </c>
      <c r="Q586" s="1"/>
      <c r="R586" s="331">
        <f>U586</f>
      </c>
      <c r="S586" s="335">
        <f>+IF(T586&lt;S585,T586,S585)</f>
      </c>
      <c r="T586" s="335">
        <f>+(T585-S585)*(1+$E$14)</f>
      </c>
      <c r="U586" s="332">
        <v>581</v>
      </c>
      <c r="V586" s="1"/>
      <c r="W586" s="331">
        <f>Z586</f>
      </c>
      <c r="X586" s="336">
        <f>+IF(Y586&lt;X585,Y586,X585)</f>
      </c>
      <c r="Y586" s="337">
        <f>+(Y585-X585)*(1+$E$15)</f>
      </c>
      <c r="Z586" s="332">
        <v>581</v>
      </c>
      <c r="AA586" s="1"/>
      <c r="AB586" s="331">
        <f>AE586</f>
      </c>
      <c r="AC586" s="336">
        <f>+IF(AD586&lt;AC585,AD586,AC585)</f>
      </c>
      <c r="AD586" s="337">
        <f>+(AD585-AC585)*(1+$E$16)</f>
      </c>
      <c r="AE586" s="332">
        <v>581</v>
      </c>
    </row>
    <row x14ac:dyDescent="0.25" r="587" customHeight="1" ht="18.75">
      <c r="A587" s="1"/>
      <c r="B587" s="1"/>
      <c r="C587" s="169"/>
      <c r="D587" s="169"/>
      <c r="E587" s="168"/>
      <c r="F587" s="169"/>
      <c r="G587" s="170"/>
      <c r="H587" s="1"/>
      <c r="I587" s="1"/>
      <c r="J587" s="1"/>
      <c r="K587" s="1"/>
      <c r="L587" s="1"/>
      <c r="M587" s="331">
        <f>P587</f>
      </c>
      <c r="N587" s="335">
        <f>+IF(O587&lt;N586,O587,N586)</f>
      </c>
      <c r="O587" s="335">
        <f>+(O586-N586)*(1+$E$13)</f>
      </c>
      <c r="P587" s="332">
        <v>582</v>
      </c>
      <c r="Q587" s="1"/>
      <c r="R587" s="331">
        <f>U587</f>
      </c>
      <c r="S587" s="335">
        <f>+IF(T587&lt;S586,T587,S586)</f>
      </c>
      <c r="T587" s="335">
        <f>+(T586-S586)*(1+$E$14)</f>
      </c>
      <c r="U587" s="332">
        <v>582</v>
      </c>
      <c r="V587" s="1"/>
      <c r="W587" s="331">
        <f>Z587</f>
      </c>
      <c r="X587" s="336">
        <f>+IF(Y587&lt;X586,Y587,X586)</f>
      </c>
      <c r="Y587" s="337">
        <f>+(Y586-X586)*(1+$E$15)</f>
      </c>
      <c r="Z587" s="332">
        <v>582</v>
      </c>
      <c r="AA587" s="1"/>
      <c r="AB587" s="331">
        <f>AE587</f>
      </c>
      <c r="AC587" s="336">
        <f>+IF(AD587&lt;AC586,AD587,AC586)</f>
      </c>
      <c r="AD587" s="337">
        <f>+(AD586-AC586)*(1+$E$16)</f>
      </c>
      <c r="AE587" s="332">
        <v>582</v>
      </c>
    </row>
    <row x14ac:dyDescent="0.25" r="588" customHeight="1" ht="18.75">
      <c r="A588" s="1"/>
      <c r="B588" s="1"/>
      <c r="C588" s="169"/>
      <c r="D588" s="169"/>
      <c r="E588" s="168"/>
      <c r="F588" s="169"/>
      <c r="G588" s="170"/>
      <c r="H588" s="1"/>
      <c r="I588" s="1"/>
      <c r="J588" s="1"/>
      <c r="K588" s="1"/>
      <c r="L588" s="1"/>
      <c r="M588" s="331">
        <f>P588</f>
      </c>
      <c r="N588" s="335">
        <f>+IF(O588&lt;N587,O588,N587)</f>
      </c>
      <c r="O588" s="335">
        <f>+(O587-N587)*(1+$E$13)</f>
      </c>
      <c r="P588" s="332">
        <v>583</v>
      </c>
      <c r="Q588" s="1"/>
      <c r="R588" s="331">
        <f>U588</f>
      </c>
      <c r="S588" s="335">
        <f>+IF(T588&lt;S587,T588,S587)</f>
      </c>
      <c r="T588" s="335">
        <f>+(T587-S587)*(1+$E$14)</f>
      </c>
      <c r="U588" s="332">
        <v>583</v>
      </c>
      <c r="V588" s="1"/>
      <c r="W588" s="331">
        <f>Z588</f>
      </c>
      <c r="X588" s="336">
        <f>+IF(Y588&lt;X587,Y588,X587)</f>
      </c>
      <c r="Y588" s="337">
        <f>+(Y587-X587)*(1+$E$15)</f>
      </c>
      <c r="Z588" s="332">
        <v>583</v>
      </c>
      <c r="AA588" s="1"/>
      <c r="AB588" s="331">
        <f>AE588</f>
      </c>
      <c r="AC588" s="336">
        <f>+IF(AD588&lt;AC587,AD588,AC587)</f>
      </c>
      <c r="AD588" s="337">
        <f>+(AD587-AC587)*(1+$E$16)</f>
      </c>
      <c r="AE588" s="332">
        <v>583</v>
      </c>
    </row>
    <row x14ac:dyDescent="0.25" r="589" customHeight="1" ht="18.75">
      <c r="A589" s="1"/>
      <c r="B589" s="1"/>
      <c r="C589" s="169"/>
      <c r="D589" s="169"/>
      <c r="E589" s="168"/>
      <c r="F589" s="169"/>
      <c r="G589" s="170"/>
      <c r="H589" s="1"/>
      <c r="I589" s="1"/>
      <c r="J589" s="1"/>
      <c r="K589" s="1"/>
      <c r="L589" s="1"/>
      <c r="M589" s="331">
        <f>P589</f>
      </c>
      <c r="N589" s="335">
        <f>+IF(O589&lt;N588,O589,N588)</f>
      </c>
      <c r="O589" s="335">
        <f>+(O588-N588)*(1+$E$13)</f>
      </c>
      <c r="P589" s="332">
        <v>584</v>
      </c>
      <c r="Q589" s="1"/>
      <c r="R589" s="331">
        <f>U589</f>
      </c>
      <c r="S589" s="335">
        <f>+IF(T589&lt;S588,T589,S588)</f>
      </c>
      <c r="T589" s="335">
        <f>+(T588-S588)*(1+$E$14)</f>
      </c>
      <c r="U589" s="332">
        <v>584</v>
      </c>
      <c r="V589" s="1"/>
      <c r="W589" s="331">
        <f>Z589</f>
      </c>
      <c r="X589" s="336">
        <f>+IF(Y589&lt;X588,Y589,X588)</f>
      </c>
      <c r="Y589" s="337">
        <f>+(Y588-X588)*(1+$E$15)</f>
      </c>
      <c r="Z589" s="332">
        <v>584</v>
      </c>
      <c r="AA589" s="1"/>
      <c r="AB589" s="331">
        <f>AE589</f>
      </c>
      <c r="AC589" s="336">
        <f>+IF(AD589&lt;AC588,AD589,AC588)</f>
      </c>
      <c r="AD589" s="337">
        <f>+(AD588-AC588)*(1+$E$16)</f>
      </c>
      <c r="AE589" s="332">
        <v>584</v>
      </c>
    </row>
    <row x14ac:dyDescent="0.25" r="590" customHeight="1" ht="18.75">
      <c r="A590" s="1"/>
      <c r="B590" s="1"/>
      <c r="C590" s="169"/>
      <c r="D590" s="169"/>
      <c r="E590" s="168"/>
      <c r="F590" s="169"/>
      <c r="G590" s="170"/>
      <c r="H590" s="1"/>
      <c r="I590" s="1"/>
      <c r="J590" s="1"/>
      <c r="K590" s="1"/>
      <c r="L590" s="1"/>
      <c r="M590" s="331">
        <f>P590</f>
      </c>
      <c r="N590" s="335">
        <f>+IF(O590&lt;N589,O590,N589)</f>
      </c>
      <c r="O590" s="335">
        <f>+(O589-N589)*(1+$E$13)</f>
      </c>
      <c r="P590" s="332">
        <v>585</v>
      </c>
      <c r="Q590" s="1"/>
      <c r="R590" s="331">
        <f>U590</f>
      </c>
      <c r="S590" s="335">
        <f>+IF(T590&lt;S589,T590,S589)</f>
      </c>
      <c r="T590" s="335">
        <f>+(T589-S589)*(1+$E$14)</f>
      </c>
      <c r="U590" s="332">
        <v>585</v>
      </c>
      <c r="V590" s="1"/>
      <c r="W590" s="331">
        <f>Z590</f>
      </c>
      <c r="X590" s="336">
        <f>+IF(Y590&lt;X589,Y590,X589)</f>
      </c>
      <c r="Y590" s="337">
        <f>+(Y589-X589)*(1+$E$15)</f>
      </c>
      <c r="Z590" s="332">
        <v>585</v>
      </c>
      <c r="AA590" s="1"/>
      <c r="AB590" s="331">
        <f>AE590</f>
      </c>
      <c r="AC590" s="336">
        <f>+IF(AD590&lt;AC589,AD590,AC589)</f>
      </c>
      <c r="AD590" s="337">
        <f>+(AD589-AC589)*(1+$E$16)</f>
      </c>
      <c r="AE590" s="332">
        <v>585</v>
      </c>
    </row>
    <row x14ac:dyDescent="0.25" r="591" customHeight="1" ht="18.75">
      <c r="A591" s="1"/>
      <c r="B591" s="1"/>
      <c r="C591" s="169"/>
      <c r="D591" s="169"/>
      <c r="E591" s="168"/>
      <c r="F591" s="169"/>
      <c r="G591" s="170"/>
      <c r="H591" s="1"/>
      <c r="I591" s="1"/>
      <c r="J591" s="1"/>
      <c r="K591" s="1"/>
      <c r="L591" s="1"/>
      <c r="M591" s="331">
        <f>P591</f>
      </c>
      <c r="N591" s="335">
        <f>+IF(O591&lt;N590,O591,N590)</f>
      </c>
      <c r="O591" s="335">
        <f>+(O590-N590)*(1+$E$13)</f>
      </c>
      <c r="P591" s="332">
        <v>586</v>
      </c>
      <c r="Q591" s="1"/>
      <c r="R591" s="331">
        <f>U591</f>
      </c>
      <c r="S591" s="335">
        <f>+IF(T591&lt;S590,T591,S590)</f>
      </c>
      <c r="T591" s="335">
        <f>+(T590-S590)*(1+$E$14)</f>
      </c>
      <c r="U591" s="332">
        <v>586</v>
      </c>
      <c r="V591" s="1"/>
      <c r="W591" s="331">
        <f>Z591</f>
      </c>
      <c r="X591" s="336">
        <f>+IF(Y591&lt;X590,Y591,X590)</f>
      </c>
      <c r="Y591" s="337">
        <f>+(Y590-X590)*(1+$E$15)</f>
      </c>
      <c r="Z591" s="332">
        <v>586</v>
      </c>
      <c r="AA591" s="1"/>
      <c r="AB591" s="331">
        <f>AE591</f>
      </c>
      <c r="AC591" s="336">
        <f>+IF(AD591&lt;AC590,AD591,AC590)</f>
      </c>
      <c r="AD591" s="337">
        <f>+(AD590-AC590)*(1+$E$16)</f>
      </c>
      <c r="AE591" s="332">
        <v>586</v>
      </c>
    </row>
    <row x14ac:dyDescent="0.25" r="592" customHeight="1" ht="18.75">
      <c r="A592" s="1"/>
      <c r="B592" s="1"/>
      <c r="C592" s="169"/>
      <c r="D592" s="169"/>
      <c r="E592" s="168"/>
      <c r="F592" s="169"/>
      <c r="G592" s="170"/>
      <c r="H592" s="1"/>
      <c r="I592" s="1"/>
      <c r="J592" s="1"/>
      <c r="K592" s="1"/>
      <c r="L592" s="1"/>
      <c r="M592" s="331">
        <f>P592</f>
      </c>
      <c r="N592" s="335">
        <f>+IF(O592&lt;N591,O592,N591)</f>
      </c>
      <c r="O592" s="335">
        <f>+(O591-N591)*(1+$E$13)</f>
      </c>
      <c r="P592" s="332">
        <v>587</v>
      </c>
      <c r="Q592" s="1"/>
      <c r="R592" s="331">
        <f>U592</f>
      </c>
      <c r="S592" s="335">
        <f>+IF(T592&lt;S591,T592,S591)</f>
      </c>
      <c r="T592" s="335">
        <f>+(T591-S591)*(1+$E$14)</f>
      </c>
      <c r="U592" s="332">
        <v>587</v>
      </c>
      <c r="V592" s="1"/>
      <c r="W592" s="331">
        <f>Z592</f>
      </c>
      <c r="X592" s="336">
        <f>+IF(Y592&lt;X591,Y592,X591)</f>
      </c>
      <c r="Y592" s="337">
        <f>+(Y591-X591)*(1+$E$15)</f>
      </c>
      <c r="Z592" s="332">
        <v>587</v>
      </c>
      <c r="AA592" s="1"/>
      <c r="AB592" s="331">
        <f>AE592</f>
      </c>
      <c r="AC592" s="336">
        <f>+IF(AD592&lt;AC591,AD592,AC591)</f>
      </c>
      <c r="AD592" s="337">
        <f>+(AD591-AC591)*(1+$E$16)</f>
      </c>
      <c r="AE592" s="332">
        <v>587</v>
      </c>
    </row>
    <row x14ac:dyDescent="0.25" r="593" customHeight="1" ht="18.75">
      <c r="A593" s="1"/>
      <c r="B593" s="1"/>
      <c r="C593" s="169"/>
      <c r="D593" s="169"/>
      <c r="E593" s="168"/>
      <c r="F593" s="169"/>
      <c r="G593" s="170"/>
      <c r="H593" s="1"/>
      <c r="I593" s="1"/>
      <c r="J593" s="1"/>
      <c r="K593" s="1"/>
      <c r="L593" s="1"/>
      <c r="M593" s="331">
        <f>P593</f>
      </c>
      <c r="N593" s="335">
        <f>+IF(O593&lt;N592,O593,N592)</f>
      </c>
      <c r="O593" s="335">
        <f>+(O592-N592)*(1+$E$13)</f>
      </c>
      <c r="P593" s="332">
        <v>588</v>
      </c>
      <c r="Q593" s="1"/>
      <c r="R593" s="331">
        <f>U593</f>
      </c>
      <c r="S593" s="335">
        <f>+IF(T593&lt;S592,T593,S592)</f>
      </c>
      <c r="T593" s="335">
        <f>+(T592-S592)*(1+$E$14)</f>
      </c>
      <c r="U593" s="332">
        <v>588</v>
      </c>
      <c r="V593" s="1"/>
      <c r="W593" s="331">
        <f>Z593</f>
      </c>
      <c r="X593" s="336">
        <f>+IF(Y593&lt;X592,Y593,X592)</f>
      </c>
      <c r="Y593" s="337">
        <f>+(Y592-X592)*(1+$E$15)</f>
      </c>
      <c r="Z593" s="332">
        <v>588</v>
      </c>
      <c r="AA593" s="1"/>
      <c r="AB593" s="331">
        <f>AE593</f>
      </c>
      <c r="AC593" s="336">
        <f>+IF(AD593&lt;AC592,AD593,AC592)</f>
      </c>
      <c r="AD593" s="337">
        <f>+(AD592-AC592)*(1+$E$16)</f>
      </c>
      <c r="AE593" s="332">
        <v>588</v>
      </c>
    </row>
    <row x14ac:dyDescent="0.25" r="594" customHeight="1" ht="18.75">
      <c r="A594" s="1"/>
      <c r="B594" s="1"/>
      <c r="C594" s="169"/>
      <c r="D594" s="169"/>
      <c r="E594" s="168"/>
      <c r="F594" s="169"/>
      <c r="G594" s="170"/>
      <c r="H594" s="1"/>
      <c r="I594" s="1"/>
      <c r="J594" s="1"/>
      <c r="K594" s="1"/>
      <c r="L594" s="1"/>
      <c r="M594" s="331">
        <f>P594</f>
      </c>
      <c r="N594" s="335">
        <f>+IF(O594&lt;N593,O594,N593)</f>
      </c>
      <c r="O594" s="335">
        <f>+(O593-N593)*(1+$E$13)</f>
      </c>
      <c r="P594" s="332">
        <v>589</v>
      </c>
      <c r="Q594" s="1"/>
      <c r="R594" s="331">
        <f>U594</f>
      </c>
      <c r="S594" s="335">
        <f>+IF(T594&lt;S593,T594,S593)</f>
      </c>
      <c r="T594" s="335">
        <f>+(T593-S593)*(1+$E$14)</f>
      </c>
      <c r="U594" s="332">
        <v>589</v>
      </c>
      <c r="V594" s="1"/>
      <c r="W594" s="331">
        <f>Z594</f>
      </c>
      <c r="X594" s="336">
        <f>+IF(Y594&lt;X593,Y594,X593)</f>
      </c>
      <c r="Y594" s="337">
        <f>+(Y593-X593)*(1+$E$15)</f>
      </c>
      <c r="Z594" s="332">
        <v>589</v>
      </c>
      <c r="AA594" s="1"/>
      <c r="AB594" s="331">
        <f>AE594</f>
      </c>
      <c r="AC594" s="336">
        <f>+IF(AD594&lt;AC593,AD594,AC593)</f>
      </c>
      <c r="AD594" s="337">
        <f>+(AD593-AC593)*(1+$E$16)</f>
      </c>
      <c r="AE594" s="332">
        <v>589</v>
      </c>
    </row>
    <row x14ac:dyDescent="0.25" r="595" customHeight="1" ht="18.75">
      <c r="A595" s="1"/>
      <c r="B595" s="1"/>
      <c r="C595" s="169"/>
      <c r="D595" s="169"/>
      <c r="E595" s="168"/>
      <c r="F595" s="169"/>
      <c r="G595" s="170"/>
      <c r="H595" s="1"/>
      <c r="I595" s="1"/>
      <c r="J595" s="1"/>
      <c r="K595" s="1"/>
      <c r="L595" s="1"/>
      <c r="M595" s="331">
        <f>P595</f>
      </c>
      <c r="N595" s="335">
        <f>+IF(O595&lt;N594,O595,N594)</f>
      </c>
      <c r="O595" s="335">
        <f>+(O594-N594)*(1+$E$13)</f>
      </c>
      <c r="P595" s="332">
        <v>590</v>
      </c>
      <c r="Q595" s="1"/>
      <c r="R595" s="331">
        <f>U595</f>
      </c>
      <c r="S595" s="335">
        <f>+IF(T595&lt;S594,T595,S594)</f>
      </c>
      <c r="T595" s="335">
        <f>+(T594-S594)*(1+$E$14)</f>
      </c>
      <c r="U595" s="332">
        <v>590</v>
      </c>
      <c r="V595" s="1"/>
      <c r="W595" s="331">
        <f>Z595</f>
      </c>
      <c r="X595" s="336">
        <f>+IF(Y595&lt;X594,Y595,X594)</f>
      </c>
      <c r="Y595" s="337">
        <f>+(Y594-X594)*(1+$E$15)</f>
      </c>
      <c r="Z595" s="332">
        <v>590</v>
      </c>
      <c r="AA595" s="1"/>
      <c r="AB595" s="331">
        <f>AE595</f>
      </c>
      <c r="AC595" s="336">
        <f>+IF(AD595&lt;AC594,AD595,AC594)</f>
      </c>
      <c r="AD595" s="337">
        <f>+(AD594-AC594)*(1+$E$16)</f>
      </c>
      <c r="AE595" s="332">
        <v>590</v>
      </c>
    </row>
    <row x14ac:dyDescent="0.25" r="596" customHeight="1" ht="18.75">
      <c r="A596" s="1"/>
      <c r="B596" s="1"/>
      <c r="C596" s="169"/>
      <c r="D596" s="169"/>
      <c r="E596" s="168"/>
      <c r="F596" s="169"/>
      <c r="G596" s="170"/>
      <c r="H596" s="1"/>
      <c r="I596" s="1"/>
      <c r="J596" s="1"/>
      <c r="K596" s="1"/>
      <c r="L596" s="1"/>
      <c r="M596" s="331">
        <f>P596</f>
      </c>
      <c r="N596" s="335">
        <f>+IF(O596&lt;N595,O596,N595)</f>
      </c>
      <c r="O596" s="335">
        <f>+(O595-N595)*(1+$E$13)</f>
      </c>
      <c r="P596" s="332">
        <v>591</v>
      </c>
      <c r="Q596" s="1"/>
      <c r="R596" s="331">
        <f>U596</f>
      </c>
      <c r="S596" s="335">
        <f>+IF(T596&lt;S595,T596,S595)</f>
      </c>
      <c r="T596" s="335">
        <f>+(T595-S595)*(1+$E$14)</f>
      </c>
      <c r="U596" s="332">
        <v>591</v>
      </c>
      <c r="V596" s="1"/>
      <c r="W596" s="331">
        <f>Z596</f>
      </c>
      <c r="X596" s="336">
        <f>+IF(Y596&lt;X595,Y596,X595)</f>
      </c>
      <c r="Y596" s="337">
        <f>+(Y595-X595)*(1+$E$15)</f>
      </c>
      <c r="Z596" s="332">
        <v>591</v>
      </c>
      <c r="AA596" s="1"/>
      <c r="AB596" s="331">
        <f>AE596</f>
      </c>
      <c r="AC596" s="336">
        <f>+IF(AD596&lt;AC595,AD596,AC595)</f>
      </c>
      <c r="AD596" s="337">
        <f>+(AD595-AC595)*(1+$E$16)</f>
      </c>
      <c r="AE596" s="332">
        <v>591</v>
      </c>
    </row>
    <row x14ac:dyDescent="0.25" r="597" customHeight="1" ht="18.75">
      <c r="A597" s="1"/>
      <c r="B597" s="1"/>
      <c r="C597" s="169"/>
      <c r="D597" s="169"/>
      <c r="E597" s="168"/>
      <c r="F597" s="169"/>
      <c r="G597" s="170"/>
      <c r="H597" s="1"/>
      <c r="I597" s="1"/>
      <c r="J597" s="1"/>
      <c r="K597" s="1"/>
      <c r="L597" s="1"/>
      <c r="M597" s="331">
        <f>P597</f>
      </c>
      <c r="N597" s="335">
        <f>+IF(O597&lt;N596,O597,N596)</f>
      </c>
      <c r="O597" s="335">
        <f>+(O596-N596)*(1+$E$13)</f>
      </c>
      <c r="P597" s="332">
        <v>592</v>
      </c>
      <c r="Q597" s="1"/>
      <c r="R597" s="331">
        <f>U597</f>
      </c>
      <c r="S597" s="335">
        <f>+IF(T597&lt;S596,T597,S596)</f>
      </c>
      <c r="T597" s="335">
        <f>+(T596-S596)*(1+$E$14)</f>
      </c>
      <c r="U597" s="332">
        <v>592</v>
      </c>
      <c r="V597" s="1"/>
      <c r="W597" s="331">
        <f>Z597</f>
      </c>
      <c r="X597" s="336">
        <f>+IF(Y597&lt;X596,Y597,X596)</f>
      </c>
      <c r="Y597" s="337">
        <f>+(Y596-X596)*(1+$E$15)</f>
      </c>
      <c r="Z597" s="332">
        <v>592</v>
      </c>
      <c r="AA597" s="1"/>
      <c r="AB597" s="331">
        <f>AE597</f>
      </c>
      <c r="AC597" s="336">
        <f>+IF(AD597&lt;AC596,AD597,AC596)</f>
      </c>
      <c r="AD597" s="337">
        <f>+(AD596-AC596)*(1+$E$16)</f>
      </c>
      <c r="AE597" s="332">
        <v>592</v>
      </c>
    </row>
    <row x14ac:dyDescent="0.25" r="598" customHeight="1" ht="18.75">
      <c r="A598" s="1"/>
      <c r="B598" s="1"/>
      <c r="C598" s="169"/>
      <c r="D598" s="169"/>
      <c r="E598" s="168"/>
      <c r="F598" s="169"/>
      <c r="G598" s="170"/>
      <c r="H598" s="1"/>
      <c r="I598" s="1"/>
      <c r="J598" s="1"/>
      <c r="K598" s="1"/>
      <c r="L598" s="1"/>
      <c r="M598" s="331">
        <f>P598</f>
      </c>
      <c r="N598" s="335">
        <f>+IF(O598&lt;N597,O598,N597)</f>
      </c>
      <c r="O598" s="335">
        <f>+(O597-N597)*(1+$E$13)</f>
      </c>
      <c r="P598" s="332">
        <v>593</v>
      </c>
      <c r="Q598" s="1"/>
      <c r="R598" s="331">
        <f>U598</f>
      </c>
      <c r="S598" s="335">
        <f>+IF(T598&lt;S597,T598,S597)</f>
      </c>
      <c r="T598" s="335">
        <f>+(T597-S597)*(1+$E$14)</f>
      </c>
      <c r="U598" s="332">
        <v>593</v>
      </c>
      <c r="V598" s="1"/>
      <c r="W598" s="331">
        <f>Z598</f>
      </c>
      <c r="X598" s="336">
        <f>+IF(Y598&lt;X597,Y598,X597)</f>
      </c>
      <c r="Y598" s="337">
        <f>+(Y597-X597)*(1+$E$15)</f>
      </c>
      <c r="Z598" s="332">
        <v>593</v>
      </c>
      <c r="AA598" s="1"/>
      <c r="AB598" s="331">
        <f>AE598</f>
      </c>
      <c r="AC598" s="336">
        <f>+IF(AD598&lt;AC597,AD598,AC597)</f>
      </c>
      <c r="AD598" s="337">
        <f>+(AD597-AC597)*(1+$E$16)</f>
      </c>
      <c r="AE598" s="332">
        <v>593</v>
      </c>
    </row>
    <row x14ac:dyDescent="0.25" r="599" customHeight="1" ht="18.75">
      <c r="A599" s="1"/>
      <c r="B599" s="1"/>
      <c r="C599" s="169"/>
      <c r="D599" s="169"/>
      <c r="E599" s="168"/>
      <c r="F599" s="169"/>
      <c r="G599" s="170"/>
      <c r="H599" s="1"/>
      <c r="I599" s="1"/>
      <c r="J599" s="1"/>
      <c r="K599" s="1"/>
      <c r="L599" s="1"/>
      <c r="M599" s="331">
        <f>P599</f>
      </c>
      <c r="N599" s="335">
        <f>+IF(O599&lt;N598,O599,N598)</f>
      </c>
      <c r="O599" s="335">
        <f>+(O598-N598)*(1+$E$13)</f>
      </c>
      <c r="P599" s="332">
        <v>594</v>
      </c>
      <c r="Q599" s="1"/>
      <c r="R599" s="331">
        <f>U599</f>
      </c>
      <c r="S599" s="335">
        <f>+IF(T599&lt;S598,T599,S598)</f>
      </c>
      <c r="T599" s="335">
        <f>+(T598-S598)*(1+$E$14)</f>
      </c>
      <c r="U599" s="332">
        <v>594</v>
      </c>
      <c r="V599" s="1"/>
      <c r="W599" s="331">
        <f>Z599</f>
      </c>
      <c r="X599" s="336">
        <f>+IF(Y599&lt;X598,Y599,X598)</f>
      </c>
      <c r="Y599" s="337">
        <f>+(Y598-X598)*(1+$E$15)</f>
      </c>
      <c r="Z599" s="332">
        <v>594</v>
      </c>
      <c r="AA599" s="1"/>
      <c r="AB599" s="331">
        <f>AE599</f>
      </c>
      <c r="AC599" s="336">
        <f>+IF(AD599&lt;AC598,AD599,AC598)</f>
      </c>
      <c r="AD599" s="337">
        <f>+(AD598-AC598)*(1+$E$16)</f>
      </c>
      <c r="AE599" s="332">
        <v>594</v>
      </c>
    </row>
    <row x14ac:dyDescent="0.25" r="600" customHeight="1" ht="18.75">
      <c r="A600" s="1"/>
      <c r="B600" s="1"/>
      <c r="C600" s="169"/>
      <c r="D600" s="169"/>
      <c r="E600" s="168"/>
      <c r="F600" s="169"/>
      <c r="G600" s="170"/>
      <c r="H600" s="1"/>
      <c r="I600" s="1"/>
      <c r="J600" s="1"/>
      <c r="K600" s="1"/>
      <c r="L600" s="1"/>
      <c r="M600" s="331">
        <f>P600</f>
      </c>
      <c r="N600" s="335">
        <f>+IF(O600&lt;N599,O600,N599)</f>
      </c>
      <c r="O600" s="335">
        <f>+(O599-N599)*(1+$E$13)</f>
      </c>
      <c r="P600" s="332">
        <v>595</v>
      </c>
      <c r="Q600" s="1"/>
      <c r="R600" s="331">
        <f>U600</f>
      </c>
      <c r="S600" s="335">
        <f>+IF(T600&lt;S599,T600,S599)</f>
      </c>
      <c r="T600" s="335">
        <f>+(T599-S599)*(1+$E$14)</f>
      </c>
      <c r="U600" s="332">
        <v>595</v>
      </c>
      <c r="V600" s="1"/>
      <c r="W600" s="331">
        <f>Z600</f>
      </c>
      <c r="X600" s="336">
        <f>+IF(Y600&lt;X599,Y600,X599)</f>
      </c>
      <c r="Y600" s="337">
        <f>+(Y599-X599)*(1+$E$15)</f>
      </c>
      <c r="Z600" s="332">
        <v>595</v>
      </c>
      <c r="AA600" s="1"/>
      <c r="AB600" s="331">
        <f>AE600</f>
      </c>
      <c r="AC600" s="336">
        <f>+IF(AD600&lt;AC599,AD600,AC599)</f>
      </c>
      <c r="AD600" s="337">
        <f>+(AD599-AC599)*(1+$E$16)</f>
      </c>
      <c r="AE600" s="332">
        <v>595</v>
      </c>
    </row>
    <row x14ac:dyDescent="0.25" r="601" customHeight="1" ht="18.75">
      <c r="A601" s="1"/>
      <c r="B601" s="1"/>
      <c r="C601" s="169"/>
      <c r="D601" s="169"/>
      <c r="E601" s="168"/>
      <c r="F601" s="169"/>
      <c r="G601" s="170"/>
      <c r="H601" s="1"/>
      <c r="I601" s="1"/>
      <c r="J601" s="1"/>
      <c r="K601" s="1"/>
      <c r="L601" s="1"/>
      <c r="M601" s="331">
        <f>P601</f>
      </c>
      <c r="N601" s="335">
        <f>+IF(O601&lt;N600,O601,N600)</f>
      </c>
      <c r="O601" s="335">
        <f>+(O600-N600)*(1+$E$13)</f>
      </c>
      <c r="P601" s="332">
        <v>596</v>
      </c>
      <c r="Q601" s="1"/>
      <c r="R601" s="331">
        <f>U601</f>
      </c>
      <c r="S601" s="335">
        <f>+IF(T601&lt;S600,T601,S600)</f>
      </c>
      <c r="T601" s="335">
        <f>+(T600-S600)*(1+$E$14)</f>
      </c>
      <c r="U601" s="332">
        <v>596</v>
      </c>
      <c r="V601" s="1"/>
      <c r="W601" s="331">
        <f>Z601</f>
      </c>
      <c r="X601" s="336">
        <f>+IF(Y601&lt;X600,Y601,X600)</f>
      </c>
      <c r="Y601" s="337">
        <f>+(Y600-X600)*(1+$E$15)</f>
      </c>
      <c r="Z601" s="332">
        <v>596</v>
      </c>
      <c r="AA601" s="1"/>
      <c r="AB601" s="331">
        <f>AE601</f>
      </c>
      <c r="AC601" s="336">
        <f>+IF(AD601&lt;AC600,AD601,AC600)</f>
      </c>
      <c r="AD601" s="337">
        <f>+(AD600-AC600)*(1+$E$16)</f>
      </c>
      <c r="AE601" s="332">
        <v>596</v>
      </c>
    </row>
    <row x14ac:dyDescent="0.25" r="602" customHeight="1" ht="18.75">
      <c r="A602" s="1"/>
      <c r="B602" s="1"/>
      <c r="C602" s="169"/>
      <c r="D602" s="169"/>
      <c r="E602" s="168"/>
      <c r="F602" s="169"/>
      <c r="G602" s="170"/>
      <c r="H602" s="1"/>
      <c r="I602" s="1"/>
      <c r="J602" s="1"/>
      <c r="K602" s="1"/>
      <c r="L602" s="1"/>
      <c r="M602" s="331">
        <f>P602</f>
      </c>
      <c r="N602" s="335">
        <f>+IF(O602&lt;N601,O602,N601)</f>
      </c>
      <c r="O602" s="335">
        <f>+(O601-N601)*(1+$E$13)</f>
      </c>
      <c r="P602" s="332">
        <v>597</v>
      </c>
      <c r="Q602" s="1"/>
      <c r="R602" s="331">
        <f>U602</f>
      </c>
      <c r="S602" s="335">
        <f>+IF(T602&lt;S601,T602,S601)</f>
      </c>
      <c r="T602" s="335">
        <f>+(T601-S601)*(1+$E$14)</f>
      </c>
      <c r="U602" s="332">
        <v>597</v>
      </c>
      <c r="V602" s="1"/>
      <c r="W602" s="331">
        <f>Z602</f>
      </c>
      <c r="X602" s="336">
        <f>+IF(Y602&lt;X601,Y602,X601)</f>
      </c>
      <c r="Y602" s="337">
        <f>+(Y601-X601)*(1+$E$15)</f>
      </c>
      <c r="Z602" s="332">
        <v>597</v>
      </c>
      <c r="AA602" s="1"/>
      <c r="AB602" s="331">
        <f>AE602</f>
      </c>
      <c r="AC602" s="336">
        <f>+IF(AD602&lt;AC601,AD602,AC601)</f>
      </c>
      <c r="AD602" s="337">
        <f>+(AD601-AC601)*(1+$E$16)</f>
      </c>
      <c r="AE602" s="332">
        <v>597</v>
      </c>
    </row>
    <row x14ac:dyDescent="0.25" r="603" customHeight="1" ht="18.75">
      <c r="A603" s="1"/>
      <c r="B603" s="1"/>
      <c r="C603" s="169"/>
      <c r="D603" s="169"/>
      <c r="E603" s="168"/>
      <c r="F603" s="169"/>
      <c r="G603" s="170"/>
      <c r="H603" s="1"/>
      <c r="I603" s="1"/>
      <c r="J603" s="1"/>
      <c r="K603" s="1"/>
      <c r="L603" s="1"/>
      <c r="M603" s="331">
        <f>P603</f>
      </c>
      <c r="N603" s="335">
        <f>+IF(O603&lt;N602,O603,N602)</f>
      </c>
      <c r="O603" s="335">
        <f>+(O602-N602)*(1+$E$13)</f>
      </c>
      <c r="P603" s="332">
        <v>598</v>
      </c>
      <c r="Q603" s="1"/>
      <c r="R603" s="331">
        <f>U603</f>
      </c>
      <c r="S603" s="335">
        <f>+IF(T603&lt;S602,T603,S602)</f>
      </c>
      <c r="T603" s="335">
        <f>+(T602-S602)*(1+$E$14)</f>
      </c>
      <c r="U603" s="332">
        <v>598</v>
      </c>
      <c r="V603" s="1"/>
      <c r="W603" s="331">
        <f>Z603</f>
      </c>
      <c r="X603" s="336">
        <f>+IF(Y603&lt;X602,Y603,X602)</f>
      </c>
      <c r="Y603" s="337">
        <f>+(Y602-X602)*(1+$E$15)</f>
      </c>
      <c r="Z603" s="332">
        <v>598</v>
      </c>
      <c r="AA603" s="1"/>
      <c r="AB603" s="331">
        <f>AE603</f>
      </c>
      <c r="AC603" s="336">
        <f>+IF(AD603&lt;AC602,AD603,AC602)</f>
      </c>
      <c r="AD603" s="337">
        <f>+(AD602-AC602)*(1+$E$16)</f>
      </c>
      <c r="AE603" s="332">
        <v>598</v>
      </c>
    </row>
    <row x14ac:dyDescent="0.25" r="604" customHeight="1" ht="18.75">
      <c r="A604" s="1"/>
      <c r="B604" s="1"/>
      <c r="C604" s="169"/>
      <c r="D604" s="169"/>
      <c r="E604" s="168"/>
      <c r="F604" s="169"/>
      <c r="G604" s="170"/>
      <c r="H604" s="1"/>
      <c r="I604" s="1"/>
      <c r="J604" s="1"/>
      <c r="K604" s="1"/>
      <c r="L604" s="1"/>
      <c r="M604" s="331">
        <f>P604</f>
      </c>
      <c r="N604" s="335">
        <f>+IF(O604&lt;N603,O604,N603)</f>
      </c>
      <c r="O604" s="335">
        <f>+(O603-N603)*(1+$E$13)</f>
      </c>
      <c r="P604" s="332">
        <v>599</v>
      </c>
      <c r="Q604" s="1"/>
      <c r="R604" s="331">
        <f>U604</f>
      </c>
      <c r="S604" s="335">
        <f>+IF(T604&lt;S603,T604,S603)</f>
      </c>
      <c r="T604" s="335">
        <f>+(T603-S603)*(1+$E$14)</f>
      </c>
      <c r="U604" s="332">
        <v>599</v>
      </c>
      <c r="V604" s="1"/>
      <c r="W604" s="331">
        <f>Z604</f>
      </c>
      <c r="X604" s="336">
        <f>+IF(Y604&lt;X603,Y604,X603)</f>
      </c>
      <c r="Y604" s="337">
        <f>+(Y603-X603)*(1+$E$15)</f>
      </c>
      <c r="Z604" s="332">
        <v>599</v>
      </c>
      <c r="AA604" s="1"/>
      <c r="AB604" s="331">
        <f>AE604</f>
      </c>
      <c r="AC604" s="336">
        <f>+IF(AD604&lt;AC603,AD604,AC603)</f>
      </c>
      <c r="AD604" s="337">
        <f>+(AD603-AC603)*(1+$E$16)</f>
      </c>
      <c r="AE604" s="332">
        <v>599</v>
      </c>
    </row>
    <row x14ac:dyDescent="0.25" r="605" customHeight="1" ht="18.75">
      <c r="A605" s="1"/>
      <c r="B605" s="1"/>
      <c r="C605" s="169"/>
      <c r="D605" s="169"/>
      <c r="E605" s="168"/>
      <c r="F605" s="169"/>
      <c r="G605" s="170"/>
      <c r="H605" s="1"/>
      <c r="I605" s="1"/>
      <c r="J605" s="1"/>
      <c r="K605" s="1"/>
      <c r="L605" s="1"/>
      <c r="M605" s="331">
        <f>P605</f>
      </c>
      <c r="N605" s="335">
        <f>+IF(O605&lt;N604,O605,N604)</f>
      </c>
      <c r="O605" s="335">
        <f>+(O604-N604)*(1+$E$13)</f>
      </c>
      <c r="P605" s="332">
        <v>600</v>
      </c>
      <c r="Q605" s="1"/>
      <c r="R605" s="331">
        <f>U605</f>
      </c>
      <c r="S605" s="335">
        <f>+IF(T605&lt;S604,T605,S604)</f>
      </c>
      <c r="T605" s="335">
        <f>+(T604-S604)*(1+$E$14)</f>
      </c>
      <c r="U605" s="332">
        <v>600</v>
      </c>
      <c r="V605" s="1"/>
      <c r="W605" s="331">
        <f>Z605</f>
      </c>
      <c r="X605" s="336">
        <f>+IF(Y605&lt;X604,Y605,X604)</f>
      </c>
      <c r="Y605" s="337">
        <f>+(Y604-X604)*(1+$E$15)</f>
      </c>
      <c r="Z605" s="332">
        <v>600</v>
      </c>
      <c r="AA605" s="1"/>
      <c r="AB605" s="331">
        <f>AE605</f>
      </c>
      <c r="AC605" s="336">
        <f>+IF(AD605&lt;AC604,AD605,AC604)</f>
      </c>
      <c r="AD605" s="337">
        <f>+(AD604-AC604)*(1+$E$16)</f>
      </c>
      <c r="AE605" s="332">
        <v>600</v>
      </c>
    </row>
    <row x14ac:dyDescent="0.25" r="606" customHeight="1" ht="18.75">
      <c r="A606" s="1"/>
      <c r="B606" s="1"/>
      <c r="C606" s="169"/>
      <c r="D606" s="169"/>
      <c r="E606" s="168"/>
      <c r="F606" s="169"/>
      <c r="G606" s="170"/>
      <c r="H606" s="1"/>
      <c r="I606" s="1"/>
      <c r="J606" s="1"/>
      <c r="K606" s="1"/>
      <c r="L606" s="1"/>
      <c r="M606" s="331">
        <f>P606</f>
      </c>
      <c r="N606" s="335">
        <f>+IF(O606&lt;N605,O606,N605)</f>
      </c>
      <c r="O606" s="335">
        <f>+(O605-N605)*(1+$E$13)</f>
      </c>
      <c r="P606" s="332">
        <v>601</v>
      </c>
      <c r="Q606" s="1"/>
      <c r="R606" s="331">
        <f>U606</f>
      </c>
      <c r="S606" s="335">
        <f>+IF(T606&lt;S605,T606,S605)</f>
      </c>
      <c r="T606" s="335">
        <f>+(T605-S605)*(1+$E$14)</f>
      </c>
      <c r="U606" s="332">
        <v>601</v>
      </c>
      <c r="V606" s="1"/>
      <c r="W606" s="331">
        <f>Z606</f>
      </c>
      <c r="X606" s="336">
        <f>+IF(Y606&lt;X605,Y606,X605)</f>
      </c>
      <c r="Y606" s="337">
        <f>+(Y605-X605)*(1+$E$15)</f>
      </c>
      <c r="Z606" s="332">
        <v>601</v>
      </c>
      <c r="AA606" s="1"/>
      <c r="AB606" s="331">
        <f>AE606</f>
      </c>
      <c r="AC606" s="336">
        <f>+IF(AD606&lt;AC605,AD606,AC605)</f>
      </c>
      <c r="AD606" s="337">
        <f>+(AD605-AC605)*(1+$E$16)</f>
      </c>
      <c r="AE606" s="332">
        <v>601</v>
      </c>
    </row>
    <row x14ac:dyDescent="0.25" r="607" customHeight="1" ht="18.75">
      <c r="A607" s="1"/>
      <c r="B607" s="1"/>
      <c r="C607" s="169"/>
      <c r="D607" s="169"/>
      <c r="E607" s="168"/>
      <c r="F607" s="169"/>
      <c r="G607" s="170"/>
      <c r="H607" s="1"/>
      <c r="I607" s="1"/>
      <c r="J607" s="1"/>
      <c r="K607" s="1"/>
      <c r="L607" s="1"/>
      <c r="M607" s="331">
        <f>P607</f>
      </c>
      <c r="N607" s="335">
        <f>+IF(O607&lt;N606,O607,N606)</f>
      </c>
      <c r="O607" s="335">
        <f>+(O606-N606)*(1+$E$13)</f>
      </c>
      <c r="P607" s="332">
        <v>602</v>
      </c>
      <c r="Q607" s="1"/>
      <c r="R607" s="331">
        <f>U607</f>
      </c>
      <c r="S607" s="335">
        <f>+IF(T607&lt;S606,T607,S606)</f>
      </c>
      <c r="T607" s="335">
        <f>+(T606-S606)*(1+$E$14)</f>
      </c>
      <c r="U607" s="332">
        <v>602</v>
      </c>
      <c r="V607" s="1"/>
      <c r="W607" s="331">
        <f>Z607</f>
      </c>
      <c r="X607" s="336">
        <f>+IF(Y607&lt;X606,Y607,X606)</f>
      </c>
      <c r="Y607" s="337">
        <f>+(Y606-X606)*(1+$E$15)</f>
      </c>
      <c r="Z607" s="332">
        <v>602</v>
      </c>
      <c r="AA607" s="1"/>
      <c r="AB607" s="331">
        <f>AE607</f>
      </c>
      <c r="AC607" s="336">
        <f>+IF(AD607&lt;AC606,AD607,AC606)</f>
      </c>
      <c r="AD607" s="337">
        <f>+(AD606-AC606)*(1+$E$16)</f>
      </c>
      <c r="AE607" s="332">
        <v>602</v>
      </c>
    </row>
    <row x14ac:dyDescent="0.25" r="608" customHeight="1" ht="18.75">
      <c r="A608" s="1"/>
      <c r="B608" s="1"/>
      <c r="C608" s="169"/>
      <c r="D608" s="169"/>
      <c r="E608" s="168"/>
      <c r="F608" s="169"/>
      <c r="G608" s="170"/>
      <c r="H608" s="1"/>
      <c r="I608" s="1"/>
      <c r="J608" s="1"/>
      <c r="K608" s="1"/>
      <c r="L608" s="1"/>
      <c r="M608" s="331">
        <f>P608</f>
      </c>
      <c r="N608" s="335">
        <f>+IF(O608&lt;N607,O608,N607)</f>
      </c>
      <c r="O608" s="335">
        <f>+(O607-N607)*(1+$E$13)</f>
      </c>
      <c r="P608" s="332">
        <v>603</v>
      </c>
      <c r="Q608" s="1"/>
      <c r="R608" s="331">
        <f>U608</f>
      </c>
      <c r="S608" s="335">
        <f>+IF(T608&lt;S607,T608,S607)</f>
      </c>
      <c r="T608" s="335">
        <f>+(T607-S607)*(1+$E$14)</f>
      </c>
      <c r="U608" s="332">
        <v>603</v>
      </c>
      <c r="V608" s="1"/>
      <c r="W608" s="331">
        <f>Z608</f>
      </c>
      <c r="X608" s="336">
        <f>+IF(Y608&lt;X607,Y608,X607)</f>
      </c>
      <c r="Y608" s="337">
        <f>+(Y607-X607)*(1+$E$15)</f>
      </c>
      <c r="Z608" s="332">
        <v>603</v>
      </c>
      <c r="AA608" s="1"/>
      <c r="AB608" s="331">
        <f>AE608</f>
      </c>
      <c r="AC608" s="336">
        <f>+IF(AD608&lt;AC607,AD608,AC607)</f>
      </c>
      <c r="AD608" s="337">
        <f>+(AD607-AC607)*(1+$E$16)</f>
      </c>
      <c r="AE608" s="332">
        <v>603</v>
      </c>
    </row>
    <row x14ac:dyDescent="0.25" r="609" customHeight="1" ht="18.75">
      <c r="A609" s="1"/>
      <c r="B609" s="1"/>
      <c r="C609" s="169"/>
      <c r="D609" s="169"/>
      <c r="E609" s="168"/>
      <c r="F609" s="169"/>
      <c r="G609" s="170"/>
      <c r="H609" s="1"/>
      <c r="I609" s="1"/>
      <c r="J609" s="1"/>
      <c r="K609" s="1"/>
      <c r="L609" s="1"/>
      <c r="M609" s="331">
        <f>P609</f>
      </c>
      <c r="N609" s="335">
        <f>+IF(O609&lt;N608,O609,N608)</f>
      </c>
      <c r="O609" s="335">
        <f>+(O608-N608)*(1+$E$13)</f>
      </c>
      <c r="P609" s="332">
        <v>604</v>
      </c>
      <c r="Q609" s="1"/>
      <c r="R609" s="331">
        <f>U609</f>
      </c>
      <c r="S609" s="335">
        <f>+IF(T609&lt;S608,T609,S608)</f>
      </c>
      <c r="T609" s="335">
        <f>+(T608-S608)*(1+$E$14)</f>
      </c>
      <c r="U609" s="332">
        <v>604</v>
      </c>
      <c r="V609" s="1"/>
      <c r="W609" s="331">
        <f>Z609</f>
      </c>
      <c r="X609" s="336">
        <f>+IF(Y609&lt;X608,Y609,X608)</f>
      </c>
      <c r="Y609" s="337">
        <f>+(Y608-X608)*(1+$E$15)</f>
      </c>
      <c r="Z609" s="332">
        <v>604</v>
      </c>
      <c r="AA609" s="1"/>
      <c r="AB609" s="331">
        <f>AE609</f>
      </c>
      <c r="AC609" s="336">
        <f>+IF(AD609&lt;AC608,AD609,AC608)</f>
      </c>
      <c r="AD609" s="337">
        <f>+(AD608-AC608)*(1+$E$16)</f>
      </c>
      <c r="AE609" s="332">
        <v>604</v>
      </c>
    </row>
    <row x14ac:dyDescent="0.25" r="610" customHeight="1" ht="18.75">
      <c r="A610" s="1"/>
      <c r="B610" s="1"/>
      <c r="C610" s="169"/>
      <c r="D610" s="169"/>
      <c r="E610" s="168"/>
      <c r="F610" s="169"/>
      <c r="G610" s="170"/>
      <c r="H610" s="1"/>
      <c r="I610" s="1"/>
      <c r="J610" s="1"/>
      <c r="K610" s="1"/>
      <c r="L610" s="1"/>
      <c r="M610" s="331">
        <f>P610</f>
      </c>
      <c r="N610" s="335">
        <f>+IF(O610&lt;N609,O610,N609)</f>
      </c>
      <c r="O610" s="335">
        <f>+(O609-N609)*(1+$E$13)</f>
      </c>
      <c r="P610" s="332">
        <v>605</v>
      </c>
      <c r="Q610" s="1"/>
      <c r="R610" s="331">
        <f>U610</f>
      </c>
      <c r="S610" s="335">
        <f>+IF(T610&lt;S609,T610,S609)</f>
      </c>
      <c r="T610" s="335">
        <f>+(T609-S609)*(1+$E$14)</f>
      </c>
      <c r="U610" s="332">
        <v>605</v>
      </c>
      <c r="V610" s="1"/>
      <c r="W610" s="331">
        <f>Z610</f>
      </c>
      <c r="X610" s="336">
        <f>+IF(Y610&lt;X609,Y610,X609)</f>
      </c>
      <c r="Y610" s="337">
        <f>+(Y609-X609)*(1+$E$15)</f>
      </c>
      <c r="Z610" s="332">
        <v>605</v>
      </c>
      <c r="AA610" s="1"/>
      <c r="AB610" s="331">
        <f>AE610</f>
      </c>
      <c r="AC610" s="336">
        <f>+IF(AD610&lt;AC609,AD610,AC609)</f>
      </c>
      <c r="AD610" s="337">
        <f>+(AD609-AC609)*(1+$E$16)</f>
      </c>
      <c r="AE610" s="332">
        <v>605</v>
      </c>
    </row>
    <row x14ac:dyDescent="0.25" r="611" customHeight="1" ht="18.75">
      <c r="A611" s="1"/>
      <c r="B611" s="1"/>
      <c r="C611" s="169"/>
      <c r="D611" s="169"/>
      <c r="E611" s="168"/>
      <c r="F611" s="169"/>
      <c r="G611" s="170"/>
      <c r="H611" s="1"/>
      <c r="I611" s="1"/>
      <c r="J611" s="1"/>
      <c r="K611" s="1"/>
      <c r="L611" s="1"/>
      <c r="M611" s="331">
        <f>P611</f>
      </c>
      <c r="N611" s="335">
        <f>+IF(O611&lt;N610,O611,N610)</f>
      </c>
      <c r="O611" s="335">
        <f>+(O610-N610)*(1+$E$13)</f>
      </c>
      <c r="P611" s="332">
        <v>606</v>
      </c>
      <c r="Q611" s="1"/>
      <c r="R611" s="331">
        <f>U611</f>
      </c>
      <c r="S611" s="335">
        <f>+IF(T611&lt;S610,T611,S610)</f>
      </c>
      <c r="T611" s="335">
        <f>+(T610-S610)*(1+$E$14)</f>
      </c>
      <c r="U611" s="332">
        <v>606</v>
      </c>
      <c r="V611" s="1"/>
      <c r="W611" s="331">
        <f>Z611</f>
      </c>
      <c r="X611" s="336">
        <f>+IF(Y611&lt;X610,Y611,X610)</f>
      </c>
      <c r="Y611" s="337">
        <f>+(Y610-X610)*(1+$E$15)</f>
      </c>
      <c r="Z611" s="332">
        <v>606</v>
      </c>
      <c r="AA611" s="1"/>
      <c r="AB611" s="331">
        <f>AE611</f>
      </c>
      <c r="AC611" s="336">
        <f>+IF(AD611&lt;AC610,AD611,AC610)</f>
      </c>
      <c r="AD611" s="337">
        <f>+(AD610-AC610)*(1+$E$16)</f>
      </c>
      <c r="AE611" s="332">
        <v>606</v>
      </c>
    </row>
    <row x14ac:dyDescent="0.25" r="612" customHeight="1" ht="18.75">
      <c r="A612" s="1"/>
      <c r="B612" s="1"/>
      <c r="C612" s="169"/>
      <c r="D612" s="169"/>
      <c r="E612" s="168"/>
      <c r="F612" s="169"/>
      <c r="G612" s="170"/>
      <c r="H612" s="1"/>
      <c r="I612" s="1"/>
      <c r="J612" s="1"/>
      <c r="K612" s="1"/>
      <c r="L612" s="1"/>
      <c r="M612" s="331">
        <f>P612</f>
      </c>
      <c r="N612" s="335">
        <f>+IF(O612&lt;N611,O612,N611)</f>
      </c>
      <c r="O612" s="335">
        <f>+(O611-N611)*(1+$E$13)</f>
      </c>
      <c r="P612" s="332">
        <v>607</v>
      </c>
      <c r="Q612" s="1"/>
      <c r="R612" s="331">
        <f>U612</f>
      </c>
      <c r="S612" s="335">
        <f>+IF(T612&lt;S611,T612,S611)</f>
      </c>
      <c r="T612" s="335">
        <f>+(T611-S611)*(1+$E$14)</f>
      </c>
      <c r="U612" s="332">
        <v>607</v>
      </c>
      <c r="V612" s="1"/>
      <c r="W612" s="331">
        <f>Z612</f>
      </c>
      <c r="X612" s="336">
        <f>+IF(Y612&lt;X611,Y612,X611)</f>
      </c>
      <c r="Y612" s="337">
        <f>+(Y611-X611)*(1+$E$15)</f>
      </c>
      <c r="Z612" s="332">
        <v>607</v>
      </c>
      <c r="AA612" s="1"/>
      <c r="AB612" s="331">
        <f>AE612</f>
      </c>
      <c r="AC612" s="336">
        <f>+IF(AD612&lt;AC611,AD612,AC611)</f>
      </c>
      <c r="AD612" s="337">
        <f>+(AD611-AC611)*(1+$E$16)</f>
      </c>
      <c r="AE612" s="332">
        <v>607</v>
      </c>
    </row>
    <row x14ac:dyDescent="0.25" r="613" customHeight="1" ht="18.75">
      <c r="A613" s="1"/>
      <c r="B613" s="1"/>
      <c r="C613" s="169"/>
      <c r="D613" s="169"/>
      <c r="E613" s="168"/>
      <c r="F613" s="169"/>
      <c r="G613" s="170"/>
      <c r="H613" s="1"/>
      <c r="I613" s="1"/>
      <c r="J613" s="1"/>
      <c r="K613" s="1"/>
      <c r="L613" s="1"/>
      <c r="M613" s="331">
        <f>P613</f>
      </c>
      <c r="N613" s="335">
        <f>+IF(O613&lt;N612,O613,N612)</f>
      </c>
      <c r="O613" s="335">
        <f>+(O612-N612)*(1+$E$13)</f>
      </c>
      <c r="P613" s="332">
        <v>608</v>
      </c>
      <c r="Q613" s="1"/>
      <c r="R613" s="331">
        <f>U613</f>
      </c>
      <c r="S613" s="335">
        <f>+IF(T613&lt;S612,T613,S612)</f>
      </c>
      <c r="T613" s="335">
        <f>+(T612-S612)*(1+$E$14)</f>
      </c>
      <c r="U613" s="332">
        <v>608</v>
      </c>
      <c r="V613" s="1"/>
      <c r="W613" s="331">
        <f>Z613</f>
      </c>
      <c r="X613" s="336">
        <f>+IF(Y613&lt;X612,Y613,X612)</f>
      </c>
      <c r="Y613" s="337">
        <f>+(Y612-X612)*(1+$E$15)</f>
      </c>
      <c r="Z613" s="332">
        <v>608</v>
      </c>
      <c r="AA613" s="1"/>
      <c r="AB613" s="331">
        <f>AE613</f>
      </c>
      <c r="AC613" s="336">
        <f>+IF(AD613&lt;AC612,AD613,AC612)</f>
      </c>
      <c r="AD613" s="337">
        <f>+(AD612-AC612)*(1+$E$16)</f>
      </c>
      <c r="AE613" s="332">
        <v>608</v>
      </c>
    </row>
    <row x14ac:dyDescent="0.25" r="614" customHeight="1" ht="18.75">
      <c r="A614" s="1"/>
      <c r="B614" s="1"/>
      <c r="C614" s="169"/>
      <c r="D614" s="169"/>
      <c r="E614" s="168"/>
      <c r="F614" s="169"/>
      <c r="G614" s="170"/>
      <c r="H614" s="1"/>
      <c r="I614" s="1"/>
      <c r="J614" s="1"/>
      <c r="K614" s="1"/>
      <c r="L614" s="1"/>
      <c r="M614" s="331">
        <f>P614</f>
      </c>
      <c r="N614" s="335">
        <f>+IF(O614&lt;N613,O614,N613)</f>
      </c>
      <c r="O614" s="335">
        <f>+(O613-N613)*(1+$E$13)</f>
      </c>
      <c r="P614" s="332">
        <v>609</v>
      </c>
      <c r="Q614" s="1"/>
      <c r="R614" s="331">
        <f>U614</f>
      </c>
      <c r="S614" s="335">
        <f>+IF(T614&lt;S613,T614,S613)</f>
      </c>
      <c r="T614" s="335">
        <f>+(T613-S613)*(1+$E$14)</f>
      </c>
      <c r="U614" s="332">
        <v>609</v>
      </c>
      <c r="V614" s="1"/>
      <c r="W614" s="331">
        <f>Z614</f>
      </c>
      <c r="X614" s="336">
        <f>+IF(Y614&lt;X613,Y614,X613)</f>
      </c>
      <c r="Y614" s="337">
        <f>+(Y613-X613)*(1+$E$15)</f>
      </c>
      <c r="Z614" s="332">
        <v>609</v>
      </c>
      <c r="AA614" s="1"/>
      <c r="AB614" s="331">
        <f>AE614</f>
      </c>
      <c r="AC614" s="336">
        <f>+IF(AD614&lt;AC613,AD614,AC613)</f>
      </c>
      <c r="AD614" s="337">
        <f>+(AD613-AC613)*(1+$E$16)</f>
      </c>
      <c r="AE614" s="332">
        <v>609</v>
      </c>
    </row>
    <row x14ac:dyDescent="0.25" r="615" customHeight="1" ht="18.75">
      <c r="A615" s="1"/>
      <c r="B615" s="1"/>
      <c r="C615" s="169"/>
      <c r="D615" s="169"/>
      <c r="E615" s="168"/>
      <c r="F615" s="169"/>
      <c r="G615" s="170"/>
      <c r="H615" s="1"/>
      <c r="I615" s="1"/>
      <c r="J615" s="1"/>
      <c r="K615" s="1"/>
      <c r="L615" s="1"/>
      <c r="M615" s="331">
        <f>P615</f>
      </c>
      <c r="N615" s="335">
        <f>+IF(O615&lt;N614,O615,N614)</f>
      </c>
      <c r="O615" s="335">
        <f>+(O614-N614)*(1+$E$13)</f>
      </c>
      <c r="P615" s="332">
        <v>610</v>
      </c>
      <c r="Q615" s="1"/>
      <c r="R615" s="331">
        <f>U615</f>
      </c>
      <c r="S615" s="335">
        <f>+IF(T615&lt;S614,T615,S614)</f>
      </c>
      <c r="T615" s="335">
        <f>+(T614-S614)*(1+$E$14)</f>
      </c>
      <c r="U615" s="332">
        <v>610</v>
      </c>
      <c r="V615" s="1"/>
      <c r="W615" s="331">
        <f>Z615</f>
      </c>
      <c r="X615" s="336">
        <f>+IF(Y615&lt;X614,Y615,X614)</f>
      </c>
      <c r="Y615" s="337">
        <f>+(Y614-X614)*(1+$E$15)</f>
      </c>
      <c r="Z615" s="332">
        <v>610</v>
      </c>
      <c r="AA615" s="1"/>
      <c r="AB615" s="331">
        <f>AE615</f>
      </c>
      <c r="AC615" s="336">
        <f>+IF(AD615&lt;AC614,AD615,AC614)</f>
      </c>
      <c r="AD615" s="337">
        <f>+(AD614-AC614)*(1+$E$16)</f>
      </c>
      <c r="AE615" s="332">
        <v>610</v>
      </c>
    </row>
    <row x14ac:dyDescent="0.25" r="616" customHeight="1" ht="18.75">
      <c r="A616" s="1"/>
      <c r="B616" s="1"/>
      <c r="C616" s="169"/>
      <c r="D616" s="169"/>
      <c r="E616" s="168"/>
      <c r="F616" s="169"/>
      <c r="G616" s="170"/>
      <c r="H616" s="1"/>
      <c r="I616" s="1"/>
      <c r="J616" s="1"/>
      <c r="K616" s="1"/>
      <c r="L616" s="1"/>
      <c r="M616" s="331">
        <f>P616</f>
      </c>
      <c r="N616" s="335">
        <f>+IF(O616&lt;N615,O616,N615)</f>
      </c>
      <c r="O616" s="335">
        <f>+(O615-N615)*(1+$E$13)</f>
      </c>
      <c r="P616" s="332">
        <v>611</v>
      </c>
      <c r="Q616" s="1"/>
      <c r="R616" s="331">
        <f>U616</f>
      </c>
      <c r="S616" s="335">
        <f>+IF(T616&lt;S615,T616,S615)</f>
      </c>
      <c r="T616" s="335">
        <f>+(T615-S615)*(1+$E$14)</f>
      </c>
      <c r="U616" s="332">
        <v>611</v>
      </c>
      <c r="V616" s="1"/>
      <c r="W616" s="331">
        <f>Z616</f>
      </c>
      <c r="X616" s="336">
        <f>+IF(Y616&lt;X615,Y616,X615)</f>
      </c>
      <c r="Y616" s="337">
        <f>+(Y615-X615)*(1+$E$15)</f>
      </c>
      <c r="Z616" s="332">
        <v>611</v>
      </c>
      <c r="AA616" s="1"/>
      <c r="AB616" s="331">
        <f>AE616</f>
      </c>
      <c r="AC616" s="336">
        <f>+IF(AD616&lt;AC615,AD616,AC615)</f>
      </c>
      <c r="AD616" s="337">
        <f>+(AD615-AC615)*(1+$E$16)</f>
      </c>
      <c r="AE616" s="332">
        <v>611</v>
      </c>
    </row>
    <row x14ac:dyDescent="0.25" r="617" customHeight="1" ht="18.75">
      <c r="A617" s="1"/>
      <c r="B617" s="1"/>
      <c r="C617" s="169"/>
      <c r="D617" s="169"/>
      <c r="E617" s="168"/>
      <c r="F617" s="169"/>
      <c r="G617" s="170"/>
      <c r="H617" s="1"/>
      <c r="I617" s="1"/>
      <c r="J617" s="1"/>
      <c r="K617" s="1"/>
      <c r="L617" s="1"/>
      <c r="M617" s="331">
        <f>P617</f>
      </c>
      <c r="N617" s="335">
        <f>+IF(O617&lt;N616,O617,N616)</f>
      </c>
      <c r="O617" s="335">
        <f>+(O616-N616)*(1+$E$13)</f>
      </c>
      <c r="P617" s="332">
        <v>612</v>
      </c>
      <c r="Q617" s="1"/>
      <c r="R617" s="331">
        <f>U617</f>
      </c>
      <c r="S617" s="335">
        <f>+IF(T617&lt;S616,T617,S616)</f>
      </c>
      <c r="T617" s="335">
        <f>+(T616-S616)*(1+$E$14)</f>
      </c>
      <c r="U617" s="332">
        <v>612</v>
      </c>
      <c r="V617" s="1"/>
      <c r="W617" s="331">
        <f>Z617</f>
      </c>
      <c r="X617" s="336">
        <f>+IF(Y617&lt;X616,Y617,X616)</f>
      </c>
      <c r="Y617" s="337">
        <f>+(Y616-X616)*(1+$E$15)</f>
      </c>
      <c r="Z617" s="332">
        <v>612</v>
      </c>
      <c r="AA617" s="1"/>
      <c r="AB617" s="331">
        <f>AE617</f>
      </c>
      <c r="AC617" s="336">
        <f>+IF(AD617&lt;AC616,AD617,AC616)</f>
      </c>
      <c r="AD617" s="337">
        <f>+(AD616-AC616)*(1+$E$16)</f>
      </c>
      <c r="AE617" s="332">
        <v>612</v>
      </c>
    </row>
    <row x14ac:dyDescent="0.25" r="618" customHeight="1" ht="18.75">
      <c r="A618" s="1"/>
      <c r="B618" s="1"/>
      <c r="C618" s="169"/>
      <c r="D618" s="169"/>
      <c r="E618" s="168"/>
      <c r="F618" s="169"/>
      <c r="G618" s="170"/>
      <c r="H618" s="1"/>
      <c r="I618" s="1"/>
      <c r="J618" s="1"/>
      <c r="K618" s="1"/>
      <c r="L618" s="1"/>
      <c r="M618" s="331">
        <f>P618</f>
      </c>
      <c r="N618" s="335">
        <f>+IF(O618&lt;N617,O618,N617)</f>
      </c>
      <c r="O618" s="335">
        <f>+(O617-N617)*(1+$E$13)</f>
      </c>
      <c r="P618" s="332">
        <v>613</v>
      </c>
      <c r="Q618" s="1"/>
      <c r="R618" s="331">
        <f>U618</f>
      </c>
      <c r="S618" s="335">
        <f>+IF(T618&lt;S617,T618,S617)</f>
      </c>
      <c r="T618" s="335">
        <f>+(T617-S617)*(1+$E$14)</f>
      </c>
      <c r="U618" s="332">
        <v>613</v>
      </c>
      <c r="V618" s="1"/>
      <c r="W618" s="331">
        <f>Z618</f>
      </c>
      <c r="X618" s="336">
        <f>+IF(Y618&lt;X617,Y618,X617)</f>
      </c>
      <c r="Y618" s="337">
        <f>+(Y617-X617)*(1+$E$15)</f>
      </c>
      <c r="Z618" s="332">
        <v>613</v>
      </c>
      <c r="AA618" s="1"/>
      <c r="AB618" s="331">
        <f>AE618</f>
      </c>
      <c r="AC618" s="336">
        <f>+IF(AD618&lt;AC617,AD618,AC617)</f>
      </c>
      <c r="AD618" s="337">
        <f>+(AD617-AC617)*(1+$E$16)</f>
      </c>
      <c r="AE618" s="332">
        <v>613</v>
      </c>
    </row>
    <row x14ac:dyDescent="0.25" r="619" customHeight="1" ht="18.75">
      <c r="A619" s="1"/>
      <c r="B619" s="1"/>
      <c r="C619" s="169"/>
      <c r="D619" s="169"/>
      <c r="E619" s="168"/>
      <c r="F619" s="169"/>
      <c r="G619" s="170"/>
      <c r="H619" s="1"/>
      <c r="I619" s="1"/>
      <c r="J619" s="1"/>
      <c r="K619" s="1"/>
      <c r="L619" s="1"/>
      <c r="M619" s="331">
        <f>P619</f>
      </c>
      <c r="N619" s="335">
        <f>+IF(O619&lt;N618,O619,N618)</f>
      </c>
      <c r="O619" s="335">
        <f>+(O618-N618)*(1+$E$13)</f>
      </c>
      <c r="P619" s="332">
        <v>614</v>
      </c>
      <c r="Q619" s="1"/>
      <c r="R619" s="331">
        <f>U619</f>
      </c>
      <c r="S619" s="335">
        <f>+IF(T619&lt;S618,T619,S618)</f>
      </c>
      <c r="T619" s="335">
        <f>+(T618-S618)*(1+$E$14)</f>
      </c>
      <c r="U619" s="332">
        <v>614</v>
      </c>
      <c r="V619" s="1"/>
      <c r="W619" s="331">
        <f>Z619</f>
      </c>
      <c r="X619" s="336">
        <f>+IF(Y619&lt;X618,Y619,X618)</f>
      </c>
      <c r="Y619" s="337">
        <f>+(Y618-X618)*(1+$E$15)</f>
      </c>
      <c r="Z619" s="332">
        <v>614</v>
      </c>
      <c r="AA619" s="1"/>
      <c r="AB619" s="331">
        <f>AE619</f>
      </c>
      <c r="AC619" s="336">
        <f>+IF(AD619&lt;AC618,AD619,AC618)</f>
      </c>
      <c r="AD619" s="337">
        <f>+(AD618-AC618)*(1+$E$16)</f>
      </c>
      <c r="AE619" s="332">
        <v>614</v>
      </c>
    </row>
    <row x14ac:dyDescent="0.25" r="620" customHeight="1" ht="18.75">
      <c r="A620" s="1"/>
      <c r="B620" s="1"/>
      <c r="C620" s="169"/>
      <c r="D620" s="169"/>
      <c r="E620" s="168"/>
      <c r="F620" s="169"/>
      <c r="G620" s="170"/>
      <c r="H620" s="1"/>
      <c r="I620" s="1"/>
      <c r="J620" s="1"/>
      <c r="K620" s="1"/>
      <c r="L620" s="1"/>
      <c r="M620" s="331">
        <f>P620</f>
      </c>
      <c r="N620" s="335">
        <f>+IF(O620&lt;N619,O620,N619)</f>
      </c>
      <c r="O620" s="335">
        <f>+(O619-N619)*(1+$E$13)</f>
      </c>
      <c r="P620" s="332">
        <v>615</v>
      </c>
      <c r="Q620" s="1"/>
      <c r="R620" s="331">
        <f>U620</f>
      </c>
      <c r="S620" s="335">
        <f>+IF(T620&lt;S619,T620,S619)</f>
      </c>
      <c r="T620" s="335">
        <f>+(T619-S619)*(1+$E$14)</f>
      </c>
      <c r="U620" s="332">
        <v>615</v>
      </c>
      <c r="V620" s="1"/>
      <c r="W620" s="331">
        <f>Z620</f>
      </c>
      <c r="X620" s="336">
        <f>+IF(Y620&lt;X619,Y620,X619)</f>
      </c>
      <c r="Y620" s="337">
        <f>+(Y619-X619)*(1+$E$15)</f>
      </c>
      <c r="Z620" s="332">
        <v>615</v>
      </c>
      <c r="AA620" s="1"/>
      <c r="AB620" s="331">
        <f>AE620</f>
      </c>
      <c r="AC620" s="336">
        <f>+IF(AD620&lt;AC619,AD620,AC619)</f>
      </c>
      <c r="AD620" s="337">
        <f>+(AD619-AC619)*(1+$E$16)</f>
      </c>
      <c r="AE620" s="332">
        <v>615</v>
      </c>
    </row>
    <row x14ac:dyDescent="0.25" r="621" customHeight="1" ht="18.75">
      <c r="A621" s="1"/>
      <c r="B621" s="1"/>
      <c r="C621" s="169"/>
      <c r="D621" s="169"/>
      <c r="E621" s="168"/>
      <c r="F621" s="169"/>
      <c r="G621" s="170"/>
      <c r="H621" s="1"/>
      <c r="I621" s="1"/>
      <c r="J621" s="1"/>
      <c r="K621" s="1"/>
      <c r="L621" s="1"/>
      <c r="M621" s="331">
        <f>P621</f>
      </c>
      <c r="N621" s="335">
        <f>+IF(O621&lt;N620,O621,N620)</f>
      </c>
      <c r="O621" s="335">
        <f>+(O620-N620)*(1+$E$13)</f>
      </c>
      <c r="P621" s="332">
        <v>616</v>
      </c>
      <c r="Q621" s="1"/>
      <c r="R621" s="331">
        <f>U621</f>
      </c>
      <c r="S621" s="335">
        <f>+IF(T621&lt;S620,T621,S620)</f>
      </c>
      <c r="T621" s="335">
        <f>+(T620-S620)*(1+$E$14)</f>
      </c>
      <c r="U621" s="332">
        <v>616</v>
      </c>
      <c r="V621" s="1"/>
      <c r="W621" s="331">
        <f>Z621</f>
      </c>
      <c r="X621" s="336">
        <f>+IF(Y621&lt;X620,Y621,X620)</f>
      </c>
      <c r="Y621" s="337">
        <f>+(Y620-X620)*(1+$E$15)</f>
      </c>
      <c r="Z621" s="332">
        <v>616</v>
      </c>
      <c r="AA621" s="1"/>
      <c r="AB621" s="331">
        <f>AE621</f>
      </c>
      <c r="AC621" s="336">
        <f>+IF(AD621&lt;AC620,AD621,AC620)</f>
      </c>
      <c r="AD621" s="337">
        <f>+(AD620-AC620)*(1+$E$16)</f>
      </c>
      <c r="AE621" s="332">
        <v>616</v>
      </c>
    </row>
    <row x14ac:dyDescent="0.25" r="622" customHeight="1" ht="18.75">
      <c r="A622" s="1"/>
      <c r="B622" s="1"/>
      <c r="C622" s="169"/>
      <c r="D622" s="169"/>
      <c r="E622" s="168"/>
      <c r="F622" s="169"/>
      <c r="G622" s="170"/>
      <c r="H622" s="1"/>
      <c r="I622" s="1"/>
      <c r="J622" s="1"/>
      <c r="K622" s="1"/>
      <c r="L622" s="1"/>
      <c r="M622" s="331">
        <f>P622</f>
      </c>
      <c r="N622" s="335">
        <f>+IF(O622&lt;N621,O622,N621)</f>
      </c>
      <c r="O622" s="335">
        <f>+(O621-N621)*(1+$E$13)</f>
      </c>
      <c r="P622" s="332">
        <v>617</v>
      </c>
      <c r="Q622" s="1"/>
      <c r="R622" s="331">
        <f>U622</f>
      </c>
      <c r="S622" s="335">
        <f>+IF(T622&lt;S621,T622,S621)</f>
      </c>
      <c r="T622" s="335">
        <f>+(T621-S621)*(1+$E$14)</f>
      </c>
      <c r="U622" s="332">
        <v>617</v>
      </c>
      <c r="V622" s="1"/>
      <c r="W622" s="331">
        <f>Z622</f>
      </c>
      <c r="X622" s="336">
        <f>+IF(Y622&lt;X621,Y622,X621)</f>
      </c>
      <c r="Y622" s="337">
        <f>+(Y621-X621)*(1+$E$15)</f>
      </c>
      <c r="Z622" s="332">
        <v>617</v>
      </c>
      <c r="AA622" s="1"/>
      <c r="AB622" s="331">
        <f>AE622</f>
      </c>
      <c r="AC622" s="336">
        <f>+IF(AD622&lt;AC621,AD622,AC621)</f>
      </c>
      <c r="AD622" s="337">
        <f>+(AD621-AC621)*(1+$E$16)</f>
      </c>
      <c r="AE622" s="332">
        <v>617</v>
      </c>
    </row>
    <row x14ac:dyDescent="0.25" r="623" customHeight="1" ht="18.75">
      <c r="A623" s="1"/>
      <c r="B623" s="1"/>
      <c r="C623" s="169"/>
      <c r="D623" s="169"/>
      <c r="E623" s="168"/>
      <c r="F623" s="169"/>
      <c r="G623" s="170"/>
      <c r="H623" s="1"/>
      <c r="I623" s="1"/>
      <c r="J623" s="1"/>
      <c r="K623" s="1"/>
      <c r="L623" s="1"/>
      <c r="M623" s="331">
        <f>P623</f>
      </c>
      <c r="N623" s="335">
        <f>+IF(O623&lt;N622,O623,N622)</f>
      </c>
      <c r="O623" s="335">
        <f>+(O622-N622)*(1+$E$13)</f>
      </c>
      <c r="P623" s="332">
        <v>618</v>
      </c>
      <c r="Q623" s="1"/>
      <c r="R623" s="331">
        <f>U623</f>
      </c>
      <c r="S623" s="335">
        <f>+IF(T623&lt;S622,T623,S622)</f>
      </c>
      <c r="T623" s="335">
        <f>+(T622-S622)*(1+$E$14)</f>
      </c>
      <c r="U623" s="332">
        <v>618</v>
      </c>
      <c r="V623" s="1"/>
      <c r="W623" s="331">
        <f>Z623</f>
      </c>
      <c r="X623" s="336">
        <f>+IF(Y623&lt;X622,Y623,X622)</f>
      </c>
      <c r="Y623" s="337">
        <f>+(Y622-X622)*(1+$E$15)</f>
      </c>
      <c r="Z623" s="332">
        <v>618</v>
      </c>
      <c r="AA623" s="1"/>
      <c r="AB623" s="331">
        <f>AE623</f>
      </c>
      <c r="AC623" s="336">
        <f>+IF(AD623&lt;AC622,AD623,AC622)</f>
      </c>
      <c r="AD623" s="337">
        <f>+(AD622-AC622)*(1+$E$16)</f>
      </c>
      <c r="AE623" s="332">
        <v>618</v>
      </c>
    </row>
    <row x14ac:dyDescent="0.25" r="624" customHeight="1" ht="18.75">
      <c r="A624" s="1"/>
      <c r="B624" s="1"/>
      <c r="C624" s="169"/>
      <c r="D624" s="169"/>
      <c r="E624" s="168"/>
      <c r="F624" s="169"/>
      <c r="G624" s="170"/>
      <c r="H624" s="1"/>
      <c r="I624" s="1"/>
      <c r="J624" s="1"/>
      <c r="K624" s="1"/>
      <c r="L624" s="1"/>
      <c r="M624" s="331">
        <f>P624</f>
      </c>
      <c r="N624" s="335">
        <f>+IF(O624&lt;N623,O624,N623)</f>
      </c>
      <c r="O624" s="335">
        <f>+(O623-N623)*(1+$E$13)</f>
      </c>
      <c r="P624" s="332">
        <v>619</v>
      </c>
      <c r="Q624" s="1"/>
      <c r="R624" s="331">
        <f>U624</f>
      </c>
      <c r="S624" s="335">
        <f>+IF(T624&lt;S623,T624,S623)</f>
      </c>
      <c r="T624" s="335">
        <f>+(T623-S623)*(1+$E$14)</f>
      </c>
      <c r="U624" s="332">
        <v>619</v>
      </c>
      <c r="V624" s="1"/>
      <c r="W624" s="331">
        <f>Z624</f>
      </c>
      <c r="X624" s="336">
        <f>+IF(Y624&lt;X623,Y624,X623)</f>
      </c>
      <c r="Y624" s="337">
        <f>+(Y623-X623)*(1+$E$15)</f>
      </c>
      <c r="Z624" s="332">
        <v>619</v>
      </c>
      <c r="AA624" s="1"/>
      <c r="AB624" s="331">
        <f>AE624</f>
      </c>
      <c r="AC624" s="336">
        <f>+IF(AD624&lt;AC623,AD624,AC623)</f>
      </c>
      <c r="AD624" s="337">
        <f>+(AD623-AC623)*(1+$E$16)</f>
      </c>
      <c r="AE624" s="332">
        <v>619</v>
      </c>
    </row>
    <row x14ac:dyDescent="0.25" r="625" customHeight="1" ht="18.75">
      <c r="A625" s="1"/>
      <c r="B625" s="1"/>
      <c r="C625" s="169"/>
      <c r="D625" s="169"/>
      <c r="E625" s="168"/>
      <c r="F625" s="169"/>
      <c r="G625" s="170"/>
      <c r="H625" s="1"/>
      <c r="I625" s="1"/>
      <c r="J625" s="1"/>
      <c r="K625" s="1"/>
      <c r="L625" s="1"/>
      <c r="M625" s="331">
        <f>P625</f>
      </c>
      <c r="N625" s="335">
        <f>+IF(O625&lt;N624,O625,N624)</f>
      </c>
      <c r="O625" s="335">
        <f>+(O624-N624)*(1+$E$13)</f>
      </c>
      <c r="P625" s="332">
        <v>620</v>
      </c>
      <c r="Q625" s="1"/>
      <c r="R625" s="331">
        <f>U625</f>
      </c>
      <c r="S625" s="335">
        <f>+IF(T625&lt;S624,T625,S624)</f>
      </c>
      <c r="T625" s="335">
        <f>+(T624-S624)*(1+$E$14)</f>
      </c>
      <c r="U625" s="332">
        <v>620</v>
      </c>
      <c r="V625" s="1"/>
      <c r="W625" s="331">
        <f>Z625</f>
      </c>
      <c r="X625" s="336">
        <f>+IF(Y625&lt;X624,Y625,X624)</f>
      </c>
      <c r="Y625" s="337">
        <f>+(Y624-X624)*(1+$E$15)</f>
      </c>
      <c r="Z625" s="332">
        <v>620</v>
      </c>
      <c r="AA625" s="1"/>
      <c r="AB625" s="331">
        <f>AE625</f>
      </c>
      <c r="AC625" s="336">
        <f>+IF(AD625&lt;AC624,AD625,AC624)</f>
      </c>
      <c r="AD625" s="337">
        <f>+(AD624-AC624)*(1+$E$16)</f>
      </c>
      <c r="AE625" s="332">
        <v>620</v>
      </c>
    </row>
    <row x14ac:dyDescent="0.25" r="626" customHeight="1" ht="18.75">
      <c r="A626" s="1"/>
      <c r="B626" s="1"/>
      <c r="C626" s="169"/>
      <c r="D626" s="169"/>
      <c r="E626" s="168"/>
      <c r="F626" s="169"/>
      <c r="G626" s="170"/>
      <c r="H626" s="1"/>
      <c r="I626" s="1"/>
      <c r="J626" s="1"/>
      <c r="K626" s="1"/>
      <c r="L626" s="1"/>
      <c r="M626" s="331">
        <f>P626</f>
      </c>
      <c r="N626" s="335">
        <f>+IF(O626&lt;N625,O626,N625)</f>
      </c>
      <c r="O626" s="335">
        <f>+(O625-N625)*(1+$E$13)</f>
      </c>
      <c r="P626" s="332">
        <v>621</v>
      </c>
      <c r="Q626" s="1"/>
      <c r="R626" s="331">
        <f>U626</f>
      </c>
      <c r="S626" s="335">
        <f>+IF(T626&lt;S625,T626,S625)</f>
      </c>
      <c r="T626" s="335">
        <f>+(T625-S625)*(1+$E$14)</f>
      </c>
      <c r="U626" s="332">
        <v>621</v>
      </c>
      <c r="V626" s="1"/>
      <c r="W626" s="331">
        <f>Z626</f>
      </c>
      <c r="X626" s="336">
        <f>+IF(Y626&lt;X625,Y626,X625)</f>
      </c>
      <c r="Y626" s="337">
        <f>+(Y625-X625)*(1+$E$15)</f>
      </c>
      <c r="Z626" s="332">
        <v>621</v>
      </c>
      <c r="AA626" s="1"/>
      <c r="AB626" s="331">
        <f>AE626</f>
      </c>
      <c r="AC626" s="336">
        <f>+IF(AD626&lt;AC625,AD626,AC625)</f>
      </c>
      <c r="AD626" s="337">
        <f>+(AD625-AC625)*(1+$E$16)</f>
      </c>
      <c r="AE626" s="332">
        <v>621</v>
      </c>
    </row>
    <row x14ac:dyDescent="0.25" r="627" customHeight="1" ht="18.75">
      <c r="A627" s="1"/>
      <c r="B627" s="1"/>
      <c r="C627" s="169"/>
      <c r="D627" s="169"/>
      <c r="E627" s="168"/>
      <c r="F627" s="169"/>
      <c r="G627" s="170"/>
      <c r="H627" s="1"/>
      <c r="I627" s="1"/>
      <c r="J627" s="1"/>
      <c r="K627" s="1"/>
      <c r="L627" s="1"/>
      <c r="M627" s="331">
        <f>P627</f>
      </c>
      <c r="N627" s="335">
        <f>+IF(O627&lt;N626,O627,N626)</f>
      </c>
      <c r="O627" s="335">
        <f>+(O626-N626)*(1+$E$13)</f>
      </c>
      <c r="P627" s="332">
        <v>622</v>
      </c>
      <c r="Q627" s="1"/>
      <c r="R627" s="331">
        <f>U627</f>
      </c>
      <c r="S627" s="335">
        <f>+IF(T627&lt;S626,T627,S626)</f>
      </c>
      <c r="T627" s="335">
        <f>+(T626-S626)*(1+$E$14)</f>
      </c>
      <c r="U627" s="332">
        <v>622</v>
      </c>
      <c r="V627" s="1"/>
      <c r="W627" s="331">
        <f>Z627</f>
      </c>
      <c r="X627" s="336">
        <f>+IF(Y627&lt;X626,Y627,X626)</f>
      </c>
      <c r="Y627" s="337">
        <f>+(Y626-X626)*(1+$E$15)</f>
      </c>
      <c r="Z627" s="332">
        <v>622</v>
      </c>
      <c r="AA627" s="1"/>
      <c r="AB627" s="331">
        <f>AE627</f>
      </c>
      <c r="AC627" s="336">
        <f>+IF(AD627&lt;AC626,AD627,AC626)</f>
      </c>
      <c r="AD627" s="337">
        <f>+(AD626-AC626)*(1+$E$16)</f>
      </c>
      <c r="AE627" s="332">
        <v>622</v>
      </c>
    </row>
    <row x14ac:dyDescent="0.25" r="628" customHeight="1" ht="18.75">
      <c r="A628" s="1"/>
      <c r="B628" s="1"/>
      <c r="C628" s="169"/>
      <c r="D628" s="169"/>
      <c r="E628" s="168"/>
      <c r="F628" s="169"/>
      <c r="G628" s="170"/>
      <c r="H628" s="1"/>
      <c r="I628" s="1"/>
      <c r="J628" s="1"/>
      <c r="K628" s="1"/>
      <c r="L628" s="1"/>
      <c r="M628" s="331">
        <f>P628</f>
      </c>
      <c r="N628" s="335">
        <f>+IF(O628&lt;N627,O628,N627)</f>
      </c>
      <c r="O628" s="335">
        <f>+(O627-N627)*(1+$E$13)</f>
      </c>
      <c r="P628" s="332">
        <v>623</v>
      </c>
      <c r="Q628" s="1"/>
      <c r="R628" s="331">
        <f>U628</f>
      </c>
      <c r="S628" s="335">
        <f>+IF(T628&lt;S627,T628,S627)</f>
      </c>
      <c r="T628" s="335">
        <f>+(T627-S627)*(1+$E$14)</f>
      </c>
      <c r="U628" s="332">
        <v>623</v>
      </c>
      <c r="V628" s="1"/>
      <c r="W628" s="331">
        <f>Z628</f>
      </c>
      <c r="X628" s="336">
        <f>+IF(Y628&lt;X627,Y628,X627)</f>
      </c>
      <c r="Y628" s="337">
        <f>+(Y627-X627)*(1+$E$15)</f>
      </c>
      <c r="Z628" s="332">
        <v>623</v>
      </c>
      <c r="AA628" s="1"/>
      <c r="AB628" s="331">
        <f>AE628</f>
      </c>
      <c r="AC628" s="336">
        <f>+IF(AD628&lt;AC627,AD628,AC627)</f>
      </c>
      <c r="AD628" s="337">
        <f>+(AD627-AC627)*(1+$E$16)</f>
      </c>
      <c r="AE628" s="332">
        <v>623</v>
      </c>
    </row>
    <row x14ac:dyDescent="0.25" r="629" customHeight="1" ht="18.75">
      <c r="A629" s="1"/>
      <c r="B629" s="1"/>
      <c r="C629" s="169"/>
      <c r="D629" s="169"/>
      <c r="E629" s="168"/>
      <c r="F629" s="169"/>
      <c r="G629" s="170"/>
      <c r="H629" s="1"/>
      <c r="I629" s="1"/>
      <c r="J629" s="1"/>
      <c r="K629" s="1"/>
      <c r="L629" s="1"/>
      <c r="M629" s="331">
        <f>P629</f>
      </c>
      <c r="N629" s="335">
        <f>+IF(O629&lt;N628,O629,N628)</f>
      </c>
      <c r="O629" s="335">
        <f>+(O628-N628)*(1+$E$13)</f>
      </c>
      <c r="P629" s="332">
        <v>624</v>
      </c>
      <c r="Q629" s="1"/>
      <c r="R629" s="331">
        <f>U629</f>
      </c>
      <c r="S629" s="335">
        <f>+IF(T629&lt;S628,T629,S628)</f>
      </c>
      <c r="T629" s="335">
        <f>+(T628-S628)*(1+$E$14)</f>
      </c>
      <c r="U629" s="332">
        <v>624</v>
      </c>
      <c r="V629" s="1"/>
      <c r="W629" s="331">
        <f>Z629</f>
      </c>
      <c r="X629" s="336">
        <f>+IF(Y629&lt;X628,Y629,X628)</f>
      </c>
      <c r="Y629" s="337">
        <f>+(Y628-X628)*(1+$E$15)</f>
      </c>
      <c r="Z629" s="332">
        <v>624</v>
      </c>
      <c r="AA629" s="1"/>
      <c r="AB629" s="331">
        <f>AE629</f>
      </c>
      <c r="AC629" s="336">
        <f>+IF(AD629&lt;AC628,AD629,AC628)</f>
      </c>
      <c r="AD629" s="337">
        <f>+(AD628-AC628)*(1+$E$16)</f>
      </c>
      <c r="AE629" s="332">
        <v>624</v>
      </c>
    </row>
    <row x14ac:dyDescent="0.25" r="630" customHeight="1" ht="18.75">
      <c r="A630" s="1"/>
      <c r="B630" s="1"/>
      <c r="C630" s="169"/>
      <c r="D630" s="169"/>
      <c r="E630" s="168"/>
      <c r="F630" s="169"/>
      <c r="G630" s="170"/>
      <c r="H630" s="1"/>
      <c r="I630" s="1"/>
      <c r="J630" s="1"/>
      <c r="K630" s="1"/>
      <c r="L630" s="1"/>
      <c r="M630" s="331">
        <f>P630</f>
      </c>
      <c r="N630" s="335">
        <f>+IF(O630&lt;N629,O630,N629)</f>
      </c>
      <c r="O630" s="335">
        <f>+(O629-N629)*(1+$E$13)</f>
      </c>
      <c r="P630" s="332">
        <v>625</v>
      </c>
      <c r="Q630" s="1"/>
      <c r="R630" s="331">
        <f>U630</f>
      </c>
      <c r="S630" s="335">
        <f>+IF(T630&lt;S629,T630,S629)</f>
      </c>
      <c r="T630" s="335">
        <f>+(T629-S629)*(1+$E$14)</f>
      </c>
      <c r="U630" s="332">
        <v>625</v>
      </c>
      <c r="V630" s="1"/>
      <c r="W630" s="331">
        <f>Z630</f>
      </c>
      <c r="X630" s="336">
        <f>+IF(Y630&lt;X629,Y630,X629)</f>
      </c>
      <c r="Y630" s="337">
        <f>+(Y629-X629)*(1+$E$15)</f>
      </c>
      <c r="Z630" s="332">
        <v>625</v>
      </c>
      <c r="AA630" s="1"/>
      <c r="AB630" s="331">
        <f>AE630</f>
      </c>
      <c r="AC630" s="336">
        <f>+IF(AD630&lt;AC629,AD630,AC629)</f>
      </c>
      <c r="AD630" s="337">
        <f>+(AD629-AC629)*(1+$E$16)</f>
      </c>
      <c r="AE630" s="332">
        <v>625</v>
      </c>
    </row>
    <row x14ac:dyDescent="0.25" r="631" customHeight="1" ht="18.75">
      <c r="A631" s="1"/>
      <c r="B631" s="1"/>
      <c r="C631" s="169"/>
      <c r="D631" s="169"/>
      <c r="E631" s="168"/>
      <c r="F631" s="169"/>
      <c r="G631" s="170"/>
      <c r="H631" s="1"/>
      <c r="I631" s="1"/>
      <c r="J631" s="1"/>
      <c r="K631" s="1"/>
      <c r="L631" s="1"/>
      <c r="M631" s="331">
        <f>P631</f>
      </c>
      <c r="N631" s="335">
        <f>+IF(O631&lt;N630,O631,N630)</f>
      </c>
      <c r="O631" s="335">
        <f>+(O630-N630)*(1+$E$13)</f>
      </c>
      <c r="P631" s="332">
        <v>626</v>
      </c>
      <c r="Q631" s="1"/>
      <c r="R631" s="331">
        <f>U631</f>
      </c>
      <c r="S631" s="335">
        <f>+IF(T631&lt;S630,T631,S630)</f>
      </c>
      <c r="T631" s="335">
        <f>+(T630-S630)*(1+$E$14)</f>
      </c>
      <c r="U631" s="332">
        <v>626</v>
      </c>
      <c r="V631" s="1"/>
      <c r="W631" s="331">
        <f>Z631</f>
      </c>
      <c r="X631" s="336">
        <f>+IF(Y631&lt;X630,Y631,X630)</f>
      </c>
      <c r="Y631" s="337">
        <f>+(Y630-X630)*(1+$E$15)</f>
      </c>
      <c r="Z631" s="332">
        <v>626</v>
      </c>
      <c r="AA631" s="1"/>
      <c r="AB631" s="331">
        <f>AE631</f>
      </c>
      <c r="AC631" s="336">
        <f>+IF(AD631&lt;AC630,AD631,AC630)</f>
      </c>
      <c r="AD631" s="337">
        <f>+(AD630-AC630)*(1+$E$16)</f>
      </c>
      <c r="AE631" s="332">
        <v>626</v>
      </c>
    </row>
    <row x14ac:dyDescent="0.25" r="632" customHeight="1" ht="18.75">
      <c r="A632" s="1"/>
      <c r="B632" s="1"/>
      <c r="C632" s="169"/>
      <c r="D632" s="169"/>
      <c r="E632" s="168"/>
      <c r="F632" s="169"/>
      <c r="G632" s="170"/>
      <c r="H632" s="1"/>
      <c r="I632" s="1"/>
      <c r="J632" s="1"/>
      <c r="K632" s="1"/>
      <c r="L632" s="1"/>
      <c r="M632" s="331">
        <f>P632</f>
      </c>
      <c r="N632" s="335">
        <f>+IF(O632&lt;N631,O632,N631)</f>
      </c>
      <c r="O632" s="335">
        <f>+(O631-N631)*(1+$E$13)</f>
      </c>
      <c r="P632" s="332">
        <v>627</v>
      </c>
      <c r="Q632" s="1"/>
      <c r="R632" s="331">
        <f>U632</f>
      </c>
      <c r="S632" s="335">
        <f>+IF(T632&lt;S631,T632,S631)</f>
      </c>
      <c r="T632" s="335">
        <f>+(T631-S631)*(1+$E$14)</f>
      </c>
      <c r="U632" s="332">
        <v>627</v>
      </c>
      <c r="V632" s="1"/>
      <c r="W632" s="331">
        <f>Z632</f>
      </c>
      <c r="X632" s="336">
        <f>+IF(Y632&lt;X631,Y632,X631)</f>
      </c>
      <c r="Y632" s="337">
        <f>+(Y631-X631)*(1+$E$15)</f>
      </c>
      <c r="Z632" s="332">
        <v>627</v>
      </c>
      <c r="AA632" s="1"/>
      <c r="AB632" s="331">
        <f>AE632</f>
      </c>
      <c r="AC632" s="336">
        <f>+IF(AD632&lt;AC631,AD632,AC631)</f>
      </c>
      <c r="AD632" s="337">
        <f>+(AD631-AC631)*(1+$E$16)</f>
      </c>
      <c r="AE632" s="332">
        <v>627</v>
      </c>
    </row>
    <row x14ac:dyDescent="0.25" r="633" customHeight="1" ht="18.75">
      <c r="A633" s="1"/>
      <c r="B633" s="1"/>
      <c r="C633" s="169"/>
      <c r="D633" s="169"/>
      <c r="E633" s="168"/>
      <c r="F633" s="169"/>
      <c r="G633" s="170"/>
      <c r="H633" s="1"/>
      <c r="I633" s="1"/>
      <c r="J633" s="1"/>
      <c r="K633" s="1"/>
      <c r="L633" s="1"/>
      <c r="M633" s="331">
        <f>P633</f>
      </c>
      <c r="N633" s="335">
        <f>+IF(O633&lt;N632,O633,N632)</f>
      </c>
      <c r="O633" s="335">
        <f>+(O632-N632)*(1+$E$13)</f>
      </c>
      <c r="P633" s="332">
        <v>628</v>
      </c>
      <c r="Q633" s="1"/>
      <c r="R633" s="331">
        <f>U633</f>
      </c>
      <c r="S633" s="335">
        <f>+IF(T633&lt;S632,T633,S632)</f>
      </c>
      <c r="T633" s="335">
        <f>+(T632-S632)*(1+$E$14)</f>
      </c>
      <c r="U633" s="332">
        <v>628</v>
      </c>
      <c r="V633" s="1"/>
      <c r="W633" s="331">
        <f>Z633</f>
      </c>
      <c r="X633" s="336">
        <f>+IF(Y633&lt;X632,Y633,X632)</f>
      </c>
      <c r="Y633" s="337">
        <f>+(Y632-X632)*(1+$E$15)</f>
      </c>
      <c r="Z633" s="332">
        <v>628</v>
      </c>
      <c r="AA633" s="1"/>
      <c r="AB633" s="331">
        <f>AE633</f>
      </c>
      <c r="AC633" s="336">
        <f>+IF(AD633&lt;AC632,AD633,AC632)</f>
      </c>
      <c r="AD633" s="337">
        <f>+(AD632-AC632)*(1+$E$16)</f>
      </c>
      <c r="AE633" s="332">
        <v>628</v>
      </c>
    </row>
    <row x14ac:dyDescent="0.25" r="634" customHeight="1" ht="18.75">
      <c r="A634" s="1"/>
      <c r="B634" s="1"/>
      <c r="C634" s="169"/>
      <c r="D634" s="169"/>
      <c r="E634" s="168"/>
      <c r="F634" s="169"/>
      <c r="G634" s="170"/>
      <c r="H634" s="1"/>
      <c r="I634" s="1"/>
      <c r="J634" s="1"/>
      <c r="K634" s="1"/>
      <c r="L634" s="1"/>
      <c r="M634" s="331">
        <f>P634</f>
      </c>
      <c r="N634" s="335">
        <f>+IF(O634&lt;N633,O634,N633)</f>
      </c>
      <c r="O634" s="335">
        <f>+(O633-N633)*(1+$E$13)</f>
      </c>
      <c r="P634" s="332">
        <v>629</v>
      </c>
      <c r="Q634" s="1"/>
      <c r="R634" s="331">
        <f>U634</f>
      </c>
      <c r="S634" s="335">
        <f>+IF(T634&lt;S633,T634,S633)</f>
      </c>
      <c r="T634" s="335">
        <f>+(T633-S633)*(1+$E$14)</f>
      </c>
      <c r="U634" s="332">
        <v>629</v>
      </c>
      <c r="V634" s="1"/>
      <c r="W634" s="331">
        <f>Z634</f>
      </c>
      <c r="X634" s="336">
        <f>+IF(Y634&lt;X633,Y634,X633)</f>
      </c>
      <c r="Y634" s="337">
        <f>+(Y633-X633)*(1+$E$15)</f>
      </c>
      <c r="Z634" s="332">
        <v>629</v>
      </c>
      <c r="AA634" s="1"/>
      <c r="AB634" s="331">
        <f>AE634</f>
      </c>
      <c r="AC634" s="336">
        <f>+IF(AD634&lt;AC633,AD634,AC633)</f>
      </c>
      <c r="AD634" s="337">
        <f>+(AD633-AC633)*(1+$E$16)</f>
      </c>
      <c r="AE634" s="332">
        <v>629</v>
      </c>
    </row>
    <row x14ac:dyDescent="0.25" r="635" customHeight="1" ht="18.75">
      <c r="A635" s="1"/>
      <c r="B635" s="1"/>
      <c r="C635" s="169"/>
      <c r="D635" s="169"/>
      <c r="E635" s="168"/>
      <c r="F635" s="169"/>
      <c r="G635" s="170"/>
      <c r="H635" s="1"/>
      <c r="I635" s="1"/>
      <c r="J635" s="1"/>
      <c r="K635" s="1"/>
      <c r="L635" s="1"/>
      <c r="M635" s="331">
        <f>P635</f>
      </c>
      <c r="N635" s="335">
        <f>+IF(O635&lt;N634,O635,N634)</f>
      </c>
      <c r="O635" s="335">
        <f>+(O634-N634)*(1+$E$13)</f>
      </c>
      <c r="P635" s="332">
        <v>630</v>
      </c>
      <c r="Q635" s="1"/>
      <c r="R635" s="331">
        <f>U635</f>
      </c>
      <c r="S635" s="335">
        <f>+IF(T635&lt;S634,T635,S634)</f>
      </c>
      <c r="T635" s="335">
        <f>+(T634-S634)*(1+$E$14)</f>
      </c>
      <c r="U635" s="332">
        <v>630</v>
      </c>
      <c r="V635" s="1"/>
      <c r="W635" s="331">
        <f>Z635</f>
      </c>
      <c r="X635" s="336">
        <f>+IF(Y635&lt;X634,Y635,X634)</f>
      </c>
      <c r="Y635" s="337">
        <f>+(Y634-X634)*(1+$E$15)</f>
      </c>
      <c r="Z635" s="332">
        <v>630</v>
      </c>
      <c r="AA635" s="1"/>
      <c r="AB635" s="331">
        <f>AE635</f>
      </c>
      <c r="AC635" s="336">
        <f>+IF(AD635&lt;AC634,AD635,AC634)</f>
      </c>
      <c r="AD635" s="337">
        <f>+(AD634-AC634)*(1+$E$16)</f>
      </c>
      <c r="AE635" s="332">
        <v>630</v>
      </c>
    </row>
    <row x14ac:dyDescent="0.25" r="636" customHeight="1" ht="18.75">
      <c r="A636" s="1"/>
      <c r="B636" s="1"/>
      <c r="C636" s="169"/>
      <c r="D636" s="169"/>
      <c r="E636" s="168"/>
      <c r="F636" s="169"/>
      <c r="G636" s="170"/>
      <c r="H636" s="1"/>
      <c r="I636" s="1"/>
      <c r="J636" s="1"/>
      <c r="K636" s="1"/>
      <c r="L636" s="1"/>
      <c r="M636" s="331">
        <f>P636</f>
      </c>
      <c r="N636" s="335">
        <f>+IF(O636&lt;N635,O636,N635)</f>
      </c>
      <c r="O636" s="335">
        <f>+(O635-N635)*(1+$E$13)</f>
      </c>
      <c r="P636" s="332">
        <v>631</v>
      </c>
      <c r="Q636" s="1"/>
      <c r="R636" s="331">
        <f>U636</f>
      </c>
      <c r="S636" s="335">
        <f>+IF(T636&lt;S635,T636,S635)</f>
      </c>
      <c r="T636" s="335">
        <f>+(T635-S635)*(1+$E$14)</f>
      </c>
      <c r="U636" s="332">
        <v>631</v>
      </c>
      <c r="V636" s="1"/>
      <c r="W636" s="331">
        <f>Z636</f>
      </c>
      <c r="X636" s="336">
        <f>+IF(Y636&lt;X635,Y636,X635)</f>
      </c>
      <c r="Y636" s="337">
        <f>+(Y635-X635)*(1+$E$15)</f>
      </c>
      <c r="Z636" s="332">
        <v>631</v>
      </c>
      <c r="AA636" s="1"/>
      <c r="AB636" s="331">
        <f>AE636</f>
      </c>
      <c r="AC636" s="336">
        <f>+IF(AD636&lt;AC635,AD636,AC635)</f>
      </c>
      <c r="AD636" s="337">
        <f>+(AD635-AC635)*(1+$E$16)</f>
      </c>
      <c r="AE636" s="332">
        <v>631</v>
      </c>
    </row>
    <row x14ac:dyDescent="0.25" r="637" customHeight="1" ht="18.75">
      <c r="A637" s="1"/>
      <c r="B637" s="1"/>
      <c r="C637" s="169"/>
      <c r="D637" s="169"/>
      <c r="E637" s="168"/>
      <c r="F637" s="169"/>
      <c r="G637" s="170"/>
      <c r="H637" s="1"/>
      <c r="I637" s="1"/>
      <c r="J637" s="1"/>
      <c r="K637" s="1"/>
      <c r="L637" s="1"/>
      <c r="M637" s="331">
        <f>P637</f>
      </c>
      <c r="N637" s="335">
        <f>+IF(O637&lt;N636,O637,N636)</f>
      </c>
      <c r="O637" s="335">
        <f>+(O636-N636)*(1+$E$13)</f>
      </c>
      <c r="P637" s="332">
        <v>632</v>
      </c>
      <c r="Q637" s="1"/>
      <c r="R637" s="331">
        <f>U637</f>
      </c>
      <c r="S637" s="335">
        <f>+IF(T637&lt;S636,T637,S636)</f>
      </c>
      <c r="T637" s="335">
        <f>+(T636-S636)*(1+$E$14)</f>
      </c>
      <c r="U637" s="332">
        <v>632</v>
      </c>
      <c r="V637" s="1"/>
      <c r="W637" s="331">
        <f>Z637</f>
      </c>
      <c r="X637" s="336">
        <f>+IF(Y637&lt;X636,Y637,X636)</f>
      </c>
      <c r="Y637" s="337">
        <f>+(Y636-X636)*(1+$E$15)</f>
      </c>
      <c r="Z637" s="332">
        <v>632</v>
      </c>
      <c r="AA637" s="1"/>
      <c r="AB637" s="331">
        <f>AE637</f>
      </c>
      <c r="AC637" s="336">
        <f>+IF(AD637&lt;AC636,AD637,AC636)</f>
      </c>
      <c r="AD637" s="337">
        <f>+(AD636-AC636)*(1+$E$16)</f>
      </c>
      <c r="AE637" s="332">
        <v>632</v>
      </c>
    </row>
    <row x14ac:dyDescent="0.25" r="638" customHeight="1" ht="18.75">
      <c r="A638" s="1"/>
      <c r="B638" s="1"/>
      <c r="C638" s="169"/>
      <c r="D638" s="169"/>
      <c r="E638" s="168"/>
      <c r="F638" s="169"/>
      <c r="G638" s="170"/>
      <c r="H638" s="1"/>
      <c r="I638" s="1"/>
      <c r="J638" s="1"/>
      <c r="K638" s="1"/>
      <c r="L638" s="1"/>
      <c r="M638" s="331">
        <f>P638</f>
      </c>
      <c r="N638" s="335">
        <f>+IF(O638&lt;N637,O638,N637)</f>
      </c>
      <c r="O638" s="335">
        <f>+(O637-N637)*(1+$E$13)</f>
      </c>
      <c r="P638" s="332">
        <v>633</v>
      </c>
      <c r="Q638" s="1"/>
      <c r="R638" s="331">
        <f>U638</f>
      </c>
      <c r="S638" s="335">
        <f>+IF(T638&lt;S637,T638,S637)</f>
      </c>
      <c r="T638" s="335">
        <f>+(T637-S637)*(1+$E$14)</f>
      </c>
      <c r="U638" s="332">
        <v>633</v>
      </c>
      <c r="V638" s="1"/>
      <c r="W638" s="331">
        <f>Z638</f>
      </c>
      <c r="X638" s="336">
        <f>+IF(Y638&lt;X637,Y638,X637)</f>
      </c>
      <c r="Y638" s="337">
        <f>+(Y637-X637)*(1+$E$15)</f>
      </c>
      <c r="Z638" s="332">
        <v>633</v>
      </c>
      <c r="AA638" s="1"/>
      <c r="AB638" s="331">
        <f>AE638</f>
      </c>
      <c r="AC638" s="336">
        <f>+IF(AD638&lt;AC637,AD638,AC637)</f>
      </c>
      <c r="AD638" s="337">
        <f>+(AD637-AC637)*(1+$E$16)</f>
      </c>
      <c r="AE638" s="332">
        <v>633</v>
      </c>
    </row>
    <row x14ac:dyDescent="0.25" r="639" customHeight="1" ht="18.75">
      <c r="A639" s="1"/>
      <c r="B639" s="1"/>
      <c r="C639" s="169"/>
      <c r="D639" s="169"/>
      <c r="E639" s="168"/>
      <c r="F639" s="169"/>
      <c r="G639" s="170"/>
      <c r="H639" s="1"/>
      <c r="I639" s="1"/>
      <c r="J639" s="1"/>
      <c r="K639" s="1"/>
      <c r="L639" s="1"/>
      <c r="M639" s="331">
        <f>P639</f>
      </c>
      <c r="N639" s="335">
        <f>+IF(O639&lt;N638,O639,N638)</f>
      </c>
      <c r="O639" s="335">
        <f>+(O638-N638)*(1+$E$13)</f>
      </c>
      <c r="P639" s="332">
        <v>634</v>
      </c>
      <c r="Q639" s="1"/>
      <c r="R639" s="331">
        <f>U639</f>
      </c>
      <c r="S639" s="335">
        <f>+IF(T639&lt;S638,T639,S638)</f>
      </c>
      <c r="T639" s="335">
        <f>+(T638-S638)*(1+$E$14)</f>
      </c>
      <c r="U639" s="332">
        <v>634</v>
      </c>
      <c r="V639" s="1"/>
      <c r="W639" s="331">
        <f>Z639</f>
      </c>
      <c r="X639" s="336">
        <f>+IF(Y639&lt;X638,Y639,X638)</f>
      </c>
      <c r="Y639" s="337">
        <f>+(Y638-X638)*(1+$E$15)</f>
      </c>
      <c r="Z639" s="332">
        <v>634</v>
      </c>
      <c r="AA639" s="1"/>
      <c r="AB639" s="331">
        <f>AE639</f>
      </c>
      <c r="AC639" s="336">
        <f>+IF(AD639&lt;AC638,AD639,AC638)</f>
      </c>
      <c r="AD639" s="337">
        <f>+(AD638-AC638)*(1+$E$16)</f>
      </c>
      <c r="AE639" s="332">
        <v>634</v>
      </c>
    </row>
    <row x14ac:dyDescent="0.25" r="640" customHeight="1" ht="18.75">
      <c r="A640" s="1"/>
      <c r="B640" s="1"/>
      <c r="C640" s="169"/>
      <c r="D640" s="169"/>
      <c r="E640" s="168"/>
      <c r="F640" s="169"/>
      <c r="G640" s="170"/>
      <c r="H640" s="1"/>
      <c r="I640" s="1"/>
      <c r="J640" s="1"/>
      <c r="K640" s="1"/>
      <c r="L640" s="1"/>
      <c r="M640" s="331">
        <f>P640</f>
      </c>
      <c r="N640" s="335">
        <f>+IF(O640&lt;N639,O640,N639)</f>
      </c>
      <c r="O640" s="335">
        <f>+(O639-N639)*(1+$E$13)</f>
      </c>
      <c r="P640" s="332">
        <v>635</v>
      </c>
      <c r="Q640" s="1"/>
      <c r="R640" s="331">
        <f>U640</f>
      </c>
      <c r="S640" s="335">
        <f>+IF(T640&lt;S639,T640,S639)</f>
      </c>
      <c r="T640" s="335">
        <f>+(T639-S639)*(1+$E$14)</f>
      </c>
      <c r="U640" s="332">
        <v>635</v>
      </c>
      <c r="V640" s="1"/>
      <c r="W640" s="331">
        <f>Z640</f>
      </c>
      <c r="X640" s="336">
        <f>+IF(Y640&lt;X639,Y640,X639)</f>
      </c>
      <c r="Y640" s="337">
        <f>+(Y639-X639)*(1+$E$15)</f>
      </c>
      <c r="Z640" s="332">
        <v>635</v>
      </c>
      <c r="AA640" s="1"/>
      <c r="AB640" s="331">
        <f>AE640</f>
      </c>
      <c r="AC640" s="336">
        <f>+IF(AD640&lt;AC639,AD640,AC639)</f>
      </c>
      <c r="AD640" s="337">
        <f>+(AD639-AC639)*(1+$E$16)</f>
      </c>
      <c r="AE640" s="332">
        <v>635</v>
      </c>
    </row>
    <row x14ac:dyDescent="0.25" r="641" customHeight="1" ht="18.75">
      <c r="A641" s="1"/>
      <c r="B641" s="1"/>
      <c r="C641" s="169"/>
      <c r="D641" s="169"/>
      <c r="E641" s="168"/>
      <c r="F641" s="169"/>
      <c r="G641" s="170"/>
      <c r="H641" s="1"/>
      <c r="I641" s="1"/>
      <c r="J641" s="1"/>
      <c r="K641" s="1"/>
      <c r="L641" s="1"/>
      <c r="M641" s="331">
        <f>P641</f>
      </c>
      <c r="N641" s="335">
        <f>+IF(O641&lt;N640,O641,N640)</f>
      </c>
      <c r="O641" s="335">
        <f>+(O640-N640)*(1+$E$13)</f>
      </c>
      <c r="P641" s="332">
        <v>636</v>
      </c>
      <c r="Q641" s="1"/>
      <c r="R641" s="331">
        <f>U641</f>
      </c>
      <c r="S641" s="335">
        <f>+IF(T641&lt;S640,T641,S640)</f>
      </c>
      <c r="T641" s="335">
        <f>+(T640-S640)*(1+$E$14)</f>
      </c>
      <c r="U641" s="332">
        <v>636</v>
      </c>
      <c r="V641" s="1"/>
      <c r="W641" s="331">
        <f>Z641</f>
      </c>
      <c r="X641" s="336">
        <f>+IF(Y641&lt;X640,Y641,X640)</f>
      </c>
      <c r="Y641" s="337">
        <f>+(Y640-X640)*(1+$E$15)</f>
      </c>
      <c r="Z641" s="332">
        <v>636</v>
      </c>
      <c r="AA641" s="1"/>
      <c r="AB641" s="331">
        <f>AE641</f>
      </c>
      <c r="AC641" s="336">
        <f>+IF(AD641&lt;AC640,AD641,AC640)</f>
      </c>
      <c r="AD641" s="337">
        <f>+(AD640-AC640)*(1+$E$16)</f>
      </c>
      <c r="AE641" s="332">
        <v>636</v>
      </c>
    </row>
    <row x14ac:dyDescent="0.25" r="642" customHeight="1" ht="18.75">
      <c r="A642" s="1"/>
      <c r="B642" s="1"/>
      <c r="C642" s="169"/>
      <c r="D642" s="169"/>
      <c r="E642" s="168"/>
      <c r="F642" s="169"/>
      <c r="G642" s="170"/>
      <c r="H642" s="1"/>
      <c r="I642" s="1"/>
      <c r="J642" s="1"/>
      <c r="K642" s="1"/>
      <c r="L642" s="1"/>
      <c r="M642" s="331">
        <f>P642</f>
      </c>
      <c r="N642" s="335">
        <f>+IF(O642&lt;N641,O642,N641)</f>
      </c>
      <c r="O642" s="335">
        <f>+(O641-N641)*(1+$E$13)</f>
      </c>
      <c r="P642" s="332">
        <v>637</v>
      </c>
      <c r="Q642" s="1"/>
      <c r="R642" s="331">
        <f>U642</f>
      </c>
      <c r="S642" s="335">
        <f>+IF(T642&lt;S641,T642,S641)</f>
      </c>
      <c r="T642" s="335">
        <f>+(T641-S641)*(1+$E$14)</f>
      </c>
      <c r="U642" s="332">
        <v>637</v>
      </c>
      <c r="V642" s="1"/>
      <c r="W642" s="331">
        <f>Z642</f>
      </c>
      <c r="X642" s="336">
        <f>+IF(Y642&lt;X641,Y642,X641)</f>
      </c>
      <c r="Y642" s="337">
        <f>+(Y641-X641)*(1+$E$15)</f>
      </c>
      <c r="Z642" s="332">
        <v>637</v>
      </c>
      <c r="AA642" s="1"/>
      <c r="AB642" s="331">
        <f>AE642</f>
      </c>
      <c r="AC642" s="336">
        <f>+IF(AD642&lt;AC641,AD642,AC641)</f>
      </c>
      <c r="AD642" s="337">
        <f>+(AD641-AC641)*(1+$E$16)</f>
      </c>
      <c r="AE642" s="332">
        <v>637</v>
      </c>
    </row>
    <row x14ac:dyDescent="0.25" r="643" customHeight="1" ht="18.75">
      <c r="A643" s="1"/>
      <c r="B643" s="1"/>
      <c r="C643" s="169"/>
      <c r="D643" s="169"/>
      <c r="E643" s="168"/>
      <c r="F643" s="169"/>
      <c r="G643" s="170"/>
      <c r="H643" s="1"/>
      <c r="I643" s="1"/>
      <c r="J643" s="1"/>
      <c r="K643" s="1"/>
      <c r="L643" s="1"/>
      <c r="M643" s="331">
        <f>P643</f>
      </c>
      <c r="N643" s="335">
        <f>+IF(O643&lt;N642,O643,N642)</f>
      </c>
      <c r="O643" s="335">
        <f>+(O642-N642)*(1+$E$13)</f>
      </c>
      <c r="P643" s="332">
        <v>638</v>
      </c>
      <c r="Q643" s="1"/>
      <c r="R643" s="331">
        <f>U643</f>
      </c>
      <c r="S643" s="335">
        <f>+IF(T643&lt;S642,T643,S642)</f>
      </c>
      <c r="T643" s="335">
        <f>+(T642-S642)*(1+$E$14)</f>
      </c>
      <c r="U643" s="332">
        <v>638</v>
      </c>
      <c r="V643" s="1"/>
      <c r="W643" s="331">
        <f>Z643</f>
      </c>
      <c r="X643" s="336">
        <f>+IF(Y643&lt;X642,Y643,X642)</f>
      </c>
      <c r="Y643" s="337">
        <f>+(Y642-X642)*(1+$E$15)</f>
      </c>
      <c r="Z643" s="332">
        <v>638</v>
      </c>
      <c r="AA643" s="1"/>
      <c r="AB643" s="331">
        <f>AE643</f>
      </c>
      <c r="AC643" s="336">
        <f>+IF(AD643&lt;AC642,AD643,AC642)</f>
      </c>
      <c r="AD643" s="337">
        <f>+(AD642-AC642)*(1+$E$16)</f>
      </c>
      <c r="AE643" s="332">
        <v>638</v>
      </c>
    </row>
    <row x14ac:dyDescent="0.25" r="644" customHeight="1" ht="18.75">
      <c r="A644" s="1"/>
      <c r="B644" s="1"/>
      <c r="C644" s="169"/>
      <c r="D644" s="169"/>
      <c r="E644" s="168"/>
      <c r="F644" s="169"/>
      <c r="G644" s="170"/>
      <c r="H644" s="1"/>
      <c r="I644" s="1"/>
      <c r="J644" s="1"/>
      <c r="K644" s="1"/>
      <c r="L644" s="1"/>
      <c r="M644" s="331">
        <f>P644</f>
      </c>
      <c r="N644" s="335">
        <f>+IF(O644&lt;N643,O644,N643)</f>
      </c>
      <c r="O644" s="335">
        <f>+(O643-N643)*(1+$E$13)</f>
      </c>
      <c r="P644" s="332">
        <v>639</v>
      </c>
      <c r="Q644" s="1"/>
      <c r="R644" s="331">
        <f>U644</f>
      </c>
      <c r="S644" s="335">
        <f>+IF(T644&lt;S643,T644,S643)</f>
      </c>
      <c r="T644" s="335">
        <f>+(T643-S643)*(1+$E$14)</f>
      </c>
      <c r="U644" s="332">
        <v>639</v>
      </c>
      <c r="V644" s="1"/>
      <c r="W644" s="331">
        <f>Z644</f>
      </c>
      <c r="X644" s="336">
        <f>+IF(Y644&lt;X643,Y644,X643)</f>
      </c>
      <c r="Y644" s="337">
        <f>+(Y643-X643)*(1+$E$15)</f>
      </c>
      <c r="Z644" s="332">
        <v>639</v>
      </c>
      <c r="AA644" s="1"/>
      <c r="AB644" s="331">
        <f>AE644</f>
      </c>
      <c r="AC644" s="336">
        <f>+IF(AD644&lt;AC643,AD644,AC643)</f>
      </c>
      <c r="AD644" s="337">
        <f>+(AD643-AC643)*(1+$E$16)</f>
      </c>
      <c r="AE644" s="332">
        <v>639</v>
      </c>
    </row>
    <row x14ac:dyDescent="0.25" r="645" customHeight="1" ht="18.75">
      <c r="A645" s="1"/>
      <c r="B645" s="1"/>
      <c r="C645" s="169"/>
      <c r="D645" s="169"/>
      <c r="E645" s="168"/>
      <c r="F645" s="169"/>
      <c r="G645" s="170"/>
      <c r="H645" s="1"/>
      <c r="I645" s="1"/>
      <c r="J645" s="1"/>
      <c r="K645" s="1"/>
      <c r="L645" s="1"/>
      <c r="M645" s="331">
        <f>P645</f>
      </c>
      <c r="N645" s="335">
        <f>+IF(O645&lt;N644,O645,N644)</f>
      </c>
      <c r="O645" s="335">
        <f>+(O644-N644)*(1+$E$13)</f>
      </c>
      <c r="P645" s="332">
        <v>640</v>
      </c>
      <c r="Q645" s="1"/>
      <c r="R645" s="331">
        <f>U645</f>
      </c>
      <c r="S645" s="335">
        <f>+IF(T645&lt;S644,T645,S644)</f>
      </c>
      <c r="T645" s="335">
        <f>+(T644-S644)*(1+$E$14)</f>
      </c>
      <c r="U645" s="332">
        <v>640</v>
      </c>
      <c r="V645" s="1"/>
      <c r="W645" s="331">
        <f>Z645</f>
      </c>
      <c r="X645" s="336">
        <f>+IF(Y645&lt;X644,Y645,X644)</f>
      </c>
      <c r="Y645" s="337">
        <f>+(Y644-X644)*(1+$E$15)</f>
      </c>
      <c r="Z645" s="332">
        <v>640</v>
      </c>
      <c r="AA645" s="1"/>
      <c r="AB645" s="331">
        <f>AE645</f>
      </c>
      <c r="AC645" s="336">
        <f>+IF(AD645&lt;AC644,AD645,AC644)</f>
      </c>
      <c r="AD645" s="337">
        <f>+(AD644-AC644)*(1+$E$16)</f>
      </c>
      <c r="AE645" s="332">
        <v>640</v>
      </c>
    </row>
    <row x14ac:dyDescent="0.25" r="646" customHeight="1" ht="18.75">
      <c r="A646" s="1"/>
      <c r="B646" s="1"/>
      <c r="C646" s="169"/>
      <c r="D646" s="169"/>
      <c r="E646" s="168"/>
      <c r="F646" s="169"/>
      <c r="G646" s="170"/>
      <c r="H646" s="1"/>
      <c r="I646" s="1"/>
      <c r="J646" s="1"/>
      <c r="K646" s="1"/>
      <c r="L646" s="1"/>
      <c r="M646" s="331">
        <f>P646</f>
      </c>
      <c r="N646" s="335">
        <f>+IF(O646&lt;N645,O646,N645)</f>
      </c>
      <c r="O646" s="335">
        <f>+(O645-N645)*(1+$E$13)</f>
      </c>
      <c r="P646" s="332">
        <v>641</v>
      </c>
      <c r="Q646" s="1"/>
      <c r="R646" s="331">
        <f>U646</f>
      </c>
      <c r="S646" s="335">
        <f>+IF(T646&lt;S645,T646,S645)</f>
      </c>
      <c r="T646" s="335">
        <f>+(T645-S645)*(1+$E$14)</f>
      </c>
      <c r="U646" s="332">
        <v>641</v>
      </c>
      <c r="V646" s="1"/>
      <c r="W646" s="331">
        <f>Z646</f>
      </c>
      <c r="X646" s="336">
        <f>+IF(Y646&lt;X645,Y646,X645)</f>
      </c>
      <c r="Y646" s="337">
        <f>+(Y645-X645)*(1+$E$15)</f>
      </c>
      <c r="Z646" s="332">
        <v>641</v>
      </c>
      <c r="AA646" s="1"/>
      <c r="AB646" s="331">
        <f>AE646</f>
      </c>
      <c r="AC646" s="336">
        <f>+IF(AD646&lt;AC645,AD646,AC645)</f>
      </c>
      <c r="AD646" s="337">
        <f>+(AD645-AC645)*(1+$E$16)</f>
      </c>
      <c r="AE646" s="332">
        <v>641</v>
      </c>
    </row>
    <row x14ac:dyDescent="0.25" r="647" customHeight="1" ht="18.75">
      <c r="A647" s="1"/>
      <c r="B647" s="1"/>
      <c r="C647" s="169"/>
      <c r="D647" s="169"/>
      <c r="E647" s="168"/>
      <c r="F647" s="169"/>
      <c r="G647" s="170"/>
      <c r="H647" s="1"/>
      <c r="I647" s="1"/>
      <c r="J647" s="1"/>
      <c r="K647" s="1"/>
      <c r="L647" s="1"/>
      <c r="M647" s="331">
        <f>P647</f>
      </c>
      <c r="N647" s="335">
        <f>+IF(O647&lt;N646,O647,N646)</f>
      </c>
      <c r="O647" s="335">
        <f>+(O646-N646)*(1+$E$13)</f>
      </c>
      <c r="P647" s="332">
        <v>642</v>
      </c>
      <c r="Q647" s="1"/>
      <c r="R647" s="331">
        <f>U647</f>
      </c>
      <c r="S647" s="335">
        <f>+IF(T647&lt;S646,T647,S646)</f>
      </c>
      <c r="T647" s="335">
        <f>+(T646-S646)*(1+$E$14)</f>
      </c>
      <c r="U647" s="332">
        <v>642</v>
      </c>
      <c r="V647" s="1"/>
      <c r="W647" s="331">
        <f>Z647</f>
      </c>
      <c r="X647" s="336">
        <f>+IF(Y647&lt;X646,Y647,X646)</f>
      </c>
      <c r="Y647" s="337">
        <f>+(Y646-X646)*(1+$E$15)</f>
      </c>
      <c r="Z647" s="332">
        <v>642</v>
      </c>
      <c r="AA647" s="1"/>
      <c r="AB647" s="331">
        <f>AE647</f>
      </c>
      <c r="AC647" s="336">
        <f>+IF(AD647&lt;AC646,AD647,AC646)</f>
      </c>
      <c r="AD647" s="337">
        <f>+(AD646-AC646)*(1+$E$16)</f>
      </c>
      <c r="AE647" s="332">
        <v>642</v>
      </c>
    </row>
    <row x14ac:dyDescent="0.25" r="648" customHeight="1" ht="18.75">
      <c r="A648" s="1"/>
      <c r="B648" s="1"/>
      <c r="C648" s="169"/>
      <c r="D648" s="169"/>
      <c r="E648" s="168"/>
      <c r="F648" s="169"/>
      <c r="G648" s="170"/>
      <c r="H648" s="1"/>
      <c r="I648" s="1"/>
      <c r="J648" s="1"/>
      <c r="K648" s="1"/>
      <c r="L648" s="1"/>
      <c r="M648" s="331">
        <f>P648</f>
      </c>
      <c r="N648" s="335">
        <f>+IF(O648&lt;N647,O648,N647)</f>
      </c>
      <c r="O648" s="335">
        <f>+(O647-N647)*(1+$E$13)</f>
      </c>
      <c r="P648" s="332">
        <v>643</v>
      </c>
      <c r="Q648" s="1"/>
      <c r="R648" s="331">
        <f>U648</f>
      </c>
      <c r="S648" s="335">
        <f>+IF(T648&lt;S647,T648,S647)</f>
      </c>
      <c r="T648" s="335">
        <f>+(T647-S647)*(1+$E$14)</f>
      </c>
      <c r="U648" s="332">
        <v>643</v>
      </c>
      <c r="V648" s="1"/>
      <c r="W648" s="331">
        <f>Z648</f>
      </c>
      <c r="X648" s="336">
        <f>+IF(Y648&lt;X647,Y648,X647)</f>
      </c>
      <c r="Y648" s="337">
        <f>+(Y647-X647)*(1+$E$15)</f>
      </c>
      <c r="Z648" s="332">
        <v>643</v>
      </c>
      <c r="AA648" s="1"/>
      <c r="AB648" s="331">
        <f>AE648</f>
      </c>
      <c r="AC648" s="336">
        <f>+IF(AD648&lt;AC647,AD648,AC647)</f>
      </c>
      <c r="AD648" s="337">
        <f>+(AD647-AC647)*(1+$E$16)</f>
      </c>
      <c r="AE648" s="332">
        <v>643</v>
      </c>
    </row>
    <row x14ac:dyDescent="0.25" r="649" customHeight="1" ht="18.75">
      <c r="A649" s="1"/>
      <c r="B649" s="1"/>
      <c r="C649" s="169"/>
      <c r="D649" s="169"/>
      <c r="E649" s="168"/>
      <c r="F649" s="169"/>
      <c r="G649" s="170"/>
      <c r="H649" s="1"/>
      <c r="I649" s="1"/>
      <c r="J649" s="1"/>
      <c r="K649" s="1"/>
      <c r="L649" s="1"/>
      <c r="M649" s="331">
        <f>P649</f>
      </c>
      <c r="N649" s="335">
        <f>+IF(O649&lt;N648,O649,N648)</f>
      </c>
      <c r="O649" s="335">
        <f>+(O648-N648)*(1+$E$13)</f>
      </c>
      <c r="P649" s="332">
        <v>644</v>
      </c>
      <c r="Q649" s="1"/>
      <c r="R649" s="331">
        <f>U649</f>
      </c>
      <c r="S649" s="335">
        <f>+IF(T649&lt;S648,T649,S648)</f>
      </c>
      <c r="T649" s="335">
        <f>+(T648-S648)*(1+$E$14)</f>
      </c>
      <c r="U649" s="332">
        <v>644</v>
      </c>
      <c r="V649" s="1"/>
      <c r="W649" s="331">
        <f>Z649</f>
      </c>
      <c r="X649" s="336">
        <f>+IF(Y649&lt;X648,Y649,X648)</f>
      </c>
      <c r="Y649" s="337">
        <f>+(Y648-X648)*(1+$E$15)</f>
      </c>
      <c r="Z649" s="332">
        <v>644</v>
      </c>
      <c r="AA649" s="1"/>
      <c r="AB649" s="331">
        <f>AE649</f>
      </c>
      <c r="AC649" s="336">
        <f>+IF(AD649&lt;AC648,AD649,AC648)</f>
      </c>
      <c r="AD649" s="337">
        <f>+(AD648-AC648)*(1+$E$16)</f>
      </c>
      <c r="AE649" s="332">
        <v>644</v>
      </c>
    </row>
    <row x14ac:dyDescent="0.25" r="650" customHeight="1" ht="18.75">
      <c r="A650" s="1"/>
      <c r="B650" s="1"/>
      <c r="C650" s="169"/>
      <c r="D650" s="169"/>
      <c r="E650" s="168"/>
      <c r="F650" s="169"/>
      <c r="G650" s="170"/>
      <c r="H650" s="1"/>
      <c r="I650" s="1"/>
      <c r="J650" s="1"/>
      <c r="K650" s="1"/>
      <c r="L650" s="1"/>
      <c r="M650" s="331">
        <f>P650</f>
      </c>
      <c r="N650" s="335">
        <f>+IF(O650&lt;N649,O650,N649)</f>
      </c>
      <c r="O650" s="335">
        <f>+(O649-N649)*(1+$E$13)</f>
      </c>
      <c r="P650" s="332">
        <v>645</v>
      </c>
      <c r="Q650" s="1"/>
      <c r="R650" s="331">
        <f>U650</f>
      </c>
      <c r="S650" s="335">
        <f>+IF(T650&lt;S649,T650,S649)</f>
      </c>
      <c r="T650" s="335">
        <f>+(T649-S649)*(1+$E$14)</f>
      </c>
      <c r="U650" s="332">
        <v>645</v>
      </c>
      <c r="V650" s="1"/>
      <c r="W650" s="331">
        <f>Z650</f>
      </c>
      <c r="X650" s="336">
        <f>+IF(Y650&lt;X649,Y650,X649)</f>
      </c>
      <c r="Y650" s="337">
        <f>+(Y649-X649)*(1+$E$15)</f>
      </c>
      <c r="Z650" s="332">
        <v>645</v>
      </c>
      <c r="AA650" s="1"/>
      <c r="AB650" s="331">
        <f>AE650</f>
      </c>
      <c r="AC650" s="336">
        <f>+IF(AD650&lt;AC649,AD650,AC649)</f>
      </c>
      <c r="AD650" s="337">
        <f>+(AD649-AC649)*(1+$E$16)</f>
      </c>
      <c r="AE650" s="332">
        <v>645</v>
      </c>
    </row>
    <row x14ac:dyDescent="0.25" r="651" customHeight="1" ht="18.75">
      <c r="A651" s="1"/>
      <c r="B651" s="1"/>
      <c r="C651" s="169"/>
      <c r="D651" s="169"/>
      <c r="E651" s="168"/>
      <c r="F651" s="169"/>
      <c r="G651" s="170"/>
      <c r="H651" s="1"/>
      <c r="I651" s="1"/>
      <c r="J651" s="1"/>
      <c r="K651" s="1"/>
      <c r="L651" s="1"/>
      <c r="M651" s="331">
        <f>P651</f>
      </c>
      <c r="N651" s="335">
        <f>+IF(O651&lt;N650,O651,N650)</f>
      </c>
      <c r="O651" s="335">
        <f>+(O650-N650)*(1+$E$13)</f>
      </c>
      <c r="P651" s="332">
        <v>646</v>
      </c>
      <c r="Q651" s="1"/>
      <c r="R651" s="331">
        <f>U651</f>
      </c>
      <c r="S651" s="335">
        <f>+IF(T651&lt;S650,T651,S650)</f>
      </c>
      <c r="T651" s="335">
        <f>+(T650-S650)*(1+$E$14)</f>
      </c>
      <c r="U651" s="332">
        <v>646</v>
      </c>
      <c r="V651" s="1"/>
      <c r="W651" s="331">
        <f>Z651</f>
      </c>
      <c r="X651" s="336">
        <f>+IF(Y651&lt;X650,Y651,X650)</f>
      </c>
      <c r="Y651" s="337">
        <f>+(Y650-X650)*(1+$E$15)</f>
      </c>
      <c r="Z651" s="332">
        <v>646</v>
      </c>
      <c r="AA651" s="1"/>
      <c r="AB651" s="331">
        <f>AE651</f>
      </c>
      <c r="AC651" s="336">
        <f>+IF(AD651&lt;AC650,AD651,AC650)</f>
      </c>
      <c r="AD651" s="337">
        <f>+(AD650-AC650)*(1+$E$16)</f>
      </c>
      <c r="AE651" s="332">
        <v>646</v>
      </c>
    </row>
    <row x14ac:dyDescent="0.25" r="652" customHeight="1" ht="18.75">
      <c r="A652" s="1"/>
      <c r="B652" s="1"/>
      <c r="C652" s="169"/>
      <c r="D652" s="169"/>
      <c r="E652" s="168"/>
      <c r="F652" s="169"/>
      <c r="G652" s="170"/>
      <c r="H652" s="1"/>
      <c r="I652" s="1"/>
      <c r="J652" s="1"/>
      <c r="K652" s="1"/>
      <c r="L652" s="1"/>
      <c r="M652" s="331">
        <f>P652</f>
      </c>
      <c r="N652" s="335">
        <f>+IF(O652&lt;N651,O652,N651)</f>
      </c>
      <c r="O652" s="335">
        <f>+(O651-N651)*(1+$E$13)</f>
      </c>
      <c r="P652" s="332">
        <v>647</v>
      </c>
      <c r="Q652" s="1"/>
      <c r="R652" s="331">
        <f>U652</f>
      </c>
      <c r="S652" s="335">
        <f>+IF(T652&lt;S651,T652,S651)</f>
      </c>
      <c r="T652" s="335">
        <f>+(T651-S651)*(1+$E$14)</f>
      </c>
      <c r="U652" s="332">
        <v>647</v>
      </c>
      <c r="V652" s="1"/>
      <c r="W652" s="331">
        <f>Z652</f>
      </c>
      <c r="X652" s="336">
        <f>+IF(Y652&lt;X651,Y652,X651)</f>
      </c>
      <c r="Y652" s="337">
        <f>+(Y651-X651)*(1+$E$15)</f>
      </c>
      <c r="Z652" s="332">
        <v>647</v>
      </c>
      <c r="AA652" s="1"/>
      <c r="AB652" s="331">
        <f>AE652</f>
      </c>
      <c r="AC652" s="336">
        <f>+IF(AD652&lt;AC651,AD652,AC651)</f>
      </c>
      <c r="AD652" s="337">
        <f>+(AD651-AC651)*(1+$E$16)</f>
      </c>
      <c r="AE652" s="332">
        <v>647</v>
      </c>
    </row>
    <row x14ac:dyDescent="0.25" r="653" customHeight="1" ht="18.75">
      <c r="A653" s="1"/>
      <c r="B653" s="1"/>
      <c r="C653" s="169"/>
      <c r="D653" s="169"/>
      <c r="E653" s="168"/>
      <c r="F653" s="169"/>
      <c r="G653" s="170"/>
      <c r="H653" s="1"/>
      <c r="I653" s="1"/>
      <c r="J653" s="1"/>
      <c r="K653" s="1"/>
      <c r="L653" s="1"/>
      <c r="M653" s="331">
        <f>P653</f>
      </c>
      <c r="N653" s="335">
        <f>+IF(O653&lt;N652,O653,N652)</f>
      </c>
      <c r="O653" s="335">
        <f>+(O652-N652)*(1+$E$13)</f>
      </c>
      <c r="P653" s="332">
        <v>648</v>
      </c>
      <c r="Q653" s="1"/>
      <c r="R653" s="331">
        <f>U653</f>
      </c>
      <c r="S653" s="335">
        <f>+IF(T653&lt;S652,T653,S652)</f>
      </c>
      <c r="T653" s="335">
        <f>+(T652-S652)*(1+$E$14)</f>
      </c>
      <c r="U653" s="332">
        <v>648</v>
      </c>
      <c r="V653" s="1"/>
      <c r="W653" s="331">
        <f>Z653</f>
      </c>
      <c r="X653" s="336">
        <f>+IF(Y653&lt;X652,Y653,X652)</f>
      </c>
      <c r="Y653" s="337">
        <f>+(Y652-X652)*(1+$E$15)</f>
      </c>
      <c r="Z653" s="332">
        <v>648</v>
      </c>
      <c r="AA653" s="1"/>
      <c r="AB653" s="331">
        <f>AE653</f>
      </c>
      <c r="AC653" s="336">
        <f>+IF(AD653&lt;AC652,AD653,AC652)</f>
      </c>
      <c r="AD653" s="337">
        <f>+(AD652-AC652)*(1+$E$16)</f>
      </c>
      <c r="AE653" s="332">
        <v>648</v>
      </c>
    </row>
    <row x14ac:dyDescent="0.25" r="654" customHeight="1" ht="18.75">
      <c r="A654" s="1"/>
      <c r="B654" s="1"/>
      <c r="C654" s="169"/>
      <c r="D654" s="169"/>
      <c r="E654" s="168"/>
      <c r="F654" s="169"/>
      <c r="G654" s="170"/>
      <c r="H654" s="1"/>
      <c r="I654" s="1"/>
      <c r="J654" s="1"/>
      <c r="K654" s="1"/>
      <c r="L654" s="1"/>
      <c r="M654" s="331">
        <f>P654</f>
      </c>
      <c r="N654" s="335">
        <f>+IF(O654&lt;N653,O654,N653)</f>
      </c>
      <c r="O654" s="335">
        <f>+(O653-N653)*(1+$E$13)</f>
      </c>
      <c r="P654" s="332">
        <v>649</v>
      </c>
      <c r="Q654" s="1"/>
      <c r="R654" s="331">
        <f>U654</f>
      </c>
      <c r="S654" s="335">
        <f>+IF(T654&lt;S653,T654,S653)</f>
      </c>
      <c r="T654" s="335">
        <f>+(T653-S653)*(1+$E$14)</f>
      </c>
      <c r="U654" s="332">
        <v>649</v>
      </c>
      <c r="V654" s="1"/>
      <c r="W654" s="331">
        <f>Z654</f>
      </c>
      <c r="X654" s="336">
        <f>+IF(Y654&lt;X653,Y654,X653)</f>
      </c>
      <c r="Y654" s="337">
        <f>+(Y653-X653)*(1+$E$15)</f>
      </c>
      <c r="Z654" s="332">
        <v>649</v>
      </c>
      <c r="AA654" s="1"/>
      <c r="AB654" s="331">
        <f>AE654</f>
      </c>
      <c r="AC654" s="336">
        <f>+IF(AD654&lt;AC653,AD654,AC653)</f>
      </c>
      <c r="AD654" s="337">
        <f>+(AD653-AC653)*(1+$E$16)</f>
      </c>
      <c r="AE654" s="332">
        <v>649</v>
      </c>
    </row>
    <row x14ac:dyDescent="0.25" r="655" customHeight="1" ht="18.75">
      <c r="A655" s="1"/>
      <c r="B655" s="1"/>
      <c r="C655" s="169"/>
      <c r="D655" s="169"/>
      <c r="E655" s="168"/>
      <c r="F655" s="169"/>
      <c r="G655" s="170"/>
      <c r="H655" s="1"/>
      <c r="I655" s="1"/>
      <c r="J655" s="1"/>
      <c r="K655" s="1"/>
      <c r="L655" s="1"/>
      <c r="M655" s="331">
        <f>P655</f>
      </c>
      <c r="N655" s="335">
        <f>+IF(O655&lt;N654,O655,N654)</f>
      </c>
      <c r="O655" s="335">
        <f>+(O654-N654)*(1+$E$13)</f>
      </c>
      <c r="P655" s="332">
        <v>650</v>
      </c>
      <c r="Q655" s="1"/>
      <c r="R655" s="331">
        <f>U655</f>
      </c>
      <c r="S655" s="335">
        <f>+IF(T655&lt;S654,T655,S654)</f>
      </c>
      <c r="T655" s="335">
        <f>+(T654-S654)*(1+$E$14)</f>
      </c>
      <c r="U655" s="332">
        <v>650</v>
      </c>
      <c r="V655" s="1"/>
      <c r="W655" s="331">
        <f>Z655</f>
      </c>
      <c r="X655" s="336">
        <f>+IF(Y655&lt;X654,Y655,X654)</f>
      </c>
      <c r="Y655" s="337">
        <f>+(Y654-X654)*(1+$E$15)</f>
      </c>
      <c r="Z655" s="332">
        <v>650</v>
      </c>
      <c r="AA655" s="1"/>
      <c r="AB655" s="331">
        <f>AE655</f>
      </c>
      <c r="AC655" s="336">
        <f>+IF(AD655&lt;AC654,AD655,AC654)</f>
      </c>
      <c r="AD655" s="337">
        <f>+(AD654-AC654)*(1+$E$16)</f>
      </c>
      <c r="AE655" s="332">
        <v>650</v>
      </c>
    </row>
    <row x14ac:dyDescent="0.25" r="656" customHeight="1" ht="18.75">
      <c r="A656" s="1"/>
      <c r="B656" s="1"/>
      <c r="C656" s="169"/>
      <c r="D656" s="169"/>
      <c r="E656" s="168"/>
      <c r="F656" s="169"/>
      <c r="G656" s="170"/>
      <c r="H656" s="1"/>
      <c r="I656" s="1"/>
      <c r="J656" s="1"/>
      <c r="K656" s="1"/>
      <c r="L656" s="1"/>
      <c r="M656" s="331">
        <f>P656</f>
      </c>
      <c r="N656" s="335">
        <f>+IF(O656&lt;N655,O656,N655)</f>
      </c>
      <c r="O656" s="335">
        <f>+(O655-N655)*(1+$E$13)</f>
      </c>
      <c r="P656" s="332">
        <v>651</v>
      </c>
      <c r="Q656" s="1"/>
      <c r="R656" s="331">
        <f>U656</f>
      </c>
      <c r="S656" s="335">
        <f>+IF(T656&lt;S655,T656,S655)</f>
      </c>
      <c r="T656" s="335">
        <f>+(T655-S655)*(1+$E$14)</f>
      </c>
      <c r="U656" s="332">
        <v>651</v>
      </c>
      <c r="V656" s="1"/>
      <c r="W656" s="331">
        <f>Z656</f>
      </c>
      <c r="X656" s="336">
        <f>+IF(Y656&lt;X655,Y656,X655)</f>
      </c>
      <c r="Y656" s="337">
        <f>+(Y655-X655)*(1+$E$15)</f>
      </c>
      <c r="Z656" s="332">
        <v>651</v>
      </c>
      <c r="AA656" s="1"/>
      <c r="AB656" s="331">
        <f>AE656</f>
      </c>
      <c r="AC656" s="336">
        <f>+IF(AD656&lt;AC655,AD656,AC655)</f>
      </c>
      <c r="AD656" s="337">
        <f>+(AD655-AC655)*(1+$E$16)</f>
      </c>
      <c r="AE656" s="332">
        <v>651</v>
      </c>
    </row>
    <row x14ac:dyDescent="0.25" r="657" customHeight="1" ht="18.75">
      <c r="A657" s="1"/>
      <c r="B657" s="1"/>
      <c r="C657" s="169"/>
      <c r="D657" s="169"/>
      <c r="E657" s="168"/>
      <c r="F657" s="169"/>
      <c r="G657" s="170"/>
      <c r="H657" s="1"/>
      <c r="I657" s="1"/>
      <c r="J657" s="1"/>
      <c r="K657" s="1"/>
      <c r="L657" s="1"/>
      <c r="M657" s="331">
        <f>P657</f>
      </c>
      <c r="N657" s="335">
        <f>+IF(O657&lt;N656,O657,N656)</f>
      </c>
      <c r="O657" s="335">
        <f>+(O656-N656)*(1+$E$13)</f>
      </c>
      <c r="P657" s="332">
        <v>652</v>
      </c>
      <c r="Q657" s="1"/>
      <c r="R657" s="331">
        <f>U657</f>
      </c>
      <c r="S657" s="335">
        <f>+IF(T657&lt;S656,T657,S656)</f>
      </c>
      <c r="T657" s="335">
        <f>+(T656-S656)*(1+$E$14)</f>
      </c>
      <c r="U657" s="332">
        <v>652</v>
      </c>
      <c r="V657" s="1"/>
      <c r="W657" s="331">
        <f>Z657</f>
      </c>
      <c r="X657" s="336">
        <f>+IF(Y657&lt;X656,Y657,X656)</f>
      </c>
      <c r="Y657" s="337">
        <f>+(Y656-X656)*(1+$E$15)</f>
      </c>
      <c r="Z657" s="332">
        <v>652</v>
      </c>
      <c r="AA657" s="1"/>
      <c r="AB657" s="331">
        <f>AE657</f>
      </c>
      <c r="AC657" s="336">
        <f>+IF(AD657&lt;AC656,AD657,AC656)</f>
      </c>
      <c r="AD657" s="337">
        <f>+(AD656-AC656)*(1+$E$16)</f>
      </c>
      <c r="AE657" s="332">
        <v>652</v>
      </c>
    </row>
    <row x14ac:dyDescent="0.25" r="658" customHeight="1" ht="18.75">
      <c r="A658" s="1"/>
      <c r="B658" s="1"/>
      <c r="C658" s="169"/>
      <c r="D658" s="169"/>
      <c r="E658" s="168"/>
      <c r="F658" s="169"/>
      <c r="G658" s="170"/>
      <c r="H658" s="1"/>
      <c r="I658" s="1"/>
      <c r="J658" s="1"/>
      <c r="K658" s="1"/>
      <c r="L658" s="1"/>
      <c r="M658" s="331">
        <f>P658</f>
      </c>
      <c r="N658" s="335">
        <f>+IF(O658&lt;N657,O658,N657)</f>
      </c>
      <c r="O658" s="335">
        <f>+(O657-N657)*(1+$E$13)</f>
      </c>
      <c r="P658" s="332">
        <v>653</v>
      </c>
      <c r="Q658" s="1"/>
      <c r="R658" s="331">
        <f>U658</f>
      </c>
      <c r="S658" s="335">
        <f>+IF(T658&lt;S657,T658,S657)</f>
      </c>
      <c r="T658" s="335">
        <f>+(T657-S657)*(1+$E$14)</f>
      </c>
      <c r="U658" s="332">
        <v>653</v>
      </c>
      <c r="V658" s="1"/>
      <c r="W658" s="331">
        <f>Z658</f>
      </c>
      <c r="X658" s="336">
        <f>+IF(Y658&lt;X657,Y658,X657)</f>
      </c>
      <c r="Y658" s="337">
        <f>+(Y657-X657)*(1+$E$15)</f>
      </c>
      <c r="Z658" s="332">
        <v>653</v>
      </c>
      <c r="AA658" s="1"/>
      <c r="AB658" s="331">
        <f>AE658</f>
      </c>
      <c r="AC658" s="336">
        <f>+IF(AD658&lt;AC657,AD658,AC657)</f>
      </c>
      <c r="AD658" s="337">
        <f>+(AD657-AC657)*(1+$E$16)</f>
      </c>
      <c r="AE658" s="332">
        <v>653</v>
      </c>
    </row>
    <row x14ac:dyDescent="0.25" r="659" customHeight="1" ht="18.75">
      <c r="A659" s="1"/>
      <c r="B659" s="1"/>
      <c r="C659" s="169"/>
      <c r="D659" s="169"/>
      <c r="E659" s="168"/>
      <c r="F659" s="169"/>
      <c r="G659" s="170"/>
      <c r="H659" s="1"/>
      <c r="I659" s="1"/>
      <c r="J659" s="1"/>
      <c r="K659" s="1"/>
      <c r="L659" s="1"/>
      <c r="M659" s="331">
        <f>P659</f>
      </c>
      <c r="N659" s="335">
        <f>+IF(O659&lt;N658,O659,N658)</f>
      </c>
      <c r="O659" s="335">
        <f>+(O658-N658)*(1+$E$13)</f>
      </c>
      <c r="P659" s="332">
        <v>654</v>
      </c>
      <c r="Q659" s="1"/>
      <c r="R659" s="331">
        <f>U659</f>
      </c>
      <c r="S659" s="335">
        <f>+IF(T659&lt;S658,T659,S658)</f>
      </c>
      <c r="T659" s="335">
        <f>+(T658-S658)*(1+$E$14)</f>
      </c>
      <c r="U659" s="332">
        <v>654</v>
      </c>
      <c r="V659" s="1"/>
      <c r="W659" s="331">
        <f>Z659</f>
      </c>
      <c r="X659" s="336">
        <f>+IF(Y659&lt;X658,Y659,X658)</f>
      </c>
      <c r="Y659" s="337">
        <f>+(Y658-X658)*(1+$E$15)</f>
      </c>
      <c r="Z659" s="332">
        <v>654</v>
      </c>
      <c r="AA659" s="1"/>
      <c r="AB659" s="331">
        <f>AE659</f>
      </c>
      <c r="AC659" s="336">
        <f>+IF(AD659&lt;AC658,AD659,AC658)</f>
      </c>
      <c r="AD659" s="337">
        <f>+(AD658-AC658)*(1+$E$16)</f>
      </c>
      <c r="AE659" s="332">
        <v>654</v>
      </c>
    </row>
    <row x14ac:dyDescent="0.25" r="660" customHeight="1" ht="18.75">
      <c r="A660" s="1"/>
      <c r="B660" s="1"/>
      <c r="C660" s="169"/>
      <c r="D660" s="169"/>
      <c r="E660" s="168"/>
      <c r="F660" s="169"/>
      <c r="G660" s="170"/>
      <c r="H660" s="1"/>
      <c r="I660" s="1"/>
      <c r="J660" s="1"/>
      <c r="K660" s="1"/>
      <c r="L660" s="1"/>
      <c r="M660" s="331">
        <f>P660</f>
      </c>
      <c r="N660" s="335">
        <f>+IF(O660&lt;N659,O660,N659)</f>
      </c>
      <c r="O660" s="335">
        <f>+(O659-N659)*(1+$E$13)</f>
      </c>
      <c r="P660" s="332">
        <v>655</v>
      </c>
      <c r="Q660" s="1"/>
      <c r="R660" s="331">
        <f>U660</f>
      </c>
      <c r="S660" s="335">
        <f>+IF(T660&lt;S659,T660,S659)</f>
      </c>
      <c r="T660" s="335">
        <f>+(T659-S659)*(1+$E$14)</f>
      </c>
      <c r="U660" s="332">
        <v>655</v>
      </c>
      <c r="V660" s="1"/>
      <c r="W660" s="331">
        <f>Z660</f>
      </c>
      <c r="X660" s="336">
        <f>+IF(Y660&lt;X659,Y660,X659)</f>
      </c>
      <c r="Y660" s="337">
        <f>+(Y659-X659)*(1+$E$15)</f>
      </c>
      <c r="Z660" s="332">
        <v>655</v>
      </c>
      <c r="AA660" s="1"/>
      <c r="AB660" s="331">
        <f>AE660</f>
      </c>
      <c r="AC660" s="336">
        <f>+IF(AD660&lt;AC659,AD660,AC659)</f>
      </c>
      <c r="AD660" s="337">
        <f>+(AD659-AC659)*(1+$E$16)</f>
      </c>
      <c r="AE660" s="332">
        <v>655</v>
      </c>
    </row>
    <row x14ac:dyDescent="0.25" r="661" customHeight="1" ht="18.75">
      <c r="A661" s="1"/>
      <c r="B661" s="1"/>
      <c r="C661" s="169"/>
      <c r="D661" s="169"/>
      <c r="E661" s="168"/>
      <c r="F661" s="169"/>
      <c r="G661" s="170"/>
      <c r="H661" s="1"/>
      <c r="I661" s="1"/>
      <c r="J661" s="1"/>
      <c r="K661" s="1"/>
      <c r="L661" s="1"/>
      <c r="M661" s="331">
        <f>P661</f>
      </c>
      <c r="N661" s="335">
        <f>+IF(O661&lt;N660,O661,N660)</f>
      </c>
      <c r="O661" s="335">
        <f>+(O660-N660)*(1+$E$13)</f>
      </c>
      <c r="P661" s="332">
        <v>656</v>
      </c>
      <c r="Q661" s="1"/>
      <c r="R661" s="331">
        <f>U661</f>
      </c>
      <c r="S661" s="335">
        <f>+IF(T661&lt;S660,T661,S660)</f>
      </c>
      <c r="T661" s="335">
        <f>+(T660-S660)*(1+$E$14)</f>
      </c>
      <c r="U661" s="332">
        <v>656</v>
      </c>
      <c r="V661" s="1"/>
      <c r="W661" s="331">
        <f>Z661</f>
      </c>
      <c r="X661" s="336">
        <f>+IF(Y661&lt;X660,Y661,X660)</f>
      </c>
      <c r="Y661" s="337">
        <f>+(Y660-X660)*(1+$E$15)</f>
      </c>
      <c r="Z661" s="332">
        <v>656</v>
      </c>
      <c r="AA661" s="1"/>
      <c r="AB661" s="331">
        <f>AE661</f>
      </c>
      <c r="AC661" s="336">
        <f>+IF(AD661&lt;AC660,AD661,AC660)</f>
      </c>
      <c r="AD661" s="337">
        <f>+(AD660-AC660)*(1+$E$16)</f>
      </c>
      <c r="AE661" s="332">
        <v>656</v>
      </c>
    </row>
    <row x14ac:dyDescent="0.25" r="662" customHeight="1" ht="18.75">
      <c r="A662" s="1"/>
      <c r="B662" s="1"/>
      <c r="C662" s="169"/>
      <c r="D662" s="169"/>
      <c r="E662" s="168"/>
      <c r="F662" s="169"/>
      <c r="G662" s="170"/>
      <c r="H662" s="1"/>
      <c r="I662" s="1"/>
      <c r="J662" s="1"/>
      <c r="K662" s="1"/>
      <c r="L662" s="1"/>
      <c r="M662" s="331">
        <f>P662</f>
      </c>
      <c r="N662" s="335">
        <f>+IF(O662&lt;N661,O662,N661)</f>
      </c>
      <c r="O662" s="335">
        <f>+(O661-N661)*(1+$E$13)</f>
      </c>
      <c r="P662" s="332">
        <v>657</v>
      </c>
      <c r="Q662" s="1"/>
      <c r="R662" s="331">
        <f>U662</f>
      </c>
      <c r="S662" s="335">
        <f>+IF(T662&lt;S661,T662,S661)</f>
      </c>
      <c r="T662" s="335">
        <f>+(T661-S661)*(1+$E$14)</f>
      </c>
      <c r="U662" s="332">
        <v>657</v>
      </c>
      <c r="V662" s="1"/>
      <c r="W662" s="331">
        <f>Z662</f>
      </c>
      <c r="X662" s="336">
        <f>+IF(Y662&lt;X661,Y662,X661)</f>
      </c>
      <c r="Y662" s="337">
        <f>+(Y661-X661)*(1+$E$15)</f>
      </c>
      <c r="Z662" s="332">
        <v>657</v>
      </c>
      <c r="AA662" s="1"/>
      <c r="AB662" s="331">
        <f>AE662</f>
      </c>
      <c r="AC662" s="336">
        <f>+IF(AD662&lt;AC661,AD662,AC661)</f>
      </c>
      <c r="AD662" s="337">
        <f>+(AD661-AC661)*(1+$E$16)</f>
      </c>
      <c r="AE662" s="332">
        <v>657</v>
      </c>
    </row>
    <row x14ac:dyDescent="0.25" r="663" customHeight="1" ht="18.75">
      <c r="A663" s="1"/>
      <c r="B663" s="1"/>
      <c r="C663" s="169"/>
      <c r="D663" s="169"/>
      <c r="E663" s="168"/>
      <c r="F663" s="169"/>
      <c r="G663" s="170"/>
      <c r="H663" s="1"/>
      <c r="I663" s="1"/>
      <c r="J663" s="1"/>
      <c r="K663" s="1"/>
      <c r="L663" s="1"/>
      <c r="M663" s="331">
        <f>P663</f>
      </c>
      <c r="N663" s="335">
        <f>+IF(O663&lt;N662,O663,N662)</f>
      </c>
      <c r="O663" s="335">
        <f>+(O662-N662)*(1+$E$13)</f>
      </c>
      <c r="P663" s="332">
        <v>658</v>
      </c>
      <c r="Q663" s="1"/>
      <c r="R663" s="331">
        <f>U663</f>
      </c>
      <c r="S663" s="335">
        <f>+IF(T663&lt;S662,T663,S662)</f>
      </c>
      <c r="T663" s="335">
        <f>+(T662-S662)*(1+$E$14)</f>
      </c>
      <c r="U663" s="332">
        <v>658</v>
      </c>
      <c r="V663" s="1"/>
      <c r="W663" s="331">
        <f>Z663</f>
      </c>
      <c r="X663" s="336">
        <f>+IF(Y663&lt;X662,Y663,X662)</f>
      </c>
      <c r="Y663" s="337">
        <f>+(Y662-X662)*(1+$E$15)</f>
      </c>
      <c r="Z663" s="332">
        <v>658</v>
      </c>
      <c r="AA663" s="1"/>
      <c r="AB663" s="331">
        <f>AE663</f>
      </c>
      <c r="AC663" s="336">
        <f>+IF(AD663&lt;AC662,AD663,AC662)</f>
      </c>
      <c r="AD663" s="337">
        <f>+(AD662-AC662)*(1+$E$16)</f>
      </c>
      <c r="AE663" s="332">
        <v>658</v>
      </c>
    </row>
    <row x14ac:dyDescent="0.25" r="664" customHeight="1" ht="18.75">
      <c r="A664" s="1"/>
      <c r="B664" s="1"/>
      <c r="C664" s="169"/>
      <c r="D664" s="169"/>
      <c r="E664" s="168"/>
      <c r="F664" s="169"/>
      <c r="G664" s="170"/>
      <c r="H664" s="1"/>
      <c r="I664" s="1"/>
      <c r="J664" s="1"/>
      <c r="K664" s="1"/>
      <c r="L664" s="1"/>
      <c r="M664" s="331">
        <f>P664</f>
      </c>
      <c r="N664" s="335">
        <f>+IF(O664&lt;N663,O664,N663)</f>
      </c>
      <c r="O664" s="335">
        <f>+(O663-N663)*(1+$E$13)</f>
      </c>
      <c r="P664" s="332">
        <v>659</v>
      </c>
      <c r="Q664" s="1"/>
      <c r="R664" s="331">
        <f>U664</f>
      </c>
      <c r="S664" s="335">
        <f>+IF(T664&lt;S663,T664,S663)</f>
      </c>
      <c r="T664" s="335">
        <f>+(T663-S663)*(1+$E$14)</f>
      </c>
      <c r="U664" s="332">
        <v>659</v>
      </c>
      <c r="V664" s="1"/>
      <c r="W664" s="331">
        <f>Z664</f>
      </c>
      <c r="X664" s="336">
        <f>+IF(Y664&lt;X663,Y664,X663)</f>
      </c>
      <c r="Y664" s="337">
        <f>+(Y663-X663)*(1+$E$15)</f>
      </c>
      <c r="Z664" s="332">
        <v>659</v>
      </c>
      <c r="AA664" s="1"/>
      <c r="AB664" s="331">
        <f>AE664</f>
      </c>
      <c r="AC664" s="336">
        <f>+IF(AD664&lt;AC663,AD664,AC663)</f>
      </c>
      <c r="AD664" s="337">
        <f>+(AD663-AC663)*(1+$E$16)</f>
      </c>
      <c r="AE664" s="332">
        <v>659</v>
      </c>
    </row>
    <row x14ac:dyDescent="0.25" r="665" customHeight="1" ht="18.75">
      <c r="A665" s="1"/>
      <c r="B665" s="1"/>
      <c r="C665" s="169"/>
      <c r="D665" s="169"/>
      <c r="E665" s="168"/>
      <c r="F665" s="169"/>
      <c r="G665" s="170"/>
      <c r="H665" s="1"/>
      <c r="I665" s="1"/>
      <c r="J665" s="1"/>
      <c r="K665" s="1"/>
      <c r="L665" s="1"/>
      <c r="M665" s="331">
        <f>P665</f>
      </c>
      <c r="N665" s="335">
        <f>+IF(O665&lt;N664,O665,N664)</f>
      </c>
      <c r="O665" s="335">
        <f>+(O664-N664)*(1+$E$13)</f>
      </c>
      <c r="P665" s="332">
        <v>660</v>
      </c>
      <c r="Q665" s="1"/>
      <c r="R665" s="331">
        <f>U665</f>
      </c>
      <c r="S665" s="335">
        <f>+IF(T665&lt;S664,T665,S664)</f>
      </c>
      <c r="T665" s="335">
        <f>+(T664-S664)*(1+$E$14)</f>
      </c>
      <c r="U665" s="332">
        <v>660</v>
      </c>
      <c r="V665" s="1"/>
      <c r="W665" s="331">
        <f>Z665</f>
      </c>
      <c r="X665" s="336">
        <f>+IF(Y665&lt;X664,Y665,X664)</f>
      </c>
      <c r="Y665" s="337">
        <f>+(Y664-X664)*(1+$E$15)</f>
      </c>
      <c r="Z665" s="332">
        <v>660</v>
      </c>
      <c r="AA665" s="1"/>
      <c r="AB665" s="331">
        <f>AE665</f>
      </c>
      <c r="AC665" s="336">
        <f>+IF(AD665&lt;AC664,AD665,AC664)</f>
      </c>
      <c r="AD665" s="337">
        <f>+(AD664-AC664)*(1+$E$16)</f>
      </c>
      <c r="AE665" s="332">
        <v>660</v>
      </c>
    </row>
    <row x14ac:dyDescent="0.25" r="666" customHeight="1" ht="18.75">
      <c r="A666" s="1"/>
      <c r="B666" s="1"/>
      <c r="C666" s="169"/>
      <c r="D666" s="169"/>
      <c r="E666" s="168"/>
      <c r="F666" s="169"/>
      <c r="G666" s="170"/>
      <c r="H666" s="1"/>
      <c r="I666" s="1"/>
      <c r="J666" s="1"/>
      <c r="K666" s="1"/>
      <c r="L666" s="1"/>
      <c r="M666" s="331">
        <f>P666</f>
      </c>
      <c r="N666" s="335">
        <f>+IF(O666&lt;N665,O666,N665)</f>
      </c>
      <c r="O666" s="335">
        <f>+(O665-N665)*(1+$E$13)</f>
      </c>
      <c r="P666" s="332">
        <v>661</v>
      </c>
      <c r="Q666" s="1"/>
      <c r="R666" s="331">
        <f>U666</f>
      </c>
      <c r="S666" s="335">
        <f>+IF(T666&lt;S665,T666,S665)</f>
      </c>
      <c r="T666" s="335">
        <f>+(T665-S665)*(1+$E$14)</f>
      </c>
      <c r="U666" s="332">
        <v>661</v>
      </c>
      <c r="V666" s="1"/>
      <c r="W666" s="331">
        <f>Z666</f>
      </c>
      <c r="X666" s="336">
        <f>+IF(Y666&lt;X665,Y666,X665)</f>
      </c>
      <c r="Y666" s="337">
        <f>+(Y665-X665)*(1+$E$15)</f>
      </c>
      <c r="Z666" s="332">
        <v>661</v>
      </c>
      <c r="AA666" s="1"/>
      <c r="AB666" s="331">
        <f>AE666</f>
      </c>
      <c r="AC666" s="336">
        <f>+IF(AD666&lt;AC665,AD666,AC665)</f>
      </c>
      <c r="AD666" s="337">
        <f>+(AD665-AC665)*(1+$E$16)</f>
      </c>
      <c r="AE666" s="332">
        <v>661</v>
      </c>
    </row>
    <row x14ac:dyDescent="0.25" r="667" customHeight="1" ht="18.75">
      <c r="A667" s="1"/>
      <c r="B667" s="1"/>
      <c r="C667" s="169"/>
      <c r="D667" s="169"/>
      <c r="E667" s="168"/>
      <c r="F667" s="169"/>
      <c r="G667" s="170"/>
      <c r="H667" s="1"/>
      <c r="I667" s="1"/>
      <c r="J667" s="1"/>
      <c r="K667" s="1"/>
      <c r="L667" s="1"/>
      <c r="M667" s="331">
        <f>P667</f>
      </c>
      <c r="N667" s="335">
        <f>+IF(O667&lt;N666,O667,N666)</f>
      </c>
      <c r="O667" s="335">
        <f>+(O666-N666)*(1+$E$13)</f>
      </c>
      <c r="P667" s="332">
        <v>662</v>
      </c>
      <c r="Q667" s="1"/>
      <c r="R667" s="331">
        <f>U667</f>
      </c>
      <c r="S667" s="335">
        <f>+IF(T667&lt;S666,T667,S666)</f>
      </c>
      <c r="T667" s="335">
        <f>+(T666-S666)*(1+$E$14)</f>
      </c>
      <c r="U667" s="332">
        <v>662</v>
      </c>
      <c r="V667" s="1"/>
      <c r="W667" s="331">
        <f>Z667</f>
      </c>
      <c r="X667" s="336">
        <f>+IF(Y667&lt;X666,Y667,X666)</f>
      </c>
      <c r="Y667" s="337">
        <f>+(Y666-X666)*(1+$E$15)</f>
      </c>
      <c r="Z667" s="332">
        <v>662</v>
      </c>
      <c r="AA667" s="1"/>
      <c r="AB667" s="331">
        <f>AE667</f>
      </c>
      <c r="AC667" s="336">
        <f>+IF(AD667&lt;AC666,AD667,AC666)</f>
      </c>
      <c r="AD667" s="337">
        <f>+(AD666-AC666)*(1+$E$16)</f>
      </c>
      <c r="AE667" s="332">
        <v>662</v>
      </c>
    </row>
    <row x14ac:dyDescent="0.25" r="668" customHeight="1" ht="18.75">
      <c r="A668" s="1"/>
      <c r="B668" s="1"/>
      <c r="C668" s="169"/>
      <c r="D668" s="169"/>
      <c r="E668" s="168"/>
      <c r="F668" s="169"/>
      <c r="G668" s="170"/>
      <c r="H668" s="1"/>
      <c r="I668" s="1"/>
      <c r="J668" s="1"/>
      <c r="K668" s="1"/>
      <c r="L668" s="1"/>
      <c r="M668" s="331">
        <f>P668</f>
      </c>
      <c r="N668" s="335">
        <f>+IF(O668&lt;N667,O668,N667)</f>
      </c>
      <c r="O668" s="335">
        <f>+(O667-N667)*(1+$E$13)</f>
      </c>
      <c r="P668" s="332">
        <v>663</v>
      </c>
      <c r="Q668" s="1"/>
      <c r="R668" s="331">
        <f>U668</f>
      </c>
      <c r="S668" s="335">
        <f>+IF(T668&lt;S667,T668,S667)</f>
      </c>
      <c r="T668" s="335">
        <f>+(T667-S667)*(1+$E$14)</f>
      </c>
      <c r="U668" s="332">
        <v>663</v>
      </c>
      <c r="V668" s="1"/>
      <c r="W668" s="331">
        <f>Z668</f>
      </c>
      <c r="X668" s="336">
        <f>+IF(Y668&lt;X667,Y668,X667)</f>
      </c>
      <c r="Y668" s="337">
        <f>+(Y667-X667)*(1+$E$15)</f>
      </c>
      <c r="Z668" s="332">
        <v>663</v>
      </c>
      <c r="AA668" s="1"/>
      <c r="AB668" s="331">
        <f>AE668</f>
      </c>
      <c r="AC668" s="336">
        <f>+IF(AD668&lt;AC667,AD668,AC667)</f>
      </c>
      <c r="AD668" s="337">
        <f>+(AD667-AC667)*(1+$E$16)</f>
      </c>
      <c r="AE668" s="332">
        <v>663</v>
      </c>
    </row>
    <row x14ac:dyDescent="0.25" r="669" customHeight="1" ht="18.75">
      <c r="A669" s="1"/>
      <c r="B669" s="1"/>
      <c r="C669" s="169"/>
      <c r="D669" s="169"/>
      <c r="E669" s="168"/>
      <c r="F669" s="169"/>
      <c r="G669" s="170"/>
      <c r="H669" s="1"/>
      <c r="I669" s="1"/>
      <c r="J669" s="1"/>
      <c r="K669" s="1"/>
      <c r="L669" s="1"/>
      <c r="M669" s="331">
        <f>P669</f>
      </c>
      <c r="N669" s="335">
        <f>+IF(O669&lt;N668,O669,N668)</f>
      </c>
      <c r="O669" s="335">
        <f>+(O668-N668)*(1+$E$13)</f>
      </c>
      <c r="P669" s="332">
        <v>664</v>
      </c>
      <c r="Q669" s="1"/>
      <c r="R669" s="331">
        <f>U669</f>
      </c>
      <c r="S669" s="335">
        <f>+IF(T669&lt;S668,T669,S668)</f>
      </c>
      <c r="T669" s="335">
        <f>+(T668-S668)*(1+$E$14)</f>
      </c>
      <c r="U669" s="332">
        <v>664</v>
      </c>
      <c r="V669" s="1"/>
      <c r="W669" s="331">
        <f>Z669</f>
      </c>
      <c r="X669" s="336">
        <f>+IF(Y669&lt;X668,Y669,X668)</f>
      </c>
      <c r="Y669" s="337">
        <f>+(Y668-X668)*(1+$E$15)</f>
      </c>
      <c r="Z669" s="332">
        <v>664</v>
      </c>
      <c r="AA669" s="1"/>
      <c r="AB669" s="331">
        <f>AE669</f>
      </c>
      <c r="AC669" s="336">
        <f>+IF(AD669&lt;AC668,AD669,AC668)</f>
      </c>
      <c r="AD669" s="337">
        <f>+(AD668-AC668)*(1+$E$16)</f>
      </c>
      <c r="AE669" s="332">
        <v>664</v>
      </c>
    </row>
    <row x14ac:dyDescent="0.25" r="670" customHeight="1" ht="18.75">
      <c r="A670" s="1"/>
      <c r="B670" s="1"/>
      <c r="C670" s="169"/>
      <c r="D670" s="169"/>
      <c r="E670" s="168"/>
      <c r="F670" s="169"/>
      <c r="G670" s="170"/>
      <c r="H670" s="1"/>
      <c r="I670" s="1"/>
      <c r="J670" s="1"/>
      <c r="K670" s="1"/>
      <c r="L670" s="1"/>
      <c r="M670" s="331">
        <f>P670</f>
      </c>
      <c r="N670" s="335">
        <f>+IF(O670&lt;N669,O670,N669)</f>
      </c>
      <c r="O670" s="335">
        <f>+(O669-N669)*(1+$E$13)</f>
      </c>
      <c r="P670" s="332">
        <v>665</v>
      </c>
      <c r="Q670" s="1"/>
      <c r="R670" s="331">
        <f>U670</f>
      </c>
      <c r="S670" s="335">
        <f>+IF(T670&lt;S669,T670,S669)</f>
      </c>
      <c r="T670" s="335">
        <f>+(T669-S669)*(1+$E$14)</f>
      </c>
      <c r="U670" s="332">
        <v>665</v>
      </c>
      <c r="V670" s="1"/>
      <c r="W670" s="331">
        <f>Z670</f>
      </c>
      <c r="X670" s="336">
        <f>+IF(Y670&lt;X669,Y670,X669)</f>
      </c>
      <c r="Y670" s="337">
        <f>+(Y669-X669)*(1+$E$15)</f>
      </c>
      <c r="Z670" s="332">
        <v>665</v>
      </c>
      <c r="AA670" s="1"/>
      <c r="AB670" s="331">
        <f>AE670</f>
      </c>
      <c r="AC670" s="336">
        <f>+IF(AD670&lt;AC669,AD670,AC669)</f>
      </c>
      <c r="AD670" s="337">
        <f>+(AD669-AC669)*(1+$E$16)</f>
      </c>
      <c r="AE670" s="332">
        <v>665</v>
      </c>
    </row>
    <row x14ac:dyDescent="0.25" r="671" customHeight="1" ht="18.75">
      <c r="A671" s="1"/>
      <c r="B671" s="1"/>
      <c r="C671" s="169"/>
      <c r="D671" s="169"/>
      <c r="E671" s="168"/>
      <c r="F671" s="169"/>
      <c r="G671" s="170"/>
      <c r="H671" s="1"/>
      <c r="I671" s="1"/>
      <c r="J671" s="1"/>
      <c r="K671" s="1"/>
      <c r="L671" s="1"/>
      <c r="M671" s="331">
        <f>P671</f>
      </c>
      <c r="N671" s="335">
        <f>+IF(O671&lt;N670,O671,N670)</f>
      </c>
      <c r="O671" s="335">
        <f>+(O670-N670)*(1+$E$13)</f>
      </c>
      <c r="P671" s="332">
        <v>666</v>
      </c>
      <c r="Q671" s="1"/>
      <c r="R671" s="331">
        <f>U671</f>
      </c>
      <c r="S671" s="335">
        <f>+IF(T671&lt;S670,T671,S670)</f>
      </c>
      <c r="T671" s="335">
        <f>+(T670-S670)*(1+$E$14)</f>
      </c>
      <c r="U671" s="332">
        <v>666</v>
      </c>
      <c r="V671" s="1"/>
      <c r="W671" s="331">
        <f>Z671</f>
      </c>
      <c r="X671" s="336">
        <f>+IF(Y671&lt;X670,Y671,X670)</f>
      </c>
      <c r="Y671" s="337">
        <f>+(Y670-X670)*(1+$E$15)</f>
      </c>
      <c r="Z671" s="332">
        <v>666</v>
      </c>
      <c r="AA671" s="1"/>
      <c r="AB671" s="331">
        <f>AE671</f>
      </c>
      <c r="AC671" s="336">
        <f>+IF(AD671&lt;AC670,AD671,AC670)</f>
      </c>
      <c r="AD671" s="337">
        <f>+(AD670-AC670)*(1+$E$16)</f>
      </c>
      <c r="AE671" s="332">
        <v>666</v>
      </c>
    </row>
    <row x14ac:dyDescent="0.25" r="672" customHeight="1" ht="18.75">
      <c r="A672" s="1"/>
      <c r="B672" s="1"/>
      <c r="C672" s="169"/>
      <c r="D672" s="169"/>
      <c r="E672" s="168"/>
      <c r="F672" s="169"/>
      <c r="G672" s="170"/>
      <c r="H672" s="1"/>
      <c r="I672" s="1"/>
      <c r="J672" s="1"/>
      <c r="K672" s="1"/>
      <c r="L672" s="1"/>
      <c r="M672" s="331">
        <f>P672</f>
      </c>
      <c r="N672" s="335">
        <f>+IF(O672&lt;N671,O672,N671)</f>
      </c>
      <c r="O672" s="335">
        <f>+(O671-N671)*(1+$E$13)</f>
      </c>
      <c r="P672" s="332">
        <v>667</v>
      </c>
      <c r="Q672" s="1"/>
      <c r="R672" s="331">
        <f>U672</f>
      </c>
      <c r="S672" s="335">
        <f>+IF(T672&lt;S671,T672,S671)</f>
      </c>
      <c r="T672" s="335">
        <f>+(T671-S671)*(1+$E$14)</f>
      </c>
      <c r="U672" s="332">
        <v>667</v>
      </c>
      <c r="V672" s="1"/>
      <c r="W672" s="331">
        <f>Z672</f>
      </c>
      <c r="X672" s="336">
        <f>+IF(Y672&lt;X671,Y672,X671)</f>
      </c>
      <c r="Y672" s="337">
        <f>+(Y671-X671)*(1+$E$15)</f>
      </c>
      <c r="Z672" s="332">
        <v>667</v>
      </c>
      <c r="AA672" s="1"/>
      <c r="AB672" s="331">
        <f>AE672</f>
      </c>
      <c r="AC672" s="336">
        <f>+IF(AD672&lt;AC671,AD672,AC671)</f>
      </c>
      <c r="AD672" s="337">
        <f>+(AD671-AC671)*(1+$E$16)</f>
      </c>
      <c r="AE672" s="332">
        <v>667</v>
      </c>
    </row>
    <row x14ac:dyDescent="0.25" r="673" customHeight="1" ht="18.75">
      <c r="A673" s="1"/>
      <c r="B673" s="1"/>
      <c r="C673" s="169"/>
      <c r="D673" s="169"/>
      <c r="E673" s="168"/>
      <c r="F673" s="169"/>
      <c r="G673" s="170"/>
      <c r="H673" s="1"/>
      <c r="I673" s="1"/>
      <c r="J673" s="1"/>
      <c r="K673" s="1"/>
      <c r="L673" s="1"/>
      <c r="M673" s="331">
        <f>P673</f>
      </c>
      <c r="N673" s="335">
        <f>+IF(O673&lt;N672,O673,N672)</f>
      </c>
      <c r="O673" s="335">
        <f>+(O672-N672)*(1+$E$13)</f>
      </c>
      <c r="P673" s="332">
        <v>668</v>
      </c>
      <c r="Q673" s="1"/>
      <c r="R673" s="331">
        <f>U673</f>
      </c>
      <c r="S673" s="335">
        <f>+IF(T673&lt;S672,T673,S672)</f>
      </c>
      <c r="T673" s="335">
        <f>+(T672-S672)*(1+$E$14)</f>
      </c>
      <c r="U673" s="332">
        <v>668</v>
      </c>
      <c r="V673" s="1"/>
      <c r="W673" s="331">
        <f>Z673</f>
      </c>
      <c r="X673" s="336">
        <f>+IF(Y673&lt;X672,Y673,X672)</f>
      </c>
      <c r="Y673" s="337">
        <f>+(Y672-X672)*(1+$E$15)</f>
      </c>
      <c r="Z673" s="332">
        <v>668</v>
      </c>
      <c r="AA673" s="1"/>
      <c r="AB673" s="331">
        <f>AE673</f>
      </c>
      <c r="AC673" s="336">
        <f>+IF(AD673&lt;AC672,AD673,AC672)</f>
      </c>
      <c r="AD673" s="337">
        <f>+(AD672-AC672)*(1+$E$16)</f>
      </c>
      <c r="AE673" s="332">
        <v>668</v>
      </c>
    </row>
    <row x14ac:dyDescent="0.25" r="674" customHeight="1" ht="18.75">
      <c r="A674" s="1"/>
      <c r="B674" s="1"/>
      <c r="C674" s="169"/>
      <c r="D674" s="169"/>
      <c r="E674" s="168"/>
      <c r="F674" s="169"/>
      <c r="G674" s="170"/>
      <c r="H674" s="1"/>
      <c r="I674" s="1"/>
      <c r="J674" s="1"/>
      <c r="K674" s="1"/>
      <c r="L674" s="1"/>
      <c r="M674" s="331">
        <f>P674</f>
      </c>
      <c r="N674" s="335">
        <f>+IF(O674&lt;N673,O674,N673)</f>
      </c>
      <c r="O674" s="335">
        <f>+(O673-N673)*(1+$E$13)</f>
      </c>
      <c r="P674" s="332">
        <v>669</v>
      </c>
      <c r="Q674" s="1"/>
      <c r="R674" s="331">
        <f>U674</f>
      </c>
      <c r="S674" s="335">
        <f>+IF(T674&lt;S673,T674,S673)</f>
      </c>
      <c r="T674" s="335">
        <f>+(T673-S673)*(1+$E$14)</f>
      </c>
      <c r="U674" s="332">
        <v>669</v>
      </c>
      <c r="V674" s="1"/>
      <c r="W674" s="331">
        <f>Z674</f>
      </c>
      <c r="X674" s="336">
        <f>+IF(Y674&lt;X673,Y674,X673)</f>
      </c>
      <c r="Y674" s="337">
        <f>+(Y673-X673)*(1+$E$15)</f>
      </c>
      <c r="Z674" s="332">
        <v>669</v>
      </c>
      <c r="AA674" s="1"/>
      <c r="AB674" s="331">
        <f>AE674</f>
      </c>
      <c r="AC674" s="336">
        <f>+IF(AD674&lt;AC673,AD674,AC673)</f>
      </c>
      <c r="AD674" s="337">
        <f>+(AD673-AC673)*(1+$E$16)</f>
      </c>
      <c r="AE674" s="332">
        <v>669</v>
      </c>
    </row>
    <row x14ac:dyDescent="0.25" r="675" customHeight="1" ht="18.75">
      <c r="A675" s="1"/>
      <c r="B675" s="1"/>
      <c r="C675" s="169"/>
      <c r="D675" s="169"/>
      <c r="E675" s="168"/>
      <c r="F675" s="169"/>
      <c r="G675" s="170"/>
      <c r="H675" s="1"/>
      <c r="I675" s="1"/>
      <c r="J675" s="1"/>
      <c r="K675" s="1"/>
      <c r="L675" s="1"/>
      <c r="M675" s="331">
        <f>P675</f>
      </c>
      <c r="N675" s="335">
        <f>+IF(O675&lt;N674,O675,N674)</f>
      </c>
      <c r="O675" s="335">
        <f>+(O674-N674)*(1+$E$13)</f>
      </c>
      <c r="P675" s="332">
        <v>670</v>
      </c>
      <c r="Q675" s="1"/>
      <c r="R675" s="331">
        <f>U675</f>
      </c>
      <c r="S675" s="335">
        <f>+IF(T675&lt;S674,T675,S674)</f>
      </c>
      <c r="T675" s="335">
        <f>+(T674-S674)*(1+$E$14)</f>
      </c>
      <c r="U675" s="332">
        <v>670</v>
      </c>
      <c r="V675" s="1"/>
      <c r="W675" s="331">
        <f>Z675</f>
      </c>
      <c r="X675" s="336">
        <f>+IF(Y675&lt;X674,Y675,X674)</f>
      </c>
      <c r="Y675" s="337">
        <f>+(Y674-X674)*(1+$E$15)</f>
      </c>
      <c r="Z675" s="332">
        <v>670</v>
      </c>
      <c r="AA675" s="1"/>
      <c r="AB675" s="331">
        <f>AE675</f>
      </c>
      <c r="AC675" s="336">
        <f>+IF(AD675&lt;AC674,AD675,AC674)</f>
      </c>
      <c r="AD675" s="337">
        <f>+(AD674-AC674)*(1+$E$16)</f>
      </c>
      <c r="AE675" s="332">
        <v>670</v>
      </c>
    </row>
    <row x14ac:dyDescent="0.25" r="676" customHeight="1" ht="18.75">
      <c r="A676" s="1"/>
      <c r="B676" s="1"/>
      <c r="C676" s="169"/>
      <c r="D676" s="169"/>
      <c r="E676" s="168"/>
      <c r="F676" s="169"/>
      <c r="G676" s="170"/>
      <c r="H676" s="1"/>
      <c r="I676" s="1"/>
      <c r="J676" s="1"/>
      <c r="K676" s="1"/>
      <c r="L676" s="1"/>
      <c r="M676" s="331">
        <f>P676</f>
      </c>
      <c r="N676" s="335">
        <f>+IF(O676&lt;N675,O676,N675)</f>
      </c>
      <c r="O676" s="335">
        <f>+(O675-N675)*(1+$E$13)</f>
      </c>
      <c r="P676" s="332">
        <v>671</v>
      </c>
      <c r="Q676" s="1"/>
      <c r="R676" s="331">
        <f>U676</f>
      </c>
      <c r="S676" s="335">
        <f>+IF(T676&lt;S675,T676,S675)</f>
      </c>
      <c r="T676" s="335">
        <f>+(T675-S675)*(1+$E$14)</f>
      </c>
      <c r="U676" s="332">
        <v>671</v>
      </c>
      <c r="V676" s="1"/>
      <c r="W676" s="331">
        <f>Z676</f>
      </c>
      <c r="X676" s="336">
        <f>+IF(Y676&lt;X675,Y676,X675)</f>
      </c>
      <c r="Y676" s="337">
        <f>+(Y675-X675)*(1+$E$15)</f>
      </c>
      <c r="Z676" s="332">
        <v>671</v>
      </c>
      <c r="AA676" s="1"/>
      <c r="AB676" s="331">
        <f>AE676</f>
      </c>
      <c r="AC676" s="336">
        <f>+IF(AD676&lt;AC675,AD676,AC675)</f>
      </c>
      <c r="AD676" s="337">
        <f>+(AD675-AC675)*(1+$E$16)</f>
      </c>
      <c r="AE676" s="332">
        <v>671</v>
      </c>
    </row>
    <row x14ac:dyDescent="0.25" r="677" customHeight="1" ht="18.75">
      <c r="A677" s="1"/>
      <c r="B677" s="1"/>
      <c r="C677" s="169"/>
      <c r="D677" s="169"/>
      <c r="E677" s="168"/>
      <c r="F677" s="169"/>
      <c r="G677" s="170"/>
      <c r="H677" s="1"/>
      <c r="I677" s="1"/>
      <c r="J677" s="1"/>
      <c r="K677" s="1"/>
      <c r="L677" s="1"/>
      <c r="M677" s="331">
        <f>P677</f>
      </c>
      <c r="N677" s="335">
        <f>+IF(O677&lt;N676,O677,N676)</f>
      </c>
      <c r="O677" s="335">
        <f>+(O676-N676)*(1+$E$13)</f>
      </c>
      <c r="P677" s="332">
        <v>672</v>
      </c>
      <c r="Q677" s="1"/>
      <c r="R677" s="331">
        <f>U677</f>
      </c>
      <c r="S677" s="335">
        <f>+IF(T677&lt;S676,T677,S676)</f>
      </c>
      <c r="T677" s="335">
        <f>+(T676-S676)*(1+$E$14)</f>
      </c>
      <c r="U677" s="332">
        <v>672</v>
      </c>
      <c r="V677" s="1"/>
      <c r="W677" s="331">
        <f>Z677</f>
      </c>
      <c r="X677" s="336">
        <f>+IF(Y677&lt;X676,Y677,X676)</f>
      </c>
      <c r="Y677" s="337">
        <f>+(Y676-X676)*(1+$E$15)</f>
      </c>
      <c r="Z677" s="332">
        <v>672</v>
      </c>
      <c r="AA677" s="1"/>
      <c r="AB677" s="331">
        <f>AE677</f>
      </c>
      <c r="AC677" s="336">
        <f>+IF(AD677&lt;AC676,AD677,AC676)</f>
      </c>
      <c r="AD677" s="337">
        <f>+(AD676-AC676)*(1+$E$16)</f>
      </c>
      <c r="AE677" s="332">
        <v>672</v>
      </c>
    </row>
    <row x14ac:dyDescent="0.25" r="678" customHeight="1" ht="18.75">
      <c r="A678" s="1"/>
      <c r="B678" s="1"/>
      <c r="C678" s="169"/>
      <c r="D678" s="169"/>
      <c r="E678" s="168"/>
      <c r="F678" s="169"/>
      <c r="G678" s="170"/>
      <c r="H678" s="1"/>
      <c r="I678" s="1"/>
      <c r="J678" s="1"/>
      <c r="K678" s="1"/>
      <c r="L678" s="1"/>
      <c r="M678" s="331">
        <f>P678</f>
      </c>
      <c r="N678" s="335">
        <f>+IF(O678&lt;N677,O678,N677)</f>
      </c>
      <c r="O678" s="335">
        <f>+(O677-N677)*(1+$E$13)</f>
      </c>
      <c r="P678" s="332">
        <v>673</v>
      </c>
      <c r="Q678" s="1"/>
      <c r="R678" s="331">
        <f>U678</f>
      </c>
      <c r="S678" s="335">
        <f>+IF(T678&lt;S677,T678,S677)</f>
      </c>
      <c r="T678" s="335">
        <f>+(T677-S677)*(1+$E$14)</f>
      </c>
      <c r="U678" s="332">
        <v>673</v>
      </c>
      <c r="V678" s="1"/>
      <c r="W678" s="331">
        <f>Z678</f>
      </c>
      <c r="X678" s="336">
        <f>+IF(Y678&lt;X677,Y678,X677)</f>
      </c>
      <c r="Y678" s="337">
        <f>+(Y677-X677)*(1+$E$15)</f>
      </c>
      <c r="Z678" s="332">
        <v>673</v>
      </c>
      <c r="AA678" s="1"/>
      <c r="AB678" s="331">
        <f>AE678</f>
      </c>
      <c r="AC678" s="336">
        <f>+IF(AD678&lt;AC677,AD678,AC677)</f>
      </c>
      <c r="AD678" s="337">
        <f>+(AD677-AC677)*(1+$E$16)</f>
      </c>
      <c r="AE678" s="332">
        <v>673</v>
      </c>
    </row>
    <row x14ac:dyDescent="0.25" r="679" customHeight="1" ht="18.75">
      <c r="A679" s="1"/>
      <c r="B679" s="1"/>
      <c r="C679" s="169"/>
      <c r="D679" s="169"/>
      <c r="E679" s="168"/>
      <c r="F679" s="169"/>
      <c r="G679" s="170"/>
      <c r="H679" s="1"/>
      <c r="I679" s="1"/>
      <c r="J679" s="1"/>
      <c r="K679" s="1"/>
      <c r="L679" s="1"/>
      <c r="M679" s="331">
        <f>P679</f>
      </c>
      <c r="N679" s="335">
        <f>+IF(O679&lt;N678,O679,N678)</f>
      </c>
      <c r="O679" s="335">
        <f>+(O678-N678)*(1+$E$13)</f>
      </c>
      <c r="P679" s="332">
        <v>674</v>
      </c>
      <c r="Q679" s="1"/>
      <c r="R679" s="331">
        <f>U679</f>
      </c>
      <c r="S679" s="335">
        <f>+IF(T679&lt;S678,T679,S678)</f>
      </c>
      <c r="T679" s="335">
        <f>+(T678-S678)*(1+$E$14)</f>
      </c>
      <c r="U679" s="332">
        <v>674</v>
      </c>
      <c r="V679" s="1"/>
      <c r="W679" s="331">
        <f>Z679</f>
      </c>
      <c r="X679" s="336">
        <f>+IF(Y679&lt;X678,Y679,X678)</f>
      </c>
      <c r="Y679" s="337">
        <f>+(Y678-X678)*(1+$E$15)</f>
      </c>
      <c r="Z679" s="332">
        <v>674</v>
      </c>
      <c r="AA679" s="1"/>
      <c r="AB679" s="331">
        <f>AE679</f>
      </c>
      <c r="AC679" s="336">
        <f>+IF(AD679&lt;AC678,AD679,AC678)</f>
      </c>
      <c r="AD679" s="337">
        <f>+(AD678-AC678)*(1+$E$16)</f>
      </c>
      <c r="AE679" s="332">
        <v>674</v>
      </c>
    </row>
    <row x14ac:dyDescent="0.25" r="680" customHeight="1" ht="18.75">
      <c r="A680" s="1"/>
      <c r="B680" s="1"/>
      <c r="C680" s="169"/>
      <c r="D680" s="169"/>
      <c r="E680" s="168"/>
      <c r="F680" s="169"/>
      <c r="G680" s="170"/>
      <c r="H680" s="1"/>
      <c r="I680" s="1"/>
      <c r="J680" s="1"/>
      <c r="K680" s="1"/>
      <c r="L680" s="1"/>
      <c r="M680" s="331">
        <f>P680</f>
      </c>
      <c r="N680" s="335">
        <f>+IF(O680&lt;N679,O680,N679)</f>
      </c>
      <c r="O680" s="335">
        <f>+(O679-N679)*(1+$E$13)</f>
      </c>
      <c r="P680" s="332">
        <v>675</v>
      </c>
      <c r="Q680" s="1"/>
      <c r="R680" s="331">
        <f>U680</f>
      </c>
      <c r="S680" s="335">
        <f>+IF(T680&lt;S679,T680,S679)</f>
      </c>
      <c r="T680" s="335">
        <f>+(T679-S679)*(1+$E$14)</f>
      </c>
      <c r="U680" s="332">
        <v>675</v>
      </c>
      <c r="V680" s="1"/>
      <c r="W680" s="331">
        <f>Z680</f>
      </c>
      <c r="X680" s="336">
        <f>+IF(Y680&lt;X679,Y680,X679)</f>
      </c>
      <c r="Y680" s="337">
        <f>+(Y679-X679)*(1+$E$15)</f>
      </c>
      <c r="Z680" s="332">
        <v>675</v>
      </c>
      <c r="AA680" s="1"/>
      <c r="AB680" s="331">
        <f>AE680</f>
      </c>
      <c r="AC680" s="336">
        <f>+IF(AD680&lt;AC679,AD680,AC679)</f>
      </c>
      <c r="AD680" s="337">
        <f>+(AD679-AC679)*(1+$E$16)</f>
      </c>
      <c r="AE680" s="332">
        <v>675</v>
      </c>
    </row>
    <row x14ac:dyDescent="0.25" r="681" customHeight="1" ht="18.75">
      <c r="A681" s="1"/>
      <c r="B681" s="1"/>
      <c r="C681" s="169"/>
      <c r="D681" s="169"/>
      <c r="E681" s="168"/>
      <c r="F681" s="169"/>
      <c r="G681" s="170"/>
      <c r="H681" s="1"/>
      <c r="I681" s="1"/>
      <c r="J681" s="1"/>
      <c r="K681" s="1"/>
      <c r="L681" s="1"/>
      <c r="M681" s="331">
        <f>P681</f>
      </c>
      <c r="N681" s="335">
        <f>+IF(O681&lt;N680,O681,N680)</f>
      </c>
      <c r="O681" s="335">
        <f>+(O680-N680)*(1+$E$13)</f>
      </c>
      <c r="P681" s="332">
        <v>676</v>
      </c>
      <c r="Q681" s="1"/>
      <c r="R681" s="331">
        <f>U681</f>
      </c>
      <c r="S681" s="335">
        <f>+IF(T681&lt;S680,T681,S680)</f>
      </c>
      <c r="T681" s="335">
        <f>+(T680-S680)*(1+$E$14)</f>
      </c>
      <c r="U681" s="332">
        <v>676</v>
      </c>
      <c r="V681" s="1"/>
      <c r="W681" s="331">
        <f>Z681</f>
      </c>
      <c r="X681" s="336">
        <f>+IF(Y681&lt;X680,Y681,X680)</f>
      </c>
      <c r="Y681" s="337">
        <f>+(Y680-X680)*(1+$E$15)</f>
      </c>
      <c r="Z681" s="332">
        <v>676</v>
      </c>
      <c r="AA681" s="1"/>
      <c r="AB681" s="331">
        <f>AE681</f>
      </c>
      <c r="AC681" s="336">
        <f>+IF(AD681&lt;AC680,AD681,AC680)</f>
      </c>
      <c r="AD681" s="337">
        <f>+(AD680-AC680)*(1+$E$16)</f>
      </c>
      <c r="AE681" s="332">
        <v>676</v>
      </c>
    </row>
    <row x14ac:dyDescent="0.25" r="682" customHeight="1" ht="18.75">
      <c r="A682" s="1"/>
      <c r="B682" s="1"/>
      <c r="C682" s="169"/>
      <c r="D682" s="169"/>
      <c r="E682" s="168"/>
      <c r="F682" s="169"/>
      <c r="G682" s="170"/>
      <c r="H682" s="1"/>
      <c r="I682" s="1"/>
      <c r="J682" s="1"/>
      <c r="K682" s="1"/>
      <c r="L682" s="1"/>
      <c r="M682" s="331">
        <f>P682</f>
      </c>
      <c r="N682" s="335">
        <f>+IF(O682&lt;N681,O682,N681)</f>
      </c>
      <c r="O682" s="335">
        <f>+(O681-N681)*(1+$E$13)</f>
      </c>
      <c r="P682" s="332">
        <v>677</v>
      </c>
      <c r="Q682" s="1"/>
      <c r="R682" s="331">
        <f>U682</f>
      </c>
      <c r="S682" s="335">
        <f>+IF(T682&lt;S681,T682,S681)</f>
      </c>
      <c r="T682" s="335">
        <f>+(T681-S681)*(1+$E$14)</f>
      </c>
      <c r="U682" s="332">
        <v>677</v>
      </c>
      <c r="V682" s="1"/>
      <c r="W682" s="331">
        <f>Z682</f>
      </c>
      <c r="X682" s="336">
        <f>+IF(Y682&lt;X681,Y682,X681)</f>
      </c>
      <c r="Y682" s="337">
        <f>+(Y681-X681)*(1+$E$15)</f>
      </c>
      <c r="Z682" s="332">
        <v>677</v>
      </c>
      <c r="AA682" s="1"/>
      <c r="AB682" s="331">
        <f>AE682</f>
      </c>
      <c r="AC682" s="336">
        <f>+IF(AD682&lt;AC681,AD682,AC681)</f>
      </c>
      <c r="AD682" s="337">
        <f>+(AD681-AC681)*(1+$E$16)</f>
      </c>
      <c r="AE682" s="332">
        <v>677</v>
      </c>
    </row>
    <row x14ac:dyDescent="0.25" r="683" customHeight="1" ht="18.75">
      <c r="A683" s="1"/>
      <c r="B683" s="1"/>
      <c r="C683" s="169"/>
      <c r="D683" s="169"/>
      <c r="E683" s="168"/>
      <c r="F683" s="169"/>
      <c r="G683" s="170"/>
      <c r="H683" s="1"/>
      <c r="I683" s="1"/>
      <c r="J683" s="1"/>
      <c r="K683" s="1"/>
      <c r="L683" s="1"/>
      <c r="M683" s="331">
        <f>P683</f>
      </c>
      <c r="N683" s="335">
        <f>+IF(O683&lt;N682,O683,N682)</f>
      </c>
      <c r="O683" s="335">
        <f>+(O682-N682)*(1+$E$13)</f>
      </c>
      <c r="P683" s="332">
        <v>678</v>
      </c>
      <c r="Q683" s="1"/>
      <c r="R683" s="331">
        <f>U683</f>
      </c>
      <c r="S683" s="335">
        <f>+IF(T683&lt;S682,T683,S682)</f>
      </c>
      <c r="T683" s="335">
        <f>+(T682-S682)*(1+$E$14)</f>
      </c>
      <c r="U683" s="332">
        <v>678</v>
      </c>
      <c r="V683" s="1"/>
      <c r="W683" s="331">
        <f>Z683</f>
      </c>
      <c r="X683" s="336">
        <f>+IF(Y683&lt;X682,Y683,X682)</f>
      </c>
      <c r="Y683" s="337">
        <f>+(Y682-X682)*(1+$E$15)</f>
      </c>
      <c r="Z683" s="332">
        <v>678</v>
      </c>
      <c r="AA683" s="1"/>
      <c r="AB683" s="331">
        <f>AE683</f>
      </c>
      <c r="AC683" s="336">
        <f>+IF(AD683&lt;AC682,AD683,AC682)</f>
      </c>
      <c r="AD683" s="337">
        <f>+(AD682-AC682)*(1+$E$16)</f>
      </c>
      <c r="AE683" s="332">
        <v>678</v>
      </c>
    </row>
    <row x14ac:dyDescent="0.25" r="684" customHeight="1" ht="18.75">
      <c r="A684" s="1"/>
      <c r="B684" s="1"/>
      <c r="C684" s="169"/>
      <c r="D684" s="169"/>
      <c r="E684" s="168"/>
      <c r="F684" s="169"/>
      <c r="G684" s="170"/>
      <c r="H684" s="1"/>
      <c r="I684" s="1"/>
      <c r="J684" s="1"/>
      <c r="K684" s="1"/>
      <c r="L684" s="1"/>
      <c r="M684" s="331">
        <f>P684</f>
      </c>
      <c r="N684" s="335">
        <f>+IF(O684&lt;N683,O684,N683)</f>
      </c>
      <c r="O684" s="335">
        <f>+(O683-N683)*(1+$E$13)</f>
      </c>
      <c r="P684" s="332">
        <v>679</v>
      </c>
      <c r="Q684" s="1"/>
      <c r="R684" s="331">
        <f>U684</f>
      </c>
      <c r="S684" s="335">
        <f>+IF(T684&lt;S683,T684,S683)</f>
      </c>
      <c r="T684" s="335">
        <f>+(T683-S683)*(1+$E$14)</f>
      </c>
      <c r="U684" s="332">
        <v>679</v>
      </c>
      <c r="V684" s="1"/>
      <c r="W684" s="331">
        <f>Z684</f>
      </c>
      <c r="X684" s="336">
        <f>+IF(Y684&lt;X683,Y684,X683)</f>
      </c>
      <c r="Y684" s="337">
        <f>+(Y683-X683)*(1+$E$15)</f>
      </c>
      <c r="Z684" s="332">
        <v>679</v>
      </c>
      <c r="AA684" s="1"/>
      <c r="AB684" s="331">
        <f>AE684</f>
      </c>
      <c r="AC684" s="336">
        <f>+IF(AD684&lt;AC683,AD684,AC683)</f>
      </c>
      <c r="AD684" s="337">
        <f>+(AD683-AC683)*(1+$E$16)</f>
      </c>
      <c r="AE684" s="332">
        <v>679</v>
      </c>
    </row>
    <row x14ac:dyDescent="0.25" r="685" customHeight="1" ht="18.75">
      <c r="A685" s="1"/>
      <c r="B685" s="1"/>
      <c r="C685" s="169"/>
      <c r="D685" s="169"/>
      <c r="E685" s="168"/>
      <c r="F685" s="169"/>
      <c r="G685" s="170"/>
      <c r="H685" s="1"/>
      <c r="I685" s="1"/>
      <c r="J685" s="1"/>
      <c r="K685" s="1"/>
      <c r="L685" s="1"/>
      <c r="M685" s="331">
        <f>P685</f>
      </c>
      <c r="N685" s="335">
        <f>+IF(O685&lt;N684,O685,N684)</f>
      </c>
      <c r="O685" s="335">
        <f>+(O684-N684)*(1+$E$13)</f>
      </c>
      <c r="P685" s="332">
        <v>680</v>
      </c>
      <c r="Q685" s="1"/>
      <c r="R685" s="331">
        <f>U685</f>
      </c>
      <c r="S685" s="335">
        <f>+IF(T685&lt;S684,T685,S684)</f>
      </c>
      <c r="T685" s="335">
        <f>+(T684-S684)*(1+$E$14)</f>
      </c>
      <c r="U685" s="332">
        <v>680</v>
      </c>
      <c r="V685" s="1"/>
      <c r="W685" s="331">
        <f>Z685</f>
      </c>
      <c r="X685" s="336">
        <f>+IF(Y685&lt;X684,Y685,X684)</f>
      </c>
      <c r="Y685" s="337">
        <f>+(Y684-X684)*(1+$E$15)</f>
      </c>
      <c r="Z685" s="332">
        <v>680</v>
      </c>
      <c r="AA685" s="1"/>
      <c r="AB685" s="331">
        <f>AE685</f>
      </c>
      <c r="AC685" s="336">
        <f>+IF(AD685&lt;AC684,AD685,AC684)</f>
      </c>
      <c r="AD685" s="337">
        <f>+(AD684-AC684)*(1+$E$16)</f>
      </c>
      <c r="AE685" s="332">
        <v>680</v>
      </c>
    </row>
    <row x14ac:dyDescent="0.25" r="686" customHeight="1" ht="18.75">
      <c r="A686" s="1"/>
      <c r="B686" s="1"/>
      <c r="C686" s="169"/>
      <c r="D686" s="169"/>
      <c r="E686" s="168"/>
      <c r="F686" s="169"/>
      <c r="G686" s="170"/>
      <c r="H686" s="1"/>
      <c r="I686" s="1"/>
      <c r="J686" s="1"/>
      <c r="K686" s="1"/>
      <c r="L686" s="1"/>
      <c r="M686" s="331">
        <f>P686</f>
      </c>
      <c r="N686" s="335">
        <f>+IF(O686&lt;N685,O686,N685)</f>
      </c>
      <c r="O686" s="335">
        <f>+(O685-N685)*(1+$E$13)</f>
      </c>
      <c r="P686" s="332">
        <v>681</v>
      </c>
      <c r="Q686" s="1"/>
      <c r="R686" s="331">
        <f>U686</f>
      </c>
      <c r="S686" s="335">
        <f>+IF(T686&lt;S685,T686,S685)</f>
      </c>
      <c r="T686" s="335">
        <f>+(T685-S685)*(1+$E$14)</f>
      </c>
      <c r="U686" s="332">
        <v>681</v>
      </c>
      <c r="V686" s="1"/>
      <c r="W686" s="331">
        <f>Z686</f>
      </c>
      <c r="X686" s="336">
        <f>+IF(Y686&lt;X685,Y686,X685)</f>
      </c>
      <c r="Y686" s="337">
        <f>+(Y685-X685)*(1+$E$15)</f>
      </c>
      <c r="Z686" s="332">
        <v>681</v>
      </c>
      <c r="AA686" s="1"/>
      <c r="AB686" s="331">
        <f>AE686</f>
      </c>
      <c r="AC686" s="336">
        <f>+IF(AD686&lt;AC685,AD686,AC685)</f>
      </c>
      <c r="AD686" s="337">
        <f>+(AD685-AC685)*(1+$E$16)</f>
      </c>
      <c r="AE686" s="332">
        <v>681</v>
      </c>
    </row>
    <row x14ac:dyDescent="0.25" r="687" customHeight="1" ht="18.75">
      <c r="A687" s="1"/>
      <c r="B687" s="1"/>
      <c r="C687" s="169"/>
      <c r="D687" s="169"/>
      <c r="E687" s="168"/>
      <c r="F687" s="169"/>
      <c r="G687" s="170"/>
      <c r="H687" s="1"/>
      <c r="I687" s="1"/>
      <c r="J687" s="1"/>
      <c r="K687" s="1"/>
      <c r="L687" s="1"/>
      <c r="M687" s="331">
        <f>P687</f>
      </c>
      <c r="N687" s="335">
        <f>+IF(O687&lt;N686,O687,N686)</f>
      </c>
      <c r="O687" s="335">
        <f>+(O686-N686)*(1+$E$13)</f>
      </c>
      <c r="P687" s="332">
        <v>682</v>
      </c>
      <c r="Q687" s="1"/>
      <c r="R687" s="331">
        <f>U687</f>
      </c>
      <c r="S687" s="335">
        <f>+IF(T687&lt;S686,T687,S686)</f>
      </c>
      <c r="T687" s="335">
        <f>+(T686-S686)*(1+$E$14)</f>
      </c>
      <c r="U687" s="332">
        <v>682</v>
      </c>
      <c r="V687" s="1"/>
      <c r="W687" s="331">
        <f>Z687</f>
      </c>
      <c r="X687" s="336">
        <f>+IF(Y687&lt;X686,Y687,X686)</f>
      </c>
      <c r="Y687" s="337">
        <f>+(Y686-X686)*(1+$E$15)</f>
      </c>
      <c r="Z687" s="332">
        <v>682</v>
      </c>
      <c r="AA687" s="1"/>
      <c r="AB687" s="331">
        <f>AE687</f>
      </c>
      <c r="AC687" s="336">
        <f>+IF(AD687&lt;AC686,AD687,AC686)</f>
      </c>
      <c r="AD687" s="337">
        <f>+(AD686-AC686)*(1+$E$16)</f>
      </c>
      <c r="AE687" s="332">
        <v>682</v>
      </c>
    </row>
    <row x14ac:dyDescent="0.25" r="688" customHeight="1" ht="18.75">
      <c r="A688" s="1"/>
      <c r="B688" s="1"/>
      <c r="C688" s="169"/>
      <c r="D688" s="169"/>
      <c r="E688" s="168"/>
      <c r="F688" s="169"/>
      <c r="G688" s="170"/>
      <c r="H688" s="1"/>
      <c r="I688" s="1"/>
      <c r="J688" s="1"/>
      <c r="K688" s="1"/>
      <c r="L688" s="1"/>
      <c r="M688" s="331">
        <f>P688</f>
      </c>
      <c r="N688" s="335">
        <f>+IF(O688&lt;N687,O688,N687)</f>
      </c>
      <c r="O688" s="335">
        <f>+(O687-N687)*(1+$E$13)</f>
      </c>
      <c r="P688" s="332">
        <v>683</v>
      </c>
      <c r="Q688" s="1"/>
      <c r="R688" s="331">
        <f>U688</f>
      </c>
      <c r="S688" s="335">
        <f>+IF(T688&lt;S687,T688,S687)</f>
      </c>
      <c r="T688" s="335">
        <f>+(T687-S687)*(1+$E$14)</f>
      </c>
      <c r="U688" s="332">
        <v>683</v>
      </c>
      <c r="V688" s="1"/>
      <c r="W688" s="331">
        <f>Z688</f>
      </c>
      <c r="X688" s="336">
        <f>+IF(Y688&lt;X687,Y688,X687)</f>
      </c>
      <c r="Y688" s="337">
        <f>+(Y687-X687)*(1+$E$15)</f>
      </c>
      <c r="Z688" s="332">
        <v>683</v>
      </c>
      <c r="AA688" s="1"/>
      <c r="AB688" s="331">
        <f>AE688</f>
      </c>
      <c r="AC688" s="336">
        <f>+IF(AD688&lt;AC687,AD688,AC687)</f>
      </c>
      <c r="AD688" s="337">
        <f>+(AD687-AC687)*(1+$E$16)</f>
      </c>
      <c r="AE688" s="332">
        <v>683</v>
      </c>
    </row>
    <row x14ac:dyDescent="0.25" r="689" customHeight="1" ht="18.75">
      <c r="A689" s="1"/>
      <c r="B689" s="1"/>
      <c r="C689" s="169"/>
      <c r="D689" s="169"/>
      <c r="E689" s="168"/>
      <c r="F689" s="169"/>
      <c r="G689" s="170"/>
      <c r="H689" s="1"/>
      <c r="I689" s="1"/>
      <c r="J689" s="1"/>
      <c r="K689" s="1"/>
      <c r="L689" s="1"/>
      <c r="M689" s="331">
        <f>P689</f>
      </c>
      <c r="N689" s="335">
        <f>+IF(O689&lt;N688,O689,N688)</f>
      </c>
      <c r="O689" s="335">
        <f>+(O688-N688)*(1+$E$13)</f>
      </c>
      <c r="P689" s="332">
        <v>684</v>
      </c>
      <c r="Q689" s="1"/>
      <c r="R689" s="331">
        <f>U689</f>
      </c>
      <c r="S689" s="335">
        <f>+IF(T689&lt;S688,T689,S688)</f>
      </c>
      <c r="T689" s="335">
        <f>+(T688-S688)*(1+$E$14)</f>
      </c>
      <c r="U689" s="332">
        <v>684</v>
      </c>
      <c r="V689" s="1"/>
      <c r="W689" s="331">
        <f>Z689</f>
      </c>
      <c r="X689" s="336">
        <f>+IF(Y689&lt;X688,Y689,X688)</f>
      </c>
      <c r="Y689" s="337">
        <f>+(Y688-X688)*(1+$E$15)</f>
      </c>
      <c r="Z689" s="332">
        <v>684</v>
      </c>
      <c r="AA689" s="1"/>
      <c r="AB689" s="331">
        <f>AE689</f>
      </c>
      <c r="AC689" s="336">
        <f>+IF(AD689&lt;AC688,AD689,AC688)</f>
      </c>
      <c r="AD689" s="337">
        <f>+(AD688-AC688)*(1+$E$16)</f>
      </c>
      <c r="AE689" s="332">
        <v>684</v>
      </c>
    </row>
    <row x14ac:dyDescent="0.25" r="690" customHeight="1" ht="18.75">
      <c r="A690" s="1"/>
      <c r="B690" s="1"/>
      <c r="C690" s="169"/>
      <c r="D690" s="169"/>
      <c r="E690" s="168"/>
      <c r="F690" s="169"/>
      <c r="G690" s="170"/>
      <c r="H690" s="1"/>
      <c r="I690" s="1"/>
      <c r="J690" s="1"/>
      <c r="K690" s="1"/>
      <c r="L690" s="1"/>
      <c r="M690" s="331">
        <f>P690</f>
      </c>
      <c r="N690" s="335">
        <f>+IF(O690&lt;N689,O690,N689)</f>
      </c>
      <c r="O690" s="335">
        <f>+(O689-N689)*(1+$E$13)</f>
      </c>
      <c r="P690" s="332">
        <v>685</v>
      </c>
      <c r="Q690" s="1"/>
      <c r="R690" s="331">
        <f>U690</f>
      </c>
      <c r="S690" s="335">
        <f>+IF(T690&lt;S689,T690,S689)</f>
      </c>
      <c r="T690" s="335">
        <f>+(T689-S689)*(1+$E$14)</f>
      </c>
      <c r="U690" s="332">
        <v>685</v>
      </c>
      <c r="V690" s="1"/>
      <c r="W690" s="331">
        <f>Z690</f>
      </c>
      <c r="X690" s="336">
        <f>+IF(Y690&lt;X689,Y690,X689)</f>
      </c>
      <c r="Y690" s="337">
        <f>+(Y689-X689)*(1+$E$15)</f>
      </c>
      <c r="Z690" s="332">
        <v>685</v>
      </c>
      <c r="AA690" s="1"/>
      <c r="AB690" s="331">
        <f>AE690</f>
      </c>
      <c r="AC690" s="336">
        <f>+IF(AD690&lt;AC689,AD690,AC689)</f>
      </c>
      <c r="AD690" s="337">
        <f>+(AD689-AC689)*(1+$E$16)</f>
      </c>
      <c r="AE690" s="332">
        <v>685</v>
      </c>
    </row>
    <row x14ac:dyDescent="0.25" r="691" customHeight="1" ht="18.75">
      <c r="A691" s="1"/>
      <c r="B691" s="1"/>
      <c r="C691" s="169"/>
      <c r="D691" s="169"/>
      <c r="E691" s="168"/>
      <c r="F691" s="169"/>
      <c r="G691" s="170"/>
      <c r="H691" s="1"/>
      <c r="I691" s="1"/>
      <c r="J691" s="1"/>
      <c r="K691" s="1"/>
      <c r="L691" s="1"/>
      <c r="M691" s="331">
        <f>P691</f>
      </c>
      <c r="N691" s="335">
        <f>+IF(O691&lt;N690,O691,N690)</f>
      </c>
      <c r="O691" s="335">
        <f>+(O690-N690)*(1+$E$13)</f>
      </c>
      <c r="P691" s="332">
        <v>686</v>
      </c>
      <c r="Q691" s="1"/>
      <c r="R691" s="331">
        <f>U691</f>
      </c>
      <c r="S691" s="335">
        <f>+IF(T691&lt;S690,T691,S690)</f>
      </c>
      <c r="T691" s="335">
        <f>+(T690-S690)*(1+$E$14)</f>
      </c>
      <c r="U691" s="332">
        <v>686</v>
      </c>
      <c r="V691" s="1"/>
      <c r="W691" s="331">
        <f>Z691</f>
      </c>
      <c r="X691" s="336">
        <f>+IF(Y691&lt;X690,Y691,X690)</f>
      </c>
      <c r="Y691" s="337">
        <f>+(Y690-X690)*(1+$E$15)</f>
      </c>
      <c r="Z691" s="332">
        <v>686</v>
      </c>
      <c r="AA691" s="1"/>
      <c r="AB691" s="331">
        <f>AE691</f>
      </c>
      <c r="AC691" s="336">
        <f>+IF(AD691&lt;AC690,AD691,AC690)</f>
      </c>
      <c r="AD691" s="337">
        <f>+(AD690-AC690)*(1+$E$16)</f>
      </c>
      <c r="AE691" s="332">
        <v>686</v>
      </c>
    </row>
    <row x14ac:dyDescent="0.25" r="692" customHeight="1" ht="18.75">
      <c r="A692" s="1"/>
      <c r="B692" s="1"/>
      <c r="C692" s="169"/>
      <c r="D692" s="169"/>
      <c r="E692" s="168"/>
      <c r="F692" s="169"/>
      <c r="G692" s="170"/>
      <c r="H692" s="1"/>
      <c r="I692" s="1"/>
      <c r="J692" s="1"/>
      <c r="K692" s="1"/>
      <c r="L692" s="1"/>
      <c r="M692" s="331">
        <f>P692</f>
      </c>
      <c r="N692" s="335">
        <f>+IF(O692&lt;N691,O692,N691)</f>
      </c>
      <c r="O692" s="335">
        <f>+(O691-N691)*(1+$E$13)</f>
      </c>
      <c r="P692" s="332">
        <v>687</v>
      </c>
      <c r="Q692" s="1"/>
      <c r="R692" s="331">
        <f>U692</f>
      </c>
      <c r="S692" s="335">
        <f>+IF(T692&lt;S691,T692,S691)</f>
      </c>
      <c r="T692" s="335">
        <f>+(T691-S691)*(1+$E$14)</f>
      </c>
      <c r="U692" s="332">
        <v>687</v>
      </c>
      <c r="V692" s="1"/>
      <c r="W692" s="331">
        <f>Z692</f>
      </c>
      <c r="X692" s="336">
        <f>+IF(Y692&lt;X691,Y692,X691)</f>
      </c>
      <c r="Y692" s="337">
        <f>+(Y691-X691)*(1+$E$15)</f>
      </c>
      <c r="Z692" s="332">
        <v>687</v>
      </c>
      <c r="AA692" s="1"/>
      <c r="AB692" s="331">
        <f>AE692</f>
      </c>
      <c r="AC692" s="336">
        <f>+IF(AD692&lt;AC691,AD692,AC691)</f>
      </c>
      <c r="AD692" s="337">
        <f>+(AD691-AC691)*(1+$E$16)</f>
      </c>
      <c r="AE692" s="332">
        <v>687</v>
      </c>
    </row>
    <row x14ac:dyDescent="0.25" r="693" customHeight="1" ht="18.75">
      <c r="A693" s="1"/>
      <c r="B693" s="1"/>
      <c r="C693" s="169"/>
      <c r="D693" s="169"/>
      <c r="E693" s="168"/>
      <c r="F693" s="169"/>
      <c r="G693" s="170"/>
      <c r="H693" s="1"/>
      <c r="I693" s="1"/>
      <c r="J693" s="1"/>
      <c r="K693" s="1"/>
      <c r="L693" s="1"/>
      <c r="M693" s="331">
        <f>P693</f>
      </c>
      <c r="N693" s="335">
        <f>+IF(O693&lt;N692,O693,N692)</f>
      </c>
      <c r="O693" s="335">
        <f>+(O692-N692)*(1+$E$13)</f>
      </c>
      <c r="P693" s="332">
        <v>688</v>
      </c>
      <c r="Q693" s="1"/>
      <c r="R693" s="331">
        <f>U693</f>
      </c>
      <c r="S693" s="335">
        <f>+IF(T693&lt;S692,T693,S692)</f>
      </c>
      <c r="T693" s="335">
        <f>+(T692-S692)*(1+$E$14)</f>
      </c>
      <c r="U693" s="332">
        <v>688</v>
      </c>
      <c r="V693" s="1"/>
      <c r="W693" s="331">
        <f>Z693</f>
      </c>
      <c r="X693" s="336">
        <f>+IF(Y693&lt;X692,Y693,X692)</f>
      </c>
      <c r="Y693" s="337">
        <f>+(Y692-X692)*(1+$E$15)</f>
      </c>
      <c r="Z693" s="332">
        <v>688</v>
      </c>
      <c r="AA693" s="1"/>
      <c r="AB693" s="331">
        <f>AE693</f>
      </c>
      <c r="AC693" s="336">
        <f>+IF(AD693&lt;AC692,AD693,AC692)</f>
      </c>
      <c r="AD693" s="337">
        <f>+(AD692-AC692)*(1+$E$16)</f>
      </c>
      <c r="AE693" s="332">
        <v>688</v>
      </c>
    </row>
    <row x14ac:dyDescent="0.25" r="694" customHeight="1" ht="18.75">
      <c r="A694" s="1"/>
      <c r="B694" s="1"/>
      <c r="C694" s="169"/>
      <c r="D694" s="169"/>
      <c r="E694" s="168"/>
      <c r="F694" s="169"/>
      <c r="G694" s="170"/>
      <c r="H694" s="1"/>
      <c r="I694" s="1"/>
      <c r="J694" s="1"/>
      <c r="K694" s="1"/>
      <c r="L694" s="1"/>
      <c r="M694" s="331">
        <f>P694</f>
      </c>
      <c r="N694" s="335">
        <f>+IF(O694&lt;N693,O694,N693)</f>
      </c>
      <c r="O694" s="335">
        <f>+(O693-N693)*(1+$E$13)</f>
      </c>
      <c r="P694" s="332">
        <v>689</v>
      </c>
      <c r="Q694" s="1"/>
      <c r="R694" s="331">
        <f>U694</f>
      </c>
      <c r="S694" s="335">
        <f>+IF(T694&lt;S693,T694,S693)</f>
      </c>
      <c r="T694" s="335">
        <f>+(T693-S693)*(1+$E$14)</f>
      </c>
      <c r="U694" s="332">
        <v>689</v>
      </c>
      <c r="V694" s="1"/>
      <c r="W694" s="331">
        <f>Z694</f>
      </c>
      <c r="X694" s="336">
        <f>+IF(Y694&lt;X693,Y694,X693)</f>
      </c>
      <c r="Y694" s="337">
        <f>+(Y693-X693)*(1+$E$15)</f>
      </c>
      <c r="Z694" s="332">
        <v>689</v>
      </c>
      <c r="AA694" s="1"/>
      <c r="AB694" s="331">
        <f>AE694</f>
      </c>
      <c r="AC694" s="336">
        <f>+IF(AD694&lt;AC693,AD694,AC693)</f>
      </c>
      <c r="AD694" s="337">
        <f>+(AD693-AC693)*(1+$E$16)</f>
      </c>
      <c r="AE694" s="332">
        <v>689</v>
      </c>
    </row>
    <row x14ac:dyDescent="0.25" r="695" customHeight="1" ht="18.75">
      <c r="A695" s="1"/>
      <c r="B695" s="1"/>
      <c r="C695" s="169"/>
      <c r="D695" s="169"/>
      <c r="E695" s="168"/>
      <c r="F695" s="169"/>
      <c r="G695" s="170"/>
      <c r="H695" s="1"/>
      <c r="I695" s="1"/>
      <c r="J695" s="1"/>
      <c r="K695" s="1"/>
      <c r="L695" s="1"/>
      <c r="M695" s="331">
        <f>P695</f>
      </c>
      <c r="N695" s="335">
        <f>+IF(O695&lt;N694,O695,N694)</f>
      </c>
      <c r="O695" s="335">
        <f>+(O694-N694)*(1+$E$13)</f>
      </c>
      <c r="P695" s="332">
        <v>690</v>
      </c>
      <c r="Q695" s="1"/>
      <c r="R695" s="331">
        <f>U695</f>
      </c>
      <c r="S695" s="335">
        <f>+IF(T695&lt;S694,T695,S694)</f>
      </c>
      <c r="T695" s="335">
        <f>+(T694-S694)*(1+$E$14)</f>
      </c>
      <c r="U695" s="332">
        <v>690</v>
      </c>
      <c r="V695" s="1"/>
      <c r="W695" s="331">
        <f>Z695</f>
      </c>
      <c r="X695" s="336">
        <f>+IF(Y695&lt;X694,Y695,X694)</f>
      </c>
      <c r="Y695" s="337">
        <f>+(Y694-X694)*(1+$E$15)</f>
      </c>
      <c r="Z695" s="332">
        <v>690</v>
      </c>
      <c r="AA695" s="1"/>
      <c r="AB695" s="331">
        <f>AE695</f>
      </c>
      <c r="AC695" s="336">
        <f>+IF(AD695&lt;AC694,AD695,AC694)</f>
      </c>
      <c r="AD695" s="337">
        <f>+(AD694-AC694)*(1+$E$16)</f>
      </c>
      <c r="AE695" s="332">
        <v>690</v>
      </c>
    </row>
    <row x14ac:dyDescent="0.25" r="696" customHeight="1" ht="18.75">
      <c r="A696" s="1"/>
      <c r="B696" s="1"/>
      <c r="C696" s="169"/>
      <c r="D696" s="169"/>
      <c r="E696" s="168"/>
      <c r="F696" s="169"/>
      <c r="G696" s="170"/>
      <c r="H696" s="1"/>
      <c r="I696" s="1"/>
      <c r="J696" s="1"/>
      <c r="K696" s="1"/>
      <c r="L696" s="1"/>
      <c r="M696" s="331">
        <f>P696</f>
      </c>
      <c r="N696" s="335">
        <f>+IF(O696&lt;N695,O696,N695)</f>
      </c>
      <c r="O696" s="335">
        <f>+(O695-N695)*(1+$E$13)</f>
      </c>
      <c r="P696" s="332">
        <v>691</v>
      </c>
      <c r="Q696" s="1"/>
      <c r="R696" s="331">
        <f>U696</f>
      </c>
      <c r="S696" s="335">
        <f>+IF(T696&lt;S695,T696,S695)</f>
      </c>
      <c r="T696" s="335">
        <f>+(T695-S695)*(1+$E$14)</f>
      </c>
      <c r="U696" s="332">
        <v>691</v>
      </c>
      <c r="V696" s="1"/>
      <c r="W696" s="331">
        <f>Z696</f>
      </c>
      <c r="X696" s="336">
        <f>+IF(Y696&lt;X695,Y696,X695)</f>
      </c>
      <c r="Y696" s="337">
        <f>+(Y695-X695)*(1+$E$15)</f>
      </c>
      <c r="Z696" s="332">
        <v>691</v>
      </c>
      <c r="AA696" s="1"/>
      <c r="AB696" s="331">
        <f>AE696</f>
      </c>
      <c r="AC696" s="336">
        <f>+IF(AD696&lt;AC695,AD696,AC695)</f>
      </c>
      <c r="AD696" s="337">
        <f>+(AD695-AC695)*(1+$E$16)</f>
      </c>
      <c r="AE696" s="332">
        <v>691</v>
      </c>
    </row>
    <row x14ac:dyDescent="0.25" r="697" customHeight="1" ht="18.75">
      <c r="A697" s="1"/>
      <c r="B697" s="1"/>
      <c r="C697" s="169"/>
      <c r="D697" s="169"/>
      <c r="E697" s="168"/>
      <c r="F697" s="169"/>
      <c r="G697" s="170"/>
      <c r="H697" s="1"/>
      <c r="I697" s="1"/>
      <c r="J697" s="1"/>
      <c r="K697" s="1"/>
      <c r="L697" s="1"/>
      <c r="M697" s="331">
        <f>P697</f>
      </c>
      <c r="N697" s="335">
        <f>+IF(O697&lt;N696,O697,N696)</f>
      </c>
      <c r="O697" s="335">
        <f>+(O696-N696)*(1+$E$13)</f>
      </c>
      <c r="P697" s="332">
        <v>692</v>
      </c>
      <c r="Q697" s="1"/>
      <c r="R697" s="331">
        <f>U697</f>
      </c>
      <c r="S697" s="335">
        <f>+IF(T697&lt;S696,T697,S696)</f>
      </c>
      <c r="T697" s="335">
        <f>+(T696-S696)*(1+$E$14)</f>
      </c>
      <c r="U697" s="332">
        <v>692</v>
      </c>
      <c r="V697" s="1"/>
      <c r="W697" s="331">
        <f>Z697</f>
      </c>
      <c r="X697" s="336">
        <f>+IF(Y697&lt;X696,Y697,X696)</f>
      </c>
      <c r="Y697" s="337">
        <f>+(Y696-X696)*(1+$E$15)</f>
      </c>
      <c r="Z697" s="332">
        <v>692</v>
      </c>
      <c r="AA697" s="1"/>
      <c r="AB697" s="331">
        <f>AE697</f>
      </c>
      <c r="AC697" s="336">
        <f>+IF(AD697&lt;AC696,AD697,AC696)</f>
      </c>
      <c r="AD697" s="337">
        <f>+(AD696-AC696)*(1+$E$16)</f>
      </c>
      <c r="AE697" s="332">
        <v>692</v>
      </c>
    </row>
    <row x14ac:dyDescent="0.25" r="698" customHeight="1" ht="18.75">
      <c r="A698" s="1"/>
      <c r="B698" s="1"/>
      <c r="C698" s="169"/>
      <c r="D698" s="169"/>
      <c r="E698" s="168"/>
      <c r="F698" s="169"/>
      <c r="G698" s="170"/>
      <c r="H698" s="1"/>
      <c r="I698" s="1"/>
      <c r="J698" s="1"/>
      <c r="K698" s="1"/>
      <c r="L698" s="1"/>
      <c r="M698" s="331">
        <f>P698</f>
      </c>
      <c r="N698" s="335">
        <f>+IF(O698&lt;N697,O698,N697)</f>
      </c>
      <c r="O698" s="335">
        <f>+(O697-N697)*(1+$E$13)</f>
      </c>
      <c r="P698" s="332">
        <v>693</v>
      </c>
      <c r="Q698" s="1"/>
      <c r="R698" s="331">
        <f>U698</f>
      </c>
      <c r="S698" s="335">
        <f>+IF(T698&lt;S697,T698,S697)</f>
      </c>
      <c r="T698" s="335">
        <f>+(T697-S697)*(1+$E$14)</f>
      </c>
      <c r="U698" s="332">
        <v>693</v>
      </c>
      <c r="V698" s="1"/>
      <c r="W698" s="331">
        <f>Z698</f>
      </c>
      <c r="X698" s="336">
        <f>+IF(Y698&lt;X697,Y698,X697)</f>
      </c>
      <c r="Y698" s="337">
        <f>+(Y697-X697)*(1+$E$15)</f>
      </c>
      <c r="Z698" s="332">
        <v>693</v>
      </c>
      <c r="AA698" s="1"/>
      <c r="AB698" s="331">
        <f>AE698</f>
      </c>
      <c r="AC698" s="336">
        <f>+IF(AD698&lt;AC697,AD698,AC697)</f>
      </c>
      <c r="AD698" s="337">
        <f>+(AD697-AC697)*(1+$E$16)</f>
      </c>
      <c r="AE698" s="332">
        <v>693</v>
      </c>
    </row>
    <row x14ac:dyDescent="0.25" r="699" customHeight="1" ht="18.75">
      <c r="A699" s="1"/>
      <c r="B699" s="1"/>
      <c r="C699" s="169"/>
      <c r="D699" s="169"/>
      <c r="E699" s="168"/>
      <c r="F699" s="169"/>
      <c r="G699" s="170"/>
      <c r="H699" s="1"/>
      <c r="I699" s="1"/>
      <c r="J699" s="1"/>
      <c r="K699" s="1"/>
      <c r="L699" s="1"/>
      <c r="M699" s="331">
        <f>P699</f>
      </c>
      <c r="N699" s="335">
        <f>+IF(O699&lt;N698,O699,N698)</f>
      </c>
      <c r="O699" s="335">
        <f>+(O698-N698)*(1+$E$13)</f>
      </c>
      <c r="P699" s="332">
        <v>694</v>
      </c>
      <c r="Q699" s="1"/>
      <c r="R699" s="331">
        <f>U699</f>
      </c>
      <c r="S699" s="335">
        <f>+IF(T699&lt;S698,T699,S698)</f>
      </c>
      <c r="T699" s="335">
        <f>+(T698-S698)*(1+$E$14)</f>
      </c>
      <c r="U699" s="332">
        <v>694</v>
      </c>
      <c r="V699" s="1"/>
      <c r="W699" s="331">
        <f>Z699</f>
      </c>
      <c r="X699" s="336">
        <f>+IF(Y699&lt;X698,Y699,X698)</f>
      </c>
      <c r="Y699" s="337">
        <f>+(Y698-X698)*(1+$E$15)</f>
      </c>
      <c r="Z699" s="332">
        <v>694</v>
      </c>
      <c r="AA699" s="1"/>
      <c r="AB699" s="331">
        <f>AE699</f>
      </c>
      <c r="AC699" s="336">
        <f>+IF(AD699&lt;AC698,AD699,AC698)</f>
      </c>
      <c r="AD699" s="337">
        <f>+(AD698-AC698)*(1+$E$16)</f>
      </c>
      <c r="AE699" s="332">
        <v>694</v>
      </c>
    </row>
    <row x14ac:dyDescent="0.25" r="700" customHeight="1" ht="18.75">
      <c r="A700" s="1"/>
      <c r="B700" s="1"/>
      <c r="C700" s="169"/>
      <c r="D700" s="169"/>
      <c r="E700" s="168"/>
      <c r="F700" s="169"/>
      <c r="G700" s="170"/>
      <c r="H700" s="1"/>
      <c r="I700" s="1"/>
      <c r="J700" s="1"/>
      <c r="K700" s="1"/>
      <c r="L700" s="1"/>
      <c r="M700" s="331">
        <f>P700</f>
      </c>
      <c r="N700" s="335">
        <f>+IF(O700&lt;N699,O700,N699)</f>
      </c>
      <c r="O700" s="335">
        <f>+(O699-N699)*(1+$E$13)</f>
      </c>
      <c r="P700" s="332">
        <v>695</v>
      </c>
      <c r="Q700" s="1"/>
      <c r="R700" s="331">
        <f>U700</f>
      </c>
      <c r="S700" s="335">
        <f>+IF(T700&lt;S699,T700,S699)</f>
      </c>
      <c r="T700" s="335">
        <f>+(T699-S699)*(1+$E$14)</f>
      </c>
      <c r="U700" s="332">
        <v>695</v>
      </c>
      <c r="V700" s="1"/>
      <c r="W700" s="331">
        <f>Z700</f>
      </c>
      <c r="X700" s="336">
        <f>+IF(Y700&lt;X699,Y700,X699)</f>
      </c>
      <c r="Y700" s="337">
        <f>+(Y699-X699)*(1+$E$15)</f>
      </c>
      <c r="Z700" s="332">
        <v>695</v>
      </c>
      <c r="AA700" s="1"/>
      <c r="AB700" s="331">
        <f>AE700</f>
      </c>
      <c r="AC700" s="336">
        <f>+IF(AD700&lt;AC699,AD700,AC699)</f>
      </c>
      <c r="AD700" s="337">
        <f>+(AD699-AC699)*(1+$E$16)</f>
      </c>
      <c r="AE700" s="332">
        <v>695</v>
      </c>
    </row>
    <row x14ac:dyDescent="0.25" r="701" customHeight="1" ht="18.75">
      <c r="A701" s="1"/>
      <c r="B701" s="1"/>
      <c r="C701" s="169"/>
      <c r="D701" s="169"/>
      <c r="E701" s="168"/>
      <c r="F701" s="169"/>
      <c r="G701" s="170"/>
      <c r="H701" s="1"/>
      <c r="I701" s="1"/>
      <c r="J701" s="1"/>
      <c r="K701" s="1"/>
      <c r="L701" s="1"/>
      <c r="M701" s="331">
        <f>P701</f>
      </c>
      <c r="N701" s="335">
        <f>+IF(O701&lt;N700,O701,N700)</f>
      </c>
      <c r="O701" s="335">
        <f>+(O700-N700)*(1+$E$13)</f>
      </c>
      <c r="P701" s="332">
        <v>696</v>
      </c>
      <c r="Q701" s="1"/>
      <c r="R701" s="331">
        <f>U701</f>
      </c>
      <c r="S701" s="335">
        <f>+IF(T701&lt;S700,T701,S700)</f>
      </c>
      <c r="T701" s="335">
        <f>+(T700-S700)*(1+$E$14)</f>
      </c>
      <c r="U701" s="332">
        <v>696</v>
      </c>
      <c r="V701" s="1"/>
      <c r="W701" s="331">
        <f>Z701</f>
      </c>
      <c r="X701" s="336">
        <f>+IF(Y701&lt;X700,Y701,X700)</f>
      </c>
      <c r="Y701" s="337">
        <f>+(Y700-X700)*(1+$E$15)</f>
      </c>
      <c r="Z701" s="332">
        <v>696</v>
      </c>
      <c r="AA701" s="1"/>
      <c r="AB701" s="331">
        <f>AE701</f>
      </c>
      <c r="AC701" s="336">
        <f>+IF(AD701&lt;AC700,AD701,AC700)</f>
      </c>
      <c r="AD701" s="337">
        <f>+(AD700-AC700)*(1+$E$16)</f>
      </c>
      <c r="AE701" s="332">
        <v>696</v>
      </c>
    </row>
    <row x14ac:dyDescent="0.25" r="702" customHeight="1" ht="18.75">
      <c r="A702" s="1"/>
      <c r="B702" s="1"/>
      <c r="C702" s="169"/>
      <c r="D702" s="169"/>
      <c r="E702" s="168"/>
      <c r="F702" s="169"/>
      <c r="G702" s="170"/>
      <c r="H702" s="1"/>
      <c r="I702" s="1"/>
      <c r="J702" s="1"/>
      <c r="K702" s="1"/>
      <c r="L702" s="1"/>
      <c r="M702" s="331">
        <f>P702</f>
      </c>
      <c r="N702" s="335">
        <f>+IF(O702&lt;N701,O702,N701)</f>
      </c>
      <c r="O702" s="335">
        <f>+(O701-N701)*(1+$E$13)</f>
      </c>
      <c r="P702" s="332">
        <v>697</v>
      </c>
      <c r="Q702" s="1"/>
      <c r="R702" s="331">
        <f>U702</f>
      </c>
      <c r="S702" s="335">
        <f>+IF(T702&lt;S701,T702,S701)</f>
      </c>
      <c r="T702" s="335">
        <f>+(T701-S701)*(1+$E$14)</f>
      </c>
      <c r="U702" s="332">
        <v>697</v>
      </c>
      <c r="V702" s="1"/>
      <c r="W702" s="331">
        <f>Z702</f>
      </c>
      <c r="X702" s="336">
        <f>+IF(Y702&lt;X701,Y702,X701)</f>
      </c>
      <c r="Y702" s="337">
        <f>+(Y701-X701)*(1+$E$15)</f>
      </c>
      <c r="Z702" s="332">
        <v>697</v>
      </c>
      <c r="AA702" s="1"/>
      <c r="AB702" s="331">
        <f>AE702</f>
      </c>
      <c r="AC702" s="336">
        <f>+IF(AD702&lt;AC701,AD702,AC701)</f>
      </c>
      <c r="AD702" s="337">
        <f>+(AD701-AC701)*(1+$E$16)</f>
      </c>
      <c r="AE702" s="332">
        <v>697</v>
      </c>
    </row>
    <row x14ac:dyDescent="0.25" r="703" customHeight="1" ht="18.75">
      <c r="A703" s="1"/>
      <c r="B703" s="1"/>
      <c r="C703" s="169"/>
      <c r="D703" s="169"/>
      <c r="E703" s="168"/>
      <c r="F703" s="169"/>
      <c r="G703" s="170"/>
      <c r="H703" s="1"/>
      <c r="I703" s="1"/>
      <c r="J703" s="1"/>
      <c r="K703" s="1"/>
      <c r="L703" s="1"/>
      <c r="M703" s="331">
        <f>P703</f>
      </c>
      <c r="N703" s="335">
        <f>+IF(O703&lt;N702,O703,N702)</f>
      </c>
      <c r="O703" s="335">
        <f>+(O702-N702)*(1+$E$13)</f>
      </c>
      <c r="P703" s="332">
        <v>698</v>
      </c>
      <c r="Q703" s="1"/>
      <c r="R703" s="331">
        <f>U703</f>
      </c>
      <c r="S703" s="335">
        <f>+IF(T703&lt;S702,T703,S702)</f>
      </c>
      <c r="T703" s="335">
        <f>+(T702-S702)*(1+$E$14)</f>
      </c>
      <c r="U703" s="332">
        <v>698</v>
      </c>
      <c r="V703" s="1"/>
      <c r="W703" s="331">
        <f>Z703</f>
      </c>
      <c r="X703" s="336">
        <f>+IF(Y703&lt;X702,Y703,X702)</f>
      </c>
      <c r="Y703" s="337">
        <f>+(Y702-X702)*(1+$E$15)</f>
      </c>
      <c r="Z703" s="332">
        <v>698</v>
      </c>
      <c r="AA703" s="1"/>
      <c r="AB703" s="331">
        <f>AE703</f>
      </c>
      <c r="AC703" s="336">
        <f>+IF(AD703&lt;AC702,AD703,AC702)</f>
      </c>
      <c r="AD703" s="337">
        <f>+(AD702-AC702)*(1+$E$16)</f>
      </c>
      <c r="AE703" s="332">
        <v>698</v>
      </c>
    </row>
    <row x14ac:dyDescent="0.25" r="704" customHeight="1" ht="18.75">
      <c r="A704" s="1"/>
      <c r="B704" s="1"/>
      <c r="C704" s="169"/>
      <c r="D704" s="169"/>
      <c r="E704" s="168"/>
      <c r="F704" s="169"/>
      <c r="G704" s="170"/>
      <c r="H704" s="1"/>
      <c r="I704" s="1"/>
      <c r="J704" s="1"/>
      <c r="K704" s="1"/>
      <c r="L704" s="1"/>
      <c r="M704" s="331">
        <f>P704</f>
      </c>
      <c r="N704" s="335">
        <f>+IF(O704&lt;N703,O704,N703)</f>
      </c>
      <c r="O704" s="335">
        <f>+(O703-N703)*(1+$E$13)</f>
      </c>
      <c r="P704" s="332">
        <v>699</v>
      </c>
      <c r="Q704" s="1"/>
      <c r="R704" s="331">
        <f>U704</f>
      </c>
      <c r="S704" s="335">
        <f>+IF(T704&lt;S703,T704,S703)</f>
      </c>
      <c r="T704" s="335">
        <f>+(T703-S703)*(1+$E$14)</f>
      </c>
      <c r="U704" s="332">
        <v>699</v>
      </c>
      <c r="V704" s="1"/>
      <c r="W704" s="331">
        <f>Z704</f>
      </c>
      <c r="X704" s="336">
        <f>+IF(Y704&lt;X703,Y704,X703)</f>
      </c>
      <c r="Y704" s="337">
        <f>+(Y703-X703)*(1+$E$15)</f>
      </c>
      <c r="Z704" s="332">
        <v>699</v>
      </c>
      <c r="AA704" s="1"/>
      <c r="AB704" s="331">
        <f>AE704</f>
      </c>
      <c r="AC704" s="336">
        <f>+IF(AD704&lt;AC703,AD704,AC703)</f>
      </c>
      <c r="AD704" s="337">
        <f>+(AD703-AC703)*(1+$E$16)</f>
      </c>
      <c r="AE704" s="332">
        <v>699</v>
      </c>
    </row>
    <row x14ac:dyDescent="0.25" r="705" customHeight="1" ht="18.75">
      <c r="A705" s="1"/>
      <c r="B705" s="1"/>
      <c r="C705" s="169"/>
      <c r="D705" s="169"/>
      <c r="E705" s="168"/>
      <c r="F705" s="169"/>
      <c r="G705" s="170"/>
      <c r="H705" s="1"/>
      <c r="I705" s="1"/>
      <c r="J705" s="1"/>
      <c r="K705" s="1"/>
      <c r="L705" s="1"/>
      <c r="M705" s="331">
        <f>P705</f>
      </c>
      <c r="N705" s="335">
        <f>+IF(O705&lt;N704,O705,N704)</f>
      </c>
      <c r="O705" s="335">
        <f>+(O704-N704)*(1+$E$13)</f>
      </c>
      <c r="P705" s="332">
        <v>700</v>
      </c>
      <c r="Q705" s="1"/>
      <c r="R705" s="331">
        <f>U705</f>
      </c>
      <c r="S705" s="335">
        <f>+IF(T705&lt;S704,T705,S704)</f>
      </c>
      <c r="T705" s="335">
        <f>+(T704-S704)*(1+$E$14)</f>
      </c>
      <c r="U705" s="332">
        <v>700</v>
      </c>
      <c r="V705" s="1"/>
      <c r="W705" s="331">
        <f>Z705</f>
      </c>
      <c r="X705" s="336">
        <f>+IF(Y705&lt;X704,Y705,X704)</f>
      </c>
      <c r="Y705" s="337">
        <f>+(Y704-X704)*(1+$E$15)</f>
      </c>
      <c r="Z705" s="332">
        <v>700</v>
      </c>
      <c r="AA705" s="1"/>
      <c r="AB705" s="331">
        <f>AE705</f>
      </c>
      <c r="AC705" s="336">
        <f>+IF(AD705&lt;AC704,AD705,AC704)</f>
      </c>
      <c r="AD705" s="337">
        <f>+(AD704-AC704)*(1+$E$16)</f>
      </c>
      <c r="AE705" s="332">
        <v>700</v>
      </c>
    </row>
    <row x14ac:dyDescent="0.25" r="706" customHeight="1" ht="18.75">
      <c r="A706" s="1"/>
      <c r="B706" s="1"/>
      <c r="C706" s="169"/>
      <c r="D706" s="169"/>
      <c r="E706" s="168"/>
      <c r="F706" s="169"/>
      <c r="G706" s="170"/>
      <c r="H706" s="1"/>
      <c r="I706" s="1"/>
      <c r="J706" s="1"/>
      <c r="K706" s="1"/>
      <c r="L706" s="1"/>
      <c r="M706" s="331">
        <f>P706</f>
      </c>
      <c r="N706" s="335">
        <f>+IF(O706&lt;N705,O706,N705)</f>
      </c>
      <c r="O706" s="335">
        <f>+(O705-N705)*(1+$E$13)</f>
      </c>
      <c r="P706" s="332">
        <v>701</v>
      </c>
      <c r="Q706" s="1"/>
      <c r="R706" s="331">
        <f>U706</f>
      </c>
      <c r="S706" s="335">
        <f>+IF(T706&lt;S705,T706,S705)</f>
      </c>
      <c r="T706" s="335">
        <f>+(T705-S705)*(1+$E$14)</f>
      </c>
      <c r="U706" s="332">
        <v>701</v>
      </c>
      <c r="V706" s="1"/>
      <c r="W706" s="331">
        <f>Z706</f>
      </c>
      <c r="X706" s="336">
        <f>+IF(Y706&lt;X705,Y706,X705)</f>
      </c>
      <c r="Y706" s="337">
        <f>+(Y705-X705)*(1+$E$15)</f>
      </c>
      <c r="Z706" s="332">
        <v>701</v>
      </c>
      <c r="AA706" s="1"/>
      <c r="AB706" s="331">
        <f>AE706</f>
      </c>
      <c r="AC706" s="336">
        <f>+IF(AD706&lt;AC705,AD706,AC705)</f>
      </c>
      <c r="AD706" s="337">
        <f>+(AD705-AC705)*(1+$E$16)</f>
      </c>
      <c r="AE706" s="332">
        <v>701</v>
      </c>
    </row>
    <row x14ac:dyDescent="0.25" r="707" customHeight="1" ht="18.75">
      <c r="A707" s="1"/>
      <c r="B707" s="1"/>
      <c r="C707" s="169"/>
      <c r="D707" s="169"/>
      <c r="E707" s="168"/>
      <c r="F707" s="169"/>
      <c r="G707" s="170"/>
      <c r="H707" s="1"/>
      <c r="I707" s="1"/>
      <c r="J707" s="1"/>
      <c r="K707" s="1"/>
      <c r="L707" s="1"/>
      <c r="M707" s="331">
        <f>P707</f>
      </c>
      <c r="N707" s="335">
        <f>+IF(O707&lt;N706,O707,N706)</f>
      </c>
      <c r="O707" s="335">
        <f>+(O706-N706)*(1+$E$13)</f>
      </c>
      <c r="P707" s="332">
        <v>702</v>
      </c>
      <c r="Q707" s="1"/>
      <c r="R707" s="331">
        <f>U707</f>
      </c>
      <c r="S707" s="335">
        <f>+IF(T707&lt;S706,T707,S706)</f>
      </c>
      <c r="T707" s="335">
        <f>+(T706-S706)*(1+$E$14)</f>
      </c>
      <c r="U707" s="332">
        <v>702</v>
      </c>
      <c r="V707" s="1"/>
      <c r="W707" s="331">
        <f>Z707</f>
      </c>
      <c r="X707" s="336">
        <f>+IF(Y707&lt;X706,Y707,X706)</f>
      </c>
      <c r="Y707" s="337">
        <f>+(Y706-X706)*(1+$E$15)</f>
      </c>
      <c r="Z707" s="332">
        <v>702</v>
      </c>
      <c r="AA707" s="1"/>
      <c r="AB707" s="331">
        <f>AE707</f>
      </c>
      <c r="AC707" s="336">
        <f>+IF(AD707&lt;AC706,AD707,AC706)</f>
      </c>
      <c r="AD707" s="337">
        <f>+(AD706-AC706)*(1+$E$16)</f>
      </c>
      <c r="AE707" s="332">
        <v>702</v>
      </c>
    </row>
    <row x14ac:dyDescent="0.25" r="708" customHeight="1" ht="18.75">
      <c r="A708" s="1"/>
      <c r="B708" s="1"/>
      <c r="C708" s="169"/>
      <c r="D708" s="169"/>
      <c r="E708" s="168"/>
      <c r="F708" s="169"/>
      <c r="G708" s="170"/>
      <c r="H708" s="1"/>
      <c r="I708" s="1"/>
      <c r="J708" s="1"/>
      <c r="K708" s="1"/>
      <c r="L708" s="1"/>
      <c r="M708" s="331">
        <f>P708</f>
      </c>
      <c r="N708" s="335">
        <f>+IF(O708&lt;N707,O708,N707)</f>
      </c>
      <c r="O708" s="335">
        <f>+(O707-N707)*(1+$E$13)</f>
      </c>
      <c r="P708" s="332">
        <v>703</v>
      </c>
      <c r="Q708" s="1"/>
      <c r="R708" s="331">
        <f>U708</f>
      </c>
      <c r="S708" s="335">
        <f>+IF(T708&lt;S707,T708,S707)</f>
      </c>
      <c r="T708" s="335">
        <f>+(T707-S707)*(1+$E$14)</f>
      </c>
      <c r="U708" s="332">
        <v>703</v>
      </c>
      <c r="V708" s="1"/>
      <c r="W708" s="331">
        <f>Z708</f>
      </c>
      <c r="X708" s="336">
        <f>+IF(Y708&lt;X707,Y708,X707)</f>
      </c>
      <c r="Y708" s="337">
        <f>+(Y707-X707)*(1+$E$15)</f>
      </c>
      <c r="Z708" s="332">
        <v>703</v>
      </c>
      <c r="AA708" s="1"/>
      <c r="AB708" s="331">
        <f>AE708</f>
      </c>
      <c r="AC708" s="336">
        <f>+IF(AD708&lt;AC707,AD708,AC707)</f>
      </c>
      <c r="AD708" s="337">
        <f>+(AD707-AC707)*(1+$E$16)</f>
      </c>
      <c r="AE708" s="332">
        <v>703</v>
      </c>
    </row>
    <row x14ac:dyDescent="0.25" r="709" customHeight="1" ht="18.75">
      <c r="A709" s="1"/>
      <c r="B709" s="1"/>
      <c r="C709" s="169"/>
      <c r="D709" s="169"/>
      <c r="E709" s="168"/>
      <c r="F709" s="169"/>
      <c r="G709" s="170"/>
      <c r="H709" s="1"/>
      <c r="I709" s="1"/>
      <c r="J709" s="1"/>
      <c r="K709" s="1"/>
      <c r="L709" s="1"/>
      <c r="M709" s="331">
        <f>P709</f>
      </c>
      <c r="N709" s="335">
        <f>+IF(O709&lt;N708,O709,N708)</f>
      </c>
      <c r="O709" s="335">
        <f>+(O708-N708)*(1+$E$13)</f>
      </c>
      <c r="P709" s="332">
        <v>704</v>
      </c>
      <c r="Q709" s="1"/>
      <c r="R709" s="331">
        <f>U709</f>
      </c>
      <c r="S709" s="335">
        <f>+IF(T709&lt;S708,T709,S708)</f>
      </c>
      <c r="T709" s="335">
        <f>+(T708-S708)*(1+$E$14)</f>
      </c>
      <c r="U709" s="332">
        <v>704</v>
      </c>
      <c r="V709" s="1"/>
      <c r="W709" s="331">
        <f>Z709</f>
      </c>
      <c r="X709" s="336">
        <f>+IF(Y709&lt;X708,Y709,X708)</f>
      </c>
      <c r="Y709" s="337">
        <f>+(Y708-X708)*(1+$E$15)</f>
      </c>
      <c r="Z709" s="332">
        <v>704</v>
      </c>
      <c r="AA709" s="1"/>
      <c r="AB709" s="331">
        <f>AE709</f>
      </c>
      <c r="AC709" s="336">
        <f>+IF(AD709&lt;AC708,AD709,AC708)</f>
      </c>
      <c r="AD709" s="337">
        <f>+(AD708-AC708)*(1+$E$16)</f>
      </c>
      <c r="AE709" s="332">
        <v>704</v>
      </c>
    </row>
    <row x14ac:dyDescent="0.25" r="710" customHeight="1" ht="18.75">
      <c r="A710" s="1"/>
      <c r="B710" s="1"/>
      <c r="C710" s="169"/>
      <c r="D710" s="169"/>
      <c r="E710" s="168"/>
      <c r="F710" s="169"/>
      <c r="G710" s="170"/>
      <c r="H710" s="1"/>
      <c r="I710" s="1"/>
      <c r="J710" s="1"/>
      <c r="K710" s="1"/>
      <c r="L710" s="1"/>
      <c r="M710" s="331">
        <f>P710</f>
      </c>
      <c r="N710" s="335">
        <f>+IF(O710&lt;N709,O710,N709)</f>
      </c>
      <c r="O710" s="335">
        <f>+(O709-N709)*(1+$E$13)</f>
      </c>
      <c r="P710" s="332">
        <v>705</v>
      </c>
      <c r="Q710" s="1"/>
      <c r="R710" s="331">
        <f>U710</f>
      </c>
      <c r="S710" s="335">
        <f>+IF(T710&lt;S709,T710,S709)</f>
      </c>
      <c r="T710" s="335">
        <f>+(T709-S709)*(1+$E$14)</f>
      </c>
      <c r="U710" s="332">
        <v>705</v>
      </c>
      <c r="V710" s="1"/>
      <c r="W710" s="331">
        <f>Z710</f>
      </c>
      <c r="X710" s="336">
        <f>+IF(Y710&lt;X709,Y710,X709)</f>
      </c>
      <c r="Y710" s="337">
        <f>+(Y709-X709)*(1+$E$15)</f>
      </c>
      <c r="Z710" s="332">
        <v>705</v>
      </c>
      <c r="AA710" s="1"/>
      <c r="AB710" s="331">
        <f>AE710</f>
      </c>
      <c r="AC710" s="336">
        <f>+IF(AD710&lt;AC709,AD710,AC709)</f>
      </c>
      <c r="AD710" s="337">
        <f>+(AD709-AC709)*(1+$E$16)</f>
      </c>
      <c r="AE710" s="332">
        <v>705</v>
      </c>
    </row>
    <row x14ac:dyDescent="0.25" r="711" customHeight="1" ht="18.75">
      <c r="A711" s="1"/>
      <c r="B711" s="1"/>
      <c r="C711" s="169"/>
      <c r="D711" s="169"/>
      <c r="E711" s="168"/>
      <c r="F711" s="169"/>
      <c r="G711" s="170"/>
      <c r="H711" s="1"/>
      <c r="I711" s="1"/>
      <c r="J711" s="1"/>
      <c r="K711" s="1"/>
      <c r="L711" s="1"/>
      <c r="M711" s="331">
        <f>P711</f>
      </c>
      <c r="N711" s="335">
        <f>+IF(O711&lt;N710,O711,N710)</f>
      </c>
      <c r="O711" s="335">
        <f>+(O710-N710)*(1+$E$13)</f>
      </c>
      <c r="P711" s="332">
        <v>706</v>
      </c>
      <c r="Q711" s="1"/>
      <c r="R711" s="331">
        <f>U711</f>
      </c>
      <c r="S711" s="335">
        <f>+IF(T711&lt;S710,T711,S710)</f>
      </c>
      <c r="T711" s="335">
        <f>+(T710-S710)*(1+$E$14)</f>
      </c>
      <c r="U711" s="332">
        <v>706</v>
      </c>
      <c r="V711" s="1"/>
      <c r="W711" s="331">
        <f>Z711</f>
      </c>
      <c r="X711" s="336">
        <f>+IF(Y711&lt;X710,Y711,X710)</f>
      </c>
      <c r="Y711" s="337">
        <f>+(Y710-X710)*(1+$E$15)</f>
      </c>
      <c r="Z711" s="332">
        <v>706</v>
      </c>
      <c r="AA711" s="1"/>
      <c r="AB711" s="331">
        <f>AE711</f>
      </c>
      <c r="AC711" s="336">
        <f>+IF(AD711&lt;AC710,AD711,AC710)</f>
      </c>
      <c r="AD711" s="337">
        <f>+(AD710-AC710)*(1+$E$16)</f>
      </c>
      <c r="AE711" s="332">
        <v>706</v>
      </c>
    </row>
    <row x14ac:dyDescent="0.25" r="712" customHeight="1" ht="18.75">
      <c r="A712" s="1"/>
      <c r="B712" s="1"/>
      <c r="C712" s="169"/>
      <c r="D712" s="169"/>
      <c r="E712" s="168"/>
      <c r="F712" s="169"/>
      <c r="G712" s="170"/>
      <c r="H712" s="1"/>
      <c r="I712" s="1"/>
      <c r="J712" s="1"/>
      <c r="K712" s="1"/>
      <c r="L712" s="1"/>
      <c r="M712" s="331">
        <f>P712</f>
      </c>
      <c r="N712" s="335">
        <f>+IF(O712&lt;N711,O712,N711)</f>
      </c>
      <c r="O712" s="335">
        <f>+(O711-N711)*(1+$E$13)</f>
      </c>
      <c r="P712" s="332">
        <v>707</v>
      </c>
      <c r="Q712" s="1"/>
      <c r="R712" s="331">
        <f>U712</f>
      </c>
      <c r="S712" s="335">
        <f>+IF(T712&lt;S711,T712,S711)</f>
      </c>
      <c r="T712" s="335">
        <f>+(T711-S711)*(1+$E$14)</f>
      </c>
      <c r="U712" s="332">
        <v>707</v>
      </c>
      <c r="V712" s="1"/>
      <c r="W712" s="331">
        <f>Z712</f>
      </c>
      <c r="X712" s="336">
        <f>+IF(Y712&lt;X711,Y712,X711)</f>
      </c>
      <c r="Y712" s="337">
        <f>+(Y711-X711)*(1+$E$15)</f>
      </c>
      <c r="Z712" s="332">
        <v>707</v>
      </c>
      <c r="AA712" s="1"/>
      <c r="AB712" s="331">
        <f>AE712</f>
      </c>
      <c r="AC712" s="336">
        <f>+IF(AD712&lt;AC711,AD712,AC711)</f>
      </c>
      <c r="AD712" s="337">
        <f>+(AD711-AC711)*(1+$E$16)</f>
      </c>
      <c r="AE712" s="332">
        <v>707</v>
      </c>
    </row>
    <row x14ac:dyDescent="0.25" r="713" customHeight="1" ht="18.75">
      <c r="A713" s="1"/>
      <c r="B713" s="1"/>
      <c r="C713" s="169"/>
      <c r="D713" s="169"/>
      <c r="E713" s="168"/>
      <c r="F713" s="169"/>
      <c r="G713" s="170"/>
      <c r="H713" s="1"/>
      <c r="I713" s="1"/>
      <c r="J713" s="1"/>
      <c r="K713" s="1"/>
      <c r="L713" s="1"/>
      <c r="M713" s="331">
        <f>P713</f>
      </c>
      <c r="N713" s="335">
        <f>+IF(O713&lt;N712,O713,N712)</f>
      </c>
      <c r="O713" s="335">
        <f>+(O712-N712)*(1+$E$13)</f>
      </c>
      <c r="P713" s="332">
        <v>708</v>
      </c>
      <c r="Q713" s="1"/>
      <c r="R713" s="331">
        <f>U713</f>
      </c>
      <c r="S713" s="335">
        <f>+IF(T713&lt;S712,T713,S712)</f>
      </c>
      <c r="T713" s="335">
        <f>+(T712-S712)*(1+$E$14)</f>
      </c>
      <c r="U713" s="332">
        <v>708</v>
      </c>
      <c r="V713" s="1"/>
      <c r="W713" s="331">
        <f>Z713</f>
      </c>
      <c r="X713" s="336">
        <f>+IF(Y713&lt;X712,Y713,X712)</f>
      </c>
      <c r="Y713" s="337">
        <f>+(Y712-X712)*(1+$E$15)</f>
      </c>
      <c r="Z713" s="332">
        <v>708</v>
      </c>
      <c r="AA713" s="1"/>
      <c r="AB713" s="331">
        <f>AE713</f>
      </c>
      <c r="AC713" s="336">
        <f>+IF(AD713&lt;AC712,AD713,AC712)</f>
      </c>
      <c r="AD713" s="337">
        <f>+(AD712-AC712)*(1+$E$16)</f>
      </c>
      <c r="AE713" s="332">
        <v>708</v>
      </c>
    </row>
    <row x14ac:dyDescent="0.25" r="714" customHeight="1" ht="18.75">
      <c r="A714" s="1"/>
      <c r="B714" s="1"/>
      <c r="C714" s="169"/>
      <c r="D714" s="169"/>
      <c r="E714" s="168"/>
      <c r="F714" s="169"/>
      <c r="G714" s="170"/>
      <c r="H714" s="1"/>
      <c r="I714" s="1"/>
      <c r="J714" s="1"/>
      <c r="K714" s="1"/>
      <c r="L714" s="1"/>
      <c r="M714" s="331">
        <f>P714</f>
      </c>
      <c r="N714" s="335">
        <f>+IF(O714&lt;N713,O714,N713)</f>
      </c>
      <c r="O714" s="335">
        <f>+(O713-N713)*(1+$E$13)</f>
      </c>
      <c r="P714" s="332">
        <v>709</v>
      </c>
      <c r="Q714" s="1"/>
      <c r="R714" s="331">
        <f>U714</f>
      </c>
      <c r="S714" s="335">
        <f>+IF(T714&lt;S713,T714,S713)</f>
      </c>
      <c r="T714" s="335">
        <f>+(T713-S713)*(1+$E$14)</f>
      </c>
      <c r="U714" s="332">
        <v>709</v>
      </c>
      <c r="V714" s="1"/>
      <c r="W714" s="331">
        <f>Z714</f>
      </c>
      <c r="X714" s="336">
        <f>+IF(Y714&lt;X713,Y714,X713)</f>
      </c>
      <c r="Y714" s="337">
        <f>+(Y713-X713)*(1+$E$15)</f>
      </c>
      <c r="Z714" s="332">
        <v>709</v>
      </c>
      <c r="AA714" s="1"/>
      <c r="AB714" s="331">
        <f>AE714</f>
      </c>
      <c r="AC714" s="336">
        <f>+IF(AD714&lt;AC713,AD714,AC713)</f>
      </c>
      <c r="AD714" s="337">
        <f>+(AD713-AC713)*(1+$E$16)</f>
      </c>
      <c r="AE714" s="332">
        <v>709</v>
      </c>
    </row>
    <row x14ac:dyDescent="0.25" r="715" customHeight="1" ht="18.75">
      <c r="A715" s="1"/>
      <c r="B715" s="1"/>
      <c r="C715" s="169"/>
      <c r="D715" s="169"/>
      <c r="E715" s="168"/>
      <c r="F715" s="169"/>
      <c r="G715" s="170"/>
      <c r="H715" s="1"/>
      <c r="I715" s="1"/>
      <c r="J715" s="1"/>
      <c r="K715" s="1"/>
      <c r="L715" s="1"/>
      <c r="M715" s="331">
        <f>P715</f>
      </c>
      <c r="N715" s="335">
        <f>+IF(O715&lt;N714,O715,N714)</f>
      </c>
      <c r="O715" s="335">
        <f>+(O714-N714)*(1+$E$13)</f>
      </c>
      <c r="P715" s="332">
        <v>710</v>
      </c>
      <c r="Q715" s="1"/>
      <c r="R715" s="331">
        <f>U715</f>
      </c>
      <c r="S715" s="335">
        <f>+IF(T715&lt;S714,T715,S714)</f>
      </c>
      <c r="T715" s="335">
        <f>+(T714-S714)*(1+$E$14)</f>
      </c>
      <c r="U715" s="332">
        <v>710</v>
      </c>
      <c r="V715" s="1"/>
      <c r="W715" s="331">
        <f>Z715</f>
      </c>
      <c r="X715" s="336">
        <f>+IF(Y715&lt;X714,Y715,X714)</f>
      </c>
      <c r="Y715" s="337">
        <f>+(Y714-X714)*(1+$E$15)</f>
      </c>
      <c r="Z715" s="332">
        <v>710</v>
      </c>
      <c r="AA715" s="1"/>
      <c r="AB715" s="331">
        <f>AE715</f>
      </c>
      <c r="AC715" s="336">
        <f>+IF(AD715&lt;AC714,AD715,AC714)</f>
      </c>
      <c r="AD715" s="337">
        <f>+(AD714-AC714)*(1+$E$16)</f>
      </c>
      <c r="AE715" s="332">
        <v>710</v>
      </c>
    </row>
    <row x14ac:dyDescent="0.25" r="716" customHeight="1" ht="18.75">
      <c r="A716" s="1"/>
      <c r="B716" s="1"/>
      <c r="C716" s="169"/>
      <c r="D716" s="169"/>
      <c r="E716" s="168"/>
      <c r="F716" s="169"/>
      <c r="G716" s="170"/>
      <c r="H716" s="1"/>
      <c r="I716" s="1"/>
      <c r="J716" s="1"/>
      <c r="K716" s="1"/>
      <c r="L716" s="1"/>
      <c r="M716" s="331">
        <f>P716</f>
      </c>
      <c r="N716" s="335">
        <f>+IF(O716&lt;N715,O716,N715)</f>
      </c>
      <c r="O716" s="335">
        <f>+(O715-N715)*(1+$E$13)</f>
      </c>
      <c r="P716" s="332">
        <v>711</v>
      </c>
      <c r="Q716" s="1"/>
      <c r="R716" s="331">
        <f>U716</f>
      </c>
      <c r="S716" s="335">
        <f>+IF(T716&lt;S715,T716,S715)</f>
      </c>
      <c r="T716" s="335">
        <f>+(T715-S715)*(1+$E$14)</f>
      </c>
      <c r="U716" s="332">
        <v>711</v>
      </c>
      <c r="V716" s="1"/>
      <c r="W716" s="331">
        <f>Z716</f>
      </c>
      <c r="X716" s="336">
        <f>+IF(Y716&lt;X715,Y716,X715)</f>
      </c>
      <c r="Y716" s="337">
        <f>+(Y715-X715)*(1+$E$15)</f>
      </c>
      <c r="Z716" s="332">
        <v>711</v>
      </c>
      <c r="AA716" s="1"/>
      <c r="AB716" s="331">
        <f>AE716</f>
      </c>
      <c r="AC716" s="336">
        <f>+IF(AD716&lt;AC715,AD716,AC715)</f>
      </c>
      <c r="AD716" s="337">
        <f>+(AD715-AC715)*(1+$E$16)</f>
      </c>
      <c r="AE716" s="332">
        <v>711</v>
      </c>
    </row>
    <row x14ac:dyDescent="0.25" r="717" customHeight="1" ht="18.75">
      <c r="A717" s="1"/>
      <c r="B717" s="1"/>
      <c r="C717" s="169"/>
      <c r="D717" s="169"/>
      <c r="E717" s="168"/>
      <c r="F717" s="169"/>
      <c r="G717" s="170"/>
      <c r="H717" s="1"/>
      <c r="I717" s="1"/>
      <c r="J717" s="1"/>
      <c r="K717" s="1"/>
      <c r="L717" s="1"/>
      <c r="M717" s="331">
        <f>P717</f>
      </c>
      <c r="N717" s="335">
        <f>+IF(O717&lt;N716,O717,N716)</f>
      </c>
      <c r="O717" s="335">
        <f>+(O716-N716)*(1+$E$13)</f>
      </c>
      <c r="P717" s="332">
        <v>712</v>
      </c>
      <c r="Q717" s="1"/>
      <c r="R717" s="331">
        <f>U717</f>
      </c>
      <c r="S717" s="335">
        <f>+IF(T717&lt;S716,T717,S716)</f>
      </c>
      <c r="T717" s="335">
        <f>+(T716-S716)*(1+$E$14)</f>
      </c>
      <c r="U717" s="332">
        <v>712</v>
      </c>
      <c r="V717" s="1"/>
      <c r="W717" s="331">
        <f>Z717</f>
      </c>
      <c r="X717" s="336">
        <f>+IF(Y717&lt;X716,Y717,X716)</f>
      </c>
      <c r="Y717" s="337">
        <f>+(Y716-X716)*(1+$E$15)</f>
      </c>
      <c r="Z717" s="332">
        <v>712</v>
      </c>
      <c r="AA717" s="1"/>
      <c r="AB717" s="331">
        <f>AE717</f>
      </c>
      <c r="AC717" s="336">
        <f>+IF(AD717&lt;AC716,AD717,AC716)</f>
      </c>
      <c r="AD717" s="337">
        <f>+(AD716-AC716)*(1+$E$16)</f>
      </c>
      <c r="AE717" s="332">
        <v>712</v>
      </c>
    </row>
    <row x14ac:dyDescent="0.25" r="718" customHeight="1" ht="18.75">
      <c r="A718" s="1"/>
      <c r="B718" s="1"/>
      <c r="C718" s="169"/>
      <c r="D718" s="169"/>
      <c r="E718" s="168"/>
      <c r="F718" s="169"/>
      <c r="G718" s="170"/>
      <c r="H718" s="1"/>
      <c r="I718" s="1"/>
      <c r="J718" s="1"/>
      <c r="K718" s="1"/>
      <c r="L718" s="1"/>
      <c r="M718" s="331">
        <f>P718</f>
      </c>
      <c r="N718" s="335">
        <f>+IF(O718&lt;N717,O718,N717)</f>
      </c>
      <c r="O718" s="335">
        <f>+(O717-N717)*(1+$E$13)</f>
      </c>
      <c r="P718" s="332">
        <v>713</v>
      </c>
      <c r="Q718" s="1"/>
      <c r="R718" s="331">
        <f>U718</f>
      </c>
      <c r="S718" s="335">
        <f>+IF(T718&lt;S717,T718,S717)</f>
      </c>
      <c r="T718" s="335">
        <f>+(T717-S717)*(1+$E$14)</f>
      </c>
      <c r="U718" s="332">
        <v>713</v>
      </c>
      <c r="V718" s="1"/>
      <c r="W718" s="331">
        <f>Z718</f>
      </c>
      <c r="X718" s="336">
        <f>+IF(Y718&lt;X717,Y718,X717)</f>
      </c>
      <c r="Y718" s="337">
        <f>+(Y717-X717)*(1+$E$15)</f>
      </c>
      <c r="Z718" s="332">
        <v>713</v>
      </c>
      <c r="AA718" s="1"/>
      <c r="AB718" s="331">
        <f>AE718</f>
      </c>
      <c r="AC718" s="336">
        <f>+IF(AD718&lt;AC717,AD718,AC717)</f>
      </c>
      <c r="AD718" s="337">
        <f>+(AD717-AC717)*(1+$E$16)</f>
      </c>
      <c r="AE718" s="332">
        <v>713</v>
      </c>
    </row>
    <row x14ac:dyDescent="0.25" r="719" customHeight="1" ht="18.75">
      <c r="A719" s="1"/>
      <c r="B719" s="1"/>
      <c r="C719" s="169"/>
      <c r="D719" s="169"/>
      <c r="E719" s="168"/>
      <c r="F719" s="169"/>
      <c r="G719" s="170"/>
      <c r="H719" s="1"/>
      <c r="I719" s="1"/>
      <c r="J719" s="1"/>
      <c r="K719" s="1"/>
      <c r="L719" s="1"/>
      <c r="M719" s="331">
        <f>P719</f>
      </c>
      <c r="N719" s="335">
        <f>+IF(O719&lt;N718,O719,N718)</f>
      </c>
      <c r="O719" s="335">
        <f>+(O718-N718)*(1+$E$13)</f>
      </c>
      <c r="P719" s="332">
        <v>714</v>
      </c>
      <c r="Q719" s="1"/>
      <c r="R719" s="331">
        <f>U719</f>
      </c>
      <c r="S719" s="335">
        <f>+IF(T719&lt;S718,T719,S718)</f>
      </c>
      <c r="T719" s="335">
        <f>+(T718-S718)*(1+$E$14)</f>
      </c>
      <c r="U719" s="332">
        <v>714</v>
      </c>
      <c r="V719" s="1"/>
      <c r="W719" s="331">
        <f>Z719</f>
      </c>
      <c r="X719" s="336">
        <f>+IF(Y719&lt;X718,Y719,X718)</f>
      </c>
      <c r="Y719" s="337">
        <f>+(Y718-X718)*(1+$E$15)</f>
      </c>
      <c r="Z719" s="332">
        <v>714</v>
      </c>
      <c r="AA719" s="1"/>
      <c r="AB719" s="331">
        <f>AE719</f>
      </c>
      <c r="AC719" s="336">
        <f>+IF(AD719&lt;AC718,AD719,AC718)</f>
      </c>
      <c r="AD719" s="337">
        <f>+(AD718-AC718)*(1+$E$16)</f>
      </c>
      <c r="AE719" s="332">
        <v>714</v>
      </c>
    </row>
    <row x14ac:dyDescent="0.25" r="720" customHeight="1" ht="18.75">
      <c r="A720" s="1"/>
      <c r="B720" s="1"/>
      <c r="C720" s="169"/>
      <c r="D720" s="169"/>
      <c r="E720" s="168"/>
      <c r="F720" s="169"/>
      <c r="G720" s="170"/>
      <c r="H720" s="1"/>
      <c r="I720" s="1"/>
      <c r="J720" s="1"/>
      <c r="K720" s="1"/>
      <c r="L720" s="1"/>
      <c r="M720" s="331">
        <f>P720</f>
      </c>
      <c r="N720" s="335">
        <f>+IF(O720&lt;N719,O720,N719)</f>
      </c>
      <c r="O720" s="335">
        <f>+(O719-N719)*(1+$E$13)</f>
      </c>
      <c r="P720" s="332">
        <v>715</v>
      </c>
      <c r="Q720" s="1"/>
      <c r="R720" s="331">
        <f>U720</f>
      </c>
      <c r="S720" s="335">
        <f>+IF(T720&lt;S719,T720,S719)</f>
      </c>
      <c r="T720" s="335">
        <f>+(T719-S719)*(1+$E$14)</f>
      </c>
      <c r="U720" s="332">
        <v>715</v>
      </c>
      <c r="V720" s="1"/>
      <c r="W720" s="331">
        <f>Z720</f>
      </c>
      <c r="X720" s="336">
        <f>+IF(Y720&lt;X719,Y720,X719)</f>
      </c>
      <c r="Y720" s="337">
        <f>+(Y719-X719)*(1+$E$15)</f>
      </c>
      <c r="Z720" s="332">
        <v>715</v>
      </c>
      <c r="AA720" s="1"/>
      <c r="AB720" s="331">
        <f>AE720</f>
      </c>
      <c r="AC720" s="336">
        <f>+IF(AD720&lt;AC719,AD720,AC719)</f>
      </c>
      <c r="AD720" s="337">
        <f>+(AD719-AC719)*(1+$E$16)</f>
      </c>
      <c r="AE720" s="332">
        <v>715</v>
      </c>
    </row>
    <row x14ac:dyDescent="0.25" r="721" customHeight="1" ht="18.75">
      <c r="A721" s="1"/>
      <c r="B721" s="1"/>
      <c r="C721" s="169"/>
      <c r="D721" s="169"/>
      <c r="E721" s="168"/>
      <c r="F721" s="169"/>
      <c r="G721" s="170"/>
      <c r="H721" s="1"/>
      <c r="I721" s="1"/>
      <c r="J721" s="1"/>
      <c r="K721" s="1"/>
      <c r="L721" s="1"/>
      <c r="M721" s="331">
        <f>P721</f>
      </c>
      <c r="N721" s="335">
        <f>+IF(O721&lt;N720,O721,N720)</f>
      </c>
      <c r="O721" s="335">
        <f>+(O720-N720)*(1+$E$13)</f>
      </c>
      <c r="P721" s="332">
        <v>716</v>
      </c>
      <c r="Q721" s="1"/>
      <c r="R721" s="331">
        <f>U721</f>
      </c>
      <c r="S721" s="335">
        <f>+IF(T721&lt;S720,T721,S720)</f>
      </c>
      <c r="T721" s="335">
        <f>+(T720-S720)*(1+$E$14)</f>
      </c>
      <c r="U721" s="332">
        <v>716</v>
      </c>
      <c r="V721" s="1"/>
      <c r="W721" s="331">
        <f>Z721</f>
      </c>
      <c r="X721" s="336">
        <f>+IF(Y721&lt;X720,Y721,X720)</f>
      </c>
      <c r="Y721" s="337">
        <f>+(Y720-X720)*(1+$E$15)</f>
      </c>
      <c r="Z721" s="332">
        <v>716</v>
      </c>
      <c r="AA721" s="1"/>
      <c r="AB721" s="331">
        <f>AE721</f>
      </c>
      <c r="AC721" s="336">
        <f>+IF(AD721&lt;AC720,AD721,AC720)</f>
      </c>
      <c r="AD721" s="337">
        <f>+(AD720-AC720)*(1+$E$16)</f>
      </c>
      <c r="AE721" s="332">
        <v>716</v>
      </c>
    </row>
    <row x14ac:dyDescent="0.25" r="722" customHeight="1" ht="18.75">
      <c r="A722" s="1"/>
      <c r="B722" s="1"/>
      <c r="C722" s="169"/>
      <c r="D722" s="169"/>
      <c r="E722" s="168"/>
      <c r="F722" s="169"/>
      <c r="G722" s="170"/>
      <c r="H722" s="1"/>
      <c r="I722" s="1"/>
      <c r="J722" s="1"/>
      <c r="K722" s="1"/>
      <c r="L722" s="1"/>
      <c r="M722" s="331">
        <f>P722</f>
      </c>
      <c r="N722" s="335">
        <f>+IF(O722&lt;N721,O722,N721)</f>
      </c>
      <c r="O722" s="335">
        <f>+(O721-N721)*(1+$E$13)</f>
      </c>
      <c r="P722" s="332">
        <v>717</v>
      </c>
      <c r="Q722" s="1"/>
      <c r="R722" s="331">
        <f>U722</f>
      </c>
      <c r="S722" s="335">
        <f>+IF(T722&lt;S721,T722,S721)</f>
      </c>
      <c r="T722" s="335">
        <f>+(T721-S721)*(1+$E$14)</f>
      </c>
      <c r="U722" s="332">
        <v>717</v>
      </c>
      <c r="V722" s="1"/>
      <c r="W722" s="331">
        <f>Z722</f>
      </c>
      <c r="X722" s="336">
        <f>+IF(Y722&lt;X721,Y722,X721)</f>
      </c>
      <c r="Y722" s="337">
        <f>+(Y721-X721)*(1+$E$15)</f>
      </c>
      <c r="Z722" s="332">
        <v>717</v>
      </c>
      <c r="AA722" s="1"/>
      <c r="AB722" s="331">
        <f>AE722</f>
      </c>
      <c r="AC722" s="336">
        <f>+IF(AD722&lt;AC721,AD722,AC721)</f>
      </c>
      <c r="AD722" s="337">
        <f>+(AD721-AC721)*(1+$E$16)</f>
      </c>
      <c r="AE722" s="332">
        <v>717</v>
      </c>
    </row>
    <row x14ac:dyDescent="0.25" r="723" customHeight="1" ht="18.75">
      <c r="A723" s="1"/>
      <c r="B723" s="1"/>
      <c r="C723" s="169"/>
      <c r="D723" s="169"/>
      <c r="E723" s="168"/>
      <c r="F723" s="169"/>
      <c r="G723" s="170"/>
      <c r="H723" s="1"/>
      <c r="I723" s="1"/>
      <c r="J723" s="1"/>
      <c r="K723" s="1"/>
      <c r="L723" s="1"/>
      <c r="M723" s="331">
        <f>P723</f>
      </c>
      <c r="N723" s="335">
        <f>+IF(O723&lt;N722,O723,N722)</f>
      </c>
      <c r="O723" s="335">
        <f>+(O722-N722)*(1+$E$13)</f>
      </c>
      <c r="P723" s="332">
        <v>718</v>
      </c>
      <c r="Q723" s="1"/>
      <c r="R723" s="331">
        <f>U723</f>
      </c>
      <c r="S723" s="335">
        <f>+IF(T723&lt;S722,T723,S722)</f>
      </c>
      <c r="T723" s="335">
        <f>+(T722-S722)*(1+$E$14)</f>
      </c>
      <c r="U723" s="332">
        <v>718</v>
      </c>
      <c r="V723" s="1"/>
      <c r="W723" s="331">
        <f>Z723</f>
      </c>
      <c r="X723" s="336">
        <f>+IF(Y723&lt;X722,Y723,X722)</f>
      </c>
      <c r="Y723" s="337">
        <f>+(Y722-X722)*(1+$E$15)</f>
      </c>
      <c r="Z723" s="332">
        <v>718</v>
      </c>
      <c r="AA723" s="1"/>
      <c r="AB723" s="331">
        <f>AE723</f>
      </c>
      <c r="AC723" s="336">
        <f>+IF(AD723&lt;AC722,AD723,AC722)</f>
      </c>
      <c r="AD723" s="337">
        <f>+(AD722-AC722)*(1+$E$16)</f>
      </c>
      <c r="AE723" s="332">
        <v>718</v>
      </c>
    </row>
    <row x14ac:dyDescent="0.25" r="724" customHeight="1" ht="18.75">
      <c r="A724" s="1"/>
      <c r="B724" s="1"/>
      <c r="C724" s="169"/>
      <c r="D724" s="169"/>
      <c r="E724" s="168"/>
      <c r="F724" s="169"/>
      <c r="G724" s="170"/>
      <c r="H724" s="1"/>
      <c r="I724" s="1"/>
      <c r="J724" s="1"/>
      <c r="K724" s="1"/>
      <c r="L724" s="1"/>
      <c r="M724" s="331">
        <f>P724</f>
      </c>
      <c r="N724" s="335">
        <f>+IF(O724&lt;N723,O724,N723)</f>
      </c>
      <c r="O724" s="335">
        <f>+(O723-N723)*(1+$E$13)</f>
      </c>
      <c r="P724" s="332">
        <v>719</v>
      </c>
      <c r="Q724" s="1"/>
      <c r="R724" s="331">
        <f>U724</f>
      </c>
      <c r="S724" s="335">
        <f>+IF(T724&lt;S723,T724,S723)</f>
      </c>
      <c r="T724" s="335">
        <f>+(T723-S723)*(1+$E$14)</f>
      </c>
      <c r="U724" s="332">
        <v>719</v>
      </c>
      <c r="V724" s="1"/>
      <c r="W724" s="331">
        <f>Z724</f>
      </c>
      <c r="X724" s="336">
        <f>+IF(Y724&lt;X723,Y724,X723)</f>
      </c>
      <c r="Y724" s="337">
        <f>+(Y723-X723)*(1+$E$15)</f>
      </c>
      <c r="Z724" s="332">
        <v>719</v>
      </c>
      <c r="AA724" s="1"/>
      <c r="AB724" s="331">
        <f>AE724</f>
      </c>
      <c r="AC724" s="336">
        <f>+IF(AD724&lt;AC723,AD724,AC723)</f>
      </c>
      <c r="AD724" s="337">
        <f>+(AD723-AC723)*(1+$E$16)</f>
      </c>
      <c r="AE724" s="332">
        <v>719</v>
      </c>
    </row>
    <row x14ac:dyDescent="0.25" r="725" customHeight="1" ht="18.75">
      <c r="A725" s="1"/>
      <c r="B725" s="1"/>
      <c r="C725" s="169"/>
      <c r="D725" s="169"/>
      <c r="E725" s="168"/>
      <c r="F725" s="169"/>
      <c r="G725" s="170"/>
      <c r="H725" s="1"/>
      <c r="I725" s="1"/>
      <c r="J725" s="1"/>
      <c r="K725" s="1"/>
      <c r="L725" s="1"/>
      <c r="M725" s="331">
        <f>P725</f>
      </c>
      <c r="N725" s="335">
        <f>+IF(O725&lt;N724,O725,N724)</f>
      </c>
      <c r="O725" s="335">
        <f>+(O724-N724)*(1+$E$13)</f>
      </c>
      <c r="P725" s="332">
        <v>720</v>
      </c>
      <c r="Q725" s="1"/>
      <c r="R725" s="331">
        <f>U725</f>
      </c>
      <c r="S725" s="335">
        <f>+IF(T725&lt;S724,T725,S724)</f>
      </c>
      <c r="T725" s="335">
        <f>+(T724-S724)*(1+$E$14)</f>
      </c>
      <c r="U725" s="332">
        <v>720</v>
      </c>
      <c r="V725" s="1"/>
      <c r="W725" s="331">
        <f>Z725</f>
      </c>
      <c r="X725" s="336">
        <f>+IF(Y725&lt;X724,Y725,X724)</f>
      </c>
      <c r="Y725" s="337">
        <f>+(Y724-X724)*(1+$E$15)</f>
      </c>
      <c r="Z725" s="332">
        <v>720</v>
      </c>
      <c r="AA725" s="1"/>
      <c r="AB725" s="331">
        <f>AE725</f>
      </c>
      <c r="AC725" s="336">
        <f>+IF(AD725&lt;AC724,AD725,AC724)</f>
      </c>
      <c r="AD725" s="337">
        <f>+(AD724-AC724)*(1+$E$16)</f>
      </c>
      <c r="AE725" s="332">
        <v>720</v>
      </c>
    </row>
    <row x14ac:dyDescent="0.25" r="726" customHeight="1" ht="18.75">
      <c r="A726" s="1"/>
      <c r="B726" s="1"/>
      <c r="C726" s="169"/>
      <c r="D726" s="169"/>
      <c r="E726" s="168"/>
      <c r="F726" s="169"/>
      <c r="G726" s="170"/>
      <c r="H726" s="1"/>
      <c r="I726" s="1"/>
      <c r="J726" s="1"/>
      <c r="K726" s="1"/>
      <c r="L726" s="1"/>
      <c r="M726" s="331">
        <f>P726</f>
      </c>
      <c r="N726" s="335">
        <f>+IF(O726&lt;N725,O726,N725)</f>
      </c>
      <c r="O726" s="335">
        <f>+(O725-N725)*(1+$E$13)</f>
      </c>
      <c r="P726" s="332">
        <v>721</v>
      </c>
      <c r="Q726" s="1"/>
      <c r="R726" s="331">
        <f>U726</f>
      </c>
      <c r="S726" s="335">
        <f>+IF(T726&lt;S725,T726,S725)</f>
      </c>
      <c r="T726" s="335">
        <f>+(T725-S725)*(1+$E$14)</f>
      </c>
      <c r="U726" s="332">
        <v>721</v>
      </c>
      <c r="V726" s="1"/>
      <c r="W726" s="331">
        <f>Z726</f>
      </c>
      <c r="X726" s="336">
        <f>+IF(Y726&lt;X725,Y726,X725)</f>
      </c>
      <c r="Y726" s="337">
        <f>+(Y725-X725)*(1+$E$15)</f>
      </c>
      <c r="Z726" s="332">
        <v>721</v>
      </c>
      <c r="AA726" s="1"/>
      <c r="AB726" s="331">
        <f>AE726</f>
      </c>
      <c r="AC726" s="336">
        <f>+IF(AD726&lt;AC725,AD726,AC725)</f>
      </c>
      <c r="AD726" s="337">
        <f>+(AD725-AC725)*(1+$E$16)</f>
      </c>
      <c r="AE726" s="332">
        <v>721</v>
      </c>
    </row>
    <row x14ac:dyDescent="0.25" r="727" customHeight="1" ht="18.75">
      <c r="A727" s="1"/>
      <c r="B727" s="1"/>
      <c r="C727" s="169"/>
      <c r="D727" s="169"/>
      <c r="E727" s="168"/>
      <c r="F727" s="169"/>
      <c r="G727" s="170"/>
      <c r="H727" s="1"/>
      <c r="I727" s="1"/>
      <c r="J727" s="1"/>
      <c r="K727" s="1"/>
      <c r="L727" s="1"/>
      <c r="M727" s="331">
        <f>P727</f>
      </c>
      <c r="N727" s="335">
        <f>+IF(O727&lt;N726,O727,N726)</f>
      </c>
      <c r="O727" s="335">
        <f>+(O726-N726)*(1+$E$13)</f>
      </c>
      <c r="P727" s="332">
        <v>722</v>
      </c>
      <c r="Q727" s="1"/>
      <c r="R727" s="331">
        <f>U727</f>
      </c>
      <c r="S727" s="335">
        <f>+IF(T727&lt;S726,T727,S726)</f>
      </c>
      <c r="T727" s="335">
        <f>+(T726-S726)*(1+$E$14)</f>
      </c>
      <c r="U727" s="332">
        <v>722</v>
      </c>
      <c r="V727" s="1"/>
      <c r="W727" s="331">
        <f>Z727</f>
      </c>
      <c r="X727" s="336">
        <f>+IF(Y727&lt;X726,Y727,X726)</f>
      </c>
      <c r="Y727" s="337">
        <f>+(Y726-X726)*(1+$E$15)</f>
      </c>
      <c r="Z727" s="332">
        <v>722</v>
      </c>
      <c r="AA727" s="1"/>
      <c r="AB727" s="331">
        <f>AE727</f>
      </c>
      <c r="AC727" s="336">
        <f>+IF(AD727&lt;AC726,AD727,AC726)</f>
      </c>
      <c r="AD727" s="337">
        <f>+(AD726-AC726)*(1+$E$16)</f>
      </c>
      <c r="AE727" s="332">
        <v>722</v>
      </c>
    </row>
    <row x14ac:dyDescent="0.25" r="728" customHeight="1" ht="18.75">
      <c r="A728" s="1"/>
      <c r="B728" s="1"/>
      <c r="C728" s="169"/>
      <c r="D728" s="169"/>
      <c r="E728" s="168"/>
      <c r="F728" s="169"/>
      <c r="G728" s="170"/>
      <c r="H728" s="1"/>
      <c r="I728" s="1"/>
      <c r="J728" s="1"/>
      <c r="K728" s="1"/>
      <c r="L728" s="1"/>
      <c r="M728" s="331">
        <f>P728</f>
      </c>
      <c r="N728" s="335">
        <f>+IF(O728&lt;N727,O728,N727)</f>
      </c>
      <c r="O728" s="335">
        <f>+(O727-N727)*(1+$E$13)</f>
      </c>
      <c r="P728" s="332">
        <v>723</v>
      </c>
      <c r="Q728" s="1"/>
      <c r="R728" s="331">
        <f>U728</f>
      </c>
      <c r="S728" s="335">
        <f>+IF(T728&lt;S727,T728,S727)</f>
      </c>
      <c r="T728" s="335">
        <f>+(T727-S727)*(1+$E$14)</f>
      </c>
      <c r="U728" s="332">
        <v>723</v>
      </c>
      <c r="V728" s="1"/>
      <c r="W728" s="331">
        <f>Z728</f>
      </c>
      <c r="X728" s="336">
        <f>+IF(Y728&lt;X727,Y728,X727)</f>
      </c>
      <c r="Y728" s="337">
        <f>+(Y727-X727)*(1+$E$15)</f>
      </c>
      <c r="Z728" s="332">
        <v>723</v>
      </c>
      <c r="AA728" s="1"/>
      <c r="AB728" s="331">
        <f>AE728</f>
      </c>
      <c r="AC728" s="336">
        <f>+IF(AD728&lt;AC727,AD728,AC727)</f>
      </c>
      <c r="AD728" s="337">
        <f>+(AD727-AC727)*(1+$E$16)</f>
      </c>
      <c r="AE728" s="332">
        <v>723</v>
      </c>
    </row>
    <row x14ac:dyDescent="0.25" r="729" customHeight="1" ht="18.75">
      <c r="A729" s="1"/>
      <c r="B729" s="1"/>
      <c r="C729" s="169"/>
      <c r="D729" s="169"/>
      <c r="E729" s="168"/>
      <c r="F729" s="169"/>
      <c r="G729" s="170"/>
      <c r="H729" s="1"/>
      <c r="I729" s="1"/>
      <c r="J729" s="1"/>
      <c r="K729" s="1"/>
      <c r="L729" s="1"/>
      <c r="M729" s="331">
        <f>P729</f>
      </c>
      <c r="N729" s="335">
        <f>+IF(O729&lt;N728,O729,N728)</f>
      </c>
      <c r="O729" s="335">
        <f>+(O728-N728)*(1+$E$13)</f>
      </c>
      <c r="P729" s="332">
        <v>724</v>
      </c>
      <c r="Q729" s="1"/>
      <c r="R729" s="331">
        <f>U729</f>
      </c>
      <c r="S729" s="335">
        <f>+IF(T729&lt;S728,T729,S728)</f>
      </c>
      <c r="T729" s="335">
        <f>+(T728-S728)*(1+$E$14)</f>
      </c>
      <c r="U729" s="332">
        <v>724</v>
      </c>
      <c r="V729" s="1"/>
      <c r="W729" s="331">
        <f>Z729</f>
      </c>
      <c r="X729" s="336">
        <f>+IF(Y729&lt;X728,Y729,X728)</f>
      </c>
      <c r="Y729" s="337">
        <f>+(Y728-X728)*(1+$E$15)</f>
      </c>
      <c r="Z729" s="332">
        <v>724</v>
      </c>
      <c r="AA729" s="1"/>
      <c r="AB729" s="331">
        <f>AE729</f>
      </c>
      <c r="AC729" s="336">
        <f>+IF(AD729&lt;AC728,AD729,AC728)</f>
      </c>
      <c r="AD729" s="337">
        <f>+(AD728-AC728)*(1+$E$16)</f>
      </c>
      <c r="AE729" s="332">
        <v>724</v>
      </c>
    </row>
    <row x14ac:dyDescent="0.25" r="730" customHeight="1" ht="18.75">
      <c r="A730" s="1"/>
      <c r="B730" s="1"/>
      <c r="C730" s="169"/>
      <c r="D730" s="169"/>
      <c r="E730" s="168"/>
      <c r="F730" s="169"/>
      <c r="G730" s="170"/>
      <c r="H730" s="1"/>
      <c r="I730" s="1"/>
      <c r="J730" s="1"/>
      <c r="K730" s="1"/>
      <c r="L730" s="1"/>
      <c r="M730" s="331">
        <f>P730</f>
      </c>
      <c r="N730" s="335">
        <f>+IF(O730&lt;N729,O730,N729)</f>
      </c>
      <c r="O730" s="335">
        <f>+(O729-N729)*(1+$E$13)</f>
      </c>
      <c r="P730" s="332">
        <v>725</v>
      </c>
      <c r="Q730" s="1"/>
      <c r="R730" s="331">
        <f>U730</f>
      </c>
      <c r="S730" s="335">
        <f>+IF(T730&lt;S729,T730,S729)</f>
      </c>
      <c r="T730" s="335">
        <f>+(T729-S729)*(1+$E$14)</f>
      </c>
      <c r="U730" s="332">
        <v>725</v>
      </c>
      <c r="V730" s="1"/>
      <c r="W730" s="331">
        <f>Z730</f>
      </c>
      <c r="X730" s="336">
        <f>+IF(Y730&lt;X729,Y730,X729)</f>
      </c>
      <c r="Y730" s="337">
        <f>+(Y729-X729)*(1+$E$15)</f>
      </c>
      <c r="Z730" s="332">
        <v>725</v>
      </c>
      <c r="AA730" s="1"/>
      <c r="AB730" s="331">
        <f>AE730</f>
      </c>
      <c r="AC730" s="336">
        <f>+IF(AD730&lt;AC729,AD730,AC729)</f>
      </c>
      <c r="AD730" s="337">
        <f>+(AD729-AC729)*(1+$E$16)</f>
      </c>
      <c r="AE730" s="332">
        <v>725</v>
      </c>
    </row>
    <row x14ac:dyDescent="0.25" r="731" customHeight="1" ht="18.75">
      <c r="A731" s="1"/>
      <c r="B731" s="1"/>
      <c r="C731" s="169"/>
      <c r="D731" s="169"/>
      <c r="E731" s="168"/>
      <c r="F731" s="169"/>
      <c r="G731" s="170"/>
      <c r="H731" s="1"/>
      <c r="I731" s="1"/>
      <c r="J731" s="1"/>
      <c r="K731" s="1"/>
      <c r="L731" s="1"/>
      <c r="M731" s="331">
        <f>P731</f>
      </c>
      <c r="N731" s="335">
        <f>+IF(O731&lt;N730,O731,N730)</f>
      </c>
      <c r="O731" s="335">
        <f>+(O730-N730)*(1+$E$13)</f>
      </c>
      <c r="P731" s="332">
        <v>726</v>
      </c>
      <c r="Q731" s="1"/>
      <c r="R731" s="331">
        <f>U731</f>
      </c>
      <c r="S731" s="335">
        <f>+IF(T731&lt;S730,T731,S730)</f>
      </c>
      <c r="T731" s="335">
        <f>+(T730-S730)*(1+$E$14)</f>
      </c>
      <c r="U731" s="332">
        <v>726</v>
      </c>
      <c r="V731" s="1"/>
      <c r="W731" s="331">
        <f>Z731</f>
      </c>
      <c r="X731" s="336">
        <f>+IF(Y731&lt;X730,Y731,X730)</f>
      </c>
      <c r="Y731" s="337">
        <f>+(Y730-X730)*(1+$E$15)</f>
      </c>
      <c r="Z731" s="332">
        <v>726</v>
      </c>
      <c r="AA731" s="1"/>
      <c r="AB731" s="331">
        <f>AE731</f>
      </c>
      <c r="AC731" s="336">
        <f>+IF(AD731&lt;AC730,AD731,AC730)</f>
      </c>
      <c r="AD731" s="337">
        <f>+(AD730-AC730)*(1+$E$16)</f>
      </c>
      <c r="AE731" s="332">
        <v>726</v>
      </c>
    </row>
    <row x14ac:dyDescent="0.25" r="732" customHeight="1" ht="18.75">
      <c r="A732" s="1"/>
      <c r="B732" s="1"/>
      <c r="C732" s="169"/>
      <c r="D732" s="169"/>
      <c r="E732" s="168"/>
      <c r="F732" s="169"/>
      <c r="G732" s="170"/>
      <c r="H732" s="1"/>
      <c r="I732" s="1"/>
      <c r="J732" s="1"/>
      <c r="K732" s="1"/>
      <c r="L732" s="1"/>
      <c r="M732" s="331">
        <f>P732</f>
      </c>
      <c r="N732" s="335">
        <f>+IF(O732&lt;N731,O732,N731)</f>
      </c>
      <c r="O732" s="335">
        <f>+(O731-N731)*(1+$E$13)</f>
      </c>
      <c r="P732" s="332">
        <v>727</v>
      </c>
      <c r="Q732" s="1"/>
      <c r="R732" s="331">
        <f>U732</f>
      </c>
      <c r="S732" s="335">
        <f>+IF(T732&lt;S731,T732,S731)</f>
      </c>
      <c r="T732" s="335">
        <f>+(T731-S731)*(1+$E$14)</f>
      </c>
      <c r="U732" s="332">
        <v>727</v>
      </c>
      <c r="V732" s="1"/>
      <c r="W732" s="331">
        <f>Z732</f>
      </c>
      <c r="X732" s="336">
        <f>+IF(Y732&lt;X731,Y732,X731)</f>
      </c>
      <c r="Y732" s="337">
        <f>+(Y731-X731)*(1+$E$15)</f>
      </c>
      <c r="Z732" s="332">
        <v>727</v>
      </c>
      <c r="AA732" s="1"/>
      <c r="AB732" s="331">
        <f>AE732</f>
      </c>
      <c r="AC732" s="336">
        <f>+IF(AD732&lt;AC731,AD732,AC731)</f>
      </c>
      <c r="AD732" s="337">
        <f>+(AD731-AC731)*(1+$E$16)</f>
      </c>
      <c r="AE732" s="332">
        <v>727</v>
      </c>
    </row>
    <row x14ac:dyDescent="0.25" r="733" customHeight="1" ht="18.75">
      <c r="A733" s="1"/>
      <c r="B733" s="1"/>
      <c r="C733" s="169"/>
      <c r="D733" s="169"/>
      <c r="E733" s="168"/>
      <c r="F733" s="169"/>
      <c r="G733" s="170"/>
      <c r="H733" s="1"/>
      <c r="I733" s="1"/>
      <c r="J733" s="1"/>
      <c r="K733" s="1"/>
      <c r="L733" s="1"/>
      <c r="M733" s="331">
        <f>P733</f>
      </c>
      <c r="N733" s="335">
        <f>+IF(O733&lt;N732,O733,N732)</f>
      </c>
      <c r="O733" s="335">
        <f>+(O732-N732)*(1+$E$13)</f>
      </c>
      <c r="P733" s="332">
        <v>728</v>
      </c>
      <c r="Q733" s="1"/>
      <c r="R733" s="331">
        <f>U733</f>
      </c>
      <c r="S733" s="335">
        <f>+IF(T733&lt;S732,T733,S732)</f>
      </c>
      <c r="T733" s="335">
        <f>+(T732-S732)*(1+$E$14)</f>
      </c>
      <c r="U733" s="332">
        <v>728</v>
      </c>
      <c r="V733" s="1"/>
      <c r="W733" s="331">
        <f>Z733</f>
      </c>
      <c r="X733" s="336">
        <f>+IF(Y733&lt;X732,Y733,X732)</f>
      </c>
      <c r="Y733" s="337">
        <f>+(Y732-X732)*(1+$E$15)</f>
      </c>
      <c r="Z733" s="332">
        <v>728</v>
      </c>
      <c r="AA733" s="1"/>
      <c r="AB733" s="331">
        <f>AE733</f>
      </c>
      <c r="AC733" s="336">
        <f>+IF(AD733&lt;AC732,AD733,AC732)</f>
      </c>
      <c r="AD733" s="337">
        <f>+(AD732-AC732)*(1+$E$16)</f>
      </c>
      <c r="AE733" s="332">
        <v>728</v>
      </c>
    </row>
    <row x14ac:dyDescent="0.25" r="734" customHeight="1" ht="18.75">
      <c r="A734" s="1"/>
      <c r="B734" s="1"/>
      <c r="C734" s="169"/>
      <c r="D734" s="169"/>
      <c r="E734" s="168"/>
      <c r="F734" s="169"/>
      <c r="G734" s="170"/>
      <c r="H734" s="1"/>
      <c r="I734" s="1"/>
      <c r="J734" s="1"/>
      <c r="K734" s="1"/>
      <c r="L734" s="1"/>
      <c r="M734" s="331">
        <f>P734</f>
      </c>
      <c r="N734" s="335">
        <f>+IF(O734&lt;N733,O734,N733)</f>
      </c>
      <c r="O734" s="335">
        <f>+(O733-N733)*(1+$E$13)</f>
      </c>
      <c r="P734" s="332">
        <v>729</v>
      </c>
      <c r="Q734" s="1"/>
      <c r="R734" s="331">
        <f>U734</f>
      </c>
      <c r="S734" s="335">
        <f>+IF(T734&lt;S733,T734,S733)</f>
      </c>
      <c r="T734" s="335">
        <f>+(T733-S733)*(1+$E$14)</f>
      </c>
      <c r="U734" s="332">
        <v>729</v>
      </c>
      <c r="V734" s="1"/>
      <c r="W734" s="331">
        <f>Z734</f>
      </c>
      <c r="X734" s="336">
        <f>+IF(Y734&lt;X733,Y734,X733)</f>
      </c>
      <c r="Y734" s="337">
        <f>+(Y733-X733)*(1+$E$15)</f>
      </c>
      <c r="Z734" s="332">
        <v>729</v>
      </c>
      <c r="AA734" s="1"/>
      <c r="AB734" s="331">
        <f>AE734</f>
      </c>
      <c r="AC734" s="336">
        <f>+IF(AD734&lt;AC733,AD734,AC733)</f>
      </c>
      <c r="AD734" s="337">
        <f>+(AD733-AC733)*(1+$E$16)</f>
      </c>
      <c r="AE734" s="332">
        <v>729</v>
      </c>
    </row>
    <row x14ac:dyDescent="0.25" r="735" customHeight="1" ht="18.75">
      <c r="A735" s="1"/>
      <c r="B735" s="1"/>
      <c r="C735" s="169"/>
      <c r="D735" s="169"/>
      <c r="E735" s="168"/>
      <c r="F735" s="169"/>
      <c r="G735" s="170"/>
      <c r="H735" s="1"/>
      <c r="I735" s="1"/>
      <c r="J735" s="1"/>
      <c r="K735" s="1"/>
      <c r="L735" s="1"/>
      <c r="M735" s="331">
        <f>P735</f>
      </c>
      <c r="N735" s="335">
        <f>+IF(O735&lt;N734,O735,N734)</f>
      </c>
      <c r="O735" s="335">
        <f>+(O734-N734)*(1+$E$13)</f>
      </c>
      <c r="P735" s="332">
        <v>730</v>
      </c>
      <c r="Q735" s="1"/>
      <c r="R735" s="331">
        <f>U735</f>
      </c>
      <c r="S735" s="335">
        <f>+IF(T735&lt;S734,T735,S734)</f>
      </c>
      <c r="T735" s="335">
        <f>+(T734-S734)*(1+$E$14)</f>
      </c>
      <c r="U735" s="332">
        <v>730</v>
      </c>
      <c r="V735" s="1"/>
      <c r="W735" s="331">
        <f>Z735</f>
      </c>
      <c r="X735" s="336">
        <f>+IF(Y735&lt;X734,Y735,X734)</f>
      </c>
      <c r="Y735" s="337">
        <f>+(Y734-X734)*(1+$E$15)</f>
      </c>
      <c r="Z735" s="332">
        <v>730</v>
      </c>
      <c r="AA735" s="1"/>
      <c r="AB735" s="331">
        <f>AE735</f>
      </c>
      <c r="AC735" s="336">
        <f>+IF(AD735&lt;AC734,AD735,AC734)</f>
      </c>
      <c r="AD735" s="337">
        <f>+(AD734-AC734)*(1+$E$16)</f>
      </c>
      <c r="AE735" s="332">
        <v>730</v>
      </c>
    </row>
    <row x14ac:dyDescent="0.25" r="736" customHeight="1" ht="18.75">
      <c r="A736" s="1"/>
      <c r="B736" s="1"/>
      <c r="C736" s="169"/>
      <c r="D736" s="169"/>
      <c r="E736" s="168"/>
      <c r="F736" s="169"/>
      <c r="G736" s="170"/>
      <c r="H736" s="1"/>
      <c r="I736" s="1"/>
      <c r="J736" s="1"/>
      <c r="K736" s="1"/>
      <c r="L736" s="1"/>
      <c r="M736" s="331">
        <f>P736</f>
      </c>
      <c r="N736" s="335">
        <f>+IF(O736&lt;N735,O736,N735)</f>
      </c>
      <c r="O736" s="335">
        <f>+(O735-N735)*(1+$E$13)</f>
      </c>
      <c r="P736" s="332">
        <v>731</v>
      </c>
      <c r="Q736" s="1"/>
      <c r="R736" s="331">
        <f>U736</f>
      </c>
      <c r="S736" s="335">
        <f>+IF(T736&lt;S735,T736,S735)</f>
      </c>
      <c r="T736" s="335">
        <f>+(T735-S735)*(1+$E$14)</f>
      </c>
      <c r="U736" s="332">
        <v>731</v>
      </c>
      <c r="V736" s="1"/>
      <c r="W736" s="331">
        <f>Z736</f>
      </c>
      <c r="X736" s="336">
        <f>+IF(Y736&lt;X735,Y736,X735)</f>
      </c>
      <c r="Y736" s="337">
        <f>+(Y735-X735)*(1+$E$15)</f>
      </c>
      <c r="Z736" s="332">
        <v>731</v>
      </c>
      <c r="AA736" s="1"/>
      <c r="AB736" s="331">
        <f>AE736</f>
      </c>
      <c r="AC736" s="336">
        <f>+IF(AD736&lt;AC735,AD736,AC735)</f>
      </c>
      <c r="AD736" s="337">
        <f>+(AD735-AC735)*(1+$E$16)</f>
      </c>
      <c r="AE736" s="332">
        <v>731</v>
      </c>
    </row>
    <row x14ac:dyDescent="0.25" r="737" customHeight="1" ht="18.75">
      <c r="A737" s="1"/>
      <c r="B737" s="1"/>
      <c r="C737" s="169"/>
      <c r="D737" s="169"/>
      <c r="E737" s="168"/>
      <c r="F737" s="169"/>
      <c r="G737" s="170"/>
      <c r="H737" s="1"/>
      <c r="I737" s="1"/>
      <c r="J737" s="1"/>
      <c r="K737" s="1"/>
      <c r="L737" s="1"/>
      <c r="M737" s="331">
        <f>P737</f>
      </c>
      <c r="N737" s="335">
        <f>+IF(O737&lt;N736,O737,N736)</f>
      </c>
      <c r="O737" s="335">
        <f>+(O736-N736)*(1+$E$13)</f>
      </c>
      <c r="P737" s="332">
        <v>732</v>
      </c>
      <c r="Q737" s="1"/>
      <c r="R737" s="331">
        <f>U737</f>
      </c>
      <c r="S737" s="335">
        <f>+IF(T737&lt;S736,T737,S736)</f>
      </c>
      <c r="T737" s="335">
        <f>+(T736-S736)*(1+$E$14)</f>
      </c>
      <c r="U737" s="332">
        <v>732</v>
      </c>
      <c r="V737" s="1"/>
      <c r="W737" s="331">
        <f>Z737</f>
      </c>
      <c r="X737" s="336">
        <f>+IF(Y737&lt;X736,Y737,X736)</f>
      </c>
      <c r="Y737" s="337">
        <f>+(Y736-X736)*(1+$E$15)</f>
      </c>
      <c r="Z737" s="332">
        <v>732</v>
      </c>
      <c r="AA737" s="1"/>
      <c r="AB737" s="331">
        <f>AE737</f>
      </c>
      <c r="AC737" s="336">
        <f>+IF(AD737&lt;AC736,AD737,AC736)</f>
      </c>
      <c r="AD737" s="337">
        <f>+(AD736-AC736)*(1+$E$16)</f>
      </c>
      <c r="AE737" s="332">
        <v>732</v>
      </c>
    </row>
    <row x14ac:dyDescent="0.25" r="738" customHeight="1" ht="18.75">
      <c r="A738" s="1"/>
      <c r="B738" s="1"/>
      <c r="C738" s="169"/>
      <c r="D738" s="169"/>
      <c r="E738" s="168"/>
      <c r="F738" s="169"/>
      <c r="G738" s="170"/>
      <c r="H738" s="1"/>
      <c r="I738" s="1"/>
      <c r="J738" s="1"/>
      <c r="K738" s="1"/>
      <c r="L738" s="1"/>
      <c r="M738" s="331">
        <f>P738</f>
      </c>
      <c r="N738" s="335">
        <f>+IF(O738&lt;N737,O738,N737)</f>
      </c>
      <c r="O738" s="335">
        <f>+(O737-N737)*(1+$E$13)</f>
      </c>
      <c r="P738" s="332">
        <v>733</v>
      </c>
      <c r="Q738" s="1"/>
      <c r="R738" s="331">
        <f>U738</f>
      </c>
      <c r="S738" s="335">
        <f>+IF(T738&lt;S737,T738,S737)</f>
      </c>
      <c r="T738" s="335">
        <f>+(T737-S737)*(1+$E$14)</f>
      </c>
      <c r="U738" s="332">
        <v>733</v>
      </c>
      <c r="V738" s="1"/>
      <c r="W738" s="331">
        <f>Z738</f>
      </c>
      <c r="X738" s="336">
        <f>+IF(Y738&lt;X737,Y738,X737)</f>
      </c>
      <c r="Y738" s="337">
        <f>+(Y737-X737)*(1+$E$15)</f>
      </c>
      <c r="Z738" s="332">
        <v>733</v>
      </c>
      <c r="AA738" s="1"/>
      <c r="AB738" s="331">
        <f>AE738</f>
      </c>
      <c r="AC738" s="336">
        <f>+IF(AD738&lt;AC737,AD738,AC737)</f>
      </c>
      <c r="AD738" s="337">
        <f>+(AD737-AC737)*(1+$E$16)</f>
      </c>
      <c r="AE738" s="332">
        <v>733</v>
      </c>
    </row>
    <row x14ac:dyDescent="0.25" r="739" customHeight="1" ht="18.75">
      <c r="A739" s="1"/>
      <c r="B739" s="1"/>
      <c r="C739" s="169"/>
      <c r="D739" s="169"/>
      <c r="E739" s="168"/>
      <c r="F739" s="169"/>
      <c r="G739" s="170"/>
      <c r="H739" s="1"/>
      <c r="I739" s="1"/>
      <c r="J739" s="1"/>
      <c r="K739" s="1"/>
      <c r="L739" s="1"/>
      <c r="M739" s="331">
        <f>P739</f>
      </c>
      <c r="N739" s="335">
        <f>+IF(O739&lt;N738,O739,N738)</f>
      </c>
      <c r="O739" s="335">
        <f>+(O738-N738)*(1+$E$13)</f>
      </c>
      <c r="P739" s="332">
        <v>734</v>
      </c>
      <c r="Q739" s="1"/>
      <c r="R739" s="331">
        <f>U739</f>
      </c>
      <c r="S739" s="335">
        <f>+IF(T739&lt;S738,T739,S738)</f>
      </c>
      <c r="T739" s="335">
        <f>+(T738-S738)*(1+$E$14)</f>
      </c>
      <c r="U739" s="332">
        <v>734</v>
      </c>
      <c r="V739" s="1"/>
      <c r="W739" s="331">
        <f>Z739</f>
      </c>
      <c r="X739" s="336">
        <f>+IF(Y739&lt;X738,Y739,X738)</f>
      </c>
      <c r="Y739" s="337">
        <f>+(Y738-X738)*(1+$E$15)</f>
      </c>
      <c r="Z739" s="332">
        <v>734</v>
      </c>
      <c r="AA739" s="1"/>
      <c r="AB739" s="331">
        <f>AE739</f>
      </c>
      <c r="AC739" s="336">
        <f>+IF(AD739&lt;AC738,AD739,AC738)</f>
      </c>
      <c r="AD739" s="337">
        <f>+(AD738-AC738)*(1+$E$16)</f>
      </c>
      <c r="AE739" s="332">
        <v>734</v>
      </c>
    </row>
    <row x14ac:dyDescent="0.25" r="740" customHeight="1" ht="18.75">
      <c r="A740" s="1"/>
      <c r="B740" s="1"/>
      <c r="C740" s="169"/>
      <c r="D740" s="169"/>
      <c r="E740" s="168"/>
      <c r="F740" s="169"/>
      <c r="G740" s="170"/>
      <c r="H740" s="1"/>
      <c r="I740" s="1"/>
      <c r="J740" s="1"/>
      <c r="K740" s="1"/>
      <c r="L740" s="1"/>
      <c r="M740" s="331">
        <f>P740</f>
      </c>
      <c r="N740" s="335">
        <f>+IF(O740&lt;N739,O740,N739)</f>
      </c>
      <c r="O740" s="335">
        <f>+(O739-N739)*(1+$E$13)</f>
      </c>
      <c r="P740" s="332">
        <v>735</v>
      </c>
      <c r="Q740" s="1"/>
      <c r="R740" s="331">
        <f>U740</f>
      </c>
      <c r="S740" s="335">
        <f>+IF(T740&lt;S739,T740,S739)</f>
      </c>
      <c r="T740" s="335">
        <f>+(T739-S739)*(1+$E$14)</f>
      </c>
      <c r="U740" s="332">
        <v>735</v>
      </c>
      <c r="V740" s="1"/>
      <c r="W740" s="331">
        <f>Z740</f>
      </c>
      <c r="X740" s="336">
        <f>+IF(Y740&lt;X739,Y740,X739)</f>
      </c>
      <c r="Y740" s="337">
        <f>+(Y739-X739)*(1+$E$15)</f>
      </c>
      <c r="Z740" s="332">
        <v>735</v>
      </c>
      <c r="AA740" s="1"/>
      <c r="AB740" s="331">
        <f>AE740</f>
      </c>
      <c r="AC740" s="336">
        <f>+IF(AD740&lt;AC739,AD740,AC739)</f>
      </c>
      <c r="AD740" s="337">
        <f>+(AD739-AC739)*(1+$E$16)</f>
      </c>
      <c r="AE740" s="332">
        <v>735</v>
      </c>
    </row>
    <row x14ac:dyDescent="0.25" r="741" customHeight="1" ht="18.75">
      <c r="A741" s="1"/>
      <c r="B741" s="1"/>
      <c r="C741" s="169"/>
      <c r="D741" s="169"/>
      <c r="E741" s="168"/>
      <c r="F741" s="169"/>
      <c r="G741" s="170"/>
      <c r="H741" s="1"/>
      <c r="I741" s="1"/>
      <c r="J741" s="1"/>
      <c r="K741" s="1"/>
      <c r="L741" s="1"/>
      <c r="M741" s="331">
        <f>P741</f>
      </c>
      <c r="N741" s="335">
        <f>+IF(O741&lt;N740,O741,N740)</f>
      </c>
      <c r="O741" s="335">
        <f>+(O740-N740)*(1+$E$13)</f>
      </c>
      <c r="P741" s="332">
        <v>736</v>
      </c>
      <c r="Q741" s="1"/>
      <c r="R741" s="331">
        <f>U741</f>
      </c>
      <c r="S741" s="335">
        <f>+IF(T741&lt;S740,T741,S740)</f>
      </c>
      <c r="T741" s="335">
        <f>+(T740-S740)*(1+$E$14)</f>
      </c>
      <c r="U741" s="332">
        <v>736</v>
      </c>
      <c r="V741" s="1"/>
      <c r="W741" s="331">
        <f>Z741</f>
      </c>
      <c r="X741" s="336">
        <f>+IF(Y741&lt;X740,Y741,X740)</f>
      </c>
      <c r="Y741" s="337">
        <f>+(Y740-X740)*(1+$E$15)</f>
      </c>
      <c r="Z741" s="332">
        <v>736</v>
      </c>
      <c r="AA741" s="1"/>
      <c r="AB741" s="331">
        <f>AE741</f>
      </c>
      <c r="AC741" s="336">
        <f>+IF(AD741&lt;AC740,AD741,AC740)</f>
      </c>
      <c r="AD741" s="337">
        <f>+(AD740-AC740)*(1+$E$16)</f>
      </c>
      <c r="AE741" s="332">
        <v>736</v>
      </c>
    </row>
    <row x14ac:dyDescent="0.25" r="742" customHeight="1" ht="18.75">
      <c r="A742" s="1"/>
      <c r="B742" s="1"/>
      <c r="C742" s="169"/>
      <c r="D742" s="169"/>
      <c r="E742" s="168"/>
      <c r="F742" s="169"/>
      <c r="G742" s="170"/>
      <c r="H742" s="1"/>
      <c r="I742" s="1"/>
      <c r="J742" s="1"/>
      <c r="K742" s="1"/>
      <c r="L742" s="1"/>
      <c r="M742" s="331">
        <f>P742</f>
      </c>
      <c r="N742" s="335">
        <f>+IF(O742&lt;N741,O742,N741)</f>
      </c>
      <c r="O742" s="335">
        <f>+(O741-N741)*(1+$E$13)</f>
      </c>
      <c r="P742" s="332">
        <v>737</v>
      </c>
      <c r="Q742" s="1"/>
      <c r="R742" s="331">
        <f>U742</f>
      </c>
      <c r="S742" s="335">
        <f>+IF(T742&lt;S741,T742,S741)</f>
      </c>
      <c r="T742" s="335">
        <f>+(T741-S741)*(1+$E$14)</f>
      </c>
      <c r="U742" s="332">
        <v>737</v>
      </c>
      <c r="V742" s="1"/>
      <c r="W742" s="331">
        <f>Z742</f>
      </c>
      <c r="X742" s="336">
        <f>+IF(Y742&lt;X741,Y742,X741)</f>
      </c>
      <c r="Y742" s="337">
        <f>+(Y741-X741)*(1+$E$15)</f>
      </c>
      <c r="Z742" s="332">
        <v>737</v>
      </c>
      <c r="AA742" s="1"/>
      <c r="AB742" s="331">
        <f>AE742</f>
      </c>
      <c r="AC742" s="336">
        <f>+IF(AD742&lt;AC741,AD742,AC741)</f>
      </c>
      <c r="AD742" s="337">
        <f>+(AD741-AC741)*(1+$E$16)</f>
      </c>
      <c r="AE742" s="332">
        <v>737</v>
      </c>
    </row>
    <row x14ac:dyDescent="0.25" r="743" customHeight="1" ht="18.75">
      <c r="A743" s="1"/>
      <c r="B743" s="1"/>
      <c r="C743" s="169"/>
      <c r="D743" s="169"/>
      <c r="E743" s="168"/>
      <c r="F743" s="169"/>
      <c r="G743" s="170"/>
      <c r="H743" s="1"/>
      <c r="I743" s="1"/>
      <c r="J743" s="1"/>
      <c r="K743" s="1"/>
      <c r="L743" s="1"/>
      <c r="M743" s="331">
        <f>P743</f>
      </c>
      <c r="N743" s="335">
        <f>+IF(O743&lt;N742,O743,N742)</f>
      </c>
      <c r="O743" s="335">
        <f>+(O742-N742)*(1+$E$13)</f>
      </c>
      <c r="P743" s="332">
        <v>738</v>
      </c>
      <c r="Q743" s="1"/>
      <c r="R743" s="331">
        <f>U743</f>
      </c>
      <c r="S743" s="335">
        <f>+IF(T743&lt;S742,T743,S742)</f>
      </c>
      <c r="T743" s="335">
        <f>+(T742-S742)*(1+$E$14)</f>
      </c>
      <c r="U743" s="332">
        <v>738</v>
      </c>
      <c r="V743" s="1"/>
      <c r="W743" s="331">
        <f>Z743</f>
      </c>
      <c r="X743" s="336">
        <f>+IF(Y743&lt;X742,Y743,X742)</f>
      </c>
      <c r="Y743" s="337">
        <f>+(Y742-X742)*(1+$E$15)</f>
      </c>
      <c r="Z743" s="332">
        <v>738</v>
      </c>
      <c r="AA743" s="1"/>
      <c r="AB743" s="331">
        <f>AE743</f>
      </c>
      <c r="AC743" s="336">
        <f>+IF(AD743&lt;AC742,AD743,AC742)</f>
      </c>
      <c r="AD743" s="337">
        <f>+(AD742-AC742)*(1+$E$16)</f>
      </c>
      <c r="AE743" s="332">
        <v>738</v>
      </c>
    </row>
    <row x14ac:dyDescent="0.25" r="744" customHeight="1" ht="18.75">
      <c r="A744" s="1"/>
      <c r="B744" s="1"/>
      <c r="C744" s="169"/>
      <c r="D744" s="169"/>
      <c r="E744" s="168"/>
      <c r="F744" s="169"/>
      <c r="G744" s="170"/>
      <c r="H744" s="1"/>
      <c r="I744" s="1"/>
      <c r="J744" s="1"/>
      <c r="K744" s="1"/>
      <c r="L744" s="1"/>
      <c r="M744" s="331">
        <f>P744</f>
      </c>
      <c r="N744" s="335">
        <f>+IF(O744&lt;N743,O744,N743)</f>
      </c>
      <c r="O744" s="335">
        <f>+(O743-N743)*(1+$E$13)</f>
      </c>
      <c r="P744" s="332">
        <v>739</v>
      </c>
      <c r="Q744" s="1"/>
      <c r="R744" s="331">
        <f>U744</f>
      </c>
      <c r="S744" s="335">
        <f>+IF(T744&lt;S743,T744,S743)</f>
      </c>
      <c r="T744" s="335">
        <f>+(T743-S743)*(1+$E$14)</f>
      </c>
      <c r="U744" s="332">
        <v>739</v>
      </c>
      <c r="V744" s="1"/>
      <c r="W744" s="331">
        <f>Z744</f>
      </c>
      <c r="X744" s="336">
        <f>+IF(Y744&lt;X743,Y744,X743)</f>
      </c>
      <c r="Y744" s="337">
        <f>+(Y743-X743)*(1+$E$15)</f>
      </c>
      <c r="Z744" s="332">
        <v>739</v>
      </c>
      <c r="AA744" s="1"/>
      <c r="AB744" s="331">
        <f>AE744</f>
      </c>
      <c r="AC744" s="336">
        <f>+IF(AD744&lt;AC743,AD744,AC743)</f>
      </c>
      <c r="AD744" s="337">
        <f>+(AD743-AC743)*(1+$E$16)</f>
      </c>
      <c r="AE744" s="332">
        <v>739</v>
      </c>
    </row>
    <row x14ac:dyDescent="0.25" r="745" customHeight="1" ht="18.75">
      <c r="A745" s="1"/>
      <c r="B745" s="1"/>
      <c r="C745" s="169"/>
      <c r="D745" s="169"/>
      <c r="E745" s="168"/>
      <c r="F745" s="169"/>
      <c r="G745" s="170"/>
      <c r="H745" s="1"/>
      <c r="I745" s="1"/>
      <c r="J745" s="1"/>
      <c r="K745" s="1"/>
      <c r="L745" s="1"/>
      <c r="M745" s="331">
        <f>P745</f>
      </c>
      <c r="N745" s="335">
        <f>+IF(O745&lt;N744,O745,N744)</f>
      </c>
      <c r="O745" s="335">
        <f>+(O744-N744)*(1+$E$13)</f>
      </c>
      <c r="P745" s="332">
        <v>740</v>
      </c>
      <c r="Q745" s="1"/>
      <c r="R745" s="331">
        <f>U745</f>
      </c>
      <c r="S745" s="335">
        <f>+IF(T745&lt;S744,T745,S744)</f>
      </c>
      <c r="T745" s="335">
        <f>+(T744-S744)*(1+$E$14)</f>
      </c>
      <c r="U745" s="332">
        <v>740</v>
      </c>
      <c r="V745" s="1"/>
      <c r="W745" s="331">
        <f>Z745</f>
      </c>
      <c r="X745" s="336">
        <f>+IF(Y745&lt;X744,Y745,X744)</f>
      </c>
      <c r="Y745" s="337">
        <f>+(Y744-X744)*(1+$E$15)</f>
      </c>
      <c r="Z745" s="332">
        <v>740</v>
      </c>
      <c r="AA745" s="1"/>
      <c r="AB745" s="331">
        <f>AE745</f>
      </c>
      <c r="AC745" s="336">
        <f>+IF(AD745&lt;AC744,AD745,AC744)</f>
      </c>
      <c r="AD745" s="337">
        <f>+(AD744-AC744)*(1+$E$16)</f>
      </c>
      <c r="AE745" s="332">
        <v>740</v>
      </c>
    </row>
    <row x14ac:dyDescent="0.25" r="746" customHeight="1" ht="18.75">
      <c r="A746" s="1"/>
      <c r="B746" s="1"/>
      <c r="C746" s="169"/>
      <c r="D746" s="169"/>
      <c r="E746" s="168"/>
      <c r="F746" s="169"/>
      <c r="G746" s="170"/>
      <c r="H746" s="1"/>
      <c r="I746" s="1"/>
      <c r="J746" s="1"/>
      <c r="K746" s="1"/>
      <c r="L746" s="1"/>
      <c r="M746" s="331">
        <f>P746</f>
      </c>
      <c r="N746" s="335">
        <f>+IF(O746&lt;N745,O746,N745)</f>
      </c>
      <c r="O746" s="335">
        <f>+(O745-N745)*(1+$E$13)</f>
      </c>
      <c r="P746" s="332">
        <v>741</v>
      </c>
      <c r="Q746" s="1"/>
      <c r="R746" s="331">
        <f>U746</f>
      </c>
      <c r="S746" s="335">
        <f>+IF(T746&lt;S745,T746,S745)</f>
      </c>
      <c r="T746" s="335">
        <f>+(T745-S745)*(1+$E$14)</f>
      </c>
      <c r="U746" s="332">
        <v>741</v>
      </c>
      <c r="V746" s="1"/>
      <c r="W746" s="331">
        <f>Z746</f>
      </c>
      <c r="X746" s="336">
        <f>+IF(Y746&lt;X745,Y746,X745)</f>
      </c>
      <c r="Y746" s="337">
        <f>+(Y745-X745)*(1+$E$15)</f>
      </c>
      <c r="Z746" s="332">
        <v>741</v>
      </c>
      <c r="AA746" s="1"/>
      <c r="AB746" s="331">
        <f>AE746</f>
      </c>
      <c r="AC746" s="336">
        <f>+IF(AD746&lt;AC745,AD746,AC745)</f>
      </c>
      <c r="AD746" s="337">
        <f>+(AD745-AC745)*(1+$E$16)</f>
      </c>
      <c r="AE746" s="332">
        <v>741</v>
      </c>
    </row>
    <row x14ac:dyDescent="0.25" r="747" customHeight="1" ht="18.75">
      <c r="A747" s="1"/>
      <c r="B747" s="1"/>
      <c r="C747" s="169"/>
      <c r="D747" s="169"/>
      <c r="E747" s="168"/>
      <c r="F747" s="169"/>
      <c r="G747" s="170"/>
      <c r="H747" s="1"/>
      <c r="I747" s="1"/>
      <c r="J747" s="1"/>
      <c r="K747" s="1"/>
      <c r="L747" s="1"/>
      <c r="M747" s="331">
        <f>P747</f>
      </c>
      <c r="N747" s="335">
        <f>+IF(O747&lt;N746,O747,N746)</f>
      </c>
      <c r="O747" s="335">
        <f>+(O746-N746)*(1+$E$13)</f>
      </c>
      <c r="P747" s="332">
        <v>742</v>
      </c>
      <c r="Q747" s="1"/>
      <c r="R747" s="331">
        <f>U747</f>
      </c>
      <c r="S747" s="335">
        <f>+IF(T747&lt;S746,T747,S746)</f>
      </c>
      <c r="T747" s="335">
        <f>+(T746-S746)*(1+$E$14)</f>
      </c>
      <c r="U747" s="332">
        <v>742</v>
      </c>
      <c r="V747" s="1"/>
      <c r="W747" s="331">
        <f>Z747</f>
      </c>
      <c r="X747" s="336">
        <f>+IF(Y747&lt;X746,Y747,X746)</f>
      </c>
      <c r="Y747" s="337">
        <f>+(Y746-X746)*(1+$E$15)</f>
      </c>
      <c r="Z747" s="332">
        <v>742</v>
      </c>
      <c r="AA747" s="1"/>
      <c r="AB747" s="331">
        <f>AE747</f>
      </c>
      <c r="AC747" s="336">
        <f>+IF(AD747&lt;AC746,AD747,AC746)</f>
      </c>
      <c r="AD747" s="337">
        <f>+(AD746-AC746)*(1+$E$16)</f>
      </c>
      <c r="AE747" s="332">
        <v>742</v>
      </c>
    </row>
    <row x14ac:dyDescent="0.25" r="748" customHeight="1" ht="18.75">
      <c r="A748" s="1"/>
      <c r="B748" s="1"/>
      <c r="C748" s="169"/>
      <c r="D748" s="169"/>
      <c r="E748" s="168"/>
      <c r="F748" s="169"/>
      <c r="G748" s="170"/>
      <c r="H748" s="1"/>
      <c r="I748" s="1"/>
      <c r="J748" s="1"/>
      <c r="K748" s="1"/>
      <c r="L748" s="1"/>
      <c r="M748" s="331">
        <f>P748</f>
      </c>
      <c r="N748" s="335">
        <f>+IF(O748&lt;N747,O748,N747)</f>
      </c>
      <c r="O748" s="335">
        <f>+(O747-N747)*(1+$E$13)</f>
      </c>
      <c r="P748" s="332">
        <v>743</v>
      </c>
      <c r="Q748" s="1"/>
      <c r="R748" s="331">
        <f>U748</f>
      </c>
      <c r="S748" s="335">
        <f>+IF(T748&lt;S747,T748,S747)</f>
      </c>
      <c r="T748" s="335">
        <f>+(T747-S747)*(1+$E$14)</f>
      </c>
      <c r="U748" s="332">
        <v>743</v>
      </c>
      <c r="V748" s="1"/>
      <c r="W748" s="331">
        <f>Z748</f>
      </c>
      <c r="X748" s="336">
        <f>+IF(Y748&lt;X747,Y748,X747)</f>
      </c>
      <c r="Y748" s="337">
        <f>+(Y747-X747)*(1+$E$15)</f>
      </c>
      <c r="Z748" s="332">
        <v>743</v>
      </c>
      <c r="AA748" s="1"/>
      <c r="AB748" s="331">
        <f>AE748</f>
      </c>
      <c r="AC748" s="336">
        <f>+IF(AD748&lt;AC747,AD748,AC747)</f>
      </c>
      <c r="AD748" s="337">
        <f>+(AD747-AC747)*(1+$E$16)</f>
      </c>
      <c r="AE748" s="332">
        <v>743</v>
      </c>
    </row>
    <row x14ac:dyDescent="0.25" r="749" customHeight="1" ht="18.75">
      <c r="A749" s="1"/>
      <c r="B749" s="1"/>
      <c r="C749" s="169"/>
      <c r="D749" s="169"/>
      <c r="E749" s="168"/>
      <c r="F749" s="169"/>
      <c r="G749" s="170"/>
      <c r="H749" s="1"/>
      <c r="I749" s="1"/>
      <c r="J749" s="1"/>
      <c r="K749" s="1"/>
      <c r="L749" s="1"/>
      <c r="M749" s="331">
        <f>P749</f>
      </c>
      <c r="N749" s="335">
        <f>+IF(O749&lt;N748,O749,N748)</f>
      </c>
      <c r="O749" s="335">
        <f>+(O748-N748)*(1+$E$13)</f>
      </c>
      <c r="P749" s="332">
        <v>744</v>
      </c>
      <c r="Q749" s="1"/>
      <c r="R749" s="331">
        <f>U749</f>
      </c>
      <c r="S749" s="335">
        <f>+IF(T749&lt;S748,T749,S748)</f>
      </c>
      <c r="T749" s="335">
        <f>+(T748-S748)*(1+$E$14)</f>
      </c>
      <c r="U749" s="332">
        <v>744</v>
      </c>
      <c r="V749" s="1"/>
      <c r="W749" s="331">
        <f>Z749</f>
      </c>
      <c r="X749" s="336">
        <f>+IF(Y749&lt;X748,Y749,X748)</f>
      </c>
      <c r="Y749" s="337">
        <f>+(Y748-X748)*(1+$E$15)</f>
      </c>
      <c r="Z749" s="332">
        <v>744</v>
      </c>
      <c r="AA749" s="1"/>
      <c r="AB749" s="331">
        <f>AE749</f>
      </c>
      <c r="AC749" s="336">
        <f>+IF(AD749&lt;AC748,AD749,AC748)</f>
      </c>
      <c r="AD749" s="337">
        <f>+(AD748-AC748)*(1+$E$16)</f>
      </c>
      <c r="AE749" s="332">
        <v>744</v>
      </c>
    </row>
    <row x14ac:dyDescent="0.25" r="750" customHeight="1" ht="18.75">
      <c r="A750" s="1"/>
      <c r="B750" s="1"/>
      <c r="C750" s="169"/>
      <c r="D750" s="169"/>
      <c r="E750" s="168"/>
      <c r="F750" s="169"/>
      <c r="G750" s="170"/>
      <c r="H750" s="1"/>
      <c r="I750" s="1"/>
      <c r="J750" s="1"/>
      <c r="K750" s="1"/>
      <c r="L750" s="1"/>
      <c r="M750" s="331">
        <f>P750</f>
      </c>
      <c r="N750" s="335">
        <f>+IF(O750&lt;N749,O750,N749)</f>
      </c>
      <c r="O750" s="335">
        <f>+(O749-N749)*(1+$E$13)</f>
      </c>
      <c r="P750" s="332">
        <v>745</v>
      </c>
      <c r="Q750" s="1"/>
      <c r="R750" s="331">
        <f>U750</f>
      </c>
      <c r="S750" s="335">
        <f>+IF(T750&lt;S749,T750,S749)</f>
      </c>
      <c r="T750" s="335">
        <f>+(T749-S749)*(1+$E$14)</f>
      </c>
      <c r="U750" s="332">
        <v>745</v>
      </c>
      <c r="V750" s="1"/>
      <c r="W750" s="331">
        <f>Z750</f>
      </c>
      <c r="X750" s="336">
        <f>+IF(Y750&lt;X749,Y750,X749)</f>
      </c>
      <c r="Y750" s="337">
        <f>+(Y749-X749)*(1+$E$15)</f>
      </c>
      <c r="Z750" s="332">
        <v>745</v>
      </c>
      <c r="AA750" s="1"/>
      <c r="AB750" s="331">
        <f>AE750</f>
      </c>
      <c r="AC750" s="336">
        <f>+IF(AD750&lt;AC749,AD750,AC749)</f>
      </c>
      <c r="AD750" s="337">
        <f>+(AD749-AC749)*(1+$E$16)</f>
      </c>
      <c r="AE750" s="332">
        <v>745</v>
      </c>
    </row>
    <row x14ac:dyDescent="0.25" r="751" customHeight="1" ht="18.75">
      <c r="A751" s="1"/>
      <c r="B751" s="1"/>
      <c r="C751" s="169"/>
      <c r="D751" s="169"/>
      <c r="E751" s="168"/>
      <c r="F751" s="169"/>
      <c r="G751" s="170"/>
      <c r="H751" s="1"/>
      <c r="I751" s="1"/>
      <c r="J751" s="1"/>
      <c r="K751" s="1"/>
      <c r="L751" s="1"/>
      <c r="M751" s="331">
        <f>P751</f>
      </c>
      <c r="N751" s="335">
        <f>+IF(O751&lt;N750,O751,N750)</f>
      </c>
      <c r="O751" s="335">
        <f>+(O750-N750)*(1+$E$13)</f>
      </c>
      <c r="P751" s="332">
        <v>746</v>
      </c>
      <c r="Q751" s="1"/>
      <c r="R751" s="331">
        <f>U751</f>
      </c>
      <c r="S751" s="335">
        <f>+IF(T751&lt;S750,T751,S750)</f>
      </c>
      <c r="T751" s="335">
        <f>+(T750-S750)*(1+$E$14)</f>
      </c>
      <c r="U751" s="332">
        <v>746</v>
      </c>
      <c r="V751" s="1"/>
      <c r="W751" s="331">
        <f>Z751</f>
      </c>
      <c r="X751" s="336">
        <f>+IF(Y751&lt;X750,Y751,X750)</f>
      </c>
      <c r="Y751" s="337">
        <f>+(Y750-X750)*(1+$E$15)</f>
      </c>
      <c r="Z751" s="332">
        <v>746</v>
      </c>
      <c r="AA751" s="1"/>
      <c r="AB751" s="331">
        <f>AE751</f>
      </c>
      <c r="AC751" s="336">
        <f>+IF(AD751&lt;AC750,AD751,AC750)</f>
      </c>
      <c r="AD751" s="337">
        <f>+(AD750-AC750)*(1+$E$16)</f>
      </c>
      <c r="AE751" s="332">
        <v>746</v>
      </c>
    </row>
    <row x14ac:dyDescent="0.25" r="752" customHeight="1" ht="18.75">
      <c r="A752" s="1"/>
      <c r="B752" s="1"/>
      <c r="C752" s="169"/>
      <c r="D752" s="169"/>
      <c r="E752" s="168"/>
      <c r="F752" s="169"/>
      <c r="G752" s="170"/>
      <c r="H752" s="1"/>
      <c r="I752" s="1"/>
      <c r="J752" s="1"/>
      <c r="K752" s="1"/>
      <c r="L752" s="1"/>
      <c r="M752" s="331">
        <f>P752</f>
      </c>
      <c r="N752" s="335">
        <f>+IF(O752&lt;N751,O752,N751)</f>
      </c>
      <c r="O752" s="335">
        <f>+(O751-N751)*(1+$E$13)</f>
      </c>
      <c r="P752" s="332">
        <v>747</v>
      </c>
      <c r="Q752" s="1"/>
      <c r="R752" s="331">
        <f>U752</f>
      </c>
      <c r="S752" s="335">
        <f>+IF(T752&lt;S751,T752,S751)</f>
      </c>
      <c r="T752" s="335">
        <f>+(T751-S751)*(1+$E$14)</f>
      </c>
      <c r="U752" s="332">
        <v>747</v>
      </c>
      <c r="V752" s="1"/>
      <c r="W752" s="331">
        <f>Z752</f>
      </c>
      <c r="X752" s="336">
        <f>+IF(Y752&lt;X751,Y752,X751)</f>
      </c>
      <c r="Y752" s="337">
        <f>+(Y751-X751)*(1+$E$15)</f>
      </c>
      <c r="Z752" s="332">
        <v>747</v>
      </c>
      <c r="AA752" s="1"/>
      <c r="AB752" s="331">
        <f>AE752</f>
      </c>
      <c r="AC752" s="336">
        <f>+IF(AD752&lt;AC751,AD752,AC751)</f>
      </c>
      <c r="AD752" s="337">
        <f>+(AD751-AC751)*(1+$E$16)</f>
      </c>
      <c r="AE752" s="332">
        <v>747</v>
      </c>
    </row>
    <row x14ac:dyDescent="0.25" r="753" customHeight="1" ht="18.75">
      <c r="A753" s="1"/>
      <c r="B753" s="1"/>
      <c r="C753" s="169"/>
      <c r="D753" s="169"/>
      <c r="E753" s="168"/>
      <c r="F753" s="169"/>
      <c r="G753" s="170"/>
      <c r="H753" s="1"/>
      <c r="I753" s="1"/>
      <c r="J753" s="1"/>
      <c r="K753" s="1"/>
      <c r="L753" s="1"/>
      <c r="M753" s="331">
        <f>P753</f>
      </c>
      <c r="N753" s="335">
        <f>+IF(O753&lt;N752,O753,N752)</f>
      </c>
      <c r="O753" s="335">
        <f>+(O752-N752)*(1+$E$13)</f>
      </c>
      <c r="P753" s="332">
        <v>748</v>
      </c>
      <c r="Q753" s="1"/>
      <c r="R753" s="331">
        <f>U753</f>
      </c>
      <c r="S753" s="335">
        <f>+IF(T753&lt;S752,T753,S752)</f>
      </c>
      <c r="T753" s="335">
        <f>+(T752-S752)*(1+$E$14)</f>
      </c>
      <c r="U753" s="332">
        <v>748</v>
      </c>
      <c r="V753" s="1"/>
      <c r="W753" s="331">
        <f>Z753</f>
      </c>
      <c r="X753" s="336">
        <f>+IF(Y753&lt;X752,Y753,X752)</f>
      </c>
      <c r="Y753" s="337">
        <f>+(Y752-X752)*(1+$E$15)</f>
      </c>
      <c r="Z753" s="332">
        <v>748</v>
      </c>
      <c r="AA753" s="1"/>
      <c r="AB753" s="331">
        <f>AE753</f>
      </c>
      <c r="AC753" s="336">
        <f>+IF(AD753&lt;AC752,AD753,AC752)</f>
      </c>
      <c r="AD753" s="337">
        <f>+(AD752-AC752)*(1+$E$16)</f>
      </c>
      <c r="AE753" s="332">
        <v>748</v>
      </c>
    </row>
    <row x14ac:dyDescent="0.25" r="754" customHeight="1" ht="18.75">
      <c r="A754" s="1"/>
      <c r="B754" s="1"/>
      <c r="C754" s="169"/>
      <c r="D754" s="169"/>
      <c r="E754" s="168"/>
      <c r="F754" s="169"/>
      <c r="G754" s="170"/>
      <c r="H754" s="1"/>
      <c r="I754" s="1"/>
      <c r="J754" s="1"/>
      <c r="K754" s="1"/>
      <c r="L754" s="1"/>
      <c r="M754" s="331">
        <f>P754</f>
      </c>
      <c r="N754" s="335">
        <f>+IF(O754&lt;N753,O754,N753)</f>
      </c>
      <c r="O754" s="335">
        <f>+(O753-N753)*(1+$E$13)</f>
      </c>
      <c r="P754" s="332">
        <v>749</v>
      </c>
      <c r="Q754" s="1"/>
      <c r="R754" s="331">
        <f>U754</f>
      </c>
      <c r="S754" s="335">
        <f>+IF(T754&lt;S753,T754,S753)</f>
      </c>
      <c r="T754" s="335">
        <f>+(T753-S753)*(1+$E$14)</f>
      </c>
      <c r="U754" s="332">
        <v>749</v>
      </c>
      <c r="V754" s="1"/>
      <c r="W754" s="331">
        <f>Z754</f>
      </c>
      <c r="X754" s="336">
        <f>+IF(Y754&lt;X753,Y754,X753)</f>
      </c>
      <c r="Y754" s="337">
        <f>+(Y753-X753)*(1+$E$15)</f>
      </c>
      <c r="Z754" s="332">
        <v>749</v>
      </c>
      <c r="AA754" s="1"/>
      <c r="AB754" s="331">
        <f>AE754</f>
      </c>
      <c r="AC754" s="336">
        <f>+IF(AD754&lt;AC753,AD754,AC753)</f>
      </c>
      <c r="AD754" s="337">
        <f>+(AD753-AC753)*(1+$E$16)</f>
      </c>
      <c r="AE754" s="332">
        <v>749</v>
      </c>
    </row>
    <row x14ac:dyDescent="0.25" r="755" customHeight="1" ht="18.75">
      <c r="A755" s="1"/>
      <c r="B755" s="1"/>
      <c r="C755" s="169"/>
      <c r="D755" s="169"/>
      <c r="E755" s="168"/>
      <c r="F755" s="169"/>
      <c r="G755" s="170"/>
      <c r="H755" s="1"/>
      <c r="I755" s="1"/>
      <c r="J755" s="1"/>
      <c r="K755" s="1"/>
      <c r="L755" s="1"/>
      <c r="M755" s="331">
        <f>P755</f>
      </c>
      <c r="N755" s="335">
        <f>+IF(O755&lt;N754,O755,N754)</f>
      </c>
      <c r="O755" s="335">
        <f>+(O754-N754)*(1+$E$13)</f>
      </c>
      <c r="P755" s="332">
        <v>750</v>
      </c>
      <c r="Q755" s="1"/>
      <c r="R755" s="331">
        <f>U755</f>
      </c>
      <c r="S755" s="335">
        <f>+IF(T755&lt;S754,T755,S754)</f>
      </c>
      <c r="T755" s="335">
        <f>+(T754-S754)*(1+$E$14)</f>
      </c>
      <c r="U755" s="332">
        <v>750</v>
      </c>
      <c r="V755" s="1"/>
      <c r="W755" s="331">
        <f>Z755</f>
      </c>
      <c r="X755" s="336">
        <f>+IF(Y755&lt;X754,Y755,X754)</f>
      </c>
      <c r="Y755" s="337">
        <f>+(Y754-X754)*(1+$E$15)</f>
      </c>
      <c r="Z755" s="332">
        <v>750</v>
      </c>
      <c r="AA755" s="1"/>
      <c r="AB755" s="331">
        <f>AE755</f>
      </c>
      <c r="AC755" s="336">
        <f>+IF(AD755&lt;AC754,AD755,AC754)</f>
      </c>
      <c r="AD755" s="337">
        <f>+(AD754-AC754)*(1+$E$16)</f>
      </c>
      <c r="AE755" s="332">
        <v>750</v>
      </c>
    </row>
  </sheetData>
  <mergeCells count="6">
    <mergeCell ref="G5:H5"/>
    <mergeCell ref="N5:P5"/>
    <mergeCell ref="S5:U5"/>
    <mergeCell ref="X5:Z5"/>
    <mergeCell ref="AC5:AE5"/>
    <mergeCell ref="G12:H1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B65"/>
  <sheetViews>
    <sheetView workbookViewId="0"/>
  </sheetViews>
  <sheetFormatPr defaultRowHeight="15" x14ac:dyDescent="0.25"/>
  <cols>
    <col min="1" max="1" style="163" width="9.290714285714287" customWidth="1" bestFit="1"/>
    <col min="2" max="2" style="163" width="9.290714285714287" customWidth="1" bestFit="1"/>
    <col min="3" max="3" style="163" width="9.290714285714287" customWidth="1" bestFit="1"/>
    <col min="4" max="4" style="163" width="1.290714285714286" customWidth="1" bestFit="1"/>
    <col min="5" max="5" style="163" width="0.5764285714285714" customWidth="1" bestFit="1"/>
    <col min="6" max="6" style="163" width="0.7192857142857143" customWidth="1" bestFit="1"/>
    <col min="7" max="7" style="163" width="23.290714285714284" customWidth="1" bestFit="1"/>
    <col min="8" max="8" style="164" width="32.29071428571429" customWidth="1" bestFit="1"/>
    <col min="9" max="9" style="163" width="0.5764285714285714" customWidth="1" bestFit="1"/>
    <col min="10" max="10" style="164" width="17.719285714285714" customWidth="1" bestFit="1"/>
    <col min="11" max="11" style="163" width="0.2907142857142857" customWidth="1" bestFit="1"/>
    <col min="12" max="12" style="164" width="17.719285714285714" customWidth="1" bestFit="1"/>
    <col min="13" max="13" style="163" width="9.290714285714287" customWidth="1" bestFit="1"/>
    <col min="14" max="14" style="163" width="9.290714285714287" customWidth="1" bestFit="1"/>
    <col min="15" max="15" style="163" width="9.290714285714287" customWidth="1" bestFit="1"/>
    <col min="16" max="16" style="163" width="9.290714285714287" customWidth="1" bestFit="1"/>
    <col min="17" max="17" style="163" width="9.290714285714287" customWidth="1" bestFit="1"/>
    <col min="18" max="18" style="163" width="9.290714285714287" customWidth="1" bestFit="1"/>
    <col min="19" max="19" style="163" width="9.290714285714287" customWidth="1" bestFit="1"/>
    <col min="20" max="20" style="163" width="9.290714285714287" customWidth="1" bestFit="1"/>
    <col min="21" max="21" style="163" width="9.290714285714287" customWidth="1" bestFit="1"/>
    <col min="22" max="22" style="163" width="9.290714285714287" customWidth="1" bestFit="1"/>
    <col min="23" max="23" style="163" width="9.290714285714287" customWidth="1" bestFit="1"/>
    <col min="24" max="24" style="163" width="9.290714285714287" customWidth="1" bestFit="1"/>
    <col min="25" max="25" style="163" width="9.290714285714287" customWidth="1" bestFit="1"/>
    <col min="26" max="26" style="163" width="9.290714285714287" customWidth="1" bestFit="1"/>
    <col min="27" max="27" style="163" width="9.290714285714287" customWidth="1" bestFit="1"/>
    <col min="28" max="28" style="163" width="9.290714285714287" customWidth="1" bestFit="1"/>
  </cols>
  <sheetData>
    <row x14ac:dyDescent="0.25" r="1" customHeight="1" ht="18.75">
      <c r="A1" s="1"/>
      <c r="B1" s="1"/>
      <c r="C1" s="1"/>
      <c r="D1" s="1"/>
      <c r="E1" s="1"/>
      <c r="F1" s="1"/>
      <c r="G1" s="1"/>
      <c r="H1" s="170"/>
      <c r="I1" s="1"/>
      <c r="J1" s="170"/>
      <c r="K1" s="1"/>
      <c r="L1" s="170"/>
      <c r="M1" s="1"/>
      <c r="N1" s="1"/>
      <c r="O1" s="1"/>
      <c r="P1" s="1"/>
      <c r="Q1" s="1"/>
      <c r="R1" s="1"/>
      <c r="S1" s="1"/>
      <c r="T1" s="1"/>
      <c r="U1" s="1"/>
      <c r="V1" s="1"/>
      <c r="W1" s="1"/>
      <c r="X1" s="1"/>
      <c r="Y1" s="1"/>
      <c r="Z1" s="1"/>
      <c r="AA1" s="1"/>
      <c r="AB1" s="1"/>
    </row>
    <row x14ac:dyDescent="0.25" r="2" customHeight="1" ht="18.75">
      <c r="A2" s="1"/>
      <c r="B2" s="1"/>
      <c r="C2" s="1"/>
      <c r="D2" s="1"/>
      <c r="E2" s="1"/>
      <c r="F2" s="1"/>
      <c r="G2" s="1"/>
      <c r="H2" s="170"/>
      <c r="I2" s="1"/>
      <c r="J2" s="170"/>
      <c r="K2" s="1"/>
      <c r="L2" s="170"/>
      <c r="M2" s="1"/>
      <c r="N2" s="1"/>
      <c r="O2" s="1"/>
      <c r="P2" s="1"/>
      <c r="Q2" s="1"/>
      <c r="R2" s="1"/>
      <c r="S2" s="1"/>
      <c r="T2" s="1"/>
      <c r="U2" s="1"/>
      <c r="V2" s="1"/>
      <c r="W2" s="1"/>
      <c r="X2" s="1"/>
      <c r="Y2" s="1"/>
      <c r="Z2" s="1"/>
      <c r="AA2" s="1"/>
      <c r="AB2" s="1"/>
    </row>
    <row x14ac:dyDescent="0.25" r="3" customHeight="1" ht="18.75">
      <c r="A3" s="1"/>
      <c r="B3" s="1"/>
      <c r="C3" s="1"/>
      <c r="D3" s="1"/>
      <c r="E3" s="1"/>
      <c r="F3" s="1"/>
      <c r="G3" s="1"/>
      <c r="H3" s="170"/>
      <c r="I3" s="1"/>
      <c r="J3" s="170"/>
      <c r="K3" s="1"/>
      <c r="L3" s="170"/>
      <c r="M3" s="1"/>
      <c r="N3" s="1"/>
      <c r="O3" s="1"/>
      <c r="P3" s="1"/>
      <c r="Q3" s="1"/>
      <c r="R3" s="1"/>
      <c r="S3" s="1"/>
      <c r="T3" s="1"/>
      <c r="U3" s="1"/>
      <c r="V3" s="1"/>
      <c r="W3" s="1"/>
      <c r="X3" s="1"/>
      <c r="Y3" s="1"/>
      <c r="Z3" s="1"/>
      <c r="AA3" s="1"/>
      <c r="AB3" s="1"/>
    </row>
    <row x14ac:dyDescent="0.25" r="4" customHeight="1" ht="36.6" customFormat="1" s="23">
      <c r="A4" s="24"/>
      <c r="B4" s="24"/>
      <c r="C4" s="24"/>
      <c r="D4" s="24"/>
      <c r="E4" s="260" t="s">
        <v>73</v>
      </c>
      <c r="F4" s="260"/>
      <c r="G4" s="260"/>
      <c r="H4" s="261"/>
      <c r="I4" s="260"/>
      <c r="J4" s="261"/>
      <c r="K4" s="260"/>
      <c r="L4" s="261"/>
      <c r="M4" s="24"/>
      <c r="N4" s="24"/>
      <c r="O4" s="24"/>
      <c r="P4" s="24"/>
      <c r="Q4" s="24"/>
      <c r="R4" s="24"/>
      <c r="S4" s="24"/>
      <c r="T4" s="24"/>
      <c r="U4" s="24"/>
      <c r="V4" s="24"/>
      <c r="W4" s="24"/>
      <c r="X4" s="24"/>
      <c r="Y4" s="24"/>
      <c r="Z4" s="24"/>
      <c r="AA4" s="24"/>
      <c r="AB4" s="24"/>
    </row>
    <row x14ac:dyDescent="0.25" r="5" customHeight="1" ht="4.15">
      <c r="A5" s="1"/>
      <c r="B5" s="1"/>
      <c r="C5" s="1"/>
      <c r="D5" s="1"/>
      <c r="E5" s="1"/>
      <c r="F5" s="1"/>
      <c r="G5" s="1"/>
      <c r="H5" s="170"/>
      <c r="I5" s="1"/>
      <c r="J5" s="170"/>
      <c r="K5" s="1"/>
      <c r="L5" s="170"/>
      <c r="M5" s="1"/>
      <c r="N5" s="1"/>
      <c r="O5" s="1"/>
      <c r="P5" s="1"/>
      <c r="Q5" s="1"/>
      <c r="R5" s="1"/>
      <c r="S5" s="1"/>
      <c r="T5" s="1"/>
      <c r="U5" s="1"/>
      <c r="V5" s="1"/>
      <c r="W5" s="1"/>
      <c r="X5" s="1"/>
      <c r="Y5" s="1"/>
      <c r="Z5" s="1"/>
      <c r="AA5" s="1"/>
      <c r="AB5" s="1"/>
    </row>
    <row x14ac:dyDescent="0.25" r="6" customHeight="1" ht="18.75">
      <c r="A6" s="1"/>
      <c r="B6" s="1"/>
      <c r="C6" s="1"/>
      <c r="D6" s="1"/>
      <c r="E6" s="262" t="s">
        <v>74</v>
      </c>
      <c r="F6" s="262"/>
      <c r="G6" s="262"/>
      <c r="H6" s="263"/>
      <c r="I6" s="262"/>
      <c r="J6" s="263"/>
      <c r="K6" s="262"/>
      <c r="L6" s="263"/>
      <c r="M6" s="1"/>
      <c r="N6" s="1"/>
      <c r="O6" s="1"/>
      <c r="P6" s="1"/>
      <c r="Q6" s="1"/>
      <c r="R6" s="1"/>
      <c r="S6" s="1"/>
      <c r="T6" s="1"/>
      <c r="U6" s="1"/>
      <c r="V6" s="1"/>
      <c r="W6" s="1"/>
      <c r="X6" s="1"/>
      <c r="Y6" s="1"/>
      <c r="Z6" s="1"/>
      <c r="AA6" s="1"/>
      <c r="AB6" s="1"/>
    </row>
    <row x14ac:dyDescent="0.25" r="7" customHeight="1" ht="1.8999999999999997">
      <c r="A7" s="1"/>
      <c r="B7" s="1"/>
      <c r="C7" s="193"/>
      <c r="D7" s="193"/>
      <c r="E7" s="264"/>
      <c r="F7" s="264"/>
      <c r="G7" s="265"/>
      <c r="H7" s="266"/>
      <c r="I7" s="265"/>
      <c r="J7" s="266"/>
      <c r="K7" s="265"/>
      <c r="L7" s="266"/>
      <c r="M7" s="193"/>
      <c r="N7" s="1"/>
      <c r="O7" s="1"/>
      <c r="P7" s="1"/>
      <c r="Q7" s="1"/>
      <c r="R7" s="1"/>
      <c r="S7" s="1"/>
      <c r="T7" s="1"/>
      <c r="U7" s="1"/>
      <c r="V7" s="1"/>
      <c r="W7" s="1"/>
      <c r="X7" s="1"/>
      <c r="Y7" s="1"/>
      <c r="Z7" s="1"/>
      <c r="AA7" s="1"/>
      <c r="AB7" s="1"/>
    </row>
    <row x14ac:dyDescent="0.25" r="8" customHeight="1" ht="15">
      <c r="A8" s="1"/>
      <c r="B8" s="1"/>
      <c r="C8" s="1"/>
      <c r="D8" s="1"/>
      <c r="E8" s="267"/>
      <c r="F8" s="268" t="s">
        <v>75</v>
      </c>
      <c r="G8" s="269"/>
      <c r="H8" s="269"/>
      <c r="I8" s="1"/>
      <c r="J8" s="270">
        <f>'Simulador - 2º Pilar'!T12</f>
      </c>
      <c r="K8" s="270"/>
      <c r="L8" s="170"/>
      <c r="M8" s="1"/>
      <c r="N8" s="1"/>
      <c r="O8" s="1"/>
      <c r="P8" s="1"/>
      <c r="Q8" s="1"/>
      <c r="R8" s="1"/>
      <c r="S8" s="1"/>
      <c r="T8" s="1"/>
      <c r="U8" s="1"/>
      <c r="V8" s="1"/>
      <c r="W8" s="1"/>
      <c r="X8" s="1"/>
      <c r="Y8" s="1"/>
      <c r="Z8" s="1"/>
      <c r="AA8" s="1"/>
      <c r="AB8" s="1"/>
    </row>
    <row x14ac:dyDescent="0.25" r="9" customHeight="1" ht="1.8999999999999997">
      <c r="A9" s="1"/>
      <c r="B9" s="1"/>
      <c r="C9" s="1"/>
      <c r="D9" s="1"/>
      <c r="E9" s="1"/>
      <c r="F9" s="193"/>
      <c r="G9" s="271"/>
      <c r="H9" s="272"/>
      <c r="I9" s="1"/>
      <c r="J9" s="170"/>
      <c r="K9" s="1"/>
      <c r="L9" s="170"/>
      <c r="M9" s="1"/>
      <c r="N9" s="1"/>
      <c r="O9" s="1"/>
      <c r="P9" s="1"/>
      <c r="Q9" s="1"/>
      <c r="R9" s="1"/>
      <c r="S9" s="1"/>
      <c r="T9" s="1"/>
      <c r="U9" s="1"/>
      <c r="V9" s="1"/>
      <c r="W9" s="1"/>
      <c r="X9" s="1"/>
      <c r="Y9" s="1"/>
      <c r="Z9" s="1"/>
      <c r="AA9" s="1"/>
      <c r="AB9" s="1"/>
    </row>
    <row x14ac:dyDescent="0.25" r="10" customHeight="1" ht="15">
      <c r="A10" s="1"/>
      <c r="B10" s="1"/>
      <c r="C10" s="1"/>
      <c r="D10" s="1"/>
      <c r="E10" s="267"/>
      <c r="F10" s="268" t="s">
        <v>76</v>
      </c>
      <c r="G10" s="269"/>
      <c r="H10" s="269"/>
      <c r="I10" s="1"/>
      <c r="J10" s="270">
        <f>'Simulador - 2º Pilar'!T20</f>
      </c>
      <c r="K10" s="270"/>
      <c r="L10" s="170"/>
      <c r="M10" s="1"/>
      <c r="N10" s="1"/>
      <c r="O10" s="1"/>
      <c r="P10" s="1"/>
      <c r="Q10" s="1"/>
      <c r="R10" s="1"/>
      <c r="S10" s="1"/>
      <c r="T10" s="1"/>
      <c r="U10" s="1"/>
      <c r="V10" s="1"/>
      <c r="W10" s="1"/>
      <c r="X10" s="1"/>
      <c r="Y10" s="1"/>
      <c r="Z10" s="1"/>
      <c r="AA10" s="1"/>
      <c r="AB10" s="1"/>
    </row>
    <row x14ac:dyDescent="0.25" r="11" customHeight="1" ht="1.8999999999999997">
      <c r="A11" s="1"/>
      <c r="B11" s="1"/>
      <c r="C11" s="1"/>
      <c r="D11" s="1"/>
      <c r="E11" s="1"/>
      <c r="F11" s="193"/>
      <c r="G11" s="271"/>
      <c r="H11" s="272"/>
      <c r="I11" s="1"/>
      <c r="J11" s="170"/>
      <c r="K11" s="1"/>
      <c r="L11" s="170"/>
      <c r="M11" s="1"/>
      <c r="N11" s="1"/>
      <c r="O11" s="1"/>
      <c r="P11" s="1"/>
      <c r="Q11" s="1"/>
      <c r="R11" s="1"/>
      <c r="S11" s="1"/>
      <c r="T11" s="1"/>
      <c r="U11" s="1"/>
      <c r="V11" s="1"/>
      <c r="W11" s="1"/>
      <c r="X11" s="1"/>
      <c r="Y11" s="1"/>
      <c r="Z11" s="1"/>
      <c r="AA11" s="1"/>
      <c r="AB11" s="1"/>
    </row>
    <row x14ac:dyDescent="0.25" r="12" customHeight="1" ht="15">
      <c r="A12" s="1"/>
      <c r="B12" s="1"/>
      <c r="C12" s="1"/>
      <c r="D12" s="1"/>
      <c r="E12" s="267"/>
      <c r="F12" s="268" t="s">
        <v>77</v>
      </c>
      <c r="G12" s="269"/>
      <c r="H12" s="269"/>
      <c r="I12" s="1"/>
      <c r="J12" s="270">
        <f>'Simulador - 2º Pilar'!T33</f>
      </c>
      <c r="K12" s="270"/>
      <c r="L12" s="170"/>
      <c r="M12" s="1"/>
      <c r="N12" s="1"/>
      <c r="O12" s="1"/>
      <c r="P12" s="1"/>
      <c r="Q12" s="1"/>
      <c r="R12" s="1"/>
      <c r="S12" s="1"/>
      <c r="T12" s="1"/>
      <c r="U12" s="1"/>
      <c r="V12" s="1"/>
      <c r="W12" s="1"/>
      <c r="X12" s="1"/>
      <c r="Y12" s="1"/>
      <c r="Z12" s="1"/>
      <c r="AA12" s="1"/>
      <c r="AB12" s="1"/>
    </row>
    <row x14ac:dyDescent="0.25" r="13" customHeight="1" ht="1.8999999999999997">
      <c r="A13" s="1"/>
      <c r="B13" s="1"/>
      <c r="C13" s="1"/>
      <c r="D13" s="1"/>
      <c r="E13" s="1"/>
      <c r="F13" s="193"/>
      <c r="G13" s="271"/>
      <c r="H13" s="272"/>
      <c r="I13" s="1"/>
      <c r="J13" s="170"/>
      <c r="K13" s="1"/>
      <c r="L13" s="170"/>
      <c r="M13" s="1"/>
      <c r="N13" s="1"/>
      <c r="O13" s="1"/>
      <c r="P13" s="1"/>
      <c r="Q13" s="1"/>
      <c r="R13" s="1"/>
      <c r="S13" s="1"/>
      <c r="T13" s="1"/>
      <c r="U13" s="1"/>
      <c r="V13" s="1"/>
      <c r="W13" s="1"/>
      <c r="X13" s="1"/>
      <c r="Y13" s="1"/>
      <c r="Z13" s="1"/>
      <c r="AA13" s="1"/>
      <c r="AB13" s="1"/>
    </row>
    <row x14ac:dyDescent="0.25" r="14" customHeight="1" ht="15">
      <c r="A14" s="1"/>
      <c r="B14" s="1"/>
      <c r="C14" s="1"/>
      <c r="D14" s="1"/>
      <c r="E14" s="267"/>
      <c r="F14" s="268" t="s">
        <v>78</v>
      </c>
      <c r="G14" s="269"/>
      <c r="H14" s="269"/>
      <c r="I14" s="1"/>
      <c r="J14" s="270">
        <f>'Simulador - 2º Pilar'!T49</f>
      </c>
      <c r="K14" s="270"/>
      <c r="L14" s="170"/>
      <c r="M14" s="1"/>
      <c r="N14" s="1"/>
      <c r="O14" s="1"/>
      <c r="P14" s="1"/>
      <c r="Q14" s="1"/>
      <c r="R14" s="1"/>
      <c r="S14" s="1"/>
      <c r="T14" s="1"/>
      <c r="U14" s="1"/>
      <c r="V14" s="1"/>
      <c r="W14" s="1"/>
      <c r="X14" s="1"/>
      <c r="Y14" s="1"/>
      <c r="Z14" s="1"/>
      <c r="AA14" s="1"/>
      <c r="AB14" s="1"/>
    </row>
    <row x14ac:dyDescent="0.25" r="15" customHeight="1" ht="4.15">
      <c r="A15" s="1"/>
      <c r="B15" s="1"/>
      <c r="C15" s="1"/>
      <c r="D15" s="1"/>
      <c r="E15" s="1"/>
      <c r="F15" s="193"/>
      <c r="G15" s="271"/>
      <c r="H15" s="272"/>
      <c r="I15" s="271"/>
      <c r="J15" s="170"/>
      <c r="K15" s="1"/>
      <c r="L15" s="170"/>
      <c r="M15" s="1"/>
      <c r="N15" s="1"/>
      <c r="O15" s="1"/>
      <c r="P15" s="1"/>
      <c r="Q15" s="1"/>
      <c r="R15" s="1"/>
      <c r="S15" s="1"/>
      <c r="T15" s="1"/>
      <c r="U15" s="1"/>
      <c r="V15" s="1"/>
      <c r="W15" s="1"/>
      <c r="X15" s="1"/>
      <c r="Y15" s="1"/>
      <c r="Z15" s="1"/>
      <c r="AA15" s="1"/>
      <c r="AB15" s="1"/>
    </row>
    <row x14ac:dyDescent="0.25" r="16" customHeight="1" ht="8.65" customFormat="1" s="23">
      <c r="A16" s="24"/>
      <c r="B16" s="24"/>
      <c r="C16" s="24"/>
      <c r="D16" s="24"/>
      <c r="E16" s="273"/>
      <c r="F16" s="273"/>
      <c r="G16" s="273"/>
      <c r="H16" s="274"/>
      <c r="I16" s="273"/>
      <c r="J16" s="274"/>
      <c r="K16" s="273"/>
      <c r="L16" s="274"/>
      <c r="M16" s="24"/>
      <c r="N16" s="24"/>
      <c r="O16" s="24"/>
      <c r="P16" s="24"/>
      <c r="Q16" s="24"/>
      <c r="R16" s="24"/>
      <c r="S16" s="24"/>
      <c r="T16" s="24"/>
      <c r="U16" s="24"/>
      <c r="V16" s="24"/>
      <c r="W16" s="24"/>
      <c r="X16" s="24"/>
      <c r="Y16" s="24"/>
      <c r="Z16" s="24"/>
      <c r="AA16" s="24"/>
      <c r="AB16" s="24"/>
    </row>
    <row x14ac:dyDescent="0.25" r="17" customHeight="1" ht="4.15">
      <c r="A17" s="1"/>
      <c r="B17" s="1"/>
      <c r="C17" s="1"/>
      <c r="D17" s="1"/>
      <c r="E17" s="1"/>
      <c r="F17" s="1"/>
      <c r="G17" s="1"/>
      <c r="H17" s="170"/>
      <c r="I17" s="1"/>
      <c r="J17" s="170"/>
      <c r="K17" s="1"/>
      <c r="L17" s="170"/>
      <c r="M17" s="1"/>
      <c r="N17" s="1"/>
      <c r="O17" s="1"/>
      <c r="P17" s="1"/>
      <c r="Q17" s="1"/>
      <c r="R17" s="1"/>
      <c r="S17" s="1"/>
      <c r="T17" s="1"/>
      <c r="U17" s="1"/>
      <c r="V17" s="1"/>
      <c r="W17" s="1"/>
      <c r="X17" s="1"/>
      <c r="Y17" s="1"/>
      <c r="Z17" s="1"/>
      <c r="AA17" s="1"/>
      <c r="AB17" s="1"/>
    </row>
    <row x14ac:dyDescent="0.25" r="18" customHeight="1" ht="18.75">
      <c r="A18" s="1"/>
      <c r="B18" s="1"/>
      <c r="C18" s="1"/>
      <c r="D18" s="1"/>
      <c r="E18" s="262" t="s">
        <v>79</v>
      </c>
      <c r="F18" s="262"/>
      <c r="G18" s="262"/>
      <c r="H18" s="263"/>
      <c r="I18" s="262"/>
      <c r="J18" s="263"/>
      <c r="K18" s="262"/>
      <c r="L18" s="263"/>
      <c r="M18" s="1"/>
      <c r="N18" s="1"/>
      <c r="O18" s="1"/>
      <c r="P18" s="1"/>
      <c r="Q18" s="1"/>
      <c r="R18" s="1"/>
      <c r="S18" s="1"/>
      <c r="T18" s="1"/>
      <c r="U18" s="1"/>
      <c r="V18" s="1"/>
      <c r="W18" s="1"/>
      <c r="X18" s="1"/>
      <c r="Y18" s="1"/>
      <c r="Z18" s="1"/>
      <c r="AA18" s="1"/>
      <c r="AB18" s="1"/>
    </row>
    <row x14ac:dyDescent="0.25" r="19" customHeight="1" ht="1.8999999999999997">
      <c r="A19" s="1"/>
      <c r="B19" s="1"/>
      <c r="C19" s="1"/>
      <c r="D19" s="1"/>
      <c r="E19" s="193"/>
      <c r="F19" s="193"/>
      <c r="G19" s="275"/>
      <c r="H19" s="276"/>
      <c r="I19" s="275"/>
      <c r="J19" s="277"/>
      <c r="K19" s="278"/>
      <c r="L19" s="277"/>
      <c r="M19" s="1"/>
      <c r="N19" s="1"/>
      <c r="O19" s="1"/>
      <c r="P19" s="1"/>
      <c r="Q19" s="1"/>
      <c r="R19" s="1"/>
      <c r="S19" s="1"/>
      <c r="T19" s="1"/>
      <c r="U19" s="1"/>
      <c r="V19" s="1"/>
      <c r="W19" s="1"/>
      <c r="X19" s="1"/>
      <c r="Y19" s="1"/>
      <c r="Z19" s="1"/>
      <c r="AA19" s="1"/>
      <c r="AB19" s="1"/>
    </row>
    <row x14ac:dyDescent="0.25" r="20" customHeight="1" ht="15">
      <c r="A20" s="193"/>
      <c r="B20" s="193"/>
      <c r="C20" s="193"/>
      <c r="D20" s="193"/>
      <c r="E20" s="267"/>
      <c r="F20" s="268" t="s">
        <v>80</v>
      </c>
      <c r="G20" s="269"/>
      <c r="H20" s="269"/>
      <c r="I20" s="1"/>
      <c r="J20" s="270">
        <f>IFERROR(J8+J10+J12+J14+J42,"-")</f>
      </c>
      <c r="K20" s="270"/>
      <c r="L20" s="270"/>
      <c r="M20" s="193"/>
      <c r="N20" s="193"/>
      <c r="O20" s="193"/>
      <c r="P20" s="193"/>
      <c r="Q20" s="193"/>
      <c r="R20" s="193"/>
      <c r="S20" s="193"/>
      <c r="T20" s="193"/>
      <c r="U20" s="193"/>
      <c r="V20" s="193"/>
      <c r="W20" s="193"/>
      <c r="X20" s="193"/>
      <c r="Y20" s="193"/>
      <c r="Z20" s="193"/>
      <c r="AA20" s="193"/>
      <c r="AB20" s="193"/>
    </row>
    <row x14ac:dyDescent="0.25" r="21" customHeight="1" ht="1.8999999999999997">
      <c r="A21" s="1"/>
      <c r="B21" s="1"/>
      <c r="C21" s="1"/>
      <c r="D21" s="1"/>
      <c r="E21" s="1"/>
      <c r="F21" s="1"/>
      <c r="G21" s="1"/>
      <c r="H21" s="170"/>
      <c r="I21" s="1"/>
      <c r="J21" s="170"/>
      <c r="K21" s="1"/>
      <c r="L21" s="170"/>
      <c r="M21" s="1"/>
      <c r="N21" s="1"/>
      <c r="O21" s="1"/>
      <c r="P21" s="1"/>
      <c r="Q21" s="1"/>
      <c r="R21" s="1"/>
      <c r="S21" s="1"/>
      <c r="T21" s="1"/>
      <c r="U21" s="1"/>
      <c r="V21" s="1"/>
      <c r="W21" s="1"/>
      <c r="X21" s="1"/>
      <c r="Y21" s="1"/>
      <c r="Z21" s="1"/>
      <c r="AA21" s="1"/>
      <c r="AB21" s="1"/>
    </row>
    <row x14ac:dyDescent="0.25" r="22" customHeight="1" ht="15">
      <c r="A22" s="193"/>
      <c r="B22" s="193"/>
      <c r="C22" s="193"/>
      <c r="D22" s="193"/>
      <c r="E22" s="279"/>
      <c r="F22" s="280" t="s">
        <v>81</v>
      </c>
      <c r="G22" s="269"/>
      <c r="H22" s="269"/>
      <c r="I22" s="1"/>
      <c r="J22" s="281" t="s">
        <v>15</v>
      </c>
      <c r="K22" s="282"/>
      <c r="L22" s="281" t="s">
        <v>16</v>
      </c>
      <c r="M22" s="283" t="s">
        <v>82</v>
      </c>
      <c r="N22" s="193"/>
      <c r="O22" s="193"/>
      <c r="P22" s="193"/>
      <c r="Q22" s="193"/>
      <c r="R22" s="193"/>
      <c r="S22" s="193"/>
      <c r="T22" s="193"/>
      <c r="U22" s="193"/>
      <c r="V22" s="193"/>
      <c r="W22" s="193"/>
      <c r="X22" s="193"/>
      <c r="Y22" s="193"/>
      <c r="Z22" s="193"/>
      <c r="AA22" s="193"/>
      <c r="AB22" s="193"/>
    </row>
    <row x14ac:dyDescent="0.25" r="23" customHeight="1" ht="15">
      <c r="A23" s="1"/>
      <c r="B23" s="1"/>
      <c r="C23" s="1"/>
      <c r="D23" s="1"/>
      <c r="E23" s="284"/>
      <c r="F23" s="269"/>
      <c r="G23" s="269"/>
      <c r="H23" s="269"/>
      <c r="I23" s="1"/>
      <c r="J23" s="270">
        <f>J20/'Renta Vitalicia'!$F$5</f>
      </c>
      <c r="K23" s="270"/>
      <c r="L23" s="270">
        <f>+J23/12</f>
      </c>
      <c r="M23" s="283" t="s">
        <v>82</v>
      </c>
      <c r="N23" s="1"/>
      <c r="O23" s="1"/>
      <c r="P23" s="1"/>
      <c r="Q23" s="1"/>
      <c r="R23" s="1"/>
      <c r="S23" s="1"/>
      <c r="T23" s="1"/>
      <c r="U23" s="1"/>
      <c r="V23" s="1"/>
      <c r="W23" s="1"/>
      <c r="X23" s="1"/>
      <c r="Y23" s="1"/>
      <c r="Z23" s="1"/>
      <c r="AA23" s="1"/>
      <c r="AB23" s="1"/>
    </row>
    <row x14ac:dyDescent="0.25" r="24" customHeight="1" ht="1.8999999999999997">
      <c r="A24" s="1"/>
      <c r="B24" s="1"/>
      <c r="C24" s="1"/>
      <c r="D24" s="1"/>
      <c r="E24" s="285"/>
      <c r="F24" s="286"/>
      <c r="G24" s="287"/>
      <c r="H24" s="170"/>
      <c r="I24" s="1"/>
      <c r="J24" s="288"/>
      <c r="K24" s="289"/>
      <c r="L24" s="287"/>
      <c r="M24" s="283"/>
      <c r="N24" s="1"/>
      <c r="O24" s="1"/>
      <c r="P24" s="1"/>
      <c r="Q24" s="1"/>
      <c r="R24" s="1"/>
      <c r="S24" s="1"/>
      <c r="T24" s="1"/>
      <c r="U24" s="1"/>
      <c r="V24" s="1"/>
      <c r="W24" s="1"/>
      <c r="X24" s="1"/>
      <c r="Y24" s="1"/>
      <c r="Z24" s="1"/>
      <c r="AA24" s="1"/>
      <c r="AB24" s="1"/>
    </row>
    <row x14ac:dyDescent="0.25" r="25" customHeight="1" ht="15">
      <c r="A25" s="193"/>
      <c r="B25" s="193"/>
      <c r="C25" s="193"/>
      <c r="D25" s="193"/>
      <c r="E25" s="267"/>
      <c r="F25" s="268" t="s">
        <v>83</v>
      </c>
      <c r="G25" s="269"/>
      <c r="H25" s="269"/>
      <c r="I25" s="1"/>
      <c r="J25" s="290">
        <f>L23/('Simulador - 2º Pilar'!F78/12)</f>
      </c>
      <c r="K25" s="290"/>
      <c r="L25" s="290"/>
      <c r="M25" s="283" t="s">
        <v>82</v>
      </c>
      <c r="N25" s="193"/>
      <c r="O25" s="193"/>
      <c r="P25" s="193"/>
      <c r="Q25" s="193"/>
      <c r="R25" s="193"/>
      <c r="S25" s="193"/>
      <c r="T25" s="193"/>
      <c r="U25" s="193"/>
      <c r="V25" s="193"/>
      <c r="W25" s="193"/>
      <c r="X25" s="193"/>
      <c r="Y25" s="193"/>
      <c r="Z25" s="193"/>
      <c r="AA25" s="193"/>
      <c r="AB25" s="193"/>
    </row>
    <row x14ac:dyDescent="0.25" r="26" customHeight="1" ht="7.5">
      <c r="A26" s="1"/>
      <c r="B26" s="1"/>
      <c r="C26" s="1"/>
      <c r="D26" s="1"/>
      <c r="E26" s="1"/>
      <c r="F26" s="1"/>
      <c r="G26" s="1"/>
      <c r="H26" s="170"/>
      <c r="I26" s="1"/>
      <c r="J26" s="170"/>
      <c r="K26" s="1"/>
      <c r="L26" s="170"/>
      <c r="M26" s="1"/>
      <c r="N26" s="1"/>
      <c r="O26" s="1"/>
      <c r="P26" s="1"/>
      <c r="Q26" s="1"/>
      <c r="R26" s="1"/>
      <c r="S26" s="1"/>
      <c r="T26" s="1"/>
      <c r="U26" s="1"/>
      <c r="V26" s="1"/>
      <c r="W26" s="1"/>
      <c r="X26" s="1"/>
      <c r="Y26" s="1"/>
      <c r="Z26" s="1"/>
      <c r="AA26" s="1"/>
      <c r="AB26" s="1"/>
    </row>
    <row x14ac:dyDescent="0.25" r="27" customHeight="1" ht="4.15">
      <c r="A27" s="1"/>
      <c r="B27" s="1"/>
      <c r="C27" s="1"/>
      <c r="D27" s="1"/>
      <c r="E27" s="1"/>
      <c r="F27" s="1"/>
      <c r="G27" s="1"/>
      <c r="H27" s="170"/>
      <c r="I27" s="1"/>
      <c r="J27" s="170"/>
      <c r="K27" s="1"/>
      <c r="L27" s="170"/>
      <c r="M27" s="1"/>
      <c r="N27" s="1"/>
      <c r="O27" s="1"/>
      <c r="P27" s="1"/>
      <c r="Q27" s="1"/>
      <c r="R27" s="1"/>
      <c r="S27" s="1"/>
      <c r="T27" s="1"/>
      <c r="U27" s="1"/>
      <c r="V27" s="1"/>
      <c r="W27" s="1"/>
      <c r="X27" s="1"/>
      <c r="Y27" s="1"/>
      <c r="Z27" s="1"/>
      <c r="AA27" s="1"/>
      <c r="AB27" s="1"/>
    </row>
    <row x14ac:dyDescent="0.25" r="28" customHeight="1" ht="18" customFormat="1" s="23">
      <c r="A28" s="24"/>
      <c r="B28" s="24"/>
      <c r="C28" s="24"/>
      <c r="D28" s="24"/>
      <c r="E28" s="291" t="s">
        <v>84</v>
      </c>
      <c r="F28" s="291"/>
      <c r="G28" s="291"/>
      <c r="H28" s="292"/>
      <c r="I28" s="291"/>
      <c r="J28" s="292"/>
      <c r="K28" s="291"/>
      <c r="L28" s="292"/>
      <c r="M28" s="293"/>
      <c r="N28" s="293"/>
      <c r="O28" s="293"/>
      <c r="P28" s="293"/>
      <c r="Q28" s="293"/>
      <c r="R28" s="293"/>
      <c r="S28" s="293"/>
      <c r="T28" s="24"/>
      <c r="U28" s="24"/>
      <c r="V28" s="24"/>
      <c r="W28" s="24"/>
      <c r="X28" s="24"/>
      <c r="Y28" s="24"/>
      <c r="Z28" s="24"/>
      <c r="AA28" s="24"/>
      <c r="AB28" s="24"/>
    </row>
    <row x14ac:dyDescent="0.25" r="29" customHeight="1" ht="1.8999999999999997" customFormat="1" s="23">
      <c r="A29" s="24"/>
      <c r="B29" s="24"/>
      <c r="C29" s="24"/>
      <c r="D29" s="24"/>
      <c r="E29" s="293"/>
      <c r="F29" s="293"/>
      <c r="G29" s="291"/>
      <c r="H29" s="292"/>
      <c r="I29" s="291"/>
      <c r="J29" s="294"/>
      <c r="K29" s="24"/>
      <c r="L29" s="294"/>
      <c r="M29" s="24"/>
      <c r="N29" s="24"/>
      <c r="O29" s="293"/>
      <c r="P29" s="293"/>
      <c r="Q29" s="293"/>
      <c r="R29" s="293"/>
      <c r="S29" s="293"/>
      <c r="T29" s="24"/>
      <c r="U29" s="24"/>
      <c r="V29" s="24"/>
      <c r="W29" s="24"/>
      <c r="X29" s="24"/>
      <c r="Y29" s="24"/>
      <c r="Z29" s="24"/>
      <c r="AA29" s="24"/>
      <c r="AB29" s="24"/>
    </row>
    <row x14ac:dyDescent="0.25" r="30" customHeight="1" ht="15">
      <c r="A30" s="1"/>
      <c r="B30" s="1"/>
      <c r="C30" s="1"/>
      <c r="D30" s="1"/>
      <c r="E30" s="295"/>
      <c r="F30" s="296" t="s">
        <v>85</v>
      </c>
      <c r="G30" s="297"/>
      <c r="H30" s="297"/>
      <c r="I30" s="1"/>
      <c r="J30" s="298" t="s">
        <v>86</v>
      </c>
      <c r="K30" s="299"/>
      <c r="L30" s="298"/>
      <c r="M30" s="193"/>
      <c r="N30" s="193"/>
      <c r="O30" s="1"/>
      <c r="P30" s="1"/>
      <c r="Q30" s="1"/>
      <c r="R30" s="1"/>
      <c r="S30" s="1"/>
      <c r="T30" s="1"/>
      <c r="U30" s="1"/>
      <c r="V30" s="1"/>
      <c r="W30" s="1"/>
      <c r="X30" s="1"/>
      <c r="Y30" s="1"/>
      <c r="Z30" s="1"/>
      <c r="AA30" s="1"/>
      <c r="AB30" s="1"/>
    </row>
    <row x14ac:dyDescent="0.25" r="31" customHeight="1" ht="1.8999999999999997">
      <c r="A31" s="1"/>
      <c r="B31" s="1"/>
      <c r="C31" s="1"/>
      <c r="D31" s="1"/>
      <c r="E31" s="1"/>
      <c r="F31" s="193"/>
      <c r="G31" s="271"/>
      <c r="H31" s="272"/>
      <c r="I31" s="1"/>
      <c r="J31" s="170"/>
      <c r="K31" s="1"/>
      <c r="L31" s="170"/>
      <c r="M31" s="1"/>
      <c r="N31" s="1"/>
      <c r="O31" s="1"/>
      <c r="P31" s="193" t="s">
        <v>86</v>
      </c>
      <c r="Q31" s="1"/>
      <c r="R31" s="1"/>
      <c r="S31" s="1"/>
      <c r="T31" s="1"/>
      <c r="U31" s="1"/>
      <c r="V31" s="1"/>
      <c r="W31" s="1"/>
      <c r="X31" s="1"/>
      <c r="Y31" s="1"/>
      <c r="Z31" s="1"/>
      <c r="AA31" s="1"/>
      <c r="AB31" s="1"/>
    </row>
    <row x14ac:dyDescent="0.25" r="32" customHeight="1" ht="15">
      <c r="A32" s="1"/>
      <c r="B32" s="1"/>
      <c r="C32" s="1"/>
      <c r="D32" s="1"/>
      <c r="E32" s="295"/>
      <c r="F32" s="296" t="s">
        <v>87</v>
      </c>
      <c r="G32" s="297"/>
      <c r="H32" s="297"/>
      <c r="I32" s="1"/>
      <c r="J32" s="300">
        <v>0</v>
      </c>
      <c r="K32" s="301"/>
      <c r="L32" s="302">
        <f>IF(J32&gt;J20,J20,J32)</f>
      </c>
      <c r="M32" s="1"/>
      <c r="N32" s="1"/>
      <c r="O32" s="1"/>
      <c r="P32" s="1"/>
      <c r="Q32" s="1"/>
      <c r="R32" s="1"/>
      <c r="S32" s="1"/>
      <c r="T32" s="1"/>
      <c r="U32" s="1"/>
      <c r="V32" s="1"/>
      <c r="W32" s="1"/>
      <c r="X32" s="1"/>
      <c r="Y32" s="1"/>
      <c r="Z32" s="1"/>
      <c r="AA32" s="1"/>
      <c r="AB32" s="1"/>
    </row>
    <row x14ac:dyDescent="0.25" r="33" customHeight="1" ht="1.8999999999999997">
      <c r="A33" s="1"/>
      <c r="B33" s="1"/>
      <c r="C33" s="1"/>
      <c r="D33" s="1"/>
      <c r="E33" s="1"/>
      <c r="F33" s="193"/>
      <c r="G33" s="271"/>
      <c r="H33" s="272"/>
      <c r="I33" s="1"/>
      <c r="J33" s="170"/>
      <c r="K33" s="1"/>
      <c r="L33" s="303"/>
      <c r="M33" s="1"/>
      <c r="N33" s="1"/>
      <c r="O33" s="1"/>
      <c r="P33" s="193" t="s">
        <v>88</v>
      </c>
      <c r="Q33" s="1"/>
      <c r="R33" s="1"/>
      <c r="S33" s="1"/>
      <c r="T33" s="1"/>
      <c r="U33" s="1"/>
      <c r="V33" s="1"/>
      <c r="W33" s="1"/>
      <c r="X33" s="1"/>
      <c r="Y33" s="1"/>
      <c r="Z33" s="1"/>
      <c r="AA33" s="1"/>
      <c r="AB33" s="1"/>
    </row>
    <row x14ac:dyDescent="0.25" r="34" customHeight="1" ht="15">
      <c r="A34" s="1"/>
      <c r="B34" s="1"/>
      <c r="C34" s="1"/>
      <c r="D34" s="1"/>
      <c r="E34" s="295"/>
      <c r="F34" s="296" t="s">
        <v>89</v>
      </c>
      <c r="G34" s="304"/>
      <c r="H34" s="304"/>
      <c r="I34" s="1"/>
      <c r="J34" s="298" t="s">
        <v>90</v>
      </c>
      <c r="K34" s="299"/>
      <c r="L34" s="298"/>
      <c r="M34" s="1"/>
      <c r="N34" s="1"/>
      <c r="O34" s="1"/>
      <c r="P34" s="1"/>
      <c r="Q34" s="1"/>
      <c r="R34" s="1"/>
      <c r="S34" s="1"/>
      <c r="T34" s="1"/>
      <c r="U34" s="1"/>
      <c r="V34" s="1"/>
      <c r="W34" s="1"/>
      <c r="X34" s="1"/>
      <c r="Y34" s="1"/>
      <c r="Z34" s="1"/>
      <c r="AA34" s="1"/>
      <c r="AB34" s="1"/>
    </row>
    <row x14ac:dyDescent="0.25" r="35" customHeight="1" ht="1.8999999999999997">
      <c r="A35" s="1"/>
      <c r="B35" s="1"/>
      <c r="C35" s="1"/>
      <c r="D35" s="1"/>
      <c r="E35" s="1"/>
      <c r="F35" s="193"/>
      <c r="G35" s="271"/>
      <c r="H35" s="272"/>
      <c r="I35" s="1"/>
      <c r="J35" s="170"/>
      <c r="K35" s="1"/>
      <c r="L35" s="170"/>
      <c r="M35" s="1"/>
      <c r="N35" s="1"/>
      <c r="O35" s="1"/>
      <c r="P35" s="1"/>
      <c r="Q35" s="1"/>
      <c r="R35" s="1"/>
      <c r="S35" s="1"/>
      <c r="T35" s="1"/>
      <c r="U35" s="1"/>
      <c r="V35" s="1"/>
      <c r="W35" s="1"/>
      <c r="X35" s="1"/>
      <c r="Y35" s="1"/>
      <c r="Z35" s="1"/>
      <c r="AA35" s="1"/>
      <c r="AB35" s="1"/>
    </row>
    <row x14ac:dyDescent="0.25" r="36" customHeight="1" ht="15">
      <c r="A36" s="1"/>
      <c r="B36" s="1"/>
      <c r="C36" s="1"/>
      <c r="D36" s="1"/>
      <c r="E36" s="305"/>
      <c r="F36" s="306">
        <f>IF(J34="Número de años a percibir la renta",G56,G55)</f>
      </c>
      <c r="G36" s="297"/>
      <c r="H36" s="297"/>
      <c r="I36" s="1"/>
      <c r="J36" s="307">
        <v>0</v>
      </c>
      <c r="K36" s="308"/>
      <c r="L36" s="302">
        <f>IF(J36=0,"Inserte "&amp;IF(J34=G52,"Años","Importe"),J36&amp;IF(AND(J34=G52,J36&gt;0)," Años",IF(AND(J34=G53,J36&gt;0)," €","Inserte "&amp;IF(J34=G52,"Años","Importe"))))</f>
      </c>
      <c r="M36" s="1"/>
      <c r="N36" s="1"/>
      <c r="O36" s="1"/>
      <c r="P36" s="1"/>
      <c r="Q36" s="1"/>
      <c r="R36" s="1"/>
      <c r="S36" s="1"/>
      <c r="T36" s="1"/>
      <c r="U36" s="1"/>
      <c r="V36" s="1"/>
      <c r="W36" s="1"/>
      <c r="X36" s="1"/>
      <c r="Y36" s="1"/>
      <c r="Z36" s="1"/>
      <c r="AA36" s="1"/>
      <c r="AB36" s="1"/>
    </row>
    <row x14ac:dyDescent="0.25" r="37" customHeight="1" ht="1.8999999999999997">
      <c r="A37" s="1"/>
      <c r="B37" s="1"/>
      <c r="C37" s="1"/>
      <c r="D37" s="1"/>
      <c r="E37" s="309"/>
      <c r="F37" s="286"/>
      <c r="G37" s="310"/>
      <c r="H37" s="310"/>
      <c r="I37" s="1"/>
      <c r="J37" s="311"/>
      <c r="K37" s="308"/>
      <c r="L37" s="303"/>
      <c r="M37" s="1"/>
      <c r="N37" s="1"/>
      <c r="O37" s="1"/>
      <c r="P37" s="1"/>
      <c r="Q37" s="1"/>
      <c r="R37" s="1"/>
      <c r="S37" s="1"/>
      <c r="T37" s="1"/>
      <c r="U37" s="1"/>
      <c r="V37" s="1"/>
      <c r="W37" s="1"/>
      <c r="X37" s="1"/>
      <c r="Y37" s="1"/>
      <c r="Z37" s="1"/>
      <c r="AA37" s="1"/>
      <c r="AB37" s="1"/>
    </row>
    <row x14ac:dyDescent="0.25" r="38" customHeight="1" ht="15" customFormat="1" s="23">
      <c r="A38" s="24"/>
      <c r="B38" s="24"/>
      <c r="C38" s="24"/>
      <c r="D38" s="24"/>
      <c r="E38" s="295"/>
      <c r="F38" s="306">
        <f>IF(J30="Capital",G61,IF(J34="Número de años a percibir la renta",G59,G58))</f>
      </c>
      <c r="G38" s="297"/>
      <c r="H38" s="297"/>
      <c r="I38" s="24"/>
      <c r="J38" s="312">
        <f>IFERROR(IF(J30="Capital",ROUND(J20,2)&amp;" "&amp;"Euros",IF(J32=0,"Inserte fondo a convertir",IF(J34="Importe estimado mensual de cada término",IF(AND(J36&gt;=J32,J32&gt;0),"Importe demasiado alto",_xlfn.IFNA((ROUND('Renta temp.'!J14,2)&amp;" "&amp;"Años"),"Importe demasiado bajo")),IFERROR((MAX(MAX(ROUND('Renta temp.'!J14,2),IF(J32&lt;=0,0,ROUND(1/12,2))),ROUND('Renta temp.'!J14,2)))&amp;" "&amp;"Euros/Mes","Inserte número de años")))),"-")</f>
      </c>
      <c r="K38" s="312"/>
      <c r="L38" s="312"/>
      <c r="M38" s="24"/>
      <c r="N38" s="24"/>
      <c r="O38" s="24"/>
      <c r="P38" s="24"/>
      <c r="Q38" s="24"/>
      <c r="R38" s="24"/>
      <c r="S38" s="24"/>
      <c r="T38" s="24"/>
      <c r="U38" s="24"/>
      <c r="V38" s="24"/>
      <c r="W38" s="24"/>
      <c r="X38" s="24"/>
      <c r="Y38" s="24"/>
      <c r="Z38" s="24"/>
      <c r="AA38" s="24"/>
      <c r="AB38" s="24"/>
    </row>
    <row x14ac:dyDescent="0.25" r="39" customHeight="1" ht="4.15">
      <c r="A39" s="1"/>
      <c r="B39" s="1"/>
      <c r="C39" s="1"/>
      <c r="D39" s="1"/>
      <c r="E39" s="1"/>
      <c r="F39" s="1"/>
      <c r="G39" s="1"/>
      <c r="H39" s="170"/>
      <c r="I39" s="1"/>
      <c r="J39" s="311"/>
      <c r="K39" s="308"/>
      <c r="L39" s="311"/>
      <c r="M39" s="1"/>
      <c r="N39" s="1"/>
      <c r="O39" s="1"/>
      <c r="P39" s="1"/>
      <c r="Q39" s="1"/>
      <c r="R39" s="1"/>
      <c r="S39" s="1"/>
      <c r="T39" s="1"/>
      <c r="U39" s="1"/>
      <c r="V39" s="1"/>
      <c r="W39" s="1"/>
      <c r="X39" s="1"/>
      <c r="Y39" s="1"/>
      <c r="Z39" s="1"/>
      <c r="AA39" s="1"/>
      <c r="AB39" s="1"/>
    </row>
    <row x14ac:dyDescent="0.25" r="40" customHeight="1" ht="18.75">
      <c r="A40" s="1"/>
      <c r="B40" s="1"/>
      <c r="C40" s="1"/>
      <c r="D40" s="1"/>
      <c r="E40" s="1"/>
      <c r="F40" s="1"/>
      <c r="G40" s="1"/>
      <c r="H40" s="170"/>
      <c r="I40" s="1"/>
      <c r="J40" s="170"/>
      <c r="K40" s="1"/>
      <c r="L40" s="170"/>
      <c r="M40" s="1"/>
      <c r="N40" s="1"/>
      <c r="O40" s="1"/>
      <c r="P40" s="1"/>
      <c r="Q40" s="1"/>
      <c r="R40" s="1"/>
      <c r="S40" s="1"/>
      <c r="T40" s="1"/>
      <c r="U40" s="1"/>
      <c r="V40" s="1"/>
      <c r="W40" s="1"/>
      <c r="X40" s="1"/>
      <c r="Y40" s="1"/>
      <c r="Z40" s="1"/>
      <c r="AA40" s="1"/>
      <c r="AB40" s="1"/>
    </row>
    <row x14ac:dyDescent="0.25" r="41" customHeight="1" ht="1.8999999999999997">
      <c r="A41" s="1"/>
      <c r="B41" s="1"/>
      <c r="C41" s="1"/>
      <c r="D41" s="1"/>
      <c r="E41" s="1"/>
      <c r="F41" s="1"/>
      <c r="G41" s="1"/>
      <c r="H41" s="170"/>
      <c r="I41" s="1"/>
      <c r="J41" s="170"/>
      <c r="K41" s="1"/>
      <c r="L41" s="170"/>
      <c r="M41" s="1"/>
      <c r="N41" s="1"/>
      <c r="O41" s="1"/>
      <c r="P41" s="1"/>
      <c r="Q41" s="1"/>
      <c r="R41" s="193" t="s">
        <v>86</v>
      </c>
      <c r="S41" s="1"/>
      <c r="T41" s="1"/>
      <c r="U41" s="1"/>
      <c r="V41" s="1"/>
      <c r="W41" s="1"/>
      <c r="X41" s="1"/>
      <c r="Y41" s="1"/>
      <c r="Z41" s="1"/>
      <c r="AA41" s="1"/>
      <c r="AB41" s="1"/>
    </row>
    <row x14ac:dyDescent="0.25" r="42" customHeight="1" ht="15">
      <c r="A42" s="1"/>
      <c r="B42" s="1"/>
      <c r="C42" s="1"/>
      <c r="D42" s="1"/>
      <c r="E42" s="267"/>
      <c r="F42" s="268" t="s">
        <v>91</v>
      </c>
      <c r="G42" s="269"/>
      <c r="H42" s="269"/>
      <c r="I42" s="1"/>
      <c r="J42" s="270">
        <f>'Simulador - 3º Pilar'!G23</f>
      </c>
      <c r="K42" s="270"/>
      <c r="L42" s="170"/>
      <c r="M42" s="1"/>
      <c r="N42" s="1"/>
      <c r="O42" s="1"/>
      <c r="P42" s="1"/>
      <c r="Q42" s="1"/>
      <c r="R42" s="1"/>
      <c r="S42" s="1"/>
      <c r="T42" s="1"/>
      <c r="U42" s="1"/>
      <c r="V42" s="1"/>
      <c r="W42" s="1"/>
      <c r="X42" s="1"/>
      <c r="Y42" s="1"/>
      <c r="Z42" s="1"/>
      <c r="AA42" s="1"/>
      <c r="AB42" s="1"/>
    </row>
    <row x14ac:dyDescent="0.25" r="43" customHeight="1" ht="18.75">
      <c r="A43" s="1"/>
      <c r="B43" s="1"/>
      <c r="C43" s="1"/>
      <c r="D43" s="1"/>
      <c r="E43" s="1"/>
      <c r="F43" s="1"/>
      <c r="G43" s="1"/>
      <c r="H43" s="170"/>
      <c r="I43" s="1"/>
      <c r="J43" s="170"/>
      <c r="K43" s="1"/>
      <c r="L43" s="170"/>
      <c r="M43" s="1"/>
      <c r="N43" s="1"/>
      <c r="O43" s="1"/>
      <c r="P43" s="1"/>
      <c r="Q43" s="1"/>
      <c r="R43" s="1"/>
      <c r="S43" s="1"/>
      <c r="T43" s="1"/>
      <c r="U43" s="1"/>
      <c r="V43" s="1"/>
      <c r="W43" s="1"/>
      <c r="X43" s="1"/>
      <c r="Y43" s="1"/>
      <c r="Z43" s="1"/>
      <c r="AA43" s="1"/>
      <c r="AB43" s="1"/>
    </row>
    <row x14ac:dyDescent="0.25" r="44" customHeight="1" ht="18.75">
      <c r="A44" s="1"/>
      <c r="B44" s="1"/>
      <c r="C44" s="1"/>
      <c r="D44" s="1"/>
      <c r="E44" s="1"/>
      <c r="F44" s="1"/>
      <c r="G44" s="1"/>
      <c r="H44" s="170"/>
      <c r="I44" s="1"/>
      <c r="J44" s="170"/>
      <c r="K44" s="1"/>
      <c r="L44" s="170"/>
      <c r="M44" s="1"/>
      <c r="N44" s="1"/>
      <c r="O44" s="1"/>
      <c r="P44" s="1"/>
      <c r="Q44" s="1"/>
      <c r="R44" s="1"/>
      <c r="S44" s="1"/>
      <c r="T44" s="1"/>
      <c r="U44" s="1"/>
      <c r="V44" s="1"/>
      <c r="W44" s="1"/>
      <c r="X44" s="1"/>
      <c r="Y44" s="1"/>
      <c r="Z44" s="1"/>
      <c r="AA44" s="1"/>
      <c r="AB44" s="1"/>
    </row>
    <row x14ac:dyDescent="0.25" r="45" customHeight="1" ht="18.75">
      <c r="A45" s="1"/>
      <c r="B45" s="1"/>
      <c r="C45" s="1"/>
      <c r="D45" s="1"/>
      <c r="E45" s="1"/>
      <c r="F45" s="1"/>
      <c r="G45" s="1"/>
      <c r="H45" s="170"/>
      <c r="I45" s="1"/>
      <c r="J45" s="170"/>
      <c r="K45" s="313"/>
      <c r="L45" s="314"/>
      <c r="M45" s="315"/>
      <c r="N45" s="1"/>
      <c r="O45" s="1"/>
      <c r="P45" s="1"/>
      <c r="Q45" s="1"/>
      <c r="R45" s="1"/>
      <c r="S45" s="1"/>
      <c r="T45" s="1"/>
      <c r="U45" s="1"/>
      <c r="V45" s="1"/>
      <c r="W45" s="1"/>
      <c r="X45" s="1"/>
      <c r="Y45" s="1"/>
      <c r="Z45" s="1"/>
      <c r="AA45" s="1"/>
      <c r="AB45" s="1"/>
    </row>
    <row x14ac:dyDescent="0.25" r="46" customHeight="1" ht="18.75">
      <c r="A46" s="1"/>
      <c r="B46" s="1"/>
      <c r="C46" s="1"/>
      <c r="D46" s="1"/>
      <c r="E46" s="1"/>
      <c r="F46" s="1"/>
      <c r="G46" s="247" t="s">
        <v>65</v>
      </c>
      <c r="H46" s="170"/>
      <c r="I46" s="1"/>
      <c r="J46" s="170"/>
      <c r="K46" s="313"/>
      <c r="L46" s="314"/>
      <c r="M46" s="315"/>
      <c r="N46" s="1"/>
      <c r="O46" s="1"/>
      <c r="P46" s="1"/>
      <c r="Q46" s="1"/>
      <c r="R46" s="1"/>
      <c r="S46" s="1"/>
      <c r="T46" s="1"/>
      <c r="U46" s="1"/>
      <c r="V46" s="1"/>
      <c r="W46" s="1"/>
      <c r="X46" s="1"/>
      <c r="Y46" s="1"/>
      <c r="Z46" s="1"/>
      <c r="AA46" s="1"/>
      <c r="AB46" s="1"/>
    </row>
    <row x14ac:dyDescent="0.25" r="47" customHeight="1" ht="18.75">
      <c r="A47" s="1"/>
      <c r="B47" s="1"/>
      <c r="C47" s="1"/>
      <c r="D47" s="1"/>
      <c r="E47" s="1"/>
      <c r="F47" s="1"/>
      <c r="G47" s="1"/>
      <c r="H47" s="170"/>
      <c r="I47" s="1"/>
      <c r="J47" s="170"/>
      <c r="K47" s="316"/>
      <c r="L47" s="317"/>
      <c r="M47" s="315"/>
      <c r="N47" s="1"/>
      <c r="O47" s="1"/>
      <c r="P47" s="1"/>
      <c r="Q47" s="1"/>
      <c r="R47" s="1"/>
      <c r="S47" s="1"/>
      <c r="T47" s="1"/>
      <c r="U47" s="1"/>
      <c r="V47" s="1"/>
      <c r="W47" s="1"/>
      <c r="X47" s="1"/>
      <c r="Y47" s="1"/>
      <c r="Z47" s="1"/>
      <c r="AA47" s="1"/>
      <c r="AB47" s="1"/>
    </row>
    <row x14ac:dyDescent="0.25" r="48" customHeight="1" ht="18.75">
      <c r="A48" s="1"/>
      <c r="B48" s="1"/>
      <c r="C48" s="1"/>
      <c r="D48" s="1"/>
      <c r="E48" s="1"/>
      <c r="F48" s="1"/>
      <c r="G48" s="249" t="s">
        <v>92</v>
      </c>
      <c r="H48" s="318">
        <f>(L32/'Renta Vitalicia'!$F$5)/12</f>
      </c>
      <c r="I48" s="1"/>
      <c r="J48" s="170"/>
      <c r="K48" s="316"/>
      <c r="L48" s="317"/>
      <c r="M48" s="315"/>
      <c r="N48" s="1"/>
      <c r="O48" s="1"/>
      <c r="P48" s="1"/>
      <c r="Q48" s="1"/>
      <c r="R48" s="1"/>
      <c r="S48" s="1"/>
      <c r="T48" s="1"/>
      <c r="U48" s="1"/>
      <c r="V48" s="1"/>
      <c r="W48" s="1"/>
      <c r="X48" s="1"/>
      <c r="Y48" s="1"/>
      <c r="Z48" s="1"/>
      <c r="AA48" s="1"/>
      <c r="AB48" s="1"/>
    </row>
    <row x14ac:dyDescent="0.25" r="49" customHeight="1" ht="18.75">
      <c r="A49" s="1"/>
      <c r="B49" s="1"/>
      <c r="C49" s="1"/>
      <c r="D49" s="1"/>
      <c r="E49" s="1"/>
      <c r="F49" s="1"/>
      <c r="G49" s="1"/>
      <c r="H49" s="170"/>
      <c r="I49" s="1"/>
      <c r="J49" s="170"/>
      <c r="K49" s="316"/>
      <c r="L49" s="317"/>
      <c r="M49" s="315"/>
      <c r="N49" s="1"/>
      <c r="O49" s="1"/>
      <c r="P49" s="1"/>
      <c r="Q49" s="1"/>
      <c r="R49" s="1"/>
      <c r="S49" s="1"/>
      <c r="T49" s="1"/>
      <c r="U49" s="1"/>
      <c r="V49" s="1"/>
      <c r="W49" s="1"/>
      <c r="X49" s="1"/>
      <c r="Y49" s="1"/>
      <c r="Z49" s="1"/>
      <c r="AA49" s="1"/>
      <c r="AB49" s="1"/>
    </row>
    <row x14ac:dyDescent="0.25" r="50" customHeight="1" ht="18.75">
      <c r="A50" s="1"/>
      <c r="B50" s="1"/>
      <c r="C50" s="1"/>
      <c r="D50" s="1"/>
      <c r="E50" s="1"/>
      <c r="F50" s="1"/>
      <c r="G50" s="1"/>
      <c r="H50" s="170"/>
      <c r="I50" s="1"/>
      <c r="J50" s="170"/>
      <c r="K50" s="316"/>
      <c r="L50" s="317"/>
      <c r="M50" s="315"/>
      <c r="N50" s="1"/>
      <c r="O50" s="1"/>
      <c r="P50" s="1"/>
      <c r="Q50" s="1"/>
      <c r="R50" s="1"/>
      <c r="S50" s="1"/>
      <c r="T50" s="1"/>
      <c r="U50" s="1"/>
      <c r="V50" s="1"/>
      <c r="W50" s="1"/>
      <c r="X50" s="1"/>
      <c r="Y50" s="1"/>
      <c r="Z50" s="1"/>
      <c r="AA50" s="1"/>
      <c r="AB50" s="1"/>
    </row>
    <row x14ac:dyDescent="0.25" r="51" customHeight="1" ht="18.75">
      <c r="A51" s="1"/>
      <c r="B51" s="1"/>
      <c r="C51" s="1"/>
      <c r="D51" s="1"/>
      <c r="E51" s="1"/>
      <c r="F51" s="1"/>
      <c r="G51" s="249" t="s">
        <v>93</v>
      </c>
      <c r="H51" s="170"/>
      <c r="I51" s="1"/>
      <c r="J51" s="170"/>
      <c r="K51" s="316"/>
      <c r="L51" s="317"/>
      <c r="M51" s="315"/>
      <c r="N51" s="1"/>
      <c r="O51" s="1"/>
      <c r="P51" s="1"/>
      <c r="Q51" s="1"/>
      <c r="R51" s="1"/>
      <c r="S51" s="1"/>
      <c r="T51" s="1"/>
      <c r="U51" s="1"/>
      <c r="V51" s="1"/>
      <c r="W51" s="1"/>
      <c r="X51" s="1"/>
      <c r="Y51" s="1"/>
      <c r="Z51" s="1"/>
      <c r="AA51" s="1"/>
      <c r="AB51" s="1"/>
    </row>
    <row x14ac:dyDescent="0.25" r="52" customHeight="1" ht="18.75">
      <c r="A52" s="1"/>
      <c r="B52" s="1"/>
      <c r="C52" s="1"/>
      <c r="D52" s="1"/>
      <c r="E52" s="1"/>
      <c r="F52" s="1"/>
      <c r="G52" s="319" t="s">
        <v>94</v>
      </c>
      <c r="H52" s="170"/>
      <c r="I52" s="1"/>
      <c r="J52" s="170"/>
      <c r="K52" s="316"/>
      <c r="L52" s="317"/>
      <c r="M52" s="315"/>
      <c r="N52" s="1"/>
      <c r="O52" s="1"/>
      <c r="P52" s="1"/>
      <c r="Q52" s="1"/>
      <c r="R52" s="1"/>
      <c r="S52" s="1"/>
      <c r="T52" s="1"/>
      <c r="U52" s="1"/>
      <c r="V52" s="1"/>
      <c r="W52" s="1"/>
      <c r="X52" s="1"/>
      <c r="Y52" s="1"/>
      <c r="Z52" s="1"/>
      <c r="AA52" s="1"/>
      <c r="AB52" s="1"/>
    </row>
    <row x14ac:dyDescent="0.25" r="53" customHeight="1" ht="18.75">
      <c r="A53" s="1"/>
      <c r="B53" s="1"/>
      <c r="C53" s="1"/>
      <c r="D53" s="1"/>
      <c r="E53" s="1"/>
      <c r="F53" s="1"/>
      <c r="G53" s="319" t="s">
        <v>90</v>
      </c>
      <c r="H53" s="170"/>
      <c r="I53" s="1"/>
      <c r="J53" s="170"/>
      <c r="K53" s="316"/>
      <c r="L53" s="317"/>
      <c r="M53" s="315"/>
      <c r="N53" s="1"/>
      <c r="O53" s="1"/>
      <c r="P53" s="1"/>
      <c r="Q53" s="1"/>
      <c r="R53" s="1"/>
      <c r="S53" s="1"/>
      <c r="T53" s="1"/>
      <c r="U53" s="1"/>
      <c r="V53" s="1"/>
      <c r="W53" s="1"/>
      <c r="X53" s="1"/>
      <c r="Y53" s="1"/>
      <c r="Z53" s="1"/>
      <c r="AA53" s="1"/>
      <c r="AB53" s="1"/>
    </row>
    <row x14ac:dyDescent="0.25" r="54" customHeight="1" ht="18.75">
      <c r="A54" s="1"/>
      <c r="B54" s="1"/>
      <c r="C54" s="1"/>
      <c r="D54" s="1"/>
      <c r="E54" s="1"/>
      <c r="F54" s="1"/>
      <c r="G54" s="249" t="s">
        <v>95</v>
      </c>
      <c r="H54" s="170"/>
      <c r="I54" s="1"/>
      <c r="J54" s="170"/>
      <c r="K54" s="316"/>
      <c r="L54" s="317"/>
      <c r="M54" s="315"/>
      <c r="N54" s="1"/>
      <c r="O54" s="1"/>
      <c r="P54" s="1"/>
      <c r="Q54" s="1"/>
      <c r="R54" s="1"/>
      <c r="S54" s="1"/>
      <c r="T54" s="1"/>
      <c r="U54" s="1"/>
      <c r="V54" s="1"/>
      <c r="W54" s="1"/>
      <c r="X54" s="1"/>
      <c r="Y54" s="1"/>
      <c r="Z54" s="1"/>
      <c r="AA54" s="1"/>
      <c r="AB54" s="1"/>
    </row>
    <row x14ac:dyDescent="0.25" r="55" customHeight="1" ht="18.75">
      <c r="A55" s="1"/>
      <c r="B55" s="1"/>
      <c r="C55" s="1"/>
      <c r="D55" s="1"/>
      <c r="E55" s="1"/>
      <c r="F55" s="1"/>
      <c r="G55" s="319" t="s">
        <v>96</v>
      </c>
      <c r="H55" s="170"/>
      <c r="I55" s="1"/>
      <c r="J55" s="170"/>
      <c r="K55" s="316"/>
      <c r="L55" s="317"/>
      <c r="M55" s="315"/>
      <c r="N55" s="1"/>
      <c r="O55" s="1"/>
      <c r="P55" s="1"/>
      <c r="Q55" s="1"/>
      <c r="R55" s="1"/>
      <c r="S55" s="1"/>
      <c r="T55" s="1"/>
      <c r="U55" s="1"/>
      <c r="V55" s="1"/>
      <c r="W55" s="1"/>
      <c r="X55" s="1"/>
      <c r="Y55" s="1"/>
      <c r="Z55" s="1"/>
      <c r="AA55" s="1"/>
      <c r="AB55" s="1"/>
    </row>
    <row x14ac:dyDescent="0.25" r="56" customHeight="1" ht="18.75">
      <c r="A56" s="1"/>
      <c r="B56" s="1"/>
      <c r="C56" s="1"/>
      <c r="D56" s="1"/>
      <c r="E56" s="1"/>
      <c r="F56" s="1"/>
      <c r="G56" s="319" t="s">
        <v>97</v>
      </c>
      <c r="H56" s="170"/>
      <c r="I56" s="1"/>
      <c r="J56" s="170"/>
      <c r="K56" s="1"/>
      <c r="L56" s="170"/>
      <c r="M56" s="1"/>
      <c r="N56" s="1"/>
      <c r="O56" s="1"/>
      <c r="P56" s="1"/>
      <c r="Q56" s="1"/>
      <c r="R56" s="1"/>
      <c r="S56" s="1"/>
      <c r="T56" s="1"/>
      <c r="U56" s="1"/>
      <c r="V56" s="1"/>
      <c r="W56" s="1"/>
      <c r="X56" s="1"/>
      <c r="Y56" s="1"/>
      <c r="Z56" s="1"/>
      <c r="AA56" s="1"/>
      <c r="AB56" s="1"/>
    </row>
    <row x14ac:dyDescent="0.25" r="57" customHeight="1" ht="18.75">
      <c r="A57" s="1"/>
      <c r="B57" s="1"/>
      <c r="C57" s="1"/>
      <c r="D57" s="1"/>
      <c r="E57" s="1"/>
      <c r="F57" s="1"/>
      <c r="G57" s="249" t="s">
        <v>95</v>
      </c>
      <c r="H57" s="170"/>
      <c r="I57" s="1"/>
      <c r="J57" s="170"/>
      <c r="K57" s="1"/>
      <c r="L57" s="170"/>
      <c r="M57" s="1"/>
      <c r="N57" s="1"/>
      <c r="O57" s="1"/>
      <c r="P57" s="1"/>
      <c r="Q57" s="1"/>
      <c r="R57" s="1"/>
      <c r="S57" s="1"/>
      <c r="T57" s="1"/>
      <c r="U57" s="1"/>
      <c r="V57" s="1"/>
      <c r="W57" s="1"/>
      <c r="X57" s="1"/>
      <c r="Y57" s="1"/>
      <c r="Z57" s="1"/>
      <c r="AA57" s="1"/>
      <c r="AB57" s="1"/>
    </row>
    <row x14ac:dyDescent="0.25" r="58" customHeight="1" ht="18.75">
      <c r="A58" s="1"/>
      <c r="B58" s="1"/>
      <c r="C58" s="1"/>
      <c r="D58" s="1"/>
      <c r="E58" s="1"/>
      <c r="F58" s="1"/>
      <c r="G58" s="319" t="s">
        <v>98</v>
      </c>
      <c r="H58" s="170"/>
      <c r="I58" s="1"/>
      <c r="J58" s="170"/>
      <c r="K58" s="1"/>
      <c r="L58" s="170"/>
      <c r="M58" s="1"/>
      <c r="N58" s="1"/>
      <c r="O58" s="1"/>
      <c r="P58" s="1"/>
      <c r="Q58" s="1"/>
      <c r="R58" s="1"/>
      <c r="S58" s="1"/>
      <c r="T58" s="1"/>
      <c r="U58" s="1"/>
      <c r="V58" s="1"/>
      <c r="W58" s="1"/>
      <c r="X58" s="1"/>
      <c r="Y58" s="1"/>
      <c r="Z58" s="1"/>
      <c r="AA58" s="1"/>
      <c r="AB58" s="1"/>
    </row>
    <row x14ac:dyDescent="0.25" r="59" customHeight="1" ht="18.75">
      <c r="A59" s="1"/>
      <c r="B59" s="1"/>
      <c r="C59" s="1"/>
      <c r="D59" s="1"/>
      <c r="E59" s="1"/>
      <c r="F59" s="1"/>
      <c r="G59" s="319" t="s">
        <v>99</v>
      </c>
      <c r="H59" s="170"/>
      <c r="I59" s="1"/>
      <c r="J59" s="170"/>
      <c r="K59" s="1"/>
      <c r="L59" s="170"/>
      <c r="M59" s="1"/>
      <c r="N59" s="1"/>
      <c r="O59" s="1"/>
      <c r="P59" s="1"/>
      <c r="Q59" s="1"/>
      <c r="R59" s="1"/>
      <c r="S59" s="1"/>
      <c r="T59" s="1"/>
      <c r="U59" s="1"/>
      <c r="V59" s="1"/>
      <c r="W59" s="1"/>
      <c r="X59" s="1"/>
      <c r="Y59" s="1"/>
      <c r="Z59" s="1"/>
      <c r="AA59" s="1"/>
      <c r="AB59" s="1"/>
    </row>
    <row x14ac:dyDescent="0.25" r="60" customHeight="1" ht="18.75">
      <c r="A60" s="1"/>
      <c r="B60" s="1"/>
      <c r="C60" s="1"/>
      <c r="D60" s="1"/>
      <c r="E60" s="1"/>
      <c r="F60" s="1"/>
      <c r="G60" s="249" t="s">
        <v>100</v>
      </c>
      <c r="H60" s="170"/>
      <c r="I60" s="1"/>
      <c r="J60" s="170"/>
      <c r="K60" s="1"/>
      <c r="L60" s="170"/>
      <c r="M60" s="1"/>
      <c r="N60" s="1"/>
      <c r="O60" s="1"/>
      <c r="P60" s="1"/>
      <c r="Q60" s="1"/>
      <c r="R60" s="1"/>
      <c r="S60" s="1"/>
      <c r="T60" s="1"/>
      <c r="U60" s="1"/>
      <c r="V60" s="1"/>
      <c r="W60" s="1"/>
      <c r="X60" s="1"/>
      <c r="Y60" s="1"/>
      <c r="Z60" s="1"/>
      <c r="AA60" s="1"/>
      <c r="AB60" s="1"/>
    </row>
    <row x14ac:dyDescent="0.25" r="61" customHeight="1" ht="18.75">
      <c r="A61" s="1"/>
      <c r="B61" s="1"/>
      <c r="C61" s="1"/>
      <c r="D61" s="1"/>
      <c r="E61" s="1"/>
      <c r="F61" s="1"/>
      <c r="G61" s="319" t="s">
        <v>101</v>
      </c>
      <c r="H61" s="170"/>
      <c r="I61" s="1"/>
      <c r="J61" s="170"/>
      <c r="K61" s="1"/>
      <c r="L61" s="170"/>
      <c r="M61" s="1"/>
      <c r="N61" s="1"/>
      <c r="O61" s="1"/>
      <c r="P61" s="1"/>
      <c r="Q61" s="1"/>
      <c r="R61" s="1"/>
      <c r="S61" s="1"/>
      <c r="T61" s="1"/>
      <c r="U61" s="1"/>
      <c r="V61" s="1"/>
      <c r="W61" s="1"/>
      <c r="X61" s="1"/>
      <c r="Y61" s="1"/>
      <c r="Z61" s="1"/>
      <c r="AA61" s="1"/>
      <c r="AB61" s="1"/>
    </row>
    <row x14ac:dyDescent="0.25" r="62" customHeight="1" ht="18.75">
      <c r="A62" s="1"/>
      <c r="B62" s="1"/>
      <c r="C62" s="1"/>
      <c r="D62" s="1"/>
      <c r="E62" s="1"/>
      <c r="F62" s="1"/>
      <c r="G62" s="319"/>
      <c r="H62" s="170"/>
      <c r="I62" s="1"/>
      <c r="J62" s="170"/>
      <c r="K62" s="1"/>
      <c r="L62" s="170"/>
      <c r="M62" s="1"/>
      <c r="N62" s="1"/>
      <c r="O62" s="1"/>
      <c r="P62" s="1"/>
      <c r="Q62" s="1"/>
      <c r="R62" s="1"/>
      <c r="S62" s="1"/>
      <c r="T62" s="1"/>
      <c r="U62" s="1"/>
      <c r="V62" s="1"/>
      <c r="W62" s="1"/>
      <c r="X62" s="1"/>
      <c r="Y62" s="1"/>
      <c r="Z62" s="1"/>
      <c r="AA62" s="1"/>
      <c r="AB62" s="1"/>
    </row>
    <row x14ac:dyDescent="0.25" r="63" customHeight="1" ht="18.75">
      <c r="A63" s="1"/>
      <c r="B63" s="1"/>
      <c r="C63" s="1"/>
      <c r="D63" s="1"/>
      <c r="E63" s="1"/>
      <c r="F63" s="1"/>
      <c r="G63" s="249" t="s">
        <v>102</v>
      </c>
      <c r="H63" s="170"/>
      <c r="I63" s="1"/>
      <c r="J63" s="170"/>
      <c r="K63" s="1"/>
      <c r="L63" s="170"/>
      <c r="M63" s="1"/>
      <c r="N63" s="1"/>
      <c r="O63" s="1"/>
      <c r="P63" s="1"/>
      <c r="Q63" s="1"/>
      <c r="R63" s="1"/>
      <c r="S63" s="1"/>
      <c r="T63" s="1"/>
      <c r="U63" s="1"/>
      <c r="V63" s="1"/>
      <c r="W63" s="1"/>
      <c r="X63" s="1"/>
      <c r="Y63" s="1"/>
      <c r="Z63" s="1"/>
      <c r="AA63" s="1"/>
      <c r="AB63" s="1"/>
    </row>
    <row x14ac:dyDescent="0.25" r="64" customHeight="1" ht="18.75">
      <c r="A64" s="1"/>
      <c r="B64" s="1"/>
      <c r="C64" s="1"/>
      <c r="D64" s="1"/>
      <c r="E64" s="1"/>
      <c r="F64" s="1"/>
      <c r="G64" s="319" t="s">
        <v>86</v>
      </c>
      <c r="H64" s="170"/>
      <c r="I64" s="1"/>
      <c r="J64" s="170"/>
      <c r="K64" s="1"/>
      <c r="L64" s="170"/>
      <c r="M64" s="1"/>
      <c r="N64" s="1"/>
      <c r="O64" s="1"/>
      <c r="P64" s="1"/>
      <c r="Q64" s="1"/>
      <c r="R64" s="1"/>
      <c r="S64" s="1"/>
      <c r="T64" s="1"/>
      <c r="U64" s="1"/>
      <c r="V64" s="1"/>
      <c r="W64" s="1"/>
      <c r="X64" s="1"/>
      <c r="Y64" s="1"/>
      <c r="Z64" s="1"/>
      <c r="AA64" s="1"/>
      <c r="AB64" s="1"/>
    </row>
    <row x14ac:dyDescent="0.25" r="65" customHeight="1" ht="18.75">
      <c r="A65" s="1"/>
      <c r="B65" s="1"/>
      <c r="C65" s="1"/>
      <c r="D65" s="1"/>
      <c r="E65" s="1"/>
      <c r="F65" s="1"/>
      <c r="G65" s="319" t="s">
        <v>88</v>
      </c>
      <c r="H65" s="170"/>
      <c r="I65" s="1"/>
      <c r="J65" s="170"/>
      <c r="K65" s="1"/>
      <c r="L65" s="170"/>
      <c r="M65" s="1"/>
      <c r="N65" s="1"/>
      <c r="O65" s="1"/>
      <c r="P65" s="1"/>
      <c r="Q65" s="1"/>
      <c r="R65" s="1"/>
      <c r="S65" s="1"/>
      <c r="T65" s="1"/>
      <c r="U65" s="1"/>
      <c r="V65" s="1"/>
      <c r="W65" s="1"/>
      <c r="X65" s="1"/>
      <c r="Y65" s="1"/>
      <c r="Z65" s="1"/>
      <c r="AA65" s="1"/>
      <c r="AB65" s="1"/>
    </row>
  </sheetData>
  <mergeCells count="24">
    <mergeCell ref="E4:L4"/>
    <mergeCell ref="E6:L6"/>
    <mergeCell ref="F8:H8"/>
    <mergeCell ref="F10:H10"/>
    <mergeCell ref="F12:H12"/>
    <mergeCell ref="F14:H14"/>
    <mergeCell ref="E16:L16"/>
    <mergeCell ref="E18:L18"/>
    <mergeCell ref="F20:H20"/>
    <mergeCell ref="J20:L20"/>
    <mergeCell ref="E22:E23"/>
    <mergeCell ref="F22:H23"/>
    <mergeCell ref="F25:H25"/>
    <mergeCell ref="J25:L25"/>
    <mergeCell ref="E28:L28"/>
    <mergeCell ref="F30:H30"/>
    <mergeCell ref="J30:L30"/>
    <mergeCell ref="F32:H32"/>
    <mergeCell ref="F34:H34"/>
    <mergeCell ref="J34:L34"/>
    <mergeCell ref="F36:H36"/>
    <mergeCell ref="F38:H38"/>
    <mergeCell ref="J38:L38"/>
    <mergeCell ref="F42:H4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FV108"/>
  <sheetViews>
    <sheetView workbookViewId="0"/>
  </sheetViews>
  <sheetFormatPr defaultRowHeight="15" x14ac:dyDescent="0.25"/>
  <cols>
    <col min="1" max="1" style="163" width="13.576428571428572" customWidth="1" bestFit="1" hidden="1"/>
    <col min="2" max="2" style="163" width="1.4335714285714287" customWidth="1" bestFit="1"/>
    <col min="3" max="3" style="163" width="0.5764285714285714" customWidth="1" bestFit="1"/>
    <col min="4" max="4" style="163" width="23.719285714285714" customWidth="1" bestFit="1"/>
    <col min="5" max="5" style="166" width="14.576428571428572" customWidth="1" bestFit="1"/>
    <col min="6" max="6" style="163" width="1.4335714285714287" customWidth="1" bestFit="1"/>
    <col min="7" max="7" style="163" width="0.5764285714285714" customWidth="1" bestFit="1"/>
    <col min="8" max="8" style="163" width="0.5764285714285714" customWidth="1" bestFit="1"/>
    <col min="9" max="9" style="163" width="28.005" customWidth="1" bestFit="1"/>
    <col min="10" max="10" style="166" width="18.433571428571426" customWidth="1" bestFit="1"/>
    <col min="11" max="11" style="165" width="0.2907142857142857" customWidth="1" bestFit="1"/>
    <col min="12" max="12" style="165" width="18.433571428571426" customWidth="1" bestFit="1"/>
    <col min="13" max="13" style="164" width="0.2907142857142857" customWidth="1" bestFit="1"/>
    <col min="14" max="14" style="166" width="18.433571428571426" customWidth="1" bestFit="1"/>
    <col min="15" max="15" style="164" width="11.005" customWidth="1" bestFit="1"/>
    <col min="16" max="16" style="163" width="1.290714285714286" customWidth="1" bestFit="1"/>
    <col min="17" max="17" style="163" width="1.290714285714286" customWidth="1" bestFit="1"/>
    <col min="18" max="18" style="163" width="35.005" customWidth="1" bestFit="1"/>
    <col min="19" max="19" style="163" width="10.290714285714287" customWidth="1" bestFit="1"/>
    <col min="20" max="20" style="163" width="4.433571428571429" customWidth="1" bestFit="1"/>
    <col min="21" max="21" style="163" width="9.290714285714287" customWidth="1" bestFit="1"/>
    <col min="22" max="22" style="163" width="9.290714285714287" customWidth="1" bestFit="1"/>
    <col min="23" max="23" style="163" width="9.290714285714287" customWidth="1" bestFit="1"/>
    <col min="24" max="24" style="163" width="9.290714285714287" customWidth="1" bestFit="1"/>
    <col min="25" max="25" style="163" width="13.719285714285713" customWidth="1" bestFit="1"/>
    <col min="26" max="26" style="163" width="5.2907142857142855" customWidth="1" bestFit="1"/>
    <col min="27" max="27" style="163" width="9.290714285714287" customWidth="1" bestFit="1"/>
    <col min="28" max="28" style="163" width="9.290714285714287" customWidth="1" bestFit="1"/>
    <col min="29" max="29" style="163" width="9.290714285714287" customWidth="1" bestFit="1"/>
    <col min="30" max="30" style="163" width="9.290714285714287" customWidth="1" bestFit="1"/>
    <col min="31" max="31" style="163" width="9.290714285714287" customWidth="1" bestFit="1"/>
    <col min="32" max="32" style="163" width="9.290714285714287" customWidth="1" bestFit="1"/>
    <col min="33" max="33" style="163" width="9.290714285714287" customWidth="1" bestFit="1"/>
    <col min="34" max="34" style="163" width="9.290714285714287" customWidth="1" bestFit="1"/>
    <col min="35" max="35" style="163" width="9.290714285714287" customWidth="1" bestFit="1"/>
    <col min="36" max="36" style="163" width="9.290714285714287" customWidth="1" bestFit="1"/>
    <col min="37" max="37" style="163" width="9.290714285714287" customWidth="1" bestFit="1"/>
    <col min="38" max="38" style="163" width="9.290714285714287" customWidth="1" bestFit="1"/>
    <col min="39" max="39" style="163" width="9.290714285714287" customWidth="1" bestFit="1"/>
    <col min="40" max="40" style="163" width="9.290714285714287" customWidth="1" bestFit="1"/>
    <col min="41" max="41" style="163" width="9.290714285714287" customWidth="1" bestFit="1"/>
    <col min="42" max="42" style="163" width="2.5764285714285715" customWidth="1" bestFit="1"/>
    <col min="43" max="43" style="163" width="9.290714285714287" customWidth="1" bestFit="1"/>
    <col min="44" max="44" style="163" width="9.290714285714287" customWidth="1" bestFit="1"/>
    <col min="45" max="45" style="163" width="9.290714285714287" customWidth="1" bestFit="1"/>
    <col min="46" max="46" style="163" width="9.290714285714287" customWidth="1" bestFit="1"/>
    <col min="47" max="47" style="163" width="9.290714285714287" customWidth="1" bestFit="1"/>
    <col min="48" max="48" style="163" width="9.290714285714287" customWidth="1" bestFit="1"/>
    <col min="49" max="49" style="163" width="9.290714285714287" customWidth="1" bestFit="1"/>
    <col min="50" max="50" style="163" width="9.290714285714287" customWidth="1" bestFit="1"/>
    <col min="51" max="51" style="163" width="9.290714285714287" customWidth="1" bestFit="1"/>
    <col min="52" max="52" style="163" width="9.290714285714287" customWidth="1" bestFit="1"/>
    <col min="53" max="53" style="163" width="9.290714285714287" customWidth="1" bestFit="1"/>
    <col min="54" max="54" style="163" width="9.290714285714287" customWidth="1" bestFit="1"/>
    <col min="55" max="55" style="163" width="9.290714285714287" customWidth="1" bestFit="1"/>
    <col min="56" max="56" style="163" width="9.290714285714287" customWidth="1" bestFit="1"/>
    <col min="57" max="57" style="163" width="9.290714285714287" customWidth="1" bestFit="1"/>
    <col min="58" max="58" style="163" width="9.290714285714287" customWidth="1" bestFit="1"/>
    <col min="59" max="59" style="163" width="9.290714285714287" customWidth="1" bestFit="1"/>
    <col min="60" max="60" style="163" width="9.290714285714287" customWidth="1" bestFit="1"/>
    <col min="61" max="61" style="163" width="9.290714285714287" customWidth="1" bestFit="1"/>
    <col min="62" max="62" style="163" width="9.290714285714287" customWidth="1" bestFit="1"/>
    <col min="63" max="63" style="163" width="9.290714285714287" customWidth="1" bestFit="1"/>
    <col min="64" max="64" style="163" width="9.290714285714287" customWidth="1" bestFit="1"/>
    <col min="65" max="65" style="163" width="9.290714285714287" customWidth="1" bestFit="1"/>
    <col min="66" max="66" style="163" width="9.290714285714287" customWidth="1" bestFit="1"/>
    <col min="67" max="67" style="163" width="9.290714285714287" customWidth="1" bestFit="1"/>
    <col min="68" max="68" style="163" width="9.290714285714287" customWidth="1" bestFit="1"/>
    <col min="69" max="69" style="163" width="9.290714285714287" customWidth="1" bestFit="1"/>
    <col min="70" max="70" style="163" width="9.290714285714287" customWidth="1" bestFit="1"/>
    <col min="71" max="71" style="163" width="9.290714285714287" customWidth="1" bestFit="1"/>
    <col min="72" max="72" style="163" width="9.290714285714287" customWidth="1" bestFit="1"/>
    <col min="73" max="73" style="163" width="9.290714285714287" customWidth="1" bestFit="1"/>
    <col min="74" max="74" style="163" width="9.290714285714287" customWidth="1" bestFit="1"/>
    <col min="75" max="75" style="163" width="9.290714285714287" customWidth="1" bestFit="1"/>
    <col min="76" max="76" style="163" width="9.290714285714287" customWidth="1" bestFit="1"/>
    <col min="77" max="77" style="163" width="9.290714285714287" customWidth="1" bestFit="1"/>
    <col min="78" max="78" style="163" width="13.576428571428572" customWidth="1" bestFit="1"/>
    <col min="79" max="79" style="163" width="13.576428571428572" customWidth="1" bestFit="1"/>
    <col min="80" max="80" style="163" width="13.576428571428572" customWidth="1" bestFit="1"/>
    <col min="81" max="81" style="163" width="13.576428571428572" customWidth="1" bestFit="1"/>
    <col min="82" max="82" style="163" width="13.576428571428572" customWidth="1" bestFit="1"/>
    <col min="83" max="83" style="163" width="13.576428571428572" customWidth="1" bestFit="1"/>
    <col min="84" max="84" style="163" width="13.576428571428572" customWidth="1" bestFit="1"/>
    <col min="85" max="85" style="163" width="13.576428571428572" customWidth="1" bestFit="1"/>
    <col min="86" max="86" style="163" width="13.576428571428572" customWidth="1" bestFit="1"/>
    <col min="87" max="87" style="163" width="13.576428571428572" customWidth="1" bestFit="1"/>
    <col min="88" max="88" style="163" width="13.576428571428572" customWidth="1" bestFit="1"/>
    <col min="89" max="89" style="163" width="13.576428571428572" customWidth="1" bestFit="1"/>
    <col min="90" max="90" style="163" width="13.576428571428572" customWidth="1" bestFit="1"/>
    <col min="91" max="91" style="163" width="13.576428571428572" customWidth="1" bestFit="1"/>
    <col min="92" max="92" style="163" width="13.576428571428572" customWidth="1" bestFit="1"/>
    <col min="93" max="93" style="163" width="13.576428571428572" customWidth="1" bestFit="1"/>
    <col min="94" max="94" style="163" width="13.576428571428572" customWidth="1" bestFit="1"/>
    <col min="95" max="95" style="163" width="13.576428571428572" customWidth="1" bestFit="1"/>
    <col min="96" max="96" style="163" width="13.576428571428572" customWidth="1" bestFit="1"/>
    <col min="97" max="97" style="163" width="13.576428571428572" customWidth="1" bestFit="1"/>
    <col min="98" max="98" style="163" width="13.576428571428572" customWidth="1" bestFit="1"/>
    <col min="99" max="99" style="163" width="13.576428571428572" customWidth="1" bestFit="1"/>
    <col min="100" max="100" style="163" width="13.576428571428572" customWidth="1" bestFit="1"/>
    <col min="101" max="101" style="163" width="13.576428571428572" customWidth="1" bestFit="1"/>
    <col min="102" max="102" style="163" width="13.576428571428572" customWidth="1" bestFit="1"/>
    <col min="103" max="103" style="163" width="13.576428571428572" customWidth="1" bestFit="1"/>
    <col min="104" max="104" style="163" width="13.576428571428572" customWidth="1" bestFit="1"/>
    <col min="105" max="105" style="163" width="13.576428571428572" customWidth="1" bestFit="1"/>
    <col min="106" max="106" style="163" width="13.576428571428572" customWidth="1" bestFit="1"/>
    <col min="107" max="107" style="163" width="13.576428571428572" customWidth="1" bestFit="1"/>
    <col min="108" max="108" style="163" width="13.576428571428572" customWidth="1" bestFit="1"/>
    <col min="109" max="109" style="163" width="13.576428571428572" customWidth="1" bestFit="1"/>
    <col min="110" max="110" style="163" width="13.576428571428572" customWidth="1" bestFit="1"/>
    <col min="111" max="111" style="163" width="13.576428571428572" customWidth="1" bestFit="1"/>
    <col min="112" max="112" style="163" width="13.576428571428572" customWidth="1" bestFit="1"/>
    <col min="113" max="113" style="163" width="13.576428571428572" customWidth="1" bestFit="1"/>
    <col min="114" max="114" style="163" width="13.576428571428572" customWidth="1" bestFit="1"/>
    <col min="115" max="115" style="163" width="13.576428571428572" customWidth="1" bestFit="1"/>
    <col min="116" max="116" style="163" width="13.576428571428572" customWidth="1" bestFit="1"/>
    <col min="117" max="117" style="163" width="13.576428571428572" customWidth="1" bestFit="1"/>
    <col min="118" max="118" style="163" width="13.576428571428572" customWidth="1" bestFit="1"/>
    <col min="119" max="119" style="163" width="13.576428571428572" customWidth="1" bestFit="1"/>
    <col min="120" max="120" style="163" width="13.576428571428572" customWidth="1" bestFit="1"/>
    <col min="121" max="121" style="163" width="13.576428571428572" customWidth="1" bestFit="1"/>
    <col min="122" max="122" style="163" width="13.576428571428572" customWidth="1" bestFit="1"/>
    <col min="123" max="123" style="163" width="13.576428571428572" customWidth="1" bestFit="1"/>
    <col min="124" max="124" style="163" width="13.576428571428572" customWidth="1" bestFit="1"/>
    <col min="125" max="125" style="163" width="13.576428571428572" customWidth="1" bestFit="1"/>
    <col min="126" max="126" style="163" width="13.576428571428572" customWidth="1" bestFit="1"/>
    <col min="127" max="127" style="163" width="13.576428571428572" customWidth="1" bestFit="1"/>
    <col min="128" max="128" style="163" width="13.576428571428572" customWidth="1" bestFit="1"/>
    <col min="129" max="129" style="163" width="13.576428571428572" customWidth="1" bestFit="1"/>
    <col min="130" max="130" style="163" width="13.576428571428572" customWidth="1" bestFit="1"/>
    <col min="131" max="131" style="163" width="13.576428571428572" customWidth="1" bestFit="1"/>
    <col min="132" max="132" style="163" width="13.576428571428572" customWidth="1" bestFit="1"/>
    <col min="133" max="133" style="163" width="13.576428571428572" customWidth="1" bestFit="1"/>
    <col min="134" max="134" style="163" width="13.576428571428572" customWidth="1" bestFit="1"/>
    <col min="135" max="135" style="163" width="13.576428571428572" customWidth="1" bestFit="1"/>
    <col min="136" max="136" style="163" width="13.576428571428572" customWidth="1" bestFit="1"/>
    <col min="137" max="137" style="163" width="13.576428571428572" customWidth="1" bestFit="1"/>
    <col min="138" max="138" style="163" width="13.576428571428572" customWidth="1" bestFit="1"/>
    <col min="139" max="139" style="163" width="13.576428571428572" customWidth="1" bestFit="1"/>
    <col min="140" max="140" style="163" width="13.576428571428572" customWidth="1" bestFit="1"/>
    <col min="141" max="141" style="163" width="13.576428571428572" customWidth="1" bestFit="1"/>
    <col min="142" max="142" style="163" width="13.576428571428572" customWidth="1" bestFit="1"/>
    <col min="143" max="143" style="163" width="13.576428571428572" customWidth="1" bestFit="1"/>
    <col min="144" max="144" style="163" width="13.576428571428572" customWidth="1" bestFit="1"/>
    <col min="145" max="145" style="163" width="13.576428571428572" customWidth="1" bestFit="1"/>
    <col min="146" max="146" style="163" width="13.576428571428572" customWidth="1" bestFit="1"/>
    <col min="147" max="147" style="163" width="13.576428571428572" customWidth="1" bestFit="1"/>
    <col min="148" max="148" style="163" width="13.576428571428572" customWidth="1" bestFit="1"/>
    <col min="149" max="149" style="163" width="13.576428571428572" customWidth="1" bestFit="1"/>
    <col min="150" max="150" style="163" width="13.576428571428572" customWidth="1" bestFit="1"/>
    <col min="151" max="151" style="163" width="13.576428571428572" customWidth="1" bestFit="1"/>
    <col min="152" max="152" style="163" width="13.576428571428572" customWidth="1" bestFit="1"/>
    <col min="153" max="153" style="163" width="13.576428571428572" customWidth="1" bestFit="1"/>
    <col min="154" max="154" style="163" width="13.576428571428572" customWidth="1" bestFit="1"/>
    <col min="155" max="155" style="163" width="13.576428571428572" customWidth="1" bestFit="1"/>
    <col min="156" max="156" style="163" width="13.576428571428572" customWidth="1" bestFit="1"/>
    <col min="157" max="157" style="163" width="13.576428571428572" customWidth="1" bestFit="1"/>
    <col min="158" max="158" style="163" width="13.576428571428572" customWidth="1" bestFit="1"/>
    <col min="159" max="159" style="163" width="13.576428571428572" customWidth="1" bestFit="1"/>
    <col min="160" max="160" style="163" width="13.576428571428572" customWidth="1" bestFit="1"/>
    <col min="161" max="161" style="163" width="13.576428571428572" customWidth="1" bestFit="1"/>
    <col min="162" max="162" style="163" width="13.576428571428572" customWidth="1" bestFit="1"/>
    <col min="163" max="163" style="163" width="13.576428571428572" customWidth="1" bestFit="1"/>
    <col min="164" max="164" style="163" width="13.576428571428572" customWidth="1" bestFit="1"/>
    <col min="165" max="165" style="163" width="13.576428571428572" customWidth="1" bestFit="1"/>
    <col min="166" max="166" style="163" width="13.576428571428572" customWidth="1" bestFit="1"/>
    <col min="167" max="167" style="163" width="13.576428571428572" customWidth="1" bestFit="1"/>
    <col min="168" max="168" style="163" width="13.576428571428572" customWidth="1" bestFit="1"/>
    <col min="169" max="169" style="163" width="13.576428571428572" customWidth="1" bestFit="1"/>
    <col min="170" max="170" style="163" width="13.576428571428572" customWidth="1" bestFit="1"/>
    <col min="171" max="171" style="163" width="13.576428571428572" customWidth="1" bestFit="1"/>
    <col min="172" max="172" style="163" width="13.576428571428572" customWidth="1" bestFit="1"/>
    <col min="173" max="173" style="163" width="13.576428571428572" customWidth="1" bestFit="1"/>
    <col min="174" max="174" style="163" width="13.576428571428572" customWidth="1" bestFit="1"/>
    <col min="175" max="175" style="163" width="13.576428571428572" customWidth="1" bestFit="1"/>
    <col min="176" max="176" style="163" width="13.576428571428572" customWidth="1" bestFit="1"/>
    <col min="177" max="177" style="163" width="13.576428571428572" customWidth="1" bestFit="1"/>
    <col min="178" max="178" style="163" width="13.576428571428572" customWidth="1" bestFit="1"/>
  </cols>
  <sheetData>
    <row x14ac:dyDescent="0.25" r="1" customHeight="1" ht="18.75">
      <c r="A1" s="1"/>
      <c r="B1" s="1"/>
      <c r="C1" s="1"/>
      <c r="D1" s="1"/>
      <c r="E1" s="168"/>
      <c r="F1" s="1"/>
      <c r="G1" s="1"/>
      <c r="H1" s="1"/>
      <c r="I1" s="1"/>
      <c r="J1" s="168"/>
      <c r="K1" s="169"/>
      <c r="L1" s="169"/>
      <c r="M1" s="170"/>
      <c r="N1" s="168"/>
      <c r="O1" s="170"/>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71"/>
      <c r="CA1" s="171"/>
      <c r="CB1" s="171"/>
      <c r="CC1" s="171"/>
      <c r="CD1" s="171"/>
      <c r="CE1" s="171"/>
      <c r="CF1" s="171"/>
      <c r="CG1" s="171"/>
      <c r="CH1" s="171"/>
      <c r="CI1" s="171"/>
      <c r="CJ1" s="171"/>
      <c r="CK1" s="171"/>
      <c r="CL1" s="171"/>
      <c r="CM1" s="171"/>
      <c r="CN1" s="171"/>
      <c r="CO1" s="171"/>
      <c r="CP1" s="171"/>
      <c r="CQ1" s="171"/>
      <c r="CR1" s="171"/>
      <c r="CS1" s="171"/>
      <c r="CT1" s="171"/>
      <c r="CU1" s="171"/>
      <c r="CV1" s="171"/>
      <c r="CW1" s="171"/>
      <c r="CX1" s="171"/>
      <c r="CY1" s="171"/>
      <c r="CZ1" s="171"/>
      <c r="DA1" s="171"/>
      <c r="DB1" s="171"/>
      <c r="DC1" s="171"/>
      <c r="DD1" s="171"/>
      <c r="DE1" s="171"/>
      <c r="DF1" s="171"/>
      <c r="DG1" s="171"/>
      <c r="DH1" s="171"/>
      <c r="DI1" s="171"/>
      <c r="DJ1" s="171"/>
      <c r="DK1" s="171"/>
      <c r="DL1" s="171"/>
      <c r="DM1" s="171"/>
      <c r="DN1" s="171"/>
      <c r="DO1" s="171"/>
      <c r="DP1" s="171"/>
      <c r="DQ1" s="171"/>
      <c r="DR1" s="171"/>
      <c r="DS1" s="171"/>
      <c r="DT1" s="171"/>
      <c r="DU1" s="171"/>
      <c r="DV1" s="171"/>
      <c r="DW1" s="171"/>
      <c r="DX1" s="171"/>
      <c r="DY1" s="171"/>
      <c r="DZ1" s="171"/>
      <c r="EA1" s="171"/>
      <c r="EB1" s="171"/>
      <c r="EC1" s="171"/>
      <c r="ED1" s="171"/>
      <c r="EE1" s="171"/>
      <c r="EF1" s="171"/>
      <c r="EG1" s="171"/>
      <c r="EH1" s="171"/>
      <c r="EI1" s="171"/>
      <c r="EJ1" s="171"/>
      <c r="EK1" s="171"/>
      <c r="EL1" s="171"/>
      <c r="EM1" s="171"/>
      <c r="EN1" s="171"/>
      <c r="EO1" s="171"/>
      <c r="EP1" s="171"/>
      <c r="EQ1" s="171"/>
      <c r="ER1" s="171"/>
      <c r="ES1" s="171"/>
      <c r="ET1" s="171"/>
      <c r="EU1" s="171"/>
      <c r="EV1" s="171"/>
      <c r="EW1" s="171"/>
      <c r="EX1" s="171"/>
      <c r="EY1" s="171"/>
      <c r="EZ1" s="171"/>
      <c r="FA1" s="171"/>
      <c r="FB1" s="171"/>
      <c r="FC1" s="171"/>
      <c r="FD1" s="171"/>
      <c r="FE1" s="171"/>
      <c r="FF1" s="171"/>
      <c r="FG1" s="171"/>
      <c r="FH1" s="171"/>
      <c r="FI1" s="171"/>
      <c r="FJ1" s="171"/>
      <c r="FK1" s="171"/>
      <c r="FL1" s="171"/>
      <c r="FM1" s="171"/>
      <c r="FN1" s="171"/>
      <c r="FO1" s="171"/>
      <c r="FP1" s="171"/>
      <c r="FQ1" s="171"/>
      <c r="FR1" s="171"/>
      <c r="FS1" s="171"/>
      <c r="FT1" s="171"/>
      <c r="FU1" s="171"/>
      <c r="FV1" s="171"/>
    </row>
    <row x14ac:dyDescent="0.25" r="2" customHeight="1" ht="36.6">
      <c r="A2" s="1"/>
      <c r="B2" s="1"/>
      <c r="C2" s="172" t="s">
        <v>41</v>
      </c>
      <c r="D2" s="172"/>
      <c r="E2" s="173"/>
      <c r="F2" s="172"/>
      <c r="G2" s="172"/>
      <c r="H2" s="172"/>
      <c r="I2" s="172"/>
      <c r="J2" s="173"/>
      <c r="K2" s="174"/>
      <c r="L2" s="174"/>
      <c r="M2" s="175"/>
      <c r="N2" s="173"/>
      <c r="O2" s="176"/>
      <c r="P2" s="177"/>
      <c r="Q2" s="177"/>
      <c r="R2" s="178"/>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71"/>
      <c r="CA2" s="171"/>
      <c r="CB2" s="171"/>
      <c r="CC2" s="171"/>
      <c r="CD2" s="171"/>
      <c r="CE2" s="171"/>
      <c r="CF2" s="171"/>
      <c r="CG2" s="171"/>
      <c r="CH2" s="171"/>
      <c r="CI2" s="171"/>
      <c r="CJ2" s="171"/>
      <c r="CK2" s="171"/>
      <c r="CL2" s="171"/>
      <c r="CM2" s="171"/>
      <c r="CN2" s="171"/>
      <c r="CO2" s="171"/>
      <c r="CP2" s="171"/>
      <c r="CQ2" s="171"/>
      <c r="CR2" s="171"/>
      <c r="CS2" s="171"/>
      <c r="CT2" s="171"/>
      <c r="CU2" s="171"/>
      <c r="CV2" s="171"/>
      <c r="CW2" s="171"/>
      <c r="CX2" s="171"/>
      <c r="CY2" s="171"/>
      <c r="CZ2" s="171"/>
      <c r="DA2" s="171"/>
      <c r="DB2" s="171"/>
      <c r="DC2" s="171"/>
      <c r="DD2" s="171"/>
      <c r="DE2" s="171"/>
      <c r="DF2" s="171"/>
      <c r="DG2" s="171"/>
      <c r="DH2" s="171"/>
      <c r="DI2" s="171"/>
      <c r="DJ2" s="171"/>
      <c r="DK2" s="171"/>
      <c r="DL2" s="171"/>
      <c r="DM2" s="171"/>
      <c r="DN2" s="171"/>
      <c r="DO2" s="171"/>
      <c r="DP2" s="171"/>
      <c r="DQ2" s="171"/>
      <c r="DR2" s="171"/>
      <c r="DS2" s="171"/>
      <c r="DT2" s="171"/>
      <c r="DU2" s="171"/>
      <c r="DV2" s="171"/>
      <c r="DW2" s="171"/>
      <c r="DX2" s="171"/>
      <c r="DY2" s="171"/>
      <c r="DZ2" s="171"/>
      <c r="EA2" s="171"/>
      <c r="EB2" s="171"/>
      <c r="EC2" s="171"/>
      <c r="ED2" s="171"/>
      <c r="EE2" s="171"/>
      <c r="EF2" s="171"/>
      <c r="EG2" s="171"/>
      <c r="EH2" s="171"/>
      <c r="EI2" s="171"/>
      <c r="EJ2" s="171"/>
      <c r="EK2" s="171"/>
      <c r="EL2" s="171"/>
      <c r="EM2" s="171"/>
      <c r="EN2" s="171"/>
      <c r="EO2" s="171"/>
      <c r="EP2" s="171"/>
      <c r="EQ2" s="171"/>
      <c r="ER2" s="171"/>
      <c r="ES2" s="171"/>
      <c r="ET2" s="171"/>
      <c r="EU2" s="171"/>
      <c r="EV2" s="171"/>
      <c r="EW2" s="171"/>
      <c r="EX2" s="171"/>
      <c r="EY2" s="171"/>
      <c r="EZ2" s="171"/>
      <c r="FA2" s="171"/>
      <c r="FB2" s="171"/>
      <c r="FC2" s="171"/>
      <c r="FD2" s="171"/>
      <c r="FE2" s="171"/>
      <c r="FF2" s="171"/>
      <c r="FG2" s="171"/>
      <c r="FH2" s="171"/>
      <c r="FI2" s="171"/>
      <c r="FJ2" s="171"/>
      <c r="FK2" s="171"/>
      <c r="FL2" s="171"/>
      <c r="FM2" s="171"/>
      <c r="FN2" s="171"/>
      <c r="FO2" s="171"/>
      <c r="FP2" s="171"/>
      <c r="FQ2" s="171"/>
      <c r="FR2" s="171"/>
      <c r="FS2" s="171"/>
      <c r="FT2" s="171"/>
      <c r="FU2" s="171"/>
      <c r="FV2" s="171"/>
    </row>
    <row x14ac:dyDescent="0.25" r="3" customHeight="1" ht="27">
      <c r="A3" s="1"/>
      <c r="B3" s="1"/>
      <c r="C3" s="1"/>
      <c r="D3" s="179" t="s">
        <v>42</v>
      </c>
      <c r="E3" s="180"/>
      <c r="F3" s="179"/>
      <c r="G3" s="179"/>
      <c r="H3" s="179"/>
      <c r="I3" s="179"/>
      <c r="J3" s="180"/>
      <c r="K3" s="181"/>
      <c r="L3" s="181"/>
      <c r="M3" s="182"/>
      <c r="N3" s="180"/>
      <c r="O3" s="183"/>
      <c r="P3" s="184"/>
      <c r="Q3" s="184"/>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71"/>
      <c r="CA3" s="171"/>
      <c r="CB3" s="171"/>
      <c r="CC3" s="171"/>
      <c r="CD3" s="171"/>
      <c r="CE3" s="171"/>
      <c r="CF3" s="171"/>
      <c r="CG3" s="171"/>
      <c r="CH3" s="171"/>
      <c r="CI3" s="171"/>
      <c r="CJ3" s="171"/>
      <c r="CK3" s="171"/>
      <c r="CL3" s="171"/>
      <c r="CM3" s="171"/>
      <c r="CN3" s="171"/>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1"/>
      <c r="DT3" s="171"/>
      <c r="DU3" s="171"/>
      <c r="DV3" s="171"/>
      <c r="DW3" s="171"/>
      <c r="DX3" s="171"/>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1"/>
      <c r="FD3" s="171"/>
      <c r="FE3" s="171"/>
      <c r="FF3" s="171"/>
      <c r="FG3" s="171"/>
      <c r="FH3" s="171"/>
      <c r="FI3" s="171"/>
      <c r="FJ3" s="171"/>
      <c r="FK3" s="171"/>
      <c r="FL3" s="171"/>
      <c r="FM3" s="171"/>
      <c r="FN3" s="171"/>
      <c r="FO3" s="171"/>
      <c r="FP3" s="171"/>
      <c r="FQ3" s="171"/>
      <c r="FR3" s="171"/>
      <c r="FS3" s="171"/>
      <c r="FT3" s="171"/>
      <c r="FU3" s="171"/>
      <c r="FV3" s="171"/>
    </row>
    <row x14ac:dyDescent="0.25" r="4" customHeight="1" ht="3">
      <c r="A4" s="1"/>
      <c r="B4" s="1"/>
      <c r="C4" s="1"/>
      <c r="D4" s="179"/>
      <c r="E4" s="180"/>
      <c r="F4" s="179"/>
      <c r="G4" s="179"/>
      <c r="H4" s="179"/>
      <c r="I4" s="179"/>
      <c r="J4" s="180"/>
      <c r="K4" s="181"/>
      <c r="L4" s="181"/>
      <c r="M4" s="182"/>
      <c r="N4" s="180"/>
      <c r="O4" s="183"/>
      <c r="P4" s="184"/>
      <c r="Q4" s="184"/>
      <c r="R4" s="185"/>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71"/>
      <c r="CA4" s="171"/>
      <c r="CB4" s="171"/>
      <c r="CC4" s="171"/>
      <c r="CD4" s="171"/>
      <c r="CE4" s="171"/>
      <c r="CF4" s="171"/>
      <c r="CG4" s="171"/>
      <c r="CH4" s="171"/>
      <c r="CI4" s="171"/>
      <c r="CJ4" s="171"/>
      <c r="CK4" s="171"/>
      <c r="CL4" s="171"/>
      <c r="CM4" s="171"/>
      <c r="CN4" s="171"/>
      <c r="CO4" s="171"/>
      <c r="CP4" s="171"/>
      <c r="CQ4" s="171"/>
      <c r="CR4" s="171"/>
      <c r="CS4" s="171"/>
      <c r="CT4" s="171"/>
      <c r="CU4" s="171"/>
      <c r="CV4" s="171"/>
      <c r="CW4" s="171"/>
      <c r="CX4" s="171"/>
      <c r="CY4" s="171"/>
      <c r="CZ4" s="171"/>
      <c r="DA4" s="171"/>
      <c r="DB4" s="171"/>
      <c r="DC4" s="171"/>
      <c r="DD4" s="171"/>
      <c r="DE4" s="171"/>
      <c r="DF4" s="171"/>
      <c r="DG4" s="171"/>
      <c r="DH4" s="171"/>
      <c r="DI4" s="171"/>
      <c r="DJ4" s="171"/>
      <c r="DK4" s="171"/>
      <c r="DL4" s="171"/>
      <c r="DM4" s="171"/>
      <c r="DN4" s="171"/>
      <c r="DO4" s="171"/>
      <c r="DP4" s="171"/>
      <c r="DQ4" s="171"/>
      <c r="DR4" s="171"/>
      <c r="DS4" s="171"/>
      <c r="DT4" s="171"/>
      <c r="DU4" s="171"/>
      <c r="DV4" s="171"/>
      <c r="DW4" s="171"/>
      <c r="DX4" s="171"/>
      <c r="DY4" s="171"/>
      <c r="DZ4" s="171"/>
      <c r="EA4" s="171"/>
      <c r="EB4" s="171"/>
      <c r="EC4" s="171"/>
      <c r="ED4" s="171"/>
      <c r="EE4" s="171"/>
      <c r="EF4" s="171"/>
      <c r="EG4" s="171"/>
      <c r="EH4" s="171"/>
      <c r="EI4" s="171"/>
      <c r="EJ4" s="171"/>
      <c r="EK4" s="171"/>
      <c r="EL4" s="171"/>
      <c r="EM4" s="171"/>
      <c r="EN4" s="171"/>
      <c r="EO4" s="171"/>
      <c r="EP4" s="171"/>
      <c r="EQ4" s="171"/>
      <c r="ER4" s="171"/>
      <c r="ES4" s="171"/>
      <c r="ET4" s="171"/>
      <c r="EU4" s="171"/>
      <c r="EV4" s="171"/>
      <c r="EW4" s="171"/>
      <c r="EX4" s="171"/>
      <c r="EY4" s="171"/>
      <c r="EZ4" s="171"/>
      <c r="FA4" s="171"/>
      <c r="FB4" s="171"/>
      <c r="FC4" s="171"/>
      <c r="FD4" s="171"/>
      <c r="FE4" s="171"/>
      <c r="FF4" s="171"/>
      <c r="FG4" s="171"/>
      <c r="FH4" s="171"/>
      <c r="FI4" s="171"/>
      <c r="FJ4" s="171"/>
      <c r="FK4" s="171"/>
      <c r="FL4" s="171"/>
      <c r="FM4" s="171"/>
      <c r="FN4" s="171"/>
      <c r="FO4" s="171"/>
      <c r="FP4" s="171"/>
      <c r="FQ4" s="171"/>
      <c r="FR4" s="171"/>
      <c r="FS4" s="171"/>
      <c r="FT4" s="171"/>
      <c r="FU4" s="171"/>
      <c r="FV4" s="171"/>
    </row>
    <row x14ac:dyDescent="0.25" r="5" customHeight="1" ht="7.150000000000001">
      <c r="A5" s="1"/>
      <c r="B5" s="1"/>
      <c r="C5" s="1"/>
      <c r="D5" s="1"/>
      <c r="E5" s="168"/>
      <c r="F5" s="1"/>
      <c r="G5" s="1"/>
      <c r="H5" s="1"/>
      <c r="I5" s="1"/>
      <c r="J5" s="168"/>
      <c r="K5" s="169"/>
      <c r="L5" s="169"/>
      <c r="M5" s="170"/>
      <c r="N5" s="168"/>
      <c r="O5" s="170"/>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71"/>
      <c r="CA5" s="171"/>
      <c r="CB5" s="171"/>
      <c r="CC5" s="171"/>
      <c r="CD5" s="171"/>
      <c r="CE5" s="171"/>
      <c r="CF5" s="171"/>
      <c r="CG5" s="171"/>
      <c r="CH5" s="171"/>
      <c r="CI5" s="171"/>
      <c r="CJ5" s="171"/>
      <c r="CK5" s="171"/>
      <c r="CL5" s="171"/>
      <c r="CM5" s="171"/>
      <c r="CN5" s="171"/>
      <c r="CO5" s="171"/>
      <c r="CP5" s="171"/>
      <c r="CQ5" s="171"/>
      <c r="CR5" s="171"/>
      <c r="CS5" s="171"/>
      <c r="CT5" s="171"/>
      <c r="CU5" s="171"/>
      <c r="CV5" s="171"/>
      <c r="CW5" s="171"/>
      <c r="CX5" s="171"/>
      <c r="CY5" s="171"/>
      <c r="CZ5" s="171"/>
      <c r="DA5" s="171"/>
      <c r="DB5" s="171"/>
      <c r="DC5" s="171"/>
      <c r="DD5" s="171"/>
      <c r="DE5" s="171"/>
      <c r="DF5" s="171"/>
      <c r="DG5" s="171"/>
      <c r="DH5" s="171"/>
      <c r="DI5" s="171"/>
      <c r="DJ5" s="171"/>
      <c r="DK5" s="171"/>
      <c r="DL5" s="171"/>
      <c r="DM5" s="171"/>
      <c r="DN5" s="171"/>
      <c r="DO5" s="171"/>
      <c r="DP5" s="171"/>
      <c r="DQ5" s="171"/>
      <c r="DR5" s="171"/>
      <c r="DS5" s="171"/>
      <c r="DT5" s="171"/>
      <c r="DU5" s="171"/>
      <c r="DV5" s="171"/>
      <c r="DW5" s="171"/>
      <c r="DX5" s="171"/>
      <c r="DY5" s="171"/>
      <c r="DZ5" s="171"/>
      <c r="EA5" s="171"/>
      <c r="EB5" s="171"/>
      <c r="EC5" s="171"/>
      <c r="ED5" s="171"/>
      <c r="EE5" s="171"/>
      <c r="EF5" s="171"/>
      <c r="EG5" s="171"/>
      <c r="EH5" s="171"/>
      <c r="EI5" s="171"/>
      <c r="EJ5" s="171"/>
      <c r="EK5" s="171"/>
      <c r="EL5" s="171"/>
      <c r="EM5" s="171"/>
      <c r="EN5" s="171"/>
      <c r="EO5" s="171"/>
      <c r="EP5" s="171"/>
      <c r="EQ5" s="171"/>
      <c r="ER5" s="171"/>
      <c r="ES5" s="171"/>
      <c r="ET5" s="171"/>
      <c r="EU5" s="171"/>
      <c r="EV5" s="171"/>
      <c r="EW5" s="171"/>
      <c r="EX5" s="171"/>
      <c r="EY5" s="171"/>
      <c r="EZ5" s="171"/>
      <c r="FA5" s="171"/>
      <c r="FB5" s="171"/>
      <c r="FC5" s="171"/>
      <c r="FD5" s="171"/>
      <c r="FE5" s="171"/>
      <c r="FF5" s="171"/>
      <c r="FG5" s="171"/>
      <c r="FH5" s="171"/>
      <c r="FI5" s="171"/>
      <c r="FJ5" s="171"/>
      <c r="FK5" s="171"/>
      <c r="FL5" s="171"/>
      <c r="FM5" s="171"/>
      <c r="FN5" s="171"/>
      <c r="FO5" s="171"/>
      <c r="FP5" s="171"/>
      <c r="FQ5" s="171"/>
      <c r="FR5" s="171"/>
      <c r="FS5" s="171"/>
      <c r="FT5" s="171"/>
      <c r="FU5" s="171"/>
      <c r="FV5" s="171"/>
    </row>
    <row x14ac:dyDescent="0.25" r="6" customHeight="1" ht="14.65">
      <c r="A6" s="1"/>
      <c r="B6" s="1"/>
      <c r="C6" s="186" t="s">
        <v>0</v>
      </c>
      <c r="D6" s="186"/>
      <c r="E6" s="187"/>
      <c r="F6" s="188"/>
      <c r="G6" s="188"/>
      <c r="H6" s="189" t="s">
        <v>7</v>
      </c>
      <c r="I6" s="189"/>
      <c r="J6" s="190"/>
      <c r="K6" s="191"/>
      <c r="L6" s="191"/>
      <c r="M6" s="192"/>
      <c r="N6" s="190"/>
      <c r="O6" s="170"/>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71"/>
      <c r="CA6" s="171"/>
      <c r="CB6" s="171"/>
      <c r="CC6" s="171"/>
      <c r="CD6" s="171"/>
      <c r="CE6" s="171"/>
      <c r="CF6" s="171"/>
      <c r="CG6" s="171"/>
      <c r="CH6" s="171"/>
      <c r="CI6" s="171"/>
      <c r="CJ6" s="171"/>
      <c r="CK6" s="171"/>
      <c r="CL6" s="171"/>
      <c r="CM6" s="171"/>
      <c r="CN6" s="171"/>
      <c r="CO6" s="171"/>
      <c r="CP6" s="171"/>
      <c r="CQ6" s="171"/>
      <c r="CR6" s="171"/>
      <c r="CS6" s="171"/>
      <c r="CT6" s="171"/>
      <c r="CU6" s="171"/>
      <c r="CV6" s="171"/>
      <c r="CW6" s="171"/>
      <c r="CX6" s="171"/>
      <c r="CY6" s="171"/>
      <c r="CZ6" s="171"/>
      <c r="DA6" s="171"/>
      <c r="DB6" s="171"/>
      <c r="DC6" s="171"/>
      <c r="DD6" s="171"/>
      <c r="DE6" s="171"/>
      <c r="DF6" s="171"/>
      <c r="DG6" s="171"/>
      <c r="DH6" s="171"/>
      <c r="DI6" s="171"/>
      <c r="DJ6" s="171"/>
      <c r="DK6" s="171"/>
      <c r="DL6" s="171"/>
      <c r="DM6" s="171"/>
      <c r="DN6" s="171"/>
      <c r="DO6" s="171"/>
      <c r="DP6" s="171"/>
      <c r="DQ6" s="171"/>
      <c r="DR6" s="171"/>
      <c r="DS6" s="171"/>
      <c r="DT6" s="171"/>
      <c r="DU6" s="171"/>
      <c r="DV6" s="171"/>
      <c r="DW6" s="171"/>
      <c r="DX6" s="171"/>
      <c r="DY6" s="171"/>
      <c r="DZ6" s="171"/>
      <c r="EA6" s="171"/>
      <c r="EB6" s="171"/>
      <c r="EC6" s="171"/>
      <c r="ED6" s="171"/>
      <c r="EE6" s="171"/>
      <c r="EF6" s="171"/>
      <c r="EG6" s="171"/>
      <c r="EH6" s="171"/>
      <c r="EI6" s="171"/>
      <c r="EJ6" s="171"/>
      <c r="EK6" s="171"/>
      <c r="EL6" s="171"/>
      <c r="EM6" s="171"/>
      <c r="EN6" s="171"/>
      <c r="EO6" s="171"/>
      <c r="EP6" s="171"/>
      <c r="EQ6" s="171"/>
      <c r="ER6" s="171"/>
      <c r="ES6" s="171"/>
      <c r="ET6" s="171"/>
      <c r="EU6" s="171"/>
      <c r="EV6" s="171"/>
      <c r="EW6" s="171"/>
      <c r="EX6" s="171"/>
      <c r="EY6" s="171"/>
      <c r="EZ6" s="171"/>
      <c r="FA6" s="171"/>
      <c r="FB6" s="171"/>
      <c r="FC6" s="171"/>
      <c r="FD6" s="171"/>
      <c r="FE6" s="171"/>
      <c r="FF6" s="171"/>
      <c r="FG6" s="171"/>
      <c r="FH6" s="171"/>
      <c r="FI6" s="171"/>
      <c r="FJ6" s="171"/>
      <c r="FK6" s="171"/>
      <c r="FL6" s="171"/>
      <c r="FM6" s="171"/>
      <c r="FN6" s="171"/>
      <c r="FO6" s="171"/>
      <c r="FP6" s="171"/>
      <c r="FQ6" s="171"/>
      <c r="FR6" s="171"/>
      <c r="FS6" s="171"/>
      <c r="FT6" s="171"/>
      <c r="FU6" s="171"/>
      <c r="FV6" s="171"/>
    </row>
    <row x14ac:dyDescent="0.25" r="7" customHeight="1" ht="2.1">
      <c r="A7" s="1"/>
      <c r="B7" s="1"/>
      <c r="C7" s="1"/>
      <c r="D7" s="1"/>
      <c r="E7" s="168"/>
      <c r="F7" s="1"/>
      <c r="G7" s="1"/>
      <c r="H7" s="1"/>
      <c r="I7" s="1"/>
      <c r="J7" s="168"/>
      <c r="K7" s="169"/>
      <c r="L7" s="169"/>
      <c r="M7" s="170"/>
      <c r="N7" s="168"/>
      <c r="O7" s="170"/>
      <c r="P7" s="1"/>
      <c r="Q7" s="1"/>
      <c r="R7" s="1"/>
      <c r="S7" s="193"/>
      <c r="T7" s="193"/>
      <c r="U7" s="193"/>
      <c r="V7" s="193"/>
      <c r="W7" s="193"/>
      <c r="X7" s="193"/>
      <c r="Y7" s="193"/>
      <c r="Z7" s="193"/>
      <c r="AA7" s="193"/>
      <c r="AB7" s="193"/>
      <c r="AC7" s="193"/>
      <c r="AD7" s="193"/>
      <c r="AE7" s="193"/>
      <c r="AF7" s="193"/>
      <c r="AG7" s="193"/>
      <c r="AH7" s="193"/>
      <c r="AI7" s="193"/>
      <c r="AJ7" s="193"/>
      <c r="AK7" s="193"/>
      <c r="AL7" s="193"/>
      <c r="AM7" s="193"/>
      <c r="AN7" s="193"/>
      <c r="AO7" s="193"/>
      <c r="AP7" s="193"/>
      <c r="AQ7" s="193"/>
      <c r="AR7" s="193"/>
      <c r="AS7" s="193"/>
      <c r="AT7" s="193"/>
      <c r="AU7" s="193"/>
      <c r="AV7" s="193"/>
      <c r="AW7" s="193"/>
      <c r="AX7" s="193"/>
      <c r="AY7" s="193"/>
      <c r="AZ7" s="193"/>
      <c r="BA7" s="193"/>
      <c r="BB7" s="193"/>
      <c r="BC7" s="193"/>
      <c r="BD7" s="193"/>
      <c r="BE7" s="193"/>
      <c r="BF7" s="193"/>
      <c r="BG7" s="193"/>
      <c r="BH7" s="193"/>
      <c r="BI7" s="193"/>
      <c r="BJ7" s="193"/>
      <c r="BK7" s="193"/>
      <c r="BL7" s="193"/>
      <c r="BM7" s="193"/>
      <c r="BN7" s="193"/>
      <c r="BO7" s="193"/>
      <c r="BP7" s="193"/>
      <c r="BQ7" s="193"/>
      <c r="BR7" s="193"/>
      <c r="BS7" s="193"/>
      <c r="BT7" s="193"/>
      <c r="BU7" s="193"/>
      <c r="BV7" s="193"/>
      <c r="BW7" s="193"/>
      <c r="BX7" s="193"/>
      <c r="BY7" s="193"/>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row>
    <row x14ac:dyDescent="0.25" r="8" customHeight="1" ht="14.65">
      <c r="A8" s="1"/>
      <c r="B8" s="1"/>
      <c r="C8" s="194"/>
      <c r="D8" s="195" t="s">
        <v>1</v>
      </c>
      <c r="E8" s="196">
        <f>'Simulador - Datos personales'!E7</f>
        <v>25569.041666666668</v>
      </c>
      <c r="F8" s="188"/>
      <c r="G8" s="188"/>
      <c r="H8" s="197"/>
      <c r="I8" s="139"/>
      <c r="J8" s="198" t="s">
        <v>15</v>
      </c>
      <c r="K8" s="199"/>
      <c r="L8" s="199" t="s">
        <v>16</v>
      </c>
      <c r="M8" s="200"/>
      <c r="N8" s="198" t="s">
        <v>43</v>
      </c>
      <c r="O8" s="170"/>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71"/>
      <c r="CA8" s="171"/>
      <c r="CB8" s="171"/>
      <c r="CC8" s="171"/>
      <c r="CD8" s="171"/>
      <c r="CE8" s="171"/>
      <c r="CF8" s="171"/>
      <c r="CG8" s="171"/>
      <c r="CH8" s="171"/>
      <c r="CI8" s="171"/>
      <c r="CJ8" s="171"/>
      <c r="CK8" s="171"/>
      <c r="CL8" s="171"/>
      <c r="CM8" s="171"/>
      <c r="CN8" s="171"/>
      <c r="CO8" s="171"/>
      <c r="CP8" s="171"/>
      <c r="CQ8" s="171"/>
      <c r="CR8" s="171"/>
      <c r="CS8" s="171"/>
      <c r="CT8" s="171"/>
      <c r="CU8" s="171"/>
      <c r="CV8" s="171"/>
      <c r="CW8" s="171"/>
      <c r="CX8" s="171"/>
      <c r="CY8" s="171"/>
      <c r="CZ8" s="171"/>
      <c r="DA8" s="171"/>
      <c r="DB8" s="171"/>
      <c r="DC8" s="171"/>
      <c r="DD8" s="171"/>
      <c r="DE8" s="171"/>
      <c r="DF8" s="171"/>
      <c r="DG8" s="171"/>
      <c r="DH8" s="171"/>
      <c r="DI8" s="171"/>
      <c r="DJ8" s="171"/>
      <c r="DK8" s="171"/>
      <c r="DL8" s="171"/>
      <c r="DM8" s="171"/>
      <c r="DN8" s="171"/>
      <c r="DO8" s="171"/>
      <c r="DP8" s="171"/>
      <c r="DQ8" s="171"/>
      <c r="DR8" s="171"/>
      <c r="DS8" s="171"/>
      <c r="DT8" s="171"/>
      <c r="DU8" s="171"/>
      <c r="DV8" s="171"/>
      <c r="DW8" s="171"/>
      <c r="DX8" s="171"/>
      <c r="DY8" s="171"/>
      <c r="DZ8" s="171"/>
      <c r="EA8" s="171"/>
      <c r="EB8" s="171"/>
      <c r="EC8" s="171"/>
      <c r="ED8" s="171"/>
      <c r="EE8" s="171"/>
      <c r="EF8" s="171"/>
      <c r="EG8" s="171"/>
      <c r="EH8" s="171"/>
      <c r="EI8" s="171"/>
      <c r="EJ8" s="171"/>
      <c r="EK8" s="171"/>
      <c r="EL8" s="171"/>
      <c r="EM8" s="171"/>
      <c r="EN8" s="171"/>
      <c r="EO8" s="171"/>
      <c r="EP8" s="171"/>
      <c r="EQ8" s="171"/>
      <c r="ER8" s="171"/>
      <c r="ES8" s="171"/>
      <c r="ET8" s="171"/>
      <c r="EU8" s="171"/>
      <c r="EV8" s="171"/>
      <c r="EW8" s="171"/>
      <c r="EX8" s="171"/>
      <c r="EY8" s="171"/>
      <c r="EZ8" s="171"/>
      <c r="FA8" s="171"/>
      <c r="FB8" s="171"/>
      <c r="FC8" s="171"/>
      <c r="FD8" s="171"/>
      <c r="FE8" s="171"/>
      <c r="FF8" s="171"/>
      <c r="FG8" s="171"/>
      <c r="FH8" s="171"/>
      <c r="FI8" s="171"/>
      <c r="FJ8" s="171"/>
      <c r="FK8" s="171"/>
      <c r="FL8" s="171"/>
      <c r="FM8" s="171"/>
      <c r="FN8" s="171"/>
      <c r="FO8" s="171"/>
      <c r="FP8" s="171"/>
      <c r="FQ8" s="171"/>
      <c r="FR8" s="171"/>
      <c r="FS8" s="171"/>
      <c r="FT8" s="171"/>
      <c r="FU8" s="171"/>
      <c r="FV8" s="171"/>
    </row>
    <row x14ac:dyDescent="0.25" r="9" customHeight="1" ht="2.1">
      <c r="A9" s="1"/>
      <c r="B9" s="1"/>
      <c r="C9" s="1"/>
      <c r="D9" s="1"/>
      <c r="E9" s="168"/>
      <c r="F9" s="1"/>
      <c r="G9" s="1"/>
      <c r="H9" s="1"/>
      <c r="I9" s="1"/>
      <c r="J9" s="168"/>
      <c r="K9" s="169"/>
      <c r="L9" s="169"/>
      <c r="M9" s="170"/>
      <c r="N9" s="168"/>
      <c r="O9" s="170"/>
      <c r="P9" s="1"/>
      <c r="Q9" s="1"/>
      <c r="R9" s="1"/>
      <c r="S9" s="193"/>
      <c r="T9" s="193"/>
      <c r="U9" s="193"/>
      <c r="V9" s="193"/>
      <c r="W9" s="193"/>
      <c r="X9" s="193"/>
      <c r="Y9" s="193"/>
      <c r="Z9" s="193"/>
      <c r="AA9" s="193"/>
      <c r="AB9" s="193"/>
      <c r="AC9" s="193"/>
      <c r="AD9" s="193"/>
      <c r="AE9" s="193"/>
      <c r="AF9" s="193"/>
      <c r="AG9" s="193"/>
      <c r="AH9" s="193"/>
      <c r="AI9" s="193"/>
      <c r="AJ9" s="193"/>
      <c r="AK9" s="193"/>
      <c r="AL9" s="193"/>
      <c r="AM9" s="193"/>
      <c r="AN9" s="193"/>
      <c r="AO9" s="193"/>
      <c r="AP9" s="193"/>
      <c r="AQ9" s="193"/>
      <c r="AR9" s="193"/>
      <c r="AS9" s="193"/>
      <c r="AT9" s="193"/>
      <c r="AU9" s="193"/>
      <c r="AV9" s="193"/>
      <c r="AW9" s="193"/>
      <c r="AX9" s="193"/>
      <c r="AY9" s="193"/>
      <c r="AZ9" s="193"/>
      <c r="BA9" s="193"/>
      <c r="BB9" s="193"/>
      <c r="BC9" s="193"/>
      <c r="BD9" s="193"/>
      <c r="BE9" s="193"/>
      <c r="BF9" s="193"/>
      <c r="BG9" s="193"/>
      <c r="BH9" s="193"/>
      <c r="BI9" s="193"/>
      <c r="BJ9" s="193"/>
      <c r="BK9" s="193"/>
      <c r="BL9" s="193"/>
      <c r="BM9" s="193"/>
      <c r="BN9" s="193"/>
      <c r="BO9" s="193"/>
      <c r="BP9" s="193"/>
      <c r="BQ9" s="193"/>
      <c r="BR9" s="193"/>
      <c r="BS9" s="193"/>
      <c r="BT9" s="193"/>
      <c r="BU9" s="193"/>
      <c r="BV9" s="193"/>
      <c r="BW9" s="193"/>
      <c r="BX9" s="193"/>
      <c r="BY9" s="193"/>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row>
    <row x14ac:dyDescent="0.25" r="10" customHeight="1" ht="14.65">
      <c r="A10" s="1"/>
      <c r="B10" s="1"/>
      <c r="C10" s="194"/>
      <c r="D10" s="195" t="s">
        <v>2</v>
      </c>
      <c r="E10" s="201">
        <f>'Simulador - Datos personales'!F9</f>
      </c>
      <c r="F10" s="188"/>
      <c r="G10" s="188"/>
      <c r="H10" s="197"/>
      <c r="I10" s="202" t="s">
        <v>44</v>
      </c>
      <c r="J10" s="203">
        <f>IFERROR('Simulador - 1º Pilar'!F28,"-")</f>
      </c>
      <c r="K10" s="204"/>
      <c r="L10" s="203">
        <f>IFERROR('Simulador - 1º Pilar'!G28,"-")</f>
      </c>
      <c r="M10" s="204"/>
      <c r="N10" s="205">
        <f>IFERROR('Simulador - RESUMEN'!J10/'Simulador - 1º Pilar'!$G$50,"-")</f>
      </c>
      <c r="O10" s="206"/>
      <c r="P10" s="207"/>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71"/>
      <c r="CA10" s="171"/>
      <c r="CB10" s="171"/>
      <c r="CC10" s="171"/>
      <c r="CD10" s="171"/>
      <c r="CE10" s="171"/>
      <c r="CF10" s="171"/>
      <c r="CG10" s="171"/>
      <c r="CH10" s="171"/>
      <c r="CI10" s="171"/>
      <c r="CJ10" s="171"/>
      <c r="CK10" s="171"/>
      <c r="CL10" s="171"/>
      <c r="CM10" s="171"/>
      <c r="CN10" s="171"/>
      <c r="CO10" s="171"/>
      <c r="CP10" s="171"/>
      <c r="CQ10" s="171"/>
      <c r="CR10" s="171"/>
      <c r="CS10" s="171"/>
      <c r="CT10" s="171"/>
      <c r="CU10" s="171"/>
      <c r="CV10" s="171"/>
      <c r="CW10" s="171"/>
      <c r="CX10" s="171"/>
      <c r="CY10" s="171"/>
      <c r="CZ10" s="171"/>
      <c r="DA10" s="171"/>
      <c r="DB10" s="171"/>
      <c r="DC10" s="171"/>
      <c r="DD10" s="171"/>
      <c r="DE10" s="171"/>
      <c r="DF10" s="171"/>
      <c r="DG10" s="171"/>
      <c r="DH10" s="171"/>
      <c r="DI10" s="171"/>
      <c r="DJ10" s="171"/>
      <c r="DK10" s="171"/>
      <c r="DL10" s="171"/>
      <c r="DM10" s="171"/>
      <c r="DN10" s="171"/>
      <c r="DO10" s="171"/>
      <c r="DP10" s="171"/>
      <c r="DQ10" s="171"/>
      <c r="DR10" s="171"/>
      <c r="DS10" s="171"/>
      <c r="DT10" s="171"/>
      <c r="DU10" s="171"/>
      <c r="DV10" s="171"/>
      <c r="DW10" s="171"/>
      <c r="DX10" s="171"/>
      <c r="DY10" s="171"/>
      <c r="DZ10" s="171"/>
      <c r="EA10" s="171"/>
      <c r="EB10" s="171"/>
      <c r="EC10" s="171"/>
      <c r="ED10" s="171"/>
      <c r="EE10" s="171"/>
      <c r="EF10" s="171"/>
      <c r="EG10" s="171"/>
      <c r="EH10" s="171"/>
      <c r="EI10" s="171"/>
      <c r="EJ10" s="171"/>
      <c r="EK10" s="171"/>
      <c r="EL10" s="171"/>
      <c r="EM10" s="171"/>
      <c r="EN10" s="171"/>
      <c r="EO10" s="171"/>
      <c r="EP10" s="171"/>
      <c r="EQ10" s="171"/>
      <c r="ER10" s="171"/>
      <c r="ES10" s="171"/>
      <c r="ET10" s="171"/>
      <c r="EU10" s="171"/>
      <c r="EV10" s="171"/>
      <c r="EW10" s="171"/>
      <c r="EX10" s="171"/>
      <c r="EY10" s="171"/>
      <c r="EZ10" s="171"/>
      <c r="FA10" s="171"/>
      <c r="FB10" s="171"/>
      <c r="FC10" s="171"/>
      <c r="FD10" s="171"/>
      <c r="FE10" s="171"/>
      <c r="FF10" s="171"/>
      <c r="FG10" s="171"/>
      <c r="FH10" s="171"/>
      <c r="FI10" s="171"/>
      <c r="FJ10" s="171"/>
      <c r="FK10" s="171"/>
      <c r="FL10" s="171"/>
      <c r="FM10" s="171"/>
      <c r="FN10" s="171"/>
      <c r="FO10" s="171"/>
      <c r="FP10" s="171"/>
      <c r="FQ10" s="171"/>
      <c r="FR10" s="171"/>
      <c r="FS10" s="171"/>
      <c r="FT10" s="171"/>
      <c r="FU10" s="171"/>
      <c r="FV10" s="171"/>
    </row>
    <row x14ac:dyDescent="0.25" r="11" customHeight="1" ht="2.1">
      <c r="A11" s="1"/>
      <c r="B11" s="1"/>
      <c r="C11" s="1"/>
      <c r="D11" s="1"/>
      <c r="E11" s="168"/>
      <c r="F11" s="1"/>
      <c r="G11" s="1"/>
      <c r="H11" s="1"/>
      <c r="I11" s="1"/>
      <c r="J11" s="168"/>
      <c r="K11" s="169"/>
      <c r="L11" s="169"/>
      <c r="M11" s="170"/>
      <c r="N11" s="168"/>
      <c r="O11" s="170"/>
      <c r="P11" s="1"/>
      <c r="Q11" s="1"/>
      <c r="R11" s="1"/>
      <c r="S11" s="193"/>
      <c r="T11" s="193"/>
      <c r="U11" s="193"/>
      <c r="V11" s="193"/>
      <c r="W11" s="193"/>
      <c r="X11" s="193"/>
      <c r="Y11" s="193"/>
      <c r="Z11" s="193"/>
      <c r="AA11" s="193"/>
      <c r="AB11" s="193"/>
      <c r="AC11" s="193"/>
      <c r="AD11" s="193"/>
      <c r="AE11" s="193"/>
      <c r="AF11" s="193"/>
      <c r="AG11" s="193"/>
      <c r="AH11" s="193"/>
      <c r="AI11" s="193"/>
      <c r="AJ11" s="193"/>
      <c r="AK11" s="193"/>
      <c r="AL11" s="193"/>
      <c r="AM11" s="193"/>
      <c r="AN11" s="193"/>
      <c r="AO11" s="193"/>
      <c r="AP11" s="193"/>
      <c r="AQ11" s="193"/>
      <c r="AR11" s="193"/>
      <c r="AS11" s="193"/>
      <c r="AT11" s="193"/>
      <c r="AU11" s="193"/>
      <c r="AV11" s="193"/>
      <c r="AW11" s="193"/>
      <c r="AX11" s="193"/>
      <c r="AY11" s="193"/>
      <c r="AZ11" s="193"/>
      <c r="BA11" s="193"/>
      <c r="BB11" s="193"/>
      <c r="BC11" s="193"/>
      <c r="BD11" s="193"/>
      <c r="BE11" s="193"/>
      <c r="BF11" s="193"/>
      <c r="BG11" s="193"/>
      <c r="BH11" s="193"/>
      <c r="BI11" s="193"/>
      <c r="BJ11" s="193"/>
      <c r="BK11" s="193"/>
      <c r="BL11" s="193"/>
      <c r="BM11" s="193"/>
      <c r="BN11" s="193"/>
      <c r="BO11" s="193"/>
      <c r="BP11" s="193"/>
      <c r="BQ11" s="193"/>
      <c r="BR11" s="193"/>
      <c r="BS11" s="193"/>
      <c r="BT11" s="193"/>
      <c r="BU11" s="193"/>
      <c r="BV11" s="193"/>
      <c r="BW11" s="193"/>
      <c r="BX11" s="193"/>
      <c r="BY11" s="193"/>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row>
    <row x14ac:dyDescent="0.25" r="12" customHeight="1" ht="14.65">
      <c r="A12" s="1"/>
      <c r="B12" s="1"/>
      <c r="C12" s="194"/>
      <c r="D12" s="195" t="s">
        <v>3</v>
      </c>
      <c r="E12" s="208">
        <f>'Simulador - Datos personales'!E11</f>
      </c>
      <c r="F12" s="188"/>
      <c r="G12" s="188"/>
      <c r="H12" s="209"/>
      <c r="I12" s="209" t="s">
        <v>45</v>
      </c>
      <c r="J12" s="210">
        <f>IFERROR(+J10,"-")</f>
      </c>
      <c r="K12" s="210"/>
      <c r="L12" s="210">
        <f>+L10</f>
      </c>
      <c r="M12" s="210"/>
      <c r="N12" s="211">
        <f>N10</f>
      </c>
      <c r="O12" s="206"/>
      <c r="P12" s="207"/>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71"/>
      <c r="CA12" s="171"/>
      <c r="CB12" s="171"/>
      <c r="CC12" s="171"/>
      <c r="CD12" s="171"/>
      <c r="CE12" s="171"/>
      <c r="CF12" s="171"/>
      <c r="CG12" s="171"/>
      <c r="CH12" s="171"/>
      <c r="CI12" s="171"/>
      <c r="CJ12" s="171"/>
      <c r="CK12" s="171"/>
      <c r="CL12" s="171"/>
      <c r="CM12" s="171"/>
      <c r="CN12" s="171"/>
      <c r="CO12" s="171"/>
      <c r="CP12" s="171"/>
      <c r="CQ12" s="171"/>
      <c r="CR12" s="171"/>
      <c r="CS12" s="171"/>
      <c r="CT12" s="171"/>
      <c r="CU12" s="171"/>
      <c r="CV12" s="171"/>
      <c r="CW12" s="171"/>
      <c r="CX12" s="171"/>
      <c r="CY12" s="171"/>
      <c r="CZ12" s="171"/>
      <c r="DA12" s="171"/>
      <c r="DB12" s="171"/>
      <c r="DC12" s="171"/>
      <c r="DD12" s="171"/>
      <c r="DE12" s="171"/>
      <c r="DF12" s="171"/>
      <c r="DG12" s="171"/>
      <c r="DH12" s="171"/>
      <c r="DI12" s="171"/>
      <c r="DJ12" s="171"/>
      <c r="DK12" s="171"/>
      <c r="DL12" s="171"/>
      <c r="DM12" s="171"/>
      <c r="DN12" s="171"/>
      <c r="DO12" s="171"/>
      <c r="DP12" s="171"/>
      <c r="DQ12" s="171"/>
      <c r="DR12" s="171"/>
      <c r="DS12" s="171"/>
      <c r="DT12" s="171"/>
      <c r="DU12" s="171"/>
      <c r="DV12" s="171"/>
      <c r="DW12" s="171"/>
      <c r="DX12" s="171"/>
      <c r="DY12" s="171"/>
      <c r="DZ12" s="171"/>
      <c r="EA12" s="171"/>
      <c r="EB12" s="171"/>
      <c r="EC12" s="171"/>
      <c r="ED12" s="171"/>
      <c r="EE12" s="171"/>
      <c r="EF12" s="171"/>
      <c r="EG12" s="171"/>
      <c r="EH12" s="171"/>
      <c r="EI12" s="171"/>
      <c r="EJ12" s="171"/>
      <c r="EK12" s="171"/>
      <c r="EL12" s="171"/>
      <c r="EM12" s="171"/>
      <c r="EN12" s="171"/>
      <c r="EO12" s="171"/>
      <c r="EP12" s="171"/>
      <c r="EQ12" s="171"/>
      <c r="ER12" s="171"/>
      <c r="ES12" s="171"/>
      <c r="ET12" s="171"/>
      <c r="EU12" s="171"/>
      <c r="EV12" s="171"/>
      <c r="EW12" s="171"/>
      <c r="EX12" s="171"/>
      <c r="EY12" s="171"/>
      <c r="EZ12" s="171"/>
      <c r="FA12" s="171"/>
      <c r="FB12" s="171"/>
      <c r="FC12" s="171"/>
      <c r="FD12" s="171"/>
      <c r="FE12" s="171"/>
      <c r="FF12" s="171"/>
      <c r="FG12" s="171"/>
      <c r="FH12" s="171"/>
      <c r="FI12" s="171"/>
      <c r="FJ12" s="171"/>
      <c r="FK12" s="171"/>
      <c r="FL12" s="171"/>
      <c r="FM12" s="171"/>
      <c r="FN12" s="171"/>
      <c r="FO12" s="171"/>
      <c r="FP12" s="171"/>
      <c r="FQ12" s="171"/>
      <c r="FR12" s="171"/>
      <c r="FS12" s="171"/>
      <c r="FT12" s="171"/>
      <c r="FU12" s="171"/>
      <c r="FV12" s="171"/>
    </row>
    <row x14ac:dyDescent="0.25" r="13" customHeight="1" ht="2.1">
      <c r="A13" s="1"/>
      <c r="B13" s="1"/>
      <c r="C13" s="1"/>
      <c r="D13" s="1"/>
      <c r="E13" s="168"/>
      <c r="F13" s="1"/>
      <c r="G13" s="1"/>
      <c r="H13" s="1"/>
      <c r="I13" s="1"/>
      <c r="J13" s="168"/>
      <c r="K13" s="169"/>
      <c r="L13" s="169"/>
      <c r="M13" s="170"/>
      <c r="N13" s="168"/>
      <c r="O13" s="170"/>
      <c r="P13" s="1"/>
      <c r="Q13" s="1"/>
      <c r="R13" s="1"/>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3"/>
      <c r="BN13" s="193"/>
      <c r="BO13" s="193"/>
      <c r="BP13" s="193"/>
      <c r="BQ13" s="193"/>
      <c r="BR13" s="193"/>
      <c r="BS13" s="193"/>
      <c r="BT13" s="193"/>
      <c r="BU13" s="193"/>
      <c r="BV13" s="193"/>
      <c r="BW13" s="193"/>
      <c r="BX13" s="193"/>
      <c r="BY13" s="193"/>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row>
    <row x14ac:dyDescent="0.25" r="14" customHeight="1" ht="14.65">
      <c r="A14" s="1"/>
      <c r="B14" s="1"/>
      <c r="C14" s="194"/>
      <c r="D14" s="212" t="s">
        <v>4</v>
      </c>
      <c r="E14" s="208">
        <f>'Simulador - Datos personales'!E13</f>
      </c>
      <c r="F14" s="188"/>
      <c r="G14" s="188"/>
      <c r="H14" s="197"/>
      <c r="I14" s="197"/>
      <c r="J14" s="213"/>
      <c r="K14" s="214"/>
      <c r="L14" s="214"/>
      <c r="M14" s="215"/>
      <c r="N14" s="213"/>
      <c r="O14" s="206"/>
      <c r="P14" s="207"/>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71"/>
      <c r="CA14" s="171"/>
      <c r="CB14" s="171"/>
      <c r="CC14" s="171"/>
      <c r="CD14" s="171"/>
      <c r="CE14" s="171"/>
      <c r="CF14" s="171"/>
      <c r="CG14" s="171"/>
      <c r="CH14" s="171"/>
      <c r="CI14" s="171"/>
      <c r="CJ14" s="171"/>
      <c r="CK14" s="171"/>
      <c r="CL14" s="171"/>
      <c r="CM14" s="171"/>
      <c r="CN14" s="171"/>
      <c r="CO14" s="171"/>
      <c r="CP14" s="171"/>
      <c r="CQ14" s="171"/>
      <c r="CR14" s="171"/>
      <c r="CS14" s="171"/>
      <c r="CT14" s="171"/>
      <c r="CU14" s="171"/>
      <c r="CV14" s="171"/>
      <c r="CW14" s="171"/>
      <c r="CX14" s="171"/>
      <c r="CY14" s="171"/>
      <c r="CZ14" s="171"/>
      <c r="DA14" s="171"/>
      <c r="DB14" s="171"/>
      <c r="DC14" s="171"/>
      <c r="DD14" s="171"/>
      <c r="DE14" s="171"/>
      <c r="DF14" s="171"/>
      <c r="DG14" s="171"/>
      <c r="DH14" s="171"/>
      <c r="DI14" s="171"/>
      <c r="DJ14" s="171"/>
      <c r="DK14" s="171"/>
      <c r="DL14" s="171"/>
      <c r="DM14" s="171"/>
      <c r="DN14" s="171"/>
      <c r="DO14" s="171"/>
      <c r="DP14" s="171"/>
      <c r="DQ14" s="171"/>
      <c r="DR14" s="171"/>
      <c r="DS14" s="171"/>
      <c r="DT14" s="171"/>
      <c r="DU14" s="171"/>
      <c r="DV14" s="171"/>
      <c r="DW14" s="171"/>
      <c r="DX14" s="171"/>
      <c r="DY14" s="171"/>
      <c r="DZ14" s="171"/>
      <c r="EA14" s="171"/>
      <c r="EB14" s="171"/>
      <c r="EC14" s="171"/>
      <c r="ED14" s="171"/>
      <c r="EE14" s="171"/>
      <c r="EF14" s="171"/>
      <c r="EG14" s="171"/>
      <c r="EH14" s="171"/>
      <c r="EI14" s="171"/>
      <c r="EJ14" s="171"/>
      <c r="EK14" s="171"/>
      <c r="EL14" s="171"/>
      <c r="EM14" s="171"/>
      <c r="EN14" s="171"/>
      <c r="EO14" s="171"/>
      <c r="EP14" s="171"/>
      <c r="EQ14" s="171"/>
      <c r="ER14" s="171"/>
      <c r="ES14" s="171"/>
      <c r="ET14" s="171"/>
      <c r="EU14" s="171"/>
      <c r="EV14" s="171"/>
      <c r="EW14" s="171"/>
      <c r="EX14" s="171"/>
      <c r="EY14" s="171"/>
      <c r="EZ14" s="171"/>
      <c r="FA14" s="171"/>
      <c r="FB14" s="171"/>
      <c r="FC14" s="171"/>
      <c r="FD14" s="171"/>
      <c r="FE14" s="171"/>
      <c r="FF14" s="171"/>
      <c r="FG14" s="171"/>
      <c r="FH14" s="171"/>
      <c r="FI14" s="171"/>
      <c r="FJ14" s="171"/>
      <c r="FK14" s="171"/>
      <c r="FL14" s="171"/>
      <c r="FM14" s="171"/>
      <c r="FN14" s="171"/>
      <c r="FO14" s="171"/>
      <c r="FP14" s="171"/>
      <c r="FQ14" s="171"/>
      <c r="FR14" s="171"/>
      <c r="FS14" s="171"/>
      <c r="FT14" s="171"/>
      <c r="FU14" s="171"/>
      <c r="FV14" s="171"/>
    </row>
    <row x14ac:dyDescent="0.25" r="15" customHeight="1" ht="2.1">
      <c r="A15" s="1"/>
      <c r="B15" s="1"/>
      <c r="C15" s="1"/>
      <c r="D15" s="1"/>
      <c r="E15" s="168"/>
      <c r="F15" s="1"/>
      <c r="G15" s="1"/>
      <c r="H15" s="1"/>
      <c r="I15" s="1"/>
      <c r="J15" s="168"/>
      <c r="K15" s="169"/>
      <c r="L15" s="169"/>
      <c r="M15" s="170"/>
      <c r="N15" s="168"/>
      <c r="O15" s="170"/>
      <c r="P15" s="1"/>
      <c r="Q15" s="1"/>
      <c r="R15" s="1"/>
      <c r="S15" s="193"/>
      <c r="T15" s="193"/>
      <c r="U15" s="193"/>
      <c r="V15" s="193"/>
      <c r="W15" s="193"/>
      <c r="X15" s="193"/>
      <c r="Y15" s="193"/>
      <c r="Z15" s="193"/>
      <c r="AA15" s="193"/>
      <c r="AB15" s="193"/>
      <c r="AC15" s="193"/>
      <c r="AD15" s="193"/>
      <c r="AE15" s="193"/>
      <c r="AF15" s="193"/>
      <c r="AG15" s="193"/>
      <c r="AH15" s="193"/>
      <c r="AI15" s="193"/>
      <c r="AJ15" s="193"/>
      <c r="AK15" s="193"/>
      <c r="AL15" s="193"/>
      <c r="AM15" s="193"/>
      <c r="AN15" s="193"/>
      <c r="AO15" s="193"/>
      <c r="AP15" s="193"/>
      <c r="AQ15" s="193"/>
      <c r="AR15" s="193"/>
      <c r="AS15" s="193"/>
      <c r="AT15" s="193"/>
      <c r="AU15" s="193"/>
      <c r="AV15" s="193"/>
      <c r="AW15" s="193"/>
      <c r="AX15" s="193"/>
      <c r="AY15" s="193"/>
      <c r="AZ15" s="193"/>
      <c r="BA15" s="193"/>
      <c r="BB15" s="193"/>
      <c r="BC15" s="193"/>
      <c r="BD15" s="193"/>
      <c r="BE15" s="193"/>
      <c r="BF15" s="193"/>
      <c r="BG15" s="193"/>
      <c r="BH15" s="193"/>
      <c r="BI15" s="193"/>
      <c r="BJ15" s="193"/>
      <c r="BK15" s="193"/>
      <c r="BL15" s="193"/>
      <c r="BM15" s="193"/>
      <c r="BN15" s="193"/>
      <c r="BO15" s="193"/>
      <c r="BP15" s="193"/>
      <c r="BQ15" s="193"/>
      <c r="BR15" s="193"/>
      <c r="BS15" s="193"/>
      <c r="BT15" s="193"/>
      <c r="BU15" s="193"/>
      <c r="BV15" s="193"/>
      <c r="BW15" s="193"/>
      <c r="BX15" s="193"/>
      <c r="BY15" s="193"/>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row>
    <row x14ac:dyDescent="0.25" r="16" customHeight="1" ht="14.65">
      <c r="A16" s="1"/>
      <c r="B16" s="1"/>
      <c r="C16" s="194"/>
      <c r="D16" s="212" t="s">
        <v>5</v>
      </c>
      <c r="E16" s="208">
        <f>'Simulador - Datos personales'!E15</f>
      </c>
      <c r="F16" s="188"/>
      <c r="G16" s="188"/>
      <c r="H16" s="189" t="s">
        <v>20</v>
      </c>
      <c r="I16" s="189"/>
      <c r="J16" s="190"/>
      <c r="K16" s="191"/>
      <c r="L16" s="191"/>
      <c r="M16" s="192"/>
      <c r="N16" s="190"/>
      <c r="O16" s="216"/>
      <c r="P16" s="178"/>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71"/>
      <c r="CA16" s="171"/>
      <c r="CB16" s="171"/>
      <c r="CC16" s="171"/>
      <c r="CD16" s="171"/>
      <c r="CE16" s="171"/>
      <c r="CF16" s="171"/>
      <c r="CG16" s="171"/>
      <c r="CH16" s="171"/>
      <c r="CI16" s="171"/>
      <c r="CJ16" s="171"/>
      <c r="CK16" s="171"/>
      <c r="CL16" s="171"/>
      <c r="CM16" s="171"/>
      <c r="CN16" s="171"/>
      <c r="CO16" s="171"/>
      <c r="CP16" s="171"/>
      <c r="CQ16" s="171"/>
      <c r="CR16" s="171"/>
      <c r="CS16" s="171"/>
      <c r="CT16" s="171"/>
      <c r="CU16" s="171"/>
      <c r="CV16" s="171"/>
      <c r="CW16" s="171"/>
      <c r="CX16" s="171"/>
      <c r="CY16" s="171"/>
      <c r="CZ16" s="171"/>
      <c r="DA16" s="171"/>
      <c r="DB16" s="171"/>
      <c r="DC16" s="171"/>
      <c r="DD16" s="171"/>
      <c r="DE16" s="171"/>
      <c r="DF16" s="171"/>
      <c r="DG16" s="171"/>
      <c r="DH16" s="171"/>
      <c r="DI16" s="171"/>
      <c r="DJ16" s="171"/>
      <c r="DK16" s="171"/>
      <c r="DL16" s="171"/>
      <c r="DM16" s="171"/>
      <c r="DN16" s="171"/>
      <c r="DO16" s="171"/>
      <c r="DP16" s="171"/>
      <c r="DQ16" s="171"/>
      <c r="DR16" s="171"/>
      <c r="DS16" s="171"/>
      <c r="DT16" s="171"/>
      <c r="DU16" s="171"/>
      <c r="DV16" s="171"/>
      <c r="DW16" s="171"/>
      <c r="DX16" s="171"/>
      <c r="DY16" s="171"/>
      <c r="DZ16" s="171"/>
      <c r="EA16" s="171"/>
      <c r="EB16" s="171"/>
      <c r="EC16" s="171"/>
      <c r="ED16" s="171"/>
      <c r="EE16" s="171"/>
      <c r="EF16" s="171"/>
      <c r="EG16" s="171"/>
      <c r="EH16" s="171"/>
      <c r="EI16" s="171"/>
      <c r="EJ16" s="171"/>
      <c r="EK16" s="171"/>
      <c r="EL16" s="171"/>
      <c r="EM16" s="171"/>
      <c r="EN16" s="171"/>
      <c r="EO16" s="171"/>
      <c r="EP16" s="171"/>
      <c r="EQ16" s="171"/>
      <c r="ER16" s="171"/>
      <c r="ES16" s="171"/>
      <c r="ET16" s="171"/>
      <c r="EU16" s="171"/>
      <c r="EV16" s="171"/>
      <c r="EW16" s="171"/>
      <c r="EX16" s="171"/>
      <c r="EY16" s="171"/>
      <c r="EZ16" s="171"/>
      <c r="FA16" s="171"/>
      <c r="FB16" s="171"/>
      <c r="FC16" s="171"/>
      <c r="FD16" s="171"/>
      <c r="FE16" s="171"/>
      <c r="FF16" s="171"/>
      <c r="FG16" s="171"/>
      <c r="FH16" s="171"/>
      <c r="FI16" s="171"/>
      <c r="FJ16" s="171"/>
      <c r="FK16" s="171"/>
      <c r="FL16" s="171"/>
      <c r="FM16" s="171"/>
      <c r="FN16" s="171"/>
      <c r="FO16" s="171"/>
      <c r="FP16" s="171"/>
      <c r="FQ16" s="171"/>
      <c r="FR16" s="171"/>
      <c r="FS16" s="171"/>
      <c r="FT16" s="171"/>
      <c r="FU16" s="171"/>
      <c r="FV16" s="171"/>
    </row>
    <row x14ac:dyDescent="0.25" r="17" customHeight="1" ht="2.1">
      <c r="A17" s="1"/>
      <c r="B17" s="1"/>
      <c r="C17" s="1"/>
      <c r="D17" s="1"/>
      <c r="E17" s="168"/>
      <c r="F17" s="1"/>
      <c r="G17" s="1"/>
      <c r="H17" s="1"/>
      <c r="I17" s="1"/>
      <c r="J17" s="168"/>
      <c r="K17" s="169"/>
      <c r="L17" s="169"/>
      <c r="M17" s="170"/>
      <c r="N17" s="168"/>
      <c r="O17" s="170"/>
      <c r="P17" s="1"/>
      <c r="Q17" s="1"/>
      <c r="R17" s="1"/>
      <c r="S17" s="193"/>
      <c r="T17" s="193"/>
      <c r="U17" s="193"/>
      <c r="V17" s="193"/>
      <c r="W17" s="193"/>
      <c r="X17" s="193"/>
      <c r="Y17" s="193"/>
      <c r="Z17" s="193"/>
      <c r="AA17" s="193"/>
      <c r="AB17" s="193"/>
      <c r="AC17" s="193"/>
      <c r="AD17" s="193"/>
      <c r="AE17" s="193"/>
      <c r="AF17" s="193"/>
      <c r="AG17" s="193"/>
      <c r="AH17" s="193"/>
      <c r="AI17" s="193"/>
      <c r="AJ17" s="193"/>
      <c r="AK17" s="193"/>
      <c r="AL17" s="193"/>
      <c r="AM17" s="193"/>
      <c r="AN17" s="193"/>
      <c r="AO17" s="193"/>
      <c r="AP17" s="193"/>
      <c r="AQ17" s="193"/>
      <c r="AR17" s="193"/>
      <c r="AS17" s="193"/>
      <c r="AT17" s="193"/>
      <c r="AU17" s="193"/>
      <c r="AV17" s="193"/>
      <c r="AW17" s="193"/>
      <c r="AX17" s="193"/>
      <c r="AY17" s="193"/>
      <c r="AZ17" s="193"/>
      <c r="BA17" s="193"/>
      <c r="BB17" s="193"/>
      <c r="BC17" s="193"/>
      <c r="BD17" s="193"/>
      <c r="BE17" s="193"/>
      <c r="BF17" s="193"/>
      <c r="BG17" s="193"/>
      <c r="BH17" s="193"/>
      <c r="BI17" s="193"/>
      <c r="BJ17" s="193"/>
      <c r="BK17" s="193"/>
      <c r="BL17" s="193"/>
      <c r="BM17" s="193"/>
      <c r="BN17" s="193"/>
      <c r="BO17" s="193"/>
      <c r="BP17" s="193"/>
      <c r="BQ17" s="193"/>
      <c r="BR17" s="193"/>
      <c r="BS17" s="193"/>
      <c r="BT17" s="193"/>
      <c r="BU17" s="193"/>
      <c r="BV17" s="193"/>
      <c r="BW17" s="193"/>
      <c r="BX17" s="193"/>
      <c r="BY17" s="193"/>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row>
    <row x14ac:dyDescent="0.25" r="18" customHeight="1" ht="14.65">
      <c r="A18" s="1"/>
      <c r="B18" s="1"/>
      <c r="C18" s="194"/>
      <c r="D18" s="212" t="s">
        <v>46</v>
      </c>
      <c r="E18" s="208">
        <f>'Simulador - Datos personales'!$F$20</f>
      </c>
      <c r="F18" s="188"/>
      <c r="G18" s="188"/>
      <c r="H18" s="197"/>
      <c r="I18" s="139"/>
      <c r="J18" s="198" t="s">
        <v>15</v>
      </c>
      <c r="K18" s="199"/>
      <c r="L18" s="199" t="s">
        <v>16</v>
      </c>
      <c r="M18" s="199"/>
      <c r="N18" s="198" t="s">
        <v>43</v>
      </c>
      <c r="O18" s="206"/>
      <c r="P18" s="207"/>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93"/>
      <c r="AR18" s="193"/>
      <c r="AS18" s="193"/>
      <c r="AT18" s="193"/>
      <c r="AU18" s="193"/>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71"/>
      <c r="CA18" s="171"/>
      <c r="CB18" s="171"/>
      <c r="CC18" s="171"/>
      <c r="CD18" s="171"/>
      <c r="CE18" s="171"/>
      <c r="CF18" s="171"/>
      <c r="CG18" s="171"/>
      <c r="CH18" s="171"/>
      <c r="CI18" s="171"/>
      <c r="CJ18" s="171"/>
      <c r="CK18" s="171"/>
      <c r="CL18" s="171"/>
      <c r="CM18" s="171"/>
      <c r="CN18" s="171"/>
      <c r="CO18" s="171"/>
      <c r="CP18" s="171"/>
      <c r="CQ18" s="171"/>
      <c r="CR18" s="171"/>
      <c r="CS18" s="171"/>
      <c r="CT18" s="171"/>
      <c r="CU18" s="171"/>
      <c r="CV18" s="171"/>
      <c r="CW18" s="171"/>
      <c r="CX18" s="171"/>
      <c r="CY18" s="171"/>
      <c r="CZ18" s="171"/>
      <c r="DA18" s="171"/>
      <c r="DB18" s="171"/>
      <c r="DC18" s="171"/>
      <c r="DD18" s="171"/>
      <c r="DE18" s="171"/>
      <c r="DF18" s="171"/>
      <c r="DG18" s="171"/>
      <c r="DH18" s="171"/>
      <c r="DI18" s="171"/>
      <c r="DJ18" s="171"/>
      <c r="DK18" s="171"/>
      <c r="DL18" s="171"/>
      <c r="DM18" s="171"/>
      <c r="DN18" s="171"/>
      <c r="DO18" s="171"/>
      <c r="DP18" s="171"/>
      <c r="DQ18" s="171"/>
      <c r="DR18" s="171"/>
      <c r="DS18" s="171"/>
      <c r="DT18" s="171"/>
      <c r="DU18" s="171"/>
      <c r="DV18" s="171"/>
      <c r="DW18" s="171"/>
      <c r="DX18" s="171"/>
      <c r="DY18" s="171"/>
      <c r="DZ18" s="171"/>
      <c r="EA18" s="171"/>
      <c r="EB18" s="171"/>
      <c r="EC18" s="171"/>
      <c r="ED18" s="171"/>
      <c r="EE18" s="171"/>
      <c r="EF18" s="171"/>
      <c r="EG18" s="171"/>
      <c r="EH18" s="171"/>
      <c r="EI18" s="171"/>
      <c r="EJ18" s="171"/>
      <c r="EK18" s="171"/>
      <c r="EL18" s="171"/>
      <c r="EM18" s="171"/>
      <c r="EN18" s="171"/>
      <c r="EO18" s="171"/>
      <c r="EP18" s="171"/>
      <c r="EQ18" s="171"/>
      <c r="ER18" s="171"/>
      <c r="ES18" s="171"/>
      <c r="ET18" s="171"/>
      <c r="EU18" s="171"/>
      <c r="EV18" s="171"/>
      <c r="EW18" s="171"/>
      <c r="EX18" s="171"/>
      <c r="EY18" s="171"/>
      <c r="EZ18" s="171"/>
      <c r="FA18" s="171"/>
      <c r="FB18" s="171"/>
      <c r="FC18" s="171"/>
      <c r="FD18" s="171"/>
      <c r="FE18" s="171"/>
      <c r="FF18" s="171"/>
      <c r="FG18" s="171"/>
      <c r="FH18" s="171"/>
      <c r="FI18" s="171"/>
      <c r="FJ18" s="171"/>
      <c r="FK18" s="171"/>
      <c r="FL18" s="171"/>
      <c r="FM18" s="171"/>
      <c r="FN18" s="171"/>
      <c r="FO18" s="171"/>
      <c r="FP18" s="171"/>
      <c r="FQ18" s="171"/>
      <c r="FR18" s="171"/>
      <c r="FS18" s="171"/>
      <c r="FT18" s="171"/>
      <c r="FU18" s="171"/>
      <c r="FV18" s="171"/>
    </row>
    <row x14ac:dyDescent="0.25" r="19" customHeight="1" ht="2.1">
      <c r="A19" s="1"/>
      <c r="B19" s="1"/>
      <c r="C19" s="1"/>
      <c r="D19" s="1"/>
      <c r="E19" s="168"/>
      <c r="F19" s="1"/>
      <c r="G19" s="1"/>
      <c r="H19" s="1"/>
      <c r="I19" s="1"/>
      <c r="J19" s="168"/>
      <c r="K19" s="169"/>
      <c r="L19" s="169"/>
      <c r="M19" s="170"/>
      <c r="N19" s="168"/>
      <c r="O19" s="170"/>
      <c r="P19" s="1"/>
      <c r="Q19" s="1"/>
      <c r="R19" s="1"/>
      <c r="S19" s="193"/>
      <c r="T19" s="193"/>
      <c r="U19" s="193"/>
      <c r="V19" s="193"/>
      <c r="W19" s="193"/>
      <c r="X19" s="193"/>
      <c r="Y19" s="193"/>
      <c r="Z19" s="193"/>
      <c r="AA19" s="193"/>
      <c r="AB19" s="193"/>
      <c r="AC19" s="193"/>
      <c r="AD19" s="193"/>
      <c r="AE19" s="193"/>
      <c r="AF19" s="193"/>
      <c r="AG19" s="193"/>
      <c r="AH19" s="193"/>
      <c r="AI19" s="193"/>
      <c r="AJ19" s="193"/>
      <c r="AK19" s="193"/>
      <c r="AL19" s="193"/>
      <c r="AM19" s="193"/>
      <c r="AN19" s="193"/>
      <c r="AO19" s="193"/>
      <c r="AP19" s="193"/>
      <c r="AQ19" s="193"/>
      <c r="AR19" s="193"/>
      <c r="AS19" s="193"/>
      <c r="AT19" s="193"/>
      <c r="AU19" s="193"/>
      <c r="AV19" s="193"/>
      <c r="AW19" s="193"/>
      <c r="AX19" s="193"/>
      <c r="AY19" s="193"/>
      <c r="AZ19" s="193"/>
      <c r="BA19" s="193"/>
      <c r="BB19" s="193"/>
      <c r="BC19" s="193"/>
      <c r="BD19" s="193"/>
      <c r="BE19" s="193"/>
      <c r="BF19" s="193"/>
      <c r="BG19" s="193"/>
      <c r="BH19" s="193"/>
      <c r="BI19" s="193"/>
      <c r="BJ19" s="193"/>
      <c r="BK19" s="193"/>
      <c r="BL19" s="193"/>
      <c r="BM19" s="193"/>
      <c r="BN19" s="193"/>
      <c r="BO19" s="193"/>
      <c r="BP19" s="193"/>
      <c r="BQ19" s="193"/>
      <c r="BR19" s="193"/>
      <c r="BS19" s="193"/>
      <c r="BT19" s="193"/>
      <c r="BU19" s="193"/>
      <c r="BV19" s="193"/>
      <c r="BW19" s="193"/>
      <c r="BX19" s="193"/>
      <c r="BY19" s="193"/>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row>
    <row x14ac:dyDescent="0.25" r="20" customHeight="1" ht="14.65">
      <c r="A20" s="1"/>
      <c r="B20" s="1"/>
      <c r="C20" s="139"/>
      <c r="D20" s="197"/>
      <c r="E20" s="213"/>
      <c r="F20" s="188"/>
      <c r="G20" s="188"/>
      <c r="H20" s="197"/>
      <c r="I20" s="202" t="s">
        <v>47</v>
      </c>
      <c r="J20" s="203">
        <f>IFERROR(IF('Simulador - Datos personales'!E5:F5=4,0,'Simulador - 2º Pilar'!V12*12),"-")</f>
      </c>
      <c r="K20" s="204">
        <v>12647.290982859322</v>
      </c>
      <c r="L20" s="203">
        <f>IFERROR(IF('Simulador - Datos personales'!E5:F5=4,0,J20/12),"-")</f>
      </c>
      <c r="M20" s="217">
        <v>1053.9409152382768</v>
      </c>
      <c r="N20" s="205">
        <f>IFERROR(IF('Simulador - Datos personales'!E5:F5=4,0,'Simulador - 2º Pilar'!T16),"-")</f>
      </c>
      <c r="O20" s="218">
        <v>0.03339256586542448</v>
      </c>
      <c r="P20" s="1"/>
      <c r="Q20" s="1"/>
      <c r="R20" s="219"/>
      <c r="S20" s="1"/>
      <c r="T20" s="1"/>
      <c r="U20" s="1"/>
      <c r="V20" s="1"/>
      <c r="W20" s="1"/>
      <c r="X20" s="1"/>
      <c r="Y20" s="1"/>
      <c r="Z20" s="1"/>
      <c r="AA20" s="1"/>
      <c r="AB20" s="1"/>
      <c r="AC20" s="1"/>
      <c r="AD20" s="1"/>
      <c r="AE20" s="1"/>
      <c r="AF20" s="1"/>
      <c r="AG20" s="1"/>
      <c r="AH20" s="1"/>
      <c r="AI20" s="1"/>
      <c r="AJ20" s="1"/>
      <c r="AK20" s="1"/>
      <c r="AL20" s="1"/>
      <c r="AM20" s="1"/>
      <c r="AN20" s="1"/>
      <c r="AO20" s="1"/>
      <c r="AP20" s="1"/>
      <c r="AQ20" s="193"/>
      <c r="AR20" s="193"/>
      <c r="AS20" s="193"/>
      <c r="AT20" s="193"/>
      <c r="AU20" s="193"/>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71"/>
      <c r="CA20" s="171"/>
      <c r="CB20" s="171"/>
      <c r="CC20" s="171"/>
      <c r="CD20" s="171"/>
      <c r="CE20" s="171"/>
      <c r="CF20" s="171"/>
      <c r="CG20" s="171"/>
      <c r="CH20" s="171"/>
      <c r="CI20" s="171"/>
      <c r="CJ20" s="171"/>
      <c r="CK20" s="171"/>
      <c r="CL20" s="171"/>
      <c r="CM20" s="171"/>
      <c r="CN20" s="171"/>
      <c r="CO20" s="171"/>
      <c r="CP20" s="171"/>
      <c r="CQ20" s="171"/>
      <c r="CR20" s="171"/>
      <c r="CS20" s="171"/>
      <c r="CT20" s="171"/>
      <c r="CU20" s="171"/>
      <c r="CV20" s="171"/>
      <c r="CW20" s="171"/>
      <c r="CX20" s="171"/>
      <c r="CY20" s="171"/>
      <c r="CZ20" s="171"/>
      <c r="DA20" s="171"/>
      <c r="DB20" s="171"/>
      <c r="DC20" s="171"/>
      <c r="DD20" s="171"/>
      <c r="DE20" s="171"/>
      <c r="DF20" s="171"/>
      <c r="DG20" s="171"/>
      <c r="DH20" s="171"/>
      <c r="DI20" s="171"/>
      <c r="DJ20" s="171"/>
      <c r="DK20" s="171"/>
      <c r="DL20" s="171"/>
      <c r="DM20" s="171"/>
      <c r="DN20" s="171"/>
      <c r="DO20" s="171"/>
      <c r="DP20" s="171"/>
      <c r="DQ20" s="171"/>
      <c r="DR20" s="171"/>
      <c r="DS20" s="171"/>
      <c r="DT20" s="171"/>
      <c r="DU20" s="171"/>
      <c r="DV20" s="171"/>
      <c r="DW20" s="171"/>
      <c r="DX20" s="171"/>
      <c r="DY20" s="171"/>
      <c r="DZ20" s="171"/>
      <c r="EA20" s="171"/>
      <c r="EB20" s="171"/>
      <c r="EC20" s="171"/>
      <c r="ED20" s="171"/>
      <c r="EE20" s="171"/>
      <c r="EF20" s="171"/>
      <c r="EG20" s="171"/>
      <c r="EH20" s="171"/>
      <c r="EI20" s="171"/>
      <c r="EJ20" s="171"/>
      <c r="EK20" s="171"/>
      <c r="EL20" s="171"/>
      <c r="EM20" s="171"/>
      <c r="EN20" s="171"/>
      <c r="EO20" s="171"/>
      <c r="EP20" s="171"/>
      <c r="EQ20" s="171"/>
      <c r="ER20" s="171"/>
      <c r="ES20" s="171"/>
      <c r="ET20" s="171"/>
      <c r="EU20" s="171"/>
      <c r="EV20" s="171"/>
      <c r="EW20" s="171"/>
      <c r="EX20" s="171"/>
      <c r="EY20" s="171"/>
      <c r="EZ20" s="171"/>
      <c r="FA20" s="171"/>
      <c r="FB20" s="171"/>
      <c r="FC20" s="171"/>
      <c r="FD20" s="171"/>
      <c r="FE20" s="171"/>
      <c r="FF20" s="171"/>
      <c r="FG20" s="171"/>
      <c r="FH20" s="171"/>
      <c r="FI20" s="171"/>
      <c r="FJ20" s="171"/>
      <c r="FK20" s="171"/>
      <c r="FL20" s="171"/>
      <c r="FM20" s="171"/>
      <c r="FN20" s="171"/>
      <c r="FO20" s="171"/>
      <c r="FP20" s="171"/>
      <c r="FQ20" s="171"/>
      <c r="FR20" s="171"/>
      <c r="FS20" s="171"/>
      <c r="FT20" s="171"/>
      <c r="FU20" s="171"/>
      <c r="FV20" s="171"/>
    </row>
    <row x14ac:dyDescent="0.25" r="21" customHeight="1" ht="2.1">
      <c r="A21" s="1"/>
      <c r="B21" s="1"/>
      <c r="C21" s="1"/>
      <c r="D21" s="1"/>
      <c r="E21" s="168"/>
      <c r="F21" s="1"/>
      <c r="G21" s="1"/>
      <c r="H21" s="1"/>
      <c r="I21" s="1"/>
      <c r="J21" s="168"/>
      <c r="K21" s="4"/>
      <c r="L21" s="169"/>
      <c r="M21" s="170"/>
      <c r="N21" s="168"/>
      <c r="O21" s="170"/>
      <c r="P21" s="1"/>
      <c r="Q21" s="1"/>
      <c r="R21" s="1"/>
      <c r="S21" s="193"/>
      <c r="T21" s="193"/>
      <c r="U21" s="193"/>
      <c r="V21" s="193"/>
      <c r="W21" s="193"/>
      <c r="X21" s="193"/>
      <c r="Y21" s="193"/>
      <c r="Z21" s="193"/>
      <c r="AA21" s="193"/>
      <c r="AB21" s="193"/>
      <c r="AC21" s="193"/>
      <c r="AD21" s="193"/>
      <c r="AE21" s="193"/>
      <c r="AF21" s="193"/>
      <c r="AG21" s="193"/>
      <c r="AH21" s="193"/>
      <c r="AI21" s="193"/>
      <c r="AJ21" s="193"/>
      <c r="AK21" s="193"/>
      <c r="AL21" s="193"/>
      <c r="AM21" s="193"/>
      <c r="AN21" s="193"/>
      <c r="AO21" s="193"/>
      <c r="AP21" s="193"/>
      <c r="AQ21" s="193"/>
      <c r="AR21" s="193"/>
      <c r="AS21" s="193"/>
      <c r="AT21" s="193"/>
      <c r="AU21" s="193"/>
      <c r="AV21" s="193"/>
      <c r="AW21" s="193"/>
      <c r="AX21" s="193"/>
      <c r="AY21" s="193"/>
      <c r="AZ21" s="193"/>
      <c r="BA21" s="193"/>
      <c r="BB21" s="193"/>
      <c r="BC21" s="193"/>
      <c r="BD21" s="193"/>
      <c r="BE21" s="193"/>
      <c r="BF21" s="193"/>
      <c r="BG21" s="193"/>
      <c r="BH21" s="193"/>
      <c r="BI21" s="193"/>
      <c r="BJ21" s="193"/>
      <c r="BK21" s="193"/>
      <c r="BL21" s="193"/>
      <c r="BM21" s="193"/>
      <c r="BN21" s="193"/>
      <c r="BO21" s="193"/>
      <c r="BP21" s="193"/>
      <c r="BQ21" s="193"/>
      <c r="BR21" s="193"/>
      <c r="BS21" s="193"/>
      <c r="BT21" s="193"/>
      <c r="BU21" s="193"/>
      <c r="BV21" s="193"/>
      <c r="BW21" s="193"/>
      <c r="BX21" s="193"/>
      <c r="BY21" s="193"/>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EG21" s="1"/>
      <c r="EH21" s="1"/>
      <c r="EI21" s="1"/>
      <c r="EJ21" s="1"/>
      <c r="EK21" s="1"/>
      <c r="EL21" s="1"/>
      <c r="EM21" s="1"/>
      <c r="EN21" s="1"/>
      <c r="EO21" s="1"/>
      <c r="EP21" s="1"/>
      <c r="EQ21" s="1"/>
      <c r="ER21" s="1"/>
      <c r="ES21" s="1"/>
      <c r="ET21" s="1"/>
      <c r="EU21" s="1"/>
      <c r="EV21" s="1"/>
      <c r="EW21" s="1"/>
      <c r="EX21" s="1"/>
      <c r="EY21" s="1"/>
      <c r="EZ21" s="1"/>
      <c r="FA21" s="1"/>
      <c r="FB21" s="1"/>
      <c r="FC21" s="1"/>
      <c r="FD21" s="1"/>
      <c r="FE21" s="1"/>
      <c r="FF21" s="1"/>
      <c r="FG21" s="1"/>
      <c r="FH21" s="1"/>
      <c r="FI21" s="1"/>
      <c r="FJ21" s="1"/>
      <c r="FK21" s="1"/>
      <c r="FL21" s="1"/>
      <c r="FM21" s="1"/>
      <c r="FN21" s="1"/>
      <c r="FO21" s="1"/>
      <c r="FP21" s="1"/>
      <c r="FQ21" s="1"/>
      <c r="FR21" s="1"/>
      <c r="FS21" s="1"/>
      <c r="FT21" s="1"/>
      <c r="FU21" s="1"/>
      <c r="FV21" s="1"/>
    </row>
    <row x14ac:dyDescent="0.25" r="22" customHeight="1" ht="14.65">
      <c r="A22" s="1"/>
      <c r="B22" s="1"/>
      <c r="C22" s="186" t="s">
        <v>48</v>
      </c>
      <c r="D22" s="186"/>
      <c r="E22" s="187"/>
      <c r="F22" s="188"/>
      <c r="G22" s="188"/>
      <c r="H22" s="197"/>
      <c r="I22" s="202" t="s">
        <v>49</v>
      </c>
      <c r="J22" s="203">
        <f>IFERROR(IF('Simulador - Datos personales'!E5:F5=4,0,'Simulador - 2º Pilar'!V20*12),"-")</f>
      </c>
      <c r="K22" s="204">
        <v>4663.682670142692</v>
      </c>
      <c r="L22" s="203">
        <f>IFERROR(IF('Simulador - Datos personales'!E5:F5=4,0,J22/12),"-")</f>
      </c>
      <c r="M22" s="217">
        <v>388.64022251189095</v>
      </c>
      <c r="N22" s="205">
        <f>IFERROR(IF('Simulador - Datos personales'!E5:F5=4,0,'Simulador - 2º Pilar'!T24),"-")</f>
      </c>
      <c r="O22" s="218">
        <v>0.012313493138510068</v>
      </c>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93"/>
      <c r="AR22" s="193"/>
      <c r="AS22" s="193"/>
      <c r="AT22" s="193"/>
      <c r="AU22" s="193"/>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71"/>
      <c r="CA22" s="171"/>
      <c r="CB22" s="171"/>
      <c r="CC22" s="171"/>
      <c r="CD22" s="171"/>
      <c r="CE22" s="171"/>
      <c r="CF22" s="171"/>
      <c r="CG22" s="171"/>
      <c r="CH22" s="171"/>
      <c r="CI22" s="171"/>
      <c r="CJ22" s="171"/>
      <c r="CK22" s="171"/>
      <c r="CL22" s="171"/>
      <c r="CM22" s="171"/>
      <c r="CN22" s="171"/>
      <c r="CO22" s="171"/>
      <c r="CP22" s="171"/>
      <c r="CQ22" s="171"/>
      <c r="CR22" s="171"/>
      <c r="CS22" s="171"/>
      <c r="CT22" s="171"/>
      <c r="CU22" s="171"/>
      <c r="CV22" s="171"/>
      <c r="CW22" s="171"/>
      <c r="CX22" s="171"/>
      <c r="CY22" s="171"/>
      <c r="CZ22" s="171"/>
      <c r="DA22" s="171"/>
      <c r="DB22" s="171"/>
      <c r="DC22" s="171"/>
      <c r="DD22" s="171"/>
      <c r="DE22" s="171"/>
      <c r="DF22" s="171"/>
      <c r="DG22" s="171"/>
      <c r="DH22" s="171"/>
      <c r="DI22" s="171"/>
      <c r="DJ22" s="171"/>
      <c r="DK22" s="171"/>
      <c r="DL22" s="171"/>
      <c r="DM22" s="171"/>
      <c r="DN22" s="171"/>
      <c r="DO22" s="171"/>
      <c r="DP22" s="171"/>
      <c r="DQ22" s="171"/>
      <c r="DR22" s="171"/>
      <c r="DS22" s="171"/>
      <c r="DT22" s="171"/>
      <c r="DU22" s="171"/>
      <c r="DV22" s="171"/>
      <c r="DW22" s="171"/>
      <c r="DX22" s="171"/>
      <c r="DY22" s="171"/>
      <c r="DZ22" s="171"/>
      <c r="EA22" s="171"/>
      <c r="EB22" s="171"/>
      <c r="EC22" s="171"/>
      <c r="ED22" s="171"/>
      <c r="EE22" s="171"/>
      <c r="EF22" s="171"/>
      <c r="EG22" s="171"/>
      <c r="EH22" s="171"/>
      <c r="EI22" s="171"/>
      <c r="EJ22" s="171"/>
      <c r="EK22" s="171"/>
      <c r="EL22" s="171"/>
      <c r="EM22" s="171"/>
      <c r="EN22" s="171"/>
      <c r="EO22" s="171"/>
      <c r="EP22" s="171"/>
      <c r="EQ22" s="171"/>
      <c r="ER22" s="171"/>
      <c r="ES22" s="171"/>
      <c r="ET22" s="171"/>
      <c r="EU22" s="171"/>
      <c r="EV22" s="171"/>
      <c r="EW22" s="171"/>
      <c r="EX22" s="171"/>
      <c r="EY22" s="171"/>
      <c r="EZ22" s="171"/>
      <c r="FA22" s="171"/>
      <c r="FB22" s="171"/>
      <c r="FC22" s="171"/>
      <c r="FD22" s="171"/>
      <c r="FE22" s="171"/>
      <c r="FF22" s="171"/>
      <c r="FG22" s="171"/>
      <c r="FH22" s="171"/>
      <c r="FI22" s="171"/>
      <c r="FJ22" s="171"/>
      <c r="FK22" s="171"/>
      <c r="FL22" s="171"/>
      <c r="FM22" s="171"/>
      <c r="FN22" s="171"/>
      <c r="FO22" s="171"/>
      <c r="FP22" s="171"/>
      <c r="FQ22" s="171"/>
      <c r="FR22" s="171"/>
      <c r="FS22" s="171"/>
      <c r="FT22" s="171"/>
      <c r="FU22" s="171"/>
      <c r="FV22" s="171"/>
    </row>
    <row x14ac:dyDescent="0.25" r="23" customHeight="1" ht="2.1">
      <c r="A23" s="1"/>
      <c r="B23" s="1"/>
      <c r="C23" s="1"/>
      <c r="D23" s="1"/>
      <c r="E23" s="168"/>
      <c r="F23" s="1"/>
      <c r="G23" s="1"/>
      <c r="H23" s="1"/>
      <c r="I23" s="1"/>
      <c r="J23" s="168"/>
      <c r="K23" s="4"/>
      <c r="L23" s="169"/>
      <c r="M23" s="170"/>
      <c r="N23" s="168"/>
      <c r="O23" s="170"/>
      <c r="P23" s="1"/>
      <c r="Q23" s="1"/>
      <c r="R23" s="1"/>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c r="AP23" s="193"/>
      <c r="AQ23" s="193"/>
      <c r="AR23" s="193"/>
      <c r="AS23" s="193"/>
      <c r="AT23" s="193"/>
      <c r="AU23" s="193"/>
      <c r="AV23" s="193"/>
      <c r="AW23" s="193"/>
      <c r="AX23" s="193"/>
      <c r="AY23" s="193"/>
      <c r="AZ23" s="193"/>
      <c r="BA23" s="193"/>
      <c r="BB23" s="193"/>
      <c r="BC23" s="193"/>
      <c r="BD23" s="193"/>
      <c r="BE23" s="193"/>
      <c r="BF23" s="193"/>
      <c r="BG23" s="193"/>
      <c r="BH23" s="193"/>
      <c r="BI23" s="193"/>
      <c r="BJ23" s="193"/>
      <c r="BK23" s="193"/>
      <c r="BL23" s="193"/>
      <c r="BM23" s="193"/>
      <c r="BN23" s="193"/>
      <c r="BO23" s="193"/>
      <c r="BP23" s="193"/>
      <c r="BQ23" s="193"/>
      <c r="BR23" s="193"/>
      <c r="BS23" s="193"/>
      <c r="BT23" s="193"/>
      <c r="BU23" s="193"/>
      <c r="BV23" s="193"/>
      <c r="BW23" s="193"/>
      <c r="BX23" s="193"/>
      <c r="BY23" s="193"/>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1"/>
      <c r="EU23" s="1"/>
      <c r="EV23" s="1"/>
      <c r="EW23" s="1"/>
      <c r="EX23" s="1"/>
      <c r="EY23" s="1"/>
      <c r="EZ23" s="1"/>
      <c r="FA23" s="1"/>
      <c r="FB23" s="1"/>
      <c r="FC23" s="1"/>
      <c r="FD23" s="1"/>
      <c r="FE23" s="1"/>
      <c r="FF23" s="1"/>
      <c r="FG23" s="1"/>
      <c r="FH23" s="1"/>
      <c r="FI23" s="1"/>
      <c r="FJ23" s="1"/>
      <c r="FK23" s="1"/>
      <c r="FL23" s="1"/>
      <c r="FM23" s="1"/>
      <c r="FN23" s="1"/>
      <c r="FO23" s="1"/>
      <c r="FP23" s="1"/>
      <c r="FQ23" s="1"/>
      <c r="FR23" s="1"/>
      <c r="FS23" s="1"/>
      <c r="FT23" s="1"/>
      <c r="FU23" s="1"/>
      <c r="FV23" s="1"/>
    </row>
    <row x14ac:dyDescent="0.25" r="24" customHeight="1" ht="14.65">
      <c r="A24" s="1"/>
      <c r="B24" s="1"/>
      <c r="C24" s="194"/>
      <c r="D24" s="212" t="s">
        <v>50</v>
      </c>
      <c r="E24" s="201">
        <f>IF('Simulador - 1º Pilar'!G10="Jubilación ordinarIa","Ordinaria",IF('Simulador - 1º Pilar'!G10="Jubilación anticipada","Anticipada","Prolongada"))</f>
      </c>
      <c r="F24" s="188"/>
      <c r="G24" s="188"/>
      <c r="H24" s="197"/>
      <c r="I24" s="202" t="s">
        <v>51</v>
      </c>
      <c r="J24" s="203">
        <f>IFERROR('Simulador - 2º Pilar'!V33*12,"-")</f>
      </c>
      <c r="K24" s="204"/>
      <c r="L24" s="203">
        <f>IFERROR(J24/12,"-")</f>
      </c>
      <c r="M24" s="170"/>
      <c r="N24" s="205">
        <f>IFERROR('Simulador - 2º Pilar'!T40,"-")</f>
      </c>
      <c r="O24" s="170"/>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93"/>
      <c r="AR24" s="193"/>
      <c r="AS24" s="193"/>
      <c r="AT24" s="193"/>
      <c r="AU24" s="193"/>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71"/>
      <c r="CA24" s="171"/>
      <c r="CB24" s="171"/>
      <c r="CC24" s="171"/>
      <c r="CD24" s="171"/>
      <c r="CE24" s="171"/>
      <c r="CF24" s="171"/>
      <c r="CG24" s="171"/>
      <c r="CH24" s="171"/>
      <c r="CI24" s="171"/>
      <c r="CJ24" s="171"/>
      <c r="CK24" s="171"/>
      <c r="CL24" s="171"/>
      <c r="CM24" s="171"/>
      <c r="CN24" s="171"/>
      <c r="CO24" s="171"/>
      <c r="CP24" s="171"/>
      <c r="CQ24" s="171"/>
      <c r="CR24" s="171"/>
      <c r="CS24" s="171"/>
      <c r="CT24" s="171"/>
      <c r="CU24" s="171"/>
      <c r="CV24" s="171"/>
      <c r="CW24" s="171"/>
      <c r="CX24" s="171"/>
      <c r="CY24" s="171"/>
      <c r="CZ24" s="171"/>
      <c r="DA24" s="171"/>
      <c r="DB24" s="171"/>
      <c r="DC24" s="171"/>
      <c r="DD24" s="171"/>
      <c r="DE24" s="171"/>
      <c r="DF24" s="171"/>
      <c r="DG24" s="171"/>
      <c r="DH24" s="171"/>
      <c r="DI24" s="171"/>
      <c r="DJ24" s="171"/>
      <c r="DK24" s="171"/>
      <c r="DL24" s="171"/>
      <c r="DM24" s="171"/>
      <c r="DN24" s="171"/>
      <c r="DO24" s="171"/>
      <c r="DP24" s="171"/>
      <c r="DQ24" s="171"/>
      <c r="DR24" s="171"/>
      <c r="DS24" s="171"/>
      <c r="DT24" s="171"/>
      <c r="DU24" s="171"/>
      <c r="DV24" s="171"/>
      <c r="DW24" s="171"/>
      <c r="DX24" s="171"/>
      <c r="DY24" s="171"/>
      <c r="DZ24" s="171"/>
      <c r="EA24" s="171"/>
      <c r="EB24" s="171"/>
      <c r="EC24" s="171"/>
      <c r="ED24" s="171"/>
      <c r="EE24" s="171"/>
      <c r="EF24" s="171"/>
      <c r="EG24" s="171"/>
      <c r="EH24" s="171"/>
      <c r="EI24" s="171"/>
      <c r="EJ24" s="171"/>
      <c r="EK24" s="171"/>
      <c r="EL24" s="171"/>
      <c r="EM24" s="171"/>
      <c r="EN24" s="171"/>
      <c r="EO24" s="171"/>
      <c r="EP24" s="171"/>
      <c r="EQ24" s="171"/>
      <c r="ER24" s="171"/>
      <c r="ES24" s="171"/>
      <c r="ET24" s="171"/>
      <c r="EU24" s="171"/>
      <c r="EV24" s="171"/>
      <c r="EW24" s="171"/>
      <c r="EX24" s="171"/>
      <c r="EY24" s="171"/>
      <c r="EZ24" s="171"/>
      <c r="FA24" s="171"/>
      <c r="FB24" s="171"/>
      <c r="FC24" s="171"/>
      <c r="FD24" s="171"/>
      <c r="FE24" s="171"/>
      <c r="FF24" s="171"/>
      <c r="FG24" s="171"/>
      <c r="FH24" s="171"/>
      <c r="FI24" s="171"/>
      <c r="FJ24" s="171"/>
      <c r="FK24" s="171"/>
      <c r="FL24" s="171"/>
      <c r="FM24" s="171"/>
      <c r="FN24" s="171"/>
      <c r="FO24" s="171"/>
      <c r="FP24" s="171"/>
      <c r="FQ24" s="171"/>
      <c r="FR24" s="171"/>
      <c r="FS24" s="171"/>
      <c r="FT24" s="171"/>
      <c r="FU24" s="171"/>
      <c r="FV24" s="171"/>
    </row>
    <row x14ac:dyDescent="0.25" r="25" customHeight="1" ht="2.1">
      <c r="A25" s="1"/>
      <c r="B25" s="1"/>
      <c r="C25" s="1"/>
      <c r="D25" s="1"/>
      <c r="E25" s="168"/>
      <c r="F25" s="1"/>
      <c r="G25" s="1"/>
      <c r="H25" s="1"/>
      <c r="I25" s="1"/>
      <c r="J25" s="168"/>
      <c r="K25" s="4"/>
      <c r="L25" s="169"/>
      <c r="M25" s="170"/>
      <c r="N25" s="168"/>
      <c r="O25" s="170"/>
      <c r="P25" s="1"/>
      <c r="Q25" s="1"/>
      <c r="R25" s="1"/>
      <c r="S25" s="193"/>
      <c r="T25" s="193"/>
      <c r="U25" s="193"/>
      <c r="V25" s="193"/>
      <c r="W25" s="193"/>
      <c r="X25" s="193"/>
      <c r="Y25" s="193"/>
      <c r="Z25" s="193"/>
      <c r="AA25" s="193"/>
      <c r="AB25" s="193"/>
      <c r="AC25" s="193"/>
      <c r="AD25" s="193"/>
      <c r="AE25" s="193"/>
      <c r="AF25" s="193"/>
      <c r="AG25" s="193"/>
      <c r="AH25" s="193"/>
      <c r="AI25" s="193"/>
      <c r="AJ25" s="193"/>
      <c r="AK25" s="193"/>
      <c r="AL25" s="193"/>
      <c r="AM25" s="193"/>
      <c r="AN25" s="193"/>
      <c r="AO25" s="193"/>
      <c r="AP25" s="193"/>
      <c r="AQ25" s="193"/>
      <c r="AR25" s="193"/>
      <c r="AS25" s="193"/>
      <c r="AT25" s="193"/>
      <c r="AU25" s="193"/>
      <c r="AV25" s="193"/>
      <c r="AW25" s="193"/>
      <c r="AX25" s="193"/>
      <c r="AY25" s="193"/>
      <c r="AZ25" s="193"/>
      <c r="BA25" s="193"/>
      <c r="BB25" s="193"/>
      <c r="BC25" s="193"/>
      <c r="BD25" s="193"/>
      <c r="BE25" s="193"/>
      <c r="BF25" s="193"/>
      <c r="BG25" s="193"/>
      <c r="BH25" s="193"/>
      <c r="BI25" s="193"/>
      <c r="BJ25" s="193"/>
      <c r="BK25" s="193"/>
      <c r="BL25" s="193"/>
      <c r="BM25" s="193"/>
      <c r="BN25" s="193"/>
      <c r="BO25" s="193"/>
      <c r="BP25" s="193"/>
      <c r="BQ25" s="193"/>
      <c r="BR25" s="193"/>
      <c r="BS25" s="193"/>
      <c r="BT25" s="193"/>
      <c r="BU25" s="193"/>
      <c r="BV25" s="193"/>
      <c r="BW25" s="193"/>
      <c r="BX25" s="193"/>
      <c r="BY25" s="193"/>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EG25" s="1"/>
      <c r="EH25" s="1"/>
      <c r="EI25" s="1"/>
      <c r="EJ25" s="1"/>
      <c r="EK25" s="1"/>
      <c r="EL25" s="1"/>
      <c r="EM25" s="1"/>
      <c r="EN25" s="1"/>
      <c r="EO25" s="1"/>
      <c r="EP25" s="1"/>
      <c r="EQ25" s="1"/>
      <c r="ER25" s="1"/>
      <c r="ES25" s="1"/>
      <c r="ET25" s="1"/>
      <c r="EU25" s="1"/>
      <c r="EV25" s="1"/>
      <c r="EW25" s="1"/>
      <c r="EX25" s="1"/>
      <c r="EY25" s="1"/>
      <c r="EZ25" s="1"/>
      <c r="FA25" s="1"/>
      <c r="FB25" s="1"/>
      <c r="FC25" s="1"/>
      <c r="FD25" s="1"/>
      <c r="FE25" s="1"/>
      <c r="FF25" s="1"/>
      <c r="FG25" s="1"/>
      <c r="FH25" s="1"/>
      <c r="FI25" s="1"/>
      <c r="FJ25" s="1"/>
      <c r="FK25" s="1"/>
      <c r="FL25" s="1"/>
      <c r="FM25" s="1"/>
      <c r="FN25" s="1"/>
      <c r="FO25" s="1"/>
      <c r="FP25" s="1"/>
      <c r="FQ25" s="1"/>
      <c r="FR25" s="1"/>
      <c r="FS25" s="1"/>
      <c r="FT25" s="1"/>
      <c r="FU25" s="1"/>
      <c r="FV25" s="1"/>
    </row>
    <row x14ac:dyDescent="0.25" r="26" customHeight="1" ht="14.65">
      <c r="A26" s="1"/>
      <c r="B26" s="1"/>
      <c r="C26" s="194"/>
      <c r="D26" s="212" t="s">
        <v>52</v>
      </c>
      <c r="E26" s="196">
        <f>'Simulador - 1º Pilar'!G20</f>
        <v>25569.041666666668</v>
      </c>
      <c r="F26" s="188"/>
      <c r="G26" s="188"/>
      <c r="H26" s="197"/>
      <c r="I26" s="202" t="s">
        <v>53</v>
      </c>
      <c r="J26" s="203">
        <f>IFERROR('Simulador - 2º Pilar'!V49*12,"-")</f>
      </c>
      <c r="K26" s="204"/>
      <c r="L26" s="203">
        <f>IFERROR(J26/12,"-")</f>
      </c>
      <c r="M26" s="170"/>
      <c r="N26" s="205">
        <f>IFERROR('Simulador - 2º Pilar'!T53,"-")</f>
      </c>
      <c r="O26" s="170"/>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93"/>
      <c r="AR26" s="193"/>
      <c r="AS26" s="193"/>
      <c r="AT26" s="193"/>
      <c r="AU26" s="193"/>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71"/>
      <c r="CA26" s="171"/>
      <c r="CB26" s="171"/>
      <c r="CC26" s="171"/>
      <c r="CD26" s="171"/>
      <c r="CE26" s="171"/>
      <c r="CF26" s="171"/>
      <c r="CG26" s="171"/>
      <c r="CH26" s="171"/>
      <c r="CI26" s="171"/>
      <c r="CJ26" s="171"/>
      <c r="CK26" s="171"/>
      <c r="CL26" s="171"/>
      <c r="CM26" s="171"/>
      <c r="CN26" s="171"/>
      <c r="CO26" s="171"/>
      <c r="CP26" s="171"/>
      <c r="CQ26" s="171"/>
      <c r="CR26" s="171"/>
      <c r="CS26" s="171"/>
      <c r="CT26" s="171"/>
      <c r="CU26" s="171"/>
      <c r="CV26" s="171"/>
      <c r="CW26" s="171"/>
      <c r="CX26" s="171"/>
      <c r="CY26" s="171"/>
      <c r="CZ26" s="171"/>
      <c r="DA26" s="171"/>
      <c r="DB26" s="171"/>
      <c r="DC26" s="171"/>
      <c r="DD26" s="171"/>
      <c r="DE26" s="171"/>
      <c r="DF26" s="171"/>
      <c r="DG26" s="171"/>
      <c r="DH26" s="171"/>
      <c r="DI26" s="171"/>
      <c r="DJ26" s="171"/>
      <c r="DK26" s="171"/>
      <c r="DL26" s="171"/>
      <c r="DM26" s="171"/>
      <c r="DN26" s="171"/>
      <c r="DO26" s="171"/>
      <c r="DP26" s="171"/>
      <c r="DQ26" s="171"/>
      <c r="DR26" s="171"/>
      <c r="DS26" s="171"/>
      <c r="DT26" s="171"/>
      <c r="DU26" s="171"/>
      <c r="DV26" s="171"/>
      <c r="DW26" s="171"/>
      <c r="DX26" s="171"/>
      <c r="DY26" s="171"/>
      <c r="DZ26" s="171"/>
      <c r="EA26" s="171"/>
      <c r="EB26" s="171"/>
      <c r="EC26" s="171"/>
      <c r="ED26" s="171"/>
      <c r="EE26" s="171"/>
      <c r="EF26" s="171"/>
      <c r="EG26" s="171"/>
      <c r="EH26" s="171"/>
      <c r="EI26" s="171"/>
      <c r="EJ26" s="171"/>
      <c r="EK26" s="171"/>
      <c r="EL26" s="171"/>
      <c r="EM26" s="171"/>
      <c r="EN26" s="171"/>
      <c r="EO26" s="171"/>
      <c r="EP26" s="171"/>
      <c r="EQ26" s="171"/>
      <c r="ER26" s="171"/>
      <c r="ES26" s="171"/>
      <c r="ET26" s="171"/>
      <c r="EU26" s="171"/>
      <c r="EV26" s="171"/>
      <c r="EW26" s="171"/>
      <c r="EX26" s="171"/>
      <c r="EY26" s="171"/>
      <c r="EZ26" s="171"/>
      <c r="FA26" s="171"/>
      <c r="FB26" s="171"/>
      <c r="FC26" s="171"/>
      <c r="FD26" s="171"/>
      <c r="FE26" s="171"/>
      <c r="FF26" s="171"/>
      <c r="FG26" s="171"/>
      <c r="FH26" s="171"/>
      <c r="FI26" s="171"/>
      <c r="FJ26" s="171"/>
      <c r="FK26" s="171"/>
      <c r="FL26" s="171"/>
      <c r="FM26" s="171"/>
      <c r="FN26" s="171"/>
      <c r="FO26" s="171"/>
      <c r="FP26" s="171"/>
      <c r="FQ26" s="171"/>
      <c r="FR26" s="171"/>
      <c r="FS26" s="171"/>
      <c r="FT26" s="171"/>
      <c r="FU26" s="171"/>
      <c r="FV26" s="171"/>
    </row>
    <row x14ac:dyDescent="0.25" r="27" customHeight="1" ht="2.1">
      <c r="A27" s="1"/>
      <c r="B27" s="1"/>
      <c r="C27" s="1"/>
      <c r="D27" s="1"/>
      <c r="E27" s="168"/>
      <c r="F27" s="1"/>
      <c r="G27" s="1"/>
      <c r="H27" s="1"/>
      <c r="I27" s="1"/>
      <c r="J27" s="168"/>
      <c r="K27" s="169"/>
      <c r="L27" s="169"/>
      <c r="M27" s="170"/>
      <c r="N27" s="168"/>
      <c r="O27" s="170"/>
      <c r="P27" s="1"/>
      <c r="Q27" s="1"/>
      <c r="R27" s="1"/>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c r="AR27" s="193"/>
      <c r="AS27" s="193"/>
      <c r="AT27" s="193"/>
      <c r="AU27" s="193"/>
      <c r="AV27" s="193"/>
      <c r="AW27" s="193"/>
      <c r="AX27" s="193"/>
      <c r="AY27" s="193"/>
      <c r="AZ27" s="193"/>
      <c r="BA27" s="193"/>
      <c r="BB27" s="193"/>
      <c r="BC27" s="193"/>
      <c r="BD27" s="193"/>
      <c r="BE27" s="193"/>
      <c r="BF27" s="193"/>
      <c r="BG27" s="193"/>
      <c r="BH27" s="193"/>
      <c r="BI27" s="193"/>
      <c r="BJ27" s="193"/>
      <c r="BK27" s="193"/>
      <c r="BL27" s="193"/>
      <c r="BM27" s="193"/>
      <c r="BN27" s="193"/>
      <c r="BO27" s="193"/>
      <c r="BP27" s="193"/>
      <c r="BQ27" s="193"/>
      <c r="BR27" s="193"/>
      <c r="BS27" s="193"/>
      <c r="BT27" s="193"/>
      <c r="BU27" s="193"/>
      <c r="BV27" s="193"/>
      <c r="BW27" s="193"/>
      <c r="BX27" s="193"/>
      <c r="BY27" s="193"/>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1"/>
      <c r="EU27" s="1"/>
      <c r="EV27" s="1"/>
      <c r="EW27" s="1"/>
      <c r="EX27" s="1"/>
      <c r="EY27" s="1"/>
      <c r="EZ27" s="1"/>
      <c r="FA27" s="1"/>
      <c r="FB27" s="1"/>
      <c r="FC27" s="1"/>
      <c r="FD27" s="1"/>
      <c r="FE27" s="1"/>
      <c r="FF27" s="1"/>
      <c r="FG27" s="1"/>
      <c r="FH27" s="1"/>
      <c r="FI27" s="1"/>
      <c r="FJ27" s="1"/>
      <c r="FK27" s="1"/>
      <c r="FL27" s="1"/>
      <c r="FM27" s="1"/>
      <c r="FN27" s="1"/>
      <c r="FO27" s="1"/>
      <c r="FP27" s="1"/>
      <c r="FQ27" s="1"/>
      <c r="FR27" s="1"/>
      <c r="FS27" s="1"/>
      <c r="FT27" s="1"/>
      <c r="FU27" s="1"/>
      <c r="FV27" s="1"/>
    </row>
    <row x14ac:dyDescent="0.25" r="28" customHeight="1" ht="14.65">
      <c r="A28" s="1"/>
      <c r="B28" s="1"/>
      <c r="C28" s="194"/>
      <c r="D28" s="212" t="s">
        <v>54</v>
      </c>
      <c r="E28" s="220">
        <f>'Simulador - 1º Pilar'!G19</f>
      </c>
      <c r="F28" s="188"/>
      <c r="G28" s="188"/>
      <c r="H28" s="209"/>
      <c r="I28" s="209" t="s">
        <v>24</v>
      </c>
      <c r="J28" s="210">
        <f>IFERROR(+SUM(J20:J26),"-")</f>
      </c>
      <c r="K28" s="210"/>
      <c r="L28" s="210">
        <f>IFERROR(J28/12,"-")</f>
      </c>
      <c r="M28" s="210"/>
      <c r="N28" s="211">
        <f>IFERROR(J28/'Simulador - 1º Pilar'!$G$50,"-")</f>
      </c>
      <c r="O28" s="170"/>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93"/>
      <c r="AR28" s="193"/>
      <c r="AS28" s="193"/>
      <c r="AT28" s="193"/>
      <c r="AU28" s="193"/>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71"/>
      <c r="CA28" s="171"/>
      <c r="CB28" s="171"/>
      <c r="CC28" s="171"/>
      <c r="CD28" s="171"/>
      <c r="CE28" s="171"/>
      <c r="CF28" s="171"/>
      <c r="CG28" s="171"/>
      <c r="CH28" s="171"/>
      <c r="CI28" s="171"/>
      <c r="CJ28" s="171"/>
      <c r="CK28" s="171"/>
      <c r="CL28" s="171"/>
      <c r="CM28" s="171"/>
      <c r="CN28" s="171"/>
      <c r="CO28" s="171"/>
      <c r="CP28" s="171"/>
      <c r="CQ28" s="171"/>
      <c r="CR28" s="171"/>
      <c r="CS28" s="171"/>
      <c r="CT28" s="171"/>
      <c r="CU28" s="171"/>
      <c r="CV28" s="171"/>
      <c r="CW28" s="171"/>
      <c r="CX28" s="171"/>
      <c r="CY28" s="171"/>
      <c r="CZ28" s="171"/>
      <c r="DA28" s="171"/>
      <c r="DB28" s="171"/>
      <c r="DC28" s="171"/>
      <c r="DD28" s="171"/>
      <c r="DE28" s="171"/>
      <c r="DF28" s="171"/>
      <c r="DG28" s="171"/>
      <c r="DH28" s="171"/>
      <c r="DI28" s="171"/>
      <c r="DJ28" s="171"/>
      <c r="DK28" s="171"/>
      <c r="DL28" s="171"/>
      <c r="DM28" s="171"/>
      <c r="DN28" s="171"/>
      <c r="DO28" s="171"/>
      <c r="DP28" s="171"/>
      <c r="DQ28" s="171"/>
      <c r="DR28" s="171"/>
      <c r="DS28" s="171"/>
      <c r="DT28" s="171"/>
      <c r="DU28" s="171"/>
      <c r="DV28" s="171"/>
      <c r="DW28" s="171"/>
      <c r="DX28" s="171"/>
      <c r="DY28" s="171"/>
      <c r="DZ28" s="171"/>
      <c r="EA28" s="171"/>
      <c r="EB28" s="171"/>
      <c r="EC28" s="171"/>
      <c r="ED28" s="171"/>
      <c r="EE28" s="171"/>
      <c r="EF28" s="171"/>
      <c r="EG28" s="171"/>
      <c r="EH28" s="171"/>
      <c r="EI28" s="171"/>
      <c r="EJ28" s="171"/>
      <c r="EK28" s="171"/>
      <c r="EL28" s="171"/>
      <c r="EM28" s="171"/>
      <c r="EN28" s="171"/>
      <c r="EO28" s="171"/>
      <c r="EP28" s="171"/>
      <c r="EQ28" s="171"/>
      <c r="ER28" s="171"/>
      <c r="ES28" s="171"/>
      <c r="ET28" s="171"/>
      <c r="EU28" s="171"/>
      <c r="EV28" s="171"/>
      <c r="EW28" s="171"/>
      <c r="EX28" s="171"/>
      <c r="EY28" s="171"/>
      <c r="EZ28" s="171"/>
      <c r="FA28" s="171"/>
      <c r="FB28" s="171"/>
      <c r="FC28" s="171"/>
      <c r="FD28" s="171"/>
      <c r="FE28" s="171"/>
      <c r="FF28" s="171"/>
      <c r="FG28" s="171"/>
      <c r="FH28" s="171"/>
      <c r="FI28" s="171"/>
      <c r="FJ28" s="171"/>
      <c r="FK28" s="171"/>
      <c r="FL28" s="171"/>
      <c r="FM28" s="171"/>
      <c r="FN28" s="171"/>
      <c r="FO28" s="171"/>
      <c r="FP28" s="171"/>
      <c r="FQ28" s="171"/>
      <c r="FR28" s="171"/>
      <c r="FS28" s="171"/>
      <c r="FT28" s="171"/>
      <c r="FU28" s="171"/>
      <c r="FV28" s="171"/>
    </row>
    <row x14ac:dyDescent="0.25" r="29" customHeight="1" ht="2.1">
      <c r="A29" s="1"/>
      <c r="B29" s="1"/>
      <c r="C29" s="1"/>
      <c r="D29" s="1"/>
      <c r="E29" s="168"/>
      <c r="F29" s="1"/>
      <c r="G29" s="1"/>
      <c r="H29" s="1"/>
      <c r="I29" s="1"/>
      <c r="J29" s="168"/>
      <c r="K29" s="169"/>
      <c r="L29" s="169"/>
      <c r="M29" s="170"/>
      <c r="N29" s="168"/>
      <c r="O29" s="170"/>
      <c r="P29" s="1"/>
      <c r="Q29" s="1"/>
      <c r="R29" s="1"/>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c r="AR29" s="193"/>
      <c r="AS29" s="193"/>
      <c r="AT29" s="193"/>
      <c r="AU29" s="193"/>
      <c r="AV29" s="193"/>
      <c r="AW29" s="193"/>
      <c r="AX29" s="193"/>
      <c r="AY29" s="193"/>
      <c r="AZ29" s="193"/>
      <c r="BA29" s="193"/>
      <c r="BB29" s="193"/>
      <c r="BC29" s="193"/>
      <c r="BD29" s="193"/>
      <c r="BE29" s="193"/>
      <c r="BF29" s="193"/>
      <c r="BG29" s="193"/>
      <c r="BH29" s="193"/>
      <c r="BI29" s="193"/>
      <c r="BJ29" s="193"/>
      <c r="BK29" s="193"/>
      <c r="BL29" s="193"/>
      <c r="BM29" s="193"/>
      <c r="BN29" s="193"/>
      <c r="BO29" s="193"/>
      <c r="BP29" s="193"/>
      <c r="BQ29" s="193"/>
      <c r="BR29" s="193"/>
      <c r="BS29" s="193"/>
      <c r="BT29" s="193"/>
      <c r="BU29" s="193"/>
      <c r="BV29" s="193"/>
      <c r="BW29" s="193"/>
      <c r="BX29" s="193"/>
      <c r="BY29" s="193"/>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1"/>
      <c r="EU29" s="1"/>
      <c r="EV29" s="1"/>
      <c r="EW29" s="1"/>
      <c r="EX29" s="1"/>
      <c r="EY29" s="1"/>
      <c r="EZ29" s="1"/>
      <c r="FA29" s="1"/>
      <c r="FB29" s="1"/>
      <c r="FC29" s="1"/>
      <c r="FD29" s="1"/>
      <c r="FE29" s="1"/>
      <c r="FF29" s="1"/>
      <c r="FG29" s="1"/>
      <c r="FH29" s="1"/>
      <c r="FI29" s="1"/>
      <c r="FJ29" s="1"/>
      <c r="FK29" s="1"/>
      <c r="FL29" s="1"/>
      <c r="FM29" s="1"/>
      <c r="FN29" s="1"/>
      <c r="FO29" s="1"/>
      <c r="FP29" s="1"/>
      <c r="FQ29" s="1"/>
      <c r="FR29" s="1"/>
      <c r="FS29" s="1"/>
      <c r="FT29" s="1"/>
      <c r="FU29" s="1"/>
      <c r="FV29" s="1"/>
    </row>
    <row x14ac:dyDescent="0.25" r="30" customHeight="1" ht="14.65">
      <c r="A30" s="1"/>
      <c r="B30" s="1"/>
      <c r="C30" s="194"/>
      <c r="D30" s="212" t="s">
        <v>55</v>
      </c>
      <c r="E30" s="220">
        <f>IFERROR('Aportaciones PPE'!B11*12,"-")</f>
      </c>
      <c r="F30" s="188"/>
      <c r="G30" s="188"/>
      <c r="H30" s="197"/>
      <c r="I30" s="197"/>
      <c r="J30" s="213"/>
      <c r="K30" s="214"/>
      <c r="L30" s="214"/>
      <c r="M30" s="215"/>
      <c r="N30" s="213"/>
      <c r="O30" s="170"/>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93"/>
      <c r="AR30" s="193"/>
      <c r="AS30" s="193"/>
      <c r="AT30" s="193"/>
      <c r="AU30" s="193"/>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71"/>
      <c r="CA30" s="171"/>
      <c r="CB30" s="171"/>
      <c r="CC30" s="171"/>
      <c r="CD30" s="171"/>
      <c r="CE30" s="171"/>
      <c r="CF30" s="171"/>
      <c r="CG30" s="171"/>
      <c r="CH30" s="171"/>
      <c r="CI30" s="171"/>
      <c r="CJ30" s="171"/>
      <c r="CK30" s="171"/>
      <c r="CL30" s="171"/>
      <c r="CM30" s="171"/>
      <c r="CN30" s="171"/>
      <c r="CO30" s="171"/>
      <c r="CP30" s="171"/>
      <c r="CQ30" s="171"/>
      <c r="CR30" s="171"/>
      <c r="CS30" s="171"/>
      <c r="CT30" s="171"/>
      <c r="CU30" s="171"/>
      <c r="CV30" s="171"/>
      <c r="CW30" s="171"/>
      <c r="CX30" s="171"/>
      <c r="CY30" s="171"/>
      <c r="CZ30" s="171"/>
      <c r="DA30" s="171"/>
      <c r="DB30" s="171"/>
      <c r="DC30" s="171"/>
      <c r="DD30" s="171"/>
      <c r="DE30" s="171"/>
      <c r="DF30" s="171"/>
      <c r="DG30" s="171"/>
      <c r="DH30" s="171"/>
      <c r="DI30" s="171"/>
      <c r="DJ30" s="171"/>
      <c r="DK30" s="171"/>
      <c r="DL30" s="171"/>
      <c r="DM30" s="171"/>
      <c r="DN30" s="171"/>
      <c r="DO30" s="171"/>
      <c r="DP30" s="171"/>
      <c r="DQ30" s="171"/>
      <c r="DR30" s="171"/>
      <c r="DS30" s="171"/>
      <c r="DT30" s="171"/>
      <c r="DU30" s="171"/>
      <c r="DV30" s="171"/>
      <c r="DW30" s="171"/>
      <c r="DX30" s="171"/>
      <c r="DY30" s="171"/>
      <c r="DZ30" s="171"/>
      <c r="EA30" s="171"/>
      <c r="EB30" s="171"/>
      <c r="EC30" s="171"/>
      <c r="ED30" s="171"/>
      <c r="EE30" s="171"/>
      <c r="EF30" s="171"/>
      <c r="EG30" s="171"/>
      <c r="EH30" s="171"/>
      <c r="EI30" s="171"/>
      <c r="EJ30" s="171"/>
      <c r="EK30" s="171"/>
      <c r="EL30" s="171"/>
      <c r="EM30" s="171"/>
      <c r="EN30" s="171"/>
      <c r="EO30" s="171"/>
      <c r="EP30" s="171"/>
      <c r="EQ30" s="171"/>
      <c r="ER30" s="171"/>
      <c r="ES30" s="171"/>
      <c r="ET30" s="171"/>
      <c r="EU30" s="171"/>
      <c r="EV30" s="171"/>
      <c r="EW30" s="171"/>
      <c r="EX30" s="171"/>
      <c r="EY30" s="171"/>
      <c r="EZ30" s="171"/>
      <c r="FA30" s="171"/>
      <c r="FB30" s="171"/>
      <c r="FC30" s="171"/>
      <c r="FD30" s="171"/>
      <c r="FE30" s="171"/>
      <c r="FF30" s="171"/>
      <c r="FG30" s="171"/>
      <c r="FH30" s="171"/>
      <c r="FI30" s="171"/>
      <c r="FJ30" s="171"/>
      <c r="FK30" s="171"/>
      <c r="FL30" s="171"/>
      <c r="FM30" s="171"/>
      <c r="FN30" s="171"/>
      <c r="FO30" s="171"/>
      <c r="FP30" s="171"/>
      <c r="FQ30" s="171"/>
      <c r="FR30" s="171"/>
      <c r="FS30" s="171"/>
      <c r="FT30" s="171"/>
      <c r="FU30" s="171"/>
      <c r="FV30" s="171"/>
    </row>
    <row x14ac:dyDescent="0.25" r="31" customHeight="1" ht="2.1">
      <c r="A31" s="1"/>
      <c r="B31" s="1"/>
      <c r="C31" s="1"/>
      <c r="D31" s="1"/>
      <c r="E31" s="168"/>
      <c r="F31" s="1"/>
      <c r="G31" s="1"/>
      <c r="H31" s="1"/>
      <c r="I31" s="1"/>
      <c r="J31" s="168"/>
      <c r="K31" s="169"/>
      <c r="L31" s="169"/>
      <c r="M31" s="170"/>
      <c r="N31" s="168"/>
      <c r="O31" s="170"/>
      <c r="P31" s="1"/>
      <c r="Q31" s="1"/>
      <c r="R31" s="1"/>
      <c r="S31" s="193"/>
      <c r="T31" s="193"/>
      <c r="U31" s="193"/>
      <c r="V31" s="193"/>
      <c r="W31" s="193"/>
      <c r="X31" s="193"/>
      <c r="Y31" s="193"/>
      <c r="Z31" s="193"/>
      <c r="AA31" s="193"/>
      <c r="AB31" s="193"/>
      <c r="AC31" s="193"/>
      <c r="AD31" s="193"/>
      <c r="AE31" s="193"/>
      <c r="AF31" s="193"/>
      <c r="AG31" s="193"/>
      <c r="AH31" s="193"/>
      <c r="AI31" s="193"/>
      <c r="AJ31" s="193"/>
      <c r="AK31" s="193"/>
      <c r="AL31" s="193"/>
      <c r="AM31" s="193"/>
      <c r="AN31" s="193"/>
      <c r="AO31" s="193"/>
      <c r="AP31" s="193"/>
      <c r="AQ31" s="193"/>
      <c r="AR31" s="193"/>
      <c r="AS31" s="193"/>
      <c r="AT31" s="193"/>
      <c r="AU31" s="193"/>
      <c r="AV31" s="193"/>
      <c r="AW31" s="193"/>
      <c r="AX31" s="193"/>
      <c r="AY31" s="193"/>
      <c r="AZ31" s="193"/>
      <c r="BA31" s="193"/>
      <c r="BB31" s="193"/>
      <c r="BC31" s="193"/>
      <c r="BD31" s="193"/>
      <c r="BE31" s="193"/>
      <c r="BF31" s="193"/>
      <c r="BG31" s="193"/>
      <c r="BH31" s="193"/>
      <c r="BI31" s="193"/>
      <c r="BJ31" s="193"/>
      <c r="BK31" s="193"/>
      <c r="BL31" s="193"/>
      <c r="BM31" s="193"/>
      <c r="BN31" s="193"/>
      <c r="BO31" s="193"/>
      <c r="BP31" s="193"/>
      <c r="BQ31" s="193"/>
      <c r="BR31" s="193"/>
      <c r="BS31" s="193"/>
      <c r="BT31" s="193"/>
      <c r="BU31" s="193"/>
      <c r="BV31" s="193"/>
      <c r="BW31" s="193"/>
      <c r="BX31" s="193"/>
      <c r="BY31" s="193"/>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1"/>
      <c r="EU31" s="1"/>
      <c r="EV31" s="1"/>
      <c r="EW31" s="1"/>
      <c r="EX31" s="1"/>
      <c r="EY31" s="1"/>
      <c r="EZ31" s="1"/>
      <c r="FA31" s="1"/>
      <c r="FB31" s="1"/>
      <c r="FC31" s="1"/>
      <c r="FD31" s="1"/>
      <c r="FE31" s="1"/>
      <c r="FF31" s="1"/>
      <c r="FG31" s="1"/>
      <c r="FH31" s="1"/>
      <c r="FI31" s="1"/>
      <c r="FJ31" s="1"/>
      <c r="FK31" s="1"/>
      <c r="FL31" s="1"/>
      <c r="FM31" s="1"/>
      <c r="FN31" s="1"/>
      <c r="FO31" s="1"/>
      <c r="FP31" s="1"/>
      <c r="FQ31" s="1"/>
      <c r="FR31" s="1"/>
      <c r="FS31" s="1"/>
      <c r="FT31" s="1"/>
      <c r="FU31" s="1"/>
      <c r="FV31" s="1"/>
    </row>
    <row x14ac:dyDescent="0.25" r="32" customHeight="1" ht="14.65">
      <c r="A32" s="1"/>
      <c r="B32" s="1"/>
      <c r="C32" s="139"/>
      <c r="D32" s="197"/>
      <c r="E32" s="213"/>
      <c r="F32" s="188"/>
      <c r="G32" s="188"/>
      <c r="H32" s="189" t="s">
        <v>25</v>
      </c>
      <c r="I32" s="189"/>
      <c r="J32" s="190"/>
      <c r="K32" s="191"/>
      <c r="L32" s="191"/>
      <c r="M32" s="192"/>
      <c r="N32" s="190"/>
      <c r="O32" s="170"/>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93"/>
      <c r="AQ32" s="193"/>
      <c r="AR32" s="193"/>
      <c r="AS32" s="193"/>
      <c r="AT32" s="193"/>
      <c r="AU32" s="193"/>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71"/>
      <c r="CA32" s="171"/>
      <c r="CB32" s="171"/>
      <c r="CC32" s="171"/>
      <c r="CD32" s="171"/>
      <c r="CE32" s="171"/>
      <c r="CF32" s="171"/>
      <c r="CG32" s="171"/>
      <c r="CH32" s="171"/>
      <c r="CI32" s="171"/>
      <c r="CJ32" s="171"/>
      <c r="CK32" s="171"/>
      <c r="CL32" s="171"/>
      <c r="CM32" s="171"/>
      <c r="CN32" s="171"/>
      <c r="CO32" s="171"/>
      <c r="CP32" s="171"/>
      <c r="CQ32" s="171"/>
      <c r="CR32" s="171"/>
      <c r="CS32" s="171"/>
      <c r="CT32" s="171"/>
      <c r="CU32" s="171"/>
      <c r="CV32" s="171"/>
      <c r="CW32" s="171"/>
      <c r="CX32" s="171"/>
      <c r="CY32" s="171"/>
      <c r="CZ32" s="171"/>
      <c r="DA32" s="171"/>
      <c r="DB32" s="171"/>
      <c r="DC32" s="171"/>
      <c r="DD32" s="171"/>
      <c r="DE32" s="171"/>
      <c r="DF32" s="171"/>
      <c r="DG32" s="171"/>
      <c r="DH32" s="171"/>
      <c r="DI32" s="171"/>
      <c r="DJ32" s="171"/>
      <c r="DK32" s="171"/>
      <c r="DL32" s="171"/>
      <c r="DM32" s="171"/>
      <c r="DN32" s="171"/>
      <c r="DO32" s="171"/>
      <c r="DP32" s="171"/>
      <c r="DQ32" s="171"/>
      <c r="DR32" s="171"/>
      <c r="DS32" s="171"/>
      <c r="DT32" s="171"/>
      <c r="DU32" s="171"/>
      <c r="DV32" s="171"/>
      <c r="DW32" s="171"/>
      <c r="DX32" s="171"/>
      <c r="DY32" s="171"/>
      <c r="DZ32" s="171"/>
      <c r="EA32" s="171"/>
      <c r="EB32" s="171"/>
      <c r="EC32" s="171"/>
      <c r="ED32" s="171"/>
      <c r="EE32" s="171"/>
      <c r="EF32" s="171"/>
      <c r="EG32" s="171"/>
      <c r="EH32" s="171"/>
      <c r="EI32" s="171"/>
      <c r="EJ32" s="171"/>
      <c r="EK32" s="171"/>
      <c r="EL32" s="171"/>
      <c r="EM32" s="171"/>
      <c r="EN32" s="171"/>
      <c r="EO32" s="171"/>
      <c r="EP32" s="171"/>
      <c r="EQ32" s="171"/>
      <c r="ER32" s="171"/>
      <c r="ES32" s="171"/>
      <c r="ET32" s="171"/>
      <c r="EU32" s="171"/>
      <c r="EV32" s="171"/>
      <c r="EW32" s="171"/>
      <c r="EX32" s="171"/>
      <c r="EY32" s="171"/>
      <c r="EZ32" s="171"/>
      <c r="FA32" s="171"/>
      <c r="FB32" s="171"/>
      <c r="FC32" s="171"/>
      <c r="FD32" s="171"/>
      <c r="FE32" s="171"/>
      <c r="FF32" s="171"/>
      <c r="FG32" s="171"/>
      <c r="FH32" s="171"/>
      <c r="FI32" s="171"/>
      <c r="FJ32" s="171"/>
      <c r="FK32" s="171"/>
      <c r="FL32" s="171"/>
      <c r="FM32" s="171"/>
      <c r="FN32" s="171"/>
      <c r="FO32" s="171"/>
      <c r="FP32" s="171"/>
      <c r="FQ32" s="171"/>
      <c r="FR32" s="171"/>
      <c r="FS32" s="171"/>
      <c r="FT32" s="171"/>
      <c r="FU32" s="171"/>
      <c r="FV32" s="171"/>
    </row>
    <row x14ac:dyDescent="0.25" r="33" customHeight="1" ht="2.1">
      <c r="A33" s="1"/>
      <c r="B33" s="1"/>
      <c r="C33" s="1"/>
      <c r="D33" s="1"/>
      <c r="E33" s="168"/>
      <c r="F33" s="1"/>
      <c r="G33" s="1"/>
      <c r="H33" s="1"/>
      <c r="I33" s="1"/>
      <c r="J33" s="168"/>
      <c r="K33" s="169"/>
      <c r="L33" s="169"/>
      <c r="M33" s="170"/>
      <c r="N33" s="168"/>
      <c r="O33" s="170"/>
      <c r="P33" s="1"/>
      <c r="Q33" s="1"/>
      <c r="R33" s="1"/>
      <c r="S33" s="193"/>
      <c r="T33" s="193"/>
      <c r="U33" s="193"/>
      <c r="V33" s="193"/>
      <c r="W33" s="193"/>
      <c r="X33" s="193"/>
      <c r="Y33" s="193"/>
      <c r="Z33" s="193"/>
      <c r="AA33" s="193"/>
      <c r="AB33" s="193"/>
      <c r="AC33" s="193"/>
      <c r="AD33" s="193"/>
      <c r="AE33" s="193"/>
      <c r="AF33" s="193"/>
      <c r="AG33" s="193"/>
      <c r="AH33" s="193"/>
      <c r="AI33" s="193"/>
      <c r="AJ33" s="193"/>
      <c r="AK33" s="193"/>
      <c r="AL33" s="193"/>
      <c r="AM33" s="193"/>
      <c r="AN33" s="193"/>
      <c r="AO33" s="193"/>
      <c r="AP33" s="193"/>
      <c r="AQ33" s="193"/>
      <c r="AR33" s="193"/>
      <c r="AS33" s="193"/>
      <c r="AT33" s="193"/>
      <c r="AU33" s="193"/>
      <c r="AV33" s="193"/>
      <c r="AW33" s="193"/>
      <c r="AX33" s="193"/>
      <c r="AY33" s="193"/>
      <c r="AZ33" s="193"/>
      <c r="BA33" s="193"/>
      <c r="BB33" s="193"/>
      <c r="BC33" s="193"/>
      <c r="BD33" s="193"/>
      <c r="BE33" s="193"/>
      <c r="BF33" s="193"/>
      <c r="BG33" s="193"/>
      <c r="BH33" s="193"/>
      <c r="BI33" s="193"/>
      <c r="BJ33" s="193"/>
      <c r="BK33" s="193"/>
      <c r="BL33" s="193"/>
      <c r="BM33" s="193"/>
      <c r="BN33" s="193"/>
      <c r="BO33" s="193"/>
      <c r="BP33" s="193"/>
      <c r="BQ33" s="193"/>
      <c r="BR33" s="193"/>
      <c r="BS33" s="193"/>
      <c r="BT33" s="193"/>
      <c r="BU33" s="193"/>
      <c r="BV33" s="193"/>
      <c r="BW33" s="193"/>
      <c r="BX33" s="193"/>
      <c r="BY33" s="193"/>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row>
    <row x14ac:dyDescent="0.25" r="34" customHeight="1" ht="14.65">
      <c r="A34" s="1"/>
      <c r="B34" s="1"/>
      <c r="C34" s="186" t="s">
        <v>56</v>
      </c>
      <c r="D34" s="186"/>
      <c r="E34" s="187"/>
      <c r="F34" s="188"/>
      <c r="G34" s="188"/>
      <c r="H34" s="197"/>
      <c r="I34" s="139"/>
      <c r="J34" s="198" t="s">
        <v>15</v>
      </c>
      <c r="K34" s="199"/>
      <c r="L34" s="199" t="s">
        <v>16</v>
      </c>
      <c r="M34" s="200"/>
      <c r="N34" s="198" t="s">
        <v>43</v>
      </c>
      <c r="O34" s="170"/>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93"/>
      <c r="AQ34" s="193"/>
      <c r="AR34" s="193"/>
      <c r="AS34" s="193"/>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71"/>
      <c r="CA34" s="171"/>
      <c r="CB34" s="171"/>
      <c r="CC34" s="171"/>
      <c r="CD34" s="171"/>
      <c r="CE34" s="171"/>
      <c r="CF34" s="171"/>
      <c r="CG34" s="171"/>
      <c r="CH34" s="171"/>
      <c r="CI34" s="171"/>
      <c r="CJ34" s="171"/>
      <c r="CK34" s="171"/>
      <c r="CL34" s="171"/>
      <c r="CM34" s="171"/>
      <c r="CN34" s="171"/>
      <c r="CO34" s="171"/>
      <c r="CP34" s="171"/>
      <c r="CQ34" s="171"/>
      <c r="CR34" s="171"/>
      <c r="CS34" s="171"/>
      <c r="CT34" s="171"/>
      <c r="CU34" s="171"/>
      <c r="CV34" s="171"/>
      <c r="CW34" s="171"/>
      <c r="CX34" s="171"/>
      <c r="CY34" s="171"/>
      <c r="CZ34" s="171"/>
      <c r="DA34" s="171"/>
      <c r="DB34" s="171"/>
      <c r="DC34" s="171"/>
      <c r="DD34" s="171"/>
      <c r="DE34" s="171"/>
      <c r="DF34" s="171"/>
      <c r="DG34" s="171"/>
      <c r="DH34" s="171"/>
      <c r="DI34" s="171"/>
      <c r="DJ34" s="171"/>
      <c r="DK34" s="171"/>
      <c r="DL34" s="171"/>
      <c r="DM34" s="171"/>
      <c r="DN34" s="171"/>
      <c r="DO34" s="171"/>
      <c r="DP34" s="171"/>
      <c r="DQ34" s="171"/>
      <c r="DR34" s="171"/>
      <c r="DS34" s="171"/>
      <c r="DT34" s="171"/>
      <c r="DU34" s="171"/>
      <c r="DV34" s="171"/>
      <c r="DW34" s="171"/>
      <c r="DX34" s="171"/>
      <c r="DY34" s="171"/>
      <c r="DZ34" s="171"/>
      <c r="EA34" s="171"/>
      <c r="EB34" s="171"/>
      <c r="EC34" s="171"/>
      <c r="ED34" s="171"/>
      <c r="EE34" s="171"/>
      <c r="EF34" s="171"/>
      <c r="EG34" s="171"/>
      <c r="EH34" s="171"/>
      <c r="EI34" s="171"/>
      <c r="EJ34" s="171"/>
      <c r="EK34" s="171"/>
      <c r="EL34" s="171"/>
      <c r="EM34" s="171"/>
      <c r="EN34" s="171"/>
      <c r="EO34" s="171"/>
      <c r="EP34" s="171"/>
      <c r="EQ34" s="171"/>
      <c r="ER34" s="171"/>
      <c r="ES34" s="171"/>
      <c r="ET34" s="171"/>
      <c r="EU34" s="171"/>
      <c r="EV34" s="171"/>
      <c r="EW34" s="171"/>
      <c r="EX34" s="171"/>
      <c r="EY34" s="171"/>
      <c r="EZ34" s="171"/>
      <c r="FA34" s="171"/>
      <c r="FB34" s="171"/>
      <c r="FC34" s="171"/>
      <c r="FD34" s="171"/>
      <c r="FE34" s="171"/>
      <c r="FF34" s="171"/>
      <c r="FG34" s="171"/>
      <c r="FH34" s="171"/>
      <c r="FI34" s="171"/>
      <c r="FJ34" s="171"/>
      <c r="FK34" s="171"/>
      <c r="FL34" s="171"/>
      <c r="FM34" s="171"/>
      <c r="FN34" s="171"/>
      <c r="FO34" s="171"/>
      <c r="FP34" s="171"/>
      <c r="FQ34" s="171"/>
      <c r="FR34" s="171"/>
      <c r="FS34" s="171"/>
      <c r="FT34" s="171"/>
      <c r="FU34" s="171"/>
      <c r="FV34" s="171"/>
    </row>
    <row x14ac:dyDescent="0.25" r="35" customHeight="1" ht="2.1">
      <c r="A35" s="1"/>
      <c r="B35" s="1"/>
      <c r="C35" s="1"/>
      <c r="D35" s="1"/>
      <c r="E35" s="168"/>
      <c r="F35" s="1"/>
      <c r="G35" s="1"/>
      <c r="H35" s="1"/>
      <c r="I35" s="1"/>
      <c r="J35" s="168"/>
      <c r="K35" s="169"/>
      <c r="L35" s="169"/>
      <c r="M35" s="170"/>
      <c r="N35" s="168"/>
      <c r="O35" s="170"/>
      <c r="P35" s="1"/>
      <c r="Q35" s="1"/>
      <c r="R35" s="1"/>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c r="AP35" s="193"/>
      <c r="AQ35" s="193"/>
      <c r="AR35" s="193"/>
      <c r="AS35" s="193"/>
      <c r="AT35" s="193"/>
      <c r="AU35" s="193"/>
      <c r="AV35" s="193"/>
      <c r="AW35" s="193"/>
      <c r="AX35" s="193"/>
      <c r="AY35" s="193"/>
      <c r="AZ35" s="193"/>
      <c r="BA35" s="193"/>
      <c r="BB35" s="193"/>
      <c r="BC35" s="193"/>
      <c r="BD35" s="193"/>
      <c r="BE35" s="193"/>
      <c r="BF35" s="193"/>
      <c r="BG35" s="193"/>
      <c r="BH35" s="193"/>
      <c r="BI35" s="193"/>
      <c r="BJ35" s="193"/>
      <c r="BK35" s="193"/>
      <c r="BL35" s="193"/>
      <c r="BM35" s="193"/>
      <c r="BN35" s="193"/>
      <c r="BO35" s="193"/>
      <c r="BP35" s="193"/>
      <c r="BQ35" s="193"/>
      <c r="BR35" s="193"/>
      <c r="BS35" s="193"/>
      <c r="BT35" s="193"/>
      <c r="BU35" s="193"/>
      <c r="BV35" s="193"/>
      <c r="BW35" s="193"/>
      <c r="BX35" s="193"/>
      <c r="BY35" s="193"/>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1"/>
      <c r="EU35" s="1"/>
      <c r="EV35" s="1"/>
      <c r="EW35" s="1"/>
      <c r="EX35" s="1"/>
      <c r="EY35" s="1"/>
      <c r="EZ35" s="1"/>
      <c r="FA35" s="1"/>
      <c r="FB35" s="1"/>
      <c r="FC35" s="1"/>
      <c r="FD35" s="1"/>
      <c r="FE35" s="1"/>
      <c r="FF35" s="1"/>
      <c r="FG35" s="1"/>
      <c r="FH35" s="1"/>
      <c r="FI35" s="1"/>
      <c r="FJ35" s="1"/>
      <c r="FK35" s="1"/>
      <c r="FL35" s="1"/>
      <c r="FM35" s="1"/>
      <c r="FN35" s="1"/>
      <c r="FO35" s="1"/>
      <c r="FP35" s="1"/>
      <c r="FQ35" s="1"/>
      <c r="FR35" s="1"/>
      <c r="FS35" s="1"/>
      <c r="FT35" s="1"/>
      <c r="FU35" s="1"/>
      <c r="FV35" s="1"/>
    </row>
    <row x14ac:dyDescent="0.25" r="36" customHeight="1" ht="14.65">
      <c r="A36" s="1"/>
      <c r="B36" s="1"/>
      <c r="C36" s="194"/>
      <c r="D36" s="212" t="s">
        <v>34</v>
      </c>
      <c r="E36" s="201">
        <f>Hipótesis!E7</f>
      </c>
      <c r="F36" s="188"/>
      <c r="G36" s="188"/>
      <c r="H36" s="197"/>
      <c r="I36" s="202" t="s">
        <v>57</v>
      </c>
      <c r="J36" s="203">
        <f>IFERROR('Simulador - 3º Pilar'!G27,"-")</f>
      </c>
      <c r="K36" s="204"/>
      <c r="L36" s="203">
        <f>IFERROR(J36/12,"-")</f>
      </c>
      <c r="M36" s="204"/>
      <c r="N36" s="205">
        <f>IFERROR(J36/'Simulador - 1º Pilar'!$G$50,"-")</f>
      </c>
      <c r="O36" s="170"/>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71"/>
      <c r="CA36" s="171"/>
      <c r="CB36" s="171"/>
      <c r="CC36" s="171"/>
      <c r="CD36" s="171"/>
      <c r="CE36" s="171"/>
      <c r="CF36" s="171"/>
      <c r="CG36" s="171"/>
      <c r="CH36" s="171"/>
      <c r="CI36" s="171"/>
      <c r="CJ36" s="171"/>
      <c r="CK36" s="171"/>
      <c r="CL36" s="171"/>
      <c r="CM36" s="171"/>
      <c r="CN36" s="171"/>
      <c r="CO36" s="171"/>
      <c r="CP36" s="171"/>
      <c r="CQ36" s="171"/>
      <c r="CR36" s="171"/>
      <c r="CS36" s="171"/>
      <c r="CT36" s="171"/>
      <c r="CU36" s="171"/>
      <c r="CV36" s="171"/>
      <c r="CW36" s="171"/>
      <c r="CX36" s="171"/>
      <c r="CY36" s="171"/>
      <c r="CZ36" s="171"/>
      <c r="DA36" s="171"/>
      <c r="DB36" s="171"/>
      <c r="DC36" s="171"/>
      <c r="DD36" s="171"/>
      <c r="DE36" s="171"/>
      <c r="DF36" s="171"/>
      <c r="DG36" s="171"/>
      <c r="DH36" s="171"/>
      <c r="DI36" s="171"/>
      <c r="DJ36" s="171"/>
      <c r="DK36" s="171"/>
      <c r="DL36" s="171"/>
      <c r="DM36" s="171"/>
      <c r="DN36" s="171"/>
      <c r="DO36" s="171"/>
      <c r="DP36" s="171"/>
      <c r="DQ36" s="171"/>
      <c r="DR36" s="171"/>
      <c r="DS36" s="171"/>
      <c r="DT36" s="171"/>
      <c r="DU36" s="171"/>
      <c r="DV36" s="171"/>
      <c r="DW36" s="171"/>
      <c r="DX36" s="171"/>
      <c r="DY36" s="171"/>
      <c r="DZ36" s="171"/>
      <c r="EA36" s="171"/>
      <c r="EB36" s="171"/>
      <c r="EC36" s="171"/>
      <c r="ED36" s="171"/>
      <c r="EE36" s="171"/>
      <c r="EF36" s="171"/>
      <c r="EG36" s="171"/>
      <c r="EH36" s="171"/>
      <c r="EI36" s="171"/>
      <c r="EJ36" s="171"/>
      <c r="EK36" s="171"/>
      <c r="EL36" s="171"/>
      <c r="EM36" s="171"/>
      <c r="EN36" s="171"/>
      <c r="EO36" s="171"/>
      <c r="EP36" s="171"/>
      <c r="EQ36" s="171"/>
      <c r="ER36" s="171"/>
      <c r="ES36" s="171"/>
      <c r="ET36" s="171"/>
      <c r="EU36" s="171"/>
      <c r="EV36" s="171"/>
      <c r="EW36" s="171"/>
      <c r="EX36" s="171"/>
      <c r="EY36" s="171"/>
      <c r="EZ36" s="171"/>
      <c r="FA36" s="171"/>
      <c r="FB36" s="171"/>
      <c r="FC36" s="171"/>
      <c r="FD36" s="171"/>
      <c r="FE36" s="171"/>
      <c r="FF36" s="171"/>
      <c r="FG36" s="171"/>
      <c r="FH36" s="171"/>
      <c r="FI36" s="171"/>
      <c r="FJ36" s="171"/>
      <c r="FK36" s="171"/>
      <c r="FL36" s="171"/>
      <c r="FM36" s="171"/>
      <c r="FN36" s="171"/>
      <c r="FO36" s="171"/>
      <c r="FP36" s="171"/>
      <c r="FQ36" s="171"/>
      <c r="FR36" s="171"/>
      <c r="FS36" s="171"/>
      <c r="FT36" s="171"/>
      <c r="FU36" s="171"/>
      <c r="FV36" s="171"/>
    </row>
    <row x14ac:dyDescent="0.25" r="37" customHeight="1" ht="2.1">
      <c r="A37" s="1"/>
      <c r="B37" s="1"/>
      <c r="C37" s="1"/>
      <c r="D37" s="1"/>
      <c r="E37" s="168"/>
      <c r="F37" s="1"/>
      <c r="G37" s="1"/>
      <c r="H37" s="1"/>
      <c r="I37" s="1"/>
      <c r="J37" s="168"/>
      <c r="K37" s="169"/>
      <c r="L37" s="169"/>
      <c r="M37" s="170"/>
      <c r="N37" s="168"/>
      <c r="O37" s="170"/>
      <c r="P37" s="1"/>
      <c r="Q37" s="1"/>
      <c r="R37" s="1"/>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c r="AR37" s="193"/>
      <c r="AS37" s="193"/>
      <c r="AT37" s="193"/>
      <c r="AU37" s="193"/>
      <c r="AV37" s="193"/>
      <c r="AW37" s="193"/>
      <c r="AX37" s="193"/>
      <c r="AY37" s="193"/>
      <c r="AZ37" s="193"/>
      <c r="BA37" s="193"/>
      <c r="BB37" s="193"/>
      <c r="BC37" s="193"/>
      <c r="BD37" s="193"/>
      <c r="BE37" s="193"/>
      <c r="BF37" s="193"/>
      <c r="BG37" s="193"/>
      <c r="BH37" s="193"/>
      <c r="BI37" s="193"/>
      <c r="BJ37" s="193"/>
      <c r="BK37" s="193"/>
      <c r="BL37" s="193"/>
      <c r="BM37" s="193"/>
      <c r="BN37" s="193"/>
      <c r="BO37" s="193"/>
      <c r="BP37" s="193"/>
      <c r="BQ37" s="193"/>
      <c r="BR37" s="193"/>
      <c r="BS37" s="193"/>
      <c r="BT37" s="193"/>
      <c r="BU37" s="193"/>
      <c r="BV37" s="193"/>
      <c r="BW37" s="193"/>
      <c r="BX37" s="193"/>
      <c r="BY37" s="193"/>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1"/>
      <c r="EU37" s="1"/>
      <c r="EV37" s="1"/>
      <c r="EW37" s="1"/>
      <c r="EX37" s="1"/>
      <c r="EY37" s="1"/>
      <c r="EZ37" s="1"/>
      <c r="FA37" s="1"/>
      <c r="FB37" s="1"/>
      <c r="FC37" s="1"/>
      <c r="FD37" s="1"/>
      <c r="FE37" s="1"/>
      <c r="FF37" s="1"/>
      <c r="FG37" s="1"/>
      <c r="FH37" s="1"/>
      <c r="FI37" s="1"/>
      <c r="FJ37" s="1"/>
      <c r="FK37" s="1"/>
      <c r="FL37" s="1"/>
      <c r="FM37" s="1"/>
      <c r="FN37" s="1"/>
      <c r="FO37" s="1"/>
      <c r="FP37" s="1"/>
      <c r="FQ37" s="1"/>
      <c r="FR37" s="1"/>
      <c r="FS37" s="1"/>
      <c r="FT37" s="1"/>
      <c r="FU37" s="1"/>
      <c r="FV37" s="1"/>
    </row>
    <row x14ac:dyDescent="0.25" r="38" customHeight="1" ht="14.65">
      <c r="A38" s="1"/>
      <c r="B38" s="1"/>
      <c r="C38" s="194"/>
      <c r="D38" s="212" t="s">
        <v>58</v>
      </c>
      <c r="E38" s="201">
        <f>Hipótesis!E11</f>
      </c>
      <c r="F38" s="188"/>
      <c r="G38" s="188"/>
      <c r="H38" s="209"/>
      <c r="I38" s="209" t="s">
        <v>30</v>
      </c>
      <c r="J38" s="210">
        <f>J36</f>
      </c>
      <c r="K38" s="210"/>
      <c r="L38" s="210">
        <f>IFERROR(J38/12,"-")</f>
      </c>
      <c r="M38" s="210"/>
      <c r="N38" s="211">
        <f>IFERROR(J38/'Simulador - 1º Pilar'!$G$50,"-")</f>
      </c>
      <c r="O38" s="170"/>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71"/>
      <c r="CA38" s="171"/>
      <c r="CB38" s="171"/>
      <c r="CC38" s="171"/>
      <c r="CD38" s="171"/>
      <c r="CE38" s="171"/>
      <c r="CF38" s="171"/>
      <c r="CG38" s="171"/>
      <c r="CH38" s="171"/>
      <c r="CI38" s="171"/>
      <c r="CJ38" s="171"/>
      <c r="CK38" s="171"/>
      <c r="CL38" s="171"/>
      <c r="CM38" s="171"/>
      <c r="CN38" s="171"/>
      <c r="CO38" s="171"/>
      <c r="CP38" s="171"/>
      <c r="CQ38" s="171"/>
      <c r="CR38" s="171"/>
      <c r="CS38" s="171"/>
      <c r="CT38" s="171"/>
      <c r="CU38" s="171"/>
      <c r="CV38" s="171"/>
      <c r="CW38" s="171"/>
      <c r="CX38" s="171"/>
      <c r="CY38" s="171"/>
      <c r="CZ38" s="171"/>
      <c r="DA38" s="171"/>
      <c r="DB38" s="171"/>
      <c r="DC38" s="171"/>
      <c r="DD38" s="171"/>
      <c r="DE38" s="171"/>
      <c r="DF38" s="171"/>
      <c r="DG38" s="171"/>
      <c r="DH38" s="171"/>
      <c r="DI38" s="171"/>
      <c r="DJ38" s="171"/>
      <c r="DK38" s="171"/>
      <c r="DL38" s="171"/>
      <c r="DM38" s="171"/>
      <c r="DN38" s="171"/>
      <c r="DO38" s="171"/>
      <c r="DP38" s="171"/>
      <c r="DQ38" s="171"/>
      <c r="DR38" s="171"/>
      <c r="DS38" s="171"/>
      <c r="DT38" s="171"/>
      <c r="DU38" s="171"/>
      <c r="DV38" s="171"/>
      <c r="DW38" s="171"/>
      <c r="DX38" s="171"/>
      <c r="DY38" s="171"/>
      <c r="DZ38" s="171"/>
      <c r="EA38" s="171"/>
      <c r="EB38" s="171"/>
      <c r="EC38" s="171"/>
      <c r="ED38" s="171"/>
      <c r="EE38" s="171"/>
      <c r="EF38" s="171"/>
      <c r="EG38" s="171"/>
      <c r="EH38" s="171"/>
      <c r="EI38" s="171"/>
      <c r="EJ38" s="171"/>
      <c r="EK38" s="171"/>
      <c r="EL38" s="171"/>
      <c r="EM38" s="171"/>
      <c r="EN38" s="171"/>
      <c r="EO38" s="171"/>
      <c r="EP38" s="171"/>
      <c r="EQ38" s="171"/>
      <c r="ER38" s="171"/>
      <c r="ES38" s="171"/>
      <c r="ET38" s="171"/>
      <c r="EU38" s="171"/>
      <c r="EV38" s="171"/>
      <c r="EW38" s="171"/>
      <c r="EX38" s="171"/>
      <c r="EY38" s="171"/>
      <c r="EZ38" s="171"/>
      <c r="FA38" s="171"/>
      <c r="FB38" s="171"/>
      <c r="FC38" s="171"/>
      <c r="FD38" s="171"/>
      <c r="FE38" s="171"/>
      <c r="FF38" s="171"/>
      <c r="FG38" s="171"/>
      <c r="FH38" s="171"/>
      <c r="FI38" s="171"/>
      <c r="FJ38" s="171"/>
      <c r="FK38" s="171"/>
      <c r="FL38" s="171"/>
      <c r="FM38" s="171"/>
      <c r="FN38" s="171"/>
      <c r="FO38" s="171"/>
      <c r="FP38" s="171"/>
      <c r="FQ38" s="171"/>
      <c r="FR38" s="171"/>
      <c r="FS38" s="171"/>
      <c r="FT38" s="171"/>
      <c r="FU38" s="171"/>
      <c r="FV38" s="171"/>
    </row>
    <row x14ac:dyDescent="0.25" r="39" customHeight="1" ht="2.1">
      <c r="A39" s="1"/>
      <c r="B39" s="1"/>
      <c r="C39" s="1"/>
      <c r="D39" s="1"/>
      <c r="E39" s="168"/>
      <c r="F39" s="1"/>
      <c r="G39" s="1"/>
      <c r="H39" s="1"/>
      <c r="I39" s="1"/>
      <c r="J39" s="168"/>
      <c r="K39" s="169"/>
      <c r="L39" s="169"/>
      <c r="M39" s="170"/>
      <c r="N39" s="168"/>
      <c r="O39" s="170"/>
      <c r="P39" s="1"/>
      <c r="Q39" s="1"/>
      <c r="R39" s="1"/>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c r="AR39" s="193"/>
      <c r="AS39" s="193"/>
      <c r="AT39" s="193"/>
      <c r="AU39" s="193"/>
      <c r="AV39" s="193"/>
      <c r="AW39" s="193"/>
      <c r="AX39" s="193"/>
      <c r="AY39" s="193"/>
      <c r="AZ39" s="193"/>
      <c r="BA39" s="193"/>
      <c r="BB39" s="193"/>
      <c r="BC39" s="193"/>
      <c r="BD39" s="193"/>
      <c r="BE39" s="193"/>
      <c r="BF39" s="193"/>
      <c r="BG39" s="193"/>
      <c r="BH39" s="193"/>
      <c r="BI39" s="193"/>
      <c r="BJ39" s="193"/>
      <c r="BK39" s="193"/>
      <c r="BL39" s="193"/>
      <c r="BM39" s="193"/>
      <c r="BN39" s="193"/>
      <c r="BO39" s="193"/>
      <c r="BP39" s="193"/>
      <c r="BQ39" s="193"/>
      <c r="BR39" s="193"/>
      <c r="BS39" s="193"/>
      <c r="BT39" s="193"/>
      <c r="BU39" s="193"/>
      <c r="BV39" s="193"/>
      <c r="BW39" s="193"/>
      <c r="BX39" s="193"/>
      <c r="BY39" s="193"/>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1"/>
      <c r="EU39" s="1"/>
      <c r="EV39" s="1"/>
      <c r="EW39" s="1"/>
      <c r="EX39" s="1"/>
      <c r="EY39" s="1"/>
      <c r="EZ39" s="1"/>
      <c r="FA39" s="1"/>
      <c r="FB39" s="1"/>
      <c r="FC39" s="1"/>
      <c r="FD39" s="1"/>
      <c r="FE39" s="1"/>
      <c r="FF39" s="1"/>
      <c r="FG39" s="1"/>
      <c r="FH39" s="1"/>
      <c r="FI39" s="1"/>
      <c r="FJ39" s="1"/>
      <c r="FK39" s="1"/>
      <c r="FL39" s="1"/>
      <c r="FM39" s="1"/>
      <c r="FN39" s="1"/>
      <c r="FO39" s="1"/>
      <c r="FP39" s="1"/>
      <c r="FQ39" s="1"/>
      <c r="FR39" s="1"/>
      <c r="FS39" s="1"/>
      <c r="FT39" s="1"/>
      <c r="FU39" s="1"/>
      <c r="FV39" s="1"/>
    </row>
    <row x14ac:dyDescent="0.25" r="40" customHeight="1" ht="14.65">
      <c r="A40" s="1"/>
      <c r="B40" s="1"/>
      <c r="C40" s="194"/>
      <c r="D40" s="212" t="s">
        <v>59</v>
      </c>
      <c r="E40" s="201">
        <f>Hipótesis!E9</f>
      </c>
      <c r="F40" s="188"/>
      <c r="G40" s="188"/>
      <c r="H40" s="197"/>
      <c r="I40" s="188"/>
      <c r="J40" s="221"/>
      <c r="K40" s="222"/>
      <c r="L40" s="222"/>
      <c r="M40" s="223"/>
      <c r="N40" s="221"/>
      <c r="O40" s="170"/>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71"/>
      <c r="CA40" s="171"/>
      <c r="CB40" s="171"/>
      <c r="CC40" s="171"/>
      <c r="CD40" s="171"/>
      <c r="CE40" s="171"/>
      <c r="CF40" s="171"/>
      <c r="CG40" s="171"/>
      <c r="CH40" s="171"/>
      <c r="CI40" s="171"/>
      <c r="CJ40" s="171"/>
      <c r="CK40" s="171"/>
      <c r="CL40" s="171"/>
      <c r="CM40" s="171"/>
      <c r="CN40" s="171"/>
      <c r="CO40" s="171"/>
      <c r="CP40" s="171"/>
      <c r="CQ40" s="171"/>
      <c r="CR40" s="171"/>
      <c r="CS40" s="171"/>
      <c r="CT40" s="171"/>
      <c r="CU40" s="171"/>
      <c r="CV40" s="171"/>
      <c r="CW40" s="171"/>
      <c r="CX40" s="171"/>
      <c r="CY40" s="171"/>
      <c r="CZ40" s="171"/>
      <c r="DA40" s="171"/>
      <c r="DB40" s="171"/>
      <c r="DC40" s="171"/>
      <c r="DD40" s="171"/>
      <c r="DE40" s="171"/>
      <c r="DF40" s="171"/>
      <c r="DG40" s="171"/>
      <c r="DH40" s="171"/>
      <c r="DI40" s="171"/>
      <c r="DJ40" s="171"/>
      <c r="DK40" s="171"/>
      <c r="DL40" s="171"/>
      <c r="DM40" s="171"/>
      <c r="DN40" s="171"/>
      <c r="DO40" s="171"/>
      <c r="DP40" s="171"/>
      <c r="DQ40" s="171"/>
      <c r="DR40" s="171"/>
      <c r="DS40" s="171"/>
      <c r="DT40" s="171"/>
      <c r="DU40" s="171"/>
      <c r="DV40" s="171"/>
      <c r="DW40" s="171"/>
      <c r="DX40" s="171"/>
      <c r="DY40" s="171"/>
      <c r="DZ40" s="171"/>
      <c r="EA40" s="171"/>
      <c r="EB40" s="171"/>
      <c r="EC40" s="171"/>
      <c r="ED40" s="171"/>
      <c r="EE40" s="171"/>
      <c r="EF40" s="171"/>
      <c r="EG40" s="171"/>
      <c r="EH40" s="171"/>
      <c r="EI40" s="171"/>
      <c r="EJ40" s="171"/>
      <c r="EK40" s="171"/>
      <c r="EL40" s="171"/>
      <c r="EM40" s="171"/>
      <c r="EN40" s="171"/>
      <c r="EO40" s="171"/>
      <c r="EP40" s="171"/>
      <c r="EQ40" s="171"/>
      <c r="ER40" s="171"/>
      <c r="ES40" s="171"/>
      <c r="ET40" s="171"/>
      <c r="EU40" s="171"/>
      <c r="EV40" s="171"/>
      <c r="EW40" s="171"/>
      <c r="EX40" s="171"/>
      <c r="EY40" s="171"/>
      <c r="EZ40" s="171"/>
      <c r="FA40" s="171"/>
      <c r="FB40" s="171"/>
      <c r="FC40" s="171"/>
      <c r="FD40" s="171"/>
      <c r="FE40" s="171"/>
      <c r="FF40" s="171"/>
      <c r="FG40" s="171"/>
      <c r="FH40" s="171"/>
      <c r="FI40" s="171"/>
      <c r="FJ40" s="171"/>
      <c r="FK40" s="171"/>
      <c r="FL40" s="171"/>
      <c r="FM40" s="171"/>
      <c r="FN40" s="171"/>
      <c r="FO40" s="171"/>
      <c r="FP40" s="171"/>
      <c r="FQ40" s="171"/>
      <c r="FR40" s="171"/>
      <c r="FS40" s="171"/>
      <c r="FT40" s="171"/>
      <c r="FU40" s="171"/>
      <c r="FV40" s="171"/>
    </row>
    <row x14ac:dyDescent="0.25" r="41" customHeight="1" ht="2.1">
      <c r="A41" s="1"/>
      <c r="B41" s="1"/>
      <c r="C41" s="1"/>
      <c r="D41" s="1"/>
      <c r="E41" s="168"/>
      <c r="F41" s="1"/>
      <c r="G41" s="1"/>
      <c r="H41" s="1"/>
      <c r="I41" s="1"/>
      <c r="J41" s="168"/>
      <c r="K41" s="169"/>
      <c r="L41" s="169"/>
      <c r="M41" s="170"/>
      <c r="N41" s="168"/>
      <c r="O41" s="170"/>
      <c r="P41" s="1"/>
      <c r="Q41" s="1"/>
      <c r="R41" s="1"/>
      <c r="S41" s="193"/>
      <c r="T41" s="193"/>
      <c r="U41" s="193"/>
      <c r="V41" s="193"/>
      <c r="W41" s="193"/>
      <c r="X41" s="193"/>
      <c r="Y41" s="193"/>
      <c r="Z41" s="193"/>
      <c r="AA41" s="193"/>
      <c r="AB41" s="193"/>
      <c r="AC41" s="193"/>
      <c r="AD41" s="193"/>
      <c r="AE41" s="193"/>
      <c r="AF41" s="193"/>
      <c r="AG41" s="193"/>
      <c r="AH41" s="193"/>
      <c r="AI41" s="193"/>
      <c r="AJ41" s="193"/>
      <c r="AK41" s="193"/>
      <c r="AL41" s="193"/>
      <c r="AM41" s="193"/>
      <c r="AN41" s="193"/>
      <c r="AO41" s="193"/>
      <c r="AP41" s="193"/>
      <c r="AQ41" s="193"/>
      <c r="AR41" s="193"/>
      <c r="AS41" s="193"/>
      <c r="AT41" s="193"/>
      <c r="AU41" s="193"/>
      <c r="AV41" s="193"/>
      <c r="AW41" s="193"/>
      <c r="AX41" s="193"/>
      <c r="AY41" s="193"/>
      <c r="AZ41" s="193"/>
      <c r="BA41" s="193"/>
      <c r="BB41" s="193"/>
      <c r="BC41" s="193"/>
      <c r="BD41" s="193"/>
      <c r="BE41" s="193"/>
      <c r="BF41" s="193"/>
      <c r="BG41" s="193"/>
      <c r="BH41" s="193"/>
      <c r="BI41" s="193"/>
      <c r="BJ41" s="193"/>
      <c r="BK41" s="193"/>
      <c r="BL41" s="193"/>
      <c r="BM41" s="193"/>
      <c r="BN41" s="193"/>
      <c r="BO41" s="193"/>
      <c r="BP41" s="193"/>
      <c r="BQ41" s="193"/>
      <c r="BR41" s="193"/>
      <c r="BS41" s="193"/>
      <c r="BT41" s="193"/>
      <c r="BU41" s="193"/>
      <c r="BV41" s="193"/>
      <c r="BW41" s="193"/>
      <c r="BX41" s="193"/>
      <c r="BY41" s="193"/>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EG41" s="1"/>
      <c r="EH41" s="1"/>
      <c r="EI41" s="1"/>
      <c r="EJ41" s="1"/>
      <c r="EK41" s="1"/>
      <c r="EL41" s="1"/>
      <c r="EM41" s="1"/>
      <c r="EN41" s="1"/>
      <c r="EO41" s="1"/>
      <c r="EP41" s="1"/>
      <c r="EQ41" s="1"/>
      <c r="ER41" s="1"/>
      <c r="ES41" s="1"/>
      <c r="ET41" s="1"/>
      <c r="EU41" s="1"/>
      <c r="EV41" s="1"/>
      <c r="EW41" s="1"/>
      <c r="EX41" s="1"/>
      <c r="EY41" s="1"/>
      <c r="EZ41" s="1"/>
      <c r="FA41" s="1"/>
      <c r="FB41" s="1"/>
      <c r="FC41" s="1"/>
      <c r="FD41" s="1"/>
      <c r="FE41" s="1"/>
      <c r="FF41" s="1"/>
      <c r="FG41" s="1"/>
      <c r="FH41" s="1"/>
      <c r="FI41" s="1"/>
      <c r="FJ41" s="1"/>
      <c r="FK41" s="1"/>
      <c r="FL41" s="1"/>
      <c r="FM41" s="1"/>
      <c r="FN41" s="1"/>
      <c r="FO41" s="1"/>
      <c r="FP41" s="1"/>
      <c r="FQ41" s="1"/>
      <c r="FR41" s="1"/>
      <c r="FS41" s="1"/>
      <c r="FT41" s="1"/>
      <c r="FU41" s="1"/>
      <c r="FV41" s="1"/>
    </row>
    <row x14ac:dyDescent="0.25" r="42" customHeight="1" ht="14.65">
      <c r="A42" s="1"/>
      <c r="B42" s="1"/>
      <c r="C42" s="194"/>
      <c r="D42" s="212" t="s">
        <v>37</v>
      </c>
      <c r="E42" s="201">
        <f>Hipótesis!E13</f>
      </c>
      <c r="F42" s="188"/>
      <c r="G42" s="188"/>
      <c r="H42" s="197"/>
      <c r="I42" s="197"/>
      <c r="J42" s="198" t="s">
        <v>15</v>
      </c>
      <c r="K42" s="199"/>
      <c r="L42" s="199" t="s">
        <v>16</v>
      </c>
      <c r="M42" s="200"/>
      <c r="N42" s="198" t="s">
        <v>43</v>
      </c>
      <c r="O42" s="170"/>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71"/>
      <c r="CA42" s="171"/>
      <c r="CB42" s="171"/>
      <c r="CC42" s="171"/>
      <c r="CD42" s="171"/>
      <c r="CE42" s="171"/>
      <c r="CF42" s="171"/>
      <c r="CG42" s="171"/>
      <c r="CH42" s="171"/>
      <c r="CI42" s="171"/>
      <c r="CJ42" s="171"/>
      <c r="CK42" s="171"/>
      <c r="CL42" s="171"/>
      <c r="CM42" s="171"/>
      <c r="CN42" s="171"/>
      <c r="CO42" s="171"/>
      <c r="CP42" s="171"/>
      <c r="CQ42" s="171"/>
      <c r="CR42" s="171"/>
      <c r="CS42" s="171"/>
      <c r="CT42" s="171"/>
      <c r="CU42" s="171"/>
      <c r="CV42" s="171"/>
      <c r="CW42" s="171"/>
      <c r="CX42" s="171"/>
      <c r="CY42" s="171"/>
      <c r="CZ42" s="171"/>
      <c r="DA42" s="171"/>
      <c r="DB42" s="171"/>
      <c r="DC42" s="171"/>
      <c r="DD42" s="171"/>
      <c r="DE42" s="171"/>
      <c r="DF42" s="171"/>
      <c r="DG42" s="171"/>
      <c r="DH42" s="171"/>
      <c r="DI42" s="171"/>
      <c r="DJ42" s="171"/>
      <c r="DK42" s="171"/>
      <c r="DL42" s="171"/>
      <c r="DM42" s="171"/>
      <c r="DN42" s="171"/>
      <c r="DO42" s="171"/>
      <c r="DP42" s="171"/>
      <c r="DQ42" s="171"/>
      <c r="DR42" s="171"/>
      <c r="DS42" s="171"/>
      <c r="DT42" s="171"/>
      <c r="DU42" s="171"/>
      <c r="DV42" s="171"/>
      <c r="DW42" s="171"/>
      <c r="DX42" s="171"/>
      <c r="DY42" s="171"/>
      <c r="DZ42" s="171"/>
      <c r="EA42" s="171"/>
      <c r="EB42" s="171"/>
      <c r="EC42" s="171"/>
      <c r="ED42" s="171"/>
      <c r="EE42" s="171"/>
      <c r="EF42" s="171"/>
      <c r="EG42" s="171"/>
      <c r="EH42" s="171"/>
      <c r="EI42" s="171"/>
      <c r="EJ42" s="171"/>
      <c r="EK42" s="171"/>
      <c r="EL42" s="171"/>
      <c r="EM42" s="171"/>
      <c r="EN42" s="171"/>
      <c r="EO42" s="171"/>
      <c r="EP42" s="171"/>
      <c r="EQ42" s="171"/>
      <c r="ER42" s="171"/>
      <c r="ES42" s="171"/>
      <c r="ET42" s="171"/>
      <c r="EU42" s="171"/>
      <c r="EV42" s="171"/>
      <c r="EW42" s="171"/>
      <c r="EX42" s="171"/>
      <c r="EY42" s="171"/>
      <c r="EZ42" s="171"/>
      <c r="FA42" s="171"/>
      <c r="FB42" s="171"/>
      <c r="FC42" s="171"/>
      <c r="FD42" s="171"/>
      <c r="FE42" s="171"/>
      <c r="FF42" s="171"/>
      <c r="FG42" s="171"/>
      <c r="FH42" s="171"/>
      <c r="FI42" s="171"/>
      <c r="FJ42" s="171"/>
      <c r="FK42" s="171"/>
      <c r="FL42" s="171"/>
      <c r="FM42" s="171"/>
      <c r="FN42" s="171"/>
      <c r="FO42" s="171"/>
      <c r="FP42" s="171"/>
      <c r="FQ42" s="171"/>
      <c r="FR42" s="171"/>
      <c r="FS42" s="171"/>
      <c r="FT42" s="171"/>
      <c r="FU42" s="171"/>
      <c r="FV42" s="171"/>
    </row>
    <row x14ac:dyDescent="0.25" r="43" customHeight="1" ht="2.1">
      <c r="A43" s="1"/>
      <c r="B43" s="1"/>
      <c r="C43" s="1"/>
      <c r="D43" s="1"/>
      <c r="E43" s="168"/>
      <c r="F43" s="1"/>
      <c r="G43" s="1"/>
      <c r="H43" s="1"/>
      <c r="I43" s="1"/>
      <c r="J43" s="168"/>
      <c r="K43" s="169"/>
      <c r="L43" s="169"/>
      <c r="M43" s="170"/>
      <c r="N43" s="168"/>
      <c r="O43" s="170"/>
      <c r="P43" s="1"/>
      <c r="Q43" s="1"/>
      <c r="R43" s="1"/>
      <c r="S43" s="193"/>
      <c r="T43" s="193"/>
      <c r="U43" s="193"/>
      <c r="V43" s="193"/>
      <c r="W43" s="193"/>
      <c r="X43" s="193"/>
      <c r="Y43" s="193"/>
      <c r="Z43" s="193"/>
      <c r="AA43" s="193"/>
      <c r="AB43" s="193"/>
      <c r="AC43" s="193"/>
      <c r="AD43" s="193"/>
      <c r="AE43" s="193"/>
      <c r="AF43" s="193"/>
      <c r="AG43" s="193"/>
      <c r="AH43" s="193"/>
      <c r="AI43" s="193"/>
      <c r="AJ43" s="193"/>
      <c r="AK43" s="193"/>
      <c r="AL43" s="193"/>
      <c r="AM43" s="193"/>
      <c r="AN43" s="193"/>
      <c r="AO43" s="193"/>
      <c r="AP43" s="193"/>
      <c r="AQ43" s="193"/>
      <c r="AR43" s="193"/>
      <c r="AS43" s="193"/>
      <c r="AT43" s="193"/>
      <c r="AU43" s="193"/>
      <c r="AV43" s="193"/>
      <c r="AW43" s="193"/>
      <c r="AX43" s="193"/>
      <c r="AY43" s="193"/>
      <c r="AZ43" s="193"/>
      <c r="BA43" s="193"/>
      <c r="BB43" s="193"/>
      <c r="BC43" s="193"/>
      <c r="BD43" s="193"/>
      <c r="BE43" s="193"/>
      <c r="BF43" s="193"/>
      <c r="BG43" s="193"/>
      <c r="BH43" s="193"/>
      <c r="BI43" s="193"/>
      <c r="BJ43" s="193"/>
      <c r="BK43" s="193"/>
      <c r="BL43" s="193"/>
      <c r="BM43" s="193"/>
      <c r="BN43" s="193"/>
      <c r="BO43" s="193"/>
      <c r="BP43" s="193"/>
      <c r="BQ43" s="193"/>
      <c r="BR43" s="193"/>
      <c r="BS43" s="193"/>
      <c r="BT43" s="193"/>
      <c r="BU43" s="193"/>
      <c r="BV43" s="193"/>
      <c r="BW43" s="193"/>
      <c r="BX43" s="193"/>
      <c r="BY43" s="193"/>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EG43" s="1"/>
      <c r="EH43" s="1"/>
      <c r="EI43" s="1"/>
      <c r="EJ43" s="1"/>
      <c r="EK43" s="1"/>
      <c r="EL43" s="1"/>
      <c r="EM43" s="1"/>
      <c r="EN43" s="1"/>
      <c r="EO43" s="1"/>
      <c r="EP43" s="1"/>
      <c r="EQ43" s="1"/>
      <c r="ER43" s="1"/>
      <c r="ES43" s="1"/>
      <c r="ET43" s="1"/>
      <c r="EU43" s="1"/>
      <c r="EV43" s="1"/>
      <c r="EW43" s="1"/>
      <c r="EX43" s="1"/>
      <c r="EY43" s="1"/>
      <c r="EZ43" s="1"/>
      <c r="FA43" s="1"/>
      <c r="FB43" s="1"/>
      <c r="FC43" s="1"/>
      <c r="FD43" s="1"/>
      <c r="FE43" s="1"/>
      <c r="FF43" s="1"/>
      <c r="FG43" s="1"/>
      <c r="FH43" s="1"/>
      <c r="FI43" s="1"/>
      <c r="FJ43" s="1"/>
      <c r="FK43" s="1"/>
      <c r="FL43" s="1"/>
      <c r="FM43" s="1"/>
      <c r="FN43" s="1"/>
      <c r="FO43" s="1"/>
      <c r="FP43" s="1"/>
      <c r="FQ43" s="1"/>
      <c r="FR43" s="1"/>
      <c r="FS43" s="1"/>
      <c r="FT43" s="1"/>
      <c r="FU43" s="1"/>
      <c r="FV43" s="1"/>
    </row>
    <row x14ac:dyDescent="0.25" r="44" customHeight="1" ht="14.65">
      <c r="A44" s="1"/>
      <c r="B44" s="1"/>
      <c r="C44" s="194"/>
      <c r="D44" s="212" t="s">
        <v>60</v>
      </c>
      <c r="E44" s="201">
        <f>Hipótesis!E15</f>
      </c>
      <c r="F44" s="188"/>
      <c r="G44" s="188"/>
      <c r="H44" s="224"/>
      <c r="I44" s="225" t="s">
        <v>61</v>
      </c>
      <c r="J44" s="226">
        <f>IFERROR(J38+J12+J28,"-")</f>
      </c>
      <c r="K44" s="226"/>
      <c r="L44" s="226">
        <f>IFERROR(L38+L12+L28,"-")</f>
      </c>
      <c r="M44" s="226"/>
      <c r="N44" s="227">
        <f>IFERROR(N38+N12+N28,"-")</f>
      </c>
      <c r="O44" s="170"/>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71"/>
      <c r="CA44" s="171"/>
      <c r="CB44" s="171"/>
      <c r="CC44" s="171"/>
      <c r="CD44" s="171"/>
      <c r="CE44" s="171"/>
      <c r="CF44" s="171"/>
      <c r="CG44" s="171"/>
      <c r="CH44" s="171"/>
      <c r="CI44" s="171"/>
      <c r="CJ44" s="171"/>
      <c r="CK44" s="171"/>
      <c r="CL44" s="171"/>
      <c r="CM44" s="171"/>
      <c r="CN44" s="171"/>
      <c r="CO44" s="171"/>
      <c r="CP44" s="171"/>
      <c r="CQ44" s="171"/>
      <c r="CR44" s="171"/>
      <c r="CS44" s="171"/>
      <c r="CT44" s="171"/>
      <c r="CU44" s="171"/>
      <c r="CV44" s="171"/>
      <c r="CW44" s="171"/>
      <c r="CX44" s="171"/>
      <c r="CY44" s="171"/>
      <c r="CZ44" s="171"/>
      <c r="DA44" s="171"/>
      <c r="DB44" s="171"/>
      <c r="DC44" s="171"/>
      <c r="DD44" s="171"/>
      <c r="DE44" s="171"/>
      <c r="DF44" s="171"/>
      <c r="DG44" s="171"/>
      <c r="DH44" s="171"/>
      <c r="DI44" s="171"/>
      <c r="DJ44" s="171"/>
      <c r="DK44" s="171"/>
      <c r="DL44" s="171"/>
      <c r="DM44" s="171"/>
      <c r="DN44" s="171"/>
      <c r="DO44" s="171"/>
      <c r="DP44" s="171"/>
      <c r="DQ44" s="171"/>
      <c r="DR44" s="171"/>
      <c r="DS44" s="171"/>
      <c r="DT44" s="171"/>
      <c r="DU44" s="171"/>
      <c r="DV44" s="171"/>
      <c r="DW44" s="171"/>
      <c r="DX44" s="171"/>
      <c r="DY44" s="171"/>
      <c r="DZ44" s="171"/>
      <c r="EA44" s="171"/>
      <c r="EB44" s="171"/>
      <c r="EC44" s="171"/>
      <c r="ED44" s="171"/>
      <c r="EE44" s="171"/>
      <c r="EF44" s="171"/>
      <c r="EG44" s="171"/>
      <c r="EH44" s="171"/>
      <c r="EI44" s="171"/>
      <c r="EJ44" s="171"/>
      <c r="EK44" s="171"/>
      <c r="EL44" s="171"/>
      <c r="EM44" s="171"/>
      <c r="EN44" s="171"/>
      <c r="EO44" s="171"/>
      <c r="EP44" s="171"/>
      <c r="EQ44" s="171"/>
      <c r="ER44" s="171"/>
      <c r="ES44" s="171"/>
      <c r="ET44" s="171"/>
      <c r="EU44" s="171"/>
      <c r="EV44" s="171"/>
      <c r="EW44" s="171"/>
      <c r="EX44" s="171"/>
      <c r="EY44" s="171"/>
      <c r="EZ44" s="171"/>
      <c r="FA44" s="171"/>
      <c r="FB44" s="171"/>
      <c r="FC44" s="171"/>
      <c r="FD44" s="171"/>
      <c r="FE44" s="171"/>
      <c r="FF44" s="171"/>
      <c r="FG44" s="171"/>
      <c r="FH44" s="171"/>
      <c r="FI44" s="171"/>
      <c r="FJ44" s="171"/>
      <c r="FK44" s="171"/>
      <c r="FL44" s="171"/>
      <c r="FM44" s="171"/>
      <c r="FN44" s="171"/>
      <c r="FO44" s="171"/>
      <c r="FP44" s="171"/>
      <c r="FQ44" s="171"/>
      <c r="FR44" s="171"/>
      <c r="FS44" s="171"/>
      <c r="FT44" s="171"/>
      <c r="FU44" s="171"/>
      <c r="FV44" s="171"/>
    </row>
    <row x14ac:dyDescent="0.25" r="45" customHeight="1" ht="2.1">
      <c r="A45" s="1"/>
      <c r="B45" s="1"/>
      <c r="C45" s="1"/>
      <c r="D45" s="1"/>
      <c r="E45" s="168"/>
      <c r="F45" s="1"/>
      <c r="G45" s="1"/>
      <c r="H45" s="1"/>
      <c r="I45" s="1"/>
      <c r="J45" s="168"/>
      <c r="K45" s="169"/>
      <c r="L45" s="169"/>
      <c r="M45" s="170"/>
      <c r="N45" s="168"/>
      <c r="O45" s="170"/>
      <c r="P45" s="1"/>
      <c r="Q45" s="1"/>
      <c r="R45" s="1"/>
      <c r="S45" s="193"/>
      <c r="T45" s="193"/>
      <c r="U45" s="193"/>
      <c r="V45" s="193"/>
      <c r="W45" s="193"/>
      <c r="X45" s="193"/>
      <c r="Y45" s="193"/>
      <c r="Z45" s="193"/>
      <c r="AA45" s="193"/>
      <c r="AB45" s="193"/>
      <c r="AC45" s="193"/>
      <c r="AD45" s="193"/>
      <c r="AE45" s="193"/>
      <c r="AF45" s="193"/>
      <c r="AG45" s="193"/>
      <c r="AH45" s="193"/>
      <c r="AI45" s="193"/>
      <c r="AJ45" s="193"/>
      <c r="AK45" s="193"/>
      <c r="AL45" s="193"/>
      <c r="AM45" s="193"/>
      <c r="AN45" s="193"/>
      <c r="AO45" s="193"/>
      <c r="AP45" s="193"/>
      <c r="AQ45" s="193"/>
      <c r="AR45" s="193"/>
      <c r="AS45" s="193"/>
      <c r="AT45" s="193"/>
      <c r="AU45" s="193"/>
      <c r="AV45" s="193"/>
      <c r="AW45" s="193"/>
      <c r="AX45" s="193"/>
      <c r="AY45" s="193"/>
      <c r="AZ45" s="193"/>
      <c r="BA45" s="193"/>
      <c r="BB45" s="193"/>
      <c r="BC45" s="193"/>
      <c r="BD45" s="193"/>
      <c r="BE45" s="193"/>
      <c r="BF45" s="193"/>
      <c r="BG45" s="193"/>
      <c r="BH45" s="193"/>
      <c r="BI45" s="193"/>
      <c r="BJ45" s="193"/>
      <c r="BK45" s="193"/>
      <c r="BL45" s="193"/>
      <c r="BM45" s="193"/>
      <c r="BN45" s="193"/>
      <c r="BO45" s="193"/>
      <c r="BP45" s="193"/>
      <c r="BQ45" s="193"/>
      <c r="BR45" s="193"/>
      <c r="BS45" s="193"/>
      <c r="BT45" s="193"/>
      <c r="BU45" s="193"/>
      <c r="BV45" s="193"/>
      <c r="BW45" s="193"/>
      <c r="BX45" s="193"/>
      <c r="BY45" s="193"/>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row>
    <row x14ac:dyDescent="0.25" r="46" customHeight="1" ht="14.65">
      <c r="A46" s="1"/>
      <c r="B46" s="1"/>
      <c r="C46" s="194"/>
      <c r="D46" s="212" t="s">
        <v>62</v>
      </c>
      <c r="E46" s="201">
        <f>'Aportaciones PP indvidual'!G5</f>
      </c>
      <c r="F46" s="188"/>
      <c r="G46" s="188"/>
      <c r="H46" s="228"/>
      <c r="I46" s="229" t="s">
        <v>32</v>
      </c>
      <c r="J46" s="230"/>
      <c r="K46" s="231"/>
      <c r="L46" s="231"/>
      <c r="M46" s="232"/>
      <c r="N46" s="233">
        <f>IFERROR(+MAX(0%,100%-N44),"-")</f>
      </c>
      <c r="O46" s="170"/>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71"/>
      <c r="CA46" s="171"/>
      <c r="CB46" s="171"/>
      <c r="CC46" s="171"/>
      <c r="CD46" s="171"/>
      <c r="CE46" s="171"/>
      <c r="CF46" s="171"/>
      <c r="CG46" s="171"/>
      <c r="CH46" s="171"/>
      <c r="CI46" s="171"/>
      <c r="CJ46" s="171"/>
      <c r="CK46" s="171"/>
      <c r="CL46" s="171"/>
      <c r="CM46" s="171"/>
      <c r="CN46" s="171"/>
      <c r="CO46" s="171"/>
      <c r="CP46" s="171"/>
      <c r="CQ46" s="171"/>
      <c r="CR46" s="171"/>
      <c r="CS46" s="171"/>
      <c r="CT46" s="171"/>
      <c r="CU46" s="171"/>
      <c r="CV46" s="171"/>
      <c r="CW46" s="171"/>
      <c r="CX46" s="171"/>
      <c r="CY46" s="171"/>
      <c r="CZ46" s="171"/>
      <c r="DA46" s="171"/>
      <c r="DB46" s="171"/>
      <c r="DC46" s="171"/>
      <c r="DD46" s="171"/>
      <c r="DE46" s="171"/>
      <c r="DF46" s="171"/>
      <c r="DG46" s="171"/>
      <c r="DH46" s="171"/>
      <c r="DI46" s="171"/>
      <c r="DJ46" s="171"/>
      <c r="DK46" s="171"/>
      <c r="DL46" s="171"/>
      <c r="DM46" s="171"/>
      <c r="DN46" s="171"/>
      <c r="DO46" s="171"/>
      <c r="DP46" s="171"/>
      <c r="DQ46" s="171"/>
      <c r="DR46" s="171"/>
      <c r="DS46" s="171"/>
      <c r="DT46" s="171"/>
      <c r="DU46" s="171"/>
      <c r="DV46" s="171"/>
      <c r="DW46" s="171"/>
      <c r="DX46" s="171"/>
      <c r="DY46" s="171"/>
      <c r="DZ46" s="171"/>
      <c r="EA46" s="171"/>
      <c r="EB46" s="171"/>
      <c r="EC46" s="171"/>
      <c r="ED46" s="171"/>
      <c r="EE46" s="171"/>
      <c r="EF46" s="171"/>
      <c r="EG46" s="171"/>
      <c r="EH46" s="171"/>
      <c r="EI46" s="171"/>
      <c r="EJ46" s="171"/>
      <c r="EK46" s="171"/>
      <c r="EL46" s="171"/>
      <c r="EM46" s="171"/>
      <c r="EN46" s="171"/>
      <c r="EO46" s="171"/>
      <c r="EP46" s="171"/>
      <c r="EQ46" s="171"/>
      <c r="ER46" s="171"/>
      <c r="ES46" s="171"/>
      <c r="ET46" s="171"/>
      <c r="EU46" s="171"/>
      <c r="EV46" s="171"/>
      <c r="EW46" s="171"/>
      <c r="EX46" s="171"/>
      <c r="EY46" s="171"/>
      <c r="EZ46" s="171"/>
      <c r="FA46" s="171"/>
      <c r="FB46" s="171"/>
      <c r="FC46" s="171"/>
      <c r="FD46" s="171"/>
      <c r="FE46" s="171"/>
      <c r="FF46" s="171"/>
      <c r="FG46" s="171"/>
      <c r="FH46" s="171"/>
      <c r="FI46" s="171"/>
      <c r="FJ46" s="171"/>
      <c r="FK46" s="171"/>
      <c r="FL46" s="171"/>
      <c r="FM46" s="171"/>
      <c r="FN46" s="171"/>
      <c r="FO46" s="171"/>
      <c r="FP46" s="171"/>
      <c r="FQ46" s="171"/>
      <c r="FR46" s="171"/>
      <c r="FS46" s="171"/>
      <c r="FT46" s="171"/>
      <c r="FU46" s="171"/>
      <c r="FV46" s="171"/>
    </row>
    <row x14ac:dyDescent="0.25" r="47" customHeight="1" ht="2.1">
      <c r="A47" s="1"/>
      <c r="B47" s="1"/>
      <c r="C47" s="1"/>
      <c r="D47" s="1"/>
      <c r="E47" s="168"/>
      <c r="F47" s="1"/>
      <c r="G47" s="1"/>
      <c r="H47" s="1"/>
      <c r="I47" s="1"/>
      <c r="J47" s="168"/>
      <c r="K47" s="169"/>
      <c r="L47" s="169"/>
      <c r="M47" s="170"/>
      <c r="N47" s="168"/>
      <c r="O47" s="170"/>
      <c r="P47" s="1"/>
      <c r="Q47" s="1"/>
      <c r="R47" s="1"/>
      <c r="S47" s="193"/>
      <c r="T47" s="193"/>
      <c r="U47" s="193"/>
      <c r="V47" s="193"/>
      <c r="W47" s="193"/>
      <c r="X47" s="193"/>
      <c r="Y47" s="193"/>
      <c r="Z47" s="193"/>
      <c r="AA47" s="193"/>
      <c r="AB47" s="193"/>
      <c r="AC47" s="193"/>
      <c r="AD47" s="193"/>
      <c r="AE47" s="193"/>
      <c r="AF47" s="193"/>
      <c r="AG47" s="193"/>
      <c r="AH47" s="193"/>
      <c r="AI47" s="193"/>
      <c r="AJ47" s="193"/>
      <c r="AK47" s="193"/>
      <c r="AL47" s="193"/>
      <c r="AM47" s="193"/>
      <c r="AN47" s="193"/>
      <c r="AO47" s="193"/>
      <c r="AP47" s="193"/>
      <c r="AQ47" s="193"/>
      <c r="AR47" s="193"/>
      <c r="AS47" s="193"/>
      <c r="AT47" s="193"/>
      <c r="AU47" s="193"/>
      <c r="AV47" s="193"/>
      <c r="AW47" s="193"/>
      <c r="AX47" s="193"/>
      <c r="AY47" s="193"/>
      <c r="AZ47" s="193"/>
      <c r="BA47" s="193"/>
      <c r="BB47" s="193"/>
      <c r="BC47" s="193"/>
      <c r="BD47" s="193"/>
      <c r="BE47" s="193"/>
      <c r="BF47" s="193"/>
      <c r="BG47" s="193"/>
      <c r="BH47" s="193"/>
      <c r="BI47" s="193"/>
      <c r="BJ47" s="193"/>
      <c r="BK47" s="193"/>
      <c r="BL47" s="193"/>
      <c r="BM47" s="193"/>
      <c r="BN47" s="193"/>
      <c r="BO47" s="193"/>
      <c r="BP47" s="193"/>
      <c r="BQ47" s="193"/>
      <c r="BR47" s="193"/>
      <c r="BS47" s="193"/>
      <c r="BT47" s="193"/>
      <c r="BU47" s="193"/>
      <c r="BV47" s="193"/>
      <c r="BW47" s="193"/>
      <c r="BX47" s="193"/>
      <c r="BY47" s="193"/>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1"/>
      <c r="EU47" s="1"/>
      <c r="EV47" s="1"/>
      <c r="EW47" s="1"/>
      <c r="EX47" s="1"/>
      <c r="EY47" s="1"/>
      <c r="EZ47" s="1"/>
      <c r="FA47" s="1"/>
      <c r="FB47" s="1"/>
      <c r="FC47" s="1"/>
      <c r="FD47" s="1"/>
      <c r="FE47" s="1"/>
      <c r="FF47" s="1"/>
      <c r="FG47" s="1"/>
      <c r="FH47" s="1"/>
      <c r="FI47" s="1"/>
      <c r="FJ47" s="1"/>
      <c r="FK47" s="1"/>
      <c r="FL47" s="1"/>
      <c r="FM47" s="1"/>
      <c r="FN47" s="1"/>
      <c r="FO47" s="1"/>
      <c r="FP47" s="1"/>
      <c r="FQ47" s="1"/>
      <c r="FR47" s="1"/>
      <c r="FS47" s="1"/>
      <c r="FT47" s="1"/>
      <c r="FU47" s="1"/>
      <c r="FV47" s="1"/>
    </row>
    <row x14ac:dyDescent="0.25" r="48" customHeight="1" ht="14.65">
      <c r="A48" s="1"/>
      <c r="B48" s="1"/>
      <c r="C48" s="194"/>
      <c r="D48" s="212" t="s">
        <v>63</v>
      </c>
      <c r="E48" s="201">
        <f>Hipótesis!E17</f>
      </c>
      <c r="F48" s="188"/>
      <c r="G48" s="188"/>
      <c r="H48" s="197"/>
      <c r="I48" s="197"/>
      <c r="J48" s="213"/>
      <c r="K48" s="214"/>
      <c r="L48" s="214"/>
      <c r="M48" s="215"/>
      <c r="N48" s="213"/>
      <c r="O48" s="170"/>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71"/>
      <c r="CA48" s="171"/>
      <c r="CB48" s="171"/>
      <c r="CC48" s="171"/>
      <c r="CD48" s="171"/>
      <c r="CE48" s="171"/>
      <c r="CF48" s="171"/>
      <c r="CG48" s="171"/>
      <c r="CH48" s="171"/>
      <c r="CI48" s="171"/>
      <c r="CJ48" s="171"/>
      <c r="CK48" s="171"/>
      <c r="CL48" s="171"/>
      <c r="CM48" s="171"/>
      <c r="CN48" s="171"/>
      <c r="CO48" s="171"/>
      <c r="CP48" s="171"/>
      <c r="CQ48" s="171"/>
      <c r="CR48" s="171"/>
      <c r="CS48" s="171"/>
      <c r="CT48" s="171"/>
      <c r="CU48" s="171"/>
      <c r="CV48" s="171"/>
      <c r="CW48" s="171"/>
      <c r="CX48" s="171"/>
      <c r="CY48" s="171"/>
      <c r="CZ48" s="171"/>
      <c r="DA48" s="171"/>
      <c r="DB48" s="171"/>
      <c r="DC48" s="171"/>
      <c r="DD48" s="171"/>
      <c r="DE48" s="171"/>
      <c r="DF48" s="171"/>
      <c r="DG48" s="171"/>
      <c r="DH48" s="171"/>
      <c r="DI48" s="171"/>
      <c r="DJ48" s="171"/>
      <c r="DK48" s="171"/>
      <c r="DL48" s="171"/>
      <c r="DM48" s="171"/>
      <c r="DN48" s="171"/>
      <c r="DO48" s="171"/>
      <c r="DP48" s="171"/>
      <c r="DQ48" s="171"/>
      <c r="DR48" s="171"/>
      <c r="DS48" s="171"/>
      <c r="DT48" s="171"/>
      <c r="DU48" s="171"/>
      <c r="DV48" s="171"/>
      <c r="DW48" s="171"/>
      <c r="DX48" s="171"/>
      <c r="DY48" s="171"/>
      <c r="DZ48" s="171"/>
      <c r="EA48" s="171"/>
      <c r="EB48" s="171"/>
      <c r="EC48" s="171"/>
      <c r="ED48" s="171"/>
      <c r="EE48" s="171"/>
      <c r="EF48" s="171"/>
      <c r="EG48" s="171"/>
      <c r="EH48" s="171"/>
      <c r="EI48" s="171"/>
      <c r="EJ48" s="171"/>
      <c r="EK48" s="171"/>
      <c r="EL48" s="171"/>
      <c r="EM48" s="171"/>
      <c r="EN48" s="171"/>
      <c r="EO48" s="171"/>
      <c r="EP48" s="171"/>
      <c r="EQ48" s="171"/>
      <c r="ER48" s="171"/>
      <c r="ES48" s="171"/>
      <c r="ET48" s="171"/>
      <c r="EU48" s="171"/>
      <c r="EV48" s="171"/>
      <c r="EW48" s="171"/>
      <c r="EX48" s="171"/>
      <c r="EY48" s="171"/>
      <c r="EZ48" s="171"/>
      <c r="FA48" s="171"/>
      <c r="FB48" s="171"/>
      <c r="FC48" s="171"/>
      <c r="FD48" s="171"/>
      <c r="FE48" s="171"/>
      <c r="FF48" s="171"/>
      <c r="FG48" s="171"/>
      <c r="FH48" s="171"/>
      <c r="FI48" s="171"/>
      <c r="FJ48" s="171"/>
      <c r="FK48" s="171"/>
      <c r="FL48" s="171"/>
      <c r="FM48" s="171"/>
      <c r="FN48" s="171"/>
      <c r="FO48" s="171"/>
      <c r="FP48" s="171"/>
      <c r="FQ48" s="171"/>
      <c r="FR48" s="171"/>
      <c r="FS48" s="171"/>
      <c r="FT48" s="171"/>
      <c r="FU48" s="171"/>
      <c r="FV48" s="171"/>
    </row>
    <row x14ac:dyDescent="0.25" r="49" customHeight="1" ht="2.1">
      <c r="A49" s="1"/>
      <c r="B49" s="1"/>
      <c r="C49" s="1"/>
      <c r="D49" s="1"/>
      <c r="E49" s="168"/>
      <c r="F49" s="1"/>
      <c r="G49" s="1"/>
      <c r="H49" s="1"/>
      <c r="I49" s="1"/>
      <c r="J49" s="168"/>
      <c r="K49" s="169"/>
      <c r="L49" s="169"/>
      <c r="M49" s="170"/>
      <c r="N49" s="168"/>
      <c r="O49" s="170"/>
      <c r="P49" s="1"/>
      <c r="Q49" s="1"/>
      <c r="R49" s="1"/>
      <c r="S49" s="193"/>
      <c r="T49" s="193"/>
      <c r="U49" s="193"/>
      <c r="V49" s="193"/>
      <c r="W49" s="193"/>
      <c r="X49" s="193"/>
      <c r="Y49" s="193"/>
      <c r="Z49" s="193"/>
      <c r="AA49" s="193"/>
      <c r="AB49" s="193"/>
      <c r="AC49" s="193"/>
      <c r="AD49" s="193"/>
      <c r="AE49" s="193"/>
      <c r="AF49" s="193"/>
      <c r="AG49" s="193"/>
      <c r="AH49" s="193"/>
      <c r="AI49" s="193"/>
      <c r="AJ49" s="193"/>
      <c r="AK49" s="193"/>
      <c r="AL49" s="193"/>
      <c r="AM49" s="193"/>
      <c r="AN49" s="193"/>
      <c r="AO49" s="193"/>
      <c r="AP49" s="193"/>
      <c r="AQ49" s="193"/>
      <c r="AR49" s="193"/>
      <c r="AS49" s="193"/>
      <c r="AT49" s="193"/>
      <c r="AU49" s="193"/>
      <c r="AV49" s="193"/>
      <c r="AW49" s="193"/>
      <c r="AX49" s="193"/>
      <c r="AY49" s="193"/>
      <c r="AZ49" s="193"/>
      <c r="BA49" s="193"/>
      <c r="BB49" s="193"/>
      <c r="BC49" s="193"/>
      <c r="BD49" s="193"/>
      <c r="BE49" s="193"/>
      <c r="BF49" s="193"/>
      <c r="BG49" s="193"/>
      <c r="BH49" s="193"/>
      <c r="BI49" s="193"/>
      <c r="BJ49" s="193"/>
      <c r="BK49" s="193"/>
      <c r="BL49" s="193"/>
      <c r="BM49" s="193"/>
      <c r="BN49" s="193"/>
      <c r="BO49" s="193"/>
      <c r="BP49" s="193"/>
      <c r="BQ49" s="193"/>
      <c r="BR49" s="193"/>
      <c r="BS49" s="193"/>
      <c r="BT49" s="193"/>
      <c r="BU49" s="193"/>
      <c r="BV49" s="193"/>
      <c r="BW49" s="193"/>
      <c r="BX49" s="193"/>
      <c r="BY49" s="193"/>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c r="EG49" s="1"/>
      <c r="EH49" s="1"/>
      <c r="EI49" s="1"/>
      <c r="EJ49" s="1"/>
      <c r="EK49" s="1"/>
      <c r="EL49" s="1"/>
      <c r="EM49" s="1"/>
      <c r="EN49" s="1"/>
      <c r="EO49" s="1"/>
      <c r="EP49" s="1"/>
      <c r="EQ49" s="1"/>
      <c r="ER49" s="1"/>
      <c r="ES49" s="1"/>
      <c r="ET49" s="1"/>
      <c r="EU49" s="1"/>
      <c r="EV49" s="1"/>
      <c r="EW49" s="1"/>
      <c r="EX49" s="1"/>
      <c r="EY49" s="1"/>
      <c r="EZ49" s="1"/>
      <c r="FA49" s="1"/>
      <c r="FB49" s="1"/>
      <c r="FC49" s="1"/>
      <c r="FD49" s="1"/>
      <c r="FE49" s="1"/>
      <c r="FF49" s="1"/>
      <c r="FG49" s="1"/>
      <c r="FH49" s="1"/>
      <c r="FI49" s="1"/>
      <c r="FJ49" s="1"/>
      <c r="FK49" s="1"/>
      <c r="FL49" s="1"/>
      <c r="FM49" s="1"/>
      <c r="FN49" s="1"/>
      <c r="FO49" s="1"/>
      <c r="FP49" s="1"/>
      <c r="FQ49" s="1"/>
      <c r="FR49" s="1"/>
      <c r="FS49" s="1"/>
      <c r="FT49" s="1"/>
      <c r="FU49" s="1"/>
      <c r="FV49" s="1"/>
    </row>
    <row x14ac:dyDescent="0.25" r="50" customHeight="1" ht="14.65">
      <c r="A50" s="1"/>
      <c r="B50" s="1"/>
      <c r="C50" s="194"/>
      <c r="D50" s="212" t="s">
        <v>40</v>
      </c>
      <c r="E50" s="201" t="s">
        <v>64</v>
      </c>
      <c r="F50" s="188"/>
      <c r="G50" s="188"/>
      <c r="H50" s="197"/>
      <c r="I50" s="197"/>
      <c r="J50" s="213"/>
      <c r="K50" s="214"/>
      <c r="L50" s="214"/>
      <c r="M50" s="215"/>
      <c r="N50" s="213"/>
      <c r="O50" s="170"/>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71"/>
      <c r="CA50" s="171"/>
      <c r="CB50" s="171"/>
      <c r="CC50" s="171"/>
      <c r="CD50" s="171"/>
      <c r="CE50" s="171"/>
      <c r="CF50" s="171"/>
      <c r="CG50" s="171"/>
      <c r="CH50" s="171"/>
      <c r="CI50" s="171"/>
      <c r="CJ50" s="171"/>
      <c r="CK50" s="171"/>
      <c r="CL50" s="171"/>
      <c r="CM50" s="171"/>
      <c r="CN50" s="171"/>
      <c r="CO50" s="171"/>
      <c r="CP50" s="171"/>
      <c r="CQ50" s="171"/>
      <c r="CR50" s="171"/>
      <c r="CS50" s="171"/>
      <c r="CT50" s="171"/>
      <c r="CU50" s="171"/>
      <c r="CV50" s="171"/>
      <c r="CW50" s="171"/>
      <c r="CX50" s="171"/>
      <c r="CY50" s="171"/>
      <c r="CZ50" s="171"/>
      <c r="DA50" s="171"/>
      <c r="DB50" s="171"/>
      <c r="DC50" s="171"/>
      <c r="DD50" s="171"/>
      <c r="DE50" s="171"/>
      <c r="DF50" s="171"/>
      <c r="DG50" s="171"/>
      <c r="DH50" s="171"/>
      <c r="DI50" s="171"/>
      <c r="DJ50" s="171"/>
      <c r="DK50" s="171"/>
      <c r="DL50" s="171"/>
      <c r="DM50" s="171"/>
      <c r="DN50" s="171"/>
      <c r="DO50" s="171"/>
      <c r="DP50" s="171"/>
      <c r="DQ50" s="171"/>
      <c r="DR50" s="171"/>
      <c r="DS50" s="171"/>
      <c r="DT50" s="171"/>
      <c r="DU50" s="171"/>
      <c r="DV50" s="171"/>
      <c r="DW50" s="171"/>
      <c r="DX50" s="171"/>
      <c r="DY50" s="171"/>
      <c r="DZ50" s="171"/>
      <c r="EA50" s="171"/>
      <c r="EB50" s="171"/>
      <c r="EC50" s="171"/>
      <c r="ED50" s="171"/>
      <c r="EE50" s="171"/>
      <c r="EF50" s="171"/>
      <c r="EG50" s="171"/>
      <c r="EH50" s="171"/>
      <c r="EI50" s="171"/>
      <c r="EJ50" s="171"/>
      <c r="EK50" s="171"/>
      <c r="EL50" s="171"/>
      <c r="EM50" s="171"/>
      <c r="EN50" s="171"/>
      <c r="EO50" s="171"/>
      <c r="EP50" s="171"/>
      <c r="EQ50" s="171"/>
      <c r="ER50" s="171"/>
      <c r="ES50" s="171"/>
      <c r="ET50" s="171"/>
      <c r="EU50" s="171"/>
      <c r="EV50" s="171"/>
      <c r="EW50" s="171"/>
      <c r="EX50" s="171"/>
      <c r="EY50" s="171"/>
      <c r="EZ50" s="171"/>
      <c r="FA50" s="171"/>
      <c r="FB50" s="171"/>
      <c r="FC50" s="171"/>
      <c r="FD50" s="171"/>
      <c r="FE50" s="171"/>
      <c r="FF50" s="171"/>
      <c r="FG50" s="171"/>
      <c r="FH50" s="171"/>
      <c r="FI50" s="171"/>
      <c r="FJ50" s="171"/>
      <c r="FK50" s="171"/>
      <c r="FL50" s="171"/>
      <c r="FM50" s="171"/>
      <c r="FN50" s="171"/>
      <c r="FO50" s="171"/>
      <c r="FP50" s="171"/>
      <c r="FQ50" s="171"/>
      <c r="FR50" s="171"/>
      <c r="FS50" s="171"/>
      <c r="FT50" s="171"/>
      <c r="FU50" s="171"/>
      <c r="FV50" s="171"/>
    </row>
    <row x14ac:dyDescent="0.25" r="51" customHeight="1" ht="2.1">
      <c r="A51" s="1"/>
      <c r="B51" s="1"/>
      <c r="C51" s="1"/>
      <c r="D51" s="197"/>
      <c r="E51" s="213"/>
      <c r="F51" s="188"/>
      <c r="G51" s="188"/>
      <c r="H51" s="197"/>
      <c r="I51" s="234"/>
      <c r="J51" s="235"/>
      <c r="K51" s="236"/>
      <c r="L51" s="236"/>
      <c r="M51" s="237"/>
      <c r="N51" s="238"/>
      <c r="O51" s="170"/>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71"/>
      <c r="CA51" s="171"/>
      <c r="CB51" s="171"/>
      <c r="CC51" s="171"/>
      <c r="CD51" s="171"/>
      <c r="CE51" s="171"/>
      <c r="CF51" s="171"/>
      <c r="CG51" s="171"/>
      <c r="CH51" s="171"/>
      <c r="CI51" s="171"/>
      <c r="CJ51" s="171"/>
      <c r="CK51" s="171"/>
      <c r="CL51" s="171"/>
      <c r="CM51" s="171"/>
      <c r="CN51" s="171"/>
      <c r="CO51" s="171"/>
      <c r="CP51" s="171"/>
      <c r="CQ51" s="171"/>
      <c r="CR51" s="171"/>
      <c r="CS51" s="171"/>
      <c r="CT51" s="171"/>
      <c r="CU51" s="171"/>
      <c r="CV51" s="171"/>
      <c r="CW51" s="171"/>
      <c r="CX51" s="171"/>
      <c r="CY51" s="171"/>
      <c r="CZ51" s="171"/>
      <c r="DA51" s="171"/>
      <c r="DB51" s="171"/>
      <c r="DC51" s="171"/>
      <c r="DD51" s="171"/>
      <c r="DE51" s="171"/>
      <c r="DF51" s="171"/>
      <c r="DG51" s="171"/>
      <c r="DH51" s="171"/>
      <c r="DI51" s="171"/>
      <c r="DJ51" s="171"/>
      <c r="DK51" s="171"/>
      <c r="DL51" s="171"/>
      <c r="DM51" s="171"/>
      <c r="DN51" s="171"/>
      <c r="DO51" s="171"/>
      <c r="DP51" s="171"/>
      <c r="DQ51" s="171"/>
      <c r="DR51" s="171"/>
      <c r="DS51" s="171"/>
      <c r="DT51" s="171"/>
      <c r="DU51" s="171"/>
      <c r="DV51" s="171"/>
      <c r="DW51" s="171"/>
      <c r="DX51" s="171"/>
      <c r="DY51" s="171"/>
      <c r="DZ51" s="171"/>
      <c r="EA51" s="171"/>
      <c r="EB51" s="171"/>
      <c r="EC51" s="171"/>
      <c r="ED51" s="171"/>
      <c r="EE51" s="171"/>
      <c r="EF51" s="171"/>
      <c r="EG51" s="171"/>
      <c r="EH51" s="171"/>
      <c r="EI51" s="171"/>
      <c r="EJ51" s="171"/>
      <c r="EK51" s="171"/>
      <c r="EL51" s="171"/>
      <c r="EM51" s="171"/>
      <c r="EN51" s="171"/>
      <c r="EO51" s="171"/>
      <c r="EP51" s="171"/>
      <c r="EQ51" s="171"/>
      <c r="ER51" s="171"/>
      <c r="ES51" s="171"/>
      <c r="ET51" s="171"/>
      <c r="EU51" s="171"/>
      <c r="EV51" s="171"/>
      <c r="EW51" s="171"/>
      <c r="EX51" s="171"/>
      <c r="EY51" s="171"/>
      <c r="EZ51" s="171"/>
      <c r="FA51" s="171"/>
      <c r="FB51" s="171"/>
      <c r="FC51" s="171"/>
      <c r="FD51" s="171"/>
      <c r="FE51" s="171"/>
      <c r="FF51" s="171"/>
      <c r="FG51" s="171"/>
      <c r="FH51" s="171"/>
      <c r="FI51" s="171"/>
      <c r="FJ51" s="171"/>
      <c r="FK51" s="171"/>
      <c r="FL51" s="171"/>
      <c r="FM51" s="171"/>
      <c r="FN51" s="171"/>
      <c r="FO51" s="171"/>
      <c r="FP51" s="171"/>
      <c r="FQ51" s="171"/>
      <c r="FR51" s="171"/>
      <c r="FS51" s="171"/>
      <c r="FT51" s="171"/>
      <c r="FU51" s="171"/>
      <c r="FV51" s="171"/>
    </row>
    <row x14ac:dyDescent="0.25" r="52" customHeight="1" ht="21.75">
      <c r="A52" s="1"/>
      <c r="B52" s="1"/>
      <c r="C52" s="1"/>
      <c r="D52" s="239"/>
      <c r="E52" s="240"/>
      <c r="F52" s="239"/>
      <c r="G52" s="239"/>
      <c r="H52" s="239"/>
      <c r="I52" s="241"/>
      <c r="J52" s="240"/>
      <c r="K52" s="242"/>
      <c r="L52" s="242"/>
      <c r="M52" s="243"/>
      <c r="N52" s="240"/>
      <c r="O52" s="170"/>
      <c r="P52" s="1"/>
      <c r="Q52" s="1"/>
      <c r="R52" s="1"/>
      <c r="S52" s="244"/>
      <c r="T52" s="244"/>
      <c r="U52" s="244"/>
      <c r="V52" s="244"/>
      <c r="W52" s="244"/>
      <c r="X52" s="244"/>
      <c r="Y52" s="244"/>
      <c r="Z52" s="244"/>
      <c r="AA52" s="244"/>
      <c r="AB52" s="244"/>
      <c r="AC52" s="244"/>
      <c r="AD52" s="244"/>
      <c r="AE52" s="244"/>
      <c r="AF52" s="244"/>
      <c r="AG52" s="244"/>
      <c r="AH52" s="244"/>
      <c r="AI52" s="244"/>
      <c r="AJ52" s="244"/>
      <c r="AK52" s="244"/>
      <c r="AL52" s="244"/>
      <c r="AM52" s="244"/>
      <c r="AN52" s="244"/>
      <c r="AO52" s="244"/>
      <c r="AP52" s="244"/>
      <c r="AQ52" s="244"/>
      <c r="AR52" s="244"/>
      <c r="AS52" s="244"/>
      <c r="AT52" s="244"/>
      <c r="AU52" s="244"/>
      <c r="AV52" s="244"/>
      <c r="AW52" s="244"/>
      <c r="AX52" s="244"/>
      <c r="AY52" s="244"/>
      <c r="AZ52" s="244"/>
      <c r="BA52" s="244"/>
      <c r="BB52" s="244"/>
      <c r="BC52" s="244"/>
      <c r="BD52" s="244"/>
      <c r="BE52" s="244"/>
      <c r="BF52" s="244"/>
      <c r="BG52" s="244"/>
      <c r="BH52" s="244"/>
      <c r="BI52" s="244"/>
      <c r="BJ52" s="244"/>
      <c r="BK52" s="244"/>
      <c r="BL52" s="244"/>
      <c r="BM52" s="244"/>
      <c r="BN52" s="244"/>
      <c r="BO52" s="244"/>
      <c r="BP52" s="244"/>
      <c r="BQ52" s="244"/>
      <c r="BR52" s="244"/>
      <c r="BS52" s="244"/>
      <c r="BT52" s="244"/>
      <c r="BU52" s="244"/>
      <c r="BV52" s="244"/>
      <c r="BW52" s="244"/>
      <c r="BX52" s="244"/>
      <c r="BY52" s="244"/>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c r="EG52" s="1"/>
      <c r="EH52" s="1"/>
      <c r="EI52" s="1"/>
      <c r="EJ52" s="1"/>
      <c r="EK52" s="1"/>
      <c r="EL52" s="1"/>
      <c r="EM52" s="1"/>
      <c r="EN52" s="1"/>
      <c r="EO52" s="1"/>
      <c r="EP52" s="1"/>
      <c r="EQ52" s="1"/>
      <c r="ER52" s="1"/>
      <c r="ES52" s="1"/>
      <c r="ET52" s="1"/>
      <c r="EU52" s="1"/>
      <c r="EV52" s="1"/>
      <c r="EW52" s="1"/>
      <c r="EX52" s="1"/>
      <c r="EY52" s="1"/>
      <c r="EZ52" s="1"/>
      <c r="FA52" s="1"/>
      <c r="FB52" s="1"/>
      <c r="FC52" s="1"/>
      <c r="FD52" s="1"/>
      <c r="FE52" s="1"/>
      <c r="FF52" s="1"/>
      <c r="FG52" s="1"/>
      <c r="FH52" s="1"/>
      <c r="FI52" s="1"/>
      <c r="FJ52" s="1"/>
      <c r="FK52" s="1"/>
      <c r="FL52" s="1"/>
      <c r="FM52" s="1"/>
      <c r="FN52" s="1"/>
      <c r="FO52" s="1"/>
      <c r="FP52" s="1"/>
      <c r="FQ52" s="1"/>
      <c r="FR52" s="1"/>
      <c r="FS52" s="1"/>
      <c r="FT52" s="1"/>
      <c r="FU52" s="1"/>
      <c r="FV52" s="1"/>
    </row>
    <row x14ac:dyDescent="0.25" r="53" customHeight="1" ht="18.75">
      <c r="A53" s="1"/>
      <c r="B53" s="1"/>
      <c r="C53" s="1"/>
      <c r="D53" s="239"/>
      <c r="E53" s="240"/>
      <c r="F53" s="239"/>
      <c r="G53" s="239"/>
      <c r="H53" s="239"/>
      <c r="I53" s="239"/>
      <c r="J53" s="240"/>
      <c r="K53" s="242"/>
      <c r="L53" s="242"/>
      <c r="M53" s="243"/>
      <c r="N53" s="240"/>
      <c r="O53" s="170"/>
      <c r="P53" s="1"/>
      <c r="Q53" s="1"/>
      <c r="R53" s="1"/>
      <c r="S53" s="244"/>
      <c r="T53" s="244"/>
      <c r="U53" s="244"/>
      <c r="V53" s="244"/>
      <c r="W53" s="244"/>
      <c r="X53" s="244"/>
      <c r="Y53" s="244"/>
      <c r="Z53" s="244"/>
      <c r="AA53" s="244"/>
      <c r="AB53" s="244"/>
      <c r="AC53" s="244"/>
      <c r="AD53" s="244"/>
      <c r="AE53" s="244"/>
      <c r="AF53" s="244"/>
      <c r="AG53" s="244"/>
      <c r="AH53" s="244"/>
      <c r="AI53" s="244"/>
      <c r="AJ53" s="244"/>
      <c r="AK53" s="244"/>
      <c r="AL53" s="244"/>
      <c r="AM53" s="244"/>
      <c r="AN53" s="244"/>
      <c r="AO53" s="244"/>
      <c r="AP53" s="244"/>
      <c r="AQ53" s="244"/>
      <c r="AR53" s="244"/>
      <c r="AS53" s="244"/>
      <c r="AT53" s="244"/>
      <c r="AU53" s="244"/>
      <c r="AV53" s="244"/>
      <c r="AW53" s="244"/>
      <c r="AX53" s="244"/>
      <c r="AY53" s="244"/>
      <c r="AZ53" s="244"/>
      <c r="BA53" s="244"/>
      <c r="BB53" s="244"/>
      <c r="BC53" s="244"/>
      <c r="BD53" s="244"/>
      <c r="BE53" s="244"/>
      <c r="BF53" s="244"/>
      <c r="BG53" s="244"/>
      <c r="BH53" s="244"/>
      <c r="BI53" s="244"/>
      <c r="BJ53" s="244"/>
      <c r="BK53" s="244"/>
      <c r="BL53" s="244"/>
      <c r="BM53" s="244"/>
      <c r="BN53" s="244"/>
      <c r="BO53" s="244"/>
      <c r="BP53" s="244"/>
      <c r="BQ53" s="244"/>
      <c r="BR53" s="244"/>
      <c r="BS53" s="244"/>
      <c r="BT53" s="244"/>
      <c r="BU53" s="244"/>
      <c r="BV53" s="244"/>
      <c r="BW53" s="244"/>
      <c r="BX53" s="244"/>
      <c r="BY53" s="244"/>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1"/>
      <c r="EU53" s="1"/>
      <c r="EV53" s="1"/>
      <c r="EW53" s="1"/>
      <c r="EX53" s="1"/>
      <c r="EY53" s="1"/>
      <c r="EZ53" s="1"/>
      <c r="FA53" s="1"/>
      <c r="FB53" s="1"/>
      <c r="FC53" s="1"/>
      <c r="FD53" s="1"/>
      <c r="FE53" s="1"/>
      <c r="FF53" s="1"/>
      <c r="FG53" s="1"/>
      <c r="FH53" s="1"/>
      <c r="FI53" s="1"/>
      <c r="FJ53" s="1"/>
      <c r="FK53" s="1"/>
      <c r="FL53" s="1"/>
      <c r="FM53" s="1"/>
      <c r="FN53" s="1"/>
      <c r="FO53" s="1"/>
      <c r="FP53" s="1"/>
      <c r="FQ53" s="1"/>
      <c r="FR53" s="1"/>
      <c r="FS53" s="1"/>
      <c r="FT53" s="1"/>
      <c r="FU53" s="1"/>
      <c r="FV53" s="1"/>
    </row>
    <row x14ac:dyDescent="0.25" r="54" customHeight="1" ht="18.75">
      <c r="A54" s="1"/>
      <c r="B54" s="1"/>
      <c r="C54" s="1"/>
      <c r="D54" s="239"/>
      <c r="E54" s="240"/>
      <c r="F54" s="239"/>
      <c r="G54" s="239"/>
      <c r="H54" s="239"/>
      <c r="I54" s="239"/>
      <c r="J54" s="240"/>
      <c r="K54" s="242"/>
      <c r="L54" s="242"/>
      <c r="M54" s="243"/>
      <c r="N54" s="240"/>
      <c r="O54" s="170"/>
      <c r="P54" s="1"/>
      <c r="Q54" s="1"/>
      <c r="R54" s="1"/>
      <c r="S54" s="244"/>
      <c r="T54" s="244"/>
      <c r="U54" s="244"/>
      <c r="V54" s="244"/>
      <c r="W54" s="244"/>
      <c r="X54" s="244"/>
      <c r="Y54" s="244"/>
      <c r="Z54" s="244"/>
      <c r="AA54" s="244"/>
      <c r="AB54" s="244"/>
      <c r="AC54" s="244"/>
      <c r="AD54" s="244"/>
      <c r="AE54" s="244"/>
      <c r="AF54" s="244"/>
      <c r="AG54" s="244"/>
      <c r="AH54" s="244"/>
      <c r="AI54" s="244"/>
      <c r="AJ54" s="244"/>
      <c r="AK54" s="244"/>
      <c r="AL54" s="244"/>
      <c r="AM54" s="244"/>
      <c r="AN54" s="244"/>
      <c r="AO54" s="244"/>
      <c r="AP54" s="244"/>
      <c r="AQ54" s="244"/>
      <c r="AR54" s="244"/>
      <c r="AS54" s="244"/>
      <c r="AT54" s="244"/>
      <c r="AU54" s="244"/>
      <c r="AV54" s="244"/>
      <c r="AW54" s="244"/>
      <c r="AX54" s="244"/>
      <c r="AY54" s="244"/>
      <c r="AZ54" s="244"/>
      <c r="BA54" s="244"/>
      <c r="BB54" s="244"/>
      <c r="BC54" s="244"/>
      <c r="BD54" s="244"/>
      <c r="BE54" s="244"/>
      <c r="BF54" s="244"/>
      <c r="BG54" s="244"/>
      <c r="BH54" s="244"/>
      <c r="BI54" s="244"/>
      <c r="BJ54" s="244"/>
      <c r="BK54" s="244"/>
      <c r="BL54" s="244"/>
      <c r="BM54" s="244"/>
      <c r="BN54" s="244"/>
      <c r="BO54" s="244"/>
      <c r="BP54" s="244"/>
      <c r="BQ54" s="244"/>
      <c r="BR54" s="244"/>
      <c r="BS54" s="244"/>
      <c r="BT54" s="244"/>
      <c r="BU54" s="244"/>
      <c r="BV54" s="244"/>
      <c r="BW54" s="244"/>
      <c r="BX54" s="244"/>
      <c r="BY54" s="244"/>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1"/>
      <c r="EU54" s="1"/>
      <c r="EV54" s="1"/>
      <c r="EW54" s="1"/>
      <c r="EX54" s="1"/>
      <c r="EY54" s="1"/>
      <c r="EZ54" s="1"/>
      <c r="FA54" s="1"/>
      <c r="FB54" s="1"/>
      <c r="FC54" s="1"/>
      <c r="FD54" s="1"/>
      <c r="FE54" s="1"/>
      <c r="FF54" s="1"/>
      <c r="FG54" s="1"/>
      <c r="FH54" s="1"/>
      <c r="FI54" s="1"/>
      <c r="FJ54" s="1"/>
      <c r="FK54" s="1"/>
      <c r="FL54" s="1"/>
      <c r="FM54" s="1"/>
      <c r="FN54" s="1"/>
      <c r="FO54" s="1"/>
      <c r="FP54" s="1"/>
      <c r="FQ54" s="1"/>
      <c r="FR54" s="1"/>
      <c r="FS54" s="1"/>
      <c r="FT54" s="1"/>
      <c r="FU54" s="1"/>
      <c r="FV54" s="1"/>
    </row>
    <row x14ac:dyDescent="0.25" r="55" customHeight="1" ht="18.75">
      <c r="A55" s="1"/>
      <c r="B55" s="1"/>
      <c r="C55" s="1"/>
      <c r="D55" s="239"/>
      <c r="E55" s="240"/>
      <c r="F55" s="239"/>
      <c r="G55" s="239"/>
      <c r="H55" s="239"/>
      <c r="I55" s="245"/>
      <c r="J55" s="246"/>
      <c r="K55" s="246"/>
      <c r="L55" s="242"/>
      <c r="M55" s="243"/>
      <c r="N55" s="240"/>
      <c r="O55" s="170"/>
      <c r="P55" s="1"/>
      <c r="Q55" s="1"/>
      <c r="R55" s="1"/>
      <c r="S55" s="244"/>
      <c r="T55" s="244"/>
      <c r="U55" s="244"/>
      <c r="V55" s="244"/>
      <c r="W55" s="244"/>
      <c r="X55" s="244"/>
      <c r="Y55" s="244"/>
      <c r="Z55" s="244"/>
      <c r="AA55" s="244"/>
      <c r="AB55" s="244"/>
      <c r="AC55" s="244"/>
      <c r="AD55" s="244"/>
      <c r="AE55" s="244"/>
      <c r="AF55" s="244"/>
      <c r="AG55" s="244"/>
      <c r="AH55" s="244"/>
      <c r="AI55" s="244"/>
      <c r="AJ55" s="244"/>
      <c r="AK55" s="244"/>
      <c r="AL55" s="244"/>
      <c r="AM55" s="244"/>
      <c r="AN55" s="244"/>
      <c r="AO55" s="244"/>
      <c r="AP55" s="244"/>
      <c r="AQ55" s="244"/>
      <c r="AR55" s="244"/>
      <c r="AS55" s="244"/>
      <c r="AT55" s="244"/>
      <c r="AU55" s="244"/>
      <c r="AV55" s="244"/>
      <c r="AW55" s="244"/>
      <c r="AX55" s="244"/>
      <c r="AY55" s="244"/>
      <c r="AZ55" s="244"/>
      <c r="BA55" s="244"/>
      <c r="BB55" s="244"/>
      <c r="BC55" s="244"/>
      <c r="BD55" s="244"/>
      <c r="BE55" s="244"/>
      <c r="BF55" s="244"/>
      <c r="BG55" s="244"/>
      <c r="BH55" s="244"/>
      <c r="BI55" s="244"/>
      <c r="BJ55" s="244"/>
      <c r="BK55" s="244"/>
      <c r="BL55" s="244"/>
      <c r="BM55" s="244"/>
      <c r="BN55" s="244"/>
      <c r="BO55" s="244"/>
      <c r="BP55" s="244"/>
      <c r="BQ55" s="244"/>
      <c r="BR55" s="244"/>
      <c r="BS55" s="244"/>
      <c r="BT55" s="244"/>
      <c r="BU55" s="244"/>
      <c r="BV55" s="244"/>
      <c r="BW55" s="244"/>
      <c r="BX55" s="244"/>
      <c r="BY55" s="244"/>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c r="EG55" s="1"/>
      <c r="EH55" s="1"/>
      <c r="EI55" s="1"/>
      <c r="EJ55" s="1"/>
      <c r="EK55" s="1"/>
      <c r="EL55" s="1"/>
      <c r="EM55" s="1"/>
      <c r="EN55" s="1"/>
      <c r="EO55" s="1"/>
      <c r="EP55" s="1"/>
      <c r="EQ55" s="1"/>
      <c r="ER55" s="1"/>
      <c r="ES55" s="1"/>
      <c r="ET55" s="1"/>
      <c r="EU55" s="1"/>
      <c r="EV55" s="1"/>
      <c r="EW55" s="1"/>
      <c r="EX55" s="1"/>
      <c r="EY55" s="1"/>
      <c r="EZ55" s="1"/>
      <c r="FA55" s="1"/>
      <c r="FB55" s="1"/>
      <c r="FC55" s="1"/>
      <c r="FD55" s="1"/>
      <c r="FE55" s="1"/>
      <c r="FF55" s="1"/>
      <c r="FG55" s="1"/>
      <c r="FH55" s="1"/>
      <c r="FI55" s="1"/>
      <c r="FJ55" s="1"/>
      <c r="FK55" s="1"/>
      <c r="FL55" s="1"/>
      <c r="FM55" s="1"/>
      <c r="FN55" s="1"/>
      <c r="FO55" s="1"/>
      <c r="FP55" s="1"/>
      <c r="FQ55" s="1"/>
      <c r="FR55" s="1"/>
      <c r="FS55" s="1"/>
      <c r="FT55" s="1"/>
      <c r="FU55" s="1"/>
      <c r="FV55" s="1"/>
    </row>
    <row x14ac:dyDescent="0.25" r="56" customHeight="1" ht="18.75">
      <c r="A56" s="1"/>
      <c r="B56" s="1"/>
      <c r="C56" s="1"/>
      <c r="D56" s="239"/>
      <c r="E56" s="240"/>
      <c r="F56" s="239"/>
      <c r="G56" s="239"/>
      <c r="H56" s="239"/>
      <c r="I56" s="247" t="s">
        <v>65</v>
      </c>
      <c r="J56" s="246"/>
      <c r="K56" s="246"/>
      <c r="L56" s="242"/>
      <c r="M56" s="243"/>
      <c r="N56" s="240"/>
      <c r="O56" s="170"/>
      <c r="P56" s="1"/>
      <c r="Q56" s="1"/>
      <c r="R56" s="1"/>
      <c r="S56" s="244"/>
      <c r="T56" s="244"/>
      <c r="U56" s="244"/>
      <c r="V56" s="244"/>
      <c r="W56" s="244"/>
      <c r="X56" s="244"/>
      <c r="Y56" s="244"/>
      <c r="Z56" s="244"/>
      <c r="AA56" s="244"/>
      <c r="AB56" s="244"/>
      <c r="AC56" s="244"/>
      <c r="AD56" s="244"/>
      <c r="AE56" s="244"/>
      <c r="AF56" s="244"/>
      <c r="AG56" s="244"/>
      <c r="AH56" s="244"/>
      <c r="AI56" s="244"/>
      <c r="AJ56" s="244"/>
      <c r="AK56" s="244"/>
      <c r="AL56" s="244"/>
      <c r="AM56" s="244"/>
      <c r="AN56" s="244"/>
      <c r="AO56" s="244"/>
      <c r="AP56" s="244"/>
      <c r="AQ56" s="244"/>
      <c r="AR56" s="244"/>
      <c r="AS56" s="244"/>
      <c r="AT56" s="244"/>
      <c r="AU56" s="244"/>
      <c r="AV56" s="244"/>
      <c r="AW56" s="244"/>
      <c r="AX56" s="244"/>
      <c r="AY56" s="244"/>
      <c r="AZ56" s="244"/>
      <c r="BA56" s="244"/>
      <c r="BB56" s="244"/>
      <c r="BC56" s="244"/>
      <c r="BD56" s="244"/>
      <c r="BE56" s="244"/>
      <c r="BF56" s="244"/>
      <c r="BG56" s="244"/>
      <c r="BH56" s="244"/>
      <c r="BI56" s="244"/>
      <c r="BJ56" s="244"/>
      <c r="BK56" s="244"/>
      <c r="BL56" s="244"/>
      <c r="BM56" s="244"/>
      <c r="BN56" s="244"/>
      <c r="BO56" s="244"/>
      <c r="BP56" s="244"/>
      <c r="BQ56" s="244"/>
      <c r="BR56" s="244"/>
      <c r="BS56" s="244"/>
      <c r="BT56" s="244"/>
      <c r="BU56" s="244"/>
      <c r="BV56" s="244"/>
      <c r="BW56" s="244"/>
      <c r="BX56" s="244"/>
      <c r="BY56" s="244"/>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c r="EG56" s="1"/>
      <c r="EH56" s="1"/>
      <c r="EI56" s="1"/>
      <c r="EJ56" s="1"/>
      <c r="EK56" s="1"/>
      <c r="EL56" s="1"/>
      <c r="EM56" s="1"/>
      <c r="EN56" s="1"/>
      <c r="EO56" s="1"/>
      <c r="EP56" s="1"/>
      <c r="EQ56" s="1"/>
      <c r="ER56" s="1"/>
      <c r="ES56" s="1"/>
      <c r="ET56" s="1"/>
      <c r="EU56" s="1"/>
      <c r="EV56" s="1"/>
      <c r="EW56" s="1"/>
      <c r="EX56" s="1"/>
      <c r="EY56" s="1"/>
      <c r="EZ56" s="1"/>
      <c r="FA56" s="1"/>
      <c r="FB56" s="1"/>
      <c r="FC56" s="1"/>
      <c r="FD56" s="1"/>
      <c r="FE56" s="1"/>
      <c r="FF56" s="1"/>
      <c r="FG56" s="1"/>
      <c r="FH56" s="1"/>
      <c r="FI56" s="1"/>
      <c r="FJ56" s="1"/>
      <c r="FK56" s="1"/>
      <c r="FL56" s="1"/>
      <c r="FM56" s="1"/>
      <c r="FN56" s="1"/>
      <c r="FO56" s="1"/>
      <c r="FP56" s="1"/>
      <c r="FQ56" s="1"/>
      <c r="FR56" s="1"/>
      <c r="FS56" s="1"/>
      <c r="FT56" s="1"/>
      <c r="FU56" s="1"/>
      <c r="FV56" s="1"/>
    </row>
    <row x14ac:dyDescent="0.25" r="57" customHeight="1" ht="18.75">
      <c r="A57" s="1"/>
      <c r="B57" s="1"/>
      <c r="C57" s="1"/>
      <c r="D57" s="239"/>
      <c r="E57" s="240"/>
      <c r="F57" s="239"/>
      <c r="G57" s="239"/>
      <c r="H57" s="248"/>
      <c r="I57" s="245"/>
      <c r="J57" s="246"/>
      <c r="K57" s="246"/>
      <c r="L57" s="242"/>
      <c r="M57" s="243"/>
      <c r="N57" s="240"/>
      <c r="O57" s="170"/>
      <c r="P57" s="1"/>
      <c r="Q57" s="1"/>
      <c r="R57" s="1"/>
      <c r="S57" s="244"/>
      <c r="T57" s="244"/>
      <c r="U57" s="244"/>
      <c r="V57" s="244"/>
      <c r="W57" s="244"/>
      <c r="X57" s="244"/>
      <c r="Y57" s="244"/>
      <c r="Z57" s="244"/>
      <c r="AA57" s="244"/>
      <c r="AB57" s="244"/>
      <c r="AC57" s="244"/>
      <c r="AD57" s="244"/>
      <c r="AE57" s="244"/>
      <c r="AF57" s="244"/>
      <c r="AG57" s="244"/>
      <c r="AH57" s="244"/>
      <c r="AI57" s="244"/>
      <c r="AJ57" s="244"/>
      <c r="AK57" s="244"/>
      <c r="AL57" s="244"/>
      <c r="AM57" s="244"/>
      <c r="AN57" s="244"/>
      <c r="AO57" s="244"/>
      <c r="AP57" s="244"/>
      <c r="AQ57" s="244"/>
      <c r="AR57" s="244"/>
      <c r="AS57" s="244"/>
      <c r="AT57" s="244"/>
      <c r="AU57" s="244"/>
      <c r="AV57" s="244"/>
      <c r="AW57" s="244"/>
      <c r="AX57" s="244"/>
      <c r="AY57" s="244"/>
      <c r="AZ57" s="244"/>
      <c r="BA57" s="244"/>
      <c r="BB57" s="244"/>
      <c r="BC57" s="244"/>
      <c r="BD57" s="244"/>
      <c r="BE57" s="244"/>
      <c r="BF57" s="244"/>
      <c r="BG57" s="244"/>
      <c r="BH57" s="244"/>
      <c r="BI57" s="244"/>
      <c r="BJ57" s="244"/>
      <c r="BK57" s="244"/>
      <c r="BL57" s="244"/>
      <c r="BM57" s="244"/>
      <c r="BN57" s="244"/>
      <c r="BO57" s="244"/>
      <c r="BP57" s="244"/>
      <c r="BQ57" s="244"/>
      <c r="BR57" s="244"/>
      <c r="BS57" s="244"/>
      <c r="BT57" s="244"/>
      <c r="BU57" s="244"/>
      <c r="BV57" s="244"/>
      <c r="BW57" s="244"/>
      <c r="BX57" s="244"/>
      <c r="BY57" s="244"/>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1"/>
      <c r="EU57" s="1"/>
      <c r="EV57" s="1"/>
      <c r="EW57" s="1"/>
      <c r="EX57" s="1"/>
      <c r="EY57" s="1"/>
      <c r="EZ57" s="1"/>
      <c r="FA57" s="1"/>
      <c r="FB57" s="1"/>
      <c r="FC57" s="1"/>
      <c r="FD57" s="1"/>
      <c r="FE57" s="1"/>
      <c r="FF57" s="1"/>
      <c r="FG57" s="1"/>
      <c r="FH57" s="1"/>
      <c r="FI57" s="1"/>
      <c r="FJ57" s="1"/>
      <c r="FK57" s="1"/>
      <c r="FL57" s="1"/>
      <c r="FM57" s="1"/>
      <c r="FN57" s="1"/>
      <c r="FO57" s="1"/>
      <c r="FP57" s="1"/>
      <c r="FQ57" s="1"/>
      <c r="FR57" s="1"/>
      <c r="FS57" s="1"/>
      <c r="FT57" s="1"/>
      <c r="FU57" s="1"/>
      <c r="FV57" s="1"/>
    </row>
    <row x14ac:dyDescent="0.25" r="58" customHeight="1" ht="18.75">
      <c r="A58" s="1"/>
      <c r="B58" s="1"/>
      <c r="C58" s="1"/>
      <c r="D58" s="239"/>
      <c r="E58" s="240"/>
      <c r="F58" s="239"/>
      <c r="G58" s="239"/>
      <c r="H58" s="239"/>
      <c r="I58" s="249" t="s">
        <v>66</v>
      </c>
      <c r="J58" s="246"/>
      <c r="K58" s="246"/>
      <c r="L58" s="242"/>
      <c r="M58" s="243"/>
      <c r="N58" s="240"/>
      <c r="O58" s="170"/>
      <c r="P58" s="1"/>
      <c r="Q58" s="1"/>
      <c r="R58" s="1"/>
      <c r="S58" s="244"/>
      <c r="T58" s="244"/>
      <c r="U58" s="244"/>
      <c r="V58" s="244"/>
      <c r="W58" s="244"/>
      <c r="X58" s="244"/>
      <c r="Y58" s="244"/>
      <c r="Z58" s="244"/>
      <c r="AA58" s="244"/>
      <c r="AB58" s="244"/>
      <c r="AC58" s="244"/>
      <c r="AD58" s="244"/>
      <c r="AE58" s="244"/>
      <c r="AF58" s="244"/>
      <c r="AG58" s="244"/>
      <c r="AH58" s="244"/>
      <c r="AI58" s="244"/>
      <c r="AJ58" s="244"/>
      <c r="AK58" s="244"/>
      <c r="AL58" s="244"/>
      <c r="AM58" s="244"/>
      <c r="AN58" s="244"/>
      <c r="AO58" s="244"/>
      <c r="AP58" s="244"/>
      <c r="AQ58" s="244"/>
      <c r="AR58" s="244"/>
      <c r="AS58" s="244"/>
      <c r="AT58" s="244"/>
      <c r="AU58" s="244"/>
      <c r="AV58" s="244"/>
      <c r="AW58" s="244"/>
      <c r="AX58" s="244"/>
      <c r="AY58" s="244"/>
      <c r="AZ58" s="244"/>
      <c r="BA58" s="244"/>
      <c r="BB58" s="244"/>
      <c r="BC58" s="244"/>
      <c r="BD58" s="244"/>
      <c r="BE58" s="244"/>
      <c r="BF58" s="244"/>
      <c r="BG58" s="244"/>
      <c r="BH58" s="244"/>
      <c r="BI58" s="244"/>
      <c r="BJ58" s="244"/>
      <c r="BK58" s="244"/>
      <c r="BL58" s="244"/>
      <c r="BM58" s="244"/>
      <c r="BN58" s="244"/>
      <c r="BO58" s="244"/>
      <c r="BP58" s="244"/>
      <c r="BQ58" s="244"/>
      <c r="BR58" s="244"/>
      <c r="BS58" s="244"/>
      <c r="BT58" s="244"/>
      <c r="BU58" s="244"/>
      <c r="BV58" s="244"/>
      <c r="BW58" s="244"/>
      <c r="BX58" s="244"/>
      <c r="BY58" s="244"/>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c r="EG58" s="1"/>
      <c r="EH58" s="1"/>
      <c r="EI58" s="1"/>
      <c r="EJ58" s="1"/>
      <c r="EK58" s="1"/>
      <c r="EL58" s="1"/>
      <c r="EM58" s="1"/>
      <c r="EN58" s="1"/>
      <c r="EO58" s="1"/>
      <c r="EP58" s="1"/>
      <c r="EQ58" s="1"/>
      <c r="ER58" s="1"/>
      <c r="ES58" s="1"/>
      <c r="ET58" s="1"/>
      <c r="EU58" s="1"/>
      <c r="EV58" s="1"/>
      <c r="EW58" s="1"/>
      <c r="EX58" s="1"/>
      <c r="EY58" s="1"/>
      <c r="EZ58" s="1"/>
      <c r="FA58" s="1"/>
      <c r="FB58" s="1"/>
      <c r="FC58" s="1"/>
      <c r="FD58" s="1"/>
      <c r="FE58" s="1"/>
      <c r="FF58" s="1"/>
      <c r="FG58" s="1"/>
      <c r="FH58" s="1"/>
      <c r="FI58" s="1"/>
      <c r="FJ58" s="1"/>
      <c r="FK58" s="1"/>
      <c r="FL58" s="1"/>
      <c r="FM58" s="1"/>
      <c r="FN58" s="1"/>
      <c r="FO58" s="1"/>
      <c r="FP58" s="1"/>
      <c r="FQ58" s="1"/>
      <c r="FR58" s="1"/>
      <c r="FS58" s="1"/>
      <c r="FT58" s="1"/>
      <c r="FU58" s="1"/>
      <c r="FV58" s="1"/>
    </row>
    <row x14ac:dyDescent="0.25" r="59" customHeight="1" ht="18.75">
      <c r="A59" s="1"/>
      <c r="B59" s="1"/>
      <c r="C59" s="1"/>
      <c r="D59" s="239"/>
      <c r="E59" s="240"/>
      <c r="F59" s="239"/>
      <c r="G59" s="239"/>
      <c r="H59" s="239"/>
      <c r="I59" s="250" t="s">
        <v>67</v>
      </c>
      <c r="J59" s="251">
        <f>+N12</f>
      </c>
      <c r="K59" s="246"/>
      <c r="L59" s="252"/>
      <c r="M59" s="252"/>
      <c r="N59" s="240"/>
      <c r="O59" s="170"/>
      <c r="P59" s="1"/>
      <c r="Q59" s="1"/>
      <c r="R59" s="1"/>
      <c r="S59" s="244"/>
      <c r="T59" s="244"/>
      <c r="U59" s="244"/>
      <c r="V59" s="244"/>
      <c r="W59" s="244"/>
      <c r="X59" s="244"/>
      <c r="Y59" s="244"/>
      <c r="Z59" s="244"/>
      <c r="AA59" s="244"/>
      <c r="AB59" s="244"/>
      <c r="AC59" s="244"/>
      <c r="AD59" s="244"/>
      <c r="AE59" s="244"/>
      <c r="AF59" s="244"/>
      <c r="AG59" s="244"/>
      <c r="AH59" s="244"/>
      <c r="AI59" s="244"/>
      <c r="AJ59" s="244"/>
      <c r="AK59" s="244"/>
      <c r="AL59" s="244"/>
      <c r="AM59" s="244"/>
      <c r="AN59" s="244"/>
      <c r="AO59" s="244"/>
      <c r="AP59" s="244"/>
      <c r="AQ59" s="244"/>
      <c r="AR59" s="244"/>
      <c r="AS59" s="244"/>
      <c r="AT59" s="244"/>
      <c r="AU59" s="244"/>
      <c r="AV59" s="244"/>
      <c r="AW59" s="244"/>
      <c r="AX59" s="244"/>
      <c r="AY59" s="244"/>
      <c r="AZ59" s="244"/>
      <c r="BA59" s="244"/>
      <c r="BB59" s="244"/>
      <c r="BC59" s="244"/>
      <c r="BD59" s="244"/>
      <c r="BE59" s="244"/>
      <c r="BF59" s="244"/>
      <c r="BG59" s="244"/>
      <c r="BH59" s="244"/>
      <c r="BI59" s="244"/>
      <c r="BJ59" s="244"/>
      <c r="BK59" s="244"/>
      <c r="BL59" s="244"/>
      <c r="BM59" s="244"/>
      <c r="BN59" s="244"/>
      <c r="BO59" s="244"/>
      <c r="BP59" s="244"/>
      <c r="BQ59" s="244"/>
      <c r="BR59" s="244"/>
      <c r="BS59" s="244"/>
      <c r="BT59" s="244"/>
      <c r="BU59" s="244"/>
      <c r="BV59" s="244"/>
      <c r="BW59" s="244"/>
      <c r="BX59" s="244"/>
      <c r="BY59" s="244"/>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c r="EG59" s="1"/>
      <c r="EH59" s="1"/>
      <c r="EI59" s="1"/>
      <c r="EJ59" s="1"/>
      <c r="EK59" s="1"/>
      <c r="EL59" s="1"/>
      <c r="EM59" s="1"/>
      <c r="EN59" s="1"/>
      <c r="EO59" s="1"/>
      <c r="EP59" s="1"/>
      <c r="EQ59" s="1"/>
      <c r="ER59" s="1"/>
      <c r="ES59" s="1"/>
      <c r="ET59" s="1"/>
      <c r="EU59" s="1"/>
      <c r="EV59" s="1"/>
      <c r="EW59" s="1"/>
      <c r="EX59" s="1"/>
      <c r="EY59" s="1"/>
      <c r="EZ59" s="1"/>
      <c r="FA59" s="1"/>
      <c r="FB59" s="1"/>
      <c r="FC59" s="1"/>
      <c r="FD59" s="1"/>
      <c r="FE59" s="1"/>
      <c r="FF59" s="1"/>
      <c r="FG59" s="1"/>
      <c r="FH59" s="1"/>
      <c r="FI59" s="1"/>
      <c r="FJ59" s="1"/>
      <c r="FK59" s="1"/>
      <c r="FL59" s="1"/>
      <c r="FM59" s="1"/>
      <c r="FN59" s="1"/>
      <c r="FO59" s="1"/>
      <c r="FP59" s="1"/>
      <c r="FQ59" s="1"/>
      <c r="FR59" s="1"/>
      <c r="FS59" s="1"/>
      <c r="FT59" s="1"/>
      <c r="FU59" s="1"/>
      <c r="FV59" s="1"/>
    </row>
    <row x14ac:dyDescent="0.25" r="60" customHeight="1" ht="18.75">
      <c r="A60" s="1"/>
      <c r="B60" s="1"/>
      <c r="C60" s="1"/>
      <c r="D60" s="239"/>
      <c r="E60" s="240"/>
      <c r="F60" s="239"/>
      <c r="G60" s="239"/>
      <c r="H60" s="239"/>
      <c r="I60" s="250" t="s">
        <v>68</v>
      </c>
      <c r="J60" s="251">
        <f>+N28</f>
      </c>
      <c r="K60" s="246"/>
      <c r="L60" s="246"/>
      <c r="M60" s="246"/>
      <c r="N60" s="240"/>
      <c r="O60" s="170"/>
      <c r="P60" s="1"/>
      <c r="Q60" s="1"/>
      <c r="R60" s="1"/>
      <c r="S60" s="244"/>
      <c r="T60" s="244"/>
      <c r="U60" s="244"/>
      <c r="V60" s="244"/>
      <c r="W60" s="244"/>
      <c r="X60" s="244"/>
      <c r="Y60" s="244"/>
      <c r="Z60" s="244"/>
      <c r="AA60" s="244"/>
      <c r="AB60" s="244"/>
      <c r="AC60" s="244"/>
      <c r="AD60" s="244"/>
      <c r="AE60" s="244"/>
      <c r="AF60" s="244"/>
      <c r="AG60" s="244"/>
      <c r="AH60" s="244"/>
      <c r="AI60" s="244"/>
      <c r="AJ60" s="244"/>
      <c r="AK60" s="244"/>
      <c r="AL60" s="244"/>
      <c r="AM60" s="244"/>
      <c r="AN60" s="244"/>
      <c r="AO60" s="244"/>
      <c r="AP60" s="244"/>
      <c r="AQ60" s="244"/>
      <c r="AR60" s="244"/>
      <c r="AS60" s="244"/>
      <c r="AT60" s="244"/>
      <c r="AU60" s="244"/>
      <c r="AV60" s="244"/>
      <c r="AW60" s="244"/>
      <c r="AX60" s="244"/>
      <c r="AY60" s="244"/>
      <c r="AZ60" s="244"/>
      <c r="BA60" s="244"/>
      <c r="BB60" s="244"/>
      <c r="BC60" s="244"/>
      <c r="BD60" s="244"/>
      <c r="BE60" s="244"/>
      <c r="BF60" s="244"/>
      <c r="BG60" s="244"/>
      <c r="BH60" s="244"/>
      <c r="BI60" s="244"/>
      <c r="BJ60" s="244"/>
      <c r="BK60" s="244"/>
      <c r="BL60" s="244"/>
      <c r="BM60" s="244"/>
      <c r="BN60" s="244"/>
      <c r="BO60" s="244"/>
      <c r="BP60" s="244"/>
      <c r="BQ60" s="244"/>
      <c r="BR60" s="244"/>
      <c r="BS60" s="244"/>
      <c r="BT60" s="244"/>
      <c r="BU60" s="244"/>
      <c r="BV60" s="244"/>
      <c r="BW60" s="244"/>
      <c r="BX60" s="244"/>
      <c r="BY60" s="244"/>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c r="EG60" s="1"/>
      <c r="EH60" s="1"/>
      <c r="EI60" s="1"/>
      <c r="EJ60" s="1"/>
      <c r="EK60" s="1"/>
      <c r="EL60" s="1"/>
      <c r="EM60" s="1"/>
      <c r="EN60" s="1"/>
      <c r="EO60" s="1"/>
      <c r="EP60" s="1"/>
      <c r="EQ60" s="1"/>
      <c r="ER60" s="1"/>
      <c r="ES60" s="1"/>
      <c r="ET60" s="1"/>
      <c r="EU60" s="1"/>
      <c r="EV60" s="1"/>
      <c r="EW60" s="1"/>
      <c r="EX60" s="1"/>
      <c r="EY60" s="1"/>
      <c r="EZ60" s="1"/>
      <c r="FA60" s="1"/>
      <c r="FB60" s="1"/>
      <c r="FC60" s="1"/>
      <c r="FD60" s="1"/>
      <c r="FE60" s="1"/>
      <c r="FF60" s="1"/>
      <c r="FG60" s="1"/>
      <c r="FH60" s="1"/>
      <c r="FI60" s="1"/>
      <c r="FJ60" s="1"/>
      <c r="FK60" s="1"/>
      <c r="FL60" s="1"/>
      <c r="FM60" s="1"/>
      <c r="FN60" s="1"/>
      <c r="FO60" s="1"/>
      <c r="FP60" s="1"/>
      <c r="FQ60" s="1"/>
      <c r="FR60" s="1"/>
      <c r="FS60" s="1"/>
      <c r="FT60" s="1"/>
      <c r="FU60" s="1"/>
      <c r="FV60" s="1"/>
    </row>
    <row x14ac:dyDescent="0.25" r="61" customHeight="1" ht="18.75">
      <c r="A61" s="1"/>
      <c r="B61" s="1"/>
      <c r="C61" s="1"/>
      <c r="D61" s="239"/>
      <c r="E61" s="240"/>
      <c r="F61" s="239"/>
      <c r="G61" s="239"/>
      <c r="H61" s="239"/>
      <c r="I61" s="250" t="s">
        <v>69</v>
      </c>
      <c r="J61" s="251">
        <f>+N38</f>
      </c>
      <c r="K61" s="246"/>
      <c r="L61" s="246"/>
      <c r="M61" s="246"/>
      <c r="N61" s="240"/>
      <c r="O61" s="170"/>
      <c r="P61" s="1"/>
      <c r="Q61" s="1"/>
      <c r="R61" s="1"/>
      <c r="S61" s="244"/>
      <c r="T61" s="244"/>
      <c r="U61" s="244"/>
      <c r="V61" s="244"/>
      <c r="W61" s="244"/>
      <c r="X61" s="244"/>
      <c r="Y61" s="244"/>
      <c r="Z61" s="244"/>
      <c r="AA61" s="244"/>
      <c r="AB61" s="244"/>
      <c r="AC61" s="244"/>
      <c r="AD61" s="244"/>
      <c r="AE61" s="244"/>
      <c r="AF61" s="244"/>
      <c r="AG61" s="244"/>
      <c r="AH61" s="244"/>
      <c r="AI61" s="244"/>
      <c r="AJ61" s="244"/>
      <c r="AK61" s="244"/>
      <c r="AL61" s="244"/>
      <c r="AM61" s="244"/>
      <c r="AN61" s="244"/>
      <c r="AO61" s="244"/>
      <c r="AP61" s="244"/>
      <c r="AQ61" s="244"/>
      <c r="AR61" s="244"/>
      <c r="AS61" s="244"/>
      <c r="AT61" s="244"/>
      <c r="AU61" s="244"/>
      <c r="AV61" s="244"/>
      <c r="AW61" s="244"/>
      <c r="AX61" s="244"/>
      <c r="AY61" s="244"/>
      <c r="AZ61" s="244"/>
      <c r="BA61" s="244"/>
      <c r="BB61" s="244"/>
      <c r="BC61" s="244"/>
      <c r="BD61" s="244"/>
      <c r="BE61" s="244"/>
      <c r="BF61" s="244"/>
      <c r="BG61" s="244"/>
      <c r="BH61" s="244"/>
      <c r="BI61" s="244"/>
      <c r="BJ61" s="244"/>
      <c r="BK61" s="244"/>
      <c r="BL61" s="244"/>
      <c r="BM61" s="244"/>
      <c r="BN61" s="244"/>
      <c r="BO61" s="244"/>
      <c r="BP61" s="244"/>
      <c r="BQ61" s="244"/>
      <c r="BR61" s="244"/>
      <c r="BS61" s="244"/>
      <c r="BT61" s="244"/>
      <c r="BU61" s="244"/>
      <c r="BV61" s="244"/>
      <c r="BW61" s="244"/>
      <c r="BX61" s="244"/>
      <c r="BY61" s="244"/>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c r="EG61" s="1"/>
      <c r="EH61" s="1"/>
      <c r="EI61" s="1"/>
      <c r="EJ61" s="1"/>
      <c r="EK61" s="1"/>
      <c r="EL61" s="1"/>
      <c r="EM61" s="1"/>
      <c r="EN61" s="1"/>
      <c r="EO61" s="1"/>
      <c r="EP61" s="1"/>
      <c r="EQ61" s="1"/>
      <c r="ER61" s="1"/>
      <c r="ES61" s="1"/>
      <c r="ET61" s="1"/>
      <c r="EU61" s="1"/>
      <c r="EV61" s="1"/>
      <c r="EW61" s="1"/>
      <c r="EX61" s="1"/>
      <c r="EY61" s="1"/>
      <c r="EZ61" s="1"/>
      <c r="FA61" s="1"/>
      <c r="FB61" s="1"/>
      <c r="FC61" s="1"/>
      <c r="FD61" s="1"/>
      <c r="FE61" s="1"/>
      <c r="FF61" s="1"/>
      <c r="FG61" s="1"/>
      <c r="FH61" s="1"/>
      <c r="FI61" s="1"/>
      <c r="FJ61" s="1"/>
      <c r="FK61" s="1"/>
      <c r="FL61" s="1"/>
      <c r="FM61" s="1"/>
      <c r="FN61" s="1"/>
      <c r="FO61" s="1"/>
      <c r="FP61" s="1"/>
      <c r="FQ61" s="1"/>
      <c r="FR61" s="1"/>
      <c r="FS61" s="1"/>
      <c r="FT61" s="1"/>
      <c r="FU61" s="1"/>
      <c r="FV61" s="1"/>
    </row>
    <row x14ac:dyDescent="0.25" r="62" customHeight="1" ht="18.75">
      <c r="A62" s="1"/>
      <c r="B62" s="1"/>
      <c r="C62" s="1"/>
      <c r="D62" s="239"/>
      <c r="E62" s="240"/>
      <c r="F62" s="239"/>
      <c r="G62" s="239"/>
      <c r="H62" s="239"/>
      <c r="I62" s="250" t="s">
        <v>70</v>
      </c>
      <c r="J62" s="251">
        <f>MAX(100%-J59-J61-J60,0)</f>
      </c>
      <c r="K62" s="246"/>
      <c r="L62" s="246"/>
      <c r="M62" s="246"/>
      <c r="N62" s="240"/>
      <c r="O62" s="170"/>
      <c r="P62" s="1"/>
      <c r="Q62" s="1"/>
      <c r="R62" s="1"/>
      <c r="S62" s="244"/>
      <c r="T62" s="244"/>
      <c r="U62" s="244"/>
      <c r="V62" s="244"/>
      <c r="W62" s="244"/>
      <c r="X62" s="244"/>
      <c r="Y62" s="244"/>
      <c r="Z62" s="244"/>
      <c r="AA62" s="244"/>
      <c r="AB62" s="244"/>
      <c r="AC62" s="244"/>
      <c r="AD62" s="244"/>
      <c r="AE62" s="244"/>
      <c r="AF62" s="244"/>
      <c r="AG62" s="244"/>
      <c r="AH62" s="244"/>
      <c r="AI62" s="244"/>
      <c r="AJ62" s="244"/>
      <c r="AK62" s="244"/>
      <c r="AL62" s="244"/>
      <c r="AM62" s="244"/>
      <c r="AN62" s="244"/>
      <c r="AO62" s="244"/>
      <c r="AP62" s="244"/>
      <c r="AQ62" s="244"/>
      <c r="AR62" s="244"/>
      <c r="AS62" s="244"/>
      <c r="AT62" s="244"/>
      <c r="AU62" s="244"/>
      <c r="AV62" s="244"/>
      <c r="AW62" s="244"/>
      <c r="AX62" s="244"/>
      <c r="AY62" s="244"/>
      <c r="AZ62" s="244"/>
      <c r="BA62" s="244"/>
      <c r="BB62" s="244"/>
      <c r="BC62" s="244"/>
      <c r="BD62" s="244"/>
      <c r="BE62" s="244"/>
      <c r="BF62" s="244"/>
      <c r="BG62" s="244"/>
      <c r="BH62" s="244"/>
      <c r="BI62" s="244"/>
      <c r="BJ62" s="244"/>
      <c r="BK62" s="244"/>
      <c r="BL62" s="244"/>
      <c r="BM62" s="244"/>
      <c r="BN62" s="244"/>
      <c r="BO62" s="244"/>
      <c r="BP62" s="244"/>
      <c r="BQ62" s="244"/>
      <c r="BR62" s="244"/>
      <c r="BS62" s="244"/>
      <c r="BT62" s="244"/>
      <c r="BU62" s="244"/>
      <c r="BV62" s="244"/>
      <c r="BW62" s="244"/>
      <c r="BX62" s="244"/>
      <c r="BY62" s="244"/>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c r="EG62" s="1"/>
      <c r="EH62" s="1"/>
      <c r="EI62" s="1"/>
      <c r="EJ62" s="1"/>
      <c r="EK62" s="1"/>
      <c r="EL62" s="1"/>
      <c r="EM62" s="1"/>
      <c r="EN62" s="1"/>
      <c r="EO62" s="1"/>
      <c r="EP62" s="1"/>
      <c r="EQ62" s="1"/>
      <c r="ER62" s="1"/>
      <c r="ES62" s="1"/>
      <c r="ET62" s="1"/>
      <c r="EU62" s="1"/>
      <c r="EV62" s="1"/>
      <c r="EW62" s="1"/>
      <c r="EX62" s="1"/>
      <c r="EY62" s="1"/>
      <c r="EZ62" s="1"/>
      <c r="FA62" s="1"/>
      <c r="FB62" s="1"/>
      <c r="FC62" s="1"/>
      <c r="FD62" s="1"/>
      <c r="FE62" s="1"/>
      <c r="FF62" s="1"/>
      <c r="FG62" s="1"/>
      <c r="FH62" s="1"/>
      <c r="FI62" s="1"/>
      <c r="FJ62" s="1"/>
      <c r="FK62" s="1"/>
      <c r="FL62" s="1"/>
      <c r="FM62" s="1"/>
      <c r="FN62" s="1"/>
      <c r="FO62" s="1"/>
      <c r="FP62" s="1"/>
      <c r="FQ62" s="1"/>
      <c r="FR62" s="1"/>
      <c r="FS62" s="1"/>
      <c r="FT62" s="1"/>
      <c r="FU62" s="1"/>
      <c r="FV62" s="1"/>
    </row>
    <row x14ac:dyDescent="0.25" r="63" customHeight="1" ht="18.75">
      <c r="A63" s="1"/>
      <c r="B63" s="1"/>
      <c r="C63" s="1"/>
      <c r="D63" s="239"/>
      <c r="E63" s="240"/>
      <c r="F63" s="239"/>
      <c r="G63" s="239"/>
      <c r="H63" s="239"/>
      <c r="I63" s="246"/>
      <c r="J63" s="240"/>
      <c r="K63" s="242"/>
      <c r="L63" s="246"/>
      <c r="M63" s="246"/>
      <c r="N63" s="168"/>
      <c r="O63" s="170"/>
      <c r="P63" s="1"/>
      <c r="Q63" s="1"/>
      <c r="R63" s="1"/>
      <c r="S63" s="244"/>
      <c r="T63" s="244"/>
      <c r="U63" s="244"/>
      <c r="V63" s="244"/>
      <c r="W63" s="244"/>
      <c r="X63" s="244"/>
      <c r="Y63" s="244"/>
      <c r="Z63" s="244"/>
      <c r="AA63" s="244"/>
      <c r="AB63" s="244"/>
      <c r="AC63" s="244"/>
      <c r="AD63" s="244"/>
      <c r="AE63" s="244"/>
      <c r="AF63" s="244"/>
      <c r="AG63" s="244"/>
      <c r="AH63" s="244"/>
      <c r="AI63" s="244"/>
      <c r="AJ63" s="244"/>
      <c r="AK63" s="244"/>
      <c r="AL63" s="244"/>
      <c r="AM63" s="244"/>
      <c r="AN63" s="244"/>
      <c r="AO63" s="244"/>
      <c r="AP63" s="244"/>
      <c r="AQ63" s="244"/>
      <c r="AR63" s="244"/>
      <c r="AS63" s="244"/>
      <c r="AT63" s="244"/>
      <c r="AU63" s="244"/>
      <c r="AV63" s="244"/>
      <c r="AW63" s="244"/>
      <c r="AX63" s="244"/>
      <c r="AY63" s="244"/>
      <c r="AZ63" s="244"/>
      <c r="BA63" s="244"/>
      <c r="BB63" s="244"/>
      <c r="BC63" s="244"/>
      <c r="BD63" s="244"/>
      <c r="BE63" s="244"/>
      <c r="BF63" s="244"/>
      <c r="BG63" s="244"/>
      <c r="BH63" s="244"/>
      <c r="BI63" s="244"/>
      <c r="BJ63" s="244"/>
      <c r="BK63" s="244"/>
      <c r="BL63" s="244"/>
      <c r="BM63" s="244"/>
      <c r="BN63" s="244"/>
      <c r="BO63" s="244"/>
      <c r="BP63" s="244"/>
      <c r="BQ63" s="244"/>
      <c r="BR63" s="244"/>
      <c r="BS63" s="244"/>
      <c r="BT63" s="244"/>
      <c r="BU63" s="244"/>
      <c r="BV63" s="244"/>
      <c r="BW63" s="244"/>
      <c r="BX63" s="244"/>
      <c r="BY63" s="244"/>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c r="EG63" s="1"/>
      <c r="EH63" s="1"/>
      <c r="EI63" s="1"/>
      <c r="EJ63" s="1"/>
      <c r="EK63" s="1"/>
      <c r="EL63" s="1"/>
      <c r="EM63" s="1"/>
      <c r="EN63" s="1"/>
      <c r="EO63" s="1"/>
      <c r="EP63" s="1"/>
      <c r="EQ63" s="1"/>
      <c r="ER63" s="1"/>
      <c r="ES63" s="1"/>
      <c r="ET63" s="1"/>
      <c r="EU63" s="1"/>
      <c r="EV63" s="1"/>
      <c r="EW63" s="1"/>
      <c r="EX63" s="1"/>
      <c r="EY63" s="1"/>
      <c r="EZ63" s="1"/>
      <c r="FA63" s="1"/>
      <c r="FB63" s="1"/>
      <c r="FC63" s="1"/>
      <c r="FD63" s="1"/>
      <c r="FE63" s="1"/>
      <c r="FF63" s="1"/>
      <c r="FG63" s="1"/>
      <c r="FH63" s="1"/>
      <c r="FI63" s="1"/>
      <c r="FJ63" s="1"/>
      <c r="FK63" s="1"/>
      <c r="FL63" s="1"/>
      <c r="FM63" s="1"/>
      <c r="FN63" s="1"/>
      <c r="FO63" s="1"/>
      <c r="FP63" s="1"/>
      <c r="FQ63" s="1"/>
      <c r="FR63" s="1"/>
      <c r="FS63" s="1"/>
      <c r="FT63" s="1"/>
      <c r="FU63" s="1"/>
      <c r="FV63" s="1"/>
    </row>
    <row x14ac:dyDescent="0.25" r="64" customHeight="1" ht="18.75">
      <c r="A64" s="1"/>
      <c r="B64" s="1"/>
      <c r="C64" s="1"/>
      <c r="D64" s="239"/>
      <c r="E64" s="240"/>
      <c r="F64" s="239"/>
      <c r="G64" s="239"/>
      <c r="H64" s="239"/>
      <c r="I64" s="249" t="s">
        <v>71</v>
      </c>
      <c r="J64" s="251">
        <f>N44</f>
      </c>
      <c r="K64" s="242"/>
      <c r="L64" s="246"/>
      <c r="M64" s="246"/>
      <c r="N64" s="240"/>
      <c r="O64" s="170"/>
      <c r="P64" s="1"/>
      <c r="Q64" s="1"/>
      <c r="R64" s="1"/>
      <c r="S64" s="244"/>
      <c r="T64" s="244"/>
      <c r="U64" s="244"/>
      <c r="V64" s="244"/>
      <c r="W64" s="244"/>
      <c r="X64" s="244"/>
      <c r="Y64" s="244"/>
      <c r="Z64" s="244"/>
      <c r="AA64" s="244"/>
      <c r="AB64" s="244"/>
      <c r="AC64" s="244"/>
      <c r="AD64" s="244"/>
      <c r="AE64" s="244"/>
      <c r="AF64" s="244"/>
      <c r="AG64" s="244"/>
      <c r="AH64" s="244"/>
      <c r="AI64" s="244"/>
      <c r="AJ64" s="244"/>
      <c r="AK64" s="244"/>
      <c r="AL64" s="244"/>
      <c r="AM64" s="244"/>
      <c r="AN64" s="244"/>
      <c r="AO64" s="244"/>
      <c r="AP64" s="244"/>
      <c r="AQ64" s="244"/>
      <c r="AR64" s="244"/>
      <c r="AS64" s="244"/>
      <c r="AT64" s="244"/>
      <c r="AU64" s="244"/>
      <c r="AV64" s="244"/>
      <c r="AW64" s="244"/>
      <c r="AX64" s="244"/>
      <c r="AY64" s="244"/>
      <c r="AZ64" s="244"/>
      <c r="BA64" s="244"/>
      <c r="BB64" s="244"/>
      <c r="BC64" s="244"/>
      <c r="BD64" s="244"/>
      <c r="BE64" s="244"/>
      <c r="BF64" s="244"/>
      <c r="BG64" s="244"/>
      <c r="BH64" s="244"/>
      <c r="BI64" s="244"/>
      <c r="BJ64" s="244"/>
      <c r="BK64" s="244"/>
      <c r="BL64" s="244"/>
      <c r="BM64" s="244"/>
      <c r="BN64" s="244"/>
      <c r="BO64" s="244"/>
      <c r="BP64" s="244"/>
      <c r="BQ64" s="244"/>
      <c r="BR64" s="244"/>
      <c r="BS64" s="244"/>
      <c r="BT64" s="244"/>
      <c r="BU64" s="244"/>
      <c r="BV64" s="244"/>
      <c r="BW64" s="244"/>
      <c r="BX64" s="244"/>
      <c r="BY64" s="244"/>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c r="EG64" s="1"/>
      <c r="EH64" s="1"/>
      <c r="EI64" s="1"/>
      <c r="EJ64" s="1"/>
      <c r="EK64" s="1"/>
      <c r="EL64" s="1"/>
      <c r="EM64" s="1"/>
      <c r="EN64" s="1"/>
      <c r="EO64" s="1"/>
      <c r="EP64" s="1"/>
      <c r="EQ64" s="1"/>
      <c r="ER64" s="1"/>
      <c r="ES64" s="1"/>
      <c r="ET64" s="1"/>
      <c r="EU64" s="1"/>
      <c r="EV64" s="1"/>
      <c r="EW64" s="1"/>
      <c r="EX64" s="1"/>
      <c r="EY64" s="1"/>
      <c r="EZ64" s="1"/>
      <c r="FA64" s="1"/>
      <c r="FB64" s="1"/>
      <c r="FC64" s="1"/>
      <c r="FD64" s="1"/>
      <c r="FE64" s="1"/>
      <c r="FF64" s="1"/>
      <c r="FG64" s="1"/>
      <c r="FH64" s="1"/>
      <c r="FI64" s="1"/>
      <c r="FJ64" s="1"/>
      <c r="FK64" s="1"/>
      <c r="FL64" s="1"/>
      <c r="FM64" s="1"/>
      <c r="FN64" s="1"/>
      <c r="FO64" s="1"/>
      <c r="FP64" s="1"/>
      <c r="FQ64" s="1"/>
      <c r="FR64" s="1"/>
      <c r="FS64" s="1"/>
      <c r="FT64" s="1"/>
      <c r="FU64" s="1"/>
      <c r="FV64" s="1"/>
    </row>
    <row x14ac:dyDescent="0.25" r="65" customHeight="1" ht="18.75">
      <c r="A65" s="1"/>
      <c r="B65" s="1"/>
      <c r="C65" s="1"/>
      <c r="D65" s="250"/>
      <c r="E65" s="253"/>
      <c r="F65" s="250"/>
      <c r="G65" s="250"/>
      <c r="H65" s="250"/>
      <c r="I65" s="250" t="s">
        <v>72</v>
      </c>
      <c r="J65" s="251">
        <f>+MAX(0,100%-J64)</f>
      </c>
      <c r="K65" s="254"/>
      <c r="L65" s="254"/>
      <c r="M65" s="255"/>
      <c r="N65" s="253"/>
      <c r="O65" s="170"/>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c r="EG65" s="1"/>
      <c r="EH65" s="1"/>
      <c r="EI65" s="1"/>
      <c r="EJ65" s="1"/>
      <c r="EK65" s="1"/>
      <c r="EL65" s="1"/>
      <c r="EM65" s="1"/>
      <c r="EN65" s="1"/>
      <c r="EO65" s="1"/>
      <c r="EP65" s="1"/>
      <c r="EQ65" s="1"/>
      <c r="ER65" s="1"/>
      <c r="ES65" s="1"/>
      <c r="ET65" s="1"/>
      <c r="EU65" s="1"/>
      <c r="EV65" s="1"/>
      <c r="EW65" s="1"/>
      <c r="EX65" s="1"/>
      <c r="EY65" s="1"/>
      <c r="EZ65" s="1"/>
      <c r="FA65" s="1"/>
      <c r="FB65" s="1"/>
      <c r="FC65" s="1"/>
      <c r="FD65" s="1"/>
      <c r="FE65" s="1"/>
      <c r="FF65" s="1"/>
      <c r="FG65" s="1"/>
      <c r="FH65" s="1"/>
      <c r="FI65" s="1"/>
      <c r="FJ65" s="1"/>
      <c r="FK65" s="1"/>
      <c r="FL65" s="1"/>
      <c r="FM65" s="1"/>
      <c r="FN65" s="1"/>
      <c r="FO65" s="1"/>
      <c r="FP65" s="1"/>
      <c r="FQ65" s="1"/>
      <c r="FR65" s="1"/>
      <c r="FS65" s="1"/>
      <c r="FT65" s="1"/>
      <c r="FU65" s="1"/>
      <c r="FV65" s="1"/>
    </row>
    <row x14ac:dyDescent="0.25" r="66" customHeight="1" ht="18.75">
      <c r="A66" s="1"/>
      <c r="B66" s="1"/>
      <c r="C66" s="1"/>
      <c r="D66" s="250"/>
      <c r="E66" s="253"/>
      <c r="F66" s="250"/>
      <c r="G66" s="250"/>
      <c r="H66" s="250"/>
      <c r="I66" s="250"/>
      <c r="J66" s="253"/>
      <c r="K66" s="254"/>
      <c r="L66" s="254"/>
      <c r="M66" s="255"/>
      <c r="N66" s="253"/>
      <c r="O66" s="170"/>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c r="EG66" s="1"/>
      <c r="EH66" s="1"/>
      <c r="EI66" s="1"/>
      <c r="EJ66" s="1"/>
      <c r="EK66" s="1"/>
      <c r="EL66" s="1"/>
      <c r="EM66" s="1"/>
      <c r="EN66" s="1"/>
      <c r="EO66" s="1"/>
      <c r="EP66" s="1"/>
      <c r="EQ66" s="1"/>
      <c r="ER66" s="1"/>
      <c r="ES66" s="1"/>
      <c r="ET66" s="1"/>
      <c r="EU66" s="1"/>
      <c r="EV66" s="1"/>
      <c r="EW66" s="1"/>
      <c r="EX66" s="1"/>
      <c r="EY66" s="1"/>
      <c r="EZ66" s="1"/>
      <c r="FA66" s="1"/>
      <c r="FB66" s="1"/>
      <c r="FC66" s="1"/>
      <c r="FD66" s="1"/>
      <c r="FE66" s="1"/>
      <c r="FF66" s="1"/>
      <c r="FG66" s="1"/>
      <c r="FH66" s="1"/>
      <c r="FI66" s="1"/>
      <c r="FJ66" s="1"/>
      <c r="FK66" s="1"/>
      <c r="FL66" s="1"/>
      <c r="FM66" s="1"/>
      <c r="FN66" s="1"/>
      <c r="FO66" s="1"/>
      <c r="FP66" s="1"/>
      <c r="FQ66" s="1"/>
      <c r="FR66" s="1"/>
      <c r="FS66" s="1"/>
      <c r="FT66" s="1"/>
      <c r="FU66" s="1"/>
      <c r="FV66" s="1"/>
    </row>
    <row x14ac:dyDescent="0.25" r="67" customHeight="1" ht="18.75">
      <c r="A67" s="1"/>
      <c r="B67" s="1"/>
      <c r="C67" s="1"/>
      <c r="D67" s="250"/>
      <c r="E67" s="253"/>
      <c r="F67" s="250"/>
      <c r="G67" s="250"/>
      <c r="H67" s="250"/>
      <c r="I67" s="250"/>
      <c r="J67" s="253"/>
      <c r="K67" s="254"/>
      <c r="L67" s="254"/>
      <c r="M67" s="255"/>
      <c r="N67" s="253"/>
      <c r="O67" s="170"/>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c r="EG67" s="1"/>
      <c r="EH67" s="1"/>
      <c r="EI67" s="1"/>
      <c r="EJ67" s="1"/>
      <c r="EK67" s="1"/>
      <c r="EL67" s="1"/>
      <c r="EM67" s="1"/>
      <c r="EN67" s="1"/>
      <c r="EO67" s="1"/>
      <c r="EP67" s="1"/>
      <c r="EQ67" s="1"/>
      <c r="ER67" s="1"/>
      <c r="ES67" s="1"/>
      <c r="ET67" s="1"/>
      <c r="EU67" s="1"/>
      <c r="EV67" s="1"/>
      <c r="EW67" s="1"/>
      <c r="EX67" s="1"/>
      <c r="EY67" s="1"/>
      <c r="EZ67" s="1"/>
      <c r="FA67" s="1"/>
      <c r="FB67" s="1"/>
      <c r="FC67" s="1"/>
      <c r="FD67" s="1"/>
      <c r="FE67" s="1"/>
      <c r="FF67" s="1"/>
      <c r="FG67" s="1"/>
      <c r="FH67" s="1"/>
      <c r="FI67" s="1"/>
      <c r="FJ67" s="1"/>
      <c r="FK67" s="1"/>
      <c r="FL67" s="1"/>
      <c r="FM67" s="1"/>
      <c r="FN67" s="1"/>
      <c r="FO67" s="1"/>
      <c r="FP67" s="1"/>
      <c r="FQ67" s="1"/>
      <c r="FR67" s="1"/>
      <c r="FS67" s="1"/>
      <c r="FT67" s="1"/>
      <c r="FU67" s="1"/>
      <c r="FV67" s="1"/>
    </row>
    <row x14ac:dyDescent="0.25" r="68" customHeight="1" ht="18.75">
      <c r="A68" s="1"/>
      <c r="B68" s="1"/>
      <c r="C68" s="1"/>
      <c r="D68" s="250"/>
      <c r="E68" s="253"/>
      <c r="F68" s="250"/>
      <c r="G68" s="250"/>
      <c r="H68" s="250"/>
      <c r="I68" s="250"/>
      <c r="J68" s="253"/>
      <c r="K68" s="254"/>
      <c r="L68" s="254"/>
      <c r="M68" s="255"/>
      <c r="N68" s="253"/>
      <c r="O68" s="170"/>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c r="EG68" s="1"/>
      <c r="EH68" s="1"/>
      <c r="EI68" s="1"/>
      <c r="EJ68" s="1"/>
      <c r="EK68" s="1"/>
      <c r="EL68" s="1"/>
      <c r="EM68" s="1"/>
      <c r="EN68" s="1"/>
      <c r="EO68" s="1"/>
      <c r="EP68" s="1"/>
      <c r="EQ68" s="1"/>
      <c r="ER68" s="1"/>
      <c r="ES68" s="1"/>
      <c r="ET68" s="1"/>
      <c r="EU68" s="1"/>
      <c r="EV68" s="1"/>
      <c r="EW68" s="1"/>
      <c r="EX68" s="1"/>
      <c r="EY68" s="1"/>
      <c r="EZ68" s="1"/>
      <c r="FA68" s="1"/>
      <c r="FB68" s="1"/>
      <c r="FC68" s="1"/>
      <c r="FD68" s="1"/>
      <c r="FE68" s="1"/>
      <c r="FF68" s="1"/>
      <c r="FG68" s="1"/>
      <c r="FH68" s="1"/>
      <c r="FI68" s="1"/>
      <c r="FJ68" s="1"/>
      <c r="FK68" s="1"/>
      <c r="FL68" s="1"/>
      <c r="FM68" s="1"/>
      <c r="FN68" s="1"/>
      <c r="FO68" s="1"/>
      <c r="FP68" s="1"/>
      <c r="FQ68" s="1"/>
      <c r="FR68" s="1"/>
      <c r="FS68" s="1"/>
      <c r="FT68" s="1"/>
      <c r="FU68" s="1"/>
      <c r="FV68" s="1"/>
    </row>
    <row x14ac:dyDescent="0.25" r="69" customHeight="1" ht="18.75">
      <c r="A69" s="1"/>
      <c r="B69" s="1"/>
      <c r="C69" s="1"/>
      <c r="D69" s="250"/>
      <c r="E69" s="253"/>
      <c r="F69" s="250"/>
      <c r="G69" s="250"/>
      <c r="H69" s="250"/>
      <c r="I69" s="250"/>
      <c r="J69" s="253"/>
      <c r="K69" s="254"/>
      <c r="L69" s="254"/>
      <c r="M69" s="255"/>
      <c r="N69" s="253"/>
      <c r="O69" s="170"/>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c r="EG69" s="1"/>
      <c r="EH69" s="1"/>
      <c r="EI69" s="1"/>
      <c r="EJ69" s="1"/>
      <c r="EK69" s="1"/>
      <c r="EL69" s="1"/>
      <c r="EM69" s="1"/>
      <c r="EN69" s="1"/>
      <c r="EO69" s="1"/>
      <c r="EP69" s="1"/>
      <c r="EQ69" s="1"/>
      <c r="ER69" s="1"/>
      <c r="ES69" s="1"/>
      <c r="ET69" s="1"/>
      <c r="EU69" s="1"/>
      <c r="EV69" s="1"/>
      <c r="EW69" s="1"/>
      <c r="EX69" s="1"/>
      <c r="EY69" s="1"/>
      <c r="EZ69" s="1"/>
      <c r="FA69" s="1"/>
      <c r="FB69" s="1"/>
      <c r="FC69" s="1"/>
      <c r="FD69" s="1"/>
      <c r="FE69" s="1"/>
      <c r="FF69" s="1"/>
      <c r="FG69" s="1"/>
      <c r="FH69" s="1"/>
      <c r="FI69" s="1"/>
      <c r="FJ69" s="1"/>
      <c r="FK69" s="1"/>
      <c r="FL69" s="1"/>
      <c r="FM69" s="1"/>
      <c r="FN69" s="1"/>
      <c r="FO69" s="1"/>
      <c r="FP69" s="1"/>
      <c r="FQ69" s="1"/>
      <c r="FR69" s="1"/>
      <c r="FS69" s="1"/>
      <c r="FT69" s="1"/>
      <c r="FU69" s="1"/>
      <c r="FV69" s="1"/>
    </row>
    <row x14ac:dyDescent="0.25" r="70" customHeight="1" ht="18.75">
      <c r="A70" s="1"/>
      <c r="B70" s="1"/>
      <c r="C70" s="1"/>
      <c r="D70" s="250"/>
      <c r="E70" s="253"/>
      <c r="F70" s="250"/>
      <c r="G70" s="250"/>
      <c r="H70" s="250"/>
      <c r="I70" s="250"/>
      <c r="J70" s="253"/>
      <c r="K70" s="254"/>
      <c r="L70" s="254"/>
      <c r="M70" s="255"/>
      <c r="N70" s="253"/>
      <c r="O70" s="170"/>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c r="EG70" s="1"/>
      <c r="EH70" s="1"/>
      <c r="EI70" s="1"/>
      <c r="EJ70" s="1"/>
      <c r="EK70" s="1"/>
      <c r="EL70" s="1"/>
      <c r="EM70" s="1"/>
      <c r="EN70" s="1"/>
      <c r="EO70" s="1"/>
      <c r="EP70" s="1"/>
      <c r="EQ70" s="1"/>
      <c r="ER70" s="1"/>
      <c r="ES70" s="1"/>
      <c r="ET70" s="1"/>
      <c r="EU70" s="1"/>
      <c r="EV70" s="1"/>
      <c r="EW70" s="1"/>
      <c r="EX70" s="1"/>
      <c r="EY70" s="1"/>
      <c r="EZ70" s="1"/>
      <c r="FA70" s="1"/>
      <c r="FB70" s="1"/>
      <c r="FC70" s="1"/>
      <c r="FD70" s="1"/>
      <c r="FE70" s="1"/>
      <c r="FF70" s="1"/>
      <c r="FG70" s="1"/>
      <c r="FH70" s="1"/>
      <c r="FI70" s="1"/>
      <c r="FJ70" s="1"/>
      <c r="FK70" s="1"/>
      <c r="FL70" s="1"/>
      <c r="FM70" s="1"/>
      <c r="FN70" s="1"/>
      <c r="FO70" s="1"/>
      <c r="FP70" s="1"/>
      <c r="FQ70" s="1"/>
      <c r="FR70" s="1"/>
      <c r="FS70" s="1"/>
      <c r="FT70" s="1"/>
      <c r="FU70" s="1"/>
      <c r="FV70" s="1"/>
    </row>
    <row x14ac:dyDescent="0.25" r="71" customHeight="1" ht="18.75">
      <c r="A71" s="1"/>
      <c r="B71" s="1"/>
      <c r="C71" s="1"/>
      <c r="D71" s="250"/>
      <c r="E71" s="253"/>
      <c r="F71" s="250"/>
      <c r="G71" s="250"/>
      <c r="H71" s="250"/>
      <c r="I71" s="250"/>
      <c r="J71" s="253"/>
      <c r="K71" s="254"/>
      <c r="L71" s="254"/>
      <c r="M71" s="255"/>
      <c r="N71" s="253"/>
      <c r="O71" s="170"/>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c r="EG71" s="1"/>
      <c r="EH71" s="1"/>
      <c r="EI71" s="1"/>
      <c r="EJ71" s="1"/>
      <c r="EK71" s="1"/>
      <c r="EL71" s="1"/>
      <c r="EM71" s="1"/>
      <c r="EN71" s="1"/>
      <c r="EO71" s="1"/>
      <c r="EP71" s="1"/>
      <c r="EQ71" s="1"/>
      <c r="ER71" s="1"/>
      <c r="ES71" s="1"/>
      <c r="ET71" s="1"/>
      <c r="EU71" s="1"/>
      <c r="EV71" s="1"/>
      <c r="EW71" s="1"/>
      <c r="EX71" s="1"/>
      <c r="EY71" s="1"/>
      <c r="EZ71" s="1"/>
      <c r="FA71" s="1"/>
      <c r="FB71" s="1"/>
      <c r="FC71" s="1"/>
      <c r="FD71" s="1"/>
      <c r="FE71" s="1"/>
      <c r="FF71" s="1"/>
      <c r="FG71" s="1"/>
      <c r="FH71" s="1"/>
      <c r="FI71" s="1"/>
      <c r="FJ71" s="1"/>
      <c r="FK71" s="1"/>
      <c r="FL71" s="1"/>
      <c r="FM71" s="1"/>
      <c r="FN71" s="1"/>
      <c r="FO71" s="1"/>
      <c r="FP71" s="1"/>
      <c r="FQ71" s="1"/>
      <c r="FR71" s="1"/>
      <c r="FS71" s="1"/>
      <c r="FT71" s="1"/>
      <c r="FU71" s="1"/>
      <c r="FV71" s="1"/>
    </row>
    <row x14ac:dyDescent="0.25" r="72" customHeight="1" ht="18.75">
      <c r="A72" s="1"/>
      <c r="B72" s="1"/>
      <c r="C72" s="1"/>
      <c r="D72" s="250"/>
      <c r="E72" s="253"/>
      <c r="F72" s="250"/>
      <c r="G72" s="250"/>
      <c r="H72" s="250"/>
      <c r="I72" s="250"/>
      <c r="J72" s="253"/>
      <c r="K72" s="254"/>
      <c r="L72" s="254"/>
      <c r="M72" s="255"/>
      <c r="N72" s="253"/>
      <c r="O72" s="170"/>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c r="EG72" s="1"/>
      <c r="EH72" s="1"/>
      <c r="EI72" s="1"/>
      <c r="EJ72" s="1"/>
      <c r="EK72" s="1"/>
      <c r="EL72" s="1"/>
      <c r="EM72" s="1"/>
      <c r="EN72" s="1"/>
      <c r="EO72" s="1"/>
      <c r="EP72" s="1"/>
      <c r="EQ72" s="1"/>
      <c r="ER72" s="1"/>
      <c r="ES72" s="1"/>
      <c r="ET72" s="1"/>
      <c r="EU72" s="1"/>
      <c r="EV72" s="1"/>
      <c r="EW72" s="1"/>
      <c r="EX72" s="1"/>
      <c r="EY72" s="1"/>
      <c r="EZ72" s="1"/>
      <c r="FA72" s="1"/>
      <c r="FB72" s="1"/>
      <c r="FC72" s="1"/>
      <c r="FD72" s="1"/>
      <c r="FE72" s="1"/>
      <c r="FF72" s="1"/>
      <c r="FG72" s="1"/>
      <c r="FH72" s="1"/>
      <c r="FI72" s="1"/>
      <c r="FJ72" s="1"/>
      <c r="FK72" s="1"/>
      <c r="FL72" s="1"/>
      <c r="FM72" s="1"/>
      <c r="FN72" s="1"/>
      <c r="FO72" s="1"/>
      <c r="FP72" s="1"/>
      <c r="FQ72" s="1"/>
      <c r="FR72" s="1"/>
      <c r="FS72" s="1"/>
      <c r="FT72" s="1"/>
      <c r="FU72" s="1"/>
      <c r="FV72" s="1"/>
    </row>
    <row x14ac:dyDescent="0.25" r="73" customHeight="1" ht="18.75">
      <c r="A73" s="1"/>
      <c r="B73" s="1"/>
      <c r="C73" s="1"/>
      <c r="D73" s="250"/>
      <c r="E73" s="253"/>
      <c r="F73" s="250"/>
      <c r="G73" s="250"/>
      <c r="H73" s="250"/>
      <c r="I73" s="250"/>
      <c r="J73" s="253"/>
      <c r="K73" s="254"/>
      <c r="L73" s="254"/>
      <c r="M73" s="255"/>
      <c r="N73" s="253"/>
      <c r="O73" s="170"/>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c r="EG73" s="1"/>
      <c r="EH73" s="1"/>
      <c r="EI73" s="1"/>
      <c r="EJ73" s="1"/>
      <c r="EK73" s="1"/>
      <c r="EL73" s="1"/>
      <c r="EM73" s="1"/>
      <c r="EN73" s="1"/>
      <c r="EO73" s="1"/>
      <c r="EP73" s="1"/>
      <c r="EQ73" s="1"/>
      <c r="ER73" s="1"/>
      <c r="ES73" s="1"/>
      <c r="ET73" s="1"/>
      <c r="EU73" s="1"/>
      <c r="EV73" s="1"/>
      <c r="EW73" s="1"/>
      <c r="EX73" s="1"/>
      <c r="EY73" s="1"/>
      <c r="EZ73" s="1"/>
      <c r="FA73" s="1"/>
      <c r="FB73" s="1"/>
      <c r="FC73" s="1"/>
      <c r="FD73" s="1"/>
      <c r="FE73" s="1"/>
      <c r="FF73" s="1"/>
      <c r="FG73" s="1"/>
      <c r="FH73" s="1"/>
      <c r="FI73" s="1"/>
      <c r="FJ73" s="1"/>
      <c r="FK73" s="1"/>
      <c r="FL73" s="1"/>
      <c r="FM73" s="1"/>
      <c r="FN73" s="1"/>
      <c r="FO73" s="1"/>
      <c r="FP73" s="1"/>
      <c r="FQ73" s="1"/>
      <c r="FR73" s="1"/>
      <c r="FS73" s="1"/>
      <c r="FT73" s="1"/>
      <c r="FU73" s="1"/>
      <c r="FV73" s="1"/>
    </row>
    <row x14ac:dyDescent="0.25" r="74" customHeight="1" ht="18.75">
      <c r="A74" s="1"/>
      <c r="B74" s="1"/>
      <c r="C74" s="1"/>
      <c r="D74" s="250"/>
      <c r="E74" s="253"/>
      <c r="F74" s="250"/>
      <c r="G74" s="250"/>
      <c r="H74" s="250"/>
      <c r="I74" s="250"/>
      <c r="J74" s="253"/>
      <c r="K74" s="254"/>
      <c r="L74" s="254"/>
      <c r="M74" s="255"/>
      <c r="N74" s="253"/>
      <c r="O74" s="170"/>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c r="EG74" s="1"/>
      <c r="EH74" s="1"/>
      <c r="EI74" s="1"/>
      <c r="EJ74" s="1"/>
      <c r="EK74" s="1"/>
      <c r="EL74" s="1"/>
      <c r="EM74" s="1"/>
      <c r="EN74" s="1"/>
      <c r="EO74" s="1"/>
      <c r="EP74" s="1"/>
      <c r="EQ74" s="1"/>
      <c r="ER74" s="1"/>
      <c r="ES74" s="1"/>
      <c r="ET74" s="1"/>
      <c r="EU74" s="1"/>
      <c r="EV74" s="1"/>
      <c r="EW74" s="1"/>
      <c r="EX74" s="1"/>
      <c r="EY74" s="1"/>
      <c r="EZ74" s="1"/>
      <c r="FA74" s="1"/>
      <c r="FB74" s="1"/>
      <c r="FC74" s="1"/>
      <c r="FD74" s="1"/>
      <c r="FE74" s="1"/>
      <c r="FF74" s="1"/>
      <c r="FG74" s="1"/>
      <c r="FH74" s="1"/>
      <c r="FI74" s="1"/>
      <c r="FJ74" s="1"/>
      <c r="FK74" s="1"/>
      <c r="FL74" s="1"/>
      <c r="FM74" s="1"/>
      <c r="FN74" s="1"/>
      <c r="FO74" s="1"/>
      <c r="FP74" s="1"/>
      <c r="FQ74" s="1"/>
      <c r="FR74" s="1"/>
      <c r="FS74" s="1"/>
      <c r="FT74" s="1"/>
      <c r="FU74" s="1"/>
      <c r="FV74" s="1"/>
    </row>
    <row x14ac:dyDescent="0.25" r="75" customHeight="1" ht="18.75">
      <c r="A75" s="1"/>
      <c r="B75" s="1"/>
      <c r="C75" s="1"/>
      <c r="D75" s="250"/>
      <c r="E75" s="253"/>
      <c r="F75" s="250"/>
      <c r="G75" s="250"/>
      <c r="H75" s="250"/>
      <c r="I75" s="250"/>
      <c r="J75" s="253"/>
      <c r="K75" s="254"/>
      <c r="L75" s="254"/>
      <c r="M75" s="255"/>
      <c r="N75" s="253"/>
      <c r="O75" s="170"/>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c r="EG75" s="1"/>
      <c r="EH75" s="1"/>
      <c r="EI75" s="1"/>
      <c r="EJ75" s="1"/>
      <c r="EK75" s="1"/>
      <c r="EL75" s="1"/>
      <c r="EM75" s="1"/>
      <c r="EN75" s="1"/>
      <c r="EO75" s="1"/>
      <c r="EP75" s="1"/>
      <c r="EQ75" s="1"/>
      <c r="ER75" s="1"/>
      <c r="ES75" s="1"/>
      <c r="ET75" s="1"/>
      <c r="EU75" s="1"/>
      <c r="EV75" s="1"/>
      <c r="EW75" s="1"/>
      <c r="EX75" s="1"/>
      <c r="EY75" s="1"/>
      <c r="EZ75" s="1"/>
      <c r="FA75" s="1"/>
      <c r="FB75" s="1"/>
      <c r="FC75" s="1"/>
      <c r="FD75" s="1"/>
      <c r="FE75" s="1"/>
      <c r="FF75" s="1"/>
      <c r="FG75" s="1"/>
      <c r="FH75" s="1"/>
      <c r="FI75" s="1"/>
      <c r="FJ75" s="1"/>
      <c r="FK75" s="1"/>
      <c r="FL75" s="1"/>
      <c r="FM75" s="1"/>
      <c r="FN75" s="1"/>
      <c r="FO75" s="1"/>
      <c r="FP75" s="1"/>
      <c r="FQ75" s="1"/>
      <c r="FR75" s="1"/>
      <c r="FS75" s="1"/>
      <c r="FT75" s="1"/>
      <c r="FU75" s="1"/>
      <c r="FV75" s="1"/>
    </row>
    <row x14ac:dyDescent="0.25" r="76" customHeight="1" ht="18.75">
      <c r="A76" s="1"/>
      <c r="B76" s="1"/>
      <c r="C76" s="1"/>
      <c r="D76" s="250"/>
      <c r="E76" s="253"/>
      <c r="F76" s="250"/>
      <c r="G76" s="250"/>
      <c r="H76" s="250"/>
      <c r="I76" s="250"/>
      <c r="J76" s="253"/>
      <c r="K76" s="254"/>
      <c r="L76" s="254"/>
      <c r="M76" s="255"/>
      <c r="N76" s="253"/>
      <c r="O76" s="170"/>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c r="EG76" s="1"/>
      <c r="EH76" s="1"/>
      <c r="EI76" s="1"/>
      <c r="EJ76" s="1"/>
      <c r="EK76" s="1"/>
      <c r="EL76" s="1"/>
      <c r="EM76" s="1"/>
      <c r="EN76" s="1"/>
      <c r="EO76" s="1"/>
      <c r="EP76" s="1"/>
      <c r="EQ76" s="1"/>
      <c r="ER76" s="1"/>
      <c r="ES76" s="1"/>
      <c r="ET76" s="1"/>
      <c r="EU76" s="1"/>
      <c r="EV76" s="1"/>
      <c r="EW76" s="1"/>
      <c r="EX76" s="1"/>
      <c r="EY76" s="1"/>
      <c r="EZ76" s="1"/>
      <c r="FA76" s="1"/>
      <c r="FB76" s="1"/>
      <c r="FC76" s="1"/>
      <c r="FD76" s="1"/>
      <c r="FE76" s="1"/>
      <c r="FF76" s="1"/>
      <c r="FG76" s="1"/>
      <c r="FH76" s="1"/>
      <c r="FI76" s="1"/>
      <c r="FJ76" s="1"/>
      <c r="FK76" s="1"/>
      <c r="FL76" s="1"/>
      <c r="FM76" s="1"/>
      <c r="FN76" s="1"/>
      <c r="FO76" s="1"/>
      <c r="FP76" s="1"/>
      <c r="FQ76" s="1"/>
      <c r="FR76" s="1"/>
      <c r="FS76" s="1"/>
      <c r="FT76" s="1"/>
      <c r="FU76" s="1"/>
      <c r="FV76" s="1"/>
    </row>
    <row x14ac:dyDescent="0.25" r="77" customHeight="1" ht="18.75">
      <c r="A77" s="1"/>
      <c r="B77" s="1"/>
      <c r="C77" s="1"/>
      <c r="D77" s="250"/>
      <c r="E77" s="253"/>
      <c r="F77" s="250"/>
      <c r="G77" s="250"/>
      <c r="H77" s="250"/>
      <c r="I77" s="250"/>
      <c r="J77" s="253"/>
      <c r="K77" s="254"/>
      <c r="L77" s="254"/>
      <c r="M77" s="255"/>
      <c r="N77" s="253"/>
      <c r="O77" s="170"/>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c r="EG77" s="1"/>
      <c r="EH77" s="1"/>
      <c r="EI77" s="1"/>
      <c r="EJ77" s="1"/>
      <c r="EK77" s="1"/>
      <c r="EL77" s="1"/>
      <c r="EM77" s="1"/>
      <c r="EN77" s="1"/>
      <c r="EO77" s="1"/>
      <c r="EP77" s="1"/>
      <c r="EQ77" s="1"/>
      <c r="ER77" s="1"/>
      <c r="ES77" s="1"/>
      <c r="ET77" s="1"/>
      <c r="EU77" s="1"/>
      <c r="EV77" s="1"/>
      <c r="EW77" s="1"/>
      <c r="EX77" s="1"/>
      <c r="EY77" s="1"/>
      <c r="EZ77" s="1"/>
      <c r="FA77" s="1"/>
      <c r="FB77" s="1"/>
      <c r="FC77" s="1"/>
      <c r="FD77" s="1"/>
      <c r="FE77" s="1"/>
      <c r="FF77" s="1"/>
      <c r="FG77" s="1"/>
      <c r="FH77" s="1"/>
      <c r="FI77" s="1"/>
      <c r="FJ77" s="1"/>
      <c r="FK77" s="1"/>
      <c r="FL77" s="1"/>
      <c r="FM77" s="1"/>
      <c r="FN77" s="1"/>
      <c r="FO77" s="1"/>
      <c r="FP77" s="1"/>
      <c r="FQ77" s="1"/>
      <c r="FR77" s="1"/>
      <c r="FS77" s="1"/>
      <c r="FT77" s="1"/>
      <c r="FU77" s="1"/>
      <c r="FV77" s="1"/>
    </row>
    <row x14ac:dyDescent="0.25" r="78" customHeight="1" ht="18.75">
      <c r="A78" s="1"/>
      <c r="B78" s="1"/>
      <c r="C78" s="1"/>
      <c r="D78" s="250"/>
      <c r="E78" s="253"/>
      <c r="F78" s="250"/>
      <c r="G78" s="250"/>
      <c r="H78" s="250"/>
      <c r="I78" s="250"/>
      <c r="J78" s="253"/>
      <c r="K78" s="254"/>
      <c r="L78" s="254"/>
      <c r="M78" s="255"/>
      <c r="N78" s="253"/>
      <c r="O78" s="170"/>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c r="EG78" s="1"/>
      <c r="EH78" s="1"/>
      <c r="EI78" s="1"/>
      <c r="EJ78" s="1"/>
      <c r="EK78" s="1"/>
      <c r="EL78" s="1"/>
      <c r="EM78" s="1"/>
      <c r="EN78" s="1"/>
      <c r="EO78" s="1"/>
      <c r="EP78" s="1"/>
      <c r="EQ78" s="1"/>
      <c r="ER78" s="1"/>
      <c r="ES78" s="1"/>
      <c r="ET78" s="1"/>
      <c r="EU78" s="1"/>
      <c r="EV78" s="1"/>
      <c r="EW78" s="1"/>
      <c r="EX78" s="1"/>
      <c r="EY78" s="1"/>
      <c r="EZ78" s="1"/>
      <c r="FA78" s="1"/>
      <c r="FB78" s="1"/>
      <c r="FC78" s="1"/>
      <c r="FD78" s="1"/>
      <c r="FE78" s="1"/>
      <c r="FF78" s="1"/>
      <c r="FG78" s="1"/>
      <c r="FH78" s="1"/>
      <c r="FI78" s="1"/>
      <c r="FJ78" s="1"/>
      <c r="FK78" s="1"/>
      <c r="FL78" s="1"/>
      <c r="FM78" s="1"/>
      <c r="FN78" s="1"/>
      <c r="FO78" s="1"/>
      <c r="FP78" s="1"/>
      <c r="FQ78" s="1"/>
      <c r="FR78" s="1"/>
      <c r="FS78" s="1"/>
      <c r="FT78" s="1"/>
      <c r="FU78" s="1"/>
      <c r="FV78" s="1"/>
    </row>
    <row x14ac:dyDescent="0.25" r="79" customHeight="1" ht="18.75">
      <c r="A79" s="1"/>
      <c r="B79" s="1"/>
      <c r="C79" s="1"/>
      <c r="D79" s="250"/>
      <c r="E79" s="253"/>
      <c r="F79" s="250"/>
      <c r="G79" s="250"/>
      <c r="H79" s="250"/>
      <c r="I79" s="250"/>
      <c r="J79" s="253"/>
      <c r="K79" s="254"/>
      <c r="L79" s="254"/>
      <c r="M79" s="255"/>
      <c r="N79" s="253"/>
      <c r="O79" s="170"/>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c r="EG79" s="1"/>
      <c r="EH79" s="1"/>
      <c r="EI79" s="1"/>
      <c r="EJ79" s="1"/>
      <c r="EK79" s="1"/>
      <c r="EL79" s="1"/>
      <c r="EM79" s="1"/>
      <c r="EN79" s="1"/>
      <c r="EO79" s="1"/>
      <c r="EP79" s="1"/>
      <c r="EQ79" s="1"/>
      <c r="ER79" s="1"/>
      <c r="ES79" s="1"/>
      <c r="ET79" s="1"/>
      <c r="EU79" s="1"/>
      <c r="EV79" s="1"/>
      <c r="EW79" s="1"/>
      <c r="EX79" s="1"/>
      <c r="EY79" s="1"/>
      <c r="EZ79" s="1"/>
      <c r="FA79" s="1"/>
      <c r="FB79" s="1"/>
      <c r="FC79" s="1"/>
      <c r="FD79" s="1"/>
      <c r="FE79" s="1"/>
      <c r="FF79" s="1"/>
      <c r="FG79" s="1"/>
      <c r="FH79" s="1"/>
      <c r="FI79" s="1"/>
      <c r="FJ79" s="1"/>
      <c r="FK79" s="1"/>
      <c r="FL79" s="1"/>
      <c r="FM79" s="1"/>
      <c r="FN79" s="1"/>
      <c r="FO79" s="1"/>
      <c r="FP79" s="1"/>
      <c r="FQ79" s="1"/>
      <c r="FR79" s="1"/>
      <c r="FS79" s="1"/>
      <c r="FT79" s="1"/>
      <c r="FU79" s="1"/>
      <c r="FV79" s="1"/>
    </row>
    <row x14ac:dyDescent="0.25" r="80" customHeight="1" ht="18.75">
      <c r="A80" s="1"/>
      <c r="B80" s="1"/>
      <c r="C80" s="1"/>
      <c r="D80" s="250"/>
      <c r="E80" s="253"/>
      <c r="F80" s="250"/>
      <c r="G80" s="250"/>
      <c r="H80" s="250"/>
      <c r="I80" s="250"/>
      <c r="J80" s="253"/>
      <c r="K80" s="254"/>
      <c r="L80" s="254"/>
      <c r="M80" s="255"/>
      <c r="N80" s="253"/>
      <c r="O80" s="170"/>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c r="EG80" s="1"/>
      <c r="EH80" s="1"/>
      <c r="EI80" s="1"/>
      <c r="EJ80" s="1"/>
      <c r="EK80" s="1"/>
      <c r="EL80" s="1"/>
      <c r="EM80" s="1"/>
      <c r="EN80" s="1"/>
      <c r="EO80" s="1"/>
      <c r="EP80" s="1"/>
      <c r="EQ80" s="1"/>
      <c r="ER80" s="1"/>
      <c r="ES80" s="1"/>
      <c r="ET80" s="1"/>
      <c r="EU80" s="1"/>
      <c r="EV80" s="1"/>
      <c r="EW80" s="1"/>
      <c r="EX80" s="1"/>
      <c r="EY80" s="1"/>
      <c r="EZ80" s="1"/>
      <c r="FA80" s="1"/>
      <c r="FB80" s="1"/>
      <c r="FC80" s="1"/>
      <c r="FD80" s="1"/>
      <c r="FE80" s="1"/>
      <c r="FF80" s="1"/>
      <c r="FG80" s="1"/>
      <c r="FH80" s="1"/>
      <c r="FI80" s="1"/>
      <c r="FJ80" s="1"/>
      <c r="FK80" s="1"/>
      <c r="FL80" s="1"/>
      <c r="FM80" s="1"/>
      <c r="FN80" s="1"/>
      <c r="FO80" s="1"/>
      <c r="FP80" s="1"/>
      <c r="FQ80" s="1"/>
      <c r="FR80" s="1"/>
      <c r="FS80" s="1"/>
      <c r="FT80" s="1"/>
      <c r="FU80" s="1"/>
      <c r="FV80" s="1"/>
    </row>
    <row x14ac:dyDescent="0.25" r="81" customHeight="1" ht="18.75">
      <c r="A81" s="1"/>
      <c r="B81" s="1"/>
      <c r="C81" s="1"/>
      <c r="D81" s="250"/>
      <c r="E81" s="253"/>
      <c r="F81" s="250"/>
      <c r="G81" s="250"/>
      <c r="H81" s="250"/>
      <c r="I81" s="250"/>
      <c r="J81" s="253"/>
      <c r="K81" s="254"/>
      <c r="L81" s="254"/>
      <c r="M81" s="255"/>
      <c r="N81" s="253"/>
      <c r="O81" s="170"/>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c r="EG81" s="1"/>
      <c r="EH81" s="1"/>
      <c r="EI81" s="1"/>
      <c r="EJ81" s="1"/>
      <c r="EK81" s="1"/>
      <c r="EL81" s="1"/>
      <c r="EM81" s="1"/>
      <c r="EN81" s="1"/>
      <c r="EO81" s="1"/>
      <c r="EP81" s="1"/>
      <c r="EQ81" s="1"/>
      <c r="ER81" s="1"/>
      <c r="ES81" s="1"/>
      <c r="ET81" s="1"/>
      <c r="EU81" s="1"/>
      <c r="EV81" s="1"/>
      <c r="EW81" s="1"/>
      <c r="EX81" s="1"/>
      <c r="EY81" s="1"/>
      <c r="EZ81" s="1"/>
      <c r="FA81" s="1"/>
      <c r="FB81" s="1"/>
      <c r="FC81" s="1"/>
      <c r="FD81" s="1"/>
      <c r="FE81" s="1"/>
      <c r="FF81" s="1"/>
      <c r="FG81" s="1"/>
      <c r="FH81" s="1"/>
      <c r="FI81" s="1"/>
      <c r="FJ81" s="1"/>
      <c r="FK81" s="1"/>
      <c r="FL81" s="1"/>
      <c r="FM81" s="1"/>
      <c r="FN81" s="1"/>
      <c r="FO81" s="1"/>
      <c r="FP81" s="1"/>
      <c r="FQ81" s="1"/>
      <c r="FR81" s="1"/>
      <c r="FS81" s="1"/>
      <c r="FT81" s="1"/>
      <c r="FU81" s="1"/>
      <c r="FV81" s="1"/>
    </row>
    <row x14ac:dyDescent="0.25" r="82" customHeight="1" ht="18.75">
      <c r="A82" s="1"/>
      <c r="B82" s="1"/>
      <c r="C82" s="1"/>
      <c r="D82" s="250"/>
      <c r="E82" s="253"/>
      <c r="F82" s="250"/>
      <c r="G82" s="250"/>
      <c r="H82" s="250"/>
      <c r="I82" s="250"/>
      <c r="J82" s="253"/>
      <c r="K82" s="254"/>
      <c r="L82" s="254"/>
      <c r="M82" s="255"/>
      <c r="N82" s="253"/>
      <c r="O82" s="170"/>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c r="EG82" s="1"/>
      <c r="EH82" s="1"/>
      <c r="EI82" s="1"/>
      <c r="EJ82" s="1"/>
      <c r="EK82" s="1"/>
      <c r="EL82" s="1"/>
      <c r="EM82" s="1"/>
      <c r="EN82" s="1"/>
      <c r="EO82" s="1"/>
      <c r="EP82" s="1"/>
      <c r="EQ82" s="1"/>
      <c r="ER82" s="1"/>
      <c r="ES82" s="1"/>
      <c r="ET82" s="1"/>
      <c r="EU82" s="1"/>
      <c r="EV82" s="1"/>
      <c r="EW82" s="1"/>
      <c r="EX82" s="1"/>
      <c r="EY82" s="1"/>
      <c r="EZ82" s="1"/>
      <c r="FA82" s="1"/>
      <c r="FB82" s="1"/>
      <c r="FC82" s="1"/>
      <c r="FD82" s="1"/>
      <c r="FE82" s="1"/>
      <c r="FF82" s="1"/>
      <c r="FG82" s="1"/>
      <c r="FH82" s="1"/>
      <c r="FI82" s="1"/>
      <c r="FJ82" s="1"/>
      <c r="FK82" s="1"/>
      <c r="FL82" s="1"/>
      <c r="FM82" s="1"/>
      <c r="FN82" s="1"/>
      <c r="FO82" s="1"/>
      <c r="FP82" s="1"/>
      <c r="FQ82" s="1"/>
      <c r="FR82" s="1"/>
      <c r="FS82" s="1"/>
      <c r="FT82" s="1"/>
      <c r="FU82" s="1"/>
      <c r="FV82" s="1"/>
    </row>
    <row x14ac:dyDescent="0.25" r="83" customHeight="1" ht="18.75">
      <c r="A83" s="1"/>
      <c r="B83" s="1"/>
      <c r="C83" s="1"/>
      <c r="D83" s="250"/>
      <c r="E83" s="253"/>
      <c r="F83" s="250"/>
      <c r="G83" s="250"/>
      <c r="H83" s="250"/>
      <c r="I83" s="250"/>
      <c r="J83" s="253"/>
      <c r="K83" s="254"/>
      <c r="L83" s="254"/>
      <c r="M83" s="255"/>
      <c r="N83" s="253"/>
      <c r="O83" s="170"/>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c r="EG83" s="1"/>
      <c r="EH83" s="1"/>
      <c r="EI83" s="1"/>
      <c r="EJ83" s="1"/>
      <c r="EK83" s="1"/>
      <c r="EL83" s="1"/>
      <c r="EM83" s="1"/>
      <c r="EN83" s="1"/>
      <c r="EO83" s="1"/>
      <c r="EP83" s="1"/>
      <c r="EQ83" s="1"/>
      <c r="ER83" s="1"/>
      <c r="ES83" s="1"/>
      <c r="ET83" s="1"/>
      <c r="EU83" s="1"/>
      <c r="EV83" s="1"/>
      <c r="EW83" s="1"/>
      <c r="EX83" s="1"/>
      <c r="EY83" s="1"/>
      <c r="EZ83" s="1"/>
      <c r="FA83" s="1"/>
      <c r="FB83" s="1"/>
      <c r="FC83" s="1"/>
      <c r="FD83" s="1"/>
      <c r="FE83" s="1"/>
      <c r="FF83" s="1"/>
      <c r="FG83" s="1"/>
      <c r="FH83" s="1"/>
      <c r="FI83" s="1"/>
      <c r="FJ83" s="1"/>
      <c r="FK83" s="1"/>
      <c r="FL83" s="1"/>
      <c r="FM83" s="1"/>
      <c r="FN83" s="1"/>
      <c r="FO83" s="1"/>
      <c r="FP83" s="1"/>
      <c r="FQ83" s="1"/>
      <c r="FR83" s="1"/>
      <c r="FS83" s="1"/>
      <c r="FT83" s="1"/>
      <c r="FU83" s="1"/>
      <c r="FV83" s="1"/>
    </row>
    <row x14ac:dyDescent="0.25" r="84" customHeight="1" ht="18.75">
      <c r="A84" s="1"/>
      <c r="B84" s="1"/>
      <c r="C84" s="1"/>
      <c r="D84" s="250"/>
      <c r="E84" s="253"/>
      <c r="F84" s="250"/>
      <c r="G84" s="250"/>
      <c r="H84" s="250"/>
      <c r="I84" s="250"/>
      <c r="J84" s="253"/>
      <c r="K84" s="254"/>
      <c r="L84" s="254"/>
      <c r="M84" s="255"/>
      <c r="N84" s="253"/>
      <c r="O84" s="170"/>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1"/>
      <c r="EU84" s="1"/>
      <c r="EV84" s="1"/>
      <c r="EW84" s="1"/>
      <c r="EX84" s="1"/>
      <c r="EY84" s="1"/>
      <c r="EZ84" s="1"/>
      <c r="FA84" s="1"/>
      <c r="FB84" s="1"/>
      <c r="FC84" s="1"/>
      <c r="FD84" s="1"/>
      <c r="FE84" s="1"/>
      <c r="FF84" s="1"/>
      <c r="FG84" s="1"/>
      <c r="FH84" s="1"/>
      <c r="FI84" s="1"/>
      <c r="FJ84" s="1"/>
      <c r="FK84" s="1"/>
      <c r="FL84" s="1"/>
      <c r="FM84" s="1"/>
      <c r="FN84" s="1"/>
      <c r="FO84" s="1"/>
      <c r="FP84" s="1"/>
      <c r="FQ84" s="1"/>
      <c r="FR84" s="1"/>
      <c r="FS84" s="1"/>
      <c r="FT84" s="1"/>
      <c r="FU84" s="1"/>
      <c r="FV84" s="1"/>
    </row>
    <row x14ac:dyDescent="0.25" r="85" customHeight="1" ht="18.75">
      <c r="A85" s="1"/>
      <c r="B85" s="1"/>
      <c r="C85" s="1"/>
      <c r="D85" s="250"/>
      <c r="E85" s="253"/>
      <c r="F85" s="250"/>
      <c r="G85" s="250"/>
      <c r="H85" s="250"/>
      <c r="I85" s="250"/>
      <c r="J85" s="253"/>
      <c r="K85" s="254"/>
      <c r="L85" s="254"/>
      <c r="M85" s="255"/>
      <c r="N85" s="253"/>
      <c r="O85" s="170"/>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1"/>
      <c r="FP85" s="1"/>
      <c r="FQ85" s="1"/>
      <c r="FR85" s="1"/>
      <c r="FS85" s="1"/>
      <c r="FT85" s="1"/>
      <c r="FU85" s="1"/>
      <c r="FV85" s="1"/>
    </row>
    <row x14ac:dyDescent="0.25" r="86" customHeight="1" ht="18.75">
      <c r="A86" s="1"/>
      <c r="B86" s="1"/>
      <c r="C86" s="1"/>
      <c r="D86" s="250"/>
      <c r="E86" s="253"/>
      <c r="F86" s="250"/>
      <c r="G86" s="250"/>
      <c r="H86" s="250"/>
      <c r="I86" s="250"/>
      <c r="J86" s="253"/>
      <c r="K86" s="254"/>
      <c r="L86" s="254"/>
      <c r="M86" s="255"/>
      <c r="N86" s="253"/>
      <c r="O86" s="170"/>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1"/>
      <c r="EU86" s="1"/>
      <c r="EV86" s="1"/>
      <c r="EW86" s="1"/>
      <c r="EX86" s="1"/>
      <c r="EY86" s="1"/>
      <c r="EZ86" s="1"/>
      <c r="FA86" s="1"/>
      <c r="FB86" s="1"/>
      <c r="FC86" s="1"/>
      <c r="FD86" s="1"/>
      <c r="FE86" s="1"/>
      <c r="FF86" s="1"/>
      <c r="FG86" s="1"/>
      <c r="FH86" s="1"/>
      <c r="FI86" s="1"/>
      <c r="FJ86" s="1"/>
      <c r="FK86" s="1"/>
      <c r="FL86" s="1"/>
      <c r="FM86" s="1"/>
      <c r="FN86" s="1"/>
      <c r="FO86" s="1"/>
      <c r="FP86" s="1"/>
      <c r="FQ86" s="1"/>
      <c r="FR86" s="1"/>
      <c r="FS86" s="1"/>
      <c r="FT86" s="1"/>
      <c r="FU86" s="1"/>
      <c r="FV86" s="1"/>
    </row>
    <row x14ac:dyDescent="0.25" r="87" customHeight="1" ht="18.75">
      <c r="A87" s="1"/>
      <c r="B87" s="1"/>
      <c r="C87" s="1"/>
      <c r="D87" s="250"/>
      <c r="E87" s="253"/>
      <c r="F87" s="250"/>
      <c r="G87" s="250"/>
      <c r="H87" s="250"/>
      <c r="I87" s="250"/>
      <c r="J87" s="253"/>
      <c r="K87" s="254"/>
      <c r="L87" s="254"/>
      <c r="M87" s="255"/>
      <c r="N87" s="253"/>
      <c r="O87" s="170"/>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1"/>
      <c r="EU87" s="1"/>
      <c r="EV87" s="1"/>
      <c r="EW87" s="1"/>
      <c r="EX87" s="1"/>
      <c r="EY87" s="1"/>
      <c r="EZ87" s="1"/>
      <c r="FA87" s="1"/>
      <c r="FB87" s="1"/>
      <c r="FC87" s="1"/>
      <c r="FD87" s="1"/>
      <c r="FE87" s="1"/>
      <c r="FF87" s="1"/>
      <c r="FG87" s="1"/>
      <c r="FH87" s="1"/>
      <c r="FI87" s="1"/>
      <c r="FJ87" s="1"/>
      <c r="FK87" s="1"/>
      <c r="FL87" s="1"/>
      <c r="FM87" s="1"/>
      <c r="FN87" s="1"/>
      <c r="FO87" s="1"/>
      <c r="FP87" s="1"/>
      <c r="FQ87" s="1"/>
      <c r="FR87" s="1"/>
      <c r="FS87" s="1"/>
      <c r="FT87" s="1"/>
      <c r="FU87" s="1"/>
      <c r="FV87" s="1"/>
    </row>
    <row x14ac:dyDescent="0.25" r="88" customHeight="1" ht="18.75">
      <c r="A88" s="1"/>
      <c r="B88" s="1"/>
      <c r="C88" s="1"/>
      <c r="D88" s="1"/>
      <c r="E88" s="168"/>
      <c r="F88" s="1"/>
      <c r="G88" s="1"/>
      <c r="H88" s="1"/>
      <c r="I88" s="1"/>
      <c r="J88" s="168"/>
      <c r="K88" s="169"/>
      <c r="L88" s="169"/>
      <c r="M88" s="170"/>
      <c r="N88" s="168"/>
      <c r="O88" s="170"/>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1"/>
      <c r="EU88" s="1"/>
      <c r="EV88" s="1"/>
      <c r="EW88" s="1"/>
      <c r="EX88" s="1"/>
      <c r="EY88" s="1"/>
      <c r="EZ88" s="1"/>
      <c r="FA88" s="1"/>
      <c r="FB88" s="1"/>
      <c r="FC88" s="1"/>
      <c r="FD88" s="1"/>
      <c r="FE88" s="1"/>
      <c r="FF88" s="1"/>
      <c r="FG88" s="1"/>
      <c r="FH88" s="1"/>
      <c r="FI88" s="1"/>
      <c r="FJ88" s="1"/>
      <c r="FK88" s="1"/>
      <c r="FL88" s="1"/>
      <c r="FM88" s="1"/>
      <c r="FN88" s="1"/>
      <c r="FO88" s="1"/>
      <c r="FP88" s="1"/>
      <c r="FQ88" s="1"/>
      <c r="FR88" s="1"/>
      <c r="FS88" s="1"/>
      <c r="FT88" s="1"/>
      <c r="FU88" s="1"/>
      <c r="FV88" s="1"/>
    </row>
    <row x14ac:dyDescent="0.25" r="89" customHeight="1" ht="18.75">
      <c r="A89" s="1"/>
      <c r="B89" s="1"/>
      <c r="C89" s="1"/>
      <c r="D89" s="1"/>
      <c r="E89" s="168"/>
      <c r="F89" s="1"/>
      <c r="G89" s="1"/>
      <c r="H89" s="1"/>
      <c r="I89" s="1"/>
      <c r="J89" s="168"/>
      <c r="K89" s="169"/>
      <c r="L89" s="169"/>
      <c r="M89" s="170"/>
      <c r="N89" s="168"/>
      <c r="O89" s="170"/>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1"/>
      <c r="EU89" s="1"/>
      <c r="EV89" s="1"/>
      <c r="EW89" s="1"/>
      <c r="EX89" s="1"/>
      <c r="EY89" s="1"/>
      <c r="EZ89" s="1"/>
      <c r="FA89" s="1"/>
      <c r="FB89" s="1"/>
      <c r="FC89" s="1"/>
      <c r="FD89" s="1"/>
      <c r="FE89" s="1"/>
      <c r="FF89" s="1"/>
      <c r="FG89" s="1"/>
      <c r="FH89" s="1"/>
      <c r="FI89" s="1"/>
      <c r="FJ89" s="1"/>
      <c r="FK89" s="1"/>
      <c r="FL89" s="1"/>
      <c r="FM89" s="1"/>
      <c r="FN89" s="1"/>
      <c r="FO89" s="1"/>
      <c r="FP89" s="1"/>
      <c r="FQ89" s="1"/>
      <c r="FR89" s="1"/>
      <c r="FS89" s="1"/>
      <c r="FT89" s="1"/>
      <c r="FU89" s="1"/>
      <c r="FV89" s="1"/>
    </row>
    <row x14ac:dyDescent="0.25" r="90" customHeight="1" ht="18.75">
      <c r="A90" s="1"/>
      <c r="B90" s="1"/>
      <c r="C90" s="1"/>
      <c r="D90" s="1"/>
      <c r="E90" s="168"/>
      <c r="F90" s="1"/>
      <c r="G90" s="1"/>
      <c r="H90" s="1"/>
      <c r="I90" s="1"/>
      <c r="J90" s="168"/>
      <c r="K90" s="169"/>
      <c r="L90" s="169"/>
      <c r="M90" s="170"/>
      <c r="N90" s="168"/>
      <c r="O90" s="170"/>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1"/>
      <c r="EU90" s="1"/>
      <c r="EV90" s="1"/>
      <c r="EW90" s="1"/>
      <c r="EX90" s="1"/>
      <c r="EY90" s="1"/>
      <c r="EZ90" s="1"/>
      <c r="FA90" s="1"/>
      <c r="FB90" s="1"/>
      <c r="FC90" s="1"/>
      <c r="FD90" s="1"/>
      <c r="FE90" s="1"/>
      <c r="FF90" s="1"/>
      <c r="FG90" s="1"/>
      <c r="FH90" s="1"/>
      <c r="FI90" s="1"/>
      <c r="FJ90" s="1"/>
      <c r="FK90" s="1"/>
      <c r="FL90" s="1"/>
      <c r="FM90" s="1"/>
      <c r="FN90" s="1"/>
      <c r="FO90" s="1"/>
      <c r="FP90" s="1"/>
      <c r="FQ90" s="1"/>
      <c r="FR90" s="1"/>
      <c r="FS90" s="1"/>
      <c r="FT90" s="1"/>
      <c r="FU90" s="1"/>
      <c r="FV90" s="1"/>
    </row>
    <row x14ac:dyDescent="0.25" r="91" customHeight="1" ht="18.75">
      <c r="A91" s="1"/>
      <c r="B91" s="1"/>
      <c r="C91" s="1"/>
      <c r="D91" s="1"/>
      <c r="E91" s="168"/>
      <c r="F91" s="1"/>
      <c r="G91" s="1"/>
      <c r="H91" s="1"/>
      <c r="I91" s="1"/>
      <c r="J91" s="168"/>
      <c r="K91" s="169"/>
      <c r="L91" s="169"/>
      <c r="M91" s="170"/>
      <c r="N91" s="168"/>
      <c r="O91" s="170"/>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1"/>
      <c r="EU91" s="1"/>
      <c r="EV91" s="1"/>
      <c r="EW91" s="1"/>
      <c r="EX91" s="1"/>
      <c r="EY91" s="1"/>
      <c r="EZ91" s="1"/>
      <c r="FA91" s="1"/>
      <c r="FB91" s="1"/>
      <c r="FC91" s="1"/>
      <c r="FD91" s="1"/>
      <c r="FE91" s="1"/>
      <c r="FF91" s="1"/>
      <c r="FG91" s="1"/>
      <c r="FH91" s="1"/>
      <c r="FI91" s="1"/>
      <c r="FJ91" s="1"/>
      <c r="FK91" s="1"/>
      <c r="FL91" s="1"/>
      <c r="FM91" s="1"/>
      <c r="FN91" s="1"/>
      <c r="FO91" s="1"/>
      <c r="FP91" s="1"/>
      <c r="FQ91" s="1"/>
      <c r="FR91" s="1"/>
      <c r="FS91" s="1"/>
      <c r="FT91" s="1"/>
      <c r="FU91" s="1"/>
      <c r="FV91" s="1"/>
    </row>
    <row x14ac:dyDescent="0.25" r="92" customHeight="1" ht="18.75">
      <c r="A92" s="1"/>
      <c r="B92" s="1"/>
      <c r="C92" s="1"/>
      <c r="D92" s="1"/>
      <c r="E92" s="168"/>
      <c r="F92" s="1"/>
      <c r="G92" s="1"/>
      <c r="H92" s="1"/>
      <c r="I92" s="1"/>
      <c r="J92" s="168"/>
      <c r="K92" s="169"/>
      <c r="L92" s="169"/>
      <c r="M92" s="170"/>
      <c r="N92" s="168"/>
      <c r="O92" s="170"/>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1"/>
      <c r="EU92" s="1"/>
      <c r="EV92" s="1"/>
      <c r="EW92" s="1"/>
      <c r="EX92" s="1"/>
      <c r="EY92" s="1"/>
      <c r="EZ92" s="1"/>
      <c r="FA92" s="1"/>
      <c r="FB92" s="1"/>
      <c r="FC92" s="1"/>
      <c r="FD92" s="1"/>
      <c r="FE92" s="1"/>
      <c r="FF92" s="1"/>
      <c r="FG92" s="1"/>
      <c r="FH92" s="1"/>
      <c r="FI92" s="1"/>
      <c r="FJ92" s="1"/>
      <c r="FK92" s="1"/>
      <c r="FL92" s="1"/>
      <c r="FM92" s="1"/>
      <c r="FN92" s="1"/>
      <c r="FO92" s="1"/>
      <c r="FP92" s="1"/>
      <c r="FQ92" s="1"/>
      <c r="FR92" s="1"/>
      <c r="FS92" s="1"/>
      <c r="FT92" s="1"/>
      <c r="FU92" s="1"/>
      <c r="FV92" s="1"/>
    </row>
    <row x14ac:dyDescent="0.25" r="93" customHeight="1" ht="18.75">
      <c r="A93" s="1"/>
      <c r="B93" s="1"/>
      <c r="C93" s="1"/>
      <c r="D93" s="1"/>
      <c r="E93" s="168"/>
      <c r="F93" s="1"/>
      <c r="G93" s="1"/>
      <c r="H93" s="1"/>
      <c r="I93" s="1"/>
      <c r="J93" s="168"/>
      <c r="K93" s="169"/>
      <c r="L93" s="169"/>
      <c r="M93" s="170"/>
      <c r="N93" s="168"/>
      <c r="O93" s="170"/>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1"/>
      <c r="EU93" s="1"/>
      <c r="EV93" s="1"/>
      <c r="EW93" s="1"/>
      <c r="EX93" s="1"/>
      <c r="EY93" s="1"/>
      <c r="EZ93" s="1"/>
      <c r="FA93" s="1"/>
      <c r="FB93" s="1"/>
      <c r="FC93" s="1"/>
      <c r="FD93" s="1"/>
      <c r="FE93" s="1"/>
      <c r="FF93" s="1"/>
      <c r="FG93" s="1"/>
      <c r="FH93" s="1"/>
      <c r="FI93" s="1"/>
      <c r="FJ93" s="1"/>
      <c r="FK93" s="1"/>
      <c r="FL93" s="1"/>
      <c r="FM93" s="1"/>
      <c r="FN93" s="1"/>
      <c r="FO93" s="1"/>
      <c r="FP93" s="1"/>
      <c r="FQ93" s="1"/>
      <c r="FR93" s="1"/>
      <c r="FS93" s="1"/>
      <c r="FT93" s="1"/>
      <c r="FU93" s="1"/>
      <c r="FV93" s="1"/>
    </row>
    <row x14ac:dyDescent="0.25" r="94" customHeight="1" ht="18.75">
      <c r="A94" s="1"/>
      <c r="B94" s="1"/>
      <c r="C94" s="1"/>
      <c r="D94" s="1"/>
      <c r="E94" s="168"/>
      <c r="F94" s="1"/>
      <c r="G94" s="1"/>
      <c r="H94" s="1"/>
      <c r="I94" s="1"/>
      <c r="J94" s="168"/>
      <c r="K94" s="169"/>
      <c r="L94" s="169"/>
      <c r="M94" s="170"/>
      <c r="N94" s="168"/>
      <c r="O94" s="170"/>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1"/>
      <c r="EU94" s="1"/>
      <c r="EV94" s="1"/>
      <c r="EW94" s="1"/>
      <c r="EX94" s="1"/>
      <c r="EY94" s="1"/>
      <c r="EZ94" s="1"/>
      <c r="FA94" s="1"/>
      <c r="FB94" s="1"/>
      <c r="FC94" s="1"/>
      <c r="FD94" s="1"/>
      <c r="FE94" s="1"/>
      <c r="FF94" s="1"/>
      <c r="FG94" s="1"/>
      <c r="FH94" s="1"/>
      <c r="FI94" s="1"/>
      <c r="FJ94" s="1"/>
      <c r="FK94" s="1"/>
      <c r="FL94" s="1"/>
      <c r="FM94" s="1"/>
      <c r="FN94" s="1"/>
      <c r="FO94" s="1"/>
      <c r="FP94" s="1"/>
      <c r="FQ94" s="1"/>
      <c r="FR94" s="1"/>
      <c r="FS94" s="1"/>
      <c r="FT94" s="1"/>
      <c r="FU94" s="1"/>
      <c r="FV94" s="1"/>
    </row>
    <row x14ac:dyDescent="0.25" r="95" customHeight="1" ht="18.75">
      <c r="A95" s="1"/>
      <c r="B95" s="1"/>
      <c r="C95" s="1"/>
      <c r="D95" s="1"/>
      <c r="E95" s="168"/>
      <c r="F95" s="1"/>
      <c r="G95" s="1"/>
      <c r="H95" s="1"/>
      <c r="I95" s="1"/>
      <c r="J95" s="168"/>
      <c r="K95" s="169"/>
      <c r="L95" s="169"/>
      <c r="M95" s="170"/>
      <c r="N95" s="168"/>
      <c r="O95" s="170"/>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1"/>
      <c r="EU95" s="1"/>
      <c r="EV95" s="1"/>
      <c r="EW95" s="1"/>
      <c r="EX95" s="1"/>
      <c r="EY95" s="1"/>
      <c r="EZ95" s="1"/>
      <c r="FA95" s="1"/>
      <c r="FB95" s="1"/>
      <c r="FC95" s="1"/>
      <c r="FD95" s="1"/>
      <c r="FE95" s="1"/>
      <c r="FF95" s="1"/>
      <c r="FG95" s="1"/>
      <c r="FH95" s="1"/>
      <c r="FI95" s="1"/>
      <c r="FJ95" s="1"/>
      <c r="FK95" s="1"/>
      <c r="FL95" s="1"/>
      <c r="FM95" s="1"/>
      <c r="FN95" s="1"/>
      <c r="FO95" s="1"/>
      <c r="FP95" s="1"/>
      <c r="FQ95" s="1"/>
      <c r="FR95" s="1"/>
      <c r="FS95" s="1"/>
      <c r="FT95" s="1"/>
      <c r="FU95" s="1"/>
      <c r="FV95" s="1"/>
    </row>
    <row x14ac:dyDescent="0.25" r="96" customHeight="1" ht="18.75">
      <c r="A96" s="1"/>
      <c r="B96" s="1"/>
      <c r="C96" s="1"/>
      <c r="D96" s="1"/>
      <c r="E96" s="168"/>
      <c r="F96" s="1"/>
      <c r="G96" s="1"/>
      <c r="H96" s="1"/>
      <c r="I96" s="1"/>
      <c r="J96" s="168"/>
      <c r="K96" s="169"/>
      <c r="L96" s="169"/>
      <c r="M96" s="170"/>
      <c r="N96" s="168"/>
      <c r="O96" s="170"/>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1"/>
      <c r="EU96" s="1"/>
      <c r="EV96" s="1"/>
      <c r="EW96" s="1"/>
      <c r="EX96" s="1"/>
      <c r="EY96" s="1"/>
      <c r="EZ96" s="1"/>
      <c r="FA96" s="1"/>
      <c r="FB96" s="1"/>
      <c r="FC96" s="1"/>
      <c r="FD96" s="1"/>
      <c r="FE96" s="1"/>
      <c r="FF96" s="1"/>
      <c r="FG96" s="1"/>
      <c r="FH96" s="1"/>
      <c r="FI96" s="1"/>
      <c r="FJ96" s="1"/>
      <c r="FK96" s="1"/>
      <c r="FL96" s="1"/>
      <c r="FM96" s="1"/>
      <c r="FN96" s="1"/>
      <c r="FO96" s="1"/>
      <c r="FP96" s="1"/>
      <c r="FQ96" s="1"/>
      <c r="FR96" s="1"/>
      <c r="FS96" s="1"/>
      <c r="FT96" s="1"/>
      <c r="FU96" s="1"/>
      <c r="FV96" s="1"/>
    </row>
    <row x14ac:dyDescent="0.25" r="97" customHeight="1" ht="18.75">
      <c r="A97" s="1"/>
      <c r="B97" s="1"/>
      <c r="C97" s="1"/>
      <c r="D97" s="1"/>
      <c r="E97" s="168"/>
      <c r="F97" s="1"/>
      <c r="G97" s="1"/>
      <c r="H97" s="1"/>
      <c r="I97" s="1"/>
      <c r="J97" s="168"/>
      <c r="K97" s="169"/>
      <c r="L97" s="169"/>
      <c r="M97" s="170"/>
      <c r="N97" s="168"/>
      <c r="O97" s="170"/>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1"/>
      <c r="EU97" s="1"/>
      <c r="EV97" s="1"/>
      <c r="EW97" s="1"/>
      <c r="EX97" s="1"/>
      <c r="EY97" s="1"/>
      <c r="EZ97" s="1"/>
      <c r="FA97" s="1"/>
      <c r="FB97" s="1"/>
      <c r="FC97" s="1"/>
      <c r="FD97" s="1"/>
      <c r="FE97" s="1"/>
      <c r="FF97" s="1"/>
      <c r="FG97" s="1"/>
      <c r="FH97" s="1"/>
      <c r="FI97" s="1"/>
      <c r="FJ97" s="1"/>
      <c r="FK97" s="1"/>
      <c r="FL97" s="1"/>
      <c r="FM97" s="1"/>
      <c r="FN97" s="1"/>
      <c r="FO97" s="1"/>
      <c r="FP97" s="1"/>
      <c r="FQ97" s="1"/>
      <c r="FR97" s="1"/>
      <c r="FS97" s="1"/>
      <c r="FT97" s="1"/>
      <c r="FU97" s="1"/>
      <c r="FV97" s="1"/>
    </row>
    <row x14ac:dyDescent="0.25" r="98" customHeight="1" ht="18.75">
      <c r="A98" s="1"/>
      <c r="B98" s="1"/>
      <c r="C98" s="1"/>
      <c r="D98" s="1"/>
      <c r="E98" s="168"/>
      <c r="F98" s="1"/>
      <c r="G98" s="1"/>
      <c r="H98" s="1"/>
      <c r="I98" s="1"/>
      <c r="J98" s="168"/>
      <c r="K98" s="169"/>
      <c r="L98" s="169"/>
      <c r="M98" s="170"/>
      <c r="N98" s="168"/>
      <c r="O98" s="170"/>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1"/>
      <c r="FP98" s="1"/>
      <c r="FQ98" s="1"/>
      <c r="FR98" s="1"/>
      <c r="FS98" s="1"/>
      <c r="FT98" s="1"/>
      <c r="FU98" s="1"/>
      <c r="FV98" s="1"/>
    </row>
    <row x14ac:dyDescent="0.25" r="99" customHeight="1" ht="18.75">
      <c r="A99" s="1"/>
      <c r="B99" s="1"/>
      <c r="C99" s="1"/>
      <c r="D99" s="1"/>
      <c r="E99" s="168"/>
      <c r="F99" s="1"/>
      <c r="G99" s="1"/>
      <c r="H99" s="1"/>
      <c r="I99" s="1"/>
      <c r="J99" s="168"/>
      <c r="K99" s="169"/>
      <c r="L99" s="169"/>
      <c r="M99" s="170"/>
      <c r="N99" s="168"/>
      <c r="O99" s="170"/>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EG99" s="1"/>
      <c r="EH99" s="1"/>
      <c r="EI99" s="1"/>
      <c r="EJ99" s="1"/>
      <c r="EK99" s="1"/>
      <c r="EL99" s="1"/>
      <c r="EM99" s="1"/>
      <c r="EN99" s="1"/>
      <c r="EO99" s="1"/>
      <c r="EP99" s="1"/>
      <c r="EQ99" s="1"/>
      <c r="ER99" s="1"/>
      <c r="ES99" s="1"/>
      <c r="ET99" s="1"/>
      <c r="EU99" s="1"/>
      <c r="EV99" s="1"/>
      <c r="EW99" s="1"/>
      <c r="EX99" s="1"/>
      <c r="EY99" s="1"/>
      <c r="EZ99" s="1"/>
      <c r="FA99" s="1"/>
      <c r="FB99" s="1"/>
      <c r="FC99" s="1"/>
      <c r="FD99" s="1"/>
      <c r="FE99" s="1"/>
      <c r="FF99" s="1"/>
      <c r="FG99" s="1"/>
      <c r="FH99" s="1"/>
      <c r="FI99" s="1"/>
      <c r="FJ99" s="1"/>
      <c r="FK99" s="1"/>
      <c r="FL99" s="1"/>
      <c r="FM99" s="1"/>
      <c r="FN99" s="1"/>
      <c r="FO99" s="1"/>
      <c r="FP99" s="1"/>
      <c r="FQ99" s="1"/>
      <c r="FR99" s="1"/>
      <c r="FS99" s="1"/>
      <c r="FT99" s="1"/>
      <c r="FU99" s="1"/>
      <c r="FV99" s="1"/>
    </row>
    <row x14ac:dyDescent="0.25" r="100" customHeight="1" ht="18.75">
      <c r="A100" s="1"/>
      <c r="B100" s="1"/>
      <c r="C100" s="1"/>
      <c r="D100" s="1"/>
      <c r="E100" s="168"/>
      <c r="F100" s="1"/>
      <c r="G100" s="1"/>
      <c r="H100" s="1"/>
      <c r="I100" s="1"/>
      <c r="J100" s="168"/>
      <c r="K100" s="169"/>
      <c r="L100" s="169"/>
      <c r="M100" s="170"/>
      <c r="N100" s="168"/>
      <c r="O100" s="170"/>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EG100" s="1"/>
      <c r="EH100" s="1"/>
      <c r="EI100" s="1"/>
      <c r="EJ100" s="1"/>
      <c r="EK100" s="1"/>
      <c r="EL100" s="1"/>
      <c r="EM100" s="1"/>
      <c r="EN100" s="1"/>
      <c r="EO100" s="1"/>
      <c r="EP100" s="1"/>
      <c r="EQ100" s="1"/>
      <c r="ER100" s="1"/>
      <c r="ES100" s="1"/>
      <c r="ET100" s="1"/>
      <c r="EU100" s="1"/>
      <c r="EV100" s="1"/>
      <c r="EW100" s="1"/>
      <c r="EX100" s="1"/>
      <c r="EY100" s="1"/>
      <c r="EZ100" s="1"/>
      <c r="FA100" s="1"/>
      <c r="FB100" s="1"/>
      <c r="FC100" s="1"/>
      <c r="FD100" s="1"/>
      <c r="FE100" s="1"/>
      <c r="FF100" s="1"/>
      <c r="FG100" s="1"/>
      <c r="FH100" s="1"/>
      <c r="FI100" s="1"/>
      <c r="FJ100" s="1"/>
      <c r="FK100" s="1"/>
      <c r="FL100" s="1"/>
      <c r="FM100" s="1"/>
      <c r="FN100" s="1"/>
      <c r="FO100" s="1"/>
      <c r="FP100" s="1"/>
      <c r="FQ100" s="1"/>
      <c r="FR100" s="1"/>
      <c r="FS100" s="1"/>
      <c r="FT100" s="1"/>
      <c r="FU100" s="1"/>
      <c r="FV100" s="1"/>
    </row>
    <row x14ac:dyDescent="0.25" r="101" customHeight="1" ht="18.75">
      <c r="A101" s="1"/>
      <c r="B101" s="1"/>
      <c r="C101" s="1"/>
      <c r="D101" s="1"/>
      <c r="E101" s="168"/>
      <c r="F101" s="1"/>
      <c r="G101" s="1"/>
      <c r="H101" s="1"/>
      <c r="I101" s="1"/>
      <c r="J101" s="168"/>
      <c r="K101" s="169"/>
      <c r="L101" s="169"/>
      <c r="M101" s="170"/>
      <c r="N101" s="168"/>
      <c r="O101" s="170"/>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EG101" s="1"/>
      <c r="EH101" s="1"/>
      <c r="EI101" s="1"/>
      <c r="EJ101" s="1"/>
      <c r="EK101" s="1"/>
      <c r="EL101" s="1"/>
      <c r="EM101" s="1"/>
      <c r="EN101" s="1"/>
      <c r="EO101" s="1"/>
      <c r="EP101" s="1"/>
      <c r="EQ101" s="1"/>
      <c r="ER101" s="1"/>
      <c r="ES101" s="1"/>
      <c r="ET101" s="1"/>
      <c r="EU101" s="1"/>
      <c r="EV101" s="1"/>
      <c r="EW101" s="1"/>
      <c r="EX101" s="1"/>
      <c r="EY101" s="1"/>
      <c r="EZ101" s="1"/>
      <c r="FA101" s="1"/>
      <c r="FB101" s="1"/>
      <c r="FC101" s="1"/>
      <c r="FD101" s="1"/>
      <c r="FE101" s="1"/>
      <c r="FF101" s="1"/>
      <c r="FG101" s="1"/>
      <c r="FH101" s="1"/>
      <c r="FI101" s="1"/>
      <c r="FJ101" s="1"/>
      <c r="FK101" s="1"/>
      <c r="FL101" s="1"/>
      <c r="FM101" s="1"/>
      <c r="FN101" s="1"/>
      <c r="FO101" s="1"/>
      <c r="FP101" s="1"/>
      <c r="FQ101" s="1"/>
      <c r="FR101" s="1"/>
      <c r="FS101" s="1"/>
      <c r="FT101" s="1"/>
      <c r="FU101" s="1"/>
      <c r="FV101" s="1"/>
    </row>
    <row x14ac:dyDescent="0.25" r="102" customHeight="1" ht="18.75">
      <c r="A102" s="1"/>
      <c r="B102" s="1"/>
      <c r="C102" s="1"/>
      <c r="D102" s="1"/>
      <c r="E102" s="168"/>
      <c r="F102" s="1"/>
      <c r="G102" s="1"/>
      <c r="H102" s="1"/>
      <c r="I102" s="1"/>
      <c r="J102" s="168"/>
      <c r="K102" s="169"/>
      <c r="L102" s="169"/>
      <c r="M102" s="170"/>
      <c r="N102" s="168"/>
      <c r="O102" s="170"/>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EG102" s="1"/>
      <c r="EH102" s="1"/>
      <c r="EI102" s="1"/>
      <c r="EJ102" s="1"/>
      <c r="EK102" s="1"/>
      <c r="EL102" s="1"/>
      <c r="EM102" s="1"/>
      <c r="EN102" s="1"/>
      <c r="EO102" s="1"/>
      <c r="EP102" s="1"/>
      <c r="EQ102" s="1"/>
      <c r="ER102" s="1"/>
      <c r="ES102" s="1"/>
      <c r="ET102" s="1"/>
      <c r="EU102" s="1"/>
      <c r="EV102" s="1"/>
      <c r="EW102" s="1"/>
      <c r="EX102" s="1"/>
      <c r="EY102" s="1"/>
      <c r="EZ102" s="1"/>
      <c r="FA102" s="1"/>
      <c r="FB102" s="1"/>
      <c r="FC102" s="1"/>
      <c r="FD102" s="1"/>
      <c r="FE102" s="1"/>
      <c r="FF102" s="1"/>
      <c r="FG102" s="1"/>
      <c r="FH102" s="1"/>
      <c r="FI102" s="1"/>
      <c r="FJ102" s="1"/>
      <c r="FK102" s="1"/>
      <c r="FL102" s="1"/>
      <c r="FM102" s="1"/>
      <c r="FN102" s="1"/>
      <c r="FO102" s="1"/>
      <c r="FP102" s="1"/>
      <c r="FQ102" s="1"/>
      <c r="FR102" s="1"/>
      <c r="FS102" s="1"/>
      <c r="FT102" s="1"/>
      <c r="FU102" s="1"/>
      <c r="FV102" s="1"/>
    </row>
    <row x14ac:dyDescent="0.25" r="103" customHeight="1" ht="18.75">
      <c r="A103" s="1"/>
      <c r="B103" s="1"/>
      <c r="C103" s="1"/>
      <c r="D103" s="1"/>
      <c r="E103" s="168"/>
      <c r="F103" s="1"/>
      <c r="G103" s="1"/>
      <c r="H103" s="1"/>
      <c r="I103" s="1"/>
      <c r="J103" s="168"/>
      <c r="K103" s="169"/>
      <c r="L103" s="169"/>
      <c r="M103" s="170"/>
      <c r="N103" s="168"/>
      <c r="O103" s="170"/>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EG103" s="1"/>
      <c r="EH103" s="1"/>
      <c r="EI103" s="1"/>
      <c r="EJ103" s="1"/>
      <c r="EK103" s="1"/>
      <c r="EL103" s="1"/>
      <c r="EM103" s="1"/>
      <c r="EN103" s="1"/>
      <c r="EO103" s="1"/>
      <c r="EP103" s="1"/>
      <c r="EQ103" s="1"/>
      <c r="ER103" s="1"/>
      <c r="ES103" s="1"/>
      <c r="ET103" s="1"/>
      <c r="EU103" s="1"/>
      <c r="EV103" s="1"/>
      <c r="EW103" s="1"/>
      <c r="EX103" s="1"/>
      <c r="EY103" s="1"/>
      <c r="EZ103" s="1"/>
      <c r="FA103" s="1"/>
      <c r="FB103" s="1"/>
      <c r="FC103" s="1"/>
      <c r="FD103" s="1"/>
      <c r="FE103" s="1"/>
      <c r="FF103" s="1"/>
      <c r="FG103" s="1"/>
      <c r="FH103" s="1"/>
      <c r="FI103" s="1"/>
      <c r="FJ103" s="1"/>
      <c r="FK103" s="1"/>
      <c r="FL103" s="1"/>
      <c r="FM103" s="1"/>
      <c r="FN103" s="1"/>
      <c r="FO103" s="1"/>
      <c r="FP103" s="1"/>
      <c r="FQ103" s="1"/>
      <c r="FR103" s="1"/>
      <c r="FS103" s="1"/>
      <c r="FT103" s="1"/>
      <c r="FU103" s="1"/>
      <c r="FV103" s="1"/>
    </row>
    <row x14ac:dyDescent="0.25" r="104" customHeight="1" ht="18.75">
      <c r="A104" s="1"/>
      <c r="B104" s="1"/>
      <c r="C104" s="1"/>
      <c r="D104" s="1"/>
      <c r="E104" s="168"/>
      <c r="F104" s="1"/>
      <c r="G104" s="1"/>
      <c r="H104" s="1"/>
      <c r="I104" s="1"/>
      <c r="J104" s="168"/>
      <c r="K104" s="169"/>
      <c r="L104" s="169"/>
      <c r="M104" s="170"/>
      <c r="N104" s="168"/>
      <c r="O104" s="170"/>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EG104" s="1"/>
      <c r="EH104" s="1"/>
      <c r="EI104" s="1"/>
      <c r="EJ104" s="1"/>
      <c r="EK104" s="1"/>
      <c r="EL104" s="1"/>
      <c r="EM104" s="1"/>
      <c r="EN104" s="1"/>
      <c r="EO104" s="1"/>
      <c r="EP104" s="1"/>
      <c r="EQ104" s="1"/>
      <c r="ER104" s="1"/>
      <c r="ES104" s="1"/>
      <c r="ET104" s="1"/>
      <c r="EU104" s="1"/>
      <c r="EV104" s="1"/>
      <c r="EW104" s="1"/>
      <c r="EX104" s="1"/>
      <c r="EY104" s="1"/>
      <c r="EZ104" s="1"/>
      <c r="FA104" s="1"/>
      <c r="FB104" s="1"/>
      <c r="FC104" s="1"/>
      <c r="FD104" s="1"/>
      <c r="FE104" s="1"/>
      <c r="FF104" s="1"/>
      <c r="FG104" s="1"/>
      <c r="FH104" s="1"/>
      <c r="FI104" s="1"/>
      <c r="FJ104" s="1"/>
      <c r="FK104" s="1"/>
      <c r="FL104" s="1"/>
      <c r="FM104" s="1"/>
      <c r="FN104" s="1"/>
      <c r="FO104" s="1"/>
      <c r="FP104" s="1"/>
      <c r="FQ104" s="1"/>
      <c r="FR104" s="1"/>
      <c r="FS104" s="1"/>
      <c r="FT104" s="1"/>
      <c r="FU104" s="1"/>
      <c r="FV104" s="1"/>
    </row>
    <row x14ac:dyDescent="0.25" r="105" customHeight="1" ht="18.75">
      <c r="A105" s="1"/>
      <c r="B105" s="1"/>
      <c r="C105" s="1"/>
      <c r="D105" s="256"/>
      <c r="E105" s="257"/>
      <c r="F105" s="256"/>
      <c r="G105" s="256"/>
      <c r="H105" s="256"/>
      <c r="I105" s="256"/>
      <c r="J105" s="257"/>
      <c r="K105" s="258"/>
      <c r="L105" s="258"/>
      <c r="M105" s="259"/>
      <c r="N105" s="257"/>
      <c r="O105" s="259"/>
      <c r="P105" s="256"/>
      <c r="Q105" s="256"/>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EG105" s="1"/>
      <c r="EH105" s="1"/>
      <c r="EI105" s="1"/>
      <c r="EJ105" s="1"/>
      <c r="EK105" s="1"/>
      <c r="EL105" s="1"/>
      <c r="EM105" s="1"/>
      <c r="EN105" s="1"/>
      <c r="EO105" s="1"/>
      <c r="EP105" s="1"/>
      <c r="EQ105" s="1"/>
      <c r="ER105" s="1"/>
      <c r="ES105" s="1"/>
      <c r="ET105" s="1"/>
      <c r="EU105" s="1"/>
      <c r="EV105" s="1"/>
      <c r="EW105" s="1"/>
      <c r="EX105" s="1"/>
      <c r="EY105" s="1"/>
      <c r="EZ105" s="1"/>
      <c r="FA105" s="1"/>
      <c r="FB105" s="1"/>
      <c r="FC105" s="1"/>
      <c r="FD105" s="1"/>
      <c r="FE105" s="1"/>
      <c r="FF105" s="1"/>
      <c r="FG105" s="1"/>
      <c r="FH105" s="1"/>
      <c r="FI105" s="1"/>
      <c r="FJ105" s="1"/>
      <c r="FK105" s="1"/>
      <c r="FL105" s="1"/>
      <c r="FM105" s="1"/>
      <c r="FN105" s="1"/>
      <c r="FO105" s="1"/>
      <c r="FP105" s="1"/>
      <c r="FQ105" s="1"/>
      <c r="FR105" s="1"/>
      <c r="FS105" s="1"/>
      <c r="FT105" s="1"/>
      <c r="FU105" s="1"/>
      <c r="FV105" s="1"/>
    </row>
    <row x14ac:dyDescent="0.25" r="106" customHeight="1" ht="18.75">
      <c r="A106" s="1"/>
      <c r="B106" s="1"/>
      <c r="C106" s="1"/>
      <c r="D106" s="256"/>
      <c r="E106" s="257"/>
      <c r="F106" s="256"/>
      <c r="G106" s="256"/>
      <c r="H106" s="256"/>
      <c r="I106" s="256"/>
      <c r="J106" s="257"/>
      <c r="K106" s="258"/>
      <c r="L106" s="258"/>
      <c r="M106" s="259"/>
      <c r="N106" s="257"/>
      <c r="O106" s="259"/>
      <c r="P106" s="256"/>
      <c r="Q106" s="256"/>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1"/>
      <c r="FB106" s="1"/>
      <c r="FC106" s="1"/>
      <c r="FD106" s="1"/>
      <c r="FE106" s="1"/>
      <c r="FF106" s="1"/>
      <c r="FG106" s="1"/>
      <c r="FH106" s="1"/>
      <c r="FI106" s="1"/>
      <c r="FJ106" s="1"/>
      <c r="FK106" s="1"/>
      <c r="FL106" s="1"/>
      <c r="FM106" s="1"/>
      <c r="FN106" s="1"/>
      <c r="FO106" s="1"/>
      <c r="FP106" s="1"/>
      <c r="FQ106" s="1"/>
      <c r="FR106" s="1"/>
      <c r="FS106" s="1"/>
      <c r="FT106" s="1"/>
      <c r="FU106" s="1"/>
      <c r="FV106" s="1"/>
    </row>
    <row x14ac:dyDescent="0.25" r="107" customHeight="1" ht="18.75">
      <c r="A107" s="1"/>
      <c r="B107" s="1"/>
      <c r="C107" s="1"/>
      <c r="D107" s="256"/>
      <c r="E107" s="257"/>
      <c r="F107" s="256"/>
      <c r="G107" s="256"/>
      <c r="H107" s="1"/>
      <c r="I107" s="1"/>
      <c r="J107" s="168"/>
      <c r="K107" s="169"/>
      <c r="L107" s="169"/>
      <c r="M107" s="170"/>
      <c r="N107" s="168"/>
      <c r="O107" s="259"/>
      <c r="P107" s="256"/>
      <c r="Q107" s="256"/>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1"/>
      <c r="FB107" s="1"/>
      <c r="FC107" s="1"/>
      <c r="FD107" s="1"/>
      <c r="FE107" s="1"/>
      <c r="FF107" s="1"/>
      <c r="FG107" s="1"/>
      <c r="FH107" s="1"/>
      <c r="FI107" s="1"/>
      <c r="FJ107" s="1"/>
      <c r="FK107" s="1"/>
      <c r="FL107" s="1"/>
      <c r="FM107" s="1"/>
      <c r="FN107" s="1"/>
      <c r="FO107" s="1"/>
      <c r="FP107" s="1"/>
      <c r="FQ107" s="1"/>
      <c r="FR107" s="1"/>
      <c r="FS107" s="1"/>
      <c r="FT107" s="1"/>
      <c r="FU107" s="1"/>
      <c r="FV107" s="1"/>
    </row>
    <row x14ac:dyDescent="0.25" r="108" customHeight="1" ht="18.75">
      <c r="A108" s="1"/>
      <c r="B108" s="1"/>
      <c r="C108" s="1"/>
      <c r="D108" s="256"/>
      <c r="E108" s="257"/>
      <c r="F108" s="256"/>
      <c r="G108" s="256"/>
      <c r="H108" s="1"/>
      <c r="I108" s="1"/>
      <c r="J108" s="168"/>
      <c r="K108" s="169"/>
      <c r="L108" s="169"/>
      <c r="M108" s="170"/>
      <c r="N108" s="168"/>
      <c r="O108" s="170"/>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EG108" s="1"/>
      <c r="EH108" s="1"/>
      <c r="EI108" s="1"/>
      <c r="EJ108" s="1"/>
      <c r="EK108" s="1"/>
      <c r="EL108" s="1"/>
      <c r="EM108" s="1"/>
      <c r="EN108" s="1"/>
      <c r="EO108" s="1"/>
      <c r="EP108" s="1"/>
      <c r="EQ108" s="1"/>
      <c r="ER108" s="1"/>
      <c r="ES108" s="1"/>
      <c r="ET108" s="1"/>
      <c r="EU108" s="1"/>
      <c r="EV108" s="1"/>
      <c r="EW108" s="1"/>
      <c r="EX108" s="1"/>
      <c r="EY108" s="1"/>
      <c r="EZ108" s="1"/>
      <c r="FA108" s="1"/>
      <c r="FB108" s="1"/>
      <c r="FC108" s="1"/>
      <c r="FD108" s="1"/>
      <c r="FE108" s="1"/>
      <c r="FF108" s="1"/>
      <c r="FG108" s="1"/>
      <c r="FH108" s="1"/>
      <c r="FI108" s="1"/>
      <c r="FJ108" s="1"/>
      <c r="FK108" s="1"/>
      <c r="FL108" s="1"/>
      <c r="FM108" s="1"/>
      <c r="FN108" s="1"/>
      <c r="FO108" s="1"/>
      <c r="FP108" s="1"/>
      <c r="FQ108" s="1"/>
      <c r="FR108" s="1"/>
      <c r="FS108" s="1"/>
      <c r="FT108" s="1"/>
      <c r="FU108" s="1"/>
      <c r="FV108" s="1"/>
    </row>
  </sheetData>
  <mergeCells count="8">
    <mergeCell ref="C2:N2"/>
    <mergeCell ref="D3:N3"/>
    <mergeCell ref="C6:E6"/>
    <mergeCell ref="H6:N6"/>
    <mergeCell ref="H16:N16"/>
    <mergeCell ref="C22:E22"/>
    <mergeCell ref="H32:N32"/>
    <mergeCell ref="C34:E34"/>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S559"/>
  <sheetViews>
    <sheetView workbookViewId="0"/>
  </sheetViews>
  <sheetFormatPr defaultRowHeight="15" x14ac:dyDescent="0.25"/>
  <cols>
    <col min="1" max="1" style="163" width="13.576428571428572" customWidth="1" bestFit="1"/>
    <col min="2" max="2" style="163" width="9.719285714285713" customWidth="1" bestFit="1"/>
    <col min="3" max="3" style="163" width="9.719285714285713" customWidth="1" bestFit="1"/>
    <col min="4" max="4" style="163" width="9.719285714285713" customWidth="1" bestFit="1"/>
    <col min="5" max="5" style="163" width="8.576428571428572" customWidth="1" bestFit="1"/>
    <col min="6" max="6" style="164" width="12.576428571428572" customWidth="1" bestFit="1"/>
    <col min="7" max="7" style="165" width="7.719285714285714" customWidth="1" bestFit="1"/>
    <col min="8" max="8" style="166" width="9.719285714285713" customWidth="1" bestFit="1"/>
    <col min="9" max="9" style="165" width="9.719285714285713" customWidth="1" bestFit="1"/>
    <col min="10" max="10" style="166" width="9.719285714285713" customWidth="1" bestFit="1"/>
    <col min="11" max="11" style="163" width="13.576428571428572" customWidth="1" bestFit="1"/>
    <col min="12" max="12" style="167" width="11.719285714285713" customWidth="1" bestFit="1"/>
    <col min="13" max="13" style="163" width="13.576428571428572" customWidth="1" bestFit="1"/>
    <col min="14" max="14" style="163" width="13.576428571428572" customWidth="1" bestFit="1"/>
    <col min="15" max="15" style="163" width="13.576428571428572" customWidth="1" bestFit="1"/>
    <col min="16" max="16" style="163" width="13.576428571428572" customWidth="1" bestFit="1"/>
    <col min="17" max="17" style="163" width="13.576428571428572" customWidth="1" bestFit="1"/>
    <col min="18" max="18" style="163" width="13.576428571428572" customWidth="1" bestFit="1"/>
    <col min="19" max="19" style="163" width="13.576428571428572" customWidth="1" bestFit="1"/>
  </cols>
  <sheetData>
    <row x14ac:dyDescent="0.25" r="1" customHeight="1" ht="18.75">
      <c r="A1" s="1"/>
      <c r="B1" s="2"/>
      <c r="C1" s="2"/>
      <c r="D1" s="2"/>
      <c r="E1" s="2"/>
      <c r="F1" s="3"/>
      <c r="G1" s="4"/>
      <c r="H1" s="5"/>
      <c r="I1" s="4"/>
      <c r="J1" s="5"/>
      <c r="K1" s="2"/>
      <c r="L1" s="6"/>
      <c r="M1" s="2"/>
      <c r="N1" s="2"/>
      <c r="O1" s="2"/>
      <c r="P1" s="2"/>
      <c r="Q1" s="2"/>
      <c r="R1" s="2"/>
      <c r="S1" s="2"/>
    </row>
    <row x14ac:dyDescent="0.25" r="2" customHeight="1" ht="18.75">
      <c r="A2" s="1"/>
      <c r="B2" s="2"/>
      <c r="C2" s="2"/>
      <c r="D2" s="2"/>
      <c r="E2" s="2"/>
      <c r="F2" s="3"/>
      <c r="G2" s="4"/>
      <c r="H2" s="5"/>
      <c r="I2" s="4"/>
      <c r="J2" s="5"/>
      <c r="K2" s="2"/>
      <c r="L2" s="6"/>
      <c r="M2" s="2"/>
      <c r="N2" s="2"/>
      <c r="O2" s="2"/>
      <c r="P2" s="2"/>
      <c r="Q2" s="2"/>
      <c r="R2" s="2"/>
      <c r="S2" s="2"/>
    </row>
    <row x14ac:dyDescent="0.25" r="3" customHeight="1" ht="18.75">
      <c r="A3" s="1"/>
      <c r="B3" s="2"/>
      <c r="C3" s="2"/>
      <c r="D3" s="2"/>
      <c r="E3" s="2"/>
      <c r="F3" s="3"/>
      <c r="G3" s="4"/>
      <c r="H3" s="5"/>
      <c r="I3" s="4"/>
      <c r="J3" s="5"/>
      <c r="K3" s="2"/>
      <c r="L3" s="6"/>
      <c r="M3" s="2"/>
      <c r="N3" s="2"/>
      <c r="O3" s="2"/>
      <c r="P3" s="2"/>
      <c r="Q3" s="2"/>
      <c r="R3" s="2"/>
      <c r="S3" s="2"/>
    </row>
    <row x14ac:dyDescent="0.25" r="4" customHeight="1" ht="18.75">
      <c r="A4" s="1"/>
      <c r="B4" s="2"/>
      <c r="C4" s="2"/>
      <c r="D4" s="2"/>
      <c r="E4" s="2"/>
      <c r="F4" s="3"/>
      <c r="G4" s="4"/>
      <c r="H4" s="5"/>
      <c r="I4" s="4"/>
      <c r="J4" s="5"/>
      <c r="K4" s="2"/>
      <c r="L4" s="6"/>
      <c r="M4" s="2"/>
      <c r="N4" s="2"/>
      <c r="O4" s="2"/>
      <c r="P4" s="2"/>
      <c r="Q4" s="2"/>
      <c r="R4" s="2"/>
      <c r="S4" s="2"/>
    </row>
    <row x14ac:dyDescent="0.25" r="5" customHeight="1" ht="18.75">
      <c r="A5" s="1"/>
      <c r="B5" s="2"/>
      <c r="C5" s="2"/>
      <c r="D5" s="2"/>
      <c r="E5" s="2"/>
      <c r="F5" s="3"/>
      <c r="G5" s="4"/>
      <c r="H5" s="5"/>
      <c r="I5" s="4"/>
      <c r="J5" s="5"/>
      <c r="K5" s="2"/>
      <c r="L5" s="6"/>
      <c r="M5" s="2"/>
      <c r="N5" s="2"/>
      <c r="O5" s="2"/>
      <c r="P5" s="2"/>
      <c r="Q5" s="2"/>
      <c r="R5" s="2"/>
      <c r="S5" s="2"/>
    </row>
    <row x14ac:dyDescent="0.25" r="6" customHeight="1" ht="18.75">
      <c r="A6" s="1"/>
      <c r="B6" s="2"/>
      <c r="C6" s="2"/>
      <c r="D6" s="2"/>
      <c r="E6" s="2"/>
      <c r="F6" s="3"/>
      <c r="G6" s="4"/>
      <c r="H6" s="5"/>
      <c r="I6" s="4"/>
      <c r="J6" s="5"/>
      <c r="K6" s="2"/>
      <c r="L6" s="6"/>
      <c r="M6" s="2"/>
      <c r="N6" s="2"/>
      <c r="O6" s="2"/>
      <c r="P6" s="2"/>
      <c r="Q6" s="2"/>
      <c r="R6" s="2"/>
      <c r="S6" s="2"/>
    </row>
    <row x14ac:dyDescent="0.25" r="7" customHeight="1" ht="18.75">
      <c r="A7" s="1"/>
      <c r="B7" s="2"/>
      <c r="C7" s="2"/>
      <c r="D7" s="2"/>
      <c r="E7" s="2"/>
      <c r="F7" s="3"/>
      <c r="G7" s="4"/>
      <c r="H7" s="5"/>
      <c r="I7" s="4"/>
      <c r="J7" s="5"/>
      <c r="K7" s="2"/>
      <c r="L7" s="6"/>
      <c r="M7" s="2"/>
      <c r="N7" s="2"/>
      <c r="O7" s="2"/>
      <c r="P7" s="2"/>
      <c r="Q7" s="2"/>
      <c r="R7" s="2"/>
      <c r="S7" s="2"/>
    </row>
    <row x14ac:dyDescent="0.25" r="8" customHeight="1" ht="18.75">
      <c r="A8" s="1"/>
      <c r="B8" s="2"/>
      <c r="C8" s="2"/>
      <c r="D8" s="2"/>
      <c r="E8" s="2"/>
      <c r="F8" s="3"/>
      <c r="G8" s="4"/>
      <c r="H8" s="5"/>
      <c r="I8" s="4"/>
      <c r="J8" s="5"/>
      <c r="K8" s="2"/>
      <c r="L8" s="6"/>
      <c r="M8" s="2"/>
      <c r="N8" s="2"/>
      <c r="O8" s="2"/>
      <c r="P8" s="2"/>
      <c r="Q8" s="2"/>
      <c r="R8" s="2"/>
      <c r="S8" s="2"/>
    </row>
    <row x14ac:dyDescent="0.25" r="9" customHeight="1" ht="18.75">
      <c r="A9" s="1"/>
      <c r="B9" s="2"/>
      <c r="C9" s="2"/>
      <c r="D9" s="2"/>
      <c r="E9" s="2"/>
      <c r="F9" s="3"/>
      <c r="G9" s="4"/>
      <c r="H9" s="5"/>
      <c r="I9" s="4"/>
      <c r="J9" s="5"/>
      <c r="K9" s="2"/>
      <c r="L9" s="6"/>
      <c r="M9" s="2"/>
      <c r="N9" s="2"/>
      <c r="O9" s="2"/>
      <c r="P9" s="2"/>
      <c r="Q9" s="2"/>
      <c r="R9" s="2"/>
      <c r="S9" s="2"/>
    </row>
    <row x14ac:dyDescent="0.25" r="10" customHeight="1" ht="18.75">
      <c r="A10" s="1"/>
      <c r="B10" s="2"/>
      <c r="C10" s="2"/>
      <c r="D10" s="2"/>
      <c r="E10" s="2"/>
      <c r="F10" s="3"/>
      <c r="G10" s="4"/>
      <c r="H10" s="5"/>
      <c r="I10" s="4"/>
      <c r="J10" s="5"/>
      <c r="K10" s="2"/>
      <c r="L10" s="6"/>
      <c r="M10" s="2"/>
      <c r="N10" s="2"/>
      <c r="O10" s="2"/>
      <c r="P10" s="2"/>
      <c r="Q10" s="2"/>
      <c r="R10" s="2"/>
      <c r="S10" s="2"/>
    </row>
    <row x14ac:dyDescent="0.25" r="11" customHeight="1" ht="18.75">
      <c r="A11" s="1"/>
      <c r="B11" s="2"/>
      <c r="C11" s="2"/>
      <c r="D11" s="2"/>
      <c r="E11" s="2"/>
      <c r="F11" s="3"/>
      <c r="G11" s="4"/>
      <c r="H11" s="5"/>
      <c r="I11" s="4"/>
      <c r="J11" s="5"/>
      <c r="K11" s="2"/>
      <c r="L11" s="6"/>
      <c r="M11" s="2"/>
      <c r="N11" s="2"/>
      <c r="O11" s="2"/>
      <c r="P11" s="2"/>
      <c r="Q11" s="2"/>
      <c r="R11" s="2"/>
      <c r="S11" s="2"/>
    </row>
    <row x14ac:dyDescent="0.25" r="12" customHeight="1" ht="18.75">
      <c r="A12" s="1"/>
      <c r="B12" s="2"/>
      <c r="C12" s="2"/>
      <c r="D12" s="2"/>
      <c r="E12" s="2"/>
      <c r="F12" s="3"/>
      <c r="G12" s="4"/>
      <c r="H12" s="5"/>
      <c r="I12" s="4"/>
      <c r="J12" s="5"/>
      <c r="K12" s="2"/>
      <c r="L12" s="6"/>
      <c r="M12" s="2"/>
      <c r="N12" s="2"/>
      <c r="O12" s="2"/>
      <c r="P12" s="2"/>
      <c r="Q12" s="2"/>
      <c r="R12" s="2"/>
      <c r="S12" s="2"/>
    </row>
    <row x14ac:dyDescent="0.25" r="13" customHeight="1" ht="18.75">
      <c r="A13" s="1"/>
      <c r="B13" s="2"/>
      <c r="C13" s="2"/>
      <c r="D13" s="2"/>
      <c r="E13" s="2"/>
      <c r="F13" s="3"/>
      <c r="G13" s="4"/>
      <c r="H13" s="5"/>
      <c r="I13" s="4"/>
      <c r="J13" s="5"/>
      <c r="K13" s="2"/>
      <c r="L13" s="6"/>
      <c r="M13" s="2"/>
      <c r="N13" s="2"/>
      <c r="O13" s="2"/>
      <c r="P13" s="2"/>
      <c r="Q13" s="2"/>
      <c r="R13" s="2"/>
      <c r="S13" s="2"/>
    </row>
    <row x14ac:dyDescent="0.25" r="14" customHeight="1" ht="18.75">
      <c r="A14" s="1"/>
      <c r="B14" s="2"/>
      <c r="C14" s="2"/>
      <c r="D14" s="2"/>
      <c r="E14" s="2"/>
      <c r="F14" s="3"/>
      <c r="G14" s="4"/>
      <c r="H14" s="5"/>
      <c r="I14" s="4"/>
      <c r="J14" s="5"/>
      <c r="K14" s="2"/>
      <c r="L14" s="6"/>
      <c r="M14" s="2"/>
      <c r="N14" s="2"/>
      <c r="O14" s="2"/>
      <c r="P14" s="2"/>
      <c r="Q14" s="2"/>
      <c r="R14" s="2"/>
      <c r="S14" s="2"/>
    </row>
    <row x14ac:dyDescent="0.25" r="15" customHeight="1" ht="18.75">
      <c r="A15" s="1"/>
      <c r="B15" s="2"/>
      <c r="C15" s="2"/>
      <c r="D15" s="2"/>
      <c r="E15" s="2"/>
      <c r="F15" s="3"/>
      <c r="G15" s="4"/>
      <c r="H15" s="5"/>
      <c r="I15" s="4"/>
      <c r="J15" s="5"/>
      <c r="K15" s="2"/>
      <c r="L15" s="6"/>
      <c r="M15" s="2"/>
      <c r="N15" s="2"/>
      <c r="O15" s="2"/>
      <c r="P15" s="2"/>
      <c r="Q15" s="2"/>
      <c r="R15" s="2"/>
      <c r="S15" s="2"/>
    </row>
    <row x14ac:dyDescent="0.25" r="16" customHeight="1" ht="18.75">
      <c r="A16" s="1"/>
      <c r="B16" s="2"/>
      <c r="C16" s="2"/>
      <c r="D16" s="2"/>
      <c r="E16" s="2"/>
      <c r="F16" s="3"/>
      <c r="G16" s="4"/>
      <c r="H16" s="5"/>
      <c r="I16" s="4"/>
      <c r="J16" s="5"/>
      <c r="K16" s="2"/>
      <c r="L16" s="6"/>
      <c r="M16" s="2"/>
      <c r="N16" s="2"/>
      <c r="O16" s="2"/>
      <c r="P16" s="2"/>
      <c r="Q16" s="2"/>
      <c r="R16" s="2"/>
      <c r="S16" s="2"/>
    </row>
    <row x14ac:dyDescent="0.25" r="17" customHeight="1" ht="18.75">
      <c r="A17" s="1"/>
      <c r="B17" s="2"/>
      <c r="C17" s="2"/>
      <c r="D17" s="2"/>
      <c r="E17" s="2"/>
      <c r="F17" s="3"/>
      <c r="G17" s="4"/>
      <c r="H17" s="5"/>
      <c r="I17" s="4"/>
      <c r="J17" s="5"/>
      <c r="K17" s="2"/>
      <c r="L17" s="6"/>
      <c r="M17" s="2"/>
      <c r="N17" s="2"/>
      <c r="O17" s="2"/>
      <c r="P17" s="2"/>
      <c r="Q17" s="2"/>
      <c r="R17" s="2"/>
      <c r="S17" s="2"/>
    </row>
    <row x14ac:dyDescent="0.25" r="18" customHeight="1" ht="18.75">
      <c r="A18" s="1"/>
      <c r="B18" s="2"/>
      <c r="C18" s="2"/>
      <c r="D18" s="2"/>
      <c r="E18" s="2"/>
      <c r="F18" s="3"/>
      <c r="G18" s="4"/>
      <c r="H18" s="5"/>
      <c r="I18" s="4"/>
      <c r="J18" s="5"/>
      <c r="K18" s="2"/>
      <c r="L18" s="6"/>
      <c r="M18" s="2"/>
      <c r="N18" s="2"/>
      <c r="O18" s="2"/>
      <c r="P18" s="2"/>
      <c r="Q18" s="2"/>
      <c r="R18" s="2"/>
      <c r="S18" s="2"/>
    </row>
    <row x14ac:dyDescent="0.25" r="19" customHeight="1" ht="18.75">
      <c r="A19" s="1"/>
      <c r="B19" s="2"/>
      <c r="C19" s="2"/>
      <c r="D19" s="2"/>
      <c r="E19" s="2"/>
      <c r="F19" s="3"/>
      <c r="G19" s="4"/>
      <c r="H19" s="5"/>
      <c r="I19" s="4"/>
      <c r="J19" s="5"/>
      <c r="K19" s="2"/>
      <c r="L19" s="6"/>
      <c r="M19" s="2"/>
      <c r="N19" s="2"/>
      <c r="O19" s="2"/>
      <c r="P19" s="2"/>
      <c r="Q19" s="2"/>
      <c r="R19" s="2"/>
      <c r="S19" s="2"/>
    </row>
    <row x14ac:dyDescent="0.25" r="20" customHeight="1" ht="18.75">
      <c r="A20" s="1"/>
      <c r="B20" s="2"/>
      <c r="C20" s="2"/>
      <c r="D20" s="2"/>
      <c r="E20" s="2"/>
      <c r="F20" s="3"/>
      <c r="G20" s="4"/>
      <c r="H20" s="5"/>
      <c r="I20" s="4"/>
      <c r="J20" s="5"/>
      <c r="K20" s="2"/>
      <c r="L20" s="6"/>
      <c r="M20" s="2"/>
      <c r="N20" s="2"/>
      <c r="O20" s="2"/>
      <c r="P20" s="2"/>
      <c r="Q20" s="2"/>
      <c r="R20" s="2"/>
      <c r="S20" s="2"/>
    </row>
    <row x14ac:dyDescent="0.25" r="21" customHeight="1" ht="18.75">
      <c r="A21" s="1"/>
      <c r="B21" s="2"/>
      <c r="C21" s="2"/>
      <c r="D21" s="2"/>
      <c r="E21" s="2"/>
      <c r="F21" s="3"/>
      <c r="G21" s="4"/>
      <c r="H21" s="5"/>
      <c r="I21" s="4"/>
      <c r="J21" s="5"/>
      <c r="K21" s="2"/>
      <c r="L21" s="6"/>
      <c r="M21" s="2"/>
      <c r="N21" s="2"/>
      <c r="O21" s="2"/>
      <c r="P21" s="2"/>
      <c r="Q21" s="2"/>
      <c r="R21" s="2"/>
      <c r="S21" s="2"/>
    </row>
    <row x14ac:dyDescent="0.25" r="22" customHeight="1" ht="18.75">
      <c r="A22" s="1"/>
      <c r="B22" s="2"/>
      <c r="C22" s="2"/>
      <c r="D22" s="2"/>
      <c r="E22" s="2"/>
      <c r="F22" s="3"/>
      <c r="G22" s="4"/>
      <c r="H22" s="5"/>
      <c r="I22" s="4"/>
      <c r="J22" s="5"/>
      <c r="K22" s="2"/>
      <c r="L22" s="6"/>
      <c r="M22" s="2"/>
      <c r="N22" s="2"/>
      <c r="O22" s="2"/>
      <c r="P22" s="2"/>
      <c r="Q22" s="2"/>
      <c r="R22" s="2"/>
      <c r="S22" s="2"/>
    </row>
    <row x14ac:dyDescent="0.25" r="23" customHeight="1" ht="18.75">
      <c r="A23" s="1"/>
      <c r="B23" s="2"/>
      <c r="C23" s="2"/>
      <c r="D23" s="2"/>
      <c r="E23" s="2"/>
      <c r="F23" s="3"/>
      <c r="G23" s="4"/>
      <c r="H23" s="5"/>
      <c r="I23" s="4"/>
      <c r="J23" s="5"/>
      <c r="K23" s="2"/>
      <c r="L23" s="6"/>
      <c r="M23" s="2"/>
      <c r="N23" s="2"/>
      <c r="O23" s="2"/>
      <c r="P23" s="2"/>
      <c r="Q23" s="2"/>
      <c r="R23" s="2"/>
      <c r="S23" s="2"/>
    </row>
    <row x14ac:dyDescent="0.25" r="24" customHeight="1" ht="18.75">
      <c r="A24" s="1"/>
      <c r="B24" s="2"/>
      <c r="C24" s="2"/>
      <c r="D24" s="2"/>
      <c r="E24" s="2"/>
      <c r="F24" s="3"/>
      <c r="G24" s="4"/>
      <c r="H24" s="5"/>
      <c r="I24" s="4"/>
      <c r="J24" s="5"/>
      <c r="K24" s="2"/>
      <c r="L24" s="6"/>
      <c r="M24" s="2"/>
      <c r="N24" s="2"/>
      <c r="O24" s="2"/>
      <c r="P24" s="2"/>
      <c r="Q24" s="2"/>
      <c r="R24" s="2"/>
      <c r="S24" s="2"/>
    </row>
    <row x14ac:dyDescent="0.25" r="25" customHeight="1" ht="18.75">
      <c r="A25" s="1"/>
      <c r="B25" s="2"/>
      <c r="C25" s="2"/>
      <c r="D25" s="2"/>
      <c r="E25" s="2"/>
      <c r="F25" s="3"/>
      <c r="G25" s="4"/>
      <c r="H25" s="5"/>
      <c r="I25" s="4"/>
      <c r="J25" s="5"/>
      <c r="K25" s="2"/>
      <c r="L25" s="6"/>
      <c r="M25" s="2"/>
      <c r="N25" s="2"/>
      <c r="O25" s="2"/>
      <c r="P25" s="2"/>
      <c r="Q25" s="2"/>
      <c r="R25" s="2"/>
      <c r="S25" s="2"/>
    </row>
    <row x14ac:dyDescent="0.25" r="26" customHeight="1" ht="18.75">
      <c r="A26" s="1"/>
      <c r="B26" s="2"/>
      <c r="C26" s="2"/>
      <c r="D26" s="2"/>
      <c r="E26" s="2"/>
      <c r="F26" s="3"/>
      <c r="G26" s="4"/>
      <c r="H26" s="5"/>
      <c r="I26" s="4"/>
      <c r="J26" s="5"/>
      <c r="K26" s="2"/>
      <c r="L26" s="6"/>
      <c r="M26" s="2"/>
      <c r="N26" s="2"/>
      <c r="O26" s="2"/>
      <c r="P26" s="2"/>
      <c r="Q26" s="2"/>
      <c r="R26" s="2"/>
      <c r="S26" s="2"/>
    </row>
    <row x14ac:dyDescent="0.25" r="27" customHeight="1" ht="18.75">
      <c r="A27" s="1"/>
      <c r="B27" s="2"/>
      <c r="C27" s="2"/>
      <c r="D27" s="2"/>
      <c r="E27" s="2"/>
      <c r="F27" s="3"/>
      <c r="G27" s="4"/>
      <c r="H27" s="5"/>
      <c r="I27" s="4"/>
      <c r="J27" s="5"/>
      <c r="K27" s="2"/>
      <c r="L27" s="6"/>
      <c r="M27" s="2"/>
      <c r="N27" s="2"/>
      <c r="O27" s="2"/>
      <c r="P27" s="2"/>
      <c r="Q27" s="2"/>
      <c r="R27" s="2"/>
      <c r="S27" s="2"/>
    </row>
    <row x14ac:dyDescent="0.25" r="28" customHeight="1" ht="18.75">
      <c r="A28" s="1"/>
      <c r="B28" s="2"/>
      <c r="C28" s="2"/>
      <c r="D28" s="2"/>
      <c r="E28" s="2"/>
      <c r="F28" s="3"/>
      <c r="G28" s="4"/>
      <c r="H28" s="5"/>
      <c r="I28" s="4"/>
      <c r="J28" s="5"/>
      <c r="K28" s="2"/>
      <c r="L28" s="6"/>
      <c r="M28" s="2"/>
      <c r="N28" s="2"/>
      <c r="O28" s="2"/>
      <c r="P28" s="2"/>
      <c r="Q28" s="2"/>
      <c r="R28" s="2"/>
      <c r="S28" s="2"/>
    </row>
    <row x14ac:dyDescent="0.25" r="29" customHeight="1" ht="18.75">
      <c r="A29" s="1"/>
      <c r="B29" s="2"/>
      <c r="C29" s="2"/>
      <c r="D29" s="2"/>
      <c r="E29" s="2"/>
      <c r="F29" s="3"/>
      <c r="G29" s="4"/>
      <c r="H29" s="5"/>
      <c r="I29" s="4"/>
      <c r="J29" s="5"/>
      <c r="K29" s="2"/>
      <c r="L29" s="6"/>
      <c r="M29" s="2"/>
      <c r="N29" s="2"/>
      <c r="O29" s="2"/>
      <c r="P29" s="2"/>
      <c r="Q29" s="2"/>
      <c r="R29" s="2"/>
      <c r="S29" s="2"/>
    </row>
    <row x14ac:dyDescent="0.25" r="30" customHeight="1" ht="18.75">
      <c r="A30" s="1"/>
      <c r="B30" s="2"/>
      <c r="C30" s="2"/>
      <c r="D30" s="2"/>
      <c r="E30" s="2"/>
      <c r="F30" s="3"/>
      <c r="G30" s="4"/>
      <c r="H30" s="5"/>
      <c r="I30" s="4"/>
      <c r="J30" s="5"/>
      <c r="K30" s="2"/>
      <c r="L30" s="6"/>
      <c r="M30" s="2"/>
      <c r="N30" s="2"/>
      <c r="O30" s="2"/>
      <c r="P30" s="2"/>
      <c r="Q30" s="2"/>
      <c r="R30" s="2"/>
      <c r="S30" s="2"/>
    </row>
    <row x14ac:dyDescent="0.25" r="31" customHeight="1" ht="18.75">
      <c r="A31" s="1"/>
      <c r="B31" s="2"/>
      <c r="C31" s="2"/>
      <c r="D31" s="2"/>
      <c r="E31" s="2"/>
      <c r="F31" s="3"/>
      <c r="G31" s="4"/>
      <c r="H31" s="5"/>
      <c r="I31" s="4"/>
      <c r="J31" s="5"/>
      <c r="K31" s="2"/>
      <c r="L31" s="6"/>
      <c r="M31" s="2"/>
      <c r="N31" s="2"/>
      <c r="O31" s="2"/>
      <c r="P31" s="2"/>
      <c r="Q31" s="2"/>
      <c r="R31" s="2"/>
      <c r="S31" s="2"/>
    </row>
    <row x14ac:dyDescent="0.25" r="32" customHeight="1" ht="18.75">
      <c r="A32" s="1"/>
      <c r="B32" s="2"/>
      <c r="C32" s="2"/>
      <c r="D32" s="2"/>
      <c r="E32" s="2"/>
      <c r="F32" s="3"/>
      <c r="G32" s="4"/>
      <c r="H32" s="5"/>
      <c r="I32" s="4"/>
      <c r="J32" s="5"/>
      <c r="K32" s="2"/>
      <c r="L32" s="6"/>
      <c r="M32" s="2"/>
      <c r="N32" s="2"/>
      <c r="O32" s="2"/>
      <c r="P32" s="2"/>
      <c r="Q32" s="2"/>
      <c r="R32" s="2"/>
      <c r="S32" s="2"/>
    </row>
    <row x14ac:dyDescent="0.25" r="33" customHeight="1" ht="18.75">
      <c r="A33" s="1"/>
      <c r="B33" s="2"/>
      <c r="C33" s="2"/>
      <c r="D33" s="2"/>
      <c r="E33" s="2"/>
      <c r="F33" s="3"/>
      <c r="G33" s="4"/>
      <c r="H33" s="5"/>
      <c r="I33" s="4"/>
      <c r="J33" s="5"/>
      <c r="K33" s="2"/>
      <c r="L33" s="6"/>
      <c r="M33" s="2"/>
      <c r="N33" s="2"/>
      <c r="O33" s="2"/>
      <c r="P33" s="2"/>
      <c r="Q33" s="2"/>
      <c r="R33" s="2"/>
      <c r="S33" s="2"/>
    </row>
    <row x14ac:dyDescent="0.25" r="34" customHeight="1" ht="18.75">
      <c r="A34" s="1"/>
      <c r="B34" s="2"/>
      <c r="C34" s="2"/>
      <c r="D34" s="2"/>
      <c r="E34" s="2"/>
      <c r="F34" s="3"/>
      <c r="G34" s="4"/>
      <c r="H34" s="5"/>
      <c r="I34" s="4"/>
      <c r="J34" s="5"/>
      <c r="K34" s="2"/>
      <c r="L34" s="6"/>
      <c r="M34" s="2"/>
      <c r="N34" s="2"/>
      <c r="O34" s="2"/>
      <c r="P34" s="2"/>
      <c r="Q34" s="2"/>
      <c r="R34" s="2"/>
      <c r="S34" s="2"/>
    </row>
    <row x14ac:dyDescent="0.25" r="35" customHeight="1" ht="18.75">
      <c r="A35" s="1"/>
      <c r="B35" s="2"/>
      <c r="C35" s="2"/>
      <c r="D35" s="2"/>
      <c r="E35" s="2"/>
      <c r="F35" s="3"/>
      <c r="G35" s="4"/>
      <c r="H35" s="5"/>
      <c r="I35" s="4"/>
      <c r="J35" s="5"/>
      <c r="K35" s="2"/>
      <c r="L35" s="6"/>
      <c r="M35" s="2"/>
      <c r="N35" s="2"/>
      <c r="O35" s="2"/>
      <c r="P35" s="2"/>
      <c r="Q35" s="2"/>
      <c r="R35" s="2"/>
      <c r="S35" s="2"/>
    </row>
    <row x14ac:dyDescent="0.25" r="36" customHeight="1" ht="18.75">
      <c r="A36" s="1"/>
      <c r="B36" s="2"/>
      <c r="C36" s="2"/>
      <c r="D36" s="2"/>
      <c r="E36" s="2"/>
      <c r="F36" s="3"/>
      <c r="G36" s="4"/>
      <c r="H36" s="5"/>
      <c r="I36" s="4"/>
      <c r="J36" s="5"/>
      <c r="K36" s="2"/>
      <c r="L36" s="6"/>
      <c r="M36" s="2"/>
      <c r="N36" s="2"/>
      <c r="O36" s="2"/>
      <c r="P36" s="2"/>
      <c r="Q36" s="2"/>
      <c r="R36" s="2"/>
      <c r="S36" s="2"/>
    </row>
    <row x14ac:dyDescent="0.25" r="37" customHeight="1" ht="18.75">
      <c r="A37" s="1"/>
      <c r="B37" s="2"/>
      <c r="C37" s="2"/>
      <c r="D37" s="2"/>
      <c r="E37" s="2"/>
      <c r="F37" s="3"/>
      <c r="G37" s="4"/>
      <c r="H37" s="5"/>
      <c r="I37" s="4"/>
      <c r="J37" s="5"/>
      <c r="K37" s="2"/>
      <c r="L37" s="6"/>
      <c r="M37" s="2"/>
      <c r="N37" s="2"/>
      <c r="O37" s="2"/>
      <c r="P37" s="2"/>
      <c r="Q37" s="2"/>
      <c r="R37" s="2"/>
      <c r="S37" s="2"/>
    </row>
    <row x14ac:dyDescent="0.25" r="38" customHeight="1" ht="18.75">
      <c r="A38" s="1"/>
      <c r="B38" s="2"/>
      <c r="C38" s="2"/>
      <c r="D38" s="2"/>
      <c r="E38" s="2"/>
      <c r="F38" s="3"/>
      <c r="G38" s="4"/>
      <c r="H38" s="5"/>
      <c r="I38" s="4"/>
      <c r="J38" s="5"/>
      <c r="K38" s="2"/>
      <c r="L38" s="6"/>
      <c r="M38" s="2"/>
      <c r="N38" s="2"/>
      <c r="O38" s="2"/>
      <c r="P38" s="2"/>
      <c r="Q38" s="2"/>
      <c r="R38" s="2"/>
      <c r="S38" s="2"/>
    </row>
    <row x14ac:dyDescent="0.25" r="39" customHeight="1" ht="18.75">
      <c r="A39" s="1"/>
      <c r="B39" s="2"/>
      <c r="C39" s="2"/>
      <c r="D39" s="2"/>
      <c r="E39" s="2"/>
      <c r="F39" s="3"/>
      <c r="G39" s="4"/>
      <c r="H39" s="5"/>
      <c r="I39" s="4"/>
      <c r="J39" s="5"/>
      <c r="K39" s="2"/>
      <c r="L39" s="6"/>
      <c r="M39" s="2"/>
      <c r="N39" s="2"/>
      <c r="O39" s="2"/>
      <c r="P39" s="2"/>
      <c r="Q39" s="2"/>
      <c r="R39" s="2"/>
      <c r="S39" s="2"/>
    </row>
    <row x14ac:dyDescent="0.25" r="40" customHeight="1" ht="18.75">
      <c r="A40" s="1"/>
      <c r="B40" s="2"/>
      <c r="C40" s="2"/>
      <c r="D40" s="2"/>
      <c r="E40" s="2"/>
      <c r="F40" s="3"/>
      <c r="G40" s="4"/>
      <c r="H40" s="5"/>
      <c r="I40" s="4"/>
      <c r="J40" s="5"/>
      <c r="K40" s="2"/>
      <c r="L40" s="6"/>
      <c r="M40" s="2"/>
      <c r="N40" s="2"/>
      <c r="O40" s="2"/>
      <c r="P40" s="2"/>
      <c r="Q40" s="2"/>
      <c r="R40" s="2"/>
      <c r="S40" s="2"/>
    </row>
    <row x14ac:dyDescent="0.25" r="41" customHeight="1" ht="18.75">
      <c r="A41" s="1"/>
      <c r="B41" s="2"/>
      <c r="C41" s="2"/>
      <c r="D41" s="2"/>
      <c r="E41" s="2"/>
      <c r="F41" s="3"/>
      <c r="G41" s="4"/>
      <c r="H41" s="5"/>
      <c r="I41" s="4"/>
      <c r="J41" s="5"/>
      <c r="K41" s="2"/>
      <c r="L41" s="6"/>
      <c r="M41" s="2"/>
      <c r="N41" s="2"/>
      <c r="O41" s="2"/>
      <c r="P41" s="2"/>
      <c r="Q41" s="2"/>
      <c r="R41" s="2"/>
      <c r="S41" s="2"/>
    </row>
    <row x14ac:dyDescent="0.25" r="42" customHeight="1" ht="18.75">
      <c r="A42" s="1"/>
      <c r="B42" s="2"/>
      <c r="C42" s="2"/>
      <c r="D42" s="2"/>
      <c r="E42" s="2"/>
      <c r="F42" s="3"/>
      <c r="G42" s="4"/>
      <c r="H42" s="5"/>
      <c r="I42" s="4"/>
      <c r="J42" s="5"/>
      <c r="K42" s="2"/>
      <c r="L42" s="6"/>
      <c r="M42" s="2"/>
      <c r="N42" s="2"/>
      <c r="O42" s="2"/>
      <c r="P42" s="2"/>
      <c r="Q42" s="2"/>
      <c r="R42" s="2"/>
      <c r="S42" s="2"/>
    </row>
    <row x14ac:dyDescent="0.25" r="43" customHeight="1" ht="18.75">
      <c r="A43" s="1"/>
      <c r="B43" s="2"/>
      <c r="C43" s="2"/>
      <c r="D43" s="2"/>
      <c r="E43" s="2"/>
      <c r="F43" s="3"/>
      <c r="G43" s="4"/>
      <c r="H43" s="5"/>
      <c r="I43" s="4"/>
      <c r="J43" s="5"/>
      <c r="K43" s="2"/>
      <c r="L43" s="6"/>
      <c r="M43" s="2"/>
      <c r="N43" s="2"/>
      <c r="O43" s="2"/>
      <c r="P43" s="2"/>
      <c r="Q43" s="2"/>
      <c r="R43" s="2"/>
      <c r="S43" s="2"/>
    </row>
    <row x14ac:dyDescent="0.25" r="44" customHeight="1" ht="18.75">
      <c r="A44" s="1"/>
      <c r="B44" s="2"/>
      <c r="C44" s="2"/>
      <c r="D44" s="2"/>
      <c r="E44" s="2"/>
      <c r="F44" s="3"/>
      <c r="G44" s="4"/>
      <c r="H44" s="5"/>
      <c r="I44" s="4"/>
      <c r="J44" s="5"/>
      <c r="K44" s="2"/>
      <c r="L44" s="6"/>
      <c r="M44" s="2"/>
      <c r="N44" s="2"/>
      <c r="O44" s="2"/>
      <c r="P44" s="2"/>
      <c r="Q44" s="2"/>
      <c r="R44" s="2"/>
      <c r="S44" s="2"/>
    </row>
    <row x14ac:dyDescent="0.25" r="45" customHeight="1" ht="18.75">
      <c r="A45" s="1"/>
      <c r="B45" s="2"/>
      <c r="C45" s="2"/>
      <c r="D45" s="2"/>
      <c r="E45" s="2"/>
      <c r="F45" s="3"/>
      <c r="G45" s="4"/>
      <c r="H45" s="5"/>
      <c r="I45" s="4"/>
      <c r="J45" s="5"/>
      <c r="K45" s="2"/>
      <c r="L45" s="6"/>
      <c r="M45" s="2"/>
      <c r="N45" s="2"/>
      <c r="O45" s="2"/>
      <c r="P45" s="2"/>
      <c r="Q45" s="2"/>
      <c r="R45" s="2"/>
      <c r="S45" s="2"/>
    </row>
    <row x14ac:dyDescent="0.25" r="46" customHeight="1" ht="18.75">
      <c r="A46" s="1"/>
      <c r="B46" s="2"/>
      <c r="C46" s="2"/>
      <c r="D46" s="2"/>
      <c r="E46" s="2"/>
      <c r="F46" s="3"/>
      <c r="G46" s="4"/>
      <c r="H46" s="5"/>
      <c r="I46" s="4"/>
      <c r="J46" s="5"/>
      <c r="K46" s="2"/>
      <c r="L46" s="6"/>
      <c r="M46" s="2"/>
      <c r="N46" s="2"/>
      <c r="O46" s="2"/>
      <c r="P46" s="2"/>
      <c r="Q46" s="2"/>
      <c r="R46" s="2"/>
      <c r="S46" s="2"/>
    </row>
    <row x14ac:dyDescent="0.25" r="47" customHeight="1" ht="18.75">
      <c r="A47" s="1"/>
      <c r="B47" s="2"/>
      <c r="C47" s="2"/>
      <c r="D47" s="2"/>
      <c r="E47" s="2"/>
      <c r="F47" s="3"/>
      <c r="G47" s="4"/>
      <c r="H47" s="5"/>
      <c r="I47" s="4"/>
      <c r="J47" s="5"/>
      <c r="K47" s="2"/>
      <c r="L47" s="6"/>
      <c r="M47" s="2"/>
      <c r="N47" s="2"/>
      <c r="O47" s="2"/>
      <c r="P47" s="2"/>
      <c r="Q47" s="2"/>
      <c r="R47" s="2"/>
      <c r="S47" s="2"/>
    </row>
    <row x14ac:dyDescent="0.25" r="48" customHeight="1" ht="18.75">
      <c r="A48" s="1"/>
      <c r="B48" s="2"/>
      <c r="C48" s="2"/>
      <c r="D48" s="2"/>
      <c r="E48" s="2"/>
      <c r="F48" s="3"/>
      <c r="G48" s="4"/>
      <c r="H48" s="5"/>
      <c r="I48" s="4"/>
      <c r="J48" s="5"/>
      <c r="K48" s="2"/>
      <c r="L48" s="6"/>
      <c r="M48" s="2"/>
      <c r="N48" s="2"/>
      <c r="O48" s="2"/>
      <c r="P48" s="2"/>
      <c r="Q48" s="2"/>
      <c r="R48" s="2"/>
      <c r="S48" s="2"/>
    </row>
    <row x14ac:dyDescent="0.25" r="49" customHeight="1" ht="18.75">
      <c r="A49" s="1"/>
      <c r="B49" s="2"/>
      <c r="C49" s="2"/>
      <c r="D49" s="2"/>
      <c r="E49" s="2"/>
      <c r="F49" s="3"/>
      <c r="G49" s="4"/>
      <c r="H49" s="5"/>
      <c r="I49" s="4"/>
      <c r="J49" s="5"/>
      <c r="K49" s="2"/>
      <c r="L49" s="6"/>
      <c r="M49" s="2"/>
      <c r="N49" s="2"/>
      <c r="O49" s="2"/>
      <c r="P49" s="2"/>
      <c r="Q49" s="2"/>
      <c r="R49" s="2"/>
      <c r="S49" s="2"/>
    </row>
    <row x14ac:dyDescent="0.25" r="50" customHeight="1" ht="18.75">
      <c r="A50" s="1"/>
      <c r="B50" s="2"/>
      <c r="C50" s="2"/>
      <c r="D50" s="2"/>
      <c r="E50" s="2"/>
      <c r="F50" s="3"/>
      <c r="G50" s="4"/>
      <c r="H50" s="5"/>
      <c r="I50" s="4"/>
      <c r="J50" s="5"/>
      <c r="K50" s="2"/>
      <c r="L50" s="6"/>
      <c r="M50" s="2"/>
      <c r="N50" s="2"/>
      <c r="O50" s="2"/>
      <c r="P50" s="2"/>
      <c r="Q50" s="2"/>
      <c r="R50" s="2"/>
      <c r="S50" s="2"/>
    </row>
    <row x14ac:dyDescent="0.25" r="51" customHeight="1" ht="18.75">
      <c r="A51" s="1"/>
      <c r="B51" s="2"/>
      <c r="C51" s="2"/>
      <c r="D51" s="2"/>
      <c r="E51" s="2"/>
      <c r="F51" s="3"/>
      <c r="G51" s="4"/>
      <c r="H51" s="5"/>
      <c r="I51" s="4"/>
      <c r="J51" s="5"/>
      <c r="K51" s="2"/>
      <c r="L51" s="6"/>
      <c r="M51" s="2"/>
      <c r="N51" s="2"/>
      <c r="O51" s="2"/>
      <c r="P51" s="2"/>
      <c r="Q51" s="2"/>
      <c r="R51" s="2"/>
      <c r="S51" s="2"/>
    </row>
    <row x14ac:dyDescent="0.25" r="52" customHeight="1" ht="18.75">
      <c r="A52" s="1"/>
      <c r="B52" s="2"/>
      <c r="C52" s="2"/>
      <c r="D52" s="2"/>
      <c r="E52" s="2"/>
      <c r="F52" s="3"/>
      <c r="G52" s="4"/>
      <c r="H52" s="5"/>
      <c r="I52" s="4"/>
      <c r="J52" s="5"/>
      <c r="K52" s="2"/>
      <c r="L52" s="6"/>
      <c r="M52" s="2"/>
      <c r="N52" s="2"/>
      <c r="O52" s="2"/>
      <c r="P52" s="2"/>
      <c r="Q52" s="2"/>
      <c r="R52" s="2"/>
      <c r="S52" s="2"/>
    </row>
    <row x14ac:dyDescent="0.25" r="53" customHeight="1" ht="18.75">
      <c r="A53" s="1"/>
      <c r="B53" s="2"/>
      <c r="C53" s="2"/>
      <c r="D53" s="2"/>
      <c r="E53" s="2"/>
      <c r="F53" s="3"/>
      <c r="G53" s="4"/>
      <c r="H53" s="5"/>
      <c r="I53" s="4"/>
      <c r="J53" s="5"/>
      <c r="K53" s="2"/>
      <c r="L53" s="6"/>
      <c r="M53" s="2"/>
      <c r="N53" s="2"/>
      <c r="O53" s="2"/>
      <c r="P53" s="2"/>
      <c r="Q53" s="2"/>
      <c r="R53" s="2"/>
      <c r="S53" s="2"/>
    </row>
    <row x14ac:dyDescent="0.25" r="54" customHeight="1" ht="18.75">
      <c r="A54" s="1"/>
      <c r="B54" s="2"/>
      <c r="C54" s="2"/>
      <c r="D54" s="2"/>
      <c r="E54" s="2"/>
      <c r="F54" s="3"/>
      <c r="G54" s="4"/>
      <c r="H54" s="5"/>
      <c r="I54" s="4"/>
      <c r="J54" s="5"/>
      <c r="K54" s="2"/>
      <c r="L54" s="6"/>
      <c r="M54" s="2"/>
      <c r="N54" s="2"/>
      <c r="O54" s="2"/>
      <c r="P54" s="2"/>
      <c r="Q54" s="2"/>
      <c r="R54" s="2"/>
      <c r="S54" s="2"/>
    </row>
    <row x14ac:dyDescent="0.25" r="55" customHeight="1" ht="18.75">
      <c r="A55" s="1"/>
      <c r="B55" s="2"/>
      <c r="C55" s="2"/>
      <c r="D55" s="2"/>
      <c r="E55" s="2"/>
      <c r="F55" s="3"/>
      <c r="G55" s="4"/>
      <c r="H55" s="5"/>
      <c r="I55" s="4"/>
      <c r="J55" s="5"/>
      <c r="K55" s="2"/>
      <c r="L55" s="6"/>
      <c r="M55" s="2"/>
      <c r="N55" s="2"/>
      <c r="O55" s="2"/>
      <c r="P55" s="2"/>
      <c r="Q55" s="2"/>
      <c r="R55" s="2"/>
      <c r="S55" s="2"/>
    </row>
    <row x14ac:dyDescent="0.25" r="56" customHeight="1" ht="18.75">
      <c r="A56" s="1"/>
      <c r="B56" s="2"/>
      <c r="C56" s="2"/>
      <c r="D56" s="2"/>
      <c r="E56" s="2"/>
      <c r="F56" s="3"/>
      <c r="G56" s="4"/>
      <c r="H56" s="5"/>
      <c r="I56" s="4"/>
      <c r="J56" s="5"/>
      <c r="K56" s="2"/>
      <c r="L56" s="6"/>
      <c r="M56" s="2"/>
      <c r="N56" s="2"/>
      <c r="O56" s="2"/>
      <c r="P56" s="2"/>
      <c r="Q56" s="2"/>
      <c r="R56" s="2"/>
      <c r="S56" s="2"/>
    </row>
    <row x14ac:dyDescent="0.25" r="57" customHeight="1" ht="18.75">
      <c r="A57" s="1"/>
      <c r="B57" s="2"/>
      <c r="C57" s="2"/>
      <c r="D57" s="2"/>
      <c r="E57" s="2"/>
      <c r="F57" s="3"/>
      <c r="G57" s="4"/>
      <c r="H57" s="5"/>
      <c r="I57" s="4"/>
      <c r="J57" s="5"/>
      <c r="K57" s="2"/>
      <c r="L57" s="6"/>
      <c r="M57" s="2"/>
      <c r="N57" s="2"/>
      <c r="O57" s="2"/>
      <c r="P57" s="2"/>
      <c r="Q57" s="2"/>
      <c r="R57" s="2"/>
      <c r="S57" s="2"/>
    </row>
    <row x14ac:dyDescent="0.25" r="58" customHeight="1" ht="18.75">
      <c r="A58" s="1"/>
      <c r="B58" s="2"/>
      <c r="C58" s="2"/>
      <c r="D58" s="2"/>
      <c r="E58" s="2"/>
      <c r="F58" s="3"/>
      <c r="G58" s="4"/>
      <c r="H58" s="5"/>
      <c r="I58" s="4"/>
      <c r="J58" s="5"/>
      <c r="K58" s="2"/>
      <c r="L58" s="6"/>
      <c r="M58" s="2"/>
      <c r="N58" s="2"/>
      <c r="O58" s="2"/>
      <c r="P58" s="2"/>
      <c r="Q58" s="2"/>
      <c r="R58" s="2"/>
      <c r="S58" s="2"/>
    </row>
    <row x14ac:dyDescent="0.25" r="59" customHeight="1" ht="18.75">
      <c r="A59" s="1"/>
      <c r="B59" s="2"/>
      <c r="C59" s="2"/>
      <c r="D59" s="2"/>
      <c r="E59" s="2"/>
      <c r="F59" s="3"/>
      <c r="G59" s="4"/>
      <c r="H59" s="5"/>
      <c r="I59" s="4"/>
      <c r="J59" s="5"/>
      <c r="K59" s="2"/>
      <c r="L59" s="6"/>
      <c r="M59" s="2"/>
      <c r="N59" s="2"/>
      <c r="O59" s="2"/>
      <c r="P59" s="2"/>
      <c r="Q59" s="2"/>
      <c r="R59" s="2"/>
      <c r="S59" s="2"/>
    </row>
    <row x14ac:dyDescent="0.25" r="60" customHeight="1" ht="18.75">
      <c r="A60" s="1"/>
      <c r="B60" s="2"/>
      <c r="C60" s="2"/>
      <c r="D60" s="2"/>
      <c r="E60" s="2"/>
      <c r="F60" s="3"/>
      <c r="G60" s="4"/>
      <c r="H60" s="5"/>
      <c r="I60" s="4"/>
      <c r="J60" s="5"/>
      <c r="K60" s="2"/>
      <c r="L60" s="6"/>
      <c r="M60" s="2"/>
      <c r="N60" s="2"/>
      <c r="O60" s="2"/>
      <c r="P60" s="2"/>
      <c r="Q60" s="2"/>
      <c r="R60" s="2"/>
      <c r="S60" s="2"/>
    </row>
    <row x14ac:dyDescent="0.25" r="61" customHeight="1" ht="18.75">
      <c r="A61" s="1"/>
      <c r="B61" s="2"/>
      <c r="C61" s="2"/>
      <c r="D61" s="2"/>
      <c r="E61" s="2"/>
      <c r="F61" s="3"/>
      <c r="G61" s="4"/>
      <c r="H61" s="5"/>
      <c r="I61" s="4"/>
      <c r="J61" s="5"/>
      <c r="K61" s="2"/>
      <c r="L61" s="6"/>
      <c r="M61" s="2"/>
      <c r="N61" s="2"/>
      <c r="O61" s="2"/>
      <c r="P61" s="2"/>
      <c r="Q61" s="2"/>
      <c r="R61" s="2"/>
      <c r="S61" s="2"/>
    </row>
    <row x14ac:dyDescent="0.25" r="62" customHeight="1" ht="18.75">
      <c r="A62" s="1"/>
      <c r="B62" s="2"/>
      <c r="C62" s="2"/>
      <c r="D62" s="2"/>
      <c r="E62" s="2"/>
      <c r="F62" s="3"/>
      <c r="G62" s="4"/>
      <c r="H62" s="5"/>
      <c r="I62" s="4"/>
      <c r="J62" s="5"/>
      <c r="K62" s="2"/>
      <c r="L62" s="6"/>
      <c r="M62" s="2"/>
      <c r="N62" s="2"/>
      <c r="O62" s="2"/>
      <c r="P62" s="2"/>
      <c r="Q62" s="2"/>
      <c r="R62" s="2"/>
      <c r="S62" s="2"/>
    </row>
    <row x14ac:dyDescent="0.25" r="63" customHeight="1" ht="18.75">
      <c r="A63" s="1"/>
      <c r="B63" s="2"/>
      <c r="C63" s="2"/>
      <c r="D63" s="2"/>
      <c r="E63" s="2"/>
      <c r="F63" s="3"/>
      <c r="G63" s="4"/>
      <c r="H63" s="5"/>
      <c r="I63" s="4"/>
      <c r="J63" s="5"/>
      <c r="K63" s="2"/>
      <c r="L63" s="6"/>
      <c r="M63" s="2"/>
      <c r="N63" s="2"/>
      <c r="O63" s="2"/>
      <c r="P63" s="2"/>
      <c r="Q63" s="2"/>
      <c r="R63" s="2"/>
      <c r="S63" s="2"/>
    </row>
    <row x14ac:dyDescent="0.25" r="64" customHeight="1" ht="18.75">
      <c r="A64" s="1"/>
      <c r="B64" s="2"/>
      <c r="C64" s="2"/>
      <c r="D64" s="2"/>
      <c r="E64" s="2"/>
      <c r="F64" s="3"/>
      <c r="G64" s="4"/>
      <c r="H64" s="5"/>
      <c r="I64" s="4"/>
      <c r="J64" s="5"/>
      <c r="K64" s="2"/>
      <c r="L64" s="6"/>
      <c r="M64" s="2"/>
      <c r="N64" s="2"/>
      <c r="O64" s="2"/>
      <c r="P64" s="2"/>
      <c r="Q64" s="2"/>
      <c r="R64" s="2"/>
      <c r="S64" s="2"/>
    </row>
    <row x14ac:dyDescent="0.25" r="65" customHeight="1" ht="18.75">
      <c r="A65" s="1"/>
      <c r="B65" s="2"/>
      <c r="C65" s="2"/>
      <c r="D65" s="2"/>
      <c r="E65" s="2"/>
      <c r="F65" s="3"/>
      <c r="G65" s="4"/>
      <c r="H65" s="5"/>
      <c r="I65" s="4"/>
      <c r="J65" s="5"/>
      <c r="K65" s="2"/>
      <c r="L65" s="6"/>
      <c r="M65" s="2"/>
      <c r="N65" s="2"/>
      <c r="O65" s="2"/>
      <c r="P65" s="2"/>
      <c r="Q65" s="2"/>
      <c r="R65" s="2"/>
      <c r="S65" s="2"/>
    </row>
    <row x14ac:dyDescent="0.25" r="66" customHeight="1" ht="18.75">
      <c r="A66" s="1"/>
      <c r="B66" s="2"/>
      <c r="C66" s="2"/>
      <c r="D66" s="2"/>
      <c r="E66" s="2"/>
      <c r="F66" s="3"/>
      <c r="G66" s="4"/>
      <c r="H66" s="5"/>
      <c r="I66" s="4"/>
      <c r="J66" s="5"/>
      <c r="K66" s="2"/>
      <c r="L66" s="6"/>
      <c r="M66" s="2"/>
      <c r="N66" s="2"/>
      <c r="O66" s="2"/>
      <c r="P66" s="2"/>
      <c r="Q66" s="2"/>
      <c r="R66" s="2"/>
      <c r="S66" s="2"/>
    </row>
    <row x14ac:dyDescent="0.25" r="67" customHeight="1" ht="18.75">
      <c r="A67" s="1"/>
      <c r="B67" s="2"/>
      <c r="C67" s="2"/>
      <c r="D67" s="2"/>
      <c r="E67" s="2"/>
      <c r="F67" s="3"/>
      <c r="G67" s="4"/>
      <c r="H67" s="5"/>
      <c r="I67" s="4"/>
      <c r="J67" s="5"/>
      <c r="K67" s="2"/>
      <c r="L67" s="6"/>
      <c r="M67" s="2"/>
      <c r="N67" s="2"/>
      <c r="O67" s="2"/>
      <c r="P67" s="2"/>
      <c r="Q67" s="2"/>
      <c r="R67" s="2"/>
      <c r="S67" s="2"/>
    </row>
    <row x14ac:dyDescent="0.25" r="68" customHeight="1" ht="18.75">
      <c r="A68" s="1"/>
      <c r="B68" s="2"/>
      <c r="C68" s="2"/>
      <c r="D68" s="2"/>
      <c r="E68" s="2"/>
      <c r="F68" s="3"/>
      <c r="G68" s="4"/>
      <c r="H68" s="5"/>
      <c r="I68" s="4"/>
      <c r="J68" s="5"/>
      <c r="K68" s="2"/>
      <c r="L68" s="6"/>
      <c r="M68" s="2"/>
      <c r="N68" s="2"/>
      <c r="O68" s="2"/>
      <c r="P68" s="2"/>
      <c r="Q68" s="2"/>
      <c r="R68" s="2"/>
      <c r="S68" s="2"/>
    </row>
    <row x14ac:dyDescent="0.25" r="69" customHeight="1" ht="18.75">
      <c r="A69" s="1"/>
      <c r="B69" s="2"/>
      <c r="C69" s="2"/>
      <c r="D69" s="2"/>
      <c r="E69" s="2"/>
      <c r="F69" s="3"/>
      <c r="G69" s="4"/>
      <c r="H69" s="5"/>
      <c r="I69" s="4"/>
      <c r="J69" s="5"/>
      <c r="K69" s="2"/>
      <c r="L69" s="6"/>
      <c r="M69" s="2"/>
      <c r="N69" s="2"/>
      <c r="O69" s="2"/>
      <c r="P69" s="2"/>
      <c r="Q69" s="2"/>
      <c r="R69" s="2"/>
      <c r="S69" s="2"/>
    </row>
    <row x14ac:dyDescent="0.25" r="70" customHeight="1" ht="18.75">
      <c r="A70" s="1"/>
      <c r="B70" s="2"/>
      <c r="C70" s="2"/>
      <c r="D70" s="2"/>
      <c r="E70" s="2"/>
      <c r="F70" s="3"/>
      <c r="G70" s="4"/>
      <c r="H70" s="5"/>
      <c r="I70" s="4"/>
      <c r="J70" s="5"/>
      <c r="K70" s="2"/>
      <c r="L70" s="6"/>
      <c r="M70" s="2"/>
      <c r="N70" s="2"/>
      <c r="O70" s="2"/>
      <c r="P70" s="2"/>
      <c r="Q70" s="2"/>
      <c r="R70" s="2"/>
      <c r="S70" s="2"/>
    </row>
    <row x14ac:dyDescent="0.25" r="71" customHeight="1" ht="18.75">
      <c r="A71" s="1"/>
      <c r="B71" s="2"/>
      <c r="C71" s="2"/>
      <c r="D71" s="2"/>
      <c r="E71" s="2"/>
      <c r="F71" s="3"/>
      <c r="G71" s="4"/>
      <c r="H71" s="5"/>
      <c r="I71" s="4"/>
      <c r="J71" s="5"/>
      <c r="K71" s="2"/>
      <c r="L71" s="6"/>
      <c r="M71" s="2"/>
      <c r="N71" s="2"/>
      <c r="O71" s="2"/>
      <c r="P71" s="2"/>
      <c r="Q71" s="2"/>
      <c r="R71" s="2"/>
      <c r="S71" s="2"/>
    </row>
    <row x14ac:dyDescent="0.25" r="72" customHeight="1" ht="18.75">
      <c r="A72" s="1"/>
      <c r="B72" s="2"/>
      <c r="C72" s="2"/>
      <c r="D72" s="2"/>
      <c r="E72" s="2"/>
      <c r="F72" s="3"/>
      <c r="G72" s="4"/>
      <c r="H72" s="5"/>
      <c r="I72" s="4"/>
      <c r="J72" s="5"/>
      <c r="K72" s="2"/>
      <c r="L72" s="6"/>
      <c r="M72" s="2"/>
      <c r="N72" s="2"/>
      <c r="O72" s="2"/>
      <c r="P72" s="2"/>
      <c r="Q72" s="2"/>
      <c r="R72" s="2"/>
      <c r="S72" s="2"/>
    </row>
    <row x14ac:dyDescent="0.25" r="73" customHeight="1" ht="18.75">
      <c r="A73" s="1"/>
      <c r="B73" s="2"/>
      <c r="C73" s="2"/>
      <c r="D73" s="2"/>
      <c r="E73" s="2"/>
      <c r="F73" s="3"/>
      <c r="G73" s="4"/>
      <c r="H73" s="5"/>
      <c r="I73" s="4"/>
      <c r="J73" s="5"/>
      <c r="K73" s="2"/>
      <c r="L73" s="6"/>
      <c r="M73" s="2"/>
      <c r="N73" s="2"/>
      <c r="O73" s="2"/>
      <c r="P73" s="2"/>
      <c r="Q73" s="2"/>
      <c r="R73" s="2"/>
      <c r="S73" s="2"/>
    </row>
    <row x14ac:dyDescent="0.25" r="74" customHeight="1" ht="18.75">
      <c r="A74" s="1"/>
      <c r="B74" s="2"/>
      <c r="C74" s="2"/>
      <c r="D74" s="2"/>
      <c r="E74" s="2"/>
      <c r="F74" s="3"/>
      <c r="G74" s="4"/>
      <c r="H74" s="5"/>
      <c r="I74" s="4"/>
      <c r="J74" s="5"/>
      <c r="K74" s="2"/>
      <c r="L74" s="6"/>
      <c r="M74" s="2"/>
      <c r="N74" s="2"/>
      <c r="O74" s="2"/>
      <c r="P74" s="2"/>
      <c r="Q74" s="2"/>
      <c r="R74" s="2"/>
      <c r="S74" s="2"/>
    </row>
    <row x14ac:dyDescent="0.25" r="75" customHeight="1" ht="18.75">
      <c r="A75" s="1"/>
      <c r="B75" s="2"/>
      <c r="C75" s="2"/>
      <c r="D75" s="2"/>
      <c r="E75" s="2"/>
      <c r="F75" s="3"/>
      <c r="G75" s="4"/>
      <c r="H75" s="5"/>
      <c r="I75" s="4"/>
      <c r="J75" s="5"/>
      <c r="K75" s="2"/>
      <c r="L75" s="6"/>
      <c r="M75" s="2"/>
      <c r="N75" s="2"/>
      <c r="O75" s="2"/>
      <c r="P75" s="2"/>
      <c r="Q75" s="2"/>
      <c r="R75" s="2"/>
      <c r="S75" s="2"/>
    </row>
    <row x14ac:dyDescent="0.25" r="76" customHeight="1" ht="18.75">
      <c r="A76" s="1"/>
      <c r="B76" s="2"/>
      <c r="C76" s="2"/>
      <c r="D76" s="2"/>
      <c r="E76" s="2"/>
      <c r="F76" s="3"/>
      <c r="G76" s="4"/>
      <c r="H76" s="5"/>
      <c r="I76" s="4"/>
      <c r="J76" s="5"/>
      <c r="K76" s="2"/>
      <c r="L76" s="6"/>
      <c r="M76" s="2"/>
      <c r="N76" s="2"/>
      <c r="O76" s="2"/>
      <c r="P76" s="2"/>
      <c r="Q76" s="2"/>
      <c r="R76" s="2"/>
      <c r="S76" s="2"/>
    </row>
    <row x14ac:dyDescent="0.25" r="77" customHeight="1" ht="18.75">
      <c r="A77" s="1"/>
      <c r="B77" s="2"/>
      <c r="C77" s="2"/>
      <c r="D77" s="2"/>
      <c r="E77" s="2"/>
      <c r="F77" s="3"/>
      <c r="G77" s="4"/>
      <c r="H77" s="5"/>
      <c r="I77" s="4"/>
      <c r="J77" s="5"/>
      <c r="K77" s="2"/>
      <c r="L77" s="6"/>
      <c r="M77" s="2"/>
      <c r="N77" s="2"/>
      <c r="O77" s="2"/>
      <c r="P77" s="2"/>
      <c r="Q77" s="2"/>
      <c r="R77" s="2"/>
      <c r="S77" s="2"/>
    </row>
    <row x14ac:dyDescent="0.25" r="78" customHeight="1" ht="18.75">
      <c r="A78" s="1"/>
      <c r="B78" s="2"/>
      <c r="C78" s="2"/>
      <c r="D78" s="2"/>
      <c r="E78" s="2"/>
      <c r="F78" s="3"/>
      <c r="G78" s="4"/>
      <c r="H78" s="5"/>
      <c r="I78" s="4"/>
      <c r="J78" s="5"/>
      <c r="K78" s="2"/>
      <c r="L78" s="6"/>
      <c r="M78" s="2"/>
      <c r="N78" s="2"/>
      <c r="O78" s="2"/>
      <c r="P78" s="2"/>
      <c r="Q78" s="2"/>
      <c r="R78" s="2"/>
      <c r="S78" s="2"/>
    </row>
    <row x14ac:dyDescent="0.25" r="79" customHeight="1" ht="18.75">
      <c r="A79" s="1"/>
      <c r="B79" s="2"/>
      <c r="C79" s="2"/>
      <c r="D79" s="2"/>
      <c r="E79" s="2"/>
      <c r="F79" s="3"/>
      <c r="G79" s="4"/>
      <c r="H79" s="5"/>
      <c r="I79" s="4"/>
      <c r="J79" s="5"/>
      <c r="K79" s="2"/>
      <c r="L79" s="6"/>
      <c r="M79" s="2"/>
      <c r="N79" s="2"/>
      <c r="O79" s="2"/>
      <c r="P79" s="2"/>
      <c r="Q79" s="2"/>
      <c r="R79" s="2"/>
      <c r="S79" s="2"/>
    </row>
    <row x14ac:dyDescent="0.25" r="80" customHeight="1" ht="18.75">
      <c r="A80" s="1"/>
      <c r="B80" s="2"/>
      <c r="C80" s="2"/>
      <c r="D80" s="2"/>
      <c r="E80" s="2"/>
      <c r="F80" s="3"/>
      <c r="G80" s="4"/>
      <c r="H80" s="5"/>
      <c r="I80" s="4"/>
      <c r="J80" s="5"/>
      <c r="K80" s="2"/>
      <c r="L80" s="6"/>
      <c r="M80" s="2"/>
      <c r="N80" s="2"/>
      <c r="O80" s="2"/>
      <c r="P80" s="2"/>
      <c r="Q80" s="2"/>
      <c r="R80" s="2"/>
      <c r="S80" s="2"/>
    </row>
    <row x14ac:dyDescent="0.25" r="81" customHeight="1" ht="18.75">
      <c r="A81" s="1"/>
      <c r="B81" s="2"/>
      <c r="C81" s="2"/>
      <c r="D81" s="2"/>
      <c r="E81" s="2"/>
      <c r="F81" s="3"/>
      <c r="G81" s="4"/>
      <c r="H81" s="5"/>
      <c r="I81" s="4"/>
      <c r="J81" s="5"/>
      <c r="K81" s="2"/>
      <c r="L81" s="6"/>
      <c r="M81" s="2"/>
      <c r="N81" s="2"/>
      <c r="O81" s="2"/>
      <c r="P81" s="2"/>
      <c r="Q81" s="2"/>
      <c r="R81" s="2"/>
      <c r="S81" s="2"/>
    </row>
    <row x14ac:dyDescent="0.25" r="82" customHeight="1" ht="18.75">
      <c r="A82" s="1"/>
      <c r="B82" s="2"/>
      <c r="C82" s="2"/>
      <c r="D82" s="2"/>
      <c r="E82" s="2"/>
      <c r="F82" s="3"/>
      <c r="G82" s="4"/>
      <c r="H82" s="5"/>
      <c r="I82" s="4"/>
      <c r="J82" s="5"/>
      <c r="K82" s="2"/>
      <c r="L82" s="6"/>
      <c r="M82" s="2"/>
      <c r="N82" s="2"/>
      <c r="O82" s="2"/>
      <c r="P82" s="2"/>
      <c r="Q82" s="2"/>
      <c r="R82" s="2"/>
      <c r="S82" s="2"/>
    </row>
    <row x14ac:dyDescent="0.25" r="83" customHeight="1" ht="18.75">
      <c r="A83" s="1"/>
      <c r="B83" s="2"/>
      <c r="C83" s="2"/>
      <c r="D83" s="2"/>
      <c r="E83" s="2"/>
      <c r="F83" s="3"/>
      <c r="G83" s="4"/>
      <c r="H83" s="5"/>
      <c r="I83" s="4"/>
      <c r="J83" s="5"/>
      <c r="K83" s="2"/>
      <c r="L83" s="6"/>
      <c r="M83" s="2"/>
      <c r="N83" s="2"/>
      <c r="O83" s="2"/>
      <c r="P83" s="2"/>
      <c r="Q83" s="2"/>
      <c r="R83" s="2"/>
      <c r="S83" s="2"/>
    </row>
    <row x14ac:dyDescent="0.25" r="84" customHeight="1" ht="18.75">
      <c r="A84" s="1"/>
      <c r="B84" s="2"/>
      <c r="C84" s="2"/>
      <c r="D84" s="2"/>
      <c r="E84" s="2"/>
      <c r="F84" s="3"/>
      <c r="G84" s="4"/>
      <c r="H84" s="5"/>
      <c r="I84" s="4"/>
      <c r="J84" s="5"/>
      <c r="K84" s="2"/>
      <c r="L84" s="6"/>
      <c r="M84" s="2"/>
      <c r="N84" s="2"/>
      <c r="O84" s="2"/>
      <c r="P84" s="2"/>
      <c r="Q84" s="2"/>
      <c r="R84" s="2"/>
      <c r="S84" s="2"/>
    </row>
    <row x14ac:dyDescent="0.25" r="85" customHeight="1" ht="18.75">
      <c r="A85" s="1"/>
      <c r="B85" s="2"/>
      <c r="C85" s="2"/>
      <c r="D85" s="2"/>
      <c r="E85" s="2"/>
      <c r="F85" s="3"/>
      <c r="G85" s="4"/>
      <c r="H85" s="5"/>
      <c r="I85" s="4"/>
      <c r="J85" s="5"/>
      <c r="K85" s="2"/>
      <c r="L85" s="6"/>
      <c r="M85" s="2"/>
      <c r="N85" s="2"/>
      <c r="O85" s="2"/>
      <c r="P85" s="2"/>
      <c r="Q85" s="2"/>
      <c r="R85" s="2"/>
      <c r="S85" s="2"/>
    </row>
    <row x14ac:dyDescent="0.25" r="86" customHeight="1" ht="18.75">
      <c r="A86" s="1"/>
      <c r="B86" s="2"/>
      <c r="C86" s="2"/>
      <c r="D86" s="2"/>
      <c r="E86" s="2"/>
      <c r="F86" s="3"/>
      <c r="G86" s="4"/>
      <c r="H86" s="5"/>
      <c r="I86" s="4"/>
      <c r="J86" s="5"/>
      <c r="K86" s="2"/>
      <c r="L86" s="6"/>
      <c r="M86" s="2"/>
      <c r="N86" s="2"/>
      <c r="O86" s="2"/>
      <c r="P86" s="2"/>
      <c r="Q86" s="2"/>
      <c r="R86" s="2"/>
      <c r="S86" s="2"/>
    </row>
    <row x14ac:dyDescent="0.25" r="87" customHeight="1" ht="18.75">
      <c r="A87" s="1"/>
      <c r="B87" s="2"/>
      <c r="C87" s="2"/>
      <c r="D87" s="2"/>
      <c r="E87" s="2"/>
      <c r="F87" s="3"/>
      <c r="G87" s="4"/>
      <c r="H87" s="5"/>
      <c r="I87" s="4"/>
      <c r="J87" s="5"/>
      <c r="K87" s="2"/>
      <c r="L87" s="6"/>
      <c r="M87" s="2"/>
      <c r="N87" s="2"/>
      <c r="O87" s="2"/>
      <c r="P87" s="2"/>
      <c r="Q87" s="2"/>
      <c r="R87" s="2"/>
      <c r="S87" s="2"/>
    </row>
    <row x14ac:dyDescent="0.25" r="88" customHeight="1" ht="18.75">
      <c r="A88" s="1"/>
      <c r="B88" s="2"/>
      <c r="C88" s="2"/>
      <c r="D88" s="2"/>
      <c r="E88" s="2"/>
      <c r="F88" s="3"/>
      <c r="G88" s="4"/>
      <c r="H88" s="5"/>
      <c r="I88" s="4"/>
      <c r="J88" s="5"/>
      <c r="K88" s="2"/>
      <c r="L88" s="6"/>
      <c r="M88" s="2"/>
      <c r="N88" s="2"/>
      <c r="O88" s="2"/>
      <c r="P88" s="2"/>
      <c r="Q88" s="2"/>
      <c r="R88" s="2"/>
      <c r="S88" s="2"/>
    </row>
    <row x14ac:dyDescent="0.25" r="89" customHeight="1" ht="18.75">
      <c r="A89" s="1"/>
      <c r="B89" s="2"/>
      <c r="C89" s="2"/>
      <c r="D89" s="2"/>
      <c r="E89" s="2"/>
      <c r="F89" s="3"/>
      <c r="G89" s="4"/>
      <c r="H89" s="5"/>
      <c r="I89" s="4"/>
      <c r="J89" s="5"/>
      <c r="K89" s="2"/>
      <c r="L89" s="6"/>
      <c r="M89" s="2"/>
      <c r="N89" s="2"/>
      <c r="O89" s="2"/>
      <c r="P89" s="2"/>
      <c r="Q89" s="2"/>
      <c r="R89" s="2"/>
      <c r="S89" s="2"/>
    </row>
    <row x14ac:dyDescent="0.25" r="90" customHeight="1" ht="18.75">
      <c r="A90" s="1"/>
      <c r="B90" s="2"/>
      <c r="C90" s="2"/>
      <c r="D90" s="2"/>
      <c r="E90" s="2"/>
      <c r="F90" s="3"/>
      <c r="G90" s="4"/>
      <c r="H90" s="5"/>
      <c r="I90" s="4"/>
      <c r="J90" s="5"/>
      <c r="K90" s="2"/>
      <c r="L90" s="6"/>
      <c r="M90" s="2"/>
      <c r="N90" s="2"/>
      <c r="O90" s="2"/>
      <c r="P90" s="2"/>
      <c r="Q90" s="2"/>
      <c r="R90" s="2"/>
      <c r="S90" s="2"/>
    </row>
    <row x14ac:dyDescent="0.25" r="91" customHeight="1" ht="18.75">
      <c r="A91" s="1"/>
      <c r="B91" s="2"/>
      <c r="C91" s="2"/>
      <c r="D91" s="2"/>
      <c r="E91" s="2"/>
      <c r="F91" s="3"/>
      <c r="G91" s="4"/>
      <c r="H91" s="5"/>
      <c r="I91" s="4"/>
      <c r="J91" s="5"/>
      <c r="K91" s="2"/>
      <c r="L91" s="6"/>
      <c r="M91" s="2"/>
      <c r="N91" s="2"/>
      <c r="O91" s="2"/>
      <c r="P91" s="2"/>
      <c r="Q91" s="2"/>
      <c r="R91" s="2"/>
      <c r="S91" s="2"/>
    </row>
    <row x14ac:dyDescent="0.25" r="92" customHeight="1" ht="18.75">
      <c r="A92" s="1"/>
      <c r="B92" s="2"/>
      <c r="C92" s="2"/>
      <c r="D92" s="2"/>
      <c r="E92" s="2"/>
      <c r="F92" s="3"/>
      <c r="G92" s="4"/>
      <c r="H92" s="5"/>
      <c r="I92" s="4"/>
      <c r="J92" s="5"/>
      <c r="K92" s="2"/>
      <c r="L92" s="6"/>
      <c r="M92" s="2"/>
      <c r="N92" s="2"/>
      <c r="O92" s="2"/>
      <c r="P92" s="2"/>
      <c r="Q92" s="2"/>
      <c r="R92" s="2"/>
      <c r="S92" s="2"/>
    </row>
    <row x14ac:dyDescent="0.25" r="93" customHeight="1" ht="18.75">
      <c r="A93" s="1"/>
      <c r="B93" s="2"/>
      <c r="C93" s="2"/>
      <c r="D93" s="2"/>
      <c r="E93" s="2"/>
      <c r="F93" s="3"/>
      <c r="G93" s="4"/>
      <c r="H93" s="5"/>
      <c r="I93" s="4"/>
      <c r="J93" s="5"/>
      <c r="K93" s="2"/>
      <c r="L93" s="6"/>
      <c r="M93" s="2"/>
      <c r="N93" s="2"/>
      <c r="O93" s="2"/>
      <c r="P93" s="2"/>
      <c r="Q93" s="2"/>
      <c r="R93" s="2"/>
      <c r="S93" s="2"/>
    </row>
    <row x14ac:dyDescent="0.25" r="94" customHeight="1" ht="18.75">
      <c r="A94" s="1"/>
      <c r="B94" s="2"/>
      <c r="C94" s="2"/>
      <c r="D94" s="2"/>
      <c r="E94" s="2"/>
      <c r="F94" s="3"/>
      <c r="G94" s="4"/>
      <c r="H94" s="5"/>
      <c r="I94" s="4"/>
      <c r="J94" s="5"/>
      <c r="K94" s="2"/>
      <c r="L94" s="6"/>
      <c r="M94" s="2"/>
      <c r="N94" s="2"/>
      <c r="O94" s="2"/>
      <c r="P94" s="2"/>
      <c r="Q94" s="2"/>
      <c r="R94" s="2"/>
      <c r="S94" s="2"/>
    </row>
    <row x14ac:dyDescent="0.25" r="95" customHeight="1" ht="18.75">
      <c r="A95" s="1"/>
      <c r="B95" s="2"/>
      <c r="C95" s="2"/>
      <c r="D95" s="2"/>
      <c r="E95" s="2"/>
      <c r="F95" s="3"/>
      <c r="G95" s="4"/>
      <c r="H95" s="5"/>
      <c r="I95" s="4"/>
      <c r="J95" s="5"/>
      <c r="K95" s="2"/>
      <c r="L95" s="6"/>
      <c r="M95" s="2"/>
      <c r="N95" s="2"/>
      <c r="O95" s="2"/>
      <c r="P95" s="2"/>
      <c r="Q95" s="2"/>
      <c r="R95" s="2"/>
      <c r="S95" s="2"/>
    </row>
    <row x14ac:dyDescent="0.25" r="96" customHeight="1" ht="18.75">
      <c r="A96" s="1"/>
      <c r="B96" s="2"/>
      <c r="C96" s="2"/>
      <c r="D96" s="2"/>
      <c r="E96" s="2"/>
      <c r="F96" s="3"/>
      <c r="G96" s="4"/>
      <c r="H96" s="5"/>
      <c r="I96" s="4"/>
      <c r="J96" s="5"/>
      <c r="K96" s="2"/>
      <c r="L96" s="6"/>
      <c r="M96" s="2"/>
      <c r="N96" s="2"/>
      <c r="O96" s="2"/>
      <c r="P96" s="2"/>
      <c r="Q96" s="2"/>
      <c r="R96" s="2"/>
      <c r="S96" s="2"/>
    </row>
    <row x14ac:dyDescent="0.25" r="97" customHeight="1" ht="18.75">
      <c r="A97" s="1"/>
      <c r="B97" s="2"/>
      <c r="C97" s="2"/>
      <c r="D97" s="2"/>
      <c r="E97" s="2"/>
      <c r="F97" s="3"/>
      <c r="G97" s="4"/>
      <c r="H97" s="5"/>
      <c r="I97" s="4"/>
      <c r="J97" s="5"/>
      <c r="K97" s="2"/>
      <c r="L97" s="6"/>
      <c r="M97" s="2"/>
      <c r="N97" s="2"/>
      <c r="O97" s="2"/>
      <c r="P97" s="2"/>
      <c r="Q97" s="2"/>
      <c r="R97" s="2"/>
      <c r="S97" s="2"/>
    </row>
    <row x14ac:dyDescent="0.25" r="98" customHeight="1" ht="18.75">
      <c r="A98" s="1"/>
      <c r="B98" s="2"/>
      <c r="C98" s="2"/>
      <c r="D98" s="2"/>
      <c r="E98" s="2"/>
      <c r="F98" s="3"/>
      <c r="G98" s="4"/>
      <c r="H98" s="5"/>
      <c r="I98" s="4"/>
      <c r="J98" s="5"/>
      <c r="K98" s="2"/>
      <c r="L98" s="6"/>
      <c r="M98" s="2"/>
      <c r="N98" s="2"/>
      <c r="O98" s="2"/>
      <c r="P98" s="2"/>
      <c r="Q98" s="2"/>
      <c r="R98" s="2"/>
      <c r="S98" s="2"/>
    </row>
    <row x14ac:dyDescent="0.25" r="99" customHeight="1" ht="18.75">
      <c r="A99" s="1"/>
      <c r="B99" s="2"/>
      <c r="C99" s="2"/>
      <c r="D99" s="2"/>
      <c r="E99" s="2"/>
      <c r="F99" s="3"/>
      <c r="G99" s="4"/>
      <c r="H99" s="5"/>
      <c r="I99" s="4"/>
      <c r="J99" s="5"/>
      <c r="K99" s="2"/>
      <c r="L99" s="6"/>
      <c r="M99" s="2"/>
      <c r="N99" s="2"/>
      <c r="O99" s="2"/>
      <c r="P99" s="2"/>
      <c r="Q99" s="2"/>
      <c r="R99" s="2"/>
      <c r="S99" s="2"/>
    </row>
    <row x14ac:dyDescent="0.25" r="100" customHeight="1" ht="18.75">
      <c r="A100" s="1"/>
      <c r="B100" s="2"/>
      <c r="C100" s="2"/>
      <c r="D100" s="2"/>
      <c r="E100" s="2"/>
      <c r="F100" s="3"/>
      <c r="G100" s="4"/>
      <c r="H100" s="5"/>
      <c r="I100" s="4"/>
      <c r="J100" s="5"/>
      <c r="K100" s="2"/>
      <c r="L100" s="6"/>
      <c r="M100" s="2"/>
      <c r="N100" s="2"/>
      <c r="O100" s="2"/>
      <c r="P100" s="2"/>
      <c r="Q100" s="2"/>
      <c r="R100" s="2"/>
      <c r="S100" s="2"/>
    </row>
    <row x14ac:dyDescent="0.25" r="101" customHeight="1" ht="18.75">
      <c r="A101" s="1"/>
      <c r="B101" s="2"/>
      <c r="C101" s="2"/>
      <c r="D101" s="2"/>
      <c r="E101" s="2"/>
      <c r="F101" s="3"/>
      <c r="G101" s="4"/>
      <c r="H101" s="5"/>
      <c r="I101" s="4"/>
      <c r="J101" s="5"/>
      <c r="K101" s="2"/>
      <c r="L101" s="6"/>
      <c r="M101" s="2"/>
      <c r="N101" s="2"/>
      <c r="O101" s="2"/>
      <c r="P101" s="2"/>
      <c r="Q101" s="2"/>
      <c r="R101" s="2"/>
      <c r="S101" s="2"/>
    </row>
    <row x14ac:dyDescent="0.25" r="102" customHeight="1" ht="18.75">
      <c r="A102" s="1"/>
      <c r="B102" s="2"/>
      <c r="C102" s="2"/>
      <c r="D102" s="2"/>
      <c r="E102" s="2"/>
      <c r="F102" s="3"/>
      <c r="G102" s="4"/>
      <c r="H102" s="5"/>
      <c r="I102" s="4"/>
      <c r="J102" s="5"/>
      <c r="K102" s="2"/>
      <c r="L102" s="6"/>
      <c r="M102" s="2"/>
      <c r="N102" s="2"/>
      <c r="O102" s="2"/>
      <c r="P102" s="2"/>
      <c r="Q102" s="2"/>
      <c r="R102" s="2"/>
      <c r="S102" s="2"/>
    </row>
    <row x14ac:dyDescent="0.25" r="103" customHeight="1" ht="18.75">
      <c r="A103" s="1"/>
      <c r="B103" s="2"/>
      <c r="C103" s="2"/>
      <c r="D103" s="2"/>
      <c r="E103" s="2"/>
      <c r="F103" s="3"/>
      <c r="G103" s="4"/>
      <c r="H103" s="5"/>
      <c r="I103" s="4"/>
      <c r="J103" s="5"/>
      <c r="K103" s="2"/>
      <c r="L103" s="6"/>
      <c r="M103" s="2"/>
      <c r="N103" s="2"/>
      <c r="O103" s="2"/>
      <c r="P103" s="2"/>
      <c r="Q103" s="2"/>
      <c r="R103" s="2"/>
      <c r="S103" s="2"/>
    </row>
    <row x14ac:dyDescent="0.25" r="104" customHeight="1" ht="18.75">
      <c r="A104" s="1"/>
      <c r="B104" s="2"/>
      <c r="C104" s="2"/>
      <c r="D104" s="2"/>
      <c r="E104" s="2"/>
      <c r="F104" s="3"/>
      <c r="G104" s="4"/>
      <c r="H104" s="5"/>
      <c r="I104" s="4"/>
      <c r="J104" s="5"/>
      <c r="K104" s="2"/>
      <c r="L104" s="6"/>
      <c r="M104" s="2"/>
      <c r="N104" s="2"/>
      <c r="O104" s="2"/>
      <c r="P104" s="2"/>
      <c r="Q104" s="2"/>
      <c r="R104" s="2"/>
      <c r="S104" s="2"/>
    </row>
    <row x14ac:dyDescent="0.25" r="105" customHeight="1" ht="18.75">
      <c r="A105" s="1"/>
      <c r="B105" s="2"/>
      <c r="C105" s="2"/>
      <c r="D105" s="2"/>
      <c r="E105" s="2"/>
      <c r="F105" s="3"/>
      <c r="G105" s="4"/>
      <c r="H105" s="5"/>
      <c r="I105" s="4"/>
      <c r="J105" s="5"/>
      <c r="K105" s="2"/>
      <c r="L105" s="6"/>
      <c r="M105" s="2"/>
      <c r="N105" s="2"/>
      <c r="O105" s="2"/>
      <c r="P105" s="2"/>
      <c r="Q105" s="2"/>
      <c r="R105" s="2"/>
      <c r="S105" s="2"/>
    </row>
    <row x14ac:dyDescent="0.25" r="106" customHeight="1" ht="18.75">
      <c r="A106" s="1"/>
      <c r="B106" s="2"/>
      <c r="C106" s="2"/>
      <c r="D106" s="2"/>
      <c r="E106" s="2"/>
      <c r="F106" s="3"/>
      <c r="G106" s="4"/>
      <c r="H106" s="5"/>
      <c r="I106" s="4"/>
      <c r="J106" s="5"/>
      <c r="K106" s="2"/>
      <c r="L106" s="6"/>
      <c r="M106" s="2"/>
      <c r="N106" s="2"/>
      <c r="O106" s="2"/>
      <c r="P106" s="2"/>
      <c r="Q106" s="2"/>
      <c r="R106" s="2"/>
      <c r="S106" s="2"/>
    </row>
    <row x14ac:dyDescent="0.25" r="107" customHeight="1" ht="18.75">
      <c r="A107" s="1"/>
      <c r="B107" s="2"/>
      <c r="C107" s="2"/>
      <c r="D107" s="2"/>
      <c r="E107" s="2"/>
      <c r="F107" s="3"/>
      <c r="G107" s="4"/>
      <c r="H107" s="5"/>
      <c r="I107" s="4"/>
      <c r="J107" s="5"/>
      <c r="K107" s="2"/>
      <c r="L107" s="6"/>
      <c r="M107" s="2"/>
      <c r="N107" s="2"/>
      <c r="O107" s="2"/>
      <c r="P107" s="2"/>
      <c r="Q107" s="2"/>
      <c r="R107" s="2"/>
      <c r="S107" s="2"/>
    </row>
    <row x14ac:dyDescent="0.25" r="108" customHeight="1" ht="18.75">
      <c r="A108" s="1"/>
      <c r="B108" s="2"/>
      <c r="C108" s="2"/>
      <c r="D108" s="2"/>
      <c r="E108" s="2"/>
      <c r="F108" s="3"/>
      <c r="G108" s="4"/>
      <c r="H108" s="5"/>
      <c r="I108" s="4"/>
      <c r="J108" s="5"/>
      <c r="K108" s="2"/>
      <c r="L108" s="6"/>
      <c r="M108" s="2"/>
      <c r="N108" s="2"/>
      <c r="O108" s="2"/>
      <c r="P108" s="2"/>
      <c r="Q108" s="2"/>
      <c r="R108" s="2"/>
      <c r="S108" s="2"/>
    </row>
    <row x14ac:dyDescent="0.25" r="109" customHeight="1" ht="18.75">
      <c r="A109" s="1"/>
      <c r="B109" s="2"/>
      <c r="C109" s="2"/>
      <c r="D109" s="2"/>
      <c r="E109" s="2"/>
      <c r="F109" s="3"/>
      <c r="G109" s="4"/>
      <c r="H109" s="5"/>
      <c r="I109" s="4"/>
      <c r="J109" s="5"/>
      <c r="K109" s="2"/>
      <c r="L109" s="6"/>
      <c r="M109" s="2"/>
      <c r="N109" s="2"/>
      <c r="O109" s="2"/>
      <c r="P109" s="2"/>
      <c r="Q109" s="2"/>
      <c r="R109" s="2"/>
      <c r="S109" s="2"/>
    </row>
    <row x14ac:dyDescent="0.25" r="110" customHeight="1" ht="18.75">
      <c r="A110" s="1"/>
      <c r="B110" s="2"/>
      <c r="C110" s="2"/>
      <c r="D110" s="2"/>
      <c r="E110" s="2"/>
      <c r="F110" s="3"/>
      <c r="G110" s="4"/>
      <c r="H110" s="5"/>
      <c r="I110" s="4"/>
      <c r="J110" s="5"/>
      <c r="K110" s="2"/>
      <c r="L110" s="6"/>
      <c r="M110" s="2"/>
      <c r="N110" s="2"/>
      <c r="O110" s="2"/>
      <c r="P110" s="2"/>
      <c r="Q110" s="2"/>
      <c r="R110" s="2"/>
      <c r="S110" s="2"/>
    </row>
    <row x14ac:dyDescent="0.25" r="111" customHeight="1" ht="18.75">
      <c r="A111" s="1"/>
      <c r="B111" s="2"/>
      <c r="C111" s="2"/>
      <c r="D111" s="2"/>
      <c r="E111" s="2"/>
      <c r="F111" s="3"/>
      <c r="G111" s="4"/>
      <c r="H111" s="5"/>
      <c r="I111" s="4"/>
      <c r="J111" s="5"/>
      <c r="K111" s="2"/>
      <c r="L111" s="6"/>
      <c r="M111" s="2"/>
      <c r="N111" s="2"/>
      <c r="O111" s="2"/>
      <c r="P111" s="2"/>
      <c r="Q111" s="2"/>
      <c r="R111" s="2"/>
      <c r="S111" s="2"/>
    </row>
    <row x14ac:dyDescent="0.25" r="112" customHeight="1" ht="18.75">
      <c r="A112" s="1"/>
      <c r="B112" s="2"/>
      <c r="C112" s="2"/>
      <c r="D112" s="2"/>
      <c r="E112" s="2"/>
      <c r="F112" s="3"/>
      <c r="G112" s="4"/>
      <c r="H112" s="5"/>
      <c r="I112" s="4"/>
      <c r="J112" s="5"/>
      <c r="K112" s="2"/>
      <c r="L112" s="6"/>
      <c r="M112" s="2"/>
      <c r="N112" s="2"/>
      <c r="O112" s="2"/>
      <c r="P112" s="2"/>
      <c r="Q112" s="2"/>
      <c r="R112" s="2"/>
      <c r="S112" s="2"/>
    </row>
    <row x14ac:dyDescent="0.25" r="113" customHeight="1" ht="18.75">
      <c r="A113" s="1"/>
      <c r="B113" s="2"/>
      <c r="C113" s="2"/>
      <c r="D113" s="2"/>
      <c r="E113" s="2"/>
      <c r="F113" s="3"/>
      <c r="G113" s="4"/>
      <c r="H113" s="5"/>
      <c r="I113" s="4"/>
      <c r="J113" s="5"/>
      <c r="K113" s="2"/>
      <c r="L113" s="6"/>
      <c r="M113" s="2"/>
      <c r="N113" s="2"/>
      <c r="O113" s="2"/>
      <c r="P113" s="2"/>
      <c r="Q113" s="2"/>
      <c r="R113" s="2"/>
      <c r="S113" s="2"/>
    </row>
    <row x14ac:dyDescent="0.25" r="114" customHeight="1" ht="18.75">
      <c r="A114" s="1"/>
      <c r="B114" s="2"/>
      <c r="C114" s="2"/>
      <c r="D114" s="2"/>
      <c r="E114" s="2"/>
      <c r="F114" s="3"/>
      <c r="G114" s="4"/>
      <c r="H114" s="5"/>
      <c r="I114" s="4"/>
      <c r="J114" s="5"/>
      <c r="K114" s="2"/>
      <c r="L114" s="6"/>
      <c r="M114" s="2"/>
      <c r="N114" s="2"/>
      <c r="O114" s="2"/>
      <c r="P114" s="2"/>
      <c r="Q114" s="2"/>
      <c r="R114" s="2"/>
      <c r="S114" s="2"/>
    </row>
    <row x14ac:dyDescent="0.25" r="115" customHeight="1" ht="18.75">
      <c r="A115" s="1"/>
      <c r="B115" s="2"/>
      <c r="C115" s="2"/>
      <c r="D115" s="2"/>
      <c r="E115" s="2"/>
      <c r="F115" s="3"/>
      <c r="G115" s="4"/>
      <c r="H115" s="5"/>
      <c r="I115" s="4"/>
      <c r="J115" s="5"/>
      <c r="K115" s="2"/>
      <c r="L115" s="6"/>
      <c r="M115" s="2"/>
      <c r="N115" s="2"/>
      <c r="O115" s="2"/>
      <c r="P115" s="2"/>
      <c r="Q115" s="2"/>
      <c r="R115" s="2"/>
      <c r="S115" s="2"/>
    </row>
    <row x14ac:dyDescent="0.25" r="116" customHeight="1" ht="18.75">
      <c r="A116" s="1"/>
      <c r="B116" s="2"/>
      <c r="C116" s="2"/>
      <c r="D116" s="2"/>
      <c r="E116" s="2"/>
      <c r="F116" s="3"/>
      <c r="G116" s="4"/>
      <c r="H116" s="5"/>
      <c r="I116" s="4"/>
      <c r="J116" s="5"/>
      <c r="K116" s="2"/>
      <c r="L116" s="6"/>
      <c r="M116" s="2"/>
      <c r="N116" s="2"/>
      <c r="O116" s="2"/>
      <c r="P116" s="2"/>
      <c r="Q116" s="2"/>
      <c r="R116" s="2"/>
      <c r="S116" s="2"/>
    </row>
    <row x14ac:dyDescent="0.25" r="117" customHeight="1" ht="18.75">
      <c r="A117" s="1"/>
      <c r="B117" s="2"/>
      <c r="C117" s="2"/>
      <c r="D117" s="2"/>
      <c r="E117" s="2"/>
      <c r="F117" s="3"/>
      <c r="G117" s="4"/>
      <c r="H117" s="5"/>
      <c r="I117" s="4"/>
      <c r="J117" s="5"/>
      <c r="K117" s="2"/>
      <c r="L117" s="6"/>
      <c r="M117" s="2"/>
      <c r="N117" s="2"/>
      <c r="O117" s="2"/>
      <c r="P117" s="2"/>
      <c r="Q117" s="2"/>
      <c r="R117" s="2"/>
      <c r="S117" s="2"/>
    </row>
    <row x14ac:dyDescent="0.25" r="118" customHeight="1" ht="18.75">
      <c r="A118" s="1"/>
      <c r="B118" s="2"/>
      <c r="C118" s="2"/>
      <c r="D118" s="2"/>
      <c r="E118" s="2"/>
      <c r="F118" s="3"/>
      <c r="G118" s="4"/>
      <c r="H118" s="5"/>
      <c r="I118" s="4"/>
      <c r="J118" s="5"/>
      <c r="K118" s="2"/>
      <c r="L118" s="6"/>
      <c r="M118" s="2"/>
      <c r="N118" s="2"/>
      <c r="O118" s="2"/>
      <c r="P118" s="2"/>
      <c r="Q118" s="2"/>
      <c r="R118" s="2"/>
      <c r="S118" s="2"/>
    </row>
    <row x14ac:dyDescent="0.25" r="119" customHeight="1" ht="18.75">
      <c r="A119" s="1"/>
      <c r="B119" s="2"/>
      <c r="C119" s="2"/>
      <c r="D119" s="2"/>
      <c r="E119" s="2"/>
      <c r="F119" s="3"/>
      <c r="G119" s="4"/>
      <c r="H119" s="5"/>
      <c r="I119" s="4"/>
      <c r="J119" s="5"/>
      <c r="K119" s="2"/>
      <c r="L119" s="6"/>
      <c r="M119" s="2"/>
      <c r="N119" s="2"/>
      <c r="O119" s="2"/>
      <c r="P119" s="2"/>
      <c r="Q119" s="2"/>
      <c r="R119" s="2"/>
      <c r="S119" s="2"/>
    </row>
    <row x14ac:dyDescent="0.25" r="120" customHeight="1" ht="18.75">
      <c r="A120" s="1"/>
      <c r="B120" s="2"/>
      <c r="C120" s="2"/>
      <c r="D120" s="2"/>
      <c r="E120" s="2"/>
      <c r="F120" s="3"/>
      <c r="G120" s="4"/>
      <c r="H120" s="5"/>
      <c r="I120" s="4"/>
      <c r="J120" s="5"/>
      <c r="K120" s="2"/>
      <c r="L120" s="6"/>
      <c r="M120" s="2"/>
      <c r="N120" s="2"/>
      <c r="O120" s="2"/>
      <c r="P120" s="2"/>
      <c r="Q120" s="2"/>
      <c r="R120" s="2"/>
      <c r="S120" s="2"/>
    </row>
    <row x14ac:dyDescent="0.25" r="121" customHeight="1" ht="18.75">
      <c r="A121" s="1"/>
      <c r="B121" s="2"/>
      <c r="C121" s="2"/>
      <c r="D121" s="2"/>
      <c r="E121" s="2"/>
      <c r="F121" s="3"/>
      <c r="G121" s="4"/>
      <c r="H121" s="5"/>
      <c r="I121" s="4"/>
      <c r="J121" s="5"/>
      <c r="K121" s="2"/>
      <c r="L121" s="6"/>
      <c r="M121" s="2"/>
      <c r="N121" s="2"/>
      <c r="O121" s="2"/>
      <c r="P121" s="2"/>
      <c r="Q121" s="2"/>
      <c r="R121" s="2"/>
      <c r="S121" s="2"/>
    </row>
    <row x14ac:dyDescent="0.25" r="122" customHeight="1" ht="18.75">
      <c r="A122" s="1"/>
      <c r="B122" s="2"/>
      <c r="C122" s="2"/>
      <c r="D122" s="2"/>
      <c r="E122" s="2"/>
      <c r="F122" s="3"/>
      <c r="G122" s="4"/>
      <c r="H122" s="5"/>
      <c r="I122" s="4"/>
      <c r="J122" s="5"/>
      <c r="K122" s="2"/>
      <c r="L122" s="6"/>
      <c r="M122" s="2"/>
      <c r="N122" s="2"/>
      <c r="O122" s="2"/>
      <c r="P122" s="2"/>
      <c r="Q122" s="2"/>
      <c r="R122" s="2"/>
      <c r="S122" s="2"/>
    </row>
    <row x14ac:dyDescent="0.25" r="123" customHeight="1" ht="18.75">
      <c r="A123" s="1"/>
      <c r="B123" s="2"/>
      <c r="C123" s="2"/>
      <c r="D123" s="2"/>
      <c r="E123" s="2"/>
      <c r="F123" s="3"/>
      <c r="G123" s="4"/>
      <c r="H123" s="5"/>
      <c r="I123" s="4"/>
      <c r="J123" s="5"/>
      <c r="K123" s="2"/>
      <c r="L123" s="6"/>
      <c r="M123" s="2"/>
      <c r="N123" s="2"/>
      <c r="O123" s="2"/>
      <c r="P123" s="2"/>
      <c r="Q123" s="2"/>
      <c r="R123" s="2"/>
      <c r="S123" s="2"/>
    </row>
    <row x14ac:dyDescent="0.25" r="124" customHeight="1" ht="18.75">
      <c r="A124" s="1"/>
      <c r="B124" s="2"/>
      <c r="C124" s="2"/>
      <c r="D124" s="2"/>
      <c r="E124" s="2"/>
      <c r="F124" s="3"/>
      <c r="G124" s="4"/>
      <c r="H124" s="5"/>
      <c r="I124" s="4"/>
      <c r="J124" s="5"/>
      <c r="K124" s="2"/>
      <c r="L124" s="6"/>
      <c r="M124" s="2"/>
      <c r="N124" s="2"/>
      <c r="O124" s="2"/>
      <c r="P124" s="2"/>
      <c r="Q124" s="2"/>
      <c r="R124" s="2"/>
      <c r="S124" s="2"/>
    </row>
    <row x14ac:dyDescent="0.25" r="125" customHeight="1" ht="18.75">
      <c r="A125" s="1"/>
      <c r="B125" s="2"/>
      <c r="C125" s="2"/>
      <c r="D125" s="2"/>
      <c r="E125" s="2"/>
      <c r="F125" s="3"/>
      <c r="G125" s="4"/>
      <c r="H125" s="5"/>
      <c r="I125" s="4"/>
      <c r="J125" s="5"/>
      <c r="K125" s="2"/>
      <c r="L125" s="6"/>
      <c r="M125" s="2"/>
      <c r="N125" s="2"/>
      <c r="O125" s="2"/>
      <c r="P125" s="2"/>
      <c r="Q125" s="2"/>
      <c r="R125" s="2"/>
      <c r="S125" s="2"/>
    </row>
    <row x14ac:dyDescent="0.25" r="126" customHeight="1" ht="18.75">
      <c r="A126" s="1"/>
      <c r="B126" s="2"/>
      <c r="C126" s="2"/>
      <c r="D126" s="2"/>
      <c r="E126" s="2"/>
      <c r="F126" s="3"/>
      <c r="G126" s="4"/>
      <c r="H126" s="5"/>
      <c r="I126" s="4"/>
      <c r="J126" s="5"/>
      <c r="K126" s="2"/>
      <c r="L126" s="6"/>
      <c r="M126" s="2"/>
      <c r="N126" s="2"/>
      <c r="O126" s="2"/>
      <c r="P126" s="2"/>
      <c r="Q126" s="2"/>
      <c r="R126" s="2"/>
      <c r="S126" s="2"/>
    </row>
    <row x14ac:dyDescent="0.25" r="127" customHeight="1" ht="18.75">
      <c r="A127" s="1"/>
      <c r="B127" s="2"/>
      <c r="C127" s="2"/>
      <c r="D127" s="2"/>
      <c r="E127" s="2"/>
      <c r="F127" s="3"/>
      <c r="G127" s="4"/>
      <c r="H127" s="5"/>
      <c r="I127" s="4"/>
      <c r="J127" s="5"/>
      <c r="K127" s="2"/>
      <c r="L127" s="6"/>
      <c r="M127" s="2"/>
      <c r="N127" s="2"/>
      <c r="O127" s="2"/>
      <c r="P127" s="2"/>
      <c r="Q127" s="2"/>
      <c r="R127" s="2"/>
      <c r="S127" s="2"/>
    </row>
    <row x14ac:dyDescent="0.25" r="128" customHeight="1" ht="18.75">
      <c r="A128" s="1"/>
      <c r="B128" s="2"/>
      <c r="C128" s="2"/>
      <c r="D128" s="2"/>
      <c r="E128" s="2"/>
      <c r="F128" s="3"/>
      <c r="G128" s="4"/>
      <c r="H128" s="5"/>
      <c r="I128" s="4"/>
      <c r="J128" s="5"/>
      <c r="K128" s="2"/>
      <c r="L128" s="6"/>
      <c r="M128" s="2"/>
      <c r="N128" s="2"/>
      <c r="O128" s="2"/>
      <c r="P128" s="2"/>
      <c r="Q128" s="2"/>
      <c r="R128" s="2"/>
      <c r="S128" s="2"/>
    </row>
    <row x14ac:dyDescent="0.25" r="129" customHeight="1" ht="18.75">
      <c r="A129" s="1"/>
      <c r="B129" s="2"/>
      <c r="C129" s="2"/>
      <c r="D129" s="2"/>
      <c r="E129" s="2"/>
      <c r="F129" s="3"/>
      <c r="G129" s="4"/>
      <c r="H129" s="5"/>
      <c r="I129" s="4"/>
      <c r="J129" s="5"/>
      <c r="K129" s="2"/>
      <c r="L129" s="6"/>
      <c r="M129" s="2"/>
      <c r="N129" s="2"/>
      <c r="O129" s="2"/>
      <c r="P129" s="2"/>
      <c r="Q129" s="2"/>
      <c r="R129" s="2"/>
      <c r="S129" s="2"/>
    </row>
    <row x14ac:dyDescent="0.25" r="130" customHeight="1" ht="18.75">
      <c r="A130" s="1"/>
      <c r="B130" s="2"/>
      <c r="C130" s="2"/>
      <c r="D130" s="2"/>
      <c r="E130" s="2"/>
      <c r="F130" s="3"/>
      <c r="G130" s="4"/>
      <c r="H130" s="5"/>
      <c r="I130" s="4"/>
      <c r="J130" s="5"/>
      <c r="K130" s="2"/>
      <c r="L130" s="6"/>
      <c r="M130" s="2"/>
      <c r="N130" s="2"/>
      <c r="O130" s="2"/>
      <c r="P130" s="2"/>
      <c r="Q130" s="2"/>
      <c r="R130" s="2"/>
      <c r="S130" s="2"/>
    </row>
    <row x14ac:dyDescent="0.25" r="131" customHeight="1" ht="18.75">
      <c r="A131" s="1"/>
      <c r="B131" s="2"/>
      <c r="C131" s="2"/>
      <c r="D131" s="2"/>
      <c r="E131" s="2"/>
      <c r="F131" s="3"/>
      <c r="G131" s="4"/>
      <c r="H131" s="5"/>
      <c r="I131" s="4"/>
      <c r="J131" s="5"/>
      <c r="K131" s="2"/>
      <c r="L131" s="6"/>
      <c r="M131" s="2"/>
      <c r="N131" s="2"/>
      <c r="O131" s="2"/>
      <c r="P131" s="2"/>
      <c r="Q131" s="2"/>
      <c r="R131" s="2"/>
      <c r="S131" s="2"/>
    </row>
    <row x14ac:dyDescent="0.25" r="132" customHeight="1" ht="18.75">
      <c r="A132" s="1"/>
      <c r="B132" s="2"/>
      <c r="C132" s="2"/>
      <c r="D132" s="2"/>
      <c r="E132" s="2"/>
      <c r="F132" s="3"/>
      <c r="G132" s="4"/>
      <c r="H132" s="5"/>
      <c r="I132" s="4"/>
      <c r="J132" s="5"/>
      <c r="K132" s="2"/>
      <c r="L132" s="6"/>
      <c r="M132" s="2"/>
      <c r="N132" s="2"/>
      <c r="O132" s="2"/>
      <c r="P132" s="2"/>
      <c r="Q132" s="2"/>
      <c r="R132" s="2"/>
      <c r="S132" s="2"/>
    </row>
    <row x14ac:dyDescent="0.25" r="133" customHeight="1" ht="18.75">
      <c r="A133" s="1"/>
      <c r="B133" s="2"/>
      <c r="C133" s="2"/>
      <c r="D133" s="2"/>
      <c r="E133" s="2"/>
      <c r="F133" s="3"/>
      <c r="G133" s="4"/>
      <c r="H133" s="5"/>
      <c r="I133" s="4"/>
      <c r="J133" s="5"/>
      <c r="K133" s="2"/>
      <c r="L133" s="6"/>
      <c r="M133" s="2"/>
      <c r="N133" s="2"/>
      <c r="O133" s="2"/>
      <c r="P133" s="2"/>
      <c r="Q133" s="2"/>
      <c r="R133" s="2"/>
      <c r="S133" s="2"/>
    </row>
    <row x14ac:dyDescent="0.25" r="134" customHeight="1" ht="18.75">
      <c r="A134" s="1"/>
      <c r="B134" s="2"/>
      <c r="C134" s="2"/>
      <c r="D134" s="2"/>
      <c r="E134" s="2"/>
      <c r="F134" s="3"/>
      <c r="G134" s="4"/>
      <c r="H134" s="5"/>
      <c r="I134" s="4"/>
      <c r="J134" s="5"/>
      <c r="K134" s="2"/>
      <c r="L134" s="6"/>
      <c r="M134" s="2"/>
      <c r="N134" s="2"/>
      <c r="O134" s="2"/>
      <c r="P134" s="2"/>
      <c r="Q134" s="2"/>
      <c r="R134" s="2"/>
      <c r="S134" s="2"/>
    </row>
    <row x14ac:dyDescent="0.25" r="135" customHeight="1" ht="18.75">
      <c r="A135" s="1"/>
      <c r="B135" s="2"/>
      <c r="C135" s="2"/>
      <c r="D135" s="2"/>
      <c r="E135" s="2"/>
      <c r="F135" s="3"/>
      <c r="G135" s="4"/>
      <c r="H135" s="5"/>
      <c r="I135" s="4"/>
      <c r="J135" s="5"/>
      <c r="K135" s="2"/>
      <c r="L135" s="6"/>
      <c r="M135" s="2"/>
      <c r="N135" s="2"/>
      <c r="O135" s="2"/>
      <c r="P135" s="2"/>
      <c r="Q135" s="2"/>
      <c r="R135" s="2"/>
      <c r="S135" s="2"/>
    </row>
    <row x14ac:dyDescent="0.25" r="136" customHeight="1" ht="18.75">
      <c r="A136" s="1"/>
      <c r="B136" s="2"/>
      <c r="C136" s="2"/>
      <c r="D136" s="2"/>
      <c r="E136" s="2"/>
      <c r="F136" s="3"/>
      <c r="G136" s="4"/>
      <c r="H136" s="5"/>
      <c r="I136" s="4"/>
      <c r="J136" s="5"/>
      <c r="K136" s="2"/>
      <c r="L136" s="6"/>
      <c r="M136" s="2"/>
      <c r="N136" s="2"/>
      <c r="O136" s="2"/>
      <c r="P136" s="2"/>
      <c r="Q136" s="2"/>
      <c r="R136" s="2"/>
      <c r="S136" s="2"/>
    </row>
    <row x14ac:dyDescent="0.25" r="137" customHeight="1" ht="18.75">
      <c r="A137" s="1"/>
      <c r="B137" s="2"/>
      <c r="C137" s="2"/>
      <c r="D137" s="2"/>
      <c r="E137" s="2"/>
      <c r="F137" s="3"/>
      <c r="G137" s="4"/>
      <c r="H137" s="5"/>
      <c r="I137" s="4"/>
      <c r="J137" s="5"/>
      <c r="K137" s="2"/>
      <c r="L137" s="6"/>
      <c r="M137" s="2"/>
      <c r="N137" s="2"/>
      <c r="O137" s="2"/>
      <c r="P137" s="2"/>
      <c r="Q137" s="2"/>
      <c r="R137" s="2"/>
      <c r="S137" s="2"/>
    </row>
    <row x14ac:dyDescent="0.25" r="138" customHeight="1" ht="18.75">
      <c r="A138" s="1"/>
      <c r="B138" s="2"/>
      <c r="C138" s="2"/>
      <c r="D138" s="2"/>
      <c r="E138" s="2"/>
      <c r="F138" s="3"/>
      <c r="G138" s="4"/>
      <c r="H138" s="5"/>
      <c r="I138" s="4"/>
      <c r="J138" s="5"/>
      <c r="K138" s="2"/>
      <c r="L138" s="6"/>
      <c r="M138" s="2"/>
      <c r="N138" s="2"/>
      <c r="O138" s="2"/>
      <c r="P138" s="2"/>
      <c r="Q138" s="2"/>
      <c r="R138" s="2"/>
      <c r="S138" s="2"/>
    </row>
    <row x14ac:dyDescent="0.25" r="139" customHeight="1" ht="18.75">
      <c r="A139" s="1"/>
      <c r="B139" s="2"/>
      <c r="C139" s="2"/>
      <c r="D139" s="2"/>
      <c r="E139" s="2"/>
      <c r="F139" s="3"/>
      <c r="G139" s="4"/>
      <c r="H139" s="5"/>
      <c r="I139" s="4"/>
      <c r="J139" s="5"/>
      <c r="K139" s="2"/>
      <c r="L139" s="6"/>
      <c r="M139" s="2"/>
      <c r="N139" s="2"/>
      <c r="O139" s="2"/>
      <c r="P139" s="2"/>
      <c r="Q139" s="2"/>
      <c r="R139" s="2"/>
      <c r="S139" s="2"/>
    </row>
    <row x14ac:dyDescent="0.25" r="140" customHeight="1" ht="18.75">
      <c r="A140" s="1"/>
      <c r="B140" s="2"/>
      <c r="C140" s="2"/>
      <c r="D140" s="2"/>
      <c r="E140" s="2"/>
      <c r="F140" s="3"/>
      <c r="G140" s="4"/>
      <c r="H140" s="5"/>
      <c r="I140" s="4"/>
      <c r="J140" s="5"/>
      <c r="K140" s="2"/>
      <c r="L140" s="6"/>
      <c r="M140" s="2"/>
      <c r="N140" s="2"/>
      <c r="O140" s="2"/>
      <c r="P140" s="2"/>
      <c r="Q140" s="2"/>
      <c r="R140" s="2"/>
      <c r="S140" s="2"/>
    </row>
    <row x14ac:dyDescent="0.25" r="141" customHeight="1" ht="18.75">
      <c r="A141" s="1"/>
      <c r="B141" s="2"/>
      <c r="C141" s="2"/>
      <c r="D141" s="2"/>
      <c r="E141" s="2"/>
      <c r="F141" s="3"/>
      <c r="G141" s="4"/>
      <c r="H141" s="5"/>
      <c r="I141" s="4"/>
      <c r="J141" s="5"/>
      <c r="K141" s="2"/>
      <c r="L141" s="6"/>
      <c r="M141" s="2"/>
      <c r="N141" s="2"/>
      <c r="O141" s="2"/>
      <c r="P141" s="2"/>
      <c r="Q141" s="2"/>
      <c r="R141" s="2"/>
      <c r="S141" s="2"/>
    </row>
    <row x14ac:dyDescent="0.25" r="142" customHeight="1" ht="18.75">
      <c r="A142" s="1"/>
      <c r="B142" s="2"/>
      <c r="C142" s="2"/>
      <c r="D142" s="2"/>
      <c r="E142" s="2"/>
      <c r="F142" s="3"/>
      <c r="G142" s="4"/>
      <c r="H142" s="5"/>
      <c r="I142" s="4"/>
      <c r="J142" s="5"/>
      <c r="K142" s="2"/>
      <c r="L142" s="6"/>
      <c r="M142" s="2"/>
      <c r="N142" s="2"/>
      <c r="O142" s="2"/>
      <c r="P142" s="2"/>
      <c r="Q142" s="2"/>
      <c r="R142" s="2"/>
      <c r="S142" s="2"/>
    </row>
    <row x14ac:dyDescent="0.25" r="143" customHeight="1" ht="18.75">
      <c r="A143" s="1"/>
      <c r="B143" s="2"/>
      <c r="C143" s="2"/>
      <c r="D143" s="2"/>
      <c r="E143" s="2"/>
      <c r="F143" s="3"/>
      <c r="G143" s="4"/>
      <c r="H143" s="5"/>
      <c r="I143" s="4"/>
      <c r="J143" s="5"/>
      <c r="K143" s="2"/>
      <c r="L143" s="6"/>
      <c r="M143" s="2"/>
      <c r="N143" s="2"/>
      <c r="O143" s="2"/>
      <c r="P143" s="2"/>
      <c r="Q143" s="2"/>
      <c r="R143" s="2"/>
      <c r="S143" s="2"/>
    </row>
    <row x14ac:dyDescent="0.25" r="144" customHeight="1" ht="18.75">
      <c r="A144" s="1"/>
      <c r="B144" s="2"/>
      <c r="C144" s="2"/>
      <c r="D144" s="2"/>
      <c r="E144" s="2"/>
      <c r="F144" s="3"/>
      <c r="G144" s="4"/>
      <c r="H144" s="5"/>
      <c r="I144" s="4"/>
      <c r="J144" s="5"/>
      <c r="K144" s="2"/>
      <c r="L144" s="6"/>
      <c r="M144" s="2"/>
      <c r="N144" s="2"/>
      <c r="O144" s="2"/>
      <c r="P144" s="2"/>
      <c r="Q144" s="2"/>
      <c r="R144" s="2"/>
      <c r="S144" s="2"/>
    </row>
    <row x14ac:dyDescent="0.25" r="145" customHeight="1" ht="18.75">
      <c r="A145" s="1"/>
      <c r="B145" s="2"/>
      <c r="C145" s="2"/>
      <c r="D145" s="2"/>
      <c r="E145" s="2"/>
      <c r="F145" s="3"/>
      <c r="G145" s="4"/>
      <c r="H145" s="5"/>
      <c r="I145" s="4"/>
      <c r="J145" s="5"/>
      <c r="K145" s="2"/>
      <c r="L145" s="6"/>
      <c r="M145" s="2"/>
      <c r="N145" s="2"/>
      <c r="O145" s="2"/>
      <c r="P145" s="2"/>
      <c r="Q145" s="2"/>
      <c r="R145" s="2"/>
      <c r="S145" s="2"/>
    </row>
    <row x14ac:dyDescent="0.25" r="146" customHeight="1" ht="18.75">
      <c r="A146" s="1"/>
      <c r="B146" s="2"/>
      <c r="C146" s="2"/>
      <c r="D146" s="2"/>
      <c r="E146" s="2"/>
      <c r="F146" s="3"/>
      <c r="G146" s="4"/>
      <c r="H146" s="5"/>
      <c r="I146" s="4"/>
      <c r="J146" s="5"/>
      <c r="K146" s="2"/>
      <c r="L146" s="6"/>
      <c r="M146" s="2"/>
      <c r="N146" s="2"/>
      <c r="O146" s="2"/>
      <c r="P146" s="2"/>
      <c r="Q146" s="2"/>
      <c r="R146" s="2"/>
      <c r="S146" s="2"/>
    </row>
    <row x14ac:dyDescent="0.25" r="147" customHeight="1" ht="18.75">
      <c r="A147" s="1"/>
      <c r="B147" s="2"/>
      <c r="C147" s="2"/>
      <c r="D147" s="2"/>
      <c r="E147" s="2"/>
      <c r="F147" s="3"/>
      <c r="G147" s="4"/>
      <c r="H147" s="5"/>
      <c r="I147" s="4"/>
      <c r="J147" s="5"/>
      <c r="K147" s="2"/>
      <c r="L147" s="6"/>
      <c r="M147" s="2"/>
      <c r="N147" s="2"/>
      <c r="O147" s="2"/>
      <c r="P147" s="2"/>
      <c r="Q147" s="2"/>
      <c r="R147" s="2"/>
      <c r="S147" s="2"/>
    </row>
    <row x14ac:dyDescent="0.25" r="148" customHeight="1" ht="18.75">
      <c r="A148" s="1"/>
      <c r="B148" s="2"/>
      <c r="C148" s="2"/>
      <c r="D148" s="2"/>
      <c r="E148" s="2"/>
      <c r="F148" s="3"/>
      <c r="G148" s="4"/>
      <c r="H148" s="5"/>
      <c r="I148" s="4"/>
      <c r="J148" s="5"/>
      <c r="K148" s="2"/>
      <c r="L148" s="6"/>
      <c r="M148" s="2"/>
      <c r="N148" s="2"/>
      <c r="O148" s="2"/>
      <c r="P148" s="2"/>
      <c r="Q148" s="2"/>
      <c r="R148" s="2"/>
      <c r="S148" s="2"/>
    </row>
    <row x14ac:dyDescent="0.25" r="149" customHeight="1" ht="18.75">
      <c r="A149" s="1"/>
      <c r="B149" s="2"/>
      <c r="C149" s="2"/>
      <c r="D149" s="2"/>
      <c r="E149" s="2"/>
      <c r="F149" s="3"/>
      <c r="G149" s="4"/>
      <c r="H149" s="5"/>
      <c r="I149" s="4"/>
      <c r="J149" s="5"/>
      <c r="K149" s="2"/>
      <c r="L149" s="6"/>
      <c r="M149" s="2"/>
      <c r="N149" s="2"/>
      <c r="O149" s="2"/>
      <c r="P149" s="2"/>
      <c r="Q149" s="2"/>
      <c r="R149" s="2"/>
      <c r="S149" s="2"/>
    </row>
    <row x14ac:dyDescent="0.25" r="150" customHeight="1" ht="18.75">
      <c r="A150" s="1"/>
      <c r="B150" s="2"/>
      <c r="C150" s="2"/>
      <c r="D150" s="2"/>
      <c r="E150" s="2"/>
      <c r="F150" s="3"/>
      <c r="G150" s="4"/>
      <c r="H150" s="5"/>
      <c r="I150" s="4"/>
      <c r="J150" s="5"/>
      <c r="K150" s="2"/>
      <c r="L150" s="6"/>
      <c r="M150" s="2"/>
      <c r="N150" s="2"/>
      <c r="O150" s="2"/>
      <c r="P150" s="2"/>
      <c r="Q150" s="2"/>
      <c r="R150" s="2"/>
      <c r="S150" s="2"/>
    </row>
    <row x14ac:dyDescent="0.25" r="151" customHeight="1" ht="18.75">
      <c r="A151" s="1"/>
      <c r="B151" s="2"/>
      <c r="C151" s="2"/>
      <c r="D151" s="2"/>
      <c r="E151" s="2"/>
      <c r="F151" s="3"/>
      <c r="G151" s="4"/>
      <c r="H151" s="5"/>
      <c r="I151" s="4"/>
      <c r="J151" s="5"/>
      <c r="K151" s="2"/>
      <c r="L151" s="6"/>
      <c r="M151" s="2"/>
      <c r="N151" s="2"/>
      <c r="O151" s="2"/>
      <c r="P151" s="2"/>
      <c r="Q151" s="2"/>
      <c r="R151" s="2"/>
      <c r="S151" s="2"/>
    </row>
    <row x14ac:dyDescent="0.25" r="152" customHeight="1" ht="18.75">
      <c r="A152" s="1"/>
      <c r="B152" s="2"/>
      <c r="C152" s="2"/>
      <c r="D152" s="2"/>
      <c r="E152" s="2"/>
      <c r="F152" s="3"/>
      <c r="G152" s="4"/>
      <c r="H152" s="5"/>
      <c r="I152" s="4"/>
      <c r="J152" s="5"/>
      <c r="K152" s="2"/>
      <c r="L152" s="6"/>
      <c r="M152" s="2"/>
      <c r="N152" s="2"/>
      <c r="O152" s="2"/>
      <c r="P152" s="2"/>
      <c r="Q152" s="2"/>
      <c r="R152" s="2"/>
      <c r="S152" s="2"/>
    </row>
    <row x14ac:dyDescent="0.25" r="153" customHeight="1" ht="18.75">
      <c r="A153" s="1"/>
      <c r="B153" s="2"/>
      <c r="C153" s="2"/>
      <c r="D153" s="2"/>
      <c r="E153" s="2"/>
      <c r="F153" s="3"/>
      <c r="G153" s="4"/>
      <c r="H153" s="5"/>
      <c r="I153" s="4"/>
      <c r="J153" s="5"/>
      <c r="K153" s="2"/>
      <c r="L153" s="6"/>
      <c r="M153" s="2"/>
      <c r="N153" s="2"/>
      <c r="O153" s="2"/>
      <c r="P153" s="2"/>
      <c r="Q153" s="2"/>
      <c r="R153" s="2"/>
      <c r="S153" s="2"/>
    </row>
    <row x14ac:dyDescent="0.25" r="154" customHeight="1" ht="18.75">
      <c r="A154" s="1"/>
      <c r="B154" s="2"/>
      <c r="C154" s="2"/>
      <c r="D154" s="2"/>
      <c r="E154" s="2"/>
      <c r="F154" s="3"/>
      <c r="G154" s="4"/>
      <c r="H154" s="5"/>
      <c r="I154" s="4"/>
      <c r="J154" s="5"/>
      <c r="K154" s="2"/>
      <c r="L154" s="6"/>
      <c r="M154" s="2"/>
      <c r="N154" s="2"/>
      <c r="O154" s="2"/>
      <c r="P154" s="2"/>
      <c r="Q154" s="2"/>
      <c r="R154" s="2"/>
      <c r="S154" s="2"/>
    </row>
    <row x14ac:dyDescent="0.25" r="155" customHeight="1" ht="18.75">
      <c r="A155" s="1"/>
      <c r="B155" s="2"/>
      <c r="C155" s="2"/>
      <c r="D155" s="2"/>
      <c r="E155" s="2"/>
      <c r="F155" s="3"/>
      <c r="G155" s="4"/>
      <c r="H155" s="5"/>
      <c r="I155" s="4"/>
      <c r="J155" s="5"/>
      <c r="K155" s="2"/>
      <c r="L155" s="6"/>
      <c r="M155" s="2"/>
      <c r="N155" s="2"/>
      <c r="O155" s="2"/>
      <c r="P155" s="2"/>
      <c r="Q155" s="2"/>
      <c r="R155" s="2"/>
      <c r="S155" s="2"/>
    </row>
    <row x14ac:dyDescent="0.25" r="156" customHeight="1" ht="18.75">
      <c r="A156" s="1"/>
      <c r="B156" s="2"/>
      <c r="C156" s="2"/>
      <c r="D156" s="2"/>
      <c r="E156" s="2"/>
      <c r="F156" s="3"/>
      <c r="G156" s="4"/>
      <c r="H156" s="5"/>
      <c r="I156" s="4"/>
      <c r="J156" s="5"/>
      <c r="K156" s="2"/>
      <c r="L156" s="6"/>
      <c r="M156" s="2"/>
      <c r="N156" s="2"/>
      <c r="O156" s="2"/>
      <c r="P156" s="2"/>
      <c r="Q156" s="2"/>
      <c r="R156" s="2"/>
      <c r="S156" s="2"/>
    </row>
    <row x14ac:dyDescent="0.25" r="157" customHeight="1" ht="18.75">
      <c r="A157" s="1"/>
      <c r="B157" s="2"/>
      <c r="C157" s="2"/>
      <c r="D157" s="2"/>
      <c r="E157" s="2"/>
      <c r="F157" s="3"/>
      <c r="G157" s="4"/>
      <c r="H157" s="5"/>
      <c r="I157" s="4"/>
      <c r="J157" s="5"/>
      <c r="K157" s="2"/>
      <c r="L157" s="6"/>
      <c r="M157" s="2"/>
      <c r="N157" s="2"/>
      <c r="O157" s="2"/>
      <c r="P157" s="2"/>
      <c r="Q157" s="2"/>
      <c r="R157" s="2"/>
      <c r="S157" s="2"/>
    </row>
    <row x14ac:dyDescent="0.25" r="158" customHeight="1" ht="18.75">
      <c r="A158" s="1"/>
      <c r="B158" s="2"/>
      <c r="C158" s="2"/>
      <c r="D158" s="2"/>
      <c r="E158" s="2"/>
      <c r="F158" s="3"/>
      <c r="G158" s="4"/>
      <c r="H158" s="5"/>
      <c r="I158" s="4"/>
      <c r="J158" s="5"/>
      <c r="K158" s="2"/>
      <c r="L158" s="6"/>
      <c r="M158" s="2"/>
      <c r="N158" s="2"/>
      <c r="O158" s="2"/>
      <c r="P158" s="2"/>
      <c r="Q158" s="2"/>
      <c r="R158" s="2"/>
      <c r="S158" s="2"/>
    </row>
    <row x14ac:dyDescent="0.25" r="159" customHeight="1" ht="18.75">
      <c r="A159" s="1"/>
      <c r="B159" s="2"/>
      <c r="C159" s="2"/>
      <c r="D159" s="2"/>
      <c r="E159" s="2"/>
      <c r="F159" s="3"/>
      <c r="G159" s="4"/>
      <c r="H159" s="5"/>
      <c r="I159" s="4"/>
      <c r="J159" s="5"/>
      <c r="K159" s="2"/>
      <c r="L159" s="6"/>
      <c r="M159" s="2"/>
      <c r="N159" s="2"/>
      <c r="O159" s="2"/>
      <c r="P159" s="2"/>
      <c r="Q159" s="2"/>
      <c r="R159" s="2"/>
      <c r="S159" s="2"/>
    </row>
    <row x14ac:dyDescent="0.25" r="160" customHeight="1" ht="18.75">
      <c r="A160" s="1"/>
      <c r="B160" s="2"/>
      <c r="C160" s="2"/>
      <c r="D160" s="2"/>
      <c r="E160" s="2"/>
      <c r="F160" s="3"/>
      <c r="G160" s="4"/>
      <c r="H160" s="5"/>
      <c r="I160" s="4"/>
      <c r="J160" s="5"/>
      <c r="K160" s="2"/>
      <c r="L160" s="6"/>
      <c r="M160" s="2"/>
      <c r="N160" s="2"/>
      <c r="O160" s="2"/>
      <c r="P160" s="2"/>
      <c r="Q160" s="2"/>
      <c r="R160" s="2"/>
      <c r="S160" s="2"/>
    </row>
    <row x14ac:dyDescent="0.25" r="161" customHeight="1" ht="18.75">
      <c r="A161" s="1"/>
      <c r="B161" s="2"/>
      <c r="C161" s="2"/>
      <c r="D161" s="2"/>
      <c r="E161" s="2"/>
      <c r="F161" s="3"/>
      <c r="G161" s="4"/>
      <c r="H161" s="5"/>
      <c r="I161" s="4"/>
      <c r="J161" s="5"/>
      <c r="K161" s="2"/>
      <c r="L161" s="6"/>
      <c r="M161" s="2"/>
      <c r="N161" s="2"/>
      <c r="O161" s="2"/>
      <c r="P161" s="2"/>
      <c r="Q161" s="2"/>
      <c r="R161" s="2"/>
      <c r="S161" s="2"/>
    </row>
    <row x14ac:dyDescent="0.25" r="162" customHeight="1" ht="18.75">
      <c r="A162" s="1"/>
      <c r="B162" s="2"/>
      <c r="C162" s="2"/>
      <c r="D162" s="2"/>
      <c r="E162" s="2"/>
      <c r="F162" s="3"/>
      <c r="G162" s="4"/>
      <c r="H162" s="5"/>
      <c r="I162" s="4"/>
      <c r="J162" s="5"/>
      <c r="K162" s="2"/>
      <c r="L162" s="6"/>
      <c r="M162" s="2"/>
      <c r="N162" s="2"/>
      <c r="O162" s="2"/>
      <c r="P162" s="2"/>
      <c r="Q162" s="2"/>
      <c r="R162" s="2"/>
      <c r="S162" s="2"/>
    </row>
    <row x14ac:dyDescent="0.25" r="163" customHeight="1" ht="18.75">
      <c r="A163" s="1"/>
      <c r="B163" s="2"/>
      <c r="C163" s="2"/>
      <c r="D163" s="2"/>
      <c r="E163" s="2"/>
      <c r="F163" s="3"/>
      <c r="G163" s="4"/>
      <c r="H163" s="5"/>
      <c r="I163" s="4"/>
      <c r="J163" s="5"/>
      <c r="K163" s="2"/>
      <c r="L163" s="6"/>
      <c r="M163" s="2"/>
      <c r="N163" s="2"/>
      <c r="O163" s="2"/>
      <c r="P163" s="2"/>
      <c r="Q163" s="2"/>
      <c r="R163" s="2"/>
      <c r="S163" s="2"/>
    </row>
    <row x14ac:dyDescent="0.25" r="164" customHeight="1" ht="18.75">
      <c r="A164" s="1"/>
      <c r="B164" s="2"/>
      <c r="C164" s="2"/>
      <c r="D164" s="2"/>
      <c r="E164" s="2"/>
      <c r="F164" s="3"/>
      <c r="G164" s="4"/>
      <c r="H164" s="5"/>
      <c r="I164" s="4"/>
      <c r="J164" s="5"/>
      <c r="K164" s="2"/>
      <c r="L164" s="6"/>
      <c r="M164" s="2"/>
      <c r="N164" s="2"/>
      <c r="O164" s="2"/>
      <c r="P164" s="2"/>
      <c r="Q164" s="2"/>
      <c r="R164" s="2"/>
      <c r="S164" s="2"/>
    </row>
    <row x14ac:dyDescent="0.25" r="165" customHeight="1" ht="18.75">
      <c r="A165" s="1"/>
      <c r="B165" s="2"/>
      <c r="C165" s="2"/>
      <c r="D165" s="2"/>
      <c r="E165" s="2"/>
      <c r="F165" s="3"/>
      <c r="G165" s="4"/>
      <c r="H165" s="5"/>
      <c r="I165" s="4"/>
      <c r="J165" s="5"/>
      <c r="K165" s="2"/>
      <c r="L165" s="6"/>
      <c r="M165" s="2"/>
      <c r="N165" s="2"/>
      <c r="O165" s="2"/>
      <c r="P165" s="2"/>
      <c r="Q165" s="2"/>
      <c r="R165" s="2"/>
      <c r="S165" s="2"/>
    </row>
    <row x14ac:dyDescent="0.25" r="166" customHeight="1" ht="18.75">
      <c r="A166" s="1"/>
      <c r="B166" s="2"/>
      <c r="C166" s="2"/>
      <c r="D166" s="2"/>
      <c r="E166" s="2"/>
      <c r="F166" s="3"/>
      <c r="G166" s="4"/>
      <c r="H166" s="5"/>
      <c r="I166" s="4"/>
      <c r="J166" s="5"/>
      <c r="K166" s="2"/>
      <c r="L166" s="6"/>
      <c r="M166" s="2"/>
      <c r="N166" s="2"/>
      <c r="O166" s="2"/>
      <c r="P166" s="2"/>
      <c r="Q166" s="2"/>
      <c r="R166" s="2"/>
      <c r="S166" s="2"/>
    </row>
    <row x14ac:dyDescent="0.25" r="167" customHeight="1" ht="18.75">
      <c r="A167" s="1"/>
      <c r="B167" s="2"/>
      <c r="C167" s="2"/>
      <c r="D167" s="2"/>
      <c r="E167" s="2"/>
      <c r="F167" s="3"/>
      <c r="G167" s="4"/>
      <c r="H167" s="5"/>
      <c r="I167" s="4"/>
      <c r="J167" s="5"/>
      <c r="K167" s="2"/>
      <c r="L167" s="6"/>
      <c r="M167" s="2"/>
      <c r="N167" s="2"/>
      <c r="O167" s="2"/>
      <c r="P167" s="2"/>
      <c r="Q167" s="2"/>
      <c r="R167" s="2"/>
      <c r="S167" s="2"/>
    </row>
    <row x14ac:dyDescent="0.25" r="168" customHeight="1" ht="18.75">
      <c r="A168" s="1"/>
      <c r="B168" s="2"/>
      <c r="C168" s="2"/>
      <c r="D168" s="2"/>
      <c r="E168" s="2"/>
      <c r="F168" s="3"/>
      <c r="G168" s="4"/>
      <c r="H168" s="5"/>
      <c r="I168" s="4"/>
      <c r="J168" s="5"/>
      <c r="K168" s="2"/>
      <c r="L168" s="6"/>
      <c r="M168" s="2"/>
      <c r="N168" s="2"/>
      <c r="O168" s="2"/>
      <c r="P168" s="2"/>
      <c r="Q168" s="2"/>
      <c r="R168" s="2"/>
      <c r="S168" s="2"/>
    </row>
    <row x14ac:dyDescent="0.25" r="169" customHeight="1" ht="18.75">
      <c r="A169" s="1"/>
      <c r="B169" s="2"/>
      <c r="C169" s="2"/>
      <c r="D169" s="2"/>
      <c r="E169" s="2"/>
      <c r="F169" s="3"/>
      <c r="G169" s="4"/>
      <c r="H169" s="5"/>
      <c r="I169" s="4"/>
      <c r="J169" s="5"/>
      <c r="K169" s="2"/>
      <c r="L169" s="6"/>
      <c r="M169" s="2"/>
      <c r="N169" s="2"/>
      <c r="O169" s="2"/>
      <c r="P169" s="2"/>
      <c r="Q169" s="2"/>
      <c r="R169" s="2"/>
      <c r="S169" s="2"/>
    </row>
    <row x14ac:dyDescent="0.25" r="170" customHeight="1" ht="18.75">
      <c r="A170" s="1"/>
      <c r="B170" s="2"/>
      <c r="C170" s="2"/>
      <c r="D170" s="2"/>
      <c r="E170" s="2"/>
      <c r="F170" s="3"/>
      <c r="G170" s="4"/>
      <c r="H170" s="5"/>
      <c r="I170" s="4"/>
      <c r="J170" s="5"/>
      <c r="K170" s="2"/>
      <c r="L170" s="6"/>
      <c r="M170" s="2"/>
      <c r="N170" s="2"/>
      <c r="O170" s="2"/>
      <c r="P170" s="2"/>
      <c r="Q170" s="2"/>
      <c r="R170" s="2"/>
      <c r="S170" s="2"/>
    </row>
    <row x14ac:dyDescent="0.25" r="171" customHeight="1" ht="18.75">
      <c r="A171" s="1"/>
      <c r="B171" s="2"/>
      <c r="C171" s="2"/>
      <c r="D171" s="2"/>
      <c r="E171" s="2"/>
      <c r="F171" s="3"/>
      <c r="G171" s="4"/>
      <c r="H171" s="5"/>
      <c r="I171" s="4"/>
      <c r="J171" s="5"/>
      <c r="K171" s="2"/>
      <c r="L171" s="6"/>
      <c r="M171" s="2"/>
      <c r="N171" s="2"/>
      <c r="O171" s="2"/>
      <c r="P171" s="2"/>
      <c r="Q171" s="2"/>
      <c r="R171" s="2"/>
      <c r="S171" s="2"/>
    </row>
    <row x14ac:dyDescent="0.25" r="172" customHeight="1" ht="18.75">
      <c r="A172" s="1"/>
      <c r="B172" s="2"/>
      <c r="C172" s="2"/>
      <c r="D172" s="2"/>
      <c r="E172" s="2"/>
      <c r="F172" s="3"/>
      <c r="G172" s="4"/>
      <c r="H172" s="5"/>
      <c r="I172" s="4"/>
      <c r="J172" s="5"/>
      <c r="K172" s="2"/>
      <c r="L172" s="6"/>
      <c r="M172" s="2"/>
      <c r="N172" s="2"/>
      <c r="O172" s="2"/>
      <c r="P172" s="2"/>
      <c r="Q172" s="2"/>
      <c r="R172" s="2"/>
      <c r="S172" s="2"/>
    </row>
    <row x14ac:dyDescent="0.25" r="173" customHeight="1" ht="18.75">
      <c r="A173" s="1"/>
      <c r="B173" s="2"/>
      <c r="C173" s="2"/>
      <c r="D173" s="2"/>
      <c r="E173" s="2"/>
      <c r="F173" s="3"/>
      <c r="G173" s="4"/>
      <c r="H173" s="5"/>
      <c r="I173" s="4"/>
      <c r="J173" s="5"/>
      <c r="K173" s="2"/>
      <c r="L173" s="6"/>
      <c r="M173" s="2"/>
      <c r="N173" s="2"/>
      <c r="O173" s="2"/>
      <c r="P173" s="2"/>
      <c r="Q173" s="2"/>
      <c r="R173" s="2"/>
      <c r="S173" s="2"/>
    </row>
    <row x14ac:dyDescent="0.25" r="174" customHeight="1" ht="18.75">
      <c r="A174" s="1"/>
      <c r="B174" s="2"/>
      <c r="C174" s="2"/>
      <c r="D174" s="2"/>
      <c r="E174" s="2"/>
      <c r="F174" s="3"/>
      <c r="G174" s="4"/>
      <c r="H174" s="5"/>
      <c r="I174" s="4"/>
      <c r="J174" s="5"/>
      <c r="K174" s="2"/>
      <c r="L174" s="6"/>
      <c r="M174" s="2"/>
      <c r="N174" s="2"/>
      <c r="O174" s="2"/>
      <c r="P174" s="2"/>
      <c r="Q174" s="2"/>
      <c r="R174" s="2"/>
      <c r="S174" s="2"/>
    </row>
    <row x14ac:dyDescent="0.25" r="175" customHeight="1" ht="18.75">
      <c r="A175" s="1"/>
      <c r="B175" s="2"/>
      <c r="C175" s="2"/>
      <c r="D175" s="2"/>
      <c r="E175" s="2"/>
      <c r="F175" s="3"/>
      <c r="G175" s="4"/>
      <c r="H175" s="5"/>
      <c r="I175" s="4"/>
      <c r="J175" s="5"/>
      <c r="K175" s="2"/>
      <c r="L175" s="6"/>
      <c r="M175" s="2"/>
      <c r="N175" s="2"/>
      <c r="O175" s="2"/>
      <c r="P175" s="2"/>
      <c r="Q175" s="2"/>
      <c r="R175" s="2"/>
      <c r="S175" s="2"/>
    </row>
    <row x14ac:dyDescent="0.25" r="176" customHeight="1" ht="18.75">
      <c r="A176" s="1"/>
      <c r="B176" s="2"/>
      <c r="C176" s="2"/>
      <c r="D176" s="2"/>
      <c r="E176" s="2"/>
      <c r="F176" s="3"/>
      <c r="G176" s="4"/>
      <c r="H176" s="5"/>
      <c r="I176" s="4"/>
      <c r="J176" s="5"/>
      <c r="K176" s="2"/>
      <c r="L176" s="6"/>
      <c r="M176" s="2"/>
      <c r="N176" s="2"/>
      <c r="O176" s="2"/>
      <c r="P176" s="2"/>
      <c r="Q176" s="2"/>
      <c r="R176" s="2"/>
      <c r="S176" s="2"/>
    </row>
    <row x14ac:dyDescent="0.25" r="177" customHeight="1" ht="18.75">
      <c r="A177" s="1"/>
      <c r="B177" s="2"/>
      <c r="C177" s="2"/>
      <c r="D177" s="2"/>
      <c r="E177" s="2"/>
      <c r="F177" s="3"/>
      <c r="G177" s="4"/>
      <c r="H177" s="5"/>
      <c r="I177" s="4"/>
      <c r="J177" s="5"/>
      <c r="K177" s="2"/>
      <c r="L177" s="6"/>
      <c r="M177" s="2"/>
      <c r="N177" s="2"/>
      <c r="O177" s="2"/>
      <c r="P177" s="2"/>
      <c r="Q177" s="2"/>
      <c r="R177" s="2"/>
      <c r="S177" s="2"/>
    </row>
    <row x14ac:dyDescent="0.25" r="178" customHeight="1" ht="18.75">
      <c r="A178" s="1"/>
      <c r="B178" s="2"/>
      <c r="C178" s="2"/>
      <c r="D178" s="2"/>
      <c r="E178" s="2"/>
      <c r="F178" s="3"/>
      <c r="G178" s="4"/>
      <c r="H178" s="5"/>
      <c r="I178" s="4"/>
      <c r="J178" s="5"/>
      <c r="K178" s="2"/>
      <c r="L178" s="6"/>
      <c r="M178" s="2"/>
      <c r="N178" s="2"/>
      <c r="O178" s="2"/>
      <c r="P178" s="2"/>
      <c r="Q178" s="2"/>
      <c r="R178" s="2"/>
      <c r="S178" s="2"/>
    </row>
    <row x14ac:dyDescent="0.25" r="179" customHeight="1" ht="18.75">
      <c r="A179" s="1"/>
      <c r="B179" s="2"/>
      <c r="C179" s="2"/>
      <c r="D179" s="2"/>
      <c r="E179" s="2"/>
      <c r="F179" s="3"/>
      <c r="G179" s="4"/>
      <c r="H179" s="5"/>
      <c r="I179" s="4"/>
      <c r="J179" s="5"/>
      <c r="K179" s="2"/>
      <c r="L179" s="6"/>
      <c r="M179" s="2"/>
      <c r="N179" s="2"/>
      <c r="O179" s="2"/>
      <c r="P179" s="2"/>
      <c r="Q179" s="2"/>
      <c r="R179" s="2"/>
      <c r="S179" s="2"/>
    </row>
    <row x14ac:dyDescent="0.25" r="180" customHeight="1" ht="18.75">
      <c r="A180" s="1"/>
      <c r="B180" s="2"/>
      <c r="C180" s="2"/>
      <c r="D180" s="2"/>
      <c r="E180" s="2"/>
      <c r="F180" s="3"/>
      <c r="G180" s="4"/>
      <c r="H180" s="5"/>
      <c r="I180" s="4"/>
      <c r="J180" s="5"/>
      <c r="K180" s="2"/>
      <c r="L180" s="6"/>
      <c r="M180" s="2"/>
      <c r="N180" s="2"/>
      <c r="O180" s="2"/>
      <c r="P180" s="2"/>
      <c r="Q180" s="2"/>
      <c r="R180" s="2"/>
      <c r="S180" s="2"/>
    </row>
    <row x14ac:dyDescent="0.25" r="181" customHeight="1" ht="18.75">
      <c r="A181" s="1"/>
      <c r="B181" s="2"/>
      <c r="C181" s="2"/>
      <c r="D181" s="2"/>
      <c r="E181" s="2"/>
      <c r="F181" s="3"/>
      <c r="G181" s="4"/>
      <c r="H181" s="5"/>
      <c r="I181" s="4"/>
      <c r="J181" s="5"/>
      <c r="K181" s="2"/>
      <c r="L181" s="6"/>
      <c r="M181" s="2"/>
      <c r="N181" s="2"/>
      <c r="O181" s="2"/>
      <c r="P181" s="2"/>
      <c r="Q181" s="2"/>
      <c r="R181" s="2"/>
      <c r="S181" s="2"/>
    </row>
    <row x14ac:dyDescent="0.25" r="182" customHeight="1" ht="18.75">
      <c r="A182" s="1"/>
      <c r="B182" s="2"/>
      <c r="C182" s="2"/>
      <c r="D182" s="2"/>
      <c r="E182" s="2"/>
      <c r="F182" s="3"/>
      <c r="G182" s="4"/>
      <c r="H182" s="5"/>
      <c r="I182" s="4"/>
      <c r="J182" s="5"/>
      <c r="K182" s="2"/>
      <c r="L182" s="6"/>
      <c r="M182" s="2"/>
      <c r="N182" s="2"/>
      <c r="O182" s="2"/>
      <c r="P182" s="2"/>
      <c r="Q182" s="2"/>
      <c r="R182" s="2"/>
      <c r="S182" s="2"/>
    </row>
    <row x14ac:dyDescent="0.25" r="183" customHeight="1" ht="18.75">
      <c r="A183" s="1"/>
      <c r="B183" s="2"/>
      <c r="C183" s="2"/>
      <c r="D183" s="2"/>
      <c r="E183" s="2"/>
      <c r="F183" s="3"/>
      <c r="G183" s="4"/>
      <c r="H183" s="5"/>
      <c r="I183" s="4"/>
      <c r="J183" s="5"/>
      <c r="K183" s="2"/>
      <c r="L183" s="6"/>
      <c r="M183" s="2"/>
      <c r="N183" s="2"/>
      <c r="O183" s="2"/>
      <c r="P183" s="2"/>
      <c r="Q183" s="2"/>
      <c r="R183" s="2"/>
      <c r="S183" s="2"/>
    </row>
    <row x14ac:dyDescent="0.25" r="184" customHeight="1" ht="18.75">
      <c r="A184" s="1"/>
      <c r="B184" s="2"/>
      <c r="C184" s="2"/>
      <c r="D184" s="2"/>
      <c r="E184" s="2"/>
      <c r="F184" s="3"/>
      <c r="G184" s="4"/>
      <c r="H184" s="5"/>
      <c r="I184" s="4"/>
      <c r="J184" s="5"/>
      <c r="K184" s="2"/>
      <c r="L184" s="6"/>
      <c r="M184" s="2"/>
      <c r="N184" s="2"/>
      <c r="O184" s="2"/>
      <c r="P184" s="2"/>
      <c r="Q184" s="2"/>
      <c r="R184" s="2"/>
      <c r="S184" s="2"/>
    </row>
    <row x14ac:dyDescent="0.25" r="185" customHeight="1" ht="18.75">
      <c r="A185" s="1"/>
      <c r="B185" s="2"/>
      <c r="C185" s="2"/>
      <c r="D185" s="2"/>
      <c r="E185" s="2"/>
      <c r="F185" s="3"/>
      <c r="G185" s="4"/>
      <c r="H185" s="5"/>
      <c r="I185" s="4"/>
      <c r="J185" s="5"/>
      <c r="K185" s="2"/>
      <c r="L185" s="6"/>
      <c r="M185" s="2"/>
      <c r="N185" s="2"/>
      <c r="O185" s="2"/>
      <c r="P185" s="2"/>
      <c r="Q185" s="2"/>
      <c r="R185" s="2"/>
      <c r="S185" s="2"/>
    </row>
    <row x14ac:dyDescent="0.25" r="186" customHeight="1" ht="18.75">
      <c r="A186" s="1"/>
      <c r="B186" s="2"/>
      <c r="C186" s="2"/>
      <c r="D186" s="2"/>
      <c r="E186" s="2"/>
      <c r="F186" s="3"/>
      <c r="G186" s="4"/>
      <c r="H186" s="5"/>
      <c r="I186" s="4"/>
      <c r="J186" s="5"/>
      <c r="K186" s="2"/>
      <c r="L186" s="6"/>
      <c r="M186" s="2"/>
      <c r="N186" s="2"/>
      <c r="O186" s="2"/>
      <c r="P186" s="2"/>
      <c r="Q186" s="2"/>
      <c r="R186" s="2"/>
      <c r="S186" s="2"/>
    </row>
    <row x14ac:dyDescent="0.25" r="187" customHeight="1" ht="18.75">
      <c r="A187" s="1"/>
      <c r="B187" s="2"/>
      <c r="C187" s="2"/>
      <c r="D187" s="2"/>
      <c r="E187" s="2"/>
      <c r="F187" s="3"/>
      <c r="G187" s="4"/>
      <c r="H187" s="5"/>
      <c r="I187" s="4"/>
      <c r="J187" s="5"/>
      <c r="K187" s="2"/>
      <c r="L187" s="6"/>
      <c r="M187" s="2"/>
      <c r="N187" s="2"/>
      <c r="O187" s="2"/>
      <c r="P187" s="2"/>
      <c r="Q187" s="2"/>
      <c r="R187" s="2"/>
      <c r="S187" s="2"/>
    </row>
    <row x14ac:dyDescent="0.25" r="188" customHeight="1" ht="18.75">
      <c r="A188" s="1"/>
      <c r="B188" s="2"/>
      <c r="C188" s="2"/>
      <c r="D188" s="2"/>
      <c r="E188" s="2"/>
      <c r="F188" s="3"/>
      <c r="G188" s="4"/>
      <c r="H188" s="5"/>
      <c r="I188" s="4"/>
      <c r="J188" s="5"/>
      <c r="K188" s="2"/>
      <c r="L188" s="6"/>
      <c r="M188" s="2"/>
      <c r="N188" s="2"/>
      <c r="O188" s="2"/>
      <c r="P188" s="2"/>
      <c r="Q188" s="2"/>
      <c r="R188" s="2"/>
      <c r="S188" s="2"/>
    </row>
    <row x14ac:dyDescent="0.25" r="189" customHeight="1" ht="18.75">
      <c r="A189" s="1"/>
      <c r="B189" s="2"/>
      <c r="C189" s="2"/>
      <c r="D189" s="2"/>
      <c r="E189" s="2"/>
      <c r="F189" s="3"/>
      <c r="G189" s="4"/>
      <c r="H189" s="5"/>
      <c r="I189" s="4"/>
      <c r="J189" s="5"/>
      <c r="K189" s="2"/>
      <c r="L189" s="6"/>
      <c r="M189" s="2"/>
      <c r="N189" s="2"/>
      <c r="O189" s="2"/>
      <c r="P189" s="2"/>
      <c r="Q189" s="2"/>
      <c r="R189" s="2"/>
      <c r="S189" s="2"/>
    </row>
    <row x14ac:dyDescent="0.25" r="190" customHeight="1" ht="18.75">
      <c r="A190" s="1"/>
      <c r="B190" s="2"/>
      <c r="C190" s="2"/>
      <c r="D190" s="2"/>
      <c r="E190" s="2"/>
      <c r="F190" s="3"/>
      <c r="G190" s="4"/>
      <c r="H190" s="5"/>
      <c r="I190" s="4"/>
      <c r="J190" s="5"/>
      <c r="K190" s="2"/>
      <c r="L190" s="6"/>
      <c r="M190" s="2"/>
      <c r="N190" s="2"/>
      <c r="O190" s="2"/>
      <c r="P190" s="2"/>
      <c r="Q190" s="2"/>
      <c r="R190" s="2"/>
      <c r="S190" s="2"/>
    </row>
    <row x14ac:dyDescent="0.25" r="191" customHeight="1" ht="18.75">
      <c r="A191" s="1"/>
      <c r="B191" s="2"/>
      <c r="C191" s="2"/>
      <c r="D191" s="2"/>
      <c r="E191" s="2"/>
      <c r="F191" s="3"/>
      <c r="G191" s="4"/>
      <c r="H191" s="5"/>
      <c r="I191" s="4"/>
      <c r="J191" s="5"/>
      <c r="K191" s="2"/>
      <c r="L191" s="6"/>
      <c r="M191" s="2"/>
      <c r="N191" s="2"/>
      <c r="O191" s="2"/>
      <c r="P191" s="2"/>
      <c r="Q191" s="2"/>
      <c r="R191" s="2"/>
      <c r="S191" s="2"/>
    </row>
    <row x14ac:dyDescent="0.25" r="192" customHeight="1" ht="18.75">
      <c r="A192" s="1"/>
      <c r="B192" s="2"/>
      <c r="C192" s="2"/>
      <c r="D192" s="2"/>
      <c r="E192" s="2"/>
      <c r="F192" s="3"/>
      <c r="G192" s="4"/>
      <c r="H192" s="5"/>
      <c r="I192" s="4"/>
      <c r="J192" s="5"/>
      <c r="K192" s="2"/>
      <c r="L192" s="6"/>
      <c r="M192" s="2"/>
      <c r="N192" s="2"/>
      <c r="O192" s="2"/>
      <c r="P192" s="2"/>
      <c r="Q192" s="2"/>
      <c r="R192" s="2"/>
      <c r="S192" s="2"/>
    </row>
    <row x14ac:dyDescent="0.25" r="193" customHeight="1" ht="18.75">
      <c r="A193" s="1"/>
      <c r="B193" s="2"/>
      <c r="C193" s="2"/>
      <c r="D193" s="2"/>
      <c r="E193" s="2"/>
      <c r="F193" s="3"/>
      <c r="G193" s="4"/>
      <c r="H193" s="5"/>
      <c r="I193" s="4"/>
      <c r="J193" s="5"/>
      <c r="K193" s="2"/>
      <c r="L193" s="6"/>
      <c r="M193" s="2"/>
      <c r="N193" s="2"/>
      <c r="O193" s="2"/>
      <c r="P193" s="2"/>
      <c r="Q193" s="2"/>
      <c r="R193" s="2"/>
      <c r="S193" s="2"/>
    </row>
    <row x14ac:dyDescent="0.25" r="194" customHeight="1" ht="18.75">
      <c r="A194" s="1"/>
      <c r="B194" s="2"/>
      <c r="C194" s="2"/>
      <c r="D194" s="2"/>
      <c r="E194" s="2"/>
      <c r="F194" s="3"/>
      <c r="G194" s="4"/>
      <c r="H194" s="5"/>
      <c r="I194" s="4"/>
      <c r="J194" s="5"/>
      <c r="K194" s="2"/>
      <c r="L194" s="6"/>
      <c r="M194" s="2"/>
      <c r="N194" s="2"/>
      <c r="O194" s="2"/>
      <c r="P194" s="2"/>
      <c r="Q194" s="2"/>
      <c r="R194" s="2"/>
      <c r="S194" s="2"/>
    </row>
    <row x14ac:dyDescent="0.25" r="195" customHeight="1" ht="18.75">
      <c r="A195" s="1"/>
      <c r="B195" s="2"/>
      <c r="C195" s="2"/>
      <c r="D195" s="2"/>
      <c r="E195" s="2"/>
      <c r="F195" s="3"/>
      <c r="G195" s="4"/>
      <c r="H195" s="5"/>
      <c r="I195" s="4"/>
      <c r="J195" s="5"/>
      <c r="K195" s="2"/>
      <c r="L195" s="6"/>
      <c r="M195" s="2"/>
      <c r="N195" s="2"/>
      <c r="O195" s="2"/>
      <c r="P195" s="2"/>
      <c r="Q195" s="2"/>
      <c r="R195" s="2"/>
      <c r="S195" s="2"/>
    </row>
    <row x14ac:dyDescent="0.25" r="196" customHeight="1" ht="18.75">
      <c r="A196" s="1"/>
      <c r="B196" s="2"/>
      <c r="C196" s="2"/>
      <c r="D196" s="2"/>
      <c r="E196" s="2"/>
      <c r="F196" s="3"/>
      <c r="G196" s="4"/>
      <c r="H196" s="5"/>
      <c r="I196" s="4"/>
      <c r="J196" s="5"/>
      <c r="K196" s="2"/>
      <c r="L196" s="6"/>
      <c r="M196" s="2"/>
      <c r="N196" s="2"/>
      <c r="O196" s="2"/>
      <c r="P196" s="2"/>
      <c r="Q196" s="2"/>
      <c r="R196" s="2"/>
      <c r="S196" s="2"/>
    </row>
    <row x14ac:dyDescent="0.25" r="197" customHeight="1" ht="18.75">
      <c r="A197" s="1"/>
      <c r="B197" s="2"/>
      <c r="C197" s="2"/>
      <c r="D197" s="2"/>
      <c r="E197" s="2"/>
      <c r="F197" s="3"/>
      <c r="G197" s="4"/>
      <c r="H197" s="5"/>
      <c r="I197" s="4"/>
      <c r="J197" s="5"/>
      <c r="K197" s="2"/>
      <c r="L197" s="6"/>
      <c r="M197" s="2"/>
      <c r="N197" s="2"/>
      <c r="O197" s="2"/>
      <c r="P197" s="2"/>
      <c r="Q197" s="2"/>
      <c r="R197" s="2"/>
      <c r="S197" s="2"/>
    </row>
    <row x14ac:dyDescent="0.25" r="198" customHeight="1" ht="18.75">
      <c r="A198" s="1"/>
      <c r="B198" s="2"/>
      <c r="C198" s="2"/>
      <c r="D198" s="2"/>
      <c r="E198" s="2"/>
      <c r="F198" s="3"/>
      <c r="G198" s="4"/>
      <c r="H198" s="5"/>
      <c r="I198" s="4"/>
      <c r="J198" s="5"/>
      <c r="K198" s="2"/>
      <c r="L198" s="6"/>
      <c r="M198" s="2"/>
      <c r="N198" s="2"/>
      <c r="O198" s="2"/>
      <c r="P198" s="2"/>
      <c r="Q198" s="2"/>
      <c r="R198" s="2"/>
      <c r="S198" s="2"/>
    </row>
    <row x14ac:dyDescent="0.25" r="199" customHeight="1" ht="18.75">
      <c r="A199" s="1"/>
      <c r="B199" s="2"/>
      <c r="C199" s="2"/>
      <c r="D199" s="2"/>
      <c r="E199" s="2"/>
      <c r="F199" s="3"/>
      <c r="G199" s="4"/>
      <c r="H199" s="5"/>
      <c r="I199" s="4"/>
      <c r="J199" s="5"/>
      <c r="K199" s="2"/>
      <c r="L199" s="6"/>
      <c r="M199" s="2"/>
      <c r="N199" s="2"/>
      <c r="O199" s="2"/>
      <c r="P199" s="2"/>
      <c r="Q199" s="2"/>
      <c r="R199" s="2"/>
      <c r="S199" s="2"/>
    </row>
    <row x14ac:dyDescent="0.25" r="200" customHeight="1" ht="18.75">
      <c r="A200" s="1"/>
      <c r="B200" s="2"/>
      <c r="C200" s="2"/>
      <c r="D200" s="2"/>
      <c r="E200" s="2"/>
      <c r="F200" s="3"/>
      <c r="G200" s="4"/>
      <c r="H200" s="5"/>
      <c r="I200" s="4"/>
      <c r="J200" s="5"/>
      <c r="K200" s="2"/>
      <c r="L200" s="6"/>
      <c r="M200" s="2"/>
      <c r="N200" s="2"/>
      <c r="O200" s="2"/>
      <c r="P200" s="2"/>
      <c r="Q200" s="2"/>
      <c r="R200" s="2"/>
      <c r="S200" s="2"/>
    </row>
    <row x14ac:dyDescent="0.25" r="201" customHeight="1" ht="18.75">
      <c r="A201" s="1"/>
      <c r="B201" s="2"/>
      <c r="C201" s="2"/>
      <c r="D201" s="2"/>
      <c r="E201" s="2"/>
      <c r="F201" s="3"/>
      <c r="G201" s="4"/>
      <c r="H201" s="5"/>
      <c r="I201" s="4"/>
      <c r="J201" s="5"/>
      <c r="K201" s="2"/>
      <c r="L201" s="6"/>
      <c r="M201" s="2"/>
      <c r="N201" s="2"/>
      <c r="O201" s="2"/>
      <c r="P201" s="2"/>
      <c r="Q201" s="2"/>
      <c r="R201" s="2"/>
      <c r="S201" s="2"/>
    </row>
    <row x14ac:dyDescent="0.25" r="202" customHeight="1" ht="18.75">
      <c r="A202" s="1"/>
      <c r="B202" s="2"/>
      <c r="C202" s="2"/>
      <c r="D202" s="2"/>
      <c r="E202" s="2"/>
      <c r="F202" s="3"/>
      <c r="G202" s="4"/>
      <c r="H202" s="5"/>
      <c r="I202" s="4"/>
      <c r="J202" s="5"/>
      <c r="K202" s="2"/>
      <c r="L202" s="6"/>
      <c r="M202" s="2"/>
      <c r="N202" s="2"/>
      <c r="O202" s="2"/>
      <c r="P202" s="2"/>
      <c r="Q202" s="2"/>
      <c r="R202" s="2"/>
      <c r="S202" s="2"/>
    </row>
    <row x14ac:dyDescent="0.25" r="203" customHeight="1" ht="18.75">
      <c r="A203" s="1"/>
      <c r="B203" s="2"/>
      <c r="C203" s="2"/>
      <c r="D203" s="2"/>
      <c r="E203" s="2"/>
      <c r="F203" s="3"/>
      <c r="G203" s="4"/>
      <c r="H203" s="5"/>
      <c r="I203" s="4"/>
      <c r="J203" s="5"/>
      <c r="K203" s="2"/>
      <c r="L203" s="6"/>
      <c r="M203" s="2"/>
      <c r="N203" s="2"/>
      <c r="O203" s="2"/>
      <c r="P203" s="2"/>
      <c r="Q203" s="2"/>
      <c r="R203" s="2"/>
      <c r="S203" s="2"/>
    </row>
    <row x14ac:dyDescent="0.25" r="204" customHeight="1" ht="18.75">
      <c r="A204" s="1"/>
      <c r="B204" s="2"/>
      <c r="C204" s="2"/>
      <c r="D204" s="2"/>
      <c r="E204" s="2"/>
      <c r="F204" s="3"/>
      <c r="G204" s="4"/>
      <c r="H204" s="5"/>
      <c r="I204" s="4"/>
      <c r="J204" s="5"/>
      <c r="K204" s="2"/>
      <c r="L204" s="6"/>
      <c r="M204" s="2"/>
      <c r="N204" s="2"/>
      <c r="O204" s="2"/>
      <c r="P204" s="2"/>
      <c r="Q204" s="2"/>
      <c r="R204" s="2"/>
      <c r="S204" s="2"/>
    </row>
    <row x14ac:dyDescent="0.25" r="205" customHeight="1" ht="18.75">
      <c r="A205" s="1"/>
      <c r="B205" s="2"/>
      <c r="C205" s="2"/>
      <c r="D205" s="2"/>
      <c r="E205" s="2"/>
      <c r="F205" s="3"/>
      <c r="G205" s="4"/>
      <c r="H205" s="5"/>
      <c r="I205" s="4"/>
      <c r="J205" s="5"/>
      <c r="K205" s="2"/>
      <c r="L205" s="6"/>
      <c r="M205" s="2"/>
      <c r="N205" s="2"/>
      <c r="O205" s="2"/>
      <c r="P205" s="2"/>
      <c r="Q205" s="2"/>
      <c r="R205" s="2"/>
      <c r="S205" s="2"/>
    </row>
    <row x14ac:dyDescent="0.25" r="206" customHeight="1" ht="18.75">
      <c r="A206" s="1"/>
      <c r="B206" s="2"/>
      <c r="C206" s="2"/>
      <c r="D206" s="2"/>
      <c r="E206" s="2"/>
      <c r="F206" s="3"/>
      <c r="G206" s="4"/>
      <c r="H206" s="5"/>
      <c r="I206" s="4"/>
      <c r="J206" s="5"/>
      <c r="K206" s="2"/>
      <c r="L206" s="6"/>
      <c r="M206" s="2"/>
      <c r="N206" s="2"/>
      <c r="O206" s="2"/>
      <c r="P206" s="2"/>
      <c r="Q206" s="2"/>
      <c r="R206" s="2"/>
      <c r="S206" s="2"/>
    </row>
    <row x14ac:dyDescent="0.25" r="207" customHeight="1" ht="18.75">
      <c r="A207" s="1"/>
      <c r="B207" s="2"/>
      <c r="C207" s="2"/>
      <c r="D207" s="2"/>
      <c r="E207" s="2"/>
      <c r="F207" s="3"/>
      <c r="G207" s="4"/>
      <c r="H207" s="5"/>
      <c r="I207" s="4"/>
      <c r="J207" s="5"/>
      <c r="K207" s="2"/>
      <c r="L207" s="6"/>
      <c r="M207" s="2"/>
      <c r="N207" s="2"/>
      <c r="O207" s="2"/>
      <c r="P207" s="2"/>
      <c r="Q207" s="2"/>
      <c r="R207" s="2"/>
      <c r="S207" s="2"/>
    </row>
    <row x14ac:dyDescent="0.25" r="208" customHeight="1" ht="18.75">
      <c r="A208" s="1"/>
      <c r="B208" s="2"/>
      <c r="C208" s="2"/>
      <c r="D208" s="2"/>
      <c r="E208" s="2"/>
      <c r="F208" s="3"/>
      <c r="G208" s="4"/>
      <c r="H208" s="5"/>
      <c r="I208" s="4"/>
      <c r="J208" s="5"/>
      <c r="K208" s="2"/>
      <c r="L208" s="6"/>
      <c r="M208" s="2"/>
      <c r="N208" s="2"/>
      <c r="O208" s="2"/>
      <c r="P208" s="2"/>
      <c r="Q208" s="2"/>
      <c r="R208" s="2"/>
      <c r="S208" s="2"/>
    </row>
    <row x14ac:dyDescent="0.25" r="209" customHeight="1" ht="18.75">
      <c r="A209" s="1"/>
      <c r="B209" s="2"/>
      <c r="C209" s="2"/>
      <c r="D209" s="2"/>
      <c r="E209" s="2"/>
      <c r="F209" s="3"/>
      <c r="G209" s="4"/>
      <c r="H209" s="5"/>
      <c r="I209" s="4"/>
      <c r="J209" s="5"/>
      <c r="K209" s="2"/>
      <c r="L209" s="6"/>
      <c r="M209" s="2"/>
      <c r="N209" s="2"/>
      <c r="O209" s="2"/>
      <c r="P209" s="2"/>
      <c r="Q209" s="2"/>
      <c r="R209" s="2"/>
      <c r="S209" s="2"/>
    </row>
    <row x14ac:dyDescent="0.25" r="210" customHeight="1" ht="18.75">
      <c r="A210" s="1"/>
      <c r="B210" s="2"/>
      <c r="C210" s="2"/>
      <c r="D210" s="2"/>
      <c r="E210" s="2"/>
      <c r="F210" s="3"/>
      <c r="G210" s="4"/>
      <c r="H210" s="5"/>
      <c r="I210" s="4"/>
      <c r="J210" s="5"/>
      <c r="K210" s="2"/>
      <c r="L210" s="6"/>
      <c r="M210" s="2"/>
      <c r="N210" s="2"/>
      <c r="O210" s="2"/>
      <c r="P210" s="2"/>
      <c r="Q210" s="2"/>
      <c r="R210" s="2"/>
      <c r="S210" s="2"/>
    </row>
    <row x14ac:dyDescent="0.25" r="211" customHeight="1" ht="18.75">
      <c r="A211" s="1"/>
      <c r="B211" s="2"/>
      <c r="C211" s="2"/>
      <c r="D211" s="2"/>
      <c r="E211" s="2"/>
      <c r="F211" s="3"/>
      <c r="G211" s="4"/>
      <c r="H211" s="5"/>
      <c r="I211" s="4"/>
      <c r="J211" s="5"/>
      <c r="K211" s="2"/>
      <c r="L211" s="6"/>
      <c r="M211" s="2"/>
      <c r="N211" s="2"/>
      <c r="O211" s="2"/>
      <c r="P211" s="2"/>
      <c r="Q211" s="2"/>
      <c r="R211" s="2"/>
      <c r="S211" s="2"/>
    </row>
    <row x14ac:dyDescent="0.25" r="212" customHeight="1" ht="18.75">
      <c r="A212" s="1"/>
      <c r="B212" s="2"/>
      <c r="C212" s="2"/>
      <c r="D212" s="2"/>
      <c r="E212" s="2"/>
      <c r="F212" s="3"/>
      <c r="G212" s="4"/>
      <c r="H212" s="5"/>
      <c r="I212" s="4"/>
      <c r="J212" s="5"/>
      <c r="K212" s="2"/>
      <c r="L212" s="6"/>
      <c r="M212" s="2"/>
      <c r="N212" s="2"/>
      <c r="O212" s="2"/>
      <c r="P212" s="2"/>
      <c r="Q212" s="2"/>
      <c r="R212" s="2"/>
      <c r="S212" s="2"/>
    </row>
    <row x14ac:dyDescent="0.25" r="213" customHeight="1" ht="18.75">
      <c r="A213" s="1"/>
      <c r="B213" s="2"/>
      <c r="C213" s="2"/>
      <c r="D213" s="2"/>
      <c r="E213" s="2"/>
      <c r="F213" s="3"/>
      <c r="G213" s="4"/>
      <c r="H213" s="5"/>
      <c r="I213" s="4"/>
      <c r="J213" s="5"/>
      <c r="K213" s="2"/>
      <c r="L213" s="6"/>
      <c r="M213" s="2"/>
      <c r="N213" s="2"/>
      <c r="O213" s="2"/>
      <c r="P213" s="2"/>
      <c r="Q213" s="2"/>
      <c r="R213" s="2"/>
      <c r="S213" s="2"/>
    </row>
    <row x14ac:dyDescent="0.25" r="214" customHeight="1" ht="18.75">
      <c r="A214" s="1"/>
      <c r="B214" s="2"/>
      <c r="C214" s="2"/>
      <c r="D214" s="2"/>
      <c r="E214" s="2"/>
      <c r="F214" s="3"/>
      <c r="G214" s="4"/>
      <c r="H214" s="5"/>
      <c r="I214" s="4"/>
      <c r="J214" s="5"/>
      <c r="K214" s="2"/>
      <c r="L214" s="6"/>
      <c r="M214" s="2"/>
      <c r="N214" s="2"/>
      <c r="O214" s="2"/>
      <c r="P214" s="2"/>
      <c r="Q214" s="2"/>
      <c r="R214" s="2"/>
      <c r="S214" s="2"/>
    </row>
    <row x14ac:dyDescent="0.25" r="215" customHeight="1" ht="18.75">
      <c r="A215" s="1"/>
      <c r="B215" s="2"/>
      <c r="C215" s="2"/>
      <c r="D215" s="2"/>
      <c r="E215" s="2"/>
      <c r="F215" s="3"/>
      <c r="G215" s="4"/>
      <c r="H215" s="5"/>
      <c r="I215" s="4"/>
      <c r="J215" s="5"/>
      <c r="K215" s="2"/>
      <c r="L215" s="6"/>
      <c r="M215" s="2"/>
      <c r="N215" s="2"/>
      <c r="O215" s="2"/>
      <c r="P215" s="2"/>
      <c r="Q215" s="2"/>
      <c r="R215" s="2"/>
      <c r="S215" s="2"/>
    </row>
    <row x14ac:dyDescent="0.25" r="216" customHeight="1" ht="18.75">
      <c r="A216" s="1"/>
      <c r="B216" s="2"/>
      <c r="C216" s="2"/>
      <c r="D216" s="2"/>
      <c r="E216" s="2"/>
      <c r="F216" s="3"/>
      <c r="G216" s="4"/>
      <c r="H216" s="5"/>
      <c r="I216" s="4"/>
      <c r="J216" s="5"/>
      <c r="K216" s="2"/>
      <c r="L216" s="6"/>
      <c r="M216" s="2"/>
      <c r="N216" s="2"/>
      <c r="O216" s="2"/>
      <c r="P216" s="2"/>
      <c r="Q216" s="2"/>
      <c r="R216" s="2"/>
      <c r="S216" s="2"/>
    </row>
    <row x14ac:dyDescent="0.25" r="217" customHeight="1" ht="18.75">
      <c r="A217" s="1"/>
      <c r="B217" s="2"/>
      <c r="C217" s="2"/>
      <c r="D217" s="2"/>
      <c r="E217" s="2"/>
      <c r="F217" s="3"/>
      <c r="G217" s="4"/>
      <c r="H217" s="5"/>
      <c r="I217" s="4"/>
      <c r="J217" s="5"/>
      <c r="K217" s="2"/>
      <c r="L217" s="6"/>
      <c r="M217" s="2"/>
      <c r="N217" s="2"/>
      <c r="O217" s="2"/>
      <c r="P217" s="2"/>
      <c r="Q217" s="2"/>
      <c r="R217" s="2"/>
      <c r="S217" s="2"/>
    </row>
    <row x14ac:dyDescent="0.25" r="218" customHeight="1" ht="18.75">
      <c r="A218" s="1"/>
      <c r="B218" s="2"/>
      <c r="C218" s="2"/>
      <c r="D218" s="2"/>
      <c r="E218" s="2"/>
      <c r="F218" s="3"/>
      <c r="G218" s="4"/>
      <c r="H218" s="5"/>
      <c r="I218" s="4"/>
      <c r="J218" s="5"/>
      <c r="K218" s="2"/>
      <c r="L218" s="6"/>
      <c r="M218" s="2"/>
      <c r="N218" s="2"/>
      <c r="O218" s="2"/>
      <c r="P218" s="2"/>
      <c r="Q218" s="2"/>
      <c r="R218" s="2"/>
      <c r="S218" s="2"/>
    </row>
    <row x14ac:dyDescent="0.25" r="219" customHeight="1" ht="18.75">
      <c r="A219" s="1"/>
      <c r="B219" s="2"/>
      <c r="C219" s="2"/>
      <c r="D219" s="2"/>
      <c r="E219" s="2"/>
      <c r="F219" s="3"/>
      <c r="G219" s="4"/>
      <c r="H219" s="5"/>
      <c r="I219" s="4"/>
      <c r="J219" s="5"/>
      <c r="K219" s="2"/>
      <c r="L219" s="6"/>
      <c r="M219" s="2"/>
      <c r="N219" s="2"/>
      <c r="O219" s="2"/>
      <c r="P219" s="2"/>
      <c r="Q219" s="2"/>
      <c r="R219" s="2"/>
      <c r="S219" s="2"/>
    </row>
    <row x14ac:dyDescent="0.25" r="220" customHeight="1" ht="18.75">
      <c r="A220" s="1"/>
      <c r="B220" s="2"/>
      <c r="C220" s="2"/>
      <c r="D220" s="2"/>
      <c r="E220" s="2"/>
      <c r="F220" s="3"/>
      <c r="G220" s="4"/>
      <c r="H220" s="5"/>
      <c r="I220" s="4"/>
      <c r="J220" s="5"/>
      <c r="K220" s="2"/>
      <c r="L220" s="6"/>
      <c r="M220" s="2"/>
      <c r="N220" s="2"/>
      <c r="O220" s="2"/>
      <c r="P220" s="2"/>
      <c r="Q220" s="2"/>
      <c r="R220" s="2"/>
      <c r="S220" s="2"/>
    </row>
    <row x14ac:dyDescent="0.25" r="221" customHeight="1" ht="18.75">
      <c r="A221" s="1"/>
      <c r="B221" s="2"/>
      <c r="C221" s="2"/>
      <c r="D221" s="2"/>
      <c r="E221" s="2"/>
      <c r="F221" s="3"/>
      <c r="G221" s="4"/>
      <c r="H221" s="5"/>
      <c r="I221" s="4"/>
      <c r="J221" s="5"/>
      <c r="K221" s="2"/>
      <c r="L221" s="6"/>
      <c r="M221" s="2"/>
      <c r="N221" s="2"/>
      <c r="O221" s="2"/>
      <c r="P221" s="2"/>
      <c r="Q221" s="2"/>
      <c r="R221" s="2"/>
      <c r="S221" s="2"/>
    </row>
    <row x14ac:dyDescent="0.25" r="222" customHeight="1" ht="18.75">
      <c r="A222" s="1"/>
      <c r="B222" s="2"/>
      <c r="C222" s="2"/>
      <c r="D222" s="2"/>
      <c r="E222" s="2"/>
      <c r="F222" s="3"/>
      <c r="G222" s="4"/>
      <c r="H222" s="5"/>
      <c r="I222" s="4"/>
      <c r="J222" s="5"/>
      <c r="K222" s="2"/>
      <c r="L222" s="6"/>
      <c r="M222" s="2"/>
      <c r="N222" s="2"/>
      <c r="O222" s="2"/>
      <c r="P222" s="2"/>
      <c r="Q222" s="2"/>
      <c r="R222" s="2"/>
      <c r="S222" s="2"/>
    </row>
    <row x14ac:dyDescent="0.25" r="223" customHeight="1" ht="18.75">
      <c r="A223" s="1"/>
      <c r="B223" s="2"/>
      <c r="C223" s="2"/>
      <c r="D223" s="2"/>
      <c r="E223" s="2"/>
      <c r="F223" s="3"/>
      <c r="G223" s="4"/>
      <c r="H223" s="5"/>
      <c r="I223" s="4"/>
      <c r="J223" s="5"/>
      <c r="K223" s="2"/>
      <c r="L223" s="6"/>
      <c r="M223" s="2"/>
      <c r="N223" s="2"/>
      <c r="O223" s="2"/>
      <c r="P223" s="2"/>
      <c r="Q223" s="2"/>
      <c r="R223" s="2"/>
      <c r="S223" s="2"/>
    </row>
    <row x14ac:dyDescent="0.25" r="224" customHeight="1" ht="18.75">
      <c r="A224" s="1"/>
      <c r="B224" s="2"/>
      <c r="C224" s="2"/>
      <c r="D224" s="2"/>
      <c r="E224" s="2"/>
      <c r="F224" s="3"/>
      <c r="G224" s="4"/>
      <c r="H224" s="5"/>
      <c r="I224" s="4"/>
      <c r="J224" s="5"/>
      <c r="K224" s="2"/>
      <c r="L224" s="6"/>
      <c r="M224" s="2"/>
      <c r="N224" s="2"/>
      <c r="O224" s="2"/>
      <c r="P224" s="2"/>
      <c r="Q224" s="2"/>
      <c r="R224" s="2"/>
      <c r="S224" s="2"/>
    </row>
    <row x14ac:dyDescent="0.25" r="225" customHeight="1" ht="18.75">
      <c r="A225" s="1"/>
      <c r="B225" s="2"/>
      <c r="C225" s="2"/>
      <c r="D225" s="2"/>
      <c r="E225" s="2"/>
      <c r="F225" s="3"/>
      <c r="G225" s="4"/>
      <c r="H225" s="5"/>
      <c r="I225" s="4"/>
      <c r="J225" s="5"/>
      <c r="K225" s="2"/>
      <c r="L225" s="6"/>
      <c r="M225" s="2"/>
      <c r="N225" s="2"/>
      <c r="O225" s="2"/>
      <c r="P225" s="2"/>
      <c r="Q225" s="2"/>
      <c r="R225" s="2"/>
      <c r="S225" s="2"/>
    </row>
    <row x14ac:dyDescent="0.25" r="226" customHeight="1" ht="18.75">
      <c r="A226" s="1"/>
      <c r="B226" s="2"/>
      <c r="C226" s="2"/>
      <c r="D226" s="2"/>
      <c r="E226" s="2"/>
      <c r="F226" s="3"/>
      <c r="G226" s="4"/>
      <c r="H226" s="5"/>
      <c r="I226" s="4"/>
      <c r="J226" s="5"/>
      <c r="K226" s="2"/>
      <c r="L226" s="6"/>
      <c r="M226" s="2"/>
      <c r="N226" s="2"/>
      <c r="O226" s="2"/>
      <c r="P226" s="2"/>
      <c r="Q226" s="2"/>
      <c r="R226" s="2"/>
      <c r="S226" s="2"/>
    </row>
    <row x14ac:dyDescent="0.25" r="227" customHeight="1" ht="18.75">
      <c r="A227" s="1"/>
      <c r="B227" s="2"/>
      <c r="C227" s="2"/>
      <c r="D227" s="2"/>
      <c r="E227" s="2"/>
      <c r="F227" s="3"/>
      <c r="G227" s="4"/>
      <c r="H227" s="5"/>
      <c r="I227" s="4"/>
      <c r="J227" s="5"/>
      <c r="K227" s="2"/>
      <c r="L227" s="6"/>
      <c r="M227" s="2"/>
      <c r="N227" s="2"/>
      <c r="O227" s="2"/>
      <c r="P227" s="2"/>
      <c r="Q227" s="2"/>
      <c r="R227" s="2"/>
      <c r="S227" s="2"/>
    </row>
    <row x14ac:dyDescent="0.25" r="228" customHeight="1" ht="18.75">
      <c r="A228" s="1"/>
      <c r="B228" s="2"/>
      <c r="C228" s="2"/>
      <c r="D228" s="2"/>
      <c r="E228" s="2"/>
      <c r="F228" s="3"/>
      <c r="G228" s="4"/>
      <c r="H228" s="5"/>
      <c r="I228" s="4"/>
      <c r="J228" s="5"/>
      <c r="K228" s="2"/>
      <c r="L228" s="6"/>
      <c r="M228" s="2"/>
      <c r="N228" s="2"/>
      <c r="O228" s="2"/>
      <c r="P228" s="2"/>
      <c r="Q228" s="2"/>
      <c r="R228" s="2"/>
      <c r="S228" s="2"/>
    </row>
    <row x14ac:dyDescent="0.25" r="229" customHeight="1" ht="18.75">
      <c r="A229" s="1"/>
      <c r="B229" s="2"/>
      <c r="C229" s="2"/>
      <c r="D229" s="2"/>
      <c r="E229" s="2"/>
      <c r="F229" s="3"/>
      <c r="G229" s="4"/>
      <c r="H229" s="5"/>
      <c r="I229" s="4"/>
      <c r="J229" s="5"/>
      <c r="K229" s="2"/>
      <c r="L229" s="6"/>
      <c r="M229" s="2"/>
      <c r="N229" s="2"/>
      <c r="O229" s="2"/>
      <c r="P229" s="2"/>
      <c r="Q229" s="2"/>
      <c r="R229" s="2"/>
      <c r="S229" s="2"/>
    </row>
    <row x14ac:dyDescent="0.25" r="230" customHeight="1" ht="18.75">
      <c r="A230" s="1"/>
      <c r="B230" s="2"/>
      <c r="C230" s="2"/>
      <c r="D230" s="2"/>
      <c r="E230" s="2"/>
      <c r="F230" s="3"/>
      <c r="G230" s="4"/>
      <c r="H230" s="5"/>
      <c r="I230" s="4"/>
      <c r="J230" s="5"/>
      <c r="K230" s="2"/>
      <c r="L230" s="6"/>
      <c r="M230" s="2"/>
      <c r="N230" s="2"/>
      <c r="O230" s="2"/>
      <c r="P230" s="2"/>
      <c r="Q230" s="2"/>
      <c r="R230" s="2"/>
      <c r="S230" s="2"/>
    </row>
    <row x14ac:dyDescent="0.25" r="231" customHeight="1" ht="18.75">
      <c r="A231" s="1"/>
      <c r="B231" s="2"/>
      <c r="C231" s="2"/>
      <c r="D231" s="2"/>
      <c r="E231" s="2"/>
      <c r="F231" s="3"/>
      <c r="G231" s="4"/>
      <c r="H231" s="5"/>
      <c r="I231" s="4"/>
      <c r="J231" s="5"/>
      <c r="K231" s="2"/>
      <c r="L231" s="6"/>
      <c r="M231" s="2"/>
      <c r="N231" s="2"/>
      <c r="O231" s="2"/>
      <c r="P231" s="2"/>
      <c r="Q231" s="2"/>
      <c r="R231" s="2"/>
      <c r="S231" s="2"/>
    </row>
    <row x14ac:dyDescent="0.25" r="232" customHeight="1" ht="18.75">
      <c r="A232" s="1"/>
      <c r="B232" s="2"/>
      <c r="C232" s="2"/>
      <c r="D232" s="2"/>
      <c r="E232" s="2"/>
      <c r="F232" s="3"/>
      <c r="G232" s="4"/>
      <c r="H232" s="5"/>
      <c r="I232" s="4"/>
      <c r="J232" s="5"/>
      <c r="K232" s="2"/>
      <c r="L232" s="6"/>
      <c r="M232" s="2"/>
      <c r="N232" s="2"/>
      <c r="O232" s="2"/>
      <c r="P232" s="2"/>
      <c r="Q232" s="2"/>
      <c r="R232" s="2"/>
      <c r="S232" s="2"/>
    </row>
    <row x14ac:dyDescent="0.25" r="233" customHeight="1" ht="18.75">
      <c r="A233" s="1"/>
      <c r="B233" s="2"/>
      <c r="C233" s="2"/>
      <c r="D233" s="2"/>
      <c r="E233" s="2"/>
      <c r="F233" s="3"/>
      <c r="G233" s="4"/>
      <c r="H233" s="5"/>
      <c r="I233" s="4"/>
      <c r="J233" s="5"/>
      <c r="K233" s="2"/>
      <c r="L233" s="6"/>
      <c r="M233" s="2"/>
      <c r="N233" s="2"/>
      <c r="O233" s="2"/>
      <c r="P233" s="2"/>
      <c r="Q233" s="2"/>
      <c r="R233" s="2"/>
      <c r="S233" s="2"/>
    </row>
    <row x14ac:dyDescent="0.25" r="234" customHeight="1" ht="18.75">
      <c r="A234" s="1"/>
      <c r="B234" s="2"/>
      <c r="C234" s="2"/>
      <c r="D234" s="2"/>
      <c r="E234" s="2"/>
      <c r="F234" s="3"/>
      <c r="G234" s="4"/>
      <c r="H234" s="5"/>
      <c r="I234" s="4"/>
      <c r="J234" s="5"/>
      <c r="K234" s="2"/>
      <c r="L234" s="6"/>
      <c r="M234" s="2"/>
      <c r="N234" s="2"/>
      <c r="O234" s="2"/>
      <c r="P234" s="2"/>
      <c r="Q234" s="2"/>
      <c r="R234" s="2"/>
      <c r="S234" s="2"/>
    </row>
    <row x14ac:dyDescent="0.25" r="235" customHeight="1" ht="18.75">
      <c r="A235" s="1"/>
      <c r="B235" s="2"/>
      <c r="C235" s="2"/>
      <c r="D235" s="2"/>
      <c r="E235" s="2"/>
      <c r="F235" s="3"/>
      <c r="G235" s="4"/>
      <c r="H235" s="5"/>
      <c r="I235" s="4"/>
      <c r="J235" s="5"/>
      <c r="K235" s="2"/>
      <c r="L235" s="6"/>
      <c r="M235" s="2"/>
      <c r="N235" s="2"/>
      <c r="O235" s="2"/>
      <c r="P235" s="2"/>
      <c r="Q235" s="2"/>
      <c r="R235" s="2"/>
      <c r="S235" s="2"/>
    </row>
    <row x14ac:dyDescent="0.25" r="236" customHeight="1" ht="18.75">
      <c r="A236" s="1"/>
      <c r="B236" s="2"/>
      <c r="C236" s="2"/>
      <c r="D236" s="2"/>
      <c r="E236" s="2"/>
      <c r="F236" s="3"/>
      <c r="G236" s="4"/>
      <c r="H236" s="5"/>
      <c r="I236" s="4"/>
      <c r="J236" s="5"/>
      <c r="K236" s="2"/>
      <c r="L236" s="6"/>
      <c r="M236" s="2"/>
      <c r="N236" s="2"/>
      <c r="O236" s="2"/>
      <c r="P236" s="2"/>
      <c r="Q236" s="2"/>
      <c r="R236" s="2"/>
      <c r="S236" s="2"/>
    </row>
    <row x14ac:dyDescent="0.25" r="237" customHeight="1" ht="18.75">
      <c r="A237" s="1"/>
      <c r="B237" s="2"/>
      <c r="C237" s="2"/>
      <c r="D237" s="2"/>
      <c r="E237" s="2"/>
      <c r="F237" s="3"/>
      <c r="G237" s="4"/>
      <c r="H237" s="5"/>
      <c r="I237" s="4"/>
      <c r="J237" s="5"/>
      <c r="K237" s="2"/>
      <c r="L237" s="6"/>
      <c r="M237" s="2"/>
      <c r="N237" s="2"/>
      <c r="O237" s="2"/>
      <c r="P237" s="2"/>
      <c r="Q237" s="2"/>
      <c r="R237" s="2"/>
      <c r="S237" s="2"/>
    </row>
    <row x14ac:dyDescent="0.25" r="238" customHeight="1" ht="18.75">
      <c r="A238" s="1"/>
      <c r="B238" s="2"/>
      <c r="C238" s="2"/>
      <c r="D238" s="2"/>
      <c r="E238" s="2"/>
      <c r="F238" s="3"/>
      <c r="G238" s="4"/>
      <c r="H238" s="5"/>
      <c r="I238" s="4"/>
      <c r="J238" s="5"/>
      <c r="K238" s="2"/>
      <c r="L238" s="6"/>
      <c r="M238" s="2"/>
      <c r="N238" s="2"/>
      <c r="O238" s="2"/>
      <c r="P238" s="2"/>
      <c r="Q238" s="2"/>
      <c r="R238" s="2"/>
      <c r="S238" s="2"/>
    </row>
    <row x14ac:dyDescent="0.25" r="239" customHeight="1" ht="18.75">
      <c r="A239" s="1"/>
      <c r="B239" s="2"/>
      <c r="C239" s="2"/>
      <c r="D239" s="2"/>
      <c r="E239" s="2"/>
      <c r="F239" s="3"/>
      <c r="G239" s="4"/>
      <c r="H239" s="5"/>
      <c r="I239" s="4"/>
      <c r="J239" s="5"/>
      <c r="K239" s="2"/>
      <c r="L239" s="6"/>
      <c r="M239" s="2"/>
      <c r="N239" s="2"/>
      <c r="O239" s="2"/>
      <c r="P239" s="2"/>
      <c r="Q239" s="2"/>
      <c r="R239" s="2"/>
      <c r="S239" s="2"/>
    </row>
    <row x14ac:dyDescent="0.25" r="240" customHeight="1" ht="18.75">
      <c r="A240" s="1"/>
      <c r="B240" s="2"/>
      <c r="C240" s="2"/>
      <c r="D240" s="2"/>
      <c r="E240" s="2"/>
      <c r="F240" s="3"/>
      <c r="G240" s="4"/>
      <c r="H240" s="5"/>
      <c r="I240" s="4"/>
      <c r="J240" s="5"/>
      <c r="K240" s="2"/>
      <c r="L240" s="6"/>
      <c r="M240" s="2"/>
      <c r="N240" s="2"/>
      <c r="O240" s="2"/>
      <c r="P240" s="2"/>
      <c r="Q240" s="2"/>
      <c r="R240" s="2"/>
      <c r="S240" s="2"/>
    </row>
    <row x14ac:dyDescent="0.25" r="241" customHeight="1" ht="18.75">
      <c r="A241" s="1"/>
      <c r="B241" s="2"/>
      <c r="C241" s="2"/>
      <c r="D241" s="2"/>
      <c r="E241" s="2"/>
      <c r="F241" s="3"/>
      <c r="G241" s="4"/>
      <c r="H241" s="5"/>
      <c r="I241" s="4"/>
      <c r="J241" s="5"/>
      <c r="K241" s="2"/>
      <c r="L241" s="6"/>
      <c r="M241" s="2"/>
      <c r="N241" s="2"/>
      <c r="O241" s="2"/>
      <c r="P241" s="2"/>
      <c r="Q241" s="2"/>
      <c r="R241" s="2"/>
      <c r="S241" s="2"/>
    </row>
    <row x14ac:dyDescent="0.25" r="242" customHeight="1" ht="18.75">
      <c r="A242" s="1"/>
      <c r="B242" s="2"/>
      <c r="C242" s="2"/>
      <c r="D242" s="2"/>
      <c r="E242" s="2"/>
      <c r="F242" s="3"/>
      <c r="G242" s="4"/>
      <c r="H242" s="5"/>
      <c r="I242" s="4"/>
      <c r="J242" s="5"/>
      <c r="K242" s="2"/>
      <c r="L242" s="6"/>
      <c r="M242" s="2"/>
      <c r="N242" s="2"/>
      <c r="O242" s="2"/>
      <c r="P242" s="2"/>
      <c r="Q242" s="2"/>
      <c r="R242" s="2"/>
      <c r="S242" s="2"/>
    </row>
    <row x14ac:dyDescent="0.25" r="243" customHeight="1" ht="18.75">
      <c r="A243" s="1"/>
      <c r="B243" s="2"/>
      <c r="C243" s="2"/>
      <c r="D243" s="2"/>
      <c r="E243" s="2"/>
      <c r="F243" s="3"/>
      <c r="G243" s="4"/>
      <c r="H243" s="5"/>
      <c r="I243" s="4"/>
      <c r="J243" s="5"/>
      <c r="K243" s="2"/>
      <c r="L243" s="6"/>
      <c r="M243" s="2"/>
      <c r="N243" s="2"/>
      <c r="O243" s="2"/>
      <c r="P243" s="2"/>
      <c r="Q243" s="2"/>
      <c r="R243" s="2"/>
      <c r="S243" s="2"/>
    </row>
    <row x14ac:dyDescent="0.25" r="244" customHeight="1" ht="18.75">
      <c r="A244" s="1"/>
      <c r="B244" s="2"/>
      <c r="C244" s="2"/>
      <c r="D244" s="2"/>
      <c r="E244" s="2"/>
      <c r="F244" s="3"/>
      <c r="G244" s="4"/>
      <c r="H244" s="5"/>
      <c r="I244" s="4"/>
      <c r="J244" s="5"/>
      <c r="K244" s="2"/>
      <c r="L244" s="6"/>
      <c r="M244" s="2"/>
      <c r="N244" s="2"/>
      <c r="O244" s="2"/>
      <c r="P244" s="2"/>
      <c r="Q244" s="2"/>
      <c r="R244" s="2"/>
      <c r="S244" s="2"/>
    </row>
    <row x14ac:dyDescent="0.25" r="245" customHeight="1" ht="18.75">
      <c r="A245" s="1"/>
      <c r="B245" s="2"/>
      <c r="C245" s="2"/>
      <c r="D245" s="2"/>
      <c r="E245" s="2"/>
      <c r="F245" s="3"/>
      <c r="G245" s="4"/>
      <c r="H245" s="5"/>
      <c r="I245" s="4"/>
      <c r="J245" s="5"/>
      <c r="K245" s="2"/>
      <c r="L245" s="6"/>
      <c r="M245" s="2"/>
      <c r="N245" s="2"/>
      <c r="O245" s="2"/>
      <c r="P245" s="2"/>
      <c r="Q245" s="2"/>
      <c r="R245" s="2"/>
      <c r="S245" s="2"/>
    </row>
    <row x14ac:dyDescent="0.25" r="246" customHeight="1" ht="18.75">
      <c r="A246" s="1"/>
      <c r="B246" s="2"/>
      <c r="C246" s="2"/>
      <c r="D246" s="2"/>
      <c r="E246" s="2"/>
      <c r="F246" s="3"/>
      <c r="G246" s="4"/>
      <c r="H246" s="5"/>
      <c r="I246" s="4"/>
      <c r="J246" s="5"/>
      <c r="K246" s="2"/>
      <c r="L246" s="6"/>
      <c r="M246" s="2"/>
      <c r="N246" s="2"/>
      <c r="O246" s="2"/>
      <c r="P246" s="2"/>
      <c r="Q246" s="2"/>
      <c r="R246" s="2"/>
      <c r="S246" s="2"/>
    </row>
    <row x14ac:dyDescent="0.25" r="247" customHeight="1" ht="18.75">
      <c r="A247" s="1"/>
      <c r="B247" s="2"/>
      <c r="C247" s="2"/>
      <c r="D247" s="2"/>
      <c r="E247" s="2"/>
      <c r="F247" s="3"/>
      <c r="G247" s="4"/>
      <c r="H247" s="5"/>
      <c r="I247" s="4"/>
      <c r="J247" s="5"/>
      <c r="K247" s="2"/>
      <c r="L247" s="6"/>
      <c r="M247" s="2"/>
      <c r="N247" s="2"/>
      <c r="O247" s="2"/>
      <c r="P247" s="2"/>
      <c r="Q247" s="2"/>
      <c r="R247" s="2"/>
      <c r="S247" s="2"/>
    </row>
    <row x14ac:dyDescent="0.25" r="248" customHeight="1" ht="18.75">
      <c r="A248" s="1"/>
      <c r="B248" s="2"/>
      <c r="C248" s="2"/>
      <c r="D248" s="2"/>
      <c r="E248" s="2"/>
      <c r="F248" s="3"/>
      <c r="G248" s="4"/>
      <c r="H248" s="5"/>
      <c r="I248" s="4"/>
      <c r="J248" s="5"/>
      <c r="K248" s="2"/>
      <c r="L248" s="6"/>
      <c r="M248" s="2"/>
      <c r="N248" s="2"/>
      <c r="O248" s="2"/>
      <c r="P248" s="2"/>
      <c r="Q248" s="2"/>
      <c r="R248" s="2"/>
      <c r="S248" s="2"/>
    </row>
    <row x14ac:dyDescent="0.25" r="249" customHeight="1" ht="18.75">
      <c r="A249" s="1"/>
      <c r="B249" s="2"/>
      <c r="C249" s="2"/>
      <c r="D249" s="2"/>
      <c r="E249" s="2"/>
      <c r="F249" s="3"/>
      <c r="G249" s="4"/>
      <c r="H249" s="5"/>
      <c r="I249" s="4"/>
      <c r="J249" s="5"/>
      <c r="K249" s="2"/>
      <c r="L249" s="6"/>
      <c r="M249" s="2"/>
      <c r="N249" s="2"/>
      <c r="O249" s="2"/>
      <c r="P249" s="2"/>
      <c r="Q249" s="2"/>
      <c r="R249" s="2"/>
      <c r="S249" s="2"/>
    </row>
    <row x14ac:dyDescent="0.25" r="250" customHeight="1" ht="18.75">
      <c r="A250" s="1"/>
      <c r="B250" s="2"/>
      <c r="C250" s="2"/>
      <c r="D250" s="2"/>
      <c r="E250" s="2"/>
      <c r="F250" s="3"/>
      <c r="G250" s="4"/>
      <c r="H250" s="5"/>
      <c r="I250" s="4"/>
      <c r="J250" s="5"/>
      <c r="K250" s="2"/>
      <c r="L250" s="6"/>
      <c r="M250" s="2"/>
      <c r="N250" s="2"/>
      <c r="O250" s="2"/>
      <c r="P250" s="2"/>
      <c r="Q250" s="2"/>
      <c r="R250" s="2"/>
      <c r="S250" s="2"/>
    </row>
    <row x14ac:dyDescent="0.25" r="251" customHeight="1" ht="18.75">
      <c r="A251" s="1"/>
      <c r="B251" s="2"/>
      <c r="C251" s="2"/>
      <c r="D251" s="2"/>
      <c r="E251" s="2"/>
      <c r="F251" s="3"/>
      <c r="G251" s="4"/>
      <c r="H251" s="5"/>
      <c r="I251" s="4"/>
      <c r="J251" s="5"/>
      <c r="K251" s="2"/>
      <c r="L251" s="6"/>
      <c r="M251" s="2"/>
      <c r="N251" s="2"/>
      <c r="O251" s="2"/>
      <c r="P251" s="2"/>
      <c r="Q251" s="2"/>
      <c r="R251" s="2"/>
      <c r="S251" s="2"/>
    </row>
    <row x14ac:dyDescent="0.25" r="252" customHeight="1" ht="18.75">
      <c r="A252" s="1"/>
      <c r="B252" s="2"/>
      <c r="C252" s="2"/>
      <c r="D252" s="2"/>
      <c r="E252" s="2"/>
      <c r="F252" s="3"/>
      <c r="G252" s="4"/>
      <c r="H252" s="5"/>
      <c r="I252" s="4"/>
      <c r="J252" s="5"/>
      <c r="K252" s="2"/>
      <c r="L252" s="6"/>
      <c r="M252" s="2"/>
      <c r="N252" s="2"/>
      <c r="O252" s="2"/>
      <c r="P252" s="2"/>
      <c r="Q252" s="2"/>
      <c r="R252" s="2"/>
      <c r="S252" s="2"/>
    </row>
    <row x14ac:dyDescent="0.25" r="253" customHeight="1" ht="18.75">
      <c r="A253" s="1"/>
      <c r="B253" s="2"/>
      <c r="C253" s="2"/>
      <c r="D253" s="2"/>
      <c r="E253" s="2"/>
      <c r="F253" s="3"/>
      <c r="G253" s="4"/>
      <c r="H253" s="5"/>
      <c r="I253" s="4"/>
      <c r="J253" s="5"/>
      <c r="K253" s="2"/>
      <c r="L253" s="6"/>
      <c r="M253" s="2"/>
      <c r="N253" s="2"/>
      <c r="O253" s="2"/>
      <c r="P253" s="2"/>
      <c r="Q253" s="2"/>
      <c r="R253" s="2"/>
      <c r="S253" s="2"/>
    </row>
    <row x14ac:dyDescent="0.25" r="254" customHeight="1" ht="18.75">
      <c r="A254" s="1"/>
      <c r="B254" s="2"/>
      <c r="C254" s="2"/>
      <c r="D254" s="2"/>
      <c r="E254" s="2"/>
      <c r="F254" s="3"/>
      <c r="G254" s="4"/>
      <c r="H254" s="5"/>
      <c r="I254" s="4"/>
      <c r="J254" s="5"/>
      <c r="K254" s="2"/>
      <c r="L254" s="6"/>
      <c r="M254" s="2"/>
      <c r="N254" s="2"/>
      <c r="O254" s="2"/>
      <c r="P254" s="2"/>
      <c r="Q254" s="2"/>
      <c r="R254" s="2"/>
      <c r="S254" s="2"/>
    </row>
    <row x14ac:dyDescent="0.25" r="255" customHeight="1" ht="18.75">
      <c r="A255" s="1"/>
      <c r="B255" s="2"/>
      <c r="C255" s="2"/>
      <c r="D255" s="2"/>
      <c r="E255" s="2"/>
      <c r="F255" s="3"/>
      <c r="G255" s="4"/>
      <c r="H255" s="5"/>
      <c r="I255" s="4"/>
      <c r="J255" s="5"/>
      <c r="K255" s="2"/>
      <c r="L255" s="6"/>
      <c r="M255" s="2"/>
      <c r="N255" s="2"/>
      <c r="O255" s="2"/>
      <c r="P255" s="2"/>
      <c r="Q255" s="2"/>
      <c r="R255" s="2"/>
      <c r="S255" s="2"/>
    </row>
    <row x14ac:dyDescent="0.25" r="256" customHeight="1" ht="18.75">
      <c r="A256" s="1"/>
      <c r="B256" s="2"/>
      <c r="C256" s="2"/>
      <c r="D256" s="2"/>
      <c r="E256" s="2"/>
      <c r="F256" s="3"/>
      <c r="G256" s="4"/>
      <c r="H256" s="5"/>
      <c r="I256" s="4"/>
      <c r="J256" s="5"/>
      <c r="K256" s="2"/>
      <c r="L256" s="6"/>
      <c r="M256" s="2"/>
      <c r="N256" s="2"/>
      <c r="O256" s="2"/>
      <c r="P256" s="2"/>
      <c r="Q256" s="2"/>
      <c r="R256" s="2"/>
      <c r="S256" s="2"/>
    </row>
    <row x14ac:dyDescent="0.25" r="257" customHeight="1" ht="18.75">
      <c r="A257" s="1"/>
      <c r="B257" s="2"/>
      <c r="C257" s="2"/>
      <c r="D257" s="2"/>
      <c r="E257" s="2"/>
      <c r="F257" s="3"/>
      <c r="G257" s="4"/>
      <c r="H257" s="5"/>
      <c r="I257" s="4"/>
      <c r="J257" s="5"/>
      <c r="K257" s="2"/>
      <c r="L257" s="6"/>
      <c r="M257" s="2"/>
      <c r="N257" s="2"/>
      <c r="O257" s="2"/>
      <c r="P257" s="2"/>
      <c r="Q257" s="2"/>
      <c r="R257" s="2"/>
      <c r="S257" s="2"/>
    </row>
    <row x14ac:dyDescent="0.25" r="258" customHeight="1" ht="18.75">
      <c r="A258" s="1"/>
      <c r="B258" s="2"/>
      <c r="C258" s="2"/>
      <c r="D258" s="2"/>
      <c r="E258" s="2"/>
      <c r="F258" s="3"/>
      <c r="G258" s="4"/>
      <c r="H258" s="5"/>
      <c r="I258" s="4"/>
      <c r="J258" s="5"/>
      <c r="K258" s="2"/>
      <c r="L258" s="6"/>
      <c r="M258" s="2"/>
      <c r="N258" s="2"/>
      <c r="O258" s="2"/>
      <c r="P258" s="2"/>
      <c r="Q258" s="2"/>
      <c r="R258" s="2"/>
      <c r="S258" s="2"/>
    </row>
    <row x14ac:dyDescent="0.25" r="259" customHeight="1" ht="18.75">
      <c r="A259" s="1"/>
      <c r="B259" s="2"/>
      <c r="C259" s="2"/>
      <c r="D259" s="2"/>
      <c r="E259" s="2"/>
      <c r="F259" s="3"/>
      <c r="G259" s="4"/>
      <c r="H259" s="5"/>
      <c r="I259" s="4"/>
      <c r="J259" s="5"/>
      <c r="K259" s="2"/>
      <c r="L259" s="6"/>
      <c r="M259" s="2"/>
      <c r="N259" s="2"/>
      <c r="O259" s="2"/>
      <c r="P259" s="2"/>
      <c r="Q259" s="2"/>
      <c r="R259" s="2"/>
      <c r="S259" s="2"/>
    </row>
    <row x14ac:dyDescent="0.25" r="260" customHeight="1" ht="18.75">
      <c r="A260" s="1"/>
      <c r="B260" s="2"/>
      <c r="C260" s="2"/>
      <c r="D260" s="2"/>
      <c r="E260" s="2"/>
      <c r="F260" s="3"/>
      <c r="G260" s="4"/>
      <c r="H260" s="5"/>
      <c r="I260" s="4"/>
      <c r="J260" s="5"/>
      <c r="K260" s="2"/>
      <c r="L260" s="6"/>
      <c r="M260" s="2"/>
      <c r="N260" s="2"/>
      <c r="O260" s="2"/>
      <c r="P260" s="2"/>
      <c r="Q260" s="2"/>
      <c r="R260" s="2"/>
      <c r="S260" s="2"/>
    </row>
    <row x14ac:dyDescent="0.25" r="261" customHeight="1" ht="18.75">
      <c r="A261" s="1"/>
      <c r="B261" s="2"/>
      <c r="C261" s="2"/>
      <c r="D261" s="2"/>
      <c r="E261" s="2"/>
      <c r="F261" s="3"/>
      <c r="G261" s="4"/>
      <c r="H261" s="5"/>
      <c r="I261" s="4"/>
      <c r="J261" s="5"/>
      <c r="K261" s="2"/>
      <c r="L261" s="6"/>
      <c r="M261" s="2"/>
      <c r="N261" s="2"/>
      <c r="O261" s="2"/>
      <c r="P261" s="2"/>
      <c r="Q261" s="2"/>
      <c r="R261" s="2"/>
      <c r="S261" s="2"/>
    </row>
    <row x14ac:dyDescent="0.25" r="262" customHeight="1" ht="18.75">
      <c r="A262" s="1"/>
      <c r="B262" s="2"/>
      <c r="C262" s="2"/>
      <c r="D262" s="2"/>
      <c r="E262" s="2"/>
      <c r="F262" s="3"/>
      <c r="G262" s="4"/>
      <c r="H262" s="5"/>
      <c r="I262" s="4"/>
      <c r="J262" s="5"/>
      <c r="K262" s="2"/>
      <c r="L262" s="6"/>
      <c r="M262" s="2"/>
      <c r="N262" s="2"/>
      <c r="O262" s="2"/>
      <c r="P262" s="2"/>
      <c r="Q262" s="2"/>
      <c r="R262" s="2"/>
      <c r="S262" s="2"/>
    </row>
    <row x14ac:dyDescent="0.25" r="263" customHeight="1" ht="18.75">
      <c r="A263" s="1"/>
      <c r="B263" s="2"/>
      <c r="C263" s="2"/>
      <c r="D263" s="2"/>
      <c r="E263" s="2"/>
      <c r="F263" s="3"/>
      <c r="G263" s="4"/>
      <c r="H263" s="5"/>
      <c r="I263" s="4"/>
      <c r="J263" s="5"/>
      <c r="K263" s="2"/>
      <c r="L263" s="6"/>
      <c r="M263" s="2"/>
      <c r="N263" s="2"/>
      <c r="O263" s="2"/>
      <c r="P263" s="2"/>
      <c r="Q263" s="2"/>
      <c r="R263" s="2"/>
      <c r="S263" s="2"/>
    </row>
    <row x14ac:dyDescent="0.25" r="264" customHeight="1" ht="18.75">
      <c r="A264" s="1"/>
      <c r="B264" s="2"/>
      <c r="C264" s="2"/>
      <c r="D264" s="2"/>
      <c r="E264" s="2"/>
      <c r="F264" s="3"/>
      <c r="G264" s="4"/>
      <c r="H264" s="5"/>
      <c r="I264" s="4"/>
      <c r="J264" s="5"/>
      <c r="K264" s="2"/>
      <c r="L264" s="6"/>
      <c r="M264" s="2"/>
      <c r="N264" s="2"/>
      <c r="O264" s="2"/>
      <c r="P264" s="2"/>
      <c r="Q264" s="2"/>
      <c r="R264" s="2"/>
      <c r="S264" s="2"/>
    </row>
    <row x14ac:dyDescent="0.25" r="265" customHeight="1" ht="18.75">
      <c r="A265" s="1"/>
      <c r="B265" s="2"/>
      <c r="C265" s="2"/>
      <c r="D265" s="2"/>
      <c r="E265" s="2"/>
      <c r="F265" s="3"/>
      <c r="G265" s="4"/>
      <c r="H265" s="5"/>
      <c r="I265" s="4"/>
      <c r="J265" s="5"/>
      <c r="K265" s="2"/>
      <c r="L265" s="6"/>
      <c r="M265" s="2"/>
      <c r="N265" s="2"/>
      <c r="O265" s="2"/>
      <c r="P265" s="2"/>
      <c r="Q265" s="2"/>
      <c r="R265" s="2"/>
      <c r="S265" s="2"/>
    </row>
    <row x14ac:dyDescent="0.25" r="266" customHeight="1" ht="18.75">
      <c r="A266" s="1"/>
      <c r="B266" s="2"/>
      <c r="C266" s="2"/>
      <c r="D266" s="2"/>
      <c r="E266" s="2"/>
      <c r="F266" s="3"/>
      <c r="G266" s="4"/>
      <c r="H266" s="5"/>
      <c r="I266" s="4"/>
      <c r="J266" s="5"/>
      <c r="K266" s="2"/>
      <c r="L266" s="6"/>
      <c r="M266" s="2"/>
      <c r="N266" s="2"/>
      <c r="O266" s="2"/>
      <c r="P266" s="2"/>
      <c r="Q266" s="2"/>
      <c r="R266" s="2"/>
      <c r="S266" s="2"/>
    </row>
    <row x14ac:dyDescent="0.25" r="267" customHeight="1" ht="18.75">
      <c r="A267" s="1"/>
      <c r="B267" s="2"/>
      <c r="C267" s="2"/>
      <c r="D267" s="2"/>
      <c r="E267" s="2"/>
      <c r="F267" s="3"/>
      <c r="G267" s="4"/>
      <c r="H267" s="5"/>
      <c r="I267" s="4"/>
      <c r="J267" s="5"/>
      <c r="K267" s="2"/>
      <c r="L267" s="6"/>
      <c r="M267" s="2"/>
      <c r="N267" s="2"/>
      <c r="O267" s="2"/>
      <c r="P267" s="2"/>
      <c r="Q267" s="2"/>
      <c r="R267" s="2"/>
      <c r="S267" s="2"/>
    </row>
    <row x14ac:dyDescent="0.25" r="268" customHeight="1" ht="18.75">
      <c r="A268" s="1"/>
      <c r="B268" s="2"/>
      <c r="C268" s="2"/>
      <c r="D268" s="2"/>
      <c r="E268" s="2"/>
      <c r="F268" s="3"/>
      <c r="G268" s="4"/>
      <c r="H268" s="5"/>
      <c r="I268" s="4"/>
      <c r="J268" s="5"/>
      <c r="K268" s="2"/>
      <c r="L268" s="6"/>
      <c r="M268" s="2"/>
      <c r="N268" s="2"/>
      <c r="O268" s="2"/>
      <c r="P268" s="2"/>
      <c r="Q268" s="2"/>
      <c r="R268" s="2"/>
      <c r="S268" s="2"/>
    </row>
    <row x14ac:dyDescent="0.25" r="269" customHeight="1" ht="18.75">
      <c r="A269" s="1"/>
      <c r="B269" s="2"/>
      <c r="C269" s="2"/>
      <c r="D269" s="2"/>
      <c r="E269" s="2"/>
      <c r="F269" s="3"/>
      <c r="G269" s="4"/>
      <c r="H269" s="5"/>
      <c r="I269" s="4"/>
      <c r="J269" s="5"/>
      <c r="K269" s="2"/>
      <c r="L269" s="6"/>
      <c r="M269" s="2"/>
      <c r="N269" s="2"/>
      <c r="O269" s="2"/>
      <c r="P269" s="2"/>
      <c r="Q269" s="2"/>
      <c r="R269" s="2"/>
      <c r="S269" s="2"/>
    </row>
    <row x14ac:dyDescent="0.25" r="270" customHeight="1" ht="18.75">
      <c r="A270" s="1"/>
      <c r="B270" s="2"/>
      <c r="C270" s="2"/>
      <c r="D270" s="2"/>
      <c r="E270" s="2"/>
      <c r="F270" s="3"/>
      <c r="G270" s="4"/>
      <c r="H270" s="5"/>
      <c r="I270" s="4"/>
      <c r="J270" s="5"/>
      <c r="K270" s="2"/>
      <c r="L270" s="6"/>
      <c r="M270" s="2"/>
      <c r="N270" s="2"/>
      <c r="O270" s="2"/>
      <c r="P270" s="2"/>
      <c r="Q270" s="2"/>
      <c r="R270" s="2"/>
      <c r="S270" s="2"/>
    </row>
    <row x14ac:dyDescent="0.25" r="271" customHeight="1" ht="18.75">
      <c r="A271" s="1"/>
      <c r="B271" s="2"/>
      <c r="C271" s="2"/>
      <c r="D271" s="2"/>
      <c r="E271" s="2"/>
      <c r="F271" s="3"/>
      <c r="G271" s="4"/>
      <c r="H271" s="5"/>
      <c r="I271" s="4"/>
      <c r="J271" s="5"/>
      <c r="K271" s="2"/>
      <c r="L271" s="6"/>
      <c r="M271" s="2"/>
      <c r="N271" s="2"/>
      <c r="O271" s="2"/>
      <c r="P271" s="2"/>
      <c r="Q271" s="2"/>
      <c r="R271" s="2"/>
      <c r="S271" s="2"/>
    </row>
    <row x14ac:dyDescent="0.25" r="272" customHeight="1" ht="18.75">
      <c r="A272" s="1"/>
      <c r="B272" s="2"/>
      <c r="C272" s="2"/>
      <c r="D272" s="2"/>
      <c r="E272" s="2"/>
      <c r="F272" s="3"/>
      <c r="G272" s="4"/>
      <c r="H272" s="5"/>
      <c r="I272" s="4"/>
      <c r="J272" s="5"/>
      <c r="K272" s="2"/>
      <c r="L272" s="6"/>
      <c r="M272" s="2"/>
      <c r="N272" s="2"/>
      <c r="O272" s="2"/>
      <c r="P272" s="2"/>
      <c r="Q272" s="2"/>
      <c r="R272" s="2"/>
      <c r="S272" s="2"/>
    </row>
    <row x14ac:dyDescent="0.25" r="273" customHeight="1" ht="18.75">
      <c r="A273" s="1"/>
      <c r="B273" s="2"/>
      <c r="C273" s="2"/>
      <c r="D273" s="2"/>
      <c r="E273" s="2"/>
      <c r="F273" s="3"/>
      <c r="G273" s="4"/>
      <c r="H273" s="5"/>
      <c r="I273" s="4"/>
      <c r="J273" s="5"/>
      <c r="K273" s="2"/>
      <c r="L273" s="6"/>
      <c r="M273" s="2"/>
      <c r="N273" s="2"/>
      <c r="O273" s="2"/>
      <c r="P273" s="2"/>
      <c r="Q273" s="2"/>
      <c r="R273" s="2"/>
      <c r="S273" s="2"/>
    </row>
    <row x14ac:dyDescent="0.25" r="274" customHeight="1" ht="18.75">
      <c r="A274" s="1"/>
      <c r="B274" s="2"/>
      <c r="C274" s="2"/>
      <c r="D274" s="2"/>
      <c r="E274" s="2"/>
      <c r="F274" s="3"/>
      <c r="G274" s="4"/>
      <c r="H274" s="5"/>
      <c r="I274" s="4"/>
      <c r="J274" s="5"/>
      <c r="K274" s="2"/>
      <c r="L274" s="6"/>
      <c r="M274" s="2"/>
      <c r="N274" s="2"/>
      <c r="O274" s="2"/>
      <c r="P274" s="2"/>
      <c r="Q274" s="2"/>
      <c r="R274" s="2"/>
      <c r="S274" s="2"/>
    </row>
    <row x14ac:dyDescent="0.25" r="275" customHeight="1" ht="18.75">
      <c r="A275" s="1"/>
      <c r="B275" s="2"/>
      <c r="C275" s="2"/>
      <c r="D275" s="2"/>
      <c r="E275" s="2"/>
      <c r="F275" s="3"/>
      <c r="G275" s="4"/>
      <c r="H275" s="5"/>
      <c r="I275" s="4"/>
      <c r="J275" s="5"/>
      <c r="K275" s="2"/>
      <c r="L275" s="6"/>
      <c r="M275" s="2"/>
      <c r="N275" s="2"/>
      <c r="O275" s="2"/>
      <c r="P275" s="2"/>
      <c r="Q275" s="2"/>
      <c r="R275" s="2"/>
      <c r="S275" s="2"/>
    </row>
    <row x14ac:dyDescent="0.25" r="276" customHeight="1" ht="18.75">
      <c r="A276" s="1"/>
      <c r="B276" s="2"/>
      <c r="C276" s="2"/>
      <c r="D276" s="2"/>
      <c r="E276" s="2"/>
      <c r="F276" s="3"/>
      <c r="G276" s="4"/>
      <c r="H276" s="5"/>
      <c r="I276" s="4"/>
      <c r="J276" s="5"/>
      <c r="K276" s="2"/>
      <c r="L276" s="6"/>
      <c r="M276" s="2"/>
      <c r="N276" s="2"/>
      <c r="O276" s="2"/>
      <c r="P276" s="2"/>
      <c r="Q276" s="2"/>
      <c r="R276" s="2"/>
      <c r="S276" s="2"/>
    </row>
    <row x14ac:dyDescent="0.25" r="277" customHeight="1" ht="18.75">
      <c r="A277" s="1"/>
      <c r="B277" s="2"/>
      <c r="C277" s="2"/>
      <c r="D277" s="2"/>
      <c r="E277" s="2"/>
      <c r="F277" s="3"/>
      <c r="G277" s="4"/>
      <c r="H277" s="5"/>
      <c r="I277" s="4"/>
      <c r="J277" s="5"/>
      <c r="K277" s="2"/>
      <c r="L277" s="6"/>
      <c r="M277" s="2"/>
      <c r="N277" s="2"/>
      <c r="O277" s="2"/>
      <c r="P277" s="2"/>
      <c r="Q277" s="2"/>
      <c r="R277" s="2"/>
      <c r="S277" s="2"/>
    </row>
    <row x14ac:dyDescent="0.25" r="278" customHeight="1" ht="18.75">
      <c r="A278" s="1"/>
      <c r="B278" s="2"/>
      <c r="C278" s="2"/>
      <c r="D278" s="2"/>
      <c r="E278" s="2"/>
      <c r="F278" s="3"/>
      <c r="G278" s="4"/>
      <c r="H278" s="5"/>
      <c r="I278" s="4"/>
      <c r="J278" s="5"/>
      <c r="K278" s="2"/>
      <c r="L278" s="6"/>
      <c r="M278" s="2"/>
      <c r="N278" s="2"/>
      <c r="O278" s="2"/>
      <c r="P278" s="2"/>
      <c r="Q278" s="2"/>
      <c r="R278" s="2"/>
      <c r="S278" s="2"/>
    </row>
    <row x14ac:dyDescent="0.25" r="279" customHeight="1" ht="18.75">
      <c r="A279" s="1"/>
      <c r="B279" s="2"/>
      <c r="C279" s="2"/>
      <c r="D279" s="2"/>
      <c r="E279" s="2"/>
      <c r="F279" s="3"/>
      <c r="G279" s="4"/>
      <c r="H279" s="5"/>
      <c r="I279" s="4"/>
      <c r="J279" s="5"/>
      <c r="K279" s="2"/>
      <c r="L279" s="6"/>
      <c r="M279" s="2"/>
      <c r="N279" s="2"/>
      <c r="O279" s="2"/>
      <c r="P279" s="2"/>
      <c r="Q279" s="2"/>
      <c r="R279" s="2"/>
      <c r="S279" s="2"/>
    </row>
    <row x14ac:dyDescent="0.25" r="280" customHeight="1" ht="18.75">
      <c r="A280" s="1"/>
      <c r="B280" s="2"/>
      <c r="C280" s="2"/>
      <c r="D280" s="2"/>
      <c r="E280" s="2"/>
      <c r="F280" s="3"/>
      <c r="G280" s="4"/>
      <c r="H280" s="5"/>
      <c r="I280" s="4"/>
      <c r="J280" s="5"/>
      <c r="K280" s="2"/>
      <c r="L280" s="6"/>
      <c r="M280" s="2"/>
      <c r="N280" s="2"/>
      <c r="O280" s="2"/>
      <c r="P280" s="2"/>
      <c r="Q280" s="2"/>
      <c r="R280" s="2"/>
      <c r="S280" s="2"/>
    </row>
    <row x14ac:dyDescent="0.25" r="281" customHeight="1" ht="18.75">
      <c r="A281" s="1"/>
      <c r="B281" s="2"/>
      <c r="C281" s="2"/>
      <c r="D281" s="2"/>
      <c r="E281" s="2"/>
      <c r="F281" s="3"/>
      <c r="G281" s="4"/>
      <c r="H281" s="5"/>
      <c r="I281" s="4"/>
      <c r="J281" s="5"/>
      <c r="K281" s="2"/>
      <c r="L281" s="6"/>
      <c r="M281" s="2"/>
      <c r="N281" s="2"/>
      <c r="O281" s="2"/>
      <c r="P281" s="2"/>
      <c r="Q281" s="2"/>
      <c r="R281" s="2"/>
      <c r="S281" s="2"/>
    </row>
    <row x14ac:dyDescent="0.25" r="282" customHeight="1" ht="18.75">
      <c r="A282" s="1"/>
      <c r="B282" s="2"/>
      <c r="C282" s="2"/>
      <c r="D282" s="2"/>
      <c r="E282" s="2"/>
      <c r="F282" s="3"/>
      <c r="G282" s="4"/>
      <c r="H282" s="5"/>
      <c r="I282" s="4"/>
      <c r="J282" s="5"/>
      <c r="K282" s="2"/>
      <c r="L282" s="6"/>
      <c r="M282" s="2"/>
      <c r="N282" s="2"/>
      <c r="O282" s="2"/>
      <c r="P282" s="2"/>
      <c r="Q282" s="2"/>
      <c r="R282" s="2"/>
      <c r="S282" s="2"/>
    </row>
    <row x14ac:dyDescent="0.25" r="283" customHeight="1" ht="18.75">
      <c r="A283" s="1"/>
      <c r="B283" s="2"/>
      <c r="C283" s="2"/>
      <c r="D283" s="2"/>
      <c r="E283" s="2"/>
      <c r="F283" s="3"/>
      <c r="G283" s="4"/>
      <c r="H283" s="5"/>
      <c r="I283" s="4"/>
      <c r="J283" s="5"/>
      <c r="K283" s="2"/>
      <c r="L283" s="6"/>
      <c r="M283" s="2"/>
      <c r="N283" s="2"/>
      <c r="O283" s="2"/>
      <c r="P283" s="2"/>
      <c r="Q283" s="2"/>
      <c r="R283" s="2"/>
      <c r="S283" s="2"/>
    </row>
    <row x14ac:dyDescent="0.25" r="284" customHeight="1" ht="18.75">
      <c r="A284" s="1"/>
      <c r="B284" s="2"/>
      <c r="C284" s="2"/>
      <c r="D284" s="2"/>
      <c r="E284" s="2"/>
      <c r="F284" s="3"/>
      <c r="G284" s="4"/>
      <c r="H284" s="5"/>
      <c r="I284" s="4"/>
      <c r="J284" s="5"/>
      <c r="K284" s="2"/>
      <c r="L284" s="6"/>
      <c r="M284" s="2"/>
      <c r="N284" s="2"/>
      <c r="O284" s="2"/>
      <c r="P284" s="2"/>
      <c r="Q284" s="2"/>
      <c r="R284" s="2"/>
      <c r="S284" s="2"/>
    </row>
    <row x14ac:dyDescent="0.25" r="285" customHeight="1" ht="18.75">
      <c r="A285" s="1"/>
      <c r="B285" s="2"/>
      <c r="C285" s="2"/>
      <c r="D285" s="2"/>
      <c r="E285" s="2"/>
      <c r="F285" s="3"/>
      <c r="G285" s="4"/>
      <c r="H285" s="5"/>
      <c r="I285" s="4"/>
      <c r="J285" s="5"/>
      <c r="K285" s="2"/>
      <c r="L285" s="6"/>
      <c r="M285" s="2"/>
      <c r="N285" s="2"/>
      <c r="O285" s="2"/>
      <c r="P285" s="2"/>
      <c r="Q285" s="2"/>
      <c r="R285" s="2"/>
      <c r="S285" s="2"/>
    </row>
    <row x14ac:dyDescent="0.25" r="286" customHeight="1" ht="18.75">
      <c r="A286" s="1"/>
      <c r="B286" s="2"/>
      <c r="C286" s="2"/>
      <c r="D286" s="2"/>
      <c r="E286" s="2"/>
      <c r="F286" s="3"/>
      <c r="G286" s="4"/>
      <c r="H286" s="5"/>
      <c r="I286" s="4"/>
      <c r="J286" s="5"/>
      <c r="K286" s="2"/>
      <c r="L286" s="6"/>
      <c r="M286" s="2"/>
      <c r="N286" s="2"/>
      <c r="O286" s="2"/>
      <c r="P286" s="2"/>
      <c r="Q286" s="2"/>
      <c r="R286" s="2"/>
      <c r="S286" s="2"/>
    </row>
    <row x14ac:dyDescent="0.25" r="287" customHeight="1" ht="18.75">
      <c r="A287" s="1"/>
      <c r="B287" s="2"/>
      <c r="C287" s="2"/>
      <c r="D287" s="2"/>
      <c r="E287" s="2"/>
      <c r="F287" s="3"/>
      <c r="G287" s="4"/>
      <c r="H287" s="5"/>
      <c r="I287" s="4"/>
      <c r="J287" s="5"/>
      <c r="K287" s="2"/>
      <c r="L287" s="6"/>
      <c r="M287" s="2"/>
      <c r="N287" s="2"/>
      <c r="O287" s="2"/>
      <c r="P287" s="2"/>
      <c r="Q287" s="2"/>
      <c r="R287" s="2"/>
      <c r="S287" s="2"/>
    </row>
    <row x14ac:dyDescent="0.25" r="288" customHeight="1" ht="18.75">
      <c r="A288" s="1"/>
      <c r="B288" s="2"/>
      <c r="C288" s="2"/>
      <c r="D288" s="2"/>
      <c r="E288" s="2"/>
      <c r="F288" s="3"/>
      <c r="G288" s="4"/>
      <c r="H288" s="5"/>
      <c r="I288" s="4"/>
      <c r="J288" s="5"/>
      <c r="K288" s="2"/>
      <c r="L288" s="6"/>
      <c r="M288" s="2"/>
      <c r="N288" s="2"/>
      <c r="O288" s="2"/>
      <c r="P288" s="2"/>
      <c r="Q288" s="2"/>
      <c r="R288" s="2"/>
      <c r="S288" s="2"/>
    </row>
    <row x14ac:dyDescent="0.25" r="289" customHeight="1" ht="18.75">
      <c r="A289" s="1"/>
      <c r="B289" s="2"/>
      <c r="C289" s="2"/>
      <c r="D289" s="2"/>
      <c r="E289" s="2"/>
      <c r="F289" s="3"/>
      <c r="G289" s="4"/>
      <c r="H289" s="5"/>
      <c r="I289" s="4"/>
      <c r="J289" s="5"/>
      <c r="K289" s="2"/>
      <c r="L289" s="6"/>
      <c r="M289" s="2"/>
      <c r="N289" s="2"/>
      <c r="O289" s="2"/>
      <c r="P289" s="2"/>
      <c r="Q289" s="2"/>
      <c r="R289" s="2"/>
      <c r="S289" s="2"/>
    </row>
    <row x14ac:dyDescent="0.25" r="290" customHeight="1" ht="18.75">
      <c r="A290" s="1"/>
      <c r="B290" s="2"/>
      <c r="C290" s="2"/>
      <c r="D290" s="2"/>
      <c r="E290" s="2"/>
      <c r="F290" s="3"/>
      <c r="G290" s="4"/>
      <c r="H290" s="5"/>
      <c r="I290" s="4"/>
      <c r="J290" s="5"/>
      <c r="K290" s="2"/>
      <c r="L290" s="6"/>
      <c r="M290" s="2"/>
      <c r="N290" s="2"/>
      <c r="O290" s="2"/>
      <c r="P290" s="2"/>
      <c r="Q290" s="2"/>
      <c r="R290" s="2"/>
      <c r="S290" s="2"/>
    </row>
    <row x14ac:dyDescent="0.25" r="291" customHeight="1" ht="18.75">
      <c r="A291" s="1"/>
      <c r="B291" s="2"/>
      <c r="C291" s="2"/>
      <c r="D291" s="2"/>
      <c r="E291" s="2"/>
      <c r="F291" s="3"/>
      <c r="G291" s="4"/>
      <c r="H291" s="5"/>
      <c r="I291" s="4"/>
      <c r="J291" s="5"/>
      <c r="K291" s="2"/>
      <c r="L291" s="6"/>
      <c r="M291" s="2"/>
      <c r="N291" s="2"/>
      <c r="O291" s="2"/>
      <c r="P291" s="2"/>
      <c r="Q291" s="2"/>
      <c r="R291" s="2"/>
      <c r="S291" s="2"/>
    </row>
    <row x14ac:dyDescent="0.25" r="292" customHeight="1" ht="18.75">
      <c r="A292" s="1"/>
      <c r="B292" s="2"/>
      <c r="C292" s="2"/>
      <c r="D292" s="2"/>
      <c r="E292" s="2"/>
      <c r="F292" s="3"/>
      <c r="G292" s="4"/>
      <c r="H292" s="5"/>
      <c r="I292" s="4"/>
      <c r="J292" s="5"/>
      <c r="K292" s="2"/>
      <c r="L292" s="6"/>
      <c r="M292" s="2"/>
      <c r="N292" s="2"/>
      <c r="O292" s="2"/>
      <c r="P292" s="2"/>
      <c r="Q292" s="2"/>
      <c r="R292" s="2"/>
      <c r="S292" s="2"/>
    </row>
    <row x14ac:dyDescent="0.25" r="293" customHeight="1" ht="18.75">
      <c r="A293" s="1"/>
      <c r="B293" s="2"/>
      <c r="C293" s="2"/>
      <c r="D293" s="2"/>
      <c r="E293" s="2"/>
      <c r="F293" s="3"/>
      <c r="G293" s="4"/>
      <c r="H293" s="5"/>
      <c r="I293" s="4"/>
      <c r="J293" s="5"/>
      <c r="K293" s="2"/>
      <c r="L293" s="6"/>
      <c r="M293" s="2"/>
      <c r="N293" s="2"/>
      <c r="O293" s="2"/>
      <c r="P293" s="2"/>
      <c r="Q293" s="2"/>
      <c r="R293" s="2"/>
      <c r="S293" s="2"/>
    </row>
    <row x14ac:dyDescent="0.25" r="294" customHeight="1" ht="18.75">
      <c r="A294" s="1"/>
      <c r="B294" s="2"/>
      <c r="C294" s="2"/>
      <c r="D294" s="2"/>
      <c r="E294" s="2"/>
      <c r="F294" s="3"/>
      <c r="G294" s="4"/>
      <c r="H294" s="5"/>
      <c r="I294" s="4"/>
      <c r="J294" s="5"/>
      <c r="K294" s="2"/>
      <c r="L294" s="6"/>
      <c r="M294" s="2"/>
      <c r="N294" s="2"/>
      <c r="O294" s="2"/>
      <c r="P294" s="2"/>
      <c r="Q294" s="2"/>
      <c r="R294" s="2"/>
      <c r="S294" s="2"/>
    </row>
    <row x14ac:dyDescent="0.25" r="295" customHeight="1" ht="18.75">
      <c r="A295" s="1"/>
      <c r="B295" s="2"/>
      <c r="C295" s="2"/>
      <c r="D295" s="2"/>
      <c r="E295" s="2"/>
      <c r="F295" s="3"/>
      <c r="G295" s="4"/>
      <c r="H295" s="5"/>
      <c r="I295" s="4"/>
      <c r="J295" s="5"/>
      <c r="K295" s="2"/>
      <c r="L295" s="6"/>
      <c r="M295" s="2"/>
      <c r="N295" s="2"/>
      <c r="O295" s="2"/>
      <c r="P295" s="2"/>
      <c r="Q295" s="2"/>
      <c r="R295" s="2"/>
      <c r="S295" s="2"/>
    </row>
    <row x14ac:dyDescent="0.25" r="296" customHeight="1" ht="18.75">
      <c r="A296" s="1"/>
      <c r="B296" s="2"/>
      <c r="C296" s="2"/>
      <c r="D296" s="2"/>
      <c r="E296" s="2"/>
      <c r="F296" s="3"/>
      <c r="G296" s="4"/>
      <c r="H296" s="5"/>
      <c r="I296" s="4"/>
      <c r="J296" s="5"/>
      <c r="K296" s="2"/>
      <c r="L296" s="6"/>
      <c r="M296" s="2"/>
      <c r="N296" s="2"/>
      <c r="O296" s="2"/>
      <c r="P296" s="2"/>
      <c r="Q296" s="2"/>
      <c r="R296" s="2"/>
      <c r="S296" s="2"/>
    </row>
    <row x14ac:dyDescent="0.25" r="297" customHeight="1" ht="18.75">
      <c r="A297" s="1"/>
      <c r="B297" s="2"/>
      <c r="C297" s="2"/>
      <c r="D297" s="2"/>
      <c r="E297" s="2"/>
      <c r="F297" s="3"/>
      <c r="G297" s="4"/>
      <c r="H297" s="5"/>
      <c r="I297" s="4"/>
      <c r="J297" s="5"/>
      <c r="K297" s="2"/>
      <c r="L297" s="6"/>
      <c r="M297" s="2"/>
      <c r="N297" s="2"/>
      <c r="O297" s="2"/>
      <c r="P297" s="2"/>
      <c r="Q297" s="2"/>
      <c r="R297" s="2"/>
      <c r="S297" s="2"/>
    </row>
    <row x14ac:dyDescent="0.25" r="298" customHeight="1" ht="18.75">
      <c r="A298" s="1"/>
      <c r="B298" s="2"/>
      <c r="C298" s="2"/>
      <c r="D298" s="2"/>
      <c r="E298" s="2"/>
      <c r="F298" s="3"/>
      <c r="G298" s="4"/>
      <c r="H298" s="5"/>
      <c r="I298" s="4"/>
      <c r="J298" s="5"/>
      <c r="K298" s="2"/>
      <c r="L298" s="6"/>
      <c r="M298" s="2"/>
      <c r="N298" s="2"/>
      <c r="O298" s="2"/>
      <c r="P298" s="2"/>
      <c r="Q298" s="2"/>
      <c r="R298" s="2"/>
      <c r="S298" s="2"/>
    </row>
    <row x14ac:dyDescent="0.25" r="299" customHeight="1" ht="18.75">
      <c r="A299" s="1"/>
      <c r="B299" s="2"/>
      <c r="C299" s="2"/>
      <c r="D299" s="2"/>
      <c r="E299" s="2"/>
      <c r="F299" s="3"/>
      <c r="G299" s="4"/>
      <c r="H299" s="5"/>
      <c r="I299" s="4"/>
      <c r="J299" s="5"/>
      <c r="K299" s="2"/>
      <c r="L299" s="6"/>
      <c r="M299" s="2"/>
      <c r="N299" s="2"/>
      <c r="O299" s="2"/>
      <c r="P299" s="2"/>
      <c r="Q299" s="2"/>
      <c r="R299" s="2"/>
      <c r="S299" s="2"/>
    </row>
    <row x14ac:dyDescent="0.25" r="300" customHeight="1" ht="44.25">
      <c r="A300" s="1"/>
      <c r="B300" s="2"/>
      <c r="C300" s="2"/>
      <c r="D300" s="2"/>
      <c r="E300" s="2"/>
      <c r="F300" s="3"/>
      <c r="G300" s="4"/>
      <c r="H300" s="5"/>
      <c r="I300" s="4"/>
      <c r="J300" s="5"/>
      <c r="K300" s="2"/>
      <c r="L300" s="6"/>
      <c r="M300" s="2"/>
      <c r="N300" s="2"/>
      <c r="O300" s="2"/>
      <c r="P300" s="2"/>
      <c r="Q300" s="2"/>
      <c r="R300" s="2"/>
      <c r="S300" s="2"/>
    </row>
    <row x14ac:dyDescent="0.25" r="301" customHeight="1" ht="18.75">
      <c r="A301" s="1"/>
      <c r="B301" s="2"/>
      <c r="C301" s="2"/>
      <c r="D301" s="2"/>
      <c r="E301" s="2"/>
      <c r="F301" s="3"/>
      <c r="G301" s="4"/>
      <c r="H301" s="5"/>
      <c r="I301" s="4"/>
      <c r="J301" s="5"/>
      <c r="K301" s="2"/>
      <c r="L301" s="6"/>
      <c r="M301" s="2"/>
      <c r="N301" s="2"/>
      <c r="O301" s="2"/>
      <c r="P301" s="2"/>
      <c r="Q301" s="2"/>
      <c r="R301" s="2"/>
      <c r="S301" s="2"/>
    </row>
    <row x14ac:dyDescent="0.25" r="302" customHeight="1" ht="19.5">
      <c r="A302" s="1"/>
      <c r="B302" s="2"/>
      <c r="C302" s="2"/>
      <c r="D302" s="2"/>
      <c r="E302" s="2"/>
      <c r="F302" s="3"/>
      <c r="G302" s="4"/>
      <c r="H302" s="5"/>
      <c r="I302" s="4"/>
      <c r="J302" s="5"/>
      <c r="K302" s="2"/>
      <c r="L302" s="6"/>
      <c r="M302" s="2"/>
      <c r="N302" s="2"/>
      <c r="O302" s="2"/>
      <c r="P302" s="2"/>
      <c r="Q302" s="2"/>
      <c r="R302" s="2"/>
      <c r="S302" s="2"/>
    </row>
    <row x14ac:dyDescent="0.25" r="303" customHeight="1" ht="18.75">
      <c r="A303" s="1"/>
      <c r="B303" s="2"/>
      <c r="C303" s="2"/>
      <c r="D303" s="2"/>
      <c r="E303" s="2"/>
      <c r="F303" s="3"/>
      <c r="G303" s="4"/>
      <c r="H303" s="5"/>
      <c r="I303" s="4"/>
      <c r="J303" s="5"/>
      <c r="K303" s="2"/>
      <c r="L303" s="6"/>
      <c r="M303" s="2"/>
      <c r="N303" s="2"/>
      <c r="O303" s="2"/>
      <c r="P303" s="2"/>
      <c r="Q303" s="2"/>
      <c r="R303" s="2"/>
      <c r="S303" s="2"/>
    </row>
    <row x14ac:dyDescent="0.25" r="304" customHeight="1" ht="18.75">
      <c r="A304" s="1"/>
      <c r="B304" s="2"/>
      <c r="C304" s="2"/>
      <c r="D304" s="2"/>
      <c r="E304" s="2"/>
      <c r="F304" s="3"/>
      <c r="G304" s="4"/>
      <c r="H304" s="5"/>
      <c r="I304" s="4"/>
      <c r="J304" s="5"/>
      <c r="K304" s="1"/>
      <c r="L304" s="7"/>
      <c r="M304" s="1"/>
      <c r="N304" s="1"/>
      <c r="O304" s="1"/>
      <c r="P304" s="1"/>
      <c r="Q304" s="1"/>
      <c r="R304" s="1"/>
      <c r="S304" s="1"/>
    </row>
    <row x14ac:dyDescent="0.25" r="305" customHeight="1" ht="18.75">
      <c r="A305" s="1"/>
      <c r="B305" s="2"/>
      <c r="C305" s="2"/>
      <c r="D305" s="2"/>
      <c r="E305" s="2"/>
      <c r="F305" s="3"/>
      <c r="G305" s="4"/>
      <c r="H305" s="5"/>
      <c r="I305" s="4"/>
      <c r="J305" s="5"/>
      <c r="K305" s="1"/>
      <c r="L305" s="7"/>
      <c r="M305" s="1"/>
      <c r="N305" s="1"/>
      <c r="O305" s="1"/>
      <c r="P305" s="1"/>
      <c r="Q305" s="1"/>
      <c r="R305" s="1"/>
      <c r="S305" s="1"/>
    </row>
    <row x14ac:dyDescent="0.25" r="306" customHeight="1" ht="18.75">
      <c r="A306" s="1"/>
      <c r="B306" s="2"/>
      <c r="C306" s="2"/>
      <c r="D306" s="2"/>
      <c r="E306" s="2"/>
      <c r="F306" s="3"/>
      <c r="G306" s="4"/>
      <c r="H306" s="5"/>
      <c r="I306" s="4"/>
      <c r="J306" s="5"/>
      <c r="K306" s="1"/>
      <c r="L306" s="7"/>
      <c r="M306" s="1"/>
      <c r="N306" s="1"/>
      <c r="O306" s="1"/>
      <c r="P306" s="1"/>
      <c r="Q306" s="1"/>
      <c r="R306" s="1"/>
      <c r="S306" s="1"/>
    </row>
    <row x14ac:dyDescent="0.25" r="307" customHeight="1" ht="18.75">
      <c r="A307" s="1"/>
      <c r="B307" s="2"/>
      <c r="C307" s="2"/>
      <c r="D307" s="2"/>
      <c r="E307" s="2"/>
      <c r="F307" s="3"/>
      <c r="G307" s="4"/>
      <c r="H307" s="5"/>
      <c r="I307" s="4"/>
      <c r="J307" s="5"/>
      <c r="K307" s="1"/>
      <c r="L307" s="7"/>
      <c r="M307" s="1"/>
      <c r="N307" s="1"/>
      <c r="O307" s="1"/>
      <c r="P307" s="1"/>
      <c r="Q307" s="1"/>
      <c r="R307" s="1"/>
      <c r="S307" s="1"/>
    </row>
    <row x14ac:dyDescent="0.25" r="308" customHeight="1" ht="18.75">
      <c r="A308" s="1"/>
      <c r="B308" s="2"/>
      <c r="C308" s="2"/>
      <c r="D308" s="2"/>
      <c r="E308" s="2"/>
      <c r="F308" s="3"/>
      <c r="G308" s="4"/>
      <c r="H308" s="5"/>
      <c r="I308" s="4"/>
      <c r="J308" s="5"/>
      <c r="K308" s="1"/>
      <c r="L308" s="7"/>
      <c r="M308" s="1"/>
      <c r="N308" s="1"/>
      <c r="O308" s="1"/>
      <c r="P308" s="1"/>
      <c r="Q308" s="1"/>
      <c r="R308" s="1"/>
      <c r="S308" s="1"/>
    </row>
    <row x14ac:dyDescent="0.25" r="309" customHeight="1" ht="18.75">
      <c r="A309" s="1"/>
      <c r="B309" s="2"/>
      <c r="C309" s="2"/>
      <c r="D309" s="2"/>
      <c r="E309" s="2"/>
      <c r="F309" s="3"/>
      <c r="G309" s="4"/>
      <c r="H309" s="5"/>
      <c r="I309" s="4"/>
      <c r="J309" s="5"/>
      <c r="K309" s="1"/>
      <c r="L309" s="7"/>
      <c r="M309" s="1"/>
      <c r="N309" s="1"/>
      <c r="O309" s="1"/>
      <c r="P309" s="1"/>
      <c r="Q309" s="1"/>
      <c r="R309" s="1"/>
      <c r="S309" s="1"/>
    </row>
    <row x14ac:dyDescent="0.25" r="310" customHeight="1" ht="18.75">
      <c r="A310" s="1"/>
      <c r="B310" s="2"/>
      <c r="C310" s="2"/>
      <c r="D310" s="2"/>
      <c r="E310" s="2"/>
      <c r="F310" s="3"/>
      <c r="G310" s="4"/>
      <c r="H310" s="5"/>
      <c r="I310" s="4"/>
      <c r="J310" s="5"/>
      <c r="K310" s="1"/>
      <c r="L310" s="7"/>
      <c r="M310" s="1"/>
      <c r="N310" s="1"/>
      <c r="O310" s="1"/>
      <c r="P310" s="1"/>
      <c r="Q310" s="1"/>
      <c r="R310" s="1"/>
      <c r="S310" s="1"/>
    </row>
    <row x14ac:dyDescent="0.25" r="311" customHeight="1" ht="18.75">
      <c r="A311" s="1"/>
      <c r="B311" s="2"/>
      <c r="C311" s="2"/>
      <c r="D311" s="2"/>
      <c r="E311" s="2"/>
      <c r="F311" s="3"/>
      <c r="G311" s="4"/>
      <c r="H311" s="5"/>
      <c r="I311" s="4"/>
      <c r="J311" s="5"/>
      <c r="K311" s="1"/>
      <c r="L311" s="7"/>
      <c r="M311" s="1"/>
      <c r="N311" s="1"/>
      <c r="O311" s="1"/>
      <c r="P311" s="1"/>
      <c r="Q311" s="1"/>
      <c r="R311" s="1"/>
      <c r="S311" s="1"/>
    </row>
    <row x14ac:dyDescent="0.25" r="312" customHeight="1" ht="18.75">
      <c r="A312" s="1"/>
      <c r="B312" s="2"/>
      <c r="C312" s="2"/>
      <c r="D312" s="2"/>
      <c r="E312" s="2"/>
      <c r="F312" s="3"/>
      <c r="G312" s="4"/>
      <c r="H312" s="5"/>
      <c r="I312" s="4"/>
      <c r="J312" s="5"/>
      <c r="K312" s="1"/>
      <c r="L312" s="7"/>
      <c r="M312" s="1"/>
      <c r="N312" s="1"/>
      <c r="O312" s="1"/>
      <c r="P312" s="1"/>
      <c r="Q312" s="1"/>
      <c r="R312" s="1"/>
      <c r="S312" s="1"/>
    </row>
    <row x14ac:dyDescent="0.25" r="313" customHeight="1" ht="18.75">
      <c r="A313" s="1"/>
      <c r="B313" s="2"/>
      <c r="C313" s="2"/>
      <c r="D313" s="2"/>
      <c r="E313" s="2"/>
      <c r="F313" s="3"/>
      <c r="G313" s="4"/>
      <c r="H313" s="5"/>
      <c r="I313" s="4"/>
      <c r="J313" s="5"/>
      <c r="K313" s="1"/>
      <c r="L313" s="7"/>
      <c r="M313" s="1"/>
      <c r="N313" s="1"/>
      <c r="O313" s="1"/>
      <c r="P313" s="1"/>
      <c r="Q313" s="1"/>
      <c r="R313" s="1"/>
      <c r="S313" s="1"/>
    </row>
    <row x14ac:dyDescent="0.25" r="314" customHeight="1" ht="18.75">
      <c r="A314" s="1"/>
      <c r="B314" s="2"/>
      <c r="C314" s="2"/>
      <c r="D314" s="2"/>
      <c r="E314" s="2"/>
      <c r="F314" s="3"/>
      <c r="G314" s="4"/>
      <c r="H314" s="5"/>
      <c r="I314" s="4"/>
      <c r="J314" s="5"/>
      <c r="K314" s="1"/>
      <c r="L314" s="7"/>
      <c r="M314" s="1"/>
      <c r="N314" s="1"/>
      <c r="O314" s="1"/>
      <c r="P314" s="1"/>
      <c r="Q314" s="1"/>
      <c r="R314" s="1"/>
      <c r="S314" s="1"/>
    </row>
    <row x14ac:dyDescent="0.25" r="315" customHeight="1" ht="18.75">
      <c r="A315" s="1"/>
      <c r="B315" s="2"/>
      <c r="C315" s="2"/>
      <c r="D315" s="2"/>
      <c r="E315" s="2"/>
      <c r="F315" s="3"/>
      <c r="G315" s="4"/>
      <c r="H315" s="5"/>
      <c r="I315" s="4"/>
      <c r="J315" s="5"/>
      <c r="K315" s="1"/>
      <c r="L315" s="7"/>
      <c r="M315" s="1"/>
      <c r="N315" s="1"/>
      <c r="O315" s="1"/>
      <c r="P315" s="1"/>
      <c r="Q315" s="1"/>
      <c r="R315" s="1"/>
      <c r="S315" s="1"/>
    </row>
    <row x14ac:dyDescent="0.25" r="316" customHeight="1" ht="18.75">
      <c r="A316" s="1"/>
      <c r="B316" s="2"/>
      <c r="C316" s="2"/>
      <c r="D316" s="2"/>
      <c r="E316" s="2"/>
      <c r="F316" s="3"/>
      <c r="G316" s="4"/>
      <c r="H316" s="5"/>
      <c r="I316" s="4"/>
      <c r="J316" s="5"/>
      <c r="K316" s="1"/>
      <c r="L316" s="7"/>
      <c r="M316" s="1"/>
      <c r="N316" s="1"/>
      <c r="O316" s="1"/>
      <c r="P316" s="1"/>
      <c r="Q316" s="1"/>
      <c r="R316" s="1"/>
      <c r="S316" s="1"/>
    </row>
    <row x14ac:dyDescent="0.25" r="317" customHeight="1" ht="18.75">
      <c r="A317" s="1"/>
      <c r="B317" s="2"/>
      <c r="C317" s="2"/>
      <c r="D317" s="2"/>
      <c r="E317" s="2"/>
      <c r="F317" s="3"/>
      <c r="G317" s="4"/>
      <c r="H317" s="5"/>
      <c r="I317" s="4"/>
      <c r="J317" s="5"/>
      <c r="K317" s="1"/>
      <c r="L317" s="7"/>
      <c r="M317" s="1"/>
      <c r="N317" s="1"/>
      <c r="O317" s="1"/>
      <c r="P317" s="1"/>
      <c r="Q317" s="1"/>
      <c r="R317" s="1"/>
      <c r="S317" s="1"/>
    </row>
    <row x14ac:dyDescent="0.25" r="318" customHeight="1" ht="18.75">
      <c r="A318" s="1"/>
      <c r="B318" s="2"/>
      <c r="C318" s="2"/>
      <c r="D318" s="2"/>
      <c r="E318" s="2"/>
      <c r="F318" s="3"/>
      <c r="G318" s="4"/>
      <c r="H318" s="5"/>
      <c r="I318" s="4"/>
      <c r="J318" s="5"/>
      <c r="K318" s="1"/>
      <c r="L318" s="7"/>
      <c r="M318" s="1"/>
      <c r="N318" s="1"/>
      <c r="O318" s="1"/>
      <c r="P318" s="1"/>
      <c r="Q318" s="1"/>
      <c r="R318" s="1"/>
      <c r="S318" s="1"/>
    </row>
    <row x14ac:dyDescent="0.25" r="319" customHeight="1" ht="18.75">
      <c r="A319" s="1"/>
      <c r="B319" s="2"/>
      <c r="C319" s="2"/>
      <c r="D319" s="2"/>
      <c r="E319" s="2"/>
      <c r="F319" s="3"/>
      <c r="G319" s="4"/>
      <c r="H319" s="5"/>
      <c r="I319" s="4"/>
      <c r="J319" s="5"/>
      <c r="K319" s="1"/>
      <c r="L319" s="7"/>
      <c r="M319" s="1"/>
      <c r="N319" s="1"/>
      <c r="O319" s="1"/>
      <c r="P319" s="1"/>
      <c r="Q319" s="1"/>
      <c r="R319" s="1"/>
      <c r="S319" s="1"/>
    </row>
    <row x14ac:dyDescent="0.25" r="320" customHeight="1" ht="18.75">
      <c r="A320" s="1"/>
      <c r="B320" s="2"/>
      <c r="C320" s="2"/>
      <c r="D320" s="2"/>
      <c r="E320" s="2"/>
      <c r="F320" s="3"/>
      <c r="G320" s="4"/>
      <c r="H320" s="5"/>
      <c r="I320" s="4"/>
      <c r="J320" s="5"/>
      <c r="K320" s="1"/>
      <c r="L320" s="7"/>
      <c r="M320" s="1"/>
      <c r="N320" s="1"/>
      <c r="O320" s="1"/>
      <c r="P320" s="1"/>
      <c r="Q320" s="1"/>
      <c r="R320" s="1"/>
      <c r="S320" s="1"/>
    </row>
    <row x14ac:dyDescent="0.25" r="321" customHeight="1" ht="18.75">
      <c r="A321" s="1"/>
      <c r="B321" s="2"/>
      <c r="C321" s="2"/>
      <c r="D321" s="2"/>
      <c r="E321" s="2"/>
      <c r="F321" s="3"/>
      <c r="G321" s="4"/>
      <c r="H321" s="5"/>
      <c r="I321" s="4"/>
      <c r="J321" s="5"/>
      <c r="K321" s="1"/>
      <c r="L321" s="7"/>
      <c r="M321" s="1"/>
      <c r="N321" s="1"/>
      <c r="O321" s="1"/>
      <c r="P321" s="1"/>
      <c r="Q321" s="1"/>
      <c r="R321" s="1"/>
      <c r="S321" s="1"/>
    </row>
    <row x14ac:dyDescent="0.25" r="322" customHeight="1" ht="18.75">
      <c r="A322" s="1"/>
      <c r="B322" s="2"/>
      <c r="C322" s="2"/>
      <c r="D322" s="2"/>
      <c r="E322" s="2"/>
      <c r="F322" s="3"/>
      <c r="G322" s="4"/>
      <c r="H322" s="5"/>
      <c r="I322" s="4"/>
      <c r="J322" s="5"/>
      <c r="K322" s="1"/>
      <c r="L322" s="7"/>
      <c r="M322" s="1"/>
      <c r="N322" s="1"/>
      <c r="O322" s="1"/>
      <c r="P322" s="1"/>
      <c r="Q322" s="1"/>
      <c r="R322" s="1"/>
      <c r="S322" s="1"/>
    </row>
    <row x14ac:dyDescent="0.25" r="323" customHeight="1" ht="18.75">
      <c r="A323" s="1"/>
      <c r="B323" s="2"/>
      <c r="C323" s="2"/>
      <c r="D323" s="2"/>
      <c r="E323" s="2"/>
      <c r="F323" s="3"/>
      <c r="G323" s="4"/>
      <c r="H323" s="5"/>
      <c r="I323" s="4"/>
      <c r="J323" s="5"/>
      <c r="K323" s="1"/>
      <c r="L323" s="7"/>
      <c r="M323" s="1"/>
      <c r="N323" s="1"/>
      <c r="O323" s="1"/>
      <c r="P323" s="1"/>
      <c r="Q323" s="1"/>
      <c r="R323" s="1"/>
      <c r="S323" s="1"/>
    </row>
    <row x14ac:dyDescent="0.25" r="324" customHeight="1" ht="18.75">
      <c r="A324" s="1"/>
      <c r="B324" s="2"/>
      <c r="C324" s="2"/>
      <c r="D324" s="2"/>
      <c r="E324" s="2"/>
      <c r="F324" s="3"/>
      <c r="G324" s="4"/>
      <c r="H324" s="5"/>
      <c r="I324" s="4"/>
      <c r="J324" s="5"/>
      <c r="K324" s="1"/>
      <c r="L324" s="7"/>
      <c r="M324" s="1"/>
      <c r="N324" s="1"/>
      <c r="O324" s="1"/>
      <c r="P324" s="1"/>
      <c r="Q324" s="1"/>
      <c r="R324" s="1"/>
      <c r="S324" s="1"/>
    </row>
    <row x14ac:dyDescent="0.25" r="325" customHeight="1" ht="18.75">
      <c r="A325" s="1"/>
      <c r="B325" s="2"/>
      <c r="C325" s="2"/>
      <c r="D325" s="2"/>
      <c r="E325" s="2"/>
      <c r="F325" s="3"/>
      <c r="G325" s="4"/>
      <c r="H325" s="5"/>
      <c r="I325" s="4"/>
      <c r="J325" s="5"/>
      <c r="K325" s="1"/>
      <c r="L325" s="7"/>
      <c r="M325" s="1"/>
      <c r="N325" s="1"/>
      <c r="O325" s="1"/>
      <c r="P325" s="1"/>
      <c r="Q325" s="1"/>
      <c r="R325" s="1"/>
      <c r="S325" s="1"/>
    </row>
    <row x14ac:dyDescent="0.25" r="326" customHeight="1" ht="18.75">
      <c r="A326" s="1"/>
      <c r="B326" s="2"/>
      <c r="C326" s="2"/>
      <c r="D326" s="2"/>
      <c r="E326" s="2"/>
      <c r="F326" s="3"/>
      <c r="G326" s="4"/>
      <c r="H326" s="5"/>
      <c r="I326" s="4"/>
      <c r="J326" s="5"/>
      <c r="K326" s="1"/>
      <c r="L326" s="7"/>
      <c r="M326" s="1"/>
      <c r="N326" s="1"/>
      <c r="O326" s="1"/>
      <c r="P326" s="1"/>
      <c r="Q326" s="1"/>
      <c r="R326" s="1"/>
      <c r="S326" s="1"/>
    </row>
    <row x14ac:dyDescent="0.25" r="327" customHeight="1" ht="18.75">
      <c r="A327" s="1"/>
      <c r="B327" s="2"/>
      <c r="C327" s="2"/>
      <c r="D327" s="2"/>
      <c r="E327" s="2"/>
      <c r="F327" s="3"/>
      <c r="G327" s="4"/>
      <c r="H327" s="5"/>
      <c r="I327" s="4"/>
      <c r="J327" s="5"/>
      <c r="K327" s="1"/>
      <c r="L327" s="7"/>
      <c r="M327" s="1"/>
      <c r="N327" s="1"/>
      <c r="O327" s="1"/>
      <c r="P327" s="1"/>
      <c r="Q327" s="1"/>
      <c r="R327" s="1"/>
      <c r="S327" s="1"/>
    </row>
    <row x14ac:dyDescent="0.25" r="328" customHeight="1" ht="18.75">
      <c r="A328" s="1"/>
      <c r="B328" s="2"/>
      <c r="C328" s="2"/>
      <c r="D328" s="2"/>
      <c r="E328" s="2"/>
      <c r="F328" s="3"/>
      <c r="G328" s="4"/>
      <c r="H328" s="5"/>
      <c r="I328" s="4"/>
      <c r="J328" s="5"/>
      <c r="K328" s="1"/>
      <c r="L328" s="7"/>
      <c r="M328" s="1"/>
      <c r="N328" s="1"/>
      <c r="O328" s="1"/>
      <c r="P328" s="1"/>
      <c r="Q328" s="1"/>
      <c r="R328" s="1"/>
      <c r="S328" s="1"/>
    </row>
    <row x14ac:dyDescent="0.25" r="329" customHeight="1" ht="18.75">
      <c r="A329" s="1"/>
      <c r="B329" s="2"/>
      <c r="C329" s="2"/>
      <c r="D329" s="2"/>
      <c r="E329" s="2"/>
      <c r="F329" s="3"/>
      <c r="G329" s="4"/>
      <c r="H329" s="5"/>
      <c r="I329" s="4"/>
      <c r="J329" s="5"/>
      <c r="K329" s="1"/>
      <c r="L329" s="7"/>
      <c r="M329" s="1"/>
      <c r="N329" s="1"/>
      <c r="O329" s="1"/>
      <c r="P329" s="1"/>
      <c r="Q329" s="1"/>
      <c r="R329" s="1"/>
      <c r="S329" s="1"/>
    </row>
    <row x14ac:dyDescent="0.25" r="330" customHeight="1" ht="18.75">
      <c r="A330" s="1"/>
      <c r="B330" s="2"/>
      <c r="C330" s="2"/>
      <c r="D330" s="2"/>
      <c r="E330" s="2"/>
      <c r="F330" s="3"/>
      <c r="G330" s="4"/>
      <c r="H330" s="5"/>
      <c r="I330" s="4"/>
      <c r="J330" s="5"/>
      <c r="K330" s="1"/>
      <c r="L330" s="7"/>
      <c r="M330" s="1"/>
      <c r="N330" s="1"/>
      <c r="O330" s="1"/>
      <c r="P330" s="1"/>
      <c r="Q330" s="1"/>
      <c r="R330" s="1"/>
      <c r="S330" s="1"/>
    </row>
    <row x14ac:dyDescent="0.25" r="331" customHeight="1" ht="18.75">
      <c r="A331" s="1"/>
      <c r="B331" s="2"/>
      <c r="C331" s="2"/>
      <c r="D331" s="2"/>
      <c r="E331" s="2"/>
      <c r="F331" s="3"/>
      <c r="G331" s="4"/>
      <c r="H331" s="5"/>
      <c r="I331" s="4"/>
      <c r="J331" s="5"/>
      <c r="K331" s="1"/>
      <c r="L331" s="7"/>
      <c r="M331" s="1"/>
      <c r="N331" s="1"/>
      <c r="O331" s="1"/>
      <c r="P331" s="1"/>
      <c r="Q331" s="1"/>
      <c r="R331" s="1"/>
      <c r="S331" s="1"/>
    </row>
    <row x14ac:dyDescent="0.25" r="332" customHeight="1" ht="18.75">
      <c r="A332" s="1"/>
      <c r="B332" s="2"/>
      <c r="C332" s="2"/>
      <c r="D332" s="2"/>
      <c r="E332" s="2"/>
      <c r="F332" s="3"/>
      <c r="G332" s="4"/>
      <c r="H332" s="5"/>
      <c r="I332" s="4"/>
      <c r="J332" s="5"/>
      <c r="K332" s="1"/>
      <c r="L332" s="7"/>
      <c r="M332" s="1"/>
      <c r="N332" s="1"/>
      <c r="O332" s="1"/>
      <c r="P332" s="1"/>
      <c r="Q332" s="1"/>
      <c r="R332" s="1"/>
      <c r="S332" s="1"/>
    </row>
    <row x14ac:dyDescent="0.25" r="333" customHeight="1" ht="18.75">
      <c r="A333" s="1"/>
      <c r="B333" s="2"/>
      <c r="C333" s="2"/>
      <c r="D333" s="2"/>
      <c r="E333" s="2"/>
      <c r="F333" s="3"/>
      <c r="G333" s="4"/>
      <c r="H333" s="5"/>
      <c r="I333" s="4"/>
      <c r="J333" s="5"/>
      <c r="K333" s="1"/>
      <c r="L333" s="7"/>
      <c r="M333" s="1"/>
      <c r="N333" s="1"/>
      <c r="O333" s="1"/>
      <c r="P333" s="1"/>
      <c r="Q333" s="1"/>
      <c r="R333" s="1"/>
      <c r="S333" s="1"/>
    </row>
    <row x14ac:dyDescent="0.25" r="334" customHeight="1" ht="18.75">
      <c r="A334" s="1"/>
      <c r="B334" s="2"/>
      <c r="C334" s="2"/>
      <c r="D334" s="2"/>
      <c r="E334" s="2"/>
      <c r="F334" s="3"/>
      <c r="G334" s="4"/>
      <c r="H334" s="5"/>
      <c r="I334" s="4"/>
      <c r="J334" s="5"/>
      <c r="K334" s="1"/>
      <c r="L334" s="7"/>
      <c r="M334" s="1"/>
      <c r="N334" s="1"/>
      <c r="O334" s="1"/>
      <c r="P334" s="1"/>
      <c r="Q334" s="1"/>
      <c r="R334" s="1"/>
      <c r="S334" s="1"/>
    </row>
    <row x14ac:dyDescent="0.25" r="335" customHeight="1" ht="18.75">
      <c r="A335" s="1"/>
      <c r="B335" s="2"/>
      <c r="C335" s="2"/>
      <c r="D335" s="2"/>
      <c r="E335" s="2"/>
      <c r="F335" s="3"/>
      <c r="G335" s="4"/>
      <c r="H335" s="5"/>
      <c r="I335" s="4"/>
      <c r="J335" s="5"/>
      <c r="K335" s="1"/>
      <c r="L335" s="7"/>
      <c r="M335" s="1"/>
      <c r="N335" s="1"/>
      <c r="O335" s="1"/>
      <c r="P335" s="1"/>
      <c r="Q335" s="1"/>
      <c r="R335" s="1"/>
      <c r="S335" s="1"/>
    </row>
    <row x14ac:dyDescent="0.25" r="336" customHeight="1" ht="18.75">
      <c r="A336" s="1"/>
      <c r="B336" s="2"/>
      <c r="C336" s="2"/>
      <c r="D336" s="2"/>
      <c r="E336" s="2"/>
      <c r="F336" s="3"/>
      <c r="G336" s="4"/>
      <c r="H336" s="5"/>
      <c r="I336" s="4"/>
      <c r="J336" s="5"/>
      <c r="K336" s="1"/>
      <c r="L336" s="7"/>
      <c r="M336" s="1"/>
      <c r="N336" s="1"/>
      <c r="O336" s="1"/>
      <c r="P336" s="1"/>
      <c r="Q336" s="1"/>
      <c r="R336" s="1"/>
      <c r="S336" s="1"/>
    </row>
    <row x14ac:dyDescent="0.25" r="337" customHeight="1" ht="18.75">
      <c r="A337" s="1"/>
      <c r="B337" s="2"/>
      <c r="C337" s="2"/>
      <c r="D337" s="2"/>
      <c r="E337" s="2"/>
      <c r="F337" s="3"/>
      <c r="G337" s="4"/>
      <c r="H337" s="5"/>
      <c r="I337" s="4"/>
      <c r="J337" s="5"/>
      <c r="K337" s="1"/>
      <c r="L337" s="7"/>
      <c r="M337" s="1"/>
      <c r="N337" s="1"/>
      <c r="O337" s="1"/>
      <c r="P337" s="1"/>
      <c r="Q337" s="1"/>
      <c r="R337" s="1"/>
      <c r="S337" s="1"/>
    </row>
    <row x14ac:dyDescent="0.25" r="338" customHeight="1" ht="18.75">
      <c r="A338" s="1"/>
      <c r="B338" s="2"/>
      <c r="C338" s="2"/>
      <c r="D338" s="2"/>
      <c r="E338" s="2"/>
      <c r="F338" s="3"/>
      <c r="G338" s="4"/>
      <c r="H338" s="5"/>
      <c r="I338" s="4"/>
      <c r="J338" s="5"/>
      <c r="K338" s="1"/>
      <c r="L338" s="7"/>
      <c r="M338" s="1"/>
      <c r="N338" s="1"/>
      <c r="O338" s="1"/>
      <c r="P338" s="1"/>
      <c r="Q338" s="1"/>
      <c r="R338" s="1"/>
      <c r="S338" s="1"/>
    </row>
    <row x14ac:dyDescent="0.25" r="339" customHeight="1" ht="18.75">
      <c r="A339" s="1"/>
      <c r="B339" s="2"/>
      <c r="C339" s="2"/>
      <c r="D339" s="2"/>
      <c r="E339" s="2"/>
      <c r="F339" s="3"/>
      <c r="G339" s="4"/>
      <c r="H339" s="5"/>
      <c r="I339" s="4"/>
      <c r="J339" s="5"/>
      <c r="K339" s="1"/>
      <c r="L339" s="7"/>
      <c r="M339" s="1"/>
      <c r="N339" s="1"/>
      <c r="O339" s="1"/>
      <c r="P339" s="1"/>
      <c r="Q339" s="1"/>
      <c r="R339" s="1"/>
      <c r="S339" s="1"/>
    </row>
    <row x14ac:dyDescent="0.25" r="340" customHeight="1" ht="18.75">
      <c r="A340" s="1"/>
      <c r="B340" s="2"/>
      <c r="C340" s="2"/>
      <c r="D340" s="2"/>
      <c r="E340" s="2"/>
      <c r="F340" s="3"/>
      <c r="G340" s="4"/>
      <c r="H340" s="5"/>
      <c r="I340" s="4"/>
      <c r="J340" s="5"/>
      <c r="K340" s="1"/>
      <c r="L340" s="7"/>
      <c r="M340" s="1"/>
      <c r="N340" s="1"/>
      <c r="O340" s="1"/>
      <c r="P340" s="1"/>
      <c r="Q340" s="1"/>
      <c r="R340" s="1"/>
      <c r="S340" s="1"/>
    </row>
    <row x14ac:dyDescent="0.25" r="341" customHeight="1" ht="18.75">
      <c r="A341" s="1"/>
      <c r="B341" s="2"/>
      <c r="C341" s="2"/>
      <c r="D341" s="2"/>
      <c r="E341" s="2"/>
      <c r="F341" s="3"/>
      <c r="G341" s="4"/>
      <c r="H341" s="5"/>
      <c r="I341" s="4"/>
      <c r="J341" s="5"/>
      <c r="K341" s="1"/>
      <c r="L341" s="7"/>
      <c r="M341" s="1"/>
      <c r="N341" s="1"/>
      <c r="O341" s="1"/>
      <c r="P341" s="1"/>
      <c r="Q341" s="1"/>
      <c r="R341" s="1"/>
      <c r="S341" s="1"/>
    </row>
    <row x14ac:dyDescent="0.25" r="342" customHeight="1" ht="18.75">
      <c r="A342" s="1"/>
      <c r="B342" s="2"/>
      <c r="C342" s="2"/>
      <c r="D342" s="2"/>
      <c r="E342" s="2"/>
      <c r="F342" s="3"/>
      <c r="G342" s="4"/>
      <c r="H342" s="5"/>
      <c r="I342" s="4"/>
      <c r="J342" s="5"/>
      <c r="K342" s="1"/>
      <c r="L342" s="7"/>
      <c r="M342" s="1"/>
      <c r="N342" s="1"/>
      <c r="O342" s="1"/>
      <c r="P342" s="1"/>
      <c r="Q342" s="1"/>
      <c r="R342" s="1"/>
      <c r="S342" s="1"/>
    </row>
    <row x14ac:dyDescent="0.25" r="343" customHeight="1" ht="18.75">
      <c r="A343" s="1"/>
      <c r="B343" s="2"/>
      <c r="C343" s="2"/>
      <c r="D343" s="2"/>
      <c r="E343" s="2"/>
      <c r="F343" s="3"/>
      <c r="G343" s="4"/>
      <c r="H343" s="5"/>
      <c r="I343" s="4"/>
      <c r="J343" s="5"/>
      <c r="K343" s="1"/>
      <c r="L343" s="7"/>
      <c r="M343" s="1"/>
      <c r="N343" s="1"/>
      <c r="O343" s="1"/>
      <c r="P343" s="1"/>
      <c r="Q343" s="1"/>
      <c r="R343" s="1"/>
      <c r="S343" s="1"/>
    </row>
    <row x14ac:dyDescent="0.25" r="344" customHeight="1" ht="18.75">
      <c r="A344" s="1"/>
      <c r="B344" s="2"/>
      <c r="C344" s="2"/>
      <c r="D344" s="2"/>
      <c r="E344" s="2"/>
      <c r="F344" s="3"/>
      <c r="G344" s="4"/>
      <c r="H344" s="5"/>
      <c r="I344" s="4"/>
      <c r="J344" s="5"/>
      <c r="K344" s="1"/>
      <c r="L344" s="7"/>
      <c r="M344" s="1"/>
      <c r="N344" s="1"/>
      <c r="O344" s="1"/>
      <c r="P344" s="1"/>
      <c r="Q344" s="1"/>
      <c r="R344" s="1"/>
      <c r="S344" s="1"/>
    </row>
    <row x14ac:dyDescent="0.25" r="345" customHeight="1" ht="18.75">
      <c r="A345" s="1"/>
      <c r="B345" s="2"/>
      <c r="C345" s="2"/>
      <c r="D345" s="2"/>
      <c r="E345" s="2"/>
      <c r="F345" s="3"/>
      <c r="G345" s="4"/>
      <c r="H345" s="5"/>
      <c r="I345" s="4"/>
      <c r="J345" s="5"/>
      <c r="K345" s="1"/>
      <c r="L345" s="7"/>
      <c r="M345" s="1"/>
      <c r="N345" s="1"/>
      <c r="O345" s="1"/>
      <c r="P345" s="1"/>
      <c r="Q345" s="1"/>
      <c r="R345" s="1"/>
      <c r="S345" s="1"/>
    </row>
    <row x14ac:dyDescent="0.25" r="346" customHeight="1" ht="18.75">
      <c r="A346" s="1"/>
      <c r="B346" s="2"/>
      <c r="C346" s="2"/>
      <c r="D346" s="2"/>
      <c r="E346" s="2"/>
      <c r="F346" s="3"/>
      <c r="G346" s="4"/>
      <c r="H346" s="5"/>
      <c r="I346" s="4"/>
      <c r="J346" s="5"/>
      <c r="K346" s="1"/>
      <c r="L346" s="7"/>
      <c r="M346" s="1"/>
      <c r="N346" s="1"/>
      <c r="O346" s="1"/>
      <c r="P346" s="1"/>
      <c r="Q346" s="1"/>
      <c r="R346" s="1"/>
      <c r="S346" s="1"/>
    </row>
    <row x14ac:dyDescent="0.25" r="347" customHeight="1" ht="18.75">
      <c r="A347" s="1"/>
      <c r="B347" s="2"/>
      <c r="C347" s="2"/>
      <c r="D347" s="2"/>
      <c r="E347" s="2"/>
      <c r="F347" s="3"/>
      <c r="G347" s="4"/>
      <c r="H347" s="5"/>
      <c r="I347" s="4"/>
      <c r="J347" s="5"/>
      <c r="K347" s="1"/>
      <c r="L347" s="7"/>
      <c r="M347" s="1"/>
      <c r="N347" s="1"/>
      <c r="O347" s="1"/>
      <c r="P347" s="1"/>
      <c r="Q347" s="1"/>
      <c r="R347" s="1"/>
      <c r="S347" s="1"/>
    </row>
    <row x14ac:dyDescent="0.25" r="348" customHeight="1" ht="18.75">
      <c r="A348" s="1"/>
      <c r="B348" s="2"/>
      <c r="C348" s="2"/>
      <c r="D348" s="2"/>
      <c r="E348" s="2"/>
      <c r="F348" s="3"/>
      <c r="G348" s="4"/>
      <c r="H348" s="5"/>
      <c r="I348" s="4"/>
      <c r="J348" s="5"/>
      <c r="K348" s="1"/>
      <c r="L348" s="7"/>
      <c r="M348" s="1"/>
      <c r="N348" s="1"/>
      <c r="O348" s="1"/>
      <c r="P348" s="1"/>
      <c r="Q348" s="1"/>
      <c r="R348" s="1"/>
      <c r="S348" s="1"/>
    </row>
    <row x14ac:dyDescent="0.25" r="349" customHeight="1" ht="18.75">
      <c r="A349" s="1"/>
      <c r="B349" s="2"/>
      <c r="C349" s="2"/>
      <c r="D349" s="2"/>
      <c r="E349" s="2"/>
      <c r="F349" s="3"/>
      <c r="G349" s="4"/>
      <c r="H349" s="5"/>
      <c r="I349" s="4"/>
      <c r="J349" s="5"/>
      <c r="K349" s="1"/>
      <c r="L349" s="7"/>
      <c r="M349" s="1"/>
      <c r="N349" s="1"/>
      <c r="O349" s="1"/>
      <c r="P349" s="1"/>
      <c r="Q349" s="1"/>
      <c r="R349" s="1"/>
      <c r="S349" s="1"/>
    </row>
    <row x14ac:dyDescent="0.25" r="350" customHeight="1" ht="18.75">
      <c r="A350" s="1"/>
      <c r="B350" s="2"/>
      <c r="C350" s="2"/>
      <c r="D350" s="2"/>
      <c r="E350" s="2"/>
      <c r="F350" s="3"/>
      <c r="G350" s="4"/>
      <c r="H350" s="5"/>
      <c r="I350" s="4"/>
      <c r="J350" s="5"/>
      <c r="K350" s="1"/>
      <c r="L350" s="7"/>
      <c r="M350" s="1"/>
      <c r="N350" s="1"/>
      <c r="O350" s="1"/>
      <c r="P350" s="1"/>
      <c r="Q350" s="1"/>
      <c r="R350" s="1"/>
      <c r="S350" s="1"/>
    </row>
    <row x14ac:dyDescent="0.25" r="351" customHeight="1" ht="18.75">
      <c r="A351" s="1"/>
      <c r="B351" s="2"/>
      <c r="C351" s="2"/>
      <c r="D351" s="2"/>
      <c r="E351" s="2"/>
      <c r="F351" s="3"/>
      <c r="G351" s="4"/>
      <c r="H351" s="5"/>
      <c r="I351" s="4"/>
      <c r="J351" s="5"/>
      <c r="K351" s="1"/>
      <c r="L351" s="7"/>
      <c r="M351" s="1"/>
      <c r="N351" s="1"/>
      <c r="O351" s="1"/>
      <c r="P351" s="1"/>
      <c r="Q351" s="1"/>
      <c r="R351" s="1"/>
      <c r="S351" s="1"/>
    </row>
    <row x14ac:dyDescent="0.25" r="352" customHeight="1" ht="26.25">
      <c r="A352" s="1"/>
      <c r="B352" s="2"/>
      <c r="C352" s="2"/>
      <c r="D352" s="2"/>
      <c r="E352" s="2"/>
      <c r="F352" s="3"/>
      <c r="G352" s="4"/>
      <c r="H352" s="5"/>
      <c r="I352" s="4"/>
      <c r="J352" s="5"/>
      <c r="K352" s="1"/>
      <c r="L352" s="7"/>
      <c r="M352" s="1"/>
      <c r="N352" s="1"/>
      <c r="O352" s="1"/>
      <c r="P352" s="1"/>
      <c r="Q352" s="1"/>
      <c r="R352" s="1"/>
      <c r="S352" s="1"/>
    </row>
    <row x14ac:dyDescent="0.25" r="353" customHeight="1" ht="18.75">
      <c r="A353" s="1"/>
      <c r="B353" s="2"/>
      <c r="C353" s="2"/>
      <c r="D353" s="2"/>
      <c r="E353" s="2"/>
      <c r="F353" s="3"/>
      <c r="G353" s="4"/>
      <c r="H353" s="5"/>
      <c r="I353" s="4"/>
      <c r="J353" s="5"/>
      <c r="K353" s="1"/>
      <c r="L353" s="7"/>
      <c r="M353" s="1"/>
      <c r="N353" s="1"/>
      <c r="O353" s="1"/>
      <c r="P353" s="1"/>
      <c r="Q353" s="1"/>
      <c r="R353" s="1"/>
      <c r="S353" s="1"/>
    </row>
    <row x14ac:dyDescent="0.25" r="354" customHeight="1" ht="18.75">
      <c r="A354" s="1"/>
      <c r="B354" s="2"/>
      <c r="C354" s="2"/>
      <c r="D354" s="2"/>
      <c r="E354" s="2"/>
      <c r="F354" s="3"/>
      <c r="G354" s="4"/>
      <c r="H354" s="5"/>
      <c r="I354" s="4"/>
      <c r="J354" s="5"/>
      <c r="K354" s="1"/>
      <c r="L354" s="7"/>
      <c r="M354" s="1"/>
      <c r="N354" s="1"/>
      <c r="O354" s="1"/>
      <c r="P354" s="1"/>
      <c r="Q354" s="1"/>
      <c r="R354" s="1"/>
      <c r="S354" s="1"/>
    </row>
    <row x14ac:dyDescent="0.25" r="355" customHeight="1" ht="18.75">
      <c r="A355" s="1"/>
      <c r="B355" s="2"/>
      <c r="C355" s="2"/>
      <c r="D355" s="2"/>
      <c r="E355" s="2"/>
      <c r="F355" s="3"/>
      <c r="G355" s="4"/>
      <c r="H355" s="5"/>
      <c r="I355" s="4"/>
      <c r="J355" s="5"/>
      <c r="K355" s="1"/>
      <c r="L355" s="7"/>
      <c r="M355" s="1"/>
      <c r="N355" s="1"/>
      <c r="O355" s="1"/>
      <c r="P355" s="1"/>
      <c r="Q355" s="1"/>
      <c r="R355" s="1"/>
      <c r="S355" s="1"/>
    </row>
    <row x14ac:dyDescent="0.25" r="356" customHeight="1" ht="18.75">
      <c r="A356" s="1"/>
      <c r="B356" s="2"/>
      <c r="C356" s="2"/>
      <c r="D356" s="2"/>
      <c r="E356" s="2"/>
      <c r="F356" s="3"/>
      <c r="G356" s="4"/>
      <c r="H356" s="5"/>
      <c r="I356" s="4"/>
      <c r="J356" s="5"/>
      <c r="K356" s="1"/>
      <c r="L356" s="7"/>
      <c r="M356" s="1"/>
      <c r="N356" s="1"/>
      <c r="O356" s="1"/>
      <c r="P356" s="1"/>
      <c r="Q356" s="1"/>
      <c r="R356" s="1"/>
      <c r="S356" s="1"/>
    </row>
    <row x14ac:dyDescent="0.25" r="357" customHeight="1" ht="18.75">
      <c r="A357" s="1"/>
      <c r="B357" s="2"/>
      <c r="C357" s="2"/>
      <c r="D357" s="2"/>
      <c r="E357" s="2"/>
      <c r="F357" s="3"/>
      <c r="G357" s="4"/>
      <c r="H357" s="5"/>
      <c r="I357" s="4"/>
      <c r="J357" s="5"/>
      <c r="K357" s="1"/>
      <c r="L357" s="7"/>
      <c r="M357" s="1"/>
      <c r="N357" s="1"/>
      <c r="O357" s="1"/>
      <c r="P357" s="1"/>
      <c r="Q357" s="1"/>
      <c r="R357" s="1"/>
      <c r="S357" s="1"/>
    </row>
    <row x14ac:dyDescent="0.25" r="358" customHeight="1" ht="18.75">
      <c r="A358" s="1"/>
      <c r="B358" s="2"/>
      <c r="C358" s="2"/>
      <c r="D358" s="2"/>
      <c r="E358" s="2"/>
      <c r="F358" s="3"/>
      <c r="G358" s="4"/>
      <c r="H358" s="5"/>
      <c r="I358" s="4"/>
      <c r="J358" s="5"/>
      <c r="K358" s="1"/>
      <c r="L358" s="7"/>
      <c r="M358" s="1"/>
      <c r="N358" s="1"/>
      <c r="O358" s="1"/>
      <c r="P358" s="1"/>
      <c r="Q358" s="1"/>
      <c r="R358" s="1"/>
      <c r="S358" s="1"/>
    </row>
    <row x14ac:dyDescent="0.25" r="359" customHeight="1" ht="18.75">
      <c r="A359" s="1"/>
      <c r="B359" s="2"/>
      <c r="C359" s="2"/>
      <c r="D359" s="2"/>
      <c r="E359" s="2"/>
      <c r="F359" s="3"/>
      <c r="G359" s="4"/>
      <c r="H359" s="5"/>
      <c r="I359" s="4"/>
      <c r="J359" s="5"/>
      <c r="K359" s="1"/>
      <c r="L359" s="7"/>
      <c r="M359" s="1"/>
      <c r="N359" s="1"/>
      <c r="O359" s="1"/>
      <c r="P359" s="1"/>
      <c r="Q359" s="1"/>
      <c r="R359" s="1"/>
      <c r="S359" s="1"/>
    </row>
    <row x14ac:dyDescent="0.25" r="360" customHeight="1" ht="18.75">
      <c r="A360" s="1"/>
      <c r="B360" s="2"/>
      <c r="C360" s="2"/>
      <c r="D360" s="2"/>
      <c r="E360" s="2"/>
      <c r="F360" s="3"/>
      <c r="G360" s="4"/>
      <c r="H360" s="5"/>
      <c r="I360" s="4"/>
      <c r="J360" s="5"/>
      <c r="K360" s="1"/>
      <c r="L360" s="7"/>
      <c r="M360" s="1"/>
      <c r="N360" s="1"/>
      <c r="O360" s="1"/>
      <c r="P360" s="1"/>
      <c r="Q360" s="1"/>
      <c r="R360" s="1"/>
      <c r="S360" s="1"/>
    </row>
    <row x14ac:dyDescent="0.25" r="361" customHeight="1" ht="18.75">
      <c r="A361" s="1"/>
      <c r="B361" s="2"/>
      <c r="C361" s="2"/>
      <c r="D361" s="2"/>
      <c r="E361" s="2"/>
      <c r="F361" s="3"/>
      <c r="G361" s="4"/>
      <c r="H361" s="5"/>
      <c r="I361" s="4"/>
      <c r="J361" s="5"/>
      <c r="K361" s="1"/>
      <c r="L361" s="7"/>
      <c r="M361" s="1"/>
      <c r="N361" s="1"/>
      <c r="O361" s="1"/>
      <c r="P361" s="1"/>
      <c r="Q361" s="1"/>
      <c r="R361" s="1"/>
      <c r="S361" s="1"/>
    </row>
    <row x14ac:dyDescent="0.25" r="362" customHeight="1" ht="18.75">
      <c r="A362" s="1"/>
      <c r="B362" s="2"/>
      <c r="C362" s="2"/>
      <c r="D362" s="2"/>
      <c r="E362" s="2"/>
      <c r="F362" s="3"/>
      <c r="G362" s="4"/>
      <c r="H362" s="5"/>
      <c r="I362" s="4"/>
      <c r="J362" s="5"/>
      <c r="K362" s="1"/>
      <c r="L362" s="7"/>
      <c r="M362" s="1"/>
      <c r="N362" s="1"/>
      <c r="O362" s="1"/>
      <c r="P362" s="1"/>
      <c r="Q362" s="1"/>
      <c r="R362" s="1"/>
      <c r="S362" s="1"/>
    </row>
    <row x14ac:dyDescent="0.25" r="363" customHeight="1" ht="18.75">
      <c r="A363" s="1"/>
      <c r="B363" s="2"/>
      <c r="C363" s="2"/>
      <c r="D363" s="2"/>
      <c r="E363" s="2"/>
      <c r="F363" s="3"/>
      <c r="G363" s="4"/>
      <c r="H363" s="5"/>
      <c r="I363" s="4"/>
      <c r="J363" s="5"/>
      <c r="K363" s="1"/>
      <c r="L363" s="7"/>
      <c r="M363" s="1"/>
      <c r="N363" s="1"/>
      <c r="O363" s="1"/>
      <c r="P363" s="1"/>
      <c r="Q363" s="1"/>
      <c r="R363" s="1"/>
      <c r="S363" s="1"/>
    </row>
    <row x14ac:dyDescent="0.25" r="364" customHeight="1" ht="18.75">
      <c r="A364" s="1"/>
      <c r="B364" s="2"/>
      <c r="C364" s="2"/>
      <c r="D364" s="2"/>
      <c r="E364" s="2"/>
      <c r="F364" s="3"/>
      <c r="G364" s="4"/>
      <c r="H364" s="5"/>
      <c r="I364" s="4"/>
      <c r="J364" s="5"/>
      <c r="K364" s="1"/>
      <c r="L364" s="7"/>
      <c r="M364" s="1"/>
      <c r="N364" s="1"/>
      <c r="O364" s="1"/>
      <c r="P364" s="1"/>
      <c r="Q364" s="1"/>
      <c r="R364" s="1"/>
      <c r="S364" s="1"/>
    </row>
    <row x14ac:dyDescent="0.25" r="365" customHeight="1" ht="18.75">
      <c r="A365" s="1"/>
      <c r="B365" s="2"/>
      <c r="C365" s="2"/>
      <c r="D365" s="2"/>
      <c r="E365" s="2"/>
      <c r="F365" s="3"/>
      <c r="G365" s="4"/>
      <c r="H365" s="5"/>
      <c r="I365" s="4"/>
      <c r="J365" s="5"/>
      <c r="K365" s="1"/>
      <c r="L365" s="7"/>
      <c r="M365" s="1"/>
      <c r="N365" s="1"/>
      <c r="O365" s="1"/>
      <c r="P365" s="1"/>
      <c r="Q365" s="1"/>
      <c r="R365" s="1"/>
      <c r="S365" s="1"/>
    </row>
    <row x14ac:dyDescent="0.25" r="366" customHeight="1" ht="18.75">
      <c r="A366" s="1"/>
      <c r="B366" s="2"/>
      <c r="C366" s="2"/>
      <c r="D366" s="2"/>
      <c r="E366" s="2"/>
      <c r="F366" s="3"/>
      <c r="G366" s="4"/>
      <c r="H366" s="5"/>
      <c r="I366" s="4"/>
      <c r="J366" s="5"/>
      <c r="K366" s="1"/>
      <c r="L366" s="7"/>
      <c r="M366" s="1"/>
      <c r="N366" s="1"/>
      <c r="O366" s="1"/>
      <c r="P366" s="1"/>
      <c r="Q366" s="1"/>
      <c r="R366" s="1"/>
      <c r="S366" s="1"/>
    </row>
    <row x14ac:dyDescent="0.25" r="367" customHeight="1" ht="18.75">
      <c r="A367" s="1"/>
      <c r="B367" s="2"/>
      <c r="C367" s="2"/>
      <c r="D367" s="2"/>
      <c r="E367" s="2"/>
      <c r="F367" s="3"/>
      <c r="G367" s="4"/>
      <c r="H367" s="5"/>
      <c r="I367" s="4"/>
      <c r="J367" s="5"/>
      <c r="K367" s="1"/>
      <c r="L367" s="7"/>
      <c r="M367" s="1"/>
      <c r="N367" s="1"/>
      <c r="O367" s="1"/>
      <c r="P367" s="1"/>
      <c r="Q367" s="1"/>
      <c r="R367" s="1"/>
      <c r="S367" s="1"/>
    </row>
    <row x14ac:dyDescent="0.25" r="368" customHeight="1" ht="18.75">
      <c r="A368" s="1"/>
      <c r="B368" s="2"/>
      <c r="C368" s="2"/>
      <c r="D368" s="2"/>
      <c r="E368" s="2"/>
      <c r="F368" s="3"/>
      <c r="G368" s="4"/>
      <c r="H368" s="5"/>
      <c r="I368" s="4"/>
      <c r="J368" s="5"/>
      <c r="K368" s="1"/>
      <c r="L368" s="7"/>
      <c r="M368" s="1"/>
      <c r="N368" s="1"/>
      <c r="O368" s="1"/>
      <c r="P368" s="1"/>
      <c r="Q368" s="1"/>
      <c r="R368" s="1"/>
      <c r="S368" s="1"/>
    </row>
    <row x14ac:dyDescent="0.25" r="369" customHeight="1" ht="18.75">
      <c r="A369" s="1"/>
      <c r="B369" s="2"/>
      <c r="C369" s="2"/>
      <c r="D369" s="2"/>
      <c r="E369" s="2"/>
      <c r="F369" s="3"/>
      <c r="G369" s="4"/>
      <c r="H369" s="5"/>
      <c r="I369" s="4"/>
      <c r="J369" s="5"/>
      <c r="K369" s="1"/>
      <c r="L369" s="7"/>
      <c r="M369" s="1"/>
      <c r="N369" s="1"/>
      <c r="O369" s="1"/>
      <c r="P369" s="1"/>
      <c r="Q369" s="1"/>
      <c r="R369" s="1"/>
      <c r="S369" s="1"/>
    </row>
    <row x14ac:dyDescent="0.25" r="370" customHeight="1" ht="18.75">
      <c r="A370" s="1"/>
      <c r="B370" s="2"/>
      <c r="C370" s="2"/>
      <c r="D370" s="2"/>
      <c r="E370" s="2"/>
      <c r="F370" s="3"/>
      <c r="G370" s="4"/>
      <c r="H370" s="5"/>
      <c r="I370" s="4"/>
      <c r="J370" s="5"/>
      <c r="K370" s="1"/>
      <c r="L370" s="7"/>
      <c r="M370" s="1"/>
      <c r="N370" s="1"/>
      <c r="O370" s="1"/>
      <c r="P370" s="1"/>
      <c r="Q370" s="1"/>
      <c r="R370" s="1"/>
      <c r="S370" s="1"/>
    </row>
    <row x14ac:dyDescent="0.25" r="371" customHeight="1" ht="18.75">
      <c r="A371" s="1"/>
      <c r="B371" s="2"/>
      <c r="C371" s="2"/>
      <c r="D371" s="2"/>
      <c r="E371" s="2"/>
      <c r="F371" s="3"/>
      <c r="G371" s="4"/>
      <c r="H371" s="5"/>
      <c r="I371" s="4"/>
      <c r="J371" s="5"/>
      <c r="K371" s="1"/>
      <c r="L371" s="7"/>
      <c r="M371" s="1"/>
      <c r="N371" s="1"/>
      <c r="O371" s="1"/>
      <c r="P371" s="1"/>
      <c r="Q371" s="1"/>
      <c r="R371" s="1"/>
      <c r="S371" s="1"/>
    </row>
    <row x14ac:dyDescent="0.25" r="372" customHeight="1" ht="18.75">
      <c r="A372" s="1"/>
      <c r="B372" s="2"/>
      <c r="C372" s="2"/>
      <c r="D372" s="2"/>
      <c r="E372" s="2"/>
      <c r="F372" s="3"/>
      <c r="G372" s="4"/>
      <c r="H372" s="5"/>
      <c r="I372" s="4"/>
      <c r="J372" s="5"/>
      <c r="K372" s="1"/>
      <c r="L372" s="7"/>
      <c r="M372" s="1"/>
      <c r="N372" s="1"/>
      <c r="O372" s="1"/>
      <c r="P372" s="1"/>
      <c r="Q372" s="1"/>
      <c r="R372" s="1"/>
      <c r="S372" s="1"/>
    </row>
    <row x14ac:dyDescent="0.25" r="373" customHeight="1" ht="18.75">
      <c r="A373" s="1"/>
      <c r="B373" s="2"/>
      <c r="C373" s="2"/>
      <c r="D373" s="2"/>
      <c r="E373" s="2"/>
      <c r="F373" s="3"/>
      <c r="G373" s="4"/>
      <c r="H373" s="5"/>
      <c r="I373" s="4"/>
      <c r="J373" s="5"/>
      <c r="K373" s="1"/>
      <c r="L373" s="7"/>
      <c r="M373" s="1"/>
      <c r="N373" s="1"/>
      <c r="O373" s="1"/>
      <c r="P373" s="1"/>
      <c r="Q373" s="1"/>
      <c r="R373" s="1"/>
      <c r="S373" s="1"/>
    </row>
    <row x14ac:dyDescent="0.25" r="374" customHeight="1" ht="18.75">
      <c r="A374" s="1"/>
      <c r="B374" s="2"/>
      <c r="C374" s="2"/>
      <c r="D374" s="2"/>
      <c r="E374" s="2"/>
      <c r="F374" s="3"/>
      <c r="G374" s="4"/>
      <c r="H374" s="5"/>
      <c r="I374" s="4"/>
      <c r="J374" s="5"/>
      <c r="K374" s="1"/>
      <c r="L374" s="7"/>
      <c r="M374" s="1"/>
      <c r="N374" s="1"/>
      <c r="O374" s="1"/>
      <c r="P374" s="1"/>
      <c r="Q374" s="1"/>
      <c r="R374" s="1"/>
      <c r="S374" s="1"/>
    </row>
    <row x14ac:dyDescent="0.25" r="375" customHeight="1" ht="18.75">
      <c r="A375" s="1"/>
      <c r="B375" s="2"/>
      <c r="C375" s="2"/>
      <c r="D375" s="2"/>
      <c r="E375" s="2"/>
      <c r="F375" s="3"/>
      <c r="G375" s="4"/>
      <c r="H375" s="5"/>
      <c r="I375" s="4"/>
      <c r="J375" s="5"/>
      <c r="K375" s="1"/>
      <c r="L375" s="7"/>
      <c r="M375" s="1"/>
      <c r="N375" s="1"/>
      <c r="O375" s="1"/>
      <c r="P375" s="1"/>
      <c r="Q375" s="1"/>
      <c r="R375" s="1"/>
      <c r="S375" s="1"/>
    </row>
    <row x14ac:dyDescent="0.25" r="376" customHeight="1" ht="18.75">
      <c r="A376" s="1"/>
      <c r="B376" s="2"/>
      <c r="C376" s="2"/>
      <c r="D376" s="2"/>
      <c r="E376" s="2"/>
      <c r="F376" s="3"/>
      <c r="G376" s="4"/>
      <c r="H376" s="5"/>
      <c r="I376" s="4"/>
      <c r="J376" s="5"/>
      <c r="K376" s="1"/>
      <c r="L376" s="7"/>
      <c r="M376" s="1"/>
      <c r="N376" s="1"/>
      <c r="O376" s="1"/>
      <c r="P376" s="1"/>
      <c r="Q376" s="1"/>
      <c r="R376" s="1"/>
      <c r="S376" s="1"/>
    </row>
    <row x14ac:dyDescent="0.25" r="377" customHeight="1" ht="18.75">
      <c r="A377" s="1"/>
      <c r="B377" s="2"/>
      <c r="C377" s="2"/>
      <c r="D377" s="2"/>
      <c r="E377" s="2"/>
      <c r="F377" s="3"/>
      <c r="G377" s="4"/>
      <c r="H377" s="5"/>
      <c r="I377" s="4"/>
      <c r="J377" s="5"/>
      <c r="K377" s="1"/>
      <c r="L377" s="7"/>
      <c r="M377" s="1"/>
      <c r="N377" s="1"/>
      <c r="O377" s="1"/>
      <c r="P377" s="1"/>
      <c r="Q377" s="1"/>
      <c r="R377" s="1"/>
      <c r="S377" s="1"/>
    </row>
    <row x14ac:dyDescent="0.25" r="378" customHeight="1" ht="18.75">
      <c r="A378" s="1"/>
      <c r="B378" s="2"/>
      <c r="C378" s="2"/>
      <c r="D378" s="2"/>
      <c r="E378" s="2"/>
      <c r="F378" s="3"/>
      <c r="G378" s="4"/>
      <c r="H378" s="5"/>
      <c r="I378" s="4"/>
      <c r="J378" s="5"/>
      <c r="K378" s="1"/>
      <c r="L378" s="7"/>
      <c r="M378" s="1"/>
      <c r="N378" s="1"/>
      <c r="O378" s="1"/>
      <c r="P378" s="1"/>
      <c r="Q378" s="1"/>
      <c r="R378" s="1"/>
      <c r="S378" s="1"/>
    </row>
    <row x14ac:dyDescent="0.25" r="379" customHeight="1" ht="18.75">
      <c r="A379" s="1"/>
      <c r="B379" s="2"/>
      <c r="C379" s="2"/>
      <c r="D379" s="2"/>
      <c r="E379" s="2"/>
      <c r="F379" s="3"/>
      <c r="G379" s="4"/>
      <c r="H379" s="5"/>
      <c r="I379" s="4"/>
      <c r="J379" s="5"/>
      <c r="K379" s="1"/>
      <c r="L379" s="7"/>
      <c r="M379" s="1"/>
      <c r="N379" s="1"/>
      <c r="O379" s="1"/>
      <c r="P379" s="1"/>
      <c r="Q379" s="1"/>
      <c r="R379" s="1"/>
      <c r="S379" s="1"/>
    </row>
    <row x14ac:dyDescent="0.25" r="380" customHeight="1" ht="18.75">
      <c r="A380" s="1"/>
      <c r="B380" s="2"/>
      <c r="C380" s="2"/>
      <c r="D380" s="2"/>
      <c r="E380" s="2"/>
      <c r="F380" s="3"/>
      <c r="G380" s="4"/>
      <c r="H380" s="5"/>
      <c r="I380" s="4"/>
      <c r="J380" s="5"/>
      <c r="K380" s="1"/>
      <c r="L380" s="7"/>
      <c r="M380" s="1"/>
      <c r="N380" s="1"/>
      <c r="O380" s="1"/>
      <c r="P380" s="1"/>
      <c r="Q380" s="1"/>
      <c r="R380" s="1"/>
      <c r="S380" s="1"/>
    </row>
    <row x14ac:dyDescent="0.25" r="381" customHeight="1" ht="18.75">
      <c r="A381" s="1"/>
      <c r="B381" s="2"/>
      <c r="C381" s="2"/>
      <c r="D381" s="2"/>
      <c r="E381" s="2"/>
      <c r="F381" s="3"/>
      <c r="G381" s="4"/>
      <c r="H381" s="5"/>
      <c r="I381" s="4"/>
      <c r="J381" s="5"/>
      <c r="K381" s="1"/>
      <c r="L381" s="7"/>
      <c r="M381" s="1"/>
      <c r="N381" s="1"/>
      <c r="O381" s="1"/>
      <c r="P381" s="1"/>
      <c r="Q381" s="1"/>
      <c r="R381" s="1"/>
      <c r="S381" s="1"/>
    </row>
    <row x14ac:dyDescent="0.25" r="382" customHeight="1" ht="18.75">
      <c r="A382" s="1"/>
      <c r="B382" s="2"/>
      <c r="C382" s="2"/>
      <c r="D382" s="2"/>
      <c r="E382" s="2"/>
      <c r="F382" s="3"/>
      <c r="G382" s="4"/>
      <c r="H382" s="5"/>
      <c r="I382" s="4"/>
      <c r="J382" s="5"/>
      <c r="K382" s="1"/>
      <c r="L382" s="7"/>
      <c r="M382" s="1"/>
      <c r="N382" s="1"/>
      <c r="O382" s="1"/>
      <c r="P382" s="1"/>
      <c r="Q382" s="1"/>
      <c r="R382" s="1"/>
      <c r="S382" s="1"/>
    </row>
    <row x14ac:dyDescent="0.25" r="383" customHeight="1" ht="18.75">
      <c r="A383" s="1"/>
      <c r="B383" s="2"/>
      <c r="C383" s="2"/>
      <c r="D383" s="2"/>
      <c r="E383" s="2"/>
      <c r="F383" s="3"/>
      <c r="G383" s="4"/>
      <c r="H383" s="5"/>
      <c r="I383" s="4"/>
      <c r="J383" s="5"/>
      <c r="K383" s="1"/>
      <c r="L383" s="7"/>
      <c r="M383" s="1"/>
      <c r="N383" s="1"/>
      <c r="O383" s="1"/>
      <c r="P383" s="1"/>
      <c r="Q383" s="1"/>
      <c r="R383" s="1"/>
      <c r="S383" s="1"/>
    </row>
    <row x14ac:dyDescent="0.25" r="384" customHeight="1" ht="18.75">
      <c r="A384" s="1"/>
      <c r="B384" s="2"/>
      <c r="C384" s="2"/>
      <c r="D384" s="2"/>
      <c r="E384" s="2"/>
      <c r="F384" s="3"/>
      <c r="G384" s="4"/>
      <c r="H384" s="5"/>
      <c r="I384" s="4"/>
      <c r="J384" s="5"/>
      <c r="K384" s="1"/>
      <c r="L384" s="7"/>
      <c r="M384" s="1"/>
      <c r="N384" s="1"/>
      <c r="O384" s="1"/>
      <c r="P384" s="1"/>
      <c r="Q384" s="1"/>
      <c r="R384" s="1"/>
      <c r="S384" s="1"/>
    </row>
    <row x14ac:dyDescent="0.25" r="385" customHeight="1" ht="18.75">
      <c r="A385" s="1"/>
      <c r="B385" s="2"/>
      <c r="C385" s="2"/>
      <c r="D385" s="2"/>
      <c r="E385" s="2"/>
      <c r="F385" s="3"/>
      <c r="G385" s="4"/>
      <c r="H385" s="5"/>
      <c r="I385" s="4"/>
      <c r="J385" s="5"/>
      <c r="K385" s="1"/>
      <c r="L385" s="7"/>
      <c r="M385" s="1"/>
      <c r="N385" s="1"/>
      <c r="O385" s="1"/>
      <c r="P385" s="1"/>
      <c r="Q385" s="1"/>
      <c r="R385" s="1"/>
      <c r="S385" s="1"/>
    </row>
    <row x14ac:dyDescent="0.25" r="386" customHeight="1" ht="18.75">
      <c r="A386" s="1"/>
      <c r="B386" s="2"/>
      <c r="C386" s="2"/>
      <c r="D386" s="2"/>
      <c r="E386" s="2"/>
      <c r="F386" s="3"/>
      <c r="G386" s="4"/>
      <c r="H386" s="5"/>
      <c r="I386" s="4"/>
      <c r="J386" s="5"/>
      <c r="K386" s="1"/>
      <c r="L386" s="7"/>
      <c r="M386" s="1"/>
      <c r="N386" s="1"/>
      <c r="O386" s="1"/>
      <c r="P386" s="1"/>
      <c r="Q386" s="1"/>
      <c r="R386" s="1"/>
      <c r="S386" s="1"/>
    </row>
    <row x14ac:dyDescent="0.25" r="387" customHeight="1" ht="18.75">
      <c r="A387" s="1"/>
      <c r="B387" s="2"/>
      <c r="C387" s="2"/>
      <c r="D387" s="2"/>
      <c r="E387" s="2"/>
      <c r="F387" s="3"/>
      <c r="G387" s="4"/>
      <c r="H387" s="5"/>
      <c r="I387" s="4"/>
      <c r="J387" s="5"/>
      <c r="K387" s="1"/>
      <c r="L387" s="7"/>
      <c r="M387" s="1"/>
      <c r="N387" s="1"/>
      <c r="O387" s="1"/>
      <c r="P387" s="1"/>
      <c r="Q387" s="1"/>
      <c r="R387" s="1"/>
      <c r="S387" s="1"/>
    </row>
    <row x14ac:dyDescent="0.25" r="388" customHeight="1" ht="18.75">
      <c r="A388" s="1"/>
      <c r="B388" s="2"/>
      <c r="C388" s="2"/>
      <c r="D388" s="2"/>
      <c r="E388" s="2"/>
      <c r="F388" s="3"/>
      <c r="G388" s="4"/>
      <c r="H388" s="5"/>
      <c r="I388" s="4"/>
      <c r="J388" s="5"/>
      <c r="K388" s="1"/>
      <c r="L388" s="7"/>
      <c r="M388" s="1"/>
      <c r="N388" s="1"/>
      <c r="O388" s="1"/>
      <c r="P388" s="1"/>
      <c r="Q388" s="1"/>
      <c r="R388" s="1"/>
      <c r="S388" s="1"/>
    </row>
    <row x14ac:dyDescent="0.25" r="389" customHeight="1" ht="18.75">
      <c r="A389" s="1"/>
      <c r="B389" s="2"/>
      <c r="C389" s="2"/>
      <c r="D389" s="2"/>
      <c r="E389" s="2"/>
      <c r="F389" s="3"/>
      <c r="G389" s="4"/>
      <c r="H389" s="5"/>
      <c r="I389" s="4"/>
      <c r="J389" s="5"/>
      <c r="K389" s="1"/>
      <c r="L389" s="7"/>
      <c r="M389" s="1"/>
      <c r="N389" s="1"/>
      <c r="O389" s="1"/>
      <c r="P389" s="1"/>
      <c r="Q389" s="1"/>
      <c r="R389" s="1"/>
      <c r="S389" s="1"/>
    </row>
    <row x14ac:dyDescent="0.25" r="390" customHeight="1" ht="18.75">
      <c r="A390" s="1"/>
      <c r="B390" s="2"/>
      <c r="C390" s="2"/>
      <c r="D390" s="2"/>
      <c r="E390" s="2"/>
      <c r="F390" s="3"/>
      <c r="G390" s="4"/>
      <c r="H390" s="5"/>
      <c r="I390" s="4"/>
      <c r="J390" s="5"/>
      <c r="K390" s="1"/>
      <c r="L390" s="7"/>
      <c r="M390" s="1"/>
      <c r="N390" s="1"/>
      <c r="O390" s="1"/>
      <c r="P390" s="1"/>
      <c r="Q390" s="1"/>
      <c r="R390" s="1"/>
      <c r="S390" s="1"/>
    </row>
    <row x14ac:dyDescent="0.25" r="391" customHeight="1" ht="18.75">
      <c r="A391" s="1"/>
      <c r="B391" s="2"/>
      <c r="C391" s="2"/>
      <c r="D391" s="2"/>
      <c r="E391" s="2"/>
      <c r="F391" s="3"/>
      <c r="G391" s="4"/>
      <c r="H391" s="5"/>
      <c r="I391" s="4"/>
      <c r="J391" s="5"/>
      <c r="K391" s="1"/>
      <c r="L391" s="7"/>
      <c r="M391" s="1"/>
      <c r="N391" s="1"/>
      <c r="O391" s="1"/>
      <c r="P391" s="1"/>
      <c r="Q391" s="1"/>
      <c r="R391" s="1"/>
      <c r="S391" s="1"/>
    </row>
    <row x14ac:dyDescent="0.25" r="392" customHeight="1" ht="18.75">
      <c r="A392" s="1"/>
      <c r="B392" s="2"/>
      <c r="C392" s="2"/>
      <c r="D392" s="2"/>
      <c r="E392" s="2"/>
      <c r="F392" s="3"/>
      <c r="G392" s="4"/>
      <c r="H392" s="5"/>
      <c r="I392" s="4"/>
      <c r="J392" s="5"/>
      <c r="K392" s="1"/>
      <c r="L392" s="7"/>
      <c r="M392" s="1"/>
      <c r="N392" s="1"/>
      <c r="O392" s="1"/>
      <c r="P392" s="1"/>
      <c r="Q392" s="1"/>
      <c r="R392" s="1"/>
      <c r="S392" s="1"/>
    </row>
    <row x14ac:dyDescent="0.25" r="393" customHeight="1" ht="18.75">
      <c r="A393" s="1"/>
      <c r="B393" s="2"/>
      <c r="C393" s="2"/>
      <c r="D393" s="2"/>
      <c r="E393" s="2"/>
      <c r="F393" s="3"/>
      <c r="G393" s="4"/>
      <c r="H393" s="5"/>
      <c r="I393" s="4"/>
      <c r="J393" s="5"/>
      <c r="K393" s="1"/>
      <c r="L393" s="7"/>
      <c r="M393" s="1"/>
      <c r="N393" s="1"/>
      <c r="O393" s="1"/>
      <c r="P393" s="1"/>
      <c r="Q393" s="1"/>
      <c r="R393" s="1"/>
      <c r="S393" s="1"/>
    </row>
    <row x14ac:dyDescent="0.25" r="394" customHeight="1" ht="18.75">
      <c r="A394" s="1"/>
      <c r="B394" s="2"/>
      <c r="C394" s="2"/>
      <c r="D394" s="2"/>
      <c r="E394" s="2"/>
      <c r="F394" s="3"/>
      <c r="G394" s="4"/>
      <c r="H394" s="5"/>
      <c r="I394" s="4"/>
      <c r="J394" s="5"/>
      <c r="K394" s="1"/>
      <c r="L394" s="7"/>
      <c r="M394" s="1"/>
      <c r="N394" s="1"/>
      <c r="O394" s="1"/>
      <c r="P394" s="1"/>
      <c r="Q394" s="1"/>
      <c r="R394" s="1"/>
      <c r="S394" s="1"/>
    </row>
    <row x14ac:dyDescent="0.25" r="395" customHeight="1" ht="18.75">
      <c r="A395" s="1"/>
      <c r="B395" s="2"/>
      <c r="C395" s="2"/>
      <c r="D395" s="2"/>
      <c r="E395" s="2"/>
      <c r="F395" s="3"/>
      <c r="G395" s="4"/>
      <c r="H395" s="5"/>
      <c r="I395" s="4"/>
      <c r="J395" s="5"/>
      <c r="K395" s="1"/>
      <c r="L395" s="7"/>
      <c r="M395" s="1"/>
      <c r="N395" s="1"/>
      <c r="O395" s="1"/>
      <c r="P395" s="1"/>
      <c r="Q395" s="1"/>
      <c r="R395" s="1"/>
      <c r="S395" s="1"/>
    </row>
    <row x14ac:dyDescent="0.25" r="396" customHeight="1" ht="18.75">
      <c r="A396" s="1"/>
      <c r="B396" s="2"/>
      <c r="C396" s="2"/>
      <c r="D396" s="2"/>
      <c r="E396" s="2"/>
      <c r="F396" s="3"/>
      <c r="G396" s="4"/>
      <c r="H396" s="5"/>
      <c r="I396" s="4"/>
      <c r="J396" s="5"/>
      <c r="K396" s="1"/>
      <c r="L396" s="7"/>
      <c r="M396" s="1"/>
      <c r="N396" s="1"/>
      <c r="O396" s="1"/>
      <c r="P396" s="1"/>
      <c r="Q396" s="1"/>
      <c r="R396" s="1"/>
      <c r="S396" s="1"/>
    </row>
    <row x14ac:dyDescent="0.25" r="397" customHeight="1" ht="32.25">
      <c r="A397" s="1"/>
      <c r="B397" s="2"/>
      <c r="C397" s="2"/>
      <c r="D397" s="2"/>
      <c r="E397" s="2"/>
      <c r="F397" s="3"/>
      <c r="G397" s="4"/>
      <c r="H397" s="5"/>
      <c r="I397" s="4"/>
      <c r="J397" s="5"/>
      <c r="K397" s="1"/>
      <c r="L397" s="7"/>
      <c r="M397" s="1"/>
      <c r="N397" s="1"/>
      <c r="O397" s="1"/>
      <c r="P397" s="1"/>
      <c r="Q397" s="1"/>
      <c r="R397" s="1"/>
      <c r="S397" s="1"/>
    </row>
    <row x14ac:dyDescent="0.25" r="398" customHeight="1" ht="18.75">
      <c r="A398" s="1"/>
      <c r="B398" s="2"/>
      <c r="C398" s="2"/>
      <c r="D398" s="2"/>
      <c r="E398" s="2"/>
      <c r="F398" s="3"/>
      <c r="G398" s="4"/>
      <c r="H398" s="5"/>
      <c r="I398" s="4"/>
      <c r="J398" s="5"/>
      <c r="K398" s="1"/>
      <c r="L398" s="7"/>
      <c r="M398" s="1"/>
      <c r="N398" s="1"/>
      <c r="O398" s="1"/>
      <c r="P398" s="1"/>
      <c r="Q398" s="1"/>
      <c r="R398" s="1"/>
      <c r="S398" s="1"/>
    </row>
    <row x14ac:dyDescent="0.25" r="399" customHeight="1" ht="68.25">
      <c r="A399" s="1"/>
      <c r="B399" s="2"/>
      <c r="C399" s="2"/>
      <c r="D399" s="2"/>
      <c r="E399" s="2"/>
      <c r="F399" s="3"/>
      <c r="G399" s="4"/>
      <c r="H399" s="5"/>
      <c r="I399" s="4"/>
      <c r="J399" s="5"/>
      <c r="K399" s="1"/>
      <c r="L399" s="7"/>
      <c r="M399" s="1"/>
      <c r="N399" s="1"/>
      <c r="O399" s="1"/>
      <c r="P399" s="1"/>
      <c r="Q399" s="1"/>
      <c r="R399" s="1"/>
      <c r="S399" s="1"/>
    </row>
    <row x14ac:dyDescent="0.25" r="400" customHeight="1" ht="3">
      <c r="A400" s="1"/>
      <c r="B400" s="2"/>
      <c r="C400" s="2"/>
      <c r="D400" s="2"/>
      <c r="E400" s="2"/>
      <c r="F400" s="3"/>
      <c r="G400" s="4"/>
      <c r="H400" s="5"/>
      <c r="I400" s="4"/>
      <c r="J400" s="5"/>
      <c r="K400" s="1"/>
      <c r="L400" s="7"/>
      <c r="M400" s="1"/>
      <c r="N400" s="1"/>
      <c r="O400" s="1"/>
      <c r="P400" s="1"/>
      <c r="Q400" s="1"/>
      <c r="R400" s="1"/>
      <c r="S400" s="1"/>
    </row>
    <row x14ac:dyDescent="0.25" r="401" customHeight="1" ht="18.75">
      <c r="A401" s="1"/>
      <c r="B401" s="2"/>
      <c r="C401" s="2"/>
      <c r="D401" s="2"/>
      <c r="E401" s="2"/>
      <c r="F401" s="3"/>
      <c r="G401" s="4"/>
      <c r="H401" s="5"/>
      <c r="I401" s="4"/>
      <c r="J401" s="5"/>
      <c r="K401" s="1"/>
      <c r="L401" s="7"/>
      <c r="M401" s="1"/>
      <c r="N401" s="1"/>
      <c r="O401" s="1"/>
      <c r="P401" s="1"/>
      <c r="Q401" s="1"/>
      <c r="R401" s="1"/>
      <c r="S401" s="1"/>
    </row>
    <row x14ac:dyDescent="0.25" r="402" customHeight="1" ht="18.75">
      <c r="A402" s="1"/>
      <c r="B402" s="2"/>
      <c r="C402" s="2"/>
      <c r="D402" s="2"/>
      <c r="E402" s="2"/>
      <c r="F402" s="3"/>
      <c r="G402" s="4"/>
      <c r="H402" s="5"/>
      <c r="I402" s="4"/>
      <c r="J402" s="5"/>
      <c r="K402" s="1"/>
      <c r="L402" s="7"/>
      <c r="M402" s="1"/>
      <c r="N402" s="1"/>
      <c r="O402" s="1"/>
      <c r="P402" s="1"/>
      <c r="Q402" s="1"/>
      <c r="R402" s="1"/>
      <c r="S402" s="1"/>
    </row>
    <row x14ac:dyDescent="0.25" r="403" customHeight="1" ht="18.75">
      <c r="A403" s="1"/>
      <c r="B403" s="8" t="s">
        <v>0</v>
      </c>
      <c r="C403" s="9"/>
      <c r="D403" s="9"/>
      <c r="E403" s="9"/>
      <c r="F403" s="10"/>
      <c r="G403" s="4"/>
      <c r="H403" s="5"/>
      <c r="I403" s="4"/>
      <c r="J403" s="5"/>
      <c r="K403" s="1"/>
      <c r="L403" s="7"/>
      <c r="M403" s="1"/>
      <c r="N403" s="1"/>
      <c r="O403" s="1"/>
      <c r="P403" s="1"/>
      <c r="Q403" s="1"/>
      <c r="R403" s="1"/>
      <c r="S403" s="1"/>
    </row>
    <row x14ac:dyDescent="0.25" r="404" customHeight="1" ht="3.75">
      <c r="A404" s="1"/>
      <c r="B404" s="2"/>
      <c r="C404" s="2"/>
      <c r="D404" s="2"/>
      <c r="E404" s="2"/>
      <c r="F404" s="3"/>
      <c r="G404" s="4"/>
      <c r="H404" s="5"/>
      <c r="I404" s="4"/>
      <c r="J404" s="5"/>
      <c r="K404" s="1"/>
      <c r="L404" s="7"/>
      <c r="M404" s="1"/>
      <c r="N404" s="1"/>
      <c r="O404" s="1"/>
      <c r="P404" s="1"/>
      <c r="Q404" s="1"/>
      <c r="R404" s="1"/>
      <c r="S404" s="1"/>
    </row>
    <row x14ac:dyDescent="0.25" r="405" customHeight="1" ht="17.25">
      <c r="A405" s="1"/>
      <c r="B405" s="11" t="s">
        <v>1</v>
      </c>
      <c r="C405" s="12"/>
      <c r="D405" s="12"/>
      <c r="E405" s="12"/>
      <c r="F405" s="13">
        <f>+'Simulador - Datos personales'!E7:F7</f>
        <v>25569.041666666668</v>
      </c>
      <c r="G405" s="14">
        <v>0</v>
      </c>
      <c r="H405" s="5"/>
      <c r="I405" s="4"/>
      <c r="J405" s="5"/>
      <c r="K405" s="1"/>
      <c r="L405" s="7"/>
      <c r="M405" s="1"/>
      <c r="N405" s="1"/>
      <c r="O405" s="1"/>
      <c r="P405" s="1"/>
      <c r="Q405" s="1"/>
      <c r="R405" s="1"/>
      <c r="S405" s="1"/>
    </row>
    <row x14ac:dyDescent="0.25" r="406" customHeight="1" ht="17.25">
      <c r="A406" s="1"/>
      <c r="B406" s="15" t="s">
        <v>2</v>
      </c>
      <c r="C406" s="16"/>
      <c r="D406" s="16"/>
      <c r="E406" s="16"/>
      <c r="F406" s="17">
        <f>+'Simulador - Datos personales'!F9</f>
      </c>
      <c r="G406" s="18"/>
      <c r="H406" s="5"/>
      <c r="I406" s="4"/>
      <c r="J406" s="5"/>
      <c r="K406" s="1"/>
      <c r="L406" s="7"/>
      <c r="M406" s="1"/>
      <c r="N406" s="1"/>
      <c r="O406" s="1"/>
      <c r="P406" s="1"/>
      <c r="Q406" s="1"/>
      <c r="R406" s="1"/>
      <c r="S406" s="1"/>
    </row>
    <row x14ac:dyDescent="0.25" r="407" customHeight="1" ht="17.25">
      <c r="A407" s="1"/>
      <c r="B407" s="15" t="s">
        <v>3</v>
      </c>
      <c r="C407" s="16"/>
      <c r="D407" s="16"/>
      <c r="E407" s="16"/>
      <c r="F407" s="19">
        <f>+'Simulador - Datos personales'!E11:F11</f>
      </c>
      <c r="G407" s="14">
        <v>0</v>
      </c>
      <c r="H407" s="5"/>
      <c r="I407" s="4"/>
      <c r="J407" s="5"/>
      <c r="K407" s="1"/>
      <c r="L407" s="7"/>
      <c r="M407" s="1"/>
      <c r="N407" s="1"/>
      <c r="O407" s="1"/>
      <c r="P407" s="1"/>
      <c r="Q407" s="1"/>
      <c r="R407" s="1"/>
      <c r="S407" s="1"/>
    </row>
    <row x14ac:dyDescent="0.25" r="408" customHeight="1" ht="17.25">
      <c r="A408" s="1"/>
      <c r="B408" s="15" t="s">
        <v>4</v>
      </c>
      <c r="C408" s="16"/>
      <c r="D408" s="16"/>
      <c r="E408" s="16"/>
      <c r="F408" s="17">
        <f>+'Simulador - Datos personales'!E13:F13</f>
      </c>
      <c r="G408" s="14">
        <v>0</v>
      </c>
      <c r="H408" s="5"/>
      <c r="I408" s="4"/>
      <c r="J408" s="5"/>
      <c r="K408" s="1"/>
      <c r="L408" s="7"/>
      <c r="M408" s="1"/>
      <c r="N408" s="1"/>
      <c r="O408" s="1"/>
      <c r="P408" s="1"/>
      <c r="Q408" s="1"/>
      <c r="R408" s="1"/>
      <c r="S408" s="1"/>
    </row>
    <row x14ac:dyDescent="0.25" r="409" customHeight="1" ht="17.25">
      <c r="A409" s="1"/>
      <c r="B409" s="15" t="s">
        <v>5</v>
      </c>
      <c r="C409" s="16"/>
      <c r="D409" s="16"/>
      <c r="E409" s="16"/>
      <c r="F409" s="17">
        <f>+'Simulador - Datos personales'!E15:F15</f>
      </c>
      <c r="G409" s="14">
        <v>0</v>
      </c>
      <c r="H409" s="5"/>
      <c r="I409" s="4"/>
      <c r="J409" s="5"/>
      <c r="K409" s="1"/>
      <c r="L409" s="7"/>
      <c r="M409" s="1"/>
      <c r="N409" s="1"/>
      <c r="O409" s="1"/>
      <c r="P409" s="1"/>
      <c r="Q409" s="1"/>
      <c r="R409" s="1"/>
      <c r="S409" s="1"/>
    </row>
    <row x14ac:dyDescent="0.25" r="410" customHeight="1" ht="17.25">
      <c r="A410" s="1"/>
      <c r="B410" s="20" t="s">
        <v>6</v>
      </c>
      <c r="C410" s="21"/>
      <c r="D410" s="21"/>
      <c r="E410" s="21"/>
      <c r="F410" s="22">
        <f>IFERROR(+'Simulador - Datos personales'!E18+'Simulador - Datos personales'!E19/12,"-")</f>
      </c>
      <c r="G410" s="18"/>
      <c r="H410" s="5"/>
      <c r="I410" s="4"/>
      <c r="J410" s="5"/>
      <c r="K410" s="1"/>
      <c r="L410" s="7"/>
      <c r="M410" s="1"/>
      <c r="N410" s="1"/>
      <c r="O410" s="1"/>
      <c r="P410" s="1"/>
      <c r="Q410" s="1"/>
      <c r="R410" s="1"/>
      <c r="S410" s="1"/>
    </row>
    <row x14ac:dyDescent="0.25" r="411" customHeight="1" ht="14.25">
      <c r="A411" s="1"/>
      <c r="B411" s="2"/>
      <c r="C411" s="2"/>
      <c r="D411" s="2"/>
      <c r="E411" s="2"/>
      <c r="F411" s="3"/>
      <c r="G411" s="4"/>
      <c r="H411" s="5"/>
      <c r="I411" s="4"/>
      <c r="J411" s="5"/>
      <c r="K411" s="1"/>
      <c r="L411" s="7"/>
      <c r="M411" s="1"/>
      <c r="N411" s="1"/>
      <c r="O411" s="1"/>
      <c r="P411" s="1"/>
      <c r="Q411" s="1"/>
      <c r="R411" s="1"/>
      <c r="S411" s="1"/>
    </row>
    <row x14ac:dyDescent="0.25" r="412" customHeight="1" ht="15" customFormat="1" s="23">
      <c r="A412" s="24"/>
      <c r="B412" s="25" t="s">
        <v>7</v>
      </c>
      <c r="C412" s="25"/>
      <c r="D412" s="25"/>
      <c r="E412" s="25"/>
      <c r="F412" s="26"/>
      <c r="G412" s="27"/>
      <c r="H412" s="28"/>
      <c r="I412" s="27"/>
      <c r="J412" s="28"/>
      <c r="K412" s="24"/>
      <c r="L412" s="29"/>
      <c r="M412" s="24"/>
      <c r="N412" s="24"/>
      <c r="O412" s="24"/>
      <c r="P412" s="24"/>
      <c r="Q412" s="24"/>
      <c r="R412" s="24"/>
      <c r="S412" s="24"/>
    </row>
    <row x14ac:dyDescent="0.25" r="413" customHeight="1" ht="3.75">
      <c r="A413" s="1"/>
      <c r="B413" s="30"/>
      <c r="C413" s="30"/>
      <c r="D413" s="30"/>
      <c r="E413" s="30"/>
      <c r="F413" s="31"/>
      <c r="G413" s="32"/>
      <c r="H413" s="33"/>
      <c r="I413" s="4"/>
      <c r="J413" s="5"/>
      <c r="K413" s="1"/>
      <c r="L413" s="7"/>
      <c r="M413" s="1"/>
      <c r="N413" s="1"/>
      <c r="O413" s="1"/>
      <c r="P413" s="1"/>
      <c r="Q413" s="1"/>
      <c r="R413" s="1"/>
      <c r="S413" s="1"/>
    </row>
    <row x14ac:dyDescent="0.25" r="414" customHeight="1" ht="17.25">
      <c r="A414" s="1"/>
      <c r="B414" s="34" t="s">
        <v>8</v>
      </c>
      <c r="C414" s="35"/>
      <c r="D414" s="35"/>
      <c r="E414" s="35"/>
      <c r="F414" s="36"/>
      <c r="G414" s="37"/>
      <c r="H414" s="38">
        <f>+'Simulador - 1º Pilar'!G10</f>
      </c>
      <c r="I414" s="39"/>
      <c r="J414" s="40"/>
      <c r="K414" s="1"/>
      <c r="L414" s="7"/>
      <c r="M414" s="1"/>
      <c r="N414" s="1"/>
      <c r="O414" s="1"/>
      <c r="P414" s="1"/>
      <c r="Q414" s="1"/>
      <c r="R414" s="1"/>
      <c r="S414" s="1"/>
    </row>
    <row x14ac:dyDescent="0.25" r="415" customHeight="1" ht="17.25">
      <c r="A415" s="1"/>
      <c r="B415" s="41" t="s">
        <v>9</v>
      </c>
      <c r="C415" s="16"/>
      <c r="D415" s="16"/>
      <c r="E415" s="16"/>
      <c r="F415" s="42"/>
      <c r="G415" s="43"/>
      <c r="H415" s="44">
        <f>+'Simulador - 1º Pilar'!G20</f>
        <v>25569.041666666668</v>
      </c>
      <c r="I415" s="44"/>
      <c r="J415" s="45"/>
      <c r="K415" s="1"/>
      <c r="L415" s="7"/>
      <c r="M415" s="1"/>
      <c r="N415" s="1"/>
      <c r="O415" s="1"/>
      <c r="P415" s="1"/>
      <c r="Q415" s="1"/>
      <c r="R415" s="1"/>
      <c r="S415" s="1"/>
    </row>
    <row x14ac:dyDescent="0.25" r="416" customHeight="1" ht="17.25">
      <c r="A416" s="1"/>
      <c r="B416" s="41" t="s">
        <v>10</v>
      </c>
      <c r="C416" s="16"/>
      <c r="D416" s="16"/>
      <c r="E416" s="16"/>
      <c r="F416" s="42"/>
      <c r="G416" s="43"/>
      <c r="H416" s="44"/>
      <c r="I416" s="46">
        <f>+'Simulador - 1º Pilar'!G19</f>
      </c>
      <c r="J416" s="45"/>
      <c r="K416" s="1"/>
      <c r="L416" s="7"/>
      <c r="M416" s="1"/>
      <c r="N416" s="1"/>
      <c r="O416" s="1"/>
      <c r="P416" s="1"/>
      <c r="Q416" s="1"/>
      <c r="R416" s="1"/>
      <c r="S416" s="1"/>
    </row>
    <row x14ac:dyDescent="0.25" r="417" customHeight="1" ht="17.25">
      <c r="A417" s="1"/>
      <c r="B417" s="41" t="s">
        <v>11</v>
      </c>
      <c r="C417" s="16"/>
      <c r="D417" s="16"/>
      <c r="E417" s="16"/>
      <c r="F417" s="42"/>
      <c r="G417" s="43"/>
      <c r="H417" s="46">
        <f>+'Simulador - 1º Pilar'!G21</f>
      </c>
      <c r="I417" s="46"/>
      <c r="J417" s="47"/>
      <c r="K417" s="1"/>
      <c r="L417" s="7"/>
      <c r="M417" s="1"/>
      <c r="N417" s="1"/>
      <c r="O417" s="1"/>
      <c r="P417" s="1"/>
      <c r="Q417" s="1"/>
      <c r="R417" s="1"/>
      <c r="S417" s="1"/>
    </row>
    <row x14ac:dyDescent="0.25" r="418" customHeight="1" ht="17.25">
      <c r="A418" s="1"/>
      <c r="B418" s="41" t="s">
        <v>12</v>
      </c>
      <c r="C418" s="16"/>
      <c r="D418" s="16"/>
      <c r="E418" s="16"/>
      <c r="F418" s="42"/>
      <c r="G418" s="43"/>
      <c r="H418" s="48">
        <f>+'Simulador - 1º Pilar'!G22</f>
      </c>
      <c r="I418" s="48"/>
      <c r="J418" s="49"/>
      <c r="K418" s="1"/>
      <c r="L418" s="7"/>
      <c r="M418" s="1"/>
      <c r="N418" s="1"/>
      <c r="O418" s="1"/>
      <c r="P418" s="1"/>
      <c r="Q418" s="1"/>
      <c r="R418" s="1"/>
      <c r="S418" s="1"/>
    </row>
    <row x14ac:dyDescent="0.25" r="419" customHeight="1" ht="17.25">
      <c r="A419" s="1"/>
      <c r="B419" s="50">
        <f>+IF(H414="Jubilación prolongada","Porcentaje adicional por prolongar la jubilación:","Porcentaje reductor por jubilación anticipada:")</f>
      </c>
      <c r="C419" s="16"/>
      <c r="D419" s="16"/>
      <c r="E419" s="16"/>
      <c r="F419" s="42"/>
      <c r="G419" s="43"/>
      <c r="H419" s="48">
        <f>+IF(AND(B419="Porcentaje adicional por prolongar la jubilación:",'Simulador - 1º Pilar'!H94="Complemento vitalicio"),PJSS!B35,IF(AND(B419="Porcentaje adicional por prolongar la jubilación:",'Simulador - 1º Pilar'!H94="Pago único"),"No aplica",IF(AND(H414="Jubilación anticipada",PJSS!B47=PJSS!B46),PJSS!B50,IF(AND(H414="Jubilación anticipada",PJSS!B47=PJSS!B45,PJSS!B52&gt;0),PJSS!B52,0.5%*PJSS!F7))))</f>
      </c>
      <c r="I419" s="48"/>
      <c r="J419" s="49"/>
      <c r="K419" s="1" t="s">
        <v>13</v>
      </c>
      <c r="L419" s="7"/>
      <c r="M419" s="1"/>
      <c r="N419" s="1"/>
      <c r="O419" s="1"/>
      <c r="P419" s="1"/>
      <c r="Q419" s="1"/>
      <c r="R419" s="1"/>
      <c r="S419" s="1"/>
    </row>
    <row x14ac:dyDescent="0.25" r="420" customHeight="1" ht="17.25">
      <c r="A420" s="1"/>
      <c r="B420" s="41" t="s">
        <v>14</v>
      </c>
      <c r="C420" s="16"/>
      <c r="D420" s="16"/>
      <c r="E420" s="16"/>
      <c r="F420" s="42"/>
      <c r="G420" s="43"/>
      <c r="H420" s="48">
        <f>+IF(AND('Simulador - 1º Pilar'!H94="Pago único",H414="Jubilación prolongada"),PJSS!B78,"No Aplica")</f>
      </c>
      <c r="I420" s="46"/>
      <c r="J420" s="47"/>
      <c r="K420" s="1"/>
      <c r="L420" s="7"/>
      <c r="M420" s="1"/>
      <c r="N420" s="1"/>
      <c r="O420" s="1"/>
      <c r="P420" s="1"/>
      <c r="Q420" s="1"/>
      <c r="R420" s="1"/>
      <c r="S420" s="1"/>
    </row>
    <row x14ac:dyDescent="0.25" r="421" customHeight="1" ht="25.5">
      <c r="A421" s="1"/>
      <c r="B421" s="51"/>
      <c r="C421" s="2"/>
      <c r="D421" s="2"/>
      <c r="E421" s="2"/>
      <c r="F421" s="31"/>
      <c r="G421" s="32"/>
      <c r="H421" s="52" t="s">
        <v>15</v>
      </c>
      <c r="I421" s="53" t="s">
        <v>16</v>
      </c>
      <c r="J421" s="54" t="s">
        <v>17</v>
      </c>
      <c r="K421" s="1"/>
      <c r="L421" s="7"/>
      <c r="M421" s="1"/>
      <c r="N421" s="1"/>
      <c r="O421" s="1"/>
      <c r="P421" s="1"/>
      <c r="Q421" s="1"/>
      <c r="R421" s="1"/>
      <c r="S421" s="1"/>
    </row>
    <row x14ac:dyDescent="0.25" r="422" customHeight="1" ht="18.75">
      <c r="A422" s="1"/>
      <c r="B422" s="55" t="s">
        <v>18</v>
      </c>
      <c r="C422" s="56"/>
      <c r="D422" s="56"/>
      <c r="E422" s="56"/>
      <c r="F422" s="57"/>
      <c r="G422" s="58"/>
      <c r="H422" s="58">
        <f>+'Simulador - RESUMEN'!J12</f>
      </c>
      <c r="I422" s="58">
        <f>+'Simulador - RESUMEN'!L12</f>
      </c>
      <c r="J422" s="59">
        <f>+'Simulador - RESUMEN'!N12</f>
      </c>
      <c r="K422" s="1"/>
      <c r="L422" s="7"/>
      <c r="M422" s="1"/>
      <c r="N422" s="1"/>
      <c r="O422" s="1"/>
      <c r="P422" s="1"/>
      <c r="Q422" s="1"/>
      <c r="R422" s="1"/>
      <c r="S422" s="1"/>
    </row>
    <row x14ac:dyDescent="0.25" r="423" customHeight="1" ht="3.75">
      <c r="A423" s="1"/>
      <c r="B423" s="60"/>
      <c r="C423" s="60"/>
      <c r="D423" s="60"/>
      <c r="E423" s="60"/>
      <c r="F423" s="61"/>
      <c r="G423" s="62"/>
      <c r="H423" s="63"/>
      <c r="I423" s="63"/>
      <c r="J423" s="64"/>
      <c r="K423" s="1"/>
      <c r="L423" s="7"/>
      <c r="M423" s="1"/>
      <c r="N423" s="1"/>
      <c r="O423" s="1"/>
      <c r="P423" s="1"/>
      <c r="Q423" s="1"/>
      <c r="R423" s="1"/>
      <c r="S423" s="1"/>
    </row>
    <row x14ac:dyDescent="0.25" r="424" customHeight="1" ht="18.75">
      <c r="A424" s="1"/>
      <c r="B424" s="65" t="s">
        <v>19</v>
      </c>
      <c r="C424" s="65"/>
      <c r="D424" s="65"/>
      <c r="E424" s="65"/>
      <c r="F424" s="66"/>
      <c r="G424" s="67"/>
      <c r="H424" s="68">
        <f>+H422</f>
      </c>
      <c r="I424" s="68">
        <f>+I422</f>
      </c>
      <c r="J424" s="69">
        <f>+J422</f>
      </c>
      <c r="K424" s="1"/>
      <c r="L424" s="7"/>
      <c r="M424" s="1"/>
      <c r="N424" s="1"/>
      <c r="O424" s="1"/>
      <c r="P424" s="1"/>
      <c r="Q424" s="1"/>
      <c r="R424" s="1"/>
      <c r="S424" s="1"/>
    </row>
    <row x14ac:dyDescent="0.25" r="425" customHeight="1" ht="5.1">
      <c r="A425" s="1"/>
      <c r="B425" s="2"/>
      <c r="C425" s="2"/>
      <c r="D425" s="2"/>
      <c r="E425" s="2"/>
      <c r="F425" s="31"/>
      <c r="G425" s="32"/>
      <c r="H425" s="33"/>
      <c r="I425" s="4"/>
      <c r="J425" s="5"/>
      <c r="K425" s="1"/>
      <c r="L425" s="7"/>
      <c r="M425" s="1"/>
      <c r="N425" s="1"/>
      <c r="O425" s="1"/>
      <c r="P425" s="1"/>
      <c r="Q425" s="1"/>
      <c r="R425" s="1"/>
      <c r="S425" s="1"/>
    </row>
    <row x14ac:dyDescent="0.25" r="426" customHeight="1" ht="11.25" customFormat="1" s="23">
      <c r="A426" s="24"/>
      <c r="B426" s="70" t="s">
        <v>20</v>
      </c>
      <c r="C426" s="70"/>
      <c r="D426" s="70"/>
      <c r="E426" s="70"/>
      <c r="F426" s="71"/>
      <c r="G426" s="72"/>
      <c r="H426" s="73"/>
      <c r="I426" s="72"/>
      <c r="J426" s="73"/>
      <c r="K426" s="24"/>
      <c r="L426" s="29"/>
      <c r="M426" s="24"/>
      <c r="N426" s="24"/>
      <c r="O426" s="24"/>
      <c r="P426" s="24"/>
      <c r="Q426" s="24"/>
      <c r="R426" s="24"/>
      <c r="S426" s="24"/>
    </row>
    <row x14ac:dyDescent="0.25" r="427" customHeight="1" ht="3.6" customFormat="1" s="23">
      <c r="A427" s="24"/>
      <c r="B427" s="30"/>
      <c r="C427" s="30"/>
      <c r="D427" s="30"/>
      <c r="E427" s="30"/>
      <c r="F427" s="74"/>
      <c r="G427" s="75"/>
      <c r="H427" s="76"/>
      <c r="I427" s="75"/>
      <c r="J427" s="76"/>
      <c r="K427" s="24"/>
      <c r="L427" s="29"/>
      <c r="M427" s="24"/>
      <c r="N427" s="24"/>
      <c r="O427" s="24"/>
      <c r="P427" s="24"/>
      <c r="Q427" s="24"/>
      <c r="R427" s="24"/>
      <c r="S427" s="24"/>
    </row>
    <row x14ac:dyDescent="0.25" r="428" customHeight="1" ht="16.5">
      <c r="A428" s="1"/>
      <c r="B428" s="77" t="s">
        <v>21</v>
      </c>
      <c r="C428" s="78"/>
      <c r="D428" s="78"/>
      <c r="E428" s="78"/>
      <c r="F428" s="79"/>
      <c r="G428" s="80"/>
      <c r="H428" s="81">
        <f>IFERROR('Simulador - 2º Pilar'!G81,"-")</f>
      </c>
      <c r="I428" s="81"/>
      <c r="J428" s="82"/>
      <c r="K428" s="1"/>
      <c r="L428" s="7"/>
      <c r="M428" s="1"/>
      <c r="N428" s="1"/>
      <c r="O428" s="1"/>
      <c r="P428" s="1"/>
      <c r="Q428" s="1"/>
      <c r="R428" s="1"/>
      <c r="S428" s="1"/>
    </row>
    <row x14ac:dyDescent="0.25" r="429" customHeight="1" ht="16.5">
      <c r="A429" s="1"/>
      <c r="B429" s="83">
        <f>"Fondo acumulado a "&amp;TEXT(L439,"DD/MM/AA")&amp;":"</f>
      </c>
      <c r="C429" s="16"/>
      <c r="D429" s="16"/>
      <c r="E429" s="16"/>
      <c r="F429" s="42"/>
      <c r="G429" s="43"/>
      <c r="H429" s="46">
        <f>IFERROR('Aportaciones Flex'!Q4,"-")</f>
      </c>
      <c r="I429" s="46"/>
      <c r="J429" s="84"/>
      <c r="K429" s="1"/>
      <c r="L429" s="7"/>
      <c r="M429" s="1"/>
      <c r="N429" s="1"/>
      <c r="O429" s="1"/>
      <c r="P429" s="1"/>
      <c r="Q429" s="1"/>
      <c r="R429" s="1"/>
      <c r="S429" s="1"/>
    </row>
    <row x14ac:dyDescent="0.25" r="430" customHeight="1" ht="16.5">
      <c r="A430" s="1"/>
      <c r="B430" s="85" t="s">
        <v>22</v>
      </c>
      <c r="C430" s="16"/>
      <c r="D430" s="16"/>
      <c r="E430" s="16"/>
      <c r="F430" s="42"/>
      <c r="G430" s="43"/>
      <c r="H430" s="46">
        <f>IFERROR('Aportaciones Flex'!J5,"-")</f>
      </c>
      <c r="I430" s="46"/>
      <c r="J430" s="84"/>
      <c r="K430" s="1"/>
      <c r="L430" s="7"/>
      <c r="M430" s="1"/>
      <c r="N430" s="1"/>
      <c r="O430" s="1"/>
      <c r="P430" s="1"/>
      <c r="Q430" s="1"/>
      <c r="R430" s="1"/>
      <c r="S430" s="1"/>
    </row>
    <row x14ac:dyDescent="0.25" r="431" customHeight="1" ht="23.100000000000005">
      <c r="A431" s="1"/>
      <c r="B431" s="86"/>
      <c r="C431" s="2"/>
      <c r="D431" s="2"/>
      <c r="E431" s="2"/>
      <c r="F431" s="3"/>
      <c r="G431" s="4"/>
      <c r="H431" s="52" t="s">
        <v>15</v>
      </c>
      <c r="I431" s="53" t="s">
        <v>16</v>
      </c>
      <c r="J431" s="87" t="s">
        <v>17</v>
      </c>
      <c r="K431" s="1"/>
      <c r="L431" s="7"/>
      <c r="M431" s="1"/>
      <c r="N431" s="1"/>
      <c r="O431" s="1"/>
      <c r="P431" s="1"/>
      <c r="Q431" s="1"/>
      <c r="R431" s="1"/>
      <c r="S431" s="1"/>
    </row>
    <row x14ac:dyDescent="0.25" r="432" customHeight="1" ht="16.5">
      <c r="A432" s="1"/>
      <c r="B432" s="88" t="s">
        <v>23</v>
      </c>
      <c r="C432" s="89"/>
      <c r="D432" s="89"/>
      <c r="E432" s="89"/>
      <c r="F432" s="90"/>
      <c r="G432" s="91"/>
      <c r="H432" s="91">
        <f>IFERROR(H430/'Renta Vitalicia'!H5,"-")</f>
      </c>
      <c r="I432" s="91">
        <f>IFERROR(H432/12,"-")</f>
      </c>
      <c r="J432" s="92">
        <f>'Simulador - RESUMEN'!N28</f>
      </c>
      <c r="K432" s="1"/>
      <c r="L432" s="7"/>
      <c r="M432" s="1"/>
      <c r="N432" s="1"/>
      <c r="O432" s="1"/>
      <c r="P432" s="1"/>
      <c r="Q432" s="1"/>
      <c r="R432" s="1"/>
      <c r="S432" s="1"/>
    </row>
    <row x14ac:dyDescent="0.25" r="433" customHeight="1" ht="4.15">
      <c r="A433" s="1"/>
      <c r="B433" s="2"/>
      <c r="C433" s="2"/>
      <c r="D433" s="2"/>
      <c r="E433" s="2"/>
      <c r="F433" s="3"/>
      <c r="G433" s="4"/>
      <c r="H433" s="5"/>
      <c r="I433" s="4"/>
      <c r="J433" s="5"/>
      <c r="K433" s="1"/>
      <c r="L433" s="7"/>
      <c r="M433" s="1"/>
      <c r="N433" s="1"/>
      <c r="O433" s="1"/>
      <c r="P433" s="1"/>
      <c r="Q433" s="1"/>
      <c r="R433" s="1"/>
      <c r="S433" s="1"/>
    </row>
    <row x14ac:dyDescent="0.25" r="434" customHeight="1" ht="15.6">
      <c r="A434" s="1"/>
      <c r="B434" s="93" t="s">
        <v>24</v>
      </c>
      <c r="C434" s="93"/>
      <c r="D434" s="93"/>
      <c r="E434" s="93"/>
      <c r="F434" s="94"/>
      <c r="G434" s="95"/>
      <c r="H434" s="96">
        <f>H432</f>
      </c>
      <c r="I434" s="96">
        <f>I432</f>
      </c>
      <c r="J434" s="97">
        <f>J432</f>
      </c>
      <c r="K434" s="1"/>
      <c r="L434" s="7"/>
      <c r="M434" s="1"/>
      <c r="N434" s="1"/>
      <c r="O434" s="1"/>
      <c r="P434" s="1"/>
      <c r="Q434" s="1"/>
      <c r="R434" s="1"/>
      <c r="S434" s="1"/>
    </row>
    <row x14ac:dyDescent="0.25" r="435" customHeight="1" ht="7.150000000000001">
      <c r="A435" s="1"/>
      <c r="B435" s="2"/>
      <c r="C435" s="2"/>
      <c r="D435" s="2"/>
      <c r="E435" s="2"/>
      <c r="F435" s="3"/>
      <c r="G435" s="4"/>
      <c r="H435" s="5"/>
      <c r="I435" s="4"/>
      <c r="J435" s="5"/>
      <c r="K435" s="1"/>
      <c r="L435" s="7"/>
      <c r="M435" s="1"/>
      <c r="N435" s="1"/>
      <c r="O435" s="1"/>
      <c r="P435" s="1"/>
      <c r="Q435" s="1"/>
      <c r="R435" s="1"/>
      <c r="S435" s="1"/>
    </row>
    <row x14ac:dyDescent="0.25" r="436" customHeight="1" ht="18.75" customFormat="1" s="23">
      <c r="A436" s="24"/>
      <c r="B436" s="98" t="s">
        <v>25</v>
      </c>
      <c r="C436" s="98"/>
      <c r="D436" s="98"/>
      <c r="E436" s="98"/>
      <c r="F436" s="99"/>
      <c r="G436" s="100"/>
      <c r="H436" s="101"/>
      <c r="I436" s="100"/>
      <c r="J436" s="101"/>
      <c r="K436" s="24"/>
      <c r="L436" s="29"/>
      <c r="M436" s="24"/>
      <c r="N436" s="24"/>
      <c r="O436" s="24"/>
      <c r="P436" s="24"/>
      <c r="Q436" s="24"/>
      <c r="R436" s="24"/>
      <c r="S436" s="24"/>
    </row>
    <row x14ac:dyDescent="0.25" r="437" customHeight="1" ht="3.75">
      <c r="A437" s="1"/>
      <c r="B437" s="30"/>
      <c r="C437" s="30"/>
      <c r="D437" s="30"/>
      <c r="E437" s="30"/>
      <c r="F437" s="31"/>
      <c r="G437" s="32"/>
      <c r="H437" s="33"/>
      <c r="I437" s="4"/>
      <c r="J437" s="5"/>
      <c r="K437" s="1"/>
      <c r="L437" s="7"/>
      <c r="M437" s="1"/>
      <c r="N437" s="1"/>
      <c r="O437" s="1"/>
      <c r="P437" s="1"/>
      <c r="Q437" s="1"/>
      <c r="R437" s="1"/>
      <c r="S437" s="1"/>
    </row>
    <row x14ac:dyDescent="0.25" r="438" customHeight="1" ht="17.25">
      <c r="A438" s="1"/>
      <c r="B438" s="102" t="s">
        <v>26</v>
      </c>
      <c r="C438" s="103"/>
      <c r="D438" s="103"/>
      <c r="E438" s="103"/>
      <c r="F438" s="104"/>
      <c r="G438" s="105"/>
      <c r="H438" s="106">
        <f>+'Simulador - 3º Pilar'!K10</f>
      </c>
      <c r="I438" s="106"/>
      <c r="J438" s="107"/>
      <c r="K438" s="1"/>
      <c r="L438" s="7" t="s">
        <v>27</v>
      </c>
      <c r="M438" s="1"/>
      <c r="N438" s="1"/>
      <c r="O438" s="1"/>
      <c r="P438" s="1"/>
      <c r="Q438" s="1"/>
      <c r="R438" s="1"/>
      <c r="S438" s="1"/>
    </row>
    <row x14ac:dyDescent="0.25" r="439" customHeight="1" ht="17.25">
      <c r="A439" s="1"/>
      <c r="B439" s="108">
        <f>+"Fondo acumulado a "&amp;TEXT(L439,"DD/MM/AA")&amp;":"</f>
      </c>
      <c r="C439" s="16"/>
      <c r="D439" s="16"/>
      <c r="E439" s="16"/>
      <c r="F439" s="42"/>
      <c r="G439" s="43"/>
      <c r="H439" s="46">
        <f>+'Simulador - 3º Pilar'!I14</f>
      </c>
      <c r="I439" s="46"/>
      <c r="J439" s="109"/>
      <c r="K439" s="1"/>
      <c r="L439" s="110">
        <f>+'Simulador - 3º Pilar'!I15</f>
        <v>25569.041666666668</v>
      </c>
      <c r="M439" s="111">
        <f>+RIGHT(L439,2)</f>
      </c>
      <c r="N439" s="1"/>
      <c r="O439" s="1"/>
      <c r="P439" s="1"/>
      <c r="Q439" s="1"/>
      <c r="R439" s="1"/>
      <c r="S439" s="1"/>
    </row>
    <row x14ac:dyDescent="0.25" r="440" customHeight="1" ht="17.25">
      <c r="A440" s="1"/>
      <c r="B440" s="112" t="s">
        <v>28</v>
      </c>
      <c r="C440" s="16"/>
      <c r="D440" s="16"/>
      <c r="E440" s="16"/>
      <c r="F440" s="42"/>
      <c r="G440" s="43"/>
      <c r="H440" s="46">
        <f>+'Simulador - 3º Pilar'!G23</f>
      </c>
      <c r="I440" s="46"/>
      <c r="J440" s="109"/>
      <c r="K440" s="1"/>
      <c r="L440" s="7"/>
      <c r="M440" s="1"/>
      <c r="N440" s="1"/>
      <c r="O440" s="1"/>
      <c r="P440" s="1"/>
      <c r="Q440" s="1"/>
      <c r="R440" s="1"/>
      <c r="S440" s="1"/>
    </row>
    <row x14ac:dyDescent="0.25" r="441" customHeight="1" ht="25.5">
      <c r="A441" s="113"/>
      <c r="B441" s="114"/>
      <c r="C441" s="2"/>
      <c r="D441" s="2"/>
      <c r="E441" s="2"/>
      <c r="F441" s="31"/>
      <c r="G441" s="32"/>
      <c r="H441" s="52" t="s">
        <v>15</v>
      </c>
      <c r="I441" s="53" t="s">
        <v>16</v>
      </c>
      <c r="J441" s="115" t="s">
        <v>17</v>
      </c>
      <c r="K441" s="1"/>
      <c r="L441" s="7"/>
      <c r="M441" s="1"/>
      <c r="N441" s="1"/>
      <c r="O441" s="1"/>
      <c r="P441" s="1"/>
      <c r="Q441" s="1"/>
      <c r="R441" s="1"/>
      <c r="S441" s="1"/>
    </row>
    <row x14ac:dyDescent="0.25" r="442" customHeight="1" ht="18.75">
      <c r="A442" s="1"/>
      <c r="B442" s="116" t="s">
        <v>29</v>
      </c>
      <c r="C442" s="117"/>
      <c r="D442" s="117"/>
      <c r="E442" s="117"/>
      <c r="F442" s="118"/>
      <c r="G442" s="119"/>
      <c r="H442" s="119">
        <f>+'Simulador - 3º Pilar'!G27</f>
      </c>
      <c r="I442" s="119">
        <f>+'Simulador - 3º Pilar'!J27</f>
      </c>
      <c r="J442" s="120">
        <f>+'Simulador - 3º Pilar'!G30</f>
      </c>
      <c r="K442" s="1"/>
      <c r="L442" s="7"/>
      <c r="M442" s="1"/>
      <c r="N442" s="1"/>
      <c r="O442" s="1"/>
      <c r="P442" s="1"/>
      <c r="Q442" s="1"/>
      <c r="R442" s="1"/>
      <c r="S442" s="1"/>
    </row>
    <row x14ac:dyDescent="0.25" r="443" customHeight="1" ht="3.75">
      <c r="A443" s="1"/>
      <c r="B443" s="60"/>
      <c r="C443" s="60"/>
      <c r="D443" s="60"/>
      <c r="E443" s="60"/>
      <c r="F443" s="61"/>
      <c r="G443" s="62"/>
      <c r="H443" s="63"/>
      <c r="I443" s="63"/>
      <c r="J443" s="64"/>
      <c r="K443" s="1"/>
      <c r="L443" s="7"/>
      <c r="M443" s="1"/>
      <c r="N443" s="1"/>
      <c r="O443" s="1"/>
      <c r="P443" s="1"/>
      <c r="Q443" s="1"/>
      <c r="R443" s="1"/>
      <c r="S443" s="1"/>
    </row>
    <row x14ac:dyDescent="0.25" r="444" customHeight="1" ht="18.75">
      <c r="A444" s="1"/>
      <c r="B444" s="121" t="s">
        <v>30</v>
      </c>
      <c r="C444" s="121"/>
      <c r="D444" s="121"/>
      <c r="E444" s="121"/>
      <c r="F444" s="122"/>
      <c r="G444" s="123"/>
      <c r="H444" s="124">
        <f>+H442</f>
      </c>
      <c r="I444" s="124">
        <f>+I442</f>
      </c>
      <c r="J444" s="125">
        <f>+J442</f>
      </c>
      <c r="K444" s="1"/>
      <c r="L444" s="7"/>
      <c r="M444" s="1"/>
      <c r="N444" s="1"/>
      <c r="O444" s="1"/>
      <c r="P444" s="1"/>
      <c r="Q444" s="1"/>
      <c r="R444" s="1"/>
      <c r="S444" s="1"/>
    </row>
    <row x14ac:dyDescent="0.25" r="445" customHeight="1" ht="16.5">
      <c r="A445" s="1"/>
      <c r="B445" s="2"/>
      <c r="C445" s="2"/>
      <c r="D445" s="2"/>
      <c r="E445" s="2"/>
      <c r="F445" s="3"/>
      <c r="G445" s="4"/>
      <c r="H445" s="5"/>
      <c r="I445" s="4"/>
      <c r="J445" s="5"/>
      <c r="K445" s="1"/>
      <c r="L445" s="7"/>
      <c r="M445" s="1"/>
      <c r="N445" s="1"/>
      <c r="O445" s="1"/>
      <c r="P445" s="1"/>
      <c r="Q445" s="1"/>
      <c r="R445" s="1"/>
      <c r="S445" s="1"/>
    </row>
    <row x14ac:dyDescent="0.25" r="446" customHeight="1" ht="16.5">
      <c r="A446" s="1"/>
      <c r="B446" s="2"/>
      <c r="C446" s="2"/>
      <c r="D446" s="2"/>
      <c r="E446" s="2"/>
      <c r="F446" s="3"/>
      <c r="G446" s="4"/>
      <c r="H446" s="5"/>
      <c r="I446" s="4"/>
      <c r="J446" s="5"/>
      <c r="K446" s="1"/>
      <c r="L446" s="7"/>
      <c r="M446" s="1"/>
      <c r="N446" s="1"/>
      <c r="O446" s="1"/>
      <c r="P446" s="1"/>
      <c r="Q446" s="1"/>
      <c r="R446" s="1"/>
      <c r="S446" s="1"/>
    </row>
    <row x14ac:dyDescent="0.25" r="447" customHeight="1" ht="16.5">
      <c r="A447" s="1"/>
      <c r="B447" s="2"/>
      <c r="C447" s="2"/>
      <c r="D447" s="2"/>
      <c r="E447" s="2"/>
      <c r="F447" s="3"/>
      <c r="G447" s="4"/>
      <c r="H447" s="5"/>
      <c r="I447" s="4"/>
      <c r="J447" s="5"/>
      <c r="K447" s="1"/>
      <c r="L447" s="7"/>
      <c r="M447" s="1"/>
      <c r="N447" s="1"/>
      <c r="O447" s="1"/>
      <c r="P447" s="1"/>
      <c r="Q447" s="1"/>
      <c r="R447" s="1"/>
      <c r="S447" s="1"/>
    </row>
    <row x14ac:dyDescent="0.25" r="448" customHeight="1" ht="16.5">
      <c r="A448" s="1"/>
      <c r="B448" s="2"/>
      <c r="C448" s="2"/>
      <c r="D448" s="2"/>
      <c r="E448" s="2"/>
      <c r="F448" s="3"/>
      <c r="G448" s="4"/>
      <c r="H448" s="5"/>
      <c r="I448" s="4"/>
      <c r="J448" s="5"/>
      <c r="K448" s="1"/>
      <c r="L448" s="7"/>
      <c r="M448" s="1"/>
      <c r="N448" s="1"/>
      <c r="O448" s="1"/>
      <c r="P448" s="1"/>
      <c r="Q448" s="1"/>
      <c r="R448" s="1"/>
      <c r="S448" s="1"/>
    </row>
    <row x14ac:dyDescent="0.25" r="449" customHeight="1" ht="16.5">
      <c r="A449" s="1"/>
      <c r="B449" s="2"/>
      <c r="C449" s="2"/>
      <c r="D449" s="2"/>
      <c r="E449" s="2"/>
      <c r="F449" s="3"/>
      <c r="G449" s="4"/>
      <c r="H449" s="5"/>
      <c r="I449" s="4"/>
      <c r="J449" s="5"/>
      <c r="K449" s="1"/>
      <c r="L449" s="7"/>
      <c r="M449" s="1"/>
      <c r="N449" s="1"/>
      <c r="O449" s="1"/>
      <c r="P449" s="1"/>
      <c r="Q449" s="1"/>
      <c r="R449" s="1"/>
      <c r="S449" s="1"/>
    </row>
    <row x14ac:dyDescent="0.25" r="450" customHeight="1" ht="16.5">
      <c r="A450" s="1"/>
      <c r="B450" s="2"/>
      <c r="C450" s="2"/>
      <c r="D450" s="2"/>
      <c r="E450" s="2"/>
      <c r="F450" s="3"/>
      <c r="G450" s="4"/>
      <c r="H450" s="5"/>
      <c r="I450" s="4"/>
      <c r="J450" s="5"/>
      <c r="K450" s="1"/>
      <c r="L450" s="7"/>
      <c r="M450" s="1"/>
      <c r="N450" s="1"/>
      <c r="O450" s="1"/>
      <c r="P450" s="1"/>
      <c r="Q450" s="1"/>
      <c r="R450" s="1"/>
      <c r="S450" s="1"/>
    </row>
    <row x14ac:dyDescent="0.25" r="451" customHeight="1" ht="18">
      <c r="A451" s="1"/>
      <c r="B451" s="126" t="s">
        <v>31</v>
      </c>
      <c r="C451" s="126"/>
      <c r="D451" s="126"/>
      <c r="E451" s="126"/>
      <c r="F451" s="127"/>
      <c r="G451" s="128"/>
      <c r="H451" s="129">
        <f>IFERROR(+H444+H424+H434,"-")</f>
      </c>
      <c r="I451" s="129">
        <f>IFERROR(+I424+I444+I434,"-")</f>
      </c>
      <c r="J451" s="130">
        <f>IFERROR(+'Simulador - RESUMEN'!N46,"-")</f>
      </c>
      <c r="K451" s="1"/>
      <c r="L451" s="7"/>
      <c r="M451" s="1"/>
      <c r="N451" s="1"/>
      <c r="O451" s="1"/>
      <c r="P451" s="1"/>
      <c r="Q451" s="1"/>
      <c r="R451" s="1"/>
      <c r="S451" s="1"/>
    </row>
    <row x14ac:dyDescent="0.25" r="452" customHeight="1" ht="18">
      <c r="A452" s="1"/>
      <c r="B452" s="131" t="s">
        <v>32</v>
      </c>
      <c r="C452" s="131"/>
      <c r="D452" s="131"/>
      <c r="E452" s="131"/>
      <c r="F452" s="132"/>
      <c r="G452" s="133"/>
      <c r="H452" s="134"/>
      <c r="I452" s="135"/>
      <c r="J452" s="136">
        <f>IFERROR(+'Simulador - RESUMEN'!N44,"-")</f>
      </c>
      <c r="K452" s="1"/>
      <c r="L452" s="7"/>
      <c r="M452" s="1"/>
      <c r="N452" s="1"/>
      <c r="O452" s="1"/>
      <c r="P452" s="1"/>
      <c r="Q452" s="1"/>
      <c r="R452" s="1"/>
      <c r="S452" s="1"/>
    </row>
    <row x14ac:dyDescent="0.25" r="453" customHeight="1" ht="18.75">
      <c r="A453" s="1"/>
      <c r="B453" s="2"/>
      <c r="C453" s="2"/>
      <c r="D453" s="2"/>
      <c r="E453" s="2"/>
      <c r="F453" s="3"/>
      <c r="G453" s="4"/>
      <c r="H453" s="5"/>
      <c r="I453" s="4"/>
      <c r="J453" s="5"/>
      <c r="K453" s="1"/>
      <c r="L453" s="7"/>
      <c r="M453" s="1"/>
      <c r="N453" s="1"/>
      <c r="O453" s="1"/>
      <c r="P453" s="1"/>
      <c r="Q453" s="1"/>
      <c r="R453" s="1"/>
      <c r="S453" s="1"/>
    </row>
    <row x14ac:dyDescent="0.25" r="454" customHeight="1" ht="18.75">
      <c r="A454" s="1"/>
      <c r="B454" s="2"/>
      <c r="C454" s="2"/>
      <c r="D454" s="2"/>
      <c r="E454" s="2"/>
      <c r="F454" s="3"/>
      <c r="G454" s="4"/>
      <c r="H454" s="5"/>
      <c r="I454" s="4"/>
      <c r="J454" s="5"/>
      <c r="K454" s="1"/>
      <c r="L454" s="7"/>
      <c r="M454" s="1"/>
      <c r="N454" s="1"/>
      <c r="O454" s="1"/>
      <c r="P454" s="1"/>
      <c r="Q454" s="1"/>
      <c r="R454" s="1"/>
      <c r="S454" s="1"/>
    </row>
    <row x14ac:dyDescent="0.25" r="455" customHeight="1" ht="18.75">
      <c r="A455" s="1"/>
      <c r="B455" s="2"/>
      <c r="C455" s="2"/>
      <c r="D455" s="2"/>
      <c r="E455" s="2"/>
      <c r="F455" s="3"/>
      <c r="G455" s="4"/>
      <c r="H455" s="5"/>
      <c r="I455" s="4"/>
      <c r="J455" s="5"/>
      <c r="K455" s="1"/>
      <c r="L455" s="7"/>
      <c r="M455" s="1"/>
      <c r="N455" s="1"/>
      <c r="O455" s="1"/>
      <c r="P455" s="1"/>
      <c r="Q455" s="1"/>
      <c r="R455" s="1"/>
      <c r="S455" s="1"/>
    </row>
    <row x14ac:dyDescent="0.25" r="456" customHeight="1" ht="18.75">
      <c r="A456" s="1"/>
      <c r="B456" s="2"/>
      <c r="C456" s="2"/>
      <c r="D456" s="2"/>
      <c r="E456" s="2"/>
      <c r="F456" s="3"/>
      <c r="G456" s="4"/>
      <c r="H456" s="5"/>
      <c r="I456" s="4"/>
      <c r="J456" s="5"/>
      <c r="K456" s="1"/>
      <c r="L456" s="7"/>
      <c r="M456" s="1"/>
      <c r="N456" s="1"/>
      <c r="O456" s="1"/>
      <c r="P456" s="1"/>
      <c r="Q456" s="1"/>
      <c r="R456" s="1"/>
      <c r="S456" s="1"/>
    </row>
    <row x14ac:dyDescent="0.25" r="457" customHeight="1" ht="18.75">
      <c r="A457" s="1"/>
      <c r="B457" s="2"/>
      <c r="C457" s="2"/>
      <c r="D457" s="2"/>
      <c r="E457" s="2"/>
      <c r="F457" s="3"/>
      <c r="G457" s="4"/>
      <c r="H457" s="5"/>
      <c r="I457" s="4"/>
      <c r="J457" s="5"/>
      <c r="K457" s="1"/>
      <c r="L457" s="7"/>
      <c r="M457" s="1"/>
      <c r="N457" s="1"/>
      <c r="O457" s="1"/>
      <c r="P457" s="1"/>
      <c r="Q457" s="1"/>
      <c r="R457" s="1"/>
      <c r="S457" s="1"/>
    </row>
    <row x14ac:dyDescent="0.25" r="458" customHeight="1" ht="18.75">
      <c r="A458" s="1"/>
      <c r="B458" s="2"/>
      <c r="C458" s="2"/>
      <c r="D458" s="2"/>
      <c r="E458" s="2"/>
      <c r="F458" s="3"/>
      <c r="G458" s="4"/>
      <c r="H458" s="5"/>
      <c r="I458" s="4"/>
      <c r="J458" s="5"/>
      <c r="K458" s="1"/>
      <c r="L458" s="7"/>
      <c r="M458" s="1"/>
      <c r="N458" s="1"/>
      <c r="O458" s="1"/>
      <c r="P458" s="1"/>
      <c r="Q458" s="1"/>
      <c r="R458" s="1"/>
      <c r="S458" s="1"/>
    </row>
    <row x14ac:dyDescent="0.25" r="459" customHeight="1" ht="3">
      <c r="A459" s="1"/>
      <c r="B459" s="2"/>
      <c r="C459" s="2"/>
      <c r="D459" s="2"/>
      <c r="E459" s="2"/>
      <c r="F459" s="3"/>
      <c r="G459" s="4"/>
      <c r="H459" s="5"/>
      <c r="I459" s="4"/>
      <c r="J459" s="5"/>
      <c r="K459" s="1"/>
      <c r="L459" s="7"/>
      <c r="M459" s="1"/>
      <c r="N459" s="1"/>
      <c r="O459" s="1"/>
      <c r="P459" s="1"/>
      <c r="Q459" s="1"/>
      <c r="R459" s="1"/>
      <c r="S459" s="1"/>
    </row>
    <row x14ac:dyDescent="0.25" r="460" customHeight="1" ht="3">
      <c r="A460" s="1"/>
      <c r="B460" s="2"/>
      <c r="C460" s="2"/>
      <c r="D460" s="2"/>
      <c r="E460" s="2"/>
      <c r="F460" s="3"/>
      <c r="G460" s="4"/>
      <c r="H460" s="5"/>
      <c r="I460" s="4"/>
      <c r="J460" s="5"/>
      <c r="K460" s="1"/>
      <c r="L460" s="7"/>
      <c r="M460" s="1"/>
      <c r="N460" s="1"/>
      <c r="O460" s="1"/>
      <c r="P460" s="1"/>
      <c r="Q460" s="1"/>
      <c r="R460" s="1"/>
      <c r="S460" s="1"/>
    </row>
    <row x14ac:dyDescent="0.25" r="461" customHeight="1" ht="3">
      <c r="A461" s="1"/>
      <c r="B461" s="2"/>
      <c r="C461" s="2"/>
      <c r="D461" s="2"/>
      <c r="E461" s="2"/>
      <c r="F461" s="3"/>
      <c r="G461" s="4"/>
      <c r="H461" s="5"/>
      <c r="I461" s="4"/>
      <c r="J461" s="5"/>
      <c r="K461" s="1"/>
      <c r="L461" s="7"/>
      <c r="M461" s="1"/>
      <c r="N461" s="1"/>
      <c r="O461" s="1"/>
      <c r="P461" s="1"/>
      <c r="Q461" s="1"/>
      <c r="R461" s="1"/>
      <c r="S461" s="1"/>
    </row>
    <row x14ac:dyDescent="0.25" r="462" customHeight="1" ht="3">
      <c r="A462" s="1"/>
      <c r="B462" s="2"/>
      <c r="C462" s="2"/>
      <c r="D462" s="2"/>
      <c r="E462" s="2"/>
      <c r="F462" s="3"/>
      <c r="G462" s="4"/>
      <c r="H462" s="5"/>
      <c r="I462" s="4"/>
      <c r="J462" s="5"/>
      <c r="K462" s="1"/>
      <c r="L462" s="7"/>
      <c r="M462" s="1"/>
      <c r="N462" s="1"/>
      <c r="O462" s="1"/>
      <c r="P462" s="1"/>
      <c r="Q462" s="1"/>
      <c r="R462" s="1"/>
      <c r="S462" s="1"/>
    </row>
    <row x14ac:dyDescent="0.25" r="463" customHeight="1" ht="3">
      <c r="A463" s="1"/>
      <c r="B463" s="2"/>
      <c r="C463" s="2"/>
      <c r="D463" s="2"/>
      <c r="E463" s="2"/>
      <c r="F463" s="3"/>
      <c r="G463" s="4"/>
      <c r="H463" s="5"/>
      <c r="I463" s="4"/>
      <c r="J463" s="5"/>
      <c r="K463" s="1"/>
      <c r="L463" s="7"/>
      <c r="M463" s="1"/>
      <c r="N463" s="1"/>
      <c r="O463" s="1"/>
      <c r="P463" s="1"/>
      <c r="Q463" s="1"/>
      <c r="R463" s="1"/>
      <c r="S463" s="1"/>
    </row>
    <row x14ac:dyDescent="0.25" r="464" customHeight="1" ht="3">
      <c r="A464" s="1"/>
      <c r="B464" s="2"/>
      <c r="C464" s="2"/>
      <c r="D464" s="2"/>
      <c r="E464" s="2"/>
      <c r="F464" s="3"/>
      <c r="G464" s="4"/>
      <c r="H464" s="5"/>
      <c r="I464" s="4"/>
      <c r="J464" s="5"/>
      <c r="K464" s="1"/>
      <c r="L464" s="7"/>
      <c r="M464" s="1"/>
      <c r="N464" s="1"/>
      <c r="O464" s="1"/>
      <c r="P464" s="1"/>
      <c r="Q464" s="1"/>
      <c r="R464" s="1"/>
      <c r="S464" s="1"/>
    </row>
    <row x14ac:dyDescent="0.25" r="465" customHeight="1" ht="18.75">
      <c r="A465" s="1"/>
      <c r="B465" s="2"/>
      <c r="C465" s="2"/>
      <c r="D465" s="2"/>
      <c r="E465" s="2"/>
      <c r="F465" s="3"/>
      <c r="G465" s="4"/>
      <c r="H465" s="5"/>
      <c r="I465" s="4"/>
      <c r="J465" s="5"/>
      <c r="K465" s="1"/>
      <c r="L465" s="7"/>
      <c r="M465" s="1"/>
      <c r="N465" s="1"/>
      <c r="O465" s="1"/>
      <c r="P465" s="1"/>
      <c r="Q465" s="1"/>
      <c r="R465" s="1"/>
      <c r="S465" s="1"/>
    </row>
    <row x14ac:dyDescent="0.25" r="466" customHeight="1" ht="18.75">
      <c r="A466" s="2"/>
      <c r="B466" s="2"/>
      <c r="C466" s="2"/>
      <c r="D466" s="2"/>
      <c r="E466" s="2"/>
      <c r="F466" s="3"/>
      <c r="G466" s="4"/>
      <c r="H466" s="5"/>
      <c r="I466" s="4"/>
      <c r="J466" s="5"/>
      <c r="K466" s="1"/>
      <c r="L466" s="7"/>
      <c r="M466" s="1"/>
      <c r="N466" s="1"/>
      <c r="O466" s="1"/>
      <c r="P466" s="1"/>
      <c r="Q466" s="1"/>
      <c r="R466" s="1"/>
      <c r="S466" s="1"/>
    </row>
    <row x14ac:dyDescent="0.25" r="467" customHeight="1" ht="18.75">
      <c r="A467" s="1"/>
      <c r="B467" s="2"/>
      <c r="C467" s="2"/>
      <c r="D467" s="2"/>
      <c r="E467" s="2"/>
      <c r="F467" s="3"/>
      <c r="G467" s="4"/>
      <c r="H467" s="5"/>
      <c r="I467" s="4"/>
      <c r="J467" s="5"/>
      <c r="K467" s="1"/>
      <c r="L467" s="7"/>
      <c r="M467" s="1"/>
      <c r="N467" s="1"/>
      <c r="O467" s="1"/>
      <c r="P467" s="1"/>
      <c r="Q467" s="1"/>
      <c r="R467" s="1"/>
      <c r="S467" s="1"/>
    </row>
    <row x14ac:dyDescent="0.25" r="468" customHeight="1" ht="18.75">
      <c r="A468" s="1"/>
      <c r="B468" s="2"/>
      <c r="C468" s="2"/>
      <c r="D468" s="2"/>
      <c r="E468" s="2"/>
      <c r="F468" s="3"/>
      <c r="G468" s="4"/>
      <c r="H468" s="5"/>
      <c r="I468" s="4"/>
      <c r="J468" s="5"/>
      <c r="K468" s="1"/>
      <c r="L468" s="7"/>
      <c r="M468" s="1"/>
      <c r="N468" s="1"/>
      <c r="O468" s="1"/>
      <c r="P468" s="1"/>
      <c r="Q468" s="1"/>
      <c r="R468" s="1"/>
      <c r="S468" s="1"/>
    </row>
    <row x14ac:dyDescent="0.25" r="469" customHeight="1" ht="18.75">
      <c r="A469" s="1"/>
      <c r="B469" s="2"/>
      <c r="C469" s="2"/>
      <c r="D469" s="2"/>
      <c r="E469" s="2"/>
      <c r="F469" s="3"/>
      <c r="G469" s="4"/>
      <c r="H469" s="5"/>
      <c r="I469" s="4"/>
      <c r="J469" s="5"/>
      <c r="K469" s="1"/>
      <c r="L469" s="7"/>
      <c r="M469" s="1"/>
      <c r="N469" s="1"/>
      <c r="O469" s="1"/>
      <c r="P469" s="1"/>
      <c r="Q469" s="1"/>
      <c r="R469" s="1"/>
      <c r="S469" s="1"/>
    </row>
    <row x14ac:dyDescent="0.25" r="470" customHeight="1" ht="18.75">
      <c r="A470" s="137"/>
      <c r="B470" s="2"/>
      <c r="C470" s="2"/>
      <c r="D470" s="2"/>
      <c r="E470" s="2"/>
      <c r="F470" s="3"/>
      <c r="G470" s="4"/>
      <c r="H470" s="5"/>
      <c r="I470" s="4"/>
      <c r="J470" s="5"/>
      <c r="K470" s="1"/>
      <c r="L470" s="7"/>
      <c r="M470" s="1"/>
      <c r="N470" s="1"/>
      <c r="O470" s="1"/>
      <c r="P470" s="1"/>
      <c r="Q470" s="1"/>
      <c r="R470" s="1"/>
      <c r="S470" s="1"/>
    </row>
    <row x14ac:dyDescent="0.25" r="471" customHeight="1" ht="18.75">
      <c r="A471" s="1"/>
      <c r="B471" s="2"/>
      <c r="C471" s="2"/>
      <c r="D471" s="2"/>
      <c r="E471" s="2"/>
      <c r="F471" s="3"/>
      <c r="G471" s="4"/>
      <c r="H471" s="5"/>
      <c r="I471" s="4"/>
      <c r="J471" s="5"/>
      <c r="K471" s="1"/>
      <c r="L471" s="7"/>
      <c r="M471" s="1"/>
      <c r="N471" s="1"/>
      <c r="O471" s="1"/>
      <c r="P471" s="1"/>
      <c r="Q471" s="1"/>
      <c r="R471" s="1"/>
      <c r="S471" s="1"/>
    </row>
    <row x14ac:dyDescent="0.25" r="472" customHeight="1" ht="18.75">
      <c r="A472" s="1"/>
      <c r="B472" s="2"/>
      <c r="C472" s="2"/>
      <c r="D472" s="2"/>
      <c r="E472" s="2"/>
      <c r="F472" s="3"/>
      <c r="G472" s="4"/>
      <c r="H472" s="5"/>
      <c r="I472" s="4"/>
      <c r="J472" s="5"/>
      <c r="K472" s="1"/>
      <c r="L472" s="7"/>
      <c r="M472" s="1"/>
      <c r="N472" s="1"/>
      <c r="O472" s="1"/>
      <c r="P472" s="1"/>
      <c r="Q472" s="1"/>
      <c r="R472" s="1"/>
      <c r="S472" s="1"/>
    </row>
    <row x14ac:dyDescent="0.25" r="473" customHeight="1" ht="18.75">
      <c r="A473" s="1"/>
      <c r="B473" s="2"/>
      <c r="C473" s="2"/>
      <c r="D473" s="2"/>
      <c r="E473" s="2"/>
      <c r="F473" s="3"/>
      <c r="G473" s="4"/>
      <c r="H473" s="5"/>
      <c r="I473" s="4"/>
      <c r="J473" s="5"/>
      <c r="K473" s="1"/>
      <c r="L473" s="7"/>
      <c r="M473" s="1"/>
      <c r="N473" s="1"/>
      <c r="O473" s="1"/>
      <c r="P473" s="1"/>
      <c r="Q473" s="1"/>
      <c r="R473" s="1"/>
      <c r="S473" s="1"/>
    </row>
    <row x14ac:dyDescent="0.25" r="474" customHeight="1" ht="18.75">
      <c r="A474" s="1"/>
      <c r="B474" s="2"/>
      <c r="C474" s="2"/>
      <c r="D474" s="2"/>
      <c r="E474" s="2"/>
      <c r="F474" s="3"/>
      <c r="G474" s="4"/>
      <c r="H474" s="5"/>
      <c r="I474" s="4"/>
      <c r="J474" s="5"/>
      <c r="K474" s="1"/>
      <c r="L474" s="7"/>
      <c r="M474" s="1"/>
      <c r="N474" s="1"/>
      <c r="O474" s="1"/>
      <c r="P474" s="1"/>
      <c r="Q474" s="1"/>
      <c r="R474" s="1"/>
      <c r="S474" s="1"/>
    </row>
    <row x14ac:dyDescent="0.25" r="475" customHeight="1" ht="18.75">
      <c r="A475" s="1"/>
      <c r="B475" s="2"/>
      <c r="C475" s="2"/>
      <c r="D475" s="2"/>
      <c r="E475" s="2"/>
      <c r="F475" s="3"/>
      <c r="G475" s="4"/>
      <c r="H475" s="5"/>
      <c r="I475" s="4"/>
      <c r="J475" s="5"/>
      <c r="K475" s="1"/>
      <c r="L475" s="7"/>
      <c r="M475" s="1"/>
      <c r="N475" s="1"/>
      <c r="O475" s="1"/>
      <c r="P475" s="1"/>
      <c r="Q475" s="1"/>
      <c r="R475" s="1"/>
      <c r="S475" s="1"/>
    </row>
    <row x14ac:dyDescent="0.25" r="476" customHeight="1" ht="18.75">
      <c r="A476" s="1"/>
      <c r="B476" s="2"/>
      <c r="C476" s="2"/>
      <c r="D476" s="2"/>
      <c r="E476" s="2"/>
      <c r="F476" s="3"/>
      <c r="G476" s="4"/>
      <c r="H476" s="5"/>
      <c r="I476" s="4"/>
      <c r="J476" s="5"/>
      <c r="K476" s="1"/>
      <c r="L476" s="7"/>
      <c r="M476" s="1"/>
      <c r="N476" s="1"/>
      <c r="O476" s="1"/>
      <c r="P476" s="1"/>
      <c r="Q476" s="1"/>
      <c r="R476" s="1"/>
      <c r="S476" s="1"/>
    </row>
    <row x14ac:dyDescent="0.25" r="477" customHeight="1" ht="18.75">
      <c r="A477" s="1"/>
      <c r="B477" s="2"/>
      <c r="C477" s="2"/>
      <c r="D477" s="2"/>
      <c r="E477" s="2"/>
      <c r="F477" s="3"/>
      <c r="G477" s="4"/>
      <c r="H477" s="5"/>
      <c r="I477" s="4"/>
      <c r="J477" s="5"/>
      <c r="K477" s="1"/>
      <c r="L477" s="7"/>
      <c r="M477" s="1"/>
      <c r="N477" s="1"/>
      <c r="O477" s="1"/>
      <c r="P477" s="1"/>
      <c r="Q477" s="1"/>
      <c r="R477" s="1"/>
      <c r="S477" s="1"/>
    </row>
    <row x14ac:dyDescent="0.25" r="478" customHeight="1" ht="18.75">
      <c r="A478" s="137"/>
      <c r="B478" s="2"/>
      <c r="C478" s="2"/>
      <c r="D478" s="2"/>
      <c r="E478" s="2"/>
      <c r="F478" s="3"/>
      <c r="G478" s="4"/>
      <c r="H478" s="5"/>
      <c r="I478" s="4"/>
      <c r="J478" s="5"/>
      <c r="K478" s="1"/>
      <c r="L478" s="7"/>
      <c r="M478" s="1"/>
      <c r="N478" s="1"/>
      <c r="O478" s="1"/>
      <c r="P478" s="1"/>
      <c r="Q478" s="1"/>
      <c r="R478" s="1"/>
      <c r="S478" s="1"/>
    </row>
    <row x14ac:dyDescent="0.25" r="479" customHeight="1" ht="18.75">
      <c r="A479" s="1"/>
      <c r="B479" s="2"/>
      <c r="C479" s="2"/>
      <c r="D479" s="2"/>
      <c r="E479" s="2"/>
      <c r="F479" s="3"/>
      <c r="G479" s="4"/>
      <c r="H479" s="5"/>
      <c r="I479" s="4"/>
      <c r="J479" s="5"/>
      <c r="K479" s="1"/>
      <c r="L479" s="7"/>
      <c r="M479" s="1"/>
      <c r="N479" s="1"/>
      <c r="O479" s="1"/>
      <c r="P479" s="1"/>
      <c r="Q479" s="1"/>
      <c r="R479" s="1"/>
      <c r="S479" s="1"/>
    </row>
    <row x14ac:dyDescent="0.25" r="480" customHeight="1" ht="18.75">
      <c r="A480" s="1"/>
      <c r="B480" s="2"/>
      <c r="C480" s="2"/>
      <c r="D480" s="2"/>
      <c r="E480" s="2"/>
      <c r="F480" s="3"/>
      <c r="G480" s="4"/>
      <c r="H480" s="5"/>
      <c r="I480" s="4"/>
      <c r="J480" s="5"/>
      <c r="K480" s="1"/>
      <c r="L480" s="7"/>
      <c r="M480" s="1"/>
      <c r="N480" s="1"/>
      <c r="O480" s="1"/>
      <c r="P480" s="1"/>
      <c r="Q480" s="1"/>
      <c r="R480" s="1"/>
      <c r="S480" s="1"/>
    </row>
    <row x14ac:dyDescent="0.25" r="481" customHeight="1" ht="18.75">
      <c r="A481" s="138"/>
      <c r="B481" s="2"/>
      <c r="C481" s="2"/>
      <c r="D481" s="2"/>
      <c r="E481" s="2"/>
      <c r="F481" s="3"/>
      <c r="G481" s="4"/>
      <c r="H481" s="5"/>
      <c r="I481" s="4"/>
      <c r="J481" s="5"/>
      <c r="K481" s="1"/>
      <c r="L481" s="7"/>
      <c r="M481" s="1"/>
      <c r="N481" s="1"/>
      <c r="O481" s="1"/>
      <c r="P481" s="1"/>
      <c r="Q481" s="1"/>
      <c r="R481" s="1"/>
      <c r="S481" s="1"/>
    </row>
    <row x14ac:dyDescent="0.25" r="482" customHeight="1" ht="18.75">
      <c r="A482" s="139"/>
      <c r="B482" s="2"/>
      <c r="C482" s="2"/>
      <c r="D482" s="2"/>
      <c r="E482" s="2"/>
      <c r="F482" s="3"/>
      <c r="G482" s="4"/>
      <c r="H482" s="5"/>
      <c r="I482" s="4"/>
      <c r="J482" s="5"/>
      <c r="K482" s="1"/>
      <c r="L482" s="7"/>
      <c r="M482" s="1"/>
      <c r="N482" s="1"/>
      <c r="O482" s="1"/>
      <c r="P482" s="1"/>
      <c r="Q482" s="1"/>
      <c r="R482" s="1"/>
      <c r="S482" s="1"/>
    </row>
    <row x14ac:dyDescent="0.25" r="483" customHeight="1" ht="18.75">
      <c r="A483" s="1"/>
      <c r="B483" s="2"/>
      <c r="C483" s="2"/>
      <c r="D483" s="2"/>
      <c r="E483" s="2"/>
      <c r="F483" s="3"/>
      <c r="G483" s="4"/>
      <c r="H483" s="5"/>
      <c r="I483" s="4"/>
      <c r="J483" s="5"/>
      <c r="K483" s="1"/>
      <c r="L483" s="7"/>
      <c r="M483" s="1"/>
      <c r="N483" s="1"/>
      <c r="O483" s="1"/>
      <c r="P483" s="1"/>
      <c r="Q483" s="1"/>
      <c r="R483" s="1"/>
      <c r="S483" s="1"/>
    </row>
    <row x14ac:dyDescent="0.25" r="484" customHeight="1" ht="18.75">
      <c r="A484" s="1"/>
      <c r="B484" s="2"/>
      <c r="C484" s="2"/>
      <c r="D484" s="2"/>
      <c r="E484" s="2"/>
      <c r="F484" s="3"/>
      <c r="G484" s="4"/>
      <c r="H484" s="5"/>
      <c r="I484" s="4"/>
      <c r="J484" s="5"/>
      <c r="K484" s="1"/>
      <c r="L484" s="7"/>
      <c r="M484" s="1"/>
      <c r="N484" s="1"/>
      <c r="O484" s="1"/>
      <c r="P484" s="1"/>
      <c r="Q484" s="1"/>
      <c r="R484" s="1"/>
      <c r="S484" s="1"/>
    </row>
    <row x14ac:dyDescent="0.25" r="485" customHeight="1" ht="18.75">
      <c r="A485" s="1"/>
      <c r="B485" s="2"/>
      <c r="C485" s="2"/>
      <c r="D485" s="2"/>
      <c r="E485" s="2"/>
      <c r="F485" s="3"/>
      <c r="G485" s="4"/>
      <c r="H485" s="5"/>
      <c r="I485" s="4"/>
      <c r="J485" s="5"/>
      <c r="K485" s="1"/>
      <c r="L485" s="7"/>
      <c r="M485" s="1"/>
      <c r="N485" s="1"/>
      <c r="O485" s="1"/>
      <c r="P485" s="1"/>
      <c r="Q485" s="1"/>
      <c r="R485" s="1"/>
      <c r="S485" s="1"/>
    </row>
    <row x14ac:dyDescent="0.25" r="486" customHeight="1" ht="18.75">
      <c r="A486" s="1"/>
      <c r="B486" s="2"/>
      <c r="C486" s="2"/>
      <c r="D486" s="2"/>
      <c r="E486" s="2"/>
      <c r="F486" s="3"/>
      <c r="G486" s="4"/>
      <c r="H486" s="5"/>
      <c r="I486" s="4"/>
      <c r="J486" s="5"/>
      <c r="K486" s="1"/>
      <c r="L486" s="7"/>
      <c r="M486" s="1"/>
      <c r="N486" s="1"/>
      <c r="O486" s="1"/>
      <c r="P486" s="1"/>
      <c r="Q486" s="1"/>
      <c r="R486" s="1"/>
      <c r="S486" s="1"/>
    </row>
    <row x14ac:dyDescent="0.25" r="487" customHeight="1" ht="18.75">
      <c r="A487" s="1"/>
      <c r="B487" s="2"/>
      <c r="C487" s="2"/>
      <c r="D487" s="2"/>
      <c r="E487" s="2"/>
      <c r="F487" s="3"/>
      <c r="G487" s="4"/>
      <c r="H487" s="5"/>
      <c r="I487" s="4"/>
      <c r="J487" s="5"/>
      <c r="K487" s="1"/>
      <c r="L487" s="7"/>
      <c r="M487" s="1"/>
      <c r="N487" s="1"/>
      <c r="O487" s="1"/>
      <c r="P487" s="1"/>
      <c r="Q487" s="1"/>
      <c r="R487" s="1"/>
      <c r="S487" s="1"/>
    </row>
    <row x14ac:dyDescent="0.25" r="488" customHeight="1" ht="18.75">
      <c r="A488" s="1"/>
      <c r="B488" s="2"/>
      <c r="C488" s="2"/>
      <c r="D488" s="2"/>
      <c r="E488" s="2"/>
      <c r="F488" s="3"/>
      <c r="G488" s="4"/>
      <c r="H488" s="5"/>
      <c r="I488" s="4"/>
      <c r="J488" s="5"/>
      <c r="K488" s="1"/>
      <c r="L488" s="7"/>
      <c r="M488" s="1"/>
      <c r="N488" s="1"/>
      <c r="O488" s="1"/>
      <c r="P488" s="1"/>
      <c r="Q488" s="1"/>
      <c r="R488" s="1"/>
      <c r="S488" s="1"/>
    </row>
    <row x14ac:dyDescent="0.25" r="489" customHeight="1" ht="18.75">
      <c r="A489" s="1"/>
      <c r="B489" s="2"/>
      <c r="C489" s="2"/>
      <c r="D489" s="2"/>
      <c r="E489" s="2"/>
      <c r="F489" s="3"/>
      <c r="G489" s="4"/>
      <c r="H489" s="5"/>
      <c r="I489" s="4"/>
      <c r="J489" s="5"/>
      <c r="K489" s="1"/>
      <c r="L489" s="7"/>
      <c r="M489" s="1"/>
      <c r="N489" s="1"/>
      <c r="O489" s="1"/>
      <c r="P489" s="1"/>
      <c r="Q489" s="1"/>
      <c r="R489" s="1"/>
      <c r="S489" s="1"/>
    </row>
    <row x14ac:dyDescent="0.25" r="490" customHeight="1" ht="18.75">
      <c r="A490" s="1"/>
      <c r="B490" s="2"/>
      <c r="C490" s="2"/>
      <c r="D490" s="2"/>
      <c r="E490" s="2"/>
      <c r="F490" s="3"/>
      <c r="G490" s="4"/>
      <c r="H490" s="5"/>
      <c r="I490" s="4"/>
      <c r="J490" s="5"/>
      <c r="K490" s="1"/>
      <c r="L490" s="7"/>
      <c r="M490" s="1"/>
      <c r="N490" s="1"/>
      <c r="O490" s="1"/>
      <c r="P490" s="1"/>
      <c r="Q490" s="1"/>
      <c r="R490" s="1"/>
      <c r="S490" s="1"/>
    </row>
    <row x14ac:dyDescent="0.25" r="491" customHeight="1" ht="18.75">
      <c r="A491" s="1"/>
      <c r="B491" s="2"/>
      <c r="C491" s="2"/>
      <c r="D491" s="2"/>
      <c r="E491" s="2"/>
      <c r="F491" s="3"/>
      <c r="G491" s="4"/>
      <c r="H491" s="5"/>
      <c r="I491" s="4"/>
      <c r="J491" s="5"/>
      <c r="K491" s="1"/>
      <c r="L491" s="7"/>
      <c r="M491" s="1"/>
      <c r="N491" s="1"/>
      <c r="O491" s="1"/>
      <c r="P491" s="1"/>
      <c r="Q491" s="1"/>
      <c r="R491" s="1"/>
      <c r="S491" s="1"/>
    </row>
    <row x14ac:dyDescent="0.25" r="492" customHeight="1" ht="18.75">
      <c r="A492" s="1"/>
      <c r="B492" s="2"/>
      <c r="C492" s="2"/>
      <c r="D492" s="2"/>
      <c r="E492" s="2"/>
      <c r="F492" s="3"/>
      <c r="G492" s="4"/>
      <c r="H492" s="5"/>
      <c r="I492" s="4"/>
      <c r="J492" s="5"/>
      <c r="K492" s="1"/>
      <c r="L492" s="7"/>
      <c r="M492" s="1"/>
      <c r="N492" s="1"/>
      <c r="O492" s="1"/>
      <c r="P492" s="1"/>
      <c r="Q492" s="1"/>
      <c r="R492" s="1"/>
      <c r="S492" s="1"/>
    </row>
    <row x14ac:dyDescent="0.25" r="493" customHeight="1" ht="42.75">
      <c r="A493" s="1"/>
      <c r="B493" s="2"/>
      <c r="C493" s="2"/>
      <c r="D493" s="2"/>
      <c r="E493" s="2"/>
      <c r="F493" s="3"/>
      <c r="G493" s="4"/>
      <c r="H493" s="5"/>
      <c r="I493" s="4"/>
      <c r="J493" s="5"/>
      <c r="K493" s="1"/>
      <c r="L493" s="7"/>
      <c r="M493" s="1"/>
      <c r="N493" s="1"/>
      <c r="O493" s="1"/>
      <c r="P493" s="1"/>
      <c r="Q493" s="1"/>
      <c r="R493" s="1"/>
      <c r="S493" s="1"/>
    </row>
    <row x14ac:dyDescent="0.25" r="494" customHeight="1" ht="18.75">
      <c r="A494" s="1"/>
      <c r="B494" s="2"/>
      <c r="C494" s="2"/>
      <c r="D494" s="2"/>
      <c r="E494" s="2"/>
      <c r="F494" s="3"/>
      <c r="G494" s="4"/>
      <c r="H494" s="5"/>
      <c r="I494" s="4"/>
      <c r="J494" s="5"/>
      <c r="K494" s="1"/>
      <c r="L494" s="7"/>
      <c r="M494" s="1"/>
      <c r="N494" s="1"/>
      <c r="O494" s="1"/>
      <c r="P494" s="1"/>
      <c r="Q494" s="1"/>
      <c r="R494" s="1"/>
      <c r="S494" s="1"/>
    </row>
    <row x14ac:dyDescent="0.25" r="495" customHeight="1" ht="29.25">
      <c r="A495" s="1"/>
      <c r="B495" s="2"/>
      <c r="C495" s="2"/>
      <c r="D495" s="2"/>
      <c r="E495" s="2"/>
      <c r="F495" s="3"/>
      <c r="G495" s="4"/>
      <c r="H495" s="5"/>
      <c r="I495" s="4"/>
      <c r="J495" s="5"/>
      <c r="K495" s="1"/>
      <c r="L495" s="7"/>
      <c r="M495" s="1"/>
      <c r="N495" s="1"/>
      <c r="O495" s="1"/>
      <c r="P495" s="1"/>
      <c r="Q495" s="1"/>
      <c r="R495" s="1"/>
      <c r="S495" s="1"/>
    </row>
    <row x14ac:dyDescent="0.25" r="496" customHeight="1" ht="29.25">
      <c r="A496" s="1"/>
      <c r="B496" s="2"/>
      <c r="C496" s="2"/>
      <c r="D496" s="2"/>
      <c r="E496" s="2"/>
      <c r="F496" s="3"/>
      <c r="G496" s="4"/>
      <c r="H496" s="5"/>
      <c r="I496" s="4"/>
      <c r="J496" s="5"/>
      <c r="K496" s="1"/>
      <c r="L496" s="7"/>
      <c r="M496" s="1"/>
      <c r="N496" s="1"/>
      <c r="O496" s="1"/>
      <c r="P496" s="1"/>
      <c r="Q496" s="1"/>
      <c r="R496" s="1"/>
      <c r="S496" s="1"/>
    </row>
    <row x14ac:dyDescent="0.25" r="497" customHeight="1" ht="29.25">
      <c r="A497" s="1"/>
      <c r="B497" s="2"/>
      <c r="C497" s="2"/>
      <c r="D497" s="2"/>
      <c r="E497" s="2"/>
      <c r="F497" s="3"/>
      <c r="G497" s="4"/>
      <c r="H497" s="5"/>
      <c r="I497" s="4"/>
      <c r="J497" s="5"/>
      <c r="K497" s="1"/>
      <c r="L497" s="7"/>
      <c r="M497" s="1"/>
      <c r="N497" s="1"/>
      <c r="O497" s="1"/>
      <c r="P497" s="1"/>
      <c r="Q497" s="1"/>
      <c r="R497" s="1"/>
      <c r="S497" s="1"/>
    </row>
    <row x14ac:dyDescent="0.25" r="498" customHeight="1" ht="29.25">
      <c r="A498" s="1"/>
      <c r="B498" s="2"/>
      <c r="C498" s="2"/>
      <c r="D498" s="2"/>
      <c r="E498" s="2"/>
      <c r="F498" s="3"/>
      <c r="G498" s="4"/>
      <c r="H498" s="5"/>
      <c r="I498" s="4"/>
      <c r="J498" s="5"/>
      <c r="K498" s="1"/>
      <c r="L498" s="7"/>
      <c r="M498" s="1"/>
      <c r="N498" s="1"/>
      <c r="O498" s="1"/>
      <c r="P498" s="1"/>
      <c r="Q498" s="1"/>
      <c r="R498" s="1"/>
      <c r="S498" s="1"/>
    </row>
    <row x14ac:dyDescent="0.25" r="499" customHeight="1" ht="29.25">
      <c r="A499" s="1"/>
      <c r="B499" s="2"/>
      <c r="C499" s="2"/>
      <c r="D499" s="2"/>
      <c r="E499" s="2"/>
      <c r="F499" s="3"/>
      <c r="G499" s="4"/>
      <c r="H499" s="5"/>
      <c r="I499" s="4"/>
      <c r="J499" s="5"/>
      <c r="K499" s="1"/>
      <c r="L499" s="7"/>
      <c r="M499" s="1"/>
      <c r="N499" s="1"/>
      <c r="O499" s="1"/>
      <c r="P499" s="1"/>
      <c r="Q499" s="1"/>
      <c r="R499" s="1"/>
      <c r="S499" s="1"/>
    </row>
    <row x14ac:dyDescent="0.25" r="500" customHeight="1" ht="56.25">
      <c r="A500" s="1"/>
      <c r="B500" s="2"/>
      <c r="C500" s="2"/>
      <c r="D500" s="2"/>
      <c r="E500" s="2"/>
      <c r="F500" s="3"/>
      <c r="G500" s="4"/>
      <c r="H500" s="5"/>
      <c r="I500" s="4"/>
      <c r="J500" s="5"/>
      <c r="K500" s="1"/>
      <c r="L500" s="7"/>
      <c r="M500" s="1"/>
      <c r="N500" s="1"/>
      <c r="O500" s="1"/>
      <c r="P500" s="1"/>
      <c r="Q500" s="1"/>
      <c r="R500" s="1"/>
      <c r="S500" s="1"/>
    </row>
    <row x14ac:dyDescent="0.25" r="501" customHeight="1" ht="29.25">
      <c r="A501" s="1"/>
      <c r="B501" s="2"/>
      <c r="C501" s="2"/>
      <c r="D501" s="2"/>
      <c r="E501" s="2"/>
      <c r="F501" s="3"/>
      <c r="G501" s="4"/>
      <c r="H501" s="5"/>
      <c r="I501" s="4"/>
      <c r="J501" s="5"/>
      <c r="K501" s="1"/>
      <c r="L501" s="7"/>
      <c r="M501" s="1"/>
      <c r="N501" s="1"/>
      <c r="O501" s="1"/>
      <c r="P501" s="1"/>
      <c r="Q501" s="1"/>
      <c r="R501" s="1"/>
      <c r="S501" s="1"/>
    </row>
    <row x14ac:dyDescent="0.25" r="502" customHeight="1" ht="29.25">
      <c r="A502" s="1"/>
      <c r="B502" s="2"/>
      <c r="C502" s="2"/>
      <c r="D502" s="2"/>
      <c r="E502" s="2"/>
      <c r="F502" s="3"/>
      <c r="G502" s="4"/>
      <c r="H502" s="5"/>
      <c r="I502" s="4"/>
      <c r="J502" s="5"/>
      <c r="K502" s="1"/>
      <c r="L502" s="7"/>
      <c r="M502" s="1"/>
      <c r="N502" s="1"/>
      <c r="O502" s="1"/>
      <c r="P502" s="1"/>
      <c r="Q502" s="1"/>
      <c r="R502" s="1"/>
      <c r="S502" s="1"/>
    </row>
    <row x14ac:dyDescent="0.25" r="503" customHeight="1" ht="29.25">
      <c r="A503" s="1"/>
      <c r="B503" s="2"/>
      <c r="C503" s="2"/>
      <c r="D503" s="2"/>
      <c r="E503" s="2"/>
      <c r="F503" s="3"/>
      <c r="G503" s="4"/>
      <c r="H503" s="5"/>
      <c r="I503" s="4"/>
      <c r="J503" s="5"/>
      <c r="K503" s="1"/>
      <c r="L503" s="7"/>
      <c r="M503" s="1"/>
      <c r="N503" s="1"/>
      <c r="O503" s="1"/>
      <c r="P503" s="1"/>
      <c r="Q503" s="1"/>
      <c r="R503" s="1"/>
      <c r="S503" s="1"/>
    </row>
    <row x14ac:dyDescent="0.25" r="504" customHeight="1" ht="29.25">
      <c r="A504" s="1"/>
      <c r="B504" s="2"/>
      <c r="C504" s="2"/>
      <c r="D504" s="2"/>
      <c r="E504" s="2"/>
      <c r="F504" s="3"/>
      <c r="G504" s="4"/>
      <c r="H504" s="5"/>
      <c r="I504" s="4"/>
      <c r="J504" s="5"/>
      <c r="K504" s="1"/>
      <c r="L504" s="7"/>
      <c r="M504" s="1"/>
      <c r="N504" s="1"/>
      <c r="O504" s="1"/>
      <c r="P504" s="1"/>
      <c r="Q504" s="1"/>
      <c r="R504" s="1"/>
      <c r="S504" s="1"/>
    </row>
    <row x14ac:dyDescent="0.25" r="505" customHeight="1" ht="29.25">
      <c r="A505" s="1"/>
      <c r="B505" s="2"/>
      <c r="C505" s="2"/>
      <c r="D505" s="2"/>
      <c r="E505" s="2"/>
      <c r="F505" s="3"/>
      <c r="G505" s="4"/>
      <c r="H505" s="5"/>
      <c r="I505" s="4"/>
      <c r="J505" s="5"/>
      <c r="K505" s="1"/>
      <c r="L505" s="7"/>
      <c r="M505" s="1"/>
      <c r="N505" s="1"/>
      <c r="O505" s="1"/>
      <c r="P505" s="1"/>
      <c r="Q505" s="1"/>
      <c r="R505" s="1"/>
      <c r="S505" s="1"/>
    </row>
    <row x14ac:dyDescent="0.25" r="506" customHeight="1" ht="29.25">
      <c r="A506" s="1"/>
      <c r="B506" s="2"/>
      <c r="C506" s="2"/>
      <c r="D506" s="2"/>
      <c r="E506" s="2"/>
      <c r="F506" s="3"/>
      <c r="G506" s="4"/>
      <c r="H506" s="5"/>
      <c r="I506" s="4"/>
      <c r="J506" s="5"/>
      <c r="K506" s="1"/>
      <c r="L506" s="7"/>
      <c r="M506" s="1"/>
      <c r="N506" s="1"/>
      <c r="O506" s="1"/>
      <c r="P506" s="1"/>
      <c r="Q506" s="1"/>
      <c r="R506" s="1"/>
      <c r="S506" s="1"/>
    </row>
    <row x14ac:dyDescent="0.25" r="507" customHeight="1" ht="29.25">
      <c r="A507" s="1"/>
      <c r="B507" s="2"/>
      <c r="C507" s="2"/>
      <c r="D507" s="2"/>
      <c r="E507" s="2"/>
      <c r="F507" s="3"/>
      <c r="G507" s="4"/>
      <c r="H507" s="5"/>
      <c r="I507" s="4"/>
      <c r="J507" s="5"/>
      <c r="K507" s="1"/>
      <c r="L507" s="7"/>
      <c r="M507" s="1"/>
      <c r="N507" s="1"/>
      <c r="O507" s="1"/>
      <c r="P507" s="1"/>
      <c r="Q507" s="1"/>
      <c r="R507" s="1"/>
      <c r="S507" s="1"/>
    </row>
    <row x14ac:dyDescent="0.25" r="508" customHeight="1" ht="29.25">
      <c r="A508" s="1"/>
      <c r="B508" s="2"/>
      <c r="C508" s="2"/>
      <c r="D508" s="2"/>
      <c r="E508" s="2"/>
      <c r="F508" s="3"/>
      <c r="G508" s="4"/>
      <c r="H508" s="5"/>
      <c r="I508" s="4"/>
      <c r="J508" s="5"/>
      <c r="K508" s="1"/>
      <c r="L508" s="7"/>
      <c r="M508" s="1"/>
      <c r="N508" s="1"/>
      <c r="O508" s="1"/>
      <c r="P508" s="1"/>
      <c r="Q508" s="1"/>
      <c r="R508" s="1"/>
      <c r="S508" s="1"/>
    </row>
    <row x14ac:dyDescent="0.25" r="509" customHeight="1" ht="18.75">
      <c r="A509" s="1"/>
      <c r="B509" s="140" t="s">
        <v>33</v>
      </c>
      <c r="C509" s="140"/>
      <c r="D509" s="140"/>
      <c r="E509" s="140"/>
      <c r="F509" s="141"/>
      <c r="G509" s="142"/>
      <c r="H509" s="143"/>
      <c r="I509" s="142"/>
      <c r="J509" s="5"/>
      <c r="K509" s="1"/>
      <c r="L509" s="7"/>
      <c r="M509" s="1"/>
      <c r="N509" s="1"/>
      <c r="O509" s="1"/>
      <c r="P509" s="1"/>
      <c r="Q509" s="1"/>
      <c r="R509" s="1"/>
      <c r="S509" s="1"/>
    </row>
    <row x14ac:dyDescent="0.25" r="510" customHeight="1" ht="3.75">
      <c r="A510" s="1"/>
      <c r="B510" s="2"/>
      <c r="C510" s="30"/>
      <c r="D510" s="30"/>
      <c r="E510" s="144"/>
      <c r="F510" s="31"/>
      <c r="G510" s="4"/>
      <c r="H510" s="5"/>
      <c r="I510" s="4"/>
      <c r="J510" s="5"/>
      <c r="K510" s="1"/>
      <c r="L510" s="7"/>
      <c r="M510" s="1"/>
      <c r="N510" s="1"/>
      <c r="O510" s="1"/>
      <c r="P510" s="1"/>
      <c r="Q510" s="1"/>
      <c r="R510" s="1"/>
      <c r="S510" s="1"/>
    </row>
    <row x14ac:dyDescent="0.25" r="511" customHeight="1" ht="18.75">
      <c r="A511" s="1"/>
      <c r="B511" s="145" t="s">
        <v>34</v>
      </c>
      <c r="C511" s="146"/>
      <c r="D511" s="146"/>
      <c r="E511" s="146"/>
      <c r="F511" s="147"/>
      <c r="G511" s="148"/>
      <c r="H511" s="149">
        <f>+'Simulador - RESUMEN'!E36</f>
      </c>
      <c r="I511" s="150"/>
      <c r="J511" s="5"/>
      <c r="K511" s="1"/>
      <c r="L511" s="7"/>
      <c r="M511" s="1"/>
      <c r="N511" s="1"/>
      <c r="O511" s="1"/>
      <c r="P511" s="1"/>
      <c r="Q511" s="1"/>
      <c r="R511" s="1"/>
      <c r="S511" s="1"/>
    </row>
    <row x14ac:dyDescent="0.25" r="512" customHeight="1" ht="18.75">
      <c r="A512" s="1"/>
      <c r="B512" s="151" t="s">
        <v>35</v>
      </c>
      <c r="C512" s="152"/>
      <c r="D512" s="152"/>
      <c r="E512" s="152"/>
      <c r="F512" s="153"/>
      <c r="G512" s="154"/>
      <c r="H512" s="155">
        <f>+'Simulador - RESUMEN'!E38</f>
      </c>
      <c r="I512" s="156"/>
      <c r="J512" s="5"/>
      <c r="K512" s="1"/>
      <c r="L512" s="7"/>
      <c r="M512" s="1"/>
      <c r="N512" s="1"/>
      <c r="O512" s="1"/>
      <c r="P512" s="1"/>
      <c r="Q512" s="1"/>
      <c r="R512" s="1"/>
      <c r="S512" s="1"/>
    </row>
    <row x14ac:dyDescent="0.25" r="513" customHeight="1" ht="18.75">
      <c r="A513" s="1"/>
      <c r="B513" s="151" t="s">
        <v>36</v>
      </c>
      <c r="C513" s="152"/>
      <c r="D513" s="152"/>
      <c r="E513" s="152"/>
      <c r="F513" s="153"/>
      <c r="G513" s="154"/>
      <c r="H513" s="155">
        <f>+'Simulador - RESUMEN'!E40</f>
      </c>
      <c r="I513" s="156"/>
      <c r="J513" s="5"/>
      <c r="K513" s="1"/>
      <c r="L513" s="7"/>
      <c r="M513" s="1"/>
      <c r="N513" s="1"/>
      <c r="O513" s="1"/>
      <c r="P513" s="1"/>
      <c r="Q513" s="1"/>
      <c r="R513" s="1"/>
      <c r="S513" s="1"/>
    </row>
    <row x14ac:dyDescent="0.25" r="514" customHeight="1" ht="18.75">
      <c r="A514" s="1"/>
      <c r="B514" s="151" t="s">
        <v>37</v>
      </c>
      <c r="C514" s="152"/>
      <c r="D514" s="152"/>
      <c r="E514" s="152"/>
      <c r="F514" s="153"/>
      <c r="G514" s="154"/>
      <c r="H514" s="155">
        <f>+'Simulador - RESUMEN'!E42</f>
      </c>
      <c r="I514" s="156"/>
      <c r="J514" s="5"/>
      <c r="K514" s="1"/>
      <c r="L514" s="7"/>
      <c r="M514" s="1"/>
      <c r="N514" s="1"/>
      <c r="O514" s="1"/>
      <c r="P514" s="1"/>
      <c r="Q514" s="1"/>
      <c r="R514" s="1"/>
      <c r="S514" s="1"/>
    </row>
    <row x14ac:dyDescent="0.25" r="515" customHeight="1" ht="18.75">
      <c r="A515" s="1"/>
      <c r="B515" s="151" t="s">
        <v>38</v>
      </c>
      <c r="C515" s="152"/>
      <c r="D515" s="152"/>
      <c r="E515" s="152"/>
      <c r="F515" s="153"/>
      <c r="G515" s="154"/>
      <c r="H515" s="155">
        <f>+'Simulador - RESUMEN'!E46</f>
      </c>
      <c r="I515" s="156"/>
      <c r="J515" s="5"/>
      <c r="K515" s="1"/>
      <c r="L515" s="7"/>
      <c r="M515" s="1"/>
      <c r="N515" s="1"/>
      <c r="O515" s="1"/>
      <c r="P515" s="1"/>
      <c r="Q515" s="1"/>
      <c r="R515" s="1"/>
      <c r="S515" s="1"/>
    </row>
    <row x14ac:dyDescent="0.25" r="516" customHeight="1" ht="18.75">
      <c r="A516" s="1"/>
      <c r="B516" s="151" t="s">
        <v>39</v>
      </c>
      <c r="C516" s="152"/>
      <c r="D516" s="152"/>
      <c r="E516" s="152"/>
      <c r="F516" s="153"/>
      <c r="G516" s="154"/>
      <c r="H516" s="155">
        <f>+'Simulador - RESUMEN'!E48</f>
      </c>
      <c r="I516" s="156"/>
      <c r="J516" s="5"/>
      <c r="K516" s="1"/>
      <c r="L516" s="7"/>
      <c r="M516" s="1"/>
      <c r="N516" s="1"/>
      <c r="O516" s="1"/>
      <c r="P516" s="1"/>
      <c r="Q516" s="1"/>
      <c r="R516" s="1"/>
      <c r="S516" s="1"/>
    </row>
    <row x14ac:dyDescent="0.25" r="517" customHeight="1" ht="18.75">
      <c r="A517" s="1"/>
      <c r="B517" s="157" t="s">
        <v>40</v>
      </c>
      <c r="C517" s="158"/>
      <c r="D517" s="158"/>
      <c r="E517" s="158"/>
      <c r="F517" s="159"/>
      <c r="G517" s="160"/>
      <c r="H517" s="161">
        <f>+'Simulador - RESUMEN'!E50</f>
      </c>
      <c r="I517" s="162"/>
      <c r="J517" s="5"/>
      <c r="K517" s="1"/>
      <c r="L517" s="7"/>
      <c r="M517" s="1"/>
      <c r="N517" s="1"/>
      <c r="O517" s="1"/>
      <c r="P517" s="1"/>
      <c r="Q517" s="1"/>
      <c r="R517" s="1"/>
      <c r="S517" s="1"/>
    </row>
    <row x14ac:dyDescent="0.25" r="518" customHeight="1" ht="18.75">
      <c r="A518" s="1"/>
      <c r="B518" s="2"/>
      <c r="C518" s="2"/>
      <c r="D518" s="2"/>
      <c r="E518" s="2"/>
      <c r="F518" s="3"/>
      <c r="G518" s="4"/>
      <c r="H518" s="5"/>
      <c r="I518" s="4"/>
      <c r="J518" s="5"/>
      <c r="K518" s="1"/>
      <c r="L518" s="7"/>
      <c r="M518" s="1"/>
      <c r="N518" s="1"/>
      <c r="O518" s="1"/>
      <c r="P518" s="1"/>
      <c r="Q518" s="1"/>
      <c r="R518" s="1"/>
      <c r="S518" s="1"/>
    </row>
    <row x14ac:dyDescent="0.25" r="519" customHeight="1" ht="18.75">
      <c r="A519" s="1"/>
      <c r="B519" s="2"/>
      <c r="C519" s="2"/>
      <c r="D519" s="2"/>
      <c r="E519" s="2"/>
      <c r="F519" s="3"/>
      <c r="G519" s="4"/>
      <c r="H519" s="5"/>
      <c r="I519" s="4"/>
      <c r="J519" s="5"/>
      <c r="K519" s="1"/>
      <c r="L519" s="7"/>
      <c r="M519" s="1"/>
      <c r="N519" s="1"/>
      <c r="O519" s="1"/>
      <c r="P519" s="1"/>
      <c r="Q519" s="1"/>
      <c r="R519" s="1"/>
      <c r="S519" s="1"/>
    </row>
    <row x14ac:dyDescent="0.25" r="520" customHeight="1" ht="18.75">
      <c r="A520" s="1"/>
      <c r="B520" s="2"/>
      <c r="C520" s="2"/>
      <c r="D520" s="2"/>
      <c r="E520" s="2"/>
      <c r="F520" s="3"/>
      <c r="G520" s="4"/>
      <c r="H520" s="5"/>
      <c r="I520" s="4"/>
      <c r="J520" s="5"/>
      <c r="K520" s="1"/>
      <c r="L520" s="7"/>
      <c r="M520" s="1"/>
      <c r="N520" s="1"/>
      <c r="O520" s="1"/>
      <c r="P520" s="1"/>
      <c r="Q520" s="1"/>
      <c r="R520" s="1"/>
      <c r="S520" s="1"/>
    </row>
    <row x14ac:dyDescent="0.25" r="521" customHeight="1" ht="18.75">
      <c r="A521" s="1"/>
      <c r="B521" s="2"/>
      <c r="C521" s="2"/>
      <c r="D521" s="2"/>
      <c r="E521" s="2"/>
      <c r="F521" s="3"/>
      <c r="G521" s="4"/>
      <c r="H521" s="5"/>
      <c r="I521" s="4"/>
      <c r="J521" s="5"/>
      <c r="K521" s="1"/>
      <c r="L521" s="7"/>
      <c r="M521" s="1"/>
      <c r="N521" s="1"/>
      <c r="O521" s="1"/>
      <c r="P521" s="1"/>
      <c r="Q521" s="1"/>
      <c r="R521" s="1"/>
      <c r="S521" s="1"/>
    </row>
    <row x14ac:dyDescent="0.25" r="522" customHeight="1" ht="18.75">
      <c r="A522" s="1"/>
      <c r="B522" s="2"/>
      <c r="C522" s="2"/>
      <c r="D522" s="2"/>
      <c r="E522" s="2"/>
      <c r="F522" s="3"/>
      <c r="G522" s="4"/>
      <c r="H522" s="5"/>
      <c r="I522" s="4"/>
      <c r="J522" s="5"/>
      <c r="K522" s="1"/>
      <c r="L522" s="7"/>
      <c r="M522" s="1"/>
      <c r="N522" s="1"/>
      <c r="O522" s="1"/>
      <c r="P522" s="1"/>
      <c r="Q522" s="1"/>
      <c r="R522" s="1"/>
      <c r="S522" s="1"/>
    </row>
    <row x14ac:dyDescent="0.25" r="523" customHeight="1" ht="18.75">
      <c r="A523" s="1"/>
      <c r="B523" s="2"/>
      <c r="C523" s="2"/>
      <c r="D523" s="2"/>
      <c r="E523" s="2"/>
      <c r="F523" s="3"/>
      <c r="G523" s="4"/>
      <c r="H523" s="5"/>
      <c r="I523" s="4"/>
      <c r="J523" s="5"/>
      <c r="K523" s="1"/>
      <c r="L523" s="7"/>
      <c r="M523" s="1"/>
      <c r="N523" s="1"/>
      <c r="O523" s="1"/>
      <c r="P523" s="1"/>
      <c r="Q523" s="1"/>
      <c r="R523" s="1"/>
      <c r="S523" s="1"/>
    </row>
    <row x14ac:dyDescent="0.25" r="524" customHeight="1" ht="18.75">
      <c r="A524" s="1"/>
      <c r="B524" s="2"/>
      <c r="C524" s="2"/>
      <c r="D524" s="2"/>
      <c r="E524" s="2"/>
      <c r="F524" s="3"/>
      <c r="G524" s="4"/>
      <c r="H524" s="5"/>
      <c r="I524" s="4"/>
      <c r="J524" s="5"/>
      <c r="K524" s="1"/>
      <c r="L524" s="7"/>
      <c r="M524" s="1"/>
      <c r="N524" s="1"/>
      <c r="O524" s="1"/>
      <c r="P524" s="1"/>
      <c r="Q524" s="1"/>
      <c r="R524" s="1"/>
      <c r="S524" s="1"/>
    </row>
    <row x14ac:dyDescent="0.25" r="525" customHeight="1" ht="18.75">
      <c r="A525" s="1"/>
      <c r="B525" s="2"/>
      <c r="C525" s="2"/>
      <c r="D525" s="2"/>
      <c r="E525" s="2"/>
      <c r="F525" s="3"/>
      <c r="G525" s="4"/>
      <c r="H525" s="5"/>
      <c r="I525" s="4"/>
      <c r="J525" s="5"/>
      <c r="K525" s="1"/>
      <c r="L525" s="7"/>
      <c r="M525" s="1"/>
      <c r="N525" s="1"/>
      <c r="O525" s="1"/>
      <c r="P525" s="1"/>
      <c r="Q525" s="1"/>
      <c r="R525" s="1"/>
      <c r="S525" s="1"/>
    </row>
    <row x14ac:dyDescent="0.25" r="526" customHeight="1" ht="18.75">
      <c r="A526" s="1"/>
      <c r="B526" s="2"/>
      <c r="C526" s="2"/>
      <c r="D526" s="2"/>
      <c r="E526" s="2"/>
      <c r="F526" s="3"/>
      <c r="G526" s="4"/>
      <c r="H526" s="5"/>
      <c r="I526" s="4"/>
      <c r="J526" s="5"/>
      <c r="K526" s="1"/>
      <c r="L526" s="7"/>
      <c r="M526" s="1"/>
      <c r="N526" s="1"/>
      <c r="O526" s="1"/>
      <c r="P526" s="1"/>
      <c r="Q526" s="1"/>
      <c r="R526" s="1"/>
      <c r="S526" s="1"/>
    </row>
    <row x14ac:dyDescent="0.25" r="527" customHeight="1" ht="18.75">
      <c r="A527" s="1"/>
      <c r="B527" s="2"/>
      <c r="C527" s="2"/>
      <c r="D527" s="2"/>
      <c r="E527" s="2"/>
      <c r="F527" s="3"/>
      <c r="G527" s="4"/>
      <c r="H527" s="5"/>
      <c r="I527" s="4"/>
      <c r="J527" s="5"/>
      <c r="K527" s="1"/>
      <c r="L527" s="7"/>
      <c r="M527" s="1"/>
      <c r="N527" s="1"/>
      <c r="O527" s="1"/>
      <c r="P527" s="1"/>
      <c r="Q527" s="1"/>
      <c r="R527" s="1"/>
      <c r="S527" s="1"/>
    </row>
    <row x14ac:dyDescent="0.25" r="528" customHeight="1" ht="18.75">
      <c r="A528" s="1"/>
      <c r="B528" s="2"/>
      <c r="C528" s="2"/>
      <c r="D528" s="2"/>
      <c r="E528" s="2"/>
      <c r="F528" s="3"/>
      <c r="G528" s="4"/>
      <c r="H528" s="5"/>
      <c r="I528" s="4"/>
      <c r="J528" s="5"/>
      <c r="K528" s="1"/>
      <c r="L528" s="7"/>
      <c r="M528" s="1"/>
      <c r="N528" s="1"/>
      <c r="O528" s="1"/>
      <c r="P528" s="1"/>
      <c r="Q528" s="1"/>
      <c r="R528" s="1"/>
      <c r="S528" s="1"/>
    </row>
    <row x14ac:dyDescent="0.25" r="529" customHeight="1" ht="18.75">
      <c r="A529" s="1"/>
      <c r="B529" s="2"/>
      <c r="C529" s="2"/>
      <c r="D529" s="2"/>
      <c r="E529" s="2"/>
      <c r="F529" s="3"/>
      <c r="G529" s="4"/>
      <c r="H529" s="5"/>
      <c r="I529" s="4"/>
      <c r="J529" s="5"/>
      <c r="K529" s="1"/>
      <c r="L529" s="7"/>
      <c r="M529" s="1"/>
      <c r="N529" s="1"/>
      <c r="O529" s="1"/>
      <c r="P529" s="1"/>
      <c r="Q529" s="1"/>
      <c r="R529" s="1"/>
      <c r="S529" s="1"/>
    </row>
    <row x14ac:dyDescent="0.25" r="530" customHeight="1" ht="18.75">
      <c r="A530" s="1"/>
      <c r="B530" s="2"/>
      <c r="C530" s="2"/>
      <c r="D530" s="2"/>
      <c r="E530" s="2"/>
      <c r="F530" s="3"/>
      <c r="G530" s="4"/>
      <c r="H530" s="5"/>
      <c r="I530" s="4"/>
      <c r="J530" s="5"/>
      <c r="K530" s="1"/>
      <c r="L530" s="7"/>
      <c r="M530" s="1"/>
      <c r="N530" s="1"/>
      <c r="O530" s="1"/>
      <c r="P530" s="1"/>
      <c r="Q530" s="1"/>
      <c r="R530" s="1"/>
      <c r="S530" s="1"/>
    </row>
    <row x14ac:dyDescent="0.25" r="531" customHeight="1" ht="18.75">
      <c r="A531" s="1"/>
      <c r="B531" s="2"/>
      <c r="C531" s="2"/>
      <c r="D531" s="2"/>
      <c r="E531" s="2"/>
      <c r="F531" s="3"/>
      <c r="G531" s="4"/>
      <c r="H531" s="5"/>
      <c r="I531" s="4"/>
      <c r="J531" s="5"/>
      <c r="K531" s="1"/>
      <c r="L531" s="7"/>
      <c r="M531" s="1"/>
      <c r="N531" s="1"/>
      <c r="O531" s="1"/>
      <c r="P531" s="1"/>
      <c r="Q531" s="1"/>
      <c r="R531" s="1"/>
      <c r="S531" s="1"/>
    </row>
    <row x14ac:dyDescent="0.25" r="532" customHeight="1" ht="18.75">
      <c r="A532" s="1"/>
      <c r="B532" s="2"/>
      <c r="C532" s="2"/>
      <c r="D532" s="2"/>
      <c r="E532" s="2"/>
      <c r="F532" s="3"/>
      <c r="G532" s="4"/>
      <c r="H532" s="5"/>
      <c r="I532" s="4"/>
      <c r="J532" s="5"/>
      <c r="K532" s="1"/>
      <c r="L532" s="7"/>
      <c r="M532" s="1"/>
      <c r="N532" s="1"/>
      <c r="O532" s="1"/>
      <c r="P532" s="1"/>
      <c r="Q532" s="1"/>
      <c r="R532" s="1"/>
      <c r="S532" s="1"/>
    </row>
    <row x14ac:dyDescent="0.25" r="533" customHeight="1" ht="18.75">
      <c r="A533" s="1"/>
      <c r="B533" s="2"/>
      <c r="C533" s="2"/>
      <c r="D533" s="2"/>
      <c r="E533" s="2"/>
      <c r="F533" s="3"/>
      <c r="G533" s="4"/>
      <c r="H533" s="5"/>
      <c r="I533" s="4"/>
      <c r="J533" s="5"/>
      <c r="K533" s="1"/>
      <c r="L533" s="7"/>
      <c r="M533" s="1"/>
      <c r="N533" s="1"/>
      <c r="O533" s="1"/>
      <c r="P533" s="1"/>
      <c r="Q533" s="1"/>
      <c r="R533" s="1"/>
      <c r="S533" s="1"/>
    </row>
    <row x14ac:dyDescent="0.25" r="534" customHeight="1" ht="18.75">
      <c r="A534" s="1"/>
      <c r="B534" s="2"/>
      <c r="C534" s="2"/>
      <c r="D534" s="2"/>
      <c r="E534" s="2"/>
      <c r="F534" s="3"/>
      <c r="G534" s="4"/>
      <c r="H534" s="5"/>
      <c r="I534" s="4"/>
      <c r="J534" s="5"/>
      <c r="K534" s="1"/>
      <c r="L534" s="7"/>
      <c r="M534" s="1"/>
      <c r="N534" s="1"/>
      <c r="O534" s="1"/>
      <c r="P534" s="1"/>
      <c r="Q534" s="1"/>
      <c r="R534" s="1"/>
      <c r="S534" s="1"/>
    </row>
    <row x14ac:dyDescent="0.25" r="535" customHeight="1" ht="18.75">
      <c r="A535" s="1"/>
      <c r="B535" s="2"/>
      <c r="C535" s="2"/>
      <c r="D535" s="2"/>
      <c r="E535" s="2"/>
      <c r="F535" s="3"/>
      <c r="G535" s="4"/>
      <c r="H535" s="5"/>
      <c r="I535" s="4"/>
      <c r="J535" s="5"/>
      <c r="K535" s="1"/>
      <c r="L535" s="7"/>
      <c r="M535" s="1"/>
      <c r="N535" s="1"/>
      <c r="O535" s="1"/>
      <c r="P535" s="1"/>
      <c r="Q535" s="1"/>
      <c r="R535" s="1"/>
      <c r="S535" s="1"/>
    </row>
    <row x14ac:dyDescent="0.25" r="536" customHeight="1" ht="18.75">
      <c r="A536" s="1"/>
      <c r="B536" s="2"/>
      <c r="C536" s="2"/>
      <c r="D536" s="2"/>
      <c r="E536" s="2"/>
      <c r="F536" s="3"/>
      <c r="G536" s="4"/>
      <c r="H536" s="5"/>
      <c r="I536" s="4"/>
      <c r="J536" s="5"/>
      <c r="K536" s="1"/>
      <c r="L536" s="7"/>
      <c r="M536" s="1"/>
      <c r="N536" s="1"/>
      <c r="O536" s="1"/>
      <c r="P536" s="1"/>
      <c r="Q536" s="1"/>
      <c r="R536" s="1"/>
      <c r="S536" s="1"/>
    </row>
    <row x14ac:dyDescent="0.25" r="537" customHeight="1" ht="18.75">
      <c r="A537" s="1"/>
      <c r="B537" s="2"/>
      <c r="C537" s="2"/>
      <c r="D537" s="2"/>
      <c r="E537" s="2"/>
      <c r="F537" s="3"/>
      <c r="G537" s="4"/>
      <c r="H537" s="5"/>
      <c r="I537" s="4"/>
      <c r="J537" s="5"/>
      <c r="K537" s="1"/>
      <c r="L537" s="7"/>
      <c r="M537" s="1"/>
      <c r="N537" s="1"/>
      <c r="O537" s="1"/>
      <c r="P537" s="1"/>
      <c r="Q537" s="1"/>
      <c r="R537" s="1"/>
      <c r="S537" s="1"/>
    </row>
    <row x14ac:dyDescent="0.25" r="538" customHeight="1" ht="18.75">
      <c r="A538" s="1"/>
      <c r="B538" s="2"/>
      <c r="C538" s="2"/>
      <c r="D538" s="2"/>
      <c r="E538" s="2"/>
      <c r="F538" s="3"/>
      <c r="G538" s="4"/>
      <c r="H538" s="5"/>
      <c r="I538" s="4"/>
      <c r="J538" s="5"/>
      <c r="K538" s="1"/>
      <c r="L538" s="7"/>
      <c r="M538" s="1"/>
      <c r="N538" s="1"/>
      <c r="O538" s="1"/>
      <c r="P538" s="1"/>
      <c r="Q538" s="1"/>
      <c r="R538" s="1"/>
      <c r="S538" s="1"/>
    </row>
    <row x14ac:dyDescent="0.25" r="539" customHeight="1" ht="18.75">
      <c r="A539" s="1"/>
      <c r="B539" s="2"/>
      <c r="C539" s="2"/>
      <c r="D539" s="2"/>
      <c r="E539" s="2"/>
      <c r="F539" s="3"/>
      <c r="G539" s="4"/>
      <c r="H539" s="5"/>
      <c r="I539" s="4"/>
      <c r="J539" s="5"/>
      <c r="K539" s="1"/>
      <c r="L539" s="7"/>
      <c r="M539" s="1"/>
      <c r="N539" s="1"/>
      <c r="O539" s="1"/>
      <c r="P539" s="1"/>
      <c r="Q539" s="1"/>
      <c r="R539" s="1"/>
      <c r="S539" s="1"/>
    </row>
    <row x14ac:dyDescent="0.25" r="540" customHeight="1" ht="18.75">
      <c r="A540" s="1"/>
      <c r="B540" s="2"/>
      <c r="C540" s="2"/>
      <c r="D540" s="2"/>
      <c r="E540" s="2"/>
      <c r="F540" s="3"/>
      <c r="G540" s="4"/>
      <c r="H540" s="5"/>
      <c r="I540" s="4"/>
      <c r="J540" s="5"/>
      <c r="K540" s="1"/>
      <c r="L540" s="7"/>
      <c r="M540" s="1"/>
      <c r="N540" s="1"/>
      <c r="O540" s="1"/>
      <c r="P540" s="1"/>
      <c r="Q540" s="1"/>
      <c r="R540" s="1"/>
      <c r="S540" s="1"/>
    </row>
    <row x14ac:dyDescent="0.25" r="541" customHeight="1" ht="18.75">
      <c r="A541" s="1"/>
      <c r="B541" s="2"/>
      <c r="C541" s="2"/>
      <c r="D541" s="2"/>
      <c r="E541" s="2"/>
      <c r="F541" s="3"/>
      <c r="G541" s="4"/>
      <c r="H541" s="5"/>
      <c r="I541" s="4"/>
      <c r="J541" s="5"/>
      <c r="K541" s="1"/>
      <c r="L541" s="7"/>
      <c r="M541" s="1"/>
      <c r="N541" s="1"/>
      <c r="O541" s="1"/>
      <c r="P541" s="1"/>
      <c r="Q541" s="1"/>
      <c r="R541" s="1"/>
      <c r="S541" s="1"/>
    </row>
    <row x14ac:dyDescent="0.25" r="542" customHeight="1" ht="18.75">
      <c r="A542" s="1"/>
      <c r="B542" s="2"/>
      <c r="C542" s="2"/>
      <c r="D542" s="2"/>
      <c r="E542" s="2"/>
      <c r="F542" s="3"/>
      <c r="G542" s="4"/>
      <c r="H542" s="5"/>
      <c r="I542" s="4"/>
      <c r="J542" s="5"/>
      <c r="K542" s="1"/>
      <c r="L542" s="7"/>
      <c r="M542" s="1"/>
      <c r="N542" s="1"/>
      <c r="O542" s="1"/>
      <c r="P542" s="1"/>
      <c r="Q542" s="1"/>
      <c r="R542" s="1"/>
      <c r="S542" s="1"/>
    </row>
    <row x14ac:dyDescent="0.25" r="543" customHeight="1" ht="18.75">
      <c r="A543" s="1"/>
      <c r="B543" s="2"/>
      <c r="C543" s="2"/>
      <c r="D543" s="2"/>
      <c r="E543" s="2"/>
      <c r="F543" s="3"/>
      <c r="G543" s="4"/>
      <c r="H543" s="5"/>
      <c r="I543" s="4"/>
      <c r="J543" s="5"/>
      <c r="K543" s="1"/>
      <c r="L543" s="7"/>
      <c r="M543" s="1"/>
      <c r="N543" s="1"/>
      <c r="O543" s="1"/>
      <c r="P543" s="1"/>
      <c r="Q543" s="1"/>
      <c r="R543" s="1"/>
      <c r="S543" s="1"/>
    </row>
    <row x14ac:dyDescent="0.25" r="544" customHeight="1" ht="18.75">
      <c r="A544" s="1"/>
      <c r="B544" s="2"/>
      <c r="C544" s="2"/>
      <c r="D544" s="2"/>
      <c r="E544" s="2"/>
      <c r="F544" s="3"/>
      <c r="G544" s="4"/>
      <c r="H544" s="5"/>
      <c r="I544" s="4"/>
      <c r="J544" s="5"/>
      <c r="K544" s="1"/>
      <c r="L544" s="7"/>
      <c r="M544" s="1"/>
      <c r="N544" s="1"/>
      <c r="O544" s="1"/>
      <c r="P544" s="1"/>
      <c r="Q544" s="1"/>
      <c r="R544" s="1"/>
      <c r="S544" s="1"/>
    </row>
    <row x14ac:dyDescent="0.25" r="545" customHeight="1" ht="18.75">
      <c r="A545" s="1"/>
      <c r="B545" s="2"/>
      <c r="C545" s="2"/>
      <c r="D545" s="2"/>
      <c r="E545" s="2"/>
      <c r="F545" s="3"/>
      <c r="G545" s="4"/>
      <c r="H545" s="5"/>
      <c r="I545" s="4"/>
      <c r="J545" s="5"/>
      <c r="K545" s="1"/>
      <c r="L545" s="7"/>
      <c r="M545" s="1"/>
      <c r="N545" s="1"/>
      <c r="O545" s="1"/>
      <c r="P545" s="1"/>
      <c r="Q545" s="1"/>
      <c r="R545" s="1"/>
      <c r="S545" s="1"/>
    </row>
    <row x14ac:dyDescent="0.25" r="546" customHeight="1" ht="18.75">
      <c r="A546" s="1"/>
      <c r="B546" s="2"/>
      <c r="C546" s="2"/>
      <c r="D546" s="2"/>
      <c r="E546" s="2"/>
      <c r="F546" s="3"/>
      <c r="G546" s="4"/>
      <c r="H546" s="5"/>
      <c r="I546" s="4"/>
      <c r="J546" s="5"/>
      <c r="K546" s="1"/>
      <c r="L546" s="7"/>
      <c r="M546" s="1"/>
      <c r="N546" s="1"/>
      <c r="O546" s="1"/>
      <c r="P546" s="1"/>
      <c r="Q546" s="1"/>
      <c r="R546" s="1"/>
      <c r="S546" s="1"/>
    </row>
    <row x14ac:dyDescent="0.25" r="547" customHeight="1" ht="18.75">
      <c r="A547" s="1"/>
      <c r="B547" s="2"/>
      <c r="C547" s="2"/>
      <c r="D547" s="2"/>
      <c r="E547" s="2"/>
      <c r="F547" s="3"/>
      <c r="G547" s="4"/>
      <c r="H547" s="5"/>
      <c r="I547" s="4"/>
      <c r="J547" s="5"/>
      <c r="K547" s="1"/>
      <c r="L547" s="7"/>
      <c r="M547" s="1"/>
      <c r="N547" s="1"/>
      <c r="O547" s="1"/>
      <c r="P547" s="1"/>
      <c r="Q547" s="1"/>
      <c r="R547" s="1"/>
      <c r="S547" s="1"/>
    </row>
    <row x14ac:dyDescent="0.25" r="548" customHeight="1" ht="18.75">
      <c r="A548" s="1"/>
      <c r="B548" s="2"/>
      <c r="C548" s="2"/>
      <c r="D548" s="2"/>
      <c r="E548" s="2"/>
      <c r="F548" s="3"/>
      <c r="G548" s="4"/>
      <c r="H548" s="5"/>
      <c r="I548" s="4"/>
      <c r="J548" s="5"/>
      <c r="K548" s="1"/>
      <c r="L548" s="7"/>
      <c r="M548" s="1"/>
      <c r="N548" s="1"/>
      <c r="O548" s="1"/>
      <c r="P548" s="1"/>
      <c r="Q548" s="1"/>
      <c r="R548" s="1"/>
      <c r="S548" s="1"/>
    </row>
    <row x14ac:dyDescent="0.25" r="549" customHeight="1" ht="18.75">
      <c r="A549" s="1"/>
      <c r="B549" s="2"/>
      <c r="C549" s="2"/>
      <c r="D549" s="2"/>
      <c r="E549" s="2"/>
      <c r="F549" s="3"/>
      <c r="G549" s="4"/>
      <c r="H549" s="5"/>
      <c r="I549" s="4"/>
      <c r="J549" s="5"/>
      <c r="K549" s="1"/>
      <c r="L549" s="7"/>
      <c r="M549" s="1"/>
      <c r="N549" s="1"/>
      <c r="O549" s="1"/>
      <c r="P549" s="1"/>
      <c r="Q549" s="1"/>
      <c r="R549" s="1"/>
      <c r="S549" s="1"/>
    </row>
    <row x14ac:dyDescent="0.25" r="550" customHeight="1" ht="18.75">
      <c r="A550" s="1"/>
      <c r="B550" s="2"/>
      <c r="C550" s="2"/>
      <c r="D550" s="2"/>
      <c r="E550" s="2"/>
      <c r="F550" s="3"/>
      <c r="G550" s="4"/>
      <c r="H550" s="5"/>
      <c r="I550" s="4"/>
      <c r="J550" s="5"/>
      <c r="K550" s="1"/>
      <c r="L550" s="7"/>
      <c r="M550" s="1"/>
      <c r="N550" s="1"/>
      <c r="O550" s="1"/>
      <c r="P550" s="1"/>
      <c r="Q550" s="1"/>
      <c r="R550" s="1"/>
      <c r="S550" s="1"/>
    </row>
    <row x14ac:dyDescent="0.25" r="551" customHeight="1" ht="18.75">
      <c r="A551" s="1"/>
      <c r="B551" s="2"/>
      <c r="C551" s="2"/>
      <c r="D551" s="2"/>
      <c r="E551" s="2"/>
      <c r="F551" s="3"/>
      <c r="G551" s="4"/>
      <c r="H551" s="5"/>
      <c r="I551" s="4"/>
      <c r="J551" s="5"/>
      <c r="K551" s="1"/>
      <c r="L551" s="7"/>
      <c r="M551" s="1"/>
      <c r="N551" s="1"/>
      <c r="O551" s="1"/>
      <c r="P551" s="1"/>
      <c r="Q551" s="1"/>
      <c r="R551" s="1"/>
      <c r="S551" s="1"/>
    </row>
    <row x14ac:dyDescent="0.25" r="552" customHeight="1" ht="18.75">
      <c r="A552" s="1"/>
      <c r="B552" s="2"/>
      <c r="C552" s="2"/>
      <c r="D552" s="2"/>
      <c r="E552" s="2"/>
      <c r="F552" s="3"/>
      <c r="G552" s="4"/>
      <c r="H552" s="5"/>
      <c r="I552" s="4"/>
      <c r="J552" s="5"/>
      <c r="K552" s="1"/>
      <c r="L552" s="7"/>
      <c r="M552" s="1"/>
      <c r="N552" s="1"/>
      <c r="O552" s="1"/>
      <c r="P552" s="1"/>
      <c r="Q552" s="1"/>
      <c r="R552" s="1"/>
      <c r="S552" s="1"/>
    </row>
    <row x14ac:dyDescent="0.25" r="553" customHeight="1" ht="18.75">
      <c r="A553" s="1"/>
      <c r="B553" s="2"/>
      <c r="C553" s="2"/>
      <c r="D553" s="2"/>
      <c r="E553" s="2"/>
      <c r="F553" s="3"/>
      <c r="G553" s="4"/>
      <c r="H553" s="5"/>
      <c r="I553" s="4"/>
      <c r="J553" s="5"/>
      <c r="K553" s="1"/>
      <c r="L553" s="7"/>
      <c r="M553" s="1"/>
      <c r="N553" s="1"/>
      <c r="O553" s="1"/>
      <c r="P553" s="1"/>
      <c r="Q553" s="1"/>
      <c r="R553" s="1"/>
      <c r="S553" s="1"/>
    </row>
    <row x14ac:dyDescent="0.25" r="554" customHeight="1" ht="18.75">
      <c r="A554" s="1"/>
      <c r="B554" s="2"/>
      <c r="C554" s="2"/>
      <c r="D554" s="2"/>
      <c r="E554" s="2"/>
      <c r="F554" s="3"/>
      <c r="G554" s="4"/>
      <c r="H554" s="5"/>
      <c r="I554" s="4"/>
      <c r="J554" s="5"/>
      <c r="K554" s="1"/>
      <c r="L554" s="7"/>
      <c r="M554" s="1"/>
      <c r="N554" s="1"/>
      <c r="O554" s="1"/>
      <c r="P554" s="1"/>
      <c r="Q554" s="1"/>
      <c r="R554" s="1"/>
      <c r="S554" s="1"/>
    </row>
    <row x14ac:dyDescent="0.25" r="555" customHeight="1" ht="18.75">
      <c r="A555" s="1"/>
      <c r="B555" s="2"/>
      <c r="C555" s="2"/>
      <c r="D555" s="2"/>
      <c r="E555" s="2"/>
      <c r="F555" s="3"/>
      <c r="G555" s="4"/>
      <c r="H555" s="5"/>
      <c r="I555" s="4"/>
      <c r="J555" s="5"/>
      <c r="K555" s="1"/>
      <c r="L555" s="7"/>
      <c r="M555" s="1"/>
      <c r="N555" s="1"/>
      <c r="O555" s="1"/>
      <c r="P555" s="1"/>
      <c r="Q555" s="1"/>
      <c r="R555" s="1"/>
      <c r="S555" s="1"/>
    </row>
    <row x14ac:dyDescent="0.25" r="556" customHeight="1" ht="18.75">
      <c r="A556" s="1"/>
      <c r="B556" s="2"/>
      <c r="C556" s="2"/>
      <c r="D556" s="2"/>
      <c r="E556" s="2"/>
      <c r="F556" s="3"/>
      <c r="G556" s="4"/>
      <c r="H556" s="5"/>
      <c r="I556" s="4"/>
      <c r="J556" s="5"/>
      <c r="K556" s="1"/>
      <c r="L556" s="7"/>
      <c r="M556" s="1"/>
      <c r="N556" s="1"/>
      <c r="O556" s="1"/>
      <c r="P556" s="1"/>
      <c r="Q556" s="1"/>
      <c r="R556" s="1"/>
      <c r="S556" s="1"/>
    </row>
    <row x14ac:dyDescent="0.25" r="557" customHeight="1" ht="18.75">
      <c r="A557" s="1"/>
      <c r="B557" s="2"/>
      <c r="C557" s="2"/>
      <c r="D557" s="2"/>
      <c r="E557" s="2"/>
      <c r="F557" s="3"/>
      <c r="G557" s="4"/>
      <c r="H557" s="5"/>
      <c r="I557" s="4"/>
      <c r="J557" s="5"/>
      <c r="K557" s="1"/>
      <c r="L557" s="7"/>
      <c r="M557" s="1"/>
      <c r="N557" s="1"/>
      <c r="O557" s="1"/>
      <c r="P557" s="1"/>
      <c r="Q557" s="1"/>
      <c r="R557" s="1"/>
      <c r="S557" s="1"/>
    </row>
    <row x14ac:dyDescent="0.25" r="558" customHeight="1" ht="18.75">
      <c r="A558" s="1"/>
      <c r="B558" s="2"/>
      <c r="C558" s="2"/>
      <c r="D558" s="2"/>
      <c r="E558" s="2"/>
      <c r="F558" s="3"/>
      <c r="G558" s="4"/>
      <c r="H558" s="5"/>
      <c r="I558" s="4"/>
      <c r="J558" s="5"/>
      <c r="K558" s="1"/>
      <c r="L558" s="7"/>
      <c r="M558" s="1"/>
      <c r="N558" s="1"/>
      <c r="O558" s="1"/>
      <c r="P558" s="1"/>
      <c r="Q558" s="1"/>
      <c r="R558" s="1"/>
      <c r="S558" s="1"/>
    </row>
    <row x14ac:dyDescent="0.25" r="559" customHeight="1" ht="18.75">
      <c r="A559" s="1"/>
      <c r="B559" s="2"/>
      <c r="C559" s="2"/>
      <c r="D559" s="2"/>
      <c r="E559" s="2"/>
      <c r="F559" s="3"/>
      <c r="G559" s="4"/>
      <c r="H559" s="5"/>
      <c r="I559" s="4"/>
      <c r="J559" s="5"/>
      <c r="K559" s="1"/>
      <c r="L559" s="7"/>
      <c r="M559" s="1"/>
      <c r="N559" s="1"/>
      <c r="O559" s="1"/>
      <c r="P559" s="1"/>
      <c r="Q559" s="1"/>
      <c r="R559" s="1"/>
      <c r="S559" s="1"/>
    </row>
  </sheetData>
  <mergeCells count="43">
    <mergeCell ref="B403:F403"/>
    <mergeCell ref="B412:J412"/>
    <mergeCell ref="B414:G414"/>
    <mergeCell ref="H414:J414"/>
    <mergeCell ref="B415:G415"/>
    <mergeCell ref="H415:J415"/>
    <mergeCell ref="B416:G416"/>
    <mergeCell ref="B417:G417"/>
    <mergeCell ref="H417:J417"/>
    <mergeCell ref="B418:G418"/>
    <mergeCell ref="H418:J418"/>
    <mergeCell ref="B419:G419"/>
    <mergeCell ref="H419:J419"/>
    <mergeCell ref="B420:G420"/>
    <mergeCell ref="H420:J420"/>
    <mergeCell ref="B422:G422"/>
    <mergeCell ref="B424:G424"/>
    <mergeCell ref="B426:J426"/>
    <mergeCell ref="B428:G428"/>
    <mergeCell ref="H428:J428"/>
    <mergeCell ref="B429:G429"/>
    <mergeCell ref="H429:J429"/>
    <mergeCell ref="B430:G430"/>
    <mergeCell ref="H430:J430"/>
    <mergeCell ref="B432:G432"/>
    <mergeCell ref="B434:G434"/>
    <mergeCell ref="B436:J436"/>
    <mergeCell ref="B438:G438"/>
    <mergeCell ref="H438:J438"/>
    <mergeCell ref="B439:G439"/>
    <mergeCell ref="H439:J439"/>
    <mergeCell ref="B440:G440"/>
    <mergeCell ref="H440:J440"/>
    <mergeCell ref="B442:G442"/>
    <mergeCell ref="B444:G444"/>
    <mergeCell ref="B509:I509"/>
    <mergeCell ref="H511:I511"/>
    <mergeCell ref="H512:I512"/>
    <mergeCell ref="H513:I513"/>
    <mergeCell ref="H514:I514"/>
    <mergeCell ref="H515:I515"/>
    <mergeCell ref="H516:I516"/>
    <mergeCell ref="H517:I517"/>
  </mergeCells>
  <pageMargins left="0.7" right="0.7" top="0.75" bottom="0.75" header="0.3" footer="0.3"/>
</worksheet>
</file>

<file path=docProps/app.xml><?xml version="1.0" encoding="utf-8"?>
<Properties xmlns:vt="http://schemas.openxmlformats.org/officeDocument/2006/docPropsVTypes" xmlns="http://schemas.openxmlformats.org/officeDocument/2006/extended-properties">
  <Application>wijmo.xlsx</Application>
  <DocSecurity>0</DocSecurity>
  <ScaleCrop>false</ScaleCrop>
  <HeadingPairs>
    <vt:vector baseType="variant" size="2">
      <vt:variant>
        <vt:lpstr>Worksheets</vt:lpstr>
      </vt:variant>
      <vt:variant>
        <vt:i4>22</vt:i4>
      </vt:variant>
    </vt:vector>
  </HeadingPairs>
  <TitlesOfParts>
    <vt:vector baseType="lpstr" size="22">
      <vt:lpstr>BBDD</vt:lpstr>
      <vt:lpstr>Bienvenida</vt:lpstr>
      <vt:lpstr>Tablas</vt:lpstr>
      <vt:lpstr>Hipótesis</vt:lpstr>
      <vt:lpstr>Simulador - Datos personales</vt:lpstr>
      <vt:lpstr>Datos SS</vt:lpstr>
      <vt:lpstr>Coef Reductores Anticipada</vt:lpstr>
      <vt:lpstr>periodo transitorio coef REDUCT</vt:lpstr>
      <vt:lpstr>Fecha Jubilación</vt:lpstr>
      <vt:lpstr>PJSS</vt:lpstr>
      <vt:lpstr>Simulador - 1º Pilar</vt:lpstr>
      <vt:lpstr>Renta Vitalicia</vt:lpstr>
      <vt:lpstr>Aportaciones PPE</vt:lpstr>
      <vt:lpstr>Aportaciones Poliza</vt:lpstr>
      <vt:lpstr>Aportaciones Flex</vt:lpstr>
      <vt:lpstr>Simulador - 2º Pilar</vt:lpstr>
      <vt:lpstr>Aportaciones PP indvidual</vt:lpstr>
      <vt:lpstr>Simulador - 3º Pilar</vt:lpstr>
      <vt:lpstr>Renta temp.</vt:lpstr>
      <vt:lpstr>sim</vt:lpstr>
      <vt:lpstr>Simulador - RESUMEN</vt:lpstr>
      <vt:lpstr>Informe</vt:lpstr>
    </vt:vector>
  </TitlesOfParts>
  <Manager/>
  <Company>GrapeCity, Inc.</Company>
  <LinksUpToDate>false</LinksUpToDate>
  <SharedDoc>false</SharedDoc>
  <HyperlinksChanged>false</HyperlinksChanged>
  <AppVersion>1.0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2024-09-11T15:11:21.196Z</dcterms:created>
  <dcterms:modified xsi:type="dcterms:W3CDTF">2024-09-11T15:11:21.196Z</dcterms:modified>
</cp:coreProperties>
</file>